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成本\本周发表NO\"/>
    </mc:Choice>
  </mc:AlternateContent>
  <bookViews>
    <workbookView windowWidth="16800" windowHeight="8735" activeTab="13"/>
  </bookViews>
  <sheets>
    <sheet name="DB小板汇总" sheetId="27" r:id="rId1"/>
    <sheet name="DB小板汇总 (2)" sheetId="36" state="hidden" r:id="rId2"/>
    <sheet name="E BOM大核" sheetId="25" r:id="rId3"/>
    <sheet name="对比差异" sheetId="34" state="hidden" r:id="rId4"/>
    <sheet name="E BOM大核 (2)" sheetId="31" state="hidden" r:id="rId5"/>
    <sheet name="E BOM大核 (3)" sheetId="44" state="hidden" r:id="rId6"/>
    <sheet name="E BOM小核" sheetId="28" r:id="rId7"/>
    <sheet name="E BOM小核 (2)" sheetId="30" state="hidden" r:id="rId8"/>
    <sheet name="EVT PVT大核 E BOM" sheetId="26" state="hidden" r:id="rId9"/>
    <sheet name="EVT PVT 小核 E BOM" sheetId="29" state="hidden" r:id="rId10"/>
    <sheet name="AMD" sheetId="6" r:id="rId11"/>
    <sheet name="AMD (2)" sheetId="35" state="hidden" r:id="rId12"/>
    <sheet name="AMD (3)" sheetId="41" state="hidden" r:id="rId13"/>
    <sheet name="高通" sheetId="7" r:id="rId14"/>
    <sheet name="5G" sheetId="22" r:id="rId15"/>
    <sheet name="RK" sheetId="39" r:id="rId16"/>
    <sheet name="工控" sheetId="5" r:id="rId17"/>
    <sheet name="老项目" sheetId="14" r:id="rId18"/>
    <sheet name="Sheet7" sheetId="32" state="hidden" r:id="rId19"/>
    <sheet name="Sheet3" sheetId="19" state="hidden" r:id="rId20"/>
    <sheet name="Sheet8" sheetId="33" state="hidden" r:id="rId21"/>
    <sheet name="Sheet6" sheetId="24" state="hidden" r:id="rId22"/>
    <sheet name="Sheet5" sheetId="23" state="hidden" r:id="rId23"/>
    <sheet name="Sheet4" sheetId="20" state="hidden" r:id="rId24"/>
    <sheet name="Sheet2" sheetId="18" state="hidden" r:id="rId25"/>
    <sheet name="1" sheetId="15" state="hidden" r:id="rId26"/>
    <sheet name="2" sheetId="16" state="hidden" r:id="rId27"/>
    <sheet name="Sheet1" sheetId="17" state="hidden" r:id="rId28"/>
  </sheets>
  <externalReferences>
    <externalReference r:id="rId29"/>
    <externalReference r:id="rId30"/>
    <externalReference r:id="rId31"/>
  </externalReferences>
  <definedNames>
    <definedName name="_xlnm._FilterDatabase" localSheetId="11" hidden="1">'AMD (2)'!$A$2:$W$167</definedName>
    <definedName name="_xlnm._FilterDatabase" localSheetId="19" hidden="1">Sheet3!$1839:$1843</definedName>
    <definedName name="_xlnm._FilterDatabase" localSheetId="0" hidden="1">DB小板汇总!$2:$674</definedName>
    <definedName name="_xlnm._FilterDatabase" localSheetId="4" hidden="1">'E BOM大核 (2)'!$7:$1055</definedName>
    <definedName name="_xlnm._FilterDatabase" localSheetId="2" hidden="1">'E BOM大核'!$9:$108</definedName>
    <definedName name="_xlnm._FilterDatabase" localSheetId="5" hidden="1">'E BOM大核 (3)'!$8:$1069</definedName>
    <definedName name="_xlnm._FilterDatabase" localSheetId="7" hidden="1">'E BOM小核 (2)'!$A$7:$AC$372</definedName>
    <definedName name="_xlnm._FilterDatabase" localSheetId="6" hidden="1">'E BOM小核'!$A$7:$AE$36</definedName>
    <definedName name="_xlnm._FilterDatabase" localSheetId="10" hidden="1">AMD!$A$2:$W$38</definedName>
    <definedName name="_xlnm._FilterDatabase" localSheetId="9" hidden="1">'EVT PVT 小核 E BOM'!$A$7:$AD$7</definedName>
    <definedName name="_xlnm._FilterDatabase" localSheetId="17" hidden="1">老项目!$A$2:$V$1237</definedName>
    <definedName name="_xlnm._FilterDatabase" localSheetId="16" hidden="1">工控!$A$2:$V$104</definedName>
    <definedName name="_xlnm._FilterDatabase" localSheetId="13" hidden="1">高通!#REF!</definedName>
    <definedName name="_xlnm._FilterDatabase" localSheetId="1" hidden="1">'DB小板汇总 (2)'!$2:$586</definedName>
    <definedName name="_xlnm._FilterDatabase" localSheetId="8" hidden="1">'EVT PVT大核 E BOM'!$A$7:$XFB$232</definedName>
    <definedName name="_xlnm._FilterDatabase" localSheetId="14" hidden="1">'5G'!#REF!</definedName>
    <definedName name="TaxTV">10%</definedName>
    <definedName name="\p">'[1]FA-LISTING'!#REF!</definedName>
    <definedName name="BuiltIn_AutoFilter___3">"$"</definedName>
    <definedName name="文件管制作業辦法">"圖片 1"</definedName>
    <definedName name="_xlnm._FilterDatabase" localSheetId="12" hidden="1">'AMD (3)'!$A$2:$R$2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数量少要加300元开机费</t>
        </r>
      </text>
    </comment>
    <comment ref="F3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CKD:3.62
非CKD:3.29RMB</t>
        </r>
      </text>
    </comment>
    <comment ref="K5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1-16二姐</t>
        </r>
      </text>
    </comment>
    <comment ref="K58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1-16二姐</t>
        </r>
      </text>
    </comment>
    <comment ref="F58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E.P.P.0007179</t>
        </r>
      </text>
    </comment>
    <comment ref="F5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E.P.P.0007180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含315转496 转接小板</t>
        </r>
      </text>
    </comment>
  </commentList>
</comments>
</file>

<file path=xl/comments3.xml><?xml version="1.0" encoding="utf-8"?>
<comments xmlns="http://schemas.openxmlformats.org/spreadsheetml/2006/main">
  <authors>
    <author>Administrator</author>
    <author>zwt</author>
  </authors>
  <commentList>
    <comment ref="O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加工费多个小板多点</t>
        </r>
      </text>
    </comment>
    <comment ref="M159" authorId="0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按梦瑶3-20日成本表</t>
        </r>
      </text>
    </comment>
    <comment ref="M160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163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164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按东讯价格，梦瑶确认可按科翔价格34.59</t>
        </r>
      </text>
    </comment>
    <comment ref="M2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按东讯价格，梦瑶确认可按科翔价格34.59</t>
        </r>
      </text>
    </comment>
    <comment ref="M272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73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74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75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76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77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78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79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0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1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2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3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4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5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6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7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8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9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0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1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2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3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4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5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6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7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8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9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300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301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302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303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307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308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354" authorId="1">
      <text>
        <r>
          <rPr>
            <sz val="9"/>
            <rFont val="宋体"/>
            <charset val="134"/>
          </rPr>
          <t>此bom对应的pcb成本4.86$</t>
        </r>
      </text>
    </comment>
    <comment ref="M355" authorId="1">
      <text>
        <r>
          <rPr>
            <sz val="9"/>
            <rFont val="宋体"/>
            <charset val="134"/>
          </rPr>
          <t>此bom对应的pcb成本4.86$</t>
        </r>
      </text>
    </comment>
    <comment ref="M356" authorId="1">
      <text>
        <r>
          <rPr>
            <sz val="9"/>
            <rFont val="宋体"/>
            <charset val="134"/>
          </rPr>
          <t>此bom对应的pcb成本4.86$</t>
        </r>
      </text>
    </comment>
    <comment ref="M357" authorId="1">
      <text>
        <r>
          <rPr>
            <sz val="9"/>
            <rFont val="宋体"/>
            <charset val="134"/>
          </rPr>
          <t>此bom对应的pcb成本4.86$</t>
        </r>
      </text>
    </comment>
    <comment ref="M358" authorId="1">
      <text>
        <r>
          <rPr>
            <sz val="9"/>
            <rFont val="宋体"/>
            <charset val="134"/>
          </rPr>
          <t>此bom对应的pcb成本4.86$</t>
        </r>
      </text>
    </comment>
    <comment ref="M359" authorId="1">
      <text>
        <r>
          <rPr>
            <sz val="9"/>
            <rFont val="宋体"/>
            <charset val="134"/>
          </rPr>
          <t>此bom对应的pcb成本4.86$</t>
        </r>
      </text>
    </comment>
    <comment ref="M452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453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454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456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458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462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616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619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621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623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714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15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16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17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18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19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0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1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2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3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4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5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6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7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8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9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30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31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32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33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37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38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39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40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41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42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43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</commentList>
</comments>
</file>

<file path=xl/comments4.xml><?xml version="1.0" encoding="utf-8"?>
<comments xmlns="http://schemas.openxmlformats.org/spreadsheetml/2006/main">
  <authors>
    <author>Administrator</author>
    <author>zwt</author>
  </authors>
  <commentList>
    <comment ref="O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加工费多个小板多点</t>
        </r>
      </text>
    </comment>
    <comment ref="M159" authorId="0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按梦瑶3-20日成本表</t>
        </r>
      </text>
    </comment>
    <comment ref="M160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163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164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按东讯价格，梦瑶确认可按科翔价格34.59</t>
        </r>
      </text>
    </comment>
    <comment ref="M2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按东讯价格，梦瑶确认可按科翔价格34.59</t>
        </r>
      </text>
    </comment>
    <comment ref="M272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73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74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75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76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77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78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79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0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1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2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3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4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5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6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7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8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89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0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1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2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3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4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5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6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7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8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299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300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301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302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303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307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308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M354" authorId="1">
      <text>
        <r>
          <rPr>
            <sz val="9"/>
            <rFont val="宋体"/>
            <charset val="134"/>
          </rPr>
          <t>此bom对应的pcb成本4.86$</t>
        </r>
      </text>
    </comment>
    <comment ref="M355" authorId="1">
      <text>
        <r>
          <rPr>
            <sz val="9"/>
            <rFont val="宋体"/>
            <charset val="134"/>
          </rPr>
          <t>此bom对应的pcb成本4.86$</t>
        </r>
      </text>
    </comment>
    <comment ref="M356" authorId="1">
      <text>
        <r>
          <rPr>
            <sz val="9"/>
            <rFont val="宋体"/>
            <charset val="134"/>
          </rPr>
          <t>此bom对应的pcb成本4.86$</t>
        </r>
      </text>
    </comment>
    <comment ref="M357" authorId="1">
      <text>
        <r>
          <rPr>
            <sz val="9"/>
            <rFont val="宋体"/>
            <charset val="134"/>
          </rPr>
          <t>此bom对应的pcb成本4.86$</t>
        </r>
      </text>
    </comment>
    <comment ref="M358" authorId="1">
      <text>
        <r>
          <rPr>
            <sz val="9"/>
            <rFont val="宋体"/>
            <charset val="134"/>
          </rPr>
          <t>此bom对应的pcb成本4.86$</t>
        </r>
      </text>
    </comment>
    <comment ref="M359" authorId="1">
      <text>
        <r>
          <rPr>
            <sz val="9"/>
            <rFont val="宋体"/>
            <charset val="134"/>
          </rPr>
          <t>此bom对应的pcb成本4.86$</t>
        </r>
      </text>
    </comment>
    <comment ref="M452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453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454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456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458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462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616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619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621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623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M714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15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16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17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18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19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0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1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2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3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4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5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6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7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8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29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30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31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32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33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37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38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39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40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41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42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M743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R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含0.57RMB SSD烧录费</t>
        </r>
      </text>
    </comment>
    <comment ref="N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3-23 PCBA表格</t>
        </r>
      </text>
    </comment>
    <comment ref="R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增加USB
手动升级费用3元RMB</t>
        </r>
      </text>
    </comment>
    <comment ref="B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NAS</t>
        </r>
      </text>
    </comment>
    <comment ref="V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NAS产品无TYPE-C IC（USB的3.0信号直接拉到TypeC接口，不用加IC），无TPM（软件TPM，CPU里面的，不用外部IC）,，无电量计IC
</t>
        </r>
      </text>
    </comment>
  </commentList>
</comments>
</file>

<file path=xl/comments6.xml><?xml version="1.0" encoding="utf-8"?>
<comments xmlns="http://schemas.openxmlformats.org/spreadsheetml/2006/main">
  <authors>
    <author>Administrator</author>
    <author>User</author>
    <author>zwt</author>
  </authors>
  <commentList>
    <comment ref="N7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PCB无卤25.26</t>
        </r>
      </text>
    </comment>
    <comment ref="P232" authorId="1">
      <text>
        <r>
          <rPr>
            <b/>
            <sz val="9"/>
            <rFont val="宋体"/>
            <charset val="134"/>
          </rPr>
          <t>未批量MP,未核算SMT加工费</t>
        </r>
      </text>
    </comment>
    <comment ref="P245" authorId="1">
      <text>
        <r>
          <rPr>
            <b/>
            <sz val="9"/>
            <rFont val="宋体"/>
            <charset val="134"/>
          </rPr>
          <t>未批量MP,未核算SMT加工费</t>
        </r>
      </text>
    </comment>
    <comment ref="Q253" authorId="2">
      <text>
        <r>
          <rPr>
            <sz val="9"/>
            <rFont val="宋体"/>
            <charset val="134"/>
          </rPr>
          <t>2025/5/30更新</t>
        </r>
      </text>
    </comment>
    <comment ref="Q254" authorId="2">
      <text>
        <r>
          <rPr>
            <sz val="9"/>
            <rFont val="宋体"/>
            <charset val="134"/>
          </rPr>
          <t>2025/5/30更新</t>
        </r>
      </text>
    </comment>
    <comment ref="Q255" authorId="2">
      <text>
        <r>
          <rPr>
            <sz val="9"/>
            <rFont val="宋体"/>
            <charset val="134"/>
          </rPr>
          <t>2025/5/30更新</t>
        </r>
      </text>
    </comment>
    <comment ref="Q256" authorId="2">
      <text>
        <r>
          <rPr>
            <sz val="9"/>
            <rFont val="宋体"/>
            <charset val="134"/>
          </rPr>
          <t>2025/5/30更新</t>
        </r>
      </text>
    </comment>
    <comment ref="Q257" authorId="2">
      <text>
        <r>
          <rPr>
            <sz val="9"/>
            <rFont val="宋体"/>
            <charset val="134"/>
          </rPr>
          <t>2025/5/30更新</t>
        </r>
      </text>
    </comment>
    <comment ref="Q258" authorId="2">
      <text>
        <r>
          <rPr>
            <sz val="9"/>
            <rFont val="宋体"/>
            <charset val="134"/>
          </rPr>
          <t>2025/5/30更新</t>
        </r>
      </text>
    </comment>
    <comment ref="Q259" authorId="2">
      <text>
        <r>
          <rPr>
            <sz val="9"/>
            <rFont val="宋体"/>
            <charset val="134"/>
          </rPr>
          <t>2025/5/30更新</t>
        </r>
      </text>
    </comment>
    <comment ref="Q260" authorId="2">
      <text>
        <r>
          <rPr>
            <sz val="9"/>
            <rFont val="宋体"/>
            <charset val="134"/>
          </rPr>
          <t>2025/5/30更新</t>
        </r>
      </text>
    </comment>
    <comment ref="Q261" authorId="2">
      <text>
        <r>
          <rPr>
            <sz val="9"/>
            <rFont val="宋体"/>
            <charset val="134"/>
          </rPr>
          <t>2025/5/30更新</t>
        </r>
      </text>
    </comment>
    <comment ref="Q262" authorId="2">
      <text>
        <r>
          <rPr>
            <sz val="9"/>
            <rFont val="宋体"/>
            <charset val="134"/>
          </rPr>
          <t>2025/5/30更新</t>
        </r>
      </text>
    </comment>
    <comment ref="Q264" authorId="2">
      <text>
        <r>
          <rPr>
            <sz val="9"/>
            <rFont val="宋体"/>
            <charset val="134"/>
          </rPr>
          <t>2025/5/30更新</t>
        </r>
      </text>
    </comment>
    <comment ref="Q266" authorId="2">
      <text>
        <r>
          <rPr>
            <sz val="9"/>
            <rFont val="宋体"/>
            <charset val="134"/>
          </rPr>
          <t>2025/5/30更新</t>
        </r>
      </text>
    </comment>
    <comment ref="Q268" authorId="2">
      <text>
        <r>
          <rPr>
            <sz val="9"/>
            <rFont val="宋体"/>
            <charset val="134"/>
          </rPr>
          <t>2025/5/30更新</t>
        </r>
      </text>
    </comment>
    <comment ref="Q269" authorId="2">
      <text>
        <r>
          <rPr>
            <sz val="9"/>
            <rFont val="宋体"/>
            <charset val="134"/>
          </rPr>
          <t>2025/5/30更新</t>
        </r>
      </text>
    </comment>
    <comment ref="Q270" authorId="2">
      <text>
        <r>
          <rPr>
            <sz val="9"/>
            <rFont val="宋体"/>
            <charset val="134"/>
          </rPr>
          <t>2025/5/30更新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B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ADL N Flash用的是32M，JPL用的是16M</t>
        </r>
      </text>
    </comment>
    <comment ref="Q1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含0.57RMB SSD烧录费</t>
        </r>
      </text>
    </comment>
  </commentList>
</comments>
</file>

<file path=xl/comments8.xml><?xml version="1.0" encoding="utf-8"?>
<comments xmlns="http://schemas.openxmlformats.org/spreadsheetml/2006/main">
  <authors>
    <author>User</author>
    <author>Administrator</author>
  </authors>
  <commentList>
    <comment ref="R12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3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7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O1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梦瑶3-20白PCB价格
</t>
        </r>
      </text>
    </comment>
    <comment ref="R18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23" authorId="0">
      <text>
        <r>
          <rPr>
            <b/>
            <sz val="9"/>
            <rFont val="宋体"/>
            <charset val="134"/>
          </rPr>
          <t>未量产，无SMT加工费核价</t>
        </r>
      </text>
    </comment>
  </commentList>
</comments>
</file>

<file path=xl/comments9.xml><?xml version="1.0" encoding="utf-8"?>
<comments xmlns="http://schemas.openxmlformats.org/spreadsheetml/2006/main">
  <authors>
    <author>User</author>
    <author>Administrator</author>
  </authors>
  <commentList>
    <comment ref="R56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57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58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59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60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61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62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63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64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65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66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67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68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69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70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71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72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73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74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76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77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78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79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80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81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82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19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20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21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27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P15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3-20 二姐通知</t>
        </r>
      </text>
    </comment>
  </commentList>
</comments>
</file>

<file path=xl/comments10.xml><?xml version="1.0" encoding="utf-8"?>
<comments xmlns="http://schemas.openxmlformats.org/spreadsheetml/2006/main">
  <authors>
    <author>User</author>
  </authors>
  <commentList>
    <comment ref="J4" authorId="0">
      <text>
        <r>
          <rPr>
            <b/>
            <sz val="9"/>
            <rFont val="宋体"/>
            <charset val="134"/>
          </rPr>
          <t>CPU套料价格+6.5 license费用</t>
        </r>
      </text>
    </comment>
    <comment ref="J5" authorId="0">
      <text>
        <r>
          <rPr>
            <b/>
            <sz val="9"/>
            <rFont val="宋体"/>
            <charset val="134"/>
          </rPr>
          <t>CPU套料价格+6.5 license费用</t>
        </r>
      </text>
    </comment>
    <comment ref="J6" authorId="0">
      <text>
        <r>
          <rPr>
            <b/>
            <sz val="9"/>
            <rFont val="宋体"/>
            <charset val="134"/>
          </rPr>
          <t>CPU套料价格+6.5 license费用</t>
        </r>
      </text>
    </comment>
    <comment ref="J7" authorId="0">
      <text>
        <r>
          <rPr>
            <b/>
            <sz val="9"/>
            <rFont val="宋体"/>
            <charset val="134"/>
          </rPr>
          <t>CPU套料价格+6.5 license费用</t>
        </r>
      </text>
    </comment>
    <comment ref="J8" authorId="0">
      <text>
        <r>
          <rPr>
            <b/>
            <sz val="9"/>
            <rFont val="宋体"/>
            <charset val="134"/>
          </rPr>
          <t>CPU套料价格+6.5 license费用</t>
        </r>
      </text>
    </comment>
    <comment ref="J9" authorId="0">
      <text>
        <r>
          <rPr>
            <b/>
            <sz val="9"/>
            <rFont val="宋体"/>
            <charset val="134"/>
          </rPr>
          <t>CPU套料价格+6.5 license费用</t>
        </r>
      </text>
    </comment>
    <comment ref="J10" authorId="0">
      <text>
        <r>
          <rPr>
            <b/>
            <sz val="9"/>
            <rFont val="宋体"/>
            <charset val="134"/>
          </rPr>
          <t>CPU套料价格+6.5 license费用</t>
        </r>
      </text>
    </comment>
    <comment ref="J15" authorId="0">
      <text>
        <r>
          <rPr>
            <b/>
            <sz val="9"/>
            <rFont val="宋体"/>
            <charset val="134"/>
          </rPr>
          <t>CPU套料价格+6.5 license费用</t>
        </r>
      </text>
    </comment>
    <comment ref="J16" authorId="0">
      <text>
        <r>
          <rPr>
            <b/>
            <sz val="9"/>
            <rFont val="宋体"/>
            <charset val="134"/>
          </rPr>
          <t>CPU套料价格+6.5 license费用</t>
        </r>
      </text>
    </comment>
    <comment ref="J17" authorId="0">
      <text>
        <r>
          <rPr>
            <b/>
            <sz val="9"/>
            <rFont val="宋体"/>
            <charset val="134"/>
          </rPr>
          <t>CPU套料价格+6.5 license费用</t>
        </r>
      </text>
    </comment>
    <comment ref="J18" authorId="0">
      <text>
        <r>
          <rPr>
            <b/>
            <sz val="9"/>
            <rFont val="宋体"/>
            <charset val="134"/>
          </rPr>
          <t>CPU套料价格+6.5 license费用</t>
        </r>
      </text>
    </comment>
    <comment ref="J19" authorId="0">
      <text>
        <r>
          <rPr>
            <b/>
            <sz val="9"/>
            <rFont val="宋体"/>
            <charset val="134"/>
          </rPr>
          <t>CPU套料价格+6.5 license费用</t>
        </r>
      </text>
    </comment>
    <comment ref="J20" authorId="0">
      <text>
        <r>
          <rPr>
            <b/>
            <sz val="9"/>
            <rFont val="宋体"/>
            <charset val="134"/>
          </rPr>
          <t>CPU套料价格+6.5 license费用</t>
        </r>
      </text>
    </comment>
    <comment ref="J21" authorId="0">
      <text>
        <r>
          <rPr>
            <b/>
            <sz val="9"/>
            <rFont val="宋体"/>
            <charset val="134"/>
          </rPr>
          <t>CPU套料价格+6.5 license费用</t>
        </r>
      </text>
    </comment>
    <comment ref="J25" authorId="0">
      <text>
        <r>
          <rPr>
            <b/>
            <sz val="9"/>
            <rFont val="宋体"/>
            <charset val="134"/>
          </rPr>
          <t>CPU套料价格+6.5 license费用</t>
        </r>
      </text>
    </comment>
    <comment ref="J26" authorId="0">
      <text>
        <r>
          <rPr>
            <b/>
            <sz val="9"/>
            <rFont val="宋体"/>
            <charset val="134"/>
          </rPr>
          <t>CPU套片价格
CPU单价$144.28</t>
        </r>
      </text>
    </comment>
    <comment ref="J27" authorId="0">
      <text>
        <r>
          <rPr>
            <b/>
            <sz val="9"/>
            <rFont val="宋体"/>
            <charset val="134"/>
          </rPr>
          <t>CPU套片价格
CPU单价$144.28</t>
        </r>
      </text>
    </comment>
  </commentList>
</comments>
</file>

<file path=xl/comments11.xml><?xml version="1.0" encoding="utf-8"?>
<comments xmlns="http://schemas.openxmlformats.org/spreadsheetml/2006/main">
  <authors>
    <author>Administrator</author>
  </authors>
  <commentList>
    <comment ref="G50" authorId="0">
      <text>
        <r>
          <rPr>
            <sz val="9"/>
            <rFont val="宋体"/>
            <charset val="134"/>
          </rPr>
          <t>CPU 套共4颗</t>
        </r>
      </text>
    </comment>
  </commentList>
</comments>
</file>

<file path=xl/comments12.xml><?xml version="1.0" encoding="utf-8"?>
<comments xmlns="http://schemas.openxmlformats.org/spreadsheetml/2006/main">
  <authors>
    <author>Windows User</author>
    <author>Administrator</author>
  </authors>
  <commentList>
    <comment ref="H59" authorId="0">
      <text>
        <r>
          <rPr>
            <b/>
            <sz val="9"/>
            <rFont val="宋体"/>
            <charset val="134"/>
          </rPr>
          <t>研发样品CPU,无价格</t>
        </r>
      </text>
    </comment>
    <comment ref="H60" authorId="0">
      <text>
        <r>
          <rPr>
            <b/>
            <sz val="9"/>
            <rFont val="宋体"/>
            <charset val="134"/>
          </rPr>
          <t>研发样品CPU,无价格</t>
        </r>
      </text>
    </comment>
    <comment ref="H61" authorId="0">
      <text>
        <r>
          <rPr>
            <b/>
            <sz val="9"/>
            <rFont val="宋体"/>
            <charset val="134"/>
          </rPr>
          <t>研发样品CPU,无价格</t>
        </r>
      </text>
    </comment>
    <comment ref="H62" authorId="0">
      <text>
        <r>
          <rPr>
            <b/>
            <sz val="9"/>
            <rFont val="宋体"/>
            <charset val="134"/>
          </rPr>
          <t>研发样品CPU,无价格</t>
        </r>
      </text>
    </comment>
    <comment ref="U100" authorId="1">
      <text>
        <r>
          <rPr>
            <sz val="9"/>
            <rFont val="宋体"/>
            <charset val="134"/>
          </rPr>
          <t xml:space="preserve">散热片料号：M.T.M.0000457	
</t>
        </r>
      </text>
    </comment>
    <comment ref="U101" authorId="1">
      <text>
        <r>
          <rPr>
            <sz val="9"/>
            <rFont val="宋体"/>
            <charset val="134"/>
          </rPr>
          <t xml:space="preserve">散热片料号：M.T.M.0000509、M.T.M.0000457	
</t>
        </r>
      </text>
    </comment>
    <comment ref="U102" authorId="1">
      <text>
        <r>
          <rPr>
            <sz val="9"/>
            <rFont val="宋体"/>
            <charset val="134"/>
          </rPr>
          <t xml:space="preserve">散热片料号：M.T.M.0000509、M.T.M.0000457	</t>
        </r>
      </text>
    </comment>
  </commentList>
</comments>
</file>

<file path=xl/comments13.xml><?xml version="1.0" encoding="utf-8"?>
<comments xmlns="http://schemas.openxmlformats.org/spreadsheetml/2006/main">
  <authors>
    <author>User</author>
    <author>user</author>
    <author>Administrator</author>
  </authors>
  <commentList>
    <comment ref="R271" authorId="0">
      <text>
        <r>
          <rPr>
            <b/>
            <sz val="9"/>
            <rFont val="宋体"/>
            <charset val="134"/>
          </rPr>
          <t>出爱高CKD SMT未核加工费</t>
        </r>
      </text>
    </comment>
    <comment ref="R273" authorId="0">
      <text>
        <r>
          <rPr>
            <b/>
            <sz val="9"/>
            <rFont val="宋体"/>
            <charset val="134"/>
          </rPr>
          <t>出爱高CKD SMT未核加工费</t>
        </r>
      </text>
    </comment>
    <comment ref="R274" authorId="0">
      <text>
        <r>
          <rPr>
            <b/>
            <sz val="9"/>
            <rFont val="宋体"/>
            <charset val="134"/>
          </rPr>
          <t>出爱高CKD SMT未核加工费</t>
        </r>
      </text>
    </comment>
    <comment ref="R279" authorId="0">
      <text>
        <r>
          <rPr>
            <b/>
            <sz val="9"/>
            <rFont val="宋体"/>
            <charset val="134"/>
          </rPr>
          <t>没有批量MP,未核价SMT费用</t>
        </r>
      </text>
    </comment>
    <comment ref="R292" authorId="0">
      <text>
        <r>
          <rPr>
            <b/>
            <sz val="9"/>
            <rFont val="宋体"/>
            <charset val="134"/>
          </rPr>
          <t>出爱高CKD SMT未核加工费</t>
        </r>
      </text>
    </comment>
    <comment ref="R293" authorId="0">
      <text>
        <r>
          <rPr>
            <b/>
            <sz val="9"/>
            <rFont val="宋体"/>
            <charset val="134"/>
          </rPr>
          <t>出爱高CKD SMT未核加工费</t>
        </r>
      </text>
    </comment>
    <comment ref="R294" authorId="0">
      <text>
        <r>
          <rPr>
            <b/>
            <sz val="9"/>
            <rFont val="宋体"/>
            <charset val="134"/>
          </rPr>
          <t>出爱高CKD SMT未核加工费</t>
        </r>
      </text>
    </comment>
    <comment ref="R295" authorId="0">
      <text>
        <r>
          <rPr>
            <b/>
            <sz val="9"/>
            <rFont val="宋体"/>
            <charset val="134"/>
          </rPr>
          <t>出爱高CKD SMT未核加工费</t>
        </r>
      </text>
    </comment>
    <comment ref="R296" authorId="0">
      <text>
        <r>
          <rPr>
            <b/>
            <sz val="9"/>
            <rFont val="宋体"/>
            <charset val="134"/>
          </rPr>
          <t>出爱高CKD SMT未核加工费</t>
        </r>
      </text>
    </comment>
    <comment ref="R327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暂无量产报价</t>
        </r>
      </text>
    </comment>
    <comment ref="R329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暂无量产报价</t>
        </r>
      </text>
    </comment>
    <comment ref="O370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参考GN1S PCB报价</t>
        </r>
      </text>
    </comment>
    <comment ref="R370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预估4</t>
        </r>
      </text>
    </comment>
    <comment ref="O371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参考GN1S PCB报价</t>
        </r>
      </text>
    </comment>
    <comment ref="R371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预估4</t>
        </r>
      </text>
    </comment>
    <comment ref="R435" authorId="0">
      <text>
        <r>
          <rPr>
            <b/>
            <sz val="9"/>
            <rFont val="宋体"/>
            <charset val="134"/>
          </rPr>
          <t>未量产过，SMT加工费未进行报价</t>
        </r>
      </text>
    </comment>
    <comment ref="R458" authorId="0">
      <text>
        <r>
          <rPr>
            <b/>
            <sz val="9"/>
            <rFont val="宋体"/>
            <charset val="134"/>
          </rPr>
          <t>未量产过，SMT加工费未进行报价</t>
        </r>
      </text>
    </comment>
    <comment ref="R459" authorId="0">
      <text>
        <r>
          <rPr>
            <b/>
            <sz val="9"/>
            <rFont val="宋体"/>
            <charset val="134"/>
          </rPr>
          <t>未量产过，SMT加工费未进行报价</t>
        </r>
      </text>
    </comment>
    <comment ref="R460" authorId="0">
      <text>
        <r>
          <rPr>
            <b/>
            <sz val="9"/>
            <rFont val="宋体"/>
            <charset val="134"/>
          </rPr>
          <t>未量产过，SMT加工费未进行报价</t>
        </r>
      </text>
    </comment>
    <comment ref="R461" authorId="0">
      <text>
        <r>
          <rPr>
            <b/>
            <sz val="9"/>
            <rFont val="宋体"/>
            <charset val="134"/>
          </rPr>
          <t>未量产过，SMT加工费未进行报价</t>
        </r>
      </text>
    </comment>
    <comment ref="R462" authorId="0">
      <text>
        <r>
          <rPr>
            <b/>
            <sz val="9"/>
            <rFont val="宋体"/>
            <charset val="134"/>
          </rPr>
          <t>未量产过，SMT加工费未进行报价</t>
        </r>
      </text>
    </comment>
    <comment ref="R465" authorId="0">
      <text>
        <r>
          <rPr>
            <b/>
            <sz val="9"/>
            <rFont val="宋体"/>
            <charset val="134"/>
          </rPr>
          <t>未量产过，SMT加工费未进行报价</t>
        </r>
      </text>
    </comment>
    <comment ref="K629" authorId="2">
      <text>
        <r>
          <rPr>
            <sz val="9"/>
            <rFont val="宋体"/>
            <charset val="134"/>
          </rPr>
          <t xml:space="preserve">CPU+桥片套料
</t>
        </r>
      </text>
    </comment>
    <comment ref="K636" authorId="2">
      <text>
        <r>
          <rPr>
            <sz val="9"/>
            <rFont val="宋体"/>
            <charset val="134"/>
          </rPr>
          <t xml:space="preserve">CPU+桥片套料
</t>
        </r>
      </text>
    </comment>
    <comment ref="L636" authorId="2">
      <text>
        <r>
          <rPr>
            <sz val="9"/>
            <rFont val="宋体"/>
            <charset val="134"/>
          </rPr>
          <t xml:space="preserve">GPU+DDR是套料
</t>
        </r>
      </text>
    </comment>
    <comment ref="K637" authorId="2">
      <text>
        <r>
          <rPr>
            <sz val="9"/>
            <rFont val="宋体"/>
            <charset val="134"/>
          </rPr>
          <t xml:space="preserve">CPU+桥片套料
</t>
        </r>
      </text>
    </comment>
    <comment ref="L637" authorId="2">
      <text>
        <r>
          <rPr>
            <sz val="9"/>
            <rFont val="宋体"/>
            <charset val="134"/>
          </rPr>
          <t xml:space="preserve">GPU+DDR是套料
</t>
        </r>
      </text>
    </comment>
    <comment ref="R784" authorId="0">
      <text>
        <r>
          <rPr>
            <b/>
            <sz val="9"/>
            <rFont val="宋体"/>
            <charset val="134"/>
          </rPr>
          <t>量产过一次，SMT费用</t>
        </r>
      </text>
    </comment>
    <comment ref="R787" authorId="0">
      <text>
        <r>
          <rPr>
            <b/>
            <sz val="9"/>
            <rFont val="宋体"/>
            <charset val="134"/>
          </rPr>
          <t>没有批量MP,未核价SMT费用</t>
        </r>
      </text>
    </comment>
    <comment ref="R798" authorId="0">
      <text>
        <r>
          <rPr>
            <b/>
            <sz val="9"/>
            <rFont val="宋体"/>
            <charset val="134"/>
          </rPr>
          <t>没有批量MP,未核价SMT费用</t>
        </r>
      </text>
    </comment>
    <comment ref="R799" authorId="0">
      <text>
        <r>
          <rPr>
            <b/>
            <sz val="9"/>
            <rFont val="宋体"/>
            <charset val="134"/>
          </rPr>
          <t>没有批量MP,未核价SMT费用</t>
        </r>
      </text>
    </comment>
    <comment ref="O806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预估价</t>
        </r>
      </text>
    </comment>
    <comment ref="R900" authorId="0">
      <text>
        <r>
          <rPr>
            <b/>
            <sz val="9"/>
            <rFont val="宋体"/>
            <charset val="134"/>
          </rPr>
          <t>未批量MP,未核算SMT加工费</t>
        </r>
      </text>
    </comment>
    <comment ref="R910" authorId="0">
      <text>
        <r>
          <rPr>
            <b/>
            <sz val="9"/>
            <rFont val="宋体"/>
            <charset val="134"/>
          </rPr>
          <t>未批量MP,未核算SMT加工费</t>
        </r>
      </text>
    </comment>
    <comment ref="R911" authorId="0">
      <text>
        <r>
          <rPr>
            <b/>
            <sz val="9"/>
            <rFont val="宋体"/>
            <charset val="134"/>
          </rPr>
          <t>老机型，3年未生产，无最新SMT费用</t>
        </r>
      </text>
    </comment>
    <comment ref="R1159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160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165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166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178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179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180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193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203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204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205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206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207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209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211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213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214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217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R1237" authorId="0">
      <text>
        <r>
          <rPr>
            <b/>
            <sz val="9"/>
            <rFont val="宋体"/>
            <charset val="134"/>
          </rPr>
          <t>未量产，无SMT加工费核价</t>
        </r>
      </text>
    </comment>
  </commentList>
</comments>
</file>

<file path=xl/comments14.xml><?xml version="1.0" encoding="utf-8"?>
<comments xmlns="http://schemas.openxmlformats.org/spreadsheetml/2006/main">
  <authors>
    <author>User</author>
    <author>zwt</author>
  </authors>
  <commentList>
    <comment ref="Q171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Q948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Q986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N1522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N1529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N1592" authorId="1">
      <text>
        <r>
          <rPr>
            <sz val="9"/>
            <rFont val="宋体"/>
            <charset val="134"/>
          </rPr>
          <t xml:space="preserve">此价格为表面沉金工艺，如客户无指定需求 可以按OSP工艺核算，价格4.88$
</t>
        </r>
      </text>
    </comment>
    <comment ref="N1599" authorId="1">
      <text>
        <r>
          <rPr>
            <sz val="9"/>
            <rFont val="宋体"/>
            <charset val="134"/>
          </rPr>
          <t xml:space="preserve">此价格为表面沉金工艺，如客户无指定需求 可以按OSP工艺核算，价格4.88$
</t>
        </r>
      </text>
    </comment>
    <comment ref="N1737" authorId="1">
      <text>
        <r>
          <rPr>
            <sz val="9"/>
            <rFont val="宋体"/>
            <charset val="134"/>
          </rPr>
          <t xml:space="preserve">此价格为表面沉金工艺，如客户无指定需求 可以按OSP工艺核算，价格4.88$
</t>
        </r>
      </text>
    </comment>
    <comment ref="N1964" authorId="1">
      <text>
        <r>
          <rPr>
            <sz val="9"/>
            <rFont val="宋体"/>
            <charset val="134"/>
          </rPr>
          <t xml:space="preserve">此价格为表面沉金工艺，如客户无指定需求 可以按OSP工艺核算，价格4.88$
</t>
        </r>
      </text>
    </comment>
    <comment ref="N2004" authorId="1">
      <text>
        <r>
          <rPr>
            <sz val="9"/>
            <rFont val="宋体"/>
            <charset val="134"/>
          </rPr>
          <t xml:space="preserve">此价格为表面沉金工艺，如客户无指定需求 可以按OSP工艺核算，价格4.88$
</t>
        </r>
      </text>
    </comment>
    <comment ref="N2030" authorId="1">
      <text>
        <r>
          <rPr>
            <sz val="9"/>
            <rFont val="宋体"/>
            <charset val="134"/>
          </rPr>
          <t xml:space="preserve">此价格为表面沉金工艺，如客户无指定需求 可以按OSP工艺核算，价格4.88$
</t>
        </r>
      </text>
    </comment>
    <comment ref="N2108" authorId="1">
      <text>
        <r>
          <rPr>
            <sz val="9"/>
            <rFont val="宋体"/>
            <charset val="134"/>
          </rPr>
          <t xml:space="preserve">此价格为表面沉金工艺，如客户无指定需求 可以按OSP工艺核算，价格4.88$
</t>
        </r>
      </text>
    </comment>
    <comment ref="N2180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N2181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N2222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N2227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N2397" authorId="1">
      <text>
        <r>
          <rPr>
            <sz val="9"/>
            <rFont val="宋体"/>
            <charset val="134"/>
          </rPr>
          <t>此bom对应的pcb成本4.81$</t>
        </r>
      </text>
    </comment>
    <comment ref="N2398" authorId="1">
      <text>
        <r>
          <rPr>
            <sz val="9"/>
            <rFont val="宋体"/>
            <charset val="134"/>
          </rPr>
          <t>此bom对应的pcb成本4.81$</t>
        </r>
      </text>
    </comment>
    <comment ref="N2497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N2551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N2552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N2583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Q2637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Q2639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N2648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N2668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N2670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N2724" authorId="1">
      <text>
        <r>
          <rPr>
            <sz val="9"/>
            <rFont val="宋体"/>
            <charset val="134"/>
          </rPr>
          <t>此bom对应的pcb成本4.81$</t>
        </r>
      </text>
    </comment>
    <comment ref="N2725" authorId="1">
      <text>
        <r>
          <rPr>
            <sz val="9"/>
            <rFont val="宋体"/>
            <charset val="134"/>
          </rPr>
          <t>此bom对应的pcb成本4.81$</t>
        </r>
      </text>
    </comment>
    <comment ref="N2752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N2753" authorId="1">
      <text>
        <r>
          <rPr>
            <sz val="9"/>
            <rFont val="宋体"/>
            <charset val="134"/>
          </rPr>
          <t>如用普通板材价格为5.05$,5.92$用联茂IT-170GRA2TC 低损耗无卤板材的报</t>
        </r>
      </text>
    </comment>
    <comment ref="N2869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N2927" authorId="1">
      <text>
        <r>
          <rPr>
            <sz val="9"/>
            <rFont val="宋体"/>
            <charset val="134"/>
          </rPr>
          <t>此bom对应的pcb成本4.86$</t>
        </r>
      </text>
    </comment>
    <comment ref="N2928" authorId="1">
      <text>
        <r>
          <rPr>
            <sz val="9"/>
            <rFont val="宋体"/>
            <charset val="134"/>
          </rPr>
          <t>此bom对应的pcb成本4.86$</t>
        </r>
      </text>
    </comment>
    <comment ref="N2929" authorId="1">
      <text>
        <r>
          <rPr>
            <sz val="9"/>
            <rFont val="宋体"/>
            <charset val="134"/>
          </rPr>
          <t>此bom对应的pcb成本4.86$</t>
        </r>
      </text>
    </comment>
    <comment ref="N2930" authorId="1">
      <text>
        <r>
          <rPr>
            <sz val="9"/>
            <rFont val="宋体"/>
            <charset val="134"/>
          </rPr>
          <t>此bom对应的pcb成本4.86$</t>
        </r>
      </text>
    </comment>
    <comment ref="N2957" authorId="1">
      <text>
        <r>
          <rPr>
            <sz val="9"/>
            <rFont val="宋体"/>
            <charset val="134"/>
          </rPr>
          <t>用联茂IT-170GRA2 低损耗无卤板材的PCB需要单独确认价格
 表面沉金工艺 价格为5.13$，如客户无指定需求 可以按OSP工艺核算，价格4.62$
;如用联茂IT-170GRA2 低损耗无卤板材的PCB需要单独确认价格</t>
        </r>
      </text>
    </comment>
    <comment ref="Q3009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N3049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N3125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  <comment ref="N3126" authorId="1">
      <text>
        <r>
          <rPr>
            <sz val="9"/>
            <rFont val="宋体"/>
            <charset val="134"/>
          </rPr>
          <t>5.03是沉金的价格，osp价格为4.64，汇率为7.25</t>
        </r>
      </text>
    </comment>
  </commentList>
</comments>
</file>

<file path=xl/comments15.xml><?xml version="1.0" encoding="utf-8"?>
<comments xmlns="http://schemas.openxmlformats.org/spreadsheetml/2006/main">
  <authors>
    <author>User</author>
  </authors>
  <commentList>
    <comment ref="N3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N4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N5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N6" authorId="0">
      <text>
        <r>
          <rPr>
            <b/>
            <sz val="9"/>
            <rFont val="宋体"/>
            <charset val="134"/>
          </rPr>
          <t>未量产，无SMT加工费核价</t>
        </r>
      </text>
    </comment>
    <comment ref="N7" authorId="0">
      <text>
        <r>
          <rPr>
            <b/>
            <sz val="9"/>
            <rFont val="宋体"/>
            <charset val="134"/>
          </rPr>
          <t>未量产，无SMT加工费核价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<sst xmlns="http://schemas.openxmlformats.org/spreadsheetml/2006/main" count="55232" uniqueCount="8521">
  <si>
    <t>币种:USD</t>
  </si>
  <si>
    <t>机型</t>
  </si>
  <si>
    <t>日期</t>
  </si>
  <si>
    <t>原汇率</t>
  </si>
  <si>
    <t>料号</t>
  </si>
  <si>
    <t>SKU</t>
  </si>
  <si>
    <t>PCB</t>
  </si>
  <si>
    <t>Others</t>
  </si>
  <si>
    <t>SMT</t>
  </si>
  <si>
    <t>TTL</t>
  </si>
  <si>
    <t>备注</t>
  </si>
  <si>
    <t>XN21S</t>
  </si>
  <si>
    <t>A.F.D.2400329-PVT</t>
  </si>
  <si>
    <t>A.F.D.2400329 RJ45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</si>
  <si>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RTL8111H</t>
    </r>
    <r>
      <rPr>
        <sz val="9"/>
        <rFont val="微软雅黑"/>
        <charset val="134"/>
      </rPr>
      <t>；含</t>
    </r>
    <r>
      <rPr>
        <sz val="9"/>
        <rFont val="Arial"/>
        <charset val="134"/>
      </rPr>
      <t>GL850G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PS8719ETQFN24GTR2-A0</t>
    </r>
  </si>
  <si>
    <t>DA1021C</t>
  </si>
  <si>
    <t>A.F.D.2500004-PVT</t>
  </si>
  <si>
    <t>A.F.D.2500004 RJ45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</si>
  <si>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RTL8111H</t>
    </r>
    <r>
      <rPr>
        <sz val="9"/>
        <rFont val="微软雅黑"/>
        <charset val="134"/>
      </rPr>
      <t>；含</t>
    </r>
    <r>
      <rPr>
        <sz val="9"/>
        <rFont val="Arial"/>
        <charset val="134"/>
      </rPr>
      <t>GL850G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RTS5170</t>
    </r>
  </si>
  <si>
    <t>XN21</t>
  </si>
  <si>
    <t>A.F.D.2300285</t>
  </si>
  <si>
    <t>A.F.D.2300285 RJ45 DB</t>
  </si>
  <si>
    <r>
      <rPr>
        <sz val="9"/>
        <color rgb="FFFF0000"/>
        <rFont val="微软雅黑"/>
        <charset val="134"/>
      </rPr>
      <t>含有</t>
    </r>
    <r>
      <rPr>
        <sz val="9"/>
        <color rgb="FFFF0000"/>
        <rFont val="Arial"/>
        <charset val="134"/>
      </rPr>
      <t>8111H</t>
    </r>
  </si>
  <si>
    <t>A.P.10001018</t>
  </si>
  <si>
    <t>A.P.10001018 RJ45 DB</t>
  </si>
  <si>
    <t>8111H</t>
  </si>
  <si>
    <t>A.F.D.2400048-MP</t>
  </si>
  <si>
    <t>A.F.D.2400048 USB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</si>
  <si>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IT66318FN</t>
    </r>
  </si>
  <si>
    <t>A.F.D.2400049-MP</t>
  </si>
  <si>
    <t>A.F.D.2400049  USB DB</t>
  </si>
  <si>
    <t>A.F.D.2400058-MP</t>
  </si>
  <si>
    <t>A.F.D.2400058 TYPEC_DB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</si>
  <si>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ALC269Q</t>
    </r>
  </si>
  <si>
    <t>A.F.D.2400080-MP</t>
  </si>
  <si>
    <t>A.F.D.2400080 TYPEC_DB</t>
  </si>
  <si>
    <t>A.F.D.2300338-MP</t>
  </si>
  <si>
    <t>A.F.D.2300338 140M_SS_TYPEC_DB</t>
  </si>
  <si>
    <t>A.F.D.2300246  140M_SS_TYPEC_DB</t>
  </si>
  <si>
    <t>AXN88</t>
  </si>
  <si>
    <t>A.F.D.2300339  140M-SS_DB</t>
  </si>
  <si>
    <t>XN25</t>
  </si>
  <si>
    <t>A.F.D.2400234-PVT</t>
  </si>
  <si>
    <t>A.F.D.2400234 TYPEC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</si>
  <si>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SN6140,</t>
    </r>
  </si>
  <si>
    <t>A.F.D.2400198-MP</t>
  </si>
  <si>
    <t>A.F.D.2400198 RJ45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</si>
  <si>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RTL8111H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ALC269Q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OZ711LV2</t>
    </r>
  </si>
  <si>
    <t>A.F.D.2400171 RJ45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</si>
  <si>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8111H;ALC269Q</t>
    </r>
  </si>
  <si>
    <t>DN50Z</t>
  </si>
  <si>
    <t>A.F.D.2300323-MP</t>
  </si>
  <si>
    <t>A.F.D.2300323 USB DB</t>
  </si>
  <si>
    <t>A.F.D.2300239-MP</t>
  </si>
  <si>
    <t>A.F.D.2300239 RJ45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</si>
  <si>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INTEL</t>
    </r>
    <r>
      <rPr>
        <sz val="9"/>
        <rFont val="微软雅黑"/>
        <charset val="134"/>
      </rPr>
      <t>网卡</t>
    </r>
    <r>
      <rPr>
        <sz val="9"/>
        <rFont val="Arial"/>
        <charset val="134"/>
      </rPr>
      <t>ic-I226LM_SRKTT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ALC269Q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FG24102SEG</t>
    </r>
    <r>
      <rPr>
        <sz val="9"/>
        <rFont val="微软雅黑"/>
        <charset val="134"/>
      </rPr>
      <t>（后期换料）</t>
    </r>
  </si>
  <si>
    <r>
      <rPr>
        <sz val="9"/>
        <rFont val="Arial"/>
        <charset val="134"/>
      </rPr>
      <t>XN50(6L+</t>
    </r>
    <r>
      <rPr>
        <sz val="9"/>
        <rFont val="宋体"/>
        <charset val="134"/>
      </rPr>
      <t>通孔+沉金）</t>
    </r>
  </si>
  <si>
    <t>A.F.D.2300240-MP</t>
  </si>
  <si>
    <t>A.F.D.2300240 RJ45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</si>
  <si>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INTEL</t>
    </r>
    <r>
      <rPr>
        <sz val="9"/>
        <rFont val="微软雅黑"/>
        <charset val="134"/>
      </rPr>
      <t>网卡</t>
    </r>
    <r>
      <rPr>
        <sz val="9"/>
        <rFont val="Arial"/>
        <charset val="134"/>
      </rPr>
      <t>ic-I226V_SRKTV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ALC269Q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FG24102SEG</t>
    </r>
    <r>
      <rPr>
        <sz val="9"/>
        <rFont val="微软雅黑"/>
        <charset val="134"/>
      </rPr>
      <t>（后期换料）</t>
    </r>
  </si>
  <si>
    <t>2025 0226</t>
  </si>
  <si>
    <t>A.F.D.2300324-MP</t>
  </si>
  <si>
    <t>A.F.D.2300324 USB DB</t>
  </si>
  <si>
    <t>ALC269Q</t>
  </si>
  <si>
    <t>A.P.10001155  140HC_YD_DB</t>
  </si>
  <si>
    <t>A.P.10001028 RJ45 DB</t>
  </si>
  <si>
    <r>
      <rPr>
        <sz val="9"/>
        <rFont val="Arial"/>
        <charset val="134"/>
      </rPr>
      <t>I219V</t>
    </r>
    <r>
      <rPr>
        <sz val="9"/>
        <rFont val="微软雅黑"/>
        <charset val="134"/>
      </rPr>
      <t>，</t>
    </r>
    <r>
      <rPr>
        <sz val="9"/>
        <rFont val="Arial"/>
        <charset val="134"/>
      </rPr>
      <t>ALC269</t>
    </r>
  </si>
  <si>
    <t>A.P.10001065 4G USB DB</t>
  </si>
  <si>
    <t>A.F.D.2300380-PVT</t>
  </si>
  <si>
    <t>A.F.D.2300380 USB  DB</t>
  </si>
  <si>
    <t>ALC269Q-VC3-GR;PS8719ETQFN24GTR2;RTS5170-GR</t>
  </si>
  <si>
    <t>A.P.10001066</t>
  </si>
  <si>
    <t>A.P.10001066 AUDIO DB</t>
  </si>
  <si>
    <r>
      <rPr>
        <sz val="9"/>
        <rFont val="微软雅黑"/>
        <charset val="134"/>
      </rPr>
      <t>含在主板</t>
    </r>
    <r>
      <rPr>
        <sz val="9"/>
        <rFont val="Arial"/>
        <charset val="134"/>
      </rPr>
      <t>BOM</t>
    </r>
    <r>
      <rPr>
        <sz val="9"/>
        <rFont val="微软雅黑"/>
        <charset val="134"/>
      </rPr>
      <t>里面的</t>
    </r>
    <r>
      <rPr>
        <sz val="9"/>
        <rFont val="Arial"/>
        <charset val="134"/>
      </rPr>
      <t xml:space="preserve"> </t>
    </r>
    <r>
      <rPr>
        <sz val="9"/>
        <rFont val="微软雅黑"/>
        <charset val="134"/>
      </rPr>
      <t>需合计</t>
    </r>
  </si>
  <si>
    <t>A.F.D.2300201-MP</t>
  </si>
  <si>
    <t>A.F.D.2300201 AUDIO DB</t>
  </si>
  <si>
    <r>
      <rPr>
        <sz val="9"/>
        <rFont val="Arial"/>
        <charset val="134"/>
      </rPr>
      <t>SN6140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RTS5170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PS8719ETQFN24GTR2-A0</t>
    </r>
  </si>
  <si>
    <t>A.F.D.2500222-PVT</t>
  </si>
  <si>
    <t>A.F.D.2500222 RJ45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</si>
  <si>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8111H</t>
    </r>
    <r>
      <rPr>
        <sz val="9"/>
        <rFont val="微软雅黑"/>
        <charset val="134"/>
      </rPr>
      <t>、</t>
    </r>
    <r>
      <rPr>
        <sz val="9"/>
        <rFont val="Arial"/>
        <charset val="134"/>
      </rPr>
      <t>ALC269Q</t>
    </r>
  </si>
  <si>
    <t>A.F.D.2400221-EVT</t>
  </si>
  <si>
    <t>A.F.D.2400221 RJ45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</si>
  <si>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8111H</t>
    </r>
  </si>
  <si>
    <t>DA1059E</t>
  </si>
  <si>
    <t>A.F.D.2300379 RJ45 DB</t>
  </si>
  <si>
    <t>MTNTU146L</t>
  </si>
  <si>
    <t>A.F.D.2600043</t>
  </si>
  <si>
    <t>MTNTU146L USB DB</t>
  </si>
  <si>
    <t>ALC269Q-VC3-GR,,RTL8111H-CG</t>
  </si>
  <si>
    <t>A.P.10000661-MP</t>
  </si>
  <si>
    <t>A.P.10000661 USB DB</t>
  </si>
  <si>
    <t>A.F.D.2300010</t>
  </si>
  <si>
    <t>A.F.D.2300185 DP13_133M_5G_DB</t>
  </si>
  <si>
    <t>A.F.D.2300065  133M_DB</t>
  </si>
  <si>
    <t>A.P.10001140  133H-LHCX-IO_DB</t>
  </si>
  <si>
    <t>A.P.10001141  133H-LHCX-LCD_DB</t>
  </si>
  <si>
    <t>A.F.D.2500084-MP</t>
  </si>
  <si>
    <t>A.F.D.2500084  Hall  DB</t>
  </si>
  <si>
    <t>A.F.D.2300276  USB DB</t>
  </si>
  <si>
    <t>A.F.D.2400033  IO_DB</t>
  </si>
  <si>
    <t>DNNTU</t>
  </si>
  <si>
    <t>A.F.D.2500126-PVT</t>
  </si>
  <si>
    <t>A.F.D.2500126 USB DB</t>
  </si>
  <si>
    <t>ALC269Q;RTS5170</t>
  </si>
  <si>
    <r>
      <rPr>
        <sz val="9"/>
        <rFont val="Arial"/>
        <charset val="134"/>
      </rPr>
      <t>MTNTU146(4L+</t>
    </r>
    <r>
      <rPr>
        <sz val="9"/>
        <rFont val="宋体"/>
        <charset val="134"/>
      </rPr>
      <t>通孔</t>
    </r>
    <r>
      <rPr>
        <sz val="9"/>
        <rFont val="Arial"/>
        <charset val="134"/>
      </rPr>
      <t>+OSP)</t>
    </r>
  </si>
  <si>
    <t>A.F.D.2500127-PVT</t>
  </si>
  <si>
    <t>A.F.D.2500127 RJ45 DB</t>
  </si>
  <si>
    <t>MTNTU146</t>
  </si>
  <si>
    <t>A.F.D.2500130-PVT</t>
  </si>
  <si>
    <t>A.F.D.2500130 RJ45 DB</t>
  </si>
  <si>
    <t>ALC269Q;RTL8111H;SY6280AAC;RTS5170</t>
  </si>
  <si>
    <t>A.F.D.2500073-EVT</t>
  </si>
  <si>
    <t>A.F.D.2500073  RJ45 DB</t>
  </si>
  <si>
    <t>ALC269Q;RTL8111H;SY6280AAC</t>
  </si>
  <si>
    <t>A.F.D.2500071-EVT</t>
  </si>
  <si>
    <t>A.F.D.2500071 USB DB</t>
  </si>
  <si>
    <t>A.F.D.2500072-EVT</t>
  </si>
  <si>
    <t>A.F.D.2500072 RJ45 DB</t>
  </si>
  <si>
    <t>ALC269Q;RTL8111H</t>
  </si>
  <si>
    <t>A.F.D.2600009 RJ45 DB</t>
  </si>
  <si>
    <t>A.F.D.2300079  156H_SCD_DB</t>
  </si>
  <si>
    <t>A.F.D.2300189  156H-SCD_DB</t>
  </si>
  <si>
    <t>A.F.D.2300172 RJ45 DB</t>
  </si>
  <si>
    <t>A.F.D.2300289  RJ45 DB</t>
  </si>
  <si>
    <r>
      <rPr>
        <sz val="9"/>
        <rFont val="Arial"/>
        <charset val="134"/>
      </rPr>
      <t>8111H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USBHUB</t>
    </r>
  </si>
  <si>
    <t>A.F.D.2300251  USB DB</t>
  </si>
  <si>
    <t>A.F.D.2300197-MP</t>
  </si>
  <si>
    <t>A.F.D.2300197 LED DB</t>
  </si>
  <si>
    <t>A.F.D.2300243-PVT</t>
  </si>
  <si>
    <t>A.F.D.2300243 RJ45 DB</t>
  </si>
  <si>
    <r>
      <rPr>
        <sz val="9"/>
        <rFont val="Arial"/>
        <charset val="134"/>
      </rPr>
      <t>8111H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GL3510</t>
    </r>
  </si>
  <si>
    <t>A.F.D.2400261-MP</t>
  </si>
  <si>
    <t>A.F.D.2400261  RJ45 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</si>
  <si>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8111H,GL850G,GL3510</t>
    </r>
  </si>
  <si>
    <t>A.F.D.2400266-MP</t>
  </si>
  <si>
    <t>A.F.D.2400266  RJ45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</si>
  <si>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8111H</t>
    </r>
    <r>
      <rPr>
        <sz val="9"/>
        <rFont val="微软雅黑"/>
        <charset val="134"/>
      </rPr>
      <t>、</t>
    </r>
    <r>
      <rPr>
        <sz val="9"/>
        <rFont val="Arial"/>
        <charset val="134"/>
      </rPr>
      <t>GL3510,</t>
    </r>
    <r>
      <rPr>
        <sz val="9"/>
        <rFont val="微软雅黑"/>
        <charset val="134"/>
      </rPr>
      <t>含</t>
    </r>
    <r>
      <rPr>
        <sz val="9"/>
        <rFont val="Arial"/>
        <charset val="134"/>
      </rPr>
      <t>109010782</t>
    </r>
    <r>
      <rPr>
        <sz val="9"/>
        <rFont val="微软雅黑"/>
        <charset val="134"/>
      </rPr>
      <t>连接器</t>
    </r>
  </si>
  <si>
    <t>A.F.D.2400263-PVT</t>
  </si>
  <si>
    <t>A.F.D.2400263 RJ45 DB</t>
  </si>
  <si>
    <t>A.F.D.2400270-EVT</t>
  </si>
  <si>
    <t>A.F.D.2400270  RJ45 DB</t>
  </si>
  <si>
    <t>A.F.D.2400322-EVT</t>
  </si>
  <si>
    <t>A.F.D.2400322 RJ45 DB</t>
  </si>
  <si>
    <t>RTL8111H;GL850G</t>
  </si>
  <si>
    <t>A.F.D.2400364-PVT</t>
  </si>
  <si>
    <t>A.F.D.2400364 RJ45 DB</t>
  </si>
  <si>
    <t>GL850G;RTS5170</t>
  </si>
  <si>
    <t>A.F.D.2400366-MP</t>
  </si>
  <si>
    <t>A.F.D.2400366 LED  DB</t>
  </si>
  <si>
    <t>WF32</t>
  </si>
  <si>
    <t>A.F.D.2500101-PVT</t>
  </si>
  <si>
    <t>A.F.D.2500101 RJ45 DB</t>
  </si>
  <si>
    <t>RTL8111H;GL850G;RTS5170</t>
  </si>
  <si>
    <t>A.F.D.2500028-MP</t>
  </si>
  <si>
    <t>A.F.D.2500028 RJ45 DB</t>
  </si>
  <si>
    <t>RTL8111H;GL3510</t>
  </si>
  <si>
    <t>A.F.D.2400362-MP</t>
  </si>
  <si>
    <t>A.F.D.2400362 RJ45 DB</t>
  </si>
  <si>
    <t>RTL8111H-CG;GL3510-OSY52</t>
  </si>
  <si>
    <t>A.F.D.2400062-PVT</t>
  </si>
  <si>
    <t>A.F.D.2400062 RJ45 DB</t>
  </si>
  <si>
    <t>A.F.D.2400034-PVT</t>
  </si>
  <si>
    <t>A.F.D.2400034 LED  DB</t>
  </si>
  <si>
    <t>A.F.D.2400115-MP</t>
  </si>
  <si>
    <t>A.F.D.2400115 RJ45 DB</t>
  </si>
  <si>
    <r>
      <rPr>
        <sz val="9"/>
        <rFont val="微软雅黑"/>
        <charset val="134"/>
      </rPr>
      <t>含有英特尔雷电</t>
    </r>
    <r>
      <rPr>
        <sz val="9"/>
        <rFont val="Arial"/>
        <charset val="134"/>
      </rPr>
      <t>IC*1pcs;GL3510</t>
    </r>
  </si>
  <si>
    <t>A.F.D.2500138-PVT</t>
  </si>
  <si>
    <t>A.F.D.2500138 RJ45 DB</t>
  </si>
  <si>
    <t>GL850G;RTS5170;RTL8111H</t>
  </si>
  <si>
    <t>A.F.D.2400289-MP</t>
  </si>
  <si>
    <t>A.F.D.2400289 RJ45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</si>
  <si>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8111H</t>
    </r>
  </si>
  <si>
    <t>A.F.D.2400154-MP</t>
  </si>
  <si>
    <t>A.F.D.2400154 RJ45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</si>
  <si>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8111H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GL3510;RTS5170</t>
    </r>
  </si>
  <si>
    <t>A.F.D.2400113-EVT</t>
  </si>
  <si>
    <t>A.F.D.2400113 RJ45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</si>
  <si>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 xml:space="preserve">8111H, </t>
    </r>
    <r>
      <rPr>
        <sz val="9"/>
        <rFont val="微软雅黑"/>
        <charset val="134"/>
      </rPr>
      <t>含</t>
    </r>
    <r>
      <rPr>
        <sz val="9"/>
        <rFont val="Arial"/>
        <charset val="134"/>
      </rPr>
      <t>PCB312</t>
    </r>
    <r>
      <rPr>
        <sz val="9"/>
        <rFont val="宋体"/>
        <charset val="134"/>
      </rPr>
      <t>套工程费</t>
    </r>
    <r>
      <rPr>
        <sz val="9"/>
        <rFont val="微软雅黑"/>
        <charset val="134"/>
      </rPr>
      <t>2000元</t>
    </r>
  </si>
  <si>
    <t>A.P.10000577-583 DB</t>
  </si>
  <si>
    <t>A.P.10000586 156M_DB_POWER</t>
  </si>
  <si>
    <r>
      <rPr>
        <sz val="9"/>
        <rFont val="微软雅黑"/>
        <charset val="134"/>
      </rPr>
      <t>不含两个</t>
    </r>
    <r>
      <rPr>
        <sz val="9"/>
        <rFont val="Arial"/>
        <charset val="134"/>
      </rPr>
      <t>DC-DC</t>
    </r>
    <r>
      <rPr>
        <sz val="9"/>
        <rFont val="微软雅黑"/>
        <charset val="134"/>
      </rPr>
      <t>电源模块的成本</t>
    </r>
  </si>
  <si>
    <t>A.F.D.2400334-PVT</t>
  </si>
  <si>
    <t>A.F.D.2400334 AUDIO 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</si>
  <si>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ALC269Q</t>
    </r>
  </si>
  <si>
    <t>A.F.D.2400308-PVT</t>
  </si>
  <si>
    <t>A.F.D.2400308 AUDIO DB</t>
  </si>
  <si>
    <t>ALC269Q-VC3-GR</t>
  </si>
  <si>
    <t>A.F.D.2400297-PVT</t>
  </si>
  <si>
    <t>A.F.D.2400297   USB 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</si>
  <si>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ALC269Q;SY6863B3ABC</t>
    </r>
  </si>
  <si>
    <t>A.F.D.2500020-PVT</t>
  </si>
  <si>
    <t>A.F.D.2500020 Audio DB</t>
  </si>
  <si>
    <t>A.F.D.2400022-EVT</t>
  </si>
  <si>
    <t>A.F.D.2400022 TYPEC_DB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</si>
  <si>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ALC269Q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GL3510</t>
    </r>
  </si>
  <si>
    <t>A.F.D.2400255-PVT</t>
  </si>
  <si>
    <t>A.F.D.2400255  USB DB</t>
  </si>
  <si>
    <t>SN6140</t>
  </si>
  <si>
    <t>A.F.D.2400069-MP</t>
  </si>
  <si>
    <t>A.F.D.2400069 USB DB</t>
  </si>
  <si>
    <t>A.F.D.2400208-PVT</t>
  </si>
  <si>
    <t>A.F.D.2400208  Audio DB</t>
  </si>
  <si>
    <t>A.F.D.2400236-EVT</t>
  </si>
  <si>
    <t>A.F.D.2400236  Audio DB</t>
  </si>
  <si>
    <t>A.F.D.2500057-PVT</t>
  </si>
  <si>
    <t>A.F.D.2500057 AUDIO DB</t>
  </si>
  <si>
    <t>A.F.D.2500109-PVT</t>
  </si>
  <si>
    <t>A.F.D.2500109 DC DB</t>
  </si>
  <si>
    <t>MP3367GR-Z</t>
  </si>
  <si>
    <t>A.F.D.2500076-MP</t>
  </si>
  <si>
    <t>A.F.D.2500076 AUDIO DB</t>
  </si>
  <si>
    <t>A.F.D.2500139-EVT</t>
  </si>
  <si>
    <t>A.F.D.2500139 Audio DB</t>
  </si>
  <si>
    <t>ALC269Q;GL3510</t>
  </si>
  <si>
    <t>A.F.D.2500140-EVT</t>
  </si>
  <si>
    <t>A.F.D.2500140 Audio DB</t>
  </si>
  <si>
    <t>A.F.D.2400360-EVT</t>
  </si>
  <si>
    <t>A.F.D.2400360 USB DB</t>
  </si>
  <si>
    <t>A.F.D.2500572</t>
  </si>
  <si>
    <t>A.F.D.2500572 USB DB</t>
  </si>
  <si>
    <r>
      <rPr>
        <sz val="9"/>
        <rFont val="Arial"/>
        <charset val="134"/>
      </rPr>
      <t>ALC269Q</t>
    </r>
    <r>
      <rPr>
        <sz val="9"/>
        <rFont val="宋体"/>
        <charset val="134"/>
      </rPr>
      <t>，</t>
    </r>
    <r>
      <rPr>
        <sz val="9"/>
        <rFont val="Arial"/>
        <charset val="134"/>
      </rPr>
      <t>PCB</t>
    </r>
    <r>
      <rPr>
        <sz val="9"/>
        <rFont val="宋体"/>
        <charset val="134"/>
      </rPr>
      <t>无卤</t>
    </r>
  </si>
  <si>
    <t>A.F.D.2500153-PVT</t>
  </si>
  <si>
    <t>A.F.D.2500153 AUDIO DB</t>
  </si>
  <si>
    <t>A.F.D.2400241-PVT</t>
  </si>
  <si>
    <t xml:space="preserve">A.F.D.2400241  Audio DB </t>
  </si>
  <si>
    <t>XN50</t>
  </si>
  <si>
    <t>A.F.D.2300011</t>
  </si>
  <si>
    <t>A.F.D.2300011 RJ45 DB</t>
  </si>
  <si>
    <t>A.P.10001030</t>
  </si>
  <si>
    <t>A.P.10001030 RJ45 DB</t>
  </si>
  <si>
    <t>A.F.D.2500137-MP</t>
  </si>
  <si>
    <t>A.F.D.2500137 RJ45 DB</t>
  </si>
  <si>
    <t>ALC269Q;8111H;BH760FJ2LN-B1-0-TR</t>
  </si>
  <si>
    <t>A.F.D.2300295</t>
  </si>
  <si>
    <t>A.F.D.2300295 RJ45 DB</t>
  </si>
  <si>
    <t>8111H;BH760FJ2LN-B1-0-TR</t>
  </si>
  <si>
    <t>XN79</t>
  </si>
  <si>
    <t>A.F.D.2400128-EVT</t>
  </si>
  <si>
    <t>A.F.D.2400128 USB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</si>
  <si>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SN6140</t>
    </r>
  </si>
  <si>
    <t>A.F.D.2400139-PVT</t>
  </si>
  <si>
    <t>A.F.D.2400139  USB  DB</t>
  </si>
  <si>
    <t>A.F.D.2400156-EVT/ARA1079</t>
  </si>
  <si>
    <t>A.F.D.2400156 USB DB</t>
  </si>
  <si>
    <t>GL3510-OSY50;PS8719ETQFN24GTR2-A0</t>
  </si>
  <si>
    <t>A.F.D.2400282-EVT</t>
  </si>
  <si>
    <t>A.F.D.2400282    USB 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</si>
  <si>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 xml:space="preserve">intel </t>
    </r>
    <r>
      <rPr>
        <sz val="9"/>
        <rFont val="微软雅黑"/>
        <charset val="134"/>
      </rPr>
      <t>网卡</t>
    </r>
    <r>
      <rPr>
        <sz val="9"/>
        <rFont val="Arial"/>
        <charset val="134"/>
      </rPr>
      <t>ic-WGI219LM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ALC269Q</t>
    </r>
  </si>
  <si>
    <t>A.F.D.2400286-EVT</t>
  </si>
  <si>
    <t>A.F.D.2400286   USB  DB</t>
  </si>
  <si>
    <t>A.F.D.2400284-EVT</t>
  </si>
  <si>
    <t>A.F.D.2400284  RJ45 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</si>
  <si>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SN6140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8111H</t>
    </r>
  </si>
  <si>
    <t>A.F.D.2400278-EVT</t>
  </si>
  <si>
    <t>A.F.D.2400278  USB  DB</t>
  </si>
  <si>
    <t>A.F.D.2400251-PVT</t>
  </si>
  <si>
    <t>A.F.D.2400251  USB  DB</t>
  </si>
  <si>
    <t>SN6140;GL850G;PS8719ETQFN24GTR2-A0;RTS5170-GR</t>
  </si>
  <si>
    <t>A.F.D.2500016-EVT</t>
  </si>
  <si>
    <t>A.F.D.2500016 RJ45 DB</t>
  </si>
  <si>
    <t>RTL8111H;ALC269Q</t>
  </si>
  <si>
    <t>A.F.D.2500042-MP</t>
  </si>
  <si>
    <t>A.F.D.2500042 RJ45 DB</t>
  </si>
  <si>
    <t>A.F.D.2500018-EVT</t>
  </si>
  <si>
    <t>A.F.D.2500018 USB  DB</t>
  </si>
  <si>
    <t>A.F.D.2500041-MP</t>
  </si>
  <si>
    <t>A.F.D.2500041 USB  DB</t>
  </si>
  <si>
    <t>A.F.D.2400250-PVT</t>
  </si>
  <si>
    <t>A.F.D.2400250  AUDIO DB</t>
  </si>
  <si>
    <t>A.F.D.2400367-MP</t>
  </si>
  <si>
    <t>A.F.D.2400367 RJ45 DB</t>
  </si>
  <si>
    <t>SN6140;RTL8111H</t>
  </si>
  <si>
    <t>MTP13(10L+OSP+通孔)</t>
  </si>
  <si>
    <t>A.F.D.2500132-EVT</t>
  </si>
  <si>
    <t>A.F.D.2500132 RJ45 DB</t>
  </si>
  <si>
    <t>ALC269QN;RTL8111H;PS8719ETQFN24GTR2-A0</t>
  </si>
  <si>
    <t>A.F.D.2500160-EVT</t>
  </si>
  <si>
    <t>A.F.D.2500160 AUDIO DB</t>
  </si>
  <si>
    <t>ALC269Q;PS8719ETQFN24GTR2-A0;RTS5170</t>
  </si>
  <si>
    <t>A.F.D.2500161-EVT</t>
  </si>
  <si>
    <t>A.F.D.2500161 RJ45 DB</t>
  </si>
  <si>
    <t>ALC269Q;RTL8111H;PS8719ETQFN24GTR2</t>
  </si>
  <si>
    <t>A.F.D.2500117-EVT</t>
  </si>
  <si>
    <t>A.F.D.2500117 RJ45 DB</t>
  </si>
  <si>
    <t>A.F.D.2500216-PVT</t>
  </si>
  <si>
    <t>A.F.D.2500216 RJ45 DB</t>
  </si>
  <si>
    <t>ALC269QN;RTL8111H</t>
  </si>
  <si>
    <t>A.F.D.2500215-PVT</t>
  </si>
  <si>
    <t>A.F.D.2500215 RJ45 DB</t>
  </si>
  <si>
    <t>A.F.D.2500036-EVT</t>
  </si>
  <si>
    <t>A.F.D.2500036  AUDIO DB</t>
  </si>
  <si>
    <t>A.F.D.2400324-PVT</t>
  </si>
  <si>
    <t>A.F.D.2400324   USB  DB</t>
  </si>
  <si>
    <t>DA1079</t>
  </si>
  <si>
    <t>A.F.D.2500177-MP</t>
  </si>
  <si>
    <t>A.F.D.2500177 RJ45 DB</t>
  </si>
  <si>
    <t>A.F.D.2500178-MP</t>
  </si>
  <si>
    <t>A.F.D.2500178 RJ45 DB</t>
  </si>
  <si>
    <t>XN792</t>
  </si>
  <si>
    <t>A.F.D.2500074-EVT</t>
  </si>
  <si>
    <t>A.F.D.2500074 RJ45 DB</t>
  </si>
  <si>
    <t>A.F.D.2500115-EVT</t>
  </si>
  <si>
    <t>A.F.D.2500115 RJ45 DB</t>
  </si>
  <si>
    <t>A.F.D.2500116-EVT</t>
  </si>
  <si>
    <t>A.F.D.2500116 AUDIO DB</t>
  </si>
  <si>
    <t>ALC269Q;PS8719ETQFN24GTR2-A0</t>
  </si>
  <si>
    <t>A.F.D.2500075-EVT</t>
  </si>
  <si>
    <t>A.F.D.2500075 USB DB</t>
  </si>
  <si>
    <t>PS8719ETQFN24GTR2-A0;ALC269Q</t>
  </si>
  <si>
    <t>DN50F</t>
  </si>
  <si>
    <t>A.F.D.2300211-MP</t>
  </si>
  <si>
    <t>A.F.D.2300211 RJ45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</si>
  <si>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Intel</t>
    </r>
    <r>
      <rPr>
        <sz val="9"/>
        <rFont val="微软雅黑"/>
        <charset val="134"/>
      </rPr>
      <t>网络</t>
    </r>
    <r>
      <rPr>
        <sz val="9"/>
        <rFont val="Arial"/>
        <charset val="134"/>
      </rPr>
      <t>WGI219V</t>
    </r>
    <r>
      <rPr>
        <sz val="9"/>
        <rFont val="微软雅黑"/>
        <charset val="134"/>
      </rPr>
      <t>；含有</t>
    </r>
    <r>
      <rPr>
        <sz val="9"/>
        <rFont val="Arial"/>
        <charset val="134"/>
      </rPr>
      <t>USB3.0 Redriver IC;</t>
    </r>
  </si>
  <si>
    <t>DN50</t>
  </si>
  <si>
    <t>A.F.D.2300210-MP</t>
  </si>
  <si>
    <t>A.F.D.2300210 USB DB</t>
  </si>
  <si>
    <r>
      <rPr>
        <sz val="9"/>
        <rFont val="微软雅黑"/>
        <charset val="134"/>
      </rPr>
      <t>含有英特尔网络</t>
    </r>
    <r>
      <rPr>
        <sz val="9"/>
        <rFont val="Arial"/>
        <charset val="134"/>
      </rPr>
      <t>IC  WGI219LM;</t>
    </r>
    <r>
      <rPr>
        <sz val="9"/>
        <rFont val="微软雅黑"/>
        <charset val="134"/>
      </rPr>
      <t>含有</t>
    </r>
    <r>
      <rPr>
        <sz val="9"/>
        <rFont val="Arial"/>
        <charset val="134"/>
      </rPr>
      <t xml:space="preserve"> ALC269Q</t>
    </r>
  </si>
  <si>
    <t>A.P.10001029-MP</t>
  </si>
  <si>
    <t>A.P.10001029 RJ45 DB</t>
  </si>
  <si>
    <r>
      <rPr>
        <sz val="9"/>
        <rFont val="Arial"/>
        <charset val="134"/>
      </rPr>
      <t>I219LM(Vpro)</t>
    </r>
    <r>
      <rPr>
        <sz val="9"/>
        <rFont val="微软雅黑"/>
        <charset val="134"/>
      </rPr>
      <t>，</t>
    </r>
    <r>
      <rPr>
        <sz val="9"/>
        <rFont val="Arial"/>
        <charset val="134"/>
      </rPr>
      <t>ALC269</t>
    </r>
  </si>
  <si>
    <r>
      <rPr>
        <sz val="9"/>
        <rFont val="Arial"/>
        <charset val="134"/>
      </rPr>
      <t>I225V</t>
    </r>
    <r>
      <rPr>
        <sz val="9"/>
        <rFont val="微软雅黑"/>
        <charset val="134"/>
      </rPr>
      <t>，</t>
    </r>
    <r>
      <rPr>
        <sz val="9"/>
        <rFont val="Arial"/>
        <charset val="134"/>
      </rPr>
      <t>ALC269</t>
    </r>
  </si>
  <si>
    <t>A.P.10001031 RJ45 DB</t>
  </si>
  <si>
    <r>
      <rPr>
        <sz val="9"/>
        <rFont val="Arial"/>
        <charset val="134"/>
      </rPr>
      <t>I225LM(Vpro)</t>
    </r>
    <r>
      <rPr>
        <sz val="9"/>
        <rFont val="微软雅黑"/>
        <charset val="134"/>
      </rPr>
      <t>，</t>
    </r>
    <r>
      <rPr>
        <sz val="9"/>
        <rFont val="Arial"/>
        <charset val="134"/>
      </rPr>
      <t>ALC269</t>
    </r>
  </si>
  <si>
    <t>A.P.10000962 RJ45 DB</t>
  </si>
  <si>
    <t>A.P.10000961 RJ45 DB</t>
  </si>
  <si>
    <t>A.P.10000964 RJ45 DB</t>
  </si>
  <si>
    <t>A.P.10000963 RJ45 DB</t>
  </si>
  <si>
    <t>A.P.10000931 RJ45 DB</t>
  </si>
  <si>
    <r>
      <rPr>
        <sz val="9"/>
        <rFont val="Arial"/>
        <charset val="134"/>
      </rPr>
      <t>I219LM(Vpro)</t>
    </r>
    <r>
      <rPr>
        <sz val="9"/>
        <rFont val="微软雅黑"/>
        <charset val="134"/>
      </rPr>
      <t>，</t>
    </r>
    <r>
      <rPr>
        <sz val="9"/>
        <rFont val="Arial"/>
        <charset val="134"/>
      </rPr>
      <t>USBHUB 3.0</t>
    </r>
  </si>
  <si>
    <t>A.P.10000900 RJ45 DB</t>
  </si>
  <si>
    <r>
      <rPr>
        <sz val="9"/>
        <rFont val="Arial"/>
        <charset val="134"/>
      </rPr>
      <t>I219V</t>
    </r>
    <r>
      <rPr>
        <sz val="9"/>
        <rFont val="微软雅黑"/>
        <charset val="134"/>
      </rPr>
      <t>，</t>
    </r>
    <r>
      <rPr>
        <sz val="9"/>
        <rFont val="Arial"/>
        <charset val="134"/>
      </rPr>
      <t>USBHUB 3.0</t>
    </r>
  </si>
  <si>
    <t>A.P.10000901 RJ45 DB</t>
  </si>
  <si>
    <t>A.P.10000902 RJ45 DB</t>
  </si>
  <si>
    <r>
      <rPr>
        <sz val="9"/>
        <rFont val="Arial"/>
        <charset val="134"/>
      </rPr>
      <t>I219LM(Vpro)</t>
    </r>
    <r>
      <rPr>
        <sz val="9"/>
        <rFont val="微软雅黑"/>
        <charset val="134"/>
      </rPr>
      <t>，</t>
    </r>
    <r>
      <rPr>
        <sz val="9"/>
        <rFont val="Arial"/>
        <charset val="134"/>
      </rPr>
      <t>USBHUB 3.1</t>
    </r>
  </si>
  <si>
    <t>A.P.10000903 RJ45 DB</t>
  </si>
  <si>
    <r>
      <rPr>
        <sz val="9"/>
        <rFont val="Arial"/>
        <charset val="134"/>
      </rPr>
      <t>I225V</t>
    </r>
    <r>
      <rPr>
        <sz val="9"/>
        <rFont val="微软雅黑"/>
        <charset val="134"/>
      </rPr>
      <t>，</t>
    </r>
    <r>
      <rPr>
        <sz val="9"/>
        <rFont val="Arial"/>
        <charset val="134"/>
      </rPr>
      <t>USBHUB 3.0</t>
    </r>
  </si>
  <si>
    <t>A.P.10000904 RJ45 DB</t>
  </si>
  <si>
    <r>
      <rPr>
        <sz val="9"/>
        <rFont val="Arial"/>
        <charset val="134"/>
      </rPr>
      <t>I225LM(Vpro)</t>
    </r>
    <r>
      <rPr>
        <sz val="9"/>
        <rFont val="微软雅黑"/>
        <charset val="134"/>
      </rPr>
      <t>，</t>
    </r>
    <r>
      <rPr>
        <sz val="9"/>
        <rFont val="Arial"/>
        <charset val="134"/>
      </rPr>
      <t>USBHUB 3.0</t>
    </r>
  </si>
  <si>
    <t>A.P.10000905 RJ45 DB</t>
  </si>
  <si>
    <r>
      <rPr>
        <sz val="9"/>
        <rFont val="Arial"/>
        <charset val="134"/>
      </rPr>
      <t>I225LM(Vpro)</t>
    </r>
    <r>
      <rPr>
        <sz val="9"/>
        <rFont val="微软雅黑"/>
        <charset val="134"/>
      </rPr>
      <t>，</t>
    </r>
    <r>
      <rPr>
        <sz val="9"/>
        <rFont val="Arial"/>
        <charset val="134"/>
      </rPr>
      <t>USBHUB 3.1</t>
    </r>
  </si>
  <si>
    <t>A.P.10000898 RJ45 DB</t>
  </si>
  <si>
    <r>
      <rPr>
        <sz val="9"/>
        <rFont val="Arial"/>
        <charset val="134"/>
      </rPr>
      <t>I219V</t>
    </r>
    <r>
      <rPr>
        <sz val="9"/>
        <rFont val="微软雅黑"/>
        <charset val="134"/>
      </rPr>
      <t>，</t>
    </r>
    <r>
      <rPr>
        <sz val="9"/>
        <rFont val="Arial"/>
        <charset val="134"/>
      </rPr>
      <t>USBHUB 3.1</t>
    </r>
  </si>
  <si>
    <t>A.P.10000899 RJ45 DB</t>
  </si>
  <si>
    <r>
      <rPr>
        <sz val="9"/>
        <rFont val="Arial"/>
        <charset val="134"/>
      </rPr>
      <t>I225V</t>
    </r>
    <r>
      <rPr>
        <sz val="9"/>
        <rFont val="微软雅黑"/>
        <charset val="134"/>
      </rPr>
      <t>，</t>
    </r>
    <r>
      <rPr>
        <sz val="9"/>
        <rFont val="Arial"/>
        <charset val="134"/>
      </rPr>
      <t>USBHUB 3.1</t>
    </r>
  </si>
  <si>
    <t>A.P.10000861 RJ45 DB</t>
  </si>
  <si>
    <t>A.P.10000860 RJ45 DB</t>
  </si>
  <si>
    <t>I219V</t>
  </si>
  <si>
    <t>A.F.D.2600028</t>
  </si>
  <si>
    <t>A.F.D.2600028 TYPE-C_DB</t>
  </si>
  <si>
    <r>
      <rPr>
        <sz val="9"/>
        <rFont val="Arial"/>
        <charset val="134"/>
      </rPr>
      <t>200</t>
    </r>
    <r>
      <rPr>
        <sz val="9"/>
        <rFont val="宋体"/>
        <charset val="134"/>
      </rPr>
      <t>套价格，价格有效期</t>
    </r>
    <r>
      <rPr>
        <sz val="9"/>
        <rFont val="Arial"/>
        <charset val="134"/>
      </rPr>
      <t>8-21</t>
    </r>
    <r>
      <rPr>
        <sz val="9"/>
        <rFont val="宋体"/>
        <charset val="134"/>
      </rPr>
      <t>日内</t>
    </r>
  </si>
  <si>
    <t>MTN50</t>
  </si>
  <si>
    <t>A.F.D.2500135-PVT</t>
  </si>
  <si>
    <t>A.F.D.2500135 RJ45 DB</t>
  </si>
  <si>
    <t>ALC269Q;BH760FJ2LN-B1-0-TR;RTL8111H</t>
  </si>
  <si>
    <t>A.F.D.2400264-PR</t>
  </si>
  <si>
    <t>A.F.D.2400264-RJ45 DB</t>
  </si>
  <si>
    <r>
      <rPr>
        <sz val="9"/>
        <rFont val="微软雅黑"/>
        <charset val="134"/>
      </rPr>
      <t>含有英特尔</t>
    </r>
    <r>
      <rPr>
        <sz val="9"/>
        <rFont val="Arial"/>
        <charset val="134"/>
      </rPr>
      <t xml:space="preserve">WGI219V; </t>
    </r>
    <r>
      <rPr>
        <sz val="9"/>
        <rFont val="微软雅黑"/>
        <charset val="134"/>
      </rPr>
      <t>含有</t>
    </r>
    <r>
      <rPr>
        <sz val="9"/>
        <rFont val="Arial"/>
        <charset val="134"/>
      </rPr>
      <t>ALC233</t>
    </r>
  </si>
  <si>
    <t>A.F.D.2400265-PR</t>
  </si>
  <si>
    <t>A.F.D.2400265-RJ45 DB</t>
  </si>
  <si>
    <r>
      <rPr>
        <sz val="9"/>
        <rFont val="Arial"/>
        <charset val="134"/>
      </rPr>
      <t>IC</t>
    </r>
    <r>
      <rPr>
        <sz val="9"/>
        <rFont val="微软雅黑"/>
        <charset val="134"/>
      </rPr>
      <t>含有英特尔</t>
    </r>
    <r>
      <rPr>
        <sz val="9"/>
        <rFont val="Arial"/>
        <charset val="134"/>
      </rPr>
      <t xml:space="preserve"> WGI219LM; </t>
    </r>
    <r>
      <rPr>
        <sz val="9"/>
        <rFont val="微软雅黑"/>
        <charset val="134"/>
      </rPr>
      <t>含有</t>
    </r>
    <r>
      <rPr>
        <sz val="9"/>
        <rFont val="Arial"/>
        <charset val="134"/>
      </rPr>
      <t>ALC233</t>
    </r>
  </si>
  <si>
    <t>A.F.D.2400201-PVT</t>
  </si>
  <si>
    <t>A.F.D.2400201  RJ45 DB</t>
  </si>
  <si>
    <r>
      <rPr>
        <sz val="9"/>
        <rFont val="微软雅黑"/>
        <charset val="134"/>
      </rPr>
      <t>含有英特尔</t>
    </r>
    <r>
      <rPr>
        <sz val="9"/>
        <rFont val="Arial"/>
        <charset val="134"/>
      </rPr>
      <t>WGI219V</t>
    </r>
    <r>
      <rPr>
        <sz val="9"/>
        <rFont val="微软雅黑"/>
        <charset val="134"/>
      </rPr>
      <t>；含有</t>
    </r>
    <r>
      <rPr>
        <sz val="9"/>
        <rFont val="Arial"/>
        <charset val="134"/>
      </rPr>
      <t>ALC233</t>
    </r>
  </si>
  <si>
    <t>A.F.D.2400203-PVT</t>
  </si>
  <si>
    <t>A.F.D.2400203 RJ45 DB</t>
  </si>
  <si>
    <r>
      <rPr>
        <sz val="9"/>
        <rFont val="微软雅黑"/>
        <charset val="134"/>
      </rPr>
      <t>含有英特尔网卡</t>
    </r>
    <r>
      <rPr>
        <sz val="9"/>
        <rFont val="Arial"/>
        <charset val="134"/>
      </rPr>
      <t>IC/I226LM_SRKTT</t>
    </r>
    <r>
      <rPr>
        <sz val="9"/>
        <rFont val="微软雅黑"/>
        <charset val="134"/>
      </rPr>
      <t>；含有</t>
    </r>
    <r>
      <rPr>
        <sz val="9"/>
        <rFont val="Arial"/>
        <charset val="134"/>
      </rPr>
      <t>ALC233</t>
    </r>
  </si>
  <si>
    <t>A.F.D.2400204-PVT</t>
  </si>
  <si>
    <t xml:space="preserve">A.F.D.2400204 RJ45 DB </t>
  </si>
  <si>
    <r>
      <rPr>
        <sz val="9"/>
        <rFont val="微软雅黑"/>
        <charset val="134"/>
      </rPr>
      <t>含有英特尔网卡</t>
    </r>
    <r>
      <rPr>
        <sz val="9"/>
        <rFont val="Arial"/>
        <charset val="134"/>
      </rPr>
      <t>IC/I226-V</t>
    </r>
    <r>
      <rPr>
        <sz val="9"/>
        <rFont val="微软雅黑"/>
        <charset val="134"/>
      </rPr>
      <t>；含有</t>
    </r>
    <r>
      <rPr>
        <sz val="9"/>
        <rFont val="Arial"/>
        <charset val="134"/>
      </rPr>
      <t>ALC233</t>
    </r>
  </si>
  <si>
    <t>A.F.D.2400202-PVT</t>
  </si>
  <si>
    <t>A.F.D.2400202  RJ45 DB</t>
  </si>
  <si>
    <t>A.F.D.2400157-EVT</t>
  </si>
  <si>
    <t>A.F.D.2400157  RJ45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</si>
  <si>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Intel</t>
    </r>
    <r>
      <rPr>
        <sz val="9"/>
        <rFont val="微软雅黑"/>
        <charset val="134"/>
      </rPr>
      <t>网络</t>
    </r>
    <r>
      <rPr>
        <sz val="9"/>
        <rFont val="Arial"/>
        <charset val="134"/>
      </rPr>
      <t>IC I226LM_SRKTT;</t>
    </r>
    <r>
      <rPr>
        <sz val="9"/>
        <rFont val="微软雅黑"/>
        <charset val="134"/>
      </rPr>
      <t>含有</t>
    </r>
    <r>
      <rPr>
        <sz val="9"/>
        <rFont val="Arial"/>
        <charset val="134"/>
      </rPr>
      <t>ALC233</t>
    </r>
    <r>
      <rPr>
        <sz val="9"/>
        <rFont val="微软雅黑"/>
        <charset val="134"/>
      </rPr>
      <t>；含有</t>
    </r>
    <r>
      <rPr>
        <sz val="9"/>
        <rFont val="Arial"/>
        <charset val="134"/>
      </rPr>
      <t>USB3.0 Redriver IC;</t>
    </r>
  </si>
  <si>
    <t>A.F.D.2400153-EVT</t>
  </si>
  <si>
    <t>A.F.D.2400153  RJ45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</si>
  <si>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Intel</t>
    </r>
    <r>
      <rPr>
        <sz val="9"/>
        <rFont val="微软雅黑"/>
        <charset val="134"/>
      </rPr>
      <t>网络</t>
    </r>
    <r>
      <rPr>
        <sz val="9"/>
        <rFont val="Arial"/>
        <charset val="134"/>
      </rPr>
      <t>ICWGI219LM;</t>
    </r>
    <r>
      <rPr>
        <sz val="9"/>
        <rFont val="微软雅黑"/>
        <charset val="134"/>
      </rPr>
      <t>含有</t>
    </r>
    <r>
      <rPr>
        <sz val="9"/>
        <rFont val="Arial"/>
        <charset val="134"/>
      </rPr>
      <t>USB3.0 Redriver IC;</t>
    </r>
    <r>
      <rPr>
        <sz val="9"/>
        <rFont val="微软雅黑"/>
        <charset val="134"/>
      </rPr>
      <t>含有</t>
    </r>
    <r>
      <rPr>
        <sz val="9"/>
        <rFont val="Arial"/>
        <charset val="134"/>
      </rPr>
      <t>ALC233</t>
    </r>
  </si>
  <si>
    <t>A.F.D.2400152-EVT</t>
  </si>
  <si>
    <t>A.F.D.2400152  RJ45 DB</t>
  </si>
  <si>
    <r>
      <rPr>
        <sz val="9"/>
        <rFont val="Arial"/>
        <charset val="134"/>
      </rPr>
      <t>CN1G(</t>
    </r>
    <r>
      <rPr>
        <sz val="9"/>
        <rFont val="宋体"/>
        <charset val="134"/>
      </rPr>
      <t>衍生机型</t>
    </r>
    <r>
      <rPr>
        <sz val="9"/>
        <rFont val="Arial"/>
        <charset val="134"/>
      </rPr>
      <t>CA101G)</t>
    </r>
  </si>
  <si>
    <t>A.F.D.2300332-MP</t>
  </si>
  <si>
    <t>A.F.D.2300332 USB DB</t>
  </si>
  <si>
    <t>RTS5170;GL850G-OHY60</t>
  </si>
  <si>
    <t>A.P.10001099</t>
  </si>
  <si>
    <t>A.P.10001099 RJ45 DB</t>
  </si>
  <si>
    <t>A.P.10000994</t>
  </si>
  <si>
    <t>A.P.10000994 USB DB</t>
  </si>
  <si>
    <t>A.P.10000919</t>
  </si>
  <si>
    <t>A.P.10000919 USB DB</t>
  </si>
  <si>
    <t>A.P.10000646</t>
  </si>
  <si>
    <t>A.P.10000646 RJ45 DB</t>
  </si>
  <si>
    <t>A.P.10000569</t>
  </si>
  <si>
    <t>A.P.10000569 RJ45+LTE DB</t>
  </si>
  <si>
    <t>A.P.10000608</t>
  </si>
  <si>
    <t>A.P.10000608 140M USB DB</t>
  </si>
  <si>
    <t>A.P.10000595</t>
  </si>
  <si>
    <t>A.P.10000595 140M USB DB</t>
  </si>
  <si>
    <t>A.F.P.1000434</t>
  </si>
  <si>
    <t>A.F.P.1000434 RJ45 DB</t>
  </si>
  <si>
    <t>A.F.P.1000458</t>
  </si>
  <si>
    <t>A.F.P.1000458 RJ45 DB</t>
  </si>
  <si>
    <t>A.F.P.1000457</t>
  </si>
  <si>
    <t>A.F.P.1000457 140M USB DB</t>
  </si>
  <si>
    <t>A.F.P.1000455</t>
  </si>
  <si>
    <t>A.F.P.1000455 156M USB DB</t>
  </si>
  <si>
    <t>A.F.P.1000343</t>
  </si>
  <si>
    <t>A.F.P.1000343 156M2 USB DB</t>
  </si>
  <si>
    <t>CN12</t>
  </si>
  <si>
    <t>A.F.D.2300337-MP</t>
  </si>
  <si>
    <t>A.F.D.2300337 USD DB</t>
  </si>
  <si>
    <t>A.P.10000795 USB DB</t>
  </si>
  <si>
    <t>A.P.10000770 USB DB</t>
  </si>
  <si>
    <t>A.P.10000749 DB RJ45 K156KHR</t>
  </si>
  <si>
    <r>
      <rPr>
        <sz val="9"/>
        <rFont val="Arial"/>
        <charset val="134"/>
      </rPr>
      <t>I219V,</t>
    </r>
    <r>
      <rPr>
        <sz val="9"/>
        <rFont val="微软雅黑"/>
        <charset val="134"/>
      </rPr>
      <t>不含</t>
    </r>
    <r>
      <rPr>
        <sz val="9"/>
        <rFont val="Arial"/>
        <charset val="134"/>
      </rPr>
      <t>USBHUB:GL850G</t>
    </r>
  </si>
  <si>
    <t>A.P.10000748  DB RJ45 K14TSR</t>
  </si>
  <si>
    <r>
      <rPr>
        <sz val="9"/>
        <rFont val="Arial"/>
        <charset val="134"/>
      </rPr>
      <t>I219V,</t>
    </r>
    <r>
      <rPr>
        <sz val="9"/>
        <rFont val="微软雅黑"/>
        <charset val="134"/>
      </rPr>
      <t>含</t>
    </r>
    <r>
      <rPr>
        <sz val="9"/>
        <rFont val="Arial"/>
        <charset val="134"/>
      </rPr>
      <t>USBHUB:GL850G</t>
    </r>
  </si>
  <si>
    <t>A.P.10000668 USB K13/K14KH</t>
  </si>
  <si>
    <t>A.P.10000654 DB RJ45 K14TSR</t>
  </si>
  <si>
    <t>A.P.10000655 DB RJ45 K14THR</t>
  </si>
  <si>
    <t>A.P.10000653 DB RJ45 K15KHR</t>
  </si>
  <si>
    <t>A.P.10000656 DB USB K13/K14KH</t>
  </si>
  <si>
    <t>A.P.10000594 DB RJ45 K14THR</t>
  </si>
  <si>
    <r>
      <rPr>
        <sz val="9"/>
        <rFont val="Arial"/>
        <charset val="134"/>
      </rPr>
      <t>8111H,</t>
    </r>
    <r>
      <rPr>
        <sz val="9"/>
        <rFont val="微软雅黑"/>
        <charset val="134"/>
      </rPr>
      <t>不含</t>
    </r>
    <r>
      <rPr>
        <sz val="9"/>
        <rFont val="Arial"/>
        <charset val="134"/>
      </rPr>
      <t>USBHUB:GL850G</t>
    </r>
  </si>
  <si>
    <t>A.P.10000524 DB RJ45 K15KHR</t>
  </si>
  <si>
    <t>A.F.P.1000410 DB USB 140P/156H2</t>
  </si>
  <si>
    <t>A.F.P.1000380 DB RJ45 140P3</t>
  </si>
  <si>
    <r>
      <rPr>
        <sz val="9"/>
        <rFont val="Arial"/>
        <charset val="134"/>
      </rPr>
      <t>8111H.</t>
    </r>
    <r>
      <rPr>
        <sz val="9"/>
        <rFont val="微软雅黑"/>
        <charset val="134"/>
      </rPr>
      <t>含</t>
    </r>
    <r>
      <rPr>
        <sz val="9"/>
        <rFont val="Arial"/>
        <charset val="134"/>
      </rPr>
      <t>USBHUB:GL850G</t>
    </r>
  </si>
  <si>
    <t>A.F.P.1000441 DB RJ45 140P3</t>
  </si>
  <si>
    <t>A.F.P.1000442 DB RJ45 156P</t>
  </si>
  <si>
    <t>A.F.P.1000411 DB RJ45 156P</t>
  </si>
  <si>
    <t>A.F.P.1000494 DB RJ45 14TSR</t>
  </si>
  <si>
    <t>A.F.P.1000440 DB 130P/140P/140P2/156H2</t>
  </si>
  <si>
    <t>DNXU</t>
  </si>
  <si>
    <t>A.F.D.2400348-PVT</t>
  </si>
  <si>
    <t>A.F.D.2400348 AUDIO DB</t>
  </si>
  <si>
    <t>RTS5170</t>
  </si>
  <si>
    <t>A.F.D.2500091-PVT</t>
  </si>
  <si>
    <t>A.F.D.2500091 AUDIO DB</t>
  </si>
  <si>
    <t>RTS5170-GR;PS8719ETQFN24GTR2-A0</t>
  </si>
  <si>
    <t>A.F.D.2400349-PVT</t>
  </si>
  <si>
    <t>A.F.D.2400349 USB DB</t>
  </si>
  <si>
    <t>DA1021</t>
  </si>
  <si>
    <t>A.F.D.2400168-PVT</t>
  </si>
  <si>
    <t>A.F.D.2400168 RJ45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</si>
  <si>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RTL8111H</t>
    </r>
    <r>
      <rPr>
        <sz val="9"/>
        <rFont val="微软雅黑"/>
        <charset val="134"/>
      </rPr>
      <t>；</t>
    </r>
  </si>
  <si>
    <r>
      <rPr>
        <sz val="9"/>
        <rFont val="Arial"/>
        <charset val="134"/>
      </rPr>
      <t>DN59</t>
    </r>
    <r>
      <rPr>
        <sz val="9"/>
        <rFont val="宋体"/>
        <charset val="134"/>
      </rPr>
      <t>衍生机型</t>
    </r>
    <r>
      <rPr>
        <sz val="9"/>
        <rFont val="Arial"/>
        <charset val="134"/>
      </rPr>
      <t>DA1059</t>
    </r>
  </si>
  <si>
    <t>A.F.D.2200015-MP</t>
  </si>
  <si>
    <t>A.F.D.2200015  RJ45 DB</t>
  </si>
  <si>
    <t>A.F.D.2400160-EVT</t>
  </si>
  <si>
    <t>A.F.D.2400160  USB DB</t>
  </si>
  <si>
    <r>
      <rPr>
        <sz val="9"/>
        <color rgb="FFFF0000"/>
        <rFont val="微软雅黑"/>
        <charset val="134"/>
      </rPr>
      <t>含</t>
    </r>
    <r>
      <rPr>
        <sz val="9"/>
        <color rgb="FFFF0000"/>
        <rFont val="Arial"/>
        <charset val="134"/>
      </rPr>
      <t>SN6140</t>
    </r>
  </si>
  <si>
    <t>DN39</t>
  </si>
  <si>
    <t>A.F.D.2300220</t>
  </si>
  <si>
    <t>A.F.D.2300220  RJ45  DB</t>
  </si>
  <si>
    <t>A.F.D.2300003 140H-YD_DB</t>
  </si>
  <si>
    <t>DNTU</t>
  </si>
  <si>
    <t>A.F.D.2400179-MP</t>
  </si>
  <si>
    <t>A.F.D.2400179  RJ45  DB</t>
  </si>
  <si>
    <t>A.F.D.2400180-MP</t>
  </si>
  <si>
    <t>A.F.D.2400180 RJ45 DB</t>
  </si>
  <si>
    <t>A.F.D.2400073-PVT</t>
  </si>
  <si>
    <t>A.F.D.2400073 RJ45 DB</t>
  </si>
  <si>
    <t>A.F.D.2500069-MP</t>
  </si>
  <si>
    <t>A.F.D.2500069 RJ45 DB</t>
  </si>
  <si>
    <t>A.F.D.2400043 RJ45 DB</t>
  </si>
  <si>
    <t>WNTU146</t>
  </si>
  <si>
    <t>A.F.D.2500439</t>
  </si>
  <si>
    <t>A.F.D.2500439 USB DB</t>
  </si>
  <si>
    <r>
      <rPr>
        <sz val="9"/>
        <rFont val="Arial"/>
        <charset val="134"/>
      </rPr>
      <t>SMT</t>
    </r>
    <r>
      <rPr>
        <sz val="9"/>
        <rFont val="宋体"/>
        <charset val="134"/>
      </rPr>
      <t>预估价，</t>
    </r>
    <r>
      <rPr>
        <sz val="9"/>
        <rFont val="Arial"/>
        <charset val="134"/>
      </rPr>
      <t>ES9356</t>
    </r>
  </si>
  <si>
    <t>TN1</t>
  </si>
  <si>
    <r>
      <rPr>
        <sz val="9"/>
        <rFont val="Arial"/>
        <charset val="134"/>
      </rPr>
      <t xml:space="preserve">A.P.10000768 </t>
    </r>
    <r>
      <rPr>
        <sz val="9"/>
        <rFont val="微软雅黑"/>
        <charset val="134"/>
      </rPr>
      <t>直播笔记本</t>
    </r>
  </si>
  <si>
    <t>A.P.10000864 USB DB</t>
  </si>
  <si>
    <t>A.P.10001016-MP</t>
  </si>
  <si>
    <t>A.P.10001016 RJ45 DB</t>
  </si>
  <si>
    <t>A.P.10000927 TF DB</t>
  </si>
  <si>
    <t>A.P.10000798 RJ45 DB</t>
  </si>
  <si>
    <t>KTI225V,USB HUB2.0(GL850G)</t>
  </si>
  <si>
    <t>A.F.P.1000354 161M USB2.0 TF DB</t>
  </si>
  <si>
    <t>XNXU</t>
  </si>
  <si>
    <r>
      <rPr>
        <sz val="9"/>
        <rFont val="Arial"/>
        <charset val="134"/>
      </rPr>
      <t xml:space="preserve">A.P.10000796 </t>
    </r>
    <r>
      <rPr>
        <sz val="9"/>
        <rFont val="微软雅黑"/>
        <charset val="134"/>
      </rPr>
      <t>昱科</t>
    </r>
    <r>
      <rPr>
        <sz val="9"/>
        <rFont val="Arial"/>
        <charset val="134"/>
      </rPr>
      <t>K139 USB DB</t>
    </r>
  </si>
  <si>
    <t>A.F.D.2300043  USB DB</t>
  </si>
  <si>
    <t>A.P.10001101 156P SDQ DB</t>
  </si>
  <si>
    <t>A.F.D.2400269-PVT</t>
  </si>
  <si>
    <t>A.F.D.2400269  USB DB</t>
  </si>
  <si>
    <t>RTS5170-GR</t>
  </si>
  <si>
    <t>A.F.D.2300248-PVT</t>
  </si>
  <si>
    <t>A.F.D.2300248  USB DB</t>
  </si>
  <si>
    <t>A.P.10001056 USB DB</t>
  </si>
  <si>
    <t>A.P.10000924 RJ45 DB</t>
  </si>
  <si>
    <t>A.F.D.2300247-PVT</t>
  </si>
  <si>
    <t>A.F.D.2300247  USB DB</t>
  </si>
  <si>
    <t>XNTU</t>
  </si>
  <si>
    <t>A.F.D.2400117-MP</t>
  </si>
  <si>
    <t>A.F.D.2400117  RJ45</t>
  </si>
  <si>
    <t>A.F.D.2500200-MP</t>
  </si>
  <si>
    <t>A.F.D.2500200 RJ45 DB</t>
  </si>
  <si>
    <t>RTL8111H</t>
  </si>
  <si>
    <t>XU</t>
  </si>
  <si>
    <t>A.P.10000735 RJ45 DB</t>
  </si>
  <si>
    <t>KTI225V</t>
  </si>
  <si>
    <t>A.P.10000736 RJ45 DB</t>
  </si>
  <si>
    <t>A.P.10001002 USB DB</t>
  </si>
  <si>
    <t>A.P.10001003 RJ45 DB</t>
  </si>
  <si>
    <t>A.P.10000887 MA8121 DB</t>
  </si>
  <si>
    <t>A.P.10001152-PVT</t>
  </si>
  <si>
    <t>A.P.10001152 Series DB</t>
  </si>
  <si>
    <t>XN1</t>
  </si>
  <si>
    <t>A.P.10001113 RJ45 DB</t>
  </si>
  <si>
    <t>A.P.10001073 LED DB</t>
  </si>
  <si>
    <t>A.P.10001071 RJ45 DB</t>
  </si>
  <si>
    <t>A.P.10001040 RJ45 DB</t>
  </si>
  <si>
    <t>A.P.10000985 USB DB</t>
  </si>
  <si>
    <t>A.P.10000936 USB DB</t>
  </si>
  <si>
    <t>A.P.10000866 YD_DB</t>
  </si>
  <si>
    <t>A.P.10000822 USB DB</t>
  </si>
  <si>
    <t>A.P.10000815 USB DB</t>
  </si>
  <si>
    <t>A.P.10000727 USB DB</t>
  </si>
  <si>
    <t>A.P.10000740 USB DB</t>
  </si>
  <si>
    <t>A.F.D.2300083 HS_DB</t>
  </si>
  <si>
    <t>A.F.D.2400197-PVT</t>
  </si>
  <si>
    <t>A.F.D.2400197 USB DB</t>
  </si>
  <si>
    <t>A.F.D.2400205-PVT</t>
  </si>
  <si>
    <t>A.F.D.2400205 USB DB</t>
  </si>
  <si>
    <t>A.F.D.2400206-PVT</t>
  </si>
  <si>
    <t>A.F.D.2400206  POWER DB</t>
  </si>
  <si>
    <t>A.F.D.2300230-malata only</t>
  </si>
  <si>
    <t>A.F.D.2300230 LED DB</t>
  </si>
  <si>
    <t>A.F.D.2300229-MP</t>
  </si>
  <si>
    <t>A.F.D.2300229  RJ45 DB</t>
  </si>
  <si>
    <t>A.F.D.2400246-MP</t>
  </si>
  <si>
    <t>A.F.D.2400246 USB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</si>
  <si>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RTS5170</t>
    </r>
  </si>
  <si>
    <t>A.F.D.2400262-PVT</t>
  </si>
  <si>
    <t>A.F.D.2400262 RJ45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</si>
  <si>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GL850G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RTS5170</t>
    </r>
  </si>
  <si>
    <t>XN5</t>
  </si>
  <si>
    <t>A.P.10000882 USB DB</t>
  </si>
  <si>
    <t>XN1G</t>
  </si>
  <si>
    <t>A.P.10001108 RJ45 DB</t>
  </si>
  <si>
    <r>
      <rPr>
        <sz val="9"/>
        <rFont val="Arial"/>
        <charset val="134"/>
      </rPr>
      <t>8111H,</t>
    </r>
    <r>
      <rPr>
        <sz val="9"/>
        <rFont val="微软雅黑"/>
        <charset val="134"/>
      </rPr>
      <t>含</t>
    </r>
    <r>
      <rPr>
        <sz val="9"/>
        <rFont val="Arial"/>
        <charset val="134"/>
      </rPr>
      <t>USB3.0</t>
    </r>
    <r>
      <rPr>
        <sz val="9"/>
        <rFont val="微软雅黑"/>
        <charset val="134"/>
      </rPr>
      <t>转换</t>
    </r>
    <r>
      <rPr>
        <sz val="9"/>
        <rFont val="Arial"/>
        <charset val="134"/>
      </rPr>
      <t>VGA</t>
    </r>
    <r>
      <rPr>
        <sz val="9"/>
        <rFont val="微软雅黑"/>
        <charset val="134"/>
      </rPr>
      <t>的音频转换</t>
    </r>
    <r>
      <rPr>
        <sz val="9"/>
        <rFont val="Arial"/>
        <charset val="134"/>
      </rPr>
      <t>IC</t>
    </r>
    <r>
      <rPr>
        <sz val="9"/>
        <rFont val="微软雅黑"/>
        <charset val="134"/>
      </rPr>
      <t>：睿思科</t>
    </r>
    <r>
      <rPr>
        <sz val="9"/>
        <rFont val="Arial"/>
        <charset val="134"/>
      </rPr>
      <t>FL2000-1L0-DX</t>
    </r>
  </si>
  <si>
    <t>A.P.10001100 -PVT</t>
  </si>
  <si>
    <t>A.P.10001100 140M3 RJ45 DB</t>
  </si>
  <si>
    <t>A.P.10001083 140M3 RJ45 DB</t>
  </si>
  <si>
    <t>A.P.10001091 RJ45 DB</t>
  </si>
  <si>
    <t>A.P.10001085 USB DB</t>
  </si>
  <si>
    <t>A.P.10001068 RJ45 DB</t>
  </si>
  <si>
    <t>A.P.10001069 RJ45 DB</t>
  </si>
  <si>
    <t>A.P.10001077 USB DB</t>
  </si>
  <si>
    <t>A.P.10001072 RJ45 DB</t>
  </si>
  <si>
    <t>A.P.10001074 RJ45 DB</t>
  </si>
  <si>
    <t>8111H,USB HUB3.1(GL3510)</t>
  </si>
  <si>
    <t>A.P.10001075 RJ45 DB</t>
  </si>
  <si>
    <t>A.P.10001070 USB DB</t>
  </si>
  <si>
    <t>A.P.10001041 RJ45 DB</t>
  </si>
  <si>
    <t>A.P.10001043 RJ45 DB</t>
  </si>
  <si>
    <t>A.P.10001044 RJ45 DB</t>
  </si>
  <si>
    <t>A.P.10001045 RJ45 DB</t>
  </si>
  <si>
    <t>A.P.10000865 RJ45 DB</t>
  </si>
  <si>
    <t>WGI219LM</t>
  </si>
  <si>
    <t>A.P.10001021 RJ45 DB</t>
  </si>
  <si>
    <t>A.P.10001033 RJ45 DB</t>
  </si>
  <si>
    <t>A.P.10000993_EVT</t>
  </si>
  <si>
    <t>A.P.10000993 USB DB</t>
  </si>
  <si>
    <t>A.P.10001007 RJ45 DB</t>
  </si>
  <si>
    <t>KTI219V,USB HUB3.1(GL3510)</t>
  </si>
  <si>
    <t>A.P.10000948 RJ45 DB</t>
  </si>
  <si>
    <t>A.P.10000937 RJ45 DB</t>
  </si>
  <si>
    <t>KTI219V</t>
  </si>
  <si>
    <t>A.P.10000928 RJ45 DB</t>
  </si>
  <si>
    <t>A.P.10000923 RJ45 DB</t>
  </si>
  <si>
    <t>A.P.10000881 USB DB</t>
  </si>
  <si>
    <t>A.P.10000884 RJ45 DB</t>
  </si>
  <si>
    <t>KTI225V,USB HUB3.1(GL3510)</t>
  </si>
  <si>
    <t>A.P.10000875 RJ45 DB</t>
  </si>
  <si>
    <t>A.P.10000825 RJ45 DB</t>
  </si>
  <si>
    <t>A.P.10000848 RJ45 DB</t>
  </si>
  <si>
    <t>A.P.10000847-PVT</t>
  </si>
  <si>
    <t>A.P.10000847 RJ45 DB</t>
  </si>
  <si>
    <t>A.P.10000817 USB DB</t>
  </si>
  <si>
    <t>A.P.10000726 RJ45 DB</t>
  </si>
  <si>
    <t>A.P.10000667 RJ45 DB</t>
  </si>
  <si>
    <t>8111G</t>
  </si>
  <si>
    <t>A.P.10000677 RJ45 DB</t>
  </si>
  <si>
    <t>A.F.D.2400133-PVT</t>
  </si>
  <si>
    <t>A.F.D.2400133 RJ45 DB</t>
  </si>
  <si>
    <r>
      <rPr>
        <sz val="9"/>
        <rFont val="Arial"/>
        <charset val="134"/>
      </rPr>
      <t>RTS5170-GR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GL850G-OHY60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RTL8111H-CG</t>
    </r>
  </si>
  <si>
    <t>A.F.D.2300102-EVT</t>
  </si>
  <si>
    <t>A.F.D.2300102 156P2-SCD_DB</t>
  </si>
  <si>
    <t>A.F.D.2300103-EVT</t>
  </si>
  <si>
    <t>A.F.D.2300103 156P2-SCD_DB</t>
  </si>
  <si>
    <t>A.F.D.2300186 RJ45 DB</t>
  </si>
  <si>
    <t>A.F.D.2300133-EVT</t>
  </si>
  <si>
    <t>A.F.D.2300133 RJ45 DB</t>
  </si>
  <si>
    <t>A.F.D.2300347-MP</t>
  </si>
  <si>
    <t>A.F.D.2300347 USB DB</t>
  </si>
  <si>
    <t>A.F.D.2300349-MP</t>
  </si>
  <si>
    <t>A.F.D.2300349 USB DB</t>
  </si>
  <si>
    <t>A.F.D.2300369 USB DB</t>
  </si>
  <si>
    <t>A.F.D.2300303-MP</t>
  </si>
  <si>
    <t>A.F.D.2300303 RJ45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</si>
  <si>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RTL8111H</t>
    </r>
  </si>
  <si>
    <t>A.F.D.2300312-PVT</t>
  </si>
  <si>
    <t>A.F.D.2300312  RJ45 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</si>
  <si>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RTL8111H</t>
    </r>
    <r>
      <rPr>
        <sz val="9"/>
        <rFont val="微软雅黑"/>
        <charset val="134"/>
      </rPr>
      <t>；含</t>
    </r>
    <r>
      <rPr>
        <sz val="9"/>
        <rFont val="Arial"/>
        <charset val="134"/>
      </rPr>
      <t>GL3510</t>
    </r>
  </si>
  <si>
    <t>A.F.D.2500054-EVT_For  CKD</t>
  </si>
  <si>
    <t>A.F.D.2500054 USB DB(CKD)</t>
  </si>
  <si>
    <t>RTS5170;GL850G</t>
  </si>
  <si>
    <t>A.F.D.2400358-EVT</t>
  </si>
  <si>
    <t>A.F.D.2400358 Audio DB</t>
  </si>
  <si>
    <t>GL3510;RTS5170</t>
  </si>
  <si>
    <t>A.F.D.2300381-MP</t>
  </si>
  <si>
    <t>A.F.D.2300381  RJ45  DB</t>
  </si>
  <si>
    <t>A.F.D.2300319-PVT</t>
  </si>
  <si>
    <t>A.F.D.2300319  USB 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</si>
  <si>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GL3510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RTS5170</t>
    </r>
  </si>
  <si>
    <t>XN11</t>
  </si>
  <si>
    <t>A.F.D.2400283-PVT</t>
  </si>
  <si>
    <t>A.F.D.2400283 USB DB</t>
  </si>
  <si>
    <t>A.F.D.2400350-PVT</t>
  </si>
  <si>
    <t>A.F.D.2400350 USB DB</t>
  </si>
  <si>
    <t>A.F.D.2500239-EVT</t>
  </si>
  <si>
    <t>A.F.D.2500239 AUDIO DB</t>
  </si>
  <si>
    <t>A.F.D.2500240-EVT</t>
  </si>
  <si>
    <t>A.F.D.2500240 greenLED DB</t>
  </si>
  <si>
    <t>A.F.D.2400365-PVT</t>
  </si>
  <si>
    <t>A.F.D.2400365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</si>
  <si>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EAST-HN12103B10X</t>
    </r>
  </si>
  <si>
    <t>A.F.D.2400089-EVT</t>
  </si>
  <si>
    <t>A.F.D.2400089  USB DB</t>
  </si>
  <si>
    <r>
      <rPr>
        <sz val="9"/>
        <rFont val="微软雅黑"/>
        <charset val="134"/>
      </rPr>
      <t>含</t>
    </r>
    <r>
      <rPr>
        <sz val="9"/>
        <rFont val="Arial"/>
        <charset val="134"/>
      </rPr>
      <t>GL850;RTS5170</t>
    </r>
  </si>
  <si>
    <t>XN15</t>
  </si>
  <si>
    <t>A.F.D.2300042  USB DB</t>
  </si>
  <si>
    <t>XN20</t>
  </si>
  <si>
    <t>A.F.D.2300119   IO_DB</t>
  </si>
  <si>
    <t>XN22</t>
  </si>
  <si>
    <t>A.P.10000665 RJ45 DB</t>
  </si>
  <si>
    <t>A.P.10000603 RJ45 DB</t>
  </si>
  <si>
    <t>XN23</t>
  </si>
  <si>
    <t>A.P.10001112 156P_HS USB DB</t>
  </si>
  <si>
    <t>A.P.10001109 USB DB</t>
  </si>
  <si>
    <t>A.P.10001094 BATT-CON DB</t>
  </si>
  <si>
    <t>A.P.10001093 USB DB</t>
  </si>
  <si>
    <t>A.P.10001092 TYPEC_DB</t>
  </si>
  <si>
    <t>A.P.10001086 USB DB</t>
  </si>
  <si>
    <t>A.P.10001054 156P_HS USB DB</t>
  </si>
  <si>
    <t>A.P.10000967 156P DB</t>
  </si>
  <si>
    <t>A.P.10001000 USB DB</t>
  </si>
  <si>
    <t>A.P.10000999 TYPEC_DB</t>
  </si>
  <si>
    <t>A.P.10000998 TYPEC_DB</t>
  </si>
  <si>
    <t>A.P.10000950  ODD-4G DB</t>
  </si>
  <si>
    <t>A.P.10000945 TYPEC_DB GL</t>
  </si>
  <si>
    <t>A.P.10000944 TYPEC_DB RT</t>
  </si>
  <si>
    <t>A.P.10000960 USB DB</t>
  </si>
  <si>
    <t>A.P.10000871 TYPE C DB</t>
  </si>
  <si>
    <t>A.P.10000873 BATT-CON_DB</t>
  </si>
  <si>
    <t>A.P.10000872 USB DB</t>
  </si>
  <si>
    <t>A.P.10000863 USB DB</t>
  </si>
  <si>
    <t>A.P.10000854 USB DB</t>
  </si>
  <si>
    <t>A.P.10000849 TYPE C DB</t>
  </si>
  <si>
    <t>A.P.10000790 140P V10 DB</t>
  </si>
  <si>
    <t>A.P.10000789 140P V30 DB</t>
  </si>
  <si>
    <t>A.P.10000792 156P USB DB</t>
  </si>
  <si>
    <t>A.P.10000791 156P V10 DB</t>
  </si>
  <si>
    <t>A.P.10000788 156P V30 DB</t>
  </si>
  <si>
    <t>A.P.10000717 USB DB</t>
  </si>
  <si>
    <t>A.P.10000693 156P SSD DB</t>
  </si>
  <si>
    <t>A.P.10000669 153P USB DB</t>
  </si>
  <si>
    <t>SKU30</t>
  </si>
  <si>
    <t>A.P.10000694 USB DB</t>
  </si>
  <si>
    <t>A.P.10000695 USB DB</t>
  </si>
  <si>
    <t>A.P.10000657 156P-6IN1 DB</t>
  </si>
  <si>
    <t>A.P.10000670 140P-TF DB</t>
  </si>
  <si>
    <t>A.P.10000704 156P USB DB</t>
  </si>
  <si>
    <t>XN29</t>
  </si>
  <si>
    <r>
      <rPr>
        <sz val="9"/>
        <rFont val="Arial"/>
        <charset val="134"/>
      </rPr>
      <t xml:space="preserve">A.P.10000957 </t>
    </r>
    <r>
      <rPr>
        <sz val="9"/>
        <rFont val="微软雅黑"/>
        <charset val="134"/>
      </rPr>
      <t>深蕾</t>
    </r>
    <r>
      <rPr>
        <sz val="9"/>
        <rFont val="Arial"/>
        <charset val="134"/>
      </rPr>
      <t>SN6140 DB</t>
    </r>
  </si>
  <si>
    <t>A.P.10001147 140M_RZ_DB</t>
  </si>
  <si>
    <t>A.P.10000764 USB DB</t>
  </si>
  <si>
    <t>A.P.10000851 RJ45 DB</t>
  </si>
  <si>
    <t>A.F.D.2300252 140M-YD_DB</t>
  </si>
  <si>
    <t>A.F.D.2300287-MP</t>
  </si>
  <si>
    <t>A.F.D.2300287 M140_YD_DB</t>
  </si>
  <si>
    <t xml:space="preserve">ALC269Q,CKD </t>
  </si>
  <si>
    <t>XN32G</t>
  </si>
  <si>
    <t>A.P.10001156 160H_ YD USB DB</t>
  </si>
  <si>
    <t>A.F.D.2400315-MP</t>
  </si>
  <si>
    <t>A.F.D.2400315 RJ45 DB</t>
  </si>
  <si>
    <t>PS8719ETQFN24GTR2-A0;8111H;SN6140-CNZR</t>
  </si>
  <si>
    <t>A.F.D.2300120  160H_YD_DB</t>
  </si>
  <si>
    <t>XN38</t>
  </si>
  <si>
    <t>A.P.10001098 BATT-CON DB</t>
  </si>
  <si>
    <t>A.P.10001087 RJ45 DB</t>
  </si>
  <si>
    <r>
      <rPr>
        <sz val="9"/>
        <rFont val="Arial"/>
        <charset val="134"/>
      </rPr>
      <t>8111H</t>
    </r>
    <r>
      <rPr>
        <sz val="9"/>
        <rFont val="微软雅黑"/>
        <charset val="134"/>
      </rPr>
      <t>，</t>
    </r>
    <r>
      <rPr>
        <sz val="9"/>
        <rFont val="Arial"/>
        <charset val="134"/>
      </rPr>
      <t>CODEC</t>
    </r>
    <r>
      <rPr>
        <sz val="9"/>
        <rFont val="微软雅黑"/>
        <charset val="134"/>
      </rPr>
      <t>：深蕾</t>
    </r>
    <r>
      <rPr>
        <sz val="9"/>
        <rFont val="Arial"/>
        <charset val="134"/>
      </rPr>
      <t>SN6140,</t>
    </r>
    <r>
      <rPr>
        <sz val="9"/>
        <rFont val="微软雅黑"/>
        <charset val="134"/>
      </rPr>
      <t>含</t>
    </r>
    <r>
      <rPr>
        <sz val="9"/>
        <rFont val="Arial"/>
        <charset val="134"/>
      </rPr>
      <t>USBHUB3.1</t>
    </r>
  </si>
  <si>
    <t>A.P.10001025 RJ45 DB</t>
  </si>
  <si>
    <t>A.P.10001024</t>
  </si>
  <si>
    <t>A.P.10001024 RJ45 DB</t>
  </si>
  <si>
    <t>A.P.10001026</t>
  </si>
  <si>
    <t>A.P.10001026 RJ45 DB</t>
  </si>
  <si>
    <t>A.P.10001027</t>
  </si>
  <si>
    <t>A.P.10001027 RJ45 DB</t>
  </si>
  <si>
    <r>
      <rPr>
        <sz val="9"/>
        <rFont val="Arial"/>
        <charset val="134"/>
      </rPr>
      <t>8111H</t>
    </r>
    <r>
      <rPr>
        <sz val="9"/>
        <rFont val="微软雅黑"/>
        <charset val="134"/>
      </rPr>
      <t>，</t>
    </r>
    <r>
      <rPr>
        <sz val="9"/>
        <rFont val="Arial"/>
        <charset val="134"/>
      </rPr>
      <t>CODEC</t>
    </r>
    <r>
      <rPr>
        <sz val="9"/>
        <rFont val="微软雅黑"/>
        <charset val="134"/>
      </rPr>
      <t>：深蕾</t>
    </r>
    <r>
      <rPr>
        <sz val="9"/>
        <rFont val="Arial"/>
        <charset val="134"/>
      </rPr>
      <t>SN6140</t>
    </r>
  </si>
  <si>
    <t>A.P.10000942</t>
  </si>
  <si>
    <t>A.P.10000942 TF DB</t>
  </si>
  <si>
    <t>A.P.10000892</t>
  </si>
  <si>
    <t>A.P.10000892 RJ45 DB</t>
  </si>
  <si>
    <r>
      <rPr>
        <sz val="9"/>
        <rFont val="Arial"/>
        <charset val="134"/>
      </rPr>
      <t>I219V,</t>
    </r>
    <r>
      <rPr>
        <sz val="9"/>
        <rFont val="微软雅黑"/>
        <charset val="134"/>
      </rPr>
      <t>不含</t>
    </r>
    <r>
      <rPr>
        <sz val="9"/>
        <rFont val="Arial"/>
        <charset val="134"/>
      </rPr>
      <t>USBHUB</t>
    </r>
  </si>
  <si>
    <t>A.P.10000885</t>
  </si>
  <si>
    <t>A.P.10000885 BATT-CON_DB</t>
  </si>
  <si>
    <r>
      <rPr>
        <sz val="9"/>
        <rFont val="微软雅黑"/>
        <charset val="134"/>
      </rPr>
      <t>含有六合一卡座；含有</t>
    </r>
    <r>
      <rPr>
        <sz val="9"/>
        <rFont val="Arial"/>
        <charset val="134"/>
      </rPr>
      <t>USB 2.0 IC</t>
    </r>
  </si>
  <si>
    <t>A.P.10000850</t>
  </si>
  <si>
    <t>A.P.10000850 RJ45 DB</t>
  </si>
  <si>
    <t>A.P.10000876</t>
  </si>
  <si>
    <t>A.P.10000876 RJ45 DB</t>
  </si>
  <si>
    <t>现询</t>
  </si>
  <si>
    <t>A.F.D.2300080</t>
  </si>
  <si>
    <t>A.F.D.2300080 IO_DB</t>
  </si>
  <si>
    <t>A.F.M.2602447</t>
  </si>
  <si>
    <t>A.F.D.2300034</t>
  </si>
  <si>
    <t>A.F.D.2300034 IO DB</t>
  </si>
  <si>
    <t>A.F.D.2300274-MP</t>
  </si>
  <si>
    <t>A.F.D.2300274  RJ45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</si>
  <si>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ALC269Q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RTL8111H</t>
    </r>
  </si>
  <si>
    <t>A.F.D.2300179</t>
  </si>
  <si>
    <t>XN39</t>
  </si>
  <si>
    <t xml:space="preserve">A.F.D.2300033 </t>
  </si>
  <si>
    <t>A.F.D.2300033  RJ45 DB</t>
  </si>
  <si>
    <t>A.F.D.2300282</t>
  </si>
  <si>
    <t>A.F.D.2300282 USB DB</t>
  </si>
  <si>
    <t>A.F.D.2300306</t>
  </si>
  <si>
    <t>A.F.D.2300306  USB DB</t>
  </si>
  <si>
    <t>A.F.D.2300225-PVT</t>
  </si>
  <si>
    <t>A.F.D.2300225  USB  DB</t>
  </si>
  <si>
    <t>A.F.D.2400036-PVT</t>
  </si>
  <si>
    <t>A.F.D.2400036  USB 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</si>
  <si>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USB3.0 Redriver</t>
    </r>
  </si>
  <si>
    <t>A.F.D.2500237-PVT</t>
  </si>
  <si>
    <t>A.F.D.2500237 USB DB</t>
  </si>
  <si>
    <t>ALC233;GL3510</t>
  </si>
  <si>
    <t>A.F.D.2400082-EVT</t>
  </si>
  <si>
    <t>A.F.D.2400082 USB DB</t>
  </si>
  <si>
    <t>A.F.D.2400081-EVT</t>
  </si>
  <si>
    <t>A.F.D.2400081  RJ45 DB</t>
  </si>
  <si>
    <t>8111H;SN6140</t>
  </si>
  <si>
    <t>A.F.D.2400035  USB  DB</t>
  </si>
  <si>
    <t>A.F.D.2400191  USB DB</t>
  </si>
  <si>
    <t>XN58</t>
  </si>
  <si>
    <t>A.P.10001163</t>
  </si>
  <si>
    <t>A.P.10001163 RJ45 DB</t>
  </si>
  <si>
    <t>A.F.D.2300018</t>
  </si>
  <si>
    <t>A.F.D.2300018 RJ45_DB</t>
  </si>
  <si>
    <t xml:space="preserve">A.P.10001137 </t>
  </si>
  <si>
    <t>A.P.10001137 RJ45 DB</t>
  </si>
  <si>
    <t>A.F.D.2200032</t>
  </si>
  <si>
    <t>A.F.D.2200032  HS_DB</t>
  </si>
  <si>
    <t>A.F.D.2300223</t>
  </si>
  <si>
    <t>A.F.D.2300223   RJ45 DB</t>
  </si>
  <si>
    <t>A.F.D.2300058</t>
  </si>
  <si>
    <t>A.F.M.2502750/A.F.M.2502879</t>
  </si>
  <si>
    <t>8111H;DP1.2 IC;USB Gen IC;</t>
  </si>
  <si>
    <t>XN66</t>
  </si>
  <si>
    <t>A.F.D.2300094 LED DB</t>
  </si>
  <si>
    <t>A.F.D.2400321-PVT</t>
  </si>
  <si>
    <t>A.F.D.2400321 RJ45 DB</t>
  </si>
  <si>
    <t>RTL8111H;RTS5170-GR</t>
  </si>
  <si>
    <t>A.F.D.2400126 LED DB</t>
  </si>
  <si>
    <t>XN75</t>
  </si>
  <si>
    <t>20231-21</t>
  </si>
  <si>
    <t>A.F.D.2300188-EVT</t>
  </si>
  <si>
    <t>A.F.D.2300188 G-SENSOR DB</t>
  </si>
  <si>
    <t>XP13</t>
  </si>
  <si>
    <t>A.F.D.2400009-EVT</t>
  </si>
  <si>
    <t>A.F.D.2400009  USB DB</t>
  </si>
  <si>
    <t>A.F.D.2400194-PVT</t>
  </si>
  <si>
    <t>A.F.D.2400194 USB DB</t>
  </si>
  <si>
    <t>A.F.D.2400195-PVT</t>
  </si>
  <si>
    <t>A.F.D.2400195 USB DB</t>
  </si>
  <si>
    <t>A.F.D.2400276-PVT</t>
  </si>
  <si>
    <t>A.F.D.2400276 USB DB</t>
  </si>
  <si>
    <r>
      <rPr>
        <sz val="9"/>
        <rFont val="Arial"/>
        <charset val="134"/>
      </rPr>
      <t>200PCS PCB</t>
    </r>
    <r>
      <rPr>
        <sz val="9"/>
        <rFont val="宋体"/>
        <charset val="134"/>
      </rPr>
      <t>包干价</t>
    </r>
    <r>
      <rPr>
        <sz val="9"/>
        <rFont val="Arial"/>
        <charset val="134"/>
      </rPr>
      <t>2500</t>
    </r>
    <r>
      <rPr>
        <sz val="9"/>
        <rFont val="宋体"/>
        <charset val="134"/>
      </rPr>
      <t>元</t>
    </r>
  </si>
  <si>
    <t>A.F.D.2500032-EVT</t>
  </si>
  <si>
    <t>A.F.D.2500032 USB DB</t>
  </si>
  <si>
    <t>A.F.D.2400238-EVT</t>
  </si>
  <si>
    <t>A.F.D.2400238 USB DB</t>
  </si>
  <si>
    <t>XP67</t>
  </si>
  <si>
    <t>A.F.D.2400222-MP</t>
  </si>
  <si>
    <t>A.F.D.2400222  IO_DB</t>
  </si>
  <si>
    <t>XA1058</t>
  </si>
  <si>
    <t>A.F.D.2300344-MP</t>
  </si>
  <si>
    <t>A.F.D.2300344 RJ45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</si>
  <si>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8111H;</t>
    </r>
    <r>
      <rPr>
        <sz val="9"/>
        <rFont val="微软雅黑"/>
        <charset val="134"/>
      </rPr>
      <t>含有</t>
    </r>
    <r>
      <rPr>
        <sz val="9"/>
        <rFont val="Arial"/>
        <charset val="134"/>
      </rPr>
      <t>ALC269Q</t>
    </r>
    <r>
      <rPr>
        <sz val="9"/>
        <rFont val="微软雅黑"/>
        <charset val="134"/>
      </rPr>
      <t>；含有</t>
    </r>
    <r>
      <rPr>
        <sz val="9"/>
        <rFont val="Arial"/>
        <charset val="134"/>
      </rPr>
      <t>PS8811QFN36GTR2</t>
    </r>
    <r>
      <rPr>
        <sz val="9"/>
        <rFont val="微软雅黑"/>
        <charset val="134"/>
      </rPr>
      <t>；含有</t>
    </r>
    <r>
      <rPr>
        <sz val="9"/>
        <rFont val="Arial"/>
        <charset val="134"/>
      </rPr>
      <t>PS8338BQFN60GTR</t>
    </r>
  </si>
  <si>
    <t>A.F.D.2300314-EVT</t>
  </si>
  <si>
    <r>
      <rPr>
        <sz val="9"/>
        <rFont val="Arial"/>
        <charset val="134"/>
      </rPr>
      <t xml:space="preserve">A.F.D.2300314  USB DB </t>
    </r>
    <r>
      <rPr>
        <sz val="9"/>
        <rFont val="微软雅黑"/>
        <charset val="134"/>
      </rPr>
      <t>爆款不带</t>
    </r>
    <r>
      <rPr>
        <sz val="9"/>
        <rFont val="Arial"/>
        <charset val="134"/>
      </rPr>
      <t>RJ45</t>
    </r>
    <r>
      <rPr>
        <sz val="9"/>
        <rFont val="微软雅黑"/>
        <charset val="134"/>
      </rPr>
      <t>小板</t>
    </r>
  </si>
  <si>
    <t>A.P.10000993</t>
  </si>
  <si>
    <t>DNN15</t>
  </si>
  <si>
    <t>A.F.D.2400345-EVT</t>
  </si>
  <si>
    <t>A.F.D.2400345 Audio DB</t>
  </si>
  <si>
    <t>GL835-OGY03</t>
  </si>
  <si>
    <t>A.F.D.2400338-EVT</t>
  </si>
  <si>
    <t>A.F.D.2400338 USB DB</t>
  </si>
  <si>
    <t>A.F.D.2500049-PVT</t>
  </si>
  <si>
    <t>A.F.D.2500049 USB DB</t>
  </si>
  <si>
    <t>RTS5170;PS8719ETQFN24GTR2-A0</t>
  </si>
  <si>
    <t>A.F.D.2500050-PVT</t>
  </si>
  <si>
    <t>A.F.D.2500050 USB DB</t>
  </si>
  <si>
    <t>PS8719ETQFN24GTR2;GL835</t>
  </si>
  <si>
    <t>JN15</t>
  </si>
  <si>
    <t>A.P.10000940</t>
  </si>
  <si>
    <t>A.P.10000940 USB DB</t>
  </si>
  <si>
    <t>A.F.D.2200022</t>
  </si>
  <si>
    <t>A.F.D.2200022 Re-driver_DB</t>
  </si>
  <si>
    <t>A.F.D.2300092</t>
  </si>
  <si>
    <t>A.F.D.2300092 Re-driver_DB</t>
  </si>
  <si>
    <t>A.P.10001123</t>
  </si>
  <si>
    <t>XU-SCD</t>
  </si>
  <si>
    <t>A.F.D.2400150- PVT</t>
  </si>
  <si>
    <t>A.F.D.2400150  AUDIO DB</t>
  </si>
  <si>
    <t>A.F.D.2400151- PVT</t>
  </si>
  <si>
    <t>A.F.D.2400151  AUDIO DB</t>
  </si>
  <si>
    <t>DNN8339</t>
  </si>
  <si>
    <t>A.F.D.2300378</t>
  </si>
  <si>
    <t>A.F.D.2300378 RJ45</t>
  </si>
  <si>
    <t>DNNTUS</t>
  </si>
  <si>
    <t>A.F.D.2500207-EVT</t>
  </si>
  <si>
    <t>A.F.D.2500207 USB DB</t>
  </si>
  <si>
    <t>A.F.D.2400172-PVT</t>
  </si>
  <si>
    <t>A.F.D.2400172  USB DB</t>
  </si>
  <si>
    <t>A.F.D.2400173-PVT</t>
  </si>
  <si>
    <t>A.F.D.2400173   USB DB</t>
  </si>
  <si>
    <t>A.P.10001128</t>
  </si>
  <si>
    <t>A.P.10001128 126H-KB_DB</t>
  </si>
  <si>
    <t>GN1</t>
  </si>
  <si>
    <t>A.P.10000992</t>
  </si>
  <si>
    <t>A.P.10000992 RJ45 DB</t>
  </si>
  <si>
    <t>A.P.10000991</t>
  </si>
  <si>
    <t>A.P.10000991 RJ45 DB</t>
  </si>
  <si>
    <t>A.P.10000938</t>
  </si>
  <si>
    <t>A.P.10000938 USB DB</t>
  </si>
  <si>
    <t>A.P.10000958</t>
  </si>
  <si>
    <t>A.P.10000958 USB DB</t>
  </si>
  <si>
    <t>A.P.10000747</t>
  </si>
  <si>
    <t>A.P.10000747 RJ45 DB</t>
  </si>
  <si>
    <t>225V</t>
  </si>
  <si>
    <t>A.P.10000746</t>
  </si>
  <si>
    <t>A.P.10000746 116PC RJ45 DB</t>
  </si>
  <si>
    <t>A.P.10000738</t>
  </si>
  <si>
    <t>A.P.10000738 USB DB</t>
  </si>
  <si>
    <t>A.P.10000681</t>
  </si>
  <si>
    <t>A.P.10000681 USB DB</t>
  </si>
  <si>
    <t>A.F.P.1000438</t>
  </si>
  <si>
    <t>A.F.P.1000438 Audio Jack USB DB</t>
  </si>
  <si>
    <t>A.P.10000691</t>
  </si>
  <si>
    <t>A.P.10000691 RJ45 DB</t>
  </si>
  <si>
    <t>A.F.P.1000404</t>
  </si>
  <si>
    <t>A.F.P.1000404 RJ45 DB 116PC2</t>
  </si>
  <si>
    <t>A.F.P.1000418</t>
  </si>
  <si>
    <t>A.F.P.1000418 RJ45 DB 116P</t>
  </si>
  <si>
    <t>A.F.P.1000363</t>
  </si>
  <si>
    <t>A.F.P.1000363 USB DB 116P</t>
  </si>
  <si>
    <t>A.F.P.1000359</t>
  </si>
  <si>
    <r>
      <rPr>
        <sz val="9"/>
        <rFont val="Arial"/>
        <charset val="134"/>
      </rPr>
      <t>A.F.P.1000359 USB DB 156M</t>
    </r>
    <r>
      <rPr>
        <sz val="9"/>
        <rFont val="微软雅黑"/>
        <charset val="134"/>
      </rPr>
      <t>远鹏</t>
    </r>
  </si>
  <si>
    <t>A.F.P.1000328</t>
  </si>
  <si>
    <t>A.F.P.1000328 RJ45 DB V11</t>
  </si>
  <si>
    <t>A.F.P.1000445</t>
  </si>
  <si>
    <t>A.F.P.1000445 RJ45_DB_V20</t>
  </si>
  <si>
    <t>A.F.P.1000360</t>
  </si>
  <si>
    <t>A.F.P.1000360 USB3.0 DB</t>
  </si>
  <si>
    <t>KN1</t>
  </si>
  <si>
    <t>A.F.P.1000205</t>
  </si>
  <si>
    <t>A.F.P.1000205 DB 133M/140M</t>
  </si>
  <si>
    <t>A.F.D.2400148-MP PST only</t>
  </si>
  <si>
    <r>
      <rPr>
        <sz val="9"/>
        <rFont val="Arial"/>
        <charset val="134"/>
      </rPr>
      <t xml:space="preserve">A.F.D.2400148 AUDIO DB(pst </t>
    </r>
    <r>
      <rPr>
        <sz val="9"/>
        <rFont val="微软雅黑"/>
        <charset val="134"/>
      </rPr>
      <t>专用）</t>
    </r>
  </si>
  <si>
    <t>RTL8111H-CG</t>
  </si>
  <si>
    <t>A.F.D.2400053</t>
  </si>
  <si>
    <t>A.F.D.2400053  USB DB</t>
  </si>
  <si>
    <t>A.F.D.2300376-MP</t>
  </si>
  <si>
    <t>A.F.D.2300376 RJ45 DB</t>
  </si>
  <si>
    <t>A.F.D.2300375-MP</t>
  </si>
  <si>
    <t>A.F.D.2300375 LED DB</t>
  </si>
  <si>
    <t>A.F.D.2400149-MP MP PST only</t>
  </si>
  <si>
    <t>A.F.D.2400149 AUDIO DB PST only</t>
  </si>
  <si>
    <t>A.F.D.2300026</t>
  </si>
  <si>
    <t>A.F.D.2300026 RJ45 DB</t>
  </si>
  <si>
    <t>A.F.D.2300015</t>
  </si>
  <si>
    <t>A.F.D.2300015 LED_DB</t>
  </si>
  <si>
    <t>A.P.10001071</t>
  </si>
  <si>
    <t>A.P.10001073</t>
  </si>
  <si>
    <t>A.P.10000702</t>
  </si>
  <si>
    <t>A.P.10000702 ES8336D DB</t>
  </si>
  <si>
    <t>MODUL_CODEC_EVEREST_ES8336_</t>
  </si>
  <si>
    <t>A.P.10000879</t>
  </si>
  <si>
    <t>A.P.10000879 ES8336 DB</t>
  </si>
  <si>
    <r>
      <rPr>
        <sz val="9"/>
        <rFont val="微软雅黑"/>
        <charset val="134"/>
      </rPr>
      <t>阿里参考</t>
    </r>
    <r>
      <rPr>
        <sz val="9"/>
        <rFont val="Arial"/>
        <charset val="134"/>
      </rPr>
      <t>MB BOM</t>
    </r>
  </si>
  <si>
    <r>
      <rPr>
        <sz val="9"/>
        <rFont val="Arial"/>
        <charset val="134"/>
      </rPr>
      <t>Codec:</t>
    </r>
    <r>
      <rPr>
        <sz val="9"/>
        <rFont val="微软雅黑"/>
        <charset val="134"/>
      </rPr>
      <t>深蕾</t>
    </r>
    <r>
      <rPr>
        <sz val="9"/>
        <rFont val="Arial"/>
        <charset val="134"/>
      </rPr>
      <t>SN6140</t>
    </r>
  </si>
  <si>
    <r>
      <rPr>
        <sz val="9"/>
        <rFont val="微软雅黑"/>
        <charset val="134"/>
      </rPr>
      <t>阿里参考</t>
    </r>
    <r>
      <rPr>
        <sz val="9"/>
        <rFont val="Arial"/>
        <charset val="134"/>
      </rPr>
      <t>RK1808 BOM</t>
    </r>
  </si>
  <si>
    <r>
      <rPr>
        <sz val="9"/>
        <rFont val="微软雅黑"/>
        <charset val="134"/>
      </rPr>
      <t>阿里参考</t>
    </r>
    <r>
      <rPr>
        <sz val="9"/>
        <rFont val="Arial"/>
        <charset val="134"/>
      </rPr>
      <t>4SPK BOM</t>
    </r>
  </si>
  <si>
    <t>CN1G</t>
  </si>
  <si>
    <t>IP3_PWR_MD_3V5V_SIL</t>
  </si>
  <si>
    <t>A.P.10000635</t>
  </si>
  <si>
    <t>A.P.10000635 SY8388B_SY8388C DB</t>
  </si>
  <si>
    <t>GN1D</t>
  </si>
  <si>
    <t>A.P.10000893</t>
  </si>
  <si>
    <t>A.P.10000893 RJ45 DB</t>
  </si>
  <si>
    <t>A.P.10000667</t>
  </si>
  <si>
    <t>CODEC_EVEREST_ES8336</t>
  </si>
  <si>
    <t>A.P.10000701</t>
  </si>
  <si>
    <t>A.P.10000701 ES8336 DB</t>
  </si>
  <si>
    <t>CN6</t>
  </si>
  <si>
    <t>A.P.10000574</t>
  </si>
  <si>
    <t>A.P.10000574 140M/156M USB DB</t>
  </si>
  <si>
    <t>A.P.10000784</t>
  </si>
  <si>
    <r>
      <rPr>
        <sz val="9"/>
        <rFont val="Arial"/>
        <charset val="134"/>
      </rPr>
      <t xml:space="preserve">A.P.10000784 USB DB </t>
    </r>
    <r>
      <rPr>
        <sz val="9"/>
        <rFont val="微软雅黑"/>
        <charset val="134"/>
      </rPr>
      <t>森创达</t>
    </r>
    <r>
      <rPr>
        <sz val="9"/>
        <rFont val="Arial"/>
        <charset val="134"/>
      </rPr>
      <t>Y156S</t>
    </r>
  </si>
  <si>
    <t>A.P.10000835</t>
  </si>
  <si>
    <r>
      <rPr>
        <sz val="9"/>
        <rFont val="Arial"/>
        <charset val="134"/>
      </rPr>
      <t>A.P.10000835 IO_DB</t>
    </r>
    <r>
      <rPr>
        <sz val="9"/>
        <rFont val="微软雅黑"/>
        <charset val="134"/>
      </rPr>
      <t>（支持屏右侧</t>
    </r>
    <r>
      <rPr>
        <sz val="9"/>
        <rFont val="Arial"/>
        <charset val="134"/>
      </rPr>
      <t>Hall</t>
    </r>
    <r>
      <rPr>
        <sz val="9"/>
        <rFont val="微软雅黑"/>
        <charset val="134"/>
      </rPr>
      <t>磁铁</t>
    </r>
  </si>
  <si>
    <t>A.P.10000596</t>
  </si>
  <si>
    <t>A.P.10000596 IO_DB V20</t>
  </si>
  <si>
    <t>A.P.10000530</t>
  </si>
  <si>
    <t>A.P.10000530 DB USB 3.0V20</t>
  </si>
  <si>
    <t>A.P.10000654</t>
  </si>
  <si>
    <t>A.P.10000730</t>
  </si>
  <si>
    <t>A.P.10000730 SSD DB</t>
  </si>
  <si>
    <t>A.F.P.1000399</t>
  </si>
  <si>
    <t>A.F.P.1000399 Audio 101H DB</t>
  </si>
  <si>
    <t>A.F.D.2200036</t>
  </si>
  <si>
    <t>A.F.D.2200036 USB DB</t>
  </si>
  <si>
    <t>A.P.10000878</t>
  </si>
  <si>
    <t>A.P.10000878 USB DB</t>
  </si>
  <si>
    <t>A.P.10000907</t>
  </si>
  <si>
    <t>A.P.10000907 USB DB</t>
  </si>
  <si>
    <t>A.P.10000943</t>
  </si>
  <si>
    <t>A.P.10000943 USB DB</t>
  </si>
  <si>
    <t>A.P.10000941</t>
  </si>
  <si>
    <t>A.P.10000941 Hall-sensor DB</t>
  </si>
  <si>
    <t>A.P.10000820</t>
  </si>
  <si>
    <t>A.P.10000820 USB DB</t>
  </si>
  <si>
    <t>A.P.10000729</t>
  </si>
  <si>
    <t>A.P.10000729 USB DB</t>
  </si>
  <si>
    <t>JN81S</t>
  </si>
  <si>
    <t>A.F.D.2400144-MP</t>
  </si>
  <si>
    <t>A.F.D.2400144  USB DB</t>
  </si>
  <si>
    <t>A.F.D.2400026</t>
  </si>
  <si>
    <t>A.F.D.2400026 USB DB</t>
  </si>
  <si>
    <t>A.F.D.2400027</t>
  </si>
  <si>
    <t>A.F.D.2400027 USB DB</t>
  </si>
  <si>
    <t>XN56</t>
  </si>
  <si>
    <t>A.P.10001095</t>
  </si>
  <si>
    <t>A.P.10001095 USB DB</t>
  </si>
  <si>
    <t>A.P.10001096</t>
  </si>
  <si>
    <t>A.P.10001096 HALL DB</t>
  </si>
  <si>
    <t>A.P.10000984</t>
  </si>
  <si>
    <t>A.P.10000984 USB DB</t>
  </si>
  <si>
    <t>A.P.10001001</t>
  </si>
  <si>
    <t>A.P.10001001 USB DB</t>
  </si>
  <si>
    <t>A.P.10001082</t>
  </si>
  <si>
    <t>A.P.10001082 LCD DB</t>
  </si>
  <si>
    <r>
      <rPr>
        <sz val="9"/>
        <rFont val="微软雅黑"/>
        <charset val="134"/>
      </rPr>
      <t>屏厂指定电源管理</t>
    </r>
    <r>
      <rPr>
        <sz val="9"/>
        <rFont val="Arial"/>
        <charset val="134"/>
      </rPr>
      <t>IC</t>
    </r>
    <r>
      <rPr>
        <sz val="9"/>
        <rFont val="微软雅黑"/>
        <charset val="134"/>
      </rPr>
      <t>：矽致微</t>
    </r>
    <r>
      <rPr>
        <sz val="9"/>
        <rFont val="Arial"/>
        <charset val="134"/>
      </rPr>
      <t xml:space="preserve"> SM3201C</t>
    </r>
  </si>
  <si>
    <t>A.P.10001128 USB DB</t>
  </si>
  <si>
    <t>A.F.D.2400256</t>
  </si>
  <si>
    <t>A.F.D.2400256  SENSOR DB</t>
  </si>
  <si>
    <r>
      <rPr>
        <sz val="9"/>
        <rFont val="微软雅黑"/>
        <charset val="134"/>
      </rPr>
      <t>含客供料</t>
    </r>
    <r>
      <rPr>
        <sz val="9"/>
        <rFont val="Arial"/>
        <charset val="134"/>
      </rPr>
      <t>OPT101P-J</t>
    </r>
  </si>
  <si>
    <t>A.F.D.2400258</t>
  </si>
  <si>
    <t>A.F.D.2400258  KEY DB</t>
  </si>
  <si>
    <t>A.F.D.2400257</t>
  </si>
  <si>
    <t>A.F.D.2400257 PIC18F14K50 DB</t>
  </si>
  <si>
    <r>
      <rPr>
        <sz val="9"/>
        <rFont val="Arial"/>
        <charset val="134"/>
      </rPr>
      <t>cpu</t>
    </r>
    <r>
      <rPr>
        <sz val="9"/>
        <rFont val="微软雅黑"/>
        <charset val="134"/>
      </rPr>
      <t>含</t>
    </r>
    <r>
      <rPr>
        <sz val="9"/>
        <rFont val="Arial"/>
        <charset val="134"/>
      </rPr>
      <t>PIC18F14K50-I/SO</t>
    </r>
    <r>
      <rPr>
        <sz val="9"/>
        <rFont val="微软雅黑"/>
        <charset val="134"/>
      </rPr>
      <t>，</t>
    </r>
    <r>
      <rPr>
        <sz val="9"/>
        <rFont val="Arial"/>
        <charset val="134"/>
      </rPr>
      <t>PIC18F14K50-I/SO-20</t>
    </r>
    <r>
      <rPr>
        <sz val="9"/>
        <rFont val="微软雅黑"/>
        <charset val="134"/>
      </rPr>
      <t>元是代理报价，现货价格是</t>
    </r>
    <r>
      <rPr>
        <sz val="9"/>
        <rFont val="Arial"/>
        <charset val="134"/>
      </rPr>
      <t>35</t>
    </r>
  </si>
  <si>
    <t>DNS9</t>
  </si>
  <si>
    <t>A.F.D.2500026-PVT</t>
  </si>
  <si>
    <t>A.F.D.2500026 SATA DB</t>
  </si>
  <si>
    <r>
      <rPr>
        <sz val="9"/>
        <rFont val="Arial"/>
        <charset val="134"/>
      </rPr>
      <t>SY8003ADFC;SATA</t>
    </r>
    <r>
      <rPr>
        <sz val="9"/>
        <rFont val="微软雅黑"/>
        <charset val="134"/>
      </rPr>
      <t>接口</t>
    </r>
    <r>
      <rPr>
        <sz val="9"/>
        <rFont val="Arial"/>
        <charset val="134"/>
      </rPr>
      <t>2pcs</t>
    </r>
  </si>
  <si>
    <t>A.F.D.2400229-EVT</t>
  </si>
  <si>
    <t>A.F.D.2400229  RJ45 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</si>
  <si>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JMB585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SATA</t>
    </r>
    <r>
      <rPr>
        <sz val="9"/>
        <rFont val="微软雅黑"/>
        <charset val="134"/>
      </rPr>
      <t>接口</t>
    </r>
    <r>
      <rPr>
        <sz val="9"/>
        <rFont val="Arial"/>
        <charset val="134"/>
      </rPr>
      <t>2pcs</t>
    </r>
  </si>
  <si>
    <t>A.F.D.2400212-EVT</t>
  </si>
  <si>
    <t>A.F.D.2400212  HDD DB</t>
  </si>
  <si>
    <r>
      <rPr>
        <sz val="9"/>
        <rFont val="微软雅黑"/>
        <charset val="134"/>
      </rPr>
      <t>含有转换芯片</t>
    </r>
    <r>
      <rPr>
        <sz val="9"/>
        <rFont val="Arial"/>
        <charset val="134"/>
      </rPr>
      <t>(</t>
    </r>
    <r>
      <rPr>
        <sz val="9"/>
        <rFont val="微软雅黑"/>
        <charset val="134"/>
      </rPr>
      <t>一拖</t>
    </r>
    <r>
      <rPr>
        <sz val="9"/>
        <rFont val="Arial"/>
        <charset val="134"/>
      </rPr>
      <t>5)JMB585-QHBB0A</t>
    </r>
  </si>
  <si>
    <t>DNN20</t>
  </si>
  <si>
    <t>A.F.D.2300194-EVT</t>
  </si>
  <si>
    <t>A.F.D.2300194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</si>
  <si>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IT6113FN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SC6104QDER</t>
    </r>
    <r>
      <rPr>
        <sz val="9"/>
        <rFont val="微软雅黑"/>
        <charset val="134"/>
      </rPr>
      <t>；</t>
    </r>
  </si>
  <si>
    <t>A.F.D.2300022</t>
  </si>
  <si>
    <t>A.F.D.2300022 G-sensor DB</t>
  </si>
  <si>
    <t>DNP15C</t>
  </si>
  <si>
    <t>A.F.D.2400233-MP</t>
  </si>
  <si>
    <t>A.F.D.2400233 Audio DB</t>
  </si>
  <si>
    <t>A.P.10001116</t>
  </si>
  <si>
    <t>A.P.10001116 Audio DB</t>
  </si>
  <si>
    <t>JN56</t>
  </si>
  <si>
    <t>A.P.10001162</t>
  </si>
  <si>
    <t>A.P.10001162  USB  DB</t>
  </si>
  <si>
    <t>A.P.10001154</t>
  </si>
  <si>
    <t>A.P.10001154  PYDB</t>
  </si>
  <si>
    <t>DNS11</t>
  </si>
  <si>
    <t>A.F.D.2500080-PVT</t>
  </si>
  <si>
    <t>A.F.D.2500080 _HDD DB</t>
  </si>
  <si>
    <t>A.F.D.2500260-PVT</t>
  </si>
  <si>
    <t>A.F.D.2500260 _AUDIO DB</t>
  </si>
  <si>
    <t>A.F.D.2500220-PVT</t>
  </si>
  <si>
    <t>A.F.D.2500220 RJ45 DB</t>
  </si>
  <si>
    <r>
      <rPr>
        <sz val="9"/>
        <color theme="1"/>
        <rFont val="Arial"/>
        <charset val="134"/>
      </rPr>
      <t>RTL8111H</t>
    </r>
    <r>
      <rPr>
        <sz val="9"/>
        <color theme="1"/>
        <rFont val="微软雅黑"/>
        <charset val="134"/>
      </rPr>
      <t>；</t>
    </r>
    <r>
      <rPr>
        <sz val="9"/>
        <color theme="1"/>
        <rFont val="Arial"/>
        <charset val="134"/>
      </rPr>
      <t>ALC269Q(PCB</t>
    </r>
    <r>
      <rPr>
        <sz val="9"/>
        <color theme="1"/>
        <rFont val="宋体"/>
        <charset val="134"/>
      </rPr>
      <t>为</t>
    </r>
    <r>
      <rPr>
        <sz val="9"/>
        <color theme="1"/>
        <rFont val="Arial"/>
        <charset val="134"/>
      </rPr>
      <t>25</t>
    </r>
    <r>
      <rPr>
        <sz val="9"/>
        <color theme="1"/>
        <rFont val="宋体"/>
        <charset val="134"/>
      </rPr>
      <t>年价格，实单前再确认）</t>
    </r>
  </si>
  <si>
    <t>A.F.D.2500171-PVT</t>
  </si>
  <si>
    <t>A.F.D.2500171 AUDIO DB</t>
  </si>
  <si>
    <t>A.F.D.2500224-MP</t>
  </si>
  <si>
    <t>A.F.D.2500224 hall DB</t>
  </si>
  <si>
    <t>JS8</t>
  </si>
  <si>
    <t>A.F.D.2400237-EVT</t>
  </si>
  <si>
    <t>A.F.D.2400237 USB DB</t>
  </si>
  <si>
    <r>
      <rPr>
        <sz val="10"/>
        <rFont val="宋体"/>
        <charset val="134"/>
      </rPr>
      <t>含</t>
    </r>
    <r>
      <rPr>
        <sz val="10"/>
        <rFont val="Arial"/>
        <charset val="134"/>
      </rPr>
      <t>SAS</t>
    </r>
    <r>
      <rPr>
        <sz val="10"/>
        <rFont val="宋体"/>
        <charset val="134"/>
      </rPr>
      <t>硬盘接口</t>
    </r>
    <r>
      <rPr>
        <sz val="10"/>
        <rFont val="Arial"/>
        <charset val="134"/>
      </rPr>
      <t>EAST-SAS8639A68P-E01R*2pcs'</t>
    </r>
  </si>
  <si>
    <t>A.F.D.2400213-EVT</t>
  </si>
  <si>
    <t>A.F.D.2400213 HDD DB</t>
  </si>
  <si>
    <t>DNS13</t>
  </si>
  <si>
    <t>A.F.D.2500059-EVT</t>
  </si>
  <si>
    <t>A.F.D.2500059 USB DB</t>
  </si>
  <si>
    <t>SN75LVCP601RTJR*2pcs</t>
  </si>
  <si>
    <t>A.F.D.2500175</t>
  </si>
  <si>
    <t>A.F.D.2500175 USB DB</t>
  </si>
  <si>
    <t>SN75LVCP601RTJR</t>
  </si>
  <si>
    <t>DNN525</t>
  </si>
  <si>
    <t>A.F.D.2300291</t>
  </si>
  <si>
    <t>A.F.D.2300291 USB DB</t>
  </si>
  <si>
    <t>A.F.D.2500011</t>
  </si>
  <si>
    <t>A.F.D.2500011 HDD DB</t>
  </si>
  <si>
    <r>
      <rPr>
        <sz val="10"/>
        <rFont val="宋体"/>
        <charset val="134"/>
      </rPr>
      <t>pcb使用</t>
    </r>
    <r>
      <rPr>
        <sz val="10"/>
        <rFont val="Arial"/>
        <charset val="134"/>
      </rPr>
      <t>TG-135</t>
    </r>
    <r>
      <rPr>
        <sz val="10"/>
        <rFont val="宋体"/>
        <charset val="134"/>
      </rPr>
      <t>板材，金手指</t>
    </r>
    <r>
      <rPr>
        <sz val="10"/>
        <rFont val="Arial"/>
        <charset val="134"/>
      </rPr>
      <t>+</t>
    </r>
    <r>
      <rPr>
        <sz val="10"/>
        <rFont val="宋体"/>
        <charset val="134"/>
      </rPr>
      <t>斜边</t>
    </r>
  </si>
  <si>
    <t>DNP15</t>
  </si>
  <si>
    <t>A.P.10000935</t>
  </si>
  <si>
    <r>
      <rPr>
        <sz val="10"/>
        <rFont val="Arial"/>
        <charset val="134"/>
      </rPr>
      <t>A.P.10000935 HDA</t>
    </r>
    <r>
      <rPr>
        <sz val="10"/>
        <rFont val="微软雅黑"/>
        <charset val="134"/>
      </rPr>
      <t>协议</t>
    </r>
    <r>
      <rPr>
        <sz val="10"/>
        <rFont val="Arial"/>
        <charset val="134"/>
      </rPr>
      <t>CODE DB</t>
    </r>
  </si>
  <si>
    <r>
      <rPr>
        <sz val="10"/>
        <rFont val="Arial"/>
        <charset val="134"/>
      </rPr>
      <t>Code:</t>
    </r>
    <r>
      <rPr>
        <sz val="10"/>
        <rFont val="微软雅黑"/>
        <charset val="134"/>
      </rPr>
      <t>新思科技</t>
    </r>
    <r>
      <rPr>
        <sz val="10"/>
        <rFont val="Arial"/>
        <charset val="134"/>
      </rPr>
      <t>CX11880</t>
    </r>
  </si>
  <si>
    <t>JN11B</t>
  </si>
  <si>
    <t>A.F.D.2300244</t>
  </si>
  <si>
    <t>A.F.D.2300244 USB DB</t>
  </si>
  <si>
    <t>JN23</t>
  </si>
  <si>
    <t>A.P.10000960</t>
  </si>
  <si>
    <t>A.P.10000704</t>
  </si>
  <si>
    <t>A.P.10000704 XN23_156P USB DB</t>
  </si>
  <si>
    <t>JP2A</t>
  </si>
  <si>
    <t>A.F.P.1000385</t>
  </si>
  <si>
    <t>A.F.P.1000385 SATA 116M DB</t>
  </si>
  <si>
    <t>JS6</t>
  </si>
  <si>
    <t>A.F.D.2400099-EVT</t>
  </si>
  <si>
    <t>A.F.D.2400099 SATA DB</t>
  </si>
  <si>
    <r>
      <rPr>
        <sz val="10"/>
        <rFont val="宋体"/>
        <charset val="134"/>
      </rPr>
      <t>智微</t>
    </r>
    <r>
      <rPr>
        <sz val="10"/>
        <rFont val="Arial"/>
        <charset val="134"/>
      </rPr>
      <t>JMB582</t>
    </r>
  </si>
  <si>
    <t>A.F.D.2400093</t>
  </si>
  <si>
    <t>A.F.D.2400093 HDD2 DB</t>
  </si>
  <si>
    <t>W25X20CLSNIG;JMB582</t>
  </si>
  <si>
    <t>A.F.D.2300352</t>
  </si>
  <si>
    <t>A.F.D.2300352 HDD DB</t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</si>
  <si>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JMB585 IC</t>
    </r>
  </si>
  <si>
    <t>A.F.D.2300353</t>
  </si>
  <si>
    <t>A.F.D.2300353 LED DB</t>
  </si>
  <si>
    <t>A.F.D.2300354</t>
  </si>
  <si>
    <t>A.F.D.2300354 LED DB</t>
  </si>
  <si>
    <t>A.F.D.2300351</t>
  </si>
  <si>
    <t>A.F.D.2300351 HDD DB</t>
  </si>
  <si>
    <t>A.F.D.2400075</t>
  </si>
  <si>
    <t>A.F.D.2400075 LED2_DB_V11_PVT</t>
  </si>
  <si>
    <t>A.F.D.2400076</t>
  </si>
  <si>
    <t>A.F.D.2400076 LED5_DB_V11_PVT</t>
  </si>
  <si>
    <t>A.F.D.2400094</t>
  </si>
  <si>
    <t>A.F.D.2400094 HDD5_DB_V11_PVT</t>
  </si>
  <si>
    <r>
      <rPr>
        <sz val="10"/>
        <rFont val="宋体"/>
        <charset val="134"/>
      </rPr>
      <t>含智微</t>
    </r>
    <r>
      <rPr>
        <sz val="10"/>
        <rFont val="Arial"/>
        <charset val="134"/>
      </rPr>
      <t>JMB585 IC(PCIE</t>
    </r>
    <r>
      <rPr>
        <sz val="10"/>
        <rFont val="宋体"/>
        <charset val="134"/>
      </rPr>
      <t>转</t>
    </r>
    <r>
      <rPr>
        <sz val="10"/>
        <rFont val="Arial"/>
        <charset val="134"/>
      </rPr>
      <t>SATA</t>
    </r>
    <r>
      <rPr>
        <sz val="10"/>
        <rFont val="宋体"/>
        <charset val="134"/>
      </rPr>
      <t>桥接</t>
    </r>
    <r>
      <rPr>
        <sz val="10"/>
        <rFont val="Arial"/>
        <charset val="134"/>
      </rPr>
      <t>IC)</t>
    </r>
  </si>
  <si>
    <t>JN525</t>
  </si>
  <si>
    <t>A.P.10001115</t>
  </si>
  <si>
    <t>A.P.10001115 USB DB</t>
  </si>
  <si>
    <t>A.P.10001037</t>
  </si>
  <si>
    <t>A.P.10001037 USB DB</t>
  </si>
  <si>
    <t>BIOS_Debug_DB</t>
  </si>
  <si>
    <t>A.P.10000514</t>
  </si>
  <si>
    <t>A.P.10000514 BIOS_Debug_DB  SKU1</t>
  </si>
  <si>
    <r>
      <rPr>
        <sz val="10"/>
        <rFont val="微软雅黑"/>
        <charset val="134"/>
      </rPr>
      <t>含有联阳的</t>
    </r>
    <r>
      <rPr>
        <sz val="10"/>
        <rFont val="Arial"/>
        <charset val="134"/>
      </rPr>
      <t xml:space="preserve">IT8390E-256/CX  IC </t>
    </r>
  </si>
  <si>
    <t>A.F.D.2400254  BIOS_Debug_DB  SKU2</t>
  </si>
  <si>
    <t>DNP59</t>
  </si>
  <si>
    <t>A.F.D.2500062-EVT</t>
  </si>
  <si>
    <t>A.F.D.2500062 Charge DB</t>
  </si>
  <si>
    <t>A.F.D.2500202-DVT</t>
  </si>
  <si>
    <t>A.F.D.2500202 Typec DB</t>
  </si>
  <si>
    <t>RTS5460Z;E25800-ASA</t>
  </si>
  <si>
    <t>A.F.D.2500203-DVT</t>
  </si>
  <si>
    <t>A.F.D.2500203  KEY DB</t>
  </si>
  <si>
    <t>A.F.D.2500204-DVT</t>
  </si>
  <si>
    <t>A.F.D.2500204 Charge DB</t>
  </si>
  <si>
    <t>A.F.D.2500046-EVT</t>
  </si>
  <si>
    <t>A.F.D.2500046 KEY DB</t>
  </si>
  <si>
    <t>A.F.D.2500045-EVT</t>
  </si>
  <si>
    <t>A.F.D.2500045 USB DB</t>
  </si>
  <si>
    <t>JN106</t>
  </si>
  <si>
    <t>A.F.D.2500167-EVT</t>
  </si>
  <si>
    <t>A.F.D.2500167 Audio DB</t>
  </si>
  <si>
    <t>DN102</t>
  </si>
  <si>
    <t>A.F.D.2400354-EVT</t>
  </si>
  <si>
    <t>A.F.D.2400354 RJ45 DB</t>
  </si>
  <si>
    <t>RTL8111H;RTS5170</t>
  </si>
  <si>
    <t>GN10A</t>
  </si>
  <si>
    <t>A.P.10000834</t>
  </si>
  <si>
    <r>
      <rPr>
        <sz val="10"/>
        <rFont val="Arial"/>
        <charset val="134"/>
      </rPr>
      <t>A.P.10000834 IO_DB</t>
    </r>
    <r>
      <rPr>
        <sz val="10"/>
        <rFont val="微软雅黑"/>
        <charset val="134"/>
      </rPr>
      <t>（</t>
    </r>
    <r>
      <rPr>
        <sz val="10"/>
        <rFont val="Arial"/>
        <charset val="134"/>
      </rPr>
      <t>Hall</t>
    </r>
    <r>
      <rPr>
        <sz val="10"/>
        <rFont val="微软雅黑"/>
        <charset val="134"/>
      </rPr>
      <t>磁铁在屏下方）</t>
    </r>
  </si>
  <si>
    <t>MTS12</t>
  </si>
  <si>
    <t>A.F.D.2500245-PVT</t>
  </si>
  <si>
    <t>A.F.D.2500245 HDD*6 DB</t>
  </si>
  <si>
    <t>ASM1166</t>
  </si>
  <si>
    <t>A.F.D.2500107</t>
  </si>
  <si>
    <t>A.F.D.2500107 BTN DB</t>
  </si>
  <si>
    <t>AXN77B</t>
  </si>
  <si>
    <t>A.F.D.2500299</t>
  </si>
  <si>
    <t>A.F.D.2500299 RJ45 DB</t>
  </si>
  <si>
    <r>
      <rPr>
        <sz val="9"/>
        <color theme="1"/>
        <rFont val="Arial"/>
        <charset val="134"/>
      </rPr>
      <t>A.F.D.2500550 FP11(AI</t>
    </r>
    <r>
      <rPr>
        <sz val="9"/>
        <color theme="1"/>
        <rFont val="宋体"/>
        <charset val="134"/>
      </rPr>
      <t>）小板</t>
    </r>
  </si>
  <si>
    <r>
      <rPr>
        <sz val="9"/>
        <color theme="1"/>
        <rFont val="宋体"/>
        <charset val="134"/>
      </rPr>
      <t>瑞昱</t>
    </r>
    <r>
      <rPr>
        <sz val="9"/>
        <color theme="1"/>
        <rFont val="Arial"/>
        <charset val="134"/>
      </rPr>
      <t>RTL8125BG-CG+ALC1318-CG+ALC245-CG,SMT</t>
    </r>
    <r>
      <rPr>
        <sz val="9"/>
        <color theme="1"/>
        <rFont val="宋体"/>
        <charset val="134"/>
      </rPr>
      <t>预估</t>
    </r>
  </si>
  <si>
    <t>XN59</t>
  </si>
  <si>
    <t>A.F.D.2400032 RJ45 DB</t>
  </si>
  <si>
    <t>INTU</t>
  </si>
  <si>
    <t>A.F.D.2400177-MP</t>
  </si>
  <si>
    <t>A.F.D.2400177  USB DB</t>
  </si>
  <si>
    <t>A.F.D.2500300</t>
  </si>
  <si>
    <t>A.F.D.2500300 RJ45 DB</t>
  </si>
  <si>
    <t>AMN20</t>
  </si>
  <si>
    <t>A.P.10001060 Audio  DB</t>
  </si>
  <si>
    <t>A.F.D.2400223</t>
  </si>
  <si>
    <t>A.F.D.2400223 AUDIO DB</t>
  </si>
  <si>
    <t>A.F.D.2400344-MP</t>
  </si>
  <si>
    <t>A.F.D.2400344 SATA DB</t>
  </si>
  <si>
    <t>RTS5170;PS8719ETQFN24GTR2</t>
  </si>
  <si>
    <t>A.F.D.2400343-MP</t>
  </si>
  <si>
    <t>A.F.D.2400343 USB DB</t>
  </si>
  <si>
    <t>SY8003ADFC</t>
  </si>
  <si>
    <t>DN792</t>
  </si>
  <si>
    <t>A.F.D.2500293-MP</t>
  </si>
  <si>
    <t>A.F.D.2500293 RJ45 DB</t>
  </si>
  <si>
    <t>XN99</t>
  </si>
  <si>
    <t>A.F.D.2500211-EVT</t>
  </si>
  <si>
    <t>A.F.D.2500211 USB DB</t>
  </si>
  <si>
    <t>A.F.D.2500212-EVT</t>
  </si>
  <si>
    <t>A.F.D.2500212 USB DB</t>
  </si>
  <si>
    <t xml:space="preserve">A.F.D.2500301 </t>
  </si>
  <si>
    <t>A.F.D.2500301 SIDE DB</t>
  </si>
  <si>
    <r>
      <rPr>
        <sz val="9"/>
        <color theme="1"/>
        <rFont val="Arial"/>
        <charset val="134"/>
      </rPr>
      <t>9040</t>
    </r>
    <r>
      <rPr>
        <sz val="9"/>
        <color theme="1"/>
        <rFont val="宋体"/>
        <charset val="134"/>
      </rPr>
      <t>雷电</t>
    </r>
    <r>
      <rPr>
        <sz val="9"/>
        <color theme="1"/>
        <rFont val="Arial"/>
        <charset val="134"/>
      </rPr>
      <t>IC</t>
    </r>
  </si>
  <si>
    <t>A.F.D.2300283</t>
  </si>
  <si>
    <t>A.F.D.2300283 RJ45  DB</t>
  </si>
  <si>
    <t>GN10H_10_DB</t>
  </si>
  <si>
    <t>A.F.D.2300257</t>
  </si>
  <si>
    <t>样品PCB含打样费工程费</t>
  </si>
  <si>
    <t>H61O1</t>
  </si>
  <si>
    <t>A.P.10001104 USB DB</t>
  </si>
  <si>
    <t>DN39D</t>
  </si>
  <si>
    <t>A.F.D.2500466</t>
  </si>
  <si>
    <t>A.F.D.2500466 AUDIO DB</t>
  </si>
  <si>
    <t>临时核价</t>
  </si>
  <si>
    <t>A.F.D.2500453</t>
  </si>
  <si>
    <t>A.F.D.2500453 KEY DB</t>
  </si>
  <si>
    <t>A.F.D.2500454</t>
  </si>
  <si>
    <t>A.F.D.2500454 pogo DB</t>
  </si>
  <si>
    <t>RTS5460Z-GR;E25800-ASA</t>
  </si>
  <si>
    <t>A.F.D.2500262</t>
  </si>
  <si>
    <t>A.F.D.2500262 RJ45 DB</t>
  </si>
  <si>
    <t>A.F.D.2500324</t>
  </si>
  <si>
    <r>
      <rPr>
        <sz val="9"/>
        <rFont val="Arial"/>
        <charset val="134"/>
      </rPr>
      <t>A.F.D.2500324  Audio</t>
    </r>
    <r>
      <rPr>
        <sz val="9"/>
        <rFont val="宋体"/>
        <charset val="134"/>
      </rPr>
      <t>/</t>
    </r>
    <r>
      <rPr>
        <sz val="9"/>
        <rFont val="Arial"/>
        <charset val="134"/>
      </rPr>
      <t>LED_Hall DB</t>
    </r>
  </si>
  <si>
    <t>A.F.D.2500325</t>
  </si>
  <si>
    <r>
      <rPr>
        <sz val="9"/>
        <rFont val="Arial"/>
        <charset val="134"/>
      </rPr>
      <t>A.F.D.2500325  Audio</t>
    </r>
    <r>
      <rPr>
        <sz val="9"/>
        <rFont val="宋体"/>
        <charset val="134"/>
      </rPr>
      <t>/</t>
    </r>
    <r>
      <rPr>
        <sz val="9"/>
        <rFont val="Arial"/>
        <charset val="134"/>
      </rPr>
      <t>LED_Hall DB</t>
    </r>
  </si>
  <si>
    <t>DN87</t>
  </si>
  <si>
    <t>A.F.D.2400310-PVT</t>
  </si>
  <si>
    <t>A.F.D.2400310 RJ45 DB</t>
  </si>
  <si>
    <t>A.F.D.2400310 DB</t>
  </si>
  <si>
    <r>
      <rPr>
        <sz val="9"/>
        <color theme="1"/>
        <rFont val="宋体"/>
        <charset val="134"/>
      </rPr>
      <t>去掉</t>
    </r>
    <r>
      <rPr>
        <sz val="9"/>
        <color theme="1"/>
        <rFont val="Arial"/>
        <charset val="134"/>
      </rPr>
      <t>RJ45</t>
    </r>
  </si>
  <si>
    <t>A.F.D.2400259-EVT</t>
  </si>
  <si>
    <t>A.F.D.2400259  RJ45 DB</t>
  </si>
  <si>
    <t>A.F.D.2400253-EVT</t>
  </si>
  <si>
    <t>A.F.D.2400253  RJ45 DB</t>
  </si>
  <si>
    <t>A.F.D.2500246</t>
  </si>
  <si>
    <t>A.F.D.2500246 AudioDB</t>
  </si>
  <si>
    <t>A.F.D.2500436</t>
  </si>
  <si>
    <t>A.F.D.2500436 Audio/LED_Halogen DB</t>
  </si>
  <si>
    <r>
      <rPr>
        <sz val="9"/>
        <color theme="1"/>
        <rFont val="宋体"/>
        <charset val="134"/>
      </rPr>
      <t>含雷电</t>
    </r>
    <r>
      <rPr>
        <sz val="9"/>
        <color theme="1"/>
        <rFont val="Arial"/>
        <charset val="134"/>
      </rPr>
      <t>IC 9040</t>
    </r>
  </si>
  <si>
    <t>A.F.D.2500437</t>
  </si>
  <si>
    <t>A.F.D.2500437 USB DB</t>
  </si>
  <si>
    <r>
      <rPr>
        <sz val="9"/>
        <color rgb="FFFF0000"/>
        <rFont val="宋体"/>
        <charset val="134"/>
      </rPr>
      <t>含雷电</t>
    </r>
    <r>
      <rPr>
        <sz val="9"/>
        <color rgb="FFFF0000"/>
        <rFont val="Arial"/>
        <charset val="134"/>
      </rPr>
      <t>IC 9040,</t>
    </r>
    <r>
      <rPr>
        <sz val="9"/>
        <color rgb="FFFF0000"/>
        <rFont val="宋体"/>
        <charset val="134"/>
      </rPr>
      <t>和前面xn99一致 样品PCB含打样费工程费</t>
    </r>
  </si>
  <si>
    <t>和前面xn99一致 样品PCB含打样费工程费</t>
  </si>
  <si>
    <t>A.F.D.2500218</t>
  </si>
  <si>
    <t>A.F.D.2500218 RJ45 DB</t>
  </si>
  <si>
    <t>A.F.D.2500288</t>
  </si>
  <si>
    <t>A.F.D.2500288 Audio DB</t>
  </si>
  <si>
    <t>A.F.D.2500478</t>
  </si>
  <si>
    <t xml:space="preserve">A.F.D.2500478 Hall DB </t>
  </si>
  <si>
    <r>
      <rPr>
        <sz val="9"/>
        <color rgb="FFFF0000"/>
        <rFont val="Arial"/>
        <charset val="134"/>
      </rPr>
      <t>pcb</t>
    </r>
    <r>
      <rPr>
        <sz val="9"/>
        <color rgb="FFFF0000"/>
        <rFont val="宋体"/>
        <charset val="134"/>
      </rPr>
      <t>为无卤价格，无卤</t>
    </r>
    <r>
      <rPr>
        <sz val="9"/>
        <color rgb="FFFF0000"/>
        <rFont val="Arial"/>
        <charset val="134"/>
      </rPr>
      <t>PCB</t>
    </r>
    <r>
      <rPr>
        <sz val="9"/>
        <color rgb="FFFF0000"/>
        <rFont val="宋体"/>
        <charset val="134"/>
      </rPr>
      <t>暂未提供资料到原厂无报价，待后续提供资料再重新核价</t>
    </r>
  </si>
  <si>
    <t>LINYA 216pcs</t>
  </si>
  <si>
    <t>A.F.D.2500112</t>
  </si>
  <si>
    <t>A.F.D.2500112 AUDIO DB</t>
  </si>
  <si>
    <t>AUDIO</t>
  </si>
  <si>
    <t>MTN25C</t>
  </si>
  <si>
    <t>202512/10</t>
  </si>
  <si>
    <t xml:space="preserve">A.F.D.2500499 </t>
  </si>
  <si>
    <t>A.F.D.2500499 Audio DB</t>
  </si>
  <si>
    <t>A.F.D.2500467</t>
  </si>
  <si>
    <t>A.F.D.2500467 RJ45 DB</t>
  </si>
  <si>
    <r>
      <rPr>
        <sz val="9"/>
        <rFont val="Arial"/>
        <charset val="134"/>
      </rPr>
      <t>DDR</t>
    </r>
    <r>
      <rPr>
        <sz val="9"/>
        <rFont val="宋体"/>
        <charset val="134"/>
      </rPr>
      <t>转接板</t>
    </r>
  </si>
  <si>
    <t>A.F.D.2500533</t>
  </si>
  <si>
    <r>
      <rPr>
        <sz val="9"/>
        <rFont val="Arial"/>
        <charset val="134"/>
      </rPr>
      <t>A.F.D.2500533 496</t>
    </r>
    <r>
      <rPr>
        <sz val="9"/>
        <rFont val="宋体"/>
        <charset val="134"/>
      </rPr>
      <t>球</t>
    </r>
    <r>
      <rPr>
        <sz val="9"/>
        <rFont val="Arial"/>
        <charset val="134"/>
      </rPr>
      <t>8GDDR</t>
    </r>
    <r>
      <rPr>
        <sz val="9"/>
        <color theme="1"/>
        <rFont val="宋体"/>
        <charset val="134"/>
      </rPr>
      <t xml:space="preserve"> DB</t>
    </r>
  </si>
  <si>
    <r>
      <rPr>
        <sz val="9"/>
        <color rgb="FFFF0000"/>
        <rFont val="宋体"/>
        <charset val="134"/>
      </rPr>
      <t>存储料号</t>
    </r>
    <r>
      <rPr>
        <sz val="9"/>
        <color rgb="FFFF0000"/>
        <rFont val="Arial"/>
        <charset val="134"/>
      </rPr>
      <t>E.I.M.0000626,</t>
    </r>
    <r>
      <rPr>
        <sz val="9"/>
        <color rgb="FFFF0000"/>
        <rFont val="宋体"/>
        <charset val="134"/>
      </rPr>
      <t>此份报价未含存储价格，请按实际询价增加为准</t>
    </r>
  </si>
  <si>
    <t>A.F.D.2500269</t>
  </si>
  <si>
    <t>A.F.D.2500269 RJ45 DB</t>
  </si>
  <si>
    <t>A.F.D.2500495</t>
  </si>
  <si>
    <t>A.F.D.2500495 Audio DB</t>
  </si>
  <si>
    <t>LN25C</t>
  </si>
  <si>
    <t>A.F.D.2500486</t>
  </si>
  <si>
    <t>A.F.D.2500486 RJ45 DB</t>
  </si>
  <si>
    <t>DN75</t>
  </si>
  <si>
    <t>A.F.D.2400189</t>
  </si>
  <si>
    <t>A.F.D.2400189 RJ45 DB</t>
  </si>
  <si>
    <t>A.F.D.2400240</t>
  </si>
  <si>
    <t>A.F.D.2400240 LED CONTROL BOARD</t>
  </si>
  <si>
    <t>MCU:STM32L432KBU6TR</t>
  </si>
  <si>
    <r>
      <rPr>
        <sz val="9"/>
        <color theme="1"/>
        <rFont val="Arial"/>
        <charset val="134"/>
      </rPr>
      <t>AXN88(</t>
    </r>
    <r>
      <rPr>
        <sz val="9"/>
        <color theme="1"/>
        <rFont val="宋体"/>
        <charset val="134"/>
      </rPr>
      <t>台式机小板）</t>
    </r>
  </si>
  <si>
    <t>A.F.D.2600027</t>
  </si>
  <si>
    <t>PCBA(DB)_AXN88-H01-SZ-R01_2*USB4_TF card_GL9755_Audio jack_ALC269Q-VC3_V11_PVT</t>
  </si>
  <si>
    <t>ALC269Q-VC3-GR;RTD2156-CG;RTS5453H-GR;APL5934DQBI-TRG</t>
  </si>
  <si>
    <t>APS15</t>
  </si>
  <si>
    <t>A.F.D.2600058</t>
  </si>
  <si>
    <t>A.F.D.2600058 SSD(PCIE3.0 x2)</t>
  </si>
  <si>
    <r>
      <rPr>
        <sz val="9"/>
        <color theme="1"/>
        <rFont val="Arial"/>
        <charset val="134"/>
      </rPr>
      <t>PCB</t>
    </r>
    <r>
      <rPr>
        <sz val="9"/>
        <color theme="1"/>
        <rFont val="宋体"/>
        <charset val="134"/>
      </rPr>
      <t>沉金，金手指</t>
    </r>
    <r>
      <rPr>
        <sz val="9"/>
        <color theme="1"/>
        <rFont val="Arial"/>
        <charset val="134"/>
      </rPr>
      <t>,PCB 15KPCS</t>
    </r>
    <r>
      <rPr>
        <sz val="9"/>
        <color theme="1"/>
        <rFont val="宋体"/>
        <charset val="134"/>
      </rPr>
      <t>价格</t>
    </r>
    <r>
      <rPr>
        <sz val="9"/>
        <color theme="1"/>
        <rFont val="Arial"/>
        <charset val="134"/>
      </rPr>
      <t>,PCB</t>
    </r>
    <r>
      <rPr>
        <sz val="9"/>
        <color theme="1"/>
        <rFont val="宋体"/>
        <charset val="134"/>
      </rPr>
      <t>为镀金</t>
    </r>
    <r>
      <rPr>
        <sz val="9"/>
        <color theme="1"/>
        <rFont val="Arial"/>
        <charset val="134"/>
      </rPr>
      <t>10U</t>
    </r>
  </si>
  <si>
    <t>A.F.D.2600057</t>
  </si>
  <si>
    <r>
      <rPr>
        <sz val="9"/>
        <color theme="1"/>
        <rFont val="Arial"/>
        <charset val="134"/>
      </rPr>
      <t>A.F.D.2600057 SATA</t>
    </r>
    <r>
      <rPr>
        <sz val="9"/>
        <color theme="1"/>
        <rFont val="宋体"/>
        <charset val="134"/>
      </rPr>
      <t>小板</t>
    </r>
  </si>
  <si>
    <r>
      <rPr>
        <sz val="9"/>
        <color theme="1"/>
        <rFont val="Arial"/>
        <charset val="134"/>
      </rPr>
      <t>Sata3.0 driver+HDD</t>
    </r>
    <r>
      <rPr>
        <sz val="9"/>
        <color theme="1"/>
        <rFont val="宋体"/>
        <charset val="134"/>
      </rPr>
      <t>插座，</t>
    </r>
    <r>
      <rPr>
        <sz val="9"/>
        <color theme="1"/>
        <rFont val="Arial"/>
        <charset val="134"/>
      </rPr>
      <t>PCB</t>
    </r>
    <r>
      <rPr>
        <sz val="9"/>
        <color theme="1"/>
        <rFont val="宋体"/>
        <charset val="134"/>
      </rPr>
      <t>沉金，</t>
    </r>
    <r>
      <rPr>
        <sz val="9"/>
        <color theme="1"/>
        <rFont val="Arial"/>
        <charset val="134"/>
      </rPr>
      <t>PCB 15KPCS</t>
    </r>
    <r>
      <rPr>
        <sz val="9"/>
        <color theme="1"/>
        <rFont val="宋体"/>
        <charset val="134"/>
      </rPr>
      <t>价格，</t>
    </r>
    <r>
      <rPr>
        <sz val="9"/>
        <color theme="1"/>
        <rFont val="Arial"/>
        <charset val="134"/>
      </rPr>
      <t>PCB</t>
    </r>
    <r>
      <rPr>
        <sz val="9"/>
        <color theme="1"/>
        <rFont val="宋体"/>
        <charset val="134"/>
      </rPr>
      <t>镀金</t>
    </r>
    <r>
      <rPr>
        <sz val="9"/>
        <color theme="1"/>
        <rFont val="Arial"/>
        <charset val="134"/>
      </rPr>
      <t>10U</t>
    </r>
  </si>
  <si>
    <t>PN252</t>
  </si>
  <si>
    <t>A.F.D.2500460</t>
  </si>
  <si>
    <r>
      <rPr>
        <sz val="9"/>
        <color theme="1"/>
        <rFont val="Arial"/>
        <charset val="134"/>
      </rPr>
      <t>A.F.D.2500460  DB</t>
    </r>
    <r>
      <rPr>
        <sz val="9"/>
        <color theme="1"/>
        <rFont val="宋体"/>
        <charset val="134"/>
      </rPr>
      <t>小板</t>
    </r>
  </si>
  <si>
    <r>
      <rPr>
        <sz val="9"/>
        <color theme="1"/>
        <rFont val="Arial"/>
        <charset val="134"/>
      </rPr>
      <t xml:space="preserve">HDA CODEC </t>
    </r>
    <r>
      <rPr>
        <sz val="9"/>
        <color theme="1"/>
        <rFont val="宋体"/>
        <charset val="134"/>
      </rPr>
      <t>深蕾</t>
    </r>
    <r>
      <rPr>
        <sz val="9"/>
        <color theme="1"/>
        <rFont val="Arial"/>
        <charset val="134"/>
      </rPr>
      <t xml:space="preserve"> SN6180</t>
    </r>
  </si>
  <si>
    <t>DP62</t>
  </si>
  <si>
    <t>A.F.D.2400050</t>
  </si>
  <si>
    <r>
      <rPr>
        <sz val="9"/>
        <color theme="1"/>
        <rFont val="Arial"/>
        <charset val="134"/>
      </rPr>
      <t>A.F.D.2400050  HDMII</t>
    </r>
    <r>
      <rPr>
        <sz val="9"/>
        <color theme="1"/>
        <rFont val="宋体"/>
        <charset val="134"/>
      </rPr>
      <t>小板</t>
    </r>
  </si>
  <si>
    <t>A.F.D.2400192</t>
  </si>
  <si>
    <r>
      <rPr>
        <sz val="9"/>
        <color theme="1"/>
        <rFont val="Arial"/>
        <charset val="134"/>
      </rPr>
      <t>A.F.D.2400192 TPYE-C DB</t>
    </r>
    <r>
      <rPr>
        <sz val="9"/>
        <color theme="1"/>
        <rFont val="宋体"/>
        <charset val="134"/>
      </rPr>
      <t>小板</t>
    </r>
  </si>
  <si>
    <t>A.F.D.2600030</t>
  </si>
  <si>
    <t>A.F.D.2600030 TF Card/SIM_4G LTE_DB</t>
  </si>
  <si>
    <t>瑞昱RTS5170-GR</t>
  </si>
  <si>
    <t>ARNTU146</t>
  </si>
  <si>
    <t>A.F.D.2500128</t>
  </si>
  <si>
    <r>
      <rPr>
        <sz val="9"/>
        <color theme="1"/>
        <rFont val="Arial"/>
        <charset val="134"/>
      </rPr>
      <t>A.F.D.2500128 USB  DB</t>
    </r>
    <r>
      <rPr>
        <sz val="9"/>
        <color theme="1"/>
        <rFont val="宋体"/>
        <charset val="134"/>
      </rPr>
      <t>小板</t>
    </r>
  </si>
  <si>
    <r>
      <rPr>
        <sz val="9"/>
        <color theme="1"/>
        <rFont val="宋体"/>
        <charset val="134"/>
      </rPr>
      <t>瑞昱</t>
    </r>
    <r>
      <rPr>
        <sz val="9"/>
        <color theme="1"/>
        <rFont val="Arial"/>
        <charset val="134"/>
      </rPr>
      <t>ALC269Q-VC3-GR</t>
    </r>
  </si>
  <si>
    <t>315-496(10l+OSP+HDI2)</t>
  </si>
  <si>
    <t>A.F.D.2600038</t>
  </si>
  <si>
    <t>8GB/12GB/16GB，PCB要28K起的价格</t>
  </si>
  <si>
    <t>A.F.D.2600039</t>
  </si>
  <si>
    <r>
      <rPr>
        <sz val="9"/>
        <color theme="1"/>
        <rFont val="Arial"/>
        <charset val="134"/>
      </rPr>
      <t>12GB</t>
    </r>
    <r>
      <rPr>
        <sz val="9"/>
        <color theme="1"/>
        <rFont val="宋体"/>
        <charset val="134"/>
      </rPr>
      <t>，</t>
    </r>
    <r>
      <rPr>
        <sz val="9"/>
        <color theme="1"/>
        <rFont val="Arial"/>
        <charset val="134"/>
      </rPr>
      <t>PCB28K</t>
    </r>
    <r>
      <rPr>
        <sz val="9"/>
        <color theme="1"/>
        <rFont val="宋体"/>
        <charset val="134"/>
      </rPr>
      <t>起的价格</t>
    </r>
  </si>
  <si>
    <t>A.F.D.2600040</t>
  </si>
  <si>
    <r>
      <rPr>
        <sz val="9"/>
        <color theme="1"/>
        <rFont val="Arial"/>
        <charset val="134"/>
      </rPr>
      <t>16GB</t>
    </r>
    <r>
      <rPr>
        <sz val="9"/>
        <color theme="1"/>
        <rFont val="宋体"/>
        <charset val="134"/>
      </rPr>
      <t>，</t>
    </r>
    <r>
      <rPr>
        <sz val="9"/>
        <color theme="1"/>
        <rFont val="Arial"/>
        <charset val="134"/>
      </rPr>
      <t>PCB</t>
    </r>
    <r>
      <rPr>
        <sz val="9"/>
        <color theme="1"/>
        <rFont val="宋体"/>
        <charset val="134"/>
      </rPr>
      <t>PCB要28K起的价格</t>
    </r>
  </si>
  <si>
    <t>A.F.D.2500465</t>
  </si>
  <si>
    <r>
      <rPr>
        <sz val="9"/>
        <color theme="1"/>
        <rFont val="Arial"/>
        <charset val="134"/>
      </rPr>
      <t>A.F.D.2500465 DB</t>
    </r>
    <r>
      <rPr>
        <sz val="9"/>
        <color theme="1"/>
        <rFont val="宋体"/>
        <charset val="134"/>
      </rPr>
      <t>小板</t>
    </r>
  </si>
  <si>
    <r>
      <rPr>
        <sz val="9"/>
        <color theme="1"/>
        <rFont val="宋体"/>
        <charset val="134"/>
      </rPr>
      <t>瑞昱</t>
    </r>
    <r>
      <rPr>
        <sz val="9"/>
        <color theme="1"/>
        <rFont val="Arial"/>
        <charset val="134"/>
      </rPr>
      <t>RTL8111H-CG</t>
    </r>
  </si>
  <si>
    <t>A.F.D.2300181</t>
  </si>
  <si>
    <t>A.F.D.2300181 DN50 DB</t>
  </si>
  <si>
    <r>
      <rPr>
        <sz val="9"/>
        <color theme="1"/>
        <rFont val="宋体"/>
        <charset val="134"/>
      </rPr>
      <t>瑞昱</t>
    </r>
    <r>
      <rPr>
        <sz val="9"/>
        <color theme="1"/>
        <rFont val="Arial"/>
        <charset val="134"/>
      </rPr>
      <t>ALC269Q-VB6-CG</t>
    </r>
    <r>
      <rPr>
        <sz val="9"/>
        <color theme="1"/>
        <rFont val="宋体"/>
        <charset val="134"/>
      </rPr>
      <t>，INTEL WGI219V_SLKJ5,SMT预估价</t>
    </r>
  </si>
  <si>
    <t>PTLT19</t>
  </si>
  <si>
    <t>A.F.D.2600123</t>
  </si>
  <si>
    <t>A.F.D.2600123  HDD SATA</t>
  </si>
  <si>
    <t>ARN79C</t>
  </si>
  <si>
    <t>A.F.D.2500231</t>
  </si>
  <si>
    <t>A.F.D.2500231 DB</t>
  </si>
  <si>
    <t>RJ45/CODEC</t>
  </si>
  <si>
    <t>XN793</t>
  </si>
  <si>
    <t>A.F.D.2600121</t>
  </si>
  <si>
    <t>A.F.D.2600121  USB HUB</t>
  </si>
  <si>
    <t>CODEC,ALC269Q-VC3-GR</t>
  </si>
  <si>
    <t>A.F.D.2500242</t>
  </si>
  <si>
    <t>ZEN79</t>
  </si>
  <si>
    <t>A.F.D.2400369</t>
  </si>
  <si>
    <r>
      <rPr>
        <sz val="9"/>
        <color theme="1"/>
        <rFont val="Arial"/>
        <charset val="134"/>
      </rPr>
      <t>A.F.D.2400369 DB</t>
    </r>
    <r>
      <rPr>
        <sz val="9"/>
        <color theme="1"/>
        <rFont val="宋体"/>
        <charset val="134"/>
      </rPr>
      <t>小板</t>
    </r>
  </si>
  <si>
    <r>
      <rPr>
        <sz val="9"/>
        <color theme="1"/>
        <rFont val="Arial"/>
        <charset val="134"/>
      </rPr>
      <t>RTL8111H-CG,PCB</t>
    </r>
    <r>
      <rPr>
        <sz val="9"/>
        <color theme="1"/>
        <rFont val="宋体"/>
        <charset val="134"/>
      </rPr>
      <t>参考</t>
    </r>
    <r>
      <rPr>
        <sz val="9"/>
        <color theme="1"/>
        <rFont val="Arial"/>
        <charset val="134"/>
      </rPr>
      <t>25</t>
    </r>
    <r>
      <rPr>
        <sz val="9"/>
        <color theme="1"/>
        <rFont val="宋体"/>
        <charset val="134"/>
      </rPr>
      <t>年</t>
    </r>
    <r>
      <rPr>
        <sz val="9"/>
        <color theme="1"/>
        <rFont val="Arial"/>
        <charset val="134"/>
      </rPr>
      <t>6</t>
    </r>
    <r>
      <rPr>
        <sz val="9"/>
        <color theme="1"/>
        <rFont val="宋体"/>
        <charset val="134"/>
      </rPr>
      <t>月单价，实单前确认，</t>
    </r>
    <r>
      <rPr>
        <sz val="9"/>
        <color theme="1"/>
        <rFont val="Arial"/>
        <charset val="134"/>
      </rPr>
      <t>P.A.C.0000117</t>
    </r>
    <r>
      <rPr>
        <sz val="9"/>
        <color theme="1"/>
        <rFont val="宋体"/>
        <charset val="134"/>
      </rPr>
      <t>找不到价格，要与</t>
    </r>
    <r>
      <rPr>
        <sz val="9"/>
        <color theme="1"/>
        <rFont val="Arial"/>
        <charset val="134"/>
      </rPr>
      <t>PM</t>
    </r>
    <r>
      <rPr>
        <sz val="9"/>
        <color theme="1"/>
        <rFont val="宋体"/>
        <charset val="134"/>
      </rPr>
      <t>确认，看起来是汽泡袋</t>
    </r>
  </si>
  <si>
    <t>XN35</t>
  </si>
  <si>
    <t>A.F.D.2600143</t>
  </si>
  <si>
    <r>
      <rPr>
        <sz val="9"/>
        <color theme="1"/>
        <rFont val="Arial"/>
        <charset val="134"/>
      </rPr>
      <t xml:space="preserve">A.F.D.2600143 </t>
    </r>
    <r>
      <rPr>
        <sz val="9"/>
        <color theme="1"/>
        <rFont val="宋体"/>
        <charset val="134"/>
      </rPr>
      <t>DB小板</t>
    </r>
  </si>
  <si>
    <t>普通无卤PCB</t>
  </si>
  <si>
    <r>
      <rPr>
        <sz val="9"/>
        <color theme="1"/>
        <rFont val="宋体"/>
        <charset val="134"/>
      </rPr>
      <t>来酷</t>
    </r>
    <r>
      <rPr>
        <sz val="9"/>
        <color theme="1"/>
        <rFont val="Arial"/>
        <charset val="134"/>
      </rPr>
      <t>6</t>
    </r>
    <r>
      <rPr>
        <sz val="9"/>
        <color theme="1"/>
        <rFont val="宋体"/>
        <charset val="134"/>
      </rPr>
      <t>月</t>
    </r>
  </si>
  <si>
    <r>
      <rPr>
        <sz val="9"/>
        <color theme="1"/>
        <rFont val="宋体"/>
        <charset val="134"/>
      </rPr>
      <t>来酷</t>
    </r>
    <r>
      <rPr>
        <sz val="9"/>
        <color theme="1"/>
        <rFont val="Arial"/>
        <charset val="134"/>
      </rPr>
      <t>8</t>
    </r>
    <r>
      <rPr>
        <sz val="9"/>
        <color theme="1"/>
        <rFont val="宋体"/>
        <charset val="134"/>
      </rPr>
      <t>月</t>
    </r>
  </si>
  <si>
    <t>来酷9月</t>
  </si>
  <si>
    <t>A.F.D.2500477</t>
  </si>
  <si>
    <r>
      <rPr>
        <sz val="9"/>
        <color theme="1"/>
        <rFont val="Arial"/>
        <charset val="134"/>
      </rPr>
      <t>ALC269Q-VC3-GR</t>
    </r>
    <r>
      <rPr>
        <sz val="9"/>
        <color theme="1"/>
        <rFont val="宋体"/>
        <charset val="134"/>
      </rPr>
      <t>，</t>
    </r>
    <r>
      <rPr>
        <sz val="9"/>
        <color theme="1"/>
        <rFont val="Arial"/>
        <charset val="134"/>
      </rPr>
      <t>PCB</t>
    </r>
    <r>
      <rPr>
        <sz val="9"/>
        <color theme="1"/>
        <rFont val="宋体"/>
        <charset val="134"/>
      </rPr>
      <t>无卤</t>
    </r>
  </si>
  <si>
    <t>A.F.D.2300331</t>
  </si>
  <si>
    <t>CKD</t>
  </si>
  <si>
    <t>XA1038</t>
  </si>
  <si>
    <t>A.F.D.2300330</t>
  </si>
  <si>
    <t>A.F.D.2300300</t>
  </si>
  <si>
    <t>A.F.D.2600080</t>
  </si>
  <si>
    <t>SN6244-CNZR</t>
  </si>
  <si>
    <t>315-496(10l+OSP+HDI)</t>
  </si>
  <si>
    <t>A.F.D.2600147</t>
  </si>
  <si>
    <r>
      <rPr>
        <sz val="9"/>
        <color theme="1"/>
        <rFont val="Arial"/>
        <charset val="134"/>
      </rPr>
      <t>MOQ:28KPCS,8GB 496</t>
    </r>
    <r>
      <rPr>
        <sz val="9"/>
        <color theme="1"/>
        <rFont val="宋体"/>
        <charset val="134"/>
      </rPr>
      <t>球转接板</t>
    </r>
  </si>
  <si>
    <t>L3B6MN11/XN11</t>
  </si>
  <si>
    <t>A.F.D.2500494</t>
  </si>
  <si>
    <r>
      <rPr>
        <sz val="9"/>
        <color theme="1"/>
        <rFont val="宋体"/>
        <charset val="134"/>
      </rPr>
      <t>币别：</t>
    </r>
    <r>
      <rPr>
        <sz val="9"/>
        <color theme="1"/>
        <rFont val="Arial"/>
        <charset val="134"/>
      </rPr>
      <t>RMB</t>
    </r>
    <r>
      <rPr>
        <sz val="9"/>
        <color theme="1"/>
        <rFont val="宋体"/>
        <charset val="134"/>
      </rPr>
      <t xml:space="preserve">；  </t>
    </r>
    <r>
      <rPr>
        <sz val="9"/>
        <color theme="1"/>
        <rFont val="Arial"/>
        <charset val="134"/>
      </rPr>
      <t>PCB</t>
    </r>
    <r>
      <rPr>
        <sz val="9"/>
        <color theme="1"/>
        <rFont val="宋体"/>
        <charset val="134"/>
      </rPr>
      <t>持续上涨，实单再确认；  SMT预估价</t>
    </r>
  </si>
  <si>
    <t>A.F.D.2600159  _RJ45_2USB_TF_DB</t>
  </si>
  <si>
    <t xml:space="preserve">A.F.D.2600159 </t>
  </si>
  <si>
    <r>
      <rPr>
        <sz val="9"/>
        <color theme="1"/>
        <rFont val="宋体"/>
        <charset val="134"/>
      </rPr>
      <t>已含</t>
    </r>
    <r>
      <rPr>
        <sz val="9"/>
        <color theme="1"/>
        <rFont val="Arial"/>
        <charset val="134"/>
      </rPr>
      <t>1KPCS 2000</t>
    </r>
    <r>
      <rPr>
        <sz val="9"/>
        <color theme="1"/>
        <rFont val="宋体"/>
        <charset val="134"/>
      </rPr>
      <t>元的工程费</t>
    </r>
    <r>
      <rPr>
        <sz val="9"/>
        <color theme="1"/>
        <rFont val="Arial"/>
        <charset val="134"/>
      </rPr>
      <t xml:space="preserve"> </t>
    </r>
  </si>
  <si>
    <t>A.F.D.2600090 RJ45</t>
  </si>
  <si>
    <t>A.F.D.2600090</t>
  </si>
  <si>
    <t>ALC269Q-VC3-GR;RTL8153B-VB-CG</t>
  </si>
  <si>
    <t>A.F.D.2600171</t>
  </si>
  <si>
    <r>
      <rPr>
        <sz val="9"/>
        <color theme="1"/>
        <rFont val="宋体"/>
        <charset val="134"/>
      </rPr>
      <t>普通无卤</t>
    </r>
    <r>
      <rPr>
        <sz val="9"/>
        <color theme="1"/>
        <rFont val="Arial"/>
        <charset val="134"/>
      </rPr>
      <t>PCB</t>
    </r>
  </si>
  <si>
    <t>A.F.D.2600191</t>
  </si>
  <si>
    <r>
      <rPr>
        <sz val="9"/>
        <color theme="1"/>
        <rFont val="宋体"/>
        <charset val="134"/>
      </rPr>
      <t>普通无卤</t>
    </r>
    <r>
      <rPr>
        <sz val="9"/>
        <color theme="1"/>
        <rFont val="Arial"/>
        <charset val="134"/>
      </rPr>
      <t>PCB,SN6244-CNZR</t>
    </r>
  </si>
  <si>
    <t>普通无卤PCB,SN6244-CNZR 厚伟专核</t>
  </si>
  <si>
    <t>A.F.D.2600196</t>
  </si>
  <si>
    <t>A.F.D.2600195</t>
  </si>
  <si>
    <r>
      <rPr>
        <sz val="9"/>
        <color theme="1"/>
        <rFont val="宋体"/>
        <charset val="134"/>
      </rPr>
      <t>普通无卤</t>
    </r>
    <r>
      <rPr>
        <sz val="9"/>
        <color theme="1"/>
        <rFont val="Arial"/>
        <charset val="134"/>
      </rPr>
      <t>PCB</t>
    </r>
    <r>
      <rPr>
        <sz val="9"/>
        <color theme="1"/>
        <rFont val="宋体"/>
        <charset val="134"/>
      </rPr>
      <t>，ACER</t>
    </r>
  </si>
  <si>
    <t>A.F.D.2600228</t>
  </si>
  <si>
    <t>A.F.D.2600229</t>
  </si>
  <si>
    <r>
      <rPr>
        <sz val="9"/>
        <color theme="1"/>
        <rFont val="Arial"/>
        <charset val="134"/>
      </rPr>
      <t>XNTU(4L+</t>
    </r>
    <r>
      <rPr>
        <sz val="9"/>
        <color theme="1"/>
        <rFont val="宋体"/>
        <charset val="134"/>
      </rPr>
      <t>通孔+OSP)</t>
    </r>
  </si>
  <si>
    <t>A.F.D.2600201</t>
  </si>
  <si>
    <r>
      <rPr>
        <sz val="9"/>
        <color theme="1"/>
        <rFont val="Arial"/>
        <charset val="134"/>
      </rPr>
      <t>SMT/PCB</t>
    </r>
    <r>
      <rPr>
        <sz val="9"/>
        <color theme="1"/>
        <rFont val="宋体"/>
        <charset val="134"/>
      </rPr>
      <t>预估计</t>
    </r>
  </si>
  <si>
    <r>
      <rPr>
        <sz val="9"/>
        <color theme="1"/>
        <rFont val="Arial"/>
        <charset val="134"/>
      </rPr>
      <t>XN21(4L+</t>
    </r>
    <r>
      <rPr>
        <sz val="9"/>
        <color theme="1"/>
        <rFont val="宋体"/>
        <charset val="134"/>
      </rPr>
      <t>通孔+OSP)</t>
    </r>
  </si>
  <si>
    <t xml:space="preserve"> A.F.D.2400068</t>
  </si>
  <si>
    <r>
      <rPr>
        <sz val="9"/>
        <color theme="1"/>
        <rFont val="宋体"/>
        <charset val="134"/>
      </rPr>
      <t>读卡器IC：</t>
    </r>
    <r>
      <rPr>
        <sz val="9"/>
        <color theme="1"/>
        <rFont val="Arial"/>
        <charset val="134"/>
      </rPr>
      <t>RTS5170</t>
    </r>
    <r>
      <rPr>
        <sz val="9"/>
        <color theme="1"/>
        <rFont val="宋体"/>
        <charset val="134"/>
      </rPr>
      <t>，USB HUB2.0:GL850G</t>
    </r>
  </si>
  <si>
    <r>
      <rPr>
        <sz val="9"/>
        <color theme="1"/>
        <rFont val="Arial"/>
        <charset val="134"/>
      </rPr>
      <t>MTNTU146(4L+</t>
    </r>
    <r>
      <rPr>
        <sz val="9"/>
        <color theme="1"/>
        <rFont val="宋体"/>
        <charset val="134"/>
      </rPr>
      <t>通孔</t>
    </r>
    <r>
      <rPr>
        <sz val="9"/>
        <color theme="1"/>
        <rFont val="Arial"/>
        <charset val="134"/>
      </rPr>
      <t>+OSP)</t>
    </r>
  </si>
  <si>
    <t>A.F.D.2500549</t>
  </si>
  <si>
    <t>A.F.D.2500471</t>
  </si>
  <si>
    <r>
      <rPr>
        <sz val="9"/>
        <color rgb="FFFF0000"/>
        <rFont val="Arial"/>
        <charset val="134"/>
      </rPr>
      <t>PCB</t>
    </r>
    <r>
      <rPr>
        <sz val="9"/>
        <color rgb="FFFF0000"/>
        <rFont val="宋体"/>
        <charset val="134"/>
      </rPr>
      <t>价格持续上涨，实单前重新确认</t>
    </r>
    <r>
      <rPr>
        <sz val="9"/>
        <color rgb="FFFF0000"/>
        <rFont val="Arial"/>
        <charset val="134"/>
      </rPr>
      <t xml:space="preserve">
</t>
    </r>
    <r>
      <rPr>
        <sz val="9"/>
        <color rgb="FFFF0000"/>
        <rFont val="宋体"/>
        <charset val="134"/>
      </rPr>
      <t>正常质保价格，如三年质保按公司标准加价</t>
    </r>
  </si>
  <si>
    <r>
      <rPr>
        <sz val="9"/>
        <color theme="1"/>
        <rFont val="Arial"/>
        <charset val="134"/>
      </rPr>
      <t>ARNTU146(4L+</t>
    </r>
    <r>
      <rPr>
        <sz val="9"/>
        <color theme="1"/>
        <rFont val="宋体"/>
        <charset val="134"/>
      </rPr>
      <t>通孔</t>
    </r>
    <r>
      <rPr>
        <sz val="9"/>
        <color theme="1"/>
        <rFont val="Arial"/>
        <charset val="134"/>
      </rPr>
      <t>+OSP)</t>
    </r>
  </si>
  <si>
    <t>A.F.D.2500125</t>
  </si>
  <si>
    <r>
      <rPr>
        <sz val="9"/>
        <color theme="1"/>
        <rFont val="宋体"/>
        <charset val="134"/>
      </rPr>
      <t>网卡</t>
    </r>
    <r>
      <rPr>
        <sz val="9"/>
        <color theme="1"/>
        <rFont val="Arial"/>
        <charset val="134"/>
      </rPr>
      <t>ICRTL8111H-CG,CODEC:ALC269Q</t>
    </r>
  </si>
  <si>
    <t>A.F.D.2500232</t>
  </si>
  <si>
    <t>A.F.D.2600207</t>
  </si>
  <si>
    <r>
      <rPr>
        <sz val="9"/>
        <color theme="1"/>
        <rFont val="Arial"/>
        <charset val="134"/>
      </rPr>
      <t>WGI219LM_SLKJ3,ALC269QN ,PCB SMT</t>
    </r>
    <r>
      <rPr>
        <sz val="9"/>
        <color theme="1"/>
        <rFont val="宋体"/>
        <charset val="134"/>
      </rPr>
      <t>参考价</t>
    </r>
  </si>
  <si>
    <r>
      <rPr>
        <sz val="9"/>
        <color theme="1"/>
        <rFont val="Arial"/>
        <charset val="134"/>
      </rPr>
      <t>XN25(4L+</t>
    </r>
    <r>
      <rPr>
        <sz val="9"/>
        <color theme="1"/>
        <rFont val="宋体"/>
        <charset val="134"/>
      </rPr>
      <t>通孔+OSP)</t>
    </r>
  </si>
  <si>
    <t>A.F.D.2600136</t>
  </si>
  <si>
    <t>XN50(193.4*143.7*1mm)</t>
  </si>
  <si>
    <t>A.F.D.2300140</t>
  </si>
  <si>
    <t>A.F.D.2600199</t>
  </si>
  <si>
    <r>
      <rPr>
        <sz val="9"/>
        <color theme="1"/>
        <rFont val="Arial"/>
        <charset val="134"/>
      </rPr>
      <t>PCB 30PCS</t>
    </r>
    <r>
      <rPr>
        <sz val="9"/>
        <color theme="1"/>
        <rFont val="宋体"/>
        <charset val="134"/>
      </rPr>
      <t>价格</t>
    </r>
  </si>
  <si>
    <t>A.F.D.2500516</t>
  </si>
  <si>
    <r>
      <rPr>
        <sz val="9"/>
        <color theme="1"/>
        <rFont val="Arial"/>
        <charset val="134"/>
      </rPr>
      <t>PCB/</t>
    </r>
    <r>
      <rPr>
        <sz val="9"/>
        <color theme="1"/>
        <rFont val="宋体"/>
        <charset val="134"/>
      </rPr>
      <t>SMT预估价</t>
    </r>
  </si>
  <si>
    <t>WP13</t>
  </si>
  <si>
    <t>A.F.D.2600262</t>
  </si>
  <si>
    <t>MTNTU</t>
  </si>
  <si>
    <t>A.F.D.2600036</t>
  </si>
  <si>
    <t>A.F.D.2600267</t>
  </si>
  <si>
    <t>A.F.D.2600254</t>
  </si>
  <si>
    <r>
      <rPr>
        <sz val="9"/>
        <color theme="1"/>
        <rFont val="Arial"/>
        <charset val="134"/>
      </rPr>
      <t>PCB</t>
    </r>
    <r>
      <rPr>
        <sz val="9"/>
        <color theme="1"/>
        <rFont val="宋体"/>
        <charset val="134"/>
      </rPr>
      <t>按</t>
    </r>
    <r>
      <rPr>
        <sz val="9"/>
        <color theme="1"/>
        <rFont val="Arial"/>
        <charset val="134"/>
      </rPr>
      <t>7</t>
    </r>
    <r>
      <rPr>
        <sz val="9"/>
        <color theme="1"/>
        <rFont val="宋体"/>
        <charset val="134"/>
      </rPr>
      <t>月备料价格</t>
    </r>
  </si>
  <si>
    <t>DN105</t>
  </si>
  <si>
    <t>A.F.D.2500154</t>
  </si>
  <si>
    <r>
      <rPr>
        <sz val="9"/>
        <color theme="1"/>
        <rFont val="Arial"/>
        <charset val="134"/>
      </rPr>
      <t>PCB</t>
    </r>
    <r>
      <rPr>
        <sz val="9"/>
        <color theme="1"/>
        <rFont val="宋体"/>
        <charset val="134"/>
      </rPr>
      <t>价格有效期一周</t>
    </r>
  </si>
  <si>
    <t>A.F.D.2500298</t>
  </si>
  <si>
    <t>DN79</t>
  </si>
  <si>
    <t>A.F.D.2500264</t>
  </si>
  <si>
    <t>A.F.D.2500498</t>
  </si>
  <si>
    <t>A.F.D.2500152</t>
  </si>
  <si>
    <r>
      <rPr>
        <sz val="9"/>
        <color theme="1"/>
        <rFont val="Arial"/>
        <charset val="134"/>
      </rPr>
      <t>WS17(2L+</t>
    </r>
    <r>
      <rPr>
        <sz val="9"/>
        <color theme="1"/>
        <rFont val="宋体"/>
        <charset val="134"/>
      </rPr>
      <t>通孔+OSP)</t>
    </r>
  </si>
  <si>
    <t>WS17_MCU_NFC_DB</t>
  </si>
  <si>
    <t>A.F.D.2600290</t>
  </si>
  <si>
    <t>PCB按快板厂价格,smt为批量预估价</t>
  </si>
  <si>
    <t>WS17 NFC_DB</t>
  </si>
  <si>
    <t>A.F.D.2600289</t>
  </si>
  <si>
    <t>WS17 4SATA_DB</t>
  </si>
  <si>
    <t>A.F.D.2600247</t>
  </si>
  <si>
    <t>XN21 DB</t>
  </si>
  <si>
    <t>A.F.M.2401268</t>
  </si>
  <si>
    <t>A.F.D.2600233</t>
  </si>
  <si>
    <t>A.F.D.2600302</t>
  </si>
  <si>
    <t>PP22</t>
  </si>
  <si>
    <t>A.F.D.2600045</t>
  </si>
  <si>
    <t>XN1-116</t>
  </si>
  <si>
    <t>A.F.D.2300336</t>
  </si>
  <si>
    <t>XN88</t>
  </si>
  <si>
    <t>A.F.D.2600288</t>
  </si>
  <si>
    <t>XN882</t>
  </si>
  <si>
    <t>A.F.D.2600287</t>
  </si>
  <si>
    <r>
      <rPr>
        <sz val="9"/>
        <color theme="1"/>
        <rFont val="Arial"/>
        <charset val="134"/>
      </rPr>
      <t>PCB/SMT</t>
    </r>
    <r>
      <rPr>
        <sz val="9"/>
        <color theme="1"/>
        <rFont val="宋体"/>
        <charset val="134"/>
      </rPr>
      <t>预估计</t>
    </r>
  </si>
  <si>
    <t>A.F.D.2600276</t>
  </si>
  <si>
    <r>
      <rPr>
        <sz val="9"/>
        <color theme="1"/>
        <rFont val="Arial"/>
        <charset val="134"/>
      </rPr>
      <t>SMT</t>
    </r>
    <r>
      <rPr>
        <sz val="9"/>
        <color theme="1"/>
        <rFont val="宋体"/>
        <charset val="134"/>
      </rPr>
      <t>预估价</t>
    </r>
  </si>
  <si>
    <t>A.F.D.2600286</t>
  </si>
  <si>
    <t>A.F.D.2600277</t>
  </si>
  <si>
    <t>WS18</t>
  </si>
  <si>
    <t>A.F.D.2600298</t>
  </si>
  <si>
    <r>
      <rPr>
        <sz val="9"/>
        <color theme="1"/>
        <rFont val="Arial"/>
        <charset val="134"/>
      </rPr>
      <t>200</t>
    </r>
    <r>
      <rPr>
        <sz val="9"/>
        <color theme="1"/>
        <rFont val="宋体"/>
        <charset val="134"/>
      </rPr>
      <t>套</t>
    </r>
  </si>
  <si>
    <t>700套</t>
  </si>
  <si>
    <t>NZ126D</t>
  </si>
  <si>
    <t>A.F.D.2600315</t>
  </si>
  <si>
    <r>
      <rPr>
        <sz val="9"/>
        <color theme="1"/>
        <rFont val="Arial"/>
        <charset val="134"/>
      </rPr>
      <t>PCB</t>
    </r>
    <r>
      <rPr>
        <sz val="9"/>
        <color theme="1"/>
        <rFont val="宋体"/>
        <charset val="134"/>
      </rPr>
      <t>为</t>
    </r>
    <r>
      <rPr>
        <sz val="9"/>
        <color theme="1"/>
        <rFont val="Arial"/>
        <charset val="134"/>
      </rPr>
      <t>8-26</t>
    </r>
    <r>
      <rPr>
        <sz val="9"/>
        <color theme="1"/>
        <rFont val="宋体"/>
        <charset val="134"/>
      </rPr>
      <t>日价格，持续上涨，实单前重新确认</t>
    </r>
  </si>
  <si>
    <t>A.F.D.2500514</t>
  </si>
  <si>
    <r>
      <rPr>
        <sz val="9"/>
        <color theme="1"/>
        <rFont val="宋体"/>
        <charset val="134"/>
      </rPr>
      <t>含</t>
    </r>
    <r>
      <rPr>
        <sz val="9"/>
        <color theme="1"/>
        <rFont val="Arial"/>
        <charset val="134"/>
      </rPr>
      <t>1000</t>
    </r>
    <r>
      <rPr>
        <sz val="9"/>
        <color theme="1"/>
        <rFont val="宋体"/>
        <charset val="134"/>
      </rPr>
      <t>元工程费</t>
    </r>
  </si>
  <si>
    <t>A.F.D.2600363</t>
  </si>
  <si>
    <t>PS21_LED_V10_EVT</t>
  </si>
  <si>
    <t>A.F.D.2600394</t>
  </si>
  <si>
    <r>
      <rPr>
        <sz val="9"/>
        <color theme="1"/>
        <rFont val="Arial"/>
        <charset val="134"/>
      </rPr>
      <t>PCB 40PCS</t>
    </r>
    <r>
      <rPr>
        <sz val="9"/>
        <color theme="1"/>
        <rFont val="宋体"/>
        <charset val="134"/>
      </rPr>
      <t>试产打包价</t>
    </r>
    <r>
      <rPr>
        <sz val="9"/>
        <color theme="1"/>
        <rFont val="Arial"/>
        <charset val="134"/>
      </rPr>
      <t>1000</t>
    </r>
    <r>
      <rPr>
        <sz val="9"/>
        <color theme="1"/>
        <rFont val="宋体"/>
        <charset val="134"/>
      </rPr>
      <t>元</t>
    </r>
  </si>
  <si>
    <t>_PS21_SATA*6</t>
  </si>
  <si>
    <t>A.F.D.2600299</t>
  </si>
  <si>
    <r>
      <rPr>
        <sz val="9"/>
        <color theme="1"/>
        <rFont val="Arial"/>
        <charset val="134"/>
      </rPr>
      <t>PCB 40PCS</t>
    </r>
    <r>
      <rPr>
        <sz val="9"/>
        <color theme="1"/>
        <rFont val="宋体"/>
        <charset val="134"/>
      </rPr>
      <t>试产打包价</t>
    </r>
    <r>
      <rPr>
        <sz val="9"/>
        <color theme="1"/>
        <rFont val="Arial"/>
        <charset val="134"/>
      </rPr>
      <t>2500</t>
    </r>
    <r>
      <rPr>
        <sz val="9"/>
        <color theme="1"/>
        <rFont val="宋体"/>
        <charset val="134"/>
      </rPr>
      <t>元</t>
    </r>
  </si>
  <si>
    <t>WS17-4HD-HGT_NFC</t>
  </si>
  <si>
    <t>A.F.D.2600368</t>
  </si>
  <si>
    <r>
      <rPr>
        <sz val="9"/>
        <color theme="1"/>
        <rFont val="Arial"/>
        <charset val="134"/>
      </rPr>
      <t>PCB 65PCS 7.7</t>
    </r>
    <r>
      <rPr>
        <sz val="9"/>
        <color theme="1"/>
        <rFont val="宋体"/>
        <charset val="134"/>
      </rPr>
      <t>元，</t>
    </r>
    <r>
      <rPr>
        <sz val="9"/>
        <color theme="1"/>
        <rFont val="Arial"/>
        <charset val="134"/>
      </rPr>
      <t xml:space="preserve">40PCS </t>
    </r>
    <r>
      <rPr>
        <sz val="9"/>
        <color theme="1"/>
        <rFont val="宋体"/>
        <charset val="134"/>
      </rPr>
      <t>快板</t>
    </r>
    <r>
      <rPr>
        <sz val="9"/>
        <color theme="1"/>
        <rFont val="Arial"/>
        <charset val="134"/>
      </rPr>
      <t>37.5</t>
    </r>
  </si>
  <si>
    <t>WS17-SATA_</t>
  </si>
  <si>
    <t xml:space="preserve"> A.F.D.2600356</t>
  </si>
  <si>
    <r>
      <rPr>
        <sz val="9"/>
        <color theme="1"/>
        <rFont val="Arial"/>
        <charset val="134"/>
      </rPr>
      <t>PCB 65PCS 42.28</t>
    </r>
    <r>
      <rPr>
        <sz val="9"/>
        <color theme="1"/>
        <rFont val="宋体"/>
        <charset val="134"/>
      </rPr>
      <t>元</t>
    </r>
  </si>
  <si>
    <r>
      <rPr>
        <sz val="9"/>
        <color theme="1"/>
        <rFont val="Arial"/>
        <charset val="134"/>
      </rPr>
      <t>TN1</t>
    </r>
    <r>
      <rPr>
        <sz val="9"/>
        <color theme="1"/>
        <rFont val="宋体"/>
        <charset val="134"/>
      </rPr>
      <t>小板</t>
    </r>
  </si>
  <si>
    <t>A.F.D.2300005</t>
  </si>
  <si>
    <t>A.F.D.2600197</t>
  </si>
  <si>
    <t>A.F.D.2600268</t>
  </si>
  <si>
    <t>A.F.D.2600382</t>
  </si>
  <si>
    <r>
      <rPr>
        <sz val="9"/>
        <color theme="1"/>
        <rFont val="Arial"/>
        <charset val="134"/>
      </rPr>
      <t xml:space="preserve">PCB </t>
    </r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3.75</t>
    </r>
    <r>
      <rPr>
        <sz val="9"/>
        <color theme="1"/>
        <rFont val="宋体"/>
        <charset val="134"/>
      </rPr>
      <t>，工程费</t>
    </r>
    <r>
      <rPr>
        <sz val="9"/>
        <color theme="1"/>
        <rFont val="Arial"/>
        <charset val="134"/>
      </rPr>
      <t>800</t>
    </r>
  </si>
  <si>
    <t>A.F.D.2600398</t>
  </si>
  <si>
    <r>
      <rPr>
        <sz val="9"/>
        <color theme="1"/>
        <rFont val="Arial"/>
        <charset val="134"/>
      </rPr>
      <t>PN882</t>
    </r>
    <r>
      <rPr>
        <sz val="9"/>
        <color theme="1"/>
        <rFont val="宋体"/>
        <charset val="134"/>
      </rPr>
      <t>转接小板</t>
    </r>
  </si>
  <si>
    <t>A.F.D.2600395</t>
  </si>
  <si>
    <r>
      <rPr>
        <sz val="9"/>
        <color theme="1"/>
        <rFont val="Arial"/>
        <charset val="134"/>
      </rPr>
      <t>PCB</t>
    </r>
    <r>
      <rPr>
        <sz val="9"/>
        <color theme="1"/>
        <rFont val="宋体"/>
        <charset val="134"/>
      </rPr>
      <t>按</t>
    </r>
    <r>
      <rPr>
        <sz val="9"/>
        <color theme="1"/>
        <rFont val="Arial"/>
        <charset val="134"/>
      </rPr>
      <t>1K</t>
    </r>
    <r>
      <rPr>
        <sz val="9"/>
        <color theme="1"/>
        <rFont val="宋体"/>
        <charset val="134"/>
      </rPr>
      <t>核价</t>
    </r>
  </si>
  <si>
    <t>PN882</t>
  </si>
  <si>
    <t xml:space="preserve"> USB3.2 Gen1</t>
  </si>
  <si>
    <t xml:space="preserve">A.F.D.2600383  </t>
  </si>
  <si>
    <t>Card Reader</t>
  </si>
  <si>
    <t>A.F.D.2600385</t>
  </si>
  <si>
    <t>A.F.D.2600326</t>
  </si>
  <si>
    <r>
      <rPr>
        <sz val="9"/>
        <color rgb="FFFF0000"/>
        <rFont val="Arial"/>
        <charset val="134"/>
      </rPr>
      <t xml:space="preserve">PCB </t>
    </r>
    <r>
      <rPr>
        <sz val="9"/>
        <color rgb="FFFF0000"/>
        <rFont val="宋体"/>
        <charset val="134"/>
      </rPr>
      <t>单价</t>
    </r>
    <r>
      <rPr>
        <sz val="9"/>
        <color rgb="FFFF0000"/>
        <rFont val="Arial"/>
        <charset val="134"/>
      </rPr>
      <t>3.75</t>
    </r>
  </si>
  <si>
    <r>
      <rPr>
        <b/>
        <sz val="9"/>
        <color theme="1"/>
        <rFont val="微软雅黑"/>
        <charset val="134"/>
      </rPr>
      <t>12月份汇率：</t>
    </r>
    <r>
      <rPr>
        <b/>
        <sz val="9"/>
        <color theme="1"/>
        <rFont val="Arial"/>
        <charset val="134"/>
      </rPr>
      <t>7.01</t>
    </r>
    <r>
      <rPr>
        <b/>
        <sz val="9"/>
        <color theme="1"/>
        <rFont val="微软雅黑"/>
        <charset val="134"/>
      </rPr>
      <t>币种</t>
    </r>
    <r>
      <rPr>
        <b/>
        <sz val="9"/>
        <color theme="1"/>
        <rFont val="Arial"/>
        <charset val="134"/>
      </rPr>
      <t>:USA</t>
    </r>
  </si>
  <si>
    <t>R02</t>
  </si>
  <si>
    <t>厂区</t>
  </si>
  <si>
    <t>更新汇率</t>
  </si>
  <si>
    <t>A.F.D.2300285-EVT</t>
  </si>
  <si>
    <t>.</t>
  </si>
  <si>
    <t>A.F.M.2401621-MP</t>
  </si>
  <si>
    <t>A.F.M.2401623-MP</t>
  </si>
  <si>
    <t>A.F.D.2300198 140M_2USB_HDMI_DB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</si>
  <si>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SN6140</t>
    </r>
  </si>
  <si>
    <t>A.F.M.2401762</t>
  </si>
  <si>
    <r>
      <rPr>
        <sz val="9"/>
        <rFont val="微软雅黑"/>
        <charset val="134"/>
      </rPr>
      <t>含有</t>
    </r>
    <r>
      <rPr>
        <sz val="9"/>
        <rFont val="Arial"/>
        <charset val="134"/>
      </rPr>
      <t>Intel WGI219V;ALC269Q</t>
    </r>
  </si>
  <si>
    <r>
      <rPr>
        <b/>
        <sz val="10"/>
        <color rgb="FFFF0000"/>
        <rFont val="Arial"/>
        <charset val="134"/>
      </rPr>
      <t>TYPE-C:ANX7447QN-AC-R,</t>
    </r>
    <r>
      <rPr>
        <b/>
        <sz val="10"/>
        <color rgb="FFFF0000"/>
        <rFont val="宋体"/>
        <charset val="134"/>
      </rPr>
      <t>电量计</t>
    </r>
    <r>
      <rPr>
        <b/>
        <sz val="10"/>
        <color rgb="FFFF0000"/>
        <rFont val="Arial"/>
        <charset val="134"/>
      </rPr>
      <t>:CW2217,</t>
    </r>
    <r>
      <rPr>
        <b/>
        <sz val="10"/>
        <color rgb="FFFF0000"/>
        <rFont val="宋体"/>
        <charset val="134"/>
      </rPr>
      <t>视频桥接：</t>
    </r>
    <r>
      <rPr>
        <b/>
        <sz val="10"/>
        <color rgb="FFFF0000"/>
        <rFont val="Arial"/>
        <charset val="134"/>
      </rPr>
      <t>IT6113FN</t>
    </r>
  </si>
  <si>
    <t>A.F.M.2503122</t>
  </si>
  <si>
    <t>A.F.M.2600110</t>
  </si>
  <si>
    <t>A.F.D.2400068-PVT</t>
  </si>
  <si>
    <t>A.F.D.2400068  USB  DB</t>
  </si>
  <si>
    <r>
      <rPr>
        <sz val="9"/>
        <rFont val="Arial"/>
        <charset val="134"/>
      </rPr>
      <t>GL850G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RTS5170</t>
    </r>
  </si>
  <si>
    <t>A.F.M.2501978</t>
  </si>
  <si>
    <t>A.F.M.2502465</t>
  </si>
  <si>
    <t>A.F.D.2500082-PVT</t>
  </si>
  <si>
    <t>A.F.D.2500082 AUDIO DB</t>
  </si>
  <si>
    <t>LPDDR5X 8GB*2+256UFS*1</t>
  </si>
  <si>
    <t>A.F.M.2503155</t>
  </si>
  <si>
    <t>LPDDR4X 8GB*1+256UFS*1</t>
  </si>
  <si>
    <t>A.F.D.2400230-PVT</t>
  </si>
  <si>
    <t>A.F.D.2400230  UDP  DB</t>
  </si>
  <si>
    <t>-</t>
  </si>
  <si>
    <r>
      <rPr>
        <sz val="9"/>
        <rFont val="Arial"/>
        <charset val="134"/>
      </rPr>
      <t>UDP</t>
    </r>
    <r>
      <rPr>
        <sz val="9"/>
        <rFont val="微软雅黑"/>
        <charset val="134"/>
      </rPr>
      <t>加一个</t>
    </r>
    <r>
      <rPr>
        <sz val="9"/>
        <rFont val="Arial"/>
        <charset val="134"/>
      </rPr>
      <t>FPC</t>
    </r>
  </si>
  <si>
    <t>AXN88(12L-1C+HDI+OSP)</t>
  </si>
  <si>
    <t>A.F.D.2300058  RJ45 DB</t>
  </si>
  <si>
    <t>A.F.D.2500242-EVT</t>
  </si>
  <si>
    <t>A.F.D.2500242 TBD DB</t>
  </si>
  <si>
    <t>KTH1601SL</t>
  </si>
  <si>
    <t>程润芝要的配置</t>
  </si>
  <si>
    <r>
      <rPr>
        <sz val="9"/>
        <rFont val="Arial"/>
        <charset val="134"/>
      </rPr>
      <t>DDR</t>
    </r>
    <r>
      <rPr>
        <sz val="9"/>
        <rFont val="微软雅黑"/>
        <charset val="134"/>
      </rPr>
      <t>使用</t>
    </r>
    <r>
      <rPr>
        <sz val="9"/>
        <rFont val="Arial"/>
        <charset val="134"/>
      </rPr>
      <t>Spectek</t>
    </r>
    <r>
      <rPr>
        <sz val="9"/>
        <rFont val="微软雅黑"/>
        <charset val="134"/>
      </rPr>
      <t>；双</t>
    </r>
    <r>
      <rPr>
        <sz val="9"/>
        <rFont val="Arial"/>
        <charset val="134"/>
      </rPr>
      <t>Type c;</t>
    </r>
    <r>
      <rPr>
        <sz val="9"/>
        <rFont val="微软雅黑"/>
        <charset val="134"/>
      </rPr>
      <t>；</t>
    </r>
    <r>
      <rPr>
        <sz val="9"/>
        <rFont val="Arial"/>
        <charset val="134"/>
      </rPr>
      <t>EMMC</t>
    </r>
    <r>
      <rPr>
        <sz val="9"/>
        <rFont val="微软雅黑"/>
        <charset val="134"/>
      </rPr>
      <t>停产中待验新料暂无价格</t>
    </r>
  </si>
  <si>
    <r>
      <rPr>
        <sz val="9"/>
        <rFont val="Arial"/>
        <charset val="134"/>
      </rPr>
      <t>DDR</t>
    </r>
    <r>
      <rPr>
        <sz val="9"/>
        <rFont val="微软雅黑"/>
        <charset val="134"/>
      </rPr>
      <t>使用佰维缺货；</t>
    </r>
    <r>
      <rPr>
        <sz val="9"/>
        <rFont val="Arial"/>
        <charset val="134"/>
      </rPr>
      <t>Codec:</t>
    </r>
    <r>
      <rPr>
        <sz val="9"/>
        <rFont val="微软雅黑"/>
        <charset val="134"/>
      </rPr>
      <t>深蕾</t>
    </r>
    <r>
      <rPr>
        <sz val="9"/>
        <rFont val="Arial"/>
        <charset val="134"/>
      </rPr>
      <t>SN6140</t>
    </r>
  </si>
  <si>
    <r>
      <rPr>
        <sz val="9"/>
        <rFont val="Arial"/>
        <charset val="134"/>
      </rPr>
      <t>DDR</t>
    </r>
    <r>
      <rPr>
        <sz val="9"/>
        <rFont val="微软雅黑"/>
        <charset val="134"/>
      </rPr>
      <t>目前无价格</t>
    </r>
  </si>
  <si>
    <r>
      <rPr>
        <sz val="9"/>
        <color theme="1"/>
        <rFont val="Arial"/>
        <charset val="134"/>
      </rPr>
      <t>RTL8111H</t>
    </r>
    <r>
      <rPr>
        <sz val="9"/>
        <color theme="1"/>
        <rFont val="微软雅黑"/>
        <charset val="134"/>
      </rPr>
      <t>；</t>
    </r>
    <r>
      <rPr>
        <sz val="9"/>
        <color theme="1"/>
        <rFont val="Arial"/>
        <charset val="134"/>
      </rPr>
      <t>ALC269Q</t>
    </r>
  </si>
  <si>
    <t>A.F.D.2500175-MP</t>
  </si>
  <si>
    <t>4层板PCB,</t>
  </si>
  <si>
    <t>DNN59</t>
  </si>
  <si>
    <t>A.F.D.2400114-EVT</t>
  </si>
  <si>
    <t>A.F.D.2400114 RJ45 DB</t>
  </si>
  <si>
    <t>小板预估价格,，含有ALC269Q-VC3;含有GL850G;PESD5V0H1BSF*4pcs</t>
  </si>
  <si>
    <t>A.F.D.2300361-PVT</t>
  </si>
  <si>
    <t>A.F.D.2300361 RJ45 DB</t>
  </si>
  <si>
    <t>小板预估价格,，含有ALC269Q-VC3;</t>
  </si>
  <si>
    <t>A.F.D.2400093-PVT</t>
  </si>
  <si>
    <r>
      <rPr>
        <sz val="10"/>
        <rFont val="Arial"/>
        <charset val="134"/>
      </rPr>
      <t xml:space="preserve">PCB </t>
    </r>
    <r>
      <rPr>
        <sz val="10"/>
        <rFont val="宋体"/>
        <charset val="134"/>
      </rPr>
      <t>价格按</t>
    </r>
    <r>
      <rPr>
        <sz val="10"/>
        <rFont val="Arial"/>
        <charset val="134"/>
      </rPr>
      <t>500</t>
    </r>
    <r>
      <rPr>
        <sz val="10"/>
        <rFont val="宋体"/>
        <charset val="134"/>
      </rPr>
      <t>套，含了工程和样板费</t>
    </r>
  </si>
  <si>
    <r>
      <rPr>
        <sz val="10"/>
        <rFont val="Arial"/>
        <charset val="134"/>
      </rPr>
      <t>PCB</t>
    </r>
    <r>
      <rPr>
        <sz val="10"/>
        <rFont val="宋体"/>
        <charset val="134"/>
      </rPr>
      <t>单价</t>
    </r>
    <r>
      <rPr>
        <sz val="10"/>
        <rFont val="Arial"/>
        <charset val="134"/>
      </rPr>
      <t>19.5</t>
    </r>
    <r>
      <rPr>
        <sz val="10"/>
        <rFont val="宋体"/>
        <charset val="134"/>
      </rPr>
      <t>，不足</t>
    </r>
    <r>
      <rPr>
        <sz val="10"/>
        <rFont val="Arial"/>
        <charset val="134"/>
      </rPr>
      <t>MOQ</t>
    </r>
    <r>
      <rPr>
        <sz val="10"/>
        <rFont val="宋体"/>
        <charset val="134"/>
      </rPr>
      <t>加</t>
    </r>
    <r>
      <rPr>
        <sz val="10"/>
        <rFont val="Arial"/>
        <charset val="134"/>
      </rPr>
      <t>600</t>
    </r>
    <r>
      <rPr>
        <sz val="10"/>
        <rFont val="宋体"/>
        <charset val="134"/>
      </rPr>
      <t>元，平摊</t>
    </r>
    <r>
      <rPr>
        <sz val="10"/>
        <rFont val="Arial"/>
        <charset val="134"/>
      </rPr>
      <t>1.14</t>
    </r>
    <r>
      <rPr>
        <sz val="10"/>
        <rFont val="宋体"/>
        <charset val="134"/>
      </rPr>
      <t>元，合计</t>
    </r>
    <r>
      <rPr>
        <sz val="10"/>
        <rFont val="Arial"/>
        <charset val="134"/>
      </rPr>
      <t>20.64</t>
    </r>
    <r>
      <rPr>
        <sz val="10"/>
        <rFont val="宋体"/>
        <charset val="134"/>
      </rPr>
      <t>，含智微</t>
    </r>
    <r>
      <rPr>
        <sz val="10"/>
        <rFont val="Arial"/>
        <charset val="134"/>
      </rPr>
      <t>JMB585 IC(PCIE</t>
    </r>
    <r>
      <rPr>
        <sz val="10"/>
        <rFont val="宋体"/>
        <charset val="134"/>
      </rPr>
      <t>转</t>
    </r>
    <r>
      <rPr>
        <sz val="10"/>
        <rFont val="Arial"/>
        <charset val="134"/>
      </rPr>
      <t>SATA</t>
    </r>
    <r>
      <rPr>
        <sz val="10"/>
        <rFont val="宋体"/>
        <charset val="134"/>
      </rPr>
      <t>桥接</t>
    </r>
    <r>
      <rPr>
        <sz val="10"/>
        <rFont val="Arial"/>
        <charset val="134"/>
      </rPr>
      <t>IC)</t>
    </r>
  </si>
  <si>
    <t xml:space="preserve">A.P.10000514 </t>
  </si>
  <si>
    <r>
      <rPr>
        <sz val="9"/>
        <color theme="0"/>
        <rFont val="Arial"/>
        <charset val="134"/>
      </rPr>
      <t>XN79</t>
    </r>
    <r>
      <rPr>
        <sz val="9"/>
        <color theme="0"/>
        <rFont val="宋体"/>
        <charset val="134"/>
      </rPr>
      <t>（林小妹需求</t>
    </r>
    <r>
      <rPr>
        <sz val="9"/>
        <color theme="0"/>
        <rFont val="Arial"/>
        <charset val="134"/>
      </rPr>
      <t>)</t>
    </r>
  </si>
  <si>
    <t>预估报价</t>
  </si>
  <si>
    <r>
      <rPr>
        <sz val="9"/>
        <color theme="0"/>
        <rFont val="宋体"/>
        <charset val="134"/>
      </rPr>
      <t>用</t>
    </r>
    <r>
      <rPr>
        <sz val="9"/>
        <color theme="0"/>
        <rFont val="Arial"/>
        <charset val="134"/>
      </rPr>
      <t>A.F.D.2500263</t>
    </r>
    <r>
      <rPr>
        <sz val="9"/>
        <color theme="0"/>
        <rFont val="宋体"/>
        <charset val="134"/>
      </rPr>
      <t>预估成本，实际以正式bom为准</t>
    </r>
  </si>
  <si>
    <t>用上海bom预估价格</t>
  </si>
  <si>
    <r>
      <rPr>
        <sz val="9"/>
        <color theme="0"/>
        <rFont val="微软雅黑"/>
        <charset val="134"/>
      </rPr>
      <t>含</t>
    </r>
    <r>
      <rPr>
        <sz val="9"/>
        <color theme="0"/>
        <rFont val="Arial"/>
        <charset val="134"/>
      </rPr>
      <t>ALC269Q</t>
    </r>
    <r>
      <rPr>
        <sz val="9"/>
        <color theme="0"/>
        <rFont val="宋体"/>
        <charset val="134"/>
      </rPr>
      <t>，无卤pcb估价</t>
    </r>
  </si>
  <si>
    <t>ASM1166，pcb板为沉金板</t>
  </si>
  <si>
    <t>预估pcb 无卤单价，后续有订单按实际为准</t>
  </si>
  <si>
    <r>
      <rPr>
        <sz val="9"/>
        <color theme="0"/>
        <rFont val="Arial"/>
        <charset val="134"/>
      </rPr>
      <t>A.F.D.2500232 V11 DB</t>
    </r>
    <r>
      <rPr>
        <sz val="9"/>
        <color theme="0"/>
        <rFont val="宋体"/>
        <charset val="134"/>
      </rPr>
      <t>（</t>
    </r>
    <r>
      <rPr>
        <sz val="9"/>
        <color theme="0"/>
        <rFont val="Arial"/>
        <charset val="134"/>
      </rPr>
      <t>ROWING</t>
    </r>
    <r>
      <rPr>
        <sz val="9"/>
        <color theme="0"/>
        <rFont val="宋体"/>
        <charset val="134"/>
      </rPr>
      <t>版本）</t>
    </r>
  </si>
  <si>
    <r>
      <rPr>
        <sz val="9"/>
        <color theme="0"/>
        <rFont val="Arial"/>
        <charset val="134"/>
      </rPr>
      <t>PCB</t>
    </r>
    <r>
      <rPr>
        <sz val="9"/>
        <color theme="0"/>
        <rFont val="宋体"/>
        <charset val="134"/>
      </rPr>
      <t>有最低下单金额</t>
    </r>
    <r>
      <rPr>
        <sz val="9"/>
        <color theme="0"/>
        <rFont val="Arial"/>
        <charset val="134"/>
      </rPr>
      <t>5</t>
    </r>
    <r>
      <rPr>
        <sz val="9"/>
        <color theme="0"/>
        <rFont val="宋体"/>
        <charset val="134"/>
      </rPr>
      <t>千</t>
    </r>
    <r>
      <rPr>
        <sz val="9"/>
        <color theme="0"/>
        <rFont val="Arial"/>
        <charset val="134"/>
      </rPr>
      <t>(</t>
    </r>
    <r>
      <rPr>
        <sz val="9"/>
        <color theme="0"/>
        <rFont val="宋体"/>
        <charset val="134"/>
      </rPr>
      <t>按</t>
    </r>
    <r>
      <rPr>
        <sz val="9"/>
        <color theme="0"/>
        <rFont val="Arial"/>
        <charset val="134"/>
      </rPr>
      <t>1k</t>
    </r>
    <r>
      <rPr>
        <sz val="9"/>
        <color theme="0"/>
        <rFont val="宋体"/>
        <charset val="134"/>
      </rPr>
      <t>数量平摊价格</t>
    </r>
    <r>
      <rPr>
        <sz val="9"/>
        <color theme="0"/>
        <rFont val="Arial"/>
        <charset val="134"/>
      </rPr>
      <t>)</t>
    </r>
    <r>
      <rPr>
        <sz val="9"/>
        <color theme="0"/>
        <rFont val="宋体"/>
        <charset val="134"/>
      </rPr>
      <t>，存储和小板一起贴，以</t>
    </r>
    <r>
      <rPr>
        <sz val="9"/>
        <color theme="0"/>
        <rFont val="Arial"/>
        <charset val="134"/>
      </rPr>
      <t>12/10</t>
    </r>
    <r>
      <rPr>
        <sz val="9"/>
        <color theme="0"/>
        <rFont val="宋体"/>
        <charset val="134"/>
      </rPr>
      <t>号报价</t>
    </r>
    <r>
      <rPr>
        <sz val="9"/>
        <color theme="0"/>
        <rFont val="Arial"/>
        <charset val="134"/>
      </rPr>
      <t>1k</t>
    </r>
    <r>
      <rPr>
        <sz val="9"/>
        <color theme="0"/>
        <rFont val="宋体"/>
        <charset val="134"/>
      </rPr>
      <t>数量参考</t>
    </r>
    <r>
      <rPr>
        <sz val="9"/>
        <color theme="0"/>
        <rFont val="Arial"/>
        <charset val="134"/>
      </rPr>
      <t>$60</t>
    </r>
    <r>
      <rPr>
        <sz val="9"/>
        <color theme="0"/>
        <rFont val="宋体"/>
        <charset val="134"/>
      </rPr>
      <t>，当日有效，实单按实时询价为准</t>
    </r>
  </si>
  <si>
    <t>A.F.D.2500296-MP</t>
  </si>
  <si>
    <t>A.F.D.2500296 DB</t>
  </si>
  <si>
    <r>
      <rPr>
        <b/>
        <sz val="10"/>
        <color theme="1"/>
        <rFont val="宋体"/>
        <charset val="134"/>
      </rPr>
      <t>9月汇率：</t>
    </r>
    <r>
      <rPr>
        <b/>
        <sz val="10"/>
        <color theme="1"/>
        <rFont val="Arial"/>
        <charset val="134"/>
      </rPr>
      <t>6.71</t>
    </r>
  </si>
  <si>
    <r>
      <rPr>
        <b/>
        <sz val="12"/>
        <color rgb="FFFF0000"/>
        <rFont val="Arial"/>
        <charset val="134"/>
      </rPr>
      <t>pcb</t>
    </r>
    <r>
      <rPr>
        <b/>
        <sz val="12"/>
        <color rgb="FFFF0000"/>
        <rFont val="微软雅黑"/>
        <charset val="134"/>
      </rPr>
      <t>为普通材质</t>
    </r>
    <r>
      <rPr>
        <b/>
        <sz val="12"/>
        <color rgb="FFFF0000"/>
        <rFont val="Arial"/>
        <charset val="134"/>
      </rPr>
      <t>OSP</t>
    </r>
    <r>
      <rPr>
        <b/>
        <sz val="12"/>
        <color rgb="FFFF0000"/>
        <rFont val="微软雅黑"/>
        <charset val="134"/>
      </rPr>
      <t>工艺，如用特殊材质请单独核</t>
    </r>
    <r>
      <rPr>
        <b/>
        <sz val="12"/>
        <color rgb="FFFF0000"/>
        <rFont val="Arial"/>
        <charset val="134"/>
      </rPr>
      <t>;CPU;DDR;SSD;EMMC;WIFI</t>
    </r>
    <r>
      <rPr>
        <b/>
        <sz val="12"/>
        <color rgb="FFFF0000"/>
        <rFont val="微软雅黑"/>
        <charset val="134"/>
      </rPr>
      <t>请按需求选配</t>
    </r>
    <r>
      <rPr>
        <b/>
        <sz val="12"/>
        <color rgb="FFFF0000"/>
        <rFont val="Arial"/>
        <charset val="134"/>
      </rPr>
      <t>,</t>
    </r>
  </si>
  <si>
    <t>类型</t>
  </si>
  <si>
    <t>型号</t>
  </si>
  <si>
    <t>美金单项单价</t>
  </si>
  <si>
    <t>TYPC IC</t>
  </si>
  <si>
    <t>ANX7447QN</t>
  </si>
  <si>
    <r>
      <rPr>
        <b/>
        <sz val="8"/>
        <color rgb="FF000000"/>
        <rFont val="微软雅黑"/>
        <charset val="134"/>
      </rPr>
      <t>加密</t>
    </r>
    <r>
      <rPr>
        <b/>
        <sz val="8"/>
        <color rgb="FF000000"/>
        <rFont val="Arial"/>
        <charset val="134"/>
      </rPr>
      <t>IC TPM</t>
    </r>
  </si>
  <si>
    <t>HDMI2.0</t>
  </si>
  <si>
    <t>IT66318FN</t>
  </si>
  <si>
    <t>CYPD6228</t>
  </si>
  <si>
    <t>HDMI2.1</t>
  </si>
  <si>
    <t>ANX7484Q42</t>
  </si>
  <si>
    <r>
      <rPr>
        <b/>
        <sz val="10"/>
        <rFont val="宋体"/>
        <charset val="134"/>
      </rPr>
      <t>币种：</t>
    </r>
    <r>
      <rPr>
        <b/>
        <sz val="10"/>
        <rFont val="Arial"/>
        <charset val="134"/>
      </rPr>
      <t>USD</t>
    </r>
  </si>
  <si>
    <t>CYPD6227</t>
  </si>
  <si>
    <t>电量计</t>
  </si>
  <si>
    <t>CW2217</t>
  </si>
  <si>
    <t>USB3-10G</t>
  </si>
  <si>
    <t>GL9901VAE</t>
  </si>
  <si>
    <t>CS32G053HRCW6NR/ANX7484Q42</t>
  </si>
  <si>
    <t>PS8811QFN36</t>
  </si>
  <si>
    <t>ASL2330AN</t>
  </si>
  <si>
    <r>
      <rPr>
        <b/>
        <sz val="10"/>
        <color theme="1"/>
        <rFont val="微软雅黑"/>
        <charset val="134"/>
      </rPr>
      <t>雷电</t>
    </r>
    <r>
      <rPr>
        <b/>
        <sz val="8"/>
        <color rgb="FF000000"/>
        <rFont val="Arial"/>
        <charset val="134"/>
      </rPr>
      <t>IC</t>
    </r>
  </si>
  <si>
    <t>OLED</t>
  </si>
  <si>
    <t>G2708CKU1U</t>
  </si>
  <si>
    <t>IT8856FN/CX</t>
  </si>
  <si>
    <r>
      <rPr>
        <b/>
        <sz val="10"/>
        <color theme="1"/>
        <rFont val="微软雅黑"/>
        <charset val="134"/>
      </rPr>
      <t>机型</t>
    </r>
  </si>
  <si>
    <r>
      <rPr>
        <b/>
        <sz val="10"/>
        <color theme="1"/>
        <rFont val="Arial"/>
        <charset val="134"/>
      </rPr>
      <t>PCB</t>
    </r>
    <r>
      <rPr>
        <b/>
        <sz val="10"/>
        <color theme="1"/>
        <rFont val="宋体"/>
        <charset val="134"/>
      </rPr>
      <t>尺寸</t>
    </r>
  </si>
  <si>
    <r>
      <rPr>
        <b/>
        <sz val="10"/>
        <color theme="1"/>
        <rFont val="微软雅黑"/>
        <charset val="134"/>
      </rPr>
      <t>日期</t>
    </r>
  </si>
  <si>
    <t>汇率</t>
  </si>
  <si>
    <r>
      <rPr>
        <b/>
        <sz val="10"/>
        <rFont val="微软雅黑"/>
        <charset val="134"/>
      </rPr>
      <t>料号</t>
    </r>
  </si>
  <si>
    <t>TPYE-C</t>
  </si>
  <si>
    <r>
      <rPr>
        <b/>
        <sz val="10"/>
        <rFont val="微软雅黑"/>
        <charset val="134"/>
      </rPr>
      <t>功率</t>
    </r>
  </si>
  <si>
    <t>WIFI</t>
  </si>
  <si>
    <r>
      <rPr>
        <b/>
        <sz val="10"/>
        <rFont val="Arial"/>
        <charset val="134"/>
      </rPr>
      <t>CPU/</t>
    </r>
    <r>
      <rPr>
        <b/>
        <sz val="10"/>
        <rFont val="宋体"/>
        <charset val="134"/>
      </rPr>
      <t>存储</t>
    </r>
  </si>
  <si>
    <t>DDR/SSD</t>
  </si>
  <si>
    <t>包含可选功能</t>
  </si>
  <si>
    <t>IT5272FN</t>
  </si>
  <si>
    <t>DN21C(8L+通孔+OSP)</t>
  </si>
  <si>
    <t>214.5*120.0*1.0mm</t>
  </si>
  <si>
    <t>SKU135</t>
  </si>
  <si>
    <t>单Tpye c IC及双Type c接口（ANX7447QN）</t>
  </si>
  <si>
    <t>U-15W</t>
  </si>
  <si>
    <t>选配</t>
  </si>
  <si>
    <t>条子/SSD PCIE3.0</t>
  </si>
  <si>
    <t>TPM TPM(9672)； 电量计：CW2217;  ROM:128Mb;</t>
  </si>
  <si>
    <t>SKU137</t>
  </si>
  <si>
    <t>H-28W</t>
  </si>
  <si>
    <t>DN25(10L+通孔+OSP)</t>
  </si>
  <si>
    <t>188.1*99.2</t>
  </si>
  <si>
    <t>A.F.M.2509998</t>
  </si>
  <si>
    <t>SKU99</t>
  </si>
  <si>
    <t>单Tpye c IC及双Type c接口（CYPD6227）</t>
  </si>
  <si>
    <t>LPDDR5-315球8G*4</t>
  </si>
  <si>
    <t>雷电IC8040;    HDMI2.0 IT66318FN；   TPM TPM(9672)；电量计： CW2217</t>
  </si>
  <si>
    <t>A.F.M.2509999</t>
  </si>
  <si>
    <t>SKU100</t>
  </si>
  <si>
    <t>雷电IC8040;    HDMI2.0, IT66318FN；  TPM TPM(9672)； 电量计：CW2217</t>
  </si>
  <si>
    <t>DN79(8L++通孔+OSP)</t>
  </si>
  <si>
    <t>237.8*138.1</t>
  </si>
  <si>
    <t>A.F.M.2501814</t>
  </si>
  <si>
    <t>SKU27</t>
  </si>
  <si>
    <t>条子</t>
  </si>
  <si>
    <t>雷电IC8040；  HDMI2.0 IT66318FN;     TPM TPM(9672)   ; USB3-10G GL9901VAE-OGY11     电量计CW2217：  ROM:128Mb;</t>
  </si>
  <si>
    <t>A.F.M.2501815</t>
  </si>
  <si>
    <t>SKU28/SKU29</t>
  </si>
  <si>
    <t>P/H-28W/45W</t>
  </si>
  <si>
    <t>雷电IC8040；  HDMI2.0 IT66318FN;     TPM TPM(9672)   ; USB3-10G GL9901VAE-OGY11     电量计CW2217；  ROM:128Mb;</t>
  </si>
  <si>
    <t>MTN25C(10L++通孔+OSP)</t>
  </si>
  <si>
    <t>188.1*99.2阴阳铜</t>
  </si>
  <si>
    <t>A.F.M.2509000</t>
  </si>
  <si>
    <t>双Type C IC及双Type C 接口（ANX7447QN）</t>
  </si>
  <si>
    <t>LPDDR5x-315球4G*4</t>
  </si>
  <si>
    <t>TPM TPM(9672)； 电量计：CW2217;；  HDMI2.0  IT66318FN; ROM；256Mb</t>
  </si>
  <si>
    <t>A.F.M.2509001</t>
  </si>
  <si>
    <t>TPM TPM(9672)； 电量计：CW2217;；  HDMI2.0  IT66318FN ROM；256Mb</t>
  </si>
  <si>
    <t>MTN25(10L+通孔+OSP)</t>
  </si>
  <si>
    <t>188.1*99.2*1.0mm</t>
  </si>
  <si>
    <t>A.F.M.2900100</t>
  </si>
  <si>
    <t>单Type C IC及两个Type C 接口（CYPD6228）</t>
  </si>
  <si>
    <t>BE200</t>
  </si>
  <si>
    <t>OLED:G2708CKU1U; 含加密IC TPM(9672)；雷电IC9040;含CW2217; HDMI2.0 :IT66318FN;  降噪钽电</t>
  </si>
  <si>
    <t>188.1*99.2*1.0</t>
  </si>
  <si>
    <t>A.F.M.2900101</t>
  </si>
  <si>
    <t>单Tpye c IC及两个Type c接口（CYPD6228）</t>
  </si>
  <si>
    <t>OLED:G2708CKU1U; 含加密IC TPM(9672)；雷电IC9040;含CW2217: HDMI2.0: IT66318FN；降噪钽电</t>
  </si>
  <si>
    <t>DN25C(10L++通孔+OSP)</t>
  </si>
  <si>
    <t>全配</t>
  </si>
  <si>
    <t>AX101.D2WG.NV</t>
  </si>
  <si>
    <t>HDMI2.0:IT66318FN/;   TPM: SLB 9672;:  电量计：CW2217:  ROM:128Mb</t>
  </si>
  <si>
    <t>A.F.M.2510000</t>
  </si>
  <si>
    <t>DP67(10L++通孔+OSP)</t>
  </si>
  <si>
    <t>214*88*0.8</t>
  </si>
  <si>
    <t>A.F.M.2501282</t>
  </si>
  <si>
    <t>SKU19</t>
  </si>
  <si>
    <t>单Type-c IC及双Type c 接口(CYPD6227)</t>
  </si>
  <si>
    <t>LPDDR4x-200球4GB*4</t>
  </si>
  <si>
    <t>电量计 ：CW2217; ROM:128Mb</t>
  </si>
  <si>
    <t>DP67C（10L++通孔+OSP)</t>
  </si>
  <si>
    <t>214*88</t>
  </si>
  <si>
    <t>A.F.M.2501922-EVT</t>
  </si>
  <si>
    <t>SKU1</t>
  </si>
  <si>
    <t>Type c(双Type c接口)(CYPD6227)</t>
  </si>
  <si>
    <t>AX211.D2WG</t>
  </si>
  <si>
    <t>LPDDR5X-315球4G*4+0</t>
  </si>
  <si>
    <t>电量计 ：CW2217;  ROM:128Mb</t>
  </si>
  <si>
    <t>A.F.M.2503368</t>
  </si>
  <si>
    <t>SKU6</t>
  </si>
  <si>
    <t>DN21F(8L++通孔+OSP)</t>
  </si>
  <si>
    <t>214.5*120</t>
  </si>
  <si>
    <t>A.F.M.2401749</t>
  </si>
  <si>
    <t>单Type C IC及单Type C 接口（ANX7447QN）</t>
  </si>
  <si>
    <t>HDMI2.0:IT66318FN;   TPM: SLB 9672V   电量计 ：CW2217;  ROM:128Mb</t>
  </si>
  <si>
    <t>A.F.M.2501634</t>
  </si>
  <si>
    <t>HDMI2.0:IT66318FN;    电量计 ：CW2217;  ROM:128Mb</t>
  </si>
  <si>
    <t>MTN50(8L+HDI+沉金)</t>
  </si>
  <si>
    <t>230.7*120.8</t>
  </si>
  <si>
    <t>SKU12</t>
  </si>
  <si>
    <t>单Tpye c IC及双Type c接口（RTS5453H）</t>
  </si>
  <si>
    <t>U-28W</t>
  </si>
  <si>
    <t>雷电JHL9040R*2； HDMI2.1 ANX7484Q42； TPM:SLB 9672VU;  USB3-10G GL9901VAE</t>
  </si>
  <si>
    <t>MTN79(8L++通孔+OSP)</t>
  </si>
  <si>
    <t>A.F.M.2501824</t>
  </si>
  <si>
    <t>SKU24</t>
  </si>
  <si>
    <t>单Type C IC及双Type c接口（CYPD6228）</t>
  </si>
  <si>
    <t>电量计CW2217;HDMI2.0 IT66318FN; TPM:SLB 9672; USB3-10G GL9901VAE</t>
  </si>
  <si>
    <t>A.F.M.2501825</t>
  </si>
  <si>
    <t>SKU25</t>
  </si>
  <si>
    <t>A.F.M.2501826</t>
  </si>
  <si>
    <t>SKU26</t>
  </si>
  <si>
    <t>H-45W</t>
  </si>
  <si>
    <t>DN79C(8L++通孔+OSP)</t>
  </si>
  <si>
    <t>SKU47</t>
  </si>
  <si>
    <t>单Type C IC及双Type C 接口（CYPD6228）</t>
  </si>
  <si>
    <t>TPM 9672;  HDMI2.0  IT66318FN;   USB 3-10G GL9901V  ;电量计:CW2217;ROM;128Mb</t>
  </si>
  <si>
    <t>SKU48/SKU49</t>
  </si>
  <si>
    <t>H-28W/45W</t>
  </si>
  <si>
    <t>DN50F(8L++通孔+OSP)</t>
  </si>
  <si>
    <t>229.55*122.86</t>
  </si>
  <si>
    <t>A.F.M.2400375</t>
  </si>
  <si>
    <t>SKU5</t>
  </si>
  <si>
    <t>双Typc c及双Type c 接口(IT8856FN/CX)</t>
  </si>
  <si>
    <t>P-28W</t>
  </si>
  <si>
    <t>雷电JHL9040R*2； HDMI2.0 IT66318FN； TPM:SLB 9672VU;  USB3.1-10G PS8811QFN36GTR2</t>
  </si>
  <si>
    <t>A.F.M.2600626</t>
  </si>
  <si>
    <t>雷电JHL8040R*2； HDMI2.0 IT66318FN;   USB3-10G :PS8811QFN36</t>
  </si>
  <si>
    <t>DNTU146F(8L+通孔++OSP)</t>
  </si>
  <si>
    <t>234.77*117.04</t>
  </si>
  <si>
    <t>A.F.M.2502116</t>
  </si>
  <si>
    <t>单Type c及含双Type c接口(ASL2330AN)</t>
  </si>
  <si>
    <t>CDW-61822CE</t>
  </si>
  <si>
    <t>电量计：CW2217, ROM:128Mb</t>
  </si>
  <si>
    <t>A.F.M.2502117</t>
  </si>
  <si>
    <t>SKU2</t>
  </si>
  <si>
    <t>双Type c及含双Type c接口(ANX7447QN)</t>
  </si>
  <si>
    <t>CDW-61852BE</t>
  </si>
  <si>
    <t>DNTU146A(8L++通孔+OSP)</t>
  </si>
  <si>
    <t>234.7*127.2</t>
  </si>
  <si>
    <t>A.F.M.2502045-EVT</t>
  </si>
  <si>
    <t>双Type c及含双Type c接口((ANX7447QN))</t>
  </si>
  <si>
    <t>WD_RTL8821CE</t>
  </si>
  <si>
    <t>A.F.M.2502046-EVT</t>
  </si>
  <si>
    <t>双Type c及含双Type c接口(ASL2330AN)</t>
  </si>
  <si>
    <t>CDW-61821CE</t>
  </si>
  <si>
    <t>A.F.M.2502047-EVT</t>
  </si>
  <si>
    <t>SKU3</t>
  </si>
  <si>
    <t>DNTU146(8L++通孔+OSP)</t>
  </si>
  <si>
    <t>A.F.M.2501238-EVT</t>
  </si>
  <si>
    <t>单Type c及含双Type c接口(ANX7447QN)</t>
  </si>
  <si>
    <t>61821CE</t>
  </si>
  <si>
    <t>A.F.M.2501239-EVT</t>
  </si>
  <si>
    <t>AX101.D2WG</t>
  </si>
  <si>
    <t>A.F.M.2501369</t>
  </si>
  <si>
    <t>8852BE</t>
  </si>
  <si>
    <t>TPM:NPCT760AACYX; ROM:256Mb;  电量计：CW2217:</t>
  </si>
  <si>
    <t>DN792(8L++通孔+OSP)</t>
  </si>
  <si>
    <t>190.2*134.2</t>
  </si>
  <si>
    <t>HDMI2.0  IT66318FN; TPM:SLB 9672VU; USB3-10G; ROM: 128Mb; 电量计：CW2217</t>
  </si>
  <si>
    <t>MTNTU146(8L++通孔+OSP)</t>
  </si>
  <si>
    <t>234.77*127.19</t>
  </si>
  <si>
    <t>A.F.M.2501275</t>
  </si>
  <si>
    <t>SKU4</t>
  </si>
  <si>
    <t>RTL8822CE</t>
  </si>
  <si>
    <t>电量计：CW2217; ROM:256Mb</t>
  </si>
  <si>
    <t>A.F.M.2501276</t>
  </si>
  <si>
    <t>A.F.M.2501277</t>
  </si>
  <si>
    <t>HDMI2.0 IT66318FN; 电量计：CW2217; ROM:256Mb</t>
  </si>
  <si>
    <t>MTNTU146L(8L++通孔+OSP)</t>
  </si>
  <si>
    <t>A.F.M.2600456</t>
  </si>
  <si>
    <t>135H-22W</t>
  </si>
  <si>
    <t>CDW-61852BE-00</t>
  </si>
  <si>
    <t>HDMI2.0 IT66318FN; USB3-10G,电量计：CW2217; ROM:256Mb</t>
  </si>
  <si>
    <t>MTN21T(8L++通孔+OSP)</t>
  </si>
  <si>
    <t>214.85*123.16</t>
  </si>
  <si>
    <t>A.F.M.2402384-EVT</t>
  </si>
  <si>
    <t>Type c(双Type c接口)(RTS5453H)</t>
  </si>
  <si>
    <t>雷电：JHL9040R*2； HDMI2.0 IT66318FN;  TPM:SLB 9672VU; USB3-10G GL9901VAE 电量计：CW2217 ; ROM:256Mb</t>
  </si>
  <si>
    <t>A.F.M.2402385</t>
  </si>
  <si>
    <t>MTN21(8L++通孔+OSP)</t>
  </si>
  <si>
    <t>A.F.M.2502285</t>
  </si>
  <si>
    <t>单type c IC及一个Type c 接口（CYPD6228）</t>
  </si>
  <si>
    <t>HDMI2.0 IT66318FN;   TPM:SLB 9672VU;   USB3-10G GL9901VAE ； ROM:256Mb</t>
  </si>
  <si>
    <t>A.F.M.2402376-OOC</t>
  </si>
  <si>
    <t>SKU18</t>
  </si>
  <si>
    <t>MTN79T(8L++通孔+OSP)</t>
  </si>
  <si>
    <t>SKU8</t>
  </si>
  <si>
    <t>雷电:JHL9040R;   HDMI2.0 IT66318FN   TPM SLB 9672VU   USB3-10G GL9901VAE   电量计CW2217</t>
  </si>
  <si>
    <t>SKU9</t>
  </si>
  <si>
    <t>SKU10</t>
  </si>
  <si>
    <t>LN25C(8L++通孔+OSP)</t>
  </si>
  <si>
    <t>A.F.M.2500394</t>
  </si>
  <si>
    <t>单Type-C IC及双typeC接口（CS32G053H）</t>
  </si>
  <si>
    <t>228V/17W（28W）</t>
  </si>
  <si>
    <t>HDMI2.0 IT66318FN;   电量计：CW2217; ROM 256Mb</t>
  </si>
  <si>
    <t>A.F.M.2500392</t>
  </si>
  <si>
    <t>28w</t>
  </si>
  <si>
    <t>HDMI2.0 IT66318FN;   电量计：CW2217; ROM 256Mb,OLED: G2708CKU1U</t>
  </si>
  <si>
    <t>PN99(10L++通孔+OSP)</t>
  </si>
  <si>
    <t>单Type c(一个Type c接口)（IT5272FN）</t>
  </si>
  <si>
    <t>LPDDR5X-315球8G*4</t>
  </si>
  <si>
    <t>雷电：JHL9040R*1； TPM::SLB 9672VU; ROM 256Mb;</t>
  </si>
  <si>
    <t>SKU7</t>
  </si>
  <si>
    <t>LPDDR5X-315球16G*4</t>
  </si>
  <si>
    <t>雷电：JHL9040R*1； TPM::SLB 9672VU; OLED:G2708CKU1U;  ROM 256Mb;</t>
  </si>
  <si>
    <t>DN253(10L++通孔+OSP)</t>
  </si>
  <si>
    <t>193.6*100.2*1mm</t>
  </si>
  <si>
    <t>A.F.M.2501998</t>
  </si>
  <si>
    <t>单Type c(双Type c接口)（CS32G053HRCW6NR）</t>
  </si>
  <si>
    <t>AX210.D2WG</t>
  </si>
  <si>
    <t>HDMI2.0 IT66318FN;   TPM:SLB9670; 电量计：CW2217;  ROM：128Mb;   钽电</t>
  </si>
  <si>
    <t>A.F.M.2501999</t>
  </si>
  <si>
    <t>DNTU(8L++通孔+OSP)</t>
  </si>
  <si>
    <t>A.F.M.2501736</t>
  </si>
  <si>
    <t>单Type c及单Type c接口(ANX7447QN)</t>
  </si>
  <si>
    <t>电量计：CW2217; ROM:128Mb</t>
  </si>
  <si>
    <t>A.F.M.2501557-MP</t>
  </si>
  <si>
    <t>H-25W</t>
  </si>
  <si>
    <t>DN102(8L++通孔+OSP)</t>
  </si>
  <si>
    <t>A.F.M.2402449-EVT</t>
  </si>
  <si>
    <t>TPM:SLB 9672V; 电量计：CW2217; ROM:128Mb</t>
  </si>
  <si>
    <t>PN50(8L++通孔+OSP)</t>
  </si>
  <si>
    <t>230.7*120.78</t>
  </si>
  <si>
    <t>A.F.M.2502016</t>
  </si>
  <si>
    <t>单Type c(双Type c接口)IT5272FN</t>
  </si>
  <si>
    <t>雷电：JHL9040R*2;  HDMI2.1; ANX7484Q42;  TPM:SLB 9672; USB3-10G;GL9901VAE;ROM:256Mb</t>
  </si>
  <si>
    <t>MTS12(8L++通孔+OSP)</t>
  </si>
  <si>
    <t>A.F.M.2502142</t>
  </si>
  <si>
    <t>单Type c及一个Type c接口(RTS5453H)</t>
  </si>
  <si>
    <t>非贴片</t>
  </si>
  <si>
    <t>雷电：JHL9040R*2； HDMI2.1 ANX7484Q42 ;  万兆网口IC:RTL8127AT-CG; USB3-10G GL9901VAE ; ROM:256Mb</t>
  </si>
  <si>
    <t>DN525E(8L++通孔+OSP)</t>
  </si>
  <si>
    <t>A.F.M.2502146</t>
  </si>
  <si>
    <t>ROM:128Mb;</t>
  </si>
  <si>
    <t>DNXU(8L++通孔+OSP)</t>
  </si>
  <si>
    <t>207*178.7*1mm</t>
  </si>
  <si>
    <t>A.F.M.2402293-MP</t>
  </si>
  <si>
    <t>9560.D2WG</t>
  </si>
  <si>
    <t>电量计：CW2015CHBD； ROM:128Mb</t>
  </si>
  <si>
    <t>A.F.M.2401715-MP</t>
  </si>
  <si>
    <t>SKU23</t>
  </si>
  <si>
    <t>A.F.M.2401781-MP</t>
  </si>
  <si>
    <t>电量计：CW22217;  ROM:128Mb</t>
  </si>
  <si>
    <t>LP88（8L+HDI2+OSP）</t>
  </si>
  <si>
    <t>231.55*80.94*0.8mm</t>
  </si>
  <si>
    <t>A.F.M.2502003-MP</t>
  </si>
  <si>
    <t>单Type c IC及双接口（CYPD6228）</t>
  </si>
  <si>
    <t>CPU/DDR一体式</t>
  </si>
  <si>
    <t>BE200.D2WG</t>
  </si>
  <si>
    <t>雷电JHL9040R_*2：  TPM:SLB 9672;   ROM:256Mb;  钽电容</t>
  </si>
  <si>
    <t>DN59E（8L+通孔+沉金）</t>
  </si>
  <si>
    <t>269.1*134.33*1mm</t>
  </si>
  <si>
    <t>A.F.M.2302162</t>
  </si>
  <si>
    <t>单Type c IC及双接口（CYPD6227）</t>
  </si>
  <si>
    <t>雷电：JHL8040R*1： HDMI2.0: IT66318FN;OLED:G2708CKU1U;   USB3.1-10G:PS8811QFN36GTR2; ROM:128Mb；</t>
  </si>
  <si>
    <t>DN5E(8L+HDI2+OSP)</t>
  </si>
  <si>
    <t>185.0*110.8*1mm</t>
  </si>
  <si>
    <t>A.F.M.2401867-PVT</t>
  </si>
  <si>
    <t>Type c(双Type c接口)(ANX7447QN)</t>
  </si>
  <si>
    <t>AX201.D2WG</t>
  </si>
  <si>
    <t>LPDDR4X-556球8G*2+0</t>
  </si>
  <si>
    <t>ROM:128Mb</t>
  </si>
  <si>
    <t>MTP13(10L++通孔+OSP)</t>
  </si>
  <si>
    <t>211.6*102.16*1.0mm</t>
  </si>
  <si>
    <t>A.F.M.2501448</t>
  </si>
  <si>
    <t>LPDDR5-315球8G*4+0</t>
  </si>
  <si>
    <t>HDMI2.0:IT66318FN:  TPM;LB 9672VU;  ROM:256Mb;</t>
  </si>
  <si>
    <t>PN252(10L++通孔+OSP)</t>
  </si>
  <si>
    <t>201.6*104.3*1.0mm</t>
  </si>
  <si>
    <t>A.F.M.2502249</t>
  </si>
  <si>
    <t>单Type C IC及双Type C 接口（IT5272FN）</t>
  </si>
  <si>
    <t>AX211.D2W</t>
  </si>
  <si>
    <t>LPDDR5-315球4G*4+0</t>
  </si>
  <si>
    <t>（IT5272FN）； TPM； CW2217; 雷电IC*2pcs（9040）</t>
  </si>
  <si>
    <t>A.F.M.2502619</t>
  </si>
  <si>
    <t>雷电JHL9040R*2：  HDMI2.0:IT66318FN;   TPM:SLB 9672;  OLED:G2708CKU1U;  ROM:256Mb;  钽电</t>
  </si>
  <si>
    <t>DP13C(10L++通孔+OSP)</t>
  </si>
  <si>
    <t>A.F.M.2502322</t>
  </si>
  <si>
    <t>双Type c(双Type c接口)(ANX7447QN)</t>
  </si>
  <si>
    <t>LPDDR5X-315球6G*4+0</t>
  </si>
  <si>
    <t>TPM:SLB 9672;  电量计： CW2217;  ROM:128Mb</t>
  </si>
  <si>
    <t>DN50Z(8L+通孔+沉金)</t>
  </si>
  <si>
    <t>197.1*166.2*1.0</t>
  </si>
  <si>
    <t>A.F.M.2300377</t>
  </si>
  <si>
    <t>SKU41</t>
  </si>
  <si>
    <t>双Type C IC及双Type C 接口（IT8856FN）</t>
  </si>
  <si>
    <t>雷电;JHL8040R*1;  HDMI2.0:IT66318FN;  USB3-10G:PS8811QFN36GTR2;</t>
  </si>
  <si>
    <t>A.F.M.2400398-MP</t>
  </si>
  <si>
    <t>SKU67</t>
  </si>
  <si>
    <t>雷电JHL8040R*1； HDMI2.0:IT66318FN ; USB3.1-10G:PS8811QFN36GTR2; ROM:256Mb</t>
  </si>
  <si>
    <t>PN79(8L++通孔+OSP)</t>
  </si>
  <si>
    <t>25mm*50mm_1.26mm</t>
  </si>
  <si>
    <t>A.F.M.2502580</t>
  </si>
  <si>
    <t>TPM TPM； CW2217; 雷电IC 9040*2PCS; HDMI2.0 :IT66318FN;  TPM:SLB 9672;  ROM: 256Mb；</t>
  </si>
  <si>
    <t>DN39D(10L++通孔+OSP)</t>
  </si>
  <si>
    <t>A.F.M.2502956</t>
  </si>
  <si>
    <t>HDMI2.0:IT66318FN;    USB3.0 :  ROM:128Mb;  USB3.0:GL9901VAE-;  PCB参考DN39的pcb</t>
  </si>
  <si>
    <t>MTNTU146B(10L+HDI2+OSP)</t>
  </si>
  <si>
    <t>206.6*127.2</t>
  </si>
  <si>
    <t>A.F.M.2502661</t>
  </si>
  <si>
    <t>单Type C IC及双Type C 接口（ANX7447QN）</t>
  </si>
  <si>
    <t>61851BE</t>
  </si>
  <si>
    <t>LPDDR5X-496球8G*2+0</t>
  </si>
  <si>
    <t>电量计CW2217,  ROM :256Mb,PCB为科翔价格</t>
  </si>
  <si>
    <t>A.F.M.2502662</t>
  </si>
  <si>
    <t>C口全功能及双Type C 接口（ASL2330AN）</t>
  </si>
  <si>
    <t>LPDDR5X-496球16G*2+0</t>
  </si>
  <si>
    <t>DN87(8L++通孔+OSP)</t>
  </si>
  <si>
    <t>258.0*128.0*1.0mm</t>
  </si>
  <si>
    <t>A.F.M.2401989-PVT</t>
  </si>
  <si>
    <t>单Type c IC (单Type c接口)ANX7447QN</t>
  </si>
  <si>
    <t>MTN21B(10L+HDI2+OSP)</t>
  </si>
  <si>
    <t>214.9x123.2</t>
  </si>
  <si>
    <t>A.F.M.2503359</t>
  </si>
  <si>
    <t>单Type C IC及双Type C 接口（CS32G053HRCW6NR）</t>
  </si>
  <si>
    <t>电量计 ：CW2217;  ROM:256Mb</t>
  </si>
  <si>
    <t>A.F.M.2502632</t>
  </si>
  <si>
    <t>单type c IC及双Type c 接口（CS32G053HRCW6NR）</t>
  </si>
  <si>
    <t>LPDDR5X-496球16G+0</t>
  </si>
  <si>
    <t>HDMI2.0:IT66318FN;  TPM:SLB 9672; 电量计：CW2217; USB-10G    USB3.0:GL9901;   ROM:256Mb  USB3.1-10G:GL9901VAE;</t>
  </si>
  <si>
    <t>LP13（8L+HDI2+沉金）</t>
  </si>
  <si>
    <t>A.F.M.2502474</t>
  </si>
  <si>
    <t>双Type c(双Type c接口)（CS32G053HRCW6NR）</t>
  </si>
  <si>
    <t>Ultra-5-226V(16GB)</t>
  </si>
  <si>
    <t>雷电：JHL9040R*1；HDMI2.0:IT66318   FN; ROM:256Mb  ; USB3-10G GL9901VAE;  电量计：CW2217; ROM:128Mb</t>
  </si>
  <si>
    <t>MTN793(10L++通孔+OSP)</t>
  </si>
  <si>
    <t>190.2x134.2x1.0mm</t>
  </si>
  <si>
    <t>A.F.M.2502676</t>
  </si>
  <si>
    <t>496BALL DDR 15W满配置</t>
  </si>
  <si>
    <t>LPDDR5X-496球转接小板</t>
  </si>
  <si>
    <t>HDMI2.0:IT66318FN;  TPM:SLB 9672:  USB3-10G:GL9901VAE; 电量计：CW2217:  ROM:256Mb</t>
  </si>
  <si>
    <t>A.F.M.2502675</t>
  </si>
  <si>
    <t>315BALL DDR 15W满配置</t>
  </si>
  <si>
    <t>LPDDR5 4GB*4 315球</t>
  </si>
  <si>
    <t>DN21B(8L++通孔+OSP)</t>
  </si>
  <si>
    <t>A.F.M.2502043</t>
  </si>
  <si>
    <t>HDMI2.0  :IT66318FN;  电量计：CW2217； TPM :SLB 9672 ; USB3-10G GL9901; ROM：128Mb;</t>
  </si>
  <si>
    <t>DN75(8L++通孔+OSP)</t>
  </si>
  <si>
    <t>A.F.M.2402410</t>
  </si>
  <si>
    <t>28W</t>
  </si>
  <si>
    <t>SODIM条子</t>
  </si>
  <si>
    <t>TPM:SLB 9672V;  ;  ROM:256Mb</t>
  </si>
  <si>
    <t>WN792(6L+通孔+OSP)</t>
  </si>
  <si>
    <t>190.2*134.2*1mm</t>
  </si>
  <si>
    <t>A.F.M.2600136高配</t>
  </si>
  <si>
    <t>单Type c IC及双TYPE-C接口(IT5272F)</t>
  </si>
  <si>
    <t>条子+UFS</t>
  </si>
  <si>
    <t>HDMI2.0 LT86101UXS; USB3-10G GL9901VA; TPM SLB 9672;  ROM:256ROM,钽电</t>
  </si>
  <si>
    <t>WN21B(6L+通孔+OSP）</t>
  </si>
  <si>
    <t>214.9x123.1x1mm</t>
  </si>
  <si>
    <t>A.F.M.27000XX</t>
  </si>
  <si>
    <t>单Type c IC及双TYPE-C接口</t>
  </si>
  <si>
    <t>LPDDR5X 8GB*2+256UFS</t>
  </si>
  <si>
    <t>HDMI2.0:LT86101UXS;  TPM SLB 9672  /OLED  G2708CKU1U;  电量计：CW2217;  ROM:256Mb;  USB3-10G:GL9901VAE; 钽电</t>
  </si>
  <si>
    <t>DN21D( 8L+HDI2+OSP)</t>
  </si>
  <si>
    <t>214.8x119.9x1mm</t>
  </si>
  <si>
    <t>A.F.M.2600726</t>
  </si>
  <si>
    <t>单Type c IC及单TYPE-C接口(CS32G053HRCW6NR)</t>
  </si>
  <si>
    <t>LPDDR4X 8GB*1+256UFS</t>
  </si>
  <si>
    <t>WN25(6L+通孔+OSP+无卤)</t>
  </si>
  <si>
    <t>187.0*99.2*1.0mm</t>
  </si>
  <si>
    <t>A.F.M.2600XXX</t>
  </si>
  <si>
    <t>LPDDR5-315球8G*2+0</t>
  </si>
  <si>
    <t>HDMI 2.0 IT66318FN   /TPM SLB 9672  /OLED  G2708CKU1U/ROM, 256Mb;  无卤PCB ;钽电</t>
  </si>
  <si>
    <t>PN793(10L++通孔+OSP)</t>
  </si>
  <si>
    <t>A.F.M.2600014</t>
  </si>
  <si>
    <t>单Type C IC及单Type C 接口</t>
  </si>
  <si>
    <t>雷电JHL9040R*1：HDMI2.0  IT66318FN;  TPM:SLB 9672; ROM: 256Mb; USB3-10G:GL9901,钽电</t>
  </si>
  <si>
    <t>RPLK3（6L+通孔+OSP)</t>
  </si>
  <si>
    <t>184x170x1.6mm</t>
  </si>
  <si>
    <t>A.F.M.2600743</t>
  </si>
  <si>
    <t>RJ45:RTL8111H ;  ROM 128Mb ;</t>
  </si>
  <si>
    <t>WNTU146B（6L+通孔+OSP)</t>
  </si>
  <si>
    <t>206.6mm*127.2mm*1mm</t>
  </si>
  <si>
    <t>A.F.M.2600458</t>
  </si>
  <si>
    <t>单Type c IC及双接口</t>
  </si>
  <si>
    <t>25W</t>
  </si>
  <si>
    <t>CDW-61851BE-00</t>
  </si>
  <si>
    <t>DDR转接小板；电量计：CW217; ROM 256Mb;</t>
  </si>
  <si>
    <t>206.6*127.2*1mm</t>
  </si>
  <si>
    <t>A.F.M.2600822（高配）</t>
  </si>
  <si>
    <t>WD_RTL8852BELGA</t>
  </si>
  <si>
    <t>0+512UFS</t>
  </si>
  <si>
    <t>HDMI2.0  IT66318FN /TPM2.0 SLB 9672 /ROM :256Mb;  电量计：CW2217; 钽电容</t>
  </si>
  <si>
    <t>WN35(8L+通孔+OSP+无卤）</t>
  </si>
  <si>
    <t>182.3*101.0*1.0mm</t>
  </si>
  <si>
    <t>A.F.M.2600712(高配）</t>
  </si>
  <si>
    <t>单Type C IC及双Type c 接口(IT5272)</t>
  </si>
  <si>
    <t>AX211.D2WG.NV</t>
  </si>
  <si>
    <t>8GB(315球)*2 +512UFS</t>
  </si>
  <si>
    <t>HDMI2.0 IT66318FN ；TPM：SLB 9672 ； AMOLED G2708CKU1U ；ROM:256Mb,  SMT为预估计。普通PCB2.83U</t>
  </si>
  <si>
    <t>WN35B(L8-2+HDI2+OSP+无卤）</t>
  </si>
  <si>
    <t>A.F.M.2601072</t>
  </si>
  <si>
    <t>WD_RTL8852BELGA_V10</t>
  </si>
  <si>
    <t>12GB(496球）+512UFS</t>
  </si>
  <si>
    <t>HDMI2.0/TPM/AMOLED/ROM:256Mb/EE降噪电容 ,SMT为预估计</t>
  </si>
  <si>
    <t>PP22（10L+HDI2+沉金）</t>
  </si>
  <si>
    <t>168.7x113.5x1.0</t>
  </si>
  <si>
    <t>A.F.M.2600460高配</t>
  </si>
  <si>
    <t>lpddr5 16GB(315球）*4+0</t>
  </si>
  <si>
    <t>雷电JHL9040R*2/ROM 256Mb/9_MIPIx2CH_AMOLED ROM:256Mb;</t>
  </si>
  <si>
    <t>WN25B(8L-2C+HDI2+OSP+HF)</t>
  </si>
  <si>
    <t>A.F.M.2601XXX</t>
  </si>
  <si>
    <t>单Type C IC及双Type c 接口(IT5272FN)</t>
  </si>
  <si>
    <t>15W/25W</t>
  </si>
  <si>
    <t>LPDDR5X 8GB*1 496球+0</t>
  </si>
  <si>
    <t>HDMI2.0 IT66318FN /TPM SLB 9672V /AMOLED _G2708CKU1U/电量计：CW2217;  ROM:256Mb/EE降噪电容 SMT为预估计</t>
  </si>
  <si>
    <t>WN79（6L+通孔+OSP)</t>
  </si>
  <si>
    <t>237.8*138.1*1mm</t>
  </si>
  <si>
    <t>A.F.M.2600845高配</t>
  </si>
  <si>
    <t>3个Type C IC及双Type c 接口(IT5272FN*1+RTS5460Z-GR*2）</t>
  </si>
  <si>
    <t>0+UFS3.1 512GB</t>
  </si>
  <si>
    <t>HDMI2.0:LT86101UXS ;  TPM:SLB 9672;  USB3-10G:GL9901VAE;  ROM:256Mb;  钽电降噪,SMT预估价</t>
  </si>
  <si>
    <t>WN21D(8L-2+HDI2+OSP)</t>
  </si>
  <si>
    <t>单Type C IC及单Type c 接口(IT5272)</t>
  </si>
  <si>
    <t>LPDDR5X 8GB*1 496球+UFS256GB</t>
  </si>
  <si>
    <t>HDMI2.0:LT86101UXS;  TPM:SLB 9672;  OLED:G2708CKU1U ;  电量计：G2708CKU1U； ROM:256Mb;  usb3-10g:GL9901VAE; 钽电；  SMT预估价</t>
  </si>
  <si>
    <t>RPLM3S5(6L+通孔+OSP)</t>
  </si>
  <si>
    <t>239.2x195x1.6mm</t>
  </si>
  <si>
    <t>A.F.M.2601108</t>
  </si>
  <si>
    <t>H-65W</t>
  </si>
  <si>
    <t>不带集显；网卡IC:RTL8125D; ROM:128Mb; PCB及SMT为预估价</t>
  </si>
  <si>
    <t>A.F.M.2601109</t>
  </si>
  <si>
    <t>带集显；HDMI2.0: LT86101UXS;  网卡IC:RTL8125D; ROM:128Mb;PCB及SMT为预估价</t>
  </si>
  <si>
    <t>RPLM3S4(6L+通孔+OSP)</t>
  </si>
  <si>
    <r>
      <rPr>
        <sz val="8"/>
        <color theme="1"/>
        <rFont val="微软雅黑"/>
        <charset val="134"/>
      </rPr>
      <t xml:space="preserve">带集显；HDMI2.0:LT86101UXS; </t>
    </r>
    <r>
      <rPr>
        <sz val="8"/>
        <color theme="1"/>
        <rFont val="宋体"/>
        <charset val="134"/>
      </rPr>
      <t>网卡</t>
    </r>
    <r>
      <rPr>
        <sz val="8"/>
        <color theme="1"/>
        <rFont val="Arial"/>
        <charset val="134"/>
      </rPr>
      <t>IC:RTL8125D</t>
    </r>
    <r>
      <rPr>
        <sz val="8"/>
        <color theme="1"/>
        <rFont val="宋体"/>
        <charset val="134"/>
      </rPr>
      <t>；</t>
    </r>
    <r>
      <rPr>
        <sz val="8"/>
        <color theme="1"/>
        <rFont val="Arial"/>
        <charset val="134"/>
      </rPr>
      <t>ROM:128Mb;PCB</t>
    </r>
    <r>
      <rPr>
        <sz val="8"/>
        <color theme="1"/>
        <rFont val="宋体"/>
        <charset val="134"/>
      </rPr>
      <t>及</t>
    </r>
    <r>
      <rPr>
        <sz val="8"/>
        <color theme="1"/>
        <rFont val="Arial"/>
        <charset val="134"/>
      </rPr>
      <t>SMT</t>
    </r>
    <r>
      <rPr>
        <sz val="8"/>
        <color theme="1"/>
        <rFont val="宋体"/>
        <charset val="134"/>
      </rPr>
      <t>为预估价</t>
    </r>
  </si>
  <si>
    <r>
      <rPr>
        <b/>
        <sz val="10"/>
        <color theme="1"/>
        <rFont val="Arial"/>
        <charset val="134"/>
      </rPr>
      <t>12</t>
    </r>
    <r>
      <rPr>
        <b/>
        <sz val="10"/>
        <color theme="1"/>
        <rFont val="微软雅黑"/>
        <charset val="134"/>
      </rPr>
      <t>月份汇率：</t>
    </r>
    <r>
      <rPr>
        <b/>
        <sz val="10"/>
        <color theme="1"/>
        <rFont val="Arial"/>
        <charset val="134"/>
      </rPr>
      <t>7.04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</si>
  <si>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r>
      <rPr>
        <b/>
        <sz val="10"/>
        <rFont val="微软雅黑"/>
        <charset val="134"/>
      </rPr>
      <t>配置</t>
    </r>
  </si>
  <si>
    <t>差异点</t>
  </si>
  <si>
    <r>
      <rPr>
        <sz val="10"/>
        <color theme="1"/>
        <rFont val="Arial"/>
        <charset val="134"/>
      </rPr>
      <t>MTNTU146(8L+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+OSP)</t>
    </r>
  </si>
  <si>
    <t>0+0</t>
  </si>
  <si>
    <t>SMT预估</t>
  </si>
  <si>
    <t>两颗DIMM/DDR5座子，两颗7447</t>
  </si>
  <si>
    <r>
      <rPr>
        <sz val="10"/>
        <rFont val="Arial"/>
        <charset val="134"/>
      </rPr>
      <t>H</t>
    </r>
    <r>
      <rPr>
        <sz val="10"/>
        <rFont val="微软雅黑"/>
        <charset val="134"/>
      </rPr>
      <t>-28</t>
    </r>
    <r>
      <rPr>
        <sz val="10"/>
        <rFont val="Arial"/>
        <charset val="134"/>
      </rPr>
      <t>W</t>
    </r>
  </si>
  <si>
    <t>单颗7447</t>
  </si>
  <si>
    <t>差异</t>
  </si>
  <si>
    <r>
      <rPr>
        <sz val="10"/>
        <color theme="1"/>
        <rFont val="Arial"/>
        <charset val="134"/>
      </rPr>
      <t>MTN21(8L+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+OSP)</t>
    </r>
  </si>
  <si>
    <r>
      <rPr>
        <sz val="10"/>
        <color theme="1"/>
        <rFont val="Arial"/>
        <charset val="134"/>
      </rPr>
      <t>MTN21B(10L+</t>
    </r>
    <r>
      <rPr>
        <sz val="10"/>
        <color theme="1"/>
        <rFont val="宋体"/>
        <charset val="134"/>
      </rPr>
      <t>HDI2</t>
    </r>
    <r>
      <rPr>
        <sz val="10"/>
        <color theme="1"/>
        <rFont val="Arial"/>
        <charset val="134"/>
      </rPr>
      <t>+OSP)</t>
    </r>
  </si>
  <si>
    <r>
      <rPr>
        <sz val="10"/>
        <color theme="1"/>
        <rFont val="Arial"/>
        <charset val="134"/>
      </rPr>
      <t>MTN79(8L+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</si>
  <si>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9颗钽电容(15UF)，PD/赛普拉斯6228</t>
  </si>
  <si>
    <r>
      <rPr>
        <sz val="10"/>
        <color theme="1"/>
        <rFont val="Arial"/>
        <charset val="134"/>
      </rPr>
      <t>MTN793(10L+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+OSP)</t>
    </r>
  </si>
  <si>
    <t>PD/芯海035H，未加315转接小板</t>
  </si>
  <si>
    <r>
      <rPr>
        <b/>
        <sz val="10"/>
        <color theme="1"/>
        <rFont val="宋体"/>
        <charset val="134"/>
      </rPr>
      <t>汇率：</t>
    </r>
    <r>
      <rPr>
        <b/>
        <sz val="10"/>
        <color theme="1"/>
        <rFont val="Arial"/>
        <charset val="134"/>
      </rPr>
      <t>6.75</t>
    </r>
  </si>
  <si>
    <r>
      <rPr>
        <b/>
        <sz val="12"/>
        <color theme="1"/>
        <rFont val="Arial"/>
        <charset val="134"/>
      </rPr>
      <t>pcb</t>
    </r>
    <r>
      <rPr>
        <b/>
        <sz val="12"/>
        <color theme="1"/>
        <rFont val="微软雅黑"/>
        <charset val="134"/>
      </rPr>
      <t>为普通材质</t>
    </r>
    <r>
      <rPr>
        <b/>
        <sz val="12"/>
        <color theme="1"/>
        <rFont val="Arial"/>
        <charset val="134"/>
      </rPr>
      <t>OSP</t>
    </r>
    <r>
      <rPr>
        <b/>
        <sz val="12"/>
        <color theme="1"/>
        <rFont val="微软雅黑"/>
        <charset val="134"/>
      </rPr>
      <t>工艺，如用特殊材质请单独核</t>
    </r>
    <r>
      <rPr>
        <b/>
        <sz val="12"/>
        <color theme="1"/>
        <rFont val="Arial"/>
        <charset val="134"/>
      </rPr>
      <t>;CPU;DDR;SSD;EMMC;WIFI</t>
    </r>
    <r>
      <rPr>
        <b/>
        <sz val="12"/>
        <color theme="1"/>
        <rFont val="微软雅黑"/>
        <charset val="134"/>
      </rPr>
      <t>请按需求选配</t>
    </r>
    <r>
      <rPr>
        <b/>
        <sz val="12"/>
        <color theme="1"/>
        <rFont val="Arial"/>
        <charset val="134"/>
      </rPr>
      <t xml:space="preserve"> </t>
    </r>
  </si>
  <si>
    <r>
      <rPr>
        <b/>
        <sz val="8"/>
        <color rgb="FF000000"/>
        <rFont val="微软雅黑"/>
        <charset val="134"/>
      </rPr>
      <t>类型</t>
    </r>
  </si>
  <si>
    <r>
      <rPr>
        <b/>
        <sz val="8"/>
        <color rgb="FF000000"/>
        <rFont val="微软雅黑"/>
        <charset val="134"/>
      </rPr>
      <t>型号</t>
    </r>
  </si>
  <si>
    <r>
      <rPr>
        <b/>
        <sz val="8"/>
        <color rgb="FF000000"/>
        <rFont val="微软雅黑"/>
        <charset val="134"/>
      </rPr>
      <t>美金单项单价</t>
    </r>
  </si>
  <si>
    <r>
      <rPr>
        <b/>
        <sz val="8"/>
        <color rgb="FF000000"/>
        <rFont val="微软雅黑"/>
        <charset val="134"/>
      </rPr>
      <t>电量计</t>
    </r>
  </si>
  <si>
    <r>
      <rPr>
        <b/>
        <sz val="10"/>
        <color theme="1"/>
        <rFont val="微软雅黑"/>
        <charset val="134"/>
      </rPr>
      <t>厂区</t>
    </r>
  </si>
  <si>
    <t>PCB尺寸</t>
  </si>
  <si>
    <t>Type c</t>
  </si>
  <si>
    <t>功率</t>
  </si>
  <si>
    <t>DDR
存储</t>
  </si>
  <si>
    <t>已含型号备注</t>
  </si>
  <si>
    <r>
      <rPr>
        <b/>
        <sz val="12"/>
        <color theme="1"/>
        <rFont val="Arial"/>
        <charset val="134"/>
      </rPr>
      <t>ROBOT</t>
    </r>
    <r>
      <rPr>
        <b/>
        <sz val="12"/>
        <color theme="1"/>
        <rFont val="宋体"/>
        <charset val="134"/>
      </rPr>
      <t>临时核价</t>
    </r>
    <r>
      <rPr>
        <b/>
        <sz val="12"/>
        <color theme="1"/>
        <rFont val="Arial"/>
        <charset val="134"/>
      </rPr>
      <t>20260104</t>
    </r>
  </si>
  <si>
    <t>NA</t>
  </si>
  <si>
    <r>
      <rPr>
        <b/>
        <sz val="12"/>
        <color theme="1"/>
        <rFont val="Arial"/>
        <charset val="134"/>
      </rPr>
      <t>pcb</t>
    </r>
    <r>
      <rPr>
        <b/>
        <sz val="12"/>
        <color theme="1"/>
        <rFont val="宋体"/>
        <charset val="134"/>
      </rPr>
      <t>按</t>
    </r>
    <r>
      <rPr>
        <b/>
        <sz val="12"/>
        <color theme="1"/>
        <rFont val="Arial"/>
        <charset val="134"/>
      </rPr>
      <t>MTN25</t>
    </r>
    <r>
      <rPr>
        <b/>
        <sz val="12"/>
        <color theme="1"/>
        <rFont val="宋体"/>
        <charset val="134"/>
      </rPr>
      <t>机型参考报价，</t>
    </r>
    <r>
      <rPr>
        <b/>
        <sz val="12"/>
        <color theme="1"/>
        <rFont val="Arial"/>
        <charset val="134"/>
      </rPr>
      <t>SMT</t>
    </r>
    <r>
      <rPr>
        <b/>
        <sz val="12"/>
        <color theme="1"/>
        <rFont val="宋体"/>
        <charset val="134"/>
      </rPr>
      <t>预估，后续正式bom再按实际核价为准</t>
    </r>
    <r>
      <rPr>
        <b/>
        <sz val="12"/>
        <color theme="1"/>
        <rFont val="Arial"/>
        <charset val="134"/>
      </rPr>
      <t>,</t>
    </r>
    <r>
      <rPr>
        <b/>
        <sz val="12"/>
        <color theme="1"/>
        <rFont val="宋体"/>
        <charset val="134"/>
      </rPr>
      <t>不含keypark报价</t>
    </r>
  </si>
  <si>
    <r>
      <rPr>
        <b/>
        <sz val="12"/>
        <color theme="1"/>
        <rFont val="Arial"/>
        <charset val="134"/>
      </rPr>
      <t>ROBOT</t>
    </r>
    <r>
      <rPr>
        <b/>
        <sz val="12"/>
        <color theme="1"/>
        <rFont val="宋体"/>
        <charset val="134"/>
      </rPr>
      <t>临时核价</t>
    </r>
    <r>
      <rPr>
        <b/>
        <sz val="12"/>
        <color theme="1"/>
        <rFont val="Arial"/>
        <charset val="134"/>
      </rPr>
      <t>20260105</t>
    </r>
    <r>
      <rPr>
        <b/>
        <sz val="12"/>
        <color theme="1"/>
        <rFont val="宋体"/>
        <charset val="134"/>
      </rPr>
      <t>小板</t>
    </r>
  </si>
  <si>
    <r>
      <rPr>
        <b/>
        <sz val="12"/>
        <color theme="1"/>
        <rFont val="Arial"/>
        <charset val="134"/>
      </rPr>
      <t>pcb</t>
    </r>
    <r>
      <rPr>
        <b/>
        <sz val="12"/>
        <color theme="1"/>
        <rFont val="宋体"/>
        <charset val="134"/>
      </rPr>
      <t>按xn25预估，smt预估</t>
    </r>
  </si>
  <si>
    <t>DNN253</t>
  </si>
  <si>
    <r>
      <rPr>
        <b/>
        <sz val="12"/>
        <color theme="1"/>
        <rFont val="Arial"/>
        <charset val="134"/>
      </rPr>
      <t>PCB</t>
    </r>
    <r>
      <rPr>
        <b/>
        <sz val="12"/>
        <color theme="1"/>
        <rFont val="宋体"/>
        <charset val="134"/>
      </rPr>
      <t>持续上涨，实单前重新确认</t>
    </r>
  </si>
  <si>
    <r>
      <rPr>
        <b/>
        <sz val="12"/>
        <color theme="1"/>
        <rFont val="Arial"/>
        <charset val="134"/>
      </rPr>
      <t>WN38(8L+</t>
    </r>
    <r>
      <rPr>
        <b/>
        <sz val="12"/>
        <color theme="1"/>
        <rFont val="宋体"/>
        <charset val="134"/>
      </rPr>
      <t>通孔+OSP)</t>
    </r>
  </si>
  <si>
    <t>A.F.M.2400978</t>
  </si>
  <si>
    <t>PCB价保一周</t>
  </si>
  <si>
    <t>A.F.M.2400991</t>
  </si>
  <si>
    <t>DN105(8L+通孔+OSP)</t>
  </si>
  <si>
    <t>A.F.M.2501240</t>
  </si>
  <si>
    <t>PCB价格有效期一周</t>
  </si>
  <si>
    <t>A.F.M.2501241</t>
  </si>
  <si>
    <t>A.F.M.2503104</t>
  </si>
  <si>
    <t>PCB有效期8-15</t>
  </si>
  <si>
    <t>WS17(6L+通孔+OSP)</t>
  </si>
  <si>
    <t>183.4*285.8*1.6</t>
  </si>
  <si>
    <t>A.F.M.2601815</t>
  </si>
  <si>
    <t>A.F.M.2601816</t>
  </si>
  <si>
    <t>A.F.M.2602249</t>
  </si>
  <si>
    <t>A.F.M.2602505</t>
  </si>
  <si>
    <t>65套PCB价格</t>
  </si>
  <si>
    <r>
      <rPr>
        <sz val="12"/>
        <color theme="1"/>
        <rFont val="Arial"/>
        <charset val="134"/>
      </rPr>
      <t>PS21(10L+</t>
    </r>
    <r>
      <rPr>
        <sz val="12"/>
        <color theme="1"/>
        <rFont val="宋体"/>
        <charset val="134"/>
      </rPr>
      <t>通孔+</t>
    </r>
    <r>
      <rPr>
        <sz val="12"/>
        <color theme="1"/>
        <rFont val="Arial"/>
        <charset val="134"/>
      </rPr>
      <t>OSP</t>
    </r>
    <r>
      <rPr>
        <sz val="12"/>
        <color theme="1"/>
        <rFont val="宋体"/>
        <charset val="134"/>
      </rPr>
      <t>）</t>
    </r>
  </si>
  <si>
    <t>216.4*167.2*1.6mm</t>
  </si>
  <si>
    <t>A.F.M.2602442</t>
  </si>
  <si>
    <t>LPDDR5X_8GB 315球*4</t>
  </si>
  <si>
    <t>不含屏蔽罩价格</t>
  </si>
  <si>
    <t>A.F.M.2602443</t>
  </si>
  <si>
    <t>A.F.M.2602931</t>
  </si>
  <si>
    <t>LPDDR5X_16GB 315球*4</t>
  </si>
  <si>
    <t>DN38</t>
  </si>
  <si>
    <r>
      <rPr>
        <sz val="12"/>
        <color theme="1"/>
        <rFont val="Arial"/>
        <charset val="134"/>
      </rPr>
      <t>LP13</t>
    </r>
    <r>
      <rPr>
        <sz val="12"/>
        <color theme="1"/>
        <rFont val="宋体"/>
        <charset val="134"/>
      </rPr>
      <t>（</t>
    </r>
    <r>
      <rPr>
        <sz val="12"/>
        <color theme="1"/>
        <rFont val="Arial"/>
        <charset val="134"/>
      </rPr>
      <t>8L+HDI+</t>
    </r>
    <r>
      <rPr>
        <sz val="12"/>
        <color theme="1"/>
        <rFont val="宋体"/>
        <charset val="134"/>
      </rPr>
      <t>沉金）预估</t>
    </r>
    <r>
      <rPr>
        <sz val="12"/>
        <color theme="1"/>
        <rFont val="Arial"/>
        <charset val="134"/>
      </rPr>
      <t>LP13C</t>
    </r>
  </si>
  <si>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Type c(</t>
    </r>
    <r>
      <rPr>
        <sz val="12"/>
        <color theme="1"/>
        <rFont val="宋体"/>
        <charset val="134"/>
      </rPr>
      <t>两个</t>
    </r>
    <r>
      <rPr>
        <sz val="12"/>
        <color theme="1"/>
        <rFont val="Arial"/>
        <charset val="134"/>
      </rPr>
      <t>Type c</t>
    </r>
    <r>
      <rPr>
        <sz val="12"/>
        <color theme="1"/>
        <rFont val="宋体"/>
        <charset val="134"/>
      </rPr>
      <t>接口</t>
    </r>
    <r>
      <rPr>
        <sz val="12"/>
        <color theme="1"/>
        <rFont val="Arial"/>
        <charset val="134"/>
      </rPr>
      <t>)</t>
    </r>
    <r>
      <rPr>
        <sz val="12"/>
        <color theme="1"/>
        <rFont val="宋体"/>
        <charset val="134"/>
      </rPr>
      <t>（</t>
    </r>
    <r>
      <rPr>
        <sz val="12"/>
        <color theme="1"/>
        <rFont val="Arial"/>
        <charset val="134"/>
      </rPr>
      <t>LT7911D/CS32G053HRCW6NR</t>
    </r>
    <r>
      <rPr>
        <sz val="12"/>
        <color theme="1"/>
        <rFont val="宋体"/>
        <charset val="134"/>
      </rPr>
      <t>）</t>
    </r>
  </si>
  <si>
    <t>此项目为预估报价，PCB直接参考LP13,Others部分建议参考A.F.M.2502474（LP13-SKU1、WIFI 6 WIFI AX211）+加一颗G2708C 芯片</t>
  </si>
  <si>
    <r>
      <rPr>
        <sz val="12"/>
        <color theme="1"/>
        <rFont val="Arial"/>
        <charset val="134"/>
      </rPr>
      <t>LP13C</t>
    </r>
    <r>
      <rPr>
        <sz val="12"/>
        <color theme="1"/>
        <rFont val="宋体"/>
        <charset val="134"/>
      </rPr>
      <t>（</t>
    </r>
    <r>
      <rPr>
        <sz val="12"/>
        <color theme="1"/>
        <rFont val="Arial"/>
        <charset val="134"/>
      </rPr>
      <t>8L+HDI+OSP</t>
    </r>
    <r>
      <rPr>
        <sz val="12"/>
        <color theme="1"/>
        <rFont val="宋体"/>
        <charset val="134"/>
      </rPr>
      <t>）</t>
    </r>
  </si>
  <si>
    <t>A.F.M.2600129</t>
  </si>
  <si>
    <t>PN50(8L+通孔+OSP)</t>
  </si>
  <si>
    <t>A.F.M.2600118</t>
  </si>
  <si>
    <t>单Type c(两个Type c接口)IT5272FN</t>
  </si>
  <si>
    <t>报价不含EPTAD-A5R，CKD</t>
  </si>
  <si>
    <t>/</t>
  </si>
  <si>
    <r>
      <rPr>
        <sz val="12"/>
        <color theme="1"/>
        <rFont val="微软雅黑"/>
        <charset val="134"/>
      </rPr>
      <t>全功能(IT5272FN)；含加密</t>
    </r>
    <r>
      <rPr>
        <sz val="12"/>
        <color theme="1"/>
        <rFont val="Arial"/>
        <charset val="134"/>
      </rPr>
      <t>IC TPM,</t>
    </r>
    <r>
      <rPr>
        <sz val="12"/>
        <color theme="1"/>
        <rFont val="微软雅黑"/>
        <charset val="134"/>
      </rPr>
      <t>含UDP;pcb按样品单价核算</t>
    </r>
  </si>
  <si>
    <t>WN25(6L+通孔+OSP)</t>
  </si>
  <si>
    <t>A.F.M.2600389</t>
  </si>
  <si>
    <t>BE211.D2WG.NVQ</t>
  </si>
  <si>
    <t>0+512 UFS</t>
  </si>
  <si>
    <t>HDMI2.0,ROM:256Mb,含496球DDR转接小板,</t>
  </si>
  <si>
    <t>A.F.M.2600388</t>
  </si>
  <si>
    <t>WD_RTL8821CE_V20(MS)</t>
  </si>
  <si>
    <t>496球（小板）+512 UFS</t>
  </si>
  <si>
    <t>HDMI2.0,TPM,ROM 256Mb,含496球DDR转接小板</t>
  </si>
  <si>
    <t>A.F.M.2601423</t>
  </si>
  <si>
    <t>A.F.M.2601434</t>
  </si>
  <si>
    <t>PCB无卤</t>
  </si>
  <si>
    <t>A.F.M.2600780</t>
  </si>
  <si>
    <t xml:space="preserve">25W </t>
  </si>
  <si>
    <t>A.F.M.2600839</t>
  </si>
  <si>
    <t>HDMI2.0.无卤PCB,含496转接小板</t>
  </si>
  <si>
    <t>A.F.M.2600853</t>
  </si>
  <si>
    <t>SKU11</t>
  </si>
  <si>
    <t>HDMI2.0,含496转接小板，HFPCB</t>
  </si>
  <si>
    <t>A.F.M.2600390</t>
  </si>
  <si>
    <t>LPDDR5-315球8G*2+256 UFS</t>
  </si>
  <si>
    <t>HDMI2.0,ROM:256Mb</t>
  </si>
  <si>
    <t>单Type C IC及两个Type C 接口（IT5272FN）</t>
  </si>
  <si>
    <t>15w</t>
  </si>
  <si>
    <t>HDMI2.0/TPM/ROM 256Mb</t>
  </si>
  <si>
    <t>A.F.M.2600589</t>
  </si>
  <si>
    <t>A.F.M.2600590</t>
  </si>
  <si>
    <t>A.F.M.2601222</t>
  </si>
  <si>
    <t>A.F.M.2601256</t>
  </si>
  <si>
    <t>A.F.M.2601257</t>
  </si>
  <si>
    <t>A.F.M.2503286</t>
  </si>
  <si>
    <t xml:space="preserve">无TYPE C </t>
  </si>
  <si>
    <t>芯海CSCS2010RBR6NR，瑞昱RTL8111H-CG,SMT为预估计</t>
  </si>
  <si>
    <t>A.F.M.2503287/A.F.M.2600589/A.F.M.2600590</t>
  </si>
  <si>
    <t>台式机</t>
  </si>
  <si>
    <t>高配</t>
  </si>
  <si>
    <t>65W</t>
  </si>
  <si>
    <r>
      <rPr>
        <sz val="10"/>
        <color theme="1"/>
        <rFont val="Arial"/>
        <charset val="134"/>
      </rPr>
      <t xml:space="preserve">HDMI2.0:LT86101UXS; </t>
    </r>
    <r>
      <rPr>
        <sz val="10"/>
        <color theme="1"/>
        <rFont val="宋体"/>
        <charset val="134"/>
      </rPr>
      <t>网卡</t>
    </r>
    <r>
      <rPr>
        <sz val="10"/>
        <color theme="1"/>
        <rFont val="Arial"/>
        <charset val="134"/>
      </rPr>
      <t xml:space="preserve">IC:RTL8125D; </t>
    </r>
    <r>
      <rPr>
        <sz val="10"/>
        <color theme="1"/>
        <rFont val="宋体"/>
        <charset val="134"/>
      </rPr>
      <t>报价有效期</t>
    </r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月</t>
    </r>
    <r>
      <rPr>
        <sz val="10"/>
        <color theme="1"/>
        <rFont val="Arial"/>
        <charset val="134"/>
      </rPr>
      <t>30</t>
    </r>
    <r>
      <rPr>
        <sz val="10"/>
        <color theme="1"/>
        <rFont val="宋体"/>
        <charset val="134"/>
      </rPr>
      <t>日</t>
    </r>
  </si>
  <si>
    <t>A.F.M.2600886</t>
  </si>
  <si>
    <r>
      <rPr>
        <sz val="10"/>
        <color theme="1"/>
        <rFont val="Arial"/>
        <charset val="134"/>
      </rPr>
      <t xml:space="preserve">HDMI2.0:LT86101UXS; </t>
    </r>
    <r>
      <rPr>
        <sz val="10"/>
        <color theme="1"/>
        <rFont val="宋体"/>
        <charset val="134"/>
      </rPr>
      <t>网卡</t>
    </r>
    <r>
      <rPr>
        <sz val="10"/>
        <color theme="1"/>
        <rFont val="Arial"/>
        <charset val="134"/>
      </rPr>
      <t xml:space="preserve">IC:RTL8125D; ROM:128Mb; </t>
    </r>
    <r>
      <rPr>
        <sz val="10"/>
        <color theme="1"/>
        <rFont val="宋体"/>
        <charset val="134"/>
      </rPr>
      <t>报价有效期</t>
    </r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月</t>
    </r>
    <r>
      <rPr>
        <sz val="10"/>
        <color theme="1"/>
        <rFont val="Arial"/>
        <charset val="134"/>
      </rPr>
      <t>30</t>
    </r>
    <r>
      <rPr>
        <sz val="10"/>
        <color theme="1"/>
        <rFont val="宋体"/>
        <charset val="134"/>
      </rPr>
      <t>日</t>
    </r>
  </si>
  <si>
    <r>
      <rPr>
        <sz val="10"/>
        <color theme="1"/>
        <rFont val="宋体"/>
        <charset val="134"/>
      </rPr>
      <t>电源方案：</t>
    </r>
    <r>
      <rPr>
        <sz val="10"/>
        <color theme="1"/>
        <rFont val="Arial"/>
        <charset val="134"/>
      </rPr>
      <t>RT3624BEGQW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 xml:space="preserve"> DRMOS: SPT5516*6; AUDIO:ALC897</t>
    </r>
  </si>
  <si>
    <t>A.F.M.2600884</t>
  </si>
  <si>
    <t>A.F.M.2600885</t>
  </si>
  <si>
    <t>LN89C(预估)</t>
  </si>
  <si>
    <t>SKU13-8L</t>
  </si>
  <si>
    <t>单Type c IC及两个接口（CS32G053HRCW6NR）</t>
  </si>
  <si>
    <t>30W</t>
  </si>
  <si>
    <t>全功能（CS32G053HRCW6NR），含TPM;适用于IPS</t>
  </si>
  <si>
    <t>PTLT19(定制)</t>
  </si>
  <si>
    <t>180.1*170.0*1.6mm</t>
  </si>
  <si>
    <t>A.F.M.2600920</t>
  </si>
  <si>
    <t>单TYPE C IC+双TYPE-C连接器</t>
  </si>
  <si>
    <t>雷电：JHL9040R*2 ；HDMI2.0:  IT66318FN;  万兆网卡：RTL8127AT*2；ROM:256Mb ;  PCIE-SATA;</t>
  </si>
  <si>
    <r>
      <rPr>
        <sz val="10"/>
        <color theme="1"/>
        <rFont val="宋体"/>
        <charset val="134"/>
      </rPr>
      <t>电源方案：</t>
    </r>
    <r>
      <rPr>
        <sz val="10"/>
        <color theme="1"/>
        <rFont val="Arial"/>
        <charset val="134"/>
      </rPr>
      <t>MP29011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 xml:space="preserve">  Drmos:MP86941*5;  codec:ALC897;  EC:CSCE2010WBR6NR; </t>
    </r>
  </si>
  <si>
    <t>A.F.M.2502641</t>
  </si>
  <si>
    <t>U-25W</t>
  </si>
  <si>
    <t>全功能（IT5272FN）；含加密IC TPM；含CW2217
PM反馈这是最全的SKU</t>
  </si>
  <si>
    <t>ROBOT临时核价 1124</t>
  </si>
  <si>
    <t>pcb按MTN25机型参考报价，SMT预估，后续正式bom再按实际核价为准,不含keypark报价</t>
  </si>
  <si>
    <t>ROBOT临时核价 1128</t>
  </si>
  <si>
    <t>DNP67</t>
  </si>
  <si>
    <t>双Tpye c IC及两个Type c接口（ANX7447QN）</t>
  </si>
  <si>
    <t>N-6W</t>
  </si>
  <si>
    <t>按实际</t>
  </si>
  <si>
    <t>LPDDR5x-315球4G</t>
  </si>
  <si>
    <t>A.F.M.2502013</t>
  </si>
  <si>
    <t>TYPE-C:ANX7447QN-AC-R,电量计:CW2217</t>
  </si>
  <si>
    <t>A.F.M.2600245</t>
  </si>
  <si>
    <t>LPDDR5x-315球4G*2</t>
  </si>
  <si>
    <t>TYPE-C:ANX7447QN-AC-R,电量计:CW2217,视频桥接：IT6113FN</t>
  </si>
  <si>
    <t>PN99(10L+通孔+OSP)</t>
  </si>
  <si>
    <t>A.F.M.2502463</t>
  </si>
  <si>
    <t>70W</t>
  </si>
  <si>
    <t>全功能（IT5272FN）；含加密IC TPM；含CW2217;含雷电IC9040*1;</t>
  </si>
  <si>
    <t>A.F.M.2502464</t>
  </si>
  <si>
    <t>单个Type c(两个Type c接口)（IT5272FN）</t>
  </si>
  <si>
    <t>LPDDR5X-315球4G*4</t>
  </si>
  <si>
    <t>全功能（TYPE-C:IT5272FN,  TPM；SLB 9672 含雷电IC9040*1,无电量计</t>
  </si>
  <si>
    <t>APS16主板2盘位</t>
  </si>
  <si>
    <t>临时bom预估报价</t>
  </si>
  <si>
    <t>0+64</t>
  </si>
  <si>
    <t>含RTL8127AT，pcb无资料，按备注要求预估'MB 尺寸223.75*96.3/板厚1.6/无卤/八层通孔</t>
  </si>
  <si>
    <t>SSD DB</t>
  </si>
  <si>
    <t>A.F.D.2500492</t>
  </si>
  <si>
    <t>EVT</t>
  </si>
  <si>
    <t>沉金板贵,SMT待BOM成型再核</t>
  </si>
  <si>
    <t>SATA DB</t>
  </si>
  <si>
    <t>A.F.D.2500491</t>
  </si>
  <si>
    <t>HDD CON*2，
谱瑞PS8527CTQFN20GTR2*2</t>
  </si>
  <si>
    <t>TN29</t>
  </si>
  <si>
    <t>A.P.0TN29018</t>
  </si>
  <si>
    <t>HDD-DB</t>
  </si>
  <si>
    <t>DNS13/ A.F.D.2500175参考报价</t>
  </si>
  <si>
    <t>pcb无资料，按备注要求预估'HDD DB尺寸：91.18*86.01/板厚1.6/无卤/四层通孔</t>
  </si>
  <si>
    <t>APS16主板4盘位</t>
  </si>
  <si>
    <t>含RTL8127AT，pcb无资料，按备注要求预估'MB尺寸:249.3*150/板厚1.6/无卤/八层通孔</t>
  </si>
  <si>
    <t>DNS9/A.F.D.2500026参考报价</t>
  </si>
  <si>
    <t>/JMB585，pcb无资料，按备注要求预估'HDD DB尺寸：137*86.75/板厚1.6/无卤/四层通孔</t>
  </si>
  <si>
    <t>DN59(8L+通孔+OSP)</t>
  </si>
  <si>
    <t>A.F.M.2400959-MP</t>
  </si>
  <si>
    <t>SKU28</t>
  </si>
  <si>
    <t>I5-1235U(不带IPU)(15W)</t>
  </si>
  <si>
    <t>单Type c；含英特尔雷电IC;</t>
  </si>
  <si>
    <t>LN89（8L+HDI2+OSP）</t>
  </si>
  <si>
    <t>A.F.M.2401580-PVT</t>
  </si>
  <si>
    <t>SKU14-8L</t>
  </si>
  <si>
    <t>单Type c IC及两个接口（CYPD6228）</t>
  </si>
  <si>
    <t>全功能（CYPD6228），含TPM;CW2217；适用于OLED,预估pcb 无卤单价，后续有订单按实际为准</t>
  </si>
  <si>
    <t>LN25C(8L+通孔+OSP)</t>
  </si>
  <si>
    <t>单Type-C IC及两个typeC接口（CS32G053H）</t>
  </si>
  <si>
    <t>全功能（CS32G053H）；含加密IC TPM；含CW2217，PCB为无卤板材预估价格</t>
  </si>
  <si>
    <t>A.F.M.2600075</t>
  </si>
  <si>
    <t>226V-17W</t>
  </si>
  <si>
    <t>CS32G053H）；含CW2217</t>
  </si>
  <si>
    <t>A.F.M.2603041</t>
  </si>
  <si>
    <t>SKU43</t>
  </si>
  <si>
    <t>LINYA  216PCS</t>
  </si>
  <si>
    <t>A.F.M.2601780</t>
  </si>
  <si>
    <t>四会有卤PCB，暂无板料</t>
  </si>
  <si>
    <t>A.F.M.2503211/A.F.M.2503298</t>
  </si>
  <si>
    <t>PCB有效期一周</t>
  </si>
  <si>
    <t>A.F.M.2601530</t>
  </si>
  <si>
    <t>A.F.M.2602796</t>
  </si>
  <si>
    <t>A.F.M.2600134</t>
  </si>
  <si>
    <t>A.F.M.2601529</t>
  </si>
  <si>
    <t>SKU37</t>
  </si>
  <si>
    <t>A.F.M.2600133</t>
  </si>
  <si>
    <t>AX211.D2WG.</t>
  </si>
  <si>
    <t>A.F.M.2600318</t>
  </si>
  <si>
    <t>SKU29</t>
  </si>
  <si>
    <t>A.F.M.2601227</t>
  </si>
  <si>
    <t>含PCB 100套工程费4000</t>
  </si>
  <si>
    <t>A.F.M.2600076</t>
  </si>
  <si>
    <t>WN792</t>
  </si>
  <si>
    <t>Others按WNTU146预估，pcb按mtn792预估，SMT为预估，实际待正式bom出后再估算,CPU/WIF/UFS/PCB新机型暂未核价，待确认后重新安排核价</t>
  </si>
  <si>
    <t>临时bom估价1104/15w核价</t>
  </si>
  <si>
    <t>UFS</t>
  </si>
  <si>
    <t>A.F.M.2600136</t>
  </si>
  <si>
    <t>单Type c IC及两个接口</t>
  </si>
  <si>
    <t>TYPE-C:联阳IT5272FN;TPM:SLB 9672;PCB 1.2KPCS以上可按2.71U，SMT为预估价</t>
  </si>
  <si>
    <t>A.F.M.2600137</t>
  </si>
  <si>
    <t>电量计：BQ24780SRUYR</t>
  </si>
  <si>
    <t>WN21B</t>
  </si>
  <si>
    <t>A.F.M.2600756</t>
  </si>
  <si>
    <t>TYPE-C:联阳IT5272FN，TPM：9672,PCB 1.2KPCS以上可按2.71U核价，SMT为预估价</t>
  </si>
  <si>
    <t>WN21B(6L+通孔+OSP)</t>
  </si>
  <si>
    <t>A.F.M.2600507</t>
  </si>
  <si>
    <t>LPDDR5-8GB 315球+512 UFS</t>
  </si>
  <si>
    <t>TPM：9672,电量计CW2217</t>
  </si>
  <si>
    <t>临时bom估价1027</t>
  </si>
  <si>
    <t>暂无待定</t>
  </si>
  <si>
    <t>全功能(IT5272FN)；含CW2217;其中flash为估价，后面按实际验证为准。CPU/WIF/UFS/PCB新机型暂未核价，待确认后重新安排核价</t>
  </si>
  <si>
    <t>单Tpye c IC及两个Type c接口（ANX7447QN）</t>
  </si>
  <si>
    <t>全功能（ANX7447QN）；含有加密IC TPM(9672)；含CW2217</t>
  </si>
  <si>
    <t>A.F.M.2401484</t>
  </si>
  <si>
    <t>SKU132</t>
  </si>
  <si>
    <t>条子/SSD PCIE3.0,TYPC-C 7447,电量计BQ24780SRUYR</t>
  </si>
  <si>
    <t>A.F.M.2500762</t>
  </si>
  <si>
    <t>报价有效期8-21日内</t>
  </si>
  <si>
    <t>A.F.M.2500665</t>
  </si>
  <si>
    <t>PCB有效期8-21日内</t>
  </si>
  <si>
    <t>A.F.M.2600731</t>
  </si>
  <si>
    <t>A.F.M.2503181</t>
  </si>
  <si>
    <t>A.F.M.2502587</t>
  </si>
  <si>
    <t>A.F.M.2401481</t>
  </si>
  <si>
    <t>A.F.M.2502232</t>
  </si>
  <si>
    <t>A.F.M.2601927</t>
  </si>
  <si>
    <t>A.F.M.2500369</t>
  </si>
  <si>
    <t>A.F.M.2301036</t>
  </si>
  <si>
    <t>PCB为OSP价格</t>
  </si>
  <si>
    <t>A.F.M.2400278</t>
  </si>
  <si>
    <t>A.F.M.2501354</t>
  </si>
  <si>
    <t>A.F.M.2401280</t>
  </si>
  <si>
    <t>SKU117</t>
  </si>
  <si>
    <t>单TYPE-C连接器</t>
  </si>
  <si>
    <t>15W</t>
  </si>
  <si>
    <t>电量计：CW2217BAAD</t>
  </si>
  <si>
    <t>A.F.M.2401015</t>
  </si>
  <si>
    <t>A.F.M.2600394</t>
  </si>
  <si>
    <t>A.F.M.2502229</t>
  </si>
  <si>
    <t xml:space="preserve"> A.F.M.2601157</t>
  </si>
  <si>
    <t>A.F.M.2501335</t>
  </si>
  <si>
    <t>SKU186</t>
  </si>
  <si>
    <t>A.F.M.2500525</t>
  </si>
  <si>
    <t>SKU178</t>
  </si>
  <si>
    <t>单Tpye c IC及单个Type c接口（ANX7447QN）</t>
  </si>
  <si>
    <t>A.F.M.2501355</t>
  </si>
  <si>
    <t>SKU202</t>
  </si>
  <si>
    <t>无TPM</t>
  </si>
  <si>
    <t>A.F.M.2501149</t>
  </si>
  <si>
    <t>SKU190</t>
  </si>
  <si>
    <t>全功能（ANX7447QN）；含有加密IC TPM(9672)；含CW2217,无电量计</t>
  </si>
  <si>
    <t>DN25(10L+通孔+沉金)</t>
  </si>
  <si>
    <t>单Tpye c IC及两个Type c接口（CYPD6227）</t>
  </si>
  <si>
    <t>全功能（CYPD6227）；雷电IC8040;含加密IC TPM(9672)；含CW2217</t>
  </si>
  <si>
    <t>A.F.M.2601236</t>
  </si>
  <si>
    <t>DN79(8L+通孔+OSP)</t>
  </si>
  <si>
    <t>全功能（CYPD6227）；雷电IC8040；含加密IC TPM(9672);含CW2217</t>
  </si>
  <si>
    <t>全功能（CYPD6227）；含雷电IC8040；含加密IC TPM(9672);含CW2217</t>
  </si>
  <si>
    <t>MTN25B（(10L+HDI+OSP))</t>
  </si>
  <si>
    <t>A.F.M.2603020</t>
  </si>
  <si>
    <t>A.F.M.2702367</t>
  </si>
  <si>
    <t>MTN25C(10L+通孔+OSP)</t>
  </si>
  <si>
    <t>双Type C IC及两个Type C 接口（ANX7447QN）</t>
  </si>
  <si>
    <t>全功能（ANX7447QN）；含加密IC TPM(9672)；含CW2217</t>
  </si>
  <si>
    <t>A.F.M.2502770</t>
  </si>
  <si>
    <t>DN25C(10L+通孔+OSP)</t>
  </si>
  <si>
    <t>全功能（ANX7447QN）;含加密IC TPM(9672);CW2217</t>
  </si>
  <si>
    <t>AX101</t>
  </si>
  <si>
    <t>A.F.M.2501023</t>
  </si>
  <si>
    <t>A.F.M.2600527</t>
  </si>
  <si>
    <t>A.F.M.2501629</t>
  </si>
  <si>
    <t>A.F.M.2500861</t>
  </si>
  <si>
    <t>A.F.M.2500324</t>
  </si>
  <si>
    <t>A.F.M.2401459</t>
  </si>
  <si>
    <t>选 配</t>
  </si>
  <si>
    <t>A.F.M.2600539</t>
  </si>
  <si>
    <t>陈小艳500 PM确认在此BOM 28W基础上改成15W,OTHERSn已减1.2U</t>
  </si>
  <si>
    <t>DP67</t>
  </si>
  <si>
    <t>Type-c IC及两个Type c 接口(CYPD6227)</t>
  </si>
  <si>
    <t>全功能(CYPD6227)；含CW2217；含加密IC TPM</t>
  </si>
  <si>
    <t>DN21F(8L+通孔+OSP)</t>
  </si>
  <si>
    <t>A.F.M.2401153</t>
  </si>
  <si>
    <t>A.F.M.2401748</t>
  </si>
  <si>
    <t>PCB有效期本周</t>
  </si>
  <si>
    <t>A.F.M.2501289</t>
  </si>
  <si>
    <t>PCB 姚桂兰200套价格</t>
  </si>
  <si>
    <t>214.8*119.9*1.0mm</t>
  </si>
  <si>
    <t>A.F.M.2601511</t>
  </si>
  <si>
    <t>FLORE CKD价格</t>
  </si>
  <si>
    <t>A.F.M.2401751</t>
  </si>
  <si>
    <t>TPM:SLB 9672VU2.0；USB3-10G: GL9901VAE-OGY11</t>
  </si>
  <si>
    <t>A.F.M.2500084</t>
  </si>
  <si>
    <t>单Type C IC及1个Type C 接口（ANX7447QN）</t>
  </si>
  <si>
    <t>全功能（CYPD6228）；含加密IC TPM(9672)；雷电IC9040;含CW2217</t>
  </si>
  <si>
    <t>A.F.M.2600501</t>
  </si>
  <si>
    <t>A.F.M.2502574</t>
  </si>
  <si>
    <t>双Type C IC及两个Type C 接口（ASL2330AN）</t>
  </si>
  <si>
    <t>4G*4 315球+0</t>
  </si>
  <si>
    <t>A.F.M.2502575</t>
  </si>
  <si>
    <t>A.F.M.2601483</t>
  </si>
  <si>
    <t>A.F.M.2601484</t>
  </si>
  <si>
    <t>A.F.M.2502576</t>
  </si>
  <si>
    <t>BE201.D2WG.NV</t>
  </si>
  <si>
    <t>8G*4 315球+0</t>
  </si>
  <si>
    <t>全功能(ANX7447QN)；含加密IC TPM；</t>
  </si>
  <si>
    <t>A.F.M.2500185-MP</t>
  </si>
  <si>
    <t>115U(15W)此CPU客供</t>
  </si>
  <si>
    <t>DDR使用三星；单Type IC及两个Type C接口;含有Intel 雷电IC;含有IT5570E;MP87440GQVT*4pcs;W25R256JWEIQ</t>
  </si>
  <si>
    <t>DN29(8L+沉金+通孔）</t>
  </si>
  <si>
    <t>A.F.M.2600568</t>
  </si>
  <si>
    <t>CKD,PCB有效期一周</t>
  </si>
  <si>
    <t>A.F.M.2401680</t>
  </si>
  <si>
    <t>SKU45</t>
  </si>
  <si>
    <t>两Type C IC及两个Type c接口（CYPD6228）</t>
  </si>
  <si>
    <t>DN79C(8L+OSP+通孔)</t>
  </si>
  <si>
    <t>单Type C IC及两个Type c 接口</t>
  </si>
  <si>
    <t>A.F.M.2602871</t>
  </si>
  <si>
    <t>A.F.M.2501471</t>
  </si>
  <si>
    <t>DN79C(8L+沉金+通孔)</t>
  </si>
  <si>
    <t>DN50F(8L+沉金+通孔)</t>
  </si>
  <si>
    <t>双Typc c及两个Type c 接口(IT8856FN/CX)</t>
  </si>
  <si>
    <t>全功能(IT8856FN/CX);含有雷电IC*2pcs;含加密IC；含CW2217</t>
  </si>
  <si>
    <t>A.F.M.2400548</t>
  </si>
  <si>
    <t>DP67C（10L+OSP+通孔)</t>
  </si>
  <si>
    <t>Type c(两个Type c接口)(CYPD6228)</t>
  </si>
  <si>
    <t>按需选配</t>
  </si>
  <si>
    <t>LPDDR5X-315球6G*2</t>
  </si>
  <si>
    <t>全功能(CYPD6228);含CW2217</t>
  </si>
  <si>
    <t>PCB价格已含200套 工程费4000元</t>
  </si>
  <si>
    <t>A.F.M.2501924</t>
  </si>
  <si>
    <t>A.F.M.2502694</t>
  </si>
  <si>
    <t>DNTU146A(8L+OSP+通孔)</t>
  </si>
  <si>
    <t>A.F.M.2502045</t>
  </si>
  <si>
    <t>双Type c及含两个Type c接口((ANX7447QN))</t>
  </si>
  <si>
    <t>全功能(ANX7447QN)；含加密IC TPM（9672）含CW2217</t>
  </si>
  <si>
    <t>双Type c及含两个Type c接口(ASL2330AN)</t>
  </si>
  <si>
    <t>全功能(ASL2330AN);含加密ic tpm（9672）含CW2217</t>
  </si>
  <si>
    <t>A.F.M.2601763/64/65</t>
  </si>
  <si>
    <t>尽快下单，PCB板材有限，新板材要涨价</t>
  </si>
  <si>
    <t>晓萍标案</t>
  </si>
  <si>
    <t>A.F.M.2601764</t>
  </si>
  <si>
    <t>A.F.M.2602216</t>
  </si>
  <si>
    <t>A.F.M.2601765</t>
  </si>
  <si>
    <t>A.F.M.2502046</t>
  </si>
  <si>
    <t>全功能(ANX7447QN)；含加密ic tpm（9672）；含CW2217</t>
  </si>
  <si>
    <t>A.F.M.2502427</t>
  </si>
  <si>
    <t>全功能带RJ45, 128Mb ,ROM，EC:CSCS2010RBR6NR,CODEC: ALC897</t>
  </si>
  <si>
    <t>DNTU146(8L+OSP+通孔)</t>
  </si>
  <si>
    <t>单Type c及含两个Type c接口(ANX7447QN)</t>
  </si>
  <si>
    <t>全功能(ANX7447QN)；</t>
  </si>
  <si>
    <t>A.F.M.2502180</t>
  </si>
  <si>
    <t>PCB8-12日按20K核价，有效期本周</t>
  </si>
  <si>
    <t>PCB价格持续上涨，实单前重新确认
正常质保，如三年质保按公司标准加价</t>
  </si>
  <si>
    <t>A.F.M.2502178</t>
  </si>
  <si>
    <t>A.F.M.2502179</t>
  </si>
  <si>
    <t>A.F.M.2600714</t>
  </si>
  <si>
    <t>单Type c及含两个Type c接口(ASL2330AN)</t>
  </si>
  <si>
    <t>E.M.W.0000118</t>
  </si>
  <si>
    <t>A.F.M.2503253</t>
  </si>
  <si>
    <t>TYPE-C:ASL2330AN;芯海CSCE2010WBA6NR</t>
  </si>
  <si>
    <t>双Type c及含两个Type c接口(ANX7447QN)</t>
  </si>
  <si>
    <t>A.F.M.2501369-EVT</t>
  </si>
  <si>
    <t>A.F.M.2603038</t>
  </si>
  <si>
    <t>咸万俊 含A.F.D.2600395转接小板</t>
  </si>
  <si>
    <t>3.34是转接小板1K价格，量大再谈</t>
  </si>
  <si>
    <t>A.F.M.2602963</t>
  </si>
  <si>
    <t>FANNY</t>
  </si>
  <si>
    <t>A.F.M.2603039</t>
  </si>
  <si>
    <t>含315-496转接小板*2，12GB_LPDDR5x_8533Mbps_FBGA496</t>
  </si>
  <si>
    <t>内含转接小板1K价格3.34U，量大可谈 FANNY</t>
  </si>
  <si>
    <t>A.F.M.2602211</t>
  </si>
  <si>
    <t>A.F.M.2602212</t>
  </si>
  <si>
    <t>小板1</t>
  </si>
  <si>
    <t>小板2</t>
  </si>
  <si>
    <t>DN792(8L+OSP+通孔)</t>
  </si>
  <si>
    <t>190.2*134.2*1.0mm</t>
  </si>
  <si>
    <t>A.F.M.2500941</t>
  </si>
  <si>
    <t>HDMI2.0:IT66318FN; 目前SKU3/SKU4,仅CPU不一样</t>
  </si>
  <si>
    <t>全功能(ANX7447QN)；含加密IC TP,M(英飞凌)；含CW2217</t>
  </si>
  <si>
    <t>DN50Z(8L+OSP+通孔)</t>
  </si>
  <si>
    <t>CKD打包费$0.26/片,双Type c IC及2个Type c 接口;含有intel 雷电芯片</t>
  </si>
  <si>
    <t>i7-1260P(不带IPU)(28W)</t>
  </si>
  <si>
    <t>i5-1250P(28W)</t>
  </si>
  <si>
    <t>双Type c IC及2个Type c 接口;含有intel 雷电芯片</t>
  </si>
  <si>
    <t>SKU16</t>
  </si>
  <si>
    <t>i5-1245U(15W)</t>
  </si>
  <si>
    <t>A.P.DN50Z018-MP</t>
  </si>
  <si>
    <t>双Type c IC及2个Type c 接口;含有intel 雷电芯片；含有加密IC TPM;Power IC*3pcs</t>
  </si>
  <si>
    <t>A.P.DN50Z020-MP</t>
  </si>
  <si>
    <t>SKU20</t>
  </si>
  <si>
    <t>双Type c IC及2个Type c 接口;含有intel 雷电芯片;Power IC*5颗</t>
  </si>
  <si>
    <t>A.P.DN50Z021-MP</t>
  </si>
  <si>
    <t>SKU21</t>
  </si>
  <si>
    <t>i5-1240P(28W)</t>
  </si>
  <si>
    <t>双Type c IC及2个Type c 接口;;含雷电IC*1颗；含IT8856FN IC*2颗；含PS8811Q*1颗；含国民技术 加密IC TPM*1颗</t>
  </si>
  <si>
    <t>i3-1220P(不带IPU)(28W)</t>
  </si>
  <si>
    <t>双Type c IC及2个Type c 接口;含加密IC TPM;含有intel 雷电芯片</t>
  </si>
  <si>
    <t>A.F.M.2200092-MP</t>
  </si>
  <si>
    <t>SKU35</t>
  </si>
  <si>
    <t>双Type c IC及2个Type c 接口;含加密IC TPM;W25R256JVEIN</t>
  </si>
  <si>
    <t>SKU38</t>
  </si>
  <si>
    <t>i3-1215U(不带IPU)(15W)</t>
  </si>
  <si>
    <t>A.F.M.2301568-MP</t>
  </si>
  <si>
    <t>SKU52</t>
  </si>
  <si>
    <t>I5-12450H(不带IPU)(45W)</t>
  </si>
  <si>
    <t>双Type c IC及2个Type c 接口;含有intel 雷电芯片;含IT8856*2pcs</t>
  </si>
  <si>
    <t>A.F.M.2302407-MP</t>
  </si>
  <si>
    <t>SKU63</t>
  </si>
  <si>
    <t>i5-12450H(客供)(45W)</t>
  </si>
  <si>
    <t>单Type c及1个Type c接口;CPU BOM备注客供；含IT8856*1pcs</t>
  </si>
  <si>
    <t>A.F.M.2400051-MP</t>
  </si>
  <si>
    <t>SKU65</t>
  </si>
  <si>
    <t>I5-12450H(客供)(45W)</t>
  </si>
  <si>
    <t>A.F.M.2400712-MP</t>
  </si>
  <si>
    <t>SKU66</t>
  </si>
  <si>
    <t>A.F.M.2400713-MP</t>
  </si>
  <si>
    <t>i7-12650H(45W)</t>
  </si>
  <si>
    <t>A.F.M.2400260-MP</t>
  </si>
  <si>
    <t>SKU68</t>
  </si>
  <si>
    <t>SKU69</t>
  </si>
  <si>
    <t>i5-1335U(不带IPU)(15W)</t>
  </si>
  <si>
    <t>A.F.M.2401025-MP</t>
  </si>
  <si>
    <t>SKU70</t>
  </si>
  <si>
    <t>A.F.M.2401068-MP</t>
  </si>
  <si>
    <t>SKU71</t>
  </si>
  <si>
    <t>A.F.M.2401145-MP</t>
  </si>
  <si>
    <t>SKU72</t>
  </si>
  <si>
    <t>A.F.M.2401466-MP</t>
  </si>
  <si>
    <t>SKU73</t>
  </si>
  <si>
    <t>双Type c IC及2个Type c 接口;含有intel 雷电芯片；含有加密IC TPM;PS8811QFN36GTR2</t>
  </si>
  <si>
    <t>A.F.M.2402073-MP</t>
  </si>
  <si>
    <t>SKU74</t>
  </si>
  <si>
    <t>i5-1334U(15W)</t>
  </si>
  <si>
    <t>双Type c IC及2个Type c 接口;含有intel 雷电芯片；MP86941*3pcs;含有加密IC TPM;PS8811QFN36GTR2;W25R256JVEIN</t>
  </si>
  <si>
    <t>A.F.M.2402074-MP</t>
  </si>
  <si>
    <t>SKU75</t>
  </si>
  <si>
    <t>i7-1280P(28W)</t>
  </si>
  <si>
    <t>双Type c IC及2个Type c 接口;含有intel 雷电芯片；MP86941*5pcs;含有加密IC TPM;PS8811QFN36GTR2;W25R256JVEIN</t>
  </si>
  <si>
    <t>A.F.M.2402120-MP</t>
  </si>
  <si>
    <t>SKU76</t>
  </si>
  <si>
    <t>双Type c IC及2个Type c 接口;含有intel 雷电芯片；MP86941*3pcs;PS8811QFN36GTR2;W25R256JVEIN</t>
  </si>
  <si>
    <t>A.F.M.2402121-MP</t>
  </si>
  <si>
    <t>SKU77</t>
  </si>
  <si>
    <t>I7-13620H(45W)</t>
  </si>
  <si>
    <t>双Type c IC及2个Type c 接口;含有intel 雷电芯片；MP86941*3pcs;PS8811QFN36GTR2;W25R256JVEIN；CPU缺货，请和采购单独确认下价格；</t>
  </si>
  <si>
    <t>A.F.M.2501586-MP</t>
  </si>
  <si>
    <t>SKU80</t>
  </si>
  <si>
    <t>i7-1355U(15W)</t>
  </si>
  <si>
    <t>双Type c IC及2个Type c 接口;MP86941*3pcs;W25R256JVEIN;IT5570E;IT66318FN/EW-0003(R);MP2964GQKT;PS8811QFN36GTR2-A2;含有intel 雷电芯片；含有加密IC TPM;</t>
  </si>
  <si>
    <t>含有RTL8111H；ALC269Q；OZ711LV2</t>
  </si>
  <si>
    <t>含有8111H;ALC269Q</t>
  </si>
  <si>
    <t>含INTEL网卡ic-I226LM_SRKTT；ALC269Q；FG24102SEG（后期换料）</t>
  </si>
  <si>
    <t>含INTEL网卡ic-I226V_SRKTV；ALC269Q；FG24102SEG（后期换料）</t>
  </si>
  <si>
    <t>I219V，ALC269</t>
  </si>
  <si>
    <t>DN50E(8L+HDI1+沉金)</t>
  </si>
  <si>
    <t>A.P.DN50E020-MP</t>
  </si>
  <si>
    <t>BOM里无CPU;双Type C,含有Intel雷电IC;含有PS8811</t>
  </si>
  <si>
    <t>A.P.DN50E021-MP</t>
  </si>
  <si>
    <t>BOM里无CPU;双Type C,含有Intel雷电IC;含有PS8811;含有加密IC TPM</t>
  </si>
  <si>
    <t>SKU16(CKD)</t>
  </si>
  <si>
    <t>CKD打包费$0.2/片,双Type C，不含加密IC</t>
  </si>
  <si>
    <t>SKU34</t>
  </si>
  <si>
    <t>i5-1345U(15W)</t>
  </si>
  <si>
    <t>双Type c;含HDMI;含内存IC</t>
  </si>
  <si>
    <t>A.F.M.2601293</t>
  </si>
  <si>
    <t>i5-1350P(28W)</t>
  </si>
  <si>
    <t>双Type c;含HDMI;含内存IC;含加密IC TPM</t>
  </si>
  <si>
    <t>SKU40</t>
  </si>
  <si>
    <t>i3-1315U(不带IPU)(15W)</t>
  </si>
  <si>
    <t>A.F.M.2300315-ooc1</t>
  </si>
  <si>
    <t>i3-1315U(15W)</t>
  </si>
  <si>
    <t>双Type c及两个TYPE C接口;MP86941*3pcs;W25R256JVEIN;含有雷电IC*1pcs;含加密IC TPM;IT5570E;PS8811QFN36GTR2-A2</t>
  </si>
  <si>
    <t>SKU44</t>
  </si>
  <si>
    <t>SKU46</t>
  </si>
  <si>
    <t>A.F.M.2402341-MP_BR</t>
  </si>
  <si>
    <t>SKU51(10k核价）</t>
  </si>
  <si>
    <t>双Type c(及两个接口）;MP86941*3pcs;含有Intel雷电IC;含PS8811；含W25R256JVEIN；IT66318FN/EW-0003(R)</t>
  </si>
  <si>
    <t>A.F.M.2500249-_PR_BR</t>
  </si>
  <si>
    <t>I5-120U(15W)</t>
  </si>
  <si>
    <t>双Type c(及两个接口）;MP86941*3pcs;含有Intel雷电IC;含PS8811；含W25R256JVEIN；IT66318FN/EW-0003(R);IT5570E</t>
  </si>
  <si>
    <t>A.F.M.2501866-OOC_BR</t>
  </si>
  <si>
    <t>SKU53</t>
  </si>
  <si>
    <t>双Type c(及两个接口）;MP86941*3pcs;W25R256JVEIN;含INTEL雷电IC；PS8811QFN36GTR2-A2</t>
  </si>
  <si>
    <t>A.F.M.2501910-OOC_BR</t>
  </si>
  <si>
    <t>SKU54</t>
  </si>
  <si>
    <t>i7-1365U(15W)</t>
  </si>
  <si>
    <t>A.F.M.2501911-OOC_BR</t>
  </si>
  <si>
    <t>SKU55</t>
  </si>
  <si>
    <t>A.F.M.2501912-OOC_BR</t>
  </si>
  <si>
    <t>SKU56</t>
  </si>
  <si>
    <t>A.F.M.2502033</t>
  </si>
  <si>
    <t>SKU57</t>
  </si>
  <si>
    <t>DP13C(10L+OSP+通孔)</t>
  </si>
  <si>
    <t>Type c(两个Type c接口)(ANX7447QN)</t>
  </si>
  <si>
    <t>全功能（ANX7447QN），含TPM IC;含CW2217</t>
  </si>
  <si>
    <t>A.F.M.2502088</t>
  </si>
  <si>
    <t>全功能（ANX7447QN），;含CW2217</t>
  </si>
  <si>
    <t>DNTU146F(8L+OSP+通孔)</t>
  </si>
  <si>
    <t>全功能（ASL2330AN）;含加密IC TPM(9672);CW2217</t>
  </si>
  <si>
    <t xml:space="preserve">A.F.M.2502428 </t>
  </si>
  <si>
    <t>A.F.M.2400547-MP</t>
  </si>
  <si>
    <t>双Typc c;含有雷电IC*2pcs;FLASH使用华邦</t>
  </si>
  <si>
    <t>A.F.M.2400548-MP</t>
  </si>
  <si>
    <t>A.F.M.2400609-MP</t>
  </si>
  <si>
    <t>A.F.M.2400610-MP</t>
  </si>
  <si>
    <t>SKU13</t>
  </si>
  <si>
    <t>A.F.M.2501870-OOC_BR</t>
  </si>
  <si>
    <t>双Typc c及两个Type c 接口;MP86941*3pcs;IT5570E;W25R256JVEIN;含有雷电IC*2pcs;IT66318FN/EW;PS8811QFN36GTR2-A2;25TQC15MYFB</t>
  </si>
  <si>
    <t>A.F.M.2501871-OOC_BR</t>
  </si>
  <si>
    <t>SKU17</t>
  </si>
  <si>
    <t>双Typc c及两个Type c 接口;T55B156M025C0100*8pcs;MP86941*3pcs;IT5570E;W25R256JVEIN;含有雷电IC*2pcs;IT66318FN/EW;PS8811QFN36GTR2-A2;</t>
  </si>
  <si>
    <t>A.F.M.2501872-OOC_BR</t>
  </si>
  <si>
    <t>双Typc c及两个Type c 接口(IT8856FN/CX);T55B156M025C0100*8pcs;MP86941*3pcs;IT5570E;W25R256JVEIN;含有雷电IC*2pcs;IT66318FN/EW;PS8811QFN36GTR2-A2;含加密IC TPM;</t>
  </si>
  <si>
    <t>含有Intel WGI219V;ALC269Q</t>
  </si>
  <si>
    <t>DN79C(8L+沉金+通孔)衍生机型DA1079C</t>
  </si>
  <si>
    <t>A.F.M.2401350-MP</t>
  </si>
  <si>
    <t>i5-13500H(45W)</t>
  </si>
  <si>
    <t>单Type C IC及两个Type c 接口;CPU缺货，请和采购单独确认下价格；此价格为表面沉金工艺，如客户无指定需求 可以按OSP工艺核算;如用联茂IT-170GRA2 低损耗无卤板材的PCB需要单独确认价格</t>
  </si>
  <si>
    <t>A.F.M.2401351-MP</t>
  </si>
  <si>
    <t>A.F.M.2401370-MP</t>
  </si>
  <si>
    <t>A.F.M.2401543-MP</t>
  </si>
  <si>
    <t>A.F.M.2401633-MP</t>
  </si>
  <si>
    <t>I5-13420H(45W)</t>
  </si>
  <si>
    <t>单Type C IC及两个Type c 接口;MP2964GQKT;MP86941*5pcs；IT5570E；此价格为表面沉金工艺，如客户无指定需求 可以按OSP工艺核算;如用联茂IT-170GRA2 低损耗无卤板材的PCB需要单独确认价格</t>
  </si>
  <si>
    <t>A.F.M.2401667-MP</t>
  </si>
  <si>
    <t>单Type C IC及两个Type c 接口;含有加密IC TPM;此价格为表面沉金工艺，如客户无指定需求 可以按OSP工艺核算;如用联茂IT-170GRA2 低损耗无卤板材的PCB需要单独确认价格</t>
  </si>
  <si>
    <t>A.F.M.2401668-MP</t>
  </si>
  <si>
    <t>SKU14</t>
  </si>
  <si>
    <t>A.F.M.2402332-MP</t>
  </si>
  <si>
    <t>单Type C IC及两个Type c 接口;IT5570E；MP86941*3pcs；25TQC15MYFB*6pcs；此价格为表面沉金工艺，如客户无指定需求 可以按OSP工艺核算x;如用联茂IT-170GRA2 低损耗无卤板材的PCB需要单独确认价格</t>
  </si>
  <si>
    <t>A.F.M.2402282-MP</t>
  </si>
  <si>
    <t>单Type C IC及两个Type c 接口;IT5570E；MP86941*5pcs；25TQC15MYFB*8pcs</t>
  </si>
  <si>
    <t>A.F.M.2402283-MP</t>
  </si>
  <si>
    <t>单Type C IC及两个Type c 接口;IT5570E；MP86941*5pcs；25TQC15MYFB*8pcs;IT66318FN/EW；CPU缺货，请和采购单独确认下价格；此价格为表面沉金工艺，如客户无指定需求 可以按OSP工艺核算;如用联茂IT-170GRA2 低损耗无卤板材的PCB需要单独确认价格</t>
  </si>
  <si>
    <t>A.F.M.2402281-MP</t>
  </si>
  <si>
    <t>单Type C IC及两个Type c 接口;IT5570E；MP86941*3pcs；25TQC15MYFB*6pcs；此价格为表面沉金工艺，如客户无指定需求 可以按OSP工艺核算;如用联茂IT-170GRA2 低损耗无卤板材的PCB需要单独确认价格</t>
  </si>
  <si>
    <t>A.F.M.2402367-MP</t>
  </si>
  <si>
    <t>SKU22</t>
  </si>
  <si>
    <t>单Type C IC及两个Type c 接口;IT5570E；MP86941*5pcs；25TQC15MYFB*8pcs；CPU缺货，请和采购单独确认下价格；此价格为表面沉金工艺，如客户无指定需求 可以按OSP工艺核算;如用联茂IT-170GRA2 低损耗无卤板材的PCB需要单独确认价格</t>
  </si>
  <si>
    <t>A.F.M.2500186-OOC</t>
  </si>
  <si>
    <t>SKU23(DA1079C)（CKD）</t>
  </si>
  <si>
    <t>单Type C IC及两个Type c 接口;MP86941*3pcs；IT5570E；IT66318FN；MP2964GQKT；G2708CKU1U，此价格为表面沉金工艺，如客户无指定需求 可以按OSP工艺核算;如用联茂IT-170GRA2 低损耗无卤板材的PCB需要单独确认价格</t>
  </si>
  <si>
    <t>A.F.M.2500187-OOC</t>
  </si>
  <si>
    <t>SKU24(DA1079C)（CKD）</t>
  </si>
  <si>
    <t>单Type C IC及两个Type c 接口;MP86941*3pcs；IT5570E；IT66318FN；MP2964GQKT；此价格为表面沉金工艺，如客户无指定需求 可以按OSP工艺核算;如用联茂IT-170GRA2 低损耗无卤板材的PCB需要单独确认价格</t>
  </si>
  <si>
    <t>A.F.M.2500188-OOC</t>
  </si>
  <si>
    <t>SKU25(DA1079C)</t>
  </si>
  <si>
    <t>单Type C IC及两个Type c 接口; MP86941*3pcs;IT5570E;IT66318FN;G2708CKU1U；此价格为表面沉金工艺，如客户无指定需求 可以按OSP工艺核算;如用联茂IT-170GRA2 低损耗无卤板材的PCB需要单独确认价格</t>
  </si>
  <si>
    <t>A.F.M.2500189-OOC</t>
  </si>
  <si>
    <t>SKU26(DA1079C)</t>
  </si>
  <si>
    <t>单Type C IC及两个Type c 接口;MP86941*3pcs；IT5570E；IT66318FN；MP2964GQKT;此价格为表面沉金工艺，如客户无指定需求 可以按OSP工艺核算;如用联茂IT-170GRA2 低损耗无卤板材的PCB需要单独确认价格</t>
  </si>
  <si>
    <t>A.F.M.2500207-Pre MP</t>
  </si>
  <si>
    <t>I7-13700H(45W)</t>
  </si>
  <si>
    <t>单Type C IC及两个Type c 接口;MP2964GQKT;MP86941*5pcs；IT5570E；cpu缺货暂无价格；此价格为表面沉金工艺，如客户无指定需求 可以按OSP工艺核算;如用联茂IT-170GRA2 低损耗无卤板材的PCB需要单独确认价格</t>
  </si>
  <si>
    <t>A.F.M.2500221-OOC</t>
  </si>
  <si>
    <t>210H(45W)</t>
  </si>
  <si>
    <t>A.F.M.2500356-Pre MP</t>
  </si>
  <si>
    <t>I7-13620H（45W)（客供）</t>
  </si>
  <si>
    <t>A.F.M.2500485</t>
  </si>
  <si>
    <t>单Type C IC及两个Type c 接口;MP2964GQKT;MP86941*3pcs；IT5570E；此价格为表面沉金工艺，如客户无指定需求 可以按OSP工艺核算;如用联茂IT-170GRA2 低损耗无卤板材的PCB需要单独确认价格</t>
  </si>
  <si>
    <t>A.F.M.2500486</t>
  </si>
  <si>
    <t>SKU31</t>
  </si>
  <si>
    <t>No CPU</t>
  </si>
  <si>
    <t>A.F.M.2500518-ooc</t>
  </si>
  <si>
    <t>SKU32</t>
  </si>
  <si>
    <t>A.F.M.2500654</t>
  </si>
  <si>
    <t>SKU33</t>
  </si>
  <si>
    <t>i5-1235U(15W)</t>
  </si>
  <si>
    <t>A.F.M.2500682-MP</t>
  </si>
  <si>
    <t>I5-13420H(45W)（客供）</t>
  </si>
  <si>
    <t>单Type C IC及两个Type c 接口;含有IT66318FN；IT5570E；MP86941*5pcs；如客户无指定需求.可按OSP工艺核算;如用联茂IT-170GRA2 低损耗无卤板材的PCB需要单独确认价格</t>
  </si>
  <si>
    <t>A.F.M.2500683-MP</t>
  </si>
  <si>
    <t>A.F.M.2500702-MP</t>
  </si>
  <si>
    <t>SKU36</t>
  </si>
  <si>
    <t>单Type C IC及两个Type c 接口;MP86941*3pcs;IT5570E;MP2964GQKT;;如用联茂IT-170GRA2 低损耗无卤板材的PCB需要单独确认价格</t>
  </si>
  <si>
    <t>A.F.M.2500740-MP</t>
  </si>
  <si>
    <t>单Type C IC及两个Type c 接口;MP86941*5pcs;IT5570E;MP2964GQKT;;如用联茂IT-170GRA2 低损耗无卤板材的PCB需要单独确认价格</t>
  </si>
  <si>
    <t>A.F.M.2500741-MP</t>
  </si>
  <si>
    <t>A.F.M.2500742-MP</t>
  </si>
  <si>
    <t>SKU39</t>
  </si>
  <si>
    <t>单Type C IC及两个Type c 接口;MP86941*5pcs;IT5570E;MP2964GQKT;IT66318FN;;如用联茂IT-170GRA2 低损耗无卤板材的PCB需要单独确认价格</t>
  </si>
  <si>
    <t>A.F.M.2500743</t>
  </si>
  <si>
    <t>条子,PCB价格本周有效，SKU40+CW2217</t>
  </si>
  <si>
    <t>A.F.M.2500939-MP</t>
  </si>
  <si>
    <t>SKU42</t>
  </si>
  <si>
    <t>单Type C IC及两个Type c 接口;MP86941*5pcs;IT5570E;MP2964GQKT;MP2961GL-Z;如用联茂IT-170GRA2 低损耗无卤板材的PCB需要单独确认价格</t>
  </si>
  <si>
    <t>A.F.M.2501099-MP</t>
  </si>
  <si>
    <t>i5-1334U(不带IPU)(15W)</t>
  </si>
  <si>
    <t>单Type C IC及两个Type c 接口;MP86941*3pcs；IT5570E；MP2964GQKT；</t>
  </si>
  <si>
    <t>A.F.M.2501371-OOC</t>
  </si>
  <si>
    <t>SKU44（CKD)</t>
  </si>
  <si>
    <t>AX201.NGWG</t>
  </si>
  <si>
    <t>单Type C IC及两个Type c 接口;此pcb价格 表面处理为化金；MP86941*5pcs;IT5570E;IT66318FN/EW-0003(R);G2708CKU1U</t>
  </si>
  <si>
    <t>A.F.M.2501372-OOC</t>
  </si>
  <si>
    <t>SKU45（CKD)</t>
  </si>
  <si>
    <t>单Type C IC及两个Type c 接口;此pcb价格 表面处理为化金；MP86941*3pcs;IT5570E;IT66318FN/EW-0003(R);G2708CKU1U</t>
  </si>
  <si>
    <t>A.F.M.2501373-OOC</t>
  </si>
  <si>
    <t>SKU46（CKD)</t>
  </si>
  <si>
    <t>A.F.M.2501512-MP</t>
  </si>
  <si>
    <t>SKU50(临时bom、SKU37+CPU）</t>
  </si>
  <si>
    <t>i5-13420H SRMHX （non ipu）</t>
  </si>
  <si>
    <t>单Type C IC及两个Type c 接口;MP86941*5pcs;IT5570E;MP2964GQKT;pcb用联茂IT-170GRA2 低损耗无卤板材的价格，如有其他需求请单独确认pcb价格</t>
  </si>
  <si>
    <t>A.F.M.2501513-MP</t>
  </si>
  <si>
    <t>SKU51(临时bom、SKU38+CPU）</t>
  </si>
  <si>
    <t>i7-13620H- SRMJ0 （non ipu）</t>
  </si>
  <si>
    <t>A.F.M.2501612-MP</t>
  </si>
  <si>
    <t>单Type C IC及两个Type c 接口;MP86941*3pcs;IT5570E;pcb用联茂IT-170GRA2 低损耗无卤板材的价格，如有其他需求请单独确认pcb价格</t>
  </si>
  <si>
    <t>A.F.M.2501613-MP</t>
  </si>
  <si>
    <t>DN39(10L+沉金+通孔)上海</t>
  </si>
  <si>
    <t>A.F.M.2300608-MP</t>
  </si>
  <si>
    <t>DDR使用海力士；单Type c;含intel 雷电芯片2Pcs</t>
  </si>
  <si>
    <t>A.F.M.2300828-MP</t>
  </si>
  <si>
    <t>i5-13500H(客供)(45W)</t>
  </si>
  <si>
    <t>CPU BOM里客供；DDR使用三星；单Type c;含intel 雷电芯片2Pcs；CPU缺货，请和采购单独确认下价格；</t>
  </si>
  <si>
    <t>A.F.M.2300830-MP</t>
  </si>
  <si>
    <t>LPDDR5x-315球16G*4+0</t>
  </si>
  <si>
    <t>DDR使用镁光目前无价格；单Type c;含intel 雷电芯片2Pcs；CPU缺货，请和采购单独确认下价格；</t>
  </si>
  <si>
    <t>A.F.M.2300877-MP</t>
  </si>
  <si>
    <t>DDR使用海力士；单Type c;含intel 雷电芯片2Pcs；CPU缺货，请和采购单独确认下价格；</t>
  </si>
  <si>
    <t>A.F.M.2301136-MP</t>
  </si>
  <si>
    <t>I7-13700H(客供)(45W)</t>
  </si>
  <si>
    <t>CPU BOM里客供；DDR使用三星；单Type c;含intel 雷电芯片2Pcs</t>
  </si>
  <si>
    <t>A.F.M.2301332-MP</t>
  </si>
  <si>
    <t>A.F.M.2301580-MP</t>
  </si>
  <si>
    <t>SKU15</t>
  </si>
  <si>
    <t>A.F.M.2302391-MP</t>
  </si>
  <si>
    <t>CPU 接单前确认,交期有滞后；DDR使用海力士；单Type c;含intel 雷电芯片2Pcs；CPU缺货，请和采购单独确认下价格；</t>
  </si>
  <si>
    <t>A.F.M.2400271-MP</t>
  </si>
  <si>
    <t>DDR使用Spectek;单Type c;含intel 雷电芯片2Pcs；CPU缺货，请和采购单独确认下价格；</t>
  </si>
  <si>
    <t>A.F.M.2400387-MP</t>
  </si>
  <si>
    <t>A.F.M.2400388-MP</t>
  </si>
  <si>
    <t>单Type c IC及两个Type c接口；DDR使用江波龙;含intel 雷电芯片2Pcs;MP86941*6pcs;PI3HDX1204B1ZHE；CPU缺货，请和采购单独确认下价格；</t>
  </si>
  <si>
    <t>A.F.M.2400389-MP</t>
  </si>
  <si>
    <t>CPU BOM里客供 DDR使用海力士；单Type c;含intel 雷电芯片2Pcs</t>
  </si>
  <si>
    <t>A.F.M.2600577+A.F.M.2600578</t>
  </si>
  <si>
    <t>A.F.M.2400391-MP</t>
  </si>
  <si>
    <t>I7-13620H(45W))客供</t>
  </si>
  <si>
    <t>单Type c IC及两个Type c接口；DDR使用三星;含intel 雷电芯片2Pcs;MP86941*6pcs;PI3HDX1204B1ZHE；CPU缺货，请和采购单独确认下价格；</t>
  </si>
  <si>
    <t>A.F.M.2400409-MP</t>
  </si>
  <si>
    <t>A.F.M.2400932-MP</t>
  </si>
  <si>
    <t>I5-12600H(45W)</t>
  </si>
  <si>
    <t>LPDDR5-315球6G*4+0</t>
  </si>
  <si>
    <t>DDR使用佰维；单Type c;含intel 雷电芯片2pcs;</t>
  </si>
  <si>
    <t>A.F.M.2401155-MP</t>
  </si>
  <si>
    <t>I5-13420H(不带IPU)(45W)</t>
  </si>
  <si>
    <t>DDR使用三星;单Type c;含英特尔雷电芯片2pcs;CPU缺货，请和采购单独确认下价格；</t>
  </si>
  <si>
    <t>A.F.M.2401156-MP</t>
  </si>
  <si>
    <t>SKU48</t>
  </si>
  <si>
    <t>A.F.M.2401654-MP</t>
  </si>
  <si>
    <t>SKU49</t>
  </si>
  <si>
    <t>I7-13620H(45W)客供</t>
  </si>
  <si>
    <t>CPU客供；DDR使用佰维；单Type c IC及两个Type c接口；含英特尔雷电芯片1pcs</t>
  </si>
  <si>
    <t>A.F.M.2402314-MP</t>
  </si>
  <si>
    <t>SKU50</t>
  </si>
  <si>
    <t>单Type c IC及两个Type c接口；MP86941*6pcs;PI3HDX1204B1ZHE;含英特尔雷电芯片2pcs;CPU缺货，请和采购单独确认下价格；</t>
  </si>
  <si>
    <t>A.P.0DN39003-EVT2</t>
  </si>
  <si>
    <t>I5-12500H(45W)</t>
  </si>
  <si>
    <t>LPDDR5-315球4G</t>
  </si>
  <si>
    <t>DDR使用海力士；</t>
  </si>
  <si>
    <t>含在主板BOM里面的 需合计</t>
  </si>
  <si>
    <t>SN6140；RTS5170；PS8719ETQFN24GTR2-A0</t>
  </si>
  <si>
    <t>A.F.D.2300283-MP</t>
  </si>
  <si>
    <t>RTL8111H;SN6140</t>
  </si>
  <si>
    <t>A.F.D.2300220-PVT</t>
  </si>
  <si>
    <t>DN525(8L+沉金+通孔)</t>
  </si>
  <si>
    <t>A.F.M.2401102-MP</t>
  </si>
  <si>
    <t>单Tpye c IC及一个Type c接口；</t>
  </si>
  <si>
    <t>A.F.M.2401103-MP</t>
  </si>
  <si>
    <t>A.F.M.2401547-MP</t>
  </si>
  <si>
    <t>A.F.M.2401548-MP</t>
  </si>
  <si>
    <t>A.F.M.2401713-MP</t>
  </si>
  <si>
    <t>A.F.M.2401976-MP</t>
  </si>
  <si>
    <t>i3-1220P(28W)</t>
  </si>
  <si>
    <t>A.F.M.2500288-MP</t>
  </si>
  <si>
    <t>i9-13900HK(45W)</t>
  </si>
  <si>
    <t>单Tpye c IC及一个Type c接口；IT5570E;MP86941*5PCS;ALC269Q CPU请和采购确认</t>
  </si>
  <si>
    <t>A.F.M.2500950-OOC</t>
  </si>
  <si>
    <t>单Tpye c IC及一个Type c接口；ALC269Q;MP86941*5pcs;IT5570E;MP2964GQKT;</t>
  </si>
  <si>
    <t>DN79(8L+OSP+通孔)</t>
  </si>
  <si>
    <t>A.F.M.2400980-Pre MP</t>
  </si>
  <si>
    <t>单type c;含有Intel雷电IC</t>
  </si>
  <si>
    <t>A.F.M.2400981-Pre MP</t>
  </si>
  <si>
    <t>单type c;含有Intel雷电IC;含有G2708CKU1U</t>
  </si>
  <si>
    <t>A.F.M.2401656-MP</t>
  </si>
  <si>
    <t>单Tpye c IC及两个Type c接口；含有加密IC TPM;含有Intel雷电IC;含有IT66318FN、MP2964GQKT</t>
  </si>
  <si>
    <t>A.F.M.2401657-MP</t>
  </si>
  <si>
    <t>A.F.M.2401717-MP</t>
  </si>
  <si>
    <t>单Tpye c IC及两个Type c接口；CYPD6227-96BZXIT;MP86941*3;MP2964GQKT</t>
  </si>
  <si>
    <t>A.F.M.2401718-MP</t>
  </si>
  <si>
    <t>i7-1360P(不带IPU)(28W)</t>
  </si>
  <si>
    <t>单Tpye c IC及两个Type c接口；含有Intel雷电IC;含有IT66318FN、MP2964GQKT;MP86941*5</t>
  </si>
  <si>
    <t>A.F.M.2500290-PVT</t>
  </si>
  <si>
    <t>i7-150U(15W)</t>
  </si>
  <si>
    <t>单Tpye c IC及两个Type c接口；MP86941*3pcs;IT5570E;含有Intel雷电IC;</t>
  </si>
  <si>
    <t>A.F.M.2500571-MP</t>
  </si>
  <si>
    <t>单Tpye c IC及两个Type c接口；MP86941*5pcs;IT5570E;含有Intel雷电IC;</t>
  </si>
  <si>
    <t>A.F.M.2500572-MP</t>
  </si>
  <si>
    <t>A.F.M.2501679-MP</t>
  </si>
  <si>
    <t>I5-13420H(客供）</t>
  </si>
  <si>
    <t>单Tpye c IC及两个Type c接口；MP86941*5pcs;IT5570E;含有Intel雷电IC;;bom的pcb为普通材质OSP工艺，如用特殊材质请单独核</t>
  </si>
  <si>
    <t>A.F.M.2501680-MP</t>
  </si>
  <si>
    <t>I7-13620H(客供)</t>
  </si>
  <si>
    <t>单Tpye c IC及两个Type c接口；MP86941*5pcs;IT5570E;含有Intel雷电IC;bom的pcb为普通材质OSP工艺，如用特殊材质请单独核</t>
  </si>
  <si>
    <t>A.F.M.2501770-MP</t>
  </si>
  <si>
    <t>单Tpye c IC及两个Type c接口；MP86941*5pcs;IT5570E;含有Intel雷电IC;25TQC15MYFB*8pcs;bom的pcb为普通材质OSP工艺，如用特殊材质请单独核</t>
  </si>
  <si>
    <t>A.F.M.2501771-MP</t>
  </si>
  <si>
    <t>含8111H、ALC269Q</t>
  </si>
  <si>
    <t>含8111H</t>
  </si>
  <si>
    <t>DP13(10L+沉金+OSP)</t>
  </si>
  <si>
    <t>A.F.M.2401777-MP</t>
  </si>
  <si>
    <t>i3-1215U(带IPU)(15W)</t>
  </si>
  <si>
    <t>LPDDR4x-200球4G*4+0</t>
  </si>
  <si>
    <t>DDR使用大为；双Type c</t>
  </si>
  <si>
    <t>A.F.M.2500937-MP</t>
  </si>
  <si>
    <t>i3-1215U（带IPU）(15W)</t>
  </si>
  <si>
    <t xml:space="preserve">雷电：JHL8040R； </t>
  </si>
  <si>
    <t>i3-1215U(15W)</t>
  </si>
  <si>
    <t>LPDDR4x-200球2G*4+0</t>
  </si>
  <si>
    <t>DDR 使用三星暂无价格，单Type-c</t>
  </si>
  <si>
    <t>I5-1235U(15W)</t>
  </si>
  <si>
    <t>A.F.M.2401253-MP</t>
  </si>
  <si>
    <t>i5-1335U(15W)</t>
  </si>
  <si>
    <t>DDR 使用三星暂无价格，单Type-c IC及两个Type c 接口；</t>
  </si>
  <si>
    <t>A.F.M.2401472-MP</t>
  </si>
  <si>
    <t>i3-1315U(带IPU)(15W)</t>
  </si>
  <si>
    <t>DDR 使用三星暂无价格，单Type-c IC及两个Type c 接口；IT5570E;MP2964GQKT</t>
  </si>
  <si>
    <t>A.F.M.2401473-MP</t>
  </si>
  <si>
    <t>i5-1335U(带IPU)(15W)</t>
  </si>
  <si>
    <t>A.F.M.2500522</t>
  </si>
  <si>
    <t>DDR 使用三星停产暂无价格，Type-c IC及两个Type c 接口；IT5570E;MP2964GQKT;MP86941*3pcs;CM32181A3OP</t>
  </si>
  <si>
    <t>A.F.M.2500523</t>
  </si>
  <si>
    <t>DDR 使用三星停产暂无价格，Type-c IC及两个Type c 接口；IT5570E;MP2964GQKT;MP86941*3pcs</t>
  </si>
  <si>
    <t>A.F.M.2500524</t>
  </si>
  <si>
    <t>A.F.M.2500538</t>
  </si>
  <si>
    <t>含有ALC269Q</t>
  </si>
  <si>
    <t>MTN39C(10L+沉金+通孔)</t>
  </si>
  <si>
    <t>A.F.M.2302375-MP</t>
  </si>
  <si>
    <t>125H(28W)客供</t>
  </si>
  <si>
    <t>CPU客供；DDR使用三星;单Type c IC及两个Type c 接口；含英特尔雷电IC;</t>
  </si>
  <si>
    <t>A.F.M.2400155-MP</t>
  </si>
  <si>
    <t>CPU客供；;DDR使用三星;单Type c IC及两个Type c 接口；含英特尔雷电IC;4颗接口使用不用厂家</t>
  </si>
  <si>
    <t>A.F.M.2400209-MP</t>
  </si>
  <si>
    <t>125H(28W)</t>
  </si>
  <si>
    <t>LPDDR5x-315球4G*4+0</t>
  </si>
  <si>
    <t>DDR使用镁光;单Type c IC及两个Type c 接口；含英特尔雷电IC;4颗接口使用不用厂家;</t>
  </si>
  <si>
    <t>A.F.M.2400640-MP</t>
  </si>
  <si>
    <t>CPU客供;DDR使用镁光；单Type c IC及两个Type c 接口；;含intel 雷电芯片;含有11颗钽电容;MP87440GQVT*7</t>
  </si>
  <si>
    <t>A.F.M.2400646-MP</t>
  </si>
  <si>
    <t>CPU客供;DDR使用镁光；单Type c IC及两个Type c 接口;含intel 雷电芯片;含有11颗钽电容;MP87440GQVT*7</t>
  </si>
  <si>
    <t>A.F.M.2401001-MP</t>
  </si>
  <si>
    <t>LPDDR5x-315球6G*4+0</t>
  </si>
  <si>
    <t>DDR使用佰维;单Type c IC及两个Type c 接口;;含intel 雷电芯片;含有11颗钽电容</t>
  </si>
  <si>
    <t>LPDDR5x-315球8G*4+0</t>
  </si>
  <si>
    <t>A.F.M.2401126-MP</t>
  </si>
  <si>
    <t>DDR使用三星;单Type c IC及两个Type c 接口；含intel 雷电芯片;含有11颗钽电容</t>
  </si>
  <si>
    <t>A.F.M.2401157-MP</t>
  </si>
  <si>
    <t>A.F.M.2401158-MP</t>
  </si>
  <si>
    <t>A.F.M.2401429-MP</t>
  </si>
  <si>
    <t>155H(28W)</t>
  </si>
  <si>
    <t>DDR使用镁光;单Type c IC及两个Type c 接口；含intel 雷电芯片;含有11颗钽电容;含有PS8811QFN36GTR2</t>
  </si>
  <si>
    <t>A.F.M.2401754-MP</t>
  </si>
  <si>
    <t>CPU客供</t>
  </si>
  <si>
    <t>DDR使用镁光;单Type c IC及两个Type c 接口；含intel 雷电芯片;含有11颗钽电容;含有MP87440GQVT*7pcs</t>
  </si>
  <si>
    <t>A.F.M.2401760-MP</t>
  </si>
  <si>
    <t>DDR使用三星;单Type c IC及两个Type c 接口；含intel 雷电芯片;含有11颗钽电容;含有MP87440GQVT*7pcs</t>
  </si>
  <si>
    <t>MTN21(8L+OSP+通孔)</t>
  </si>
  <si>
    <t>QQ80723058DB(125U)(15W)</t>
  </si>
  <si>
    <t>单type c ;BOM  里CPU 研发样品</t>
  </si>
  <si>
    <t>QQ80723058D7(155U)(15W)</t>
  </si>
  <si>
    <t>单type c ; 含加密IC TPM ;BOM  里CPU 研发样品</t>
  </si>
  <si>
    <t>125U(15W)</t>
  </si>
  <si>
    <t>单type c ;</t>
  </si>
  <si>
    <t>A.F.M.2400648-MP</t>
  </si>
  <si>
    <t>155U(15W)</t>
  </si>
  <si>
    <t>单type c ;含有加密IC TPM;</t>
  </si>
  <si>
    <t>165U(15W)</t>
  </si>
  <si>
    <t>185H(45W)</t>
  </si>
  <si>
    <t>A.F.M.2401559-MP</t>
  </si>
  <si>
    <t>单type c IC及一个Type c 接口 ;</t>
  </si>
  <si>
    <t>A.F.M.2402375-OOC</t>
  </si>
  <si>
    <t>单type c IC及一个Type c 接口;含有加密IC TPM;W25R256JWEIQ;MP87440GQVT*4pcs;</t>
  </si>
  <si>
    <t>单type c IC及一个Type c 接口;含有加密IC TPM;W25R256JWEIQ;MP87440GQVT*6pcs</t>
  </si>
  <si>
    <t>A.F.M.2402508-OOC</t>
  </si>
  <si>
    <t>单type c IC及一个Type c 接口;IT5570E-128/C;MP87440GQVT*4pcs;W25R256JWEIQ， PCB姚桂兰500套价格</t>
  </si>
  <si>
    <t>A.F.M.2402509-OOC</t>
  </si>
  <si>
    <t>单type c IC及一个Type c 接口;IT5570E-128/C;MP87440GQVT*6pcs;W25R256JWEIQ</t>
  </si>
  <si>
    <t>A.F.M.2500014-OOC</t>
  </si>
  <si>
    <t>A.F.M.2500302-OOC</t>
  </si>
  <si>
    <t>单type c IC及两个Type c 接口;MP87440GQVT*4PCS;W25R256JWEIQ;IT5570E;</t>
  </si>
  <si>
    <t>A.F.M.2500303-OOC</t>
  </si>
  <si>
    <t>单type c IC及一个Type c 接口;MP87440GQVT*4PCS;W25R256JWEIQ;IT5570E;</t>
  </si>
  <si>
    <t>A.F.M.2500304-OOC</t>
  </si>
  <si>
    <t>MTN25C(10L+OSP+通孔)</t>
  </si>
  <si>
    <t>A.F.M.2500765-OOC</t>
  </si>
  <si>
    <t>双Type C IC及两个Type C 接口；DDR使用佰维；SiC634CD*4pcs;RT3634CEGQW;W25R256JWEIQ;IT5570E;G2708CKU1U</t>
  </si>
  <si>
    <t>A.F.M.2500766-OOC</t>
  </si>
  <si>
    <t>双Type C IC及两个Type C 接口；DDR使用佰维；SiC634CD*6pcs;RT3634CEGQW;W25R256JWEIQ;IT5570E;IT66318FN/EW;喊加密IC TPM(新唐)</t>
  </si>
  <si>
    <t>A.F.M.2503135</t>
  </si>
  <si>
    <t>A.F.M.2500767-OOC</t>
  </si>
  <si>
    <t>LPDDR5-315球4G*2+0</t>
  </si>
  <si>
    <t>双Type C IC及两个Type C 接口；DDR使用江波龙；RT3634CEGQW;IT5570E;IT66318FN/EW;含加密IC TPM</t>
  </si>
  <si>
    <t>A.F.M.2600103</t>
  </si>
  <si>
    <t>A.F.M.2501438-OOC</t>
  </si>
  <si>
    <t>双Type C IC及两个Type C 接口；DDR使用SU；SiC634CD*4pcs;RT3634CEGQW;W25Q256JWEIN;IT5570E;IT66318FN/EW</t>
  </si>
  <si>
    <t>A.F.M.2501439-MP</t>
  </si>
  <si>
    <t>双Type C IC及两个Type C 接口；DDR使用佰维；SiC634CD*6pcs;RT3634CEGQW;W25Q256JWEIN;IT5570E;</t>
  </si>
  <si>
    <t>A.F.M.2600913/A.F.M.2600912</t>
  </si>
  <si>
    <t>SKU58</t>
  </si>
  <si>
    <t>A.F.M.2501440-MP</t>
  </si>
  <si>
    <t>A.F.M.2501370</t>
  </si>
  <si>
    <t>A.F.M.2501441-MP</t>
  </si>
  <si>
    <t>双Type C IC及两个Type C 接口；DDR使用镁光；SiC634CD*6pcs;RT3634CEGQW;W25R256JWEIQ;IT5570E;IT66318FN;</t>
  </si>
  <si>
    <t>A.F.M.2501442-MP</t>
  </si>
  <si>
    <t>双Type C IC及两个Type C 接口；DDR使用Spectek；SiC634CD*6pcs;RT3634CEGQW;W25R256JWEIQ;IT5570E;IT66318FN;</t>
  </si>
  <si>
    <t>A.F.M.2501443-MP</t>
  </si>
  <si>
    <t>115U(15W)</t>
  </si>
  <si>
    <t>CPU回复无供应需换其他CPU或者客供，请和采购确认；双Type C IC及两个Type C 接口；DDR使用Spectek;SiC634CD*4pcs;RT3634CEGQW;W25R256JWEIQ;IT5570E;IT66318FN/EW;</t>
  </si>
  <si>
    <t>A.F.M.2501626-MP</t>
  </si>
  <si>
    <t>双Type C IC及两个Type C 接口；DDR使用江波龙；SiC634CD*6pcs;RT3634CEGQW;W25R256JWEIQ;IT5570E;IT66318FN；含加密IC TPM</t>
  </si>
  <si>
    <t>A.F.M.2501627-MP</t>
  </si>
  <si>
    <t>125H(45W)</t>
  </si>
  <si>
    <t>LPDDR5X-315球4G*2+0</t>
  </si>
  <si>
    <t>双Type C IC及两个Type C 接口；DDR使用Spectek；SiC634CD*6pcs;RT3634CEGQW;W25R256JWEIQ;IT5570E;IT66318FN；含加密IC TPM</t>
  </si>
  <si>
    <t>A.F.M.2501628-MP</t>
  </si>
  <si>
    <t>A.F.M.2501683-MP</t>
  </si>
  <si>
    <t>LPDDR5X-315球8G*4+0</t>
  </si>
  <si>
    <t>双Type C IC及两个Type C 接口；DDR使用SU；SiC634CD*6pcs;RT3634CEGQW;W25R256JWEIQ;IT5570E;IT66318FN；含加密IC TPM</t>
  </si>
  <si>
    <t>A.F.M.2501684-MP</t>
  </si>
  <si>
    <t>MTNTU(8L+OSP+通孔)衍生机型MTNTU146</t>
  </si>
  <si>
    <t>A.F.M.2501339-MP</t>
  </si>
  <si>
    <t>SKU4(MTNTU146)</t>
  </si>
  <si>
    <t>Ultra-5-125U</t>
  </si>
  <si>
    <t>单Tpye c IC及两个Type c接口；PCB价格还在谈，初步议价是这个；MP87440GQVT*2pcs;W25R256JWEIQ;IT5570VG;MP86941*2pcs</t>
  </si>
  <si>
    <t>234.7*127.2*1.0MM</t>
  </si>
  <si>
    <t>双TYPE-C IC（ANX7447QN-AC-R）+双TYPE-C连接器</t>
  </si>
  <si>
    <t>45W</t>
  </si>
  <si>
    <t>HDMI2.0;IT66318FN+电量计：CW2217+ ROM 256Mb</t>
  </si>
  <si>
    <t>电源方案：MP29001GQKT-0105-rev0</t>
  </si>
  <si>
    <t>A.F.M.2503007</t>
  </si>
  <si>
    <t>A.F.M.2501340-MP</t>
  </si>
  <si>
    <t>SKU5(MTNTU146)</t>
  </si>
  <si>
    <t>双Tpye c IC及两个Type c接口；MP86941*3PCS;MP87440GQVT*3PCS;MP29001GQKT;W25R256JWEIQ;IT5570VG</t>
  </si>
  <si>
    <t>A.F.M.2501341-MP</t>
  </si>
  <si>
    <t>SKU6(MTNTU146)</t>
  </si>
  <si>
    <t>双Tpye c IC及两个Type c接口；T527T156M025ATE100*4pcs;MP86941*3PCS;MP87440*3PCS;MP29001GQKT;W25R256JWEIQ;IT66318FN/EW-0003(R);IT5570VG</t>
  </si>
  <si>
    <t>SKU7(MTNTU146)</t>
  </si>
  <si>
    <t>225U(15W)</t>
  </si>
  <si>
    <t>61822CE</t>
  </si>
  <si>
    <t>单Tpye c IC及两个Type c接口；PCB价格还在谈，初步议价是这个；MP87440GQVT*2pcs;W25R256JWEIQ;MP29001GQKT;MP86941*2pcs</t>
  </si>
  <si>
    <t>MTN79(8L+OSP+通孔)</t>
  </si>
  <si>
    <t>单Type C IC及两个Type c接口（CYPD6228）</t>
  </si>
  <si>
    <t>全功能（CYPD6228）；含加密IC TPM(9672);含CW2217;PCB如用用联茂IT-170GRA2TC 低损耗无卤板材的请单独确认</t>
  </si>
  <si>
    <t>A.F.M.2601965</t>
  </si>
  <si>
    <t>237.8*138.1*1.0</t>
  </si>
  <si>
    <t>A.F.M.2600440</t>
  </si>
  <si>
    <t xml:space="preserve">HDMI2.0: IT66318FN; TPM:SLB 9672; </t>
  </si>
  <si>
    <t>A.F.M.2401958-MP</t>
  </si>
  <si>
    <t>135U(15W)</t>
  </si>
  <si>
    <t>单Type C IC及两个Type c接口;W25R256JWEIQ;MP87440GQVT*4pcs;含加密IC TPM</t>
  </si>
  <si>
    <t>A.F.M.2401959-MP</t>
  </si>
  <si>
    <t>单Type C IC及两个Type c接口;W25R256JWEIQ;MP87440GQVT*4pcs;</t>
  </si>
  <si>
    <t>A.F.M.2401960-MP</t>
  </si>
  <si>
    <t>单Type C IC及两个Type c接口;W25R256JWEIQ;MP87440GQVT*7pcs;</t>
  </si>
  <si>
    <t>A.F.M.2401961-MP</t>
  </si>
  <si>
    <t>QQ807230556A(155H)(28W)</t>
  </si>
  <si>
    <t>A.F.M.2502749/A.F.M.2502750/A.F.M.2502879</t>
  </si>
  <si>
    <t>PCB联茂低损耗板材，到料时间比较久，如果换同等级生益的板材，到料时间预计4-6周，会比联茂时间短</t>
  </si>
  <si>
    <t>A.F.M.2402280-MP</t>
  </si>
  <si>
    <t>单Type C IC及两个Type c接口;MP87440GQVT*4pcs;W25R256JWEIQ;含加密IC TPM</t>
  </si>
  <si>
    <t>A.F.M.2501823</t>
  </si>
  <si>
    <t>单TYPE-C IC ,两个Type c接口</t>
  </si>
  <si>
    <t>单Type C IC及两个Type c接口;;TYPE-CCYPD6228-96BZXI,含加密IC TPM:SLB 9672VU2.0 FW15.23,普通PCB</t>
  </si>
  <si>
    <t>A.F.M.2501822</t>
  </si>
  <si>
    <t>A.FM.2600385</t>
  </si>
  <si>
    <t>A.F.M.2500301-OOC</t>
  </si>
  <si>
    <t>单Type C IC及两个Type c接口;MP87440GQVT*4pcs;W25R256JWEIQ;含加密IC TPM;IT5570E</t>
  </si>
  <si>
    <t>SF146</t>
  </si>
  <si>
    <t>A.F.M.2502790-EVT</t>
  </si>
  <si>
    <t>SKU001</t>
  </si>
  <si>
    <t>Type c(两个Type c接口)</t>
  </si>
  <si>
    <t xml:space="preserve">25W wildcat lake </t>
  </si>
  <si>
    <t>单Type C IC及两个Type c接口;电量计CW2217,SMT为预估价</t>
  </si>
  <si>
    <t>WNTU146B</t>
  </si>
  <si>
    <t>备料BOM</t>
  </si>
  <si>
    <t>128+16</t>
  </si>
  <si>
    <t>PCB及SMT参考SF146</t>
  </si>
  <si>
    <t>WNTU146L LPDDR5</t>
  </si>
  <si>
    <t>吴荣海核价BOM</t>
  </si>
  <si>
    <t>WNTU146B(6L+OSP+通孔）</t>
  </si>
  <si>
    <t>A.F.M.2600374</t>
  </si>
  <si>
    <t>单Type c IC及两个接口(IT5272FN)</t>
  </si>
  <si>
    <t>Lpddr5 4GB*2 315球+256 UFS</t>
  </si>
  <si>
    <t>SMT为预估价</t>
  </si>
  <si>
    <t>WN35(8L+OSP+通孔）</t>
  </si>
  <si>
    <t>180.8*101.0*1.0mm</t>
  </si>
  <si>
    <t>A.F.M.2600712</t>
  </si>
  <si>
    <t>单Type C IC及两个Type c 接口(IT5272)</t>
  </si>
  <si>
    <t>8GB(315)*2 +512UFS</t>
  </si>
  <si>
    <t>HDMI2.0/AMOLED/SMT为预估计,ERP BOM</t>
  </si>
  <si>
    <t>A.F.M.2601008</t>
  </si>
  <si>
    <t>A.F.M.2602829</t>
  </si>
  <si>
    <t>PCB 有效期一周，实单前需重新确认</t>
  </si>
  <si>
    <t>A.F.M.2602830</t>
  </si>
  <si>
    <t>A.F.M.2600715</t>
  </si>
  <si>
    <t>A.F.M.2601095</t>
  </si>
  <si>
    <t>ROM:256Mb,WIFII6 ，普通无卤PCB</t>
  </si>
  <si>
    <t>A.F.M.2601096</t>
  </si>
  <si>
    <t>ROM:256Mb,WIFI6 ，普通无卤PCB</t>
  </si>
  <si>
    <t>电量计CW2217,PCBSMT为预估价</t>
  </si>
  <si>
    <t>WP88</t>
  </si>
  <si>
    <r>
      <rPr>
        <sz val="10"/>
        <rFont val="Arial"/>
        <charset val="134"/>
      </rPr>
      <t>WP88</t>
    </r>
    <r>
      <rPr>
        <sz val="10"/>
        <rFont val="宋体"/>
        <charset val="134"/>
      </rPr>
      <t>临时</t>
    </r>
    <r>
      <rPr>
        <sz val="10"/>
        <rFont val="Arial"/>
        <charset val="134"/>
      </rPr>
      <t>BOM</t>
    </r>
  </si>
  <si>
    <r>
      <rPr>
        <sz val="10"/>
        <rFont val="宋体"/>
        <charset val="134"/>
      </rPr>
      <t>临时</t>
    </r>
    <r>
      <rPr>
        <sz val="10"/>
        <rFont val="Arial"/>
        <charset val="134"/>
      </rPr>
      <t>BOM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</si>
  <si>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TYPE-C IC ,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</si>
  <si>
    <r>
      <rPr>
        <sz val="10"/>
        <rFont val="Arial"/>
        <charset val="134"/>
      </rPr>
      <t>LPDDR5X 8GB 315</t>
    </r>
    <r>
      <rPr>
        <sz val="10"/>
        <rFont val="宋体"/>
        <charset val="134"/>
      </rPr>
      <t>球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</si>
  <si>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接口，TYPE-C: 联阳IT5272FN；TPM:英飞凌9672；</t>
    </r>
  </si>
  <si>
    <r>
      <rPr>
        <sz val="10"/>
        <rFont val="Arial"/>
        <charset val="134"/>
      </rPr>
      <t>8111H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USBHUB</t>
    </r>
  </si>
  <si>
    <r>
      <rPr>
        <sz val="10"/>
        <rFont val="Arial"/>
        <charset val="134"/>
      </rPr>
      <t>8111H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GL3510</t>
    </r>
  </si>
  <si>
    <r>
      <rPr>
        <sz val="10"/>
        <rFont val="Arial"/>
        <charset val="134"/>
      </rPr>
      <t>GL850G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RTS5170</t>
    </r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</si>
  <si>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8111H,GL850G,GL3510</t>
    </r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</si>
  <si>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8111H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GL3510,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109010782</t>
    </r>
    <r>
      <rPr>
        <sz val="10"/>
        <rFont val="微软雅黑"/>
        <charset val="134"/>
      </rPr>
      <t>连接器</t>
    </r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</si>
  <si>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8111H</t>
    </r>
  </si>
  <si>
    <r>
      <rPr>
        <sz val="10"/>
        <rFont val="微软雅黑"/>
        <charset val="134"/>
      </rPr>
      <t>含有英特尔雷电</t>
    </r>
    <r>
      <rPr>
        <sz val="10"/>
        <rFont val="Arial"/>
        <charset val="134"/>
      </rPr>
      <t>IC*1pcs;GL3510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</si>
  <si>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8111H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</si>
  <si>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8111H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GL3510;RTS5170</t>
    </r>
  </si>
  <si>
    <r>
      <rPr>
        <sz val="10"/>
        <rFont val="微软雅黑"/>
        <charset val="134"/>
      </rPr>
      <t>不含两个</t>
    </r>
    <r>
      <rPr>
        <sz val="10"/>
        <rFont val="Arial"/>
        <charset val="134"/>
      </rPr>
      <t>DC-DC</t>
    </r>
    <r>
      <rPr>
        <sz val="10"/>
        <rFont val="微软雅黑"/>
        <charset val="134"/>
      </rPr>
      <t>电源模块的成本</t>
    </r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</si>
  <si>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ALC269Q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</si>
  <si>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ALC269Q;SY6863B3ABC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</si>
  <si>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ALC269Q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GL3510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</si>
  <si>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IT66318FN</t>
    </r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</si>
  <si>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SN6140</t>
    </r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</si>
  <si>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网卡</t>
    </r>
    <r>
      <rPr>
        <sz val="10"/>
        <rFont val="Arial"/>
        <charset val="134"/>
      </rPr>
      <t>ic-WGI219LM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ALC269Q</t>
    </r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</si>
  <si>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SN6140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8111H</t>
    </r>
  </si>
  <si>
    <r>
      <rPr>
        <sz val="10"/>
        <rFont val="微软雅黑"/>
        <charset val="134"/>
      </rPr>
      <t>条子</t>
    </r>
  </si>
  <si>
    <r>
      <rPr>
        <sz val="10"/>
        <rFont val="Arial"/>
        <charset val="134"/>
      </rPr>
      <t>CKD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$0.2/</t>
    </r>
    <r>
      <rPr>
        <sz val="10"/>
        <rFont val="微软雅黑"/>
        <charset val="134"/>
      </rPr>
      <t>片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含英特尔雷电芯片</t>
    </r>
  </si>
  <si>
    <r>
      <rPr>
        <sz val="10"/>
        <rFont val="Arial"/>
        <charset val="134"/>
      </rPr>
      <t>CKD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$0.2/</t>
    </r>
    <r>
      <rPr>
        <sz val="10"/>
        <rFont val="微软雅黑"/>
        <charset val="134"/>
      </rPr>
      <t>片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含英特尔雷电芯片</t>
    </r>
  </si>
  <si>
    <r>
      <rPr>
        <sz val="10"/>
        <rFont val="Arial"/>
        <charset val="134"/>
      </rPr>
      <t>SKU20(CKD</t>
    </r>
    <r>
      <rPr>
        <sz val="10"/>
        <rFont val="微软雅黑"/>
        <charset val="134"/>
      </rPr>
      <t>）</t>
    </r>
  </si>
  <si>
    <r>
      <rPr>
        <sz val="10"/>
        <rFont val="Arial"/>
        <charset val="134"/>
      </rPr>
      <t>I7-1255U(</t>
    </r>
    <r>
      <rPr>
        <sz val="10"/>
        <rFont val="微软雅黑"/>
        <charset val="134"/>
      </rPr>
      <t>不带</t>
    </r>
    <r>
      <rPr>
        <sz val="10"/>
        <rFont val="Arial"/>
        <charset val="134"/>
      </rPr>
      <t>IPU)(15W)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</si>
  <si>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网络</t>
    </r>
    <r>
      <rPr>
        <sz val="10"/>
        <rFont val="Arial"/>
        <charset val="134"/>
      </rPr>
      <t>WGI219V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USB3.0 Redriver IC;</t>
    </r>
  </si>
  <si>
    <r>
      <rPr>
        <sz val="10"/>
        <rFont val="微软雅黑"/>
        <charset val="134"/>
      </rPr>
      <t>含有英特尔网络</t>
    </r>
    <r>
      <rPr>
        <sz val="10"/>
        <rFont val="Arial"/>
        <charset val="134"/>
      </rPr>
      <t>IC  WGI219LM;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 xml:space="preserve"> ALC269Q</t>
    </r>
  </si>
  <si>
    <r>
      <rPr>
        <sz val="10"/>
        <rFont val="Arial"/>
        <charset val="134"/>
      </rPr>
      <t>I219LM(Vpro)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ALC269</t>
    </r>
  </si>
  <si>
    <r>
      <rPr>
        <sz val="10"/>
        <rFont val="Arial"/>
        <charset val="134"/>
      </rPr>
      <t>I219V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ALC269</t>
    </r>
  </si>
  <si>
    <r>
      <rPr>
        <sz val="10"/>
        <rFont val="Arial"/>
        <charset val="134"/>
      </rPr>
      <t>I225V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ALC269</t>
    </r>
  </si>
  <si>
    <r>
      <rPr>
        <sz val="10"/>
        <rFont val="Arial"/>
        <charset val="134"/>
      </rPr>
      <t>I225LM(Vpro)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ALC269</t>
    </r>
  </si>
  <si>
    <r>
      <rPr>
        <sz val="10"/>
        <rFont val="Arial"/>
        <charset val="134"/>
      </rPr>
      <t>I219LM(Vpro)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USBHUB 3.0</t>
    </r>
  </si>
  <si>
    <r>
      <rPr>
        <sz val="10"/>
        <rFont val="Arial"/>
        <charset val="134"/>
      </rPr>
      <t>I219V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USBHUB 3.0</t>
    </r>
  </si>
  <si>
    <r>
      <rPr>
        <sz val="10"/>
        <rFont val="Arial"/>
        <charset val="134"/>
      </rPr>
      <t>I219LM(Vpro)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USBHUB 3.1</t>
    </r>
  </si>
  <si>
    <r>
      <rPr>
        <sz val="10"/>
        <rFont val="Arial"/>
        <charset val="134"/>
      </rPr>
      <t>I225V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USBHUB 3.0</t>
    </r>
  </si>
  <si>
    <r>
      <rPr>
        <sz val="10"/>
        <rFont val="Arial"/>
        <charset val="134"/>
      </rPr>
      <t>I225LM(Vpro)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USBHUB 3.0</t>
    </r>
  </si>
  <si>
    <r>
      <rPr>
        <sz val="10"/>
        <rFont val="Arial"/>
        <charset val="134"/>
      </rPr>
      <t>I225LM(Vpro)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USBHUB 3.1</t>
    </r>
  </si>
  <si>
    <r>
      <rPr>
        <sz val="10"/>
        <rFont val="Arial"/>
        <charset val="134"/>
      </rPr>
      <t>I219V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USBHUB 3.1</t>
    </r>
  </si>
  <si>
    <r>
      <rPr>
        <sz val="10"/>
        <rFont val="Arial"/>
        <charset val="134"/>
      </rPr>
      <t>I225V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USBHUB 3.1</t>
    </r>
  </si>
  <si>
    <r>
      <rPr>
        <sz val="10"/>
        <rFont val="Arial"/>
        <charset val="134"/>
      </rPr>
      <t>MTN50(8L+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)</t>
    </r>
  </si>
  <si>
    <t>A.F.M.2401761-MP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</si>
  <si>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雷电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RTS5453H;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MP87440GQVT-Z*4pcs;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ANX7484Q42-AA1-R</t>
    </r>
  </si>
  <si>
    <t>A.F.M.2401762-MP</t>
  </si>
  <si>
    <t>135H(28W)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</si>
  <si>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雷电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RTS5453H;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MP87440GQVT-Z*6pcs;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ANX7484Q42-AA1-R,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W25R256JWEIQ</t>
    </r>
  </si>
  <si>
    <t>A.F.M.2401798-MP</t>
  </si>
  <si>
    <r>
      <rPr>
        <sz val="10"/>
        <rFont val="Arial"/>
        <charset val="134"/>
      </rPr>
      <t>SKU13(B</t>
    </r>
    <r>
      <rPr>
        <sz val="10"/>
        <rFont val="微软雅黑"/>
        <charset val="134"/>
      </rPr>
      <t>面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</si>
  <si>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雷电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RTS5453H;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MP87440GQVT-Z*4pcs;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ANX7484Q42-AA1-R,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W25R256JWEIQ</t>
    </r>
  </si>
  <si>
    <t>A.F.M.2401799-MP</t>
  </si>
  <si>
    <t>A.F.M.2401800-MP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</si>
  <si>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雷电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RTS5453H;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MP87440GQVT-Z*6pcs;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ANX7484Q42-AA1-R,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W25R256JWEIQ,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</t>
    </r>
  </si>
  <si>
    <t>A.F.M.2401825-MP</t>
  </si>
  <si>
    <t>no CPU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</si>
  <si>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雷电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RTS5453H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MP87440GQVT*6pcs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W25R256JWEIQ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ANX7484Q42</t>
    </r>
  </si>
  <si>
    <t>A.F.M.2402184-PVT_BR</t>
  </si>
  <si>
    <r>
      <rPr>
        <sz val="10"/>
        <rFont val="Arial"/>
        <charset val="134"/>
      </rPr>
      <t>225U</t>
    </r>
    <r>
      <rPr>
        <sz val="10"/>
        <rFont val="微软雅黑"/>
        <charset val="134"/>
      </rPr>
      <t>（</t>
    </r>
    <r>
      <rPr>
        <sz val="10"/>
        <rFont val="Arial"/>
        <charset val="134"/>
      </rPr>
      <t>15W</t>
    </r>
    <r>
      <rPr>
        <sz val="10"/>
        <rFont val="微软雅黑"/>
        <charset val="134"/>
      </rPr>
      <t>客供）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</si>
  <si>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雷电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MP87440GQVT*4pcs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W25R256JWEIQ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ANX7484Q42;RTS5453H</t>
    </r>
  </si>
  <si>
    <t>A.F.M.2402185-PVT_BR</t>
  </si>
  <si>
    <r>
      <rPr>
        <sz val="10"/>
        <rFont val="Arial"/>
        <charset val="134"/>
      </rPr>
      <t>235U(</t>
    </r>
    <r>
      <rPr>
        <sz val="10"/>
        <rFont val="微软雅黑"/>
        <charset val="134"/>
      </rPr>
      <t>带</t>
    </r>
    <r>
      <rPr>
        <sz val="10"/>
        <rFont val="Arial"/>
        <charset val="134"/>
      </rPr>
      <t>IPU)(15W)</t>
    </r>
    <r>
      <rPr>
        <sz val="10"/>
        <rFont val="微软雅黑"/>
        <charset val="134"/>
      </rPr>
      <t>客供</t>
    </r>
  </si>
  <si>
    <t>A.F.M.2402254</t>
  </si>
  <si>
    <t>A.F.M.2500248-PR_BR</t>
  </si>
  <si>
    <r>
      <rPr>
        <sz val="10"/>
        <rFont val="Arial"/>
        <charset val="134"/>
      </rPr>
      <t>I5-1235U(</t>
    </r>
    <r>
      <rPr>
        <sz val="10"/>
        <rFont val="微软雅黑"/>
        <charset val="134"/>
      </rPr>
      <t>带</t>
    </r>
    <r>
      <rPr>
        <sz val="10"/>
        <rFont val="Arial"/>
        <charset val="134"/>
      </rPr>
      <t>IPU)(15W)</t>
    </r>
  </si>
  <si>
    <t>A.F.M.2500503-PVT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</si>
  <si>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MP87440GQVT*6pcs;W25R256JWEIQ;RTS5453H;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雷电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IT5570E</t>
    </r>
  </si>
  <si>
    <t>A.F.M.2500504-PVT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</si>
  <si>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MP87440GQVT*4pcs;W25R256JWEIQ;RTS5453H;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雷电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IT5570E</t>
    </r>
  </si>
  <si>
    <t>A.F.M.2501039-MP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</si>
  <si>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MP87440GQVT*6pcs;MP29001GQKT;W25R256JWEIQ;IT5570E;RTS5453H;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雷电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；</t>
    </r>
  </si>
  <si>
    <t>A.F.M.2501040-MP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</si>
  <si>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MP87440GQVT*4pcs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MP29001GQKT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W25R256JWEIQ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IT5570E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RTS5453H-GR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雷电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；</t>
    </r>
  </si>
  <si>
    <t>A.F.M.2501041-MP</t>
  </si>
  <si>
    <t>A.F.M.2501065-MP_BR</t>
  </si>
  <si>
    <t>A.F.M.2501065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</si>
  <si>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MP87440GQVT*6pcs;MP29001GQKT;W25R256JWEIQ;IT5570E;RTS5453H;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雷电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；含加密</t>
    </r>
    <r>
      <rPr>
        <sz val="10"/>
        <rFont val="Arial"/>
        <charset val="134"/>
      </rPr>
      <t>IC TPM</t>
    </r>
  </si>
  <si>
    <t>A.F.M.2401142</t>
  </si>
  <si>
    <t>条子,PCB为CARRIE 250PCW的专属报价</t>
  </si>
  <si>
    <t>A.F.M.2501859-OOC_BR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</si>
  <si>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MP87440GQVT*4pcs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W25R256JWEIQ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IT5570E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RTS5453H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雷电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；含加密</t>
    </r>
    <r>
      <rPr>
        <sz val="10"/>
        <rFont val="Arial"/>
        <charset val="134"/>
      </rPr>
      <t>IC TPM</t>
    </r>
  </si>
  <si>
    <t>A.F.M.2501860-OOC_BR</t>
  </si>
  <si>
    <t>A.F.M.2501861-OOC_BR</t>
  </si>
  <si>
    <t>A.F.M.2501862-OOC_BR</t>
  </si>
  <si>
    <r>
      <rPr>
        <sz val="8"/>
        <rFont val="微软雅黑"/>
        <charset val="134"/>
      </rPr>
      <t>现询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</si>
  <si>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MP87440GQVT*6pcs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W25R256JWEIQ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IT5570E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RTS5453H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雷电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；含加密</t>
    </r>
    <r>
      <rPr>
        <sz val="10"/>
        <rFont val="Arial"/>
        <charset val="134"/>
      </rPr>
      <t>IC TPM</t>
    </r>
  </si>
  <si>
    <t>A.F.M.2501863-OOC_BR</t>
  </si>
  <si>
    <t>A.F.M.2501864-OOC_BR</t>
  </si>
  <si>
    <t>165H(28W)</t>
  </si>
  <si>
    <t>A.F.M.2501865-OOC_BR</t>
  </si>
  <si>
    <r>
      <rPr>
        <sz val="10"/>
        <rFont val="微软雅黑"/>
        <charset val="134"/>
      </rPr>
      <t>含有英特尔</t>
    </r>
    <r>
      <rPr>
        <sz val="10"/>
        <rFont val="Arial"/>
        <charset val="134"/>
      </rPr>
      <t xml:space="preserve">WGI219V; 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ALC233</t>
    </r>
  </si>
  <si>
    <r>
      <rPr>
        <sz val="10"/>
        <rFont val="Arial"/>
        <charset val="134"/>
      </rPr>
      <t>IC</t>
    </r>
    <r>
      <rPr>
        <sz val="10"/>
        <rFont val="微软雅黑"/>
        <charset val="134"/>
      </rPr>
      <t>含有英特尔</t>
    </r>
    <r>
      <rPr>
        <sz val="10"/>
        <rFont val="Arial"/>
        <charset val="134"/>
      </rPr>
      <t xml:space="preserve"> WGI219LM; 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ALC233</t>
    </r>
  </si>
  <si>
    <r>
      <rPr>
        <sz val="10"/>
        <rFont val="微软雅黑"/>
        <charset val="134"/>
      </rPr>
      <t>含有英特尔</t>
    </r>
    <r>
      <rPr>
        <sz val="10"/>
        <rFont val="Arial"/>
        <charset val="134"/>
      </rPr>
      <t>WGI219V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ALC233</t>
    </r>
  </si>
  <si>
    <r>
      <rPr>
        <sz val="10"/>
        <rFont val="微软雅黑"/>
        <charset val="134"/>
      </rPr>
      <t>含有英特尔网卡</t>
    </r>
    <r>
      <rPr>
        <sz val="10"/>
        <rFont val="Arial"/>
        <charset val="134"/>
      </rPr>
      <t>IC/I226LM_SRKTT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ALC233</t>
    </r>
  </si>
  <si>
    <r>
      <rPr>
        <sz val="10"/>
        <rFont val="微软雅黑"/>
        <charset val="134"/>
      </rPr>
      <t>含有英特尔网卡</t>
    </r>
    <r>
      <rPr>
        <sz val="10"/>
        <rFont val="Arial"/>
        <charset val="134"/>
      </rPr>
      <t>IC/I226-V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ALC233</t>
    </r>
  </si>
  <si>
    <r>
      <rPr>
        <sz val="10"/>
        <rFont val="Arial"/>
        <charset val="134"/>
      </rPr>
      <t>UDP</t>
    </r>
    <r>
      <rPr>
        <sz val="10"/>
        <rFont val="微软雅黑"/>
        <charset val="134"/>
      </rPr>
      <t>加一个</t>
    </r>
    <r>
      <rPr>
        <sz val="10"/>
        <rFont val="Arial"/>
        <charset val="134"/>
      </rPr>
      <t>FPC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</si>
  <si>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网络</t>
    </r>
    <r>
      <rPr>
        <sz val="10"/>
        <rFont val="Arial"/>
        <charset val="134"/>
      </rPr>
      <t>IC I226LM_SRKTT;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ALC233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USB3.0 Redriver IC;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</si>
  <si>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网络</t>
    </r>
    <r>
      <rPr>
        <sz val="10"/>
        <rFont val="Arial"/>
        <charset val="134"/>
      </rPr>
      <t>ICWGI219LM;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USB3.0 Redriver IC;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ALC233</t>
    </r>
  </si>
  <si>
    <t>MTN79T(8L+OSP+通孔)</t>
  </si>
  <si>
    <t>A.F.M.2500570-OOC</t>
  </si>
  <si>
    <r>
      <rPr>
        <sz val="10"/>
        <rFont val="Arial"/>
        <charset val="134"/>
      </rPr>
      <t>255H(28W</t>
    </r>
    <r>
      <rPr>
        <sz val="10"/>
        <rFont val="微软雅黑"/>
        <charset val="134"/>
      </rPr>
      <t>）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</si>
  <si>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接口；含雷电</t>
    </r>
    <r>
      <rPr>
        <sz val="10"/>
        <rFont val="Arial"/>
        <charset val="134"/>
      </rPr>
      <t>IC*2pcs,RTS5453H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MP87440GQVT*6pcs;IT5570E</t>
    </r>
  </si>
  <si>
    <t>A.F.M.2502752</t>
  </si>
  <si>
    <t>A.F.M.2600615</t>
  </si>
  <si>
    <t>A.F.M.2501588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</si>
  <si>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MP87440GQVT*2pcs;W25R256JWEIQ;IT5570E;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的雷电</t>
    </r>
    <r>
      <rPr>
        <sz val="10"/>
        <rFont val="Arial"/>
        <charset val="134"/>
      </rPr>
      <t>IC*2PCS;</t>
    </r>
  </si>
  <si>
    <t>A.F.M.2503326</t>
  </si>
  <si>
    <t>A.F.M.2501623</t>
  </si>
  <si>
    <r>
      <rPr>
        <sz val="10"/>
        <color rgb="FFFF0000"/>
        <rFont val="微软雅黑"/>
        <charset val="134"/>
      </rPr>
      <t>现询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</si>
  <si>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T55B156M025C0100*9pcs;MP86941*3pcs;MP87440*3pcs;W25Q256JWEIN;IT5570E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的雷电</t>
    </r>
    <r>
      <rPr>
        <sz val="10"/>
        <rFont val="Arial"/>
        <charset val="134"/>
      </rPr>
      <t>IC*2PCS;</t>
    </r>
  </si>
  <si>
    <t>A.F.M.2600494</t>
  </si>
  <si>
    <t>A.F.M.2501624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</si>
  <si>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接口；RTS5453H-GR，TPM英飞凌，</t>
    </r>
  </si>
  <si>
    <r>
      <rPr>
        <sz val="10"/>
        <rFont val="Arial"/>
        <charset val="134"/>
      </rPr>
      <t>CN1G(</t>
    </r>
    <r>
      <rPr>
        <sz val="10"/>
        <rFont val="微软雅黑"/>
        <charset val="134"/>
      </rPr>
      <t>衍生机型</t>
    </r>
    <r>
      <rPr>
        <sz val="10"/>
        <rFont val="Arial"/>
        <charset val="134"/>
      </rPr>
      <t>CA101G)</t>
    </r>
  </si>
  <si>
    <r>
      <rPr>
        <sz val="10"/>
        <rFont val="Arial"/>
        <charset val="134"/>
      </rPr>
      <t>I219V,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USBHUB:GL850G</t>
    </r>
  </si>
  <si>
    <r>
      <rPr>
        <sz val="10"/>
        <rFont val="Arial"/>
        <charset val="134"/>
      </rPr>
      <t>I219V,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USBHUB:GL850G</t>
    </r>
  </si>
  <si>
    <r>
      <rPr>
        <sz val="10"/>
        <rFont val="Arial"/>
        <charset val="134"/>
      </rPr>
      <t>8111H,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USBHUB:GL850G</t>
    </r>
  </si>
  <si>
    <r>
      <rPr>
        <sz val="10"/>
        <rFont val="Arial"/>
        <charset val="134"/>
      </rPr>
      <t>8111H.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USBHUB:GL850G</t>
    </r>
  </si>
  <si>
    <t>DNXU(8L+OSP+通孔)</t>
  </si>
  <si>
    <t>A.F.M.2301483-OOC1</t>
  </si>
  <si>
    <r>
      <rPr>
        <sz val="10"/>
        <rFont val="Arial"/>
        <charset val="134"/>
      </rPr>
      <t>I5-12450H(</t>
    </r>
    <r>
      <rPr>
        <sz val="10"/>
        <rFont val="微软雅黑"/>
        <charset val="134"/>
      </rPr>
      <t>不带</t>
    </r>
    <r>
      <rPr>
        <sz val="10"/>
        <rFont val="Arial"/>
        <charset val="134"/>
      </rPr>
      <t>IPU)(45W)</t>
    </r>
  </si>
  <si>
    <r>
      <rPr>
        <sz val="10"/>
        <rFont val="微软雅黑"/>
        <charset val="134"/>
      </rPr>
      <t>不接单</t>
    </r>
  </si>
  <si>
    <r>
      <rPr>
        <sz val="10"/>
        <rFont val="微软雅黑"/>
        <charset val="134"/>
      </rPr>
      <t>非全功能</t>
    </r>
    <r>
      <rPr>
        <sz val="10"/>
        <rFont val="Arial"/>
        <charset val="134"/>
      </rPr>
      <t>TYPE C</t>
    </r>
  </si>
  <si>
    <t>A.F.M.2302325-MP</t>
  </si>
  <si>
    <t>7265.D2WG</t>
  </si>
  <si>
    <r>
      <rPr>
        <sz val="10"/>
        <rFont val="微软雅黑"/>
        <charset val="134"/>
      </rPr>
      <t>无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W25R256JVEIN;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4</t>
    </r>
    <r>
      <rPr>
        <sz val="10"/>
        <rFont val="微软雅黑"/>
        <charset val="134"/>
      </rPr>
      <t>颗</t>
    </r>
    <r>
      <rPr>
        <sz val="10"/>
        <rFont val="Arial"/>
        <charset val="134"/>
      </rPr>
      <t>MP86941GQVT;IT5570E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MP2964GQKT</t>
    </r>
    <r>
      <rPr>
        <sz val="10"/>
        <rFont val="微软雅黑"/>
        <charset val="134"/>
      </rPr>
      <t>；</t>
    </r>
  </si>
  <si>
    <r>
      <rPr>
        <sz val="10"/>
        <color rgb="FFFF0000"/>
        <rFont val="微软雅黑"/>
        <charset val="134"/>
      </rPr>
      <t>不接单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</si>
  <si>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</si>
  <si>
    <t>A.F.M.2400030-MP</t>
  </si>
  <si>
    <t>A.F.M.2400031-MP</t>
  </si>
  <si>
    <t>A.F.M.2400360-MP</t>
  </si>
  <si>
    <r>
      <rPr>
        <sz val="10"/>
        <rFont val="Arial"/>
        <charset val="134"/>
      </rPr>
      <t>i5-1335U(</t>
    </r>
    <r>
      <rPr>
        <sz val="10"/>
        <rFont val="微软雅黑"/>
        <charset val="134"/>
      </rPr>
      <t>不带</t>
    </r>
    <r>
      <rPr>
        <sz val="10"/>
        <rFont val="Arial"/>
        <charset val="134"/>
      </rPr>
      <t>IPU)(15W)</t>
    </r>
  </si>
  <si>
    <t>A.F.M.2400732-MP</t>
  </si>
  <si>
    <t>A.F.M.2401324-MP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</si>
  <si>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及一个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</si>
  <si>
    <t>A.F.M.2401386-MP</t>
  </si>
  <si>
    <t>A.F.M.2401714-MP</t>
  </si>
  <si>
    <r>
      <rPr>
        <sz val="10"/>
        <rFont val="Arial"/>
        <charset val="134"/>
      </rPr>
      <t>i5-12450H</t>
    </r>
    <r>
      <rPr>
        <sz val="10"/>
        <rFont val="微软雅黑"/>
        <charset val="134"/>
      </rPr>
      <t>（</t>
    </r>
    <r>
      <rPr>
        <sz val="10"/>
        <rFont val="Arial"/>
        <charset val="134"/>
      </rPr>
      <t>45W)</t>
    </r>
  </si>
  <si>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</t>
    </r>
    <r>
      <rPr>
        <sz val="10"/>
        <rFont val="Arial"/>
        <charset val="134"/>
      </rPr>
      <t>ANX7447QN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MP2964GQKT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IT5570E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5</t>
    </r>
    <r>
      <rPr>
        <sz val="10"/>
        <rFont val="微软雅黑"/>
        <charset val="134"/>
      </rPr>
      <t>颗</t>
    </r>
    <r>
      <rPr>
        <sz val="10"/>
        <rFont val="Arial"/>
        <charset val="134"/>
      </rPr>
      <t>MP86941GQVT</t>
    </r>
  </si>
  <si>
    <r>
      <rPr>
        <sz val="10"/>
        <rFont val="Arial"/>
        <charset val="134"/>
      </rPr>
      <t>I7-13620H</t>
    </r>
    <r>
      <rPr>
        <sz val="10"/>
        <rFont val="微软雅黑"/>
        <charset val="134"/>
      </rPr>
      <t>（</t>
    </r>
    <r>
      <rPr>
        <sz val="10"/>
        <rFont val="Arial"/>
        <charset val="134"/>
      </rPr>
      <t>45W)</t>
    </r>
  </si>
  <si>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</t>
    </r>
    <r>
      <rPr>
        <sz val="10"/>
        <rFont val="Arial"/>
        <charset val="134"/>
      </rPr>
      <t>ANX7447QN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MP2964GQKT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IT5570E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5</t>
    </r>
    <r>
      <rPr>
        <sz val="10"/>
        <rFont val="微软雅黑"/>
        <charset val="134"/>
      </rPr>
      <t>颗</t>
    </r>
    <r>
      <rPr>
        <sz val="10"/>
        <rFont val="Arial"/>
        <charset val="134"/>
      </rPr>
      <t>MP86941GQVT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缺货，请和采购单独确认下价格；</t>
    </r>
  </si>
  <si>
    <r>
      <rPr>
        <sz val="10"/>
        <rFont val="Arial"/>
        <charset val="134"/>
      </rPr>
      <t>i3-1215U(</t>
    </r>
    <r>
      <rPr>
        <sz val="10"/>
        <rFont val="微软雅黑"/>
        <charset val="134"/>
      </rPr>
      <t>不带</t>
    </r>
    <r>
      <rPr>
        <sz val="10"/>
        <rFont val="Arial"/>
        <charset val="134"/>
      </rPr>
      <t>IPU)(15W)</t>
    </r>
  </si>
  <si>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</t>
    </r>
    <r>
      <rPr>
        <sz val="10"/>
        <rFont val="Arial"/>
        <charset val="134"/>
      </rPr>
      <t>ANX7447QN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MP2964GQKT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IT5570E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3</t>
    </r>
    <r>
      <rPr>
        <sz val="10"/>
        <rFont val="微软雅黑"/>
        <charset val="134"/>
      </rPr>
      <t>颗</t>
    </r>
    <r>
      <rPr>
        <sz val="10"/>
        <rFont val="Arial"/>
        <charset val="134"/>
      </rPr>
      <t>MP86941GQVT</t>
    </r>
  </si>
  <si>
    <t>A.F.D.2400168 USB DB</t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</si>
  <si>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RTL8111H</t>
    </r>
    <r>
      <rPr>
        <sz val="10"/>
        <rFont val="微软雅黑"/>
        <charset val="134"/>
      </rPr>
      <t>；</t>
    </r>
  </si>
  <si>
    <r>
      <rPr>
        <sz val="10"/>
        <rFont val="Arial"/>
        <charset val="134"/>
      </rPr>
      <t>DB60(</t>
    </r>
    <r>
      <rPr>
        <sz val="10"/>
        <rFont val="微软雅黑"/>
        <charset val="134"/>
      </rPr>
      <t>盒子</t>
    </r>
    <r>
      <rPr>
        <sz val="10"/>
        <rFont val="Arial"/>
        <charset val="134"/>
      </rPr>
      <t>)(10L+HDI2+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 xml:space="preserve">)
</t>
    </r>
    <r>
      <rPr>
        <sz val="10"/>
        <rFont val="微软雅黑"/>
        <charset val="134"/>
      </rPr>
      <t>衍生机型</t>
    </r>
    <r>
      <rPr>
        <sz val="10"/>
        <rFont val="Arial"/>
        <charset val="134"/>
      </rPr>
      <t>DA2060</t>
    </r>
  </si>
  <si>
    <t>A.F.M.2302468-MP</t>
  </si>
  <si>
    <t>SKU10(DB60)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</si>
  <si>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；含雷电</t>
    </r>
    <r>
      <rPr>
        <sz val="10"/>
        <rFont val="Arial"/>
        <charset val="134"/>
      </rPr>
      <t>IC*1pcs,\</t>
    </r>
    <r>
      <rPr>
        <sz val="10"/>
        <rFont val="微软雅黑"/>
        <charset val="134"/>
      </rPr>
      <t>网路千兆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2.5G IC</t>
    </r>
  </si>
  <si>
    <t>A.F.M.2400914-PVT</t>
  </si>
  <si>
    <t>SKU11(DA2060)</t>
  </si>
  <si>
    <r>
      <rPr>
        <sz val="10"/>
        <rFont val="Arial"/>
        <charset val="134"/>
      </rPr>
      <t>I5-1235U(</t>
    </r>
    <r>
      <rPr>
        <sz val="10"/>
        <rFont val="微软雅黑"/>
        <charset val="134"/>
      </rPr>
      <t>不带</t>
    </r>
    <r>
      <rPr>
        <sz val="10"/>
        <rFont val="Arial"/>
        <charset val="134"/>
      </rPr>
      <t>IPU)(15W)</t>
    </r>
  </si>
  <si>
    <t>A.F.M.2401057-PVT</t>
  </si>
  <si>
    <t>SKU12(DA2060)</t>
  </si>
  <si>
    <t>i</t>
  </si>
  <si>
    <t>A.F.M.2401575-MP</t>
  </si>
  <si>
    <t>SKU13(DB60)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</si>
  <si>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；含雷电</t>
    </r>
    <r>
      <rPr>
        <sz val="10"/>
        <rFont val="Arial"/>
        <charset val="134"/>
      </rPr>
      <t>IC*1pcs,\</t>
    </r>
    <r>
      <rPr>
        <sz val="10"/>
        <rFont val="微软雅黑"/>
        <charset val="134"/>
      </rPr>
      <t>网路千兆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2.5G IC;IT5570VG-128/CX;MP86941*6pcs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缺货，请和采购单独确认下价格；</t>
    </r>
  </si>
  <si>
    <r>
      <rPr>
        <sz val="10"/>
        <rFont val="Arial"/>
        <charset val="134"/>
      </rPr>
      <t>DN1C(8L+</t>
    </r>
    <r>
      <rPr>
        <sz val="10"/>
        <rFont val="微软雅黑"/>
        <charset val="134"/>
      </rPr>
      <t>化金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</si>
  <si>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c.</t>
    </r>
  </si>
  <si>
    <t>DN1E(8L+OSP+通孔)</t>
  </si>
  <si>
    <t>A.F.M.2300676-MP</t>
  </si>
  <si>
    <r>
      <rPr>
        <sz val="10"/>
        <rFont val="Arial"/>
        <charset val="134"/>
      </rPr>
      <t>i3-1315U(</t>
    </r>
    <r>
      <rPr>
        <sz val="10"/>
        <rFont val="微软雅黑"/>
        <charset val="134"/>
      </rPr>
      <t>不带</t>
    </r>
    <r>
      <rPr>
        <sz val="10"/>
        <rFont val="Arial"/>
        <charset val="134"/>
      </rPr>
      <t>IPU)(15W)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</si>
  <si>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c.</t>
    </r>
    <r>
      <rPr>
        <sz val="10"/>
        <rFont val="微软雅黑"/>
        <charset val="134"/>
      </rPr>
      <t>含英特尔桥片，含加密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成本</t>
    </r>
  </si>
  <si>
    <t>A.F.M.2300897-MP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</si>
  <si>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c.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</si>
  <si>
    <r>
      <rPr>
        <sz val="10"/>
        <rFont val="Arial"/>
        <charset val="134"/>
      </rPr>
      <t>i7-1360P(</t>
    </r>
    <r>
      <rPr>
        <sz val="10"/>
        <rFont val="微软雅黑"/>
        <charset val="134"/>
      </rPr>
      <t>不带</t>
    </r>
    <r>
      <rPr>
        <sz val="10"/>
        <rFont val="Arial"/>
        <charset val="134"/>
      </rPr>
      <t>IPU)(28W)</t>
    </r>
  </si>
  <si>
    <t>6..8819</t>
  </si>
  <si>
    <t>A.F.M.2301079</t>
  </si>
  <si>
    <t>A.F.M.2500563</t>
  </si>
  <si>
    <t>A.F.M.2300898-MP</t>
  </si>
  <si>
    <r>
      <rPr>
        <sz val="10"/>
        <rFont val="Arial"/>
        <charset val="134"/>
      </rPr>
      <t>SKU14</t>
    </r>
    <r>
      <rPr>
        <sz val="10"/>
        <rFont val="微软雅黑"/>
        <charset val="134"/>
      </rPr>
      <t>（林昊宇临时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）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</si>
  <si>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及一个接口；</t>
    </r>
    <r>
      <rPr>
        <sz val="10"/>
        <rFont val="Arial"/>
        <charset val="134"/>
      </rPr>
      <t>MP86941*3PCS;IT5570E;</t>
    </r>
    <r>
      <rPr>
        <sz val="10"/>
        <rFont val="微软雅黑"/>
        <charset val="134"/>
      </rPr>
      <t>含雷电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MP2964GQKT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IT66318FN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IT8856FN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W25R256JVEIN</t>
    </r>
  </si>
  <si>
    <t>A.F.M.2500562-MP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</si>
  <si>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及一个接口；</t>
    </r>
    <r>
      <rPr>
        <sz val="10"/>
        <rFont val="Arial"/>
        <charset val="134"/>
      </rPr>
      <t>MP86941*3PCS;IT5570E;</t>
    </r>
    <r>
      <rPr>
        <sz val="10"/>
        <rFont val="微软雅黑"/>
        <charset val="134"/>
      </rPr>
      <t>含雷电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MP2964GQKT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IT66318FN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IT8856FN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ALC269Q</t>
    </r>
  </si>
  <si>
    <t>DN59(8L+OSP+通孔)衍生机型DA1059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</si>
  <si>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IC*;</t>
    </r>
    <r>
      <rPr>
        <sz val="10"/>
        <rFont val="微软雅黑"/>
        <charset val="134"/>
      </rPr>
      <t>含雷电芯片</t>
    </r>
  </si>
  <si>
    <t>A.F.M.2300159-MP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</si>
  <si>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接口；含</t>
    </r>
    <r>
      <rPr>
        <sz val="10"/>
        <rFont val="Arial"/>
        <charset val="134"/>
      </rPr>
      <t>PS8811QFN36GTR2-A2*;</t>
    </r>
    <r>
      <rPr>
        <sz val="10"/>
        <rFont val="微软雅黑"/>
        <charset val="134"/>
      </rPr>
      <t>含雷电芯片</t>
    </r>
    <r>
      <rPr>
        <sz val="10"/>
        <rFont val="Arial"/>
        <charset val="134"/>
      </rPr>
      <t>;MP2964GQKT;IT66318FN;IT5570E;MP86941*5pcs</t>
    </r>
  </si>
  <si>
    <r>
      <rPr>
        <sz val="10"/>
        <rFont val="Arial"/>
        <charset val="134"/>
      </rPr>
      <t>i7-1260P(</t>
    </r>
    <r>
      <rPr>
        <sz val="10"/>
        <rFont val="微软雅黑"/>
        <charset val="134"/>
      </rPr>
      <t>不带</t>
    </r>
    <r>
      <rPr>
        <sz val="10"/>
        <rFont val="Arial"/>
        <charset val="134"/>
      </rPr>
      <t>IPU)(28W)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</si>
  <si>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；含雷电芯片</t>
    </r>
  </si>
  <si>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，含雷电芯片</t>
    </r>
  </si>
  <si>
    <t>A.F.M.2301303-MP</t>
  </si>
  <si>
    <t>SKU15  CKD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</si>
  <si>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；含雷电芯片；含有加密</t>
    </r>
    <r>
      <rPr>
        <sz val="10"/>
        <rFont val="Arial"/>
        <charset val="134"/>
      </rPr>
      <t>IC TPM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</si>
  <si>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；含英特尔雷电</t>
    </r>
    <r>
      <rPr>
        <sz val="10"/>
        <rFont val="Arial"/>
        <charset val="134"/>
      </rPr>
      <t>IC;</t>
    </r>
  </si>
  <si>
    <t>SKU21  CKD</t>
  </si>
  <si>
    <t xml:space="preserve">SKU21 </t>
  </si>
  <si>
    <t>A.F.M.2400693-MP</t>
  </si>
  <si>
    <r>
      <rPr>
        <sz val="10"/>
        <rFont val="Arial"/>
        <charset val="134"/>
      </rPr>
      <t>I5-13420H(</t>
    </r>
    <r>
      <rPr>
        <sz val="10"/>
        <rFont val="微软雅黑"/>
        <charset val="134"/>
      </rPr>
      <t>不带</t>
    </r>
    <r>
      <rPr>
        <sz val="10"/>
        <rFont val="Arial"/>
        <charset val="134"/>
      </rPr>
      <t>IPU)(45W)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</si>
  <si>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；含英特尔雷电</t>
    </r>
    <r>
      <rPr>
        <sz val="10"/>
        <rFont val="Arial"/>
        <charset val="134"/>
      </rPr>
      <t>IC;CPU</t>
    </r>
    <r>
      <rPr>
        <sz val="10"/>
        <rFont val="微软雅黑"/>
        <charset val="134"/>
      </rPr>
      <t>缺货，请和采购单独确认下价格；</t>
    </r>
  </si>
  <si>
    <t>A.F.M.2400809-MP</t>
  </si>
  <si>
    <r>
      <rPr>
        <sz val="10"/>
        <rFont val="Arial"/>
        <charset val="134"/>
      </rPr>
      <t>I5-12450H(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>)(45W)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</si>
  <si>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客供；单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；含英特尔雷电</t>
    </r>
    <r>
      <rPr>
        <sz val="10"/>
        <rFont val="Arial"/>
        <charset val="134"/>
      </rPr>
      <t>IC;</t>
    </r>
  </si>
  <si>
    <t>A.F.M.2502928</t>
  </si>
  <si>
    <t>A.F.M.2400949-MP</t>
  </si>
  <si>
    <t>A.F.M.2401287-MP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</si>
  <si>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接口；含英特尔雷电</t>
    </r>
    <r>
      <rPr>
        <sz val="10"/>
        <rFont val="Arial"/>
        <charset val="134"/>
      </rPr>
      <t>IC;CPU</t>
    </r>
    <r>
      <rPr>
        <sz val="10"/>
        <rFont val="微软雅黑"/>
        <charset val="134"/>
      </rPr>
      <t>缺货，请和采购单独确认下价格；</t>
    </r>
  </si>
  <si>
    <t>A.F.M.2401401-MP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</si>
  <si>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接口；含英特尔雷电</t>
    </r>
    <r>
      <rPr>
        <sz val="10"/>
        <rFont val="Arial"/>
        <charset val="134"/>
      </rPr>
      <t>IC;</t>
    </r>
    <r>
      <rPr>
        <sz val="10"/>
        <color rgb="FFFF0000"/>
        <rFont val="Arial"/>
        <charset val="134"/>
      </rPr>
      <t>CPU</t>
    </r>
    <r>
      <rPr>
        <sz val="10"/>
        <color rgb="FFFF0000"/>
        <rFont val="微软雅黑"/>
        <charset val="134"/>
      </rPr>
      <t>缺货，请和采购单独确认下价格；</t>
    </r>
  </si>
  <si>
    <t>A.F.M.2401402-MP</t>
  </si>
  <si>
    <t>A.F.M.2401418-MP</t>
  </si>
  <si>
    <t>A.F.M.2401684-MP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</si>
  <si>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接口；含英特尔雷电</t>
    </r>
    <r>
      <rPr>
        <sz val="10"/>
        <rFont val="Arial"/>
        <charset val="134"/>
      </rPr>
      <t>IC;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</si>
  <si>
    <t>A.F.M.2401924-MP</t>
  </si>
  <si>
    <r>
      <rPr>
        <sz val="10"/>
        <rFont val="Arial"/>
        <charset val="134"/>
      </rPr>
      <t>I5-13420H(45W)</t>
    </r>
    <r>
      <rPr>
        <sz val="10"/>
        <rFont val="微软雅黑"/>
        <charset val="134"/>
      </rPr>
      <t>（客供）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</si>
  <si>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缺货，请和采购单独确认下价格；单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PS8811QFN36GTR2-A2;W25R256JVEIN;IT5570E;</t>
    </r>
    <r>
      <rPr>
        <sz val="10"/>
        <rFont val="微软雅黑"/>
        <charset val="134"/>
      </rPr>
      <t>含雷电</t>
    </r>
    <r>
      <rPr>
        <sz val="10"/>
        <rFont val="Arial"/>
        <charset val="134"/>
      </rPr>
      <t>IC;IT66318FN;MP86941*5pcs;MP2964GQKT</t>
    </r>
  </si>
  <si>
    <t>A.F.M.2401925-MP</t>
  </si>
  <si>
    <r>
      <rPr>
        <sz val="10"/>
        <rFont val="Arial"/>
        <charset val="134"/>
      </rPr>
      <t>I7-13620H</t>
    </r>
    <r>
      <rPr>
        <sz val="10"/>
        <rFont val="微软雅黑"/>
        <charset val="134"/>
      </rPr>
      <t>（</t>
    </r>
    <r>
      <rPr>
        <sz val="10"/>
        <rFont val="Arial"/>
        <charset val="134"/>
      </rPr>
      <t>45W)</t>
    </r>
    <r>
      <rPr>
        <sz val="10"/>
        <rFont val="微软雅黑"/>
        <charset val="134"/>
      </rPr>
      <t>（客供）</t>
    </r>
  </si>
  <si>
    <r>
      <rPr>
        <sz val="10"/>
        <rFont val="Arial"/>
        <charset val="134"/>
      </rPr>
      <t>MP86941*5pcs;W25R256JVEIN;</t>
    </r>
    <r>
      <rPr>
        <sz val="10"/>
        <rFont val="微软雅黑"/>
        <charset val="134"/>
      </rPr>
      <t>含雷电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IT66318FN/EW-0003(R)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MP2964GQKT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PS8811QFN36GTR2-A2</t>
    </r>
  </si>
  <si>
    <t>A.F.M.2500261-MP</t>
  </si>
  <si>
    <t>SKU36(DA1059)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</si>
  <si>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IT66318FN;</t>
    </r>
    <r>
      <rPr>
        <sz val="10"/>
        <rFont val="微软雅黑"/>
        <charset val="134"/>
      </rPr>
      <t>含雷电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；含加密</t>
    </r>
    <r>
      <rPr>
        <sz val="10"/>
        <rFont val="Arial"/>
        <charset val="134"/>
      </rPr>
      <t>IC TPM;PS8811QFN36GTR2-A2;MP86941*3pcs;IT5570E</t>
    </r>
  </si>
  <si>
    <t>A.F.M.2500262-MP</t>
  </si>
  <si>
    <t>SKU37(DA1059)</t>
  </si>
  <si>
    <t>A.F.M.2500263-MP</t>
  </si>
  <si>
    <t>SKU38(DA1059)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</si>
  <si>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IT66318FN;</t>
    </r>
    <r>
      <rPr>
        <sz val="10"/>
        <rFont val="微软雅黑"/>
        <charset val="134"/>
      </rPr>
      <t>含雷电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；含加密</t>
    </r>
    <r>
      <rPr>
        <sz val="10"/>
        <rFont val="Arial"/>
        <charset val="134"/>
      </rPr>
      <t>IC TPM;PS8811QFN36GTR2-A2;MP86941*5pcs;IT5570E</t>
    </r>
  </si>
  <si>
    <t>A.F.M.2500264-MP</t>
  </si>
  <si>
    <t>SKU39(DA1059)</t>
  </si>
  <si>
    <t>DNTU(8L+OSP+通孔)</t>
  </si>
  <si>
    <r>
      <rPr>
        <sz val="10"/>
        <rFont val="Arial"/>
        <charset val="134"/>
      </rPr>
      <t>PCB</t>
    </r>
    <r>
      <rPr>
        <sz val="10"/>
        <rFont val="微软雅黑"/>
        <charset val="134"/>
      </rPr>
      <t>工艺价格为</t>
    </r>
    <r>
      <rPr>
        <sz val="10"/>
        <rFont val="Arial"/>
        <charset val="134"/>
      </rPr>
      <t>OSP,</t>
    </r>
    <r>
      <rPr>
        <sz val="10"/>
        <rFont val="微软雅黑"/>
        <charset val="134"/>
      </rPr>
      <t>如需要沉金的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请单独核价；含</t>
    </r>
    <r>
      <rPr>
        <sz val="10"/>
        <rFont val="Arial"/>
        <charset val="134"/>
      </rPr>
      <t>ALC269Q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</si>
  <si>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PCB</t>
    </r>
    <r>
      <rPr>
        <sz val="10"/>
        <rFont val="微软雅黑"/>
        <charset val="134"/>
      </rPr>
      <t>工艺价格为</t>
    </r>
    <r>
      <rPr>
        <sz val="10"/>
        <rFont val="Arial"/>
        <charset val="134"/>
      </rPr>
      <t>OSP,</t>
    </r>
    <r>
      <rPr>
        <sz val="10"/>
        <rFont val="微软雅黑"/>
        <charset val="134"/>
      </rPr>
      <t>如需要沉金的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请单独核价；</t>
    </r>
  </si>
  <si>
    <t>I9-12900H(45W)</t>
  </si>
  <si>
    <r>
      <rPr>
        <sz val="10"/>
        <rFont val="微软雅黑"/>
        <charset val="134"/>
      </rPr>
      <t>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PCB</t>
    </r>
    <r>
      <rPr>
        <sz val="10"/>
        <rFont val="微软雅黑"/>
        <charset val="134"/>
      </rPr>
      <t>工艺价格为</t>
    </r>
    <r>
      <rPr>
        <sz val="10"/>
        <rFont val="Arial"/>
        <charset val="134"/>
      </rPr>
      <t>OSP,</t>
    </r>
    <r>
      <rPr>
        <sz val="10"/>
        <rFont val="微软雅黑"/>
        <charset val="134"/>
      </rPr>
      <t>如需要沉金的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请单独核价；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</si>
  <si>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缺货，请和采购单独确认下价格；</t>
    </r>
    <r>
      <rPr>
        <sz val="10"/>
        <rFont val="Arial"/>
        <charset val="134"/>
      </rPr>
      <t>PCB</t>
    </r>
    <r>
      <rPr>
        <sz val="10"/>
        <rFont val="微软雅黑"/>
        <charset val="134"/>
      </rPr>
      <t>工艺价格为</t>
    </r>
    <r>
      <rPr>
        <sz val="10"/>
        <rFont val="Arial"/>
        <charset val="134"/>
      </rPr>
      <t>OSP,</t>
    </r>
    <r>
      <rPr>
        <sz val="10"/>
        <rFont val="微软雅黑"/>
        <charset val="134"/>
      </rPr>
      <t>如需要沉金的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请单独核价；</t>
    </r>
  </si>
  <si>
    <t>A.F.M.2400930-MP</t>
  </si>
  <si>
    <t>A.F.M.2402004-MP</t>
  </si>
  <si>
    <r>
      <rPr>
        <sz val="10"/>
        <rFont val="Arial"/>
        <charset val="134"/>
      </rPr>
      <t>MP86941*3pcs;IT5570E;PCB</t>
    </r>
    <r>
      <rPr>
        <sz val="10"/>
        <rFont val="微软雅黑"/>
        <charset val="134"/>
      </rPr>
      <t>工艺价格为</t>
    </r>
    <r>
      <rPr>
        <sz val="10"/>
        <rFont val="Arial"/>
        <charset val="134"/>
      </rPr>
      <t>OSP,</t>
    </r>
    <r>
      <rPr>
        <sz val="10"/>
        <rFont val="微软雅黑"/>
        <charset val="134"/>
      </rPr>
      <t>如需要沉金的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请单独核价；</t>
    </r>
  </si>
  <si>
    <t>A.F.M.2402005-MP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</si>
  <si>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MP86941*5pcs;IT5570E;PCB</t>
    </r>
    <r>
      <rPr>
        <sz val="10"/>
        <rFont val="微软雅黑"/>
        <charset val="134"/>
      </rPr>
      <t>工艺价格为</t>
    </r>
    <r>
      <rPr>
        <sz val="10"/>
        <rFont val="Arial"/>
        <charset val="134"/>
      </rPr>
      <t>OSP,</t>
    </r>
    <r>
      <rPr>
        <sz val="10"/>
        <rFont val="微软雅黑"/>
        <charset val="134"/>
      </rPr>
      <t>如需要沉金的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请单独核价；</t>
    </r>
  </si>
  <si>
    <t>A.F.M.2402006-MP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</si>
  <si>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MP86941*3pcs;IT5570E;CPU</t>
    </r>
    <r>
      <rPr>
        <sz val="10"/>
        <rFont val="微软雅黑"/>
        <charset val="134"/>
      </rPr>
      <t>缺货，请和采购单独确认下价格；</t>
    </r>
    <r>
      <rPr>
        <sz val="10"/>
        <rFont val="Arial"/>
        <charset val="134"/>
      </rPr>
      <t>PCB</t>
    </r>
    <r>
      <rPr>
        <sz val="10"/>
        <rFont val="微软雅黑"/>
        <charset val="134"/>
      </rPr>
      <t>工艺价格为</t>
    </r>
    <r>
      <rPr>
        <sz val="10"/>
        <rFont val="Arial"/>
        <charset val="134"/>
      </rPr>
      <t>OSP,</t>
    </r>
    <r>
      <rPr>
        <sz val="10"/>
        <rFont val="微软雅黑"/>
        <charset val="134"/>
      </rPr>
      <t>如需要沉金的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请单独核价；</t>
    </r>
  </si>
  <si>
    <t>A.F.M.2402422-MP</t>
  </si>
  <si>
    <t>A.F.M.2402423-MP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</si>
  <si>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MP86941*5pcs;IT5570E;CPU</t>
    </r>
    <r>
      <rPr>
        <sz val="10"/>
        <rFont val="微软雅黑"/>
        <charset val="134"/>
      </rPr>
      <t>缺货，请和采购单独确认下价格；</t>
    </r>
    <r>
      <rPr>
        <sz val="10"/>
        <rFont val="Arial"/>
        <charset val="134"/>
      </rPr>
      <t>PCB</t>
    </r>
    <r>
      <rPr>
        <sz val="10"/>
        <rFont val="微软雅黑"/>
        <charset val="134"/>
      </rPr>
      <t>工艺价格为</t>
    </r>
    <r>
      <rPr>
        <sz val="10"/>
        <rFont val="Arial"/>
        <charset val="134"/>
      </rPr>
      <t>OSP,</t>
    </r>
    <r>
      <rPr>
        <sz val="10"/>
        <rFont val="微软雅黑"/>
        <charset val="134"/>
      </rPr>
      <t>如需要沉金的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请单独核价；</t>
    </r>
  </si>
  <si>
    <t>A.F.M.2402479-MP</t>
  </si>
  <si>
    <t>A.F.M.2500125-MP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</si>
  <si>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MP86941*5pcs;IT5570E;MP2964GQKT;PCB</t>
    </r>
    <r>
      <rPr>
        <sz val="10"/>
        <rFont val="微软雅黑"/>
        <charset val="134"/>
      </rPr>
      <t>工艺价格为</t>
    </r>
    <r>
      <rPr>
        <sz val="10"/>
        <rFont val="Arial"/>
        <charset val="134"/>
      </rPr>
      <t>OSP,</t>
    </r>
    <r>
      <rPr>
        <sz val="10"/>
        <rFont val="微软雅黑"/>
        <charset val="134"/>
      </rPr>
      <t>如需要沉金的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请单独核价；</t>
    </r>
  </si>
  <si>
    <t>A.F.M.2500371-OOC</t>
  </si>
  <si>
    <r>
      <rPr>
        <sz val="10"/>
        <rFont val="微软雅黑"/>
        <charset val="134"/>
      </rPr>
      <t>无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MP86941*3pcs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IT5570E</t>
    </r>
    <r>
      <rPr>
        <sz val="10"/>
        <rFont val="微软雅黑"/>
        <charset val="134"/>
      </rPr>
      <t>；</t>
    </r>
  </si>
  <si>
    <t>A.F.M.2500372-OOC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</si>
  <si>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MP86941*3pcs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IT5570E</t>
    </r>
    <r>
      <rPr>
        <sz val="10"/>
        <rFont val="微软雅黑"/>
        <charset val="134"/>
      </rPr>
      <t>；</t>
    </r>
  </si>
  <si>
    <t>A.F.M.2500373-OOC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</si>
  <si>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MP86941*5pcs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IT5570E</t>
    </r>
    <r>
      <rPr>
        <sz val="10"/>
        <rFont val="微软雅黑"/>
        <charset val="134"/>
      </rPr>
      <t>；</t>
    </r>
  </si>
  <si>
    <t>A.F.M.2500459-OOC</t>
  </si>
  <si>
    <t>A.F.M.2500681-MP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</si>
  <si>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ALC269Q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MP86941*3PCS;IT5570E;MP2964GQKT;</t>
    </r>
  </si>
  <si>
    <t>A.F.M.2501738</t>
  </si>
  <si>
    <t>A.F.M.2501737</t>
  </si>
  <si>
    <t>A.F.M.2500833/A.F.M.2501736</t>
  </si>
  <si>
    <t>A.F.M.2500834-MP</t>
  </si>
  <si>
    <r>
      <rPr>
        <sz val="10"/>
        <rFont val="Arial"/>
        <charset val="134"/>
      </rPr>
      <t>EEFSX0E331ER*7pcs</t>
    </r>
    <r>
      <rPr>
        <sz val="9"/>
        <rFont val="Arial"/>
        <charset val="134"/>
      </rPr>
      <t>;ALC269Q;MP86941*5pcs;IT5570E;MP2964GQKT</t>
    </r>
  </si>
  <si>
    <t>A.F.M.2501500-MP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</si>
  <si>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ALC269Q;MP86941*3pcs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IT5570E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MP2964GQKT</t>
    </r>
  </si>
  <si>
    <t>A.F.M.2501501-MP</t>
  </si>
  <si>
    <t>I5-13420H(25W)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</si>
  <si>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MP86941*5pcs;EEFSX0E331ER*7pcs;IT5570E;MP2964GQKT;</t>
    </r>
  </si>
  <si>
    <t>A.F.M.2501502-MP</t>
  </si>
  <si>
    <t>I7-13620H(25W)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</si>
  <si>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MP86941*5pcs;ALC269Q;IT5570E;MP2964GQKT;</t>
    </r>
  </si>
  <si>
    <t>A.F.M.2501556-MP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</si>
  <si>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MP86941*3pcs;ALC269Q;IT5570E;MP2964GQKT;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</si>
  <si>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MP86941*5pcs;ALC269Q;IT5570E;MP2964GQKT;EEFSX0E331ER*7pcs;</t>
    </r>
  </si>
  <si>
    <t>A.F.M.2501699-MP</t>
  </si>
  <si>
    <t>i5-1235U( 15W)</t>
  </si>
  <si>
    <t>RTL8821CE</t>
  </si>
  <si>
    <r>
      <rPr>
        <sz val="10"/>
        <rFont val="微软雅黑"/>
        <charset val="134"/>
      </rPr>
      <t>无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MP86941*3pcs;ALC269Q;IT5570E;MP2964GQKT;</t>
    </r>
  </si>
  <si>
    <t>TA1023</t>
  </si>
  <si>
    <t>A.F.M.2400246</t>
  </si>
  <si>
    <t>A.F.D.2400047</t>
  </si>
  <si>
    <r>
      <rPr>
        <sz val="10"/>
        <rFont val="Arial"/>
        <charset val="134"/>
      </rPr>
      <t xml:space="preserve">A.P.10000768 </t>
    </r>
    <r>
      <rPr>
        <sz val="10"/>
        <rFont val="微软雅黑"/>
        <charset val="134"/>
      </rPr>
      <t>直播笔记本</t>
    </r>
  </si>
  <si>
    <r>
      <rPr>
        <sz val="10"/>
        <rFont val="微软雅黑"/>
        <charset val="134"/>
      </rPr>
      <t>赛灵思</t>
    </r>
    <r>
      <rPr>
        <sz val="10"/>
        <rFont val="Arial"/>
        <charset val="134"/>
      </rPr>
      <t>(XC7A35T-2CSG325I)</t>
    </r>
  </si>
  <si>
    <t>A.F.M.2302400</t>
  </si>
  <si>
    <r>
      <rPr>
        <sz val="10"/>
        <rFont val="Arial"/>
        <charset val="134"/>
      </rPr>
      <t xml:space="preserve">A.P.10000796 </t>
    </r>
    <r>
      <rPr>
        <sz val="10"/>
        <rFont val="微软雅黑"/>
        <charset val="134"/>
      </rPr>
      <t>昱科</t>
    </r>
    <r>
      <rPr>
        <sz val="10"/>
        <rFont val="Arial"/>
        <charset val="134"/>
      </rPr>
      <t>K139 USB DB</t>
    </r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</si>
  <si>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RTS5170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</si>
  <si>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GL850G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RTS5170</t>
    </r>
  </si>
  <si>
    <r>
      <rPr>
        <sz val="10"/>
        <rFont val="Arial"/>
        <charset val="134"/>
      </rPr>
      <t>8111H,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USB3.0</t>
    </r>
    <r>
      <rPr>
        <sz val="10"/>
        <rFont val="微软雅黑"/>
        <charset val="134"/>
      </rPr>
      <t>转换</t>
    </r>
    <r>
      <rPr>
        <sz val="10"/>
        <rFont val="Arial"/>
        <charset val="134"/>
      </rPr>
      <t>VGA</t>
    </r>
    <r>
      <rPr>
        <sz val="10"/>
        <rFont val="微软雅黑"/>
        <charset val="134"/>
      </rPr>
      <t>的音频转换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：睿思科</t>
    </r>
    <r>
      <rPr>
        <sz val="10"/>
        <rFont val="Arial"/>
        <charset val="134"/>
      </rPr>
      <t>FL2000-1L0-DX</t>
    </r>
  </si>
  <si>
    <r>
      <rPr>
        <sz val="10"/>
        <rFont val="Arial"/>
        <charset val="134"/>
      </rPr>
      <t>RTS5170-GR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GL850G-OHY60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RTL8111H-CG</t>
    </r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</si>
  <si>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RTL8111H</t>
    </r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</si>
  <si>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RTL8111H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GL3510</t>
    </r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</si>
  <si>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GL3510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RTS5170</t>
    </r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</si>
  <si>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EAST-HN12103B10X</t>
    </r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</si>
  <si>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GL850;RTS5170</t>
    </r>
  </si>
  <si>
    <r>
      <rPr>
        <sz val="10"/>
        <rFont val="Arial"/>
        <charset val="134"/>
      </rPr>
      <t xml:space="preserve">A.P.10000957 </t>
    </r>
    <r>
      <rPr>
        <sz val="10"/>
        <rFont val="微软雅黑"/>
        <charset val="134"/>
      </rPr>
      <t>深蕾</t>
    </r>
    <r>
      <rPr>
        <sz val="10"/>
        <rFont val="Arial"/>
        <charset val="134"/>
      </rPr>
      <t>SN6140 DB</t>
    </r>
  </si>
  <si>
    <r>
      <rPr>
        <sz val="10"/>
        <rFont val="Arial"/>
        <charset val="134"/>
      </rPr>
      <t>8111H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CODEC</t>
    </r>
    <r>
      <rPr>
        <sz val="10"/>
        <rFont val="微软雅黑"/>
        <charset val="134"/>
      </rPr>
      <t>：深蕾</t>
    </r>
    <r>
      <rPr>
        <sz val="10"/>
        <rFont val="Arial"/>
        <charset val="134"/>
      </rPr>
      <t>SN6140,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USBHUB3.1</t>
    </r>
  </si>
  <si>
    <r>
      <rPr>
        <sz val="10"/>
        <rFont val="Arial"/>
        <charset val="134"/>
      </rPr>
      <t>8111H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CODEC</t>
    </r>
    <r>
      <rPr>
        <sz val="10"/>
        <rFont val="微软雅黑"/>
        <charset val="134"/>
      </rPr>
      <t>：深蕾</t>
    </r>
    <r>
      <rPr>
        <sz val="10"/>
        <rFont val="Arial"/>
        <charset val="134"/>
      </rPr>
      <t>SN6140</t>
    </r>
  </si>
  <si>
    <r>
      <rPr>
        <sz val="10"/>
        <rFont val="Arial"/>
        <charset val="134"/>
      </rPr>
      <t>I219V,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USBHUB</t>
    </r>
  </si>
  <si>
    <r>
      <rPr>
        <sz val="10"/>
        <rFont val="微软雅黑"/>
        <charset val="134"/>
      </rPr>
      <t>含有六合一卡座；含有</t>
    </r>
    <r>
      <rPr>
        <sz val="10"/>
        <rFont val="Arial"/>
        <charset val="134"/>
      </rPr>
      <t>USB 2.0 IC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</si>
  <si>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ALC269Q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RTL8111H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</si>
  <si>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ALC269Q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</si>
  <si>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USB3.0 Redriver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</si>
  <si>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8111H;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ALC269Q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PS8811QFN36GTR2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PS8338BQFN60GTR</t>
    </r>
  </si>
  <si>
    <r>
      <rPr>
        <sz val="10"/>
        <color theme="1"/>
        <rFont val="Arial"/>
        <charset val="134"/>
      </rPr>
      <t>PP881(10L+OSP+</t>
    </r>
    <r>
      <rPr>
        <sz val="10"/>
        <color theme="1"/>
        <rFont val="宋体"/>
        <charset val="134"/>
      </rPr>
      <t>通孔）</t>
    </r>
  </si>
  <si>
    <t>A.F.M.2503433</t>
  </si>
  <si>
    <r>
      <rPr>
        <sz val="10"/>
        <color theme="1"/>
        <rFont val="宋体"/>
        <charset val="134"/>
      </rPr>
      <t>单</t>
    </r>
    <r>
      <rPr>
        <sz val="10"/>
        <color theme="1"/>
        <rFont val="Arial"/>
        <charset val="134"/>
      </rPr>
      <t>TYPE-C IC</t>
    </r>
    <r>
      <rPr>
        <sz val="10"/>
        <color theme="1"/>
        <rFont val="宋体"/>
        <charset val="134"/>
      </rPr>
      <t>，两个</t>
    </r>
    <r>
      <rPr>
        <sz val="10"/>
        <color theme="1"/>
        <rFont val="Arial"/>
        <charset val="134"/>
      </rPr>
      <t>TYPE-C</t>
    </r>
    <r>
      <rPr>
        <sz val="10"/>
        <color theme="1"/>
        <rFont val="宋体"/>
        <charset val="134"/>
      </rPr>
      <t>座子</t>
    </r>
  </si>
  <si>
    <t>BE211.D2WG.NV</t>
  </si>
  <si>
    <r>
      <rPr>
        <sz val="10"/>
        <color theme="1"/>
        <rFont val="宋体"/>
        <charset val="134"/>
      </rPr>
      <t>与</t>
    </r>
    <r>
      <rPr>
        <sz val="10"/>
        <color theme="1"/>
        <rFont val="Arial"/>
        <charset val="134"/>
      </rPr>
      <t>SKU2 DDR</t>
    </r>
    <r>
      <rPr>
        <sz val="10"/>
        <color theme="1"/>
        <rFont val="宋体"/>
        <charset val="134"/>
      </rPr>
      <t>差异</t>
    </r>
  </si>
  <si>
    <r>
      <rPr>
        <sz val="10"/>
        <color theme="1"/>
        <rFont val="Arial"/>
        <charset val="134"/>
      </rPr>
      <t>TYPE-C:IT5272FN;TPM:</t>
    </r>
    <r>
      <rPr>
        <sz val="10"/>
        <color theme="1"/>
        <rFont val="宋体"/>
        <charset val="134"/>
      </rPr>
      <t>英飞凌</t>
    </r>
    <r>
      <rPr>
        <sz val="10"/>
        <color theme="1"/>
        <rFont val="Arial"/>
        <charset val="134"/>
      </rPr>
      <t>9672,</t>
    </r>
    <r>
      <rPr>
        <sz val="10"/>
        <color theme="1"/>
        <rFont val="宋体"/>
        <charset val="134"/>
      </rPr>
      <t>雷电</t>
    </r>
    <r>
      <rPr>
        <sz val="10"/>
        <color theme="1"/>
        <rFont val="Arial"/>
        <charset val="134"/>
      </rPr>
      <t>IC,INTEL,JHL9040R_SRLDH,</t>
    </r>
  </si>
  <si>
    <t>A.F.M.2503434</t>
  </si>
  <si>
    <r>
      <rPr>
        <sz val="10"/>
        <color theme="1"/>
        <rFont val="宋体"/>
        <charset val="134"/>
      </rPr>
      <t>与</t>
    </r>
    <r>
      <rPr>
        <sz val="10"/>
        <color theme="1"/>
        <rFont val="Arial"/>
        <charset val="134"/>
      </rPr>
      <t>SKU1 DDR</t>
    </r>
    <r>
      <rPr>
        <sz val="10"/>
        <color theme="1"/>
        <rFont val="宋体"/>
        <charset val="134"/>
      </rPr>
      <t>差异</t>
    </r>
  </si>
  <si>
    <t>286.3*80.9*0.8mm</t>
  </si>
  <si>
    <t>A.F.M.2601385/A.F.M.2601386</t>
  </si>
  <si>
    <t>报价有效期一周</t>
  </si>
  <si>
    <r>
      <rPr>
        <sz val="10"/>
        <color theme="1"/>
        <rFont val="Arial"/>
        <charset val="134"/>
      </rPr>
      <t>DP62(10L+</t>
    </r>
    <r>
      <rPr>
        <sz val="10"/>
        <color theme="1"/>
        <rFont val="宋体"/>
        <charset val="134"/>
      </rPr>
      <t>沉金+HDI)</t>
    </r>
  </si>
  <si>
    <t>A.F.M.2401076</t>
  </si>
  <si>
    <t>AX201.D2WG.NVW</t>
  </si>
  <si>
    <t>A.F.M.2601650</t>
  </si>
  <si>
    <r>
      <rPr>
        <sz val="10"/>
        <rFont val="Arial"/>
        <charset val="134"/>
      </rPr>
      <t>TYPE-C</t>
    </r>
    <r>
      <rPr>
        <sz val="10"/>
        <rFont val="宋体"/>
        <charset val="134"/>
      </rPr>
      <t>（</t>
    </r>
    <r>
      <rPr>
        <sz val="10"/>
        <rFont val="Arial"/>
        <charset val="134"/>
      </rPr>
      <t>IC</t>
    </r>
    <r>
      <rPr>
        <sz val="10"/>
        <rFont val="宋体"/>
        <charset val="134"/>
      </rPr>
      <t>及插座各</t>
    </r>
    <r>
      <rPr>
        <sz val="10"/>
        <rFont val="Arial"/>
        <charset val="134"/>
      </rPr>
      <t>2PCS</t>
    </r>
    <r>
      <rPr>
        <sz val="10"/>
        <rFont val="宋体"/>
        <charset val="134"/>
      </rPr>
      <t>）</t>
    </r>
    <r>
      <rPr>
        <sz val="10"/>
        <rFont val="Arial"/>
        <charset val="134"/>
      </rPr>
      <t xml:space="preserve">
ANX7447QN</t>
    </r>
  </si>
  <si>
    <r>
      <rPr>
        <sz val="10"/>
        <color theme="1"/>
        <rFont val="Arial"/>
        <charset val="134"/>
      </rPr>
      <t>LPDDR5 8GB*2 315</t>
    </r>
    <r>
      <rPr>
        <sz val="10"/>
        <color theme="1"/>
        <rFont val="宋体"/>
        <charset val="134"/>
      </rPr>
      <t>球</t>
    </r>
  </si>
  <si>
    <r>
      <rPr>
        <sz val="10"/>
        <color theme="1"/>
        <rFont val="宋体"/>
        <charset val="134"/>
      </rPr>
      <t>满配</t>
    </r>
    <r>
      <rPr>
        <sz val="10"/>
        <color theme="1"/>
        <rFont val="Arial"/>
        <charset val="134"/>
      </rPr>
      <t xml:space="preserve">BOM
TPM </t>
    </r>
    <r>
      <rPr>
        <sz val="10"/>
        <color theme="1"/>
        <rFont val="宋体"/>
        <charset val="134"/>
      </rPr>
      <t>英飞凌</t>
    </r>
    <r>
      <rPr>
        <sz val="10"/>
        <color theme="1"/>
        <rFont val="Arial"/>
        <charset val="134"/>
      </rPr>
      <t>9762</t>
    </r>
    <r>
      <rPr>
        <sz val="10"/>
        <color theme="1"/>
        <rFont val="宋体"/>
        <charset val="134"/>
      </rPr>
      <t>，电量计：</t>
    </r>
    <r>
      <rPr>
        <sz val="10"/>
        <color theme="1"/>
        <rFont val="Arial"/>
        <charset val="134"/>
      </rPr>
      <t>CW2217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;EC</t>
    </r>
    <r>
      <rPr>
        <sz val="10"/>
        <color theme="1"/>
        <rFont val="宋体"/>
        <charset val="134"/>
      </rPr>
      <t>联阳</t>
    </r>
    <r>
      <rPr>
        <sz val="10"/>
        <color theme="1"/>
        <rFont val="Arial"/>
        <charset val="134"/>
      </rPr>
      <t xml:space="preserve">  IT66318FN</t>
    </r>
    <r>
      <rPr>
        <sz val="10"/>
        <color theme="1"/>
        <rFont val="宋体"/>
        <charset val="134"/>
      </rPr>
      <t>，MCU:合泰HT50F3200V，视频桥接龙讯</t>
    </r>
    <r>
      <rPr>
        <sz val="10"/>
        <color theme="1"/>
        <rFont val="Arial"/>
        <charset val="134"/>
      </rPr>
      <t>LT7911D
PCB</t>
    </r>
    <r>
      <rPr>
        <sz val="10"/>
        <color theme="1"/>
        <rFont val="宋体"/>
        <charset val="134"/>
      </rPr>
      <t>参考</t>
    </r>
    <r>
      <rPr>
        <sz val="10"/>
        <color theme="1"/>
        <rFont val="Arial"/>
        <charset val="134"/>
      </rPr>
      <t>WTP13,SMT</t>
    </r>
    <r>
      <rPr>
        <sz val="10"/>
        <color theme="1"/>
        <rFont val="宋体"/>
        <charset val="134"/>
      </rPr>
      <t>为预估计</t>
    </r>
  </si>
  <si>
    <r>
      <rPr>
        <sz val="10"/>
        <rFont val="Arial"/>
        <charset val="134"/>
      </rPr>
      <t xml:space="preserve">5-26 </t>
    </r>
    <r>
      <rPr>
        <sz val="10"/>
        <rFont val="宋体"/>
        <charset val="134"/>
      </rPr>
      <t>群</t>
    </r>
    <r>
      <rPr>
        <sz val="10"/>
        <rFont val="Arial"/>
        <charset val="134"/>
      </rPr>
      <t xml:space="preserve"> BOM</t>
    </r>
  </si>
  <si>
    <t>PCB和SMT参考MTP13</t>
  </si>
  <si>
    <t>A.F.M.2602563</t>
  </si>
  <si>
    <t>物料持续上涨，实单前重新确认</t>
  </si>
  <si>
    <t xml:space="preserve"> A.F.M.2601653</t>
  </si>
  <si>
    <t>A.F.M.2601654</t>
  </si>
  <si>
    <r>
      <rPr>
        <sz val="10"/>
        <color theme="1"/>
        <rFont val="Arial"/>
        <charset val="134"/>
      </rPr>
      <t>12</t>
    </r>
    <r>
      <rPr>
        <sz val="10"/>
        <color theme="1"/>
        <rFont val="宋体"/>
        <charset val="134"/>
      </rPr>
      <t>寸</t>
    </r>
  </si>
  <si>
    <t>SU_WP13_MB_V10_mipi 1</t>
  </si>
  <si>
    <t>SU_WP13_MB_V10_14.2_315 2</t>
  </si>
  <si>
    <t>SU_WP13_MB_V10_14.2_496 3 .xlsx</t>
  </si>
  <si>
    <t>SU_WP13_MB_V10_dual mipi 4.xlsx</t>
  </si>
  <si>
    <r>
      <rPr>
        <sz val="10"/>
        <color theme="1"/>
        <rFont val="Arial"/>
        <charset val="134"/>
      </rPr>
      <t>MTLC51(10L+OSP+</t>
    </r>
    <r>
      <rPr>
        <sz val="10"/>
        <color theme="1"/>
        <rFont val="宋体"/>
        <charset val="134"/>
      </rPr>
      <t>通孔）</t>
    </r>
  </si>
  <si>
    <t>A.F.M.2600598</t>
  </si>
  <si>
    <r>
      <rPr>
        <sz val="10"/>
        <color theme="1"/>
        <rFont val="微软雅黑"/>
        <charset val="134"/>
      </rPr>
      <t>前164套价格（164是前批采购的MOQ数量），此报价纯物料价格不含</t>
    </r>
    <r>
      <rPr>
        <sz val="10"/>
        <color theme="1"/>
        <rFont val="Arial"/>
        <charset val="134"/>
      </rPr>
      <t>PCB</t>
    </r>
    <r>
      <rPr>
        <sz val="10"/>
        <color theme="1"/>
        <rFont val="宋体"/>
        <charset val="134"/>
      </rPr>
      <t>及</t>
    </r>
    <r>
      <rPr>
        <sz val="10"/>
        <color theme="1"/>
        <rFont val="Arial"/>
        <charset val="134"/>
      </rPr>
      <t>SMT</t>
    </r>
    <r>
      <rPr>
        <sz val="10"/>
        <color theme="1"/>
        <rFont val="宋体"/>
        <charset val="134"/>
      </rPr>
      <t>上线费；</t>
    </r>
    <r>
      <rPr>
        <sz val="10"/>
        <color theme="1"/>
        <rFont val="微软雅黑"/>
        <charset val="134"/>
      </rPr>
      <t xml:space="preserve">  </t>
    </r>
    <r>
      <rPr>
        <sz val="10"/>
        <color theme="1"/>
        <rFont val="Arial"/>
        <charset val="134"/>
      </rPr>
      <t xml:space="preserve">FD Controller::F81601AN; </t>
    </r>
    <r>
      <rPr>
        <sz val="10"/>
        <color theme="1"/>
        <rFont val="宋体"/>
        <charset val="134"/>
      </rPr>
      <t>未含散热模组</t>
    </r>
  </si>
  <si>
    <r>
      <rPr>
        <sz val="9"/>
        <rFont val="微软雅黑"/>
        <charset val="134"/>
      </rPr>
      <t>LPDDR5X 4GB*4 315</t>
    </r>
    <r>
      <rPr>
        <sz val="10"/>
        <rFont val="宋体"/>
        <charset val="134"/>
      </rPr>
      <t>球</t>
    </r>
    <r>
      <rPr>
        <sz val="10"/>
        <rFont val="Arial"/>
        <charset val="134"/>
      </rPr>
      <t>+0</t>
    </r>
  </si>
  <si>
    <r>
      <rPr>
        <sz val="10"/>
        <color theme="1"/>
        <rFont val="Arial"/>
        <charset val="134"/>
      </rPr>
      <t xml:space="preserve">FD Controller::F81601AN; </t>
    </r>
    <r>
      <rPr>
        <sz val="10"/>
        <color theme="1"/>
        <rFont val="宋体"/>
        <charset val="134"/>
      </rPr>
      <t>未含散热模组</t>
    </r>
  </si>
  <si>
    <r>
      <rPr>
        <sz val="10"/>
        <color theme="1"/>
        <rFont val="Arial"/>
        <charset val="134"/>
      </rPr>
      <t>pn79(8L+</t>
    </r>
    <r>
      <rPr>
        <sz val="10"/>
        <color theme="1"/>
        <rFont val="宋体"/>
        <charset val="134"/>
      </rPr>
      <t>通孔+OSP)</t>
    </r>
  </si>
  <si>
    <t>A.F.M.2601984</t>
  </si>
  <si>
    <t>A.F.M.2602142</t>
  </si>
  <si>
    <t>PN793(10L+OSP+通孔)</t>
  </si>
  <si>
    <t>A.F.M.2600014上修改1、去掉USB-A的retime2、增加笨电池IC CW22173、去掉DTPM4、增加一个DDR小板的PCB（315转49）料号：E.P.P.0007188</t>
  </si>
  <si>
    <t>单Type C IC（带雷电），1个Type C 接口</t>
  </si>
  <si>
    <t>全功能(IT5272FN)；,电量计CW2217 雷电IC JHL9040R，PCB为1月份格，目前上涨中，实单下单前请再确认，准确成本待最终BOM</t>
  </si>
  <si>
    <t>A.F.M.2601029</t>
  </si>
  <si>
    <r>
      <rPr>
        <sz val="10"/>
        <color theme="1"/>
        <rFont val="宋体"/>
        <charset val="134"/>
      </rPr>
      <t>单Type-c IC,双</t>
    </r>
    <r>
      <rPr>
        <sz val="10"/>
        <color theme="1"/>
        <rFont val="Arial"/>
        <charset val="134"/>
      </rPr>
      <t>Type-c</t>
    </r>
    <r>
      <rPr>
        <sz val="10"/>
        <color theme="1"/>
        <rFont val="宋体"/>
        <charset val="134"/>
      </rPr>
      <t>接口（IT5272）</t>
    </r>
  </si>
  <si>
    <r>
      <rPr>
        <sz val="10"/>
        <color theme="1"/>
        <rFont val="Arial"/>
        <charset val="134"/>
      </rPr>
      <t>HDMI2.0/</t>
    </r>
    <r>
      <rPr>
        <sz val="10"/>
        <color theme="1"/>
        <rFont val="宋体"/>
        <charset val="134"/>
      </rPr>
      <t>带雷电</t>
    </r>
    <r>
      <rPr>
        <sz val="10"/>
        <color theme="1"/>
        <rFont val="Arial"/>
        <charset val="134"/>
      </rPr>
      <t xml:space="preserve">/USB3 10G/256 ROM/ </t>
    </r>
    <r>
      <rPr>
        <sz val="10"/>
        <color theme="1"/>
        <rFont val="宋体"/>
        <charset val="134"/>
      </rPr>
      <t>未审核</t>
    </r>
    <r>
      <rPr>
        <sz val="10"/>
        <color theme="1"/>
        <rFont val="Arial"/>
        <charset val="134"/>
      </rPr>
      <t>BOM/</t>
    </r>
    <r>
      <rPr>
        <sz val="10"/>
        <color theme="1"/>
        <rFont val="宋体"/>
        <charset val="134"/>
      </rPr>
      <t>价格比</t>
    </r>
    <r>
      <rPr>
        <sz val="10"/>
        <color theme="1"/>
        <rFont val="Arial"/>
        <charset val="134"/>
      </rPr>
      <t>SKU5</t>
    </r>
    <r>
      <rPr>
        <sz val="10"/>
        <color theme="1"/>
        <rFont val="宋体"/>
        <charset val="134"/>
      </rPr>
      <t>多钽电</t>
    </r>
    <r>
      <rPr>
        <sz val="10"/>
        <color theme="1"/>
        <rFont val="Arial"/>
        <charset val="134"/>
      </rPr>
      <t>TVS</t>
    </r>
  </si>
  <si>
    <t>A.F.M.2601037</t>
  </si>
  <si>
    <r>
      <rPr>
        <sz val="10"/>
        <color theme="1"/>
        <rFont val="Arial"/>
        <charset val="134"/>
      </rPr>
      <t>HDMI2.0/</t>
    </r>
    <r>
      <rPr>
        <sz val="10"/>
        <color theme="1"/>
        <rFont val="宋体"/>
        <charset val="134"/>
      </rPr>
      <t>带雷电</t>
    </r>
    <r>
      <rPr>
        <sz val="10"/>
        <color theme="1"/>
        <rFont val="Arial"/>
        <charset val="134"/>
      </rPr>
      <t xml:space="preserve">/USB3 10G/256 ROM/ </t>
    </r>
    <r>
      <rPr>
        <sz val="10"/>
        <color theme="1"/>
        <rFont val="宋体"/>
        <charset val="134"/>
      </rPr>
      <t>未审核</t>
    </r>
    <r>
      <rPr>
        <sz val="10"/>
        <color theme="1"/>
        <rFont val="Arial"/>
        <charset val="134"/>
      </rPr>
      <t>BOM</t>
    </r>
  </si>
  <si>
    <r>
      <rPr>
        <sz val="10"/>
        <color theme="1"/>
        <rFont val="Arial"/>
        <charset val="134"/>
      </rPr>
      <t>PP22(10L+HDI2+</t>
    </r>
    <r>
      <rPr>
        <sz val="10"/>
        <color theme="1"/>
        <rFont val="宋体"/>
        <charset val="134"/>
      </rPr>
      <t>沉金</t>
    </r>
    <r>
      <rPr>
        <sz val="10"/>
        <color theme="1"/>
        <rFont val="Arial"/>
        <charset val="134"/>
      </rPr>
      <t>)</t>
    </r>
  </si>
  <si>
    <t>A.F.M.2600460</t>
  </si>
  <si>
    <r>
      <rPr>
        <sz val="10"/>
        <color theme="1"/>
        <rFont val="Arial"/>
        <charset val="134"/>
      </rPr>
      <t>SKU2</t>
    </r>
    <r>
      <rPr>
        <sz val="10"/>
        <color theme="1"/>
        <rFont val="宋体"/>
        <charset val="134"/>
      </rPr>
      <t>高配</t>
    </r>
  </si>
  <si>
    <t>16GB*4+0</t>
  </si>
  <si>
    <r>
      <rPr>
        <sz val="10"/>
        <color theme="1"/>
        <rFont val="Arial"/>
        <charset val="134"/>
      </rPr>
      <t>SMT</t>
    </r>
    <r>
      <rPr>
        <sz val="10"/>
        <color theme="1"/>
        <rFont val="宋体"/>
        <charset val="134"/>
      </rPr>
      <t>为预估计，</t>
    </r>
    <r>
      <rPr>
        <sz val="10"/>
        <color theme="1"/>
        <rFont val="Arial"/>
        <charset val="134"/>
      </rPr>
      <t>PCB</t>
    </r>
    <r>
      <rPr>
        <sz val="10"/>
        <color theme="1"/>
        <rFont val="宋体"/>
        <charset val="134"/>
      </rPr>
      <t>有效期</t>
    </r>
    <r>
      <rPr>
        <sz val="10"/>
        <color theme="1"/>
        <rFont val="Arial"/>
        <charset val="134"/>
      </rPr>
      <t>10</t>
    </r>
    <r>
      <rPr>
        <sz val="10"/>
        <color theme="1"/>
        <rFont val="宋体"/>
        <charset val="134"/>
      </rPr>
      <t>天内</t>
    </r>
  </si>
  <si>
    <r>
      <rPr>
        <sz val="10"/>
        <color theme="1"/>
        <rFont val="Arial"/>
        <charset val="134"/>
      </rPr>
      <t>PTLT19(</t>
    </r>
    <r>
      <rPr>
        <sz val="10"/>
        <color theme="1"/>
        <rFont val="宋体"/>
        <charset val="134"/>
      </rPr>
      <t>定制</t>
    </r>
    <r>
      <rPr>
        <sz val="10"/>
        <color theme="1"/>
        <rFont val="Arial"/>
        <charset val="134"/>
      </rPr>
      <t>)</t>
    </r>
  </si>
  <si>
    <t>A.F.M.2503335</t>
  </si>
  <si>
    <t>全功能（IT5272FN）；含加密IC TPM；含CW2217</t>
  </si>
  <si>
    <t>H61O1(10L+OSP+通孔)</t>
  </si>
  <si>
    <t>A.P.H61O1003</t>
  </si>
  <si>
    <t>桥片H610</t>
  </si>
  <si>
    <t>此bom为22年出具，其中物料大多数已替换，如有订单需重新审核发行，此为预估价格</t>
  </si>
  <si>
    <t>单Type c IC及两个TYPE-C接口</t>
  </si>
  <si>
    <t>TYPE-C:联阳IT5272FN,电量计：BQ24780SRUYR，PCB 1.2KPCS以上 可按2.71U，SMT为预估价</t>
  </si>
  <si>
    <t>WN21B(6L+OSP+通孔）</t>
  </si>
  <si>
    <t>A.F.M.2600755</t>
  </si>
  <si>
    <t>A.F.M.2600026</t>
  </si>
  <si>
    <t>TYPE-C:联阳IT5272FN，TPM：9672，SMT为预估价</t>
  </si>
  <si>
    <t>WNTU146B（6L+OSP+通孔)</t>
  </si>
  <si>
    <t>A.F.M.2600375</t>
  </si>
  <si>
    <t>0+256</t>
  </si>
  <si>
    <t>全功能：TYPE-C:IT5272FN;芯海E:CSCE2010WBR6NR;电量计：赛微CW2217;;HDMI2.0</t>
  </si>
  <si>
    <t>JSLVA</t>
  </si>
  <si>
    <t>A.F.M.2501494</t>
  </si>
  <si>
    <t>DP8</t>
  </si>
  <si>
    <t>AX201.D2WG.NVW,999TDN</t>
  </si>
  <si>
    <t>MTN793</t>
  </si>
  <si>
    <t>A.F.M.2503262</t>
  </si>
  <si>
    <r>
      <rPr>
        <sz val="10"/>
        <color theme="1"/>
        <rFont val="Arial"/>
        <charset val="134"/>
      </rPr>
      <t>PCB</t>
    </r>
    <r>
      <rPr>
        <sz val="10"/>
        <color theme="1"/>
        <rFont val="宋体"/>
        <charset val="134"/>
      </rPr>
      <t>为预估价</t>
    </r>
  </si>
  <si>
    <t>A.F.M.2503263</t>
  </si>
  <si>
    <r>
      <rPr>
        <sz val="10"/>
        <color theme="1"/>
        <rFont val="Arial"/>
        <charset val="134"/>
      </rPr>
      <t>PCB</t>
    </r>
    <r>
      <rPr>
        <sz val="10"/>
        <color theme="1"/>
        <rFont val="宋体"/>
        <charset val="134"/>
      </rPr>
      <t>为</t>
    </r>
    <r>
      <rPr>
        <sz val="10"/>
        <color theme="1"/>
        <rFont val="Arial"/>
        <charset val="134"/>
      </rPr>
      <t>26</t>
    </r>
    <r>
      <rPr>
        <sz val="10"/>
        <color theme="1"/>
        <rFont val="宋体"/>
        <charset val="134"/>
      </rPr>
      <t>年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月价格，实单前再确认</t>
    </r>
  </si>
  <si>
    <t>A.F.M.2502674</t>
  </si>
  <si>
    <t>MTN21T(8L+OSP+通孔)</t>
  </si>
  <si>
    <t>A.F.M.2501980</t>
  </si>
  <si>
    <t>加TPM</t>
  </si>
  <si>
    <t>Type c(两个Type c接口)(RTS5453H)</t>
  </si>
  <si>
    <t>全功能(RTS5453H)；含雷电IC*2PCS/9040;含加密IC TPM(英飞凌)；含CW2217</t>
  </si>
  <si>
    <t>WN35B(8L-2+OSP+HDI）</t>
  </si>
  <si>
    <t>HDMI2.0/TPM/AMOLED/ROM:256Mb/EE降噪电容 无卤PCB,SMT为预估计,无卤PCB，普通PCB为4.28U</t>
  </si>
  <si>
    <t>180.8*101.0*1.0</t>
  </si>
  <si>
    <t>A.F.M.2601211</t>
  </si>
  <si>
    <t>12GB(496球）+0</t>
  </si>
  <si>
    <t xml:space="preserve">普通无卤PCB; </t>
  </si>
  <si>
    <t>A.F.M.2601707/A.F.M.2601706</t>
  </si>
  <si>
    <t>A.F.M.2601321</t>
  </si>
  <si>
    <t>A.F.M.2601355</t>
  </si>
  <si>
    <t>A.F.M.2601074</t>
  </si>
  <si>
    <t>A.F.M.2603015</t>
  </si>
  <si>
    <t>华硕姜荣榕杜建锋FANNY沈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</si>
  <si>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月</t>
    </r>
  </si>
  <si>
    <t>A.F.M.2602046</t>
  </si>
  <si>
    <t>RTL8852BE-CG</t>
  </si>
  <si>
    <t>6月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</si>
  <si>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月</t>
    </r>
  </si>
  <si>
    <t>RTL8852BE-VT</t>
  </si>
  <si>
    <t>8月</t>
  </si>
  <si>
    <r>
      <rPr>
        <sz val="10"/>
        <rFont val="Arial"/>
        <charset val="134"/>
      </rPr>
      <t>9</t>
    </r>
    <r>
      <rPr>
        <sz val="10"/>
        <rFont val="宋体"/>
        <charset val="134"/>
      </rPr>
      <t>月</t>
    </r>
  </si>
  <si>
    <t>A.F.M.2602270</t>
  </si>
  <si>
    <t>9月</t>
  </si>
  <si>
    <t>叶勇</t>
  </si>
  <si>
    <t>A.F.M.2602274</t>
  </si>
  <si>
    <t>A.F.M.2601073</t>
  </si>
  <si>
    <t>A.F.M.2601514</t>
  </si>
  <si>
    <t>A.F.M.2601619</t>
  </si>
  <si>
    <t>A.F.M.2601353</t>
  </si>
  <si>
    <t>12GB(496球）*1+0</t>
  </si>
  <si>
    <t>A.F.M.2601255</t>
  </si>
  <si>
    <t>A.F.M.2601254</t>
  </si>
  <si>
    <t>A.F.M.2601318</t>
  </si>
  <si>
    <r>
      <rPr>
        <sz val="10"/>
        <rFont val="Arial"/>
        <charset val="134"/>
      </rPr>
      <t>BOM</t>
    </r>
    <r>
      <rPr>
        <sz val="10"/>
        <rFont val="宋体"/>
        <charset val="134"/>
      </rPr>
      <t>无，预估</t>
    </r>
    <r>
      <rPr>
        <sz val="10"/>
        <rFont val="Arial"/>
        <charset val="134"/>
      </rPr>
      <t>BOM</t>
    </r>
  </si>
  <si>
    <t>16GB(496球）*1</t>
  </si>
  <si>
    <t>HDMI2.0  IT66318FN;  TPM:SLB 9672;  USB3-10G: RTS5460Z-GR; ROM:256Mb</t>
  </si>
  <si>
    <t>A.F.M.2601210</t>
  </si>
  <si>
    <t>8GB（496球*1）+0</t>
  </si>
  <si>
    <r>
      <rPr>
        <sz val="9"/>
        <rFont val="微软雅黑"/>
        <charset val="134"/>
      </rPr>
      <t>科翔无卤</t>
    </r>
    <r>
      <rPr>
        <sz val="10"/>
        <color theme="1"/>
        <rFont val="Arial"/>
        <charset val="134"/>
      </rPr>
      <t>PCB,</t>
    </r>
    <r>
      <rPr>
        <sz val="10"/>
        <color theme="1"/>
        <rFont val="宋体"/>
        <charset val="134"/>
      </rPr>
      <t>妙明</t>
    </r>
    <r>
      <rPr>
        <sz val="10"/>
        <color theme="1"/>
        <rFont val="微软雅黑"/>
        <charset val="134"/>
      </rPr>
      <t>WIFI，</t>
    </r>
    <r>
      <rPr>
        <sz val="10"/>
        <color theme="1"/>
        <rFont val="宋体"/>
        <charset val="134"/>
      </rPr>
      <t>低配，无卤</t>
    </r>
    <r>
      <rPr>
        <sz val="10"/>
        <color theme="1"/>
        <rFont val="微软雅黑"/>
        <charset val="134"/>
      </rPr>
      <t>PCB</t>
    </r>
  </si>
  <si>
    <t>A.F.M.2602287</t>
  </si>
  <si>
    <t>单type c IC及一个Type c 接口（CS32G053HRCW6NR）</t>
  </si>
  <si>
    <t>全功能（CS32G053HRCW6NR）;含加密IC TPM;含CW2217</t>
  </si>
  <si>
    <t>A.F.M.2601430</t>
  </si>
  <si>
    <r>
      <rPr>
        <sz val="10"/>
        <color theme="1"/>
        <rFont val="Arial"/>
        <charset val="134"/>
      </rPr>
      <t>312</t>
    </r>
    <r>
      <rPr>
        <sz val="10"/>
        <color theme="1"/>
        <rFont val="宋体"/>
        <charset val="134"/>
      </rPr>
      <t>套，</t>
    </r>
    <r>
      <rPr>
        <sz val="10"/>
        <color theme="1"/>
        <rFont val="Arial"/>
        <charset val="134"/>
      </rPr>
      <t>PCB</t>
    </r>
    <r>
      <rPr>
        <sz val="10"/>
        <color theme="1"/>
        <rFont val="宋体"/>
        <charset val="134"/>
      </rPr>
      <t>已含工程费</t>
    </r>
    <r>
      <rPr>
        <sz val="10"/>
        <color theme="1"/>
        <rFont val="Arial"/>
        <charset val="134"/>
      </rPr>
      <t>4000</t>
    </r>
    <r>
      <rPr>
        <sz val="10"/>
        <color theme="1"/>
        <rFont val="宋体"/>
        <charset val="134"/>
      </rPr>
      <t>元</t>
    </r>
  </si>
  <si>
    <t>214.85x121.16x1.0mm</t>
  </si>
  <si>
    <t>单Type C IC及两个Type C 接口（CS32G053HRCW6NR）</t>
  </si>
  <si>
    <t>A.F.M.2601527</t>
  </si>
  <si>
    <t>全功能(ANX7447QN)；含BQ24780SRUYR</t>
  </si>
  <si>
    <t>234.7*127.2*1mm</t>
  </si>
  <si>
    <t>A.F.M.2601258</t>
  </si>
  <si>
    <t>双Type c及含两个Type c接口(RTS5460Z-GR)</t>
  </si>
  <si>
    <t>HDMI2.0 IT66318FN ;     USB3-10G  GL9901VAE</t>
  </si>
  <si>
    <t>单Type c IC及单TYPE-C接口</t>
  </si>
  <si>
    <t>TYPE-C IC 芯海CS32G053HRCW6NR，电量计：CW2217,SMT为预估</t>
  </si>
  <si>
    <t>A.F.M.2600727</t>
  </si>
  <si>
    <r>
      <rPr>
        <sz val="10"/>
        <color theme="1"/>
        <rFont val="Arial"/>
        <charset val="134"/>
      </rPr>
      <t>WN79((6L+</t>
    </r>
    <r>
      <rPr>
        <sz val="10"/>
        <color theme="1"/>
        <rFont val="宋体"/>
        <charset val="134"/>
      </rPr>
      <t>通孔+OSP)</t>
    </r>
  </si>
  <si>
    <r>
      <rPr>
        <sz val="6"/>
        <color theme="1"/>
        <rFont val="宋体"/>
        <charset val="134"/>
      </rPr>
      <t>邱乐</t>
    </r>
    <r>
      <rPr>
        <sz val="6"/>
        <color theme="1"/>
        <rFont val="Arial"/>
        <charset val="134"/>
      </rPr>
      <t>A.F.M.2600845</t>
    </r>
    <r>
      <rPr>
        <sz val="6"/>
        <color theme="1"/>
        <rFont val="宋体"/>
        <charset val="134"/>
      </rPr>
      <t>去掉</t>
    </r>
    <r>
      <rPr>
        <sz val="6"/>
        <color theme="1"/>
        <rFont val="Arial"/>
        <charset val="134"/>
      </rPr>
      <t>HDMI2,</t>
    </r>
    <r>
      <rPr>
        <sz val="6"/>
        <color theme="1"/>
        <rFont val="宋体"/>
        <charset val="134"/>
      </rPr>
      <t>去掉</t>
    </r>
    <r>
      <rPr>
        <sz val="6"/>
        <color theme="1"/>
        <rFont val="Arial"/>
        <charset val="134"/>
      </rPr>
      <t>USBA 3-10G</t>
    </r>
    <r>
      <rPr>
        <sz val="6"/>
        <color theme="1"/>
        <rFont val="宋体"/>
        <charset val="134"/>
      </rPr>
      <t>，去掉</t>
    </r>
    <r>
      <rPr>
        <sz val="6"/>
        <color theme="1"/>
        <rFont val="Arial"/>
        <charset val="134"/>
      </rPr>
      <t>TPM</t>
    </r>
  </si>
  <si>
    <r>
      <rPr>
        <sz val="10"/>
        <color theme="1"/>
        <rFont val="宋体"/>
        <charset val="134"/>
      </rPr>
      <t>含降噪钽电 ,</t>
    </r>
    <r>
      <rPr>
        <sz val="10"/>
        <color theme="1"/>
        <rFont val="Arial"/>
        <charset val="134"/>
      </rPr>
      <t>USB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Arial"/>
        <charset val="134"/>
      </rPr>
      <t>C 10G</t>
    </r>
    <r>
      <rPr>
        <sz val="10"/>
        <color theme="1"/>
        <rFont val="宋体"/>
        <charset val="134"/>
      </rPr>
      <t>：RTS5460Z*2</t>
    </r>
  </si>
  <si>
    <t xml:space="preserve">A.F.M.2600887 </t>
  </si>
  <si>
    <t>电量计CW2217,  ROM :256Mb</t>
  </si>
  <si>
    <t>A.F.M.2602436</t>
  </si>
  <si>
    <t>172.1*125.7*1.6mm</t>
  </si>
  <si>
    <t>A.F.M.2602437</t>
  </si>
  <si>
    <r>
      <rPr>
        <sz val="10"/>
        <color theme="1"/>
        <rFont val="Arial"/>
        <charset val="134"/>
      </rPr>
      <t>LPDDR5-496</t>
    </r>
    <r>
      <rPr>
        <sz val="10"/>
        <color theme="1"/>
        <rFont val="宋体"/>
        <charset val="134"/>
      </rPr>
      <t>球</t>
    </r>
    <r>
      <rPr>
        <sz val="10"/>
        <color theme="1"/>
        <rFont val="Arial"/>
        <charset val="134"/>
      </rPr>
      <t xml:space="preserve"> 8GB*1</t>
    </r>
  </si>
  <si>
    <t>朱奕</t>
  </si>
  <si>
    <t>未批量，PCB SMT预估价</t>
  </si>
  <si>
    <r>
      <rPr>
        <sz val="10"/>
        <color theme="1"/>
        <rFont val="宋体"/>
        <charset val="134"/>
      </rPr>
      <t>无料号</t>
    </r>
    <r>
      <rPr>
        <sz val="10"/>
        <color theme="1"/>
        <rFont val="Arial"/>
        <charset val="134"/>
      </rPr>
      <t>6-4</t>
    </r>
    <r>
      <rPr>
        <sz val="10"/>
        <color theme="1"/>
        <rFont val="宋体"/>
        <charset val="134"/>
      </rPr>
      <t>群</t>
    </r>
    <r>
      <rPr>
        <sz val="10"/>
        <color theme="1"/>
        <rFont val="Arial"/>
        <charset val="134"/>
      </rPr>
      <t>BOM</t>
    </r>
  </si>
  <si>
    <r>
      <rPr>
        <sz val="10"/>
        <color theme="1"/>
        <rFont val="Arial"/>
        <charset val="134"/>
      </rPr>
      <t xml:space="preserve">HDMI2.0  IT66318FN;  TPM:SLB 9672;  </t>
    </r>
    <r>
      <rPr>
        <sz val="10"/>
        <color theme="1"/>
        <rFont val="宋体"/>
        <charset val="134"/>
      </rPr>
      <t>双网卡（</t>
    </r>
    <r>
      <rPr>
        <sz val="10"/>
        <color theme="1"/>
        <rFont val="Arial"/>
        <charset val="134"/>
      </rPr>
      <t>2.5G+10G)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>USB3-10G:GL9901VAE; ROM:256Mb</t>
    </r>
    <r>
      <rPr>
        <sz val="10"/>
        <color theme="1"/>
        <rFont val="宋体"/>
        <charset val="134"/>
      </rPr>
      <t>；</t>
    </r>
  </si>
  <si>
    <r>
      <rPr>
        <sz val="10"/>
        <color theme="1"/>
        <rFont val="Arial"/>
        <charset val="134"/>
      </rPr>
      <t>WS18(SATA</t>
    </r>
    <r>
      <rPr>
        <sz val="10"/>
        <color theme="1"/>
        <rFont val="宋体"/>
        <charset val="134"/>
      </rPr>
      <t>扩展小板）</t>
    </r>
  </si>
  <si>
    <t>WNTU140</t>
  </si>
  <si>
    <t>A.F.M.2601818</t>
  </si>
  <si>
    <t>单Type C IC及双Type C 接口（IT5272)</t>
  </si>
  <si>
    <r>
      <rPr>
        <sz val="10"/>
        <color theme="1"/>
        <rFont val="Arial"/>
        <charset val="134"/>
      </rPr>
      <t>HDMI2.0:IT66318FN; TPM:SLB 9672; USB3-10G:GL9901VAE;</t>
    </r>
    <r>
      <rPr>
        <sz val="10"/>
        <color theme="1"/>
        <rFont val="宋体"/>
        <charset val="134"/>
      </rPr>
      <t>电量计：</t>
    </r>
    <r>
      <rPr>
        <sz val="10"/>
        <color theme="1"/>
        <rFont val="Arial"/>
        <charset val="134"/>
      </rPr>
      <t>CW2217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 xml:space="preserve"> ROM:256Mb</t>
    </r>
  </si>
  <si>
    <t>A.F.M.2601827</t>
  </si>
  <si>
    <t>A.F.M.2601640/A.F.M.2601641/A.F.M.2601710</t>
  </si>
  <si>
    <t>A.F.M.2602637</t>
  </si>
  <si>
    <t>A.F.M.2602403/A.F.M.2602518/A.F.M.2602519/A.F.M.2602520</t>
  </si>
  <si>
    <t>A.F.M.2601790</t>
  </si>
  <si>
    <t>A.F.M.2601709</t>
  </si>
  <si>
    <t>A.F.M.2601642</t>
  </si>
  <si>
    <t>A.F.M.2601331</t>
  </si>
  <si>
    <t>A.F.M.2601379</t>
  </si>
  <si>
    <t>A.F.M.2602281</t>
  </si>
  <si>
    <t>A.F.M.2602104</t>
  </si>
  <si>
    <t>A.F.M.2602106</t>
  </si>
  <si>
    <t>A.F.M.2602105</t>
  </si>
  <si>
    <t>A.F.M.2601744</t>
  </si>
  <si>
    <t>PCB价格一周有效</t>
  </si>
  <si>
    <t>A.F.M.2601395</t>
  </si>
  <si>
    <r>
      <rPr>
        <sz val="10"/>
        <color theme="1"/>
        <rFont val="Arial"/>
        <charset val="134"/>
      </rPr>
      <t>PCB</t>
    </r>
    <r>
      <rPr>
        <sz val="10"/>
        <color theme="1"/>
        <rFont val="宋体"/>
        <charset val="134"/>
      </rPr>
      <t>有效期</t>
    </r>
    <r>
      <rPr>
        <sz val="10"/>
        <color theme="1"/>
        <rFont val="Arial"/>
        <charset val="134"/>
      </rPr>
      <t>6-30</t>
    </r>
    <r>
      <rPr>
        <sz val="10"/>
        <color theme="1"/>
        <rFont val="宋体"/>
        <charset val="134"/>
      </rPr>
      <t>日</t>
    </r>
  </si>
  <si>
    <t>A.F.M.2601791</t>
  </si>
  <si>
    <t>A.F.M.2600892</t>
  </si>
  <si>
    <t>A.F.M.2601309</t>
  </si>
  <si>
    <r>
      <rPr>
        <sz val="10"/>
        <color theme="1"/>
        <rFont val="Arial"/>
        <charset val="134"/>
      </rPr>
      <t>PCB SMT</t>
    </r>
    <r>
      <rPr>
        <sz val="10"/>
        <color theme="1"/>
        <rFont val="宋体"/>
        <charset val="134"/>
      </rPr>
      <t>为预估价</t>
    </r>
  </si>
  <si>
    <t>A.F.M.2601308</t>
  </si>
  <si>
    <t>A.F.M.2601440</t>
  </si>
  <si>
    <t>9月比6月上涨额</t>
  </si>
  <si>
    <r>
      <rPr>
        <b/>
        <sz val="10"/>
        <color theme="1"/>
        <rFont val="Arial"/>
        <charset val="134"/>
      </rPr>
      <t xml:space="preserve">WN35B </t>
    </r>
    <r>
      <rPr>
        <b/>
        <sz val="10"/>
        <color theme="1"/>
        <rFont val="宋体"/>
        <charset val="134"/>
      </rPr>
      <t>成本差异说明</t>
    </r>
  </si>
  <si>
    <t>小板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</si>
  <si>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月</t>
    </r>
  </si>
  <si>
    <t>5月</t>
  </si>
  <si>
    <t>9月比5月上涨额</t>
  </si>
  <si>
    <t>序号</t>
  </si>
  <si>
    <t>品名</t>
  </si>
  <si>
    <t>品牌</t>
  </si>
  <si>
    <t>用量</t>
  </si>
  <si>
    <r>
      <rPr>
        <b/>
        <sz val="10"/>
        <color rgb="FFFFFFFF"/>
        <rFont val="Arial"/>
        <charset val="134"/>
      </rPr>
      <t>5</t>
    </r>
    <r>
      <rPr>
        <b/>
        <sz val="10"/>
        <color rgb="FFFFFFFF"/>
        <rFont val="宋体"/>
        <charset val="134"/>
      </rPr>
      <t>月成本</t>
    </r>
  </si>
  <si>
    <r>
      <rPr>
        <b/>
        <sz val="10"/>
        <color rgb="FFFFFFFF"/>
        <rFont val="Arial"/>
        <charset val="134"/>
      </rPr>
      <t>9</t>
    </r>
    <r>
      <rPr>
        <b/>
        <sz val="10"/>
        <color rgb="FFFFFFFF"/>
        <rFont val="宋体"/>
        <charset val="134"/>
      </rPr>
      <t>月成本</t>
    </r>
  </si>
  <si>
    <t>上涨额</t>
  </si>
  <si>
    <t>上涨幅度</t>
  </si>
  <si>
    <r>
      <rPr>
        <sz val="10"/>
        <color theme="1"/>
        <rFont val="Arial"/>
        <charset val="134"/>
      </rPr>
      <t>PCB(</t>
    </r>
    <r>
      <rPr>
        <sz val="10"/>
        <color theme="1"/>
        <rFont val="宋体"/>
        <charset val="134"/>
      </rPr>
      <t>主板+小板）</t>
    </r>
  </si>
  <si>
    <r>
      <rPr>
        <sz val="10"/>
        <rFont val="宋体"/>
        <charset val="134"/>
      </rPr>
      <t>富腾茂</t>
    </r>
    <r>
      <rPr>
        <sz val="10"/>
        <rFont val="Arial"/>
        <charset val="134"/>
      </rPr>
      <t>/</t>
    </r>
    <r>
      <rPr>
        <sz val="10"/>
        <rFont val="宋体"/>
        <charset val="134"/>
      </rPr>
      <t>科翔</t>
    </r>
  </si>
  <si>
    <t>WIFI6</t>
  </si>
  <si>
    <t>RTL8852</t>
  </si>
  <si>
    <t>FLASH</t>
  </si>
  <si>
    <t>XMC/FD</t>
  </si>
  <si>
    <r>
      <rPr>
        <sz val="10"/>
        <color theme="1"/>
        <rFont val="宋体"/>
        <charset val="134"/>
      </rPr>
      <t>充电</t>
    </r>
    <r>
      <rPr>
        <sz val="10"/>
        <color theme="1"/>
        <rFont val="Arial"/>
        <charset val="134"/>
      </rPr>
      <t>IC</t>
    </r>
  </si>
  <si>
    <t>TI</t>
  </si>
  <si>
    <t>替代料同步验证</t>
  </si>
  <si>
    <t>10uF_0402</t>
  </si>
  <si>
    <t>sansung</t>
  </si>
  <si>
    <t>1uF_0201</t>
  </si>
  <si>
    <r>
      <rPr>
        <sz val="10"/>
        <rFont val="宋体"/>
        <charset val="134"/>
      </rPr>
      <t>太诱</t>
    </r>
    <r>
      <rPr>
        <sz val="10"/>
        <rFont val="Arial"/>
        <charset val="134"/>
      </rPr>
      <t>(TAIYO)</t>
    </r>
  </si>
  <si>
    <t>4.7uF_0402</t>
  </si>
  <si>
    <t>0.1uF_0201 16V</t>
  </si>
  <si>
    <t>华科</t>
  </si>
  <si>
    <t>0.1uF_0201 25V</t>
  </si>
  <si>
    <t>村田</t>
  </si>
  <si>
    <t>0.1uF_C0402</t>
  </si>
  <si>
    <r>
      <rPr>
        <b/>
        <sz val="12"/>
        <color rgb="FFFF0000"/>
        <rFont val="Arial"/>
        <charset val="134"/>
      </rPr>
      <t>pcb</t>
    </r>
    <r>
      <rPr>
        <b/>
        <sz val="12"/>
        <color rgb="FFFF0000"/>
        <rFont val="宋体"/>
        <charset val="134"/>
      </rPr>
      <t>为普通材质</t>
    </r>
    <r>
      <rPr>
        <b/>
        <sz val="12"/>
        <color rgb="FFFF0000"/>
        <rFont val="Arial"/>
        <charset val="134"/>
      </rPr>
      <t>OSP</t>
    </r>
    <r>
      <rPr>
        <b/>
        <sz val="12"/>
        <color rgb="FFFF0000"/>
        <rFont val="宋体"/>
        <charset val="134"/>
      </rPr>
      <t>工艺，如用特殊材质请单独核</t>
    </r>
    <r>
      <rPr>
        <b/>
        <sz val="12"/>
        <color rgb="FFFF0000"/>
        <rFont val="Arial"/>
        <charset val="134"/>
      </rPr>
      <t>;CPU;DDR;SSD;EMMC;WIFI</t>
    </r>
    <r>
      <rPr>
        <b/>
        <sz val="12"/>
        <color rgb="FFFF0000"/>
        <rFont val="宋体"/>
        <charset val="134"/>
      </rPr>
      <t>请按需求选配</t>
    </r>
    <r>
      <rPr>
        <b/>
        <sz val="12"/>
        <color rgb="FFFF0000"/>
        <rFont val="Arial"/>
        <charset val="134"/>
      </rPr>
      <t xml:space="preserve"> </t>
    </r>
  </si>
  <si>
    <t>TYPEC IC</t>
  </si>
  <si>
    <r>
      <rPr>
        <sz val="8"/>
        <color rgb="FF000000"/>
        <rFont val="微软雅黑"/>
        <charset val="134"/>
      </rPr>
      <t>加密</t>
    </r>
    <r>
      <rPr>
        <sz val="8"/>
        <color rgb="FF000000"/>
        <rFont val="Arial"/>
        <charset val="134"/>
      </rPr>
      <t>IC TPM</t>
    </r>
  </si>
  <si>
    <t>9月份汇率：6.71</t>
  </si>
  <si>
    <t>6月份汇率：6.8</t>
  </si>
  <si>
    <r>
      <rPr>
        <sz val="10"/>
        <color theme="1"/>
        <rFont val="宋体"/>
        <charset val="134"/>
      </rPr>
      <t>雷电</t>
    </r>
    <r>
      <rPr>
        <sz val="8"/>
        <color rgb="FF000000"/>
        <rFont val="Arial"/>
        <charset val="134"/>
      </rPr>
      <t>IC</t>
    </r>
  </si>
  <si>
    <r>
      <rPr>
        <b/>
        <sz val="8"/>
        <color theme="1"/>
        <rFont val="Arial"/>
        <charset val="134"/>
      </rPr>
      <t>PCB</t>
    </r>
    <r>
      <rPr>
        <b/>
        <sz val="8"/>
        <color theme="1"/>
        <rFont val="宋体"/>
        <charset val="134"/>
      </rPr>
      <t>尺寸</t>
    </r>
  </si>
  <si>
    <t>规格</t>
  </si>
  <si>
    <r>
      <rPr>
        <b/>
        <sz val="10"/>
        <rFont val="Arial"/>
        <charset val="134"/>
      </rPr>
      <t xml:space="preserve">CPU
</t>
    </r>
    <r>
      <rPr>
        <b/>
        <sz val="10"/>
        <rFont val="宋体"/>
        <charset val="134"/>
      </rPr>
      <t>存储</t>
    </r>
  </si>
  <si>
    <t>DNN21S（6L+通孔+OSP）</t>
  </si>
  <si>
    <t>214.5*119.9*1.0mm</t>
  </si>
  <si>
    <t>A.F.M.2302171-MP</t>
  </si>
  <si>
    <t>单Tpye c IC及单Type c接口（ANX7447QN）</t>
  </si>
  <si>
    <t>N-15W</t>
  </si>
  <si>
    <t>0+128G</t>
  </si>
  <si>
    <r>
      <rPr>
        <sz val="10"/>
        <rFont val="微软雅黑"/>
        <charset val="134"/>
      </rPr>
      <t>选配</t>
    </r>
  </si>
  <si>
    <t>TPM:SLB 9672;  电量计： CW2015CHBD；  ROM:128Mb;</t>
  </si>
  <si>
    <t>DNN25（6L+通孔+OSP）</t>
  </si>
  <si>
    <t>A.F.M.250000X</t>
  </si>
  <si>
    <t>双Type C IC及双Type c接口(ANX7447QN)</t>
  </si>
  <si>
    <r>
      <rPr>
        <sz val="10"/>
        <rFont val="Arial"/>
        <charset val="134"/>
      </rPr>
      <t>LPDDR5-315</t>
    </r>
    <r>
      <rPr>
        <sz val="10"/>
        <rFont val="宋体"/>
        <charset val="134"/>
      </rPr>
      <t>球</t>
    </r>
    <r>
      <rPr>
        <sz val="10"/>
        <rFont val="Arial"/>
        <charset val="134"/>
      </rPr>
      <t>8G*2(</t>
    </r>
    <r>
      <rPr>
        <sz val="10"/>
        <rFont val="宋体"/>
        <charset val="134"/>
      </rPr>
      <t>江波龙</t>
    </r>
    <r>
      <rPr>
        <sz val="10"/>
        <rFont val="Arial"/>
        <charset val="134"/>
      </rPr>
      <t>)</t>
    </r>
  </si>
  <si>
    <t>HDMI2.0 IT66318FN; TPM:SLB 9672;电量计：CW2217;  ROM:128Mb;</t>
  </si>
  <si>
    <t>JN11S(8L+通孔+OSP)</t>
  </si>
  <si>
    <t>184.2*110.8*1.0mm</t>
  </si>
  <si>
    <t>A.F.M.2500669</t>
  </si>
  <si>
    <t>单Type IC及Type C 单接口(ANX7447QN)</t>
  </si>
  <si>
    <t>TPM:SLB 9672; 电量计：CW2015CHBD；  ROM:128Mb ;</t>
  </si>
  <si>
    <t>DNNXU(6L+通孔+OSP)</t>
  </si>
  <si>
    <t>207.0*178.7*1.0mm</t>
  </si>
  <si>
    <t>A.F.M.2401323-MP</t>
  </si>
  <si>
    <t>电量计：CW2015CHBD；  ROM:128Mb ;</t>
  </si>
  <si>
    <t>DNN11S(8L+通孔+OSP)</t>
  </si>
  <si>
    <t>184.2*110.8*1.0</t>
  </si>
  <si>
    <t>A.F.M.2500505-MP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</si>
  <si>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宋体"/>
        <charset val="134"/>
      </rPr>
      <t>及双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接口（</t>
    </r>
    <r>
      <rPr>
        <sz val="10"/>
        <rFont val="Arial"/>
        <charset val="134"/>
      </rPr>
      <t>ANX7447QN</t>
    </r>
    <r>
      <rPr>
        <sz val="10"/>
        <rFont val="宋体"/>
        <charset val="134"/>
      </rPr>
      <t>）</t>
    </r>
  </si>
  <si>
    <t>DNP13C(6L+通孔+OSP)</t>
  </si>
  <si>
    <t>211.7*102.0*1.0MM</t>
  </si>
  <si>
    <t>A.F.M.2502098</t>
  </si>
  <si>
    <t>双Type c IC(双Type C 接口)(ANX7447QN)</t>
  </si>
  <si>
    <r>
      <rPr>
        <sz val="10"/>
        <rFont val="Arial"/>
        <charset val="134"/>
      </rPr>
      <t>LPDDR5X-315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4G*2</t>
    </r>
  </si>
  <si>
    <t>DNN21(8L+HDI3+OSP)</t>
  </si>
  <si>
    <t>A.F.M.2401219-MP</t>
  </si>
  <si>
    <t>单Type c IC及单Type c 接口（ANX7447QN）</t>
  </si>
  <si>
    <r>
      <rPr>
        <sz val="10"/>
        <rFont val="Arial"/>
        <charset val="134"/>
      </rPr>
      <t>LPDDR5-496</t>
    </r>
    <r>
      <rPr>
        <sz val="10"/>
        <rFont val="宋体"/>
        <charset val="134"/>
      </rPr>
      <t>球</t>
    </r>
    <r>
      <rPr>
        <sz val="10"/>
        <rFont val="Arial"/>
        <charset val="134"/>
      </rPr>
      <t>16G</t>
    </r>
  </si>
  <si>
    <r>
      <rPr>
        <sz val="10"/>
        <color theme="1"/>
        <rFont val="Arial"/>
        <charset val="134"/>
      </rPr>
      <t>DNN21F(6L+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+OSP)</t>
    </r>
  </si>
  <si>
    <t>214.9*119.9*1.0mm</t>
  </si>
  <si>
    <t>A.F.M.2402477-PVT</t>
  </si>
  <si>
    <t>Type c(l双Type C 接口)(ANX7447QN)</t>
  </si>
  <si>
    <t>N-15w</t>
  </si>
  <si>
    <t>群联/条子</t>
  </si>
  <si>
    <t>HDMI2.0:IT66318FN; TPM:SLB 9672; USB3-10G:GL9901VAE; 电量计：CW2217; ROM:128Mb</t>
  </si>
  <si>
    <t>DNN81S(6L+通孔+OSP)</t>
  </si>
  <si>
    <t>190.0*114.0*1.0mm</t>
  </si>
  <si>
    <t>A.F.M.2402361-OOC3</t>
  </si>
  <si>
    <t>Type Ic(单Type c 接口)ANX7447QN</t>
  </si>
  <si>
    <t>DNNTU146(4L+通孔+OSP)</t>
  </si>
  <si>
    <t>207*131*1.0mm</t>
  </si>
  <si>
    <t>A.F.M.2501936-PVT</t>
  </si>
  <si>
    <t>原RTL8821CE待更新</t>
  </si>
  <si>
    <t>电量计：CW2217；  ROM:128Mb ;</t>
  </si>
  <si>
    <r>
      <rPr>
        <sz val="10"/>
        <color theme="1"/>
        <rFont val="Arial"/>
        <charset val="134"/>
      </rPr>
      <t>DNNTU146(4L+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+OSP)</t>
    </r>
  </si>
  <si>
    <t>A.F.M.2501938</t>
  </si>
  <si>
    <t>JN106(6L+通孔+OSP)</t>
  </si>
  <si>
    <t>189.9*114.0*1.0mm</t>
  </si>
  <si>
    <t>A.F.M.2501350-EVT</t>
  </si>
  <si>
    <t>Type c(单Type C 接口)ANX7447QN</t>
  </si>
  <si>
    <t>JN21S（8L+通孔+OSP）</t>
  </si>
  <si>
    <t>A.F.M.2302474</t>
  </si>
  <si>
    <t>Type c(双Type C 接口)(ANX7447QN)</t>
  </si>
  <si>
    <t>A.F.M.2501017</t>
  </si>
  <si>
    <t>DNP28A(8L+HDI1+OSP)</t>
  </si>
  <si>
    <t>155.0*89.0*1.2mm</t>
  </si>
  <si>
    <t>A.F.M.2302473-MP</t>
  </si>
  <si>
    <t>16G+256G</t>
  </si>
  <si>
    <r>
      <rPr>
        <sz val="10"/>
        <rFont val="宋体"/>
        <charset val="134"/>
      </rPr>
      <t>LPDDR5-496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16G</t>
    </r>
    <r>
      <rPr>
        <sz val="10"/>
        <rFont val="宋体"/>
        <charset val="134"/>
      </rPr>
      <t>，EMMC群联</t>
    </r>
  </si>
  <si>
    <t>DNN15B(8L+HDI1+OSP)</t>
  </si>
  <si>
    <t>164.4*101.6*1.0mm</t>
  </si>
  <si>
    <t>A.F.M.2301127</t>
  </si>
  <si>
    <t>16G+0</t>
  </si>
  <si>
    <r>
      <rPr>
        <sz val="10"/>
        <rFont val="Arial"/>
        <charset val="134"/>
      </rPr>
      <t>LPDDR5-496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16G</t>
    </r>
  </si>
  <si>
    <r>
      <rPr>
        <sz val="10"/>
        <color theme="1"/>
        <rFont val="宋体"/>
        <charset val="134"/>
      </rPr>
      <t>全功能</t>
    </r>
    <r>
      <rPr>
        <sz val="10"/>
        <color theme="1"/>
        <rFont val="Arial"/>
        <charset val="134"/>
      </rPr>
      <t>(ANX7447QN);</t>
    </r>
  </si>
  <si>
    <t>DNN20A(6L+通孔+OSP)</t>
  </si>
  <si>
    <t>171.2*105.5*1.0</t>
  </si>
  <si>
    <t>A.F.M.2500693</t>
  </si>
  <si>
    <r>
      <rPr>
        <sz val="10"/>
        <rFont val="Arial"/>
        <charset val="134"/>
      </rPr>
      <t>LPDDR5X-496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16G</t>
    </r>
  </si>
  <si>
    <r>
      <rPr>
        <sz val="10"/>
        <color theme="1"/>
        <rFont val="宋体"/>
        <charset val="134"/>
      </rPr>
      <t>全功能</t>
    </r>
    <r>
      <rPr>
        <sz val="10"/>
        <color theme="1"/>
        <rFont val="Arial"/>
        <charset val="134"/>
      </rPr>
      <t>(ANX7447QN);</t>
    </r>
    <r>
      <rPr>
        <sz val="10"/>
        <color theme="1"/>
        <rFont val="宋体"/>
        <charset val="134"/>
      </rPr>
      <t>定制案</t>
    </r>
  </si>
  <si>
    <r>
      <rPr>
        <sz val="10"/>
        <color theme="1"/>
        <rFont val="Arial"/>
        <charset val="134"/>
      </rPr>
      <t>DNS13(8L+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+OSP)</t>
    </r>
  </si>
  <si>
    <t>150*101.1</t>
  </si>
  <si>
    <t>A.F.M.2501899-MP
A.F.M.2502886</t>
  </si>
  <si>
    <t>Type c(单Type C 接口)(VL162)</t>
  </si>
  <si>
    <t>0+32G</t>
  </si>
  <si>
    <t>0+EMMC5.1 32GB</t>
  </si>
  <si>
    <t>HDMI2.0:IT66318FN; RJ45:RTL8125BG; USB3-10G:GL9901VAE; ROM:128Mb</t>
  </si>
  <si>
    <t>DNP59（6L+通孔+OSP）</t>
  </si>
  <si>
    <t>134.16*126.50*1.0mm</t>
  </si>
  <si>
    <t>A.F.M.2501663</t>
  </si>
  <si>
    <t>单Type IC及Type C 单接口(RTS5453H)</t>
  </si>
  <si>
    <t>8G*2+0</t>
  </si>
  <si>
    <r>
      <rPr>
        <sz val="10"/>
        <color theme="1"/>
        <rFont val="宋体"/>
        <charset val="134"/>
      </rPr>
      <t>LPDDR5-315</t>
    </r>
    <r>
      <rPr>
        <sz val="10"/>
        <color theme="1"/>
        <rFont val="宋体"/>
        <charset val="134"/>
      </rPr>
      <t>球</t>
    </r>
    <r>
      <rPr>
        <sz val="10"/>
        <color theme="1"/>
        <rFont val="Arial"/>
        <charset val="134"/>
      </rPr>
      <t>8G</t>
    </r>
  </si>
  <si>
    <t>全功能(RTS5453H)；含TPM</t>
  </si>
  <si>
    <t>A.F.M.2501664</t>
  </si>
  <si>
    <t>4G*2+0</t>
  </si>
  <si>
    <r>
      <rPr>
        <sz val="10"/>
        <color theme="1"/>
        <rFont val="宋体"/>
        <charset val="134"/>
      </rPr>
      <t>LPDDR5X-315</t>
    </r>
    <r>
      <rPr>
        <sz val="10"/>
        <color theme="1"/>
        <rFont val="宋体"/>
        <charset val="134"/>
      </rPr>
      <t>球</t>
    </r>
    <r>
      <rPr>
        <sz val="10"/>
        <color theme="1"/>
        <rFont val="Arial"/>
        <charset val="134"/>
      </rPr>
      <t>4G</t>
    </r>
  </si>
  <si>
    <t>DNN11(8L+HDI+OSP)</t>
  </si>
  <si>
    <t>166.3*107.9*1.0mm</t>
  </si>
  <si>
    <t>A.F.M.2301317-MP</t>
  </si>
  <si>
    <t>双Type C IC及双Type c接口(ANX7447QN/HUSB238)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</si>
  <si>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/LPDDR5-496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16G?</t>
    </r>
  </si>
  <si>
    <t>TPM:SLB 9672VU2.0;  电量计： CW2015CHBD；  ROM:256Mb;</t>
  </si>
  <si>
    <t>DNP15C(8L+HDI1+OSP)</t>
  </si>
  <si>
    <t>142.0*109.2*0.8mm</t>
  </si>
  <si>
    <t>A.F.M.2500752-OOC</t>
  </si>
  <si>
    <t>双Type c(双Type C 接口)</t>
  </si>
  <si>
    <r>
      <rPr>
        <sz val="10"/>
        <rFont val="Arial"/>
        <charset val="134"/>
      </rPr>
      <t>N350(</t>
    </r>
    <r>
      <rPr>
        <sz val="10"/>
        <rFont val="宋体"/>
        <charset val="134"/>
      </rPr>
      <t>7W</t>
    </r>
    <r>
      <rPr>
        <sz val="10"/>
        <rFont val="Arial"/>
        <charset val="134"/>
      </rPr>
      <t>)</t>
    </r>
  </si>
  <si>
    <r>
      <rPr>
        <sz val="10"/>
        <color theme="1"/>
        <rFont val="Arial"/>
        <charset val="134"/>
      </rPr>
      <t>DNS11(6L+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+OSP)</t>
    </r>
  </si>
  <si>
    <t>180.0*145.0*1.6mm</t>
  </si>
  <si>
    <t>A.F.M.2501021-MP</t>
  </si>
  <si>
    <t>群联</t>
  </si>
  <si>
    <t>HDMI:IT66318FN;  RJ45:RTL8125BG; ROM:128Mb</t>
  </si>
  <si>
    <t>DNNTUS(6L+通孔+OSP)</t>
  </si>
  <si>
    <t>199.4*114.0*1.0mm</t>
  </si>
  <si>
    <t>A.F.M.2501038-MP</t>
  </si>
  <si>
    <t>N150(6W)</t>
  </si>
  <si>
    <t>WD-RTL8821CE</t>
  </si>
  <si>
    <t>JN56(8L+通孔+OSP)</t>
  </si>
  <si>
    <t>264.6*167.6*1.05mm</t>
  </si>
  <si>
    <t>A.F.M.2401298-OOC</t>
  </si>
  <si>
    <t>三TYPE C IC 及双Type c 接口(ANX7447QN&amp;ANX7443QN&amp;ANX7411QN)</t>
  </si>
  <si>
    <t>2G*2+64G</t>
  </si>
  <si>
    <t>HDMI2.0:IT66318FN;  ROM:128Mb</t>
  </si>
  <si>
    <r>
      <rPr>
        <sz val="10"/>
        <color theme="1"/>
        <rFont val="Arial"/>
        <charset val="134"/>
      </rPr>
      <t>JN81S(6L+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+OSP)</t>
    </r>
  </si>
  <si>
    <t>190*114*1.0mm</t>
  </si>
  <si>
    <t>A.F.M.2500306-MP</t>
  </si>
  <si>
    <t>Type c(单接口)（ANX7447QN）</t>
  </si>
  <si>
    <t>JS6(8L+通孔+OSP)</t>
  </si>
  <si>
    <t>170*125.5*1.6mm</t>
  </si>
  <si>
    <t>A.F.M.2400516</t>
  </si>
  <si>
    <t>Type c(单接口)</t>
  </si>
  <si>
    <t>N-10W</t>
  </si>
  <si>
    <r>
      <rPr>
        <sz val="10"/>
        <rFont val="宋体"/>
        <charset val="134"/>
      </rPr>
      <t>江波龙</t>
    </r>
    <r>
      <rPr>
        <sz val="10"/>
        <rFont val="Arial"/>
        <charset val="134"/>
      </rPr>
      <t>EMMC 32GB</t>
    </r>
  </si>
  <si>
    <t>E-BOM,，含散热模组,INTEL网卡IC:I226-V,ROM:128Mb;</t>
  </si>
  <si>
    <r>
      <rPr>
        <sz val="10"/>
        <color theme="1"/>
        <rFont val="Arial"/>
        <charset val="134"/>
      </rPr>
      <t>DNN25B(8L</t>
    </r>
    <r>
      <rPr>
        <sz val="10"/>
        <color theme="1"/>
        <rFont val="宋体"/>
        <charset val="134"/>
      </rPr>
      <t>+HDI+OSP+HF)</t>
    </r>
  </si>
  <si>
    <t>188.1x99.2x1.0mm</t>
  </si>
  <si>
    <t>A.F.M.260XXXX全配</t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</si>
  <si>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及双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(ANX7447QN</t>
    </r>
    <r>
      <rPr>
        <sz val="10"/>
        <rFont val="宋体"/>
        <charset val="134"/>
      </rPr>
      <t>）</t>
    </r>
  </si>
  <si>
    <t>16GB+128</t>
  </si>
  <si>
    <t>16GB 496球+ EMMC 128</t>
  </si>
  <si>
    <r>
      <rPr>
        <sz val="10"/>
        <color theme="1"/>
        <rFont val="Arial"/>
        <charset val="134"/>
      </rPr>
      <t xml:space="preserve">HDMI2.0 IT66318FN; TPM:SLB 9672; OLED :G2708CKU1U; </t>
    </r>
    <r>
      <rPr>
        <sz val="10"/>
        <color theme="1"/>
        <rFont val="宋体"/>
        <charset val="134"/>
      </rPr>
      <t>电量计：</t>
    </r>
    <r>
      <rPr>
        <sz val="10"/>
        <color theme="1"/>
        <rFont val="Arial"/>
        <charset val="134"/>
      </rPr>
      <t>CW2217;  ROM:128Mb ;   SMT</t>
    </r>
    <r>
      <rPr>
        <sz val="10"/>
        <color theme="1"/>
        <rFont val="宋体"/>
        <charset val="134"/>
      </rPr>
      <t>预估价</t>
    </r>
  </si>
  <si>
    <r>
      <rPr>
        <sz val="10"/>
        <color theme="1"/>
        <rFont val="Arial"/>
        <charset val="134"/>
      </rPr>
      <t>DNN253(6L+</t>
    </r>
    <r>
      <rPr>
        <sz val="10"/>
        <color theme="1"/>
        <rFont val="宋体"/>
        <charset val="134"/>
      </rPr>
      <t>通孔+OSP)</t>
    </r>
  </si>
  <si>
    <t>193.6x100.2x1mm</t>
  </si>
  <si>
    <t>A.F.M.2602447低配</t>
  </si>
  <si>
    <t>CDW-61852BE-00T</t>
  </si>
  <si>
    <t>1月份汇率：7.01</t>
  </si>
  <si>
    <r>
      <rPr>
        <b/>
        <sz val="12"/>
        <color theme="1"/>
        <rFont val="Arial"/>
        <charset val="134"/>
      </rPr>
      <t>pcb</t>
    </r>
    <r>
      <rPr>
        <b/>
        <sz val="12"/>
        <color theme="1"/>
        <rFont val="宋体"/>
        <charset val="134"/>
      </rPr>
      <t>为普通材质</t>
    </r>
    <r>
      <rPr>
        <b/>
        <sz val="12"/>
        <color theme="1"/>
        <rFont val="Arial"/>
        <charset val="134"/>
      </rPr>
      <t>OSP</t>
    </r>
    <r>
      <rPr>
        <b/>
        <sz val="12"/>
        <color theme="1"/>
        <rFont val="宋体"/>
        <charset val="134"/>
      </rPr>
      <t>工艺，如用特殊材质请单独核</t>
    </r>
    <r>
      <rPr>
        <b/>
        <sz val="12"/>
        <color theme="1"/>
        <rFont val="Arial"/>
        <charset val="134"/>
      </rPr>
      <t>;CPU;DDR;SSD;EMMC;WIFI</t>
    </r>
    <r>
      <rPr>
        <b/>
        <sz val="12"/>
        <color theme="1"/>
        <rFont val="宋体"/>
        <charset val="134"/>
      </rPr>
      <t>请按需求选配</t>
    </r>
    <r>
      <rPr>
        <b/>
        <sz val="12"/>
        <color theme="1"/>
        <rFont val="Arial"/>
        <charset val="134"/>
      </rPr>
      <t xml:space="preserve"> </t>
    </r>
  </si>
  <si>
    <r>
      <rPr>
        <b/>
        <sz val="10"/>
        <color theme="1"/>
        <rFont val="Arial"/>
        <charset val="134"/>
      </rPr>
      <t>雷电</t>
    </r>
    <r>
      <rPr>
        <b/>
        <sz val="8"/>
        <color rgb="FF000000"/>
        <rFont val="Arial"/>
        <charset val="134"/>
      </rPr>
      <t>IC</t>
    </r>
  </si>
  <si>
    <r>
      <rPr>
        <b/>
        <sz val="10"/>
        <rFont val="宋体"/>
        <charset val="134"/>
      </rPr>
      <t>5/9更新</t>
    </r>
    <r>
      <rPr>
        <b/>
        <sz val="10"/>
        <rFont val="Arial"/>
        <charset val="134"/>
      </rPr>
      <t>(RMB</t>
    </r>
    <r>
      <rPr>
        <b/>
        <sz val="10"/>
        <rFont val="宋体"/>
        <charset val="134"/>
      </rPr>
      <t>含税</t>
    </r>
    <r>
      <rPr>
        <b/>
        <sz val="10"/>
        <rFont val="Arial"/>
        <charset val="134"/>
      </rPr>
      <t>)</t>
    </r>
  </si>
  <si>
    <r>
      <rPr>
        <sz val="10"/>
        <rFont val="Arial"/>
        <charset val="134"/>
      </rPr>
      <t>GL2(VR</t>
    </r>
    <r>
      <rPr>
        <sz val="10"/>
        <rFont val="宋体"/>
        <charset val="134"/>
      </rPr>
      <t>眼镜</t>
    </r>
    <r>
      <rPr>
        <sz val="10"/>
        <rFont val="Arial"/>
        <charset val="134"/>
      </rPr>
      <t>)/50</t>
    </r>
    <r>
      <rPr>
        <sz val="10"/>
        <rFont val="宋体"/>
        <charset val="134"/>
      </rPr>
      <t>套预估价格</t>
    </r>
  </si>
  <si>
    <t>A.F.M.2401739</t>
  </si>
  <si>
    <r>
      <rPr>
        <sz val="10"/>
        <color rgb="FFFF0000"/>
        <rFont val="宋体"/>
        <charset val="134"/>
      </rPr>
      <t>数量少按此前一批估算 试产费用预估6800￥，平摊50套。</t>
    </r>
    <r>
      <rPr>
        <sz val="10"/>
        <rFont val="宋体"/>
        <charset val="134"/>
      </rPr>
      <t>含</t>
    </r>
    <r>
      <rPr>
        <sz val="6"/>
        <rFont val="Arial"/>
        <charset val="134"/>
      </rPr>
      <t>VL822</t>
    </r>
    <r>
      <rPr>
        <sz val="6"/>
        <rFont val="宋体"/>
        <charset val="134"/>
      </rPr>
      <t>；未算上</t>
    </r>
    <r>
      <rPr>
        <sz val="6"/>
        <rFont val="Arial"/>
        <charset val="134"/>
      </rPr>
      <t>14</t>
    </r>
    <r>
      <rPr>
        <sz val="6"/>
        <rFont val="宋体"/>
        <charset val="134"/>
      </rPr>
      <t>颗客供料的成本；含龙讯HDMI2.0用量1颗，含连接器502244-1530 两个用量；PCB分两个工艺价格，8.56无树塞/11.26按树脂塞孔(二种报价都写上),EQ上有表明二种工艺,此项按树脂塞孔核算</t>
    </r>
  </si>
  <si>
    <r>
      <rPr>
        <sz val="10"/>
        <rFont val="Arial"/>
        <charset val="134"/>
      </rPr>
      <t>含客供料</t>
    </r>
    <r>
      <rPr>
        <sz val="10"/>
        <rFont val="Arial"/>
        <charset val="134"/>
      </rPr>
      <t>OPT101P-J</t>
    </r>
  </si>
  <si>
    <r>
      <rPr>
        <sz val="10"/>
        <color rgb="FFFF0000"/>
        <rFont val="宋体"/>
        <charset val="134"/>
      </rPr>
      <t>数量少按此前一批估算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>试产费用预估</t>
    </r>
    <r>
      <rPr>
        <sz val="10"/>
        <color rgb="FFFF0000"/>
        <rFont val="Arial"/>
        <charset val="134"/>
      </rPr>
      <t>1150</t>
    </r>
    <r>
      <rPr>
        <sz val="10"/>
        <color rgb="FFFF0000"/>
        <rFont val="宋体"/>
        <charset val="134"/>
      </rPr>
      <t>￥，平摊</t>
    </r>
    <r>
      <rPr>
        <sz val="10"/>
        <color rgb="FFFF0000"/>
        <rFont val="Arial"/>
        <charset val="134"/>
      </rPr>
      <t>50</t>
    </r>
    <r>
      <rPr>
        <sz val="10"/>
        <color rgb="FFFF0000"/>
        <rFont val="宋体"/>
        <charset val="134"/>
      </rPr>
      <t>套,</t>
    </r>
    <r>
      <rPr>
        <sz val="10"/>
        <rFont val="Arial"/>
        <charset val="134"/>
      </rPr>
      <t>cpu</t>
    </r>
    <r>
      <rPr>
        <sz val="10"/>
        <rFont val="宋体"/>
        <charset val="134"/>
      </rPr>
      <t>含</t>
    </r>
    <r>
      <rPr>
        <sz val="10"/>
        <rFont val="Arial"/>
        <charset val="134"/>
      </rPr>
      <t>PIC18F14K50-I/SO</t>
    </r>
    <r>
      <rPr>
        <sz val="10"/>
        <rFont val="宋体"/>
        <charset val="134"/>
      </rPr>
      <t>，</t>
    </r>
    <r>
      <rPr>
        <sz val="10"/>
        <rFont val="Arial"/>
        <charset val="134"/>
      </rPr>
      <t>PIC18F14K50-I/SO</t>
    </r>
    <r>
      <rPr>
        <sz val="10"/>
        <rFont val="宋体"/>
        <charset val="134"/>
      </rPr>
      <t>目前现货价格是</t>
    </r>
    <r>
      <rPr>
        <sz val="10"/>
        <rFont val="Arial"/>
        <charset val="134"/>
      </rPr>
      <t>40</t>
    </r>
  </si>
  <si>
    <r>
      <rPr>
        <sz val="10"/>
        <color theme="1"/>
        <rFont val="宋体"/>
        <charset val="134"/>
      </rPr>
      <t>预估</t>
    </r>
    <r>
      <rPr>
        <sz val="10"/>
        <color theme="1"/>
        <rFont val="Arial"/>
        <charset val="134"/>
      </rPr>
      <t>PST</t>
    </r>
    <r>
      <rPr>
        <sz val="10"/>
        <color theme="1"/>
        <rFont val="宋体"/>
        <charset val="134"/>
      </rPr>
      <t>价格</t>
    </r>
  </si>
  <si>
    <t>SU_PST_LAN_DB_V10_250915A</t>
  </si>
  <si>
    <t xml:space="preserve">PCB用E.P.P.0002088预估 </t>
  </si>
  <si>
    <t>SU_PST_LED_DB_V10_250915A</t>
  </si>
  <si>
    <t xml:space="preserve">PCB用E.P.P.0004934预估 </t>
  </si>
  <si>
    <t>SU_PST_U3+SD_DB_V10_250915A</t>
  </si>
  <si>
    <t>SU_PST_WCL-U_MB_V10_250915</t>
  </si>
  <si>
    <t>PCB用DN253预估E.P.P.0006645；</t>
  </si>
  <si>
    <r>
      <rPr>
        <sz val="10"/>
        <rFont val="Arial"/>
        <charset val="134"/>
      </rPr>
      <t>Type c(l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)(ANX7447QN)</t>
    </r>
  </si>
  <si>
    <t>全功能（ANX7447QN）；</t>
  </si>
  <si>
    <t>A.F.M.2502429</t>
  </si>
  <si>
    <r>
      <rPr>
        <sz val="10"/>
        <rFont val="宋体"/>
        <charset val="134"/>
      </rPr>
      <t>无</t>
    </r>
    <r>
      <rPr>
        <sz val="10"/>
        <rFont val="Arial"/>
        <charset val="134"/>
      </rPr>
      <t>TYPE-C IC,l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</si>
  <si>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t>8821 SMD</t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</si>
  <si>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Type c(</t>
    </r>
    <r>
      <rPr>
        <sz val="10"/>
        <rFont val="微软雅黑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</si>
  <si>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N-</t>
    </r>
    <r>
      <rPr>
        <sz val="10"/>
        <rFont val="宋体"/>
        <charset val="134"/>
      </rPr>
      <t>7W</t>
    </r>
  </si>
  <si>
    <t>双Type C IC及两个Type c接口；DDR使用镁光暂无价格;ALC269Q;IT5570E;MP2964GQKT;</t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</si>
  <si>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(ANX7447QN)</t>
    </r>
  </si>
  <si>
    <t>缺货</t>
  </si>
  <si>
    <t>全功能（ANX7447QN）；含有加密IC TPM(9672)；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</si>
  <si>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宋体"/>
        <charset val="134"/>
      </rPr>
      <t>及一个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接口（</t>
    </r>
    <r>
      <rPr>
        <sz val="10"/>
        <rFont val="Arial"/>
        <charset val="134"/>
      </rPr>
      <t>ANX7447QN</t>
    </r>
    <r>
      <rPr>
        <sz val="10"/>
        <rFont val="宋体"/>
        <charset val="134"/>
      </rPr>
      <t>）</t>
    </r>
  </si>
  <si>
    <t>全功能（ANX7447QN）</t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</si>
  <si>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个接口</t>
    </r>
    <r>
      <rPr>
        <sz val="10"/>
        <rFont val="Arial"/>
        <charset val="134"/>
      </rPr>
      <t>)</t>
    </r>
    <r>
      <rPr>
        <sz val="10"/>
        <rFont val="宋体"/>
        <charset val="134"/>
      </rPr>
      <t>（</t>
    </r>
    <r>
      <rPr>
        <sz val="10"/>
        <rFont val="Arial"/>
        <charset val="134"/>
      </rPr>
      <t>ANX7447QN</t>
    </r>
    <r>
      <rPr>
        <sz val="10"/>
        <rFont val="宋体"/>
        <charset val="134"/>
      </rPr>
      <t>）</t>
    </r>
  </si>
  <si>
    <t>,PCB沿用ARNIU146B的pcb价格（科翔最便宜价），.单Typec(两个Type c接口)6600H，0thers部分用ARNTU146 sku4评估，smt待正式量产后确认最新核价</t>
  </si>
  <si>
    <t>DNN21(8L+HDI1+OSP)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</si>
  <si>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及一个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接口（ANX7447QN）</t>
    </r>
  </si>
  <si>
    <t>全功能（ANX7447QN）;含CW2015CHBD</t>
  </si>
  <si>
    <t>DNP13C（6L+通孔+OSP）</t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</si>
  <si>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Type c IC(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)(ANX7447QN)</t>
    </r>
  </si>
  <si>
    <r>
      <rPr>
        <sz val="10"/>
        <rFont val="宋体"/>
        <charset val="134"/>
      </rPr>
      <t>全功能</t>
    </r>
    <r>
      <rPr>
        <sz val="10"/>
        <rFont val="Arial"/>
        <charset val="134"/>
      </rPr>
      <t>(ANX7447QN);</t>
    </r>
    <r>
      <rPr>
        <sz val="10"/>
        <rFont val="宋体"/>
        <charset val="134"/>
      </rPr>
      <t>含加密IC TPM;</t>
    </r>
  </si>
  <si>
    <t>A.F.M.2601374</t>
  </si>
  <si>
    <t>A.F.M.2500159</t>
  </si>
  <si>
    <t>SKU9 PVT</t>
  </si>
  <si>
    <r>
      <rPr>
        <sz val="10"/>
        <rFont val="宋体"/>
        <charset val="134"/>
      </rPr>
      <t>全功能</t>
    </r>
    <r>
      <rPr>
        <sz val="10"/>
        <rFont val="Arial"/>
        <charset val="134"/>
      </rPr>
      <t>(ANX7447QN);</t>
    </r>
    <r>
      <rPr>
        <sz val="10"/>
        <rFont val="宋体"/>
        <charset val="134"/>
      </rPr>
      <t>电量计bq24715RGRR</t>
    </r>
  </si>
  <si>
    <t>A.F.M.2500154</t>
  </si>
  <si>
    <t>DNN21F(8L+HDI1+OSP)</t>
  </si>
  <si>
    <t>214.5mm*120.0mm*1.0</t>
  </si>
  <si>
    <t>A.F.M.2401659</t>
  </si>
  <si>
    <t>单TYPE-C IC+单TYPE-C座</t>
  </si>
  <si>
    <t>6W</t>
  </si>
  <si>
    <t>N355(15w)</t>
  </si>
  <si>
    <t>GN10B</t>
  </si>
  <si>
    <t>客供</t>
  </si>
  <si>
    <r>
      <rPr>
        <sz val="10"/>
        <rFont val="Arial"/>
        <charset val="134"/>
      </rPr>
      <t>Type Ic</t>
    </r>
    <r>
      <rPr>
        <sz val="10"/>
        <rFont val="宋体"/>
        <charset val="134"/>
      </rPr>
      <t>(一个Type c 接口)ANX7447QN</t>
    </r>
  </si>
  <si>
    <t>DNA10(8L+通孔+OSP)</t>
  </si>
  <si>
    <t>Non Type c</t>
  </si>
  <si>
    <t>N95(15W)</t>
  </si>
  <si>
    <t>N100(6W)</t>
  </si>
  <si>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</si>
  <si>
    <t>A.F.M.2400614-MP</t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</si>
  <si>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RTL8111H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ALC897</t>
    </r>
  </si>
  <si>
    <t>A.F.M.2400832-MP</t>
  </si>
  <si>
    <t>DNN21S</t>
  </si>
  <si>
    <t>A.F.M.2300280-MP</t>
  </si>
  <si>
    <t>N305(15W)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</si>
  <si>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</si>
  <si>
    <r>
      <rPr>
        <sz val="10"/>
        <rFont val="宋体"/>
        <charset val="134"/>
      </rPr>
      <t>全功能（ANX7447QN）</t>
    </r>
    <r>
      <rPr>
        <sz val="10"/>
        <rFont val="Arial"/>
        <charset val="134"/>
      </rPr>
      <t>;</t>
    </r>
    <r>
      <rPr>
        <sz val="10"/>
        <rFont val="宋体"/>
        <charset val="134"/>
      </rPr>
      <t>含加密IC TPM 9672；</t>
    </r>
  </si>
  <si>
    <t>A.F.M.2300627-MP</t>
  </si>
  <si>
    <t>N200(6W)</t>
  </si>
  <si>
    <t>A.F.M.2301957-MP</t>
  </si>
  <si>
    <t>A.F.M.2302080-MP</t>
  </si>
  <si>
    <r>
      <rPr>
        <sz val="10"/>
        <rFont val="Arial"/>
        <charset val="134"/>
      </rPr>
      <t>Type c(2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</si>
  <si>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t>A.F.M.2302170-MP</t>
  </si>
  <si>
    <r>
      <rPr>
        <sz val="10"/>
        <rFont val="微软雅黑"/>
        <charset val="134"/>
      </rPr>
      <t>江波龙</t>
    </r>
    <r>
      <rPr>
        <sz val="10"/>
        <rFont val="Arial"/>
        <charset val="134"/>
      </rPr>
      <t>/</t>
    </r>
    <r>
      <rPr>
        <sz val="10"/>
        <rFont val="微软雅黑"/>
        <charset val="134"/>
      </rPr>
      <t>条子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</si>
  <si>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</t>
    </r>
  </si>
  <si>
    <t>A.F.M.2302172-MP</t>
  </si>
  <si>
    <r>
      <rPr>
        <sz val="10"/>
        <rFont val="Arial"/>
        <charset val="134"/>
      </rPr>
      <t>Type c</t>
    </r>
    <r>
      <rPr>
        <sz val="10"/>
        <rFont val="宋体"/>
        <charset val="134"/>
      </rPr>
      <t>（</t>
    </r>
    <r>
      <rPr>
        <sz val="10"/>
        <rFont val="Arial"/>
        <charset val="134"/>
      </rPr>
      <t>1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</si>
  <si>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群联</t>
    </r>
    <r>
      <rPr>
        <sz val="10"/>
        <rFont val="Arial"/>
        <charset val="134"/>
      </rPr>
      <t>/</t>
    </r>
    <r>
      <rPr>
        <sz val="10"/>
        <rFont val="微软雅黑"/>
        <charset val="134"/>
      </rPr>
      <t>条子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</si>
  <si>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及一个type c接口；IT5570E；MP2964GQKT；ANX7447QN</t>
    </r>
  </si>
  <si>
    <t>A.F.M.2400176-MP</t>
  </si>
  <si>
    <r>
      <rPr>
        <sz val="10"/>
        <rFont val="Arial"/>
        <charset val="134"/>
      </rPr>
      <t>Non Type c(2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</si>
  <si>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t>N97(12W)</t>
  </si>
  <si>
    <r>
      <rPr>
        <sz val="10"/>
        <rFont val="宋体"/>
        <charset val="134"/>
      </rPr>
      <t>2个Type C接口；含</t>
    </r>
    <r>
      <rPr>
        <sz val="10"/>
        <rFont val="Arial"/>
        <charset val="134"/>
      </rPr>
      <t>MP86941</t>
    </r>
  </si>
  <si>
    <t>A.F.M.2400339-MP</t>
  </si>
  <si>
    <t>A.F.M.2400453-OOC</t>
  </si>
  <si>
    <r>
      <rPr>
        <sz val="10"/>
        <rFont val="宋体"/>
        <charset val="134"/>
      </rPr>
      <t>群联</t>
    </r>
    <r>
      <rPr>
        <sz val="10"/>
        <rFont val="Arial"/>
        <charset val="134"/>
      </rPr>
      <t>/</t>
    </r>
    <r>
      <rPr>
        <sz val="10"/>
        <rFont val="微软雅黑"/>
        <charset val="134"/>
      </rPr>
      <t>条子</t>
    </r>
  </si>
  <si>
    <t>A.F.M.2503232</t>
  </si>
  <si>
    <r>
      <rPr>
        <sz val="10"/>
        <rFont val="Arial"/>
        <charset val="134"/>
      </rPr>
      <t>PCB</t>
    </r>
    <r>
      <rPr>
        <sz val="10"/>
        <rFont val="宋体"/>
        <charset val="134"/>
      </rPr>
      <t>上涨中，实单前确认</t>
    </r>
  </si>
  <si>
    <t>A.F.M.2400454-OOC</t>
  </si>
  <si>
    <t>单Type C及一个type c接口；16TQC33MYFB</t>
  </si>
  <si>
    <t>A.F.M.2400543-MP</t>
  </si>
  <si>
    <t>A.F.M.2400668-MP</t>
  </si>
  <si>
    <t>A.F.M.2400677-MP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</si>
  <si>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；含有加密</t>
    </r>
    <r>
      <rPr>
        <sz val="10"/>
        <rFont val="Arial"/>
        <charset val="134"/>
      </rPr>
      <t>IC TPM</t>
    </r>
  </si>
  <si>
    <t>A.F.M.2400872-MP</t>
  </si>
  <si>
    <t>2个Type C接口；含MP86941</t>
  </si>
  <si>
    <t>A.F.M.2400957-MP</t>
  </si>
  <si>
    <t>A.F.M.2400958-MP</t>
  </si>
  <si>
    <t>A.F.M.2400998-MP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</si>
  <si>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及一个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接口；</t>
    </r>
  </si>
  <si>
    <t>A.F.M.2401071-MP</t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</si>
  <si>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一个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</si>
  <si>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t>A.F.M.2401090-MP</t>
  </si>
  <si>
    <r>
      <rPr>
        <sz val="10"/>
        <rFont val="Arial"/>
        <charset val="134"/>
      </rPr>
      <t>Non Type c(</t>
    </r>
    <r>
      <rPr>
        <sz val="10"/>
        <rFont val="宋体"/>
        <charset val="134"/>
      </rPr>
      <t>一个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</si>
  <si>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无</t>
    </r>
    <r>
      <rPr>
        <sz val="10"/>
        <rFont val="Arial"/>
        <charset val="134"/>
      </rPr>
      <t>Type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一个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接口；</t>
    </r>
  </si>
  <si>
    <t>A.F.M.2401099-MP</t>
  </si>
  <si>
    <t>A.F.M.2401212-OOC</t>
  </si>
  <si>
    <r>
      <rPr>
        <sz val="10"/>
        <rFont val="Arial"/>
        <charset val="134"/>
      </rPr>
      <t>Type c(</t>
    </r>
    <r>
      <rPr>
        <sz val="10"/>
        <rFont val="微软雅黑"/>
        <charset val="134"/>
      </rPr>
      <t>一个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</si>
  <si>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t>N355</t>
  </si>
  <si>
    <r>
      <rPr>
        <sz val="10"/>
        <rFont val="微软雅黑"/>
        <charset val="134"/>
      </rPr>
      <t>CPU目前无价格；单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及一个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接口；</t>
    </r>
  </si>
  <si>
    <t>A.F.M.2401213-OOC</t>
  </si>
  <si>
    <t>N150(Q56Z)</t>
  </si>
  <si>
    <t>A.F.M.2401242-MP</t>
  </si>
  <si>
    <t>A.F.M.2401501-MP</t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</si>
  <si>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两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</si>
  <si>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接口；MP86941*2pcs;IT5570E</t>
    </r>
  </si>
  <si>
    <t>A.F.M.2401569-MP</t>
  </si>
  <si>
    <t>单Type C IC及两个Type c 接口；含ANX7447QN；MP2964GQKT；MP2964GQKT</t>
  </si>
  <si>
    <t>A.F.M.2401782-MP</t>
  </si>
  <si>
    <t>单Type C IC及两个Type c 接口；含有加密IC TPM;MP86941</t>
  </si>
  <si>
    <t>A.F.M.2402047-MP</t>
  </si>
  <si>
    <r>
      <rPr>
        <sz val="10"/>
        <color theme="1"/>
        <rFont val="宋体"/>
        <charset val="134"/>
      </rPr>
      <t>单</t>
    </r>
    <r>
      <rPr>
        <sz val="10"/>
        <color theme="1"/>
        <rFont val="Arial"/>
        <charset val="134"/>
      </rPr>
      <t>Type C IC</t>
    </r>
    <r>
      <rPr>
        <sz val="10"/>
        <color theme="1"/>
        <rFont val="宋体"/>
        <charset val="134"/>
      </rPr>
      <t>及两个</t>
    </r>
    <r>
      <rPr>
        <sz val="10"/>
        <color theme="1"/>
        <rFont val="Arial"/>
        <charset val="134"/>
      </rPr>
      <t xml:space="preserve">Type c </t>
    </r>
    <r>
      <rPr>
        <sz val="10"/>
        <color theme="1"/>
        <rFont val="宋体"/>
        <charset val="134"/>
      </rPr>
      <t>接口；</t>
    </r>
    <r>
      <rPr>
        <sz val="10"/>
        <color theme="1"/>
        <rFont val="Arial"/>
        <charset val="134"/>
      </rPr>
      <t>MP2964GQKT-0083;MP86941*2pcs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>SN6140.</t>
    </r>
    <r>
      <rPr>
        <sz val="10"/>
        <color theme="1"/>
        <rFont val="宋体"/>
        <charset val="134"/>
      </rPr>
      <t>板子用</t>
    </r>
    <r>
      <rPr>
        <sz val="10"/>
        <color theme="1"/>
        <rFont val="Arial"/>
        <charset val="134"/>
      </rPr>
      <t>OSP</t>
    </r>
    <r>
      <rPr>
        <sz val="10"/>
        <color theme="1"/>
        <rFont val="宋体"/>
        <charset val="134"/>
      </rPr>
      <t>工艺</t>
    </r>
  </si>
  <si>
    <t>A.F.M.2500704-MP</t>
  </si>
  <si>
    <r>
      <rPr>
        <sz val="10"/>
        <color theme="1"/>
        <rFont val="宋体"/>
        <charset val="134"/>
      </rPr>
      <t>单</t>
    </r>
    <r>
      <rPr>
        <sz val="10"/>
        <color theme="1"/>
        <rFont val="Arial"/>
        <charset val="134"/>
      </rPr>
      <t>Type C IC</t>
    </r>
    <r>
      <rPr>
        <sz val="10"/>
        <color theme="1"/>
        <rFont val="宋体"/>
        <charset val="134"/>
      </rPr>
      <t>及一个</t>
    </r>
    <r>
      <rPr>
        <sz val="10"/>
        <color theme="1"/>
        <rFont val="Arial"/>
        <charset val="134"/>
      </rPr>
      <t xml:space="preserve">Type c </t>
    </r>
    <r>
      <rPr>
        <sz val="10"/>
        <color theme="1"/>
        <rFont val="宋体"/>
        <charset val="134"/>
      </rPr>
      <t>接口；ALC269Q</t>
    </r>
    <r>
      <rPr>
        <sz val="10"/>
        <color theme="1"/>
        <rFont val="Arial"/>
        <charset val="134"/>
      </rPr>
      <t>;MP86941*2pcs</t>
    </r>
    <r>
      <rPr>
        <sz val="10"/>
        <color theme="1"/>
        <rFont val="宋体"/>
        <charset val="134"/>
      </rPr>
      <t>；IT5570E;板子用</t>
    </r>
    <r>
      <rPr>
        <sz val="10"/>
        <color theme="1"/>
        <rFont val="Arial"/>
        <charset val="134"/>
      </rPr>
      <t>OSP</t>
    </r>
    <r>
      <rPr>
        <sz val="10"/>
        <color theme="1"/>
        <rFont val="宋体"/>
        <charset val="134"/>
      </rPr>
      <t>工艺</t>
    </r>
  </si>
  <si>
    <t>A.F.M.2500787-MP</t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</si>
  <si>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Type c(</t>
    </r>
    <r>
      <rPr>
        <sz val="10"/>
        <rFont val="宋体"/>
        <charset val="134"/>
      </rPr>
      <t>两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</si>
  <si>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color theme="1"/>
        <rFont val="宋体"/>
        <charset val="134"/>
      </rPr>
      <t>双Type C IC及两个Type c 接口;</t>
    </r>
    <r>
      <rPr>
        <sz val="10"/>
        <color theme="1"/>
        <rFont val="Arial"/>
        <charset val="134"/>
      </rPr>
      <t>ALC269Q;MP86941*3pcs;IT5570E;MP2964GQKT-0084</t>
    </r>
  </si>
  <si>
    <t>A.F.M.2500869-MP_for CKD</t>
  </si>
  <si>
    <t>SKU56(CKD)</t>
  </si>
  <si>
    <r>
      <rPr>
        <sz val="10"/>
        <color theme="1"/>
        <rFont val="宋体"/>
        <charset val="134"/>
      </rPr>
      <t>双Type C IC及两个Type c 接口;</t>
    </r>
    <r>
      <rPr>
        <sz val="10"/>
        <color theme="1"/>
        <rFont val="Arial"/>
        <charset val="134"/>
      </rPr>
      <t>ALC269Q;MP86941*2pcs;IT5570E;MP2964GQKT-0084</t>
    </r>
  </si>
  <si>
    <t>A.F.M.2500870</t>
  </si>
  <si>
    <t>SKU57(CKD)</t>
  </si>
  <si>
    <t>A.F.M.2501223-MP</t>
  </si>
  <si>
    <t>双Type C IC及两个Type c 接口;SN6140;MP86941*3pcs;MP2964GQKT;</t>
  </si>
  <si>
    <t>A.F.M.2502025</t>
  </si>
  <si>
    <t>SKU64</t>
  </si>
  <si>
    <r>
      <rPr>
        <sz val="10"/>
        <rFont val="Arial"/>
        <charset val="134"/>
      </rPr>
      <t xml:space="preserve">A.F.D.2300314  USB DB </t>
    </r>
    <r>
      <rPr>
        <sz val="10"/>
        <rFont val="微软雅黑"/>
        <charset val="134"/>
      </rPr>
      <t>爆款不带</t>
    </r>
    <r>
      <rPr>
        <sz val="10"/>
        <rFont val="Arial"/>
        <charset val="134"/>
      </rPr>
      <t>RJ45</t>
    </r>
    <r>
      <rPr>
        <sz val="10"/>
        <rFont val="微软雅黑"/>
        <charset val="134"/>
      </rPr>
      <t>小板</t>
    </r>
  </si>
  <si>
    <t>DNN20A(8L+HDI1+OSP)</t>
  </si>
  <si>
    <t>A.F.M.2302353-MP</t>
  </si>
  <si>
    <t>8G+0</t>
  </si>
  <si>
    <r>
      <rPr>
        <sz val="10"/>
        <rFont val="Arial"/>
        <charset val="134"/>
      </rPr>
      <t>LPDDR5-496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</si>
  <si>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暂无价格</t>
    </r>
    <r>
      <rPr>
        <sz val="10"/>
        <rFont val="微软雅黑"/>
        <charset val="134"/>
      </rPr>
      <t>；双</t>
    </r>
    <r>
      <rPr>
        <sz val="10"/>
        <rFont val="Arial"/>
        <charset val="134"/>
      </rPr>
      <t>Type c;</t>
    </r>
  </si>
  <si>
    <t>A.F.M.2400596-MP</t>
  </si>
  <si>
    <t>12G+0</t>
  </si>
  <si>
    <r>
      <rPr>
        <sz val="10"/>
        <rFont val="Arial"/>
        <charset val="134"/>
      </rPr>
      <t>LPDDR5X-496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12G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</si>
  <si>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；双</t>
    </r>
    <r>
      <rPr>
        <sz val="10"/>
        <rFont val="Arial"/>
        <charset val="134"/>
      </rPr>
      <t>Type c;</t>
    </r>
  </si>
  <si>
    <t>A.F.M.2500483-OOC</t>
  </si>
  <si>
    <r>
      <rPr>
        <sz val="10"/>
        <color theme="0"/>
        <rFont val="宋体"/>
        <charset val="134"/>
      </rPr>
      <t>双</t>
    </r>
    <r>
      <rPr>
        <sz val="10"/>
        <color theme="0"/>
        <rFont val="Arial"/>
        <charset val="134"/>
      </rPr>
      <t>Type c</t>
    </r>
    <r>
      <rPr>
        <sz val="10"/>
        <color theme="0"/>
        <rFont val="宋体"/>
        <charset val="134"/>
      </rPr>
      <t>及两个Typec接口</t>
    </r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</si>
  <si>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及两个接口；</t>
    </r>
    <r>
      <rPr>
        <sz val="10"/>
        <rFont val="Arial"/>
        <charset val="134"/>
      </rPr>
      <t>MP86941*3pcs;IT5570E</t>
    </r>
  </si>
  <si>
    <t>A.F.M.2500676-OOC</t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</si>
  <si>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及两个Typec接口</t>
    </r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</si>
  <si>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及两个接口；</t>
    </r>
    <r>
      <rPr>
        <sz val="10"/>
        <rFont val="Arial"/>
        <charset val="134"/>
      </rPr>
      <t>MP86941*3pcs</t>
    </r>
    <r>
      <rPr>
        <sz val="10"/>
        <rFont val="宋体"/>
        <charset val="134"/>
      </rPr>
      <t>；</t>
    </r>
    <r>
      <rPr>
        <sz val="10"/>
        <rFont val="Arial"/>
        <charset val="134"/>
      </rPr>
      <t>IT5570E</t>
    </r>
    <r>
      <rPr>
        <sz val="10"/>
        <rFont val="宋体"/>
        <charset val="134"/>
      </rPr>
      <t>；</t>
    </r>
    <r>
      <rPr>
        <sz val="10"/>
        <rFont val="Arial"/>
        <charset val="134"/>
      </rPr>
      <t>MP2964GQKT;ALC269Q</t>
    </r>
  </si>
  <si>
    <t>A.F.M.2500693-OOC</t>
  </si>
  <si>
    <t>A.F.M.2301315-MP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</si>
  <si>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暂无价格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>Type c;</t>
    </r>
  </si>
  <si>
    <t>A.F.M.2301316-MP</t>
  </si>
  <si>
    <t>12G+64G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</si>
  <si>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/LPDDR5-496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12G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</si>
  <si>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>Type c;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</si>
  <si>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N300(7W)</t>
  </si>
  <si>
    <t>16G+128G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</si>
  <si>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/LPDDR5-496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16G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</si>
  <si>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HUSB238</t>
    </r>
    <r>
      <rPr>
        <sz val="10"/>
        <rFont val="微软雅黑"/>
        <charset val="134"/>
      </rPr>
      <t>；；EMMC停产中待验新料暂无价格</t>
    </r>
  </si>
  <si>
    <t>A.F.M.2400190-MP</t>
  </si>
  <si>
    <t>Type c(两个接口)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</si>
  <si>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暂无价格</t>
    </r>
    <r>
      <rPr>
        <sz val="10"/>
        <rFont val="微软雅黑"/>
        <charset val="134"/>
      </rPr>
      <t>；单Typec C IC及两个接口;</t>
    </r>
  </si>
  <si>
    <t>A.F.M.2400478-MP</t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</si>
  <si>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两个接口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</si>
  <si>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暂无价格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>Typec C IC</t>
    </r>
    <r>
      <rPr>
        <sz val="10"/>
        <rFont val="宋体"/>
        <charset val="134"/>
      </rPr>
      <t>及两个接口</t>
    </r>
    <r>
      <rPr>
        <sz val="10"/>
        <rFont val="Arial"/>
        <charset val="134"/>
      </rPr>
      <t>;</t>
    </r>
  </si>
  <si>
    <t>A.F.M.2401062-MP</t>
  </si>
  <si>
    <r>
      <rPr>
        <sz val="10"/>
        <rFont val="Arial"/>
        <charset val="134"/>
      </rPr>
      <t>Non Type c(</t>
    </r>
    <r>
      <rPr>
        <sz val="10"/>
        <rFont val="宋体"/>
        <charset val="134"/>
      </rPr>
      <t>两个接口</t>
    </r>
    <r>
      <rPr>
        <sz val="10"/>
        <rFont val="Arial"/>
        <charset val="134"/>
      </rPr>
      <t>)</t>
    </r>
  </si>
  <si>
    <t>4G+0</t>
  </si>
  <si>
    <r>
      <rPr>
        <sz val="10"/>
        <rFont val="Arial"/>
        <charset val="134"/>
      </rPr>
      <t>LPDDR5-496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</si>
  <si>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宋体"/>
        <charset val="134"/>
      </rPr>
      <t>镁光替换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；无</t>
    </r>
    <r>
      <rPr>
        <sz val="10"/>
        <rFont val="Arial"/>
        <charset val="134"/>
      </rPr>
      <t>Typec C IC</t>
    </r>
    <r>
      <rPr>
        <sz val="10"/>
        <rFont val="宋体"/>
        <charset val="134"/>
      </rPr>
      <t>及两个接口</t>
    </r>
    <r>
      <rPr>
        <sz val="10"/>
        <rFont val="Arial"/>
        <charset val="134"/>
      </rPr>
      <t>;</t>
    </r>
  </si>
  <si>
    <t>A.F.M.2401063-MP</t>
  </si>
  <si>
    <r>
      <rPr>
        <sz val="10"/>
        <rFont val="Arial"/>
        <charset val="134"/>
      </rPr>
      <t>Non Type c(</t>
    </r>
    <r>
      <rPr>
        <sz val="10"/>
        <rFont val="宋体"/>
        <charset val="134"/>
      </rPr>
      <t>一个接口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</si>
  <si>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使用镁光替换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；</t>
    </r>
    <r>
      <rPr>
        <sz val="10"/>
        <rFont val="微软雅黑"/>
        <charset val="134"/>
      </rPr>
      <t>无</t>
    </r>
    <r>
      <rPr>
        <sz val="10"/>
        <rFont val="Arial"/>
        <charset val="134"/>
      </rPr>
      <t>Typec C IC</t>
    </r>
    <r>
      <rPr>
        <sz val="10"/>
        <rFont val="宋体"/>
        <charset val="134"/>
      </rPr>
      <t>及一个接口</t>
    </r>
    <r>
      <rPr>
        <sz val="10"/>
        <rFont val="Arial"/>
        <charset val="134"/>
      </rPr>
      <t>;</t>
    </r>
  </si>
  <si>
    <t>A.F.M.2401064-MP</t>
  </si>
  <si>
    <t>12G+128G</t>
  </si>
  <si>
    <r>
      <rPr>
        <sz val="10"/>
        <rFont val="宋体"/>
        <charset val="134"/>
      </rPr>
      <t>时创意</t>
    </r>
    <r>
      <rPr>
        <sz val="10"/>
        <rFont val="Arial"/>
        <charset val="134"/>
      </rPr>
      <t>/LPDDR5-496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12G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</si>
  <si>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宋体"/>
        <charset val="134"/>
      </rPr>
      <t>海力士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>Typec C IC</t>
    </r>
    <r>
      <rPr>
        <sz val="10"/>
        <rFont val="宋体"/>
        <charset val="134"/>
      </rPr>
      <t>及两个接口</t>
    </r>
    <r>
      <rPr>
        <sz val="10"/>
        <rFont val="Arial"/>
        <charset val="134"/>
      </rPr>
      <t>;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</si>
  <si>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A.F.M.2401455-MP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</si>
  <si>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</t>
    </r>
    <r>
      <rPr>
        <sz val="10"/>
        <rFont val="Arial"/>
        <charset val="134"/>
      </rPr>
      <t>(</t>
    </r>
    <r>
      <rPr>
        <sz val="10"/>
        <rFont val="宋体"/>
        <charset val="134"/>
      </rPr>
      <t>库存</t>
    </r>
    <r>
      <rPr>
        <sz val="10"/>
        <rFont val="Arial"/>
        <charset val="134"/>
      </rPr>
      <t>)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>Typec C IC</t>
    </r>
    <r>
      <rPr>
        <sz val="10"/>
        <rFont val="宋体"/>
        <charset val="134"/>
      </rPr>
      <t>及两个接口</t>
    </r>
    <r>
      <rPr>
        <sz val="10"/>
        <rFont val="Arial"/>
        <charset val="134"/>
      </rPr>
      <t>;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</si>
  <si>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r>
      <rPr>
        <sz val="10"/>
        <rFont val="Arial"/>
        <charset val="134"/>
      </rPr>
      <t>DNN11S(8L+OSP+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)</t>
    </r>
  </si>
  <si>
    <t>A.F.M.2401059-MP</t>
  </si>
  <si>
    <t>0+64G</t>
  </si>
  <si>
    <t>时创意/条子</t>
  </si>
  <si>
    <t>无Type C IC及1个接口；SN6140;MP86941*2PCS;IT5570E;MP2964GQKT</t>
  </si>
  <si>
    <t>A.F.M.2401084-MP</t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</si>
  <si>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个接口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</si>
  <si>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微软雅黑"/>
        <charset val="134"/>
      </rPr>
      <t>2</t>
    </r>
    <r>
      <rPr>
        <sz val="10"/>
        <rFont val="宋体"/>
        <charset val="134"/>
      </rPr>
      <t>个接口；</t>
    </r>
  </si>
  <si>
    <t>A.F.M.2400885</t>
  </si>
  <si>
    <t>A.F.M.2401129-MP</t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</si>
  <si>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个接口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</si>
  <si>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微软雅黑"/>
        <charset val="134"/>
      </rPr>
      <t>1</t>
    </r>
    <r>
      <rPr>
        <sz val="10"/>
        <rFont val="宋体"/>
        <charset val="134"/>
      </rPr>
      <t>个接口；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</si>
  <si>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微软雅黑"/>
        <charset val="134"/>
      </rPr>
      <t>1</t>
    </r>
    <r>
      <rPr>
        <sz val="10"/>
        <rFont val="宋体"/>
        <charset val="134"/>
      </rPr>
      <t>个接口；；EMMC停产中待验新料暂无价格</t>
    </r>
  </si>
  <si>
    <t>A.F.M.2401446-MP</t>
  </si>
  <si>
    <t>A.F.M.2401447-MP</t>
  </si>
  <si>
    <t>A.F.M.2401585-OOC</t>
  </si>
  <si>
    <r>
      <rPr>
        <sz val="10"/>
        <rFont val="微软雅黑"/>
        <charset val="134"/>
      </rPr>
      <t>单Type C IC及1个接口；；含加密</t>
    </r>
    <r>
      <rPr>
        <sz val="10"/>
        <rFont val="Arial"/>
        <charset val="134"/>
      </rPr>
      <t>IC TPM</t>
    </r>
  </si>
  <si>
    <t>Type c(两个Type c个接口)</t>
  </si>
  <si>
    <r>
      <rPr>
        <sz val="10"/>
        <color theme="1"/>
        <rFont val="宋体"/>
        <charset val="134"/>
      </rPr>
      <t>单</t>
    </r>
    <r>
      <rPr>
        <sz val="10"/>
        <color theme="1"/>
        <rFont val="Arial"/>
        <charset val="134"/>
      </rPr>
      <t>Type C IC</t>
    </r>
    <r>
      <rPr>
        <sz val="10"/>
        <color theme="1"/>
        <rFont val="宋体"/>
        <charset val="134"/>
      </rPr>
      <t>及</t>
    </r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个接口；</t>
    </r>
    <r>
      <rPr>
        <sz val="10"/>
        <color theme="1"/>
        <rFont val="Arial"/>
        <charset val="134"/>
      </rPr>
      <t>MP86941*2pcs;IT5570E;</t>
    </r>
    <r>
      <rPr>
        <sz val="10"/>
        <color theme="1"/>
        <rFont val="宋体"/>
        <charset val="134"/>
      </rPr>
      <t>；含加密</t>
    </r>
    <r>
      <rPr>
        <sz val="10"/>
        <color theme="1"/>
        <rFont val="Arial"/>
        <charset val="134"/>
      </rPr>
      <t>IC TPM</t>
    </r>
  </si>
  <si>
    <t>A.F.M.2500582-MP</t>
  </si>
  <si>
    <t>A.F.M.2500583-MP</t>
  </si>
  <si>
    <r>
      <rPr>
        <sz val="10"/>
        <color theme="1"/>
        <rFont val="宋体"/>
        <charset val="134"/>
      </rPr>
      <t>单</t>
    </r>
    <r>
      <rPr>
        <sz val="10"/>
        <color theme="1"/>
        <rFont val="Arial"/>
        <charset val="134"/>
      </rPr>
      <t>Type C IC</t>
    </r>
    <r>
      <rPr>
        <sz val="10"/>
        <color theme="1"/>
        <rFont val="宋体"/>
        <charset val="134"/>
      </rPr>
      <t>及</t>
    </r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个接口；</t>
    </r>
    <r>
      <rPr>
        <sz val="10"/>
        <color theme="1"/>
        <rFont val="Arial"/>
        <charset val="134"/>
      </rPr>
      <t>MP86941*2pcs;IT5570E;</t>
    </r>
    <r>
      <rPr>
        <sz val="10"/>
        <color theme="1"/>
        <rFont val="宋体"/>
        <charset val="134"/>
      </rPr>
      <t>；</t>
    </r>
  </si>
  <si>
    <t>A.F.M.2500584-MP</t>
  </si>
  <si>
    <t>A.F.M.2500680-MP</t>
  </si>
  <si>
    <r>
      <rPr>
        <sz val="10"/>
        <rFont val="Arial"/>
        <charset val="134"/>
      </rPr>
      <t>PCB</t>
    </r>
    <r>
      <rPr>
        <sz val="10"/>
        <rFont val="宋体"/>
        <charset val="134"/>
      </rPr>
      <t>为</t>
    </r>
    <r>
      <rPr>
        <sz val="10"/>
        <rFont val="Arial"/>
        <charset val="134"/>
      </rPr>
      <t>6</t>
    </r>
    <r>
      <rPr>
        <sz val="10"/>
        <rFont val="宋体"/>
        <charset val="134"/>
      </rPr>
      <t>月价格</t>
    </r>
  </si>
  <si>
    <t>DNN15(8L+HDI+OSP)</t>
  </si>
  <si>
    <t>A.F.M.2200189-MP</t>
  </si>
  <si>
    <r>
      <rPr>
        <sz val="10"/>
        <rFont val="Arial"/>
        <charset val="134"/>
      </rPr>
      <t>Type c(</t>
    </r>
    <r>
      <rPr>
        <sz val="10"/>
        <rFont val="微软雅黑"/>
        <charset val="134"/>
      </rPr>
      <t>一个</t>
    </r>
    <r>
      <rPr>
        <sz val="10"/>
        <rFont val="Arial"/>
        <charset val="134"/>
      </rPr>
      <t>Type Cj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</si>
  <si>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t>9461.D2WG</t>
  </si>
  <si>
    <t>停产无货</t>
  </si>
  <si>
    <r>
      <rPr>
        <sz val="10"/>
        <rFont val="Arial"/>
        <charset val="134"/>
      </rPr>
      <t>LPDDR4X-556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12G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</si>
  <si>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库存料接单前确认价格</t>
    </r>
  </si>
  <si>
    <t>A.F.M.2200192-MP</t>
  </si>
  <si>
    <r>
      <rPr>
        <sz val="10"/>
        <rFont val="Arial"/>
        <charset val="134"/>
      </rPr>
      <t>LPDDR4X-556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16G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</si>
  <si>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;DDR</t>
    </r>
    <r>
      <rPr>
        <sz val="10"/>
        <rFont val="宋体"/>
        <charset val="134"/>
      </rPr>
      <t>库存料接单前确认价格</t>
    </r>
  </si>
  <si>
    <t>A.F.M.2301295-OOC1</t>
  </si>
  <si>
    <r>
      <rPr>
        <sz val="10"/>
        <rFont val="微软雅黑"/>
        <charset val="134"/>
      </rPr>
      <t>佰维</t>
    </r>
    <r>
      <rPr>
        <sz val="10"/>
        <rFont val="Arial"/>
        <charset val="134"/>
      </rPr>
      <t>/LPDDR4X-556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12G</t>
    </r>
  </si>
  <si>
    <t>DDR使用库存料接单前确认价格；；EMMC暂时先按7美金核算，具体需和采购沟通</t>
  </si>
  <si>
    <t>A.F.M.2301296-OOC2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</si>
  <si>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;DDR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SpectekDDR</t>
    </r>
    <r>
      <rPr>
        <sz val="10"/>
        <rFont val="宋体"/>
        <charset val="134"/>
      </rPr>
      <t>库存料接单前确认价格</t>
    </r>
  </si>
  <si>
    <t>A.F.M.2301297-OOC3</t>
  </si>
  <si>
    <t>A.F.M.2402210-OOC4</t>
  </si>
  <si>
    <t>Type C (Date Only)</t>
  </si>
  <si>
    <t>4G+128G</t>
  </si>
  <si>
    <t>群联/LPDDR4X-366球4G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</si>
  <si>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使用库存料接单前确认价格；无</t>
    </r>
    <r>
      <rPr>
        <sz val="10"/>
        <rFont val="Arial"/>
        <charset val="134"/>
      </rPr>
      <t>Typec C IC</t>
    </r>
    <r>
      <rPr>
        <sz val="10"/>
        <rFont val="宋体"/>
        <charset val="134"/>
      </rPr>
      <t>含</t>
    </r>
    <r>
      <rPr>
        <sz val="10"/>
        <rFont val="微软雅黑"/>
        <charset val="134"/>
      </rPr>
      <t>一个</t>
    </r>
    <r>
      <rPr>
        <sz val="10"/>
        <rFont val="Arial"/>
        <charset val="134"/>
      </rPr>
      <t>Typec C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;IT5570E;MP86941*2pcs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pcb</t>
    </r>
    <r>
      <rPr>
        <sz val="10"/>
        <rFont val="微软雅黑"/>
        <charset val="134"/>
      </rPr>
      <t>使用富腾茂</t>
    </r>
  </si>
  <si>
    <t>A.F.M.2402211-OOC5</t>
  </si>
  <si>
    <r>
      <rPr>
        <sz val="10"/>
        <rFont val="Arial"/>
        <charset val="134"/>
      </rPr>
      <t>Type C (</t>
    </r>
    <r>
      <rPr>
        <sz val="10"/>
        <rFont val="微软雅黑"/>
        <charset val="134"/>
      </rPr>
      <t>Date Only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</si>
  <si>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无Typec C IC含一个Typec C接口；</t>
    </r>
    <r>
      <rPr>
        <sz val="10"/>
        <rFont val="Arial"/>
        <charset val="134"/>
      </rPr>
      <t>MP2964GQKT;MP86941*2pcs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pcb</t>
    </r>
    <r>
      <rPr>
        <sz val="10"/>
        <rFont val="微软雅黑"/>
        <charset val="134"/>
      </rPr>
      <t>使用富腾茂</t>
    </r>
  </si>
  <si>
    <t>A.F.M.2402212-OOC6</t>
  </si>
  <si>
    <r>
      <rPr>
        <sz val="10"/>
        <rFont val="Arial"/>
        <charset val="134"/>
      </rPr>
      <t>Type c</t>
    </r>
    <r>
      <rPr>
        <sz val="10"/>
        <rFont val="微软雅黑"/>
        <charset val="134"/>
      </rPr>
      <t>（一个</t>
    </r>
    <r>
      <rPr>
        <sz val="10"/>
        <rFont val="Arial"/>
        <charset val="134"/>
      </rPr>
      <t>Type C IC/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</si>
  <si>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LPDDR4X-556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</si>
  <si>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Typec C IC</t>
    </r>
    <r>
      <rPr>
        <sz val="10"/>
        <rFont val="微软雅黑"/>
        <charset val="134"/>
      </rPr>
      <t>及一个接口</t>
    </r>
    <r>
      <rPr>
        <sz val="10"/>
        <rFont val="Arial"/>
        <charset val="134"/>
      </rPr>
      <t>;ANX7447QN;IT5570E;MP86941*2pcs;MP2964GQKT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pcb</t>
    </r>
    <r>
      <rPr>
        <sz val="10"/>
        <rFont val="宋体"/>
        <charset val="134"/>
      </rPr>
      <t>使用富腾茂</t>
    </r>
  </si>
  <si>
    <t>A.F.M.2402213-OOC7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</si>
  <si>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Typec C IC</t>
    </r>
    <r>
      <rPr>
        <sz val="10"/>
        <rFont val="微软雅黑"/>
        <charset val="134"/>
      </rPr>
      <t>及一个接口</t>
    </r>
    <r>
      <rPr>
        <sz val="10"/>
        <rFont val="Arial"/>
        <charset val="134"/>
      </rPr>
      <t>;ANX7447QN;MP86941*3pcs;MP2964GQKT;CSCE2010WBR6NR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pcb</t>
    </r>
    <r>
      <rPr>
        <sz val="10"/>
        <rFont val="宋体"/>
        <charset val="134"/>
      </rPr>
      <t>使用富腾茂</t>
    </r>
  </si>
  <si>
    <t>A.F.M.2401067-MP</t>
  </si>
  <si>
    <r>
      <rPr>
        <sz val="10"/>
        <color rgb="FFFF0000"/>
        <rFont val="Arial"/>
        <charset val="134"/>
      </rPr>
      <t>Type c(</t>
    </r>
    <r>
      <rPr>
        <sz val="10"/>
        <color rgb="FFFF0000"/>
        <rFont val="宋体"/>
        <charset val="134"/>
      </rPr>
      <t>一</t>
    </r>
    <r>
      <rPr>
        <sz val="10"/>
        <color rgb="FFFF0000"/>
        <rFont val="Arial"/>
        <charset val="134"/>
      </rPr>
      <t>Type c</t>
    </r>
    <r>
      <rPr>
        <sz val="10"/>
        <color rgb="FFFF0000"/>
        <rFont val="宋体"/>
        <charset val="134"/>
      </rPr>
      <t>个接口</t>
    </r>
    <r>
      <rPr>
        <sz val="10"/>
        <color rgb="FFFF0000"/>
        <rFont val="Arial"/>
        <charset val="134"/>
      </rPr>
      <t>)</t>
    </r>
  </si>
  <si>
    <r>
      <rPr>
        <sz val="10"/>
        <color rgb="FFFF0000"/>
        <rFont val="Arial"/>
        <charset val="134"/>
      </rPr>
      <t>LPDDR5-496</t>
    </r>
    <r>
      <rPr>
        <sz val="10"/>
        <color rgb="FFFF0000"/>
        <rFont val="宋体"/>
        <charset val="134"/>
      </rPr>
      <t>球</t>
    </r>
    <r>
      <rPr>
        <sz val="10"/>
        <color rgb="FFFF0000"/>
        <rFont val="Arial"/>
        <charset val="134"/>
      </rPr>
      <t>8G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</si>
  <si>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使用三星改为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暂无价格；单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及一个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</si>
  <si>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一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个接口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</si>
  <si>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使用三星改为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；单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及一个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</si>
  <si>
    <t>A.F.M.2401278-MP</t>
  </si>
  <si>
    <r>
      <rPr>
        <sz val="10"/>
        <rFont val="Arial"/>
        <charset val="134"/>
      </rPr>
      <t>LPDDR5-496</t>
    </r>
    <r>
      <rPr>
        <sz val="10"/>
        <rFont val="宋体"/>
        <charset val="134"/>
      </rPr>
      <t>球</t>
    </r>
    <r>
      <rPr>
        <sz val="10"/>
        <rFont val="Arial"/>
        <charset val="134"/>
      </rPr>
      <t>8G</t>
    </r>
  </si>
  <si>
    <t>A.F.M.2401279-MP</t>
  </si>
  <si>
    <t>A.F.M.2401325-MP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</si>
  <si>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使用三星改为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暂无价格；单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及一个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,PCB</t>
    </r>
    <r>
      <rPr>
        <sz val="10"/>
        <rFont val="宋体"/>
        <charset val="134"/>
      </rPr>
      <t>无卤换板厂</t>
    </r>
  </si>
  <si>
    <t>A.F.M.2401326-MP</t>
  </si>
  <si>
    <t>A.F.M.2302051-MP</t>
  </si>
  <si>
    <t>MP86995GVT;IT5570E-128/CX;MP2964GQKT-00A4</t>
  </si>
  <si>
    <t>A.F.M.2302052-MP</t>
  </si>
  <si>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停产无货</t>
    </r>
  </si>
  <si>
    <t>A.F.M.2302053-MP</t>
  </si>
  <si>
    <t>A.F.M.2400306-MP</t>
  </si>
  <si>
    <t>A.F.M.2400667-MP</t>
  </si>
  <si>
    <t>A.F.M.2401066-MP</t>
  </si>
  <si>
    <r>
      <rPr>
        <sz val="10"/>
        <rFont val="Arial"/>
        <charset val="134"/>
      </rPr>
      <t>Type c(</t>
    </r>
    <r>
      <rPr>
        <sz val="10"/>
        <rFont val="微软雅黑"/>
        <charset val="134"/>
      </rPr>
      <t>无接口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</si>
  <si>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无接口；</t>
    </r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</si>
  <si>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一个</t>
    </r>
    <r>
      <rPr>
        <sz val="10"/>
        <rFont val="Arial"/>
        <charset val="134"/>
      </rPr>
      <t>Typee c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</si>
  <si>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t>A.F.M.2402349-MP</t>
  </si>
  <si>
    <t>MP86941*3pcs；IT5570E；MP2964GQKT</t>
  </si>
  <si>
    <t>DNN8339(6L+通孔+OSP)</t>
  </si>
  <si>
    <t>A.F.M.2302466-MP</t>
  </si>
  <si>
    <t>6221C-PUC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</si>
  <si>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IC</t>
    </r>
    <r>
      <rPr>
        <sz val="10"/>
        <rFont val="宋体"/>
        <charset val="134"/>
      </rPr>
      <t>及一个</t>
    </r>
    <r>
      <rPr>
        <sz val="10"/>
        <rFont val="Arial"/>
        <charset val="134"/>
      </rPr>
      <t>T</t>
    </r>
    <r>
      <rPr>
        <sz val="10"/>
        <rFont val="宋体"/>
        <charset val="134"/>
      </rPr>
      <t>ype C接口</t>
    </r>
  </si>
  <si>
    <t>A.F.M.2302467-MP</t>
  </si>
  <si>
    <t>A.F.M.2401332-MP</t>
  </si>
  <si>
    <r>
      <rPr>
        <sz val="10"/>
        <rFont val="Arial"/>
        <charset val="134"/>
      </rPr>
      <t>Type c(</t>
    </r>
    <r>
      <rPr>
        <sz val="10"/>
        <rFont val="微软雅黑"/>
        <charset val="134"/>
      </rPr>
      <t>一个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</si>
  <si>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</t>
    </r>
    <r>
      <rPr>
        <sz val="10"/>
        <rFont val="Arial"/>
        <charset val="134"/>
      </rPr>
      <t>ALC269</t>
    </r>
  </si>
  <si>
    <t>A.F.M.2401333-MP</t>
  </si>
  <si>
    <r>
      <rPr>
        <sz val="10"/>
        <rFont val="Arial"/>
        <charset val="134"/>
      </rPr>
      <t>Non Type c(</t>
    </r>
    <r>
      <rPr>
        <sz val="10"/>
        <rFont val="微软雅黑"/>
        <charset val="134"/>
      </rPr>
      <t>一个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</si>
  <si>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N150(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</si>
  <si>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无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</t>
    </r>
    <r>
      <rPr>
        <sz val="10"/>
        <rFont val="Arial"/>
        <charset val="134"/>
      </rPr>
      <t>ALC269</t>
    </r>
  </si>
  <si>
    <t>A.F.M.2401653-MP</t>
  </si>
  <si>
    <t>A.F.M.2401906-MP</t>
  </si>
  <si>
    <t>单Type C ic及1个Type c接口；含ALC269;MP86941*3pcs；IT5570E</t>
  </si>
  <si>
    <t>A.F.M.2501035-MP</t>
  </si>
  <si>
    <t>单Type C ic及1个Type c接口；含ALC269;MP86941*3pcs；IT5570E；SY8388B3RHC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</si>
  <si>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>1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ALC269Q;MP86941*3PCS;IT5570E;</t>
    </r>
  </si>
  <si>
    <t>A.F.M.2501227-MP</t>
  </si>
  <si>
    <t>Type c(一个Type C 接口)</t>
  </si>
  <si>
    <t>N95</t>
  </si>
  <si>
    <t>A.F.M.2302472-MP</t>
  </si>
  <si>
    <t>8G+256G</t>
  </si>
  <si>
    <r>
      <rPr>
        <sz val="10"/>
        <rFont val="微软雅黑"/>
        <charset val="134"/>
      </rPr>
      <t>群联</t>
    </r>
    <r>
      <rPr>
        <sz val="10"/>
        <rFont val="Arial"/>
        <charset val="134"/>
      </rPr>
      <t>/LPDDR5-496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</si>
  <si>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暂无价格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GPS</t>
    </r>
    <r>
      <rPr>
        <sz val="10"/>
        <rFont val="微软雅黑"/>
        <charset val="134"/>
      </rPr>
      <t>模组</t>
    </r>
  </si>
  <si>
    <r>
      <rPr>
        <sz val="10"/>
        <rFont val="微软雅黑"/>
        <charset val="134"/>
      </rPr>
      <t>群联</t>
    </r>
    <r>
      <rPr>
        <sz val="10"/>
        <rFont val="Arial"/>
        <charset val="134"/>
      </rPr>
      <t>/LPDDR5-496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16G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</si>
  <si>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GPS</t>
    </r>
    <r>
      <rPr>
        <sz val="10"/>
        <rFont val="微软雅黑"/>
        <charset val="134"/>
      </rPr>
      <t>模组</t>
    </r>
  </si>
  <si>
    <r>
      <rPr>
        <sz val="10"/>
        <rFont val="Arial"/>
        <charset val="134"/>
      </rPr>
      <t>DNP13(8L+HDI1+</t>
    </r>
    <r>
      <rPr>
        <sz val="10"/>
        <rFont val="宋体"/>
        <charset val="134"/>
      </rPr>
      <t>沉金</t>
    </r>
    <r>
      <rPr>
        <sz val="10"/>
        <rFont val="Arial"/>
        <charset val="134"/>
      </rPr>
      <t>)</t>
    </r>
  </si>
  <si>
    <t>A.F.M.2400619-MP</t>
  </si>
  <si>
    <r>
      <rPr>
        <sz val="10"/>
        <rFont val="Arial"/>
        <charset val="134"/>
      </rPr>
      <t>LPDDR5-496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12G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</si>
  <si>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使用三星库存料；双</t>
    </r>
    <r>
      <rPr>
        <sz val="10"/>
        <rFont val="Arial"/>
        <charset val="134"/>
      </rPr>
      <t>Type c;</t>
    </r>
  </si>
  <si>
    <t>DNP13(8L+HDI1+OSP)</t>
  </si>
  <si>
    <t>A.F.M.2602333</t>
  </si>
  <si>
    <t>12G+128GB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</si>
  <si>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；双</t>
    </r>
    <r>
      <rPr>
        <sz val="10"/>
        <rFont val="Arial"/>
        <charset val="134"/>
      </rPr>
      <t>Type c;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</si>
  <si>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A.F.M.2602334</t>
  </si>
  <si>
    <t>A.P.00GN1033</t>
  </si>
  <si>
    <t>N4120(6W)</t>
  </si>
  <si>
    <t>3G*2+64G</t>
  </si>
  <si>
    <t>9461D2W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</si>
  <si>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/LPDDR4-366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3G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</si>
  <si>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;DDR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EMMC停产中待验新料暂无价格</t>
    </r>
  </si>
  <si>
    <r>
      <rPr>
        <sz val="10"/>
        <rFont val="Arial"/>
        <charset val="134"/>
      </rPr>
      <t>A.F.P.1000359 USB DB 156M</t>
    </r>
    <r>
      <rPr>
        <sz val="10"/>
        <rFont val="微软雅黑"/>
        <charset val="134"/>
      </rPr>
      <t>远鹏</t>
    </r>
  </si>
  <si>
    <t>JN11S-116PC6-HS(8L+通孔+OSP)
JN1-116PC-HS-P(8L+通孔+OSP)</t>
  </si>
  <si>
    <t>A.F.M.2302452-MP</t>
  </si>
  <si>
    <r>
      <rPr>
        <sz val="10"/>
        <rFont val="Arial"/>
        <charset val="134"/>
      </rPr>
      <t>SKU10(A</t>
    </r>
    <r>
      <rPr>
        <sz val="10"/>
        <rFont val="微软雅黑"/>
        <charset val="134"/>
      </rPr>
      <t>面</t>
    </r>
    <r>
      <rPr>
        <sz val="10"/>
        <rFont val="Arial"/>
        <charset val="134"/>
      </rPr>
      <t>)(JN1)</t>
    </r>
  </si>
  <si>
    <t>N5100(6W)</t>
  </si>
  <si>
    <t>A.F.M.2400328-MP</t>
  </si>
  <si>
    <r>
      <rPr>
        <sz val="10"/>
        <rFont val="Arial"/>
        <charset val="134"/>
      </rPr>
      <t>SKU10(B</t>
    </r>
    <r>
      <rPr>
        <sz val="10"/>
        <rFont val="微软雅黑"/>
        <charset val="134"/>
      </rPr>
      <t>面</t>
    </r>
    <r>
      <rPr>
        <sz val="10"/>
        <rFont val="Arial"/>
        <charset val="134"/>
      </rPr>
      <t>)(JN1)</t>
    </r>
  </si>
  <si>
    <t>A.F.M.2400101-MP</t>
  </si>
  <si>
    <t>SKU11(JN1)</t>
  </si>
  <si>
    <t>N4500(6W)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</si>
  <si>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</t>
    </r>
    <r>
      <rPr>
        <sz val="10"/>
        <rFont val="微软雅黑"/>
        <charset val="134"/>
      </rPr>
      <t>条子</t>
    </r>
  </si>
  <si>
    <r>
      <rPr>
        <sz val="10"/>
        <rFont val="宋体"/>
        <charset val="134"/>
      </rPr>
      <t>无</t>
    </r>
    <r>
      <rPr>
        <sz val="10"/>
        <rFont val="Arial"/>
        <charset val="134"/>
      </rPr>
      <t>Type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一个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接口；；EMMC停产中待验新料暂无价格</t>
    </r>
  </si>
  <si>
    <t>A.F.M.2400102-MP</t>
  </si>
  <si>
    <t>SKU12(JN1)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</si>
  <si>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</si>
  <si>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A.F.M.2400222-MP</t>
  </si>
  <si>
    <t>SKU13(JN1)</t>
  </si>
  <si>
    <t>A.F.M.2400284-MP</t>
  </si>
  <si>
    <t>SKU14(JN1)</t>
  </si>
  <si>
    <t>A.F.M.2400783-MP</t>
  </si>
  <si>
    <t>SKU15(JN11S)</t>
  </si>
  <si>
    <t>A.F.M.2400882-MP</t>
  </si>
  <si>
    <t>SKU16(JN1)</t>
  </si>
  <si>
    <t>A.F.M.2400883-MP</t>
  </si>
  <si>
    <t>SKU17(JN1)</t>
  </si>
  <si>
    <t>A.F.M.2400884-MP</t>
  </si>
  <si>
    <t>SKU18(JN1)</t>
  </si>
  <si>
    <t>A.F.M.2400909-MP</t>
  </si>
  <si>
    <t>SKU19(JN1)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</si>
  <si>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客供</t>
    </r>
  </si>
  <si>
    <t>A.F.M.2401128-MP</t>
  </si>
  <si>
    <t>SKU20(JN11S)</t>
  </si>
  <si>
    <t>无Type IC及Type C 一个接口；</t>
  </si>
  <si>
    <t>A.F.M.2401435-OOC</t>
  </si>
  <si>
    <t>SKU21(JN11S)</t>
  </si>
  <si>
    <r>
      <rPr>
        <sz val="10"/>
        <rFont val="宋体"/>
        <charset val="134"/>
      </rPr>
      <t>无</t>
    </r>
    <r>
      <rPr>
        <sz val="10"/>
        <rFont val="Arial"/>
        <charset val="134"/>
      </rPr>
      <t>Type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一个接口；；EMMC停产中待验新料暂无价格</t>
    </r>
  </si>
  <si>
    <t>A.F.M.2401671 -MP</t>
  </si>
  <si>
    <t>SKU22(JN1)</t>
  </si>
  <si>
    <r>
      <rPr>
        <sz val="10"/>
        <rFont val="微软雅黑"/>
        <charset val="134"/>
      </rPr>
      <t>江波龙(客供)</t>
    </r>
    <r>
      <rPr>
        <sz val="10"/>
        <rFont val="Arial"/>
        <charset val="134"/>
      </rPr>
      <t>/</t>
    </r>
    <r>
      <rPr>
        <sz val="10"/>
        <rFont val="微软雅黑"/>
        <charset val="134"/>
      </rPr>
      <t>条子</t>
    </r>
  </si>
  <si>
    <r>
      <rPr>
        <sz val="10"/>
        <rFont val="宋体"/>
        <charset val="134"/>
      </rPr>
      <t>无</t>
    </r>
    <r>
      <rPr>
        <sz val="10"/>
        <rFont val="Arial"/>
        <charset val="134"/>
      </rPr>
      <t>Type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一个接口；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客供；</t>
    </r>
  </si>
  <si>
    <t>A.F.M.2401808-MP</t>
  </si>
  <si>
    <r>
      <rPr>
        <sz val="10"/>
        <rFont val="Arial"/>
        <charset val="134"/>
      </rPr>
      <t>SKU22(B</t>
    </r>
    <r>
      <rPr>
        <sz val="10"/>
        <rFont val="宋体"/>
        <charset val="134"/>
      </rPr>
      <t>面</t>
    </r>
    <r>
      <rPr>
        <sz val="10"/>
        <rFont val="Arial"/>
        <charset val="134"/>
      </rPr>
      <t>)(JN1)</t>
    </r>
  </si>
  <si>
    <t>A.F.M.2402325-MP</t>
  </si>
  <si>
    <r>
      <rPr>
        <sz val="10"/>
        <rFont val="Arial"/>
        <charset val="134"/>
      </rPr>
      <t xml:space="preserve">SKU24(pst </t>
    </r>
    <r>
      <rPr>
        <sz val="10"/>
        <rFont val="宋体"/>
        <charset val="134"/>
      </rPr>
      <t>专用）</t>
    </r>
  </si>
  <si>
    <t>9560.D2WG.NV</t>
  </si>
  <si>
    <t>无Type IC及Type C 一个接口；IT5570E</t>
  </si>
  <si>
    <t>A.F.M.2402324-MP</t>
  </si>
  <si>
    <r>
      <rPr>
        <sz val="10"/>
        <rFont val="Arial"/>
        <charset val="134"/>
      </rPr>
      <t xml:space="preserve">SKU23(pst </t>
    </r>
    <r>
      <rPr>
        <sz val="10"/>
        <rFont val="宋体"/>
        <charset val="134"/>
      </rPr>
      <t>专用）</t>
    </r>
  </si>
  <si>
    <t>无Type IC及Type C 一个接口；IT5570E;APW8743CQBI-TRG</t>
  </si>
  <si>
    <t>A.F.M.2500646-malata only MP</t>
  </si>
  <si>
    <t>SKU25(JN11S)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</si>
  <si>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c(</t>
    </r>
    <r>
      <rPr>
        <sz val="10"/>
        <rFont val="宋体"/>
        <charset val="134"/>
      </rPr>
      <t>两个接口</t>
    </r>
    <r>
      <rPr>
        <sz val="10"/>
        <rFont val="Arial"/>
        <charset val="134"/>
      </rPr>
      <t>)</t>
    </r>
  </si>
  <si>
    <t>单Type IC及Type C 两个接口；ALC269Q;IT5570E;</t>
  </si>
  <si>
    <t>A.F.M.2500669-OOC</t>
  </si>
  <si>
    <t>SKU26(CKD PST only)(JN1)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</si>
  <si>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c(</t>
    </r>
    <r>
      <rPr>
        <sz val="10"/>
        <rFont val="宋体"/>
        <charset val="134"/>
      </rPr>
      <t>一个接口</t>
    </r>
    <r>
      <rPr>
        <sz val="10"/>
        <rFont val="Arial"/>
        <charset val="134"/>
      </rPr>
      <t>)</t>
    </r>
  </si>
  <si>
    <t>单Type IC及Type C 一个接口；ALC269Q;IT5570E;含加密IC TPM;</t>
  </si>
  <si>
    <r>
      <rPr>
        <sz val="10"/>
        <rFont val="Arial"/>
        <charset val="134"/>
      </rPr>
      <t xml:space="preserve">A.F.D.2400148 AUDIO DB(pst </t>
    </r>
    <r>
      <rPr>
        <sz val="10"/>
        <rFont val="宋体"/>
        <charset val="134"/>
      </rPr>
      <t>专用）</t>
    </r>
  </si>
  <si>
    <r>
      <rPr>
        <sz val="10"/>
        <rFont val="宋体"/>
        <charset val="134"/>
      </rPr>
      <t>含</t>
    </r>
    <r>
      <rPr>
        <sz val="10"/>
        <rFont val="Arial"/>
        <charset val="134"/>
      </rPr>
      <t>RTS5170</t>
    </r>
  </si>
  <si>
    <t>JN1S</t>
  </si>
  <si>
    <t>N6000(6W)</t>
  </si>
  <si>
    <t>7265.NGWG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</si>
  <si>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主板带</t>
    </r>
    <r>
      <rPr>
        <sz val="10"/>
        <rFont val="Arial"/>
        <charset val="134"/>
      </rPr>
      <t>879</t>
    </r>
    <r>
      <rPr>
        <sz val="10"/>
        <rFont val="微软雅黑"/>
        <charset val="134"/>
      </rPr>
      <t>小板成本</t>
    </r>
  </si>
  <si>
    <t>N5105(10W)</t>
  </si>
  <si>
    <r>
      <rPr>
        <sz val="10"/>
        <rFont val="微软雅黑"/>
        <charset val="134"/>
      </rPr>
      <t>非全功能</t>
    </r>
    <r>
      <rPr>
        <sz val="10"/>
        <rFont val="Arial"/>
        <charset val="134"/>
      </rPr>
      <t>Type c.</t>
    </r>
  </si>
  <si>
    <t>N5095A(15W)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</si>
  <si>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c;CODEC:ALC269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</si>
  <si>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 xml:space="preserve">A.P.10001110 Modul_REALTEK DB </t>
    </r>
    <r>
      <rPr>
        <sz val="10"/>
        <rFont val="微软雅黑"/>
        <charset val="134"/>
      </rPr>
      <t>材料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</si>
  <si>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</si>
  <si>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r>
      <rPr>
        <sz val="10"/>
        <rFont val="Arial"/>
        <charset val="134"/>
      </rPr>
      <t>N5095A(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>)(15W)</t>
    </r>
  </si>
  <si>
    <t>A.F.M.2400107-MP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</si>
  <si>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</si>
  <si>
    <r>
      <rPr>
        <sz val="10"/>
        <rFont val="微软雅黑"/>
        <charset val="134"/>
      </rPr>
      <t>阿里参考</t>
    </r>
    <r>
      <rPr>
        <sz val="10"/>
        <rFont val="Arial"/>
        <charset val="134"/>
      </rPr>
      <t>MB BOM</t>
    </r>
  </si>
  <si>
    <r>
      <rPr>
        <sz val="10"/>
        <rFont val="微软雅黑"/>
        <charset val="134"/>
      </rPr>
      <t>江波龙</t>
    </r>
    <r>
      <rPr>
        <sz val="10"/>
        <rFont val="Arial"/>
        <charset val="134"/>
      </rPr>
      <t>/LPDDR4X-200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</si>
  <si>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使用佰维缺货；</t>
    </r>
    <r>
      <rPr>
        <sz val="10"/>
        <rFont val="Arial"/>
        <charset val="134"/>
      </rPr>
      <t>Codec:</t>
    </r>
    <r>
      <rPr>
        <sz val="10"/>
        <rFont val="微软雅黑"/>
        <charset val="134"/>
      </rPr>
      <t>深蕾</t>
    </r>
    <r>
      <rPr>
        <sz val="10"/>
        <rFont val="Arial"/>
        <charset val="134"/>
      </rPr>
      <t>SN6140</t>
    </r>
  </si>
  <si>
    <r>
      <rPr>
        <sz val="10"/>
        <rFont val="微软雅黑"/>
        <charset val="134"/>
      </rPr>
      <t>阿里参考</t>
    </r>
    <r>
      <rPr>
        <sz val="10"/>
        <rFont val="Arial"/>
        <charset val="134"/>
      </rPr>
      <t>RK1808 BOM</t>
    </r>
  </si>
  <si>
    <t>RK1808+RK809+RK860-1</t>
  </si>
  <si>
    <t>512M*2+4G</t>
  </si>
  <si>
    <r>
      <rPr>
        <sz val="10"/>
        <rFont val="微软雅黑"/>
        <charset val="134"/>
      </rPr>
      <t>三星</t>
    </r>
    <r>
      <rPr>
        <sz val="10"/>
        <rFont val="Arial"/>
        <charset val="134"/>
      </rPr>
      <t>/DDR4-96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512M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</si>
  <si>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</t>
    </r>
  </si>
  <si>
    <r>
      <rPr>
        <sz val="10"/>
        <rFont val="微软雅黑"/>
        <charset val="134"/>
      </rPr>
      <t>阿里参考</t>
    </r>
    <r>
      <rPr>
        <sz val="10"/>
        <rFont val="Arial"/>
        <charset val="134"/>
      </rPr>
      <t>4SPK BOM</t>
    </r>
  </si>
  <si>
    <t>JN1D(8L+HDI2+OSP)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</si>
  <si>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/LPDDR4X-556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</t>
    </r>
  </si>
  <si>
    <t>DDR使用库存料接单前确认价格；,主板需加635和702小板成本</t>
  </si>
  <si>
    <t>7265D2WG</t>
  </si>
  <si>
    <t>DDR使用库存料接单前确认价格；,,ES8336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</si>
  <si>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Arial"/>
        <charset val="134"/>
      </rPr>
      <t>,ES8336</t>
    </r>
  </si>
  <si>
    <t>JN6S</t>
  </si>
  <si>
    <t>0+64GB</t>
  </si>
  <si>
    <r>
      <rPr>
        <sz val="10"/>
        <rFont val="微软雅黑"/>
        <charset val="134"/>
      </rPr>
      <t>主板需加</t>
    </r>
    <r>
      <rPr>
        <sz val="10"/>
        <rFont val="Arial"/>
        <charset val="134"/>
      </rPr>
      <t>701(ES8336)</t>
    </r>
    <r>
      <rPr>
        <sz val="10"/>
        <rFont val="微软雅黑"/>
        <charset val="134"/>
      </rPr>
      <t>小板成本；EMMC停产中待验新料暂无价格</t>
    </r>
  </si>
  <si>
    <t>JN10</t>
  </si>
  <si>
    <r>
      <rPr>
        <sz val="10"/>
        <rFont val="Arial"/>
        <charset val="134"/>
      </rPr>
      <t>LPDDR4X-376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</si>
  <si>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</t>
    </r>
  </si>
  <si>
    <t>A.F.M.2502430</t>
  </si>
  <si>
    <t>A.F.M.2301417-MP</t>
  </si>
  <si>
    <t>4G*1+0</t>
  </si>
  <si>
    <r>
      <rPr>
        <sz val="10"/>
        <rFont val="宋体"/>
        <charset val="134"/>
      </rPr>
      <t>佰维</t>
    </r>
    <r>
      <rPr>
        <sz val="10"/>
        <rFont val="Arial"/>
        <charset val="134"/>
      </rPr>
      <t>/LPDDR4X-376</t>
    </r>
    <r>
      <rPr>
        <sz val="10"/>
        <rFont val="宋体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</si>
  <si>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IT5570E,DDR</t>
    </r>
    <r>
      <rPr>
        <sz val="10"/>
        <rFont val="宋体"/>
        <charset val="134"/>
      </rPr>
      <t>为三星</t>
    </r>
  </si>
  <si>
    <r>
      <rPr>
        <sz val="10"/>
        <rFont val="Arial"/>
        <charset val="134"/>
      </rPr>
      <t xml:space="preserve">A.P.10000784 USB DB </t>
    </r>
    <r>
      <rPr>
        <sz val="10"/>
        <rFont val="微软雅黑"/>
        <charset val="134"/>
      </rPr>
      <t>森创达</t>
    </r>
    <r>
      <rPr>
        <sz val="10"/>
        <rFont val="Arial"/>
        <charset val="134"/>
      </rPr>
      <t>Y156S</t>
    </r>
  </si>
  <si>
    <r>
      <rPr>
        <sz val="10"/>
        <rFont val="Arial"/>
        <charset val="134"/>
      </rPr>
      <t>A.P.10000835 IO_DB</t>
    </r>
    <r>
      <rPr>
        <sz val="10"/>
        <rFont val="微软雅黑"/>
        <charset val="134"/>
      </rPr>
      <t>（支持屏右侧</t>
    </r>
    <r>
      <rPr>
        <sz val="10"/>
        <rFont val="Arial"/>
        <charset val="134"/>
      </rPr>
      <t>Hall</t>
    </r>
    <r>
      <rPr>
        <sz val="10"/>
        <rFont val="微软雅黑"/>
        <charset val="134"/>
      </rPr>
      <t>磁铁</t>
    </r>
  </si>
  <si>
    <t>JN12S</t>
  </si>
  <si>
    <t>3165 3.3V</t>
  </si>
  <si>
    <r>
      <rPr>
        <sz val="10"/>
        <rFont val="Arial"/>
        <charset val="134"/>
      </rPr>
      <t>JP2(8L+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</si>
  <si>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t>A.P.00JP2006-MP</t>
  </si>
  <si>
    <t>9461D2WG</t>
  </si>
  <si>
    <r>
      <rPr>
        <sz val="10"/>
        <rFont val="Arial"/>
        <charset val="134"/>
      </rPr>
      <t>LPDDR4X-200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</si>
  <si>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c 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KB9058QE</t>
    </r>
  </si>
  <si>
    <t>A.F.M.2300544-MP</t>
  </si>
  <si>
    <t>4G*2+128G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</si>
  <si>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/LPDDR4X-200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</si>
  <si>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c 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KB9058QE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</si>
  <si>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A.F.M.2400018-MP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</si>
  <si>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使用江波龙；单</t>
    </r>
    <r>
      <rPr>
        <sz val="10"/>
        <rFont val="Arial"/>
        <charset val="134"/>
      </rPr>
      <t>Type c 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KB9058QE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</si>
  <si>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A.F.M.2401257-MP</t>
  </si>
  <si>
    <r>
      <rPr>
        <sz val="10"/>
        <rFont val="Arial"/>
        <charset val="134"/>
      </rPr>
      <t>Type c(</t>
    </r>
    <r>
      <rPr>
        <sz val="10"/>
        <rFont val="微软雅黑"/>
        <charset val="134"/>
      </rPr>
      <t>无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</si>
  <si>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t>8G*2+128G</t>
  </si>
  <si>
    <r>
      <rPr>
        <sz val="10"/>
        <rFont val="微软雅黑"/>
        <charset val="134"/>
      </rPr>
      <t>群联</t>
    </r>
    <r>
      <rPr>
        <sz val="10"/>
        <rFont val="Arial"/>
        <charset val="134"/>
      </rPr>
      <t>/LPDDR4X-200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</si>
  <si>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使用江波龙目前无价格；单</t>
    </r>
    <r>
      <rPr>
        <sz val="10"/>
        <rFont val="Arial"/>
        <charset val="134"/>
      </rPr>
      <t xml:space="preserve">Type c IC </t>
    </r>
    <r>
      <rPr>
        <sz val="10"/>
        <rFont val="微软雅黑"/>
        <charset val="134"/>
      </rPr>
      <t>及无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接口；含有加密</t>
    </r>
    <r>
      <rPr>
        <sz val="10"/>
        <rFont val="Arial"/>
        <charset val="134"/>
      </rPr>
      <t>IC TPM</t>
    </r>
  </si>
  <si>
    <t>JN15(8L+HDI2+OSP)</t>
  </si>
  <si>
    <t>6G*2+0</t>
  </si>
  <si>
    <r>
      <rPr>
        <sz val="10"/>
        <rFont val="Arial"/>
        <charset val="134"/>
      </rPr>
      <t>LPDDR4X-366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6G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</si>
  <si>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>,DDR</t>
    </r>
    <r>
      <rPr>
        <sz val="10"/>
        <rFont val="宋体"/>
        <charset val="134"/>
      </rPr>
      <t>使用库存料接单前确认价格；</t>
    </r>
  </si>
  <si>
    <t>A.P.0JN15010-preMP</t>
  </si>
  <si>
    <t>AC 6221C</t>
  </si>
  <si>
    <r>
      <rPr>
        <sz val="10"/>
        <rFont val="微软雅黑"/>
        <charset val="134"/>
      </rPr>
      <t>非全功能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；DDR使用库存料接单前确认价格；</t>
    </r>
  </si>
  <si>
    <r>
      <rPr>
        <sz val="10"/>
        <rFont val="Arial"/>
        <charset val="134"/>
      </rPr>
      <t>SKU10</t>
    </r>
    <r>
      <rPr>
        <sz val="10"/>
        <rFont val="宋体"/>
        <charset val="134"/>
      </rPr>
      <t>（咸万俊）</t>
    </r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</si>
  <si>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</si>
  <si>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LPDD4X 556</t>
    </r>
    <r>
      <rPr>
        <sz val="10"/>
        <rFont val="宋体"/>
        <charset val="134"/>
      </rPr>
      <t>球</t>
    </r>
    <r>
      <rPr>
        <sz val="10"/>
        <rFont val="Arial"/>
        <charset val="134"/>
      </rPr>
      <t>8G</t>
    </r>
  </si>
  <si>
    <t>单Type C及一个type c接口；DDR使用库存料接单前确认价格；IT5570E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</si>
  <si>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非全功能</t>
    </r>
    <r>
      <rPr>
        <sz val="10"/>
        <rFont val="Arial"/>
        <charset val="134"/>
      </rPr>
      <t>TYPE C</t>
    </r>
  </si>
  <si>
    <r>
      <rPr>
        <sz val="10"/>
        <rFont val="Arial"/>
        <charset val="134"/>
      </rPr>
      <t>LPDDR4X-366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</si>
  <si>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使用海力士；单</t>
    </r>
    <r>
      <rPr>
        <sz val="10"/>
        <rFont val="Arial"/>
        <charset val="134"/>
      </rPr>
      <t>Type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</si>
  <si>
    <r>
      <rPr>
        <sz val="10"/>
        <rFont val="Arial"/>
        <charset val="134"/>
      </rPr>
      <t>LPDDR4X-556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6G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</si>
  <si>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非全功能</t>
    </r>
    <r>
      <rPr>
        <sz val="10"/>
        <rFont val="Arial"/>
        <charset val="134"/>
      </rPr>
      <t>TYPE C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</si>
  <si>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 xml:space="preserve"> 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</si>
  <si>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</si>
  <si>
    <t>3165.D2WG</t>
  </si>
  <si>
    <t>A.F.M.2300548</t>
  </si>
  <si>
    <r>
      <rPr>
        <sz val="10"/>
        <rFont val="微软雅黑"/>
        <charset val="134"/>
      </rPr>
      <t>DDR使用库存料接单前确认价格；使用</t>
    </r>
    <r>
      <rPr>
        <sz val="10"/>
        <rFont val="Arial"/>
        <charset val="134"/>
      </rPr>
      <t>15W CPU,</t>
    </r>
    <r>
      <rPr>
        <sz val="10"/>
        <rFont val="微软雅黑"/>
        <charset val="134"/>
      </rPr>
      <t>国光</t>
    </r>
    <r>
      <rPr>
        <sz val="10"/>
        <rFont val="Arial"/>
        <charset val="134"/>
      </rPr>
      <t>33uF</t>
    </r>
    <r>
      <rPr>
        <sz val="10"/>
        <rFont val="微软雅黑"/>
        <charset val="134"/>
      </rPr>
      <t>钽电容</t>
    </r>
    <r>
      <rPr>
        <sz val="10"/>
        <rFont val="Arial"/>
        <charset val="134"/>
      </rPr>
      <t>/MPS(MP2940/MP86941)</t>
    </r>
    <r>
      <rPr>
        <sz val="10"/>
        <rFont val="微软雅黑"/>
        <charset val="134"/>
      </rPr>
      <t>用量增加，故成本高</t>
    </r>
  </si>
  <si>
    <t>A.F.M.2300266</t>
  </si>
  <si>
    <t>A.P.0JN15033-MP</t>
  </si>
  <si>
    <t>A.F.M.2300350 -MP</t>
  </si>
  <si>
    <r>
      <rPr>
        <sz val="10"/>
        <rFont val="Arial"/>
        <charset val="134"/>
      </rPr>
      <t>Non Type c(</t>
    </r>
    <r>
      <rPr>
        <sz val="10"/>
        <rFont val="微软雅黑"/>
        <charset val="134"/>
      </rPr>
      <t>无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</si>
  <si>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Arial"/>
        <charset val="134"/>
      </rPr>
      <t>IT5570E;MP86941</t>
    </r>
  </si>
  <si>
    <t>A.F.M.2300351-MP</t>
  </si>
  <si>
    <r>
      <rPr>
        <sz val="10"/>
        <rFont val="Arial"/>
        <charset val="134"/>
      </rPr>
      <t>SKU35(50k</t>
    </r>
    <r>
      <rPr>
        <sz val="10"/>
        <rFont val="宋体"/>
        <charset val="134"/>
      </rPr>
      <t>一次性下单）</t>
    </r>
  </si>
  <si>
    <r>
      <rPr>
        <sz val="10"/>
        <rFont val="Arial"/>
        <charset val="134"/>
      </rPr>
      <t>7265.D2WG(</t>
    </r>
    <r>
      <rPr>
        <sz val="10"/>
        <rFont val="宋体"/>
        <charset val="134"/>
      </rPr>
      <t>客供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</si>
  <si>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Arial"/>
        <charset val="134"/>
      </rPr>
      <t>MP86941</t>
    </r>
    <r>
      <rPr>
        <sz val="10"/>
        <rFont val="宋体"/>
        <charset val="134"/>
      </rPr>
      <t>；</t>
    </r>
    <r>
      <rPr>
        <sz val="10"/>
        <rFont val="Arial"/>
        <charset val="134"/>
      </rPr>
      <t>IT5570E</t>
    </r>
  </si>
  <si>
    <t>A.F.M.2300001-MP</t>
  </si>
  <si>
    <t>6222C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</si>
  <si>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</t>
    </r>
    <r>
      <rPr>
        <sz val="10"/>
        <rFont val="Arial"/>
        <charset val="134"/>
      </rPr>
      <t>(BOM</t>
    </r>
    <r>
      <rPr>
        <sz val="10"/>
        <rFont val="微软雅黑"/>
        <charset val="134"/>
      </rPr>
      <t>里是</t>
    </r>
    <r>
      <rPr>
        <sz val="10"/>
        <rFont val="Arial"/>
        <charset val="134"/>
      </rPr>
      <t>SPECTEK)</t>
    </r>
    <r>
      <rPr>
        <sz val="10"/>
        <rFont val="微软雅黑"/>
        <charset val="134"/>
      </rPr>
      <t>DDR使用库存料接单前确认价格；</t>
    </r>
    <r>
      <rPr>
        <sz val="10"/>
        <rFont val="Arial"/>
        <charset val="134"/>
      </rPr>
      <t>;WIFI 7265.D2WG</t>
    </r>
    <r>
      <rPr>
        <sz val="10"/>
        <rFont val="微软雅黑"/>
        <charset val="134"/>
      </rPr>
      <t>更换</t>
    </r>
    <r>
      <rPr>
        <sz val="10"/>
        <rFont val="Arial"/>
        <charset val="134"/>
      </rPr>
      <t>6222C ;MP86941*2;IT5570E</t>
    </r>
  </si>
  <si>
    <t>A.F.M.2300267</t>
  </si>
  <si>
    <t>LPDDR4X-556球16G</t>
  </si>
  <si>
    <r>
      <rPr>
        <sz val="10"/>
        <rFont val="Arial"/>
        <charset val="134"/>
      </rPr>
      <t>MP86941*2pcs;IT5570E;wifi</t>
    </r>
    <r>
      <rPr>
        <sz val="10"/>
        <rFont val="宋体"/>
        <charset val="134"/>
      </rPr>
      <t>无价格</t>
    </r>
    <r>
      <rPr>
        <sz val="10"/>
        <rFont val="Arial"/>
        <charset val="134"/>
      </rPr>
      <t xml:space="preserve"> DDR</t>
    </r>
    <r>
      <rPr>
        <sz val="10"/>
        <rFont val="宋体"/>
        <charset val="134"/>
      </rPr>
      <t>使用库存料接单前确认价格；</t>
    </r>
  </si>
  <si>
    <r>
      <rPr>
        <sz val="10"/>
        <rFont val="Arial"/>
        <charset val="134"/>
      </rPr>
      <t>JN81S(6L+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</si>
  <si>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t>A.F.M.2400874-MP</t>
  </si>
  <si>
    <t>A.F.M.2400875-MP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</si>
  <si>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ALC269Q</t>
    </r>
  </si>
  <si>
    <r>
      <rPr>
        <sz val="10"/>
        <rFont val="Arial"/>
        <charset val="134"/>
      </rPr>
      <t>Joylin-</t>
    </r>
    <r>
      <rPr>
        <sz val="10"/>
        <rFont val="宋体"/>
        <charset val="134"/>
      </rPr>
      <t>核价临时</t>
    </r>
    <r>
      <rPr>
        <sz val="10"/>
        <rFont val="Arial"/>
        <charset val="134"/>
      </rPr>
      <t>BOM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</si>
  <si>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；含加密</t>
    </r>
    <r>
      <rPr>
        <sz val="10"/>
        <rFont val="Arial"/>
        <charset val="134"/>
      </rPr>
      <t>IC TPM</t>
    </r>
  </si>
  <si>
    <t>A.F.M.2401093-MP</t>
  </si>
  <si>
    <r>
      <rPr>
        <sz val="10"/>
        <rFont val="Arial"/>
        <charset val="134"/>
      </rPr>
      <t>Non Type c(</t>
    </r>
    <r>
      <rPr>
        <sz val="10"/>
        <rFont val="微软雅黑"/>
        <charset val="134"/>
      </rPr>
      <t>一个接口</t>
    </r>
    <r>
      <rPr>
        <sz val="10"/>
        <rFont val="Arial"/>
        <charset val="134"/>
      </rPr>
      <t>)</t>
    </r>
  </si>
  <si>
    <t>A.F.M.2402064-MP</t>
  </si>
  <si>
    <r>
      <rPr>
        <sz val="10"/>
        <rFont val="Arial"/>
        <charset val="134"/>
      </rPr>
      <t>Type c(</t>
    </r>
    <r>
      <rPr>
        <sz val="10"/>
        <rFont val="微软雅黑"/>
        <charset val="134"/>
      </rPr>
      <t>一个接口</t>
    </r>
    <r>
      <rPr>
        <sz val="10"/>
        <rFont val="Arial"/>
        <charset val="134"/>
      </rPr>
      <t>)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</si>
  <si>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IC</t>
    </r>
    <r>
      <rPr>
        <sz val="10"/>
        <rFont val="宋体"/>
        <charset val="134"/>
      </rPr>
      <t>及一个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IT5570E</t>
    </r>
    <r>
      <rPr>
        <sz val="10"/>
        <rFont val="宋体"/>
        <charset val="134"/>
      </rPr>
      <t>；</t>
    </r>
    <r>
      <rPr>
        <sz val="10"/>
        <rFont val="Arial"/>
        <charset val="134"/>
      </rPr>
      <t>ANX7447QN-AC-R</t>
    </r>
  </si>
  <si>
    <t>A.F.M.2402430-MP</t>
  </si>
  <si>
    <t>Type c(一个接口)</t>
  </si>
  <si>
    <t>单Type IC及一个Type C接口；含加密IC TPM;IT5570E</t>
  </si>
  <si>
    <t>单Type IC及一个Type C接口；IT5570E;ALC269Q</t>
  </si>
  <si>
    <r>
      <rPr>
        <sz val="10"/>
        <rFont val="微软雅黑"/>
        <charset val="134"/>
      </rPr>
      <t>屏厂指定电源管理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：矽致微</t>
    </r>
    <r>
      <rPr>
        <sz val="10"/>
        <rFont val="Arial"/>
        <charset val="134"/>
      </rPr>
      <t xml:space="preserve"> SM3201C</t>
    </r>
  </si>
  <si>
    <r>
      <rPr>
        <sz val="10"/>
        <rFont val="Arial"/>
        <charset val="134"/>
      </rPr>
      <t>GL2(VR</t>
    </r>
    <r>
      <rPr>
        <sz val="10"/>
        <rFont val="宋体"/>
        <charset val="134"/>
      </rPr>
      <t>眼镜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</si>
  <si>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含</t>
    </r>
    <r>
      <rPr>
        <sz val="6"/>
        <rFont val="Arial"/>
        <charset val="134"/>
      </rPr>
      <t>VL822</t>
    </r>
    <r>
      <rPr>
        <sz val="6"/>
        <rFont val="宋体"/>
        <charset val="134"/>
      </rPr>
      <t>；未算上</t>
    </r>
    <r>
      <rPr>
        <sz val="6"/>
        <rFont val="Arial"/>
        <charset val="134"/>
      </rPr>
      <t>14</t>
    </r>
    <r>
      <rPr>
        <sz val="6"/>
        <rFont val="宋体"/>
        <charset val="134"/>
      </rPr>
      <t>颗客供料的成本；含龙讯HDMI2.0用量1颗，含连接器502244-1530 两个用量；PCB分两个工艺价格，8.56无树塞/11.26按树脂塞孔(二种报价都写上),EQ上有表明二种工艺,此项按树脂塞孔核算</t>
    </r>
  </si>
  <si>
    <r>
      <rPr>
        <sz val="10"/>
        <rFont val="Arial"/>
        <charset val="134"/>
      </rPr>
      <t>cpu</t>
    </r>
    <r>
      <rPr>
        <sz val="10"/>
        <rFont val="宋体"/>
        <charset val="134"/>
      </rPr>
      <t>含</t>
    </r>
    <r>
      <rPr>
        <sz val="10"/>
        <rFont val="Arial"/>
        <charset val="134"/>
      </rPr>
      <t>PIC18F14K50-I/SO</t>
    </r>
    <r>
      <rPr>
        <sz val="10"/>
        <rFont val="宋体"/>
        <charset val="134"/>
      </rPr>
      <t>，</t>
    </r>
    <r>
      <rPr>
        <sz val="10"/>
        <rFont val="Arial"/>
        <charset val="134"/>
      </rPr>
      <t>PIC18F14K50-I/SO-20</t>
    </r>
    <r>
      <rPr>
        <sz val="10"/>
        <rFont val="宋体"/>
        <charset val="134"/>
      </rPr>
      <t>元是代理报价，现货价格是</t>
    </r>
    <r>
      <rPr>
        <sz val="10"/>
        <rFont val="Arial"/>
        <charset val="134"/>
      </rPr>
      <t>35</t>
    </r>
  </si>
  <si>
    <r>
      <rPr>
        <sz val="10"/>
        <rFont val="Arial"/>
        <charset val="134"/>
      </rPr>
      <t>DNS9(8L+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  <r>
      <rPr>
        <sz val="10"/>
        <rFont val="宋体"/>
        <charset val="134"/>
      </rPr>
      <t>服务器</t>
    </r>
  </si>
  <si>
    <t>A.F.M.2401874-MP</t>
  </si>
  <si>
    <t>无Type c IC 及一个Type c 接口；含RTL8125BG；HSA10-D10B0120DPW</t>
  </si>
  <si>
    <t>SY8003ADFC;SATA接口2pcs</t>
  </si>
  <si>
    <t>A.F.M.2500643-MP</t>
  </si>
  <si>
    <t>群联、佰维、时创意./条子</t>
  </si>
  <si>
    <t>无Type c IC 及一个Type c 接口；RTL8125BG-CG;IT66318FN/EW-0003(R)</t>
  </si>
  <si>
    <t>A.F.M.2500644-MP</t>
  </si>
  <si>
    <t>无Type c IC 及一个Type c 接口；IT8613E/LX;IT66318FN;RTL8125BG-CG</t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</si>
  <si>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JMB585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SATA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2pcs</t>
    </r>
  </si>
  <si>
    <r>
      <rPr>
        <sz val="10"/>
        <rFont val="微软雅黑"/>
        <charset val="134"/>
      </rPr>
      <t>含有转换芯片</t>
    </r>
    <r>
      <rPr>
        <sz val="10"/>
        <rFont val="Arial"/>
        <charset val="134"/>
      </rPr>
      <t>(</t>
    </r>
    <r>
      <rPr>
        <sz val="10"/>
        <rFont val="微软雅黑"/>
        <charset val="134"/>
      </rPr>
      <t>一拖</t>
    </r>
    <r>
      <rPr>
        <sz val="10"/>
        <rFont val="Arial"/>
        <charset val="134"/>
      </rPr>
      <t>5)JMB585-QHBB0A</t>
    </r>
  </si>
  <si>
    <r>
      <rPr>
        <sz val="10"/>
        <rFont val="Arial"/>
        <charset val="134"/>
      </rPr>
      <t>DNN20(6L+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</si>
  <si>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t>A.F.M.2300473-MP</t>
  </si>
  <si>
    <r>
      <rPr>
        <sz val="10"/>
        <rFont val="Arial"/>
        <charset val="134"/>
      </rPr>
      <t>Type c(</t>
    </r>
    <r>
      <rPr>
        <sz val="10"/>
        <rFont val="微软雅黑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</si>
  <si>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6G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</si>
  <si>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使用佰维；双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 xml:space="preserve"> ;</t>
    </r>
  </si>
  <si>
    <t>A.F.M.2300641-MP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</si>
  <si>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使用江波龙；双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 xml:space="preserve"> ;</t>
    </r>
  </si>
  <si>
    <t>A.F.M.2300975-MP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</si>
  <si>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使用江波龙或者佰维</t>
    </r>
    <r>
      <rPr>
        <sz val="10"/>
        <rFont val="Arial"/>
        <charset val="134"/>
      </rPr>
      <t>(</t>
    </r>
    <r>
      <rPr>
        <sz val="10"/>
        <rFont val="宋体"/>
        <charset val="134"/>
      </rPr>
      <t>佰维核算价格</t>
    </r>
    <r>
      <rPr>
        <sz val="10"/>
        <rFont val="Arial"/>
        <charset val="134"/>
      </rPr>
      <t>)</t>
    </r>
    <r>
      <rPr>
        <sz val="10"/>
        <rFont val="微软雅黑"/>
        <charset val="134"/>
      </rPr>
      <t>；双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 xml:space="preserve"> ;</t>
    </r>
  </si>
  <si>
    <t>A.F.M.2301033-MP</t>
  </si>
  <si>
    <r>
      <rPr>
        <sz val="10"/>
        <rFont val="Arial"/>
        <charset val="134"/>
      </rPr>
      <t>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</t>
    </r>
  </si>
  <si>
    <t>A.F.M.2301044-MP</t>
  </si>
  <si>
    <t>A.F.M.2401489-MP</t>
  </si>
  <si>
    <r>
      <rPr>
        <sz val="10"/>
        <rFont val="Arial"/>
        <charset val="134"/>
      </rPr>
      <t>N150(</t>
    </r>
    <r>
      <rPr>
        <sz val="10"/>
        <rFont val="微软雅黑"/>
        <charset val="134"/>
      </rPr>
      <t>研发样品</t>
    </r>
    <r>
      <rPr>
        <sz val="10"/>
        <rFont val="Arial"/>
        <charset val="134"/>
      </rPr>
      <t>)</t>
    </r>
  </si>
  <si>
    <t>A.F.M.2401898-MP</t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</si>
  <si>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</si>
  <si>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LPDDR5-315</t>
    </r>
    <r>
      <rPr>
        <sz val="10"/>
        <rFont val="宋体"/>
        <charset val="134"/>
      </rPr>
      <t>球</t>
    </r>
    <r>
      <rPr>
        <sz val="10"/>
        <rFont val="Arial"/>
        <charset val="134"/>
      </rPr>
      <t>6G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</si>
  <si>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使用江波龙</t>
    </r>
    <r>
      <rPr>
        <sz val="10"/>
        <rFont val="Arial"/>
        <charset val="134"/>
      </rPr>
      <t>(</t>
    </r>
    <r>
      <rPr>
        <sz val="10"/>
        <rFont val="宋体"/>
        <charset val="134"/>
      </rPr>
      <t>已停产）或者佰维</t>
    </r>
    <r>
      <rPr>
        <sz val="10"/>
        <rFont val="Arial"/>
        <charset val="134"/>
      </rPr>
      <t>(</t>
    </r>
    <r>
      <rPr>
        <sz val="10"/>
        <rFont val="宋体"/>
        <charset val="134"/>
      </rPr>
      <t>佰维核算价格</t>
    </r>
    <r>
      <rPr>
        <sz val="10"/>
        <rFont val="Arial"/>
        <charset val="134"/>
      </rPr>
      <t>)</t>
    </r>
    <r>
      <rPr>
        <sz val="10"/>
        <rFont val="微软雅黑"/>
        <charset val="134"/>
      </rPr>
      <t>；双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 xml:space="preserve"> ;MP86941*3PCS</t>
    </r>
  </si>
  <si>
    <t>A.F.M.2402171-MP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</si>
  <si>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使用江波龙</t>
    </r>
    <r>
      <rPr>
        <sz val="10"/>
        <rFont val="微软雅黑"/>
        <charset val="134"/>
      </rPr>
      <t>；双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 xml:space="preserve"> ;MP86941*3PCS</t>
    </r>
  </si>
  <si>
    <t>A.F.M.2500053-MP</t>
  </si>
  <si>
    <t>LPDDR5-315球6G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</si>
  <si>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使用佰维；双Type C IC及两个Type c接口 ;</t>
    </r>
    <r>
      <rPr>
        <sz val="10"/>
        <rFont val="Arial"/>
        <charset val="134"/>
      </rPr>
      <t>MP86941*3pcs;IT5570E;MP2964GQKT;ALC122</t>
    </r>
  </si>
  <si>
    <t>含有IT6113FN；SC6104QDER；</t>
  </si>
  <si>
    <t>DNN25</t>
  </si>
  <si>
    <t>A.F.M.2500674-OOC</t>
  </si>
  <si>
    <t>单Type c(两个Type C 接口)</t>
  </si>
  <si>
    <t>LPDDR5-315球8G</t>
  </si>
  <si>
    <t>单Type C IC及两个Type c接口；DDR使用江波龙；IT5570E</t>
  </si>
  <si>
    <t>A.F.M.2502605</t>
  </si>
  <si>
    <t>两个Type c IC ANX7447QN+两个Type C 接口</t>
  </si>
  <si>
    <t>16G*2</t>
  </si>
  <si>
    <r>
      <rPr>
        <sz val="10"/>
        <rFont val="Arial"/>
        <charset val="134"/>
      </rPr>
      <t>LPDDR5-315</t>
    </r>
    <r>
      <rPr>
        <sz val="10"/>
        <rFont val="宋体"/>
        <charset val="134"/>
      </rPr>
      <t>球</t>
    </r>
    <r>
      <rPr>
        <sz val="10"/>
        <rFont val="Arial"/>
        <charset val="134"/>
      </rPr>
      <t>16G*2</t>
    </r>
  </si>
  <si>
    <t>HDMI2.0,TPM  9672</t>
  </si>
  <si>
    <t>A.F.M.2502835</t>
  </si>
  <si>
    <t>DNN10(8L+HDI+OSP)</t>
  </si>
  <si>
    <t>ADL-N</t>
  </si>
  <si>
    <t>8G+128G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</si>
  <si>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使用三星库存料</t>
    </r>
    <r>
      <rPr>
        <sz val="10"/>
        <rFont val="Arial"/>
        <charset val="134"/>
      </rPr>
      <t>(BOM</t>
    </r>
    <r>
      <rPr>
        <sz val="10"/>
        <rFont val="微软雅黑"/>
        <charset val="134"/>
      </rPr>
      <t>里备注</t>
    </r>
    <r>
      <rPr>
        <sz val="10"/>
        <rFont val="Arial"/>
        <charset val="134"/>
      </rPr>
      <t>)</t>
    </r>
    <r>
      <rPr>
        <sz val="10"/>
        <rFont val="微软雅黑"/>
        <charset val="134"/>
      </rPr>
      <t>接单前确认价格；；单</t>
    </r>
    <r>
      <rPr>
        <sz val="10"/>
        <rFont val="Arial"/>
        <charset val="134"/>
      </rPr>
      <t>type c;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</si>
  <si>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A.F.M.2401348-OOC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</si>
  <si>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 xml:space="preserve">Type c IC </t>
    </r>
    <r>
      <rPr>
        <sz val="10"/>
        <rFont val="微软雅黑"/>
        <charset val="134"/>
      </rPr>
      <t>及一个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</si>
  <si>
    <t>A.F.M.2401349-OOC</t>
  </si>
  <si>
    <r>
      <rPr>
        <sz val="10"/>
        <rFont val="Arial"/>
        <charset val="134"/>
      </rPr>
      <t>N350(</t>
    </r>
    <r>
      <rPr>
        <sz val="10"/>
        <rFont val="微软雅黑"/>
        <charset val="134"/>
      </rPr>
      <t>研发样品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</si>
  <si>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群联</t>
    </r>
    <r>
      <rPr>
        <sz val="10"/>
        <rFont val="Arial"/>
        <charset val="134"/>
      </rPr>
      <t>/LPDDR4X-556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16G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</si>
  <si>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是研发样品未算成本；</t>
    </r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无</t>
    </r>
    <r>
      <rPr>
        <sz val="10"/>
        <rFont val="Arial"/>
        <charset val="134"/>
      </rPr>
      <t xml:space="preserve">Type c IC </t>
    </r>
    <r>
      <rPr>
        <sz val="10"/>
        <rFont val="微软雅黑"/>
        <charset val="134"/>
      </rPr>
      <t>及一个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接口；</t>
    </r>
    <r>
      <rPr>
        <sz val="10"/>
        <rFont val="Arial"/>
        <charset val="134"/>
      </rPr>
      <t>MP86941-*2</t>
    </r>
  </si>
  <si>
    <t>DNN10A(8L+HDI+OSP)</t>
  </si>
  <si>
    <t>A.F.M.2402179-MP</t>
  </si>
  <si>
    <t>Non Type c(无Typec 接口)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</si>
  <si>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/LPDDR4X-366</t>
    </r>
    <r>
      <rPr>
        <sz val="10"/>
        <rFont val="微软雅黑"/>
        <charset val="134"/>
      </rPr>
      <t>球4</t>
    </r>
    <r>
      <rPr>
        <sz val="10"/>
        <rFont val="Arial"/>
        <charset val="134"/>
      </rPr>
      <t>G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</si>
  <si>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Arial"/>
        <charset val="134"/>
      </rPr>
      <t>,</t>
    </r>
    <r>
      <rPr>
        <sz val="10"/>
        <rFont val="宋体"/>
        <charset val="134"/>
      </rPr>
      <t>无</t>
    </r>
    <r>
      <rPr>
        <sz val="10"/>
        <rFont val="Arial"/>
        <charset val="134"/>
      </rPr>
      <t xml:space="preserve">Type c IC </t>
    </r>
    <r>
      <rPr>
        <sz val="10"/>
        <rFont val="宋体"/>
        <charset val="134"/>
      </rPr>
      <t>无接口</t>
    </r>
    <r>
      <rPr>
        <sz val="10"/>
        <rFont val="Arial"/>
        <charset val="134"/>
      </rPr>
      <t>;T5570E;PCB</t>
    </r>
    <r>
      <rPr>
        <sz val="10"/>
        <rFont val="宋体"/>
        <charset val="134"/>
      </rPr>
      <t>参考以前价格；EMMC停产验新料价格</t>
    </r>
  </si>
  <si>
    <t>A.F.M.2402180-MP</t>
  </si>
  <si>
    <r>
      <rPr>
        <sz val="10"/>
        <rFont val="宋体"/>
        <charset val="134"/>
      </rPr>
      <t>条子</t>
    </r>
    <r>
      <rPr>
        <sz val="10"/>
        <rFont val="Arial"/>
        <charset val="134"/>
      </rPr>
      <t>/LPDDR4X-556</t>
    </r>
    <r>
      <rPr>
        <sz val="10"/>
        <rFont val="宋体"/>
        <charset val="134"/>
      </rPr>
      <t>球</t>
    </r>
    <r>
      <rPr>
        <sz val="10"/>
        <rFont val="Arial"/>
        <charset val="134"/>
      </rPr>
      <t>8G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</si>
  <si>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使用库存料接单前确认价格；；无Type c IC 无接口;T5570E;PCB参考以前价格</t>
    </r>
  </si>
  <si>
    <r>
      <rPr>
        <sz val="10"/>
        <rFont val="Arial"/>
        <charset val="134"/>
      </rPr>
      <t>SKU2(</t>
    </r>
    <r>
      <rPr>
        <sz val="10"/>
        <rFont val="宋体"/>
        <charset val="134"/>
      </rPr>
      <t>临时</t>
    </r>
    <r>
      <rPr>
        <sz val="10"/>
        <rFont val="Arial"/>
        <charset val="134"/>
      </rPr>
      <t>bom</t>
    </r>
    <r>
      <rPr>
        <sz val="10"/>
        <rFont val="宋体"/>
        <charset val="134"/>
      </rPr>
      <t>）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</si>
  <si>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Arial"/>
        <charset val="134"/>
      </rPr>
      <t>,</t>
    </r>
    <r>
      <rPr>
        <sz val="10"/>
        <rFont val="宋体"/>
        <charset val="134"/>
      </rPr>
      <t>无</t>
    </r>
    <r>
      <rPr>
        <sz val="10"/>
        <rFont val="Arial"/>
        <charset val="134"/>
      </rPr>
      <t xml:space="preserve">Type c IC </t>
    </r>
    <r>
      <rPr>
        <sz val="10"/>
        <rFont val="宋体"/>
        <charset val="134"/>
      </rPr>
      <t>无接口</t>
    </r>
    <r>
      <rPr>
        <sz val="10"/>
        <rFont val="Arial"/>
        <charset val="134"/>
      </rPr>
      <t>;T5570E;PCB</t>
    </r>
    <r>
      <rPr>
        <sz val="10"/>
        <rFont val="宋体"/>
        <charset val="134"/>
      </rPr>
      <t>参考以前价格；EMMC停产中待验新料暂无价格</t>
    </r>
  </si>
  <si>
    <r>
      <rPr>
        <sz val="10"/>
        <rFont val="Arial"/>
        <charset val="134"/>
      </rPr>
      <t>SKU3(</t>
    </r>
    <r>
      <rPr>
        <sz val="10"/>
        <rFont val="宋体"/>
        <charset val="134"/>
      </rPr>
      <t>临时bom）</t>
    </r>
  </si>
  <si>
    <t>A.F.M.2402358-MP</t>
  </si>
  <si>
    <r>
      <rPr>
        <sz val="10"/>
        <rFont val="Arial"/>
        <charset val="134"/>
      </rPr>
      <t>Type Ic</t>
    </r>
    <r>
      <rPr>
        <sz val="10"/>
        <rFont val="宋体"/>
        <charset val="134"/>
      </rPr>
      <t>(一个Type c 接口)</t>
    </r>
  </si>
  <si>
    <r>
      <rPr>
        <sz val="10"/>
        <rFont val="宋体"/>
        <charset val="134"/>
      </rPr>
      <t>单Type C IC及1个Type c接口；</t>
    </r>
    <r>
      <rPr>
        <sz val="10"/>
        <rFont val="Arial"/>
        <charset val="134"/>
      </rPr>
      <t>IT5570E;MP86941*2pcs</t>
    </r>
  </si>
  <si>
    <t>A.F.M.2402359-OOC1</t>
  </si>
  <si>
    <t>A.F.M.2402360-OOC2</t>
  </si>
  <si>
    <r>
      <rPr>
        <sz val="10"/>
        <rFont val="宋体"/>
        <charset val="134"/>
      </rPr>
      <t>单type c接口；</t>
    </r>
    <r>
      <rPr>
        <sz val="10"/>
        <rFont val="Arial"/>
        <charset val="134"/>
      </rPr>
      <t>IT5570E;MP86941*2pcs</t>
    </r>
  </si>
  <si>
    <r>
      <rPr>
        <sz val="10"/>
        <rFont val="Arial"/>
        <charset val="134"/>
      </rPr>
      <t>N150</t>
    </r>
    <r>
      <rPr>
        <sz val="10"/>
        <rFont val="宋体"/>
        <charset val="134"/>
      </rPr>
      <t>（</t>
    </r>
    <r>
      <rPr>
        <sz val="10"/>
        <rFont val="Arial"/>
        <charset val="134"/>
      </rPr>
      <t>6W)</t>
    </r>
  </si>
  <si>
    <t>A.F.M.2402493-OOC</t>
  </si>
  <si>
    <t>单Type C IC及1个Type c接口；ALC269Q;MP86941*2pcs;IT5570E;MP2964GQKT</t>
  </si>
  <si>
    <t>A.F.M.2503076</t>
  </si>
  <si>
    <t>单Type C IC及1个Type c接口；</t>
  </si>
  <si>
    <t>A.F.M.2401474-MP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</si>
  <si>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 xml:space="preserve"> ;DDR</t>
    </r>
    <r>
      <rPr>
        <sz val="10"/>
        <rFont val="微软雅黑"/>
        <charset val="134"/>
      </rPr>
      <t>使用镁光暂无价格；</t>
    </r>
  </si>
  <si>
    <t>A.F.M.2500575</t>
  </si>
  <si>
    <r>
      <rPr>
        <sz val="10"/>
        <rFont val="微软雅黑"/>
        <charset val="134"/>
      </rPr>
      <t>双Type C IC及两个Type c接口 ;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使用事必达</t>
    </r>
    <r>
      <rPr>
        <sz val="10"/>
        <rFont val="Arial"/>
        <charset val="134"/>
      </rPr>
      <t>(Spectek)/</t>
    </r>
    <r>
      <rPr>
        <sz val="10"/>
        <rFont val="微软雅黑"/>
        <charset val="134"/>
      </rPr>
      <t>三星，暂无价格；ALC269Q;IT5570E;MP2964GQKT</t>
    </r>
  </si>
  <si>
    <r>
      <rPr>
        <sz val="10"/>
        <rFont val="Arial"/>
        <charset val="134"/>
      </rPr>
      <t>JN21S(8L+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</si>
  <si>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t>A.F.M.2500553-MP</t>
  </si>
  <si>
    <t>单Type C及一个Type  c接口</t>
  </si>
  <si>
    <r>
      <rPr>
        <sz val="10"/>
        <rFont val="Arial"/>
        <charset val="134"/>
      </rPr>
      <t>N4501(</t>
    </r>
    <r>
      <rPr>
        <sz val="10"/>
        <rFont val="宋体"/>
        <charset val="134"/>
      </rPr>
      <t>客供）</t>
    </r>
  </si>
  <si>
    <t>单Type C及一个Type  c接口；ALC269Q；IT5570E；</t>
  </si>
  <si>
    <t>A.F.M.2600683</t>
  </si>
  <si>
    <t>A.F.M.2601779</t>
  </si>
  <si>
    <t>A.F.M.2500554-MP</t>
  </si>
  <si>
    <t>A.F.M.2500555-MP</t>
  </si>
  <si>
    <t>A.F.M.2500556-MP</t>
  </si>
  <si>
    <t>ALC269Q；IT5570E；</t>
  </si>
  <si>
    <t>214.5mm*119.9mm*1.0mm</t>
  </si>
  <si>
    <t>A.F.M.2503194</t>
  </si>
  <si>
    <t>SKU16/SKU17</t>
  </si>
  <si>
    <t>TYPE-C:ANX7447QN ;CODEC:ALC269Q;IT5570E；</t>
  </si>
  <si>
    <t>A.F.M.2501017-MP</t>
  </si>
  <si>
    <t>A.F.M.2501191-MP</t>
  </si>
  <si>
    <t>A.F.M.2501769-MP</t>
  </si>
  <si>
    <t>N6000</t>
  </si>
  <si>
    <t>A.F.M.2401297-OOC</t>
  </si>
  <si>
    <r>
      <rPr>
        <sz val="10"/>
        <rFont val="Arial"/>
        <charset val="134"/>
      </rPr>
      <t>Type c(</t>
    </r>
    <r>
      <rPr>
        <sz val="10"/>
        <rFont val="微软雅黑"/>
        <charset val="134"/>
      </rPr>
      <t>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</si>
  <si>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群联</t>
    </r>
    <r>
      <rPr>
        <sz val="10"/>
        <rFont val="Arial"/>
        <charset val="134"/>
      </rPr>
      <t>/LPDDR4X-200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</si>
  <si>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微软雅黑"/>
        <charset val="134"/>
      </rPr>
      <t>三</t>
    </r>
    <r>
      <rPr>
        <sz val="10"/>
        <rFont val="Arial"/>
        <charset val="134"/>
      </rPr>
      <t xml:space="preserve">TYPE C IC 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带</t>
    </r>
    <r>
      <rPr>
        <sz val="10"/>
        <rFont val="Arial"/>
        <charset val="134"/>
      </rPr>
      <t>HDMI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使用江波龙；含国民技术的加密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和移远的</t>
    </r>
    <r>
      <rPr>
        <sz val="10"/>
        <rFont val="Arial"/>
        <charset val="134"/>
      </rPr>
      <t>4G</t>
    </r>
    <r>
      <rPr>
        <sz val="10"/>
        <rFont val="微软雅黑"/>
        <charset val="134"/>
      </rPr>
      <t>模块</t>
    </r>
  </si>
  <si>
    <r>
      <rPr>
        <sz val="10"/>
        <rFont val="Arial"/>
        <charset val="134"/>
      </rPr>
      <t>SKU11(costd</t>
    </r>
    <r>
      <rPr>
        <sz val="10"/>
        <rFont val="宋体"/>
        <charset val="134"/>
      </rPr>
      <t>版本）</t>
    </r>
  </si>
  <si>
    <r>
      <rPr>
        <sz val="10"/>
        <rFont val="宋体"/>
        <charset val="134"/>
      </rPr>
      <t>三个</t>
    </r>
    <r>
      <rPr>
        <sz val="10"/>
        <rFont val="Arial"/>
        <charset val="134"/>
      </rPr>
      <t>Type c(</t>
    </r>
    <r>
      <rPr>
        <sz val="10"/>
        <rFont val="微软雅黑"/>
        <charset val="134"/>
      </rPr>
      <t>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</si>
  <si>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三个</t>
    </r>
    <r>
      <rPr>
        <sz val="10"/>
        <rFont val="Arial"/>
        <charset val="134"/>
      </rPr>
      <t xml:space="preserve">TYPE C IC 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带</t>
    </r>
    <r>
      <rPr>
        <sz val="10"/>
        <rFont val="Arial"/>
        <charset val="134"/>
      </rPr>
      <t>HDMI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使用江波龙；含移远的</t>
    </r>
    <r>
      <rPr>
        <sz val="10"/>
        <rFont val="Arial"/>
        <charset val="134"/>
      </rPr>
      <t>4G</t>
    </r>
    <r>
      <rPr>
        <sz val="10"/>
        <rFont val="微软雅黑"/>
        <charset val="134"/>
      </rPr>
      <t>模块;IT5570E;IT66318FN/EW-0003(R);ALC269Q</t>
    </r>
  </si>
  <si>
    <t>A.F.M.2500230-OOC</t>
  </si>
  <si>
    <r>
      <rPr>
        <sz val="10"/>
        <rFont val="Arial"/>
        <charset val="134"/>
      </rPr>
      <t>DNS11(6L+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</si>
  <si>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t>A.F.M.2500989-MP</t>
  </si>
  <si>
    <t>Type Ic(一个Type c 接口)</t>
  </si>
  <si>
    <t>单type C及一个接口；ALC245-CG;IT5570E;IT66318FN/EW-0003(R);RTL8125BG-CG</t>
  </si>
  <si>
    <t>XP67(MCJ底座 4L+通孔+OSP)</t>
  </si>
  <si>
    <t>250*100李保安</t>
  </si>
  <si>
    <t>PCB无资料按尺寸预估，SMT预估</t>
  </si>
  <si>
    <t>DNN106</t>
  </si>
  <si>
    <t>A.F.M.2601545</t>
  </si>
  <si>
    <r>
      <rPr>
        <sz val="10"/>
        <color theme="1"/>
        <rFont val="Arial"/>
        <charset val="134"/>
      </rPr>
      <t>JSLIA(6L+</t>
    </r>
    <r>
      <rPr>
        <sz val="10"/>
        <color theme="1"/>
        <rFont val="宋体"/>
        <charset val="134"/>
      </rPr>
      <t>通孔+OSP)</t>
    </r>
  </si>
  <si>
    <t>184*170*1.6</t>
  </si>
  <si>
    <t>A.P.JSLIA004</t>
  </si>
  <si>
    <r>
      <rPr>
        <sz val="10"/>
        <color theme="1"/>
        <rFont val="宋体"/>
        <charset val="134"/>
      </rPr>
      <t>报价有效期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周</t>
    </r>
  </si>
  <si>
    <r>
      <rPr>
        <sz val="10"/>
        <color theme="1"/>
        <rFont val="Arial"/>
        <charset val="134"/>
      </rPr>
      <t>DNN25B(8L+</t>
    </r>
    <r>
      <rPr>
        <sz val="10"/>
        <color theme="1"/>
        <rFont val="宋体"/>
        <charset val="134"/>
      </rPr>
      <t>通孔+HDI+HF)</t>
    </r>
  </si>
  <si>
    <t>A.F.M.2601811/A.F.M.2601810/A.F.M.2601727</t>
  </si>
  <si>
    <t>A.F.M.2603146</t>
  </si>
  <si>
    <t>吴小惠</t>
  </si>
  <si>
    <t>A.F.M.2603096</t>
  </si>
  <si>
    <t>A.F.M.2601726</t>
  </si>
  <si>
    <t>A.F.M.2601495/A.F.M.2601496/A.F.M.2601497/A.F.M.2601563/A.F.M.2601564/A.F.M.2601565/A.F.M.2602694</t>
  </si>
  <si>
    <r>
      <rPr>
        <sz val="10"/>
        <color theme="1"/>
        <rFont val="Arial"/>
        <charset val="134"/>
      </rPr>
      <t>PCB</t>
    </r>
    <r>
      <rPr>
        <sz val="10"/>
        <color theme="1"/>
        <rFont val="宋体"/>
        <charset val="134"/>
      </rPr>
      <t>价格本周有效</t>
    </r>
  </si>
  <si>
    <t>功能板</t>
  </si>
  <si>
    <t>功能板无电子料只有几个接口</t>
  </si>
  <si>
    <t>A.F.M.2602681</t>
  </si>
  <si>
    <t>A.F.M.2602448</t>
  </si>
  <si>
    <t>A.F.M.2502444</t>
  </si>
  <si>
    <r>
      <rPr>
        <sz val="10"/>
        <rFont val="Arial"/>
        <charset val="134"/>
      </rPr>
      <t>LPDDR5_12GB 496</t>
    </r>
    <r>
      <rPr>
        <sz val="10"/>
        <rFont val="宋体"/>
        <charset val="134"/>
      </rPr>
      <t>球</t>
    </r>
  </si>
  <si>
    <r>
      <rPr>
        <sz val="10"/>
        <rFont val="Arial"/>
        <charset val="134"/>
      </rPr>
      <t>PCB</t>
    </r>
    <r>
      <rPr>
        <sz val="10"/>
        <rFont val="宋体"/>
        <charset val="134"/>
      </rPr>
      <t>有效期</t>
    </r>
    <r>
      <rPr>
        <sz val="10"/>
        <rFont val="Arial"/>
        <charset val="134"/>
      </rPr>
      <t>1</t>
    </r>
    <r>
      <rPr>
        <sz val="10"/>
        <rFont val="宋体"/>
        <charset val="134"/>
      </rPr>
      <t>周，实单前需重新核算</t>
    </r>
  </si>
  <si>
    <r>
      <rPr>
        <b/>
        <sz val="10"/>
        <color theme="1"/>
        <rFont val="微软雅黑"/>
        <charset val="134"/>
      </rPr>
      <t>料号</t>
    </r>
  </si>
  <si>
    <r>
      <rPr>
        <b/>
        <sz val="10"/>
        <rFont val="Arial"/>
        <charset val="134"/>
      </rPr>
      <t>CPU/DDR</t>
    </r>
    <r>
      <rPr>
        <b/>
        <sz val="10"/>
        <rFont val="宋体"/>
        <charset val="134"/>
      </rPr>
      <t>一体式</t>
    </r>
  </si>
  <si>
    <t>CPU</t>
  </si>
  <si>
    <t>DDR</t>
  </si>
  <si>
    <t>EMMC</t>
  </si>
  <si>
    <t>EMMC/DDR</t>
  </si>
  <si>
    <r>
      <rPr>
        <b/>
        <sz val="10"/>
        <rFont val="微软雅黑"/>
        <charset val="134"/>
      </rPr>
      <t>备注</t>
    </r>
  </si>
  <si>
    <r>
      <rPr>
        <sz val="10"/>
        <rFont val="Arial"/>
        <charset val="134"/>
      </rPr>
      <t>DP67C</t>
    </r>
    <r>
      <rPr>
        <sz val="10"/>
        <rFont val="宋体"/>
        <charset val="134"/>
      </rPr>
      <t>（</t>
    </r>
    <r>
      <rPr>
        <sz val="10"/>
        <rFont val="Arial"/>
        <charset val="134"/>
      </rPr>
      <t>10L+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</si>
  <si>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DNTU146A(8L+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</si>
  <si>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DNTU146(8L+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</si>
  <si>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t>LN89(8L+OSP+HDI)</t>
  </si>
  <si>
    <t>A.F.M.2400361-EVT</t>
  </si>
  <si>
    <t>SKU1-8L</t>
  </si>
  <si>
    <r>
      <rPr>
        <sz val="10"/>
        <rFont val="Arial"/>
        <charset val="134"/>
      </rPr>
      <t>Q49M/Q49N(</t>
    </r>
    <r>
      <rPr>
        <sz val="10"/>
        <rFont val="微软雅黑"/>
        <charset val="134"/>
      </rPr>
      <t>研发样品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</si>
  <si>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研发样品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无价格；单</t>
    </r>
    <r>
      <rPr>
        <sz val="10"/>
        <rFont val="Arial"/>
        <charset val="134"/>
      </rPr>
      <t>Type c IC/</t>
    </r>
    <r>
      <rPr>
        <sz val="10"/>
        <rFont val="微软雅黑"/>
        <charset val="134"/>
      </rPr>
      <t>两个接口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含有华邦</t>
    </r>
    <r>
      <rPr>
        <sz val="10"/>
        <rFont val="Arial"/>
        <charset val="134"/>
      </rPr>
      <t>512 Mbit flash;</t>
    </r>
    <r>
      <rPr>
        <sz val="10"/>
        <rFont val="微软雅黑"/>
        <charset val="134"/>
      </rPr>
      <t>含有瑞萨</t>
    </r>
    <r>
      <rPr>
        <sz val="10"/>
        <rFont val="Arial"/>
        <charset val="134"/>
      </rPr>
      <t>*RAA225019CRGBM#HA0 4pcs/RAA225020RGNP#HA0  1pcs</t>
    </r>
  </si>
  <si>
    <r>
      <rPr>
        <sz val="10"/>
        <color theme="0"/>
        <rFont val="微软雅黑"/>
        <charset val="134"/>
      </rPr>
      <t>。</t>
    </r>
  </si>
  <si>
    <t>A.F.M.2400362-EVT</t>
  </si>
  <si>
    <t>SKU2-8L/10L</t>
  </si>
  <si>
    <r>
      <rPr>
        <sz val="10"/>
        <rFont val="Arial"/>
        <charset val="134"/>
      </rPr>
      <t>Q49L/Q49M/Q49P  (</t>
    </r>
    <r>
      <rPr>
        <sz val="10"/>
        <rFont val="微软雅黑"/>
        <charset val="134"/>
      </rPr>
      <t>研发样品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</si>
  <si>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研发样品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无价格；单</t>
    </r>
    <r>
      <rPr>
        <sz val="10"/>
        <rFont val="Arial"/>
        <charset val="134"/>
      </rPr>
      <t>Type c IC/</t>
    </r>
    <r>
      <rPr>
        <sz val="10"/>
        <rFont val="微软雅黑"/>
        <charset val="134"/>
      </rPr>
      <t>两个接口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含有武汉新芯</t>
    </r>
    <r>
      <rPr>
        <sz val="10"/>
        <rFont val="Arial"/>
        <charset val="134"/>
      </rPr>
      <t>256Mbit flash;</t>
    </r>
    <r>
      <rPr>
        <sz val="10"/>
        <rFont val="微软雅黑"/>
        <charset val="134"/>
      </rPr>
      <t>含有瑞萨</t>
    </r>
    <r>
      <rPr>
        <sz val="10"/>
        <rFont val="Arial"/>
        <charset val="134"/>
      </rPr>
      <t>*RAA225019CRGBM#HA0 4pcs/RAA225020RGNP#HA0  1pcs</t>
    </r>
    <r>
      <rPr>
        <sz val="10"/>
        <rFont val="微软雅黑"/>
        <charset val="134"/>
      </rPr>
      <t>；含有：卓运</t>
    </r>
    <r>
      <rPr>
        <sz val="10"/>
        <rFont val="Arial"/>
        <charset val="134"/>
      </rPr>
      <t xml:space="preserve">CW8602 </t>
    </r>
    <r>
      <rPr>
        <sz val="10"/>
        <rFont val="微软雅黑"/>
        <charset val="134"/>
      </rPr>
      <t>解</t>
    </r>
    <r>
      <rPr>
        <sz val="10"/>
        <rFont val="Arial"/>
        <charset val="134"/>
      </rPr>
      <t>BUG IC;</t>
    </r>
    <r>
      <rPr>
        <sz val="10"/>
        <rFont val="微软雅黑"/>
        <charset val="134"/>
      </rPr>
      <t>含有微芯科技</t>
    </r>
    <r>
      <rPr>
        <sz val="10"/>
        <rFont val="Arial"/>
        <charset val="134"/>
      </rPr>
      <t>PAC1934T</t>
    </r>
  </si>
  <si>
    <t>A.F.M.2400798-DVT</t>
  </si>
  <si>
    <t>SKU10-8L</t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</si>
  <si>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</si>
  <si>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Q49M/Q5HF/Q5HU(</t>
    </r>
    <r>
      <rPr>
        <sz val="10"/>
        <rFont val="微软雅黑"/>
        <charset val="134"/>
      </rPr>
      <t>研发样品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</si>
  <si>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研发样品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微软雅黑"/>
        <charset val="134"/>
      </rPr>
      <t>两个接口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含有华邦</t>
    </r>
    <r>
      <rPr>
        <sz val="10"/>
        <rFont val="Arial"/>
        <charset val="134"/>
      </rPr>
      <t>256Mbit flash;</t>
    </r>
    <r>
      <rPr>
        <sz val="10"/>
        <rFont val="微软雅黑"/>
        <charset val="134"/>
      </rPr>
      <t>含有瑞萨</t>
    </r>
    <r>
      <rPr>
        <sz val="10"/>
        <rFont val="Arial"/>
        <charset val="134"/>
      </rPr>
      <t>*RAA225019CRGBM#HA0 4pcs/RAA225020RGNP#HA0  1pcs</t>
    </r>
    <r>
      <rPr>
        <sz val="10"/>
        <rFont val="微软雅黑"/>
        <charset val="134"/>
      </rPr>
      <t>；</t>
    </r>
  </si>
  <si>
    <t>A.F.M.2400799-DVT</t>
  </si>
  <si>
    <t>SKU11-8L</t>
  </si>
  <si>
    <r>
      <rPr>
        <sz val="10"/>
        <rFont val="Arial"/>
        <charset val="134"/>
      </rPr>
      <t>AMOLED;</t>
    </r>
    <r>
      <rPr>
        <sz val="10"/>
        <rFont val="微软雅黑"/>
        <charset val="134"/>
      </rPr>
      <t>研发样品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微软雅黑"/>
        <charset val="134"/>
      </rPr>
      <t>两个接口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含有华邦</t>
    </r>
    <r>
      <rPr>
        <sz val="10"/>
        <rFont val="Arial"/>
        <charset val="134"/>
      </rPr>
      <t>256Mbit flash;</t>
    </r>
    <r>
      <rPr>
        <sz val="10"/>
        <rFont val="微软雅黑"/>
        <charset val="134"/>
      </rPr>
      <t>含有瑞萨</t>
    </r>
    <r>
      <rPr>
        <sz val="10"/>
        <rFont val="Arial"/>
        <charset val="134"/>
      </rPr>
      <t>*RAA225019CRGBM#HA0 4pcs/RAA225020RGNP#HA0  1pcs</t>
    </r>
    <r>
      <rPr>
        <sz val="10"/>
        <rFont val="微软雅黑"/>
        <charset val="134"/>
      </rPr>
      <t>；</t>
    </r>
  </si>
  <si>
    <t>A.F.M.2400926-PVT</t>
  </si>
  <si>
    <t>SKU12-8L</t>
  </si>
  <si>
    <r>
      <rPr>
        <sz val="10"/>
        <rFont val="Arial"/>
        <charset val="134"/>
      </rPr>
      <t>Q49L/Q5HU/Q5JC/Q5JU/Q5H7(</t>
    </r>
    <r>
      <rPr>
        <sz val="10"/>
        <rFont val="宋体"/>
        <charset val="134"/>
      </rPr>
      <t>研发样品</t>
    </r>
    <r>
      <rPr>
        <sz val="10"/>
        <rFont val="Arial"/>
        <charset val="134"/>
      </rPr>
      <t>)</t>
    </r>
  </si>
  <si>
    <t>A.F.M.2400927-PVT</t>
  </si>
  <si>
    <r>
      <rPr>
        <sz val="10"/>
        <rFont val="微软雅黑"/>
        <charset val="134"/>
      </rPr>
      <t>研发样品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微软雅黑"/>
        <charset val="134"/>
      </rPr>
      <t>两个接口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含有华邦</t>
    </r>
    <r>
      <rPr>
        <sz val="10"/>
        <rFont val="Arial"/>
        <charset val="134"/>
      </rPr>
      <t>256Mbit flash;</t>
    </r>
    <r>
      <rPr>
        <sz val="10"/>
        <rFont val="微软雅黑"/>
        <charset val="134"/>
      </rPr>
      <t>含有瑞萨</t>
    </r>
    <r>
      <rPr>
        <sz val="10"/>
        <rFont val="Arial"/>
        <charset val="134"/>
      </rPr>
      <t>*RAA225019CRGBM#HA0 4pcs/RAA225020RGNP#HA0  1pcs</t>
    </r>
    <r>
      <rPr>
        <sz val="10"/>
        <rFont val="微软雅黑"/>
        <charset val="134"/>
      </rPr>
      <t>；</t>
    </r>
  </si>
  <si>
    <t>A.F.M.2401873-PVT</t>
  </si>
  <si>
    <t>SKU15-8L</t>
  </si>
  <si>
    <r>
      <rPr>
        <sz val="10"/>
        <rFont val="Arial"/>
        <charset val="134"/>
      </rPr>
      <t>Q5JC(</t>
    </r>
    <r>
      <rPr>
        <sz val="10"/>
        <rFont val="宋体"/>
        <charset val="134"/>
      </rPr>
      <t>研发样品</t>
    </r>
    <r>
      <rPr>
        <sz val="10"/>
        <rFont val="Arial"/>
        <charset val="134"/>
      </rPr>
      <t>)</t>
    </r>
    <r>
      <rPr>
        <sz val="10"/>
        <rFont val="宋体"/>
        <charset val="134"/>
      </rPr>
      <t>做客供</t>
    </r>
  </si>
  <si>
    <r>
      <rPr>
        <sz val="10"/>
        <rFont val="Arial"/>
        <charset val="134"/>
      </rPr>
      <t>CPU</t>
    </r>
    <r>
      <rPr>
        <sz val="10"/>
        <rFont val="宋体"/>
        <charset val="134"/>
      </rPr>
      <t>走客供</t>
    </r>
    <r>
      <rPr>
        <sz val="10"/>
        <rFont val="微软雅黑"/>
        <charset val="134"/>
      </rPr>
      <t>无价格；单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微软雅黑"/>
        <charset val="134"/>
      </rPr>
      <t>两个接口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含有华邦</t>
    </r>
    <r>
      <rPr>
        <sz val="10"/>
        <rFont val="Arial"/>
        <charset val="134"/>
      </rPr>
      <t>256Mbit flash;</t>
    </r>
    <r>
      <rPr>
        <sz val="10"/>
        <rFont val="微软雅黑"/>
        <charset val="134"/>
      </rPr>
      <t>含有瑞萨</t>
    </r>
    <r>
      <rPr>
        <sz val="10"/>
        <rFont val="Arial"/>
        <charset val="134"/>
      </rPr>
      <t>*RAA225019CRGBM#HA0 4pcs/RAA225020RGNP#HA0  1pcs</t>
    </r>
    <r>
      <rPr>
        <sz val="10"/>
        <rFont val="微软雅黑"/>
        <charset val="134"/>
      </rPr>
      <t>；</t>
    </r>
  </si>
  <si>
    <t>A.F.M.2500190-EVT</t>
  </si>
  <si>
    <r>
      <rPr>
        <sz val="10"/>
        <color theme="1"/>
        <rFont val="Arial"/>
        <charset val="134"/>
      </rPr>
      <t>Q5JC(</t>
    </r>
    <r>
      <rPr>
        <sz val="10"/>
        <color theme="1"/>
        <rFont val="宋体"/>
        <charset val="134"/>
      </rPr>
      <t>研发样品</t>
    </r>
    <r>
      <rPr>
        <sz val="10"/>
        <color theme="1"/>
        <rFont val="Arial"/>
        <charset val="134"/>
      </rPr>
      <t>)</t>
    </r>
    <r>
      <rPr>
        <sz val="10"/>
        <color theme="1"/>
        <rFont val="宋体"/>
        <charset val="134"/>
      </rPr>
      <t>做客供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</si>
  <si>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及两个接口</t>
    </r>
    <r>
      <rPr>
        <sz val="10"/>
        <rFont val="Arial"/>
        <charset val="134"/>
      </rPr>
      <t>;RAA225019ERGBM#HA0*4PCS';W25R256JWEIQ;BMI323;</t>
    </r>
    <r>
      <rPr>
        <sz val="10"/>
        <rFont val="宋体"/>
        <charset val="134"/>
      </rPr>
      <t>含雷电ic*2pcs；含加密</t>
    </r>
    <r>
      <rPr>
        <sz val="10"/>
        <rFont val="Arial"/>
        <charset val="134"/>
      </rPr>
      <t>IC TPM;IT5570VG</t>
    </r>
    <r>
      <rPr>
        <sz val="10"/>
        <rFont val="宋体"/>
        <charset val="134"/>
      </rPr>
      <t>；</t>
    </r>
  </si>
  <si>
    <t>A.F.M.2500694-DVT</t>
  </si>
  <si>
    <t>Ultra 7 258V(32GB)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</si>
  <si>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及两个接口</t>
    </r>
    <r>
      <rPr>
        <sz val="10"/>
        <rFont val="Arial"/>
        <charset val="134"/>
      </rPr>
      <t>;RAA225019ERGBM#HA0*4PCS';W25R256JWEIQ;BMI323;</t>
    </r>
    <r>
      <rPr>
        <sz val="10"/>
        <rFont val="宋体"/>
        <charset val="134"/>
      </rPr>
      <t>含雷电ic*2pcs；含加密</t>
    </r>
    <r>
      <rPr>
        <sz val="10"/>
        <rFont val="Arial"/>
        <charset val="134"/>
      </rPr>
      <t>IC TPM(</t>
    </r>
    <r>
      <rPr>
        <sz val="10"/>
        <rFont val="宋体"/>
        <charset val="134"/>
      </rPr>
      <t>英飞凌）</t>
    </r>
    <r>
      <rPr>
        <sz val="10"/>
        <rFont val="Arial"/>
        <charset val="134"/>
      </rPr>
      <t>;IT5570VG</t>
    </r>
    <r>
      <rPr>
        <sz val="10"/>
        <rFont val="宋体"/>
        <charset val="134"/>
      </rPr>
      <t>；TPA2016D2RTJR*2pcs;ALC897</t>
    </r>
  </si>
  <si>
    <t>A.F.M.2500695-DVT</t>
  </si>
  <si>
    <t>Ultra 5 226V(16GB)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</si>
  <si>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及两个接口</t>
    </r>
    <r>
      <rPr>
        <sz val="10"/>
        <rFont val="Arial"/>
        <charset val="134"/>
      </rPr>
      <t>;RAA225019ERGBM#HA0*4PCS';W25R256JWEIQ;BMI323;</t>
    </r>
    <r>
      <rPr>
        <sz val="10"/>
        <rFont val="宋体"/>
        <charset val="134"/>
      </rPr>
      <t>含雷电ic*2pcs；含加密</t>
    </r>
    <r>
      <rPr>
        <sz val="10"/>
        <rFont val="Arial"/>
        <charset val="134"/>
      </rPr>
      <t>IC TPM</t>
    </r>
    <r>
      <rPr>
        <sz val="10"/>
        <rFont val="宋体"/>
        <charset val="134"/>
      </rPr>
      <t>（新唐）</t>
    </r>
    <r>
      <rPr>
        <sz val="10"/>
        <rFont val="Arial"/>
        <charset val="134"/>
      </rPr>
      <t>;IT5570VG</t>
    </r>
    <r>
      <rPr>
        <sz val="10"/>
        <rFont val="宋体"/>
        <charset val="134"/>
      </rPr>
      <t>；TPA2016D2RTJR*2pcs;ALC897</t>
    </r>
  </si>
  <si>
    <t>A.F.M.2501519-PVT</t>
  </si>
  <si>
    <r>
      <rPr>
        <sz val="10"/>
        <color theme="1"/>
        <rFont val="Arial"/>
        <charset val="134"/>
      </rPr>
      <t>Ultra 5 226V(16GB)(</t>
    </r>
    <r>
      <rPr>
        <sz val="10"/>
        <color theme="1"/>
        <rFont val="宋体"/>
        <charset val="134"/>
      </rPr>
      <t>客供）</t>
    </r>
  </si>
  <si>
    <t>单Type c IC及两个接口;ALC897;RAA225019ERGBM#HA0*4pcs；W25R256JWEIQ；含雷电ic*2pcs；BMI323；IT5570VG；含加密IC TPM;TPA2016D2RTJR*2pcs；YZ-2504280001/YZ-2504280002</t>
  </si>
  <si>
    <t>A.F.M.2501520-PVT</t>
  </si>
  <si>
    <r>
      <rPr>
        <sz val="10"/>
        <color theme="1"/>
        <rFont val="Arial"/>
        <charset val="134"/>
      </rPr>
      <t>Ultra 5 228V(32GB)(</t>
    </r>
    <r>
      <rPr>
        <sz val="10"/>
        <color theme="1"/>
        <rFont val="宋体"/>
        <charset val="134"/>
      </rPr>
      <t>客供）</t>
    </r>
  </si>
  <si>
    <t>单Type c IC及两个接口;ALC897;RAA225019ERGBM#HA0*4pcs；W25R256JWEIQ；含雷电ic*2pcs；BMI323；IT5570VG；含加密IC TPM（新唐）;TPA2016D2RTJR*2pcs；YZ-2504280001/YZ-2504280002</t>
  </si>
  <si>
    <t>A.F.M.2502002-MP</t>
  </si>
  <si>
    <r>
      <rPr>
        <sz val="10"/>
        <rFont val="Arial"/>
        <charset val="134"/>
      </rPr>
      <t>SKU6</t>
    </r>
    <r>
      <rPr>
        <sz val="10"/>
        <rFont val="宋体"/>
        <charset val="134"/>
      </rPr>
      <t>临时</t>
    </r>
    <r>
      <rPr>
        <sz val="10"/>
        <rFont val="Arial"/>
        <charset val="134"/>
      </rPr>
      <t>BOM</t>
    </r>
  </si>
  <si>
    <t>单Type c IC及两个接口;ALC897;含雷电ic*2pcs；BMI323；IT5570VG；含加密IC TPM（新唐）;TPA2016D2RTJR*2pcs；YZ-2504280001/YZ-2504280002;CW8601B;P25Q40SH</t>
  </si>
  <si>
    <r>
      <rPr>
        <sz val="10"/>
        <rFont val="Arial"/>
        <charset val="134"/>
      </rPr>
      <t>SKU7</t>
    </r>
    <r>
      <rPr>
        <sz val="10"/>
        <rFont val="宋体"/>
        <charset val="134"/>
      </rPr>
      <t>临时</t>
    </r>
    <r>
      <rPr>
        <sz val="10"/>
        <rFont val="Arial"/>
        <charset val="134"/>
      </rPr>
      <t>BOM</t>
    </r>
  </si>
  <si>
    <t>CN30</t>
  </si>
  <si>
    <t>i5-8279U(28W)</t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</si>
  <si>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</si>
  <si>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I5-10210U(15W)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</si>
  <si>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</si>
  <si>
    <r>
      <rPr>
        <sz val="10"/>
        <rFont val="Arial"/>
        <charset val="134"/>
      </rPr>
      <t>CN58(8L+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)</t>
    </r>
  </si>
  <si>
    <t>I5-8259U(28W)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</si>
  <si>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Type-c;</t>
    </r>
    <r>
      <rPr>
        <sz val="10"/>
        <rFont val="微软雅黑"/>
        <charset val="134"/>
      </rPr>
      <t>包含加密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</si>
  <si>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Type-c;</t>
    </r>
  </si>
  <si>
    <r>
      <rPr>
        <sz val="10"/>
        <rFont val="Arial"/>
        <charset val="134"/>
      </rPr>
      <t>SKU6(</t>
    </r>
    <r>
      <rPr>
        <sz val="10"/>
        <rFont val="微软雅黑"/>
        <charset val="134"/>
      </rPr>
      <t>精简</t>
    </r>
    <r>
      <rPr>
        <sz val="10"/>
        <rFont val="Arial"/>
        <charset val="134"/>
      </rPr>
      <t>BOM)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</si>
  <si>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目前无价格；单</t>
    </r>
    <r>
      <rPr>
        <sz val="10"/>
        <rFont val="Arial"/>
        <charset val="134"/>
      </rPr>
      <t>Type-c;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</si>
  <si>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Type-c;WIFI</t>
    </r>
    <r>
      <rPr>
        <sz val="10"/>
        <rFont val="微软雅黑"/>
        <charset val="134"/>
      </rPr>
      <t>停产无价格</t>
    </r>
  </si>
  <si>
    <t>MP</t>
  </si>
  <si>
    <t>A.P.10001098  BATT-CON_DB</t>
  </si>
  <si>
    <t>A.F.D.2200018 RJ45 8111H DB</t>
  </si>
  <si>
    <r>
      <rPr>
        <sz val="10"/>
        <rFont val="Arial"/>
        <charset val="134"/>
      </rPr>
      <t>DP13A(10L+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+OSP)</t>
    </r>
  </si>
  <si>
    <r>
      <rPr>
        <sz val="10"/>
        <rFont val="微软雅黑"/>
        <charset val="134"/>
      </rPr>
      <t>临时</t>
    </r>
    <r>
      <rPr>
        <sz val="10"/>
        <rFont val="Arial"/>
        <charset val="134"/>
      </rPr>
      <t>BOM</t>
    </r>
  </si>
  <si>
    <r>
      <rPr>
        <sz val="10"/>
        <rFont val="Arial"/>
        <charset val="134"/>
      </rPr>
      <t>Type c(</t>
    </r>
    <r>
      <rPr>
        <sz val="10"/>
        <rFont val="微软雅黑"/>
        <charset val="134"/>
      </rPr>
      <t>两个接口</t>
    </r>
    <r>
      <rPr>
        <sz val="10"/>
        <rFont val="Arial"/>
        <charset val="134"/>
      </rPr>
      <t>)</t>
    </r>
  </si>
  <si>
    <t>4G*4+0</t>
  </si>
  <si>
    <r>
      <rPr>
        <sz val="10"/>
        <rFont val="Arial"/>
        <charset val="134"/>
      </rPr>
      <t>LPDDR4x-200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</si>
  <si>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使用三星；双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接口；含有英特尔雷电</t>
    </r>
    <r>
      <rPr>
        <sz val="10"/>
        <rFont val="Arial"/>
        <charset val="134"/>
      </rPr>
      <t>IC;</t>
    </r>
  </si>
  <si>
    <r>
      <rPr>
        <sz val="10"/>
        <rFont val="微软雅黑"/>
        <charset val="134"/>
      </rPr>
      <t>小板临时</t>
    </r>
    <r>
      <rPr>
        <sz val="10"/>
        <rFont val="Arial"/>
        <charset val="134"/>
      </rPr>
      <t>BOM A.F.D.2400120</t>
    </r>
  </si>
  <si>
    <r>
      <rPr>
        <sz val="10"/>
        <rFont val="微软雅黑"/>
        <charset val="134"/>
      </rPr>
      <t>小板临时</t>
    </r>
    <r>
      <rPr>
        <sz val="10"/>
        <rFont val="Arial"/>
        <charset val="134"/>
      </rPr>
      <t>BOMA.F.D.2400121</t>
    </r>
  </si>
  <si>
    <r>
      <rPr>
        <sz val="10"/>
        <rFont val="Arial"/>
        <charset val="134"/>
      </rPr>
      <t>DP62(10L+HDI1+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</si>
  <si>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t>A.F.M.2400117-EVT</t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</si>
  <si>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无接口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</si>
  <si>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暂无价格；单</t>
    </r>
    <r>
      <rPr>
        <sz val="10"/>
        <rFont val="Arial"/>
        <charset val="134"/>
      </rPr>
      <t>Tpye c IC</t>
    </r>
    <r>
      <rPr>
        <sz val="10"/>
        <rFont val="宋体"/>
        <charset val="134"/>
      </rPr>
      <t>及无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</t>
    </r>
    <r>
      <rPr>
        <sz val="10"/>
        <rFont val="宋体"/>
        <charset val="134"/>
      </rPr>
      <t>；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BMI323</t>
    </r>
    <r>
      <rPr>
        <sz val="10"/>
        <rFont val="微软雅黑"/>
        <charset val="134"/>
      </rPr>
      <t>；</t>
    </r>
  </si>
  <si>
    <t>A.F.M.2400118-EVT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</si>
  <si>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暂无价格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>Tpye c IC</t>
    </r>
    <r>
      <rPr>
        <sz val="10"/>
        <rFont val="宋体"/>
        <charset val="134"/>
      </rPr>
      <t>及无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；</t>
    </r>
  </si>
  <si>
    <t>A.F.M.2400119-EVT</t>
  </si>
  <si>
    <t>A.F.M.2401076-PVT</t>
  </si>
  <si>
    <r>
      <rPr>
        <sz val="10"/>
        <rFont val="Arial"/>
        <charset val="134"/>
      </rPr>
      <t>I5-1235U(</t>
    </r>
    <r>
      <rPr>
        <sz val="10"/>
        <rFont val="宋体"/>
        <charset val="134"/>
      </rPr>
      <t>不带</t>
    </r>
    <r>
      <rPr>
        <sz val="10"/>
        <rFont val="Arial"/>
        <charset val="134"/>
      </rPr>
      <t>IPU)(15W)</t>
    </r>
  </si>
  <si>
    <t>A.F.M.2500758-PVT</t>
  </si>
  <si>
    <t>Type c(无接口)</t>
  </si>
  <si>
    <t>I7-1255U(15W)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</si>
  <si>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暂无价格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>Tpye c IC</t>
    </r>
    <r>
      <rPr>
        <sz val="10"/>
        <rFont val="宋体"/>
        <charset val="134"/>
      </rPr>
      <t>及无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ALC269Q;MP86941*3pcs;IT5570;MP2964GQKT;</t>
    </r>
  </si>
  <si>
    <t>A.F.M.2500893-PVT</t>
  </si>
  <si>
    <t>16G*2+0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</si>
  <si>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>Tpye c IC</t>
    </r>
    <r>
      <rPr>
        <sz val="10"/>
        <rFont val="宋体"/>
        <charset val="134"/>
      </rPr>
      <t>及无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ALC269Q;MP86941*3pcs;IT5570;MP2964GQKT;</t>
    </r>
  </si>
  <si>
    <t>A.F.D.2400192-PVT</t>
  </si>
  <si>
    <t>A.F.D.2400192 TYPEC DB</t>
  </si>
  <si>
    <t>A.F.D.2400050-EVT</t>
  </si>
  <si>
    <t>A.F.D.2400050 RJ45 DB</t>
  </si>
  <si>
    <t>A.F.D.2400051-EVT</t>
  </si>
  <si>
    <t>A.F.D.2400051 TYPEC DB</t>
  </si>
  <si>
    <t>DN21A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</si>
  <si>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Tpye c;</t>
    </r>
  </si>
  <si>
    <t>A.F.D.2300069 USB DB</t>
  </si>
  <si>
    <r>
      <rPr>
        <sz val="10"/>
        <rFont val="Arial"/>
        <charset val="134"/>
      </rPr>
      <t>DN21B(8L+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)</t>
    </r>
  </si>
  <si>
    <t>A.F.M.2400641-EVT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</si>
  <si>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c;</t>
    </r>
  </si>
  <si>
    <t>A.F.M.2400642-EVT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</si>
  <si>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</si>
  <si>
    <t>A.F.M.2400643-EVT</t>
  </si>
  <si>
    <t>A.F.M.2400644-EVT</t>
  </si>
  <si>
    <t>A.F.M.2401603-PVT</t>
  </si>
  <si>
    <t>SKU5(CKD)</t>
  </si>
  <si>
    <r>
      <rPr>
        <sz val="10"/>
        <rFont val="Arial"/>
        <charset val="134"/>
      </rPr>
      <t>i3-1215U(</t>
    </r>
    <r>
      <rPr>
        <sz val="10"/>
        <rFont val="宋体"/>
        <charset val="134"/>
      </rPr>
      <t>不带</t>
    </r>
    <r>
      <rPr>
        <sz val="10"/>
        <rFont val="Arial"/>
        <charset val="134"/>
      </rPr>
      <t>IPU)(15W)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</si>
  <si>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</t>
    </r>
  </si>
  <si>
    <t>A.F.M.2401604-PVT</t>
  </si>
  <si>
    <t>SKU6(CKD)</t>
  </si>
  <si>
    <t>A.F.M.2401605-PVT</t>
  </si>
  <si>
    <t>SKU7(CKD)</t>
  </si>
  <si>
    <r>
      <rPr>
        <sz val="10"/>
        <rFont val="Arial"/>
        <charset val="134"/>
      </rPr>
      <t>I7-1255U(</t>
    </r>
    <r>
      <rPr>
        <sz val="10"/>
        <rFont val="宋体"/>
        <charset val="134"/>
      </rPr>
      <t>不带</t>
    </r>
    <r>
      <rPr>
        <sz val="10"/>
        <rFont val="Arial"/>
        <charset val="134"/>
      </rPr>
      <t>IPU)(15W)</t>
    </r>
  </si>
  <si>
    <t>A.F.M.2401606-PVT</t>
  </si>
  <si>
    <t>SKU8(CKD)</t>
  </si>
  <si>
    <r>
      <rPr>
        <sz val="10"/>
        <rFont val="Arial"/>
        <charset val="134"/>
      </rPr>
      <t>i3-1315U(</t>
    </r>
    <r>
      <rPr>
        <sz val="10"/>
        <rFont val="宋体"/>
        <charset val="134"/>
      </rPr>
      <t>不带</t>
    </r>
    <r>
      <rPr>
        <sz val="10"/>
        <rFont val="Arial"/>
        <charset val="134"/>
      </rPr>
      <t>IPU)(15W)</t>
    </r>
  </si>
  <si>
    <t>A.F.M.2401607-PVT</t>
  </si>
  <si>
    <t>SKU9(CKD)</t>
  </si>
  <si>
    <r>
      <rPr>
        <sz val="10"/>
        <rFont val="Arial"/>
        <charset val="134"/>
      </rPr>
      <t>i5-1335U(</t>
    </r>
    <r>
      <rPr>
        <sz val="10"/>
        <rFont val="宋体"/>
        <charset val="134"/>
      </rPr>
      <t>不带</t>
    </r>
    <r>
      <rPr>
        <sz val="10"/>
        <rFont val="Arial"/>
        <charset val="134"/>
      </rPr>
      <t>IPU)(15W)</t>
    </r>
  </si>
  <si>
    <t>A.F.M.2401608-PVT</t>
  </si>
  <si>
    <t>SKU10(CKD)</t>
  </si>
  <si>
    <t>A.F.M.2401609-PVT</t>
  </si>
  <si>
    <t>A.F.M.2401610-PVT</t>
  </si>
  <si>
    <t>A.F.M.2401719-PVT</t>
  </si>
  <si>
    <t>SKU13(CKD)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</si>
  <si>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接口；PCB为沉金材质低损耗TG150</t>
    </r>
  </si>
  <si>
    <t>临时bom</t>
  </si>
  <si>
    <t>MP86941*3pcs；IT5570E；IT66318FN；MP2964GQKT；含加密IC TPM;</t>
  </si>
  <si>
    <t>DN5E</t>
  </si>
  <si>
    <t>LPDDR4X-556球8G</t>
  </si>
  <si>
    <t>单Tpye c IC及两个Type c接口;MP86941*3pcS;ANX7447QN-AC-R;IT5570E-128/CX,DDR库存料接单前确认价格</t>
  </si>
  <si>
    <t>A.F.M.2401868-PVT</t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</si>
  <si>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Type c(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</si>
  <si>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t>双Tpye c IC及两个Type c接口;MP86941*3pcS;ANX7447QN-AC-R;IT5570E-128/CX；DDR库存料接单前确认价格</t>
  </si>
  <si>
    <r>
      <rPr>
        <sz val="10"/>
        <rFont val="Arial"/>
        <charset val="134"/>
      </rPr>
      <t>DN59E(8L+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</si>
  <si>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；含雷电芯片</t>
    </r>
    <r>
      <rPr>
        <sz val="10"/>
        <rFont val="Arial"/>
        <charset val="134"/>
      </rPr>
      <t>;POWER_IC MP86941*5pcs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</si>
  <si>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；含雷电芯片</t>
    </r>
    <r>
      <rPr>
        <sz val="10"/>
        <rFont val="Arial"/>
        <charset val="134"/>
      </rPr>
      <t>,POWER_IC MP86941*3pcs</t>
    </r>
  </si>
  <si>
    <t>不接单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</si>
  <si>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；含雷电芯片</t>
    </r>
    <r>
      <rPr>
        <sz val="10"/>
        <rFont val="Arial"/>
        <charset val="134"/>
      </rPr>
      <t>1pcs,POWER_IC G2708CKU1U*1pcs</t>
    </r>
  </si>
  <si>
    <r>
      <rPr>
        <sz val="10"/>
        <rFont val="微软雅黑"/>
        <charset val="134"/>
      </rPr>
      <t>精简</t>
    </r>
    <r>
      <rPr>
        <sz val="10"/>
        <rFont val="Arial"/>
        <charset val="134"/>
      </rPr>
      <t>BOM</t>
    </r>
  </si>
  <si>
    <t>DN60</t>
  </si>
  <si>
    <t>8G*4+0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</si>
  <si>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Type-c;</t>
    </r>
    <r>
      <rPr>
        <sz val="10"/>
        <rFont val="微软雅黑"/>
        <charset val="134"/>
      </rPr>
      <t>包含加密</t>
    </r>
    <r>
      <rPr>
        <sz val="10"/>
        <rFont val="Arial"/>
        <charset val="134"/>
      </rPr>
      <t>IC TPM,DDR</t>
    </r>
    <r>
      <rPr>
        <sz val="10"/>
        <rFont val="微软雅黑"/>
        <charset val="134"/>
      </rPr>
      <t>使用海力士</t>
    </r>
  </si>
  <si>
    <r>
      <rPr>
        <sz val="10"/>
        <rFont val="Arial"/>
        <charset val="134"/>
      </rPr>
      <t>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</si>
  <si>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t>A.P.10001144 VOLKEY_DB</t>
  </si>
  <si>
    <r>
      <rPr>
        <sz val="10"/>
        <rFont val="Arial"/>
        <charset val="134"/>
      </rPr>
      <t>DN66(8L+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</si>
  <si>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t>A.F.M.2301075-PVT</t>
  </si>
  <si>
    <t>A.F.M.2301076-PVT</t>
  </si>
  <si>
    <t>A.F.M.2301077-PVT</t>
  </si>
  <si>
    <t>A.F.M.2301078-PVT</t>
  </si>
  <si>
    <t>A.F.M.2402038-PVT2</t>
  </si>
  <si>
    <r>
      <rPr>
        <sz val="10"/>
        <rFont val="Arial"/>
        <charset val="134"/>
      </rPr>
      <t>Type c</t>
    </r>
    <r>
      <rPr>
        <sz val="10"/>
        <rFont val="宋体"/>
        <charset val="134"/>
      </rPr>
      <t>（两个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接口）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</si>
  <si>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PCB</t>
    </r>
    <r>
      <rPr>
        <sz val="10"/>
        <rFont val="宋体"/>
        <charset val="134"/>
      </rPr>
      <t>工艺</t>
    </r>
    <r>
      <rPr>
        <sz val="10"/>
        <rFont val="Arial"/>
        <charset val="134"/>
      </rPr>
      <t xml:space="preserve"> OSP;W25R256;MP86941*3pcs;IT5570E;IT66318FN;</t>
    </r>
  </si>
  <si>
    <t>A.F.M.2402039-PVT2</t>
  </si>
  <si>
    <t>A.F.M.2402040-PVT2</t>
  </si>
  <si>
    <t>A.F.M.2500509-PVT2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</si>
  <si>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PCB</t>
    </r>
    <r>
      <rPr>
        <sz val="10"/>
        <rFont val="宋体"/>
        <charset val="134"/>
      </rPr>
      <t>工艺</t>
    </r>
    <r>
      <rPr>
        <sz val="10"/>
        <rFont val="Arial"/>
        <charset val="134"/>
      </rPr>
      <t xml:space="preserve"> OSP;W25R256;MP86941*3pcs;IT5570E;IT66318FN;ALC269Q</t>
    </r>
  </si>
  <si>
    <t>A.F.M.2500510-PVT2</t>
  </si>
  <si>
    <t>A.F.M.2500511-PVT2</t>
  </si>
  <si>
    <t>A.F.D.2300205</t>
  </si>
  <si>
    <t>A.F.D.2300205 RJ45 DB</t>
  </si>
  <si>
    <t>A.F.D.2300207</t>
  </si>
  <si>
    <t>A.F.D.2300207 LED DB</t>
  </si>
  <si>
    <r>
      <rPr>
        <sz val="10"/>
        <rFont val="Arial"/>
        <charset val="134"/>
      </rPr>
      <t>DN83(10L+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)</t>
    </r>
  </si>
  <si>
    <t>A.F.M.2400787-EVT</t>
  </si>
  <si>
    <r>
      <rPr>
        <sz val="10"/>
        <rFont val="Arial"/>
        <charset val="134"/>
      </rPr>
      <t xml:space="preserve">DDR </t>
    </r>
    <r>
      <rPr>
        <sz val="10"/>
        <rFont val="微软雅黑"/>
        <charset val="134"/>
      </rPr>
      <t>使用佰维，单</t>
    </r>
    <r>
      <rPr>
        <sz val="10"/>
        <rFont val="Arial"/>
        <charset val="134"/>
      </rPr>
      <t>Type-c;</t>
    </r>
    <r>
      <rPr>
        <sz val="10"/>
        <rFont val="微软雅黑"/>
        <charset val="134"/>
      </rPr>
      <t>含有雷电英特尔雷电</t>
    </r>
    <r>
      <rPr>
        <sz val="10"/>
        <rFont val="Arial"/>
        <charset val="134"/>
      </rPr>
      <t>IC*2pcs</t>
    </r>
    <r>
      <rPr>
        <sz val="10"/>
        <rFont val="宋体"/>
        <charset val="134"/>
      </rPr>
      <t>；</t>
    </r>
    <r>
      <rPr>
        <sz val="10"/>
        <rFont val="Arial"/>
        <charset val="134"/>
      </rPr>
      <t>CPU</t>
    </r>
    <r>
      <rPr>
        <sz val="10"/>
        <rFont val="宋体"/>
        <charset val="134"/>
      </rPr>
      <t>缺货，请和采购单独确认下价格；</t>
    </r>
  </si>
  <si>
    <t>A.F.M.2400788-EVT</t>
  </si>
  <si>
    <r>
      <rPr>
        <sz val="10"/>
        <rFont val="Arial"/>
        <charset val="134"/>
      </rPr>
      <t xml:space="preserve">DDR </t>
    </r>
    <r>
      <rPr>
        <sz val="10"/>
        <rFont val="微软雅黑"/>
        <charset val="134"/>
      </rPr>
      <t>使用江波龙，单</t>
    </r>
    <r>
      <rPr>
        <sz val="10"/>
        <rFont val="Arial"/>
        <charset val="134"/>
      </rPr>
      <t>Type-c;</t>
    </r>
    <r>
      <rPr>
        <sz val="10"/>
        <rFont val="微软雅黑"/>
        <charset val="134"/>
      </rPr>
      <t>含有雷电英特尔雷电</t>
    </r>
    <r>
      <rPr>
        <sz val="10"/>
        <rFont val="Arial"/>
        <charset val="134"/>
      </rPr>
      <t>IC*2pcs</t>
    </r>
    <r>
      <rPr>
        <sz val="10"/>
        <rFont val="宋体"/>
        <charset val="134"/>
      </rPr>
      <t>；</t>
    </r>
    <r>
      <rPr>
        <sz val="10"/>
        <rFont val="Arial"/>
        <charset val="134"/>
      </rPr>
      <t>CPU</t>
    </r>
    <r>
      <rPr>
        <sz val="10"/>
        <rFont val="宋体"/>
        <charset val="134"/>
      </rPr>
      <t>缺货，请和采购单独确认下价格；</t>
    </r>
  </si>
  <si>
    <t>A.F.D.2400127-EVT</t>
  </si>
  <si>
    <t>A.F.D.2400127 USB DB</t>
  </si>
  <si>
    <r>
      <rPr>
        <sz val="10"/>
        <rFont val="Arial"/>
        <charset val="134"/>
      </rPr>
      <t xml:space="preserve">DN87 </t>
    </r>
    <r>
      <rPr>
        <sz val="10"/>
        <rFont val="微软雅黑"/>
        <charset val="134"/>
      </rPr>
      <t>临时</t>
    </r>
    <r>
      <rPr>
        <sz val="10"/>
        <rFont val="Arial"/>
        <charset val="134"/>
      </rPr>
      <t>BOM</t>
    </r>
  </si>
  <si>
    <r>
      <rPr>
        <sz val="10"/>
        <rFont val="Arial"/>
        <charset val="134"/>
      </rPr>
      <t xml:space="preserve">SKU1 </t>
    </r>
    <r>
      <rPr>
        <sz val="10"/>
        <rFont val="微软雅黑"/>
        <charset val="134"/>
      </rPr>
      <t>临时</t>
    </r>
    <r>
      <rPr>
        <sz val="10"/>
        <rFont val="Arial"/>
        <charset val="134"/>
      </rPr>
      <t>BOM</t>
    </r>
  </si>
  <si>
    <r>
      <rPr>
        <sz val="10"/>
        <rFont val="Arial"/>
        <charset val="134"/>
      </rPr>
      <t>Type c(</t>
    </r>
    <r>
      <rPr>
        <sz val="10"/>
        <rFont val="微软雅黑"/>
        <charset val="134"/>
      </rPr>
      <t>一个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</si>
  <si>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color theme="1"/>
        <rFont val="微软雅黑"/>
        <charset val="134"/>
      </rPr>
      <t>无</t>
    </r>
    <r>
      <rPr>
        <sz val="10"/>
        <color theme="1"/>
        <rFont val="Arial"/>
        <charset val="134"/>
      </rPr>
      <t xml:space="preserve">PCB </t>
    </r>
    <r>
      <rPr>
        <sz val="10"/>
        <color theme="1"/>
        <rFont val="微软雅黑"/>
        <charset val="134"/>
      </rPr>
      <t>成本，单</t>
    </r>
    <r>
      <rPr>
        <sz val="10"/>
        <color theme="1"/>
        <rFont val="Arial"/>
        <charset val="134"/>
      </rPr>
      <t>Type c IC</t>
    </r>
    <r>
      <rPr>
        <sz val="10"/>
        <color theme="1"/>
        <rFont val="微软雅黑"/>
        <charset val="134"/>
      </rPr>
      <t>及一个</t>
    </r>
    <r>
      <rPr>
        <sz val="10"/>
        <color theme="1"/>
        <rFont val="Arial"/>
        <charset val="134"/>
      </rPr>
      <t xml:space="preserve">Type c </t>
    </r>
    <r>
      <rPr>
        <sz val="10"/>
        <color theme="1"/>
        <rFont val="微软雅黑"/>
        <charset val="134"/>
      </rPr>
      <t>接口</t>
    </r>
  </si>
  <si>
    <r>
      <rPr>
        <sz val="10"/>
        <rFont val="Arial"/>
        <charset val="134"/>
      </rPr>
      <t xml:space="preserve">SKU2  </t>
    </r>
    <r>
      <rPr>
        <sz val="10"/>
        <rFont val="微软雅黑"/>
        <charset val="134"/>
      </rPr>
      <t>临时</t>
    </r>
    <r>
      <rPr>
        <sz val="10"/>
        <rFont val="Arial"/>
        <charset val="134"/>
      </rPr>
      <t>BOM</t>
    </r>
  </si>
  <si>
    <r>
      <rPr>
        <sz val="10"/>
        <rFont val="微软雅黑"/>
        <charset val="134"/>
      </rPr>
      <t>临时</t>
    </r>
    <r>
      <rPr>
        <sz val="10"/>
        <rFont val="Arial"/>
        <charset val="134"/>
      </rPr>
      <t xml:space="preserve">BOM 9/30 </t>
    </r>
    <r>
      <rPr>
        <sz val="10"/>
        <rFont val="微软雅黑"/>
        <charset val="134"/>
      </rPr>
      <t>刘进添</t>
    </r>
  </si>
  <si>
    <t>A.F.M.2401706-EVT</t>
  </si>
  <si>
    <t>Type c(一个Type c接口)</t>
  </si>
  <si>
    <r>
      <rPr>
        <sz val="10"/>
        <color theme="1"/>
        <rFont val="宋体"/>
        <charset val="134"/>
      </rPr>
      <t>单</t>
    </r>
    <r>
      <rPr>
        <sz val="10"/>
        <color theme="1"/>
        <rFont val="Arial"/>
        <charset val="134"/>
      </rPr>
      <t>Type c IC</t>
    </r>
    <r>
      <rPr>
        <sz val="10"/>
        <color theme="1"/>
        <rFont val="宋体"/>
        <charset val="134"/>
      </rPr>
      <t>及一个</t>
    </r>
    <r>
      <rPr>
        <sz val="10"/>
        <color theme="1"/>
        <rFont val="Arial"/>
        <charset val="134"/>
      </rPr>
      <t xml:space="preserve">Type c </t>
    </r>
    <r>
      <rPr>
        <sz val="10"/>
        <color theme="1"/>
        <rFont val="宋体"/>
        <charset val="134"/>
      </rPr>
      <t>接口；含ANX7447QN，含MP2964GQK；含3颗MP86941；含IT5570E</t>
    </r>
  </si>
  <si>
    <t>A.F.M.2401707-EVT</t>
  </si>
  <si>
    <r>
      <rPr>
        <sz val="10"/>
        <color theme="1"/>
        <rFont val="宋体"/>
        <charset val="134"/>
      </rPr>
      <t>单</t>
    </r>
    <r>
      <rPr>
        <sz val="10"/>
        <color theme="1"/>
        <rFont val="Arial"/>
        <charset val="134"/>
      </rPr>
      <t>Type c IC</t>
    </r>
    <r>
      <rPr>
        <sz val="10"/>
        <color theme="1"/>
        <rFont val="宋体"/>
        <charset val="134"/>
      </rPr>
      <t>及一个</t>
    </r>
    <r>
      <rPr>
        <sz val="10"/>
        <color theme="1"/>
        <rFont val="Arial"/>
        <charset val="134"/>
      </rPr>
      <t xml:space="preserve">Type c </t>
    </r>
    <r>
      <rPr>
        <sz val="10"/>
        <color theme="1"/>
        <rFont val="宋体"/>
        <charset val="134"/>
      </rPr>
      <t>接口；含ANX7447QN，含MP2964GQK；含MP86941*3pcs；含IT5570E;ALC269Q-VC3</t>
    </r>
  </si>
  <si>
    <t>A.F.M.2401990-PVT</t>
  </si>
  <si>
    <r>
      <rPr>
        <sz val="10"/>
        <rFont val="Arial"/>
        <charset val="134"/>
      </rPr>
      <t>i5-1235U(</t>
    </r>
    <r>
      <rPr>
        <sz val="10"/>
        <rFont val="宋体"/>
        <charset val="134"/>
      </rPr>
      <t>不带</t>
    </r>
    <r>
      <rPr>
        <sz val="10"/>
        <rFont val="Arial"/>
        <charset val="134"/>
      </rPr>
      <t>IPU)(15W)</t>
    </r>
  </si>
  <si>
    <t>A.F.M.2401991-PVT</t>
  </si>
  <si>
    <t>含有瑞昱网络RTL8111H;含有RTS5170</t>
  </si>
  <si>
    <r>
      <rPr>
        <sz val="10"/>
        <rFont val="微软雅黑"/>
        <charset val="134"/>
      </rPr>
      <t>含有瑞昱网络</t>
    </r>
    <r>
      <rPr>
        <sz val="10"/>
        <rFont val="Arial"/>
        <charset val="134"/>
      </rPr>
      <t>RTL8111H;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RTS5170</t>
    </r>
  </si>
  <si>
    <r>
      <rPr>
        <sz val="10"/>
        <rFont val="微软雅黑"/>
        <charset val="134"/>
      </rPr>
      <t>含有英特尔网络</t>
    </r>
    <r>
      <rPr>
        <sz val="10"/>
        <rFont val="Arial"/>
        <charset val="134"/>
      </rPr>
      <t>ICWGI219V;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RTS5170</t>
    </r>
  </si>
  <si>
    <t>DP13</t>
  </si>
  <si>
    <t>2G*4+0</t>
  </si>
  <si>
    <r>
      <rPr>
        <sz val="10"/>
        <rFont val="Arial"/>
        <charset val="134"/>
      </rPr>
      <t>LPDDR4x-200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</si>
  <si>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使用百维；</t>
    </r>
  </si>
  <si>
    <r>
      <rPr>
        <sz val="10"/>
        <rFont val="Arial"/>
        <charset val="134"/>
      </rPr>
      <t xml:space="preserve">DDR </t>
    </r>
    <r>
      <rPr>
        <sz val="10"/>
        <rFont val="微软雅黑"/>
        <charset val="134"/>
      </rPr>
      <t>使用三星，双</t>
    </r>
    <r>
      <rPr>
        <sz val="10"/>
        <rFont val="Arial"/>
        <charset val="134"/>
      </rPr>
      <t>Type-c</t>
    </r>
  </si>
  <si>
    <r>
      <rPr>
        <sz val="10"/>
        <rFont val="Arial"/>
        <charset val="134"/>
      </rPr>
      <t>Raptor LAKE</t>
    </r>
    <r>
      <rPr>
        <sz val="10"/>
        <rFont val="微软雅黑"/>
        <charset val="134"/>
      </rPr>
      <t>样品</t>
    </r>
  </si>
  <si>
    <t>AX203.D2WG</t>
  </si>
  <si>
    <r>
      <rPr>
        <sz val="10"/>
        <rFont val="Arial"/>
        <charset val="134"/>
      </rPr>
      <t>LPDDR4X-200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</si>
  <si>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使用海力士库存料目前无价格，双</t>
    </r>
    <r>
      <rPr>
        <sz val="10"/>
        <rFont val="Arial"/>
        <charset val="134"/>
      </rPr>
      <t>type-c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</si>
  <si>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使用三星暂无价格；双</t>
    </r>
    <r>
      <rPr>
        <sz val="10"/>
        <rFont val="Arial"/>
        <charset val="134"/>
      </rPr>
      <t>Type c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</si>
  <si>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使用三星；双</t>
    </r>
    <r>
      <rPr>
        <sz val="10"/>
        <rFont val="Arial"/>
        <charset val="134"/>
      </rPr>
      <t>Type c</t>
    </r>
  </si>
  <si>
    <r>
      <rPr>
        <sz val="10"/>
        <rFont val="Arial"/>
        <charset val="134"/>
      </rPr>
      <t>DA10(8L+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</si>
  <si>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A.F.M.2302502-EVT</t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</si>
  <si>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MP86941 MPS*4</t>
    </r>
    <r>
      <rPr>
        <sz val="10"/>
        <rFont val="微软雅黑"/>
        <charset val="134"/>
      </rPr>
      <t>颗</t>
    </r>
  </si>
  <si>
    <t>A.F.M.2302503-EVT</t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</si>
  <si>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MP86941 MPS*6</t>
    </r>
    <r>
      <rPr>
        <sz val="10"/>
        <rFont val="微软雅黑"/>
        <charset val="134"/>
      </rPr>
      <t>颗</t>
    </r>
  </si>
  <si>
    <t>A.F.M.2302504-EVT</t>
  </si>
  <si>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MP86941 MPS*6</t>
    </r>
    <r>
      <rPr>
        <sz val="10"/>
        <rFont val="微软雅黑"/>
        <charset val="134"/>
      </rPr>
      <t>颗；</t>
    </r>
    <r>
      <rPr>
        <sz val="10"/>
        <rFont val="Arial"/>
        <charset val="134"/>
      </rPr>
      <t>CPU</t>
    </r>
    <r>
      <rPr>
        <sz val="10"/>
        <rFont val="宋体"/>
        <charset val="134"/>
      </rPr>
      <t>缺货，请和采购单独确认下价格；</t>
    </r>
  </si>
  <si>
    <t>MN15</t>
  </si>
  <si>
    <t>M3-8100Y</t>
  </si>
  <si>
    <t>3165/3.3V</t>
  </si>
  <si>
    <r>
      <rPr>
        <sz val="10"/>
        <rFont val="Arial"/>
        <charset val="134"/>
      </rPr>
      <t>LPDDR3-253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</si>
  <si>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</si>
  <si>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A.F.P.1000414 DB FP V20</t>
  </si>
  <si>
    <t>A.F.P.1000317 USB 2.0 DB</t>
  </si>
  <si>
    <r>
      <rPr>
        <sz val="10"/>
        <rFont val="Arial"/>
        <charset val="134"/>
      </rPr>
      <t>MTN39(10L+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</si>
  <si>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t>QQ8072304F7F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</si>
  <si>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</t>
    </r>
    <r>
      <rPr>
        <sz val="10"/>
        <rFont val="Arial"/>
        <charset val="134"/>
      </rPr>
      <t>;TBT4.0*2 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雷电芯片</t>
    </r>
    <r>
      <rPr>
        <sz val="10"/>
        <rFont val="Arial"/>
        <charset val="134"/>
      </rPr>
      <t xml:space="preserve">2pcs ;CPU </t>
    </r>
    <r>
      <rPr>
        <sz val="10"/>
        <rFont val="微软雅黑"/>
        <charset val="134"/>
      </rPr>
      <t>研发提供样品</t>
    </r>
  </si>
  <si>
    <t>QQ8072304F83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</si>
  <si>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</t>
    </r>
    <r>
      <rPr>
        <sz val="10"/>
        <rFont val="Arial"/>
        <charset val="134"/>
      </rPr>
      <t>;TBT4.0*2 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雷电芯片</t>
    </r>
    <r>
      <rPr>
        <sz val="10"/>
        <rFont val="Arial"/>
        <charset val="134"/>
      </rPr>
      <t>2pcs 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 xml:space="preserve">IC TPM ;CPU </t>
    </r>
    <r>
      <rPr>
        <sz val="10"/>
        <rFont val="微软雅黑"/>
        <charset val="134"/>
      </rPr>
      <t>研发提供样品</t>
    </r>
  </si>
  <si>
    <t>QQ807230556C(135H)(28W)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</si>
  <si>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使用三星；</t>
    </r>
    <r>
      <rPr>
        <sz val="10"/>
        <rFont val="Arial"/>
        <charset val="134"/>
      </rPr>
      <t>TBT4.0*2.;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雷电芯片</t>
    </r>
    <r>
      <rPr>
        <sz val="10"/>
        <rFont val="Arial"/>
        <charset val="134"/>
      </rPr>
      <t xml:space="preserve">2pcs ;BOM  </t>
    </r>
    <r>
      <rPr>
        <sz val="10"/>
        <rFont val="微软雅黑"/>
        <charset val="134"/>
      </rPr>
      <t>里</t>
    </r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研发样品</t>
    </r>
  </si>
  <si>
    <t>QQ8072305568(165H)(28W)</t>
  </si>
  <si>
    <t>QQ80723055C4(185H)(45W)</t>
  </si>
  <si>
    <t>16G*4+0</t>
  </si>
  <si>
    <r>
      <rPr>
        <sz val="10"/>
        <rFont val="Arial"/>
        <charset val="134"/>
      </rPr>
      <t>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16G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</si>
  <si>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使用镁光目前无价格</t>
    </r>
    <r>
      <rPr>
        <sz val="10"/>
        <rFont val="Arial"/>
        <charset val="134"/>
      </rPr>
      <t>;TBT4.0*2 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雷电芯片</t>
    </r>
    <r>
      <rPr>
        <sz val="10"/>
        <rFont val="Arial"/>
        <charset val="134"/>
      </rPr>
      <t>2pcs 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 xml:space="preserve">IC TPM ;CPU </t>
    </r>
    <r>
      <rPr>
        <sz val="10"/>
        <rFont val="微软雅黑"/>
        <charset val="134"/>
      </rPr>
      <t>里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研发样品</t>
    </r>
  </si>
  <si>
    <t>QQ807230556E(125H)(28W)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</si>
  <si>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使用江波龙；</t>
    </r>
    <r>
      <rPr>
        <sz val="10"/>
        <rFont val="Arial"/>
        <charset val="134"/>
      </rPr>
      <t>TBT4.0*2.;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雷电芯片</t>
    </r>
    <r>
      <rPr>
        <sz val="10"/>
        <rFont val="Arial"/>
        <charset val="134"/>
      </rPr>
      <t xml:space="preserve">2pcs ; BOM  </t>
    </r>
    <r>
      <rPr>
        <sz val="10"/>
        <rFont val="微软雅黑"/>
        <charset val="134"/>
      </rPr>
      <t>里</t>
    </r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研发样品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</si>
  <si>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使用江波龙；</t>
    </r>
    <r>
      <rPr>
        <sz val="10"/>
        <rFont val="Arial"/>
        <charset val="134"/>
      </rPr>
      <t>TBT4.0*2.;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雷电芯片</t>
    </r>
    <r>
      <rPr>
        <sz val="10"/>
        <rFont val="Arial"/>
        <charset val="134"/>
      </rPr>
      <t xml:space="preserve">2pcs ;BOM  </t>
    </r>
    <r>
      <rPr>
        <sz val="10"/>
        <rFont val="微软雅黑"/>
        <charset val="134"/>
      </rPr>
      <t>里</t>
    </r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研发样品</t>
    </r>
  </si>
  <si>
    <r>
      <rPr>
        <sz val="10"/>
        <rFont val="Arial"/>
        <charset val="134"/>
      </rPr>
      <t>SKU7</t>
    </r>
    <r>
      <rPr>
        <sz val="10"/>
        <rFont val="宋体"/>
        <charset val="134"/>
      </rPr>
      <t>精简</t>
    </r>
    <r>
      <rPr>
        <sz val="10"/>
        <rFont val="Arial"/>
        <charset val="134"/>
      </rPr>
      <t>BOM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</si>
  <si>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使用江波龙；</t>
    </r>
    <r>
      <rPr>
        <sz val="10"/>
        <rFont val="Arial"/>
        <charset val="134"/>
      </rPr>
      <t>TBT4.0*2.;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雷电芯片</t>
    </r>
    <r>
      <rPr>
        <sz val="10"/>
        <rFont val="Arial"/>
        <charset val="134"/>
      </rPr>
      <t>2pcs ;</t>
    </r>
    <r>
      <rPr>
        <sz val="10"/>
        <rFont val="宋体"/>
        <charset val="134"/>
      </rPr>
      <t>含有加密</t>
    </r>
    <r>
      <rPr>
        <sz val="10"/>
        <rFont val="Arial"/>
        <charset val="134"/>
      </rPr>
      <t>IC TPM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</si>
  <si>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使用三星；</t>
    </r>
    <r>
      <rPr>
        <sz val="10"/>
        <rFont val="Arial"/>
        <charset val="134"/>
      </rPr>
      <t>TBT4.0*2.;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雷电芯片</t>
    </r>
    <r>
      <rPr>
        <sz val="10"/>
        <rFont val="Arial"/>
        <charset val="134"/>
      </rPr>
      <t xml:space="preserve">2pcs ;BOM </t>
    </r>
    <r>
      <rPr>
        <sz val="10"/>
        <rFont val="微软雅黑"/>
        <charset val="134"/>
      </rPr>
      <t>里</t>
    </r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研发样品</t>
    </r>
  </si>
  <si>
    <r>
      <rPr>
        <sz val="10"/>
        <rFont val="Arial"/>
        <charset val="134"/>
      </rPr>
      <t>MTNTU(8L+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</si>
  <si>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t>A.F.M.2500576-EVT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</si>
  <si>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MP87440GQVT*2pcs;W25R256JWEIQ;IT5570VG;MP86941*2pcs</t>
    </r>
  </si>
  <si>
    <t>A.F.M.2500577-EVT</t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</si>
  <si>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Tpye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接口；T55B156M025C0100*9pcs；</t>
    </r>
    <r>
      <rPr>
        <sz val="10"/>
        <rFont val="Arial"/>
        <charset val="134"/>
      </rPr>
      <t>MP87440GQVT*3pcs;W25R256JWEIQ;IT5570VG;MP86941*3pcs</t>
    </r>
  </si>
  <si>
    <t>A.F.M.2500578-EVT</t>
  </si>
  <si>
    <t>61852BE</t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</si>
  <si>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Tpye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接口；MP87440GQVT</t>
    </r>
    <r>
      <rPr>
        <sz val="10"/>
        <rFont val="Arial"/>
        <charset val="134"/>
      </rPr>
      <t>*3pcs;W25R256JWEIQ;IT66318FN;IT5570VG;MP86941*3pcs;</t>
    </r>
    <r>
      <rPr>
        <sz val="10"/>
        <rFont val="宋体"/>
        <charset val="134"/>
      </rPr>
      <t>含加密IC TPM</t>
    </r>
  </si>
  <si>
    <r>
      <rPr>
        <sz val="10"/>
        <rFont val="Arial"/>
        <charset val="134"/>
      </rPr>
      <t>MTP31(10L+HDI2+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</si>
  <si>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t>QQ8072304F87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</si>
  <si>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含龙迅</t>
    </r>
    <r>
      <rPr>
        <sz val="10"/>
        <rFont val="Arial"/>
        <charset val="134"/>
      </rPr>
      <t>LT7911UX_U3B00AEI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雷电芯片</t>
    </r>
    <r>
      <rPr>
        <sz val="10"/>
        <rFont val="Arial"/>
        <charset val="134"/>
      </rPr>
      <t xml:space="preserve">1pcs;CPU </t>
    </r>
    <r>
      <rPr>
        <sz val="10"/>
        <rFont val="微软雅黑"/>
        <charset val="134"/>
      </rPr>
      <t>研发提供样品</t>
    </r>
  </si>
  <si>
    <t>QQ8072304F81</t>
  </si>
  <si>
    <r>
      <rPr>
        <sz val="10"/>
        <rFont val="Arial"/>
        <charset val="134"/>
      </rPr>
      <t>LPDDR5x-315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</si>
  <si>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使用镁光目前无价格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含龙迅</t>
    </r>
    <r>
      <rPr>
        <sz val="10"/>
        <rFont val="Arial"/>
        <charset val="134"/>
      </rPr>
      <t>LT7911UX_U3B00AEI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雷电芯片</t>
    </r>
    <r>
      <rPr>
        <sz val="10"/>
        <rFont val="Arial"/>
        <charset val="134"/>
      </rPr>
      <t xml:space="preserve">1pcs;CPU </t>
    </r>
    <r>
      <rPr>
        <sz val="10"/>
        <rFont val="微软雅黑"/>
        <charset val="134"/>
      </rPr>
      <t>研发提供样品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</si>
  <si>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使用海力士；含龙迅</t>
    </r>
    <r>
      <rPr>
        <sz val="10"/>
        <rFont val="Arial"/>
        <charset val="134"/>
      </rPr>
      <t>LT7911UX_U3B00AEI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雷电芯片</t>
    </r>
    <r>
      <rPr>
        <sz val="10"/>
        <rFont val="Arial"/>
        <charset val="134"/>
      </rPr>
      <t xml:space="preserve">1pcs;CPU </t>
    </r>
    <r>
      <rPr>
        <sz val="10"/>
        <rFont val="微软雅黑"/>
        <charset val="134"/>
      </rPr>
      <t>研发提供样品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</si>
  <si>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使用镁光目前无价格；含龙迅</t>
    </r>
    <r>
      <rPr>
        <sz val="10"/>
        <rFont val="Arial"/>
        <charset val="134"/>
      </rPr>
      <t>LT7911UXC_U3B00AEI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雷电芯片</t>
    </r>
    <r>
      <rPr>
        <sz val="10"/>
        <rFont val="Arial"/>
        <charset val="134"/>
      </rPr>
      <t xml:space="preserve">1pcs;CPU </t>
    </r>
    <r>
      <rPr>
        <sz val="10"/>
        <rFont val="微软雅黑"/>
        <charset val="134"/>
      </rPr>
      <t>研发提供样品</t>
    </r>
  </si>
  <si>
    <t>A.F.M.2401344</t>
  </si>
  <si>
    <t>A.F.M.2400213-PVT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</si>
  <si>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使用镁光</t>
    </r>
    <r>
      <rPr>
        <sz val="10"/>
        <rFont val="Arial"/>
        <charset val="134"/>
      </rPr>
      <t>(</t>
    </r>
    <r>
      <rPr>
        <sz val="10"/>
        <rFont val="微软雅黑"/>
        <charset val="134"/>
      </rPr>
      <t>上海购买</t>
    </r>
    <r>
      <rPr>
        <sz val="10"/>
        <rFont val="Arial"/>
        <charset val="134"/>
      </rPr>
      <t>)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雷电芯片</t>
    </r>
    <r>
      <rPr>
        <sz val="10"/>
        <rFont val="Arial"/>
        <charset val="134"/>
      </rPr>
      <t>1pcs</t>
    </r>
  </si>
  <si>
    <t>A.F.M.2400214-PVT</t>
  </si>
  <si>
    <t>A.F.D.2400029-PVT</t>
  </si>
  <si>
    <t>A.F.D.2400029  ZIF Conn DB</t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</si>
  <si>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HJM70038A</t>
    </r>
  </si>
  <si>
    <t>A.F.D.2300328  ZIF Conn DB</t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</si>
  <si>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RKJXV1224013</t>
    </r>
  </si>
  <si>
    <t>A.F.D.2300327  RHEADSET DB</t>
  </si>
  <si>
    <t>A.F.D.2300326  LHEADSET_DB</t>
  </si>
  <si>
    <r>
      <rPr>
        <sz val="10"/>
        <rFont val="Arial"/>
        <charset val="134"/>
      </rPr>
      <t>MTN66(8L+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</si>
  <si>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t>A.F.M.2400551-EVT</t>
  </si>
  <si>
    <t>A.F.M.2400621-EVT</t>
  </si>
  <si>
    <t>A.F.M.2402132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</si>
  <si>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及两个接口；</t>
    </r>
    <r>
      <rPr>
        <sz val="10"/>
        <rFont val="Arial"/>
        <charset val="134"/>
      </rPr>
      <t>MP87440GQVT*4pcs;W25R256JWEIQ;CYPD6228-96BZXI;PCB</t>
    </r>
    <r>
      <rPr>
        <sz val="10"/>
        <rFont val="宋体"/>
        <charset val="134"/>
      </rPr>
      <t>使用OSP工艺</t>
    </r>
  </si>
  <si>
    <t>A.F.M.2402133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</si>
  <si>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及两个接口；</t>
    </r>
    <r>
      <rPr>
        <sz val="10"/>
        <rFont val="Arial"/>
        <charset val="134"/>
      </rPr>
      <t>MP87440GQVT*4pcs;W25R256JWEIQ;CYPD6228-96BZXI;ASAAC2</t>
    </r>
    <r>
      <rPr>
        <sz val="10"/>
        <rFont val="宋体"/>
        <charset val="134"/>
      </rPr>
      <t>；</t>
    </r>
    <r>
      <rPr>
        <sz val="10"/>
        <rFont val="Arial"/>
        <charset val="134"/>
      </rPr>
      <t>PCB</t>
    </r>
    <r>
      <rPr>
        <sz val="10"/>
        <rFont val="宋体"/>
        <charset val="134"/>
      </rPr>
      <t>使用OSP工艺</t>
    </r>
  </si>
  <si>
    <t>A.F.M.2402153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</si>
  <si>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及两个接口；</t>
    </r>
    <r>
      <rPr>
        <sz val="10"/>
        <rFont val="Arial"/>
        <charset val="134"/>
      </rPr>
      <t>MP87440GQVT*4pcs;W25R256JWEIQ;25TQC15MYFB;PCB</t>
    </r>
    <r>
      <rPr>
        <sz val="10"/>
        <rFont val="宋体"/>
        <charset val="134"/>
      </rPr>
      <t>使用OSP工艺</t>
    </r>
  </si>
  <si>
    <t>A.F.M.2501260-PVT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</si>
  <si>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及两个接口；</t>
    </r>
    <r>
      <rPr>
        <sz val="10"/>
        <rFont val="Arial"/>
        <charset val="134"/>
      </rPr>
      <t>MP87440GQVT*4pcs;W25R256JWEIQ;ALC269Q;PCB</t>
    </r>
    <r>
      <rPr>
        <sz val="10"/>
        <rFont val="宋体"/>
        <charset val="134"/>
      </rPr>
      <t>使用OSP工艺无卤材质</t>
    </r>
  </si>
  <si>
    <t>A.F.M.2501261-PVT</t>
  </si>
  <si>
    <t>235U(15W)</t>
  </si>
  <si>
    <t>A.F.D.2400112-PVT</t>
  </si>
  <si>
    <t>A.F.D.2400112 RJ45</t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</si>
  <si>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8111</t>
    </r>
  </si>
  <si>
    <t>SKU2(DB60)</t>
  </si>
  <si>
    <t>SKU3(DB60)</t>
  </si>
  <si>
    <t>SKU4(DB60)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</si>
  <si>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Type-c;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</si>
  <si>
    <t>SKU5(DB60)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</si>
  <si>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Type-c;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  <r>
      <rPr>
        <sz val="10"/>
        <rFont val="宋体"/>
        <charset val="134"/>
      </rPr>
      <t>；</t>
    </r>
    <r>
      <rPr>
        <sz val="10"/>
        <rFont val="微软雅黑"/>
        <charset val="134"/>
      </rPr>
      <t>CPU缺货，请和采购单独确认下价格；</t>
    </r>
  </si>
  <si>
    <t>SKU6(DB60)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</si>
  <si>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；含雷电</t>
    </r>
    <r>
      <rPr>
        <sz val="10"/>
        <rFont val="Arial"/>
        <charset val="134"/>
      </rPr>
      <t>IC*1pcs\</t>
    </r>
    <r>
      <rPr>
        <sz val="10"/>
        <rFont val="微软雅黑"/>
        <charset val="134"/>
      </rPr>
      <t>网路千兆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2.5G IC</t>
    </r>
  </si>
  <si>
    <t>SKU7(DB60)</t>
  </si>
  <si>
    <t>SKU8(DB60)</t>
  </si>
  <si>
    <t>SKU9(DB60)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</si>
  <si>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；含雷电</t>
    </r>
    <r>
      <rPr>
        <sz val="10"/>
        <rFont val="Arial"/>
        <charset val="134"/>
      </rPr>
      <t>IC*1pcs,\</t>
    </r>
    <r>
      <rPr>
        <sz val="10"/>
        <rFont val="微软雅黑"/>
        <charset val="134"/>
      </rPr>
      <t>网路千兆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2.5G IC</t>
    </r>
    <r>
      <rPr>
        <sz val="10"/>
        <rFont val="宋体"/>
        <charset val="134"/>
      </rPr>
      <t>；</t>
    </r>
    <r>
      <rPr>
        <sz val="10"/>
        <rFont val="微软雅黑"/>
        <charset val="134"/>
      </rPr>
      <t>CPU缺货，请和采购单独确认下价格；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</si>
  <si>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；含雷电</t>
    </r>
    <r>
      <rPr>
        <sz val="10"/>
        <rFont val="Arial"/>
        <charset val="134"/>
      </rPr>
      <t>IC*1pcs,\</t>
    </r>
    <r>
      <rPr>
        <sz val="10"/>
        <rFont val="微软雅黑"/>
        <charset val="134"/>
      </rPr>
      <t>网路千兆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2.5G IC,PCB</t>
    </r>
    <r>
      <rPr>
        <sz val="10"/>
        <rFont val="微软雅黑"/>
        <charset val="134"/>
      </rPr>
      <t>为</t>
    </r>
    <r>
      <rPr>
        <sz val="10"/>
        <rFont val="Arial"/>
        <charset val="134"/>
      </rPr>
      <t>HDI2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</si>
  <si>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；含雷电</t>
    </r>
    <r>
      <rPr>
        <sz val="10"/>
        <rFont val="Arial"/>
        <charset val="134"/>
      </rPr>
      <t>IC*1pcs,\</t>
    </r>
    <r>
      <rPr>
        <sz val="10"/>
        <rFont val="微软雅黑"/>
        <charset val="134"/>
      </rPr>
      <t>网路千兆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2.5G IC,PCB</t>
    </r>
    <r>
      <rPr>
        <sz val="10"/>
        <rFont val="宋体"/>
        <charset val="134"/>
      </rPr>
      <t>为</t>
    </r>
    <r>
      <rPr>
        <sz val="10"/>
        <rFont val="Arial"/>
        <charset val="134"/>
      </rPr>
      <t>HDI2</t>
    </r>
  </si>
  <si>
    <r>
      <rPr>
        <sz val="10"/>
        <rFont val="Arial"/>
        <charset val="134"/>
      </rPr>
      <t>DB60C(</t>
    </r>
    <r>
      <rPr>
        <sz val="10"/>
        <rFont val="宋体"/>
        <charset val="134"/>
      </rPr>
      <t>盒子</t>
    </r>
    <r>
      <rPr>
        <sz val="10"/>
        <rFont val="Arial"/>
        <charset val="134"/>
      </rPr>
      <t>)(10L+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</si>
  <si>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t>A.F.M.2402382-EVT</t>
  </si>
  <si>
    <t>I5-12450H(45W)</t>
  </si>
  <si>
    <t>MP86941*5pcs；含雷电IC*1pcs；RTS5453H；IT5570VG；含加密IC TPM;RTL8111H</t>
  </si>
  <si>
    <t>A.F.M.2402383-EVT</t>
  </si>
  <si>
    <t>RTL8111H;IT5570VG;RTS5453H;MP86941*3pcs;含雷电IC*1pcs</t>
  </si>
  <si>
    <r>
      <rPr>
        <sz val="10"/>
        <color theme="1"/>
        <rFont val="Arial"/>
        <charset val="134"/>
      </rPr>
      <t>DN102(8L+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+OSP)</t>
    </r>
  </si>
  <si>
    <t>A.F.M.2402448-EVT</t>
  </si>
  <si>
    <r>
      <rPr>
        <sz val="10"/>
        <color theme="1"/>
        <rFont val="微软雅黑"/>
        <charset val="134"/>
      </rPr>
      <t>单</t>
    </r>
    <r>
      <rPr>
        <sz val="10"/>
        <color theme="1"/>
        <rFont val="Arial"/>
        <charset val="134"/>
      </rPr>
      <t>Type c</t>
    </r>
    <r>
      <rPr>
        <sz val="10"/>
        <color theme="1"/>
        <rFont val="宋体"/>
        <charset val="134"/>
      </rPr>
      <t>及一个</t>
    </r>
    <r>
      <rPr>
        <sz val="10"/>
        <color theme="1"/>
        <rFont val="Arial"/>
        <charset val="134"/>
      </rPr>
      <t xml:space="preserve">Type c </t>
    </r>
    <r>
      <rPr>
        <sz val="10"/>
        <color theme="1"/>
        <rFont val="宋体"/>
        <charset val="134"/>
      </rPr>
      <t>接口；</t>
    </r>
    <r>
      <rPr>
        <sz val="10"/>
        <color theme="1"/>
        <rFont val="Arial"/>
        <charset val="134"/>
      </rPr>
      <t>IT5570E;MP86941*3pcs</t>
    </r>
  </si>
  <si>
    <r>
      <rPr>
        <sz val="10"/>
        <color theme="1"/>
        <rFont val="微软雅黑"/>
        <charset val="134"/>
      </rPr>
      <t>单</t>
    </r>
    <r>
      <rPr>
        <sz val="10"/>
        <color theme="1"/>
        <rFont val="Arial"/>
        <charset val="134"/>
      </rPr>
      <t>Type c</t>
    </r>
    <r>
      <rPr>
        <sz val="10"/>
        <color theme="1"/>
        <rFont val="宋体"/>
        <charset val="134"/>
      </rPr>
      <t>及一个</t>
    </r>
    <r>
      <rPr>
        <sz val="10"/>
        <color theme="1"/>
        <rFont val="Arial"/>
        <charset val="134"/>
      </rPr>
      <t xml:space="preserve">Type c </t>
    </r>
    <r>
      <rPr>
        <sz val="10"/>
        <color theme="1"/>
        <rFont val="宋体"/>
        <charset val="134"/>
      </rPr>
      <t>接口；</t>
    </r>
    <r>
      <rPr>
        <sz val="10"/>
        <color theme="1"/>
        <rFont val="Arial"/>
        <charset val="134"/>
      </rPr>
      <t>IT5570E;MP86941*3pcs;</t>
    </r>
  </si>
  <si>
    <t>A.F.D.2400355-EVT</t>
  </si>
  <si>
    <t>A.F.D.2400355 RJ45 DB</t>
  </si>
  <si>
    <r>
      <rPr>
        <sz val="10"/>
        <rFont val="Arial"/>
        <charset val="134"/>
      </rPr>
      <t>MTN21T(8L+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</si>
  <si>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及两个Type c接口；含雷电</t>
    </r>
    <r>
      <rPr>
        <sz val="10"/>
        <rFont val="Arial"/>
        <charset val="134"/>
      </rPr>
      <t>IC*2pcs,</t>
    </r>
    <r>
      <rPr>
        <sz val="10"/>
        <rFont val="宋体"/>
        <charset val="134"/>
      </rPr>
      <t>加密</t>
    </r>
    <r>
      <rPr>
        <sz val="10"/>
        <rFont val="Arial"/>
        <charset val="134"/>
      </rPr>
      <t>IC TPM;W25R256JWEIQ;MP87440GQVT-Z*4PCS</t>
    </r>
  </si>
  <si>
    <t>A.F.M.2402385-EVT</t>
  </si>
  <si>
    <r>
      <rPr>
        <sz val="10"/>
        <rFont val="Arial"/>
        <charset val="134"/>
      </rPr>
      <t>255H(28W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</si>
  <si>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及两个Type c接口；含雷电</t>
    </r>
    <r>
      <rPr>
        <sz val="10"/>
        <rFont val="Arial"/>
        <charset val="134"/>
      </rPr>
      <t>IC*2pcs,</t>
    </r>
    <r>
      <rPr>
        <sz val="10"/>
        <rFont val="宋体"/>
        <charset val="134"/>
      </rPr>
      <t>加密</t>
    </r>
    <r>
      <rPr>
        <sz val="10"/>
        <rFont val="Arial"/>
        <charset val="134"/>
      </rPr>
      <t>IC TPM;W25R256JWEIQ;MP87440GQVT-Z*6PCS;IT66318FN/EW-0003(R);IT5570E-128/CX</t>
    </r>
  </si>
  <si>
    <t>A.F.M.2402386-EVT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</si>
  <si>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及两个Type c接口；含雷电</t>
    </r>
    <r>
      <rPr>
        <sz val="10"/>
        <rFont val="Arial"/>
        <charset val="134"/>
      </rPr>
      <t>IC*1pcs;W25R256JWEIQ;MP87440GQVT-Z*6PCS</t>
    </r>
    <r>
      <rPr>
        <sz val="10"/>
        <rFont val="宋体"/>
        <charset val="134"/>
      </rPr>
      <t>；IT5570E-128/CX</t>
    </r>
  </si>
  <si>
    <t>A.F.M.2501909-Pre MP</t>
  </si>
  <si>
    <t>单Type c及两个Type c接口；SN6140;MP87440*6PCS;W25R256JWEIQ;IT5570E;IT66318FN/EW;含INTEL雷电IC*1pcs</t>
  </si>
  <si>
    <t>A.F.M.2501980-MP</t>
  </si>
  <si>
    <t>单Type c及两个Type c接口；ALC269Q;MP87440*6pcs;W25R256JWEIQ;IT5570E;IT66318FN/EW;含INTEL雷电IC*1pcs</t>
  </si>
  <si>
    <r>
      <rPr>
        <sz val="10"/>
        <color theme="1"/>
        <rFont val="Arial"/>
        <charset val="134"/>
      </rPr>
      <t>MTS12(8L+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+OSP)</t>
    </r>
  </si>
  <si>
    <t>A.F.M.2402373-EVT</t>
  </si>
  <si>
    <t>单Type c及两个Type c接口；SiC634CD*6pcs;W25R256JWEIQ;IT5570E;RTS5453H;含雷电IC*2pcs,GL3231S；AQC113C-B1-C（最贵的一颗）；LYDRJ*2pcs；LT7911D</t>
  </si>
  <si>
    <t>A.F.M.2402374-EVT</t>
  </si>
  <si>
    <t>单Type c及两个Type c接口；含雷电IC*2pcs,含加密IC;PS1713DQW*7pcs;IT5570E;RTS5453H;GL3231S;AQC113C*2PCS;LT7911D;LYDRJ*2PCS</t>
  </si>
  <si>
    <t>A.F.M.2500286-PVT</t>
  </si>
  <si>
    <t>125H28W)</t>
  </si>
  <si>
    <t>单Type c及两个Type c接口；SiC634CD*6pcs;RT3634CEGQW;IT5570E;RTS5453H;含雷电IC*2pcs,GL3231S;RTL8127AT</t>
  </si>
  <si>
    <t>A.F.M.2500287-PVT</t>
  </si>
  <si>
    <t>单Type c及两个Type c接口；SiC634CD*7pcs;RT3634CEGQW;IT5570E;RTS5453H;含雷电IC*2pcs,含加密IC;GL3231S;RTL8127AT</t>
  </si>
  <si>
    <t>A.F.D.2500106</t>
  </si>
  <si>
    <t>A.F.D.2500106 HDD6 DB</t>
  </si>
  <si>
    <t>ASM1166;CL10A476MQ8QRNC*24pcs</t>
  </si>
  <si>
    <t>A.F.D.2400342-EVT</t>
  </si>
  <si>
    <t>A.F.D.2400342 HDD8_DB</t>
  </si>
  <si>
    <t>ASM1166；CL10A476MQ8QRNC；CL21A226MAYNNNE；ASM1466；LYDSA-L5-LT91M-223N*8</t>
  </si>
  <si>
    <t>A.F.D.2500023-EVT</t>
  </si>
  <si>
    <t>A.F.D.2500023 BTN_DB</t>
  </si>
  <si>
    <t>A.F.D.2400341-EVT</t>
  </si>
  <si>
    <t>A.F.D.2400341 HDD6 DB</t>
  </si>
  <si>
    <t>ASM1166;ASM1466*2pcs;CL10A476MQ8QRNC*24pcs;LYDSA*6pcs</t>
  </si>
  <si>
    <t>LN25C(8L+HDI2+OSP)</t>
  </si>
  <si>
    <t>A.F.M.2500242-EVT</t>
  </si>
  <si>
    <r>
      <rPr>
        <sz val="10"/>
        <color theme="1"/>
        <rFont val="Arial"/>
        <charset val="134"/>
      </rPr>
      <t>Q5HC(</t>
    </r>
    <r>
      <rPr>
        <sz val="10"/>
        <color theme="1"/>
        <rFont val="宋体"/>
        <charset val="134"/>
      </rPr>
      <t>研发样品）</t>
    </r>
  </si>
  <si>
    <r>
      <rPr>
        <sz val="10"/>
        <color theme="1"/>
        <rFont val="宋体"/>
        <charset val="134"/>
      </rPr>
      <t>单</t>
    </r>
    <r>
      <rPr>
        <sz val="10"/>
        <color theme="1"/>
        <rFont val="Arial"/>
        <charset val="134"/>
      </rPr>
      <t>Type-C IC</t>
    </r>
    <r>
      <rPr>
        <sz val="10"/>
        <color theme="1"/>
        <rFont val="宋体"/>
        <charset val="134"/>
      </rPr>
      <t>及两个</t>
    </r>
    <r>
      <rPr>
        <sz val="10"/>
        <color theme="1"/>
        <rFont val="Arial"/>
        <charset val="134"/>
      </rPr>
      <t>typeC</t>
    </r>
    <r>
      <rPr>
        <sz val="10"/>
        <color theme="1"/>
        <rFont val="宋体"/>
        <charset val="134"/>
      </rPr>
      <t>接口；</t>
    </r>
    <r>
      <rPr>
        <sz val="10"/>
        <color theme="1"/>
        <rFont val="Arial"/>
        <charset val="134"/>
      </rPr>
      <t>MP86901*6pcs;MP87440GQVT*2pcs;MP87420GLT*3pcs;MP29001*4pcs;W25R256JWEIQ;IT66318FN</t>
    </r>
  </si>
  <si>
    <t>A.F.M.2500243-EVT</t>
  </si>
  <si>
    <r>
      <rPr>
        <sz val="10"/>
        <color theme="1"/>
        <rFont val="Arial"/>
        <charset val="134"/>
      </rPr>
      <t>Q5HA(</t>
    </r>
    <r>
      <rPr>
        <sz val="10"/>
        <color theme="1"/>
        <rFont val="宋体"/>
        <charset val="134"/>
      </rPr>
      <t>研发样品）</t>
    </r>
  </si>
  <si>
    <r>
      <rPr>
        <sz val="10"/>
        <color theme="1"/>
        <rFont val="宋体"/>
        <charset val="134"/>
      </rPr>
      <t>单</t>
    </r>
    <r>
      <rPr>
        <sz val="10"/>
        <color theme="1"/>
        <rFont val="Arial"/>
        <charset val="134"/>
      </rPr>
      <t>Type-C IC</t>
    </r>
    <r>
      <rPr>
        <sz val="10"/>
        <color theme="1"/>
        <rFont val="宋体"/>
        <charset val="134"/>
      </rPr>
      <t>及两个</t>
    </r>
    <r>
      <rPr>
        <sz val="10"/>
        <color theme="1"/>
        <rFont val="Arial"/>
        <charset val="134"/>
      </rPr>
      <t>typeC</t>
    </r>
    <r>
      <rPr>
        <sz val="10"/>
        <color theme="1"/>
        <rFont val="宋体"/>
        <charset val="134"/>
      </rPr>
      <t>接口；</t>
    </r>
    <r>
      <rPr>
        <sz val="10"/>
        <color theme="1"/>
        <rFont val="Arial"/>
        <charset val="134"/>
      </rPr>
      <t>MP86901*6pcs;MP87440GQVT*2pcs;MP87420GLT*3pcs;MP29001*4pcs;W25R256JWEIQ;IT5570E</t>
    </r>
  </si>
  <si>
    <t>A.F.M.2500244-EVT</t>
  </si>
  <si>
    <r>
      <rPr>
        <sz val="10"/>
        <color theme="1"/>
        <rFont val="Arial"/>
        <charset val="134"/>
      </rPr>
      <t>Q5JC(</t>
    </r>
    <r>
      <rPr>
        <sz val="10"/>
        <color theme="1"/>
        <rFont val="宋体"/>
        <charset val="134"/>
      </rPr>
      <t>研发样品</t>
    </r>
    <r>
      <rPr>
        <sz val="10"/>
        <color theme="1"/>
        <rFont val="Arial"/>
        <charset val="134"/>
      </rPr>
      <t>)</t>
    </r>
  </si>
  <si>
    <r>
      <rPr>
        <sz val="10"/>
        <color theme="1"/>
        <rFont val="宋体"/>
        <charset val="134"/>
      </rPr>
      <t>单</t>
    </r>
    <r>
      <rPr>
        <sz val="10"/>
        <color theme="1"/>
        <rFont val="Arial"/>
        <charset val="134"/>
      </rPr>
      <t>Type-C IC</t>
    </r>
    <r>
      <rPr>
        <sz val="10"/>
        <color theme="1"/>
        <rFont val="宋体"/>
        <charset val="134"/>
      </rPr>
      <t>及两个</t>
    </r>
    <r>
      <rPr>
        <sz val="10"/>
        <color theme="1"/>
        <rFont val="Arial"/>
        <charset val="134"/>
      </rPr>
      <t>typeC</t>
    </r>
    <r>
      <rPr>
        <sz val="10"/>
        <color theme="1"/>
        <rFont val="宋体"/>
        <charset val="134"/>
      </rPr>
      <t>接口；</t>
    </r>
    <r>
      <rPr>
        <sz val="10"/>
        <color theme="1"/>
        <rFont val="Arial"/>
        <charset val="134"/>
      </rPr>
      <t>MP86901*6pcs;MP87440GQVT*2pcs;MP87420GLT*3pcs;MP29001*4pcs;W25R256JWEIQ;IT5570E;IT66318FN;</t>
    </r>
    <r>
      <rPr>
        <sz val="10"/>
        <color theme="1"/>
        <rFont val="宋体"/>
        <charset val="134"/>
      </rPr>
      <t>含加密</t>
    </r>
    <r>
      <rPr>
        <sz val="10"/>
        <color theme="1"/>
        <rFont val="Arial"/>
        <charset val="134"/>
      </rPr>
      <t>IC TPM</t>
    </r>
  </si>
  <si>
    <t>A.F.M.2500392-PVT</t>
  </si>
  <si>
    <r>
      <rPr>
        <sz val="10"/>
        <color theme="1"/>
        <rFont val="宋体"/>
        <charset val="134"/>
      </rPr>
      <t>单</t>
    </r>
    <r>
      <rPr>
        <sz val="10"/>
        <color theme="1"/>
        <rFont val="Arial"/>
        <charset val="134"/>
      </rPr>
      <t>Type-C IC</t>
    </r>
    <r>
      <rPr>
        <sz val="10"/>
        <color theme="1"/>
        <rFont val="宋体"/>
        <charset val="134"/>
      </rPr>
      <t>及两个</t>
    </r>
    <r>
      <rPr>
        <sz val="10"/>
        <color theme="1"/>
        <rFont val="Arial"/>
        <charset val="134"/>
      </rPr>
      <t>typeC</t>
    </r>
    <r>
      <rPr>
        <sz val="10"/>
        <color theme="1"/>
        <rFont val="宋体"/>
        <charset val="134"/>
      </rPr>
      <t>接口；</t>
    </r>
    <r>
      <rPr>
        <sz val="10"/>
        <color theme="1"/>
        <rFont val="Arial"/>
        <charset val="134"/>
      </rPr>
      <t>MP86901*6pcs;MP87440GQVT*2pcs;MP87420GLT*3pcs;MP29001*4pcs;W25R256JWEIQ;IT66318FN;</t>
    </r>
  </si>
  <si>
    <t>A.F.M.2500394-PVT</t>
  </si>
  <si>
    <t>Ultra 5 228V(32GB)</t>
  </si>
  <si>
    <r>
      <rPr>
        <sz val="10"/>
        <color theme="1"/>
        <rFont val="宋体"/>
        <charset val="134"/>
      </rPr>
      <t>单</t>
    </r>
    <r>
      <rPr>
        <sz val="10"/>
        <color theme="1"/>
        <rFont val="Arial"/>
        <charset val="134"/>
      </rPr>
      <t>Type-C IC</t>
    </r>
    <r>
      <rPr>
        <sz val="10"/>
        <color theme="1"/>
        <rFont val="宋体"/>
        <charset val="134"/>
      </rPr>
      <t>及两个</t>
    </r>
    <r>
      <rPr>
        <sz val="10"/>
        <color theme="1"/>
        <rFont val="Arial"/>
        <charset val="134"/>
      </rPr>
      <t>typeC</t>
    </r>
    <r>
      <rPr>
        <sz val="10"/>
        <color theme="1"/>
        <rFont val="宋体"/>
        <charset val="134"/>
      </rPr>
      <t>接口；</t>
    </r>
    <r>
      <rPr>
        <sz val="10"/>
        <color theme="1"/>
        <rFont val="Arial"/>
        <charset val="134"/>
      </rPr>
      <t>MP86901*6pcs;MP87440GQVT*2pcs;MP87420GLT*3pcs;MP29001*4pcs;W25R256JWEIQ;IT66318FN;G2708CKU1U</t>
    </r>
  </si>
  <si>
    <r>
      <rPr>
        <sz val="10"/>
        <color theme="1"/>
        <rFont val="Arial"/>
        <charset val="134"/>
      </rPr>
      <t>DN792(8L+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+OSP)</t>
    </r>
  </si>
  <si>
    <t>A.F.M.2500429-EVT</t>
  </si>
  <si>
    <r>
      <rPr>
        <sz val="10"/>
        <color theme="1"/>
        <rFont val="宋体"/>
        <charset val="134"/>
      </rPr>
      <t>单</t>
    </r>
    <r>
      <rPr>
        <sz val="10"/>
        <color theme="1"/>
        <rFont val="Arial"/>
        <charset val="134"/>
      </rPr>
      <t>Type c</t>
    </r>
    <r>
      <rPr>
        <sz val="10"/>
        <color theme="1"/>
        <rFont val="宋体"/>
        <charset val="134"/>
      </rPr>
      <t>及两个</t>
    </r>
    <r>
      <rPr>
        <sz val="10"/>
        <color theme="1"/>
        <rFont val="Arial"/>
        <charset val="134"/>
      </rPr>
      <t>Type c</t>
    </r>
    <r>
      <rPr>
        <sz val="10"/>
        <color theme="1"/>
        <rFont val="宋体"/>
        <charset val="134"/>
      </rPr>
      <t>接口；</t>
    </r>
    <r>
      <rPr>
        <sz val="10"/>
        <color theme="1"/>
        <rFont val="Arial"/>
        <charset val="134"/>
      </rPr>
      <t>IT5570E;FKBA3080</t>
    </r>
  </si>
  <si>
    <t>A.F.M.2500430-EVT</t>
  </si>
  <si>
    <t>双Type c(两个Type c接口)</t>
  </si>
  <si>
    <r>
      <rPr>
        <sz val="10"/>
        <color theme="1"/>
        <rFont val="宋体"/>
        <charset val="134"/>
      </rPr>
      <t>双</t>
    </r>
    <r>
      <rPr>
        <sz val="10"/>
        <color theme="1"/>
        <rFont val="Arial"/>
        <charset val="134"/>
      </rPr>
      <t>Type c</t>
    </r>
    <r>
      <rPr>
        <sz val="10"/>
        <color theme="1"/>
        <rFont val="宋体"/>
        <charset val="134"/>
      </rPr>
      <t>及两个</t>
    </r>
    <r>
      <rPr>
        <sz val="10"/>
        <color theme="1"/>
        <rFont val="Arial"/>
        <charset val="134"/>
      </rPr>
      <t>Type c</t>
    </r>
    <r>
      <rPr>
        <sz val="10"/>
        <color theme="1"/>
        <rFont val="宋体"/>
        <charset val="134"/>
      </rPr>
      <t>接口；含加密</t>
    </r>
    <r>
      <rPr>
        <sz val="10"/>
        <color theme="1"/>
        <rFont val="Arial"/>
        <charset val="134"/>
      </rPr>
      <t>IC TP,M(</t>
    </r>
    <r>
      <rPr>
        <sz val="10"/>
        <color theme="1"/>
        <rFont val="宋体"/>
        <charset val="134"/>
      </rPr>
      <t>英飞凌</t>
    </r>
    <r>
      <rPr>
        <sz val="10"/>
        <color theme="1"/>
        <rFont val="Arial"/>
        <charset val="134"/>
      </rPr>
      <t>)</t>
    </r>
    <r>
      <rPr>
        <sz val="10"/>
        <color theme="1"/>
        <rFont val="宋体"/>
        <charset val="134"/>
      </rPr>
      <t>；含CW2217</t>
    </r>
  </si>
  <si>
    <t>A.F.M.2500940-PVT</t>
  </si>
  <si>
    <r>
      <rPr>
        <sz val="10"/>
        <color theme="1"/>
        <rFont val="Arial"/>
        <charset val="134"/>
      </rPr>
      <t>i3-1215U(</t>
    </r>
    <r>
      <rPr>
        <sz val="10"/>
        <color theme="1"/>
        <rFont val="宋体"/>
        <charset val="134"/>
      </rPr>
      <t>不带</t>
    </r>
    <r>
      <rPr>
        <sz val="10"/>
        <color theme="1"/>
        <rFont val="Arial"/>
        <charset val="134"/>
      </rPr>
      <t>IPU)(15W)</t>
    </r>
  </si>
  <si>
    <r>
      <rPr>
        <sz val="10"/>
        <color theme="1"/>
        <rFont val="宋体"/>
        <charset val="134"/>
      </rPr>
      <t>双</t>
    </r>
    <r>
      <rPr>
        <sz val="10"/>
        <color theme="1"/>
        <rFont val="Arial"/>
        <charset val="134"/>
      </rPr>
      <t>Type c</t>
    </r>
    <r>
      <rPr>
        <sz val="10"/>
        <color theme="1"/>
        <rFont val="宋体"/>
        <charset val="134"/>
      </rPr>
      <t>及两个</t>
    </r>
    <r>
      <rPr>
        <sz val="10"/>
        <color theme="1"/>
        <rFont val="Arial"/>
        <charset val="134"/>
      </rPr>
      <t>Type c</t>
    </r>
    <r>
      <rPr>
        <sz val="10"/>
        <color theme="1"/>
        <rFont val="宋体"/>
        <charset val="134"/>
      </rPr>
      <t>接口；</t>
    </r>
  </si>
  <si>
    <t>A.F.M.2500941-PVT</t>
  </si>
  <si>
    <t>双Type c及两个Type c接口；IT66318FN/EW-0003(R)</t>
  </si>
  <si>
    <t>MTN792</t>
  </si>
  <si>
    <t>A.F.M.2500874-EVT</t>
  </si>
  <si>
    <r>
      <rPr>
        <sz val="10"/>
        <color theme="1"/>
        <rFont val="宋体"/>
        <charset val="134"/>
      </rPr>
      <t>双</t>
    </r>
    <r>
      <rPr>
        <sz val="10"/>
        <color theme="1"/>
        <rFont val="Arial"/>
        <charset val="134"/>
      </rPr>
      <t>Type c</t>
    </r>
    <r>
      <rPr>
        <sz val="10"/>
        <color theme="1"/>
        <rFont val="宋体"/>
        <charset val="134"/>
      </rPr>
      <t>及两个</t>
    </r>
    <r>
      <rPr>
        <sz val="10"/>
        <color theme="1"/>
        <rFont val="Arial"/>
        <charset val="134"/>
      </rPr>
      <t>Type c</t>
    </r>
    <r>
      <rPr>
        <sz val="10"/>
        <color theme="1"/>
        <rFont val="宋体"/>
        <charset val="134"/>
      </rPr>
      <t>接口；</t>
    </r>
    <r>
      <rPr>
        <sz val="10"/>
        <color theme="1"/>
        <rFont val="Arial"/>
        <charset val="134"/>
      </rPr>
      <t>RT3634CEGQW;W25R256JWEIQ;IT5570E;</t>
    </r>
    <r>
      <rPr>
        <sz val="10"/>
        <color theme="1"/>
        <rFont val="宋体"/>
        <charset val="134"/>
      </rPr>
      <t>含加密</t>
    </r>
    <r>
      <rPr>
        <sz val="10"/>
        <color theme="1"/>
        <rFont val="Arial"/>
        <charset val="134"/>
      </rPr>
      <t>IC TPM(</t>
    </r>
    <r>
      <rPr>
        <sz val="10"/>
        <color theme="1"/>
        <rFont val="宋体"/>
        <charset val="134"/>
      </rPr>
      <t>新唐</t>
    </r>
    <r>
      <rPr>
        <sz val="10"/>
        <color theme="1"/>
        <rFont val="Arial"/>
        <charset val="134"/>
      </rPr>
      <t>)</t>
    </r>
  </si>
  <si>
    <t>A.F.M.2500875-EVT</t>
  </si>
  <si>
    <r>
      <rPr>
        <sz val="10"/>
        <color theme="1"/>
        <rFont val="宋体"/>
        <charset val="134"/>
      </rPr>
      <t>双</t>
    </r>
    <r>
      <rPr>
        <sz val="10"/>
        <color theme="1"/>
        <rFont val="Arial"/>
        <charset val="134"/>
      </rPr>
      <t>Type c</t>
    </r>
    <r>
      <rPr>
        <sz val="10"/>
        <color theme="1"/>
        <rFont val="宋体"/>
        <charset val="134"/>
      </rPr>
      <t>及两个</t>
    </r>
    <r>
      <rPr>
        <sz val="10"/>
        <color theme="1"/>
        <rFont val="Arial"/>
        <charset val="134"/>
      </rPr>
      <t>Type c</t>
    </r>
    <r>
      <rPr>
        <sz val="10"/>
        <color theme="1"/>
        <rFont val="宋体"/>
        <charset val="134"/>
      </rPr>
      <t>接口；</t>
    </r>
    <r>
      <rPr>
        <sz val="10"/>
        <color theme="1"/>
        <rFont val="Arial"/>
        <charset val="134"/>
      </rPr>
      <t>RT3634CEGQW;W25Q256JWEIQ;IT66318FN/EW-0003(R);</t>
    </r>
  </si>
  <si>
    <t>双Type c及两个Type c接口；RT3634CEGQW；W25R256JWEIQ；</t>
  </si>
  <si>
    <r>
      <rPr>
        <sz val="10"/>
        <rFont val="Arial"/>
        <charset val="134"/>
      </rPr>
      <t>SKU4(</t>
    </r>
    <r>
      <rPr>
        <sz val="10"/>
        <rFont val="宋体"/>
        <charset val="134"/>
      </rPr>
      <t>临时bom）</t>
    </r>
  </si>
  <si>
    <t>单Type c(两个Type c接口)</t>
  </si>
  <si>
    <t>单Type c及两个Type c接口；RT3634CEGQW；W25R256JWEIQ；</t>
  </si>
  <si>
    <t>MTP13</t>
  </si>
  <si>
    <t>6G*4+0</t>
  </si>
  <si>
    <t>双Type C IC及两个Type C 接口；DDR使用佰维；MP87440GQVT*4pcs;W25R256JWEIQ;IT66318FN/EW-0003(R);IT5570VG;含加密IC TPM</t>
  </si>
  <si>
    <t>A.F.M.2501447</t>
  </si>
  <si>
    <t>双Type C IC及两个Type C 接口；</t>
  </si>
  <si>
    <r>
      <rPr>
        <sz val="10"/>
        <rFont val="Arial"/>
        <charset val="134"/>
      </rPr>
      <t>LPDDR5X-315</t>
    </r>
    <r>
      <rPr>
        <sz val="10"/>
        <rFont val="宋体"/>
        <charset val="134"/>
      </rPr>
      <t>球</t>
    </r>
    <r>
      <rPr>
        <sz val="10"/>
        <rFont val="Arial"/>
        <charset val="134"/>
      </rPr>
      <t>4G</t>
    </r>
  </si>
  <si>
    <t>双Type C IC及两个Type C 接口；DDR用Spectek；MP86941*2pcs;MP87440GQVT*2pcs;MP29001GQKT;W25R256JWEIQ；IT5570VG</t>
  </si>
  <si>
    <t>双Type C IC及两个Type C 接口；DDR使用野马士；LT7911D;MP86941*2pcs;MP87440GQVT*2pcs;MP29001GQKT;W25R256JWEIQ；IT5570VG;含加密ICTPM</t>
  </si>
  <si>
    <t>A.F.M.2501449</t>
  </si>
  <si>
    <t>BE201.D2WG</t>
  </si>
  <si>
    <t>双Type C IC及两个Type C 接口；DDR佰维；LT7911D;MP86941*2pcs;MP87440GQVT*2pcs;MP29001GQKT;W25R256JWEIQ；IT5570VG;含加密ICTPM</t>
  </si>
  <si>
    <t>A.F.M.2501492</t>
  </si>
  <si>
    <t>双Type C IC及两个Type C 接口；DDR使用野马士；ALC269Q;MP86941*2pcs;MP87440GQVT*2pcs;MP29001GQKT;W25R256JWEIQ；IT5570VG;含加密ICTPM(新唐)</t>
  </si>
  <si>
    <r>
      <rPr>
        <sz val="10"/>
        <color theme="1"/>
        <rFont val="Arial"/>
        <charset val="134"/>
      </rPr>
      <t>DN525E(8L+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+OSP)</t>
    </r>
  </si>
  <si>
    <t>A.F.M.2501107-EVT</t>
  </si>
  <si>
    <t>三个Typec（两个Type C接口）</t>
  </si>
  <si>
    <t>三个Type C IC及两个Type C 接口；MP86941*5pcs;IT5570E;ALC269Q</t>
  </si>
  <si>
    <t>A.F.M.2501108-EVT</t>
  </si>
  <si>
    <t>i9-13900HK</t>
  </si>
  <si>
    <t>A.F.M.2501773-MP</t>
  </si>
  <si>
    <t>i3-1220P(25W)</t>
  </si>
  <si>
    <t>不推</t>
  </si>
  <si>
    <t>两个Type C IC及两个Type C 接口；ALC269Q;MP86941*5pcs;IT5570E;</t>
  </si>
  <si>
    <t>A.F.M.2501857-MP</t>
  </si>
  <si>
    <t>A.F.M.2501858-MP</t>
  </si>
  <si>
    <t>I9-13900HK(25W)</t>
  </si>
  <si>
    <t>A.F.M.2501994-MP</t>
  </si>
  <si>
    <t>DNTU146</t>
  </si>
  <si>
    <t>单Type c及含两个Type c接口；25TQC15MYFB*2pcs；W25R256JWEIQ;CSCE2010WBR6NR</t>
  </si>
  <si>
    <t>双Type c及含两个Type c接口；PA700LT337M0D*3pcs;T55B156M025C0100*3pcs;W25R256JWEIQ;含加密IC tpm；IT66318FN/EW-0003(R)；CSCE2010WBR6NR；ZMS020N03NC*7pcs</t>
  </si>
  <si>
    <t>I5-13420H(28W)</t>
  </si>
  <si>
    <t>双Type c及含两个Type c接口；T521B156M025ATE100*3pcs；W25R256JWEIQ；CSCE2010WBR6NR；含加密IC tpm；FKBA3080*6pcs</t>
  </si>
  <si>
    <r>
      <rPr>
        <sz val="10"/>
        <rFont val="Arial"/>
        <charset val="134"/>
      </rPr>
      <t>DN105(8L+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</si>
  <si>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t>A.F.M.2501240-EVT</t>
  </si>
  <si>
    <t>单Type c(一个Type c接口)</t>
  </si>
  <si>
    <t>单Type c及含一个Type c接口;ALC269Q;MP86941*3pcs;IT5570E;</t>
  </si>
  <si>
    <t>A.F.M.2501241-EVT</t>
  </si>
  <si>
    <t>单Type c及含一个Type c接口;ALC269Q;MP86941*3pcs;IT5570E;含加密IC TPM (新唐)</t>
  </si>
  <si>
    <t>A.F.D.2500155-EVT</t>
  </si>
  <si>
    <t>A.F.D.2500155 RJ45 DB</t>
  </si>
  <si>
    <t>RTS5170;RTL8111H</t>
  </si>
  <si>
    <t>A.F.D.2500154-EVT</t>
  </si>
  <si>
    <t>A.F.D.2500154 RJ45 DB</t>
  </si>
  <si>
    <r>
      <rPr>
        <sz val="10"/>
        <rFont val="Arial"/>
        <charset val="134"/>
      </rPr>
      <t>PN99</t>
    </r>
    <r>
      <rPr>
        <sz val="10"/>
        <rFont val="宋体"/>
        <charset val="134"/>
      </rPr>
      <t>（</t>
    </r>
    <r>
      <rPr>
        <sz val="10"/>
        <rFont val="Arial"/>
        <charset val="134"/>
      </rPr>
      <t>10L+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</si>
  <si>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t>A.F.M.2501245-EVT</t>
  </si>
  <si>
    <r>
      <rPr>
        <sz val="10"/>
        <rFont val="Arial"/>
        <charset val="134"/>
      </rPr>
      <t>99D5X8-Q7S2(</t>
    </r>
    <r>
      <rPr>
        <sz val="10"/>
        <color theme="1"/>
        <rFont val="宋体"/>
        <charset val="134"/>
      </rPr>
      <t>研发样品）</t>
    </r>
  </si>
  <si>
    <t>无价格</t>
  </si>
  <si>
    <r>
      <rPr>
        <sz val="9"/>
        <color theme="1"/>
        <rFont val="微软雅黑"/>
        <charset val="134"/>
      </rPr>
      <t>LPDDR5X-315</t>
    </r>
    <r>
      <rPr>
        <sz val="10"/>
        <color theme="1"/>
        <rFont val="宋体"/>
        <charset val="134"/>
      </rPr>
      <t>球</t>
    </r>
    <r>
      <rPr>
        <sz val="10"/>
        <color theme="1"/>
        <rFont val="Arial"/>
        <charset val="134"/>
      </rPr>
      <t>8G</t>
    </r>
  </si>
  <si>
    <r>
      <rPr>
        <sz val="9"/>
        <color theme="1"/>
        <rFont val="微软雅黑"/>
        <charset val="134"/>
      </rPr>
      <t>DDR</t>
    </r>
    <r>
      <rPr>
        <sz val="10"/>
        <color theme="1"/>
        <rFont val="宋体"/>
        <charset val="134"/>
      </rPr>
      <t>为镁光，沟通按海力士导入更新报价；单Type c及含一个Type c接口;</t>
    </r>
    <r>
      <rPr>
        <sz val="10"/>
        <color theme="1"/>
        <rFont val="Arial"/>
        <charset val="134"/>
      </rPr>
      <t>MP29011GQKT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>MP86941*7pcs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>W25R256JWEIQ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>IT5570E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>IT5272FN</t>
    </r>
    <r>
      <rPr>
        <sz val="10"/>
        <color theme="1"/>
        <rFont val="宋体"/>
        <charset val="134"/>
      </rPr>
      <t>；含</t>
    </r>
    <r>
      <rPr>
        <sz val="10"/>
        <color theme="1"/>
        <rFont val="Arial"/>
        <charset val="134"/>
      </rPr>
      <t>INTEL</t>
    </r>
    <r>
      <rPr>
        <sz val="10"/>
        <color theme="1"/>
        <rFont val="宋体"/>
        <charset val="134"/>
      </rPr>
      <t>雷电</t>
    </r>
    <r>
      <rPr>
        <sz val="10"/>
        <color theme="1"/>
        <rFont val="Arial"/>
        <charset val="134"/>
      </rPr>
      <t>IC</t>
    </r>
  </si>
  <si>
    <t>A.F.M.2501298-EVT</t>
  </si>
  <si>
    <r>
      <rPr>
        <sz val="10"/>
        <rFont val="Arial"/>
        <charset val="134"/>
      </rPr>
      <t>99D5XC-Q7S5(</t>
    </r>
    <r>
      <rPr>
        <sz val="10"/>
        <color theme="1"/>
        <rFont val="宋体"/>
        <charset val="134"/>
      </rPr>
      <t>研发样品）</t>
    </r>
  </si>
  <si>
    <r>
      <rPr>
        <sz val="9"/>
        <color theme="1"/>
        <rFont val="微软雅黑"/>
        <charset val="134"/>
      </rPr>
      <t>DDR</t>
    </r>
    <r>
      <rPr>
        <sz val="10"/>
        <color theme="1"/>
        <rFont val="宋体"/>
        <charset val="134"/>
      </rPr>
      <t>为镁光，沟通按海力士导入更新报价；</t>
    </r>
    <r>
      <rPr>
        <sz val="10"/>
        <color theme="1"/>
        <rFont val="Arial"/>
        <charset val="134"/>
      </rPr>
      <t>MP29011GQKT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>JWH7030QFNAZ#TR*7pcs;JWH63992VQELA;W25Q256JWEIQ;</t>
    </r>
    <r>
      <rPr>
        <sz val="10"/>
        <color theme="1"/>
        <rFont val="宋体"/>
        <charset val="134"/>
      </rPr>
      <t>含</t>
    </r>
    <r>
      <rPr>
        <sz val="10"/>
        <color theme="1"/>
        <rFont val="Arial"/>
        <charset val="134"/>
      </rPr>
      <t>INTEL</t>
    </r>
    <r>
      <rPr>
        <sz val="10"/>
        <color theme="1"/>
        <rFont val="宋体"/>
        <charset val="134"/>
      </rPr>
      <t>雷电</t>
    </r>
    <r>
      <rPr>
        <sz val="10"/>
        <color theme="1"/>
        <rFont val="Arial"/>
        <charset val="134"/>
      </rPr>
      <t>IC</t>
    </r>
  </si>
  <si>
    <r>
      <rPr>
        <sz val="10"/>
        <rFont val="Arial"/>
        <charset val="134"/>
      </rPr>
      <t>DN30(8L+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 xml:space="preserve">)
</t>
    </r>
    <r>
      <rPr>
        <sz val="10"/>
        <rFont val="微软雅黑"/>
        <charset val="134"/>
      </rPr>
      <t>衍生机型</t>
    </r>
    <r>
      <rPr>
        <sz val="10"/>
        <rFont val="Arial"/>
        <charset val="134"/>
      </rPr>
      <t>DA1030</t>
    </r>
  </si>
  <si>
    <t>A.F.M.2302032-PVT</t>
  </si>
  <si>
    <t>SKU10(DA1030)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</si>
  <si>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 xml:space="preserve">Tpye c IC, </t>
    </r>
    <r>
      <rPr>
        <sz val="10"/>
        <rFont val="微软雅黑"/>
        <charset val="134"/>
      </rPr>
      <t>含英特尔雷电</t>
    </r>
    <r>
      <rPr>
        <sz val="10"/>
        <rFont val="Arial"/>
        <charset val="134"/>
      </rPr>
      <t>IC;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8111H</t>
    </r>
  </si>
  <si>
    <t>A.F.D.2300320-DVT</t>
  </si>
  <si>
    <t>A.F.D.2300320 TYPEC DB</t>
  </si>
  <si>
    <t>A.F.D.2300321-EVT</t>
  </si>
  <si>
    <t>A.F.D.2300321 USB DB</t>
  </si>
  <si>
    <t>A.F.D.2300322-EVT</t>
  </si>
  <si>
    <t>A.F.D.2300322 BATT-CON DB</t>
  </si>
  <si>
    <t>A.F.M.2400183-PVT</t>
  </si>
  <si>
    <t>SKU11(DA1030)</t>
  </si>
  <si>
    <t>A.F.M.2400184-PVT</t>
  </si>
  <si>
    <t>SKU12(DA1030)</t>
  </si>
  <si>
    <t>不推换其他CPU</t>
  </si>
  <si>
    <t>深圳</t>
  </si>
  <si>
    <t>配置</t>
  </si>
  <si>
    <r>
      <rPr>
        <sz val="10"/>
        <color theme="1"/>
        <rFont val="Arial"/>
        <charset val="134"/>
      </rPr>
      <t>DNP13C</t>
    </r>
    <r>
      <rPr>
        <sz val="10"/>
        <color theme="1"/>
        <rFont val="微软雅黑"/>
        <charset val="134"/>
      </rPr>
      <t>（</t>
    </r>
    <r>
      <rPr>
        <sz val="10"/>
        <color theme="1"/>
        <rFont val="Arial"/>
        <charset val="134"/>
      </rPr>
      <t>6L+</t>
    </r>
    <r>
      <rPr>
        <sz val="10"/>
        <color theme="1"/>
        <rFont val="微软雅黑"/>
        <charset val="134"/>
      </rPr>
      <t>通孔</t>
    </r>
    <r>
      <rPr>
        <sz val="10"/>
        <color theme="1"/>
        <rFont val="Arial"/>
        <charset val="134"/>
      </rPr>
      <t>+OSP</t>
    </r>
    <r>
      <rPr>
        <sz val="10"/>
        <color theme="1"/>
        <rFont val="微软雅黑"/>
        <charset val="134"/>
      </rPr>
      <t>）</t>
    </r>
  </si>
  <si>
    <t>双Type c IC(两个Type C 接口)(ANX7447QN)</t>
  </si>
  <si>
    <r>
      <rPr>
        <sz val="10"/>
        <rFont val="宋体"/>
        <charset val="134"/>
      </rPr>
      <t>全功能</t>
    </r>
    <r>
      <rPr>
        <sz val="10"/>
        <rFont val="Arial"/>
        <charset val="134"/>
      </rPr>
      <t>(ANX7447QN);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TPM IC;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CW2217</t>
    </r>
  </si>
  <si>
    <r>
      <rPr>
        <sz val="10"/>
        <rFont val="Arial"/>
        <charset val="134"/>
      </rPr>
      <t>DNB60(</t>
    </r>
    <r>
      <rPr>
        <sz val="10"/>
        <rFont val="微软雅黑"/>
        <charset val="134"/>
      </rPr>
      <t>盒子</t>
    </r>
    <r>
      <rPr>
        <sz val="10"/>
        <rFont val="Arial"/>
        <charset val="134"/>
      </rPr>
      <t>)(10L+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</si>
  <si>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t>A.F.M.2302091-EVT</t>
  </si>
  <si>
    <r>
      <rPr>
        <sz val="10"/>
        <rFont val="Arial"/>
        <charset val="134"/>
      </rPr>
      <t>Non Type c(</t>
    </r>
    <r>
      <rPr>
        <sz val="10"/>
        <rFont val="宋体"/>
        <charset val="134"/>
      </rPr>
      <t>三个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</si>
  <si>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含瑞昱有网络</t>
    </r>
    <r>
      <rPr>
        <sz val="10"/>
        <rFont val="Arial"/>
        <charset val="134"/>
      </rPr>
      <t>IC RTL8111H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RTL8125BG</t>
    </r>
    <r>
      <rPr>
        <sz val="10"/>
        <rFont val="微软雅黑"/>
        <charset val="134"/>
      </rPr>
      <t>；含有瑞昱</t>
    </r>
    <r>
      <rPr>
        <sz val="10"/>
        <rFont val="Arial"/>
        <charset val="134"/>
      </rPr>
      <t>RTS5452H- IC*2</t>
    </r>
    <r>
      <rPr>
        <sz val="10"/>
        <rFont val="微软雅黑"/>
        <charset val="134"/>
      </rPr>
      <t>颗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含有瑞昱</t>
    </r>
    <r>
      <rPr>
        <sz val="10"/>
        <rFont val="Arial"/>
        <charset val="134"/>
      </rPr>
      <t>ALC269Q IC;MP86941*3</t>
    </r>
  </si>
  <si>
    <t>A.F.M.2302092-EVT</t>
  </si>
  <si>
    <t>含瑞昱有网络IC RTL8111H及RTL8125BG；含有瑞昱RTS5452H- IC*2颗;含有瑞昱ALC269Q IC;MP86941*2</t>
  </si>
  <si>
    <t>A.F.M.2401034-EVT</t>
  </si>
  <si>
    <r>
      <rPr>
        <sz val="10"/>
        <rFont val="微软雅黑"/>
        <charset val="134"/>
      </rPr>
      <t>含瑞昱有网络</t>
    </r>
    <r>
      <rPr>
        <sz val="10"/>
        <rFont val="Arial"/>
        <charset val="134"/>
      </rPr>
      <t>IC RTL8111H*2pcs</t>
    </r>
    <r>
      <rPr>
        <sz val="10"/>
        <rFont val="微软雅黑"/>
        <charset val="134"/>
      </rPr>
      <t>；含有瑞昱</t>
    </r>
    <r>
      <rPr>
        <sz val="10"/>
        <rFont val="Arial"/>
        <charset val="134"/>
      </rPr>
      <t>RTS5452H- IC*2</t>
    </r>
    <r>
      <rPr>
        <sz val="10"/>
        <rFont val="微软雅黑"/>
        <charset val="134"/>
      </rPr>
      <t>颗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含有瑞昱</t>
    </r>
    <r>
      <rPr>
        <sz val="10"/>
        <rFont val="Arial"/>
        <charset val="134"/>
      </rPr>
      <t>IT5570VG</t>
    </r>
  </si>
  <si>
    <t>A.F.M.2401035-EVT</t>
  </si>
  <si>
    <t>A.F.M.2401036-EVT</t>
  </si>
  <si>
    <r>
      <rPr>
        <sz val="10"/>
        <rFont val="宋体"/>
        <charset val="134"/>
      </rPr>
      <t>精简临时</t>
    </r>
    <r>
      <rPr>
        <sz val="10"/>
        <rFont val="Arial"/>
        <charset val="134"/>
      </rPr>
      <t xml:space="preserve">BOM </t>
    </r>
  </si>
  <si>
    <r>
      <rPr>
        <sz val="10"/>
        <rFont val="Arial"/>
        <charset val="134"/>
      </rPr>
      <t>Non Type c(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</si>
  <si>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t>含瑞昱有网络IC RTL8111H*2pcs；无Type c IC及有两个Type c 接口</t>
  </si>
  <si>
    <r>
      <rPr>
        <sz val="10"/>
        <rFont val="Arial"/>
        <charset val="134"/>
      </rPr>
      <t>DNB60C(6L+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</si>
  <si>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t>A.F.M.2402049-EVT</t>
  </si>
  <si>
    <r>
      <rPr>
        <sz val="10"/>
        <rFont val="Arial"/>
        <charset val="134"/>
      </rPr>
      <t>Non Type c(2</t>
    </r>
    <r>
      <rPr>
        <sz val="10"/>
        <rFont val="宋体"/>
        <charset val="134"/>
      </rPr>
      <t>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</si>
  <si>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t>N100</t>
  </si>
  <si>
    <t>无Type c IC及有两个Type c 接口，含RTL8111H*2pcs；SN6140-CNZR；LYDRJ-H1SDCB30L-081N1*2pcs</t>
  </si>
  <si>
    <t>A.F.M.2402050-EVT</t>
  </si>
  <si>
    <t>N150</t>
  </si>
  <si>
    <t>无Type c IC及有两个Type c 接口;含加密IC;RTL8111H*2pcs；</t>
  </si>
  <si>
    <r>
      <rPr>
        <sz val="10"/>
        <rFont val="Arial"/>
        <charset val="134"/>
      </rPr>
      <t>JS8(8L+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  <r>
      <rPr>
        <sz val="10"/>
        <rFont val="微软雅黑"/>
        <charset val="134"/>
      </rPr>
      <t>服务器</t>
    </r>
  </si>
  <si>
    <t>A.F.M.2401176-EVT</t>
  </si>
  <si>
    <t>N5095(15W)</t>
  </si>
  <si>
    <t>4G+32G</t>
  </si>
  <si>
    <r>
      <rPr>
        <sz val="10"/>
        <rFont val="微软雅黑"/>
        <charset val="134"/>
      </rPr>
      <t>群联</t>
    </r>
    <r>
      <rPr>
        <sz val="10"/>
        <rFont val="Arial"/>
        <charset val="134"/>
      </rPr>
      <t>/LPDDR4X-432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</si>
  <si>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使用海力士接单情况请和采购确认；含有</t>
    </r>
    <r>
      <rPr>
        <sz val="10"/>
        <rFont val="Arial"/>
        <charset val="134"/>
      </rPr>
      <t>RTL8125BG</t>
    </r>
  </si>
  <si>
    <t>A.F.M.2401177-EVT</t>
  </si>
  <si>
    <t>4G*2+32G</t>
  </si>
  <si>
    <t>无货无供应</t>
  </si>
  <si>
    <r>
      <rPr>
        <sz val="10"/>
        <rFont val="微软雅黑"/>
        <charset val="134"/>
      </rPr>
      <t>佰维</t>
    </r>
    <r>
      <rPr>
        <sz val="10"/>
        <rFont val="Arial"/>
        <charset val="134"/>
      </rPr>
      <t>/LPDDR4X-432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</si>
  <si>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使用海力士接单情况请和采购确认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RTL8125BG</t>
    </r>
    <r>
      <rPr>
        <sz val="10"/>
        <rFont val="宋体"/>
        <charset val="134"/>
      </rPr>
      <t>；</t>
    </r>
  </si>
  <si>
    <t>A.F.M.2401178-EVT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</si>
  <si>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/LPDDR4X-432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</si>
  <si>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使用海力士接单情况请和采购确认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RTL8125BG;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TPM;</t>
    </r>
  </si>
  <si>
    <t>6G+64G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</si>
  <si>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/LPDDR4X-366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6G</t>
    </r>
  </si>
  <si>
    <t>DDR使用库存料接单前确认价格；单Type C;；EMMC停产中待验新料暂无价格</t>
  </si>
  <si>
    <t>A.F.M.2400248-EVT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</si>
  <si>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ALC269Q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停产中待验新料暂无价格；</t>
    </r>
    <r>
      <rPr>
        <sz val="10"/>
        <rFont val="Arial"/>
        <charset val="134"/>
      </rPr>
      <t>EMMC</t>
    </r>
  </si>
  <si>
    <t>A.F.M.2400249-EVT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</si>
  <si>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ALC269Q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</si>
  <si>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A.F.M.2400250-EVT</t>
  </si>
  <si>
    <t>DDR使用库存料接单前确认价格；单Type C;含MP86995GVT；EMMC停产中待验新料暂无价格</t>
  </si>
  <si>
    <t>A.F.M.2400251-EVT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</si>
  <si>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MP86995GVT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</si>
  <si>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A.F.M.2400252-EVT</t>
  </si>
  <si>
    <t>6G+128G</t>
  </si>
  <si>
    <r>
      <rPr>
        <sz val="10"/>
        <rFont val="微软雅黑"/>
        <charset val="134"/>
      </rPr>
      <t>江波龙</t>
    </r>
    <r>
      <rPr>
        <sz val="10"/>
        <rFont val="Arial"/>
        <charset val="134"/>
      </rPr>
      <t>/LPDDR4X-556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6G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</si>
  <si>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MP86995GVT</t>
    </r>
  </si>
  <si>
    <t>A.F.M.2400253-EVT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</si>
  <si>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/LPDDR4X-556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6G</t>
    </r>
  </si>
  <si>
    <t>A.F.M.2401395-PVT</t>
  </si>
  <si>
    <t>DDR使用库存料接单前确认价格；单Type C IC及两个Type c 接口；；EMMC停产中待验新料暂无价格</t>
  </si>
  <si>
    <t>A.F.M.2401396-PVT</t>
  </si>
  <si>
    <r>
      <rPr>
        <sz val="10"/>
        <rFont val="微软雅黑"/>
        <charset val="134"/>
      </rPr>
      <t>群联</t>
    </r>
    <r>
      <rPr>
        <sz val="10"/>
        <rFont val="Arial"/>
        <charset val="134"/>
      </rPr>
      <t>/LPDDR4X-556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6G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</si>
  <si>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接口；</t>
    </r>
  </si>
  <si>
    <t>A.F.M.2401397-PVT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</si>
  <si>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接口；</t>
    </r>
  </si>
  <si>
    <t>A.F.M.2401398-PVT</t>
  </si>
  <si>
    <t>A.F.M.2401399-PVT</t>
  </si>
  <si>
    <t>A.F.M.2401404-PVT</t>
  </si>
  <si>
    <r>
      <rPr>
        <sz val="10"/>
        <rFont val="Arial"/>
        <charset val="134"/>
      </rPr>
      <t>JA10(8L+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</si>
  <si>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DNN1S(8L+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</si>
  <si>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时创意</t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</si>
  <si>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；EMMC停产中待验新料暂无价格</t>
    </r>
  </si>
  <si>
    <r>
      <rPr>
        <sz val="10"/>
        <rFont val="Arial"/>
        <charset val="134"/>
      </rPr>
      <t>DNS13(8L+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</si>
  <si>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t>A.F.M.2500458-EVT</t>
  </si>
  <si>
    <t>单Type C IC及一个Type c接口；IT66318FN;RTL8125BG;</t>
  </si>
  <si>
    <t>A.F.M.2500619-EVT</t>
  </si>
  <si>
    <t>单Type C IC及一个Type c接口；IT66318FN；RTL8125D</t>
  </si>
  <si>
    <t>A.F.M.2501437-MP</t>
  </si>
  <si>
    <t>单Type C IC及一个Type c接口；RTL8125BG；IT8613E/LX；IT66318FN/EW</t>
  </si>
  <si>
    <t>A.F.M.2501899-MP</t>
  </si>
  <si>
    <t>单Type C IC及一个Type c接口；IT8613E/LX;IT66318FN/EW-0003(R);RTL8125BG</t>
  </si>
  <si>
    <t>DNN15B(8L+OSP+HDI)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</si>
  <si>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 xml:space="preserve"> Spectek</t>
    </r>
    <r>
      <rPr>
        <sz val="10"/>
        <rFont val="微软雅黑"/>
        <charset val="134"/>
      </rPr>
      <t>；；EMMC停产中待验新料暂无价格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</si>
  <si>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使用库存目前无价格；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</si>
  <si>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；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</si>
  <si>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Spectek;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停产中待验新料暂无价格；EMMC停产中待验新料暂无价格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</si>
  <si>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Spectek;</t>
    </r>
  </si>
  <si>
    <r>
      <rPr>
        <sz val="10"/>
        <rFont val="Arial"/>
        <charset val="134"/>
      </rPr>
      <t>DNN15C(8L+OSP+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</si>
  <si>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</si>
  <si>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使用佰维接单前和采购确认；单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</si>
  <si>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使用江波龙；单</t>
    </r>
    <r>
      <rPr>
        <sz val="10"/>
        <rFont val="Arial"/>
        <charset val="134"/>
      </rPr>
      <t>Type c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</si>
  <si>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使用海力士；单</t>
    </r>
    <r>
      <rPr>
        <sz val="10"/>
        <rFont val="Arial"/>
        <charset val="134"/>
      </rPr>
      <t>Type c</t>
    </r>
  </si>
  <si>
    <r>
      <rPr>
        <sz val="10"/>
        <rFont val="Arial"/>
        <charset val="134"/>
      </rPr>
      <t>DNN525(6L+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</si>
  <si>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t>A.F.M.2302182-EVT</t>
  </si>
  <si>
    <r>
      <rPr>
        <sz val="10"/>
        <rFont val="Arial"/>
        <charset val="134"/>
      </rPr>
      <t>DNN59(6L+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</si>
  <si>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A.F.M.2400483-EVT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</si>
  <si>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MP86995GVT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MP2964GQKT</t>
    </r>
  </si>
  <si>
    <t>A.F.M.2400484-EVT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</si>
  <si>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MP2964GQKT</t>
    </r>
  </si>
  <si>
    <t>A.F.M.2400485-EVT</t>
  </si>
  <si>
    <t>A.F.M.2400794-PVT</t>
  </si>
  <si>
    <t>A.F.M.2400795-PVT</t>
  </si>
  <si>
    <r>
      <rPr>
        <sz val="10"/>
        <rFont val="Arial"/>
        <charset val="134"/>
      </rPr>
      <t>DNN70(6L+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</si>
  <si>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A.F.M.2301272-PVT</t>
  </si>
  <si>
    <t>A.F.M.2301273-PVT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</si>
  <si>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使用佰维接单前和采购确认；单</t>
    </r>
    <r>
      <rPr>
        <sz val="10"/>
        <rFont val="Arial"/>
        <charset val="134"/>
      </rPr>
      <t>Type c</t>
    </r>
  </si>
  <si>
    <t>A.F.M.2301274-PVT</t>
  </si>
  <si>
    <t>A.F.M.2301275-PVT</t>
  </si>
  <si>
    <r>
      <rPr>
        <sz val="10"/>
        <rFont val="Arial"/>
        <charset val="134"/>
      </rPr>
      <t>DN70(6L+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</si>
  <si>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使用单江波龙；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</t>
    </r>
  </si>
  <si>
    <t>A.F.M.2500046</t>
  </si>
  <si>
    <t>ALC245-CG;IT5570E</t>
  </si>
  <si>
    <t>A.F.M.2500047</t>
  </si>
  <si>
    <r>
      <rPr>
        <sz val="10"/>
        <rFont val="Arial"/>
        <charset val="134"/>
      </rPr>
      <t>ALC245-CG;IT5570E</t>
    </r>
    <r>
      <rPr>
        <sz val="10"/>
        <rFont val="宋体"/>
        <charset val="134"/>
      </rPr>
      <t>；含加密</t>
    </r>
    <r>
      <rPr>
        <sz val="10"/>
        <rFont val="Arial"/>
        <charset val="134"/>
      </rPr>
      <t>IC TPM</t>
    </r>
  </si>
  <si>
    <t>A.F.M.2500512-PVT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</si>
  <si>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及一个接口；</t>
    </r>
    <r>
      <rPr>
        <sz val="10"/>
        <rFont val="Arial"/>
        <charset val="134"/>
      </rPr>
      <t>RTL8125BG*2pcs;ALC245;IT5570E;IT66318FN/EW;PDC3883T*2PCS</t>
    </r>
  </si>
  <si>
    <t>A.F.M.2500513-PVT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</si>
  <si>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及一个接口；</t>
    </r>
    <r>
      <rPr>
        <sz val="10"/>
        <rFont val="Arial"/>
        <charset val="134"/>
      </rPr>
      <t>RTL8125BG*2pcs;ALC245;IT5570E;IT66318FN/EW;</t>
    </r>
    <r>
      <rPr>
        <sz val="10"/>
        <rFont val="宋体"/>
        <charset val="134"/>
      </rPr>
      <t>含加密</t>
    </r>
    <r>
      <rPr>
        <sz val="10"/>
        <rFont val="Arial"/>
        <charset val="134"/>
      </rPr>
      <t>IC TPM</t>
    </r>
  </si>
  <si>
    <r>
      <rPr>
        <sz val="10"/>
        <rFont val="Arial"/>
        <charset val="134"/>
      </rPr>
      <t>DNP15(8L+</t>
    </r>
    <r>
      <rPr>
        <sz val="10"/>
        <rFont val="微软雅黑"/>
        <charset val="134"/>
      </rPr>
      <t>化金</t>
    </r>
    <r>
      <rPr>
        <sz val="10"/>
        <rFont val="Arial"/>
        <charset val="134"/>
      </rPr>
      <t>+HDI3)</t>
    </r>
  </si>
  <si>
    <t>8G+128GB</t>
  </si>
  <si>
    <r>
      <rPr>
        <sz val="10"/>
        <rFont val="微软雅黑"/>
        <charset val="134"/>
      </rPr>
      <t>三星</t>
    </r>
    <r>
      <rPr>
        <sz val="10"/>
        <rFont val="Arial"/>
        <charset val="134"/>
      </rPr>
      <t>UFS 3.1/LPDDR5-496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</si>
  <si>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使用海力士目前无价格</t>
    </r>
    <r>
      <rPr>
        <sz val="10"/>
        <rFont val="Arial"/>
        <charset val="134"/>
      </rPr>
      <t>;BOM</t>
    </r>
    <r>
      <rPr>
        <sz val="10"/>
        <rFont val="微软雅黑"/>
        <charset val="134"/>
      </rPr>
      <t>里要搭配</t>
    </r>
    <r>
      <rPr>
        <sz val="10"/>
        <rFont val="Arial"/>
        <charset val="134"/>
      </rPr>
      <t xml:space="preserve">A.P.10000935 </t>
    </r>
    <r>
      <rPr>
        <sz val="10"/>
        <rFont val="微软雅黑"/>
        <charset val="134"/>
      </rPr>
      <t>小板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双</t>
    </r>
    <r>
      <rPr>
        <sz val="10"/>
        <rFont val="Arial"/>
        <charset val="134"/>
      </rPr>
      <t>Type C</t>
    </r>
  </si>
  <si>
    <t>JNXU</t>
  </si>
  <si>
    <t>A.P.0JNXU001-EVT</t>
  </si>
  <si>
    <t>6G*2+64GB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</si>
  <si>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ic;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</t>
    </r>
    <r>
      <rPr>
        <sz val="10"/>
        <rFont val="宋体"/>
        <charset val="134"/>
      </rPr>
      <t>参考</t>
    </r>
  </si>
  <si>
    <t>A.P.0JNXU002-EVT</t>
  </si>
  <si>
    <t>6G*2+128GB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</si>
  <si>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ic;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参考，</t>
    </r>
    <r>
      <rPr>
        <sz val="10"/>
        <rFont val="Arial"/>
        <charset val="134"/>
      </rPr>
      <t>9461</t>
    </r>
    <r>
      <rPr>
        <sz val="10"/>
        <rFont val="宋体"/>
        <charset val="134"/>
      </rPr>
      <t>停产</t>
    </r>
    <r>
      <rPr>
        <sz val="10"/>
        <rFont val="Arial"/>
        <charset val="134"/>
      </rPr>
      <t>wifi</t>
    </r>
    <r>
      <rPr>
        <sz val="10"/>
        <rFont val="宋体"/>
        <charset val="134"/>
      </rPr>
      <t>无价格</t>
    </r>
  </si>
  <si>
    <t>A.P.0JNXU003-EVT</t>
  </si>
  <si>
    <t>6G*2+64G</t>
  </si>
  <si>
    <t>8723DU</t>
  </si>
  <si>
    <t>停产</t>
  </si>
  <si>
    <r>
      <rPr>
        <sz val="10"/>
        <rFont val="微软雅黑"/>
        <charset val="134"/>
      </rPr>
      <t>江波龙</t>
    </r>
    <r>
      <rPr>
        <sz val="10"/>
        <rFont val="Arial"/>
        <charset val="134"/>
      </rPr>
      <t>/LPDDR4X-366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6G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</si>
  <si>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ic;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参考</t>
    </r>
  </si>
  <si>
    <t>JN10B</t>
  </si>
  <si>
    <t>DDR使用库存料接单前确认价格；</t>
  </si>
  <si>
    <t>A.P.JN10B003-EVT</t>
  </si>
  <si>
    <t>4G+64G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</si>
  <si>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/LPDDR4X-366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</si>
  <si>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t>2G*4+64G</t>
  </si>
  <si>
    <t>无货</t>
  </si>
  <si>
    <r>
      <rPr>
        <sz val="10"/>
        <rFont val="微软雅黑"/>
        <charset val="134"/>
      </rPr>
      <t>佰维</t>
    </r>
    <r>
      <rPr>
        <sz val="10"/>
        <rFont val="Arial"/>
        <charset val="134"/>
      </rPr>
      <t>/LPDDR4X-200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</si>
  <si>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 xml:space="preserve">DDR SPECTEK </t>
    </r>
    <r>
      <rPr>
        <sz val="10"/>
        <rFont val="微软雅黑"/>
        <charset val="134"/>
      </rPr>
      <t>目前无价格；含加密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；EMMC无货待验新料暂无价格</t>
    </r>
  </si>
  <si>
    <r>
      <rPr>
        <sz val="10"/>
        <rFont val="Arial"/>
        <charset val="134"/>
      </rPr>
      <t>LPDDR4X-200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</si>
  <si>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使用百维；含加密</t>
    </r>
    <r>
      <rPr>
        <sz val="10"/>
        <rFont val="Arial"/>
        <charset val="134"/>
      </rPr>
      <t>IC TPM</t>
    </r>
  </si>
  <si>
    <t>JN18</t>
  </si>
  <si>
    <t>N6005(10W)</t>
  </si>
  <si>
    <t>AW-CM251NF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</si>
  <si>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</si>
  <si>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HDMI VGA</t>
    </r>
    <r>
      <rPr>
        <sz val="10"/>
        <rFont val="微软雅黑"/>
        <charset val="134"/>
      </rPr>
      <t>芯片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含有网卡</t>
    </r>
    <r>
      <rPr>
        <sz val="10"/>
        <rFont val="Arial"/>
        <charset val="134"/>
      </rPr>
      <t>IC;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目前无价格；EMMC停产中待验新料暂无价格</t>
    </r>
  </si>
  <si>
    <t>；EMMC停产中待验新料暂无价格</t>
  </si>
  <si>
    <t>4G*2+64G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</si>
  <si>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目前无价格；EMMC停产中待验新料暂无价格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</si>
  <si>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;DDR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目前无价格；EMMC停产中待验新料暂无价格</t>
    </r>
  </si>
  <si>
    <t>CPU目前无价格:单Type c ;DDR使用库存料接单前确认价格；EMMC停产中待验新料暂无价格</t>
  </si>
  <si>
    <r>
      <rPr>
        <sz val="10"/>
        <rFont val="Arial"/>
        <charset val="134"/>
      </rPr>
      <t>JS6(8L+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</si>
  <si>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0+8G</t>
  </si>
  <si>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含有英特尔雷电</t>
    </r>
    <r>
      <rPr>
        <sz val="10"/>
        <rFont val="Arial"/>
        <charset val="134"/>
      </rPr>
      <t>IC*2pcs</t>
    </r>
  </si>
  <si>
    <r>
      <rPr>
        <sz val="10"/>
        <rFont val="微软雅黑"/>
        <charset val="134"/>
      </rPr>
      <t>含有英特尔雷电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；含有外围散热模块</t>
    </r>
    <r>
      <rPr>
        <sz val="10"/>
        <rFont val="Arial"/>
        <charset val="134"/>
      </rPr>
      <t>1pcs;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IT8613E</t>
    </r>
  </si>
  <si>
    <t>A.F.M.2400513-PVT</t>
  </si>
  <si>
    <t>A.F.M.2400514-PVT</t>
  </si>
  <si>
    <t>A.F.M.2400515-PVT</t>
  </si>
  <si>
    <r>
      <rPr>
        <sz val="10"/>
        <rFont val="Arial"/>
        <charset val="134"/>
      </rPr>
      <t>EMMC</t>
    </r>
    <r>
      <rPr>
        <sz val="10"/>
        <rFont val="微软雅黑"/>
        <charset val="134"/>
      </rPr>
      <t>目前无价格；含有英特尔雷电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；含有外围散热模块</t>
    </r>
    <r>
      <rPr>
        <sz val="10"/>
        <rFont val="Arial"/>
        <charset val="134"/>
      </rPr>
      <t>1pcs;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IT8613E</t>
    </r>
  </si>
  <si>
    <t>A.F.M.2400516-PVT</t>
  </si>
  <si>
    <r>
      <rPr>
        <sz val="10"/>
        <rFont val="Arial"/>
        <charset val="134"/>
      </rPr>
      <t>LPDDR4X-432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</si>
  <si>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t>DDR使用海力士接单情况请和采购确认</t>
  </si>
  <si>
    <t>JSLC1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</si>
  <si>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/LPDDR4X-200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</si>
  <si>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使用百维；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双</t>
    </r>
    <r>
      <rPr>
        <sz val="10"/>
        <rFont val="Arial"/>
        <charset val="134"/>
      </rPr>
      <t>Type-c,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 1.65</t>
    </r>
    <r>
      <rPr>
        <sz val="10"/>
        <rFont val="微软雅黑"/>
        <charset val="134"/>
      </rPr>
      <t>美金；EMMC停产中待验新料暂无价格</t>
    </r>
  </si>
  <si>
    <t>朱玉华标案</t>
  </si>
  <si>
    <r>
      <rPr>
        <sz val="10"/>
        <rFont val="Arial"/>
        <charset val="134"/>
      </rPr>
      <t>Type c(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芯片无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</si>
  <si>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t>X7211E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</si>
  <si>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芯片无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;PCB</t>
    </r>
    <r>
      <rPr>
        <sz val="10"/>
        <rFont val="微软雅黑"/>
        <charset val="134"/>
      </rPr>
      <t>参考</t>
    </r>
    <r>
      <rPr>
        <sz val="10"/>
        <rFont val="Arial"/>
        <charset val="134"/>
      </rPr>
      <t xml:space="preserve">DNN21S E.P.P.0004686 </t>
    </r>
    <r>
      <rPr>
        <sz val="10"/>
        <rFont val="微软雅黑"/>
        <charset val="134"/>
      </rPr>
      <t>成本</t>
    </r>
  </si>
  <si>
    <t>CM4</t>
  </si>
  <si>
    <r>
      <rPr>
        <sz val="10"/>
        <rFont val="Arial"/>
        <charset val="134"/>
      </rPr>
      <t>PCB</t>
    </r>
    <r>
      <rPr>
        <sz val="10"/>
        <rFont val="微软雅黑"/>
        <charset val="134"/>
      </rPr>
      <t>预估价格；</t>
    </r>
    <r>
      <rPr>
        <sz val="10"/>
        <rFont val="Arial"/>
        <charset val="134"/>
      </rPr>
      <t xml:space="preserve">other </t>
    </r>
    <r>
      <rPr>
        <sz val="10"/>
        <rFont val="微软雅黑"/>
        <charset val="134"/>
      </rPr>
      <t>有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颗材料无价格</t>
    </r>
  </si>
  <si>
    <t>DNN21F</t>
  </si>
  <si>
    <t>A.F.M.2401659-EVT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</si>
  <si>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>1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Typec</t>
    </r>
    <r>
      <rPr>
        <sz val="10"/>
        <rFont val="宋体"/>
        <charset val="134"/>
      </rPr>
      <t>接口；含有</t>
    </r>
    <r>
      <rPr>
        <sz val="10"/>
        <rFont val="Arial"/>
        <charset val="134"/>
      </rPr>
      <t>SN6140</t>
    </r>
    <r>
      <rPr>
        <sz val="10"/>
        <rFont val="宋体"/>
        <charset val="134"/>
      </rPr>
      <t>；IT5570E；ANX7447QN</t>
    </r>
  </si>
  <si>
    <t>A.F.M.2401660-EVT</t>
  </si>
  <si>
    <t>N250(6W)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</si>
  <si>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>1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Typec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IT5570E</t>
    </r>
    <r>
      <rPr>
        <sz val="10"/>
        <rFont val="宋体"/>
        <charset val="134"/>
      </rPr>
      <t>；</t>
    </r>
    <r>
      <rPr>
        <sz val="10"/>
        <rFont val="Arial"/>
        <charset val="134"/>
      </rPr>
      <t>ANX7447QN;NB691AG</t>
    </r>
  </si>
  <si>
    <t>A.F.M.2401661-EVT</t>
  </si>
  <si>
    <t>Type c(l两个Type C 接口)</t>
  </si>
  <si>
    <t>单Type C IC及2个Typec接口；ALC269Q；IT66318FN；含加密IC；EMMC停产中待验新料暂无价格</t>
  </si>
  <si>
    <t>A.F.M.2402475-PVT</t>
  </si>
  <si>
    <t>单Type C IC及1个Typec接口； IT5570E</t>
  </si>
  <si>
    <t>A.F.M.2402476-PVT</t>
  </si>
  <si>
    <r>
      <rPr>
        <sz val="10"/>
        <rFont val="Arial"/>
        <charset val="134"/>
      </rPr>
      <t>Type c(l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</si>
  <si>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t>单Type C IC及2个Typec接口；ALC269Q；IT66318FN；含加密IC</t>
  </si>
  <si>
    <r>
      <rPr>
        <sz val="10"/>
        <rFont val="Arial"/>
        <charset val="134"/>
      </rPr>
      <t>DNP13C</t>
    </r>
    <r>
      <rPr>
        <sz val="10"/>
        <rFont val="宋体"/>
        <charset val="134"/>
      </rPr>
      <t>（</t>
    </r>
    <r>
      <rPr>
        <sz val="10"/>
        <rFont val="Arial"/>
        <charset val="134"/>
      </rPr>
      <t>6L+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</t>
    </r>
    <r>
      <rPr>
        <sz val="10"/>
        <rFont val="宋体"/>
        <charset val="134"/>
      </rPr>
      <t>）</t>
    </r>
  </si>
  <si>
    <t>A.F.M.2401861-EVT</t>
  </si>
  <si>
    <t>6G*2+128G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</si>
  <si>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6G</t>
    </r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</si>
  <si>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Type c IC(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);ALC269Q</t>
    </r>
    <r>
      <rPr>
        <sz val="10"/>
        <rFont val="宋体"/>
        <charset val="134"/>
      </rPr>
      <t>；</t>
    </r>
    <r>
      <rPr>
        <sz val="10"/>
        <rFont val="Arial"/>
        <charset val="134"/>
      </rPr>
      <t>IT5570E</t>
    </r>
  </si>
  <si>
    <t>A.F.M.2401862-EVT</t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</si>
  <si>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Type c(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</si>
  <si>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群联</t>
    </r>
    <r>
      <rPr>
        <sz val="10"/>
        <rFont val="Arial"/>
        <charset val="134"/>
      </rPr>
      <t>/LPDDR5-315</t>
    </r>
    <r>
      <rPr>
        <sz val="10"/>
        <rFont val="宋体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</si>
  <si>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微软雅黑"/>
        <charset val="134"/>
      </rPr>
      <t>DDR使用spectek；双Type c IC(两个Type C 接口)</t>
    </r>
    <r>
      <rPr>
        <sz val="10"/>
        <rFont val="Arial"/>
        <charset val="134"/>
      </rPr>
      <t>; ALC269Q</t>
    </r>
    <r>
      <rPr>
        <sz val="10"/>
        <rFont val="宋体"/>
        <charset val="134"/>
      </rPr>
      <t>；</t>
    </r>
    <r>
      <rPr>
        <sz val="10"/>
        <rFont val="Arial"/>
        <charset val="134"/>
      </rPr>
      <t>IT5570E</t>
    </r>
  </si>
  <si>
    <t>A.F.M.2402110-EVT</t>
  </si>
  <si>
    <r>
      <rPr>
        <sz val="10"/>
        <rFont val="宋体"/>
        <charset val="134"/>
      </rPr>
      <t>时创意</t>
    </r>
    <r>
      <rPr>
        <sz val="10"/>
        <rFont val="Arial"/>
        <charset val="134"/>
      </rPr>
      <t>/LPDDR5-315</t>
    </r>
    <r>
      <rPr>
        <sz val="10"/>
        <rFont val="宋体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</si>
  <si>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微软雅黑"/>
        <charset val="134"/>
      </rPr>
      <t>DDR使用江波龙；双Type c IC(两个Type C 接口)</t>
    </r>
    <r>
      <rPr>
        <sz val="10"/>
        <rFont val="Arial"/>
        <charset val="134"/>
      </rPr>
      <t>; ALC269Q</t>
    </r>
    <r>
      <rPr>
        <sz val="10"/>
        <rFont val="宋体"/>
        <charset val="134"/>
      </rPr>
      <t>；</t>
    </r>
    <r>
      <rPr>
        <sz val="10"/>
        <rFont val="微软雅黑"/>
        <charset val="134"/>
      </rPr>
      <t>T55B336M016C0070；EMMC停产中待验新料暂无价格</t>
    </r>
  </si>
  <si>
    <t>A.F.M.2500154-PVT</t>
  </si>
  <si>
    <t>双Type c(两个Type C 接口)</t>
  </si>
  <si>
    <t>DDR使用佰维 （三星wafer）;双Type c IC(两个Type C 接口);MP3367GR;IT5570E</t>
  </si>
  <si>
    <t>A.F.M.2500155-PVT</t>
  </si>
  <si>
    <t>DDR使用江波龙；双Type c IC(两个Type C 接口);ALC269Q；MP3367GR</t>
  </si>
  <si>
    <t>A.F.M.2500156-PVT</t>
  </si>
  <si>
    <t>DDR使用spectek；MP3367GR;IT5570E</t>
  </si>
  <si>
    <t>A.F.M.2500157-PVT</t>
  </si>
  <si>
    <t>群联/LPDDR5-315球4G</t>
  </si>
  <si>
    <t>DDR使用江波龙;MP3367GR;ALC269Q</t>
  </si>
  <si>
    <t>A.F.M.2500158-PVT</t>
  </si>
  <si>
    <t>DDR使用佰维 （三星wafer);MP3367GR;ALC269Q</t>
  </si>
  <si>
    <t>A.F.M.2500159-PVT</t>
  </si>
  <si>
    <t>DDR使用佰维 （三星wafer）;MP3367GR;IT5570E;ALC269Q</t>
  </si>
  <si>
    <t>A.F.M.2500160-PVT</t>
  </si>
  <si>
    <t>DDR使用江波龙;T55B336M016C0070*6pcs;ALC269Q;IT5570E</t>
  </si>
  <si>
    <t>A.F.M.2501452-MP</t>
  </si>
  <si>
    <t>A.F.M.2501466-Pre MP</t>
  </si>
  <si>
    <t>A.F.M.2501510-Pre MP</t>
  </si>
  <si>
    <t>A.F.M.2501555-Pre MP</t>
  </si>
  <si>
    <t>LPDDR5X-315球4G</t>
  </si>
  <si>
    <t>DDR使用spectek；MP3367GR;IT5570E;ALC269Q</t>
  </si>
  <si>
    <t>A.F.M.2501610-Pre MP</t>
  </si>
  <si>
    <t>I3-N305(15W）</t>
  </si>
  <si>
    <r>
      <rPr>
        <sz val="10"/>
        <rFont val="Arial"/>
        <charset val="134"/>
      </rPr>
      <t>DNP59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6L+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</t>
    </r>
    <r>
      <rPr>
        <sz val="10"/>
        <color theme="1"/>
        <rFont val="宋体"/>
        <charset val="134"/>
      </rPr>
      <t>）</t>
    </r>
  </si>
  <si>
    <t>A.F.M.2500259-EVT</t>
  </si>
  <si>
    <r>
      <rPr>
        <sz val="10"/>
        <rFont val="Arial"/>
        <charset val="134"/>
      </rPr>
      <t>I3-N305(15W</t>
    </r>
    <r>
      <rPr>
        <sz val="10"/>
        <color theme="1"/>
        <rFont val="宋体"/>
        <charset val="134"/>
      </rPr>
      <t>）</t>
    </r>
  </si>
  <si>
    <r>
      <rPr>
        <sz val="10"/>
        <rFont val="宋体"/>
        <charset val="134"/>
      </rPr>
      <t>LPDDR5-315</t>
    </r>
    <r>
      <rPr>
        <sz val="10"/>
        <color theme="1"/>
        <rFont val="宋体"/>
        <charset val="134"/>
      </rPr>
      <t>球</t>
    </r>
    <r>
      <rPr>
        <sz val="10"/>
        <color theme="1"/>
        <rFont val="Arial"/>
        <charset val="134"/>
      </rPr>
      <t>8G</t>
    </r>
  </si>
  <si>
    <r>
      <rPr>
        <sz val="10"/>
        <rFont val="宋体"/>
        <charset val="134"/>
      </rPr>
      <t>DDR</t>
    </r>
    <r>
      <rPr>
        <sz val="10"/>
        <color theme="1"/>
        <rFont val="宋体"/>
        <charset val="134"/>
      </rPr>
      <t>使用三星；</t>
    </r>
    <r>
      <rPr>
        <sz val="10"/>
        <color theme="1"/>
        <rFont val="Arial"/>
        <charset val="134"/>
      </rPr>
      <t>IT5570E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>RTS5453H</t>
    </r>
    <r>
      <rPr>
        <sz val="10"/>
        <color theme="1"/>
        <rFont val="宋体"/>
        <charset val="134"/>
      </rPr>
      <t>；含加密</t>
    </r>
    <r>
      <rPr>
        <sz val="10"/>
        <color theme="1"/>
        <rFont val="Arial"/>
        <charset val="134"/>
      </rPr>
      <t>IC TPM</t>
    </r>
  </si>
  <si>
    <t>A.F.M.2500260-EVT</t>
  </si>
  <si>
    <r>
      <rPr>
        <sz val="10"/>
        <rFont val="宋体"/>
        <charset val="134"/>
      </rPr>
      <t>DDR</t>
    </r>
    <r>
      <rPr>
        <sz val="10"/>
        <color theme="1"/>
        <rFont val="宋体"/>
        <charset val="134"/>
      </rPr>
      <t>使用三星；</t>
    </r>
    <r>
      <rPr>
        <sz val="10"/>
        <color theme="1"/>
        <rFont val="Arial"/>
        <charset val="134"/>
      </rPr>
      <t>IT5570E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>RTS5453H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>ALC269Q</t>
    </r>
  </si>
  <si>
    <r>
      <rPr>
        <sz val="10"/>
        <rFont val="Arial"/>
        <charset val="134"/>
      </rPr>
      <t>DNN792</t>
    </r>
    <r>
      <rPr>
        <sz val="10"/>
        <rFont val="宋体"/>
        <charset val="134"/>
      </rPr>
      <t>（</t>
    </r>
    <r>
      <rPr>
        <sz val="10"/>
        <rFont val="Arial"/>
        <charset val="134"/>
      </rPr>
      <t>4L+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</t>
    </r>
    <r>
      <rPr>
        <sz val="10"/>
        <rFont val="宋体"/>
        <charset val="134"/>
      </rPr>
      <t>）</t>
    </r>
  </si>
  <si>
    <t>A.F.M.2501058-EVT</t>
  </si>
  <si>
    <t>双Type C IC及2个Typec接口；IT5570E</t>
  </si>
  <si>
    <t>A.F.M.2501059-EVT</t>
  </si>
  <si>
    <t>双Type C IC及2个Typec接口；IT5570E;ZMD68302N;含加密TC TPM（新唐）</t>
  </si>
  <si>
    <t>A.F.M.2501349-EVT</t>
  </si>
  <si>
    <t>单Type C IC及1个Typec接口；IT5570E;ALC269Q</t>
  </si>
  <si>
    <t>DNNTU146</t>
  </si>
  <si>
    <t>A.F.M.2501305-EVT</t>
  </si>
  <si>
    <t>单Type C IC及2个Typec接口；BD99950MUV-E2;NB687BGQ-Z;</t>
  </si>
  <si>
    <t>A.F.M.2501306-EVT</t>
  </si>
  <si>
    <t>双Type C IC及2个Typec接口；BD99950MUV-E2;NB687BGQ-Z</t>
  </si>
  <si>
    <t>单Type C IC及2个Typec接口；CSCE2010WBR6NR</t>
  </si>
  <si>
    <t>A.F.M.2501937</t>
  </si>
  <si>
    <t>A.F.M.2500555</t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</si>
  <si>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)(ANX7447QN)</t>
    </r>
  </si>
  <si>
    <t>全功能（ANX7447QN）；含加密IC TPM;</t>
  </si>
  <si>
    <r>
      <rPr>
        <sz val="10"/>
        <color theme="1"/>
        <rFont val="Arial"/>
        <charset val="134"/>
      </rPr>
      <t>DNN106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6L+</t>
    </r>
    <r>
      <rPr>
        <sz val="10"/>
        <color theme="1"/>
        <rFont val="宋体"/>
        <charset val="134"/>
      </rPr>
      <t>通孔+</t>
    </r>
    <r>
      <rPr>
        <sz val="10"/>
        <color theme="1"/>
        <rFont val="Arial"/>
        <charset val="134"/>
      </rPr>
      <t>OSP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</si>
  <si>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Arial"/>
        <charset val="134"/>
      </rPr>
      <t>PCB8</t>
    </r>
    <r>
      <rPr>
        <sz val="10"/>
        <color theme="1"/>
        <rFont val="宋体"/>
        <charset val="134"/>
      </rPr>
      <t>月新一轮上涨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价格有效期</t>
    </r>
    <r>
      <rPr>
        <sz val="10"/>
        <color theme="1"/>
        <rFont val="Arial"/>
        <charset val="134"/>
      </rPr>
      <t>8-15</t>
    </r>
  </si>
  <si>
    <r>
      <rPr>
        <sz val="10"/>
        <color theme="1"/>
        <rFont val="Arial"/>
        <charset val="134"/>
      </rPr>
      <t>DNN106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6L+</t>
    </r>
    <r>
      <rPr>
        <sz val="10"/>
        <color theme="1"/>
        <rFont val="宋体"/>
        <charset val="134"/>
      </rPr>
      <t>通孔+</t>
    </r>
    <r>
      <rPr>
        <sz val="10"/>
        <color theme="1"/>
        <rFont val="Arial"/>
        <charset val="134"/>
      </rPr>
      <t>OSP+</t>
    </r>
    <r>
      <rPr>
        <sz val="10"/>
        <color theme="1"/>
        <rFont val="宋体"/>
        <charset val="134"/>
      </rPr>
      <t>无卤）</t>
    </r>
  </si>
  <si>
    <t>190.7mm*114.0mm</t>
  </si>
  <si>
    <r>
      <rPr>
        <sz val="10"/>
        <color theme="1"/>
        <rFont val="Arial"/>
        <charset val="134"/>
      </rPr>
      <t>DNN81S(6L+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</si>
  <si>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Arial"/>
        <charset val="134"/>
      </rPr>
      <t>JN81S</t>
    </r>
    <r>
      <rPr>
        <sz val="10"/>
        <color theme="1"/>
        <rFont val="宋体"/>
        <charset val="134"/>
      </rPr>
      <t>小板</t>
    </r>
    <r>
      <rPr>
        <sz val="10"/>
        <color theme="1"/>
        <rFont val="Arial"/>
        <charset val="134"/>
      </rPr>
      <t>(4L+</t>
    </r>
    <r>
      <rPr>
        <sz val="10"/>
        <color theme="1"/>
        <rFont val="宋体"/>
        <charset val="134"/>
      </rPr>
      <t>通孔+OSP)</t>
    </r>
  </si>
  <si>
    <t>A.F.D.2400144</t>
  </si>
  <si>
    <r>
      <rPr>
        <sz val="10"/>
        <color theme="1"/>
        <rFont val="Arial"/>
        <charset val="134"/>
      </rPr>
      <t>JN106</t>
    </r>
    <r>
      <rPr>
        <sz val="10"/>
        <color theme="1"/>
        <rFont val="宋体"/>
        <charset val="134"/>
      </rPr>
      <t>小板（</t>
    </r>
    <r>
      <rPr>
        <sz val="10"/>
        <color theme="1"/>
        <rFont val="Arial"/>
        <charset val="134"/>
      </rPr>
      <t>4L+</t>
    </r>
    <r>
      <rPr>
        <sz val="10"/>
        <color theme="1"/>
        <rFont val="宋体"/>
        <charset val="134"/>
      </rPr>
      <t>通孔+</t>
    </r>
    <r>
      <rPr>
        <sz val="10"/>
        <color theme="1"/>
        <rFont val="Arial"/>
        <charset val="134"/>
      </rPr>
      <t>OSP</t>
    </r>
    <r>
      <rPr>
        <sz val="10"/>
        <color theme="1"/>
        <rFont val="宋体"/>
        <charset val="134"/>
      </rPr>
      <t>）</t>
    </r>
  </si>
  <si>
    <t>A.F.D.2500167</t>
  </si>
  <si>
    <t>A.F.M.2400222</t>
  </si>
  <si>
    <t>汇率：6.75</t>
  </si>
  <si>
    <r>
      <rPr>
        <b/>
        <sz val="10"/>
        <color theme="1"/>
        <rFont val="微软雅黑"/>
        <charset val="134"/>
      </rPr>
      <t>汇率</t>
    </r>
  </si>
  <si>
    <r>
      <rPr>
        <sz val="10"/>
        <color theme="1"/>
        <rFont val="Arial"/>
        <charset val="134"/>
      </rPr>
      <t>ARNTU146B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10L+HDI+OSP)</t>
    </r>
  </si>
  <si>
    <r>
      <rPr>
        <sz val="10"/>
        <color theme="1"/>
        <rFont val="Arial"/>
        <charset val="134"/>
      </rPr>
      <t>A.F.M.2600410</t>
    </r>
    <r>
      <rPr>
        <sz val="10"/>
        <color theme="1"/>
        <rFont val="微软雅黑"/>
        <charset val="134"/>
      </rPr>
      <t>全配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</si>
  <si>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IC(</t>
    </r>
    <r>
      <rPr>
        <sz val="10"/>
        <rFont val="微软雅黑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)RTS5453H</t>
    </r>
  </si>
  <si>
    <r>
      <rPr>
        <sz val="10"/>
        <rFont val="Arial"/>
        <charset val="134"/>
      </rPr>
      <t>LPDDR5x-496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8G*2</t>
    </r>
  </si>
  <si>
    <r>
      <rPr>
        <sz val="10"/>
        <rFont val="Arial"/>
        <charset val="134"/>
      </rPr>
      <t xml:space="preserve">HDMI2.0:IT66318FN; </t>
    </r>
    <r>
      <rPr>
        <sz val="10"/>
        <rFont val="宋体"/>
        <charset val="134"/>
      </rPr>
      <t>电量计：</t>
    </r>
    <r>
      <rPr>
        <sz val="10"/>
        <rFont val="Arial"/>
        <charset val="134"/>
      </rPr>
      <t>CW2217:ROM:256Mb; USBHUB2.0:GM8220C</t>
    </r>
  </si>
  <si>
    <r>
      <rPr>
        <b/>
        <sz val="10"/>
        <color theme="1"/>
        <rFont val="宋体"/>
        <charset val="134"/>
      </rPr>
      <t>充电：</t>
    </r>
    <r>
      <rPr>
        <b/>
        <sz val="10"/>
        <color theme="1"/>
        <rFont val="Arial"/>
        <charset val="134"/>
      </rPr>
      <t xml:space="preserve">SY6916; EC:IT5570E; </t>
    </r>
    <r>
      <rPr>
        <b/>
        <sz val="10"/>
        <color theme="1"/>
        <rFont val="宋体"/>
        <charset val="134"/>
      </rPr>
      <t>电源方案：MP2845BGQK； DRMOS:MP86941*4+MP86901*1</t>
    </r>
  </si>
  <si>
    <t>AXN77B(12L+HDI+OSP)</t>
  </si>
  <si>
    <r>
      <rPr>
        <sz val="10"/>
        <color theme="1"/>
        <rFont val="Arial"/>
        <charset val="134"/>
      </rPr>
      <t>A.F.M.2503292</t>
    </r>
    <r>
      <rPr>
        <sz val="10"/>
        <color theme="1"/>
        <rFont val="微软雅黑"/>
        <charset val="134"/>
      </rPr>
      <t>全配</t>
    </r>
  </si>
  <si>
    <r>
      <rPr>
        <sz val="10"/>
        <rFont val="Arial"/>
        <charset val="134"/>
      </rPr>
      <t>Type c(</t>
    </r>
    <r>
      <rPr>
        <sz val="10"/>
        <rFont val="微软雅黑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TYPE-C IC RTS5453H</t>
    </r>
  </si>
  <si>
    <t>100-000001099</t>
  </si>
  <si>
    <r>
      <rPr>
        <sz val="10"/>
        <color theme="1"/>
        <rFont val="微软雅黑"/>
        <charset val="134"/>
      </rPr>
      <t>现询</t>
    </r>
  </si>
  <si>
    <r>
      <rPr>
        <sz val="10"/>
        <rFont val="Arial"/>
        <charset val="134"/>
      </rPr>
      <t>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16G*8(</t>
    </r>
    <r>
      <rPr>
        <sz val="10"/>
        <rFont val="微软雅黑"/>
        <charset val="134"/>
      </rPr>
      <t>镁光）</t>
    </r>
    <r>
      <rPr>
        <sz val="10"/>
        <rFont val="Arial"/>
        <charset val="134"/>
      </rPr>
      <t>+0</t>
    </r>
  </si>
  <si>
    <t>HDMI2.0:IT66318FN; TPM:SLB 9672;ROM:256Mb;</t>
  </si>
  <si>
    <r>
      <rPr>
        <b/>
        <sz val="10"/>
        <color theme="1"/>
        <rFont val="Arial"/>
        <charset val="134"/>
      </rPr>
      <t xml:space="preserve">EC:IT5570VG; </t>
    </r>
    <r>
      <rPr>
        <b/>
        <sz val="10"/>
        <color theme="1"/>
        <rFont val="宋体"/>
        <charset val="134"/>
      </rPr>
      <t>充电管理：</t>
    </r>
    <r>
      <rPr>
        <b/>
        <sz val="10"/>
        <color theme="1"/>
        <rFont val="Arial"/>
        <charset val="134"/>
      </rPr>
      <t>SY6916CQAQ</t>
    </r>
    <r>
      <rPr>
        <b/>
        <sz val="10"/>
        <color theme="1"/>
        <rFont val="宋体"/>
        <charset val="134"/>
      </rPr>
      <t>；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宋体"/>
        <charset val="134"/>
      </rPr>
      <t>电源方案：</t>
    </r>
    <r>
      <rPr>
        <b/>
        <sz val="10"/>
        <color theme="1"/>
        <rFont val="Arial"/>
        <charset val="134"/>
      </rPr>
      <t>MP2825GQKT</t>
    </r>
    <r>
      <rPr>
        <b/>
        <sz val="10"/>
        <color theme="1"/>
        <rFont val="宋体"/>
        <charset val="134"/>
      </rPr>
      <t>；</t>
    </r>
    <r>
      <rPr>
        <b/>
        <sz val="10"/>
        <color theme="1"/>
        <rFont val="Arial"/>
        <charset val="134"/>
      </rPr>
      <t xml:space="preserve"> DRMOS:MP87440*14</t>
    </r>
  </si>
  <si>
    <r>
      <rPr>
        <sz val="10"/>
        <rFont val="Arial"/>
        <charset val="134"/>
      </rPr>
      <t>ARN793(10L+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</si>
  <si>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A.F.M.2500851(</t>
    </r>
    <r>
      <rPr>
        <sz val="10"/>
        <rFont val="微软雅黑"/>
        <charset val="134"/>
      </rPr>
      <t>全配）</t>
    </r>
  </si>
  <si>
    <r>
      <rPr>
        <sz val="10"/>
        <rFont val="Arial"/>
        <charset val="134"/>
      </rPr>
      <t>Type c(</t>
    </r>
    <r>
      <rPr>
        <sz val="10"/>
        <rFont val="微软雅黑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)RTS5453H</t>
    </r>
  </si>
  <si>
    <t>6600H/100-000000546</t>
  </si>
  <si>
    <r>
      <rPr>
        <sz val="10"/>
        <rFont val="Arial"/>
        <charset val="134"/>
      </rPr>
      <t>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4G*4+0</t>
    </r>
  </si>
  <si>
    <t>HDMI2.0:IT66318FN; TPM: NPCT760AACYX; USB3-10G:GL9901VAE;ROM:256Mb</t>
  </si>
  <si>
    <r>
      <rPr>
        <b/>
        <sz val="10"/>
        <rFont val="Arial"/>
        <charset val="134"/>
      </rPr>
      <t xml:space="preserve">DRMOS:MP86941*4+MP86901*1; </t>
    </r>
    <r>
      <rPr>
        <b/>
        <sz val="10"/>
        <rFont val="宋体"/>
        <charset val="134"/>
      </rPr>
      <t>充电：</t>
    </r>
    <r>
      <rPr>
        <b/>
        <sz val="10"/>
        <rFont val="Arial"/>
        <charset val="134"/>
      </rPr>
      <t>BQ24780</t>
    </r>
    <r>
      <rPr>
        <b/>
        <sz val="10"/>
        <rFont val="宋体"/>
        <charset val="134"/>
      </rPr>
      <t>；</t>
    </r>
    <r>
      <rPr>
        <b/>
        <sz val="10"/>
        <rFont val="Arial"/>
        <charset val="134"/>
      </rPr>
      <t xml:space="preserve"> EC:IT5570E;</t>
    </r>
    <r>
      <rPr>
        <b/>
        <sz val="10"/>
        <rFont val="宋体"/>
        <charset val="134"/>
      </rPr>
      <t>电源方案：</t>
    </r>
    <r>
      <rPr>
        <b/>
        <sz val="10"/>
        <rFont val="Arial"/>
        <charset val="134"/>
      </rPr>
      <t>MP2845BGQK</t>
    </r>
  </si>
  <si>
    <r>
      <rPr>
        <sz val="10"/>
        <color theme="1"/>
        <rFont val="Arial"/>
        <charset val="134"/>
      </rPr>
      <t>ARN21B(10L+</t>
    </r>
    <r>
      <rPr>
        <sz val="10"/>
        <color theme="1"/>
        <rFont val="微软雅黑"/>
        <charset val="134"/>
      </rPr>
      <t>通孔</t>
    </r>
    <r>
      <rPr>
        <sz val="10"/>
        <color theme="1"/>
        <rFont val="Arial"/>
        <charset val="134"/>
      </rPr>
      <t>+OSP)</t>
    </r>
  </si>
  <si>
    <r>
      <rPr>
        <sz val="11"/>
        <color rgb="FF000000"/>
        <rFont val="Arial"/>
        <charset val="134"/>
      </rPr>
      <t>A.F.M.2501622-</t>
    </r>
    <r>
      <rPr>
        <sz val="11"/>
        <color rgb="FF000000"/>
        <rFont val="微软雅黑"/>
        <charset val="134"/>
      </rPr>
      <t>全配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</si>
  <si>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（两个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接口）</t>
    </r>
    <r>
      <rPr>
        <sz val="10"/>
        <rFont val="Arial"/>
        <charset val="134"/>
      </rPr>
      <t>RTS5453H-GR</t>
    </r>
  </si>
  <si>
    <t>(6850U)100-000000550</t>
  </si>
  <si>
    <r>
      <rPr>
        <sz val="10"/>
        <rFont val="微软雅黑"/>
        <charset val="134"/>
      </rPr>
      <t>现询</t>
    </r>
  </si>
  <si>
    <r>
      <rPr>
        <sz val="10"/>
        <rFont val="Arial"/>
        <charset val="134"/>
      </rPr>
      <t>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8G*4+0</t>
    </r>
  </si>
  <si>
    <t>HDMI2.0:IT66318FN;  TPM2.0:NPCT760AACYX; 电量计：CW2217；ROM:256Mb</t>
  </si>
  <si>
    <t>电源方案：MP2845BGQK; DRMOS:MP86941*3+MP86901*1; 充电管理：SY6916； EC:IT5570E; CODEC:ALC269Q</t>
  </si>
  <si>
    <r>
      <rPr>
        <sz val="10"/>
        <color theme="1"/>
        <rFont val="Arial"/>
        <charset val="134"/>
      </rPr>
      <t>AXN772(12L+HDI1</t>
    </r>
    <r>
      <rPr>
        <sz val="10"/>
        <color theme="1"/>
        <rFont val="微软雅黑"/>
        <charset val="134"/>
      </rPr>
      <t>阶</t>
    </r>
    <r>
      <rPr>
        <sz val="10"/>
        <color theme="1"/>
        <rFont val="Arial"/>
        <charset val="134"/>
      </rPr>
      <t>+OSP)</t>
    </r>
  </si>
  <si>
    <t>A.F.M.2501235-EVT</t>
  </si>
  <si>
    <r>
      <rPr>
        <sz val="10"/>
        <rFont val="Arial"/>
        <charset val="134"/>
      </rPr>
      <t>LPDDR5x-315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16G*8+0</t>
    </r>
  </si>
  <si>
    <t>HDMI2.0:IT66318FN; OLED:G2708CKU1U; ROM:256Mb; USB4-10G:RTD2156-CG</t>
  </si>
  <si>
    <r>
      <rPr>
        <sz val="10"/>
        <color theme="1"/>
        <rFont val="宋体"/>
        <charset val="134"/>
      </rPr>
      <t>电源方案</t>
    </r>
    <r>
      <rPr>
        <sz val="10"/>
        <color theme="1"/>
        <rFont val="Arial"/>
        <charset val="134"/>
      </rPr>
      <t xml:space="preserve">:MP2825GQKT; DRMOS: MP87440GQVT*14; EC: IT5570VG; </t>
    </r>
    <r>
      <rPr>
        <sz val="10"/>
        <color theme="1"/>
        <rFont val="宋体"/>
        <charset val="134"/>
      </rPr>
      <t xml:space="preserve">充电管理：SY6916CQAQ； </t>
    </r>
  </si>
  <si>
    <r>
      <rPr>
        <sz val="10"/>
        <rFont val="Arial"/>
        <charset val="134"/>
      </rPr>
      <t>AMN20(8L+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</si>
  <si>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t>A.P.AMN20002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</si>
  <si>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（两个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接口）</t>
    </r>
    <r>
      <rPr>
        <sz val="10"/>
        <rFont val="Arial"/>
        <charset val="134"/>
      </rPr>
      <t>RTS5452H</t>
    </r>
  </si>
  <si>
    <t>7320U</t>
  </si>
  <si>
    <t>ROM:128Mb; 电量计：CW2015;</t>
  </si>
  <si>
    <t>电源方案：MP2845AGQK； DRMOS:  充电管理：SC89780QDER; DRMOS无； EC; IT5570E;</t>
  </si>
  <si>
    <t>AMN20(2L+通孔+OSP)</t>
  </si>
  <si>
    <r>
      <rPr>
        <sz val="10"/>
        <rFont val="Arial"/>
        <charset val="134"/>
      </rPr>
      <t>AMN20(2L+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</si>
  <si>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A.P.10001061  Audio DB</t>
  </si>
  <si>
    <r>
      <rPr>
        <sz val="10"/>
        <rFont val="Arial"/>
        <charset val="134"/>
      </rPr>
      <t>AMN21(8L+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</si>
  <si>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A.P.AMN21004</t>
  </si>
  <si>
    <t>SKU4 15W</t>
  </si>
  <si>
    <t>7520U</t>
  </si>
  <si>
    <r>
      <rPr>
        <sz val="10"/>
        <rFont val="Arial"/>
        <charset val="134"/>
      </rPr>
      <t>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8G*2+0</t>
    </r>
  </si>
  <si>
    <t>TPM:SLB 9672V; 电量计：CW2015CHBD；</t>
  </si>
  <si>
    <r>
      <rPr>
        <b/>
        <sz val="10"/>
        <rFont val="Arial"/>
        <charset val="134"/>
      </rPr>
      <t xml:space="preserve">EC:SLB 9672;CODEC:SN6140; </t>
    </r>
    <r>
      <rPr>
        <b/>
        <sz val="10"/>
        <rFont val="宋体"/>
        <charset val="134"/>
      </rPr>
      <t>电源方案：</t>
    </r>
    <r>
      <rPr>
        <b/>
        <sz val="10"/>
        <rFont val="Arial"/>
        <charset val="134"/>
      </rPr>
      <t xml:space="preserve">MP2845AGQK </t>
    </r>
    <r>
      <rPr>
        <b/>
        <sz val="10"/>
        <rFont val="宋体"/>
        <charset val="134"/>
      </rPr>
      <t>；</t>
    </r>
    <r>
      <rPr>
        <b/>
        <sz val="10"/>
        <rFont val="Arial"/>
        <charset val="134"/>
      </rPr>
      <t xml:space="preserve"> </t>
    </r>
    <r>
      <rPr>
        <b/>
        <sz val="10"/>
        <rFont val="宋体"/>
        <charset val="134"/>
      </rPr>
      <t>充电管理：</t>
    </r>
    <r>
      <rPr>
        <b/>
        <sz val="10"/>
        <rFont val="Arial"/>
        <charset val="134"/>
      </rPr>
      <t>BQ24780SRUYR</t>
    </r>
  </si>
  <si>
    <t>AMP13</t>
  </si>
  <si>
    <t>A.P.AMP13002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</si>
  <si>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使用海力士和采购确认</t>
    </r>
  </si>
  <si>
    <r>
      <rPr>
        <sz val="10"/>
        <rFont val="Arial"/>
        <charset val="134"/>
      </rPr>
      <t>ARN39(4L+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</si>
  <si>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A.P.ARN39004</t>
  </si>
  <si>
    <t>6600H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</si>
  <si>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使用海力士暂无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双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，不含加密</t>
    </r>
    <r>
      <rPr>
        <sz val="10"/>
        <rFont val="Arial"/>
        <charset val="134"/>
      </rPr>
      <t>IC</t>
    </r>
  </si>
  <si>
    <t>A.F.D.2300270-EVT</t>
  </si>
  <si>
    <t>A.F.D.2300270 USB DB</t>
  </si>
  <si>
    <t>SN6140;PS8719ETQFN24GTR2-A0</t>
  </si>
  <si>
    <r>
      <rPr>
        <sz val="10"/>
        <rFont val="Arial"/>
        <charset val="134"/>
      </rPr>
      <t>ARB60(10L+HDI1+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</si>
  <si>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t>A.F.M.2302116-PVT</t>
  </si>
  <si>
    <t>7735HS</t>
  </si>
  <si>
    <r>
      <rPr>
        <sz val="10"/>
        <rFont val="微软雅黑"/>
        <charset val="134"/>
      </rPr>
      <t>TPM:SLB 9672VU2; 含有</t>
    </r>
    <r>
      <rPr>
        <sz val="10"/>
        <rFont val="Arial"/>
        <charset val="134"/>
      </rPr>
      <t>USB 4.0/PCIE USBHUB/</t>
    </r>
    <r>
      <rPr>
        <sz val="10"/>
        <rFont val="宋体"/>
        <charset val="134"/>
      </rPr>
      <t>双网口</t>
    </r>
  </si>
  <si>
    <r>
      <rPr>
        <b/>
        <sz val="10"/>
        <rFont val="Arial"/>
        <charset val="134"/>
      </rPr>
      <t>E.I.B.0000294</t>
    </r>
    <r>
      <rPr>
        <b/>
        <sz val="10"/>
        <rFont val="宋体"/>
        <charset val="134"/>
      </rPr>
      <t>待确认价格</t>
    </r>
  </si>
  <si>
    <r>
      <rPr>
        <sz val="10"/>
        <rFont val="Arial"/>
        <charset val="134"/>
      </rPr>
      <t>ACN21S(10L+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</si>
  <si>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t>A.F.M.2300753</t>
  </si>
  <si>
    <r>
      <rPr>
        <sz val="10"/>
        <rFont val="Arial"/>
        <charset val="134"/>
      </rPr>
      <t>Type c</t>
    </r>
    <r>
      <rPr>
        <sz val="10"/>
        <rFont val="微软雅黑"/>
        <charset val="134"/>
      </rPr>
      <t>（单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（</t>
    </r>
    <r>
      <rPr>
        <sz val="10"/>
        <rFont val="Arial"/>
        <charset val="134"/>
      </rPr>
      <t>ANX7447QN</t>
    </r>
    <r>
      <rPr>
        <sz val="10"/>
        <rFont val="微软雅黑"/>
        <charset val="134"/>
      </rPr>
      <t>）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双连接器）</t>
    </r>
  </si>
  <si>
    <t>5500U</t>
  </si>
  <si>
    <r>
      <rPr>
        <sz val="10"/>
        <rFont val="Arial"/>
        <charset val="134"/>
      </rPr>
      <t xml:space="preserve">TPM:SLB 9670VQ; </t>
    </r>
    <r>
      <rPr>
        <sz val="10"/>
        <rFont val="宋体"/>
        <charset val="134"/>
      </rPr>
      <t>电量计：</t>
    </r>
    <r>
      <rPr>
        <sz val="10"/>
        <rFont val="Arial"/>
        <charset val="134"/>
      </rPr>
      <t>CW2015CHBD</t>
    </r>
    <r>
      <rPr>
        <sz val="10"/>
        <rFont val="宋体"/>
        <charset val="134"/>
      </rPr>
      <t>；</t>
    </r>
    <r>
      <rPr>
        <sz val="10"/>
        <rFont val="Arial"/>
        <charset val="134"/>
      </rPr>
      <t xml:space="preserve"> ROM:128Mb; USB3-5G;PS8719ETQFN24GTR2;</t>
    </r>
    <r>
      <rPr>
        <sz val="10"/>
        <rFont val="宋体"/>
        <charset val="134"/>
      </rPr>
      <t>降噪钽电；</t>
    </r>
  </si>
  <si>
    <r>
      <rPr>
        <b/>
        <sz val="10"/>
        <rFont val="宋体"/>
        <charset val="134"/>
      </rPr>
      <t>电源方案：</t>
    </r>
    <r>
      <rPr>
        <b/>
        <sz val="10"/>
        <rFont val="Arial"/>
        <charset val="134"/>
      </rPr>
      <t>UP9505UQGW</t>
    </r>
    <r>
      <rPr>
        <b/>
        <sz val="10"/>
        <rFont val="宋体"/>
        <charset val="134"/>
      </rPr>
      <t>；充电管理：BQ24780SRUYR； EC:IT5570E; DRMOS：无</t>
    </r>
  </si>
  <si>
    <r>
      <rPr>
        <sz val="10"/>
        <rFont val="Arial"/>
        <charset val="134"/>
      </rPr>
      <t>ACN58(10L+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</si>
  <si>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t>A.P.ACN58002</t>
  </si>
  <si>
    <t>5600U</t>
  </si>
  <si>
    <r>
      <rPr>
        <sz val="10"/>
        <rFont val="微软雅黑"/>
        <charset val="134"/>
      </rPr>
      <t>四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IC;</t>
    </r>
  </si>
  <si>
    <t>A.F.M.2200196</t>
  </si>
  <si>
    <t>5560U</t>
  </si>
  <si>
    <r>
      <rPr>
        <sz val="10"/>
        <rFont val="微软雅黑"/>
        <charset val="134"/>
      </rPr>
      <t>三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USBHUB_USB3.2</t>
    </r>
  </si>
  <si>
    <t>A.F.M.2301412</t>
  </si>
  <si>
    <r>
      <rPr>
        <sz val="10"/>
        <rFont val="Arial"/>
        <charset val="134"/>
      </rPr>
      <t>CKD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0.3/pcs;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</si>
  <si>
    <t>A.F.M.2301413</t>
  </si>
  <si>
    <t>5425U</t>
  </si>
  <si>
    <t>A.F.M.2302075-MP</t>
  </si>
  <si>
    <t>A.F.M.2302076</t>
  </si>
  <si>
    <t>SKU11(CKD)</t>
  </si>
  <si>
    <t>A.F.M.2302153-MP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</si>
  <si>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C;CPU</t>
    </r>
    <r>
      <rPr>
        <sz val="10"/>
        <rFont val="微软雅黑"/>
        <charset val="134"/>
      </rPr>
      <t>停产</t>
    </r>
    <r>
      <rPr>
        <sz val="10"/>
        <rFont val="Arial"/>
        <charset val="134"/>
      </rPr>
      <t>.</t>
    </r>
  </si>
  <si>
    <r>
      <rPr>
        <sz val="10"/>
        <rFont val="Arial"/>
        <charset val="134"/>
      </rPr>
      <t>CKD</t>
    </r>
    <r>
      <rPr>
        <sz val="10"/>
        <rFont val="宋体"/>
        <charset val="134"/>
      </rPr>
      <t>打包费</t>
    </r>
    <r>
      <rPr>
        <sz val="10"/>
        <rFont val="Arial"/>
        <charset val="134"/>
      </rPr>
      <t>0.3/pcs;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C;CPU</t>
    </r>
    <r>
      <rPr>
        <sz val="10"/>
        <rFont val="微软雅黑"/>
        <charset val="134"/>
      </rPr>
      <t>停产</t>
    </r>
    <r>
      <rPr>
        <sz val="10"/>
        <rFont val="Arial"/>
        <charset val="134"/>
      </rPr>
      <t>.</t>
    </r>
  </si>
  <si>
    <t>A.F.M.2302396-MP</t>
  </si>
  <si>
    <t>SKU15(CKD)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</si>
  <si>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（三个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接口）</t>
    </r>
  </si>
  <si>
    <r>
      <rPr>
        <sz val="10"/>
        <rFont val="Arial"/>
        <charset val="134"/>
      </rPr>
      <t>CKD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0.3/pcs;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</si>
  <si>
    <t>A.F.M.2302441</t>
  </si>
  <si>
    <t>7430U</t>
  </si>
  <si>
    <t>A.F.D.2300331 RJ45 DB</t>
  </si>
  <si>
    <r>
      <rPr>
        <sz val="10"/>
        <rFont val="Arial"/>
        <charset val="134"/>
      </rPr>
      <t>CKD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0.3/pcs;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8111H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DP</t>
    </r>
    <r>
      <rPr>
        <sz val="10"/>
        <rFont val="微软雅黑"/>
        <charset val="134"/>
      </rPr>
      <t>转换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PCIE USB</t>
    </r>
    <r>
      <rPr>
        <sz val="10"/>
        <rFont val="微软雅黑"/>
        <charset val="134"/>
      </rPr>
      <t>转换</t>
    </r>
    <r>
      <rPr>
        <sz val="10"/>
        <rFont val="Arial"/>
        <charset val="134"/>
      </rPr>
      <t>IC</t>
    </r>
  </si>
  <si>
    <t>A.F.D.2300259  RJ45 DB</t>
  </si>
  <si>
    <t>A.F.D.2300300 battery_DB</t>
  </si>
  <si>
    <t>A.F.M.2501955(SKU17)</t>
  </si>
  <si>
    <t>A.F.M.2501955(SKU17)CKD</t>
  </si>
  <si>
    <t>A.F.D.2300300CKD</t>
  </si>
  <si>
    <t>battery_DB</t>
  </si>
  <si>
    <r>
      <rPr>
        <sz val="10"/>
        <rFont val="Arial"/>
        <charset val="134"/>
      </rPr>
      <t>ARB60C(10L+</t>
    </r>
    <r>
      <rPr>
        <sz val="10"/>
        <color theme="1"/>
        <rFont val="微软雅黑"/>
        <charset val="134"/>
      </rPr>
      <t>通孔</t>
    </r>
    <r>
      <rPr>
        <sz val="10"/>
        <color theme="1"/>
        <rFont val="Arial"/>
        <charset val="134"/>
      </rPr>
      <t>+OSP)</t>
    </r>
  </si>
  <si>
    <t>A.F.M.2402387-EVT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</si>
  <si>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（两个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接口）</t>
    </r>
  </si>
  <si>
    <t>6600H(100-000000562)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</si>
  <si>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</t>
    </r>
  </si>
  <si>
    <t>A.F.M.2402388-EVT</t>
  </si>
  <si>
    <r>
      <rPr>
        <sz val="10"/>
        <rFont val="Arial"/>
        <charset val="134"/>
      </rPr>
      <t>8845HS</t>
    </r>
    <r>
      <rPr>
        <sz val="10"/>
        <rFont val="微软雅黑"/>
        <charset val="134"/>
      </rPr>
      <t>（</t>
    </r>
    <r>
      <rPr>
        <sz val="10"/>
        <rFont val="Arial"/>
        <charset val="134"/>
      </rPr>
      <t>100-000001322</t>
    </r>
    <r>
      <rPr>
        <sz val="10"/>
        <rFont val="微软雅黑"/>
        <charset val="134"/>
      </rPr>
      <t>）</t>
    </r>
  </si>
  <si>
    <r>
      <rPr>
        <sz val="10"/>
        <rFont val="宋体"/>
        <charset val="134"/>
      </rPr>
      <t>PCB为指定联茂中损耗板材加树塞工艺。单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</t>
    </r>
    <r>
      <rPr>
        <sz val="10"/>
        <rFont val="宋体"/>
        <charset val="134"/>
      </rPr>
      <t>含加密IC TPM;</t>
    </r>
  </si>
  <si>
    <r>
      <rPr>
        <sz val="10"/>
        <color theme="1"/>
        <rFont val="Arial"/>
        <charset val="134"/>
      </rPr>
      <t>AKN792</t>
    </r>
    <r>
      <rPr>
        <sz val="10"/>
        <color theme="1"/>
        <rFont val="微软雅黑"/>
        <charset val="134"/>
      </rPr>
      <t>（</t>
    </r>
    <r>
      <rPr>
        <sz val="10"/>
        <color theme="1"/>
        <rFont val="Arial"/>
        <charset val="134"/>
      </rPr>
      <t>8L+</t>
    </r>
    <r>
      <rPr>
        <sz val="10"/>
        <color theme="1"/>
        <rFont val="微软雅黑"/>
        <charset val="134"/>
      </rPr>
      <t>通孔</t>
    </r>
    <r>
      <rPr>
        <sz val="10"/>
        <color theme="1"/>
        <rFont val="Arial"/>
        <charset val="134"/>
      </rPr>
      <t>+OSP)</t>
    </r>
  </si>
  <si>
    <t>A.F.M.2501524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</si>
  <si>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（双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接口）</t>
    </r>
    <r>
      <rPr>
        <sz val="10"/>
        <rFont val="Arial"/>
        <charset val="134"/>
      </rPr>
      <t>+RTS5453H-GR</t>
    </r>
  </si>
  <si>
    <t>100-000001612</t>
  </si>
  <si>
    <t>HDMI2.0:IT66318FN; TPM:SLB 9672; 电量计：CW2217； ROM:256Mb; SMT预估价</t>
  </si>
  <si>
    <r>
      <rPr>
        <sz val="10"/>
        <color theme="1"/>
        <rFont val="宋体"/>
        <charset val="134"/>
      </rPr>
      <t>电源方案：</t>
    </r>
    <r>
      <rPr>
        <sz val="10"/>
        <color theme="1"/>
        <rFont val="Arial"/>
        <charset val="134"/>
      </rPr>
      <t>MP2825GQKT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 xml:space="preserve"> DRMOS:MP86941; EC:IT5570E; </t>
    </r>
    <r>
      <rPr>
        <sz val="10"/>
        <color theme="1"/>
        <rFont val="宋体"/>
        <charset val="134"/>
      </rPr>
      <t xml:space="preserve">充电管理 ：BQ24780SRUYR； </t>
    </r>
  </si>
  <si>
    <r>
      <rPr>
        <sz val="10"/>
        <color theme="1"/>
        <rFont val="Arial"/>
        <charset val="134"/>
      </rPr>
      <t>A.F.M.2600XXX</t>
    </r>
    <r>
      <rPr>
        <sz val="10"/>
        <color theme="1"/>
        <rFont val="微软雅黑"/>
        <charset val="134"/>
      </rPr>
      <t>高配</t>
    </r>
  </si>
  <si>
    <r>
      <rPr>
        <sz val="10"/>
        <rFont val="Arial"/>
        <charset val="134"/>
      </rPr>
      <t>TYPE-C</t>
    </r>
    <r>
      <rPr>
        <sz val="10"/>
        <rFont val="微软雅黑"/>
        <charset val="134"/>
      </rPr>
      <t>在小板上</t>
    </r>
  </si>
  <si>
    <t>16GB*8 BALL315+0</t>
  </si>
  <si>
    <t>HDMI2.1+USB3-10G+OLED+TPM 9670</t>
  </si>
  <si>
    <t>ARNTU146B</t>
  </si>
  <si>
    <t>A.F.M.2503048</t>
  </si>
  <si>
    <t>Type c(两个Type c 接口)RTS5453H</t>
  </si>
  <si>
    <t>6600H(100-000000546)</t>
  </si>
  <si>
    <r>
      <rPr>
        <b/>
        <sz val="10"/>
        <rFont val="Arial"/>
        <charset val="134"/>
      </rPr>
      <t>LPDDR5x-496</t>
    </r>
    <r>
      <rPr>
        <b/>
        <sz val="10"/>
        <rFont val="宋体"/>
        <charset val="134"/>
      </rPr>
      <t>球</t>
    </r>
    <r>
      <rPr>
        <b/>
        <sz val="10"/>
        <rFont val="Arial"/>
        <charset val="134"/>
      </rPr>
      <t>8G*2</t>
    </r>
  </si>
  <si>
    <t>全功能（RTS5453H）</t>
  </si>
  <si>
    <t>A.F.M.2503049</t>
  </si>
  <si>
    <r>
      <rPr>
        <b/>
        <sz val="10"/>
        <rFont val="Arial"/>
        <charset val="134"/>
      </rPr>
      <t>LPDDR5x-496</t>
    </r>
    <r>
      <rPr>
        <b/>
        <sz val="10"/>
        <rFont val="宋体"/>
        <charset val="134"/>
      </rPr>
      <t>球</t>
    </r>
    <r>
      <rPr>
        <b/>
        <sz val="10"/>
        <rFont val="Arial"/>
        <charset val="134"/>
      </rPr>
      <t>12G*2</t>
    </r>
  </si>
  <si>
    <t>A.F.M.2503050</t>
  </si>
  <si>
    <r>
      <rPr>
        <b/>
        <sz val="10"/>
        <rFont val="Arial"/>
        <charset val="134"/>
      </rPr>
      <t>LPDDR5x-496</t>
    </r>
    <r>
      <rPr>
        <b/>
        <sz val="10"/>
        <rFont val="宋体"/>
        <charset val="134"/>
      </rPr>
      <t>球</t>
    </r>
    <r>
      <rPr>
        <b/>
        <sz val="10"/>
        <rFont val="Arial"/>
        <charset val="134"/>
      </rPr>
      <t>16G*2</t>
    </r>
  </si>
  <si>
    <t>A.F.M.2601142</t>
  </si>
  <si>
    <t>PCB有效期1周</t>
  </si>
  <si>
    <t>A.F.M.2600409</t>
  </si>
  <si>
    <t>HDMI2.0:IT66318FN;</t>
  </si>
  <si>
    <r>
      <rPr>
        <b/>
        <sz val="10"/>
        <color theme="1"/>
        <rFont val="Arial"/>
        <charset val="134"/>
      </rPr>
      <t xml:space="preserve">ARNTU146B
</t>
    </r>
    <r>
      <rPr>
        <b/>
        <sz val="10"/>
        <color theme="1"/>
        <rFont val="宋体"/>
        <charset val="134"/>
      </rPr>
      <t>临时预估核价，无</t>
    </r>
    <r>
      <rPr>
        <b/>
        <sz val="10"/>
        <color theme="1"/>
        <rFont val="Arial"/>
        <charset val="134"/>
      </rPr>
      <t>bom</t>
    </r>
  </si>
  <si>
    <t>(参考ARNTU146 OTHERS</t>
  </si>
  <si>
    <t>(28w)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</si>
  <si>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（两个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接口）</t>
    </r>
  </si>
  <si>
    <r>
      <rPr>
        <sz val="10"/>
        <rFont val="Arial"/>
        <charset val="134"/>
      </rPr>
      <t>LPDDR5X-315</t>
    </r>
    <r>
      <rPr>
        <sz val="10"/>
        <rFont val="宋体"/>
        <charset val="134"/>
      </rPr>
      <t>球</t>
    </r>
    <r>
      <rPr>
        <sz val="10"/>
        <rFont val="Arial"/>
        <charset val="134"/>
      </rPr>
      <t>4G</t>
    </r>
    <r>
      <rPr>
        <sz val="10"/>
        <rFont val="宋体"/>
        <charset val="134"/>
      </rPr>
      <t>/</t>
    </r>
    <r>
      <rPr>
        <sz val="10"/>
        <rFont val="Arial"/>
        <charset val="134"/>
      </rPr>
      <t>4800Mbps</t>
    </r>
  </si>
  <si>
    <t>PCB为指定联茂中损耗板材加树塞工艺。DDR用spectek；全功能（RTS5453H)，PCB沿用ARNTU146B的pcb价格，
Others部分用ARNTU146 sku4评估，smt待正式量产后确认最新核价</t>
  </si>
  <si>
    <r>
      <rPr>
        <b/>
        <sz val="10"/>
        <color theme="1"/>
        <rFont val="Arial"/>
        <charset val="134"/>
      </rPr>
      <t>AXN77B(12L+</t>
    </r>
    <r>
      <rPr>
        <b/>
        <sz val="10"/>
        <color theme="1"/>
        <rFont val="宋体"/>
        <charset val="134"/>
      </rPr>
      <t>通孔</t>
    </r>
    <r>
      <rPr>
        <b/>
        <sz val="10"/>
        <color theme="1"/>
        <rFont val="Arial"/>
        <charset val="134"/>
      </rPr>
      <t>+OSP)</t>
    </r>
  </si>
  <si>
    <t>A.F.M.2502355</t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</si>
  <si>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)RTS5453H</t>
    </r>
  </si>
  <si>
    <t>16G*8+0</t>
  </si>
  <si>
    <r>
      <rPr>
        <sz val="10"/>
        <rFont val="Arial"/>
        <charset val="134"/>
      </rPr>
      <t>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16G*8(</t>
    </r>
    <r>
      <rPr>
        <sz val="10"/>
        <rFont val="宋体"/>
        <charset val="134"/>
      </rPr>
      <t>镁光）</t>
    </r>
  </si>
  <si>
    <t xml:space="preserve">全功能（RTS5453H）;含TPM IC </t>
  </si>
  <si>
    <t>A.F.M.2503293</t>
  </si>
  <si>
    <t>50套</t>
  </si>
  <si>
    <t>A.F.M.2502356</t>
  </si>
  <si>
    <r>
      <rPr>
        <sz val="10"/>
        <rFont val="Arial"/>
        <charset val="134"/>
      </rPr>
      <t>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16G*8</t>
    </r>
    <r>
      <rPr>
        <sz val="10"/>
        <rFont val="宋体"/>
        <charset val="134"/>
      </rPr>
      <t>（三星）</t>
    </r>
  </si>
  <si>
    <t>A.F.M.2502357</t>
  </si>
  <si>
    <t>8G*8+0</t>
  </si>
  <si>
    <r>
      <rPr>
        <sz val="10"/>
        <rFont val="Arial"/>
        <charset val="134"/>
      </rPr>
      <t>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8G*8</t>
    </r>
  </si>
  <si>
    <r>
      <rPr>
        <sz val="10"/>
        <rFont val="Arial"/>
        <charset val="134"/>
      </rPr>
      <t>ARN793(10L+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</si>
  <si>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t>A.F.M.2500851-EVT</t>
  </si>
  <si>
    <r>
      <rPr>
        <sz val="10"/>
        <rFont val="宋体"/>
        <charset val="134"/>
      </rPr>
      <t>全功能（RTS5453H）</t>
    </r>
    <r>
      <rPr>
        <sz val="10"/>
        <rFont val="Arial"/>
        <charset val="134"/>
      </rPr>
      <t>;</t>
    </r>
    <r>
      <rPr>
        <sz val="10"/>
        <rFont val="宋体"/>
        <charset val="134"/>
      </rPr>
      <t>含TPM IC ;含CW2217</t>
    </r>
  </si>
  <si>
    <t>A.F.M.2500852-EVT</t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</si>
  <si>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</si>
  <si>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>2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用佰维；</t>
    </r>
  </si>
  <si>
    <t>A.F.M.2502345</t>
  </si>
  <si>
    <t>A.F.M.2500853-EVT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</si>
  <si>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>2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用佰维持续涨价，需单独确认；</t>
    </r>
  </si>
  <si>
    <t>A.F.M.2501263</t>
  </si>
  <si>
    <r>
      <rPr>
        <sz val="10"/>
        <rFont val="Arial"/>
        <charset val="134"/>
      </rPr>
      <t>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4G/6400Mbps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</si>
  <si>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>2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用Rayson；</t>
    </r>
  </si>
  <si>
    <t>A.F.M.2501264</t>
  </si>
  <si>
    <t>A.F.M.2501265-EVT</t>
  </si>
  <si>
    <r>
      <rPr>
        <sz val="10"/>
        <rFont val="Arial"/>
        <charset val="134"/>
      </rPr>
      <t>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8G/6400Mbps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</si>
  <si>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>2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用野马士；</t>
    </r>
  </si>
  <si>
    <t>A.F.M.2501266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</si>
  <si>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>2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用佰维；用于200K数量价格，数量不达标按原价</t>
    </r>
  </si>
  <si>
    <t>A.F.M.2501587</t>
  </si>
  <si>
    <t>7735HS/100-000000985</t>
  </si>
  <si>
    <t>A.F.M.2500780-EVT</t>
  </si>
  <si>
    <t>单Type c（两个Type c接口）</t>
  </si>
  <si>
    <r>
      <rPr>
        <sz val="10"/>
        <rFont val="Arial"/>
        <charset val="134"/>
      </rPr>
      <t>LPDDR5-315</t>
    </r>
    <r>
      <rPr>
        <sz val="10"/>
        <rFont val="宋体"/>
        <charset val="134"/>
      </rPr>
      <t>球</t>
    </r>
    <r>
      <rPr>
        <sz val="10"/>
        <rFont val="Arial"/>
        <charset val="134"/>
      </rPr>
      <t>4G</t>
    </r>
  </si>
  <si>
    <r>
      <rPr>
        <sz val="10"/>
        <color rgb="FFFF0000"/>
        <rFont val="宋体"/>
        <charset val="134"/>
      </rPr>
      <t>PCB为指定联茂中损耗板材加树塞工艺。</t>
    </r>
    <r>
      <rPr>
        <sz val="10"/>
        <rFont val="宋体"/>
        <charset val="134"/>
      </rPr>
      <t>单Type C IC及两个Type C接口;DDR用海力士暂无;；SMT预估</t>
    </r>
  </si>
  <si>
    <t>A.F.M.2500781-EVT</t>
  </si>
  <si>
    <r>
      <rPr>
        <sz val="10"/>
        <color rgb="FFFF0000"/>
        <rFont val="宋体"/>
        <charset val="134"/>
      </rPr>
      <t>PCB为指定联茂中损耗板材加树塞工艺。</t>
    </r>
    <r>
      <rPr>
        <sz val="10"/>
        <rFont val="宋体"/>
        <charset val="134"/>
      </rPr>
      <t>单Type C IC及两个Type C接口;DDR用spectek（具体以实际下单询价位准）;SMT预估</t>
    </r>
  </si>
  <si>
    <t>A.F.M.2500782-EVT</t>
  </si>
  <si>
    <r>
      <rPr>
        <sz val="10"/>
        <rFont val="Arial"/>
        <charset val="134"/>
      </rPr>
      <t>LPDDR5-315</t>
    </r>
    <r>
      <rPr>
        <sz val="10"/>
        <rFont val="宋体"/>
        <charset val="134"/>
      </rPr>
      <t>球</t>
    </r>
    <r>
      <rPr>
        <sz val="10"/>
        <rFont val="Arial"/>
        <charset val="134"/>
      </rPr>
      <t>8G</t>
    </r>
  </si>
  <si>
    <r>
      <rPr>
        <sz val="10"/>
        <color rgb="FFFF0000"/>
        <rFont val="宋体"/>
        <charset val="134"/>
      </rPr>
      <t>PCB为指定联茂中损耗板材加树塞工艺。</t>
    </r>
    <r>
      <rPr>
        <sz val="10"/>
        <rFont val="宋体"/>
        <charset val="134"/>
      </rPr>
      <t>单Type C IC及两个Type C接口;DDR用佰维持续涨价需单独确认;含新唐TPM2.0；SMT预估</t>
    </r>
  </si>
  <si>
    <t>A.F.M.2501544-PVT</t>
  </si>
  <si>
    <t>SKU4(28w)</t>
  </si>
  <si>
    <t>PCB为指定联茂中损耗板材加树塞工艺。DDR用spectek；全功能（RTS5453H)</t>
  </si>
  <si>
    <t>A.F.M.2501545-PVT</t>
  </si>
  <si>
    <t>SKU5(45w)</t>
  </si>
  <si>
    <r>
      <rPr>
        <sz val="10"/>
        <rFont val="Arial"/>
        <charset val="134"/>
      </rPr>
      <t>LPDDR5X-315</t>
    </r>
    <r>
      <rPr>
        <sz val="10"/>
        <rFont val="宋体"/>
        <charset val="134"/>
      </rPr>
      <t>球</t>
    </r>
    <r>
      <rPr>
        <sz val="10"/>
        <rFont val="Arial"/>
        <charset val="134"/>
      </rPr>
      <t>4G/6400Mbps</t>
    </r>
  </si>
  <si>
    <t>A.F.M.2501546-PVT</t>
  </si>
  <si>
    <r>
      <rPr>
        <sz val="10"/>
        <rFont val="Arial"/>
        <charset val="134"/>
      </rPr>
      <t>LPDDR5-315</t>
    </r>
    <r>
      <rPr>
        <sz val="10"/>
        <rFont val="宋体"/>
        <charset val="134"/>
      </rPr>
      <t>球</t>
    </r>
    <r>
      <rPr>
        <sz val="10"/>
        <rFont val="Arial"/>
        <charset val="134"/>
      </rPr>
      <t>8G/6400Mbps</t>
    </r>
  </si>
  <si>
    <t>PCB为指定联茂中损耗板材加树塞工艺。DDR用spectek野马士；</t>
  </si>
  <si>
    <t>A.F.M.2502297-MP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</si>
  <si>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（一个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接口）RTS5453H</t>
    </r>
  </si>
  <si>
    <t>7735HS(100-000000985)</t>
  </si>
  <si>
    <t>全功能（RTS5453H）；PCB为指定联茂中损耗板材加树塞工艺。</t>
  </si>
  <si>
    <t>A.F.D.2500214-EVT</t>
  </si>
  <si>
    <t>A.F.D.2500214 USB DB</t>
  </si>
  <si>
    <t>A.F.D.2500129-PVT</t>
  </si>
  <si>
    <t>A.F.D.2500129 RJ45 DB</t>
  </si>
  <si>
    <t>ALC269Q;RTS5170;RTL8111H;LYDRJ</t>
  </si>
  <si>
    <t>A.F.D.2500128-PVT</t>
  </si>
  <si>
    <t>A.F.D.2500128  USB DB</t>
  </si>
  <si>
    <r>
      <rPr>
        <sz val="10"/>
        <color theme="1"/>
        <rFont val="Arial"/>
        <charset val="134"/>
      </rPr>
      <t>ARN21B(10L+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+OSP)</t>
    </r>
  </si>
  <si>
    <t>A.F.M.2501220-EVT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</si>
  <si>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（一个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接口）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</si>
  <si>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（价格仅参考，具体以实际下单询价位准）；单Type C IC及</t>
    </r>
    <r>
      <rPr>
        <sz val="10"/>
        <rFont val="Arial"/>
        <charset val="134"/>
      </rPr>
      <t>1</t>
    </r>
    <r>
      <rPr>
        <sz val="10"/>
        <rFont val="宋体"/>
        <charset val="134"/>
      </rPr>
      <t>个Type C接口;</t>
    </r>
  </si>
  <si>
    <t>A.F.M.2501221-EVT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</si>
  <si>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用野马士（价格仅参考，具体以实际下单询价位准）；单Type C IC及</t>
    </r>
    <r>
      <rPr>
        <sz val="10"/>
        <rFont val="Arial"/>
        <charset val="134"/>
      </rPr>
      <t>1</t>
    </r>
    <r>
      <rPr>
        <sz val="10"/>
        <rFont val="宋体"/>
        <charset val="134"/>
      </rPr>
      <t>个Type C接口;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</si>
  <si>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c:RTS5453H-GR</t>
    </r>
    <r>
      <rPr>
        <sz val="10"/>
        <rFont val="宋体"/>
        <charset val="134"/>
      </rPr>
      <t>（一个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接口）</t>
    </r>
  </si>
  <si>
    <r>
      <rPr>
        <sz val="10"/>
        <color theme="1"/>
        <rFont val="Arial"/>
        <charset val="134"/>
      </rPr>
      <t>A.F.M.2501222-</t>
    </r>
    <r>
      <rPr>
        <sz val="10"/>
        <color theme="1"/>
        <rFont val="宋体"/>
        <charset val="134"/>
      </rPr>
      <t>全配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</si>
  <si>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用佰维（价格仅参考，具体以实际下单询价位准）</t>
    </r>
    <r>
      <rPr>
        <sz val="10"/>
        <rFont val="Arial"/>
        <charset val="134"/>
      </rPr>
      <t>;</t>
    </r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</t>
    </r>
    <r>
      <rPr>
        <sz val="10"/>
        <rFont val="宋体"/>
        <charset val="134"/>
      </rPr>
      <t>含加密</t>
    </r>
    <r>
      <rPr>
        <sz val="10"/>
        <rFont val="Arial"/>
        <charset val="134"/>
      </rPr>
      <t>IC TPM(</t>
    </r>
    <r>
      <rPr>
        <sz val="10"/>
        <rFont val="宋体"/>
        <charset val="134"/>
      </rPr>
      <t>新唐</t>
    </r>
    <r>
      <rPr>
        <sz val="10"/>
        <rFont val="Arial"/>
        <charset val="134"/>
      </rPr>
      <t>)</t>
    </r>
  </si>
  <si>
    <t>A.F.M.2501619-PVT</t>
  </si>
  <si>
    <t>LPDDR5x-315球8G</t>
  </si>
  <si>
    <r>
      <rPr>
        <sz val="10"/>
        <rFont val="Arial"/>
        <charset val="134"/>
      </rPr>
      <t>PCB</t>
    </r>
    <r>
      <rPr>
        <sz val="10"/>
        <rFont val="宋体"/>
        <charset val="134"/>
      </rPr>
      <t>联茂板材缺货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</si>
  <si>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；单Type C IC及两个Type C接口;</t>
    </r>
  </si>
  <si>
    <t>A.F.M.2501620-PVT</t>
  </si>
  <si>
    <t>DDR使用野马士；单Type C IC及两个Type C接口;</t>
  </si>
  <si>
    <t>A.F.M.2501621</t>
  </si>
  <si>
    <t>A.F.M.2501622-PVT</t>
  </si>
  <si>
    <t>DDR使用佰维；单Type C IC及两个Type C接口;</t>
  </si>
  <si>
    <r>
      <rPr>
        <sz val="10"/>
        <color theme="1"/>
        <rFont val="Arial"/>
        <charset val="134"/>
      </rPr>
      <t>AXN772(12L+HDI1</t>
    </r>
    <r>
      <rPr>
        <sz val="10"/>
        <color theme="1"/>
        <rFont val="宋体"/>
        <charset val="134"/>
      </rPr>
      <t>阶</t>
    </r>
    <r>
      <rPr>
        <sz val="10"/>
        <color theme="1"/>
        <rFont val="Arial"/>
        <charset val="134"/>
      </rPr>
      <t>+OSP)</t>
    </r>
  </si>
  <si>
    <t>待报</t>
  </si>
  <si>
    <r>
      <rPr>
        <sz val="10"/>
        <rFont val="Arial"/>
        <charset val="134"/>
      </rPr>
      <t>LPDDR5x-315</t>
    </r>
    <r>
      <rPr>
        <sz val="10"/>
        <rFont val="宋体"/>
        <charset val="134"/>
      </rPr>
      <t>球</t>
    </r>
    <r>
      <rPr>
        <sz val="10"/>
        <rFont val="Arial"/>
        <charset val="134"/>
      </rPr>
      <t>16G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</si>
  <si>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用镁光；</t>
    </r>
  </si>
  <si>
    <t>A.F.M.2501236-EVT</t>
  </si>
  <si>
    <r>
      <rPr>
        <sz val="10"/>
        <rFont val="Arial"/>
        <charset val="134"/>
      </rPr>
      <t>LPDDR5x-315</t>
    </r>
    <r>
      <rPr>
        <sz val="10"/>
        <rFont val="宋体"/>
        <charset val="134"/>
      </rPr>
      <t>球</t>
    </r>
    <r>
      <rPr>
        <sz val="10"/>
        <rFont val="Arial"/>
        <charset val="134"/>
      </rPr>
      <t>8G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</si>
  <si>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用镁光；含加密IC TPM；</t>
    </r>
  </si>
  <si>
    <t>A.F.M.2501237-EVT</t>
  </si>
  <si>
    <t>4G*8+0</t>
  </si>
  <si>
    <r>
      <rPr>
        <sz val="10"/>
        <rFont val="Arial"/>
        <charset val="134"/>
      </rPr>
      <t>LPDDR5x-315</t>
    </r>
    <r>
      <rPr>
        <sz val="10"/>
        <rFont val="宋体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</si>
  <si>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用镁光；含加密</t>
    </r>
    <r>
      <rPr>
        <sz val="10"/>
        <rFont val="Arial"/>
        <charset val="134"/>
      </rPr>
      <t>IC TPM;</t>
    </r>
  </si>
  <si>
    <t>A.F.D.2500195-EVT</t>
  </si>
  <si>
    <t>A.F.D.2500195 RJ45 DB</t>
  </si>
  <si>
    <t>ALC245;RTL8111H;ALC1318</t>
  </si>
  <si>
    <t>A.F.D.2500194-EVT</t>
  </si>
  <si>
    <t>A.F.D.2500194 RJ45 DB</t>
  </si>
  <si>
    <t>ALC245;RTL8125BG;ALC1318</t>
  </si>
  <si>
    <t>160*152.1*1.2mm</t>
  </si>
  <si>
    <r>
      <rPr>
        <sz val="10"/>
        <rFont val="Arial"/>
        <charset val="134"/>
      </rPr>
      <t>TYPE-C</t>
    </r>
    <r>
      <rPr>
        <sz val="10"/>
        <rFont val="宋体"/>
        <charset val="134"/>
      </rPr>
      <t>在小板上</t>
    </r>
  </si>
  <si>
    <t>A.F.M.2600347</t>
  </si>
  <si>
    <r>
      <rPr>
        <sz val="10"/>
        <rFont val="宋体"/>
        <charset val="134"/>
      </rPr>
      <t>无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（两个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接口）</t>
    </r>
  </si>
  <si>
    <t>16GB*8+0</t>
  </si>
  <si>
    <t>HDMI2.1  IT66319FN; TPM 9672；MPS方案</t>
  </si>
  <si>
    <t>HDMI2.1+USB3-10G+OLED+EE降噪6U+TPM1.35U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</si>
  <si>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C;DDR</t>
    </r>
    <r>
      <rPr>
        <sz val="10"/>
        <rFont val="微软雅黑"/>
        <charset val="134"/>
      </rPr>
      <t>使用海力士暂无</t>
    </r>
  </si>
  <si>
    <r>
      <rPr>
        <sz val="10"/>
        <rFont val="Arial"/>
        <charset val="134"/>
      </rPr>
      <t>AMN21(8L+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</si>
  <si>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c,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 xml:space="preserve">DDR </t>
    </r>
    <r>
      <rPr>
        <sz val="10"/>
        <rFont val="微软雅黑"/>
        <charset val="134"/>
      </rPr>
      <t>使用海力士</t>
    </r>
    <r>
      <rPr>
        <sz val="10"/>
        <rFont val="Arial"/>
        <charset val="134"/>
      </rPr>
      <t xml:space="preserve"> Flash</t>
    </r>
    <r>
      <rPr>
        <sz val="10"/>
        <rFont val="微软雅黑"/>
        <charset val="134"/>
      </rPr>
      <t>和采购确认</t>
    </r>
    <r>
      <rPr>
        <sz val="10"/>
        <rFont val="Arial"/>
        <charset val="134"/>
      </rPr>
      <t xml:space="preserve">:16M </t>
    </r>
  </si>
  <si>
    <t>SKU5 15W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</si>
  <si>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 xml:space="preserve">Type c;DDR </t>
    </r>
    <r>
      <rPr>
        <sz val="10"/>
        <rFont val="微软雅黑"/>
        <charset val="134"/>
      </rPr>
      <t>使用海力士和采购确认</t>
    </r>
    <r>
      <rPr>
        <sz val="10"/>
        <rFont val="Arial"/>
        <charset val="134"/>
      </rPr>
      <t xml:space="preserve">  Flash:16M </t>
    </r>
  </si>
  <si>
    <t>A.P.AMN21006-PVT</t>
  </si>
  <si>
    <t>SKU6 15W</t>
  </si>
  <si>
    <t>7220U</t>
  </si>
  <si>
    <r>
      <rPr>
        <sz val="10"/>
        <rFont val="Arial"/>
        <charset val="134"/>
      </rPr>
      <t xml:space="preserve">Type c;DDR </t>
    </r>
    <r>
      <rPr>
        <sz val="10"/>
        <rFont val="微软雅黑"/>
        <charset val="134"/>
      </rPr>
      <t>使用海力士</t>
    </r>
    <r>
      <rPr>
        <sz val="10"/>
        <rFont val="宋体"/>
        <charset val="134"/>
      </rPr>
      <t>暂无</t>
    </r>
    <r>
      <rPr>
        <sz val="10"/>
        <rFont val="Arial"/>
        <charset val="134"/>
      </rPr>
      <t xml:space="preserve"> </t>
    </r>
  </si>
  <si>
    <t>SKU7 6W</t>
  </si>
  <si>
    <r>
      <rPr>
        <sz val="10"/>
        <rFont val="Arial"/>
        <charset val="134"/>
      </rPr>
      <t xml:space="preserve">Type c;DDR </t>
    </r>
    <r>
      <rPr>
        <sz val="10"/>
        <rFont val="微软雅黑"/>
        <charset val="134"/>
      </rPr>
      <t>使用海力士暂无</t>
    </r>
    <r>
      <rPr>
        <sz val="10"/>
        <rFont val="Arial"/>
        <charset val="134"/>
      </rPr>
      <t xml:space="preserve">  </t>
    </r>
  </si>
  <si>
    <t>A.F.M.2300439-PVT2</t>
  </si>
  <si>
    <t>SKU8 15W</t>
  </si>
  <si>
    <r>
      <rPr>
        <sz val="10"/>
        <rFont val="Arial"/>
        <charset val="134"/>
      </rPr>
      <t>Type c(2</t>
    </r>
    <r>
      <rPr>
        <sz val="10"/>
        <rFont val="宋体"/>
        <charset val="134"/>
      </rPr>
      <t>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</si>
  <si>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 xml:space="preserve">Type c;DDR </t>
    </r>
    <r>
      <rPr>
        <sz val="10"/>
        <rFont val="微软雅黑"/>
        <charset val="134"/>
      </rPr>
      <t>使用海力士和采购确认</t>
    </r>
    <r>
      <rPr>
        <sz val="10"/>
        <rFont val="Arial"/>
        <charset val="134"/>
      </rPr>
      <t xml:space="preserve">  </t>
    </r>
  </si>
  <si>
    <t>A.F.M.2300440-PVT2</t>
  </si>
  <si>
    <t>SKU9 15W</t>
  </si>
  <si>
    <r>
      <rPr>
        <sz val="10"/>
        <rFont val="Arial"/>
        <charset val="134"/>
      </rPr>
      <t>Type c;DDR</t>
    </r>
    <r>
      <rPr>
        <sz val="10"/>
        <rFont val="宋体"/>
        <charset val="134"/>
      </rPr>
      <t>使用佰维；</t>
    </r>
    <r>
      <rPr>
        <sz val="10"/>
        <rFont val="Arial"/>
        <charset val="134"/>
      </rPr>
      <t xml:space="preserve"> </t>
    </r>
  </si>
  <si>
    <t>A.F.M.2300441-PVT2</t>
  </si>
  <si>
    <t>SKU10 15W</t>
  </si>
  <si>
    <r>
      <rPr>
        <sz val="10"/>
        <rFont val="Arial"/>
        <charset val="134"/>
      </rPr>
      <t>Type c;DDR</t>
    </r>
    <r>
      <rPr>
        <sz val="10"/>
        <rFont val="宋体"/>
        <charset val="134"/>
      </rPr>
      <t>使用江波龙（此颗料已停产，需要和采购确认替换</t>
    </r>
    <r>
      <rPr>
        <sz val="10"/>
        <rFont val="Arial"/>
        <charset val="134"/>
      </rPr>
      <t xml:space="preserve">FL5P4006G-51 </t>
    </r>
    <r>
      <rPr>
        <sz val="10"/>
        <rFont val="宋体"/>
        <charset val="134"/>
      </rPr>
      <t>）；</t>
    </r>
  </si>
  <si>
    <t>A.F.M.2300442-PVT2</t>
  </si>
  <si>
    <t>SKU11 6W</t>
  </si>
  <si>
    <t>7320e</t>
  </si>
  <si>
    <r>
      <rPr>
        <sz val="10"/>
        <rFont val="Arial"/>
        <charset val="134"/>
      </rPr>
      <t>Type c;DDR</t>
    </r>
    <r>
      <rPr>
        <sz val="10"/>
        <rFont val="宋体"/>
        <charset val="134"/>
      </rPr>
      <t>使用江波龙（此颗料已停产，需要和采购确认替换</t>
    </r>
    <r>
      <rPr>
        <sz val="10"/>
        <rFont val="Arial"/>
        <charset val="134"/>
      </rPr>
      <t>FL5P4004G-N5</t>
    </r>
    <r>
      <rPr>
        <sz val="10"/>
        <rFont val="宋体"/>
        <charset val="134"/>
      </rPr>
      <t>）；</t>
    </r>
    <r>
      <rPr>
        <sz val="10"/>
        <rFont val="Arial"/>
        <charset val="134"/>
      </rPr>
      <t xml:space="preserve"> </t>
    </r>
  </si>
  <si>
    <r>
      <rPr>
        <sz val="10"/>
        <rFont val="Arial"/>
        <charset val="134"/>
      </rPr>
      <t>SKU9(</t>
    </r>
    <r>
      <rPr>
        <sz val="10"/>
        <rFont val="微软雅黑"/>
        <charset val="134"/>
      </rPr>
      <t>临时</t>
    </r>
    <r>
      <rPr>
        <sz val="10"/>
        <rFont val="Arial"/>
        <charset val="134"/>
      </rPr>
      <t>CKD)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</si>
  <si>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;DDR</t>
    </r>
    <r>
      <rPr>
        <sz val="10"/>
        <rFont val="微软雅黑"/>
        <charset val="134"/>
      </rPr>
      <t>使用佰维；</t>
    </r>
    <r>
      <rPr>
        <sz val="10"/>
        <rFont val="Arial"/>
        <charset val="134"/>
      </rPr>
      <t>CKD</t>
    </r>
    <r>
      <rPr>
        <sz val="10"/>
        <rFont val="微软雅黑"/>
        <charset val="134"/>
      </rPr>
      <t>打包</t>
    </r>
    <r>
      <rPr>
        <sz val="10"/>
        <rFont val="Arial"/>
        <charset val="134"/>
      </rPr>
      <t>0.3$/</t>
    </r>
    <r>
      <rPr>
        <sz val="10"/>
        <rFont val="微软雅黑"/>
        <charset val="134"/>
      </rPr>
      <t>片</t>
    </r>
  </si>
  <si>
    <t>A.F.M.2301441-PVT</t>
  </si>
  <si>
    <t>7120U</t>
  </si>
  <si>
    <r>
      <rPr>
        <sz val="10"/>
        <rFont val="宋体"/>
        <charset val="134"/>
      </rPr>
      <t>CPU目前无价格；单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DDR</t>
    </r>
    <r>
      <rPr>
        <sz val="10"/>
        <rFont val="宋体"/>
        <charset val="134"/>
      </rPr>
      <t>使用江波龙缺货</t>
    </r>
  </si>
  <si>
    <t>A.F.M.2402362-MP</t>
  </si>
  <si>
    <t>DDR使用江波龙缺货;单Type C IC及一个Type C接口；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</si>
  <si>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;DDR</t>
    </r>
    <r>
      <rPr>
        <sz val="10"/>
        <rFont val="微软雅黑"/>
        <charset val="134"/>
      </rPr>
      <t>使用海力士和采购确认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</si>
  <si>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</si>
  <si>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使用海力士和采购确认，双</t>
    </r>
    <r>
      <rPr>
        <sz val="10"/>
        <rFont val="Arial"/>
        <charset val="134"/>
      </rPr>
      <t>Type c.</t>
    </r>
  </si>
  <si>
    <t>6800H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</si>
  <si>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使用海力士暂无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双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，加密</t>
    </r>
    <r>
      <rPr>
        <sz val="10"/>
        <rFont val="Arial"/>
        <charset val="134"/>
      </rPr>
      <t>IC TPM $1.53</t>
    </r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</si>
  <si>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 xml:space="preserve">TYPE C,DDR </t>
    </r>
    <r>
      <rPr>
        <sz val="10"/>
        <rFont val="微软雅黑"/>
        <charset val="134"/>
      </rPr>
      <t>使用海力士和采购确认</t>
    </r>
  </si>
  <si>
    <r>
      <rPr>
        <sz val="10"/>
        <rFont val="微软雅黑"/>
        <charset val="134"/>
      </rPr>
      <t>四个</t>
    </r>
    <r>
      <rPr>
        <sz val="10"/>
        <rFont val="Arial"/>
        <charset val="134"/>
      </rPr>
      <t xml:space="preserve">TYPE C,DDR </t>
    </r>
    <r>
      <rPr>
        <sz val="10"/>
        <rFont val="微软雅黑"/>
        <charset val="134"/>
      </rPr>
      <t>使用镁光目前无价格</t>
    </r>
  </si>
  <si>
    <r>
      <rPr>
        <sz val="10"/>
        <rFont val="Arial"/>
        <charset val="134"/>
      </rPr>
      <t>LPDDR5x-315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</si>
  <si>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t>ARN37F</t>
  </si>
  <si>
    <t>A.P.10001142</t>
  </si>
  <si>
    <t>6600U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</si>
  <si>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 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USB 4.0/PCIE USBHUB/</t>
    </r>
    <r>
      <rPr>
        <sz val="10"/>
        <rFont val="微软雅黑"/>
        <charset val="134"/>
      </rPr>
      <t>千兆网口</t>
    </r>
    <r>
      <rPr>
        <sz val="10"/>
        <rFont val="Arial"/>
        <charset val="134"/>
      </rPr>
      <t xml:space="preserve">IC/2.5G </t>
    </r>
    <r>
      <rPr>
        <sz val="10"/>
        <rFont val="微软雅黑"/>
        <charset val="134"/>
      </rPr>
      <t>网口</t>
    </r>
    <r>
      <rPr>
        <sz val="10"/>
        <rFont val="Arial"/>
        <charset val="134"/>
      </rPr>
      <t xml:space="preserve">IC </t>
    </r>
  </si>
  <si>
    <t>7840HS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</si>
  <si>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 ;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TPM IC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USB 4.0/PCIE USBHUB/</t>
    </r>
    <r>
      <rPr>
        <sz val="10"/>
        <rFont val="微软雅黑"/>
        <charset val="134"/>
      </rPr>
      <t>千兆网口</t>
    </r>
    <r>
      <rPr>
        <sz val="10"/>
        <rFont val="Arial"/>
        <charset val="134"/>
      </rPr>
      <t xml:space="preserve">IC/2.5G </t>
    </r>
    <r>
      <rPr>
        <sz val="10"/>
        <rFont val="微软雅黑"/>
        <charset val="134"/>
      </rPr>
      <t>网口</t>
    </r>
    <r>
      <rPr>
        <sz val="10"/>
        <rFont val="Arial"/>
        <charset val="134"/>
      </rPr>
      <t xml:space="preserve">IC </t>
    </r>
  </si>
  <si>
    <t>A.F.M.2302114-PVT</t>
  </si>
  <si>
    <t>A.F.M.2302115-PVT</t>
  </si>
  <si>
    <t>A.F.M.2400406-PVT</t>
  </si>
  <si>
    <t>A.F.M.2400407-PVT</t>
  </si>
  <si>
    <t>6600H(FP7r2)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</si>
  <si>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；含加密</t>
    </r>
    <r>
      <rPr>
        <sz val="10"/>
        <rFont val="Arial"/>
        <charset val="134"/>
      </rPr>
      <t>IC TPM.</t>
    </r>
  </si>
  <si>
    <t>A.F.M.2301114-MP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</si>
  <si>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;</t>
    </r>
  </si>
  <si>
    <t>A.F.M.2301428-MP</t>
  </si>
  <si>
    <t>5700U</t>
  </si>
  <si>
    <t>A.F.M.2401742</t>
  </si>
  <si>
    <t>A.F.M.2400322-MP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</si>
  <si>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;</t>
    </r>
    <r>
      <rPr>
        <sz val="10"/>
        <rFont val="微软雅黑"/>
        <charset val="134"/>
      </rPr>
      <t>（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里包材未核算成本）</t>
    </r>
  </si>
  <si>
    <t>A.F.M.2400785-MP</t>
  </si>
  <si>
    <t>A.F.M.2400786-MP</t>
  </si>
  <si>
    <t>A.F.M.2401214-MP</t>
  </si>
  <si>
    <r>
      <rPr>
        <sz val="10"/>
        <rFont val="微软雅黑"/>
        <charset val="134"/>
      </rPr>
      <t>单Type C IC及1个Type C接口</t>
    </r>
    <r>
      <rPr>
        <sz val="10"/>
        <rFont val="Arial"/>
        <charset val="134"/>
      </rPr>
      <t xml:space="preserve"> ;SiC634CD-T1-GE3*4pcs;</t>
    </r>
    <r>
      <rPr>
        <sz val="10"/>
        <rFont val="微软雅黑"/>
        <charset val="134"/>
      </rPr>
      <t>（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里包材未核算成本）</t>
    </r>
  </si>
  <si>
    <t>A.F.M.2401275-MP</t>
  </si>
  <si>
    <t>单Type C IC及1个Type C接口 ;SiC634CD-T1-GE3*4pcs;（BOM里包材未核算成本）</t>
  </si>
  <si>
    <t>A.F.M.2401276</t>
  </si>
  <si>
    <t>Type c(一个Type c 接口)</t>
  </si>
  <si>
    <t>5825U</t>
  </si>
  <si>
    <t>单Type C IC及1个Type C接口 ;SiC634CD-T1-GE3*4pcs;（BOM里包材未核算成本）,CPU目前无货暂无价格提供。</t>
  </si>
  <si>
    <t>A.F.M.2401469-MP</t>
  </si>
  <si>
    <r>
      <rPr>
        <sz val="10"/>
        <rFont val="Arial"/>
        <charset val="134"/>
      </rPr>
      <t>5700U(</t>
    </r>
    <r>
      <rPr>
        <sz val="10"/>
        <rFont val="宋体"/>
        <charset val="134"/>
      </rPr>
      <t>客供</t>
    </r>
    <r>
      <rPr>
        <sz val="10"/>
        <rFont val="Arial"/>
        <charset val="134"/>
      </rPr>
      <t>)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</si>
  <si>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</si>
  <si>
    <t>A.F.M.2401470-MP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</si>
  <si>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接口,CPU目前无货暂无价格提供。</t>
    </r>
  </si>
  <si>
    <t>A.F.M.2401598-MP</t>
  </si>
  <si>
    <t>SKU51</t>
  </si>
  <si>
    <t>A.F.M.2401599-MP</t>
  </si>
  <si>
    <t>A.F.M.2401672-MP</t>
  </si>
  <si>
    <t>A.F.M.2401908-MP</t>
  </si>
  <si>
    <t>SKU60</t>
  </si>
  <si>
    <t>7730U</t>
  </si>
  <si>
    <t>单Type C IC及两个Type C接口;cpu上海接单前确认</t>
  </si>
  <si>
    <t>A.F.M.2401909-MP</t>
  </si>
  <si>
    <t>SKU61</t>
  </si>
  <si>
    <t>A.F.M.2402068-MP</t>
  </si>
  <si>
    <t>单Type C IC及两个Type C接口</t>
  </si>
  <si>
    <t>A.F.M.2402069-MP</t>
  </si>
  <si>
    <t>A.F.M.2402070-MP</t>
  </si>
  <si>
    <t>A.F.M.2402333-MP</t>
  </si>
  <si>
    <t>A.F.M.2500048</t>
  </si>
  <si>
    <t>SKU81</t>
  </si>
  <si>
    <t>单Type C IC及2个Type C接口 ;SiC634CD-T1-GE3*4pcs;CPU目前无货暂无价格提供。</t>
  </si>
  <si>
    <t>A.F.D.2400021-MP</t>
  </si>
  <si>
    <t>A.F.D.2400021 USB DB</t>
  </si>
  <si>
    <r>
      <rPr>
        <sz val="10"/>
        <rFont val="Arial"/>
        <charset val="134"/>
      </rPr>
      <t>SKU7(</t>
    </r>
    <r>
      <rPr>
        <sz val="10"/>
        <rFont val="微软雅黑"/>
        <charset val="134"/>
      </rPr>
      <t>陈昊精简</t>
    </r>
    <r>
      <rPr>
        <sz val="10"/>
        <rFont val="Arial"/>
        <charset val="134"/>
      </rPr>
      <t>BOM)</t>
    </r>
  </si>
  <si>
    <r>
      <rPr>
        <sz val="10"/>
        <rFont val="微软雅黑"/>
        <charset val="134"/>
      </rPr>
      <t>三</t>
    </r>
    <r>
      <rPr>
        <sz val="10"/>
        <rFont val="Arial"/>
        <charset val="134"/>
      </rPr>
      <t>Type C</t>
    </r>
  </si>
  <si>
    <t>A.F.M.2601229</t>
  </si>
  <si>
    <t>单Type c（三个Type c接口）</t>
  </si>
  <si>
    <t>A.F.M.2501955</t>
  </si>
  <si>
    <t>SKU17(CKD)</t>
  </si>
  <si>
    <r>
      <rPr>
        <sz val="10"/>
        <rFont val="Arial"/>
        <charset val="134"/>
      </rPr>
      <t>ARB60C(10L+</t>
    </r>
    <r>
      <rPr>
        <sz val="10"/>
        <color theme="1"/>
        <rFont val="宋体"/>
        <charset val="134"/>
      </rPr>
      <t>通孔</t>
    </r>
    <r>
      <rPr>
        <sz val="10"/>
        <color theme="1"/>
        <rFont val="Arial"/>
        <charset val="134"/>
      </rPr>
      <t>+OSP)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</si>
  <si>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（三个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接口）</t>
    </r>
  </si>
  <si>
    <r>
      <rPr>
        <sz val="10"/>
        <rFont val="Arial"/>
        <charset val="134"/>
      </rPr>
      <t>8845HS</t>
    </r>
    <r>
      <rPr>
        <sz val="10"/>
        <rFont val="宋体"/>
        <charset val="134"/>
      </rPr>
      <t>（</t>
    </r>
    <r>
      <rPr>
        <sz val="10"/>
        <rFont val="Arial"/>
        <charset val="134"/>
      </rPr>
      <t>100-000001322</t>
    </r>
    <r>
      <rPr>
        <sz val="10"/>
        <rFont val="宋体"/>
        <charset val="134"/>
      </rPr>
      <t>）</t>
    </r>
  </si>
  <si>
    <t>AKN792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</si>
  <si>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</t>
    </r>
    <r>
      <rPr>
        <sz val="10"/>
        <rFont val="宋体"/>
        <charset val="134"/>
      </rPr>
      <t>含加密</t>
    </r>
    <r>
      <rPr>
        <sz val="10"/>
        <rFont val="Arial"/>
        <charset val="134"/>
      </rPr>
      <t>IC TPM</t>
    </r>
    <r>
      <rPr>
        <sz val="10"/>
        <rFont val="宋体"/>
        <charset val="134"/>
      </rPr>
      <t>；</t>
    </r>
  </si>
  <si>
    <t>A.F.M.2501525</t>
  </si>
  <si>
    <t>100-000001726</t>
  </si>
  <si>
    <t>A.F.M.2501526</t>
  </si>
  <si>
    <t>A.F.M.2600346</t>
  </si>
  <si>
    <r>
      <rPr>
        <sz val="10"/>
        <rFont val="宋体"/>
        <charset val="134"/>
      </rPr>
      <t>无</t>
    </r>
    <r>
      <rPr>
        <sz val="10"/>
        <rFont val="Arial"/>
        <charset val="134"/>
      </rPr>
      <t>TYPE-C</t>
    </r>
  </si>
  <si>
    <t>120W</t>
  </si>
  <si>
    <t>16GB*8 BALL315</t>
  </si>
  <si>
    <t>A.F.M.2602693/A.F.M.2602726/A.F.M.2602727/A.F.M.2601439</t>
  </si>
  <si>
    <t>A.F.M.2600348</t>
  </si>
  <si>
    <t>A.F.M.2602698</t>
  </si>
  <si>
    <t>PCB 7月备料价格</t>
  </si>
  <si>
    <t>PCB 7月已备货</t>
  </si>
  <si>
    <t>A.F.M.2602359</t>
  </si>
  <si>
    <t>A.F.M.2601968</t>
  </si>
  <si>
    <t>PCB200套价格</t>
  </si>
  <si>
    <t>A.F.M.2602621</t>
  </si>
  <si>
    <t>A.F.M.2503066 SKU1</t>
  </si>
  <si>
    <r>
      <rPr>
        <sz val="12"/>
        <color theme="1"/>
        <rFont val="Arial"/>
        <charset val="134"/>
      </rPr>
      <t>AI MAX+ 395_5</t>
    </r>
    <r>
      <rPr>
        <b/>
        <sz val="12"/>
        <color theme="1"/>
        <rFont val="宋体"/>
        <charset val="134"/>
      </rPr>
      <t>（</t>
    </r>
    <r>
      <rPr>
        <b/>
        <sz val="12"/>
        <color theme="1"/>
        <rFont val="Arial"/>
        <charset val="134"/>
      </rPr>
      <t>100-000001099</t>
    </r>
    <r>
      <rPr>
        <b/>
        <sz val="12"/>
        <color theme="1"/>
        <rFont val="宋体"/>
        <charset val="134"/>
      </rPr>
      <t>）</t>
    </r>
  </si>
  <si>
    <r>
      <rPr>
        <sz val="12"/>
        <color theme="1"/>
        <rFont val="微软雅黑"/>
        <charset val="134"/>
      </rPr>
      <t>LPDDR5x-315</t>
    </r>
    <r>
      <rPr>
        <b/>
        <sz val="12"/>
        <color theme="1"/>
        <rFont val="宋体"/>
        <charset val="134"/>
      </rPr>
      <t>球</t>
    </r>
    <r>
      <rPr>
        <b/>
        <sz val="12"/>
        <color theme="1"/>
        <rFont val="Arial"/>
        <charset val="134"/>
      </rPr>
      <t>16G*8</t>
    </r>
  </si>
  <si>
    <t>A.F.M.2503067 SKU2</t>
  </si>
  <si>
    <t>A.F.M.2601439</t>
  </si>
  <si>
    <t>A.F.M.2503068 SKU3</t>
  </si>
  <si>
    <r>
      <rPr>
        <sz val="12"/>
        <color theme="1"/>
        <rFont val="微软雅黑"/>
        <charset val="134"/>
      </rPr>
      <t>LPDDR5x-315</t>
    </r>
    <r>
      <rPr>
        <b/>
        <sz val="12"/>
        <color theme="1"/>
        <rFont val="宋体"/>
        <charset val="134"/>
      </rPr>
      <t>球</t>
    </r>
    <r>
      <rPr>
        <b/>
        <sz val="12"/>
        <color theme="1"/>
        <rFont val="Arial"/>
        <charset val="134"/>
      </rPr>
      <t>8G*8</t>
    </r>
  </si>
  <si>
    <t>一个TYPE-C接口，PCIE*2,雷电RJ45，无TYPE-C IC，无TPM</t>
  </si>
  <si>
    <t>0+128</t>
  </si>
  <si>
    <t>含RTL8127AT-CG，纯物料价格，SMT待BOM成型再核</t>
  </si>
  <si>
    <t>A.F.M.2503121</t>
  </si>
  <si>
    <t>一个TYPE-C接口，PCIE*1,雷电RJ45，无TYPE-C IC，无TPM</t>
  </si>
  <si>
    <t>TYPE-C:CSA3416RWZR;</t>
  </si>
  <si>
    <t>A.F.M.2600110 SKU3</t>
  </si>
  <si>
    <t>条子+64GB EMMC</t>
  </si>
  <si>
    <t>HDMI2.0:IT66318FN+ USB3 10GB GL9901VAE-OGY11+RJ45 10G+防雷（万兆网卡）+ROM 华邦32M 涨价</t>
  </si>
  <si>
    <t>HDMI2.0:IT66318FN  0.92U+ USB3 10GB GL9901VAE-OGY11*4  1.25U(单芯片成本）+RJ45 10G+防雷（万兆网卡）2.5U（单座子成本)+连接器客户要求高</t>
  </si>
  <si>
    <t>A.F.M.2600891</t>
  </si>
  <si>
    <t>0+客供</t>
  </si>
  <si>
    <t>板端无</t>
  </si>
  <si>
    <t>PCB按群里李仪提供E.P.P.0007284</t>
  </si>
  <si>
    <t>模型机</t>
  </si>
  <si>
    <t>无电子料仅接口</t>
  </si>
  <si>
    <r>
      <rPr>
        <sz val="10"/>
        <color theme="1"/>
        <rFont val="Arial"/>
        <charset val="134"/>
      </rPr>
      <t>ARN50(10L+</t>
    </r>
    <r>
      <rPr>
        <sz val="10"/>
        <color theme="1"/>
        <rFont val="宋体"/>
        <charset val="134"/>
      </rPr>
      <t>通孔+OSP)</t>
    </r>
  </si>
  <si>
    <t>230.7*122.6*1.0mm</t>
  </si>
  <si>
    <t>A.F.M.2402166</t>
  </si>
  <si>
    <r>
      <rPr>
        <sz val="10"/>
        <rFont val="Arial"/>
        <charset val="134"/>
      </rPr>
      <t>PCB</t>
    </r>
    <r>
      <rPr>
        <sz val="10"/>
        <rFont val="宋体"/>
        <charset val="134"/>
      </rPr>
      <t>有效期</t>
    </r>
    <r>
      <rPr>
        <sz val="10"/>
        <rFont val="Arial"/>
        <charset val="134"/>
      </rPr>
      <t>1</t>
    </r>
    <r>
      <rPr>
        <sz val="10"/>
        <rFont val="宋体"/>
        <charset val="134"/>
      </rPr>
      <t>周</t>
    </r>
  </si>
  <si>
    <t>笔电</t>
  </si>
  <si>
    <r>
      <rPr>
        <sz val="10"/>
        <color theme="1"/>
        <rFont val="Arial"/>
        <charset val="134"/>
      </rPr>
      <t>USB4</t>
    </r>
    <r>
      <rPr>
        <sz val="10"/>
        <color theme="1"/>
        <rFont val="宋体"/>
        <charset val="134"/>
      </rPr>
      <t>和声卡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小板</t>
    </r>
  </si>
  <si>
    <t>SD卡和A口</t>
  </si>
  <si>
    <t>盒子</t>
  </si>
  <si>
    <t>AXN88B(12L-1C+HDI+OSP)</t>
  </si>
  <si>
    <t>160.0*150.9*1.2mm</t>
  </si>
  <si>
    <t>A.F.M.2602780</t>
  </si>
  <si>
    <t>产品</t>
  </si>
  <si>
    <r>
      <rPr>
        <sz val="10"/>
        <color theme="1"/>
        <rFont val="宋体"/>
        <charset val="134"/>
      </rPr>
      <t>AXN88主板(12L-1C+HDI+OSP)</t>
    </r>
    <r>
      <rPr>
        <b/>
        <sz val="10"/>
        <color rgb="FFFF0000"/>
        <rFont val="宋体"/>
        <charset val="134"/>
      </rPr>
      <t>低配</t>
    </r>
  </si>
  <si>
    <t>A.F.M.260235B</t>
  </si>
  <si>
    <t>无</t>
  </si>
  <si>
    <r>
      <rPr>
        <sz val="10"/>
        <rFont val="Arial"/>
        <charset val="134"/>
      </rPr>
      <t>PCB</t>
    </r>
    <r>
      <rPr>
        <sz val="10"/>
        <rFont val="宋体"/>
        <charset val="134"/>
      </rPr>
      <t>持续上涨，实单前需确认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</si>
  <si>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、</t>
    </r>
    <r>
      <rPr>
        <sz val="10"/>
        <rFont val="Arial"/>
        <charset val="134"/>
      </rPr>
      <t>TPM 1U
2</t>
    </r>
    <r>
      <rPr>
        <sz val="10"/>
        <rFont val="宋体"/>
        <charset val="134"/>
      </rPr>
      <t>、降噪电容</t>
    </r>
    <r>
      <rPr>
        <sz val="10"/>
        <rFont val="Arial"/>
        <charset val="134"/>
      </rPr>
      <t xml:space="preserve"> 9.5U
3</t>
    </r>
    <r>
      <rPr>
        <sz val="10"/>
        <rFont val="宋体"/>
        <charset val="134"/>
      </rPr>
      <t>、连接器</t>
    </r>
    <r>
      <rPr>
        <sz val="10"/>
        <rFont val="Arial"/>
        <charset val="134"/>
      </rPr>
      <t>0.56U</t>
    </r>
  </si>
  <si>
    <r>
      <rPr>
        <sz val="10"/>
        <color theme="1"/>
        <rFont val="宋体"/>
        <charset val="134"/>
      </rPr>
      <t>AXN88主板(12L-1C+HDI+OSP)</t>
    </r>
    <r>
      <rPr>
        <b/>
        <sz val="10"/>
        <color rgb="FFFF0000"/>
        <rFont val="宋体"/>
        <charset val="134"/>
      </rPr>
      <t>全配</t>
    </r>
  </si>
  <si>
    <t>AXN88小板</t>
  </si>
  <si>
    <t>美元</t>
  </si>
  <si>
    <r>
      <rPr>
        <sz val="10"/>
        <color theme="1"/>
        <rFont val="微软雅黑"/>
        <charset val="134"/>
      </rPr>
      <t>深圳</t>
    </r>
  </si>
  <si>
    <t>UMCP</t>
  </si>
  <si>
    <t>外围</t>
  </si>
  <si>
    <r>
      <rPr>
        <b/>
        <sz val="12"/>
        <color rgb="FF000000"/>
        <rFont val="Arial"/>
        <charset val="134"/>
      </rPr>
      <t>others+2.5$</t>
    </r>
    <r>
      <rPr>
        <b/>
        <sz val="12"/>
        <color rgb="FF000000"/>
        <rFont val="宋体"/>
        <charset val="134"/>
      </rPr>
      <t>（小板</t>
    </r>
    <r>
      <rPr>
        <b/>
        <sz val="12"/>
        <color rgb="FF000000"/>
        <rFont val="Arial"/>
        <charset val="134"/>
      </rPr>
      <t>0.5$)</t>
    </r>
  </si>
  <si>
    <r>
      <rPr>
        <b/>
        <sz val="12"/>
        <color rgb="FF000000"/>
        <rFont val="Arial"/>
        <charset val="134"/>
      </rPr>
      <t>TTL(</t>
    </r>
    <r>
      <rPr>
        <b/>
        <sz val="12"/>
        <color rgb="FF000000"/>
        <rFont val="宋体"/>
        <charset val="134"/>
      </rPr>
      <t>加</t>
    </r>
    <r>
      <rPr>
        <b/>
        <sz val="12"/>
        <color rgb="FF000000"/>
        <rFont val="Arial"/>
        <charset val="134"/>
      </rPr>
      <t>2.5$+0.5$</t>
    </r>
    <r>
      <rPr>
        <b/>
        <sz val="12"/>
        <color rgb="FF000000"/>
        <rFont val="宋体"/>
        <charset val="134"/>
      </rPr>
      <t>）</t>
    </r>
  </si>
  <si>
    <t>EMCP</t>
  </si>
  <si>
    <t>Q7N1</t>
  </si>
  <si>
    <r>
      <rPr>
        <sz val="10"/>
        <color rgb="FF000000"/>
        <rFont val="Arial"/>
        <charset val="134"/>
      </rPr>
      <t>Type c(</t>
    </r>
    <r>
      <rPr>
        <sz val="10"/>
        <color rgb="FF000000"/>
        <rFont val="微软雅黑"/>
        <charset val="134"/>
      </rPr>
      <t>转</t>
    </r>
    <r>
      <rPr>
        <sz val="10"/>
        <color rgb="FF000000"/>
        <rFont val="Arial"/>
        <charset val="134"/>
      </rPr>
      <t>HDMI 2.0)</t>
    </r>
  </si>
  <si>
    <r>
      <rPr>
        <sz val="10"/>
        <color theme="1"/>
        <rFont val="微软雅黑"/>
        <charset val="134"/>
      </rPr>
      <t>高通</t>
    </r>
    <r>
      <rPr>
        <sz val="10"/>
        <color theme="1"/>
        <rFont val="Arial"/>
        <charset val="134"/>
      </rPr>
      <t>7180</t>
    </r>
  </si>
  <si>
    <r>
      <rPr>
        <sz val="10"/>
        <color rgb="FF000000"/>
        <rFont val="Arial"/>
        <charset val="134"/>
      </rPr>
      <t>KM2V8001CM-B707(254</t>
    </r>
    <r>
      <rPr>
        <sz val="10"/>
        <color rgb="FF000000"/>
        <rFont val="微软雅黑"/>
        <charset val="134"/>
      </rPr>
      <t>球</t>
    </r>
    <r>
      <rPr>
        <sz val="10"/>
        <color rgb="FF000000"/>
        <rFont val="Arial"/>
        <charset val="134"/>
      </rPr>
      <t>)</t>
    </r>
  </si>
  <si>
    <r>
      <rPr>
        <sz val="10"/>
        <color rgb="FFFF0000"/>
        <rFont val="Arial"/>
        <charset val="134"/>
      </rPr>
      <t>CPU</t>
    </r>
    <r>
      <rPr>
        <sz val="10"/>
        <color rgb="FFFF0000"/>
        <rFont val="微软雅黑"/>
        <charset val="134"/>
      </rPr>
      <t>里包含</t>
    </r>
    <r>
      <rPr>
        <sz val="10"/>
        <color rgb="FFFF0000"/>
        <rFont val="Arial"/>
        <charset val="134"/>
      </rPr>
      <t>license</t>
    </r>
    <r>
      <rPr>
        <sz val="10"/>
        <color rgb="FFFF0000"/>
        <rFont val="微软雅黑"/>
        <charset val="134"/>
      </rPr>
      <t>费用</t>
    </r>
    <r>
      <rPr>
        <sz val="10"/>
        <color rgb="FFFF0000"/>
        <rFont val="Arial"/>
        <charset val="134"/>
      </rPr>
      <t>$6.5/</t>
    </r>
    <r>
      <rPr>
        <sz val="10"/>
        <color rgb="FFFF0000"/>
        <rFont val="微软雅黑"/>
        <charset val="134"/>
      </rPr>
      <t>片；</t>
    </r>
    <r>
      <rPr>
        <sz val="10"/>
        <rFont val="Arial"/>
        <charset val="134"/>
      </rPr>
      <t>EMCP</t>
    </r>
    <r>
      <rPr>
        <sz val="10"/>
        <rFont val="微软雅黑"/>
        <charset val="134"/>
      </rPr>
      <t>使用的是库存料</t>
    </r>
  </si>
  <si>
    <r>
      <rPr>
        <sz val="10"/>
        <color rgb="FF000000"/>
        <rFont val="Arial"/>
        <charset val="134"/>
      </rPr>
      <t>EMCP KM2V8001CM-B707(254</t>
    </r>
    <r>
      <rPr>
        <sz val="10"/>
        <color rgb="FF000000"/>
        <rFont val="微软雅黑"/>
        <charset val="134"/>
      </rPr>
      <t>球</t>
    </r>
    <r>
      <rPr>
        <sz val="10"/>
        <color rgb="FF000000"/>
        <rFont val="Arial"/>
        <charset val="134"/>
      </rPr>
      <t>)</t>
    </r>
    <r>
      <rPr>
        <sz val="10"/>
        <color rgb="FF000000"/>
        <rFont val="微软雅黑"/>
        <charset val="134"/>
      </rPr>
      <t>三星</t>
    </r>
    <r>
      <rPr>
        <sz val="10"/>
        <color rgb="FF000000"/>
        <rFont val="Arial"/>
        <charset val="134"/>
      </rPr>
      <t>(Samsung)</t>
    </r>
  </si>
  <si>
    <r>
      <rPr>
        <sz val="10"/>
        <color rgb="FFFF0000"/>
        <rFont val="Arial"/>
        <charset val="134"/>
      </rPr>
      <t>CPU</t>
    </r>
    <r>
      <rPr>
        <sz val="10"/>
        <color rgb="FFFF0000"/>
        <rFont val="微软雅黑"/>
        <charset val="134"/>
      </rPr>
      <t>里包含</t>
    </r>
    <r>
      <rPr>
        <sz val="10"/>
        <color rgb="FFFF0000"/>
        <rFont val="Arial"/>
        <charset val="134"/>
      </rPr>
      <t>license</t>
    </r>
    <r>
      <rPr>
        <sz val="10"/>
        <color rgb="FFFF0000"/>
        <rFont val="微软雅黑"/>
        <charset val="134"/>
      </rPr>
      <t>费用</t>
    </r>
    <r>
      <rPr>
        <sz val="10"/>
        <color rgb="FFFF0000"/>
        <rFont val="Arial"/>
        <charset val="134"/>
      </rPr>
      <t>$6.5/</t>
    </r>
    <r>
      <rPr>
        <sz val="10"/>
        <color rgb="FFFF0000"/>
        <rFont val="微软雅黑"/>
        <charset val="134"/>
      </rPr>
      <t>片；</t>
    </r>
    <r>
      <rPr>
        <sz val="10"/>
        <rFont val="Arial"/>
        <charset val="134"/>
      </rPr>
      <t>EMCP</t>
    </r>
    <r>
      <rPr>
        <sz val="10"/>
        <rFont val="微软雅黑"/>
        <charset val="134"/>
      </rPr>
      <t>使用的是库存料</t>
    </r>
    <r>
      <rPr>
        <sz val="10"/>
        <rFont val="Arial"/>
        <charset val="134"/>
      </rPr>
      <t xml:space="preserve">, </t>
    </r>
    <r>
      <rPr>
        <sz val="10"/>
        <rFont val="微软雅黑"/>
        <charset val="134"/>
      </rPr>
      <t>包含龙讯材料</t>
    </r>
    <r>
      <rPr>
        <sz val="10"/>
        <rFont val="Arial"/>
        <charset val="134"/>
      </rPr>
      <t>2</t>
    </r>
    <r>
      <rPr>
        <sz val="10"/>
        <rFont val="微软雅黑"/>
        <charset val="134"/>
      </rPr>
      <t>颗</t>
    </r>
    <r>
      <rPr>
        <sz val="10"/>
        <rFont val="Arial"/>
        <charset val="134"/>
      </rPr>
      <t>*4.11$(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转</t>
    </r>
    <r>
      <rPr>
        <sz val="10"/>
        <rFont val="Arial"/>
        <charset val="134"/>
      </rPr>
      <t xml:space="preserve">HDMI 2.0)1;Other </t>
    </r>
    <r>
      <rPr>
        <sz val="10"/>
        <rFont val="宋体"/>
        <charset val="134"/>
      </rPr>
      <t>里包含射频材料</t>
    </r>
    <r>
      <rPr>
        <sz val="10"/>
        <rFont val="Arial"/>
        <charset val="134"/>
      </rPr>
      <t>35</t>
    </r>
    <r>
      <rPr>
        <sz val="10"/>
        <rFont val="宋体"/>
        <charset val="134"/>
      </rPr>
      <t>颗</t>
    </r>
    <r>
      <rPr>
        <sz val="10"/>
        <rFont val="Arial"/>
        <charset val="134"/>
      </rPr>
      <t>4.40$;</t>
    </r>
    <r>
      <rPr>
        <sz val="10"/>
        <rFont val="宋体"/>
        <charset val="134"/>
      </rPr>
      <t>不包含</t>
    </r>
    <r>
      <rPr>
        <sz val="10"/>
        <rFont val="Arial"/>
        <charset val="134"/>
      </rPr>
      <t>G-Sensor</t>
    </r>
  </si>
  <si>
    <t>Type c(转HDMI 2.0)</t>
  </si>
  <si>
    <r>
      <rPr>
        <sz val="10"/>
        <color theme="1"/>
        <rFont val="Arial"/>
        <charset val="134"/>
      </rPr>
      <t>UMCP</t>
    </r>
    <r>
      <rPr>
        <sz val="10"/>
        <color theme="1"/>
        <rFont val="微软雅黑"/>
        <charset val="134"/>
      </rPr>
      <t>三星</t>
    </r>
    <r>
      <rPr>
        <sz val="10"/>
        <color theme="1"/>
        <rFont val="Arial"/>
        <charset val="134"/>
      </rPr>
      <t>KM8V9001PM-B813(254</t>
    </r>
    <r>
      <rPr>
        <sz val="10"/>
        <color theme="1"/>
        <rFont val="微软雅黑"/>
        <charset val="134"/>
      </rPr>
      <t>球</t>
    </r>
    <r>
      <rPr>
        <sz val="10"/>
        <color theme="1"/>
        <rFont val="Arial"/>
        <charset val="134"/>
      </rPr>
      <t>)</t>
    </r>
  </si>
  <si>
    <r>
      <rPr>
        <sz val="10"/>
        <color rgb="FFFF0000"/>
        <rFont val="Arial"/>
        <charset val="134"/>
      </rPr>
      <t>CPU</t>
    </r>
    <r>
      <rPr>
        <sz val="10"/>
        <color rgb="FFFF0000"/>
        <rFont val="微软雅黑"/>
        <charset val="134"/>
      </rPr>
      <t>里包含</t>
    </r>
    <r>
      <rPr>
        <sz val="10"/>
        <color rgb="FFFF0000"/>
        <rFont val="Arial"/>
        <charset val="134"/>
      </rPr>
      <t>license</t>
    </r>
    <r>
      <rPr>
        <sz val="10"/>
        <color rgb="FFFF0000"/>
        <rFont val="微软雅黑"/>
        <charset val="134"/>
      </rPr>
      <t>费用</t>
    </r>
    <r>
      <rPr>
        <sz val="10"/>
        <color rgb="FFFF0000"/>
        <rFont val="Arial"/>
        <charset val="134"/>
      </rPr>
      <t>$6.5/</t>
    </r>
    <r>
      <rPr>
        <sz val="10"/>
        <color rgb="FFFF0000"/>
        <rFont val="微软雅黑"/>
        <charset val="134"/>
      </rPr>
      <t>片；</t>
    </r>
    <r>
      <rPr>
        <sz val="10"/>
        <color rgb="FFFF0000"/>
        <rFont val="Arial"/>
        <charset val="134"/>
      </rPr>
      <t>UEMCP</t>
    </r>
    <r>
      <rPr>
        <sz val="10"/>
        <color rgb="FFFF0000"/>
        <rFont val="微软雅黑"/>
        <charset val="134"/>
      </rPr>
      <t>使用的是新材料</t>
    </r>
    <r>
      <rPr>
        <sz val="10"/>
        <color rgb="FFFF0000"/>
        <rFont val="Arial"/>
        <charset val="134"/>
      </rPr>
      <t>,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包含龙讯材料</t>
    </r>
    <r>
      <rPr>
        <sz val="10"/>
        <rFont val="Arial"/>
        <charset val="134"/>
      </rPr>
      <t>2</t>
    </r>
    <r>
      <rPr>
        <sz val="10"/>
        <rFont val="微软雅黑"/>
        <charset val="134"/>
      </rPr>
      <t>颗</t>
    </r>
    <r>
      <rPr>
        <sz val="10"/>
        <rFont val="Arial"/>
        <charset val="134"/>
      </rPr>
      <t>*4.11$(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转</t>
    </r>
    <r>
      <rPr>
        <sz val="10"/>
        <rFont val="Arial"/>
        <charset val="134"/>
      </rPr>
      <t xml:space="preserve">HDMI 2.0)1;Other </t>
    </r>
    <r>
      <rPr>
        <sz val="10"/>
        <rFont val="宋体"/>
        <charset val="134"/>
      </rPr>
      <t>里包含射频材料</t>
    </r>
    <r>
      <rPr>
        <sz val="10"/>
        <rFont val="Arial"/>
        <charset val="134"/>
      </rPr>
      <t>35</t>
    </r>
    <r>
      <rPr>
        <sz val="10"/>
        <rFont val="宋体"/>
        <charset val="134"/>
      </rPr>
      <t>颗</t>
    </r>
    <r>
      <rPr>
        <sz val="10"/>
        <rFont val="Arial"/>
        <charset val="134"/>
      </rPr>
      <t>4.40$;</t>
    </r>
    <r>
      <rPr>
        <sz val="10"/>
        <rFont val="宋体"/>
        <charset val="134"/>
      </rPr>
      <t>不包含</t>
    </r>
    <r>
      <rPr>
        <sz val="10"/>
        <rFont val="Arial"/>
        <charset val="134"/>
      </rPr>
      <t>G-Sensor</t>
    </r>
  </si>
  <si>
    <r>
      <rPr>
        <sz val="10"/>
        <color rgb="FF000000"/>
        <rFont val="Arial"/>
        <charset val="134"/>
      </rPr>
      <t>KM5V8001DM-B622(254</t>
    </r>
    <r>
      <rPr>
        <sz val="10"/>
        <color rgb="FF000000"/>
        <rFont val="微软雅黑"/>
        <charset val="134"/>
      </rPr>
      <t>球</t>
    </r>
    <r>
      <rPr>
        <sz val="10"/>
        <color rgb="FF000000"/>
        <rFont val="Arial"/>
        <charset val="134"/>
      </rPr>
      <t>)</t>
    </r>
  </si>
  <si>
    <t>A.P.10000844 USB DB</t>
  </si>
  <si>
    <t>A.P.10000909 USB DB</t>
  </si>
  <si>
    <t>A.P.10000910 USB DB</t>
  </si>
  <si>
    <t>A.P.10000838 USB DB</t>
  </si>
  <si>
    <t>Q7N11</t>
  </si>
  <si>
    <r>
      <rPr>
        <sz val="10"/>
        <color theme="1"/>
        <rFont val="Arial"/>
        <charset val="134"/>
      </rPr>
      <t>EMCP</t>
    </r>
    <r>
      <rPr>
        <sz val="10"/>
        <color theme="1"/>
        <rFont val="微软雅黑"/>
        <charset val="134"/>
      </rPr>
      <t>三星</t>
    </r>
    <r>
      <rPr>
        <sz val="10"/>
        <color theme="1"/>
        <rFont val="Arial"/>
        <charset val="134"/>
      </rPr>
      <t>KM3V6001CB -B708(254</t>
    </r>
    <r>
      <rPr>
        <sz val="10"/>
        <color theme="1"/>
        <rFont val="微软雅黑"/>
        <charset val="134"/>
      </rPr>
      <t>球</t>
    </r>
    <r>
      <rPr>
        <sz val="10"/>
        <color theme="1"/>
        <rFont val="Arial"/>
        <charset val="134"/>
      </rPr>
      <t>)</t>
    </r>
  </si>
  <si>
    <r>
      <rPr>
        <sz val="10"/>
        <rFont val="Arial"/>
        <charset val="134"/>
      </rPr>
      <t>EMCP</t>
    </r>
    <r>
      <rPr>
        <sz val="10"/>
        <rFont val="微软雅黑"/>
        <charset val="134"/>
      </rPr>
      <t>是新料；三</t>
    </r>
    <r>
      <rPr>
        <sz val="10"/>
        <rFont val="Arial"/>
        <charset val="134"/>
      </rPr>
      <t>Type-c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是客供，待研发修改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里包含</t>
    </r>
    <r>
      <rPr>
        <sz val="10"/>
        <rFont val="Arial"/>
        <charset val="134"/>
      </rPr>
      <t>license</t>
    </r>
    <r>
      <rPr>
        <sz val="10"/>
        <rFont val="微软雅黑"/>
        <charset val="134"/>
      </rPr>
      <t>费用</t>
    </r>
    <r>
      <rPr>
        <sz val="10"/>
        <rFont val="Arial"/>
        <charset val="134"/>
      </rPr>
      <t>$6.5/</t>
    </r>
    <r>
      <rPr>
        <sz val="10"/>
        <rFont val="微软雅黑"/>
        <charset val="134"/>
      </rPr>
      <t>片</t>
    </r>
  </si>
  <si>
    <r>
      <rPr>
        <sz val="10"/>
        <color rgb="FF000000"/>
        <rFont val="Arial"/>
        <charset val="134"/>
      </rPr>
      <t>Type c(</t>
    </r>
    <r>
      <rPr>
        <sz val="10"/>
        <color rgb="FF000000"/>
        <rFont val="宋体"/>
        <charset val="134"/>
      </rPr>
      <t>转</t>
    </r>
    <r>
      <rPr>
        <sz val="10"/>
        <color rgb="FF000000"/>
        <rFont val="Arial"/>
        <charset val="134"/>
      </rPr>
      <t>HDMI 2.0)</t>
    </r>
  </si>
  <si>
    <r>
      <rPr>
        <sz val="10"/>
        <color theme="1"/>
        <rFont val="Arial"/>
        <charset val="134"/>
      </rPr>
      <t>EMCP KM2V8001CM-B707(254</t>
    </r>
    <r>
      <rPr>
        <sz val="10"/>
        <color theme="1"/>
        <rFont val="宋体"/>
        <charset val="134"/>
      </rPr>
      <t>球</t>
    </r>
    <r>
      <rPr>
        <sz val="10"/>
        <color theme="1"/>
        <rFont val="Arial"/>
        <charset val="134"/>
      </rPr>
      <t>)</t>
    </r>
    <r>
      <rPr>
        <sz val="10"/>
        <color theme="1"/>
        <rFont val="宋体"/>
        <charset val="134"/>
      </rPr>
      <t>三星</t>
    </r>
    <r>
      <rPr>
        <sz val="10"/>
        <color theme="1"/>
        <rFont val="Arial"/>
        <charset val="134"/>
      </rPr>
      <t>(Samsung)</t>
    </r>
  </si>
  <si>
    <r>
      <rPr>
        <sz val="10"/>
        <color rgb="FFFF0000"/>
        <rFont val="Arial"/>
        <charset val="134"/>
      </rPr>
      <t>CPU</t>
    </r>
    <r>
      <rPr>
        <sz val="10"/>
        <color rgb="FFFF0000"/>
        <rFont val="微软雅黑"/>
        <charset val="134"/>
      </rPr>
      <t>里包含</t>
    </r>
    <r>
      <rPr>
        <sz val="10"/>
        <color rgb="FFFF0000"/>
        <rFont val="Arial"/>
        <charset val="134"/>
      </rPr>
      <t>license</t>
    </r>
    <r>
      <rPr>
        <sz val="10"/>
        <color rgb="FFFF0000"/>
        <rFont val="微软雅黑"/>
        <charset val="134"/>
      </rPr>
      <t>费用</t>
    </r>
    <r>
      <rPr>
        <sz val="10"/>
        <color rgb="FFFF0000"/>
        <rFont val="Arial"/>
        <charset val="134"/>
      </rPr>
      <t>$6.5/</t>
    </r>
    <r>
      <rPr>
        <sz val="10"/>
        <color rgb="FFFF0000"/>
        <rFont val="微软雅黑"/>
        <charset val="134"/>
      </rPr>
      <t>片；</t>
    </r>
    <r>
      <rPr>
        <sz val="10"/>
        <rFont val="Arial"/>
        <charset val="134"/>
      </rPr>
      <t>EMCP</t>
    </r>
    <r>
      <rPr>
        <sz val="10"/>
        <rFont val="微软雅黑"/>
        <charset val="134"/>
      </rPr>
      <t>使用的是库存料</t>
    </r>
    <r>
      <rPr>
        <sz val="10"/>
        <rFont val="Arial"/>
        <charset val="134"/>
      </rPr>
      <t xml:space="preserve">, </t>
    </r>
    <r>
      <rPr>
        <sz val="10"/>
        <rFont val="微软雅黑"/>
        <charset val="134"/>
      </rPr>
      <t>包含龙讯材料</t>
    </r>
    <r>
      <rPr>
        <sz val="10"/>
        <rFont val="Arial"/>
        <charset val="134"/>
      </rPr>
      <t>2</t>
    </r>
    <r>
      <rPr>
        <sz val="10"/>
        <rFont val="微软雅黑"/>
        <charset val="134"/>
      </rPr>
      <t>颗</t>
    </r>
    <r>
      <rPr>
        <sz val="10"/>
        <rFont val="Arial"/>
        <charset val="134"/>
      </rPr>
      <t>(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转</t>
    </r>
    <r>
      <rPr>
        <sz val="10"/>
        <rFont val="Arial"/>
        <charset val="134"/>
      </rPr>
      <t xml:space="preserve">HDMI 2.0)1;Other </t>
    </r>
    <r>
      <rPr>
        <sz val="10"/>
        <rFont val="宋体"/>
        <charset val="134"/>
      </rPr>
      <t>里包含射频材料</t>
    </r>
    <r>
      <rPr>
        <sz val="10"/>
        <rFont val="Arial"/>
        <charset val="134"/>
      </rPr>
      <t>35</t>
    </r>
    <r>
      <rPr>
        <sz val="10"/>
        <rFont val="宋体"/>
        <charset val="134"/>
      </rPr>
      <t>颗</t>
    </r>
    <r>
      <rPr>
        <sz val="10"/>
        <rFont val="Arial"/>
        <charset val="134"/>
      </rPr>
      <t>;</t>
    </r>
    <r>
      <rPr>
        <sz val="10"/>
        <rFont val="宋体"/>
        <charset val="134"/>
      </rPr>
      <t>不包含</t>
    </r>
    <r>
      <rPr>
        <sz val="10"/>
        <rFont val="Arial"/>
        <charset val="134"/>
      </rPr>
      <t>G-Sensor</t>
    </r>
  </si>
  <si>
    <r>
      <rPr>
        <sz val="10"/>
        <color theme="1"/>
        <rFont val="Arial"/>
        <charset val="134"/>
      </rPr>
      <t>KM2V8001CM-B707(254</t>
    </r>
    <r>
      <rPr>
        <sz val="10"/>
        <color theme="1"/>
        <rFont val="微软雅黑"/>
        <charset val="134"/>
      </rPr>
      <t>球</t>
    </r>
    <r>
      <rPr>
        <sz val="10"/>
        <color theme="1"/>
        <rFont val="Arial"/>
        <charset val="134"/>
      </rPr>
      <t>)</t>
    </r>
  </si>
  <si>
    <r>
      <rPr>
        <sz val="10"/>
        <color rgb="FFFF0000"/>
        <rFont val="Arial"/>
        <charset val="134"/>
      </rPr>
      <t>EMCP</t>
    </r>
    <r>
      <rPr>
        <sz val="10"/>
        <color rgb="FFFF0000"/>
        <rFont val="微软雅黑"/>
        <charset val="134"/>
      </rPr>
      <t>是库存价格；</t>
    </r>
    <r>
      <rPr>
        <sz val="10"/>
        <rFont val="微软雅黑"/>
        <charset val="134"/>
      </rPr>
      <t>三</t>
    </r>
    <r>
      <rPr>
        <sz val="10"/>
        <rFont val="Arial"/>
        <charset val="134"/>
      </rPr>
      <t>Type-c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是客供，待研发修改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里包含</t>
    </r>
    <r>
      <rPr>
        <sz val="10"/>
        <rFont val="Arial"/>
        <charset val="134"/>
      </rPr>
      <t>license</t>
    </r>
    <r>
      <rPr>
        <sz val="10"/>
        <rFont val="微软雅黑"/>
        <charset val="134"/>
      </rPr>
      <t>费用</t>
    </r>
    <r>
      <rPr>
        <sz val="10"/>
        <rFont val="Arial"/>
        <charset val="134"/>
      </rPr>
      <t>$6.5/</t>
    </r>
    <r>
      <rPr>
        <sz val="10"/>
        <rFont val="微软雅黑"/>
        <charset val="134"/>
      </rPr>
      <t>片</t>
    </r>
    <r>
      <rPr>
        <sz val="10"/>
        <rFont val="Arial"/>
        <charset val="134"/>
      </rPr>
      <t>,</t>
    </r>
  </si>
  <si>
    <r>
      <rPr>
        <sz val="10"/>
        <rFont val="Arial"/>
        <charset val="134"/>
      </rPr>
      <t>EMCP</t>
    </r>
    <r>
      <rPr>
        <sz val="10"/>
        <rFont val="微软雅黑"/>
        <charset val="134"/>
      </rPr>
      <t>是新料；三</t>
    </r>
    <r>
      <rPr>
        <sz val="10"/>
        <rFont val="Arial"/>
        <charset val="134"/>
      </rPr>
      <t>Type-c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是客供，待研发修改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里包含</t>
    </r>
    <r>
      <rPr>
        <sz val="10"/>
        <rFont val="Arial"/>
        <charset val="134"/>
      </rPr>
      <t>license</t>
    </r>
    <r>
      <rPr>
        <sz val="10"/>
        <rFont val="微软雅黑"/>
        <charset val="134"/>
      </rPr>
      <t>费用</t>
    </r>
    <r>
      <rPr>
        <sz val="10"/>
        <rFont val="Arial"/>
        <charset val="134"/>
      </rPr>
      <t>$6.5/</t>
    </r>
    <r>
      <rPr>
        <sz val="10"/>
        <rFont val="微软雅黑"/>
        <charset val="134"/>
      </rPr>
      <t>片</t>
    </r>
    <r>
      <rPr>
        <sz val="10"/>
        <rFont val="Arial"/>
        <charset val="134"/>
      </rPr>
      <t>,</t>
    </r>
  </si>
  <si>
    <r>
      <rPr>
        <sz val="10"/>
        <rFont val="Arial"/>
        <charset val="134"/>
      </rPr>
      <t>UMCP</t>
    </r>
    <r>
      <rPr>
        <sz val="10"/>
        <rFont val="微软雅黑"/>
        <charset val="134"/>
      </rPr>
      <t>是新料；三</t>
    </r>
    <r>
      <rPr>
        <sz val="10"/>
        <rFont val="Arial"/>
        <charset val="134"/>
      </rPr>
      <t>Type-c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是客供，待研发修改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里包含</t>
    </r>
    <r>
      <rPr>
        <sz val="10"/>
        <rFont val="Arial"/>
        <charset val="134"/>
      </rPr>
      <t>license</t>
    </r>
    <r>
      <rPr>
        <sz val="10"/>
        <rFont val="微软雅黑"/>
        <charset val="134"/>
      </rPr>
      <t>费用</t>
    </r>
    <r>
      <rPr>
        <sz val="10"/>
        <rFont val="Arial"/>
        <charset val="134"/>
      </rPr>
      <t>$6.5/</t>
    </r>
    <r>
      <rPr>
        <sz val="10"/>
        <rFont val="微软雅黑"/>
        <charset val="134"/>
      </rPr>
      <t>片</t>
    </r>
    <r>
      <rPr>
        <sz val="10"/>
        <rFont val="Arial"/>
        <charset val="134"/>
      </rPr>
      <t>,</t>
    </r>
  </si>
  <si>
    <r>
      <rPr>
        <sz val="10"/>
        <color theme="1"/>
        <rFont val="Arial"/>
        <charset val="134"/>
      </rPr>
      <t>UMCP</t>
    </r>
    <r>
      <rPr>
        <sz val="10"/>
        <color theme="1"/>
        <rFont val="微软雅黑"/>
        <charset val="134"/>
      </rPr>
      <t>三星</t>
    </r>
    <r>
      <rPr>
        <sz val="10"/>
        <color theme="1"/>
        <rFont val="Arial"/>
        <charset val="134"/>
      </rPr>
      <t>KM2V8001CM-B707(254</t>
    </r>
    <r>
      <rPr>
        <sz val="10"/>
        <color theme="1"/>
        <rFont val="微软雅黑"/>
        <charset val="134"/>
      </rPr>
      <t>球</t>
    </r>
    <r>
      <rPr>
        <sz val="10"/>
        <color theme="1"/>
        <rFont val="Arial"/>
        <charset val="134"/>
      </rPr>
      <t>)</t>
    </r>
  </si>
  <si>
    <r>
      <rPr>
        <sz val="10"/>
        <rFont val="Arial"/>
        <charset val="134"/>
      </rPr>
      <t>UMCP</t>
    </r>
    <r>
      <rPr>
        <sz val="10"/>
        <rFont val="微软雅黑"/>
        <charset val="134"/>
      </rPr>
      <t>是新料；两个</t>
    </r>
    <r>
      <rPr>
        <sz val="10"/>
        <rFont val="Arial"/>
        <charset val="134"/>
      </rPr>
      <t>Type-c;CPU</t>
    </r>
    <r>
      <rPr>
        <sz val="10"/>
        <rFont val="微软雅黑"/>
        <charset val="134"/>
      </rPr>
      <t>里包含</t>
    </r>
    <r>
      <rPr>
        <sz val="10"/>
        <rFont val="Arial"/>
        <charset val="134"/>
      </rPr>
      <t>license</t>
    </r>
    <r>
      <rPr>
        <sz val="10"/>
        <rFont val="微软雅黑"/>
        <charset val="134"/>
      </rPr>
      <t>费用</t>
    </r>
    <r>
      <rPr>
        <sz val="10"/>
        <rFont val="Arial"/>
        <charset val="134"/>
      </rPr>
      <t>$6.5/</t>
    </r>
    <r>
      <rPr>
        <sz val="10"/>
        <rFont val="微软雅黑"/>
        <charset val="134"/>
      </rPr>
      <t>片</t>
    </r>
    <r>
      <rPr>
        <sz val="10"/>
        <rFont val="Arial"/>
        <charset val="134"/>
      </rPr>
      <t>,</t>
    </r>
  </si>
  <si>
    <r>
      <rPr>
        <sz val="10"/>
        <color theme="1"/>
        <rFont val="Arial"/>
        <charset val="134"/>
      </rPr>
      <t>UMCP</t>
    </r>
    <r>
      <rPr>
        <sz val="10"/>
        <color theme="1"/>
        <rFont val="微软雅黑"/>
        <charset val="134"/>
      </rPr>
      <t>三星</t>
    </r>
    <r>
      <rPr>
        <sz val="10"/>
        <color theme="1"/>
        <rFont val="Arial"/>
        <charset val="134"/>
      </rPr>
      <t>KM5V8001DM-B622(254</t>
    </r>
    <r>
      <rPr>
        <sz val="10"/>
        <color theme="1"/>
        <rFont val="微软雅黑"/>
        <charset val="134"/>
      </rPr>
      <t>球</t>
    </r>
    <r>
      <rPr>
        <sz val="10"/>
        <color theme="1"/>
        <rFont val="Arial"/>
        <charset val="134"/>
      </rPr>
      <t>)</t>
    </r>
  </si>
  <si>
    <t>jf</t>
  </si>
  <si>
    <t>A.F.D.2300038 USB DB</t>
  </si>
  <si>
    <t>A.P.10001132</t>
  </si>
  <si>
    <t>Q7P2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</si>
  <si>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里包含</t>
    </r>
    <r>
      <rPr>
        <sz val="10"/>
        <rFont val="Arial"/>
        <charset val="134"/>
      </rPr>
      <t>license</t>
    </r>
    <r>
      <rPr>
        <sz val="10"/>
        <rFont val="微软雅黑"/>
        <charset val="134"/>
      </rPr>
      <t>费用</t>
    </r>
    <r>
      <rPr>
        <sz val="10"/>
        <rFont val="Arial"/>
        <charset val="134"/>
      </rPr>
      <t>$6.5/</t>
    </r>
    <r>
      <rPr>
        <sz val="10"/>
        <rFont val="微软雅黑"/>
        <charset val="134"/>
      </rPr>
      <t>片</t>
    </r>
    <r>
      <rPr>
        <sz val="10"/>
        <rFont val="Arial"/>
        <charset val="134"/>
      </rPr>
      <t>,EMCP</t>
    </r>
    <r>
      <rPr>
        <sz val="10"/>
        <rFont val="宋体"/>
        <charset val="134"/>
      </rPr>
      <t>使用库存料</t>
    </r>
  </si>
  <si>
    <t>Q8N1</t>
  </si>
  <si>
    <r>
      <rPr>
        <sz val="10"/>
        <color theme="1"/>
        <rFont val="微软雅黑"/>
        <charset val="134"/>
      </rPr>
      <t>高通</t>
    </r>
    <r>
      <rPr>
        <sz val="10"/>
        <color theme="1"/>
        <rFont val="Arial"/>
        <charset val="134"/>
      </rPr>
      <t>8280XP</t>
    </r>
  </si>
  <si>
    <t>2G*4+256G</t>
  </si>
  <si>
    <t>LBEE5QG2CX-TEMP</t>
  </si>
  <si>
    <r>
      <rPr>
        <sz val="10"/>
        <color rgb="FF000000"/>
        <rFont val="Arial"/>
        <charset val="134"/>
      </rPr>
      <t>EMMC</t>
    </r>
    <r>
      <rPr>
        <sz val="10"/>
        <color rgb="FF000000"/>
        <rFont val="微软雅黑"/>
        <charset val="134"/>
      </rPr>
      <t>三星</t>
    </r>
    <r>
      <rPr>
        <sz val="10"/>
        <color rgb="FF000000"/>
        <rFont val="Arial"/>
        <charset val="134"/>
      </rPr>
      <t>UFS 3.1</t>
    </r>
    <r>
      <rPr>
        <sz val="10"/>
        <color rgb="FF000000"/>
        <rFont val="微软雅黑"/>
        <charset val="134"/>
      </rPr>
      <t>版本</t>
    </r>
    <r>
      <rPr>
        <sz val="10"/>
        <color rgb="FF000000"/>
        <rFont val="Arial"/>
        <charset val="134"/>
      </rPr>
      <t>/LPDDR4X-200</t>
    </r>
    <r>
      <rPr>
        <sz val="10"/>
        <color rgb="FF000000"/>
        <rFont val="微软雅黑"/>
        <charset val="134"/>
      </rPr>
      <t>球</t>
    </r>
    <r>
      <rPr>
        <sz val="10"/>
        <color rgb="FF000000"/>
        <rFont val="Arial"/>
        <charset val="134"/>
      </rPr>
      <t>2G(Hynix)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</si>
  <si>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里包含</t>
    </r>
    <r>
      <rPr>
        <sz val="10"/>
        <rFont val="Arial"/>
        <charset val="134"/>
      </rPr>
      <t>license</t>
    </r>
    <r>
      <rPr>
        <sz val="10"/>
        <rFont val="微软雅黑"/>
        <charset val="134"/>
      </rPr>
      <t>费用</t>
    </r>
    <r>
      <rPr>
        <sz val="10"/>
        <rFont val="Arial"/>
        <charset val="134"/>
      </rPr>
      <t>$6.5/</t>
    </r>
    <r>
      <rPr>
        <sz val="10"/>
        <rFont val="微软雅黑"/>
        <charset val="134"/>
      </rPr>
      <t>片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 xml:space="preserve">IC TPM 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使用村田</t>
    </r>
    <r>
      <rPr>
        <sz val="10"/>
        <rFont val="Arial"/>
        <charset val="134"/>
      </rPr>
      <t>PM</t>
    </r>
    <r>
      <rPr>
        <sz val="10"/>
        <rFont val="微软雅黑"/>
        <charset val="134"/>
      </rPr>
      <t>说取消因交期过长无法报价</t>
    </r>
  </si>
  <si>
    <t>Q8N11</t>
  </si>
  <si>
    <r>
      <rPr>
        <sz val="10"/>
        <color rgb="FF000000"/>
        <rFont val="Arial"/>
        <charset val="134"/>
      </rPr>
      <t>EMMC</t>
    </r>
    <r>
      <rPr>
        <sz val="10"/>
        <color theme="1"/>
        <rFont val="微软雅黑"/>
        <charset val="134"/>
      </rPr>
      <t>三星</t>
    </r>
    <r>
      <rPr>
        <sz val="10"/>
        <color theme="1"/>
        <rFont val="Arial"/>
        <charset val="134"/>
      </rPr>
      <t>UFS 3.1</t>
    </r>
    <r>
      <rPr>
        <sz val="10"/>
        <color theme="1"/>
        <rFont val="微软雅黑"/>
        <charset val="134"/>
      </rPr>
      <t>版本</t>
    </r>
    <r>
      <rPr>
        <sz val="10"/>
        <color theme="1"/>
        <rFont val="Arial"/>
        <charset val="134"/>
      </rPr>
      <t>/LPDDR4X-200</t>
    </r>
    <r>
      <rPr>
        <sz val="10"/>
        <color theme="1"/>
        <rFont val="微软雅黑"/>
        <charset val="134"/>
      </rPr>
      <t>球</t>
    </r>
    <r>
      <rPr>
        <sz val="10"/>
        <color theme="1"/>
        <rFont val="Arial"/>
        <charset val="134"/>
      </rPr>
      <t>2G(Hynix)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</si>
  <si>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里包含</t>
    </r>
    <r>
      <rPr>
        <sz val="10"/>
        <rFont val="Arial"/>
        <charset val="134"/>
      </rPr>
      <t>license</t>
    </r>
    <r>
      <rPr>
        <sz val="10"/>
        <rFont val="微软雅黑"/>
        <charset val="134"/>
      </rPr>
      <t>费用</t>
    </r>
    <r>
      <rPr>
        <sz val="10"/>
        <rFont val="Arial"/>
        <charset val="134"/>
      </rPr>
      <t>$6.5/</t>
    </r>
    <r>
      <rPr>
        <sz val="10"/>
        <rFont val="微软雅黑"/>
        <charset val="134"/>
      </rPr>
      <t>片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1.65</t>
    </r>
    <r>
      <rPr>
        <sz val="10"/>
        <rFont val="微软雅黑"/>
        <charset val="134"/>
      </rPr>
      <t>美金，单</t>
    </r>
    <r>
      <rPr>
        <sz val="10"/>
        <rFont val="Arial"/>
        <charset val="134"/>
      </rPr>
      <t>Type c</t>
    </r>
  </si>
  <si>
    <t>QXP67</t>
  </si>
  <si>
    <t>2024.6.24</t>
  </si>
  <si>
    <r>
      <rPr>
        <sz val="10"/>
        <color theme="1"/>
        <rFont val="宋体"/>
        <charset val="134"/>
      </rPr>
      <t>临时</t>
    </r>
    <r>
      <rPr>
        <sz val="10"/>
        <color theme="1"/>
        <rFont val="Arial"/>
        <charset val="134"/>
      </rPr>
      <t>BOM</t>
    </r>
  </si>
  <si>
    <t>NO Type</t>
  </si>
  <si>
    <r>
      <rPr>
        <sz val="10"/>
        <color theme="1"/>
        <rFont val="宋体"/>
        <charset val="134"/>
      </rPr>
      <t>高通</t>
    </r>
    <r>
      <rPr>
        <sz val="10"/>
        <color theme="1"/>
        <rFont val="Arial"/>
        <charset val="134"/>
      </rPr>
      <t>SC8380</t>
    </r>
  </si>
  <si>
    <r>
      <rPr>
        <sz val="10"/>
        <color theme="1"/>
        <rFont val="Arial"/>
        <charset val="134"/>
      </rPr>
      <t>LPDDR5x-315</t>
    </r>
    <r>
      <rPr>
        <sz val="10"/>
        <color theme="1"/>
        <rFont val="宋体"/>
        <charset val="134"/>
      </rPr>
      <t>球</t>
    </r>
    <r>
      <rPr>
        <sz val="10"/>
        <color theme="1"/>
        <rFont val="Arial"/>
        <charset val="134"/>
      </rPr>
      <t>4G</t>
    </r>
  </si>
  <si>
    <r>
      <rPr>
        <sz val="10"/>
        <rFont val="宋体"/>
        <charset val="134"/>
      </rPr>
      <t>BOM里未含</t>
    </r>
    <r>
      <rPr>
        <sz val="10"/>
        <rFont val="Arial"/>
        <charset val="134"/>
      </rPr>
      <t>license</t>
    </r>
    <r>
      <rPr>
        <sz val="10"/>
        <rFont val="宋体"/>
        <charset val="134"/>
      </rPr>
      <t>费用</t>
    </r>
    <r>
      <rPr>
        <sz val="10"/>
        <rFont val="Arial"/>
        <charset val="134"/>
      </rPr>
      <t>,Cpu</t>
    </r>
    <r>
      <rPr>
        <sz val="10"/>
        <rFont val="宋体"/>
        <charset val="134"/>
      </rPr>
      <t>套料无价格，</t>
    </r>
    <r>
      <rPr>
        <sz val="10"/>
        <rFont val="Arial"/>
        <charset val="134"/>
      </rPr>
      <t>DDR</t>
    </r>
    <r>
      <rPr>
        <sz val="10"/>
        <rFont val="宋体"/>
        <charset val="134"/>
      </rPr>
      <t>用海力士，龙讯</t>
    </r>
    <r>
      <rPr>
        <sz val="10"/>
        <rFont val="Arial"/>
        <charset val="134"/>
      </rPr>
      <t>1</t>
    </r>
    <r>
      <rPr>
        <sz val="10"/>
        <rFont val="宋体"/>
        <charset val="134"/>
      </rPr>
      <t>颗料</t>
    </r>
  </si>
  <si>
    <t>A.F.D.2400105  DB</t>
  </si>
  <si>
    <t>QXN25</t>
  </si>
  <si>
    <t>2026.9.15</t>
  </si>
  <si>
    <t>A.F.M.2401538  SKU1</t>
  </si>
  <si>
    <r>
      <rPr>
        <sz val="10"/>
        <color theme="1"/>
        <rFont val="宋体"/>
        <charset val="134"/>
      </rPr>
      <t>高通</t>
    </r>
    <r>
      <rPr>
        <sz val="10"/>
        <color theme="1"/>
        <rFont val="Arial"/>
        <charset val="134"/>
      </rPr>
      <t>80100</t>
    </r>
  </si>
  <si>
    <t>8GB*4+0</t>
  </si>
  <si>
    <t>移远（825A）</t>
  </si>
  <si>
    <r>
      <rPr>
        <sz val="10"/>
        <color theme="1"/>
        <rFont val="宋体"/>
        <charset val="134"/>
      </rPr>
      <t>镁光</t>
    </r>
    <r>
      <rPr>
        <sz val="10"/>
        <color theme="1"/>
        <rFont val="Arial"/>
        <charset val="134"/>
      </rPr>
      <t>LPDDR5X-315</t>
    </r>
    <r>
      <rPr>
        <sz val="10"/>
        <color theme="1"/>
        <rFont val="宋体"/>
        <charset val="134"/>
      </rPr>
      <t>球</t>
    </r>
    <r>
      <rPr>
        <sz val="10"/>
        <color theme="1"/>
        <rFont val="Arial"/>
        <charset val="134"/>
      </rPr>
      <t>*8GB</t>
    </r>
  </si>
  <si>
    <t>PCB下单前确认价格，移远WIFI7，DDR现询，others含高通套料，已重核价</t>
  </si>
  <si>
    <t>A.F.M.2401539  SKU2</t>
  </si>
  <si>
    <t>高通42100</t>
  </si>
  <si>
    <t>4GB*4+0</t>
  </si>
  <si>
    <r>
      <rPr>
        <sz val="10"/>
        <color theme="1"/>
        <rFont val="宋体"/>
        <charset val="134"/>
      </rPr>
      <t>镁光</t>
    </r>
    <r>
      <rPr>
        <sz val="10"/>
        <color theme="1"/>
        <rFont val="Arial"/>
        <charset val="134"/>
      </rPr>
      <t>LPDDR5X-315</t>
    </r>
    <r>
      <rPr>
        <sz val="10"/>
        <color theme="1"/>
        <rFont val="宋体"/>
        <charset val="134"/>
      </rPr>
      <t>球</t>
    </r>
    <r>
      <rPr>
        <sz val="10"/>
        <color theme="1"/>
        <rFont val="Arial"/>
        <charset val="134"/>
      </rPr>
      <t>*4GB</t>
    </r>
  </si>
  <si>
    <t>A.F.M.2402300  SKU3</t>
  </si>
  <si>
    <r>
      <rPr>
        <sz val="10"/>
        <color theme="1"/>
        <rFont val="宋体"/>
        <charset val="134"/>
      </rPr>
      <t>镁光</t>
    </r>
    <r>
      <rPr>
        <sz val="10"/>
        <color theme="1"/>
        <rFont val="Arial"/>
        <charset val="134"/>
      </rPr>
      <t>LPDDR5X-315</t>
    </r>
    <r>
      <rPr>
        <sz val="10"/>
        <color theme="1"/>
        <rFont val="宋体"/>
        <charset val="134"/>
      </rPr>
      <t>球</t>
    </r>
    <r>
      <rPr>
        <sz val="10"/>
        <color theme="1"/>
        <rFont val="Arial"/>
        <charset val="134"/>
      </rPr>
      <t>*8G</t>
    </r>
    <r>
      <rPr>
        <b/>
        <sz val="10"/>
        <color theme="1"/>
        <rFont val="Arial"/>
        <charset val="134"/>
      </rPr>
      <t>B</t>
    </r>
  </si>
  <si>
    <t>PCB下单前确认价格，移远WIFI7，DDR 现询，others含高通套料，已重核价</t>
  </si>
  <si>
    <t>A.F.M.2402301  SKU4</t>
  </si>
  <si>
    <t>高通64100</t>
  </si>
  <si>
    <t>A.F.M.2402302  SKU5</t>
  </si>
  <si>
    <t>A.F.M.2500491  SKU6</t>
  </si>
  <si>
    <t>A.F.M.2500618  SKU7</t>
  </si>
  <si>
    <t>A.F.M.2500986   SKU8</t>
  </si>
  <si>
    <t>晶存LPDDR5X-315球*8GB</t>
  </si>
  <si>
    <t>A.F.M.2500987   SKU9</t>
  </si>
  <si>
    <r>
      <rPr>
        <sz val="10"/>
        <color theme="1"/>
        <rFont val="宋体"/>
        <charset val="134"/>
      </rPr>
      <t>三星</t>
    </r>
    <r>
      <rPr>
        <sz val="10"/>
        <color theme="1"/>
        <rFont val="Arial"/>
        <charset val="134"/>
      </rPr>
      <t>LPDDR5X-315</t>
    </r>
    <r>
      <rPr>
        <sz val="10"/>
        <color theme="1"/>
        <rFont val="宋体"/>
        <charset val="134"/>
      </rPr>
      <t>球</t>
    </r>
    <r>
      <rPr>
        <sz val="10"/>
        <color theme="1"/>
        <rFont val="Arial"/>
        <charset val="134"/>
      </rPr>
      <t>*8GB</t>
    </r>
  </si>
  <si>
    <t>PCB下单前确认价格，移远WIFI7，DDRC现询，others含高通套料，已重核价</t>
  </si>
  <si>
    <t>A.F.M.2500988  SKU10</t>
  </si>
  <si>
    <t>镁光LPDDR5X-315球*4GB</t>
  </si>
  <si>
    <t>A.F.M.2501033  SKU11</t>
  </si>
  <si>
    <t>高通126100</t>
  </si>
  <si>
    <r>
      <rPr>
        <sz val="10"/>
        <color theme="1"/>
        <rFont val="宋体"/>
        <charset val="134"/>
      </rPr>
      <t>三星</t>
    </r>
    <r>
      <rPr>
        <sz val="10"/>
        <color theme="1"/>
        <rFont val="Arial"/>
        <charset val="134"/>
      </rPr>
      <t>LPDDR5X-315</t>
    </r>
    <r>
      <rPr>
        <sz val="10"/>
        <color theme="1"/>
        <rFont val="宋体"/>
        <charset val="134"/>
      </rPr>
      <t>球</t>
    </r>
    <r>
      <rPr>
        <sz val="10"/>
        <color theme="1"/>
        <rFont val="Arial"/>
        <charset val="134"/>
      </rPr>
      <t>*4GB</t>
    </r>
  </si>
  <si>
    <t>A.F.M.2501034  SKU12</t>
  </si>
  <si>
    <t>镁光LPDDR5X-315球*8GB</t>
  </si>
  <si>
    <t>CPU套料客供，PCB下单前确认价格，移远WIFI7，DDR现询，已重核价</t>
  </si>
  <si>
    <t>A.F.M.2501386  SKU13</t>
  </si>
  <si>
    <r>
      <rPr>
        <sz val="10"/>
        <color theme="1"/>
        <rFont val="宋体"/>
        <charset val="134"/>
      </rPr>
      <t>三星</t>
    </r>
    <r>
      <rPr>
        <sz val="10"/>
        <color theme="1"/>
        <rFont val="Arial"/>
        <charset val="134"/>
      </rPr>
      <t>LPDDR5X-315</t>
    </r>
    <r>
      <rPr>
        <sz val="10"/>
        <color theme="1"/>
        <rFont val="宋体"/>
        <charset val="134"/>
      </rPr>
      <t>球</t>
    </r>
    <r>
      <rPr>
        <sz val="10"/>
        <color theme="1"/>
        <rFont val="Arial"/>
        <charset val="134"/>
      </rPr>
      <t>*16GB</t>
    </r>
  </si>
  <si>
    <t>A.F.M.2501926 SKU14</t>
  </si>
  <si>
    <t>A.F.M.2502008  SKU15</t>
  </si>
  <si>
    <t>PCB下单前确认价格，DDR 现询，others含高通套料，已重核价</t>
  </si>
  <si>
    <t>A.F.M.2502009  SKU16</t>
  </si>
  <si>
    <t>晶存LPDDR5X-315球*4GB</t>
  </si>
  <si>
    <t>PCB下单前确认价格，DDR现询，others含高通套料，已重核价</t>
  </si>
  <si>
    <t>高通CPU套料不含在报价里，PCB四会下单前确认价格，DDR现询，标案500K</t>
  </si>
  <si>
    <t>A.F.M.2502195 SKU17</t>
  </si>
  <si>
    <t>A.F.M.2502692  SKU18</t>
  </si>
  <si>
    <t>PCB下单前确认价格，移远WIFI7，DDR现询，others含高通套料,已重核价</t>
  </si>
  <si>
    <t>A.F.D.2600017 DB</t>
  </si>
  <si>
    <t>A.F.D.2500326 DB</t>
  </si>
  <si>
    <t>A.F.D.2500327 DB</t>
  </si>
  <si>
    <t>2026.9.17</t>
  </si>
  <si>
    <t>A.F.D.2400346  DB</t>
  </si>
  <si>
    <t>小板价格参考，以实单为准</t>
  </si>
  <si>
    <t>A.F.D.2400347  DB</t>
  </si>
  <si>
    <t>A.F.D.2500061 DB</t>
  </si>
  <si>
    <t>A.F.D.2400239  DB</t>
  </si>
  <si>
    <t>QKN25</t>
  </si>
  <si>
    <t>A.F.D.2600161  DB</t>
  </si>
  <si>
    <t>A.F.D.2600208  DB</t>
  </si>
  <si>
    <t>A.F.D.2600279  DB</t>
  </si>
  <si>
    <t>A.F.M.2601206   SKU1</t>
  </si>
  <si>
    <t>高通SC-8270P</t>
  </si>
  <si>
    <t>8GB+0</t>
  </si>
  <si>
    <t>富士康NCM620B</t>
  </si>
  <si>
    <t>LRDDR5 64Gb海力士</t>
  </si>
  <si>
    <t>BOM删减板科，翔板子实时核价，选配功能单独核价</t>
  </si>
  <si>
    <t>4GB+128GB</t>
  </si>
  <si>
    <r>
      <rPr>
        <sz val="10"/>
        <color theme="1"/>
        <rFont val="Arial"/>
        <charset val="134"/>
      </rPr>
      <t>LRDDR5 32Gb</t>
    </r>
    <r>
      <rPr>
        <sz val="10"/>
        <color theme="1"/>
        <rFont val="宋体"/>
        <charset val="134"/>
      </rPr>
      <t>海力士</t>
    </r>
    <r>
      <rPr>
        <sz val="10"/>
        <color theme="1"/>
        <rFont val="Arial"/>
        <charset val="134"/>
      </rPr>
      <t>,</t>
    </r>
    <r>
      <rPr>
        <sz val="10"/>
        <color theme="1"/>
        <rFont val="宋体"/>
        <charset val="134"/>
      </rPr>
      <t>佰维UFS3.1 128GB</t>
    </r>
  </si>
  <si>
    <t>科翔板子实时核价，others含高通套料</t>
  </si>
  <si>
    <t>A.F.M.2601207   SKU2</t>
  </si>
  <si>
    <t>8GB+128GB</t>
  </si>
  <si>
    <r>
      <rPr>
        <sz val="10"/>
        <color theme="1"/>
        <rFont val="Arial"/>
        <charset val="134"/>
      </rPr>
      <t>LRDDR5 8GB</t>
    </r>
    <r>
      <rPr>
        <sz val="10"/>
        <color theme="1"/>
        <rFont val="宋体"/>
        <charset val="134"/>
      </rPr>
      <t>海力士</t>
    </r>
    <r>
      <rPr>
        <sz val="10"/>
        <color theme="1"/>
        <rFont val="Arial"/>
        <charset val="134"/>
      </rPr>
      <t xml:space="preserve">  UFS3.1</t>
    </r>
    <r>
      <rPr>
        <sz val="10"/>
        <color theme="1"/>
        <rFont val="宋体"/>
        <charset val="134"/>
      </rPr>
      <t>佰维</t>
    </r>
    <r>
      <rPr>
        <sz val="10"/>
        <color theme="1"/>
        <rFont val="Arial"/>
        <charset val="134"/>
      </rPr>
      <t>128G</t>
    </r>
  </si>
  <si>
    <t>A.F.M.2602244 SKU4</t>
  </si>
  <si>
    <r>
      <rPr>
        <sz val="10"/>
        <color theme="1"/>
        <rFont val="Arial"/>
        <charset val="134"/>
      </rPr>
      <t>LRDDR5 64Gb</t>
    </r>
    <r>
      <rPr>
        <sz val="10"/>
        <color theme="1"/>
        <rFont val="宋体"/>
        <charset val="134"/>
      </rPr>
      <t>海力士</t>
    </r>
    <r>
      <rPr>
        <sz val="10"/>
        <color theme="1"/>
        <rFont val="Arial"/>
        <charset val="134"/>
      </rPr>
      <t xml:space="preserve"> </t>
    </r>
  </si>
  <si>
    <t>A.F.M.2602243  SKU3</t>
  </si>
  <si>
    <r>
      <rPr>
        <sz val="10"/>
        <color theme="1"/>
        <rFont val="Arial"/>
        <charset val="134"/>
      </rPr>
      <t>LRDDR5 64Gb*1</t>
    </r>
    <r>
      <rPr>
        <sz val="10"/>
        <color theme="1"/>
        <rFont val="宋体"/>
        <charset val="134"/>
      </rPr>
      <t>海力士</t>
    </r>
    <r>
      <rPr>
        <sz val="10"/>
        <color theme="1"/>
        <rFont val="Arial"/>
        <charset val="134"/>
      </rPr>
      <t xml:space="preserve">  UFS</t>
    </r>
    <r>
      <rPr>
        <sz val="10"/>
        <color theme="1"/>
        <rFont val="宋体"/>
        <charset val="134"/>
      </rPr>
      <t>佰维</t>
    </r>
    <r>
      <rPr>
        <sz val="10"/>
        <color theme="1"/>
        <rFont val="Arial"/>
        <charset val="134"/>
      </rPr>
      <t>128G</t>
    </r>
  </si>
  <si>
    <t>QXN35</t>
  </si>
  <si>
    <r>
      <rPr>
        <sz val="10"/>
        <color theme="1"/>
        <rFont val="宋体"/>
        <charset val="134"/>
      </rPr>
      <t>备料</t>
    </r>
    <r>
      <rPr>
        <sz val="10"/>
        <color theme="1"/>
        <rFont val="Arial"/>
        <charset val="134"/>
      </rPr>
      <t>BOM</t>
    </r>
  </si>
  <si>
    <r>
      <rPr>
        <sz val="10"/>
        <color theme="1"/>
        <rFont val="宋体"/>
        <charset val="134"/>
      </rPr>
      <t>高通X</t>
    </r>
    <r>
      <rPr>
        <sz val="10"/>
        <color theme="1"/>
        <rFont val="Arial"/>
        <charset val="134"/>
      </rPr>
      <t>12-6100</t>
    </r>
  </si>
  <si>
    <t>镁光LPDDR5X-315球64Gb*4</t>
  </si>
  <si>
    <r>
      <rPr>
        <sz val="10"/>
        <rFont val="Arial"/>
        <charset val="134"/>
      </rPr>
      <t>others</t>
    </r>
    <r>
      <rPr>
        <sz val="10"/>
        <rFont val="宋体"/>
        <charset val="134"/>
      </rPr>
      <t>含高通套料</t>
    </r>
  </si>
  <si>
    <t>2026.9.24</t>
  </si>
  <si>
    <t>A.F.M.2602469 SKU1</t>
  </si>
  <si>
    <t>LPDDR5X-315球32Gb*4</t>
  </si>
  <si>
    <t>A.F.M.2602470 SKU2</t>
  </si>
  <si>
    <t>8GB*4+128GB</t>
  </si>
  <si>
    <t>野马士LPDDR5X-315球64Gb*4,三星UFS3.1 128GB</t>
  </si>
  <si>
    <t>A.F.M.2602583  SKU3</t>
  </si>
  <si>
    <t>镁光LPDDR5X-315球32Gb*4</t>
  </si>
  <si>
    <t>X2+QXN25</t>
  </si>
  <si>
    <r>
      <rPr>
        <sz val="10"/>
        <color theme="1"/>
        <rFont val="宋体"/>
        <charset val="134"/>
      </rPr>
      <t>核价</t>
    </r>
    <r>
      <rPr>
        <sz val="10"/>
        <color theme="1"/>
        <rFont val="Arial"/>
        <charset val="134"/>
      </rPr>
      <t>BOM</t>
    </r>
  </si>
  <si>
    <t>高通X2E88100</t>
  </si>
  <si>
    <r>
      <rPr>
        <sz val="10"/>
        <color theme="1"/>
        <rFont val="宋体"/>
        <charset val="134"/>
      </rPr>
      <t>三星</t>
    </r>
    <r>
      <rPr>
        <sz val="10"/>
        <color theme="1"/>
        <rFont val="Arial"/>
        <charset val="134"/>
      </rPr>
      <t>LPDDR5X-315</t>
    </r>
    <r>
      <rPr>
        <sz val="10"/>
        <color theme="1"/>
        <rFont val="宋体"/>
        <charset val="134"/>
      </rPr>
      <t>球</t>
    </r>
    <r>
      <rPr>
        <sz val="10"/>
        <color theme="1"/>
        <rFont val="Arial"/>
        <charset val="134"/>
      </rPr>
      <t>*16GB*4</t>
    </r>
  </si>
  <si>
    <r>
      <rPr>
        <sz val="10"/>
        <rFont val="Arial"/>
        <charset val="134"/>
      </rPr>
      <t>others</t>
    </r>
    <r>
      <rPr>
        <sz val="10"/>
        <rFont val="宋体"/>
        <charset val="134"/>
      </rPr>
      <t>含高通套料</t>
    </r>
    <r>
      <rPr>
        <sz val="10"/>
        <rFont val="Arial"/>
        <charset val="134"/>
      </rPr>
      <t>, PCB</t>
    </r>
    <r>
      <rPr>
        <sz val="10"/>
        <rFont val="宋体"/>
        <charset val="134"/>
      </rPr>
      <t>参考QXN25报价</t>
    </r>
    <r>
      <rPr>
        <sz val="10"/>
        <rFont val="Arial"/>
        <charset val="134"/>
      </rPr>
      <t>,</t>
    </r>
    <r>
      <rPr>
        <sz val="10"/>
        <rFont val="宋体"/>
        <charset val="134"/>
      </rPr>
      <t>以实单为准</t>
    </r>
  </si>
  <si>
    <t>美金价格</t>
  </si>
  <si>
    <t>紫光不满足5和7套料必搭037wifi出货,消原厂呆滞</t>
  </si>
  <si>
    <t>others</t>
  </si>
  <si>
    <t>Z60N31（12L+HDI2+沉金）</t>
  </si>
  <si>
    <t>2026.7.13</t>
  </si>
  <si>
    <t>A.F.D.2300208  DB</t>
  </si>
  <si>
    <t>A.F.D.2300359  DB</t>
  </si>
  <si>
    <t>A.F.D.2400072  DB</t>
  </si>
  <si>
    <t>A.F.M.2300966 SKU1</t>
  </si>
  <si>
    <t>UMS9620(紫光展锐)</t>
  </si>
  <si>
    <t>正基(AMPAK)</t>
  </si>
  <si>
    <t>江波龙/LPDDR4x-200球*4G,EMMC佰维64G（无货）</t>
  </si>
  <si>
    <t>紫光展锐套料含1颗WIFI,BOM里双WIFI</t>
  </si>
  <si>
    <t>A.F.M.2302195 SKU2</t>
  </si>
  <si>
    <t>UMW2651(展锐）</t>
  </si>
  <si>
    <t>佰维/LPDDR4x-200球*4G,EMMC佰维64G（无货）</t>
  </si>
  <si>
    <t>紫光展锐套料包含WIFI</t>
  </si>
  <si>
    <t>A.F.M.2302305 SKU3</t>
  </si>
  <si>
    <t>佰维/LPDDR4x-200球*4G,EMMC佰维32G（无货）</t>
  </si>
  <si>
    <t>紫光展锐套料</t>
  </si>
  <si>
    <t>A.F.M.2400671  SKU4</t>
  </si>
  <si>
    <t>佰维/LPDDR4x-200球*4G，EMMC佰维64G（无货）</t>
  </si>
  <si>
    <t>ZP29（12L+HDI+沉金）</t>
  </si>
  <si>
    <t>A.F.M.2300345 SKU1</t>
  </si>
  <si>
    <t>A.F.M.2302349 SKU2</t>
  </si>
  <si>
    <t>江波龙/LPDDR4x-200球*8G</t>
  </si>
  <si>
    <t>ZP60</t>
  </si>
  <si>
    <t>A.F.D.2200012 DB</t>
  </si>
  <si>
    <t>A.F.M.2200010 SKU1</t>
  </si>
  <si>
    <t>展锐(UMW2652）</t>
  </si>
  <si>
    <t>大为报价/LPDDR4x-200球*4G</t>
  </si>
  <si>
    <t>A.F.M.2300245 SKU2</t>
  </si>
  <si>
    <t>A.F.M.2301004 SKU3</t>
  </si>
  <si>
    <t>Z60N11</t>
  </si>
  <si>
    <t xml:space="preserve">A.F.M.2302331 SKU1  </t>
  </si>
  <si>
    <t>展锐(UMW2651)</t>
  </si>
  <si>
    <t>佰维/LPDDR4x-200球*4G，EMMC佰维64G(无货）</t>
  </si>
  <si>
    <t>A.F.M.2302332  SKU2</t>
  </si>
  <si>
    <t>佰维/LPDDR4x-200球*4，EMMC佰维64G（无货）</t>
  </si>
  <si>
    <t>A.F.M.2400393  SKU3</t>
  </si>
  <si>
    <t>佰维/LPDDR4x-200球*4G，EMMC佰维32G（无货）</t>
  </si>
  <si>
    <t>A.F.D.2400123  DB</t>
  </si>
  <si>
    <t>A.F.D.2400010 DB</t>
  </si>
  <si>
    <t>A.F.D.2500136 DB</t>
  </si>
  <si>
    <t>Z820N11</t>
  </si>
  <si>
    <t>A.F.M.2401952 SKU1</t>
  </si>
  <si>
    <t>UMS9620S(紫光展锐)</t>
  </si>
  <si>
    <t>时创意/LPDDR4x-200球*6G，EMMC群联128G</t>
  </si>
  <si>
    <t>Z820N31</t>
  </si>
  <si>
    <t>A.F.M.2402065 SKU1</t>
  </si>
  <si>
    <t>AP6275P(正基)</t>
  </si>
  <si>
    <t>A.F.M.2402128 SKU2</t>
  </si>
  <si>
    <t>Z60P86</t>
  </si>
  <si>
    <t>A.F.M.2401669 SKU1</t>
  </si>
  <si>
    <t>时创意/LPDDR4x-200球*6G，EMMC佰维128G</t>
  </si>
  <si>
    <t>A.F.M.2401670 SKU2</t>
  </si>
  <si>
    <t>A.F.M.2500008  SKU3</t>
  </si>
  <si>
    <t>紫光展锐套料(7套料），已重核价</t>
  </si>
  <si>
    <t>A.F.D.2400249  DB</t>
  </si>
  <si>
    <t>A.F.D.2500001  DB</t>
  </si>
  <si>
    <t>已重核价</t>
  </si>
  <si>
    <t>ZP760x</t>
  </si>
  <si>
    <t>SK1 A.F.M.2300133</t>
  </si>
  <si>
    <t>8+256G</t>
  </si>
  <si>
    <t>A.F.D.2300020 DB</t>
  </si>
  <si>
    <t>z820P38（12L+HDI2+沉金）</t>
  </si>
  <si>
    <t>A.F.M.2301290 SKU1</t>
  </si>
  <si>
    <t>江波龙/LPDDR4x-200球*8G，EMMC江波龙256G</t>
  </si>
  <si>
    <t>紫光展锐套料包含WIFI,含A.F.D.2300258 小板</t>
  </si>
  <si>
    <t>A.F.M.2302296 SKU2</t>
  </si>
  <si>
    <t>A.F.M.2400132 SKU3</t>
  </si>
  <si>
    <t>2026.8.21</t>
  </si>
  <si>
    <t>A.F.M.2400417 SKU4</t>
  </si>
  <si>
    <t>长鑫//LPDDR4x-200球*8G，EMMC群联128G</t>
  </si>
  <si>
    <t>A.F.M.2400491 SKU5</t>
  </si>
  <si>
    <t>长鑫//LPDDR4x-200球*8G，MMC群联128G</t>
  </si>
  <si>
    <t>A.F.D.2300232 DB</t>
  </si>
  <si>
    <t>A.F.D.2300231 DB</t>
  </si>
  <si>
    <t>A.F.D.2300258 DB</t>
  </si>
  <si>
    <t>A.F.D.2300358 DB</t>
  </si>
  <si>
    <t>A.F.D.2300360 DB</t>
  </si>
  <si>
    <t>Z820N69
(12L+HDI2+沉金）</t>
  </si>
  <si>
    <t>A.F.M.2301047 SKU1</t>
  </si>
  <si>
    <t>佰维/LPDDR4x-200球*4G，UFS三星128G3.1</t>
  </si>
  <si>
    <t>紫光展锐套料，佰维无货</t>
  </si>
  <si>
    <t>A.F.M.2301534 SKU2</t>
  </si>
  <si>
    <t>佰维/LPDDR4x-200球*4G，UFS群联64G3.1</t>
  </si>
  <si>
    <t>A.F.M.2301552 SKU3</t>
  </si>
  <si>
    <t>A.F.M.2302135 SKU4</t>
  </si>
  <si>
    <t>A.F.M.2302414 SKU5</t>
  </si>
  <si>
    <t>紫光展锐套料包含WIFI，佰维无货</t>
  </si>
  <si>
    <t>A.F.M.2302415 SKU6</t>
  </si>
  <si>
    <t>A.F.D.2300286 DB</t>
  </si>
  <si>
    <t>A.F.D.2300224 DB</t>
  </si>
  <si>
    <t>Z06P30</t>
  </si>
  <si>
    <t>临时BOM</t>
  </si>
  <si>
    <t>UMS9230(紫光展锐)</t>
  </si>
  <si>
    <t>江波龙/LPDDR4x-200球*4G</t>
  </si>
  <si>
    <t>A.F.M.2300545  SKU1</t>
  </si>
  <si>
    <t>ZS80P38</t>
  </si>
  <si>
    <t>A.F.M.2400169  SKU1</t>
  </si>
  <si>
    <t>紫光展锐套料含1颗WIFI</t>
  </si>
  <si>
    <t>Z820P68
（12L+HDI+沉金）</t>
  </si>
  <si>
    <t>A.F.M.2400821  SKU1</t>
  </si>
  <si>
    <t>UMW2652(展锐）</t>
  </si>
  <si>
    <t>江波龙/LPDDR4x-200球*8G,UFS群联128G3.1</t>
  </si>
  <si>
    <t>A.F.M.2400834  SKU2</t>
  </si>
  <si>
    <t>A.F.M.2500040  SKU3</t>
  </si>
  <si>
    <t>紫光展锐套料，,GNSS模块加到others，含009小板,已重核价</t>
  </si>
  <si>
    <t>A.F.M.2500863  SKU4</t>
  </si>
  <si>
    <t>长鑫//LPDDR4x-200球*8GB，UFS长存3.1 128G</t>
  </si>
  <si>
    <t>紫光展锐套料无WIFI,GNSS模块加到others,含009小板</t>
  </si>
  <si>
    <t>A.F.D.2400134  DB</t>
  </si>
  <si>
    <t>A.F.D.2400135  DB</t>
  </si>
  <si>
    <t>A.F.D.2400136  DB</t>
  </si>
  <si>
    <t>BOM里有颗加密芯片</t>
  </si>
  <si>
    <t>A.F.D.2400137  DB</t>
  </si>
  <si>
    <t>A.F.D.2500006  DB</t>
  </si>
  <si>
    <t>A.F.D.2500008  DB</t>
  </si>
  <si>
    <t>A.F.D.2500007  DB</t>
  </si>
  <si>
    <t>A.F.D.2500009   DB</t>
  </si>
  <si>
    <t>Z820P86</t>
  </si>
  <si>
    <t>A.F.M.2402208  SKU1</t>
  </si>
  <si>
    <t>Z820P81A</t>
  </si>
  <si>
    <t>A.F.M.2500784 SKU1</t>
  </si>
  <si>
    <t>长鑫//LPDDR4x-200球*8GB，UFS长存3.1 256G</t>
  </si>
  <si>
    <t>紫光展锐套料，other里含模块,搭配小板096、097、098小板</t>
  </si>
  <si>
    <t>A.F.M.2501382  SKU2</t>
  </si>
  <si>
    <t>紫光展锐套料，other里含模块,无WIFI，搭配098小板</t>
  </si>
  <si>
    <t>A.F.M.2501828   SKU3</t>
  </si>
  <si>
    <t>紫光展锐套料，other里含模块,搭配098小板</t>
  </si>
  <si>
    <t>A.F.M.2501829  SKU4</t>
  </si>
  <si>
    <t>12G+512G</t>
  </si>
  <si>
    <t>长鑫//LPDDR4x-200球*12GB，UFS长存3.1 512G</t>
  </si>
  <si>
    <t>紫光展锐套料，other里含模块,搭配097、098小板</t>
  </si>
  <si>
    <t>A.F.M.2501768  SKU5</t>
  </si>
  <si>
    <t>A.F.M.2502290 SKU6</t>
  </si>
  <si>
    <t>紫光展锐套料，other里含模块,无WIFI，已含098小板</t>
  </si>
  <si>
    <t>A.F.M.2502848  SKU7</t>
  </si>
  <si>
    <t>A.F.M.2502849  SKU8</t>
  </si>
  <si>
    <t>A.F.M.2503143  SKU9</t>
  </si>
  <si>
    <t>紫光展锐套料，other里含模块,无WIFI，已含098小板,已重核价</t>
  </si>
  <si>
    <t>A.F.M.2503144 SKU10</t>
  </si>
  <si>
    <t>2026.7.22</t>
  </si>
  <si>
    <t>A.F.M.2602058  SKU11</t>
  </si>
  <si>
    <t>2026.8.13</t>
  </si>
  <si>
    <t>A.F.M.2602633  SKU12</t>
  </si>
  <si>
    <t>A.F.M.2602634  SKU13</t>
  </si>
  <si>
    <t>A.F.M.2602635  SKU14</t>
  </si>
  <si>
    <t>A.F.D.2500283\A.F.D.2500282</t>
  </si>
  <si>
    <t>合并DB</t>
  </si>
  <si>
    <t>A.F.D.2500094  DB</t>
  </si>
  <si>
    <t>094、095共用BOM</t>
  </si>
  <si>
    <t>A.F.D.2500095  DB</t>
  </si>
  <si>
    <t>A.F.D.2500096  DB</t>
  </si>
  <si>
    <t>A.F.D.2500097  DB</t>
  </si>
  <si>
    <t>A.F.D.2500098 DB</t>
  </si>
  <si>
    <t>A.F.D.2500226 \A.F.D.2500227 DB</t>
  </si>
  <si>
    <t>A.F.D.2500448\ A.F.D.2500283DB</t>
  </si>
  <si>
    <t>Z820P81</t>
  </si>
  <si>
    <t>2026.8.17</t>
  </si>
  <si>
    <t>A.F.M.2602101  SKU1</t>
  </si>
  <si>
    <t>Z820P81B</t>
  </si>
  <si>
    <t>2026.9.16</t>
  </si>
  <si>
    <t>A.F.M.2503057  SKU1</t>
  </si>
  <si>
    <t>紫光展锐套料包含WIFI，搭配A.F.D.2500098 小板</t>
  </si>
  <si>
    <t>2026.9.20</t>
  </si>
  <si>
    <t>A.F.M.2603132  SKU2</t>
  </si>
  <si>
    <t>A.F.D.2500283</t>
  </si>
  <si>
    <t>合并DBA.F.D.2500481</t>
  </si>
  <si>
    <t>A.F.D.2500481</t>
  </si>
  <si>
    <t>合并DBA.F.D.2500283</t>
  </si>
  <si>
    <t>Z820P81C</t>
  </si>
  <si>
    <t>2026.9.2</t>
  </si>
  <si>
    <t>A.F.M.2602823  SKU1</t>
  </si>
  <si>
    <t>R68A6</t>
  </si>
  <si>
    <t>A.F.M.2200155 SKU1</t>
  </si>
  <si>
    <t>No Type c</t>
  </si>
  <si>
    <t>RK3568B2(瑞芯微）</t>
  </si>
  <si>
    <t>2G+16G</t>
  </si>
  <si>
    <t>AP6212</t>
  </si>
  <si>
    <t>SDINBDA2-16G西数/LPDDR4x-200球*2G</t>
  </si>
  <si>
    <t>CPU套价</t>
  </si>
  <si>
    <t>A.F.M.2300571 SKU2</t>
  </si>
  <si>
    <t>2G+32G</t>
  </si>
  <si>
    <t>8822CS</t>
  </si>
  <si>
    <t>佰维32G /LPDDR4x-200球*2G</t>
  </si>
  <si>
    <t>A.F.M.2302073 SKU3</t>
  </si>
  <si>
    <t>WD_8822CS(妙明智能)</t>
  </si>
  <si>
    <t>大为LPDDR4x-200球*2G</t>
  </si>
  <si>
    <t>A.F.M.2302074 SKU4</t>
  </si>
  <si>
    <t>A.F.M.2400418  SKU5</t>
  </si>
  <si>
    <t>大为LPDDR4x-200球*2G，EMMC时创意</t>
  </si>
  <si>
    <t>A.F.M.2400440  SKU6</t>
  </si>
  <si>
    <t>大为LPDDR4x-200球*2G,EMMC时创意32GB</t>
  </si>
  <si>
    <t>A.F.D.2300021 USB DB</t>
  </si>
  <si>
    <t>R68A6R</t>
  </si>
  <si>
    <t>A.F.M.2401546 SKU2</t>
  </si>
  <si>
    <t>A.F.M.2402454 SKU3</t>
  </si>
  <si>
    <t>大为LPDDR4x-200球*2G,群联时创意32GB</t>
  </si>
  <si>
    <t>R68A7</t>
  </si>
  <si>
    <t>A.F.M.2301025 SKU1</t>
  </si>
  <si>
    <t>AP6256(正基)</t>
  </si>
  <si>
    <t>佰维BWCC2X32N2A-32G-X LPDDR4x-200球</t>
  </si>
  <si>
    <t>CPU套价， DDR和EMMC需重新验证新料</t>
  </si>
  <si>
    <t>A.F.M.2302017 SKU2</t>
  </si>
  <si>
    <t>R68N11</t>
  </si>
  <si>
    <t>A.F.M.2301041 SKU1</t>
  </si>
  <si>
    <t>佰维BWSRSX32H2A-16G-200球*2G</t>
  </si>
  <si>
    <t>A.F.M.2301042 SKU2</t>
  </si>
  <si>
    <t>佰维(BIWIN)/LPDDR4x-200球*4G</t>
  </si>
  <si>
    <t>A.F.M.2301602 SKU3</t>
  </si>
  <si>
    <t>FG6252BPRX-02(欧智通）</t>
  </si>
  <si>
    <t>大为报价，EMMC时创意</t>
  </si>
  <si>
    <t>A.F.M.2302125 SKU4</t>
  </si>
  <si>
    <t>大为LPDDR4x-200球*4G（4266频率）,EMMC群联32GB</t>
  </si>
  <si>
    <t>2026.7.29</t>
  </si>
  <si>
    <t>A.F.M.2302377SKU5</t>
  </si>
  <si>
    <t>A.F.M.2400225 SKU6</t>
  </si>
  <si>
    <t>A.F.M.2400226 SKU7</t>
  </si>
  <si>
    <t>A.F.M.2400379 SKU8</t>
  </si>
  <si>
    <t>CPU套价, DDR和EMMC需重新验证新料</t>
  </si>
  <si>
    <t>A.F.M.2400380 SKU9</t>
  </si>
  <si>
    <t>佰维BWCC2X32N2A-32G-X LPDDR4x-200球，EMMC群联报价</t>
  </si>
  <si>
    <t>A.F.M.2401853 SKU10</t>
  </si>
  <si>
    <t>CPU套价，wifi市场拿货价格高，正常渠道交期长。</t>
  </si>
  <si>
    <t>A.F.M.2401854  SKU11</t>
  </si>
  <si>
    <t>大为LPDDR4x-200球*4G（4266频率）,EMMC时创意32GB</t>
  </si>
  <si>
    <t>A.F.M.2600847  SKU12</t>
  </si>
  <si>
    <t>CDW-47852BS(中龙通）</t>
  </si>
  <si>
    <t>A.F.D.2400304  DB</t>
  </si>
  <si>
    <t>A.F.D.2300279 DB</t>
  </si>
  <si>
    <t>A.F.D.2400228 DB</t>
  </si>
  <si>
    <t>A.F.D.2300340 DB</t>
  </si>
  <si>
    <t>A.F.D.2400065 DB</t>
  </si>
  <si>
    <t>A.F.D.2400108  DB</t>
  </si>
  <si>
    <t>A.F.D.2400165 DB</t>
  </si>
  <si>
    <t>A.F.D.2400328 DB</t>
  </si>
  <si>
    <t>A.F.D.2400007  DB</t>
  </si>
  <si>
    <t>A.F.D.2400357  DB</t>
  </si>
  <si>
    <t>R68N11L</t>
  </si>
  <si>
    <t>A.F.M.2402123  SKU1</t>
  </si>
  <si>
    <t>RK3568B2(瑞芯微)</t>
  </si>
  <si>
    <t>大为(BIWIN)/LPDDR4x-200球,emm时创意32G</t>
  </si>
  <si>
    <t>R68N31</t>
  </si>
  <si>
    <t>A.F.M.2300348 SKU1</t>
  </si>
  <si>
    <t>佰维(BIWIN)/LPDDR4x-200球*2G，EMMC时创意报价</t>
  </si>
  <si>
    <t>A.F.M.2300360 SKU2</t>
  </si>
  <si>
    <t>A.F.M.2300361 SKU3</t>
  </si>
  <si>
    <t>A.F.M.2300913 SKU4</t>
  </si>
  <si>
    <t>佰维BWCGBX32N2A-32G-X200球,EMMC群联32G</t>
  </si>
  <si>
    <t>CPU套价, DDR需重新验证</t>
  </si>
  <si>
    <t>A.F.M.2300914 SKU5</t>
  </si>
  <si>
    <t>佰维BWMZCX32H2A-32G-X200球</t>
  </si>
  <si>
    <t xml:space="preserve">A.F.M.2300976 SKU6 </t>
  </si>
  <si>
    <t>Type</t>
  </si>
  <si>
    <t>佰维(BIWIN)/LPDDR4x-200球*2G</t>
  </si>
  <si>
    <t>A.F.M.2301024 SKU7</t>
  </si>
  <si>
    <t>大为LPDDR4x-200球*4G(4266频率）,emm群联32G</t>
  </si>
  <si>
    <t>A.F.M.2301561 SKU8</t>
  </si>
  <si>
    <t>CPU套价，大为报价，EMMC需证新料</t>
  </si>
  <si>
    <t>2026.8.11</t>
  </si>
  <si>
    <t>A.F.M.2301562 SKU9</t>
  </si>
  <si>
    <t>A.F.M.2402062 SKU10</t>
  </si>
  <si>
    <t>大为(BIWIN)/LPDDR4x-200球*2G,emm时创意</t>
  </si>
  <si>
    <t>A.F.D.2300182  USB DB</t>
  </si>
  <si>
    <t>A.F.D.2300183  USB DB</t>
  </si>
  <si>
    <t>A.F.D.2300163 USB DB</t>
  </si>
  <si>
    <t>A.F.D.2300164  USB DB</t>
  </si>
  <si>
    <t>A.F.D.2300077 USB DB</t>
  </si>
  <si>
    <t>A.F.D.2300063 USB DB</t>
  </si>
  <si>
    <t>A.F.D.2300277  USB DB</t>
  </si>
  <si>
    <t>A.F.D.2300278  USB DB</t>
  </si>
  <si>
    <t>R68A10</t>
  </si>
  <si>
    <t>A.F.M.2400720   SKU1</t>
  </si>
  <si>
    <t>CDW-475621D（中龙通）</t>
  </si>
  <si>
    <t>CPU套价，多一颗HDMI IN的芯片</t>
  </si>
  <si>
    <t>A.F.M.2400721   SKU2</t>
  </si>
  <si>
    <t>WD_RTL8852BS(妙明智能）</t>
  </si>
  <si>
    <t>R68A21</t>
  </si>
  <si>
    <t>A.F.M.2400175   SKU2</t>
  </si>
  <si>
    <t>A.F.M.2400288   SKU3</t>
  </si>
  <si>
    <t>A.F.M.2400751   SKU4</t>
  </si>
  <si>
    <t>A.F.M.2401021  SKU5</t>
  </si>
  <si>
    <t>A.F.M.2401310   SKU6</t>
  </si>
  <si>
    <t>A.F.M.2401311  SKU7</t>
  </si>
  <si>
    <t>A.F.M.2401887  SKU8</t>
  </si>
  <si>
    <t>A.F.M.2500983  SKU9</t>
  </si>
  <si>
    <t>大为LPDDR4x-200球*2G,EMMC群联32GB</t>
  </si>
  <si>
    <t>CPU套价，多一颗HDMI IN的芯片,板子假8层 树塞，孔密度较大</t>
  </si>
  <si>
    <t>A.F.M.2500984  SKU10</t>
  </si>
  <si>
    <t>A.F.M.2500992  SKU11</t>
  </si>
  <si>
    <t>A.F.M.2500993  SKU12</t>
  </si>
  <si>
    <t>大为LPDDR4x-200球*4G,EMMC群联32GB</t>
  </si>
  <si>
    <t>A.F.M.2502099 SKU13</t>
  </si>
  <si>
    <t>A.F.M.2502693  SKU14</t>
  </si>
  <si>
    <t>R68B20</t>
  </si>
  <si>
    <t>A.F.M.2400258   SKU1</t>
  </si>
  <si>
    <t>大为LPDDR4x-200球，EMMC佰维无货，群联报价</t>
  </si>
  <si>
    <t>A.F.M.2400259   SkU2</t>
  </si>
  <si>
    <t>大为LPDDR4x-200球（4266频率）,EMMC佰维</t>
  </si>
  <si>
    <t>R76N11</t>
  </si>
  <si>
    <t>A.F.M.2401263   SKU1</t>
  </si>
  <si>
    <t>RK3576(瑞芯微）</t>
  </si>
  <si>
    <t>三星LPDDR4x-200球*4G（停产），EMMC群联32GB</t>
  </si>
  <si>
    <t>R68N8189</t>
  </si>
  <si>
    <t>A.F.M.2402231  SKU1</t>
  </si>
  <si>
    <t>A.F.D.2400335  DB</t>
  </si>
  <si>
    <t>R28B7</t>
  </si>
  <si>
    <t>临时BOM    SKU12</t>
  </si>
  <si>
    <t>RK3528(瑞芯微）</t>
  </si>
  <si>
    <t>板子预估价 OSP</t>
  </si>
  <si>
    <t>R76A21</t>
  </si>
  <si>
    <t>8G+256</t>
  </si>
  <si>
    <t>研发确认删除紫色栏物料</t>
  </si>
  <si>
    <r>
      <rPr>
        <b/>
        <sz val="10"/>
        <rFont val="微软雅黑"/>
        <charset val="134"/>
      </rPr>
      <t>外围</t>
    </r>
  </si>
  <si>
    <r>
      <rPr>
        <sz val="10"/>
        <color theme="1"/>
        <rFont val="微软雅黑"/>
        <charset val="134"/>
      </rPr>
      <t>工控大核</t>
    </r>
  </si>
  <si>
    <t>ADHT56</t>
  </si>
  <si>
    <r>
      <rPr>
        <sz val="10"/>
        <rFont val="Arial"/>
        <charset val="134"/>
      </rPr>
      <t>ADHO34(6L+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</si>
  <si>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Typc IC;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8111H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μPD720201K8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IT8613E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IT66318FN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ALC897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</si>
  <si>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Typc IC;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8111H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μPD720201K8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IT8613E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IT66318FN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SN6140</t>
    </r>
  </si>
  <si>
    <t>A.F.M.2400194</t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</si>
  <si>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一个接口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</si>
  <si>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I5-12450H(</t>
    </r>
    <r>
      <rPr>
        <sz val="10"/>
        <rFont val="宋体"/>
        <charset val="134"/>
      </rPr>
      <t>不带</t>
    </r>
    <r>
      <rPr>
        <sz val="10"/>
        <rFont val="Arial"/>
        <charset val="134"/>
      </rPr>
      <t>IPU)(45W)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</si>
  <si>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>1</t>
    </r>
    <r>
      <rPr>
        <sz val="10"/>
        <rFont val="宋体"/>
        <charset val="134"/>
      </rPr>
      <t>个接口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8111H</t>
    </r>
  </si>
  <si>
    <t>i5-12600H(45W)</t>
  </si>
  <si>
    <t>A.F.M.2401080-PVT</t>
  </si>
  <si>
    <r>
      <rPr>
        <sz val="10"/>
        <color theme="1"/>
        <rFont val="微软雅黑"/>
        <charset val="134"/>
      </rPr>
      <t>工控小核</t>
    </r>
  </si>
  <si>
    <t>A.F.M.2400664-EVT</t>
  </si>
  <si>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网络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IT8786E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CD4248GQV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CH7513A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ALC897</t>
    </r>
  </si>
  <si>
    <t>A.F.M.2400665-EVT</t>
  </si>
  <si>
    <t>A.F.M.2402271-DVT</t>
  </si>
  <si>
    <r>
      <rPr>
        <sz val="10"/>
        <rFont val="Arial"/>
        <charset val="134"/>
      </rPr>
      <t>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网络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IT8786E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CD4248GQV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MP86941*3pcs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HSA20</t>
    </r>
    <r>
      <rPr>
        <sz val="10"/>
        <rFont val="微软雅黑"/>
        <charset val="134"/>
      </rPr>
      <t>、</t>
    </r>
  </si>
  <si>
    <t>A.F.M.2402272-DVT</t>
  </si>
  <si>
    <t>A.F.M.2402273-DVT</t>
  </si>
  <si>
    <r>
      <rPr>
        <sz val="10"/>
        <rFont val="Arial"/>
        <charset val="134"/>
      </rPr>
      <t>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网络</t>
    </r>
    <r>
      <rPr>
        <sz val="10"/>
        <rFont val="Arial"/>
        <charset val="134"/>
      </rPr>
      <t>IC*2pcs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IT8786E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CD4248GQV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MP86941*3pcs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HSA20</t>
    </r>
    <r>
      <rPr>
        <sz val="10"/>
        <rFont val="微软雅黑"/>
        <charset val="134"/>
      </rPr>
      <t>、ALC897</t>
    </r>
  </si>
  <si>
    <t>A.F.M.2402274-DVT</t>
  </si>
  <si>
    <r>
      <rPr>
        <sz val="10"/>
        <rFont val="Arial"/>
        <charset val="134"/>
      </rPr>
      <t>ADNT58(6L+OSP+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)</t>
    </r>
  </si>
  <si>
    <t>A.F.M.2400715-EVT</t>
  </si>
  <si>
    <r>
      <rPr>
        <sz val="10"/>
        <rFont val="微软雅黑"/>
        <charset val="134"/>
      </rPr>
      <t>含加密</t>
    </r>
    <r>
      <rPr>
        <sz val="10"/>
        <rFont val="Arial"/>
        <charset val="134"/>
      </rPr>
      <t xml:space="preserve">IC TPM\intel </t>
    </r>
    <r>
      <rPr>
        <sz val="10"/>
        <rFont val="微软雅黑"/>
        <charset val="134"/>
      </rPr>
      <t>网络</t>
    </r>
    <r>
      <rPr>
        <sz val="10"/>
        <rFont val="Arial"/>
        <charset val="134"/>
      </rPr>
      <t>IC*2pcs\IT8786E\CH7513A\ALC897</t>
    </r>
  </si>
  <si>
    <t>A.F.M.2400716-EVT</t>
  </si>
  <si>
    <t>A.F.M.2402265-DVT</t>
  </si>
  <si>
    <r>
      <rPr>
        <sz val="10"/>
        <rFont val="微软雅黑"/>
        <charset val="134"/>
      </rPr>
      <t>含加密</t>
    </r>
    <r>
      <rPr>
        <sz val="10"/>
        <rFont val="Arial"/>
        <charset val="134"/>
      </rPr>
      <t xml:space="preserve">IC TPM\intel </t>
    </r>
    <r>
      <rPr>
        <sz val="10"/>
        <rFont val="微软雅黑"/>
        <charset val="134"/>
      </rPr>
      <t>网络</t>
    </r>
    <r>
      <rPr>
        <sz val="10"/>
        <rFont val="Arial"/>
        <charset val="134"/>
      </rPr>
      <t>IC*2pcs\IT8786E\ALC897/WS213EA*6pcs/CH7513A</t>
    </r>
  </si>
  <si>
    <t>A.F.M.2402266-DVT</t>
  </si>
  <si>
    <t>A.F.M.2402267-DVT</t>
  </si>
  <si>
    <t>JA170</t>
  </si>
  <si>
    <t>工控</t>
  </si>
  <si>
    <r>
      <rPr>
        <sz val="10"/>
        <rFont val="Arial"/>
        <charset val="134"/>
      </rPr>
      <t>JSLK53(6L+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</si>
  <si>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A.F.M.2200163-EVT</t>
  </si>
  <si>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</t>
    </r>
  </si>
  <si>
    <t>A.F.M.2401491-MP</t>
  </si>
  <si>
    <t>A.F.M.2401492-MP</t>
  </si>
  <si>
    <r>
      <rPr>
        <sz val="10"/>
        <rFont val="Arial"/>
        <charset val="134"/>
      </rPr>
      <t>SDNB(6L+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</si>
  <si>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A.F.M.2400105-MP</t>
  </si>
  <si>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8111H;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ALC897</t>
    </r>
  </si>
  <si>
    <t>A.F.M.2400106-MP</t>
  </si>
  <si>
    <r>
      <rPr>
        <sz val="10"/>
        <rFont val="Arial"/>
        <charset val="134"/>
      </rPr>
      <t>SDMI(6L+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</si>
  <si>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JSLV53(6L+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</si>
  <si>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</si>
  <si>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A.F.M.2302011-PVT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</si>
  <si>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 ;8111H</t>
    </r>
  </si>
  <si>
    <t>JSLT56</t>
  </si>
  <si>
    <r>
      <rPr>
        <sz val="10"/>
        <rFont val="微软雅黑"/>
        <charset val="134"/>
      </rPr>
      <t>临时</t>
    </r>
    <r>
      <rPr>
        <sz val="10"/>
        <rFont val="Arial"/>
        <charset val="134"/>
      </rPr>
      <t>BOM(</t>
    </r>
    <r>
      <rPr>
        <sz val="10"/>
        <rFont val="微软雅黑"/>
        <charset val="134"/>
      </rPr>
      <t>刘胜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</si>
  <si>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临时</t>
    </r>
    <r>
      <rPr>
        <sz val="10"/>
        <rFont val="Arial"/>
        <charset val="134"/>
      </rPr>
      <t>BOM(</t>
    </r>
    <r>
      <rPr>
        <sz val="10"/>
        <rFont val="微软雅黑"/>
        <charset val="134"/>
      </rPr>
      <t>庄重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</si>
  <si>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JSLV71</t>
    </r>
    <r>
      <rPr>
        <sz val="10"/>
        <rFont val="微软雅黑"/>
        <charset val="134"/>
      </rPr>
      <t>（上海）</t>
    </r>
  </si>
  <si>
    <r>
      <rPr>
        <sz val="10"/>
        <rFont val="微软雅黑"/>
        <charset val="134"/>
      </rPr>
      <t>临时</t>
    </r>
    <r>
      <rPr>
        <sz val="10"/>
        <rFont val="Arial"/>
        <charset val="134"/>
      </rPr>
      <t>BOM(</t>
    </r>
    <r>
      <rPr>
        <sz val="10"/>
        <rFont val="微软雅黑"/>
        <charset val="134"/>
      </rPr>
      <t>徐得俊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</si>
  <si>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使用百维需和采购确认；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停产无货；EMMC停产中待验新料暂无价格</t>
    </r>
  </si>
  <si>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</t>
    </r>
  </si>
  <si>
    <r>
      <rPr>
        <sz val="10"/>
        <rFont val="Arial"/>
        <charset val="134"/>
      </rPr>
      <t>JSLIA(6L+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</si>
  <si>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</t>
    </r>
  </si>
  <si>
    <t>A.P.JSLIA005-PVT</t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</si>
  <si>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IC;MP86941GQVT*2PCS;RTL8111H*2PCS</t>
    </r>
  </si>
  <si>
    <t>A.F.M.2300202-MP</t>
  </si>
  <si>
    <r>
      <rPr>
        <sz val="10"/>
        <color rgb="FFFF0000"/>
        <rFont val="宋体"/>
        <charset val="134"/>
      </rPr>
      <t>含fan；含有</t>
    </r>
    <r>
      <rPr>
        <sz val="10"/>
        <color rgb="FFFF0000"/>
        <rFont val="Arial"/>
        <charset val="134"/>
      </rPr>
      <t>8111H</t>
    </r>
    <r>
      <rPr>
        <sz val="10"/>
        <color rgb="FFFF0000"/>
        <rFont val="宋体"/>
        <charset val="134"/>
      </rPr>
      <t>；含有</t>
    </r>
    <r>
      <rPr>
        <sz val="10"/>
        <color rgb="FFFF0000"/>
        <rFont val="Arial"/>
        <charset val="134"/>
      </rPr>
      <t>IT8784E</t>
    </r>
    <r>
      <rPr>
        <sz val="10"/>
        <color rgb="FFFF0000"/>
        <rFont val="宋体"/>
        <charset val="134"/>
      </rPr>
      <t>；</t>
    </r>
    <r>
      <rPr>
        <sz val="10"/>
        <color rgb="FFFF0000"/>
        <rFont val="Arial"/>
        <charset val="134"/>
      </rPr>
      <t>WS213EA*2pcs</t>
    </r>
    <r>
      <rPr>
        <sz val="10"/>
        <color rgb="FFFF0000"/>
        <rFont val="宋体"/>
        <charset val="134"/>
      </rPr>
      <t>；</t>
    </r>
  </si>
  <si>
    <t>A.F.M.2300219-MP</t>
  </si>
  <si>
    <r>
      <rPr>
        <sz val="10"/>
        <color rgb="FFFF0000"/>
        <rFont val="微软雅黑"/>
        <charset val="134"/>
      </rPr>
      <t>含fan；含有</t>
    </r>
    <r>
      <rPr>
        <sz val="10"/>
        <color rgb="FFFF0000"/>
        <rFont val="Arial"/>
        <charset val="134"/>
      </rPr>
      <t>8111H*2pcs</t>
    </r>
    <r>
      <rPr>
        <sz val="10"/>
        <color rgb="FFFF0000"/>
        <rFont val="微软雅黑"/>
        <charset val="134"/>
      </rPr>
      <t>；含有IT8786E；含有</t>
    </r>
    <r>
      <rPr>
        <sz val="10"/>
        <color rgb="FFFF0000"/>
        <rFont val="Arial"/>
        <charset val="134"/>
      </rPr>
      <t>ALC897</t>
    </r>
    <r>
      <rPr>
        <sz val="10"/>
        <color rgb="FFFF0000"/>
        <rFont val="宋体"/>
        <charset val="134"/>
      </rPr>
      <t>；</t>
    </r>
    <r>
      <rPr>
        <sz val="10"/>
        <color rgb="FFFF0000"/>
        <rFont val="Arial"/>
        <charset val="134"/>
      </rPr>
      <t>WS213EA*6pcs</t>
    </r>
    <r>
      <rPr>
        <sz val="10"/>
        <color rgb="FFFF0000"/>
        <rFont val="宋体"/>
        <charset val="134"/>
      </rPr>
      <t>；</t>
    </r>
  </si>
  <si>
    <t>A.F.M.2302031-MP</t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</si>
  <si>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RTL8111H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IT8786E</t>
    </r>
  </si>
  <si>
    <t>JSLIB</t>
  </si>
  <si>
    <r>
      <rPr>
        <sz val="10"/>
        <rFont val="微软雅黑"/>
        <charset val="134"/>
      </rPr>
      <t>核价</t>
    </r>
    <r>
      <rPr>
        <sz val="10"/>
        <rFont val="Arial"/>
        <charset val="134"/>
      </rPr>
      <t>BOM</t>
    </r>
  </si>
  <si>
    <r>
      <rPr>
        <sz val="10"/>
        <rFont val="Arial"/>
        <charset val="134"/>
      </rPr>
      <t>JSLVA(6L+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</si>
  <si>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A.P.JSLVA005-PVT</t>
  </si>
  <si>
    <t>MP86941GQVT*2pcs;IT8786E;RTL8111H*2pcs</t>
  </si>
  <si>
    <t>A.P.JSLVA006-PVT</t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</si>
  <si>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RTL8111H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IT8786E;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ALC897</t>
    </r>
  </si>
  <si>
    <t>A.F.M.2300285-MP</t>
  </si>
  <si>
    <t>A.F.M.2300286-MP</t>
  </si>
  <si>
    <r>
      <rPr>
        <sz val="10"/>
        <rFont val="Arial"/>
        <charset val="134"/>
      </rPr>
      <t>ADNTA(6L+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</si>
  <si>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A.F.M.2300147-PVT</t>
  </si>
  <si>
    <r>
      <rPr>
        <sz val="10"/>
        <rFont val="Arial"/>
        <charset val="134"/>
      </rPr>
      <t xml:space="preserve">SKU10 </t>
    </r>
    <r>
      <rPr>
        <sz val="10"/>
        <rFont val="宋体"/>
        <charset val="134"/>
      </rPr>
      <t>试产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</si>
  <si>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及一个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接口；含有8111H;含有EC IC;</t>
    </r>
  </si>
  <si>
    <t>A.F.M.2301489-MP</t>
  </si>
  <si>
    <r>
      <rPr>
        <sz val="10"/>
        <rFont val="Arial"/>
        <charset val="134"/>
      </rPr>
      <t>SKU11(</t>
    </r>
    <r>
      <rPr>
        <sz val="10"/>
        <rFont val="微软雅黑"/>
        <charset val="134"/>
      </rPr>
      <t>量产</t>
    </r>
    <r>
      <rPr>
        <sz val="10"/>
        <rFont val="Arial"/>
        <charset val="134"/>
      </rPr>
      <t>)</t>
    </r>
  </si>
  <si>
    <t>8265.NGWMG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</si>
  <si>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及一个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接口；含有8111H;</t>
    </r>
  </si>
  <si>
    <t>A.F.M.2301490-MP</t>
  </si>
  <si>
    <r>
      <rPr>
        <sz val="10"/>
        <rFont val="Arial"/>
        <charset val="134"/>
      </rPr>
      <t>SKU12(</t>
    </r>
    <r>
      <rPr>
        <sz val="10"/>
        <rFont val="微软雅黑"/>
        <charset val="134"/>
      </rPr>
      <t>量产</t>
    </r>
    <r>
      <rPr>
        <sz val="10"/>
        <rFont val="Arial"/>
        <charset val="134"/>
      </rPr>
      <t>)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</si>
  <si>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及一个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接口；含有8111H;</t>
    </r>
    <r>
      <rPr>
        <sz val="10"/>
        <rFont val="宋体"/>
        <charset val="134"/>
      </rPr>
      <t>含A00732</t>
    </r>
  </si>
  <si>
    <t>A.F.M.2301491-MP</t>
  </si>
  <si>
    <r>
      <rPr>
        <sz val="10"/>
        <rFont val="Arial"/>
        <charset val="134"/>
      </rPr>
      <t>SKU13(</t>
    </r>
    <r>
      <rPr>
        <sz val="10"/>
        <rFont val="微软雅黑"/>
        <charset val="134"/>
      </rPr>
      <t>量产</t>
    </r>
    <r>
      <rPr>
        <sz val="10"/>
        <rFont val="Arial"/>
        <charset val="134"/>
      </rPr>
      <t>)</t>
    </r>
  </si>
  <si>
    <t>A.F.M.2401327-MP</t>
  </si>
  <si>
    <t>9560.NGWG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</si>
  <si>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及一个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接口；含有8111H;含有EC IC;含有ALC897</t>
    </r>
  </si>
  <si>
    <t>A.F.M.2401393-MP</t>
  </si>
  <si>
    <t>A.F.M.2401490-MP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</si>
  <si>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及一个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接口；含有8111H;含有EC IC;含有ALC897，含</t>
    </r>
    <r>
      <rPr>
        <sz val="10"/>
        <rFont val="宋体"/>
        <charset val="134"/>
      </rPr>
      <t>A00732</t>
    </r>
  </si>
  <si>
    <t>A.F.M.2402409-MP</t>
  </si>
  <si>
    <t>AX101.NGWG</t>
  </si>
  <si>
    <t>RTL8111H;IT8784E;MP86995GVT;ALC897-VA2</t>
  </si>
  <si>
    <t>A.F.M.2500730-MP</t>
  </si>
  <si>
    <t>ALC897;MP86995GVT;IT8784E;RTL8111H</t>
  </si>
  <si>
    <t>欧俊虹临时bom</t>
  </si>
  <si>
    <t>MP86995GVT;IT8784E;RTL8111H</t>
  </si>
  <si>
    <t>ELKT51</t>
  </si>
  <si>
    <t>J6412(10W)</t>
  </si>
  <si>
    <r>
      <rPr>
        <sz val="10"/>
        <rFont val="Arial"/>
        <charset val="134"/>
      </rPr>
      <t xml:space="preserve">DDR ,WIFI  SSD </t>
    </r>
    <r>
      <rPr>
        <sz val="10"/>
        <rFont val="微软雅黑"/>
        <charset val="134"/>
      </rPr>
      <t>都是插卡的，这个是</t>
    </r>
    <r>
      <rPr>
        <sz val="10"/>
        <rFont val="Arial"/>
        <charset val="134"/>
      </rPr>
      <t xml:space="preserve"> MINI ITX </t>
    </r>
    <r>
      <rPr>
        <sz val="10"/>
        <rFont val="微软雅黑"/>
        <charset val="134"/>
      </rPr>
      <t>的板型</t>
    </r>
    <r>
      <rPr>
        <sz val="10"/>
        <rFont val="Arial"/>
        <charset val="134"/>
      </rPr>
      <t xml:space="preserve"> 170*170 </t>
    </r>
    <r>
      <rPr>
        <sz val="10"/>
        <rFont val="微软雅黑"/>
        <charset val="134"/>
      </rPr>
      <t>不是笔记本的主板</t>
    </r>
  </si>
  <si>
    <t>A.F.M.2300248-PVT</t>
  </si>
  <si>
    <t>JSLNA</t>
  </si>
  <si>
    <r>
      <rPr>
        <sz val="10"/>
        <rFont val="微软雅黑"/>
        <charset val="134"/>
      </rPr>
      <t>临时</t>
    </r>
    <r>
      <rPr>
        <sz val="10"/>
        <rFont val="Arial"/>
        <charset val="134"/>
      </rPr>
      <t xml:space="preserve">BOM </t>
    </r>
  </si>
  <si>
    <r>
      <rPr>
        <sz val="10"/>
        <rFont val="微软雅黑"/>
        <charset val="134"/>
      </rPr>
      <t>临时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小板</t>
    </r>
  </si>
  <si>
    <r>
      <rPr>
        <sz val="10"/>
        <rFont val="微软雅黑"/>
        <charset val="134"/>
      </rPr>
      <t>含智微科技</t>
    </r>
    <r>
      <rPr>
        <sz val="10"/>
        <rFont val="Arial"/>
        <charset val="134"/>
      </rPr>
      <t xml:space="preserve"> JMB585  IC</t>
    </r>
  </si>
  <si>
    <t>ELKF52</t>
  </si>
  <si>
    <t>H420EK54</t>
  </si>
  <si>
    <t>H420E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</si>
  <si>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都是插卡，美金单价</t>
    </r>
  </si>
  <si>
    <r>
      <rPr>
        <sz val="10"/>
        <rFont val="Arial"/>
        <charset val="134"/>
      </rPr>
      <t>H110K57(6L+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</si>
  <si>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微软雅黑"/>
        <charset val="134"/>
      </rPr>
      <t>桥片</t>
    </r>
    <r>
      <rPr>
        <sz val="10"/>
        <rFont val="Arial"/>
        <charset val="134"/>
      </rPr>
      <t>(GLH110)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</si>
  <si>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IT8786E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PCIE GEN2 IC;</t>
    </r>
  </si>
  <si>
    <t>A.F.M.2401225-PVT</t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</si>
  <si>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RTL8111H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μPD720201K8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IT8786E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RT3607BCGQW</t>
    </r>
  </si>
  <si>
    <t>A.F.M.2401226-PVT</t>
  </si>
  <si>
    <r>
      <rPr>
        <sz val="10"/>
        <rFont val="微软雅黑"/>
        <charset val="134"/>
      </rPr>
      <t>桥片</t>
    </r>
    <r>
      <rPr>
        <sz val="10"/>
        <rFont val="Arial"/>
        <charset val="134"/>
      </rPr>
      <t>(GLQ170)</t>
    </r>
  </si>
  <si>
    <t>A.F.D.2400216-PVT</t>
  </si>
  <si>
    <t>A.F.D.2400216  USB DB</t>
  </si>
  <si>
    <t>A.F.D.2400217-PVT</t>
  </si>
  <si>
    <t>A.F.D.2400217  USB DB</t>
  </si>
  <si>
    <t>A.F.D.2300309 Header DB</t>
  </si>
  <si>
    <r>
      <rPr>
        <sz val="10"/>
        <rFont val="宋体"/>
        <charset val="134"/>
      </rPr>
      <t>含有</t>
    </r>
    <r>
      <rPr>
        <sz val="10"/>
        <rFont val="Arial"/>
        <charset val="134"/>
      </rPr>
      <t>IT8786E</t>
    </r>
  </si>
  <si>
    <t>A.F.D.2300310 USB DB</t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</si>
  <si>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IT8786E</t>
    </r>
  </si>
  <si>
    <t>A.F.D.2300313 LED DB</t>
  </si>
  <si>
    <r>
      <rPr>
        <sz val="10"/>
        <rFont val="Arial"/>
        <charset val="134"/>
      </rPr>
      <t>ECS-1861(6L+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</si>
  <si>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微软雅黑"/>
        <charset val="134"/>
      </rPr>
      <t>含桥片</t>
    </r>
    <r>
      <rPr>
        <sz val="10"/>
        <rFont val="Arial"/>
        <charset val="134"/>
      </rPr>
      <t>H610E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 SOCKET 2</t>
    </r>
    <r>
      <rPr>
        <sz val="10"/>
        <rFont val="微软雅黑"/>
        <charset val="134"/>
      </rPr>
      <t>个；加密</t>
    </r>
    <r>
      <rPr>
        <sz val="10"/>
        <rFont val="Arial"/>
        <charset val="134"/>
      </rPr>
      <t>IC TPM1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网卡</t>
    </r>
    <r>
      <rPr>
        <sz val="10"/>
        <rFont val="Arial"/>
        <charset val="134"/>
      </rPr>
      <t>IC 2</t>
    </r>
    <r>
      <rPr>
        <sz val="10"/>
        <rFont val="微软雅黑"/>
        <charset val="134"/>
      </rPr>
      <t>个；</t>
    </r>
    <r>
      <rPr>
        <sz val="10"/>
        <rFont val="Arial"/>
        <charset val="134"/>
      </rPr>
      <t>PCIE</t>
    </r>
    <r>
      <rPr>
        <sz val="10"/>
        <rFont val="微软雅黑"/>
        <charset val="134"/>
      </rPr>
      <t>转换芯片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等</t>
    </r>
  </si>
  <si>
    <r>
      <rPr>
        <sz val="10"/>
        <rFont val="微软雅黑"/>
        <charset val="134"/>
      </rPr>
      <t>含桥片</t>
    </r>
    <r>
      <rPr>
        <sz val="10"/>
        <rFont val="Arial"/>
        <charset val="134"/>
      </rPr>
      <t>Q670E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 SOCKET 2</t>
    </r>
    <r>
      <rPr>
        <sz val="10"/>
        <rFont val="微软雅黑"/>
        <charset val="134"/>
      </rPr>
      <t>个；加密</t>
    </r>
    <r>
      <rPr>
        <sz val="10"/>
        <rFont val="Arial"/>
        <charset val="134"/>
      </rPr>
      <t>IC TPM1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网卡</t>
    </r>
    <r>
      <rPr>
        <sz val="10"/>
        <rFont val="Arial"/>
        <charset val="134"/>
      </rPr>
      <t>IC 2</t>
    </r>
    <r>
      <rPr>
        <sz val="10"/>
        <rFont val="微软雅黑"/>
        <charset val="134"/>
      </rPr>
      <t>个；</t>
    </r>
    <r>
      <rPr>
        <sz val="10"/>
        <rFont val="Arial"/>
        <charset val="134"/>
      </rPr>
      <t>PCIE</t>
    </r>
    <r>
      <rPr>
        <sz val="10"/>
        <rFont val="微软雅黑"/>
        <charset val="134"/>
      </rPr>
      <t>转换芯片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等</t>
    </r>
  </si>
  <si>
    <t>A.F.M.2300736</t>
  </si>
  <si>
    <r>
      <rPr>
        <sz val="10"/>
        <rFont val="微软雅黑"/>
        <charset val="134"/>
      </rPr>
      <t>含桥片</t>
    </r>
    <r>
      <rPr>
        <sz val="10"/>
        <rFont val="Arial"/>
        <charset val="134"/>
      </rPr>
      <t>Q670E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 SOCKET 2</t>
    </r>
    <r>
      <rPr>
        <sz val="10"/>
        <rFont val="微软雅黑"/>
        <charset val="134"/>
      </rPr>
      <t>个；加密</t>
    </r>
    <r>
      <rPr>
        <sz val="10"/>
        <rFont val="Arial"/>
        <charset val="134"/>
      </rPr>
      <t>IC TPM1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网卡</t>
    </r>
    <r>
      <rPr>
        <sz val="10"/>
        <rFont val="Arial"/>
        <charset val="134"/>
      </rPr>
      <t>IC 2</t>
    </r>
    <r>
      <rPr>
        <sz val="10"/>
        <rFont val="微软雅黑"/>
        <charset val="134"/>
      </rPr>
      <t>个；</t>
    </r>
    <r>
      <rPr>
        <sz val="10"/>
        <rFont val="Arial"/>
        <charset val="134"/>
      </rPr>
      <t>PCIE</t>
    </r>
    <r>
      <rPr>
        <sz val="10"/>
        <rFont val="微软雅黑"/>
        <charset val="134"/>
      </rPr>
      <t>转换芯片等，外加一个散热片成本</t>
    </r>
  </si>
  <si>
    <t>A.F.M.2301950</t>
  </si>
  <si>
    <r>
      <rPr>
        <sz val="10"/>
        <rFont val="微软雅黑"/>
        <charset val="134"/>
      </rPr>
      <t>含桥片</t>
    </r>
    <r>
      <rPr>
        <sz val="10"/>
        <rFont val="Arial"/>
        <charset val="134"/>
      </rPr>
      <t>Q670E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 SOCKET 2</t>
    </r>
    <r>
      <rPr>
        <sz val="10"/>
        <rFont val="微软雅黑"/>
        <charset val="134"/>
      </rPr>
      <t>个；加密</t>
    </r>
    <r>
      <rPr>
        <sz val="10"/>
        <rFont val="Arial"/>
        <charset val="134"/>
      </rPr>
      <t>IC TPM1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网卡</t>
    </r>
    <r>
      <rPr>
        <sz val="10"/>
        <rFont val="Arial"/>
        <charset val="134"/>
      </rPr>
      <t>IC 2</t>
    </r>
    <r>
      <rPr>
        <sz val="10"/>
        <rFont val="微软雅黑"/>
        <charset val="134"/>
      </rPr>
      <t>个；</t>
    </r>
    <r>
      <rPr>
        <sz val="10"/>
        <rFont val="Arial"/>
        <charset val="134"/>
      </rPr>
      <t>PCIE</t>
    </r>
    <r>
      <rPr>
        <sz val="10"/>
        <rFont val="微软雅黑"/>
        <charset val="134"/>
      </rPr>
      <t>转换芯片等，外加两个散热片成本</t>
    </r>
  </si>
  <si>
    <t>A.F.M.2301951</t>
  </si>
  <si>
    <r>
      <rPr>
        <sz val="10"/>
        <rFont val="微软雅黑"/>
        <charset val="134"/>
      </rPr>
      <t>含桥片</t>
    </r>
    <r>
      <rPr>
        <sz val="10"/>
        <rFont val="Arial"/>
        <charset val="134"/>
      </rPr>
      <t>H610E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 SOCKET 2</t>
    </r>
    <r>
      <rPr>
        <sz val="10"/>
        <rFont val="微软雅黑"/>
        <charset val="134"/>
      </rPr>
      <t>个；加密</t>
    </r>
    <r>
      <rPr>
        <sz val="10"/>
        <rFont val="Arial"/>
        <charset val="134"/>
      </rPr>
      <t>IC TPM1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网卡</t>
    </r>
    <r>
      <rPr>
        <sz val="10"/>
        <rFont val="Arial"/>
        <charset val="134"/>
      </rPr>
      <t>IC 2</t>
    </r>
    <r>
      <rPr>
        <sz val="10"/>
        <rFont val="微软雅黑"/>
        <charset val="134"/>
      </rPr>
      <t>个；</t>
    </r>
    <r>
      <rPr>
        <sz val="10"/>
        <rFont val="Arial"/>
        <charset val="134"/>
      </rPr>
      <t>PCIE</t>
    </r>
    <r>
      <rPr>
        <sz val="10"/>
        <rFont val="微软雅黑"/>
        <charset val="134"/>
      </rPr>
      <t>转换芯片等，外加两个散热片成本</t>
    </r>
  </si>
  <si>
    <t>A.F.D.2300064 ITE DB</t>
  </si>
  <si>
    <t>RM</t>
  </si>
  <si>
    <r>
      <rPr>
        <sz val="10"/>
        <rFont val="Arial"/>
        <charset val="134"/>
      </rPr>
      <t xml:space="preserve">PCB 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JSLIA</t>
    </r>
    <r>
      <rPr>
        <sz val="10"/>
        <rFont val="微软雅黑"/>
        <charset val="134"/>
      </rPr>
      <t>机型，包含</t>
    </r>
    <r>
      <rPr>
        <sz val="10"/>
        <rFont val="Arial"/>
        <charset val="134"/>
      </rPr>
      <t>3</t>
    </r>
    <r>
      <rPr>
        <sz val="10"/>
        <rFont val="微软雅黑"/>
        <charset val="134"/>
      </rPr>
      <t>颗外围料</t>
    </r>
    <r>
      <rPr>
        <sz val="10"/>
        <rFont val="Arial"/>
        <charset val="134"/>
      </rPr>
      <t>(myla</t>
    </r>
    <r>
      <rPr>
        <sz val="10"/>
        <rFont val="微软雅黑"/>
        <charset val="134"/>
      </rPr>
      <t>、螺母</t>
    </r>
    <r>
      <rPr>
        <sz val="10"/>
        <rFont val="Arial"/>
        <charset val="134"/>
      </rPr>
      <t>)</t>
    </r>
    <r>
      <rPr>
        <sz val="10"/>
        <rFont val="微软雅黑"/>
        <charset val="134"/>
      </rPr>
      <t>，还有</t>
    </r>
    <r>
      <rPr>
        <sz val="10"/>
        <rFont val="Arial"/>
        <charset val="134"/>
      </rPr>
      <t>3</t>
    </r>
    <r>
      <rPr>
        <sz val="10"/>
        <rFont val="微软雅黑"/>
        <charset val="134"/>
      </rPr>
      <t>颗物料无料号未算成本</t>
    </r>
  </si>
  <si>
    <t>AN1</t>
  </si>
  <si>
    <r>
      <rPr>
        <sz val="10"/>
        <rFont val="Arial"/>
        <charset val="134"/>
      </rPr>
      <t xml:space="preserve">SKU3 </t>
    </r>
    <r>
      <rPr>
        <sz val="10"/>
        <rFont val="微软雅黑"/>
        <charset val="134"/>
      </rPr>
      <t>支持</t>
    </r>
    <r>
      <rPr>
        <sz val="10"/>
        <rFont val="Arial"/>
        <charset val="134"/>
      </rPr>
      <t>SSD</t>
    </r>
  </si>
  <si>
    <t>N3350</t>
  </si>
  <si>
    <t>3165 1.8V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</si>
  <si>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/LPDDR4-366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</si>
  <si>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</si>
  <si>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USB3.0 DB</t>
  </si>
  <si>
    <t>A.F.P.1000503</t>
  </si>
  <si>
    <t>A.F.P.1000469 116P5 DB</t>
  </si>
  <si>
    <r>
      <rPr>
        <sz val="10"/>
        <rFont val="微软雅黑"/>
        <charset val="134"/>
      </rPr>
      <t>含移远的</t>
    </r>
    <r>
      <rPr>
        <sz val="10"/>
        <rFont val="Arial"/>
        <charset val="134"/>
      </rPr>
      <t>4G</t>
    </r>
    <r>
      <rPr>
        <sz val="10"/>
        <rFont val="微软雅黑"/>
        <charset val="134"/>
      </rPr>
      <t>模块</t>
    </r>
  </si>
  <si>
    <t>AN11</t>
  </si>
  <si>
    <t>N4200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</si>
  <si>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/LPDDR3-216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</si>
  <si>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暂无报价，缺料；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</si>
  <si>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A.F.P.1000157 RJ45 DB</t>
  </si>
  <si>
    <t>A.F.P.1000159 HDD DB</t>
  </si>
  <si>
    <t>A.F.P.1000177 USB DB</t>
  </si>
  <si>
    <t>A.F.P.1000239 USB DB Yoga</t>
  </si>
  <si>
    <t>A.F.P.1000191 RJ45 DB</t>
  </si>
  <si>
    <t>A.F.P.1000160 SSD DB</t>
  </si>
  <si>
    <t>A.F.P.1000178 SSD DB</t>
  </si>
  <si>
    <t>AN10E</t>
  </si>
  <si>
    <t>3G*2+128G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</si>
  <si>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/LPDDR3-216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3G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</si>
  <si>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暂无报价；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</si>
  <si>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RJ45 DB</t>
  </si>
  <si>
    <t>A.F.P.1000254 DB 140P2</t>
  </si>
  <si>
    <t>AN5B</t>
  </si>
  <si>
    <t>8723BU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</si>
  <si>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成本不含加密</t>
    </r>
    <r>
      <rPr>
        <sz val="10"/>
        <rFont val="Arial"/>
        <charset val="134"/>
      </rPr>
      <t>IC</t>
    </r>
  </si>
  <si>
    <t>N3450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</si>
  <si>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成本不含加密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</si>
  <si>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A.P.10000722 USB DB</t>
  </si>
  <si>
    <t>A.P.10000515 USB DB</t>
  </si>
  <si>
    <r>
      <rPr>
        <sz val="10"/>
        <rFont val="Arial"/>
        <charset val="134"/>
      </rPr>
      <t>A.F.P.1000338 IO</t>
    </r>
    <r>
      <rPr>
        <sz val="10"/>
        <rFont val="微软雅黑"/>
        <charset val="134"/>
      </rPr>
      <t>小板</t>
    </r>
    <r>
      <rPr>
        <sz val="10"/>
        <rFont val="Arial"/>
        <charset val="134"/>
      </rPr>
      <t xml:space="preserve"> 133HC</t>
    </r>
  </si>
  <si>
    <t>A.F.P.1000337 IO DB Yoga</t>
  </si>
  <si>
    <t>A.F.P.1000370 AUDIO DB</t>
  </si>
  <si>
    <t>AN9E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</si>
  <si>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/LPDDR3-216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</si>
  <si>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库存料目前无价格，含</t>
    </r>
    <r>
      <rPr>
        <sz val="10"/>
        <rFont val="Arial"/>
        <charset val="134"/>
      </rPr>
      <t>G-Sensor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</si>
  <si>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库存料目前无价格，不含</t>
    </r>
    <r>
      <rPr>
        <sz val="10"/>
        <rFont val="Arial"/>
        <charset val="134"/>
      </rPr>
      <t>G-Sensor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</si>
  <si>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A.P.10000751 AUDIO DB</t>
  </si>
  <si>
    <t>A.F.P.1000187 RJ45 DB 156P</t>
  </si>
  <si>
    <t>A.F.P.1000213 DCIN_AUDIO USB DB</t>
  </si>
  <si>
    <t>A.F.P.1000413 AUDIO USB DB</t>
  </si>
  <si>
    <t>A.F.P.1000151 AUDIO RJ45 DB</t>
  </si>
  <si>
    <t>A.F.P.1000194 DCIN_AUDIO USB3.0 DB</t>
  </si>
  <si>
    <t>A.F.P.1000149 USB DB 116P</t>
  </si>
  <si>
    <t>A.F.P.1000329 USB DB 116MC</t>
  </si>
  <si>
    <t>AN10B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</si>
  <si>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</t>
    </r>
    <r>
      <rPr>
        <sz val="10"/>
        <rFont val="Arial"/>
        <charset val="134"/>
      </rPr>
      <t>,CPU</t>
    </r>
    <r>
      <rPr>
        <sz val="10"/>
        <rFont val="微软雅黑"/>
        <charset val="134"/>
      </rPr>
      <t>客供；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</si>
  <si>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A.P.10000537 USB DB</t>
  </si>
  <si>
    <r>
      <rPr>
        <sz val="10"/>
        <rFont val="Arial"/>
        <charset val="134"/>
      </rPr>
      <t xml:space="preserve">A.F.P.1000353 DB HUB </t>
    </r>
    <r>
      <rPr>
        <sz val="10"/>
        <rFont val="微软雅黑"/>
        <charset val="134"/>
      </rPr>
      <t>大公模</t>
    </r>
  </si>
  <si>
    <t>A.F.P.1000464 DB RJ45</t>
  </si>
  <si>
    <t>AN10F</t>
  </si>
  <si>
    <t>4G+0G</t>
  </si>
  <si>
    <r>
      <rPr>
        <sz val="10"/>
        <rFont val="Arial"/>
        <charset val="134"/>
      </rPr>
      <t>LPDDR4-366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</si>
  <si>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</si>
  <si>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G-Sensor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</si>
  <si>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G-Sensor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</si>
  <si>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r>
      <rPr>
        <sz val="10"/>
        <rFont val="Arial"/>
        <charset val="134"/>
      </rPr>
      <t xml:space="preserve">A.F.P.1000274 DB </t>
    </r>
    <r>
      <rPr>
        <sz val="10"/>
        <rFont val="微软雅黑"/>
        <charset val="134"/>
      </rPr>
      <t>耳机</t>
    </r>
    <r>
      <rPr>
        <sz val="10"/>
        <rFont val="Arial"/>
        <charset val="134"/>
      </rPr>
      <t xml:space="preserve">USB </t>
    </r>
    <r>
      <rPr>
        <sz val="10"/>
        <rFont val="微软雅黑"/>
        <charset val="134"/>
      </rPr>
      <t>琛玛</t>
    </r>
  </si>
  <si>
    <t>A.F.P.1000229 DB USB YOGA</t>
  </si>
  <si>
    <t>A.F.P.1000409 DB RJ45</t>
  </si>
  <si>
    <r>
      <rPr>
        <sz val="10"/>
        <rFont val="Arial"/>
        <charset val="134"/>
      </rPr>
      <t xml:space="preserve">A.F.P.1000125 DB RJ45 </t>
    </r>
    <r>
      <rPr>
        <sz val="10"/>
        <rFont val="微软雅黑"/>
        <charset val="134"/>
      </rPr>
      <t>大公模</t>
    </r>
  </si>
  <si>
    <t>AN10H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</si>
  <si>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/LPDDR4X-376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6G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</si>
  <si>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为库存料目前无价格，含</t>
    </r>
    <r>
      <rPr>
        <sz val="10"/>
        <rFont val="Arial"/>
        <charset val="134"/>
      </rPr>
      <t>G-Sensor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</si>
  <si>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6G+0</t>
  </si>
  <si>
    <r>
      <rPr>
        <sz val="10"/>
        <rFont val="Arial"/>
        <charset val="134"/>
      </rPr>
      <t>LPDDR4X-376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6G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</si>
  <si>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为库存料目前无价格，不含</t>
    </r>
    <r>
      <rPr>
        <sz val="10"/>
        <rFont val="Arial"/>
        <charset val="134"/>
      </rPr>
      <t>G-Sensor</t>
    </r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</si>
  <si>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/LPDDR4X-376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</si>
  <si>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为库存料目前无价格，不含</t>
    </r>
    <r>
      <rPr>
        <sz val="10"/>
        <rFont val="Arial"/>
        <charset val="134"/>
      </rPr>
      <t>G-Sensor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</si>
  <si>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A.F.P.1000463 DB Audio</t>
  </si>
  <si>
    <t>AN10Y</t>
  </si>
  <si>
    <t>J3455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</si>
  <si>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目前无价格；EMMC停产中待验新料暂无价格</t>
    </r>
  </si>
  <si>
    <r>
      <rPr>
        <sz val="10"/>
        <rFont val="Arial"/>
        <charset val="134"/>
      </rPr>
      <t xml:space="preserve">A.F.P.1000185 DB </t>
    </r>
    <r>
      <rPr>
        <sz val="10"/>
        <rFont val="微软雅黑"/>
        <charset val="134"/>
      </rPr>
      <t>耳机</t>
    </r>
  </si>
  <si>
    <r>
      <rPr>
        <sz val="10"/>
        <rFont val="Arial"/>
        <charset val="134"/>
      </rPr>
      <t xml:space="preserve">A.P.10000513 DB </t>
    </r>
    <r>
      <rPr>
        <sz val="10"/>
        <rFont val="微软雅黑"/>
        <charset val="134"/>
      </rPr>
      <t>耳机</t>
    </r>
    <r>
      <rPr>
        <sz val="10"/>
        <rFont val="Arial"/>
        <charset val="134"/>
      </rPr>
      <t>(</t>
    </r>
    <r>
      <rPr>
        <sz val="10"/>
        <rFont val="微软雅黑"/>
        <charset val="134"/>
      </rPr>
      <t>斗牛</t>
    </r>
    <r>
      <rPr>
        <sz val="10"/>
        <rFont val="Arial"/>
        <charset val="134"/>
      </rPr>
      <t>)</t>
    </r>
  </si>
  <si>
    <t>AN12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</si>
  <si>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/LPDDR4-366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</si>
  <si>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目前无价格；EMMC停产中待验新料暂无价格</t>
    </r>
  </si>
  <si>
    <t>A.F.P.1000295 DB RJ45 140P3</t>
  </si>
  <si>
    <t>A.F.P.1000479 DB RJ45 K14THR</t>
  </si>
  <si>
    <t>A.F.P.1000277 DB USB 140P</t>
  </si>
  <si>
    <t>A.F.P.1000280 DB RJ45 156P</t>
  </si>
  <si>
    <r>
      <rPr>
        <sz val="10"/>
        <rFont val="Arial"/>
        <charset val="134"/>
      </rPr>
      <t>A.F.P.1000281 DB RJ45</t>
    </r>
    <r>
      <rPr>
        <sz val="10"/>
        <rFont val="微软雅黑"/>
        <charset val="134"/>
      </rPr>
      <t>空贴</t>
    </r>
    <r>
      <rPr>
        <sz val="10"/>
        <rFont val="Arial"/>
        <charset val="134"/>
      </rPr>
      <t xml:space="preserve"> 156H</t>
    </r>
  </si>
  <si>
    <t>AN15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</si>
  <si>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</si>
  <si>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</si>
  <si>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A.F.P.1000316 DB USB 140P</t>
  </si>
  <si>
    <t>A.F.P.1000325 DB USB 14MC</t>
  </si>
  <si>
    <t>A173</t>
  </si>
  <si>
    <t>2G*2+32G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</si>
  <si>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库存料目前无价格；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</si>
  <si>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库存料目前无价格；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</si>
  <si>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暂无报价；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</si>
  <si>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A.F.P.1000154 DB RJ45 173P1/P2/P3</t>
  </si>
  <si>
    <t>A.F.P.1000155 DB KEY 173P2/P3</t>
  </si>
  <si>
    <t>A.F.P.1000156 DB SATA 173P1/P2/P3</t>
  </si>
  <si>
    <t>AH215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</si>
  <si>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库存料目前无价格，；EMMC停产中待验新料暂无价格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</si>
  <si>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库存料目前无价格，；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</si>
  <si>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A.F.P.1000197 SATA+BKL_DB</t>
  </si>
  <si>
    <t>AP2D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</si>
  <si>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和</t>
    </r>
    <r>
      <rPr>
        <sz val="10"/>
        <rFont val="Arial"/>
        <charset val="134"/>
      </rPr>
      <t>RT</t>
    </r>
    <r>
      <rPr>
        <sz val="10"/>
        <rFont val="微软雅黑"/>
        <charset val="134"/>
      </rPr>
      <t>的</t>
    </r>
    <r>
      <rPr>
        <sz val="10"/>
        <rFont val="Arial"/>
        <charset val="134"/>
      </rPr>
      <t>USB</t>
    </r>
    <r>
      <rPr>
        <sz val="10"/>
        <rFont val="微软雅黑"/>
        <charset val="134"/>
      </rPr>
      <t>转换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停产无价格；EMMC停产中待验新料暂无价格；EMMC停产中待验新料暂无价格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</si>
  <si>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目前无价格；不含加密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和</t>
    </r>
    <r>
      <rPr>
        <sz val="10"/>
        <rFont val="Arial"/>
        <charset val="134"/>
      </rPr>
      <t>RT</t>
    </r>
    <r>
      <rPr>
        <sz val="10"/>
        <rFont val="微软雅黑"/>
        <charset val="134"/>
      </rPr>
      <t>的</t>
    </r>
    <r>
      <rPr>
        <sz val="10"/>
        <rFont val="Arial"/>
        <charset val="134"/>
      </rPr>
      <t>USB</t>
    </r>
    <r>
      <rPr>
        <sz val="10"/>
        <rFont val="微软雅黑"/>
        <charset val="134"/>
      </rPr>
      <t>转换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</si>
  <si>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A.F.P.1000477 Audio_DB_V2.0</t>
  </si>
  <si>
    <t>A.F.P.1000456 Audio DB V1.0</t>
  </si>
  <si>
    <t>A.F.P.1000384 Audio 116H DB</t>
  </si>
  <si>
    <t>A.F.P.1000408 SATA+LTE 116H DB</t>
  </si>
  <si>
    <t>AN9X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</si>
  <si>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为库存料目前无价格，含</t>
    </r>
    <r>
      <rPr>
        <sz val="10"/>
        <rFont val="Arial"/>
        <charset val="134"/>
      </rPr>
      <t>G-Sensor</t>
    </r>
  </si>
  <si>
    <t>AN5C</t>
  </si>
  <si>
    <t>7265D2WG.NVB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</si>
  <si>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为库存料目前无价格，；EMMC停产中待验新料暂无价格</t>
    </r>
  </si>
  <si>
    <t>A.F.P.1000466  133HC DB</t>
  </si>
  <si>
    <t>AN12E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</si>
  <si>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</t>
    </r>
  </si>
  <si>
    <t>AN12D</t>
  </si>
  <si>
    <t>A.P.10000527  DB RJ45</t>
  </si>
  <si>
    <t>AP10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</si>
  <si>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为库存料目前无价格，不含英飞凌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GSENSOR</t>
    </r>
    <r>
      <rPr>
        <sz val="10"/>
        <rFont val="微软雅黑"/>
        <charset val="134"/>
      </rPr>
      <t>、瑞昱</t>
    </r>
    <r>
      <rPr>
        <sz val="10"/>
        <rFont val="Arial"/>
        <charset val="134"/>
      </rPr>
      <t xml:space="preserve"> USB</t>
    </r>
    <r>
      <rPr>
        <sz val="10"/>
        <rFont val="微软雅黑"/>
        <charset val="134"/>
      </rPr>
      <t>转换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</si>
  <si>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A.P.10000707 USB DB</t>
  </si>
  <si>
    <t>A.P.10000675  USB DB</t>
  </si>
  <si>
    <t>A.F.P.1000471 USB DB</t>
  </si>
  <si>
    <t>GA1</t>
  </si>
  <si>
    <t>J4105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</si>
  <si>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不含英飞凌加密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</si>
  <si>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N4100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</si>
  <si>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不含英飞凌加密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目前无价格；EMMC停产中待验新料暂无价格</t>
    </r>
  </si>
  <si>
    <r>
      <rPr>
        <sz val="10"/>
        <rFont val="Arial"/>
        <charset val="134"/>
      </rPr>
      <t xml:space="preserve">A.F.P.1000365 238P </t>
    </r>
    <r>
      <rPr>
        <sz val="10"/>
        <rFont val="微软雅黑"/>
        <charset val="134"/>
      </rPr>
      <t>升压小板</t>
    </r>
  </si>
  <si>
    <r>
      <rPr>
        <sz val="10"/>
        <rFont val="Arial"/>
        <charset val="134"/>
      </rPr>
      <t>A.F.P.1000366</t>
    </r>
    <r>
      <rPr>
        <sz val="10"/>
        <rFont val="微软雅黑"/>
        <charset val="134"/>
      </rPr>
      <t>（联志客户</t>
    </r>
    <r>
      <rPr>
        <sz val="10"/>
        <rFont val="Arial"/>
        <charset val="134"/>
      </rPr>
      <t>USB</t>
    </r>
    <r>
      <rPr>
        <sz val="10"/>
        <rFont val="微软雅黑"/>
        <charset val="134"/>
      </rPr>
      <t>小板）</t>
    </r>
  </si>
  <si>
    <r>
      <rPr>
        <sz val="10"/>
        <rFont val="Arial"/>
        <charset val="134"/>
      </rPr>
      <t>A.F.P.1000275 238PKEY USB</t>
    </r>
    <r>
      <rPr>
        <sz val="10"/>
        <rFont val="微软雅黑"/>
        <charset val="134"/>
      </rPr>
      <t>小板</t>
    </r>
  </si>
  <si>
    <t>VA1</t>
  </si>
  <si>
    <t>I5-5257U</t>
  </si>
  <si>
    <r>
      <rPr>
        <sz val="10"/>
        <rFont val="Arial"/>
        <charset val="134"/>
      </rPr>
      <t>LPDDR3-253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</si>
  <si>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</si>
  <si>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I3-5005U</t>
  </si>
  <si>
    <t>A.F.P.1000275 238 USB DB</t>
  </si>
  <si>
    <t>VN1</t>
  </si>
  <si>
    <t>I7-4510U</t>
  </si>
  <si>
    <t>A.F.P.1000436 DB USB 156H</t>
  </si>
  <si>
    <t>VN12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</si>
  <si>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</si>
  <si>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ALC283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</si>
  <si>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A.F.P.1000272 SSD DB</t>
  </si>
  <si>
    <t>A.F.P.1000277 DB 133P 133H/140P2/140H</t>
  </si>
  <si>
    <r>
      <rPr>
        <sz val="10"/>
        <rFont val="Arial"/>
        <charset val="134"/>
      </rPr>
      <t>A.F.P.1000281 DB RJ45</t>
    </r>
    <r>
      <rPr>
        <sz val="10"/>
        <rFont val="微软雅黑"/>
        <charset val="134"/>
      </rPr>
      <t>防空贴</t>
    </r>
    <r>
      <rPr>
        <sz val="10"/>
        <rFont val="Arial"/>
        <charset val="134"/>
      </rPr>
      <t>USB 156H</t>
    </r>
  </si>
  <si>
    <r>
      <rPr>
        <sz val="10"/>
        <rFont val="Arial"/>
        <charset val="134"/>
      </rPr>
      <t xml:space="preserve">A.F.P.1000282 DB </t>
    </r>
    <r>
      <rPr>
        <sz val="10"/>
        <rFont val="微软雅黑"/>
        <charset val="134"/>
      </rPr>
      <t>客户私模</t>
    </r>
  </si>
  <si>
    <t>VN12E</t>
  </si>
  <si>
    <t>VN12B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</si>
  <si>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</si>
  <si>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2G*2+0</t>
  </si>
  <si>
    <r>
      <rPr>
        <sz val="10"/>
        <rFont val="Arial"/>
        <charset val="134"/>
      </rPr>
      <t>LPDDR3-253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</si>
  <si>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t>VN1D</t>
  </si>
  <si>
    <r>
      <rPr>
        <sz val="10"/>
        <rFont val="Arial"/>
        <charset val="134"/>
      </rPr>
      <t>LPDDR3-178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</si>
  <si>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</si>
  <si>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A.F.P.1000298 DB 133M Yoga/140M
Yoga</t>
  </si>
  <si>
    <t>A.F.P.1000351 DB 156M</t>
  </si>
  <si>
    <t>VN1G</t>
  </si>
  <si>
    <r>
      <rPr>
        <sz val="10"/>
        <rFont val="微软雅黑"/>
        <charset val="134"/>
      </rPr>
      <t>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</si>
  <si>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VN1P</t>
  </si>
  <si>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</si>
  <si>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A.F.P.1000433 156M USB3.0 TF DB</t>
  </si>
  <si>
    <t>VN1S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</si>
  <si>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停产；加密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客供；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</si>
  <si>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A.P.10000753 140M USB DB</t>
  </si>
  <si>
    <t>VN5</t>
  </si>
  <si>
    <t>VN6</t>
  </si>
  <si>
    <t>A.F.P.1000283 USB DB</t>
  </si>
  <si>
    <t>VN6D</t>
  </si>
  <si>
    <t>A.F.P.1000377 USB DB 140HC</t>
  </si>
  <si>
    <t>VN22</t>
  </si>
  <si>
    <r>
      <rPr>
        <sz val="10"/>
        <rFont val="微软雅黑"/>
        <charset val="134"/>
      </rPr>
      <t>无需全功能</t>
    </r>
    <r>
      <rPr>
        <sz val="10"/>
        <rFont val="Arial"/>
        <charset val="134"/>
      </rPr>
      <t>TYPE-C</t>
    </r>
    <r>
      <rPr>
        <sz val="10"/>
        <rFont val="微软雅黑"/>
        <charset val="134"/>
      </rPr>
      <t>固不含</t>
    </r>
    <r>
      <rPr>
        <sz val="10"/>
        <rFont val="Arial"/>
        <charset val="134"/>
      </rPr>
      <t>Type-C IC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</si>
  <si>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A.F.P.1000428 DB RJ45 V10</t>
  </si>
  <si>
    <t>A.F.P.1000452 DB RJ45 V20</t>
  </si>
  <si>
    <t>I5-8250U</t>
  </si>
  <si>
    <t>1G*8+0</t>
  </si>
  <si>
    <t>8265 1.8V</t>
  </si>
  <si>
    <r>
      <rPr>
        <sz val="10"/>
        <rFont val="Arial"/>
        <charset val="134"/>
      </rPr>
      <t>DDR4-96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</si>
  <si>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</si>
  <si>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A.P.10000673 DB AUDIO</t>
  </si>
  <si>
    <t>A.F.P.1000382 DB 156H</t>
  </si>
  <si>
    <t>KN1D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</si>
  <si>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</si>
  <si>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I7-8550U</t>
  </si>
  <si>
    <r>
      <rPr>
        <sz val="10"/>
        <rFont val="Arial"/>
        <charset val="134"/>
      </rPr>
      <t>LPDDR3-178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</si>
  <si>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t>KN1E</t>
  </si>
  <si>
    <t>3867U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</si>
  <si>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/LPDDR3-178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</si>
  <si>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为库存料，缺料，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</si>
  <si>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KN2</t>
  </si>
  <si>
    <t>i3-8130U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</si>
  <si>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使用三星目前无价格，</t>
    </r>
    <r>
      <rPr>
        <sz val="10"/>
        <rFont val="Arial"/>
        <charset val="134"/>
      </rPr>
      <t>WIFI/SIM</t>
    </r>
    <r>
      <rPr>
        <sz val="10"/>
        <rFont val="微软雅黑"/>
        <charset val="134"/>
      </rPr>
      <t>卡座</t>
    </r>
    <r>
      <rPr>
        <sz val="10"/>
        <rFont val="Arial"/>
        <charset val="134"/>
      </rPr>
      <t>/Type c</t>
    </r>
    <r>
      <rPr>
        <sz val="10"/>
        <rFont val="微软雅黑"/>
        <charset val="134"/>
      </rPr>
      <t>连接器这三颗若爱高客供成本可减去，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</si>
  <si>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KN2D</t>
  </si>
  <si>
    <t>4417U</t>
  </si>
  <si>
    <r>
      <rPr>
        <sz val="10"/>
        <rFont val="Arial"/>
        <charset val="134"/>
      </rPr>
      <t>SIM</t>
    </r>
    <r>
      <rPr>
        <sz val="10"/>
        <rFont val="微软雅黑"/>
        <charset val="134"/>
      </rPr>
      <t>卡座</t>
    </r>
    <r>
      <rPr>
        <sz val="10"/>
        <rFont val="Arial"/>
        <charset val="134"/>
      </rPr>
      <t>/Type c</t>
    </r>
    <r>
      <rPr>
        <sz val="10"/>
        <rFont val="微软雅黑"/>
        <charset val="134"/>
      </rPr>
      <t>连接器这两颗若爱高客供成本可减去；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</si>
  <si>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KN5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</si>
  <si>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/LPDDR3-178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</si>
  <si>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缺货，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</si>
  <si>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KN12</t>
  </si>
  <si>
    <t>KN12R</t>
  </si>
  <si>
    <r>
      <rPr>
        <sz val="10"/>
        <rFont val="Arial"/>
        <charset val="134"/>
      </rPr>
      <t>ALC269 DDR</t>
    </r>
    <r>
      <rPr>
        <sz val="10"/>
        <rFont val="微软雅黑"/>
        <charset val="134"/>
      </rPr>
      <t>为库存料目前无价格，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</si>
  <si>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A.F.P.1000294 RJ45 DB</t>
  </si>
  <si>
    <t>KN12S</t>
  </si>
  <si>
    <r>
      <rPr>
        <sz val="10"/>
        <rFont val="Arial"/>
        <charset val="134"/>
      </rPr>
      <t>ALC256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</si>
  <si>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Arial"/>
        <charset val="134"/>
      </rPr>
      <t>ALC256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</si>
  <si>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KN16</t>
  </si>
  <si>
    <t>I3-7020U</t>
  </si>
  <si>
    <r>
      <rPr>
        <sz val="10"/>
        <rFont val="微软雅黑"/>
        <charset val="134"/>
      </rPr>
      <t>客供</t>
    </r>
    <r>
      <rPr>
        <sz val="10"/>
        <rFont val="Arial"/>
        <charset val="134"/>
      </rPr>
      <t>DDR4-96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</si>
  <si>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</si>
  <si>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A.F.P.0000349 USB 140P DB</t>
  </si>
  <si>
    <t>A.F.P.1000326 SSD DB</t>
  </si>
  <si>
    <t>A.F.P.1000327 TF DB</t>
  </si>
  <si>
    <t>KN16R</t>
  </si>
  <si>
    <t>96 1G*8+0</t>
  </si>
  <si>
    <t>96 1G*4+0</t>
  </si>
  <si>
    <t>A.F.P.1000430 RJ45V20 DB</t>
  </si>
  <si>
    <t>A.F.P.1000406 RJ45V10 DB</t>
  </si>
  <si>
    <t>KA215</t>
  </si>
  <si>
    <t>SKU5   A.F.P.KA21505</t>
  </si>
  <si>
    <t>A.F.P.1000262 DB SSD</t>
  </si>
  <si>
    <t>KA215A</t>
  </si>
  <si>
    <r>
      <rPr>
        <sz val="10"/>
        <rFont val="微软雅黑"/>
        <charset val="134"/>
      </rPr>
      <t>带</t>
    </r>
    <r>
      <rPr>
        <sz val="10"/>
        <rFont val="Arial"/>
        <charset val="134"/>
      </rPr>
      <t>RJ45,</t>
    </r>
    <r>
      <rPr>
        <sz val="10"/>
        <rFont val="微软雅黑"/>
        <charset val="134"/>
      </rPr>
      <t>带加密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</si>
  <si>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Arial"/>
        <charset val="134"/>
      </rPr>
      <t>A.F.P.1000361 250m</t>
    </r>
    <r>
      <rPr>
        <sz val="10"/>
        <rFont val="微软雅黑"/>
        <charset val="134"/>
      </rPr>
      <t>背光小板</t>
    </r>
  </si>
  <si>
    <t>YN8</t>
  </si>
  <si>
    <t>Z8350</t>
  </si>
  <si>
    <t>512M*4+32G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</si>
  <si>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/DDR3L-96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512M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</si>
  <si>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</t>
    </r>
  </si>
  <si>
    <t>A.F.P.1000124  DB USB 2.0</t>
  </si>
  <si>
    <t>YN8_D</t>
  </si>
  <si>
    <t>1G*4+32G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</si>
  <si>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/DDR3L-96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1G</t>
    </r>
  </si>
  <si>
    <t>A.F.P.1000358 DB USB</t>
  </si>
  <si>
    <t>A.F.P.1000308 DB USB 140P</t>
  </si>
  <si>
    <t>YN8_DE</t>
  </si>
  <si>
    <t>2G+64G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</si>
  <si>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为库存料目前无价格；EMMC停产中待验新料暂无价格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</si>
  <si>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</t>
    </r>
  </si>
  <si>
    <t>USB DB(124#)</t>
  </si>
  <si>
    <t>USB DB(120#)</t>
  </si>
  <si>
    <t>A.F.P.1000318 DB 140P</t>
  </si>
  <si>
    <t>A.F.P.1000196 DB USB 116P2</t>
  </si>
  <si>
    <t>A.F.P.1000389 DB 116P</t>
  </si>
  <si>
    <t>A.F.P.1000123 DB RJ45 140P3</t>
  </si>
  <si>
    <t>Y10D</t>
  </si>
  <si>
    <t>SKU1 A.F.P.0Y10D01</t>
  </si>
  <si>
    <t>M3-7Y30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</si>
  <si>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</si>
  <si>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M5-7Y54</t>
  </si>
  <si>
    <t>WA1</t>
  </si>
  <si>
    <t>I5-8265U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</si>
  <si>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使用三目前无价格星，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</si>
  <si>
    <t>WN2A</t>
  </si>
  <si>
    <t>i3-8145U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</si>
  <si>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</si>
  <si>
    <t>WN6</t>
  </si>
  <si>
    <t>i7-8565U</t>
  </si>
  <si>
    <t>1G*4+64G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</si>
  <si>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/DDR4-96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</si>
  <si>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</si>
  <si>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5405U</t>
  </si>
  <si>
    <t>A.F.P.1000350  RJ45 DB</t>
  </si>
  <si>
    <t>A.F.P.1000342 AUDIO DB</t>
  </si>
  <si>
    <r>
      <rPr>
        <sz val="10"/>
        <rFont val="Arial"/>
        <charset val="134"/>
      </rPr>
      <t>IA1</t>
    </r>
    <r>
      <rPr>
        <sz val="10"/>
        <rFont val="微软雅黑"/>
        <charset val="134"/>
      </rPr>
      <t>备料</t>
    </r>
    <r>
      <rPr>
        <sz val="10"/>
        <rFont val="Arial"/>
        <charset val="134"/>
      </rPr>
      <t>BOM</t>
    </r>
  </si>
  <si>
    <t>I3-1005G1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</si>
  <si>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</si>
  <si>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color theme="1"/>
        <rFont val="微软雅黑"/>
        <charset val="134"/>
      </rPr>
      <t>上海</t>
    </r>
  </si>
  <si>
    <t>AB1</t>
  </si>
  <si>
    <t>A.F.P.00AB108</t>
  </si>
  <si>
    <t>N3450(6W)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</si>
  <si>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Realtek2166</t>
    </r>
    <r>
      <rPr>
        <sz val="10"/>
        <rFont val="微软雅黑"/>
        <charset val="134"/>
      </rPr>
      <t>音视频转换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和基美高精密钽电容；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</si>
  <si>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A.F.P.00AB113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</si>
  <si>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Realtek2166</t>
    </r>
    <r>
      <rPr>
        <sz val="10"/>
        <rFont val="微软雅黑"/>
        <charset val="134"/>
      </rPr>
      <t>音视频转换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含基美高精密钽电容；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</si>
  <si>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A.F.P.00AB120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</si>
  <si>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库存料目前无价格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Realtek2166</t>
    </r>
    <r>
      <rPr>
        <sz val="10"/>
        <rFont val="微软雅黑"/>
        <charset val="134"/>
      </rPr>
      <t>音视频转换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含松下高精密钽电容；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</si>
  <si>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A.F.P.00AB128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</si>
  <si>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暂无报价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Realtek2166</t>
    </r>
    <r>
      <rPr>
        <sz val="10"/>
        <rFont val="微软雅黑"/>
        <charset val="134"/>
      </rPr>
      <t>音视频转换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含松下高精密钽电容；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</si>
  <si>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A.F.P.00AB129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</si>
  <si>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库存料目前无价格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Realtek2166</t>
    </r>
    <r>
      <rPr>
        <sz val="10"/>
        <rFont val="微软雅黑"/>
        <charset val="134"/>
      </rPr>
      <t>音视频转换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不含高精密钽电容；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</si>
  <si>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A.F.P.00AB130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</si>
  <si>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库存料目前无价格，不含</t>
    </r>
    <r>
      <rPr>
        <sz val="10"/>
        <rFont val="Arial"/>
        <charset val="134"/>
      </rPr>
      <t>Realtek2166</t>
    </r>
    <r>
      <rPr>
        <sz val="10"/>
        <rFont val="微软雅黑"/>
        <charset val="134"/>
      </rPr>
      <t>音视频转换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和高精密钽电容；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</si>
  <si>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AB1A</t>
  </si>
  <si>
    <t>N3350(6W)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</si>
  <si>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目前无价格消耗库存</t>
    </r>
    <r>
      <rPr>
        <sz val="10"/>
        <rFont val="Arial"/>
        <charset val="134"/>
      </rPr>
      <t>;DDR</t>
    </r>
    <r>
      <rPr>
        <sz val="10"/>
        <rFont val="微软雅黑"/>
        <charset val="134"/>
      </rPr>
      <t>为库存料目前无价格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Realtek2166</t>
    </r>
    <r>
      <rPr>
        <sz val="10"/>
        <rFont val="微软雅黑"/>
        <charset val="134"/>
      </rPr>
      <t>音视频转换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和高精密钽电容；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</si>
  <si>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YB1</t>
  </si>
  <si>
    <t>A.F.P.00YB107</t>
  </si>
  <si>
    <t>Z8350(2W)</t>
  </si>
  <si>
    <t>512*4+32G</t>
  </si>
  <si>
    <t>AP6254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</si>
  <si>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为库存料，含</t>
    </r>
    <r>
      <rPr>
        <sz val="10"/>
        <rFont val="Arial"/>
        <charset val="134"/>
      </rPr>
      <t>Realtek2166</t>
    </r>
    <r>
      <rPr>
        <sz val="10"/>
        <rFont val="微软雅黑"/>
        <charset val="134"/>
      </rPr>
      <t>音视频转换</t>
    </r>
    <r>
      <rPr>
        <sz val="10"/>
        <rFont val="Arial"/>
        <charset val="134"/>
      </rPr>
      <t>IC</t>
    </r>
  </si>
  <si>
    <t>A.F.P.00YB108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</si>
  <si>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为库存料，不含</t>
    </r>
    <r>
      <rPr>
        <sz val="10"/>
        <rFont val="Arial"/>
        <charset val="134"/>
      </rPr>
      <t>Realtek2166</t>
    </r>
    <r>
      <rPr>
        <sz val="10"/>
        <rFont val="微软雅黑"/>
        <charset val="134"/>
      </rPr>
      <t>音视频转换</t>
    </r>
    <r>
      <rPr>
        <sz val="10"/>
        <rFont val="Arial"/>
        <charset val="134"/>
      </rPr>
      <t>IC</t>
    </r>
  </si>
  <si>
    <t>A.F.P.00YB117</t>
  </si>
  <si>
    <t>3G+32G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</si>
  <si>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/LPDDR3-256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3G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</si>
  <si>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目前无价格；不含</t>
    </r>
    <r>
      <rPr>
        <sz val="10"/>
        <rFont val="Arial"/>
        <charset val="134"/>
      </rPr>
      <t>Realtek2166</t>
    </r>
    <r>
      <rPr>
        <sz val="10"/>
        <rFont val="微软雅黑"/>
        <charset val="134"/>
      </rPr>
      <t>音视频转换</t>
    </r>
    <r>
      <rPr>
        <sz val="10"/>
        <rFont val="Arial"/>
        <charset val="134"/>
      </rPr>
      <t>IC</t>
    </r>
  </si>
  <si>
    <t>A.F.P.00YB119</t>
  </si>
  <si>
    <t>A.F.P.00YB120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</si>
  <si>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目前无价格；含</t>
    </r>
    <r>
      <rPr>
        <sz val="10"/>
        <rFont val="Arial"/>
        <charset val="134"/>
      </rPr>
      <t>Realtek2166</t>
    </r>
    <r>
      <rPr>
        <sz val="10"/>
        <rFont val="微软雅黑"/>
        <charset val="134"/>
      </rPr>
      <t>音视频转换</t>
    </r>
    <r>
      <rPr>
        <sz val="10"/>
        <rFont val="Arial"/>
        <charset val="134"/>
      </rPr>
      <t>IC</t>
    </r>
  </si>
  <si>
    <t>A.F.P.00YB118</t>
  </si>
  <si>
    <t>A.F.P.00YB121</t>
  </si>
  <si>
    <t>A.F.P.00YB133</t>
  </si>
  <si>
    <t>A.F.P.00YB135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</si>
  <si>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目前无价格；不含</t>
    </r>
    <r>
      <rPr>
        <sz val="10"/>
        <rFont val="Arial"/>
        <charset val="134"/>
      </rPr>
      <t>Realtek2166</t>
    </r>
    <r>
      <rPr>
        <sz val="10"/>
        <rFont val="微软雅黑"/>
        <charset val="134"/>
      </rPr>
      <t>音视频转换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CODEC</t>
    </r>
    <r>
      <rPr>
        <sz val="10"/>
        <rFont val="微软雅黑"/>
        <charset val="134"/>
      </rPr>
      <t>客供</t>
    </r>
  </si>
  <si>
    <r>
      <rPr>
        <sz val="10"/>
        <rFont val="Arial"/>
        <charset val="134"/>
      </rPr>
      <t>A.P.00YB1035   SKU35 (</t>
    </r>
    <r>
      <rPr>
        <sz val="10"/>
        <rFont val="微软雅黑"/>
        <charset val="134"/>
      </rPr>
      <t>周俊峰提供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</si>
  <si>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江波龙</t>
    </r>
    <r>
      <rPr>
        <sz val="10"/>
        <rFont val="Arial"/>
        <charset val="134"/>
      </rPr>
      <t>/LPDDR3-256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3G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</si>
  <si>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EMMC</t>
    </r>
    <r>
      <rPr>
        <sz val="10"/>
        <rFont val="微软雅黑"/>
        <charset val="134"/>
      </rPr>
      <t>江波龙目前无价格；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里自带客供：</t>
    </r>
    <r>
      <rPr>
        <sz val="10"/>
        <rFont val="Arial"/>
        <charset val="134"/>
      </rPr>
      <t xml:space="preserve">CPU Z8350\ IC KT0200A04\IC AXP288C\ </t>
    </r>
    <r>
      <rPr>
        <sz val="10"/>
        <rFont val="微软雅黑"/>
        <charset val="134"/>
      </rPr>
      <t>灯</t>
    </r>
    <r>
      <rPr>
        <sz val="10"/>
        <rFont val="Arial"/>
        <charset val="134"/>
      </rPr>
      <t xml:space="preserve">HT 3ASURUB9HW-B   </t>
    </r>
    <r>
      <rPr>
        <sz val="10"/>
        <rFont val="微软雅黑"/>
        <charset val="134"/>
      </rPr>
      <t>全部未算成本里</t>
    </r>
    <r>
      <rPr>
        <sz val="10"/>
        <rFont val="Arial"/>
        <charset val="134"/>
      </rPr>
      <t xml:space="preserve">
</t>
    </r>
    <r>
      <rPr>
        <sz val="10"/>
        <rFont val="微软雅黑"/>
        <charset val="134"/>
      </rPr>
      <t>停产需要客供：</t>
    </r>
    <r>
      <rPr>
        <sz val="10"/>
        <rFont val="Arial"/>
        <charset val="134"/>
      </rPr>
      <t>IC MPS_NB671L/EMMC/DDR/</t>
    </r>
    <r>
      <rPr>
        <sz val="10"/>
        <rFont val="微软雅黑"/>
        <charset val="134"/>
      </rPr>
      <t>晶振</t>
    </r>
    <r>
      <rPr>
        <sz val="10"/>
        <rFont val="Arial"/>
        <charset val="134"/>
      </rPr>
      <t>9H03200012-32.768K</t>
    </r>
    <r>
      <rPr>
        <sz val="10"/>
        <rFont val="微软雅黑"/>
        <charset val="134"/>
      </rPr>
      <t>或者</t>
    </r>
    <r>
      <rPr>
        <sz val="10"/>
        <rFont val="Arial"/>
        <charset val="134"/>
      </rPr>
      <t xml:space="preserve">TZ2065A </t>
    </r>
    <r>
      <rPr>
        <sz val="10"/>
        <rFont val="微软雅黑"/>
        <charset val="134"/>
      </rPr>
      <t>（</t>
    </r>
    <r>
      <rPr>
        <sz val="10"/>
        <rFont val="Arial"/>
        <charset val="134"/>
      </rPr>
      <t xml:space="preserve">EMMC/DDR </t>
    </r>
    <r>
      <rPr>
        <sz val="10"/>
        <rFont val="微软雅黑"/>
        <charset val="134"/>
      </rPr>
      <t>未算成本</t>
    </r>
    <r>
      <rPr>
        <sz val="10"/>
        <rFont val="Arial"/>
        <charset val="134"/>
      </rPr>
      <t>)</t>
    </r>
  </si>
  <si>
    <t>A.F.M.2302494   SKU37</t>
  </si>
  <si>
    <r>
      <rPr>
        <sz val="10"/>
        <rFont val="Arial"/>
        <charset val="134"/>
      </rPr>
      <t>Z8350(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>)(2W)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</si>
  <si>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EMMC</t>
    </r>
    <r>
      <rPr>
        <sz val="10"/>
        <rFont val="微软雅黑"/>
        <charset val="134"/>
      </rPr>
      <t>江波龙目前无价格；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里自带客供：</t>
    </r>
    <r>
      <rPr>
        <sz val="10"/>
        <rFont val="Arial"/>
        <charset val="134"/>
      </rPr>
      <t xml:space="preserve">CPU Z8350\ IC KT0200A04\IC AXP288C\ </t>
    </r>
    <r>
      <rPr>
        <sz val="10"/>
        <rFont val="微软雅黑"/>
        <charset val="134"/>
      </rPr>
      <t>灯</t>
    </r>
    <r>
      <rPr>
        <sz val="10"/>
        <rFont val="Arial"/>
        <charset val="134"/>
      </rPr>
      <t xml:space="preserve">HT 3ASURUB9HW-B   </t>
    </r>
    <r>
      <rPr>
        <sz val="10"/>
        <rFont val="微软雅黑"/>
        <charset val="134"/>
      </rPr>
      <t>全部未算成本里</t>
    </r>
    <r>
      <rPr>
        <sz val="10"/>
        <rFont val="Arial"/>
        <charset val="134"/>
      </rPr>
      <t xml:space="preserve">
DDR </t>
    </r>
    <r>
      <rPr>
        <sz val="10"/>
        <rFont val="微软雅黑"/>
        <charset val="134"/>
      </rPr>
      <t>使用三星</t>
    </r>
  </si>
  <si>
    <t>A.F.M.2302495   SKU38</t>
  </si>
  <si>
    <t>YB2</t>
  </si>
  <si>
    <t>A.F.P.00YB201</t>
  </si>
  <si>
    <t>512*8+32G</t>
  </si>
  <si>
    <t>A.F.P.00YB207</t>
  </si>
  <si>
    <t>T09</t>
  </si>
  <si>
    <t>A.F.P.00T0904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</si>
  <si>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</si>
  <si>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A.F.P.00T0907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</si>
  <si>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目前价格；</t>
    </r>
    <r>
      <rPr>
        <sz val="10"/>
        <rFont val="Arial"/>
        <charset val="134"/>
      </rPr>
      <t>DDR3L-96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1G</t>
    </r>
    <r>
      <rPr>
        <sz val="10"/>
        <rFont val="微软雅黑"/>
        <charset val="134"/>
      </rPr>
      <t>已停产；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</si>
  <si>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AB2</t>
  </si>
  <si>
    <t>A.F.P.00AB205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</si>
  <si>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ALC269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5074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9610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</si>
  <si>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AB3</t>
  </si>
  <si>
    <t>A.F.P.00AB308</t>
  </si>
  <si>
    <t>512M*8+32G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</si>
  <si>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为库存料，</t>
    </r>
    <r>
      <rPr>
        <sz val="10"/>
        <rFont val="Arial"/>
        <charset val="134"/>
      </rPr>
      <t>ALC269,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NeoMems</t>
    </r>
    <r>
      <rPr>
        <sz val="10"/>
        <rFont val="微软雅黑"/>
        <charset val="134"/>
      </rPr>
      <t>音视频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</si>
  <si>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A.F.P.00AB312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</si>
  <si>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库存料目前无价格，不含</t>
    </r>
    <r>
      <rPr>
        <sz val="10"/>
        <rFont val="Arial"/>
        <charset val="134"/>
      </rPr>
      <t>NeoMems</t>
    </r>
    <r>
      <rPr>
        <sz val="10"/>
        <rFont val="微软雅黑"/>
        <charset val="134"/>
      </rPr>
      <t>音视频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</si>
  <si>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AB5</t>
  </si>
  <si>
    <t>A.F.P.00AB502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</si>
  <si>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目前无价格消耗库存</t>
    </r>
    <r>
      <rPr>
        <sz val="10"/>
        <rFont val="Arial"/>
        <charset val="134"/>
      </rPr>
      <t>;ALC269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5074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9610</t>
    </r>
    <r>
      <rPr>
        <sz val="10"/>
        <rFont val="微软雅黑"/>
        <charset val="134"/>
      </rPr>
      <t>，不含</t>
    </r>
    <r>
      <rPr>
        <sz val="10"/>
        <rFont val="Arial"/>
        <charset val="134"/>
      </rPr>
      <t>Realtek2166</t>
    </r>
    <r>
      <rPr>
        <sz val="10"/>
        <rFont val="微软雅黑"/>
        <charset val="134"/>
      </rPr>
      <t>音视频转换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</si>
  <si>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A.F.P.00AB503</t>
  </si>
  <si>
    <t>N4200(6W)</t>
  </si>
  <si>
    <r>
      <rPr>
        <sz val="10"/>
        <rFont val="Arial"/>
        <charset val="134"/>
      </rPr>
      <t>ALC269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5074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9610</t>
    </r>
    <r>
      <rPr>
        <sz val="10"/>
        <rFont val="微软雅黑"/>
        <charset val="134"/>
      </rPr>
      <t>，含</t>
    </r>
    <r>
      <rPr>
        <sz val="10"/>
        <rFont val="Arial"/>
        <charset val="134"/>
      </rPr>
      <t>Realtek2166</t>
    </r>
    <r>
      <rPr>
        <sz val="10"/>
        <rFont val="微软雅黑"/>
        <charset val="134"/>
      </rPr>
      <t>音视频转换</t>
    </r>
    <r>
      <rPr>
        <sz val="10"/>
        <rFont val="Arial"/>
        <charset val="134"/>
      </rPr>
      <t>IC;CPU</t>
    </r>
    <r>
      <rPr>
        <sz val="10"/>
        <rFont val="微软雅黑"/>
        <charset val="134"/>
      </rPr>
      <t>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</si>
  <si>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Arial"/>
        <charset val="134"/>
      </rPr>
      <t>GN2(</t>
    </r>
    <r>
      <rPr>
        <sz val="10"/>
        <rFont val="微软雅黑"/>
        <charset val="134"/>
      </rPr>
      <t>爱高生产</t>
    </r>
    <r>
      <rPr>
        <sz val="10"/>
        <rFont val="Arial"/>
        <charset val="134"/>
      </rPr>
      <t>CKD)</t>
    </r>
  </si>
  <si>
    <t>A.F.P.00GN218</t>
  </si>
  <si>
    <t>N4000(6W)</t>
  </si>
  <si>
    <r>
      <rPr>
        <sz val="10"/>
        <rFont val="Arial"/>
        <charset val="134"/>
      </rPr>
      <t>LPDDR4-272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</si>
  <si>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,5077</t>
    </r>
    <r>
      <rPr>
        <sz val="10"/>
        <rFont val="微软雅黑"/>
        <charset val="134"/>
      </rPr>
      <t>配</t>
    </r>
    <r>
      <rPr>
        <sz val="10"/>
        <rFont val="Arial"/>
        <charset val="134"/>
      </rPr>
      <t>9610</t>
    </r>
    <r>
      <rPr>
        <sz val="10"/>
        <rFont val="微软雅黑"/>
        <charset val="134"/>
      </rPr>
      <t>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</t>
    </r>
  </si>
  <si>
    <t>A.F.P.1000236</t>
  </si>
  <si>
    <t>A.F.P.1000236 TF DB</t>
  </si>
  <si>
    <r>
      <rPr>
        <sz val="10"/>
        <rFont val="Arial"/>
        <charset val="134"/>
      </rPr>
      <t>GN2D(</t>
    </r>
    <r>
      <rPr>
        <sz val="10"/>
        <rFont val="微软雅黑"/>
        <charset val="134"/>
      </rPr>
      <t>爱高生产</t>
    </r>
    <r>
      <rPr>
        <sz val="10"/>
        <rFont val="Arial"/>
        <charset val="134"/>
      </rPr>
      <t>CKD)</t>
    </r>
  </si>
  <si>
    <t>A.P.0GN2D003-PVT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</si>
  <si>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为库存料目前无价格，钽电容用的</t>
    </r>
    <r>
      <rPr>
        <sz val="10"/>
        <rFont val="Arial"/>
        <charset val="134"/>
      </rPr>
      <t>Vishay</t>
    </r>
    <r>
      <rPr>
        <sz val="10"/>
        <rFont val="微软雅黑"/>
        <charset val="134"/>
      </rPr>
      <t>成本比</t>
    </r>
    <r>
      <rPr>
        <sz val="10"/>
        <rFont val="Arial"/>
        <charset val="134"/>
      </rPr>
      <t>GN2</t>
    </r>
    <r>
      <rPr>
        <sz val="10"/>
        <rFont val="微软雅黑"/>
        <charset val="134"/>
      </rPr>
      <t>高，</t>
    </r>
    <r>
      <rPr>
        <sz val="10"/>
        <rFont val="Arial"/>
        <charset val="134"/>
      </rPr>
      <t>TYPE-C</t>
    </r>
    <r>
      <rPr>
        <sz val="10"/>
        <rFont val="微软雅黑"/>
        <charset val="134"/>
      </rPr>
      <t>连接器用的爱高指定供应商得意价格比</t>
    </r>
    <r>
      <rPr>
        <sz val="10"/>
        <rFont val="Arial"/>
        <charset val="134"/>
      </rPr>
      <t>GN2</t>
    </r>
    <r>
      <rPr>
        <sz val="10"/>
        <rFont val="微软雅黑"/>
        <charset val="134"/>
      </rPr>
      <t>高</t>
    </r>
    <r>
      <rPr>
        <sz val="10"/>
        <rFont val="Arial"/>
        <charset val="134"/>
      </rPr>
      <t>,HDMI</t>
    </r>
    <r>
      <rPr>
        <sz val="10"/>
        <rFont val="微软雅黑"/>
        <charset val="134"/>
      </rPr>
      <t>连接器成本比</t>
    </r>
    <r>
      <rPr>
        <sz val="10"/>
        <rFont val="Arial"/>
        <charset val="134"/>
      </rPr>
      <t>GN2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5.5~27V</t>
    </r>
    <r>
      <rPr>
        <sz val="10"/>
        <rFont val="微软雅黑"/>
        <charset val="134"/>
      </rPr>
      <t>的电源管理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比</t>
    </r>
    <r>
      <rPr>
        <sz val="10"/>
        <rFont val="Arial"/>
        <charset val="134"/>
      </rPr>
      <t>GN2</t>
    </r>
    <r>
      <rPr>
        <sz val="10"/>
        <rFont val="微软雅黑"/>
        <charset val="134"/>
      </rPr>
      <t>成本高</t>
    </r>
    <r>
      <rPr>
        <sz val="10"/>
        <rFont val="Arial"/>
        <charset val="134"/>
      </rPr>
      <t xml:space="preserve">
</t>
    </r>
    <r>
      <rPr>
        <sz val="10"/>
        <rFont val="微软雅黑"/>
        <charset val="134"/>
      </rPr>
      <t>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</t>
    </r>
  </si>
  <si>
    <r>
      <rPr>
        <sz val="10"/>
        <rFont val="Arial"/>
        <charset val="134"/>
      </rPr>
      <t>GN2E(</t>
    </r>
    <r>
      <rPr>
        <sz val="10"/>
        <rFont val="微软雅黑"/>
        <charset val="134"/>
      </rPr>
      <t>爱高生产</t>
    </r>
    <r>
      <rPr>
        <sz val="10"/>
        <rFont val="Arial"/>
        <charset val="134"/>
      </rPr>
      <t>CKD)</t>
    </r>
  </si>
  <si>
    <t>A.P.0GN2E013-MP</t>
  </si>
  <si>
    <t>N4020(6W)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</si>
  <si>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</t>
    </r>
  </si>
  <si>
    <t>GN5B</t>
  </si>
  <si>
    <t>A.P.0GN5B005-MP</t>
  </si>
  <si>
    <t>N4100(6W)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</si>
  <si>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为库存料目前无价格；目前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</t>
    </r>
  </si>
  <si>
    <t>A.P.10000725</t>
  </si>
  <si>
    <t>A.P.10000725 USB DB</t>
  </si>
  <si>
    <t>GN5D</t>
  </si>
  <si>
    <t>A.P.0GN5D008</t>
  </si>
  <si>
    <t>1G*4+0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</si>
  <si>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使用三星目前无价格，</t>
    </r>
  </si>
  <si>
    <t>A.P.10000515</t>
  </si>
  <si>
    <t>GN6</t>
  </si>
  <si>
    <t>A.P.00GN6006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</si>
  <si>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;DDR</t>
    </r>
    <r>
      <rPr>
        <sz val="10"/>
        <rFont val="微软雅黑"/>
        <charset val="134"/>
      </rPr>
      <t>为库存料目前无价格；EMMC停产中待验新料暂无价格</t>
    </r>
  </si>
  <si>
    <t>A.F.P.1000402</t>
  </si>
  <si>
    <t>A.F.P.1000402 DB RJ45 140P2</t>
  </si>
  <si>
    <r>
      <rPr>
        <sz val="10"/>
        <rFont val="Arial"/>
        <charset val="134"/>
      </rPr>
      <t>8111H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5170</t>
    </r>
  </si>
  <si>
    <t>A.F.P.1000376</t>
  </si>
  <si>
    <r>
      <rPr>
        <sz val="10"/>
        <rFont val="Arial"/>
        <charset val="134"/>
      </rPr>
      <t>A.F.P.1000376 DB USB</t>
    </r>
    <r>
      <rPr>
        <sz val="10"/>
        <rFont val="微软雅黑"/>
        <charset val="134"/>
      </rPr>
      <t>小板</t>
    </r>
    <r>
      <rPr>
        <sz val="10"/>
        <rFont val="Arial"/>
        <charset val="134"/>
      </rPr>
      <t xml:space="preserve"> 140H/156H</t>
    </r>
  </si>
  <si>
    <t>A.F.P.1000377</t>
  </si>
  <si>
    <r>
      <rPr>
        <sz val="10"/>
        <rFont val="Arial"/>
        <charset val="134"/>
      </rPr>
      <t>A.F.P.1000377 DB USB</t>
    </r>
    <r>
      <rPr>
        <sz val="10"/>
        <rFont val="微软雅黑"/>
        <charset val="134"/>
      </rPr>
      <t>小板</t>
    </r>
    <r>
      <rPr>
        <sz val="10"/>
        <rFont val="Arial"/>
        <charset val="134"/>
      </rPr>
      <t>140HC</t>
    </r>
  </si>
  <si>
    <t>A.F.P.1000388</t>
  </si>
  <si>
    <r>
      <rPr>
        <sz val="10"/>
        <rFont val="Arial"/>
        <charset val="134"/>
      </rPr>
      <t>A.F.P.1000388 DB USB</t>
    </r>
    <r>
      <rPr>
        <sz val="10"/>
        <rFont val="微软雅黑"/>
        <charset val="134"/>
      </rPr>
      <t>小板</t>
    </r>
    <r>
      <rPr>
        <sz val="10"/>
        <rFont val="Arial"/>
        <charset val="134"/>
      </rPr>
      <t xml:space="preserve"> 140M/156M</t>
    </r>
  </si>
  <si>
    <t>GN6S</t>
  </si>
  <si>
    <t>N5030(6W)</t>
  </si>
  <si>
    <t>A.P.10000778</t>
  </si>
  <si>
    <t>A.P.10000778 140P/156P RJ45 DB</t>
  </si>
  <si>
    <t>A.P.10000590</t>
  </si>
  <si>
    <t>A.P.10000590 140P/156P RJ45 DBV22</t>
  </si>
  <si>
    <t>GN9D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</si>
  <si>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目前无价格，目前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</t>
    </r>
  </si>
  <si>
    <t>N5000(6W)</t>
  </si>
  <si>
    <t>A.F.P.1000187</t>
  </si>
  <si>
    <t>USB DB</t>
  </si>
  <si>
    <t>CN10</t>
  </si>
  <si>
    <t>A.P.10001145</t>
  </si>
  <si>
    <t>A.P.10001145  USB  DB</t>
  </si>
  <si>
    <r>
      <rPr>
        <sz val="10"/>
        <rFont val="Arial"/>
        <charset val="134"/>
      </rPr>
      <t>GN18 (</t>
    </r>
    <r>
      <rPr>
        <sz val="10"/>
        <rFont val="微软雅黑"/>
        <charset val="134"/>
      </rPr>
      <t>爱高</t>
    </r>
    <r>
      <rPr>
        <sz val="10"/>
        <rFont val="Arial"/>
        <charset val="134"/>
      </rPr>
      <t>CKD)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</si>
  <si>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</t>
    </r>
    <r>
      <rPr>
        <sz val="10"/>
        <rFont val="Arial"/>
        <charset val="134"/>
      </rPr>
      <t>CODEC</t>
    </r>
    <r>
      <rPr>
        <sz val="10"/>
        <rFont val="微软雅黑"/>
        <charset val="134"/>
      </rPr>
      <t>参考</t>
    </r>
    <r>
      <rPr>
        <sz val="10"/>
        <rFont val="Arial"/>
        <charset val="134"/>
      </rPr>
      <t>ES8336,Card Reade</t>
    </r>
    <r>
      <rPr>
        <sz val="10"/>
        <rFont val="微软雅黑"/>
        <charset val="134"/>
      </rPr>
      <t>参考</t>
    </r>
    <r>
      <rPr>
        <sz val="10"/>
        <rFont val="Arial"/>
        <charset val="134"/>
      </rPr>
      <t>MA8121N</t>
    </r>
    <r>
      <rPr>
        <sz val="10"/>
        <rFont val="微软雅黑"/>
        <charset val="134"/>
      </rPr>
      <t>报价，目前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</t>
    </r>
  </si>
  <si>
    <r>
      <rPr>
        <sz val="10"/>
        <rFont val="Arial"/>
        <charset val="134"/>
      </rPr>
      <t>GN18R (</t>
    </r>
    <r>
      <rPr>
        <sz val="10"/>
        <rFont val="微软雅黑"/>
        <charset val="134"/>
      </rPr>
      <t>爱高</t>
    </r>
    <r>
      <rPr>
        <sz val="10"/>
        <rFont val="Arial"/>
        <charset val="134"/>
      </rPr>
      <t>CKD)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</si>
  <si>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</t>
    </r>
    <r>
      <rPr>
        <sz val="10"/>
        <rFont val="Arial"/>
        <charset val="134"/>
      </rPr>
      <t>CODEC</t>
    </r>
    <r>
      <rPr>
        <sz val="10"/>
        <rFont val="微软雅黑"/>
        <charset val="134"/>
      </rPr>
      <t>参考</t>
    </r>
    <r>
      <rPr>
        <sz val="10"/>
        <rFont val="Arial"/>
        <charset val="134"/>
      </rPr>
      <t>ES8336</t>
    </r>
    <r>
      <rPr>
        <sz val="10"/>
        <rFont val="微软雅黑"/>
        <charset val="134"/>
      </rPr>
      <t>报价，目前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</t>
    </r>
  </si>
  <si>
    <r>
      <rPr>
        <sz val="10"/>
        <rFont val="Arial"/>
        <charset val="134"/>
      </rPr>
      <t>GN18D (</t>
    </r>
    <r>
      <rPr>
        <sz val="10"/>
        <rFont val="微软雅黑"/>
        <charset val="134"/>
      </rPr>
      <t>爱高</t>
    </r>
    <r>
      <rPr>
        <sz val="10"/>
        <rFont val="Arial"/>
        <charset val="134"/>
      </rPr>
      <t>CKD)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</si>
  <si>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使用三星目前无价格，</t>
    </r>
    <r>
      <rPr>
        <sz val="10"/>
        <rFont val="Arial"/>
        <charset val="134"/>
      </rPr>
      <t>CKD</t>
    </r>
    <r>
      <rPr>
        <sz val="10"/>
        <rFont val="微软雅黑"/>
        <charset val="134"/>
      </rPr>
      <t>报价</t>
    </r>
    <r>
      <rPr>
        <sz val="10"/>
        <rFont val="Arial"/>
        <charset val="134"/>
      </rPr>
      <t>0.5/</t>
    </r>
    <r>
      <rPr>
        <sz val="10"/>
        <rFont val="微软雅黑"/>
        <charset val="134"/>
      </rPr>
      <t>片</t>
    </r>
  </si>
  <si>
    <r>
      <rPr>
        <sz val="10"/>
        <rFont val="Arial"/>
        <charset val="134"/>
      </rPr>
      <t>GN18E (</t>
    </r>
    <r>
      <rPr>
        <sz val="10"/>
        <rFont val="微软雅黑"/>
        <charset val="134"/>
      </rPr>
      <t>爱高</t>
    </r>
    <r>
      <rPr>
        <sz val="10"/>
        <rFont val="Arial"/>
        <charset val="134"/>
      </rPr>
      <t>CKD)</t>
    </r>
  </si>
  <si>
    <t>GN22</t>
  </si>
  <si>
    <t>J4125(10W)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</si>
  <si>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为库存料目前无价格，非全功能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PCB</t>
    </r>
    <r>
      <rPr>
        <sz val="10"/>
        <rFont val="微软雅黑"/>
        <charset val="134"/>
      </rPr>
      <t>是带</t>
    </r>
    <r>
      <rPr>
        <sz val="10"/>
        <rFont val="Arial"/>
        <charset val="134"/>
      </rPr>
      <t>HDI</t>
    </r>
    <r>
      <rPr>
        <sz val="10"/>
        <rFont val="微软雅黑"/>
        <charset val="134"/>
      </rPr>
      <t>的价格偏贵</t>
    </r>
  </si>
  <si>
    <t>A.F.P.1000452</t>
  </si>
  <si>
    <t>GA1S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</si>
  <si>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目前无价格；带</t>
    </r>
    <r>
      <rPr>
        <sz val="10"/>
        <rFont val="Arial"/>
        <charset val="134"/>
      </rPr>
      <t>RJ45,225V,</t>
    </r>
    <r>
      <rPr>
        <sz val="10"/>
        <rFont val="微软雅黑"/>
        <charset val="134"/>
      </rPr>
      <t>主板需加</t>
    </r>
    <r>
      <rPr>
        <sz val="10"/>
        <rFont val="Arial"/>
        <charset val="134"/>
      </rPr>
      <t>701(ES8336)</t>
    </r>
    <r>
      <rPr>
        <sz val="10"/>
        <rFont val="微软雅黑"/>
        <charset val="134"/>
      </rPr>
      <t>小板成本</t>
    </r>
  </si>
  <si>
    <t>A.P.10000732</t>
  </si>
  <si>
    <r>
      <rPr>
        <sz val="10"/>
        <rFont val="Arial"/>
        <charset val="134"/>
      </rPr>
      <t>A.P.10000732 USB DB(</t>
    </r>
    <r>
      <rPr>
        <sz val="10"/>
        <rFont val="微软雅黑"/>
        <charset val="134"/>
      </rPr>
      <t>联志专用</t>
    </r>
    <r>
      <rPr>
        <sz val="10"/>
        <rFont val="Arial"/>
        <charset val="134"/>
      </rPr>
      <t>)V11</t>
    </r>
  </si>
  <si>
    <t>A.P.10000660</t>
  </si>
  <si>
    <r>
      <rPr>
        <sz val="10"/>
        <rFont val="Arial"/>
        <charset val="134"/>
      </rPr>
      <t>A.P.10000660 USB DB(</t>
    </r>
    <r>
      <rPr>
        <sz val="10"/>
        <rFont val="微软雅黑"/>
        <charset val="134"/>
      </rPr>
      <t>联志专用</t>
    </r>
    <r>
      <rPr>
        <sz val="10"/>
        <rFont val="Arial"/>
        <charset val="134"/>
      </rPr>
      <t>)V10</t>
    </r>
  </si>
  <si>
    <t>GA5S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</si>
  <si>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目前无价格；带</t>
    </r>
    <r>
      <rPr>
        <sz val="10"/>
        <rFont val="Arial"/>
        <charset val="134"/>
      </rPr>
      <t>RJ45,225V,</t>
    </r>
    <r>
      <rPr>
        <sz val="10"/>
        <rFont val="微软雅黑"/>
        <charset val="134"/>
      </rPr>
      <t>主板需加</t>
    </r>
    <r>
      <rPr>
        <sz val="10"/>
        <rFont val="Arial"/>
        <charset val="134"/>
      </rPr>
      <t>702(ES8336D)</t>
    </r>
    <r>
      <rPr>
        <sz val="10"/>
        <rFont val="微软雅黑"/>
        <charset val="134"/>
      </rPr>
      <t>小板成本；EMMC停产中待验新料暂无价格</t>
    </r>
  </si>
  <si>
    <t>A.P.10000800</t>
  </si>
  <si>
    <t>A.P.10000800 SATA+BKL DB</t>
  </si>
  <si>
    <t>A.P.10000744</t>
  </si>
  <si>
    <t>A.P.10000744 ES8336 DB</t>
  </si>
  <si>
    <t>A.F.P.1000315</t>
  </si>
  <si>
    <t>A.F.P.1000315 USB DB</t>
  </si>
  <si>
    <r>
      <rPr>
        <sz val="10"/>
        <rFont val="微软雅黑"/>
        <charset val="134"/>
      </rPr>
      <t>加工费：有后焊料加测试</t>
    </r>
  </si>
  <si>
    <t>GA215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</si>
  <si>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/LPDDR4-272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</si>
  <si>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t>A.F.P.1000449</t>
  </si>
  <si>
    <t>A.F.P.1000449 SATA+BKL_DB</t>
  </si>
  <si>
    <t>A.F.P.1000197</t>
  </si>
  <si>
    <t>GP2</t>
  </si>
  <si>
    <t>A.P.10000853</t>
  </si>
  <si>
    <t>A.P.10000853 Audio DB</t>
  </si>
  <si>
    <t>A.F.P.1000387</t>
  </si>
  <si>
    <t>A.F.P.1000387 SATA 108M DB</t>
  </si>
  <si>
    <t>A.F.P.1000386</t>
  </si>
  <si>
    <t>A.F.P.1000386 Audio 108M DB</t>
  </si>
  <si>
    <t>A.F.P.1000384</t>
  </si>
  <si>
    <t>A.F.P.1000408</t>
  </si>
  <si>
    <t>GP2D</t>
  </si>
  <si>
    <t>1G*4+128G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</si>
  <si>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使用三星目前无价格，，含</t>
    </r>
    <r>
      <rPr>
        <sz val="10"/>
        <rFont val="Arial"/>
        <charset val="134"/>
      </rPr>
      <t>GSENSOR</t>
    </r>
    <r>
      <rPr>
        <sz val="10"/>
        <rFont val="微软雅黑"/>
        <charset val="134"/>
      </rPr>
      <t>和瑞昱的</t>
    </r>
    <r>
      <rPr>
        <sz val="10"/>
        <rFont val="Arial"/>
        <charset val="134"/>
      </rPr>
      <t>USB</t>
    </r>
    <r>
      <rPr>
        <sz val="10"/>
        <rFont val="微软雅黑"/>
        <charset val="134"/>
      </rPr>
      <t>转换</t>
    </r>
    <r>
      <rPr>
        <sz val="10"/>
        <rFont val="Arial"/>
        <charset val="134"/>
      </rPr>
      <t>IC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</si>
  <si>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使用三星目前无价格，含</t>
    </r>
    <r>
      <rPr>
        <sz val="10"/>
        <rFont val="Arial"/>
        <charset val="134"/>
      </rPr>
      <t>GSENSOR</t>
    </r>
    <r>
      <rPr>
        <sz val="10"/>
        <rFont val="微软雅黑"/>
        <charset val="134"/>
      </rPr>
      <t>和瑞昱的</t>
    </r>
    <r>
      <rPr>
        <sz val="10"/>
        <rFont val="Arial"/>
        <charset val="134"/>
      </rPr>
      <t>USB</t>
    </r>
    <r>
      <rPr>
        <sz val="10"/>
        <rFont val="微软雅黑"/>
        <charset val="134"/>
      </rPr>
      <t>转换</t>
    </r>
    <r>
      <rPr>
        <sz val="10"/>
        <rFont val="Arial"/>
        <charset val="134"/>
      </rPr>
      <t>IC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</si>
  <si>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A.P.10000769</t>
  </si>
  <si>
    <t>A.P.10000769 Audio_USB DB</t>
  </si>
  <si>
    <t>A.P.10000718</t>
  </si>
  <si>
    <t>A.P.10000718 USB DB</t>
  </si>
  <si>
    <t>IN2</t>
  </si>
  <si>
    <t>i3-1005G1(15W)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</si>
  <si>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使用百维；与</t>
    </r>
    <r>
      <rPr>
        <sz val="10"/>
        <rFont val="Arial"/>
        <charset val="134"/>
      </rPr>
      <t>IN1 SKU15</t>
    </r>
    <r>
      <rPr>
        <sz val="10"/>
        <rFont val="微软雅黑"/>
        <charset val="134"/>
      </rPr>
      <t>相比少了</t>
    </r>
    <r>
      <rPr>
        <sz val="10"/>
        <rFont val="Arial"/>
        <charset val="134"/>
      </rPr>
      <t xml:space="preserve"> PD</t>
    </r>
    <r>
      <rPr>
        <sz val="10"/>
        <rFont val="微软雅黑"/>
        <charset val="134"/>
      </rPr>
      <t>芯片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与</t>
    </r>
    <r>
      <rPr>
        <sz val="10"/>
        <rFont val="Arial"/>
        <charset val="134"/>
      </rPr>
      <t>IN16</t>
    </r>
    <r>
      <rPr>
        <sz val="10"/>
        <rFont val="微软雅黑"/>
        <charset val="134"/>
      </rPr>
      <t>相比多了加密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</si>
  <si>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I5-1035G1(15W)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</si>
  <si>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使用百维；与</t>
    </r>
    <r>
      <rPr>
        <sz val="10"/>
        <rFont val="Arial"/>
        <charset val="134"/>
      </rPr>
      <t>IN1 SKU15</t>
    </r>
    <r>
      <rPr>
        <sz val="10"/>
        <rFont val="微软雅黑"/>
        <charset val="134"/>
      </rPr>
      <t>相比少了</t>
    </r>
    <r>
      <rPr>
        <sz val="10"/>
        <rFont val="Arial"/>
        <charset val="134"/>
      </rPr>
      <t xml:space="preserve"> PD</t>
    </r>
    <r>
      <rPr>
        <sz val="10"/>
        <rFont val="微软雅黑"/>
        <charset val="134"/>
      </rPr>
      <t>芯片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与</t>
    </r>
    <r>
      <rPr>
        <sz val="10"/>
        <rFont val="Arial"/>
        <charset val="134"/>
      </rPr>
      <t>IN16</t>
    </r>
    <r>
      <rPr>
        <sz val="10"/>
        <rFont val="微软雅黑"/>
        <charset val="134"/>
      </rPr>
      <t>相比多了加密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，；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</si>
  <si>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MP6</t>
  </si>
  <si>
    <t>i7-10510Y(7W)</t>
  </si>
  <si>
    <t>4G*2+256G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</si>
  <si>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EMMC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</si>
  <si>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A.P.10000520 NFC_V10 DB</t>
  </si>
  <si>
    <t>IP11</t>
  </si>
  <si>
    <t>I7-1065G7(15W)</t>
  </si>
  <si>
    <r>
      <rPr>
        <sz val="10"/>
        <rFont val="微软雅黑"/>
        <charset val="134"/>
      </rPr>
      <t>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为库存料目前无价格，非全功能</t>
    </r>
    <r>
      <rPr>
        <sz val="10"/>
        <rFont val="Arial"/>
        <charset val="134"/>
      </rPr>
      <t>TYPE C</t>
    </r>
  </si>
  <si>
    <t>A.F.P.1000487 USB DB</t>
  </si>
  <si>
    <t>MX150</t>
  </si>
  <si>
    <r>
      <rPr>
        <sz val="10"/>
        <rFont val="微软雅黑"/>
        <charset val="134"/>
      </rPr>
      <t>显卡模组</t>
    </r>
  </si>
  <si>
    <t>GPU-N17S-G1</t>
  </si>
  <si>
    <t>1G*2+0</t>
  </si>
  <si>
    <r>
      <rPr>
        <sz val="10"/>
        <rFont val="Arial"/>
        <charset val="134"/>
      </rPr>
      <t>GDDR5-170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1G</t>
    </r>
  </si>
  <si>
    <r>
      <rPr>
        <sz val="10"/>
        <rFont val="Arial"/>
        <charset val="134"/>
      </rPr>
      <t>GPU</t>
    </r>
    <r>
      <rPr>
        <sz val="10"/>
        <rFont val="微软雅黑"/>
        <charset val="134"/>
      </rPr>
      <t>无货</t>
    </r>
    <r>
      <rPr>
        <sz val="10"/>
        <rFont val="Arial"/>
        <charset val="134"/>
      </rPr>
      <t>;DDR</t>
    </r>
    <r>
      <rPr>
        <sz val="10"/>
        <rFont val="微软雅黑"/>
        <charset val="134"/>
      </rPr>
      <t>目前无价格</t>
    </r>
  </si>
  <si>
    <t>MX250</t>
  </si>
  <si>
    <t>GPU-N17S-G2</t>
  </si>
  <si>
    <t>MX350</t>
  </si>
  <si>
    <t>GPU-N17S-G5</t>
  </si>
  <si>
    <t>CSA1T</t>
  </si>
  <si>
    <t>H410</t>
  </si>
  <si>
    <r>
      <rPr>
        <sz val="10"/>
        <rFont val="Arial"/>
        <charset val="134"/>
      </rPr>
      <t>Others</t>
    </r>
    <r>
      <rPr>
        <sz val="10"/>
        <rFont val="微软雅黑"/>
        <charset val="134"/>
      </rPr>
      <t>不含英特尔</t>
    </r>
    <r>
      <rPr>
        <sz val="10"/>
        <rFont val="Arial"/>
        <charset val="134"/>
      </rPr>
      <t>H410</t>
    </r>
    <r>
      <rPr>
        <sz val="10"/>
        <rFont val="微软雅黑"/>
        <charset val="134"/>
      </rPr>
      <t>报价</t>
    </r>
  </si>
  <si>
    <t>CS01G</t>
  </si>
  <si>
    <t>IPCM</t>
  </si>
  <si>
    <t>MD</t>
  </si>
  <si>
    <t>IN1GD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</si>
  <si>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为库存料目前无价，含加密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</si>
  <si>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IN2D</t>
  </si>
  <si>
    <t>SKU2 PCBV10</t>
  </si>
  <si>
    <t>SKU3 PCBV10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</si>
  <si>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</t>
    </r>
  </si>
  <si>
    <t>SKU8 PCBV20</t>
  </si>
  <si>
    <t>IN5</t>
  </si>
  <si>
    <r>
      <rPr>
        <sz val="10"/>
        <rFont val="Arial"/>
        <charset val="134"/>
      </rPr>
      <t xml:space="preserve">SKU3 </t>
    </r>
    <r>
      <rPr>
        <sz val="10"/>
        <rFont val="微软雅黑"/>
        <charset val="134"/>
      </rPr>
      <t>备料</t>
    </r>
    <r>
      <rPr>
        <sz val="10"/>
        <rFont val="Arial"/>
        <charset val="134"/>
      </rPr>
      <t>BOM</t>
    </r>
  </si>
  <si>
    <r>
      <rPr>
        <sz val="10"/>
        <rFont val="微软雅黑"/>
        <charset val="134"/>
      </rPr>
      <t>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为库存料目前无价格，不含</t>
    </r>
    <r>
      <rPr>
        <sz val="10"/>
        <rFont val="Arial"/>
        <charset val="134"/>
      </rPr>
      <t>PD</t>
    </r>
    <r>
      <rPr>
        <sz val="10"/>
        <rFont val="微软雅黑"/>
        <charset val="134"/>
      </rPr>
      <t>芯片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和</t>
    </r>
    <r>
      <rPr>
        <sz val="10"/>
        <rFont val="Arial"/>
        <charset val="134"/>
      </rPr>
      <t>G-Sensor</t>
    </r>
    <r>
      <rPr>
        <sz val="10"/>
        <rFont val="微软雅黑"/>
        <charset val="134"/>
      </rPr>
      <t>，钽电容</t>
    </r>
    <r>
      <rPr>
        <sz val="10"/>
        <rFont val="Arial"/>
        <charset val="134"/>
      </rPr>
      <t>4</t>
    </r>
    <r>
      <rPr>
        <sz val="10"/>
        <rFont val="微软雅黑"/>
        <charset val="134"/>
      </rPr>
      <t>用量</t>
    </r>
    <r>
      <rPr>
        <sz val="10"/>
        <rFont val="Arial"/>
        <charset val="134"/>
      </rPr>
      <t>330UF</t>
    </r>
    <r>
      <rPr>
        <sz val="10"/>
        <rFont val="微软雅黑"/>
        <charset val="134"/>
      </rPr>
      <t>比其它</t>
    </r>
    <r>
      <rPr>
        <sz val="10"/>
        <rFont val="Arial"/>
        <charset val="134"/>
      </rPr>
      <t>ICE lake</t>
    </r>
    <r>
      <rPr>
        <sz val="10"/>
        <rFont val="微软雅黑"/>
        <charset val="134"/>
      </rPr>
      <t>项目</t>
    </r>
    <r>
      <rPr>
        <sz val="10"/>
        <rFont val="Arial"/>
        <charset val="134"/>
      </rPr>
      <t>15UF</t>
    </r>
    <r>
      <rPr>
        <sz val="10"/>
        <rFont val="微软雅黑"/>
        <charset val="134"/>
      </rPr>
      <t>的成本低；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</si>
  <si>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A.P.10000723 USB DB</t>
  </si>
  <si>
    <t>A.P.10000516 USB DB</t>
  </si>
  <si>
    <t>A.F.P.1000467 USB DB</t>
  </si>
  <si>
    <t>IN6D</t>
  </si>
  <si>
    <r>
      <rPr>
        <sz val="10"/>
        <rFont val="微软雅黑"/>
        <charset val="134"/>
      </rPr>
      <t>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为库存料目前无价，与</t>
    </r>
    <r>
      <rPr>
        <sz val="10"/>
        <rFont val="Arial"/>
        <charset val="134"/>
      </rPr>
      <t>IN6 SKU2</t>
    </r>
    <r>
      <rPr>
        <sz val="10"/>
        <rFont val="微软雅黑"/>
        <charset val="134"/>
      </rPr>
      <t>相比</t>
    </r>
    <r>
      <rPr>
        <sz val="10"/>
        <rFont val="Arial"/>
        <charset val="134"/>
      </rPr>
      <t>15UF</t>
    </r>
    <r>
      <rPr>
        <sz val="10"/>
        <rFont val="微软雅黑"/>
        <charset val="134"/>
      </rPr>
      <t>钽电容多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用量，</t>
    </r>
    <r>
      <rPr>
        <sz val="10"/>
        <rFont val="Arial"/>
        <charset val="134"/>
      </rPr>
      <t>MPS86901</t>
    </r>
    <r>
      <rPr>
        <sz val="10"/>
        <rFont val="微软雅黑"/>
        <charset val="134"/>
      </rPr>
      <t>芯片多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用量，</t>
    </r>
    <r>
      <rPr>
        <sz val="10"/>
        <rFont val="Arial"/>
        <charset val="134"/>
      </rPr>
      <t>NXP TVS</t>
    </r>
    <r>
      <rPr>
        <sz val="10"/>
        <rFont val="微软雅黑"/>
        <charset val="134"/>
      </rPr>
      <t>二极管多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用量；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</si>
  <si>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A.F.P.1000493 DB TYPE C 150M</t>
  </si>
  <si>
    <t>IN6G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</si>
  <si>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为库存料目前无价格，未使用高精密钽电容</t>
    </r>
    <r>
      <rPr>
        <sz val="10"/>
        <rFont val="Arial"/>
        <charset val="134"/>
      </rPr>
      <t>,TYPE C</t>
    </r>
    <r>
      <rPr>
        <sz val="10"/>
        <rFont val="微软雅黑"/>
        <charset val="134"/>
      </rPr>
      <t>芯片，未使用</t>
    </r>
    <r>
      <rPr>
        <sz val="10"/>
        <rFont val="Arial"/>
        <charset val="134"/>
      </rPr>
      <t>CYPRESS</t>
    </r>
    <r>
      <rPr>
        <sz val="10"/>
        <rFont val="微软雅黑"/>
        <charset val="134"/>
      </rPr>
      <t>和谱瑞的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芯片成本可减少；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</si>
  <si>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IN12</t>
  </si>
  <si>
    <t>3165/1.8V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</si>
  <si>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为库存料目前无价，不含加密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</si>
  <si>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EMMC</t>
    </r>
    <r>
      <rPr>
        <sz val="10"/>
        <rFont val="微软雅黑"/>
        <charset val="134"/>
      </rPr>
      <t>江波龙目前无价格；含加密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</si>
  <si>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IN22</t>
  </si>
  <si>
    <r>
      <rPr>
        <sz val="10"/>
        <rFont val="微软雅黑"/>
        <charset val="134"/>
      </rPr>
      <t>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</si>
  <si>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A.F.P.1000475 RJ45 DB</t>
  </si>
  <si>
    <t>IN23</t>
  </si>
  <si>
    <t>SKU8  CKD</t>
  </si>
  <si>
    <r>
      <rPr>
        <sz val="10"/>
        <rFont val="Arial"/>
        <charset val="134"/>
      </rPr>
      <t>I5-1035G7</t>
    </r>
    <r>
      <rPr>
        <sz val="10"/>
        <rFont val="微软雅黑"/>
        <charset val="134"/>
      </rPr>
      <t>替换</t>
    </r>
    <r>
      <rPr>
        <sz val="10"/>
        <rFont val="Arial"/>
        <charset val="134"/>
      </rPr>
      <t>I5-1035G1(15W)</t>
    </r>
  </si>
  <si>
    <r>
      <rPr>
        <sz val="10"/>
        <rFont val="Arial"/>
        <charset val="134"/>
      </rPr>
      <t>CKD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0.3$/pcs;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网络</t>
    </r>
    <r>
      <rPr>
        <sz val="10"/>
        <rFont val="Arial"/>
        <charset val="134"/>
      </rPr>
      <t>IC;CPU</t>
    </r>
    <r>
      <rPr>
        <sz val="10"/>
        <rFont val="微软雅黑"/>
        <charset val="134"/>
      </rPr>
      <t>用公司库存料；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使用公司库存料；</t>
    </r>
  </si>
  <si>
    <t>SKU9  CKD</t>
  </si>
  <si>
    <t>YT1</t>
  </si>
  <si>
    <t>Z8550(2W)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</si>
  <si>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/LPDDR3-253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</si>
  <si>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</si>
  <si>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BN5</t>
  </si>
  <si>
    <t>A.F.P.00BN501</t>
  </si>
  <si>
    <t>N3700(6W)</t>
  </si>
  <si>
    <t>512M*8+64G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</si>
  <si>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客供的话可减去相应成本；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</si>
  <si>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A.F.P.1000353</t>
  </si>
  <si>
    <t>FT4</t>
  </si>
  <si>
    <t>A6-9220E</t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</si>
  <si>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</si>
  <si>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E2-9010</t>
  </si>
  <si>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，与</t>
    </r>
    <r>
      <rPr>
        <sz val="10"/>
        <rFont val="Arial"/>
        <charset val="134"/>
      </rPr>
      <t>SKU1</t>
    </r>
    <r>
      <rPr>
        <sz val="10"/>
        <rFont val="微软雅黑"/>
        <charset val="134"/>
      </rPr>
      <t>相比</t>
    </r>
    <r>
      <rPr>
        <sz val="10"/>
        <rFont val="Arial"/>
        <charset val="134"/>
      </rPr>
      <t>MPS MOS</t>
    </r>
    <r>
      <rPr>
        <sz val="10"/>
        <rFont val="微软雅黑"/>
        <charset val="134"/>
      </rPr>
      <t>管用量多</t>
    </r>
    <r>
      <rPr>
        <sz val="10"/>
        <rFont val="Arial"/>
        <charset val="134"/>
      </rPr>
      <t>2</t>
    </r>
    <r>
      <rPr>
        <sz val="10"/>
        <rFont val="微软雅黑"/>
        <charset val="134"/>
      </rPr>
      <t>，高分子钽电容用量多</t>
    </r>
    <r>
      <rPr>
        <sz val="10"/>
        <rFont val="Arial"/>
        <charset val="134"/>
      </rPr>
      <t>4</t>
    </r>
  </si>
  <si>
    <t>ELKHART_LAKE</t>
  </si>
  <si>
    <r>
      <rPr>
        <sz val="10"/>
        <rFont val="Arial"/>
        <charset val="134"/>
      </rPr>
      <t>EMMC</t>
    </r>
    <r>
      <rPr>
        <sz val="10"/>
        <rFont val="微软雅黑"/>
        <charset val="134"/>
      </rPr>
      <t>目前无价格；支持</t>
    </r>
    <r>
      <rPr>
        <sz val="10"/>
        <rFont val="Arial"/>
        <charset val="134"/>
      </rPr>
      <t>SSD</t>
    </r>
    <r>
      <rPr>
        <sz val="10"/>
        <rFont val="微软雅黑"/>
        <charset val="134"/>
      </rPr>
      <t>，含加密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瑞昱的</t>
    </r>
    <r>
      <rPr>
        <sz val="10"/>
        <rFont val="Arial"/>
        <charset val="134"/>
      </rPr>
      <t>USB</t>
    </r>
    <r>
      <rPr>
        <sz val="10"/>
        <rFont val="微软雅黑"/>
        <charset val="134"/>
      </rPr>
      <t>转换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和</t>
    </r>
    <r>
      <rPr>
        <sz val="10"/>
        <rFont val="Arial"/>
        <charset val="134"/>
      </rPr>
      <t>THERMAL SENSOR</t>
    </r>
    <r>
      <rPr>
        <sz val="10"/>
        <rFont val="微软雅黑"/>
        <charset val="134"/>
      </rPr>
      <t>，松下钽电容</t>
    </r>
    <r>
      <rPr>
        <sz val="10"/>
        <rFont val="Arial"/>
        <charset val="134"/>
      </rPr>
      <t>15UF 6</t>
    </r>
    <r>
      <rPr>
        <sz val="10"/>
        <rFont val="微软雅黑"/>
        <charset val="134"/>
      </rPr>
      <t>用量</t>
    </r>
  </si>
  <si>
    <t>realteck scalar</t>
  </si>
  <si>
    <t>MB</t>
  </si>
  <si>
    <t>DEMO</t>
  </si>
  <si>
    <t>512M+0</t>
  </si>
  <si>
    <r>
      <rPr>
        <sz val="10"/>
        <rFont val="Arial"/>
        <charset val="134"/>
      </rPr>
      <t>DDR3L-96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512M</t>
    </r>
  </si>
  <si>
    <t>DX5</t>
  </si>
  <si>
    <t>A.P.10000561</t>
  </si>
  <si>
    <t>A.P.10000561 USB DB</t>
  </si>
  <si>
    <t>DR01</t>
  </si>
  <si>
    <r>
      <rPr>
        <sz val="10"/>
        <rFont val="Arial"/>
        <charset val="134"/>
      </rPr>
      <t>LD4X-556</t>
    </r>
    <r>
      <rPr>
        <sz val="10"/>
        <rFont val="微软雅黑"/>
        <charset val="134"/>
      </rPr>
      <t>球</t>
    </r>
  </si>
  <si>
    <t>DDR Spectek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</si>
  <si>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</t>
    </r>
  </si>
  <si>
    <r>
      <rPr>
        <sz val="10"/>
        <rFont val="Arial"/>
        <charset val="134"/>
      </rPr>
      <t>DDR Spectek</t>
    </r>
    <r>
      <rPr>
        <sz val="10"/>
        <rFont val="微软雅黑"/>
        <charset val="134"/>
      </rPr>
      <t>目前无价格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</si>
  <si>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</si>
  <si>
    <r>
      <rPr>
        <sz val="10"/>
        <rFont val="Arial"/>
        <charset val="134"/>
      </rPr>
      <t>LP4X 200</t>
    </r>
    <r>
      <rPr>
        <sz val="10"/>
        <rFont val="微软雅黑"/>
        <charset val="134"/>
      </rPr>
      <t>球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</si>
  <si>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使用镁光目前无价格</t>
    </r>
  </si>
  <si>
    <t>ST5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</si>
  <si>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/LPDDR3-253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</si>
  <si>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目前无价格；含导航模块；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</si>
  <si>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A.F.P.1000397</t>
  </si>
  <si>
    <r>
      <rPr>
        <sz val="10"/>
        <rFont val="Arial"/>
        <charset val="134"/>
      </rPr>
      <t xml:space="preserve">A.F.P.1000397 </t>
    </r>
    <r>
      <rPr>
        <sz val="10"/>
        <rFont val="微软雅黑"/>
        <charset val="134"/>
      </rPr>
      <t>按键小板</t>
    </r>
  </si>
  <si>
    <t>A.F.P.1000398</t>
  </si>
  <si>
    <r>
      <rPr>
        <sz val="10"/>
        <rFont val="Arial"/>
        <charset val="134"/>
      </rPr>
      <t>A.F.P.1000398 4G</t>
    </r>
    <r>
      <rPr>
        <sz val="10"/>
        <rFont val="微软雅黑"/>
        <charset val="134"/>
      </rPr>
      <t>小板</t>
    </r>
  </si>
  <si>
    <t>A.F.P.1000369</t>
  </si>
  <si>
    <r>
      <rPr>
        <sz val="10"/>
        <rFont val="Arial"/>
        <charset val="134"/>
      </rPr>
      <t xml:space="preserve">A.F.P.1000369 </t>
    </r>
    <r>
      <rPr>
        <sz val="10"/>
        <rFont val="微软雅黑"/>
        <charset val="134"/>
      </rPr>
      <t>光感小板</t>
    </r>
  </si>
  <si>
    <t>A.F.P.1000322</t>
  </si>
  <si>
    <r>
      <rPr>
        <sz val="10"/>
        <rFont val="Arial"/>
        <charset val="134"/>
      </rPr>
      <t>A.F.P.1000322 4G</t>
    </r>
    <r>
      <rPr>
        <sz val="10"/>
        <rFont val="微软雅黑"/>
        <charset val="134"/>
      </rPr>
      <t>小板</t>
    </r>
  </si>
  <si>
    <t>CN5</t>
  </si>
  <si>
    <t>2G*8+128G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</si>
  <si>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/DDR4-96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</si>
  <si>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目前无价格，不含加密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</si>
  <si>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A.P.10000684</t>
  </si>
  <si>
    <t>A.P.10000684 USB DB</t>
  </si>
  <si>
    <t>A.F.P.1000338</t>
  </si>
  <si>
    <t>A.F.P.1000337</t>
  </si>
  <si>
    <t>A.F.P.1000370</t>
  </si>
  <si>
    <t>A.F.P.1000412</t>
  </si>
  <si>
    <t>A.F.P.1000412 DB USB 133HC</t>
  </si>
  <si>
    <t>i3-10110U(15W)</t>
  </si>
  <si>
    <r>
      <rPr>
        <sz val="10"/>
        <rFont val="微软雅黑"/>
        <charset val="134"/>
      </rPr>
      <t>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</t>
    </r>
  </si>
  <si>
    <r>
      <rPr>
        <sz val="10"/>
        <rFont val="Arial"/>
        <charset val="134"/>
      </rPr>
      <t>i3-10110U(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>)(15W)</t>
    </r>
  </si>
  <si>
    <t>A.P.10001042</t>
  </si>
  <si>
    <t>A.P.10001042 USB DB</t>
  </si>
  <si>
    <t xml:space="preserve">A.P.10000766 </t>
  </si>
  <si>
    <t>A.P.10000766 RJ45 DB</t>
  </si>
  <si>
    <t>A.P.10000636</t>
  </si>
  <si>
    <t>A.P.10000636 140P/156P RJ45 DB</t>
  </si>
  <si>
    <t>A.F.P.1000435 SSD DB</t>
  </si>
  <si>
    <t>A.P.10000651 RJ45 DB</t>
  </si>
  <si>
    <t>A.P.10000618 RJ45 DB</t>
  </si>
  <si>
    <t>A.P.10000619 RJ45 DB</t>
  </si>
  <si>
    <t>A.P.10000505 140HC DB</t>
  </si>
  <si>
    <t>A.F.P.1000462 sensor 140HC  DB</t>
  </si>
  <si>
    <t>A.F.P.1000500 RJ45 140P/156P</t>
  </si>
  <si>
    <t>CN2H(CKD)</t>
  </si>
  <si>
    <r>
      <rPr>
        <sz val="10"/>
        <rFont val="微软雅黑"/>
        <charset val="134"/>
      </rPr>
      <t>目前</t>
    </r>
    <r>
      <rPr>
        <sz val="10"/>
        <rFont val="Arial"/>
        <charset val="134"/>
      </rPr>
      <t>CPU\DDR</t>
    </r>
    <r>
      <rPr>
        <sz val="10"/>
        <rFont val="微软雅黑"/>
        <charset val="134"/>
      </rPr>
      <t>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使用三星，</t>
    </r>
    <r>
      <rPr>
        <sz val="10"/>
        <rFont val="Arial"/>
        <charset val="134"/>
      </rPr>
      <t>CKD</t>
    </r>
    <r>
      <rPr>
        <sz val="10"/>
        <rFont val="微软雅黑"/>
        <charset val="134"/>
      </rPr>
      <t>报价</t>
    </r>
    <r>
      <rPr>
        <sz val="10"/>
        <rFont val="Arial"/>
        <charset val="134"/>
      </rPr>
      <t>0.2/</t>
    </r>
    <r>
      <rPr>
        <sz val="10"/>
        <rFont val="微软雅黑"/>
        <charset val="134"/>
      </rPr>
      <t>片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全功能</t>
    </r>
    <r>
      <rPr>
        <sz val="10"/>
        <rFont val="Arial"/>
        <charset val="134"/>
      </rPr>
      <t>TYPE C; DATA ONLY</t>
    </r>
  </si>
  <si>
    <t>6223C-PUC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</si>
  <si>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使用三星，目前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无价格；</t>
    </r>
    <r>
      <rPr>
        <sz val="10"/>
        <rFont val="Arial"/>
        <charset val="134"/>
      </rPr>
      <t>CKD</t>
    </r>
    <r>
      <rPr>
        <sz val="10"/>
        <rFont val="微软雅黑"/>
        <charset val="134"/>
      </rPr>
      <t>报价</t>
    </r>
    <r>
      <rPr>
        <sz val="10"/>
        <rFont val="Arial"/>
        <charset val="134"/>
      </rPr>
      <t>0.2/</t>
    </r>
    <r>
      <rPr>
        <sz val="10"/>
        <rFont val="微软雅黑"/>
        <charset val="134"/>
      </rPr>
      <t>片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全功能</t>
    </r>
    <r>
      <rPr>
        <sz val="10"/>
        <rFont val="Arial"/>
        <charset val="134"/>
      </rPr>
      <t>TYPE C: DATA ONLY</t>
    </r>
  </si>
  <si>
    <r>
      <rPr>
        <sz val="10"/>
        <rFont val="微软雅黑"/>
        <charset val="134"/>
      </rPr>
      <t>模组小板</t>
    </r>
  </si>
  <si>
    <t>A.P.10001110 ALC269 DB</t>
  </si>
  <si>
    <t>A.P.10001102 SN6140 DB</t>
  </si>
  <si>
    <t>A.P.10000816 CJC6811A DB</t>
  </si>
  <si>
    <t>A.P.10000787 CX20632 DB</t>
  </si>
  <si>
    <t>A.P.10000633 ES8336 DB</t>
  </si>
  <si>
    <t>A.P.10000697 ALC255 DB</t>
  </si>
  <si>
    <t>A.P.10000700 ALC283 DB</t>
  </si>
  <si>
    <t>A.P.10000762 ES8336 DB</t>
  </si>
  <si>
    <t>A.P.10000703 ES8326 DB</t>
  </si>
  <si>
    <r>
      <rPr>
        <sz val="10"/>
        <rFont val="微软雅黑"/>
        <charset val="134"/>
      </rPr>
      <t>电源小板</t>
    </r>
  </si>
  <si>
    <t>A.P.10000634 NB679_NB680 DB</t>
  </si>
  <si>
    <r>
      <rPr>
        <sz val="10"/>
        <rFont val="Arial"/>
        <charset val="134"/>
      </rPr>
      <t>WIFI</t>
    </r>
    <r>
      <rPr>
        <sz val="10"/>
        <rFont val="微软雅黑"/>
        <charset val="134"/>
      </rPr>
      <t>小板</t>
    </r>
  </si>
  <si>
    <t>A.P.10000806 9560 DB</t>
  </si>
  <si>
    <t>A.P.10000807 7265 DB</t>
  </si>
  <si>
    <t>A.P.10000808 AX201 DB</t>
  </si>
  <si>
    <t>IN1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</si>
  <si>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JHL8040R</t>
    </r>
    <r>
      <rPr>
        <sz val="10"/>
        <rFont val="微软雅黑"/>
        <charset val="134"/>
      </rPr>
      <t>桥片；</t>
    </r>
  </si>
  <si>
    <t>A.F.P.1000403 DB SSD</t>
  </si>
  <si>
    <t>A.F.P.1000364 156M USB2.0 TF DB</t>
  </si>
  <si>
    <t>IN1C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</si>
  <si>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目前无价格；不含</t>
    </r>
    <r>
      <rPr>
        <sz val="10"/>
        <rFont val="Arial"/>
        <charset val="134"/>
      </rPr>
      <t>PD</t>
    </r>
    <r>
      <rPr>
        <sz val="10"/>
        <rFont val="微软雅黑"/>
        <charset val="134"/>
      </rPr>
      <t>芯片和加密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，钽电容</t>
    </r>
    <r>
      <rPr>
        <sz val="10"/>
        <rFont val="Arial"/>
        <charset val="134"/>
      </rPr>
      <t>4</t>
    </r>
    <r>
      <rPr>
        <sz val="10"/>
        <rFont val="微软雅黑"/>
        <charset val="134"/>
      </rPr>
      <t>用量</t>
    </r>
    <r>
      <rPr>
        <sz val="10"/>
        <rFont val="Arial"/>
        <charset val="134"/>
      </rPr>
      <t>330UF</t>
    </r>
    <r>
      <rPr>
        <sz val="10"/>
        <rFont val="微软雅黑"/>
        <charset val="134"/>
      </rPr>
      <t>比其它</t>
    </r>
    <r>
      <rPr>
        <sz val="10"/>
        <rFont val="Arial"/>
        <charset val="134"/>
      </rPr>
      <t>ICE lake</t>
    </r>
    <r>
      <rPr>
        <sz val="10"/>
        <rFont val="微软雅黑"/>
        <charset val="134"/>
      </rPr>
      <t>项目</t>
    </r>
    <r>
      <rPr>
        <sz val="10"/>
        <rFont val="Arial"/>
        <charset val="134"/>
      </rPr>
      <t>15UF</t>
    </r>
    <r>
      <rPr>
        <sz val="10"/>
        <rFont val="微软雅黑"/>
        <charset val="134"/>
      </rPr>
      <t>的成本高；；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</si>
  <si>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CN1</t>
  </si>
  <si>
    <t>I7-10510U(15W)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</si>
  <si>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使用三星，目前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</t>
    </r>
  </si>
  <si>
    <t>A.P.10000775</t>
  </si>
  <si>
    <t>A.P.10000775 USB DB</t>
  </si>
  <si>
    <t>IN12B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</si>
  <si>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目前无价格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</si>
  <si>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IN5D</t>
  </si>
  <si>
    <r>
      <rPr>
        <sz val="10"/>
        <rFont val="微软雅黑"/>
        <charset val="134"/>
      </rPr>
      <t>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为库存料，不含</t>
    </r>
    <r>
      <rPr>
        <sz val="10"/>
        <rFont val="Arial"/>
        <charset val="134"/>
      </rPr>
      <t>PD</t>
    </r>
    <r>
      <rPr>
        <sz val="10"/>
        <rFont val="微软雅黑"/>
        <charset val="134"/>
      </rPr>
      <t>芯片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和</t>
    </r>
    <r>
      <rPr>
        <sz val="10"/>
        <rFont val="Arial"/>
        <charset val="134"/>
      </rPr>
      <t>G-Sensor</t>
    </r>
    <r>
      <rPr>
        <sz val="10"/>
        <rFont val="微软雅黑"/>
        <charset val="134"/>
      </rPr>
      <t>，不含</t>
    </r>
    <r>
      <rPr>
        <sz val="10"/>
        <rFont val="Arial"/>
        <charset val="134"/>
      </rPr>
      <t>Vishay 15UF</t>
    </r>
    <r>
      <rPr>
        <sz val="10"/>
        <rFont val="微软雅黑"/>
        <charset val="134"/>
      </rPr>
      <t>钽电容</t>
    </r>
  </si>
  <si>
    <t>IN6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</si>
  <si>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PD</t>
    </r>
    <r>
      <rPr>
        <sz val="10"/>
        <rFont val="微软雅黑"/>
        <charset val="134"/>
      </rPr>
      <t>芯片、加密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 xml:space="preserve">G-Sensor, </t>
    </r>
    <r>
      <rPr>
        <sz val="10"/>
        <rFont val="微软雅黑"/>
        <charset val="134"/>
      </rPr>
      <t>多用了</t>
    </r>
    <r>
      <rPr>
        <sz val="10"/>
        <rFont val="Arial"/>
        <charset val="134"/>
      </rPr>
      <t>Vishay15UF</t>
    </r>
    <r>
      <rPr>
        <sz val="10"/>
        <rFont val="微软雅黑"/>
        <charset val="134"/>
      </rPr>
      <t>钽电容</t>
    </r>
    <r>
      <rPr>
        <sz val="10"/>
        <rFont val="Arial"/>
        <charset val="134"/>
      </rPr>
      <t>6</t>
    </r>
    <r>
      <rPr>
        <sz val="10"/>
        <rFont val="微软雅黑"/>
        <charset val="134"/>
      </rPr>
      <t>用量</t>
    </r>
  </si>
  <si>
    <t>I5-1035G7(15W)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</si>
  <si>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；双</t>
    </r>
    <r>
      <rPr>
        <sz val="10"/>
        <rFont val="Arial"/>
        <charset val="134"/>
      </rPr>
      <t>Type C;DDR</t>
    </r>
    <r>
      <rPr>
        <sz val="10"/>
        <rFont val="微软雅黑"/>
        <charset val="134"/>
      </rPr>
      <t>为库存料；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停产无货</t>
    </r>
  </si>
  <si>
    <t>A.P.10000593 DB USB 140P</t>
  </si>
  <si>
    <t>TN1B</t>
  </si>
  <si>
    <t>I5-1135G7(28W)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</si>
  <si>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使用百维；带国民技术的可信芯片</t>
    </r>
    <r>
      <rPr>
        <sz val="10"/>
        <rFont val="Arial"/>
        <charset val="134"/>
      </rPr>
      <t>Z32H330TC-SQN-755</t>
    </r>
    <r>
      <rPr>
        <sz val="10"/>
        <rFont val="微软雅黑"/>
        <charset val="134"/>
      </rPr>
      <t>；</t>
    </r>
  </si>
  <si>
    <t>I3-1115G4(28W)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</si>
  <si>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ALC269</t>
    </r>
  </si>
  <si>
    <r>
      <rPr>
        <sz val="10"/>
        <rFont val="Arial"/>
        <charset val="134"/>
      </rPr>
      <t>DD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ALC269</t>
    </r>
    <r>
      <rPr>
        <sz val="10"/>
        <rFont val="微软雅黑"/>
        <charset val="134"/>
      </rPr>
      <t>；</t>
    </r>
  </si>
  <si>
    <t>I7-1165G7(28W)</t>
  </si>
  <si>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ALC269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</si>
  <si>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目前无价格；深蕾</t>
    </r>
    <r>
      <rPr>
        <sz val="10"/>
        <rFont val="Arial"/>
        <charset val="134"/>
      </rPr>
      <t>SN6140</t>
    </r>
  </si>
  <si>
    <t>TN1C</t>
  </si>
  <si>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宋体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目前无价格</t>
    </r>
    <r>
      <rPr>
        <sz val="10"/>
        <rFont val="Arial"/>
        <charset val="134"/>
      </rPr>
      <t>,,ES8336,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PD</t>
    </r>
    <r>
      <rPr>
        <sz val="10"/>
        <rFont val="微软雅黑"/>
        <charset val="134"/>
      </rPr>
      <t>芯片</t>
    </r>
    <r>
      <rPr>
        <sz val="10"/>
        <rFont val="Arial"/>
        <charset val="134"/>
      </rPr>
      <t>,G-sensor,RJ45,</t>
    </r>
    <r>
      <rPr>
        <sz val="10"/>
        <rFont val="微软雅黑"/>
        <charset val="134"/>
      </rPr>
      <t>加密</t>
    </r>
    <r>
      <rPr>
        <sz val="10"/>
        <rFont val="Arial"/>
        <charset val="134"/>
      </rPr>
      <t>IC</t>
    </r>
  </si>
  <si>
    <t>TN3(CKD)</t>
  </si>
  <si>
    <r>
      <rPr>
        <sz val="10"/>
        <rFont val="Arial"/>
        <charset val="134"/>
      </rPr>
      <t>I5-1135G7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>(28W)</t>
    </r>
  </si>
  <si>
    <r>
      <rPr>
        <sz val="10"/>
        <rFont val="微软雅黑"/>
        <charset val="134"/>
      </rPr>
      <t>条子</t>
    </r>
    <r>
      <rPr>
        <sz val="10"/>
        <rFont val="Arial"/>
        <charset val="134"/>
      </rPr>
      <t>/CKD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$0.3/</t>
    </r>
    <r>
      <rPr>
        <sz val="10"/>
        <rFont val="微软雅黑"/>
        <charset val="134"/>
      </rPr>
      <t>片</t>
    </r>
  </si>
  <si>
    <r>
      <rPr>
        <sz val="10"/>
        <rFont val="微软雅黑"/>
        <charset val="134"/>
      </rPr>
      <t>客供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、加密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4</t>
    </r>
    <r>
      <rPr>
        <sz val="10"/>
        <rFont val="微软雅黑"/>
        <charset val="134"/>
      </rPr>
      <t>代</t>
    </r>
    <r>
      <rPr>
        <sz val="10"/>
        <rFont val="Arial"/>
        <charset val="134"/>
      </rPr>
      <t>microSD</t>
    </r>
    <r>
      <rPr>
        <sz val="10"/>
        <rFont val="微软雅黑"/>
        <charset val="134"/>
      </rPr>
      <t>卡座；</t>
    </r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</si>
  <si>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4</t>
    </r>
    <r>
      <rPr>
        <sz val="10"/>
        <rFont val="微软雅黑"/>
        <charset val="134"/>
      </rPr>
      <t>代</t>
    </r>
    <r>
      <rPr>
        <sz val="10"/>
        <rFont val="Arial"/>
        <charset val="134"/>
      </rPr>
      <t>microSD</t>
    </r>
    <r>
      <rPr>
        <sz val="10"/>
        <rFont val="微软雅黑"/>
        <charset val="134"/>
      </rPr>
      <t>卡座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客供；</t>
    </r>
  </si>
  <si>
    <t>A.F.P.1000417 AUDIO DB</t>
  </si>
  <si>
    <t>A.F.P.1000416  LED DB</t>
  </si>
  <si>
    <t>A.F.P.1000415 USB DB V1.0</t>
  </si>
  <si>
    <t>A.F.P.1000460 USB DB V2.0</t>
  </si>
  <si>
    <t>TN5</t>
  </si>
  <si>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ALC283</t>
    </r>
    <r>
      <rPr>
        <sz val="10"/>
        <rFont val="微软雅黑"/>
        <charset val="134"/>
      </rPr>
      <t>，含加密</t>
    </r>
    <r>
      <rPr>
        <sz val="10"/>
        <rFont val="Arial"/>
        <charset val="134"/>
      </rPr>
      <t>IC</t>
    </r>
  </si>
  <si>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ALC282,</t>
    </r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</t>
    </r>
  </si>
  <si>
    <t>TN6</t>
  </si>
  <si>
    <r>
      <rPr>
        <sz val="10"/>
        <rFont val="Arial"/>
        <charset val="134"/>
      </rPr>
      <t>DDR4-96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</si>
  <si>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微软雅黑"/>
        <charset val="134"/>
      </rPr>
      <t>目前</t>
    </r>
    <r>
      <rPr>
        <sz val="10"/>
        <rFont val="Arial"/>
        <charset val="134"/>
      </rPr>
      <t>CPU /DDR</t>
    </r>
    <r>
      <rPr>
        <sz val="10"/>
        <rFont val="微软雅黑"/>
        <charset val="134"/>
      </rPr>
      <t>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材料，</t>
    </r>
    <r>
      <rPr>
        <sz val="10"/>
        <rFont val="Arial"/>
        <charset val="134"/>
      </rPr>
      <t>ALC256</t>
    </r>
  </si>
  <si>
    <t>A.P.10000676 140HC DB</t>
  </si>
  <si>
    <t>A.F.P.1000461 AUDIO 140HC DB</t>
  </si>
  <si>
    <t>TN12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</si>
  <si>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客供；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使用海力士核价</t>
    </r>
    <r>
      <rPr>
        <sz val="10"/>
        <rFont val="Arial"/>
        <charset val="134"/>
      </rPr>
      <t>(BOM</t>
    </r>
    <r>
      <rPr>
        <sz val="10"/>
        <rFont val="微软雅黑"/>
        <charset val="134"/>
      </rPr>
      <t>里是</t>
    </r>
    <r>
      <rPr>
        <sz val="10"/>
        <rFont val="Arial"/>
        <charset val="134"/>
      </rPr>
      <t>Spectek),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</si>
  <si>
    <t>7505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</si>
  <si>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目前无价格</t>
    </r>
    <r>
      <rPr>
        <sz val="10"/>
        <rFont val="Arial"/>
        <charset val="134"/>
      </rPr>
      <t>,</t>
    </r>
    <r>
      <rPr>
        <sz val="10"/>
        <rFont val="宋体"/>
        <charset val="134"/>
      </rPr>
      <t>；</t>
    </r>
  </si>
  <si>
    <r>
      <rPr>
        <sz val="10"/>
        <rFont val="Arial"/>
        <charset val="134"/>
      </rPr>
      <t>i7-4500U(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>)</t>
    </r>
  </si>
  <si>
    <t>8*2+0</t>
  </si>
  <si>
    <r>
      <rPr>
        <sz val="10"/>
        <rFont val="微软雅黑"/>
        <charset val="134"/>
      </rPr>
      <t>目前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无价格；含</t>
    </r>
    <r>
      <rPr>
        <sz val="10"/>
        <rFont val="Arial"/>
        <charset val="134"/>
      </rPr>
      <t>switch Sensor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客供；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停产无货</t>
    </r>
  </si>
  <si>
    <t>5005U(15W)</t>
  </si>
  <si>
    <t>3165D2WG</t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</si>
  <si>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ALC283-CG IC*$2.32;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c.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</si>
  <si>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A.P.10000979 RJ45 DB</t>
  </si>
  <si>
    <t>DG1</t>
  </si>
  <si>
    <r>
      <rPr>
        <sz val="10"/>
        <rFont val="Arial"/>
        <charset val="134"/>
      </rPr>
      <t xml:space="preserve">A.F.P.1000453 </t>
    </r>
    <r>
      <rPr>
        <sz val="10"/>
        <rFont val="微软雅黑"/>
        <charset val="134"/>
      </rPr>
      <t>转接测试板</t>
    </r>
    <r>
      <rPr>
        <sz val="10"/>
        <rFont val="Arial"/>
        <charset val="134"/>
      </rPr>
      <t xml:space="preserve"> DB</t>
    </r>
  </si>
  <si>
    <t>DN2</t>
  </si>
  <si>
    <t>AX211D2WG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</si>
  <si>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使用百维；</t>
    </r>
    <r>
      <rPr>
        <sz val="10"/>
        <rFont val="Arial"/>
        <charset val="134"/>
      </rPr>
      <t>TYPE C:IT8856FN</t>
    </r>
    <r>
      <rPr>
        <sz val="10"/>
        <rFont val="微软雅黑"/>
        <charset val="134"/>
      </rPr>
      <t>两个用量，</t>
    </r>
    <r>
      <rPr>
        <sz val="10"/>
        <rFont val="Arial"/>
        <charset val="134"/>
      </rPr>
      <t>Realtek:ALC122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>(</t>
    </r>
    <r>
      <rPr>
        <sz val="10"/>
        <rFont val="微软雅黑"/>
        <charset val="134"/>
      </rPr>
      <t>成本不含</t>
    </r>
    <r>
      <rPr>
        <sz val="10"/>
        <rFont val="Arial"/>
        <charset val="134"/>
      </rPr>
      <t>)</t>
    </r>
  </si>
  <si>
    <t>CA1</t>
  </si>
  <si>
    <r>
      <rPr>
        <sz val="10"/>
        <rFont val="微软雅黑"/>
        <charset val="134"/>
      </rPr>
      <t>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使用三星目前无价格，含加密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</si>
  <si>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使用三星目前无价格，不含加密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</si>
  <si>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Arial"/>
        <charset val="134"/>
      </rPr>
      <t>A.F.P.1000366 USB_DB</t>
    </r>
    <r>
      <rPr>
        <sz val="10"/>
        <rFont val="微软雅黑"/>
        <charset val="134"/>
      </rPr>
      <t>（联志）</t>
    </r>
  </si>
  <si>
    <t>CN2S</t>
  </si>
  <si>
    <r>
      <rPr>
        <sz val="10"/>
        <rFont val="微软雅黑"/>
        <charset val="134"/>
      </rPr>
      <t>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</t>
    </r>
  </si>
  <si>
    <t>DN32G</t>
  </si>
  <si>
    <t>i7-1270P(28W)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</si>
  <si>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TTL</t>
    </r>
    <r>
      <rPr>
        <sz val="10"/>
        <rFont val="微软雅黑"/>
        <charset val="134"/>
      </rPr>
      <t>总价：含</t>
    </r>
    <r>
      <rPr>
        <sz val="10"/>
        <rFont val="Arial"/>
        <charset val="134"/>
      </rPr>
      <t xml:space="preserve">DG2 </t>
    </r>
    <r>
      <rPr>
        <sz val="10"/>
        <rFont val="微软雅黑"/>
        <charset val="134"/>
      </rPr>
      <t>桥片</t>
    </r>
    <r>
      <rPr>
        <sz val="10"/>
        <rFont val="Arial"/>
        <charset val="134"/>
      </rPr>
      <t>+GDDR6 2GB*2</t>
    </r>
    <r>
      <rPr>
        <sz val="10"/>
        <rFont val="微软雅黑"/>
        <charset val="134"/>
      </rPr>
      <t>的报价</t>
    </r>
  </si>
  <si>
    <t>I7-12700H(45W)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</si>
  <si>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TTL</t>
    </r>
    <r>
      <rPr>
        <sz val="10"/>
        <rFont val="微软雅黑"/>
        <charset val="134"/>
      </rPr>
      <t>总价：含</t>
    </r>
    <r>
      <rPr>
        <sz val="10"/>
        <rFont val="Arial"/>
        <charset val="134"/>
      </rPr>
      <t xml:space="preserve">DG2 </t>
    </r>
    <r>
      <rPr>
        <sz val="10"/>
        <rFont val="微软雅黑"/>
        <charset val="134"/>
      </rPr>
      <t>桥片</t>
    </r>
    <r>
      <rPr>
        <sz val="10"/>
        <rFont val="Arial"/>
        <charset val="134"/>
      </rPr>
      <t>+GDDR6 2GB*2</t>
    </r>
    <r>
      <rPr>
        <sz val="10"/>
        <rFont val="微软雅黑"/>
        <charset val="134"/>
      </rPr>
      <t>的报价；</t>
    </r>
    <r>
      <rPr>
        <sz val="10"/>
        <rFont val="Arial"/>
        <charset val="134"/>
      </rPr>
      <t>CPU</t>
    </r>
    <r>
      <rPr>
        <sz val="10"/>
        <rFont val="宋体"/>
        <charset val="134"/>
      </rPr>
      <t>缺货，请和采购单独确认下价格；</t>
    </r>
  </si>
  <si>
    <t>A.P.10001089 160M_SS_DB</t>
  </si>
  <si>
    <t>TN2(CKD)</t>
  </si>
  <si>
    <r>
      <rPr>
        <sz val="10"/>
        <rFont val="Arial"/>
        <charset val="134"/>
      </rPr>
      <t>LPDDR4x-200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2G/CKD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</si>
  <si>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使用百维；</t>
    </r>
    <r>
      <rPr>
        <sz val="10"/>
        <rFont val="Arial"/>
        <charset val="134"/>
      </rPr>
      <t>E8336</t>
    </r>
    <r>
      <rPr>
        <sz val="10"/>
        <rFont val="微软雅黑"/>
        <charset val="134"/>
      </rPr>
      <t>，赛普拉斯的</t>
    </r>
    <r>
      <rPr>
        <sz val="10"/>
        <rFont val="Arial"/>
        <charset val="134"/>
      </rPr>
      <t>TYPE-C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</si>
  <si>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使用百维；</t>
    </r>
    <r>
      <rPr>
        <sz val="10"/>
        <rFont val="Arial"/>
        <charset val="134"/>
      </rPr>
      <t xml:space="preserve">ALC256 </t>
    </r>
    <r>
      <rPr>
        <sz val="10"/>
        <rFont val="微软雅黑"/>
        <charset val="134"/>
      </rPr>
      <t>；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</si>
  <si>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使用百维；</t>
    </r>
    <r>
      <rPr>
        <sz val="10"/>
        <rFont val="Arial"/>
        <charset val="134"/>
      </rPr>
      <t xml:space="preserve">E8336 </t>
    </r>
    <r>
      <rPr>
        <sz val="10"/>
        <rFont val="微软雅黑"/>
        <charset val="134"/>
      </rPr>
      <t>；</t>
    </r>
  </si>
  <si>
    <t>TN2D(CKD)</t>
  </si>
  <si>
    <r>
      <rPr>
        <sz val="10"/>
        <rFont val="Arial"/>
        <charset val="134"/>
      </rPr>
      <t>LPDDR4X-376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8G/CKD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</si>
  <si>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为库存料目前无价格，含加密</t>
    </r>
    <r>
      <rPr>
        <sz val="10"/>
        <rFont val="Arial"/>
        <charset val="134"/>
      </rPr>
      <t>IC/USB 4.0</t>
    </r>
    <r>
      <rPr>
        <sz val="10"/>
        <rFont val="微软雅黑"/>
        <charset val="134"/>
      </rPr>
      <t>以上版本需要的</t>
    </r>
    <r>
      <rPr>
        <sz val="10"/>
        <rFont val="Arial"/>
        <charset val="134"/>
      </rPr>
      <t>PD</t>
    </r>
    <r>
      <rPr>
        <sz val="10"/>
        <rFont val="微软雅黑"/>
        <charset val="134"/>
      </rPr>
      <t>芯片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；</t>
    </r>
  </si>
  <si>
    <t>TN21C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</si>
  <si>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目前无价格；单</t>
    </r>
    <r>
      <rPr>
        <sz val="10"/>
        <rFont val="Arial"/>
        <charset val="134"/>
      </rPr>
      <t>type c;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</si>
  <si>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 xml:space="preserve">type c; </t>
    </r>
    <r>
      <rPr>
        <sz val="10"/>
        <rFont val="微软雅黑"/>
        <charset val="134"/>
      </rPr>
      <t>；</t>
    </r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</si>
  <si>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</si>
  <si>
    <t>TN26</t>
  </si>
  <si>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目前无价格；带</t>
    </r>
    <r>
      <rPr>
        <sz val="10"/>
        <rFont val="Arial"/>
        <charset val="134"/>
      </rPr>
      <t>RJ45</t>
    </r>
    <r>
      <rPr>
        <sz val="10"/>
        <rFont val="微软雅黑"/>
        <charset val="134"/>
      </rPr>
      <t>带</t>
    </r>
    <r>
      <rPr>
        <sz val="10"/>
        <rFont val="Arial"/>
        <charset val="134"/>
      </rPr>
      <t>HDMI,</t>
    </r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2</t>
    </r>
    <r>
      <rPr>
        <sz val="10"/>
        <rFont val="微软雅黑"/>
        <charset val="134"/>
      </rPr>
      <t>个用量</t>
    </r>
    <r>
      <rPr>
        <sz val="10"/>
        <rFont val="Arial"/>
        <charset val="134"/>
      </rPr>
      <t>PD</t>
    </r>
    <r>
      <rPr>
        <sz val="10"/>
        <rFont val="微软雅黑"/>
        <charset val="134"/>
      </rPr>
      <t>芯片含</t>
    </r>
    <r>
      <rPr>
        <sz val="10"/>
        <rFont val="Arial"/>
        <charset val="134"/>
      </rPr>
      <t>G-Sensor</t>
    </r>
  </si>
  <si>
    <t>TN30</t>
  </si>
  <si>
    <r>
      <rPr>
        <sz val="10"/>
        <rFont val="微软雅黑"/>
        <charset val="134"/>
      </rPr>
      <t>带</t>
    </r>
    <r>
      <rPr>
        <sz val="10"/>
        <rFont val="Arial"/>
        <charset val="134"/>
      </rPr>
      <t>RJ45</t>
    </r>
    <r>
      <rPr>
        <sz val="10"/>
        <rFont val="微软雅黑"/>
        <charset val="134"/>
      </rPr>
      <t>带</t>
    </r>
    <r>
      <rPr>
        <sz val="10"/>
        <rFont val="Arial"/>
        <charset val="134"/>
      </rPr>
      <t>HDMI,</t>
    </r>
    <r>
      <rPr>
        <sz val="10"/>
        <rFont val="微软雅黑"/>
        <charset val="134"/>
      </rPr>
      <t>网卡</t>
    </r>
    <r>
      <rPr>
        <sz val="10"/>
        <rFont val="Arial"/>
        <charset val="134"/>
      </rPr>
      <t>IC 219V,</t>
    </r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不含英特尔桥片</t>
    </r>
    <r>
      <rPr>
        <sz val="10"/>
        <rFont val="Arial"/>
        <charset val="134"/>
      </rPr>
      <t xml:space="preserve">JHL8010R 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</si>
  <si>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TN30T</t>
  </si>
  <si>
    <t>9461.D2W</t>
  </si>
  <si>
    <r>
      <rPr>
        <sz val="10"/>
        <rFont val="微软雅黑"/>
        <charset val="134"/>
      </rPr>
      <t>带</t>
    </r>
    <r>
      <rPr>
        <sz val="10"/>
        <rFont val="Arial"/>
        <charset val="134"/>
      </rPr>
      <t>RJ45</t>
    </r>
    <r>
      <rPr>
        <sz val="10"/>
        <rFont val="微软雅黑"/>
        <charset val="134"/>
      </rPr>
      <t>带</t>
    </r>
    <r>
      <rPr>
        <sz val="10"/>
        <rFont val="Arial"/>
        <charset val="134"/>
      </rPr>
      <t>HDMI,</t>
    </r>
    <r>
      <rPr>
        <sz val="10"/>
        <rFont val="微软雅黑"/>
        <charset val="134"/>
      </rPr>
      <t>网卡</t>
    </r>
    <r>
      <rPr>
        <sz val="10"/>
        <rFont val="Arial"/>
        <charset val="134"/>
      </rPr>
      <t>IC 219V,</t>
    </r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含英特尔桥片</t>
    </r>
    <r>
      <rPr>
        <sz val="10"/>
        <rFont val="Arial"/>
        <charset val="134"/>
      </rPr>
      <t xml:space="preserve">JHL8010R </t>
    </r>
    <r>
      <rPr>
        <sz val="10"/>
        <rFont val="微软雅黑"/>
        <charset val="134"/>
      </rPr>
      <t>两个用量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；</t>
    </r>
  </si>
  <si>
    <t>A.P.10001076 SSD DB</t>
  </si>
  <si>
    <t>A.P.10001050 SSD DB</t>
  </si>
  <si>
    <t>TN38</t>
  </si>
  <si>
    <t>i3-1125G4(28W)</t>
  </si>
  <si>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</si>
  <si>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A.F.D.2300009 IO_DB</t>
  </si>
  <si>
    <t>J218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</si>
  <si>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目前无价格；不含加密</t>
    </r>
    <r>
      <rPr>
        <sz val="10"/>
        <rFont val="Arial"/>
        <charset val="134"/>
      </rPr>
      <t>IC,CODEC:</t>
    </r>
    <r>
      <rPr>
        <sz val="10"/>
        <rFont val="微软雅黑"/>
        <charset val="134"/>
      </rPr>
      <t>深蕾</t>
    </r>
    <r>
      <rPr>
        <sz val="10"/>
        <rFont val="Arial"/>
        <charset val="134"/>
      </rPr>
      <t>SN6140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</si>
  <si>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A.P.10000926</t>
  </si>
  <si>
    <t>A.P.10000926 RJ45 DB</t>
  </si>
  <si>
    <t>8152B.USBHUB2.0</t>
  </si>
  <si>
    <t>A.P.10000925</t>
  </si>
  <si>
    <t>A.P.10000925 USB DB</t>
  </si>
  <si>
    <t>JP13</t>
  </si>
  <si>
    <r>
      <rPr>
        <sz val="10"/>
        <rFont val="Arial"/>
        <charset val="134"/>
      </rPr>
      <t>DDR Spectek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</si>
  <si>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双Type Ic(两个Type c接口)</t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</si>
  <si>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TYPEC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typec</t>
    </r>
    <r>
      <rPr>
        <sz val="10"/>
        <rFont val="宋体"/>
        <charset val="134"/>
      </rPr>
      <t>接口；DDR Spectek；EMMC；</t>
    </r>
    <r>
      <rPr>
        <sz val="10"/>
        <rFont val="Arial"/>
        <charset val="134"/>
      </rPr>
      <t>IT5570E</t>
    </r>
  </si>
  <si>
    <t>JP19</t>
  </si>
  <si>
    <t>2G*2+128G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</si>
  <si>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</si>
  <si>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Arial"/>
        <charset val="134"/>
      </rPr>
      <t xml:space="preserve">SKU6 </t>
    </r>
    <r>
      <rPr>
        <sz val="10"/>
        <rFont val="微软雅黑"/>
        <charset val="134"/>
      </rPr>
      <t>雷进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</si>
  <si>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使用三星暂无价格；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</si>
  <si>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使用三星暂无价格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显示屏的</t>
    </r>
    <r>
      <rPr>
        <sz val="10"/>
        <rFont val="Arial"/>
        <charset val="134"/>
      </rPr>
      <t>IC/EC IC</t>
    </r>
  </si>
  <si>
    <t>A.F.M.2500539</t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</si>
  <si>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一个接口）</t>
    </r>
  </si>
  <si>
    <t>暂无价格</t>
  </si>
  <si>
    <r>
      <rPr>
        <sz val="10"/>
        <rFont val="宋体"/>
        <charset val="134"/>
      </rPr>
      <t>佰维</t>
    </r>
    <r>
      <rPr>
        <sz val="10"/>
        <rFont val="Arial"/>
        <charset val="134"/>
      </rPr>
      <t>//LPDDR4X-200</t>
    </r>
    <r>
      <rPr>
        <sz val="10"/>
        <rFont val="宋体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</si>
  <si>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使用江波龙；</t>
    </r>
    <r>
      <rPr>
        <sz val="10"/>
        <rFont val="Arial"/>
        <charset val="134"/>
      </rPr>
      <t>IT5570E;GL850G</t>
    </r>
  </si>
  <si>
    <t>A.P.10001067</t>
  </si>
  <si>
    <t>A.P.10001067 POGO DB</t>
  </si>
  <si>
    <t>A.P.10000969</t>
  </si>
  <si>
    <t>A.P.10000969 LED DB</t>
  </si>
  <si>
    <t>DN57</t>
  </si>
  <si>
    <r>
      <rPr>
        <sz val="10"/>
        <rFont val="Arial"/>
        <charset val="134"/>
      </rPr>
      <t>SKU</t>
    </r>
    <r>
      <rPr>
        <sz val="10"/>
        <rFont val="微软雅黑"/>
        <charset val="134"/>
      </rPr>
      <t>（临时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）</t>
    </r>
  </si>
  <si>
    <r>
      <rPr>
        <sz val="10"/>
        <rFont val="微软雅黑"/>
        <charset val="134"/>
      </rPr>
      <t>小板（临时</t>
    </r>
    <r>
      <rPr>
        <sz val="10"/>
        <rFont val="Arial"/>
        <charset val="134"/>
      </rPr>
      <t>BOM</t>
    </r>
    <r>
      <rPr>
        <sz val="10"/>
        <rFont val="微软雅黑"/>
        <charset val="134"/>
      </rPr>
      <t>）</t>
    </r>
  </si>
  <si>
    <t>CN1D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</si>
  <si>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</si>
  <si>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CN23C</t>
  </si>
  <si>
    <t>9560D2WG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</si>
  <si>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成本，带</t>
    </r>
    <r>
      <rPr>
        <sz val="10"/>
        <rFont val="Arial"/>
        <charset val="134"/>
      </rPr>
      <t>RJ45,</t>
    </r>
    <r>
      <rPr>
        <sz val="10"/>
        <rFont val="微软雅黑"/>
        <charset val="134"/>
      </rPr>
      <t>新增一颗支持</t>
    </r>
    <r>
      <rPr>
        <sz val="10"/>
        <rFont val="Arial"/>
        <charset val="134"/>
      </rPr>
      <t>HDMI</t>
    </r>
    <r>
      <rPr>
        <sz val="10"/>
        <rFont val="微软雅黑"/>
        <charset val="134"/>
      </rPr>
      <t>转换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</si>
  <si>
    <t>A.P.10000670 XN23 140P-TF DB</t>
  </si>
  <si>
    <r>
      <rPr>
        <sz val="10"/>
        <rFont val="Arial"/>
        <charset val="134"/>
      </rPr>
      <t>TN1(8L+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</si>
  <si>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t>I5-11320H(35W)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</si>
  <si>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目前无价格；不带</t>
    </r>
    <r>
      <rPr>
        <sz val="10"/>
        <rFont val="Arial"/>
        <charset val="134"/>
      </rPr>
      <t>HDMI</t>
    </r>
  </si>
  <si>
    <t>I7-11390H(35W)</t>
  </si>
  <si>
    <r>
      <rPr>
        <sz val="10"/>
        <rFont val="微软雅黑"/>
        <charset val="134"/>
      </rPr>
      <t>不带</t>
    </r>
    <r>
      <rPr>
        <sz val="10"/>
        <rFont val="Arial"/>
        <charset val="134"/>
      </rPr>
      <t>HDMI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</si>
  <si>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目前无价格；带</t>
    </r>
    <r>
      <rPr>
        <sz val="10"/>
        <rFont val="Arial"/>
        <charset val="134"/>
      </rPr>
      <t>HDMI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</si>
  <si>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微软雅黑"/>
        <charset val="134"/>
      </rPr>
      <t>不带</t>
    </r>
    <r>
      <rPr>
        <sz val="10"/>
        <rFont val="Arial"/>
        <charset val="134"/>
      </rPr>
      <t>HDMI</t>
    </r>
    <r>
      <rPr>
        <sz val="10"/>
        <rFont val="微软雅黑"/>
        <charset val="134"/>
      </rPr>
      <t>；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</si>
  <si>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目前无价格；带</t>
    </r>
    <r>
      <rPr>
        <sz val="10"/>
        <rFont val="Arial"/>
        <charset val="134"/>
      </rPr>
      <t>HDMI</t>
    </r>
  </si>
  <si>
    <r>
      <rPr>
        <sz val="10"/>
        <rFont val="Arial"/>
        <charset val="134"/>
      </rPr>
      <t>SKU46</t>
    </r>
    <r>
      <rPr>
        <sz val="10"/>
        <rFont val="微软雅黑"/>
        <charset val="134"/>
      </rPr>
      <t>（</t>
    </r>
    <r>
      <rPr>
        <sz val="10"/>
        <rFont val="Arial"/>
        <charset val="134"/>
      </rPr>
      <t>CKD</t>
    </r>
    <r>
      <rPr>
        <sz val="10"/>
        <rFont val="微软雅黑"/>
        <charset val="134"/>
      </rPr>
      <t>）</t>
    </r>
  </si>
  <si>
    <r>
      <rPr>
        <sz val="10"/>
        <rFont val="Arial"/>
        <charset val="134"/>
      </rPr>
      <t>i3-1125G4(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>)(28W)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</si>
  <si>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客供；</t>
    </r>
    <r>
      <rPr>
        <sz val="10"/>
        <rFont val="Arial"/>
        <charset val="134"/>
      </rPr>
      <t>CKD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$0.26/</t>
    </r>
    <r>
      <rPr>
        <sz val="10"/>
        <rFont val="微软雅黑"/>
        <charset val="134"/>
      </rPr>
      <t>片</t>
    </r>
  </si>
  <si>
    <r>
      <rPr>
        <sz val="10"/>
        <rFont val="Arial"/>
        <charset val="134"/>
      </rPr>
      <t>SKU47</t>
    </r>
    <r>
      <rPr>
        <sz val="10"/>
        <rFont val="微软雅黑"/>
        <charset val="134"/>
      </rPr>
      <t>（</t>
    </r>
    <r>
      <rPr>
        <sz val="10"/>
        <rFont val="Arial"/>
        <charset val="134"/>
      </rPr>
      <t>CKD</t>
    </r>
    <r>
      <rPr>
        <sz val="10"/>
        <rFont val="微软雅黑"/>
        <charset val="134"/>
      </rPr>
      <t>）</t>
    </r>
  </si>
  <si>
    <r>
      <rPr>
        <sz val="10"/>
        <rFont val="Arial"/>
        <charset val="134"/>
      </rPr>
      <t>i3-1115G4(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>)(28W)</t>
    </r>
  </si>
  <si>
    <r>
      <rPr>
        <sz val="10"/>
        <rFont val="Arial"/>
        <charset val="134"/>
      </rPr>
      <t>CKD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$0.26/</t>
    </r>
    <r>
      <rPr>
        <sz val="10"/>
        <rFont val="微软雅黑"/>
        <charset val="134"/>
      </rPr>
      <t>片</t>
    </r>
  </si>
  <si>
    <r>
      <rPr>
        <sz val="10"/>
        <rFont val="微软雅黑"/>
        <charset val="134"/>
      </rPr>
      <t>带</t>
    </r>
    <r>
      <rPr>
        <sz val="10"/>
        <rFont val="Arial"/>
        <charset val="134"/>
      </rPr>
      <t>HDMI</t>
    </r>
    <r>
      <rPr>
        <sz val="10"/>
        <rFont val="微软雅黑"/>
        <charset val="134"/>
      </rPr>
      <t>；</t>
    </r>
  </si>
  <si>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目前无价格；带</t>
    </r>
    <r>
      <rPr>
        <sz val="10"/>
        <rFont val="Arial"/>
        <charset val="134"/>
      </rPr>
      <t>HDMI,</t>
    </r>
    <r>
      <rPr>
        <sz val="10"/>
        <rFont val="微软雅黑"/>
        <charset val="134"/>
      </rPr>
      <t>带国民技术的可信芯片</t>
    </r>
    <r>
      <rPr>
        <sz val="10"/>
        <rFont val="Arial"/>
        <charset val="134"/>
      </rPr>
      <t>Z32H330TC-SQN-755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</si>
  <si>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;</t>
    </r>
    <r>
      <rPr>
        <sz val="10"/>
        <rFont val="微软雅黑"/>
        <charset val="134"/>
      </rPr>
      <t>带</t>
    </r>
    <r>
      <rPr>
        <sz val="10"/>
        <rFont val="Arial"/>
        <charset val="134"/>
      </rPr>
      <t>HDMI</t>
    </r>
    <r>
      <rPr>
        <sz val="10"/>
        <rFont val="微软雅黑"/>
        <charset val="134"/>
      </rPr>
      <t>；</t>
    </r>
  </si>
  <si>
    <t>SKU59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</si>
  <si>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目前无价格；单</t>
    </r>
    <r>
      <rPr>
        <sz val="10"/>
        <rFont val="Arial"/>
        <charset val="134"/>
      </rPr>
      <t>Type c ;</t>
    </r>
    <r>
      <rPr>
        <sz val="10"/>
        <rFont val="微软雅黑"/>
        <charset val="134"/>
      </rPr>
      <t>带</t>
    </r>
    <r>
      <rPr>
        <sz val="10"/>
        <rFont val="Arial"/>
        <charset val="134"/>
      </rPr>
      <t>HDMI</t>
    </r>
  </si>
  <si>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目前无价格；带</t>
    </r>
    <r>
      <rPr>
        <sz val="10"/>
        <rFont val="Arial"/>
        <charset val="134"/>
      </rPr>
      <t>HDMI</t>
    </r>
    <r>
      <rPr>
        <sz val="10"/>
        <rFont val="微软雅黑"/>
        <charset val="134"/>
      </rPr>
      <t>、加密</t>
    </r>
    <r>
      <rPr>
        <sz val="10"/>
        <rFont val="Arial"/>
        <charset val="134"/>
      </rPr>
      <t>IC TPM</t>
    </r>
  </si>
  <si>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目前无价格；单</t>
    </r>
    <r>
      <rPr>
        <sz val="10"/>
        <rFont val="Arial"/>
        <charset val="134"/>
      </rPr>
      <t>Type c.</t>
    </r>
    <r>
      <rPr>
        <sz val="10"/>
        <rFont val="微软雅黑"/>
        <charset val="134"/>
      </rPr>
      <t>带</t>
    </r>
    <r>
      <rPr>
        <sz val="10"/>
        <rFont val="Arial"/>
        <charset val="134"/>
      </rPr>
      <t>HDMI IC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</si>
  <si>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带</t>
    </r>
    <r>
      <rPr>
        <sz val="10"/>
        <rFont val="Arial"/>
        <charset val="134"/>
      </rPr>
      <t>HDMI IC</t>
    </r>
    <r>
      <rPr>
        <sz val="10"/>
        <rFont val="微软雅黑"/>
        <charset val="134"/>
      </rPr>
      <t>；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</si>
  <si>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\</t>
    </r>
    <r>
      <rPr>
        <sz val="10"/>
        <rFont val="微软雅黑"/>
        <charset val="134"/>
      </rPr>
      <t>带</t>
    </r>
    <r>
      <rPr>
        <sz val="10"/>
        <rFont val="Arial"/>
        <charset val="134"/>
      </rPr>
      <t>HDMI\</t>
    </r>
    <r>
      <rPr>
        <sz val="10"/>
        <rFont val="微软雅黑"/>
        <charset val="134"/>
      </rPr>
      <t>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；</t>
    </r>
  </si>
  <si>
    <t>SKU82</t>
  </si>
  <si>
    <r>
      <rPr>
        <sz val="10"/>
        <rFont val="Arial"/>
        <charset val="134"/>
      </rPr>
      <t xml:space="preserve">CPU BOM </t>
    </r>
    <r>
      <rPr>
        <sz val="10"/>
        <rFont val="微软雅黑"/>
        <charset val="134"/>
      </rPr>
      <t>里是客供；单</t>
    </r>
    <r>
      <rPr>
        <sz val="10"/>
        <rFont val="Arial"/>
        <charset val="134"/>
      </rPr>
      <t>Type C,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 xml:space="preserve">TPM IC </t>
    </r>
  </si>
  <si>
    <t>SKU83</t>
  </si>
  <si>
    <r>
      <rPr>
        <sz val="10"/>
        <rFont val="Arial"/>
        <charset val="134"/>
      </rPr>
      <t>i5-1155G7(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>)(28W)</t>
    </r>
  </si>
  <si>
    <t>SKU84</t>
  </si>
  <si>
    <t>A.F.M.2302401-MP</t>
  </si>
  <si>
    <t>SKU94</t>
  </si>
  <si>
    <r>
      <rPr>
        <sz val="10"/>
        <rFont val="Arial"/>
        <charset val="134"/>
      </rPr>
      <t>BOM</t>
    </r>
    <r>
      <rPr>
        <sz val="10"/>
        <rFont val="微软雅黑"/>
        <charset val="134"/>
      </rPr>
      <t>里无</t>
    </r>
    <r>
      <rPr>
        <sz val="10"/>
        <rFont val="Arial"/>
        <charset val="134"/>
      </rPr>
      <t>CPU</t>
    </r>
  </si>
  <si>
    <r>
      <rPr>
        <sz val="10"/>
        <rFont val="Arial"/>
        <charset val="134"/>
      </rPr>
      <t>BOM</t>
    </r>
    <r>
      <rPr>
        <sz val="10"/>
        <rFont val="微软雅黑"/>
        <charset val="134"/>
      </rPr>
      <t>里无</t>
    </r>
    <r>
      <rPr>
        <sz val="10"/>
        <rFont val="Arial"/>
        <charset val="134"/>
      </rPr>
      <t>CPU(</t>
    </r>
    <r>
      <rPr>
        <sz val="10"/>
        <rFont val="微软雅黑"/>
        <charset val="134"/>
      </rPr>
      <t>客户无需求</t>
    </r>
    <r>
      <rPr>
        <sz val="10"/>
        <rFont val="Arial"/>
        <charset val="134"/>
      </rPr>
      <t>)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Tpye c;</t>
    </r>
    <r>
      <rPr>
        <sz val="10"/>
        <rFont val="微软雅黑"/>
        <charset val="134"/>
      </rPr>
      <t>含有英特尔雷电</t>
    </r>
    <r>
      <rPr>
        <sz val="10"/>
        <rFont val="Arial"/>
        <charset val="134"/>
      </rPr>
      <t>IC</t>
    </r>
  </si>
  <si>
    <t>A.F.M.2400576-MP</t>
  </si>
  <si>
    <t>SKU95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</si>
  <si>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目前无价格；单</t>
    </r>
    <r>
      <rPr>
        <sz val="10"/>
        <rFont val="Arial"/>
        <charset val="134"/>
      </rPr>
      <t>Tpye c;</t>
    </r>
    <r>
      <rPr>
        <sz val="10"/>
        <rFont val="微软雅黑"/>
        <charset val="134"/>
      </rPr>
      <t>含有英特尔雷电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IT66318FN</t>
    </r>
  </si>
  <si>
    <t>A.F.M.2402492-MP</t>
  </si>
  <si>
    <t>SKU96</t>
  </si>
  <si>
    <t>Type c (一个Type c接口）</t>
  </si>
  <si>
    <t>i5-1155G7(28W)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</si>
  <si>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及一个TYPE C 接口</t>
    </r>
    <r>
      <rPr>
        <sz val="10"/>
        <rFont val="Arial"/>
        <charset val="134"/>
      </rPr>
      <t>,</t>
    </r>
    <r>
      <rPr>
        <sz val="10"/>
        <rFont val="宋体"/>
        <charset val="134"/>
      </rPr>
      <t>含</t>
    </r>
    <r>
      <rPr>
        <sz val="10"/>
        <rFont val="Arial"/>
        <charset val="134"/>
      </rPr>
      <t>TPM IC ;IT5570E-</t>
    </r>
  </si>
  <si>
    <t>A.F.M.2500208-MP</t>
  </si>
  <si>
    <t>SKU97</t>
  </si>
  <si>
    <t>CPU目前无价格；单Type C及一个TYPE C 接口；IT66318FN/EW；;含有英特尔雷电IC；含加密 TPM IC ;IT5570E</t>
  </si>
  <si>
    <t>A.F.M.2500209-MP</t>
  </si>
  <si>
    <t>SKU98</t>
  </si>
  <si>
    <t>CPU目前无价格；单Type C及一个TYPE C 接口；IT66318FN/EW；;含有英特尔雷电IC；含加密 TPM IC ;ALC269Q；MP86941*2pcs；IT5570E</t>
  </si>
  <si>
    <r>
      <rPr>
        <sz val="10"/>
        <rFont val="Arial"/>
        <charset val="134"/>
      </rPr>
      <t>TNXU(4L+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</si>
  <si>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目前无价格；单</t>
    </r>
    <r>
      <rPr>
        <sz val="10"/>
        <rFont val="Arial"/>
        <charset val="134"/>
      </rPr>
      <t xml:space="preserve">Type c 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</si>
  <si>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停产无货</t>
    </r>
  </si>
  <si>
    <t>A.F.M.2300670</t>
  </si>
  <si>
    <t>单Type c</t>
  </si>
  <si>
    <t>I7-1195G7(28W)</t>
  </si>
  <si>
    <r>
      <rPr>
        <sz val="10"/>
        <rFont val="宋体"/>
        <charset val="134"/>
      </rPr>
      <t>无 Type C ic及1个Type c接口；</t>
    </r>
    <r>
      <rPr>
        <sz val="10"/>
        <rFont val="Arial"/>
        <charset val="134"/>
      </rPr>
      <t>NTEL</t>
    </r>
    <r>
      <rPr>
        <sz val="10"/>
        <rFont val="宋体"/>
        <charset val="134"/>
      </rPr>
      <t>的</t>
    </r>
    <r>
      <rPr>
        <sz val="10"/>
        <rFont val="Arial"/>
        <charset val="134"/>
      </rPr>
      <t>WIFI 5</t>
    </r>
    <r>
      <rPr>
        <sz val="10"/>
        <rFont val="宋体"/>
        <charset val="134"/>
      </rPr>
      <t>接单前需确认库存；</t>
    </r>
    <r>
      <rPr>
        <sz val="10"/>
        <rFont val="Arial"/>
        <charset val="134"/>
      </rPr>
      <t>I7-1195G7</t>
    </r>
    <r>
      <rPr>
        <sz val="10"/>
        <rFont val="宋体"/>
        <charset val="134"/>
      </rPr>
      <t>目前无货，已停产</t>
    </r>
    <r>
      <rPr>
        <sz val="10"/>
        <rFont val="Arial"/>
        <charset val="134"/>
      </rPr>
      <t>;</t>
    </r>
    <r>
      <rPr>
        <sz val="10"/>
        <rFont val="宋体"/>
        <charset val="134"/>
      </rPr>
      <t>含</t>
    </r>
    <r>
      <rPr>
        <sz val="10"/>
        <rFont val="Arial"/>
        <charset val="134"/>
      </rPr>
      <t>W25Q256JVEIQ</t>
    </r>
  </si>
  <si>
    <t>A.F.M.2401780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</si>
  <si>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</si>
  <si>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INTEL</t>
    </r>
    <r>
      <rPr>
        <sz val="10"/>
        <rFont val="宋体"/>
        <charset val="134"/>
      </rPr>
      <t>的</t>
    </r>
    <r>
      <rPr>
        <sz val="10"/>
        <rFont val="Arial"/>
        <charset val="134"/>
      </rPr>
      <t>WIFI 5</t>
    </r>
    <r>
      <rPr>
        <sz val="10"/>
        <rFont val="宋体"/>
        <charset val="134"/>
      </rPr>
      <t>接单前需确认库存；</t>
    </r>
    <r>
      <rPr>
        <sz val="10"/>
        <rFont val="Arial"/>
        <charset val="134"/>
      </rPr>
      <t>I5-1135G7</t>
    </r>
    <r>
      <rPr>
        <sz val="10"/>
        <rFont val="宋体"/>
        <charset val="134"/>
      </rPr>
      <t>目前无货，已停产；</t>
    </r>
    <r>
      <rPr>
        <sz val="10"/>
        <rFont val="Arial"/>
        <charset val="134"/>
      </rPr>
      <t>CL10A106ML8NRNC</t>
    </r>
    <r>
      <rPr>
        <sz val="10"/>
        <rFont val="宋体"/>
        <charset val="134"/>
      </rPr>
      <t>接单前确认货源</t>
    </r>
  </si>
  <si>
    <r>
      <rPr>
        <sz val="10"/>
        <rFont val="Arial"/>
        <charset val="134"/>
      </rPr>
      <t>TN21(8L+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</si>
  <si>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HDMI</t>
    </r>
    <r>
      <rPr>
        <sz val="10"/>
        <rFont val="微软雅黑"/>
        <charset val="134"/>
      </rPr>
      <t>、桥片</t>
    </r>
  </si>
  <si>
    <t>A.F.M.2301018-MP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</si>
  <si>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 xml:space="preserve">type c ; </t>
    </r>
    <r>
      <rPr>
        <sz val="10"/>
        <rFont val="微软雅黑"/>
        <charset val="134"/>
      </rPr>
      <t>含有英特尔雷电</t>
    </r>
    <r>
      <rPr>
        <sz val="10"/>
        <rFont val="Arial"/>
        <charset val="134"/>
      </rPr>
      <t>IC*1</t>
    </r>
    <r>
      <rPr>
        <sz val="10"/>
        <rFont val="微软雅黑"/>
        <charset val="134"/>
      </rPr>
      <t>颗</t>
    </r>
  </si>
  <si>
    <t>A.F.M.2301461-MP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</si>
  <si>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目前无价格；单</t>
    </r>
    <r>
      <rPr>
        <sz val="10"/>
        <rFont val="Arial"/>
        <charset val="134"/>
      </rPr>
      <t xml:space="preserve">type c ; </t>
    </r>
    <r>
      <rPr>
        <sz val="10"/>
        <rFont val="微软雅黑"/>
        <charset val="134"/>
      </rPr>
      <t>含有英特尔雷电</t>
    </r>
    <r>
      <rPr>
        <sz val="10"/>
        <rFont val="Arial"/>
        <charset val="134"/>
      </rPr>
      <t>IC*1</t>
    </r>
    <r>
      <rPr>
        <sz val="10"/>
        <rFont val="微软雅黑"/>
        <charset val="134"/>
      </rPr>
      <t>颗</t>
    </r>
  </si>
  <si>
    <t>A.F.M.2301542-MP</t>
  </si>
  <si>
    <t>A.F.M.2400046-MP</t>
  </si>
  <si>
    <t>TN22</t>
  </si>
  <si>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目前无价格；</t>
    </r>
  </si>
  <si>
    <t>A.P.10000666 XN22 RJ45 DB</t>
  </si>
  <si>
    <t>I225V</t>
  </si>
  <si>
    <t>A.P.10000665 XN22 RJ45 DB</t>
  </si>
  <si>
    <t>TN23</t>
  </si>
  <si>
    <r>
      <rPr>
        <sz val="10"/>
        <rFont val="微软雅黑"/>
        <charset val="134"/>
      </rPr>
      <t>带</t>
    </r>
    <r>
      <rPr>
        <sz val="10"/>
        <rFont val="Arial"/>
        <charset val="134"/>
      </rPr>
      <t>RJ45</t>
    </r>
    <r>
      <rPr>
        <sz val="10"/>
        <rFont val="微软雅黑"/>
        <charset val="134"/>
      </rPr>
      <t>带</t>
    </r>
    <r>
      <rPr>
        <sz val="10"/>
        <rFont val="Arial"/>
        <charset val="134"/>
      </rPr>
      <t>HDMI</t>
    </r>
    <r>
      <rPr>
        <sz val="10"/>
        <rFont val="微软雅黑"/>
        <charset val="134"/>
      </rPr>
      <t>，不含加密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</si>
  <si>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目前无价格；双</t>
    </r>
    <r>
      <rPr>
        <sz val="10"/>
        <rFont val="Arial"/>
        <charset val="134"/>
      </rPr>
      <t>Type-c,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 $1.53</t>
    </r>
  </si>
  <si>
    <t>i7-1185G7(28W)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</si>
  <si>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目前无价格；双</t>
    </r>
    <r>
      <rPr>
        <sz val="10"/>
        <rFont val="Arial"/>
        <charset val="134"/>
      </rPr>
      <t>Type-c,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 $1.65</t>
    </r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</si>
  <si>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Type-c</t>
    </r>
    <r>
      <rPr>
        <sz val="10"/>
        <rFont val="微软雅黑"/>
        <charset val="134"/>
      </rPr>
      <t>；</t>
    </r>
  </si>
  <si>
    <r>
      <rPr>
        <sz val="10"/>
        <rFont val="Arial"/>
        <charset val="134"/>
      </rPr>
      <t>LPDDR5-170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</si>
  <si>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使用三星目前无价格；单</t>
    </r>
    <r>
      <rPr>
        <sz val="10"/>
        <rFont val="Arial"/>
        <charset val="134"/>
      </rPr>
      <t>Type-c;</t>
    </r>
    <r>
      <rPr>
        <sz val="10"/>
        <rFont val="微软雅黑"/>
        <charset val="134"/>
      </rPr>
      <t>包含加密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HDMI 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TTL</t>
    </r>
    <r>
      <rPr>
        <sz val="10"/>
        <rFont val="微软雅黑"/>
        <charset val="134"/>
      </rPr>
      <t>总价：含</t>
    </r>
    <r>
      <rPr>
        <sz val="10"/>
        <rFont val="Arial"/>
        <charset val="134"/>
      </rPr>
      <t>MX450</t>
    </r>
    <r>
      <rPr>
        <sz val="10"/>
        <rFont val="微软雅黑"/>
        <charset val="134"/>
      </rPr>
      <t>报价随市</t>
    </r>
    <r>
      <rPr>
        <sz val="10"/>
        <rFont val="Arial"/>
        <charset val="134"/>
      </rPr>
      <t xml:space="preserve"> </t>
    </r>
  </si>
  <si>
    <r>
      <rPr>
        <sz val="10"/>
        <rFont val="Arial"/>
        <charset val="134"/>
      </rPr>
      <t>SKU11</t>
    </r>
    <r>
      <rPr>
        <sz val="10"/>
        <rFont val="微软雅黑"/>
        <charset val="134"/>
      </rPr>
      <t>带显卡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</si>
  <si>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使用三星目前无价格；单</t>
    </r>
    <r>
      <rPr>
        <sz val="10"/>
        <rFont val="Arial"/>
        <charset val="134"/>
      </rPr>
      <t>Type-c;</t>
    </r>
    <r>
      <rPr>
        <sz val="10"/>
        <rFont val="微软雅黑"/>
        <charset val="134"/>
      </rPr>
      <t>包含加密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HDMI 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TTL</t>
    </r>
    <r>
      <rPr>
        <sz val="10"/>
        <rFont val="微软雅黑"/>
        <charset val="134"/>
      </rPr>
      <t>总价：含</t>
    </r>
    <r>
      <rPr>
        <sz val="10"/>
        <rFont val="Arial"/>
        <charset val="134"/>
      </rPr>
      <t>MX450</t>
    </r>
    <r>
      <rPr>
        <sz val="10"/>
        <rFont val="微软雅黑"/>
        <charset val="134"/>
      </rPr>
      <t>报价随市</t>
    </r>
  </si>
  <si>
    <t>A.F.D.2300070 RJ45_DB</t>
  </si>
  <si>
    <r>
      <rPr>
        <sz val="10"/>
        <rFont val="Arial"/>
        <charset val="134"/>
      </rPr>
      <t>TP25(8L+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</si>
  <si>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A.F.M.2200145-EVT</t>
  </si>
  <si>
    <t>A.F.M.2301589-EVT</t>
  </si>
  <si>
    <t>TN50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</si>
  <si>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</si>
  <si>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；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</si>
  <si>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 xml:space="preserve">type c;  </t>
    </r>
  </si>
  <si>
    <r>
      <rPr>
        <sz val="10"/>
        <rFont val="Arial"/>
        <charset val="134"/>
      </rPr>
      <t xml:space="preserve">CPU </t>
    </r>
    <r>
      <rPr>
        <sz val="10"/>
        <rFont val="微软雅黑"/>
        <charset val="134"/>
      </rPr>
      <t>目前无价格；单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</t>
    </r>
  </si>
  <si>
    <r>
      <rPr>
        <sz val="10"/>
        <rFont val="Arial"/>
        <charset val="134"/>
      </rPr>
      <t>SKU12</t>
    </r>
    <r>
      <rPr>
        <sz val="10"/>
        <rFont val="微软雅黑"/>
        <charset val="134"/>
      </rPr>
      <t>精简</t>
    </r>
    <r>
      <rPr>
        <sz val="10"/>
        <rFont val="Arial"/>
        <charset val="134"/>
      </rPr>
      <t>(BOM)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</si>
  <si>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 xml:space="preserve">type c ; </t>
    </r>
  </si>
  <si>
    <t>A.F.D.2300012 ALC269 DB</t>
  </si>
  <si>
    <t>TN525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</si>
  <si>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目前无价格；含加密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IEC IC;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POWER_IC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</si>
  <si>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IEC IC;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 xml:space="preserve">POWER_IC </t>
    </r>
    <r>
      <rPr>
        <sz val="10"/>
        <rFont val="微软雅黑"/>
        <charset val="134"/>
      </rPr>
      <t>；</t>
    </r>
  </si>
  <si>
    <t>TN58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</si>
  <si>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目前无价格；双</t>
    </r>
    <r>
      <rPr>
        <sz val="10"/>
        <rFont val="Arial"/>
        <charset val="134"/>
      </rPr>
      <t xml:space="preserve">Tpye c, 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</si>
  <si>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 xml:space="preserve">Tpye c, 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</si>
  <si>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 xml:space="preserve">Tpye c, 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；含陀螺仪</t>
    </r>
    <r>
      <rPr>
        <sz val="10"/>
        <rFont val="Arial"/>
        <charset val="134"/>
      </rPr>
      <t xml:space="preserve"> IC(</t>
    </r>
    <r>
      <rPr>
        <sz val="10"/>
        <rFont val="微软雅黑"/>
        <charset val="134"/>
      </rPr>
      <t>博世</t>
    </r>
    <r>
      <rPr>
        <sz val="10"/>
        <rFont val="Arial"/>
        <charset val="134"/>
      </rPr>
      <t>) ;</t>
    </r>
  </si>
  <si>
    <t>TN59</t>
  </si>
  <si>
    <t>TN73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</si>
  <si>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Tpye c,</t>
    </r>
  </si>
  <si>
    <t>Tpye c,</t>
  </si>
  <si>
    <t>A.F.D.2300127 160H-CS_DB</t>
  </si>
  <si>
    <t xml:space="preserve">A.F.D.2300115 </t>
  </si>
  <si>
    <t>THN1</t>
  </si>
  <si>
    <t>I5-11400H+HM570</t>
  </si>
  <si>
    <t>I7-11800H+HM570</t>
  </si>
  <si>
    <t>A.P.10000921 RJ45 DB</t>
  </si>
  <si>
    <t>A.P.10000922 USB DB</t>
  </si>
  <si>
    <t>THN1C</t>
  </si>
  <si>
    <t>THN32G</t>
  </si>
  <si>
    <r>
      <rPr>
        <sz val="10"/>
        <rFont val="Arial"/>
        <charset val="134"/>
      </rPr>
      <t>GPU+GDDR6-180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</si>
  <si>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使用三星；双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含桥片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GPU A370M;</t>
    </r>
  </si>
  <si>
    <r>
      <rPr>
        <sz val="10"/>
        <rFont val="Arial"/>
        <charset val="134"/>
      </rPr>
      <t>TP13</t>
    </r>
    <r>
      <rPr>
        <sz val="10"/>
        <rFont val="微软雅黑"/>
        <charset val="134"/>
      </rPr>
      <t>（上海机型）</t>
    </r>
  </si>
  <si>
    <t>AX200.D2WG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</si>
  <si>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 xml:space="preserve">Type c,DDR </t>
    </r>
    <r>
      <rPr>
        <sz val="10"/>
        <rFont val="微软雅黑"/>
        <charset val="134"/>
      </rPr>
      <t>江波龙；含</t>
    </r>
    <r>
      <rPr>
        <sz val="10"/>
        <rFont val="Arial"/>
        <charset val="134"/>
      </rPr>
      <t xml:space="preserve">intel </t>
    </r>
    <r>
      <rPr>
        <sz val="10"/>
        <rFont val="微软雅黑"/>
        <charset val="134"/>
      </rPr>
      <t>桥片</t>
    </r>
    <r>
      <rPr>
        <sz val="10"/>
        <rFont val="Arial"/>
        <charset val="134"/>
      </rPr>
      <t>*$2</t>
    </r>
    <r>
      <rPr>
        <sz val="10"/>
        <rFont val="微软雅黑"/>
        <charset val="134"/>
      </rPr>
      <t>；含加密</t>
    </r>
    <r>
      <rPr>
        <sz val="10"/>
        <rFont val="Arial"/>
        <charset val="134"/>
      </rPr>
      <t>IC TPM*$1.7;Flash 32M*$1.4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</si>
  <si>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目前无价格；双</t>
    </r>
    <r>
      <rPr>
        <sz val="10"/>
        <rFont val="Arial"/>
        <charset val="134"/>
      </rPr>
      <t>Type c,DDR</t>
    </r>
    <r>
      <rPr>
        <sz val="10"/>
        <rFont val="微软雅黑"/>
        <charset val="134"/>
      </rPr>
      <t>使用百维；</t>
    </r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</si>
  <si>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 xml:space="preserve">Type c,DDR </t>
    </r>
    <r>
      <rPr>
        <sz val="10"/>
        <rFont val="微软雅黑"/>
        <charset val="134"/>
      </rPr>
      <t>江波龙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；</t>
    </r>
  </si>
  <si>
    <r>
      <rPr>
        <sz val="10"/>
        <rFont val="Arial"/>
        <charset val="134"/>
      </rPr>
      <t>VAIO 14</t>
    </r>
    <r>
      <rPr>
        <sz val="10"/>
        <rFont val="微软雅黑"/>
        <charset val="134"/>
      </rPr>
      <t>寸</t>
    </r>
  </si>
  <si>
    <r>
      <rPr>
        <sz val="10"/>
        <rFont val="微软雅黑"/>
        <charset val="134"/>
      </rPr>
      <t>主板临时</t>
    </r>
    <r>
      <rPr>
        <sz val="10"/>
        <rFont val="Arial"/>
        <charset val="134"/>
      </rPr>
      <t>BOM</t>
    </r>
  </si>
  <si>
    <r>
      <rPr>
        <sz val="10"/>
        <color theme="1"/>
        <rFont val="微软雅黑"/>
        <charset val="134"/>
      </rPr>
      <t>CPU未算成本；单</t>
    </r>
    <r>
      <rPr>
        <sz val="10"/>
        <color theme="1"/>
        <rFont val="Arial"/>
        <charset val="134"/>
      </rPr>
      <t>Type c IC</t>
    </r>
    <r>
      <rPr>
        <sz val="10"/>
        <color theme="1"/>
        <rFont val="微软雅黑"/>
        <charset val="134"/>
      </rPr>
      <t>及</t>
    </r>
    <r>
      <rPr>
        <sz val="10"/>
        <color theme="1"/>
        <rFont val="Arial"/>
        <charset val="134"/>
      </rPr>
      <t>2</t>
    </r>
    <r>
      <rPr>
        <sz val="10"/>
        <color theme="1"/>
        <rFont val="微软雅黑"/>
        <charset val="134"/>
      </rPr>
      <t>个</t>
    </r>
    <r>
      <rPr>
        <sz val="10"/>
        <color theme="1"/>
        <rFont val="Arial"/>
        <charset val="134"/>
      </rPr>
      <t>Type C</t>
    </r>
    <r>
      <rPr>
        <sz val="10"/>
        <color theme="1"/>
        <rFont val="微软雅黑"/>
        <charset val="134"/>
      </rPr>
      <t>接口；含有</t>
    </r>
    <r>
      <rPr>
        <sz val="10"/>
        <color theme="1"/>
        <rFont val="Arial"/>
        <charset val="134"/>
      </rPr>
      <t>RAA225019ERGBM#HA0*4</t>
    </r>
    <r>
      <rPr>
        <sz val="10"/>
        <color theme="1"/>
        <rFont val="微软雅黑"/>
        <charset val="134"/>
      </rPr>
      <t>颗；含有</t>
    </r>
    <r>
      <rPr>
        <sz val="10"/>
        <color theme="1"/>
        <rFont val="Arial"/>
        <charset val="134"/>
      </rPr>
      <t>RAA225020RGNP#HA0*1</t>
    </r>
    <r>
      <rPr>
        <sz val="10"/>
        <color theme="1"/>
        <rFont val="微软雅黑"/>
        <charset val="134"/>
      </rPr>
      <t>颗；含有</t>
    </r>
    <r>
      <rPr>
        <sz val="10"/>
        <color theme="1"/>
        <rFont val="Arial"/>
        <charset val="134"/>
      </rPr>
      <t>ANX7484QN*1</t>
    </r>
    <r>
      <rPr>
        <sz val="10"/>
        <color theme="1"/>
        <rFont val="微软雅黑"/>
        <charset val="134"/>
      </rPr>
      <t>颗</t>
    </r>
  </si>
  <si>
    <r>
      <rPr>
        <sz val="10"/>
        <rFont val="微软雅黑"/>
        <charset val="134"/>
      </rPr>
      <t>小板临时</t>
    </r>
    <r>
      <rPr>
        <sz val="10"/>
        <rFont val="Arial"/>
        <charset val="134"/>
      </rPr>
      <t>BOM</t>
    </r>
  </si>
  <si>
    <r>
      <rPr>
        <sz val="10"/>
        <color theme="1"/>
        <rFont val="微软雅黑"/>
        <charset val="134"/>
      </rPr>
      <t>含有</t>
    </r>
    <r>
      <rPr>
        <sz val="10"/>
        <color theme="1"/>
        <rFont val="Arial"/>
        <charset val="134"/>
      </rPr>
      <t>RTL8111H</t>
    </r>
  </si>
  <si>
    <r>
      <rPr>
        <sz val="10"/>
        <rFont val="Arial"/>
        <charset val="134"/>
      </rPr>
      <t>INTU(8L+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</si>
  <si>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t>A.F.M.2301260-PVT</t>
  </si>
  <si>
    <t>A.F.M.2301261-PVT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</si>
  <si>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目前无价格；单</t>
    </r>
    <r>
      <rPr>
        <sz val="10"/>
        <rFont val="Arial"/>
        <charset val="134"/>
      </rPr>
      <t xml:space="preserve">type c ; 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 ;</t>
    </r>
  </si>
  <si>
    <t>A.F.D.2300227</t>
  </si>
  <si>
    <t>A.F.D.2300227 USB DB</t>
  </si>
  <si>
    <t>A.F.D.2400181-MP</t>
  </si>
  <si>
    <t>A.F.D.2400181  USB DB</t>
  </si>
  <si>
    <t>A.F.D.2400178-MP</t>
  </si>
  <si>
    <t>A.F.D.2400178  USB DB</t>
  </si>
  <si>
    <r>
      <rPr>
        <sz val="10"/>
        <rFont val="Arial"/>
        <charset val="134"/>
      </rPr>
      <t>INXU(8L+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</si>
  <si>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目前无价格；单</t>
    </r>
    <r>
      <rPr>
        <sz val="10"/>
        <rFont val="Arial"/>
        <charset val="134"/>
      </rPr>
      <t>Type c</t>
    </r>
  </si>
  <si>
    <r>
      <rPr>
        <sz val="10"/>
        <rFont val="Arial"/>
        <charset val="134"/>
      </rPr>
      <t xml:space="preserve">A.F.D.2400177  </t>
    </r>
    <r>
      <rPr>
        <sz val="10"/>
        <rFont val="宋体"/>
        <charset val="134"/>
      </rPr>
      <t>无</t>
    </r>
    <r>
      <rPr>
        <sz val="10"/>
        <rFont val="Arial"/>
        <charset val="134"/>
      </rPr>
      <t>RJ45 DB</t>
    </r>
  </si>
  <si>
    <t>A.F.D.2400177 USB DB</t>
  </si>
  <si>
    <t>A.F.D.2300001  USB DB</t>
  </si>
  <si>
    <t>IN59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</si>
  <si>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目前无价格；双</t>
    </r>
    <r>
      <rPr>
        <sz val="10"/>
        <rFont val="Arial"/>
        <charset val="134"/>
      </rPr>
      <t>Type c</t>
    </r>
  </si>
  <si>
    <r>
      <rPr>
        <sz val="10"/>
        <rFont val="Arial"/>
        <charset val="134"/>
      </rPr>
      <t>IN525(8L+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</si>
  <si>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目前无价格；非全功能</t>
    </r>
    <r>
      <rPr>
        <sz val="10"/>
        <rFont val="Arial"/>
        <charset val="134"/>
      </rPr>
      <t>TYPE C</t>
    </r>
  </si>
  <si>
    <t>A.F.D.2300204 140H_CS_DB</t>
  </si>
  <si>
    <r>
      <rPr>
        <sz val="10"/>
        <rFont val="Arial"/>
        <charset val="134"/>
      </rPr>
      <t>IA10(8L+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</si>
  <si>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目前无货；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</si>
  <si>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接单前确认最新价格</t>
    </r>
  </si>
  <si>
    <t>IN12S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</si>
  <si>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目前无价格；单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 xml:space="preserve">EMMC </t>
    </r>
    <r>
      <rPr>
        <sz val="10"/>
        <rFont val="微软雅黑"/>
        <charset val="134"/>
      </rPr>
      <t>硅格修改为时创意；EMMC停产中待验新料暂无价格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</si>
  <si>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 xml:space="preserve">Type c;CPU </t>
    </r>
    <r>
      <rPr>
        <sz val="10"/>
        <rFont val="微软雅黑"/>
        <charset val="134"/>
      </rPr>
      <t>目前无价格</t>
    </r>
  </si>
  <si>
    <t>A.P.10000525 DB RJ45</t>
  </si>
  <si>
    <r>
      <rPr>
        <sz val="10"/>
        <rFont val="Arial"/>
        <charset val="134"/>
      </rPr>
      <t>IN16(6L+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</si>
  <si>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i3-1005G1(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>)(15W)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</si>
  <si>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目前无价格；双</t>
    </r>
    <r>
      <rPr>
        <sz val="10"/>
        <rFont val="Arial"/>
        <charset val="134"/>
      </rPr>
      <t>Type C.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</si>
  <si>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ALC256</t>
    </r>
    <r>
      <rPr>
        <sz val="10"/>
        <rFont val="微软雅黑"/>
        <charset val="134"/>
      </rPr>
      <t>；</t>
    </r>
  </si>
  <si>
    <t>A.P.10000708 RJ45 DB</t>
  </si>
  <si>
    <t>8152B</t>
  </si>
  <si>
    <t>A.P.10000688 RJ45 DB</t>
  </si>
  <si>
    <t>A.F.P.1000459 RJ45 DB</t>
  </si>
  <si>
    <t>IN16B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</si>
  <si>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目前无价格；双</t>
    </r>
    <r>
      <rPr>
        <sz val="10"/>
        <rFont val="Arial"/>
        <charset val="134"/>
      </rPr>
      <t>Type C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</si>
  <si>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目前无价格；双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</si>
  <si>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目前无货；双</t>
    </r>
    <r>
      <rPr>
        <sz val="10"/>
        <rFont val="Arial"/>
        <charset val="134"/>
      </rPr>
      <t>Type C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</si>
  <si>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目前无货；双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使用海华</t>
    </r>
    <r>
      <rPr>
        <sz val="10"/>
        <rFont val="Arial"/>
        <charset val="134"/>
      </rPr>
      <t>(</t>
    </r>
    <r>
      <rPr>
        <sz val="10"/>
        <rFont val="微软雅黑"/>
        <charset val="134"/>
      </rPr>
      <t>上海库存</t>
    </r>
    <r>
      <rPr>
        <sz val="10"/>
        <rFont val="Arial"/>
        <charset val="134"/>
      </rPr>
      <t>)</t>
    </r>
  </si>
  <si>
    <t>A.P.10000682 RJ45 DB</t>
  </si>
  <si>
    <t>A.P.10000680 RJ45 DB</t>
  </si>
  <si>
    <t>A.P.10000641 RJ45 V21</t>
  </si>
  <si>
    <t>A.P.10000571 RJ45 V20</t>
  </si>
  <si>
    <t>A.P.10000556 RJ45 V11</t>
  </si>
  <si>
    <t>A.P.10000539 RJ45 V10</t>
  </si>
  <si>
    <t xml:space="preserve"> A.F.D.2300136  RJ45 DB</t>
  </si>
  <si>
    <t>RTL8111</t>
  </si>
  <si>
    <r>
      <rPr>
        <sz val="10"/>
        <rFont val="Arial"/>
        <charset val="134"/>
      </rPr>
      <t>IN21S(8L+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</si>
  <si>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目前无货；单</t>
    </r>
    <r>
      <rPr>
        <sz val="10"/>
        <rFont val="Arial"/>
        <charset val="134"/>
      </rPr>
      <t>Type c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</si>
  <si>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目前无货；双</t>
    </r>
    <r>
      <rPr>
        <sz val="10"/>
        <rFont val="Arial"/>
        <charset val="134"/>
      </rPr>
      <t>Tpye c</t>
    </r>
  </si>
  <si>
    <t>A.F.M.2400888-MP</t>
  </si>
  <si>
    <t>A.F.M.2400986-MP</t>
  </si>
  <si>
    <r>
      <rPr>
        <sz val="10"/>
        <rFont val="Arial"/>
        <charset val="134"/>
      </rPr>
      <t>H61O1(10L+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</si>
  <si>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H610(</t>
    </r>
    <r>
      <rPr>
        <sz val="10"/>
        <rFont val="微软雅黑"/>
        <charset val="134"/>
      </rPr>
      <t>桥片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</si>
  <si>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两个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卡槽</t>
    </r>
    <r>
      <rPr>
        <sz val="10"/>
        <rFont val="Arial"/>
        <charset val="134"/>
      </rPr>
      <t>(</t>
    </r>
    <r>
      <rPr>
        <sz val="10"/>
        <rFont val="微软雅黑"/>
        <charset val="134"/>
      </rPr>
      <t>上下卡槽</t>
    </r>
    <r>
      <rPr>
        <sz val="10"/>
        <rFont val="Arial"/>
        <charset val="134"/>
      </rPr>
      <t>)</t>
    </r>
    <r>
      <rPr>
        <sz val="10"/>
        <rFont val="微软雅黑"/>
        <charset val="134"/>
      </rPr>
      <t>厂商</t>
    </r>
    <r>
      <rPr>
        <sz val="10"/>
        <rFont val="Arial"/>
        <charset val="134"/>
      </rPr>
      <t>:</t>
    </r>
    <r>
      <rPr>
        <sz val="10"/>
        <rFont val="微软雅黑"/>
        <charset val="134"/>
      </rPr>
      <t>得意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H610(</t>
    </r>
    <r>
      <rPr>
        <sz val="10"/>
        <rFont val="微软雅黑"/>
        <charset val="134"/>
      </rPr>
      <t>桥片</t>
    </r>
    <r>
      <rPr>
        <sz val="10"/>
        <rFont val="Arial"/>
        <charset val="134"/>
      </rPr>
      <t>)</t>
    </r>
  </si>
  <si>
    <t>A.F.M.2300050-MP</t>
  </si>
  <si>
    <t>A.F.M.2300051-MP</t>
  </si>
  <si>
    <t>A.F.M.2302041-MP</t>
  </si>
  <si>
    <t>A.P.10001143  IO  DB</t>
  </si>
  <si>
    <t>GN10E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</si>
  <si>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</t>
    </r>
    <r>
      <rPr>
        <sz val="10"/>
        <rFont val="Arial"/>
        <charset val="134"/>
      </rPr>
      <t>,5077</t>
    </r>
    <r>
      <rPr>
        <sz val="10"/>
        <rFont val="微软雅黑"/>
        <charset val="134"/>
      </rPr>
      <t>配</t>
    </r>
    <r>
      <rPr>
        <sz val="10"/>
        <rFont val="Arial"/>
        <charset val="134"/>
      </rPr>
      <t>9610</t>
    </r>
    <r>
      <rPr>
        <sz val="10"/>
        <rFont val="微软雅黑"/>
        <charset val="134"/>
      </rPr>
      <t>，目前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无价格；EMMC停产中待验新料暂无价格</t>
    </r>
  </si>
  <si>
    <t>AN10D USD2.0 DB</t>
  </si>
  <si>
    <t>GN10D USB2.0 DB</t>
  </si>
  <si>
    <t>A.F.P.1000229</t>
  </si>
  <si>
    <t>A.F.P.1000274</t>
  </si>
  <si>
    <t>GN10F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</si>
  <si>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目前无价格支持</t>
    </r>
    <r>
      <rPr>
        <sz val="10"/>
        <rFont val="Arial"/>
        <charset val="134"/>
      </rPr>
      <t xml:space="preserve">SSD 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G-Sensor</t>
    </r>
    <r>
      <rPr>
        <sz val="10"/>
        <rFont val="微软雅黑"/>
        <charset val="134"/>
      </rPr>
      <t>，目前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无价格；EMMC停产中待验新料暂无价格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</si>
  <si>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G-Sensor</t>
    </r>
    <r>
      <rPr>
        <sz val="10"/>
        <rFont val="微软雅黑"/>
        <charset val="134"/>
      </rPr>
      <t>，目前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无价格；EMMC停产中待验新料暂无价格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</si>
  <si>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为库存料目前无价格，支持</t>
    </r>
    <r>
      <rPr>
        <sz val="10"/>
        <rFont val="Arial"/>
        <charset val="134"/>
      </rPr>
      <t>SSD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G-Sensor</t>
    </r>
    <r>
      <rPr>
        <sz val="10"/>
        <rFont val="微软雅黑"/>
        <charset val="134"/>
      </rPr>
      <t>，目前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无价格；EMMC停产中待验新料暂无价格</t>
    </r>
  </si>
  <si>
    <t>A.F.D.2300085</t>
  </si>
  <si>
    <t>A.F.D.2300085 USB DB</t>
  </si>
  <si>
    <t>A.F.P.1000409</t>
  </si>
  <si>
    <t>A.F.P.1000463</t>
  </si>
  <si>
    <t>A.F.P.1000464</t>
  </si>
  <si>
    <r>
      <rPr>
        <sz val="10"/>
        <rFont val="Arial"/>
        <charset val="134"/>
      </rPr>
      <t xml:space="preserve">A.F.P.1000353 DB USB </t>
    </r>
    <r>
      <rPr>
        <sz val="10"/>
        <rFont val="微软雅黑"/>
        <charset val="134"/>
      </rPr>
      <t>大公模</t>
    </r>
  </si>
  <si>
    <t xml:space="preserve">A.F.P.1000274 </t>
  </si>
  <si>
    <r>
      <rPr>
        <sz val="10"/>
        <rFont val="Arial"/>
        <charset val="134"/>
      </rPr>
      <t xml:space="preserve">A.F.P.1000274 DB USB </t>
    </r>
    <r>
      <rPr>
        <sz val="10"/>
        <rFont val="微软雅黑"/>
        <charset val="134"/>
      </rPr>
      <t>琛玛</t>
    </r>
  </si>
  <si>
    <r>
      <rPr>
        <sz val="10"/>
        <rFont val="Arial"/>
        <charset val="134"/>
      </rPr>
      <t>GN15(6L+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</si>
  <si>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为库存料目前无价格，目前</t>
    </r>
    <r>
      <rPr>
        <sz val="10"/>
        <rFont val="Arial"/>
        <charset val="134"/>
      </rPr>
      <t>CPU</t>
    </r>
    <r>
      <rPr>
        <sz val="10"/>
        <rFont val="宋体"/>
        <charset val="134"/>
      </rPr>
      <t>无价格；EMMC停产中待验新料暂无价格</t>
    </r>
  </si>
  <si>
    <t>2G*2+0G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</si>
  <si>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使用佰维；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停产无货；N4020已不接单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</si>
  <si>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NETSOL</t>
    </r>
    <r>
      <rPr>
        <sz val="10"/>
        <rFont val="微软雅黑"/>
        <charset val="134"/>
      </rPr>
      <t>库存料目前无价格；单</t>
    </r>
    <r>
      <rPr>
        <sz val="10"/>
        <rFont val="Arial"/>
        <charset val="134"/>
      </rPr>
      <t>Type cWIFI</t>
    </r>
    <r>
      <rPr>
        <sz val="10"/>
        <rFont val="微软雅黑"/>
        <charset val="134"/>
      </rPr>
      <t>停产无货；；N4020已不接单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</si>
  <si>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NETSOL</t>
    </r>
    <r>
      <rPr>
        <sz val="10"/>
        <rFont val="微软雅黑"/>
        <charset val="134"/>
      </rPr>
      <t>库存料目掐无价格；单</t>
    </r>
    <r>
      <rPr>
        <sz val="10"/>
        <rFont val="Arial"/>
        <charset val="134"/>
      </rPr>
      <t>Type cWIFI</t>
    </r>
    <r>
      <rPr>
        <sz val="10"/>
        <rFont val="微软雅黑"/>
        <charset val="134"/>
      </rPr>
      <t>停产无货；；N4020已不接单</t>
    </r>
  </si>
  <si>
    <r>
      <rPr>
        <sz val="10"/>
        <rFont val="微软雅黑"/>
        <charset val="134"/>
      </rPr>
      <t>佰维</t>
    </r>
    <r>
      <rPr>
        <sz val="10"/>
        <rFont val="Arial"/>
        <charset val="134"/>
      </rPr>
      <t>/LPDDR4-366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</si>
  <si>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NETSOL</t>
    </r>
    <r>
      <rPr>
        <sz val="10"/>
        <rFont val="微软雅黑"/>
        <charset val="134"/>
      </rPr>
      <t>库存料目掐无价格；N4020已不接单</t>
    </r>
  </si>
  <si>
    <t>A.F.M.2301449-MP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</si>
  <si>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NETSOL</t>
    </r>
    <r>
      <rPr>
        <sz val="10"/>
        <rFont val="微软雅黑"/>
        <charset val="134"/>
      </rPr>
      <t>库存料目前无价格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KTS1688EUH IC;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 xml:space="preserve">USB-STCB15X type c </t>
    </r>
    <r>
      <rPr>
        <sz val="10"/>
        <rFont val="微软雅黑"/>
        <charset val="134"/>
      </rPr>
      <t>接口；EMMC停产中待验新料暂无价格；N4020已不接单</t>
    </r>
  </si>
  <si>
    <t>A.F.M.2301450-MP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</si>
  <si>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NETSOL</t>
    </r>
    <r>
      <rPr>
        <sz val="10"/>
        <rFont val="微软雅黑"/>
        <charset val="134"/>
      </rPr>
      <t>库存料目前无价格</t>
    </r>
    <r>
      <rPr>
        <sz val="10"/>
        <rFont val="Arial"/>
        <charset val="134"/>
      </rPr>
      <t>;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停产中待验新料暂无价格；N4020已不接单</t>
    </r>
  </si>
  <si>
    <t>A.F.M.2400110-MP</t>
  </si>
  <si>
    <r>
      <rPr>
        <sz val="10"/>
        <rFont val="Arial"/>
        <charset val="134"/>
      </rPr>
      <t>SKU23</t>
    </r>
    <r>
      <rPr>
        <sz val="10"/>
        <rFont val="宋体"/>
        <charset val="134"/>
      </rPr>
      <t>（临时</t>
    </r>
    <r>
      <rPr>
        <sz val="10"/>
        <rFont val="Arial"/>
        <charset val="134"/>
      </rPr>
      <t>BOM</t>
    </r>
    <r>
      <rPr>
        <sz val="10"/>
        <rFont val="宋体"/>
        <charset val="134"/>
      </rPr>
      <t>）</t>
    </r>
  </si>
  <si>
    <r>
      <rPr>
        <sz val="10"/>
        <rFont val="Arial"/>
        <charset val="134"/>
      </rPr>
      <t>LPDDR4-</t>
    </r>
    <r>
      <rPr>
        <sz val="10"/>
        <rFont val="微软雅黑"/>
        <charset val="134"/>
      </rPr>
      <t>大</t>
    </r>
    <r>
      <rPr>
        <sz val="10"/>
        <rFont val="Arial"/>
        <charset val="134"/>
      </rPr>
      <t>366</t>
    </r>
    <r>
      <rPr>
        <sz val="10"/>
        <rFont val="宋体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</si>
  <si>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宋体"/>
        <charset val="134"/>
      </rPr>
      <t>无</t>
    </r>
    <r>
      <rPr>
        <sz val="10"/>
        <rFont val="Arial"/>
        <charset val="134"/>
      </rPr>
      <t>Type IC</t>
    </r>
    <r>
      <rPr>
        <sz val="10"/>
        <rFont val="宋体"/>
        <charset val="134"/>
      </rPr>
      <t>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使用</t>
    </r>
    <r>
      <rPr>
        <sz val="10"/>
        <rFont val="Arial"/>
        <charset val="134"/>
      </rPr>
      <t>NETSOL</t>
    </r>
    <r>
      <rPr>
        <sz val="10"/>
        <rFont val="宋体"/>
        <charset val="134"/>
      </rPr>
      <t>目前无价格</t>
    </r>
    <r>
      <rPr>
        <sz val="10"/>
        <rFont val="Arial"/>
        <charset val="134"/>
      </rPr>
      <t>;</t>
    </r>
    <r>
      <rPr>
        <sz val="10"/>
        <rFont val="宋体"/>
        <charset val="134"/>
      </rPr>
      <t>；N4020已不接单</t>
    </r>
  </si>
  <si>
    <t>A.F.M.2400111-MP</t>
  </si>
  <si>
    <r>
      <rPr>
        <sz val="10"/>
        <rFont val="Arial"/>
        <charset val="134"/>
      </rPr>
      <t>SKU24</t>
    </r>
    <r>
      <rPr>
        <sz val="10"/>
        <rFont val="宋体"/>
        <charset val="134"/>
      </rPr>
      <t>（临时</t>
    </r>
    <r>
      <rPr>
        <sz val="10"/>
        <rFont val="Arial"/>
        <charset val="134"/>
      </rPr>
      <t>BOM</t>
    </r>
    <r>
      <rPr>
        <sz val="10"/>
        <rFont val="宋体"/>
        <charset val="134"/>
      </rPr>
      <t>）</t>
    </r>
  </si>
  <si>
    <r>
      <rPr>
        <sz val="10"/>
        <rFont val="微软雅黑"/>
        <charset val="134"/>
      </rPr>
      <t>时创意或者佰维</t>
    </r>
    <r>
      <rPr>
        <sz val="10"/>
        <rFont val="Arial"/>
        <charset val="134"/>
      </rPr>
      <t>/LPDDR4-</t>
    </r>
    <r>
      <rPr>
        <sz val="10"/>
        <rFont val="微软雅黑"/>
        <charset val="134"/>
      </rPr>
      <t>大</t>
    </r>
    <r>
      <rPr>
        <sz val="10"/>
        <rFont val="Arial"/>
        <charset val="134"/>
      </rPr>
      <t>366</t>
    </r>
    <r>
      <rPr>
        <sz val="10"/>
        <rFont val="宋体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</si>
  <si>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IC</t>
    </r>
    <r>
      <rPr>
        <sz val="10"/>
        <rFont val="宋体"/>
        <charset val="134"/>
      </rPr>
      <t>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使用</t>
    </r>
    <r>
      <rPr>
        <sz val="10"/>
        <rFont val="Arial"/>
        <charset val="134"/>
      </rPr>
      <t>NETSOL</t>
    </r>
    <r>
      <rPr>
        <sz val="10"/>
        <rFont val="宋体"/>
        <charset val="134"/>
      </rPr>
      <t>目前无价格</t>
    </r>
    <r>
      <rPr>
        <sz val="10"/>
        <rFont val="Arial"/>
        <charset val="134"/>
      </rPr>
      <t>;</t>
    </r>
    <r>
      <rPr>
        <sz val="10"/>
        <rFont val="宋体"/>
        <charset val="134"/>
      </rPr>
      <t>；EMMC停产中待验新料暂无价格；N4020已不接单</t>
    </r>
  </si>
  <si>
    <t>A.F.M.2400764-MP</t>
  </si>
  <si>
    <r>
      <rPr>
        <sz val="10"/>
        <rFont val="宋体"/>
        <charset val="134"/>
      </rPr>
      <t>时创意或者佰维</t>
    </r>
    <r>
      <rPr>
        <sz val="10"/>
        <rFont val="Arial"/>
        <charset val="134"/>
      </rPr>
      <t>/LPDDR4-366</t>
    </r>
    <r>
      <rPr>
        <sz val="10"/>
        <rFont val="宋体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</si>
  <si>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</t>
    </r>
    <r>
      <rPr>
        <sz val="10"/>
        <rFont val="Arial"/>
        <charset val="134"/>
      </rPr>
      <t>NETSOL</t>
    </r>
    <r>
      <rPr>
        <sz val="10"/>
        <rFont val="宋体"/>
        <charset val="134"/>
      </rPr>
      <t>目前无价格</t>
    </r>
    <r>
      <rPr>
        <sz val="10"/>
        <rFont val="Arial"/>
        <charset val="134"/>
      </rPr>
      <t>;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停产中待验新料暂无价格；N4020已不接单</t>
    </r>
  </si>
  <si>
    <t>A.F.M.2402048-MP</t>
  </si>
  <si>
    <t>群联/LPDDR4-366球4G</t>
  </si>
  <si>
    <r>
      <rPr>
        <sz val="10"/>
        <rFont val="宋体"/>
        <charset val="134"/>
      </rPr>
      <t>无</t>
    </r>
    <r>
      <rPr>
        <sz val="10"/>
        <rFont val="Arial"/>
        <charset val="134"/>
      </rPr>
      <t>Type IC</t>
    </r>
    <r>
      <rPr>
        <sz val="10"/>
        <rFont val="宋体"/>
        <charset val="134"/>
      </rPr>
      <t>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DDR,</t>
    </r>
    <r>
      <rPr>
        <sz val="10"/>
        <rFont val="宋体"/>
        <charset val="134"/>
      </rPr>
      <t>使用</t>
    </r>
    <r>
      <rPr>
        <sz val="10"/>
        <rFont val="Arial"/>
        <charset val="134"/>
      </rPr>
      <t>NETSOL</t>
    </r>
    <r>
      <rPr>
        <sz val="10"/>
        <rFont val="宋体"/>
        <charset val="134"/>
      </rPr>
      <t>库存料用在1.5k实单上，如有需求需单独确认；N4020已不接单</t>
    </r>
  </si>
  <si>
    <t>A.F.P.1000414</t>
  </si>
  <si>
    <t>A.F.P.1000316</t>
  </si>
  <si>
    <t>A.F.P.1000325</t>
  </si>
  <si>
    <r>
      <rPr>
        <sz val="10"/>
        <rFont val="Arial"/>
        <charset val="134"/>
      </rPr>
      <t>GN15A(6L+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</si>
  <si>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使用佰维，目前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无价格；EMMC停产中待验新料暂无价格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</si>
  <si>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使用江波龙；单</t>
    </r>
    <r>
      <rPr>
        <sz val="10"/>
        <rFont val="Arial"/>
        <charset val="134"/>
      </rPr>
      <t>Type c;</t>
    </r>
    <r>
      <rPr>
        <sz val="10"/>
        <rFont val="宋体"/>
        <charset val="134"/>
      </rPr>
      <t>；</t>
    </r>
    <r>
      <rPr>
        <sz val="10"/>
        <rFont val="Arial"/>
        <charset val="134"/>
      </rPr>
      <t>N4020</t>
    </r>
    <r>
      <rPr>
        <sz val="10"/>
        <rFont val="宋体"/>
        <charset val="134"/>
      </rPr>
      <t>已不接单</t>
    </r>
  </si>
  <si>
    <t>A.F.M.2300970-MP</t>
  </si>
  <si>
    <r>
      <rPr>
        <sz val="10"/>
        <rFont val="Arial"/>
        <charset val="134"/>
      </rPr>
      <t>DDR BOM</t>
    </r>
    <r>
      <rPr>
        <sz val="10"/>
        <rFont val="微软雅黑"/>
        <charset val="134"/>
      </rPr>
      <t>里使用镁光替换用江波龙；；N4020已不接单</t>
    </r>
  </si>
  <si>
    <t>A.F.M.2301319-MP</t>
  </si>
  <si>
    <t>A.F.M.2301606-MP</t>
  </si>
  <si>
    <t>LPDDR4X-200球2G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</si>
  <si>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暂无价格</t>
    </r>
    <r>
      <rPr>
        <sz val="10"/>
        <rFont val="Arial"/>
        <charset val="134"/>
      </rPr>
      <t>;BD99950MUV</t>
    </r>
    <r>
      <rPr>
        <sz val="10"/>
        <rFont val="宋体"/>
        <charset val="134"/>
      </rPr>
      <t>；</t>
    </r>
    <r>
      <rPr>
        <sz val="10"/>
        <rFont val="Arial"/>
        <charset val="134"/>
      </rPr>
      <t>N4020</t>
    </r>
    <r>
      <rPr>
        <sz val="10"/>
        <rFont val="宋体"/>
        <charset val="134"/>
      </rPr>
      <t>已不接单</t>
    </r>
  </si>
  <si>
    <t>A.F.M.2400911-MP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</si>
  <si>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使用江波龙；单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IT8528E</t>
    </r>
    <r>
      <rPr>
        <sz val="10"/>
        <rFont val="宋体"/>
        <charset val="134"/>
      </rPr>
      <t>；</t>
    </r>
    <r>
      <rPr>
        <sz val="10"/>
        <rFont val="Arial"/>
        <charset val="134"/>
      </rPr>
      <t>N4020</t>
    </r>
    <r>
      <rPr>
        <sz val="10"/>
        <rFont val="宋体"/>
        <charset val="134"/>
      </rPr>
      <t>已不接单</t>
    </r>
  </si>
  <si>
    <t>A.P.10000729 AUDIO DB</t>
  </si>
  <si>
    <t>A.P.10000671</t>
  </si>
  <si>
    <t>A.P.10000671 AUDIO DB</t>
  </si>
  <si>
    <r>
      <rPr>
        <sz val="10"/>
        <rFont val="Arial"/>
        <charset val="134"/>
      </rPr>
      <t>GP2A(6L+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</si>
  <si>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宋体"/>
        <charset val="134"/>
      </rPr>
      <t>N4020已不接单；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</si>
  <si>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A.F.M.2400745-MP</t>
  </si>
  <si>
    <r>
      <rPr>
        <sz val="10"/>
        <rFont val="Arial"/>
        <charset val="134"/>
      </rPr>
      <t>N4120(6W)</t>
    </r>
    <r>
      <rPr>
        <sz val="10"/>
        <rFont val="微软雅黑"/>
        <charset val="134"/>
      </rPr>
      <t>客供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</si>
  <si>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客供；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是库存料；单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SN9C2272MJG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SN9C2805AJG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IT8110E</t>
    </r>
  </si>
  <si>
    <t>A.F.M.2500191-MP</t>
  </si>
  <si>
    <r>
      <rPr>
        <sz val="10"/>
        <rFont val="Arial"/>
        <charset val="134"/>
      </rPr>
      <t>J4125</t>
    </r>
    <r>
      <rPr>
        <sz val="10"/>
        <rFont val="宋体"/>
        <charset val="134"/>
      </rPr>
      <t>客供</t>
    </r>
  </si>
  <si>
    <r>
      <rPr>
        <sz val="10"/>
        <rFont val="Arial"/>
        <charset val="134"/>
      </rPr>
      <t>128GB(</t>
    </r>
    <r>
      <rPr>
        <sz val="10"/>
        <rFont val="宋体"/>
        <charset val="134"/>
      </rPr>
      <t>客供）</t>
    </r>
  </si>
  <si>
    <t>9462.D2WG</t>
  </si>
  <si>
    <t>时创意（客供）/LPDDR4-366球4G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</si>
  <si>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不带接口；</t>
    </r>
    <r>
      <rPr>
        <sz val="10"/>
        <rFont val="Arial"/>
        <charset val="134"/>
      </rPr>
      <t>9462.D2WG</t>
    </r>
    <r>
      <rPr>
        <sz val="10"/>
        <rFont val="宋体"/>
        <charset val="134"/>
      </rPr>
      <t>库存消耗完不接，请和采购确认下，</t>
    </r>
    <r>
      <rPr>
        <sz val="10"/>
        <rFont val="Arial"/>
        <charset val="134"/>
      </rPr>
      <t>DDR</t>
    </r>
    <r>
      <rPr>
        <sz val="10"/>
        <rFont val="宋体"/>
        <charset val="134"/>
      </rPr>
      <t>是</t>
    </r>
    <r>
      <rPr>
        <sz val="10"/>
        <rFont val="Arial"/>
        <charset val="134"/>
      </rPr>
      <t>NETSOL</t>
    </r>
    <r>
      <rPr>
        <sz val="10"/>
        <rFont val="宋体"/>
        <charset val="134"/>
      </rPr>
      <t>暂无价格</t>
    </r>
    <r>
      <rPr>
        <sz val="10"/>
        <rFont val="Arial"/>
        <charset val="134"/>
      </rPr>
      <t>;IT8110E;</t>
    </r>
  </si>
  <si>
    <t>A.P.10001020</t>
  </si>
  <si>
    <t>A.P.10001020  Audio DB</t>
  </si>
  <si>
    <t>A.P.10000968</t>
  </si>
  <si>
    <r>
      <rPr>
        <sz val="10"/>
        <rFont val="Arial"/>
        <charset val="134"/>
      </rPr>
      <t xml:space="preserve">A.P.10000968 </t>
    </r>
    <r>
      <rPr>
        <sz val="10"/>
        <rFont val="微软雅黑"/>
        <charset val="134"/>
      </rPr>
      <t>耳机</t>
    </r>
    <r>
      <rPr>
        <sz val="10"/>
        <rFont val="Arial"/>
        <charset val="134"/>
      </rPr>
      <t xml:space="preserve"> DB</t>
    </r>
  </si>
  <si>
    <t>A.P.10000624</t>
  </si>
  <si>
    <t>A.P.10000624 RJ45 DB</t>
  </si>
  <si>
    <t>A.P.10000568</t>
  </si>
  <si>
    <t>A.P.10000568 RJ45 DB</t>
  </si>
  <si>
    <t>A.P.10000564</t>
  </si>
  <si>
    <t>A.P.10000564 LCD DB</t>
  </si>
  <si>
    <r>
      <rPr>
        <sz val="10"/>
        <rFont val="Arial"/>
        <charset val="134"/>
      </rPr>
      <t>GN1S(8L+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</si>
  <si>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A.F.P.1000205-MP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</si>
  <si>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c;N4020</t>
    </r>
    <r>
      <rPr>
        <sz val="10"/>
        <rFont val="宋体"/>
        <charset val="134"/>
      </rPr>
      <t>已不接单</t>
    </r>
  </si>
  <si>
    <t>A.P.0GN1S022-MP</t>
  </si>
  <si>
    <r>
      <rPr>
        <sz val="10"/>
        <rFont val="宋体"/>
        <charset val="134"/>
      </rPr>
      <t>N4020已不接单；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停产中待验新料暂无价格；N4020已不接单</t>
    </r>
  </si>
  <si>
    <t>A.P.0GN1S024-MP</t>
  </si>
  <si>
    <t>A.F.M.2200038-MP</t>
  </si>
  <si>
    <r>
      <rPr>
        <sz val="10"/>
        <rFont val="微软雅黑"/>
        <charset val="134"/>
      </rPr>
      <t>时创意或者佰维</t>
    </r>
    <r>
      <rPr>
        <sz val="10"/>
        <rFont val="Arial"/>
        <charset val="134"/>
      </rPr>
      <t>/</t>
    </r>
    <r>
      <rPr>
        <sz val="10"/>
        <rFont val="微软雅黑"/>
        <charset val="134"/>
      </rPr>
      <t>条子</t>
    </r>
  </si>
  <si>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停产无货，佰维</t>
    </r>
    <r>
      <rPr>
        <sz val="10"/>
        <rFont val="宋体"/>
        <charset val="134"/>
      </rPr>
      <t>的</t>
    </r>
    <r>
      <rPr>
        <sz val="10"/>
        <rFont val="Arial"/>
        <charset val="134"/>
      </rPr>
      <t xml:space="preserve"> 8$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停产中待验新料暂无价格；</t>
    </r>
    <r>
      <rPr>
        <sz val="10"/>
        <rFont val="Arial"/>
        <charset val="134"/>
      </rPr>
      <t>N4020</t>
    </r>
    <r>
      <rPr>
        <sz val="10"/>
        <rFont val="宋体"/>
        <charset val="134"/>
      </rPr>
      <t>已不接单</t>
    </r>
  </si>
  <si>
    <t>A.F.M.2301031-MP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</si>
  <si>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IT8987E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停产中待验新料暂无价格；</t>
    </r>
    <r>
      <rPr>
        <sz val="10"/>
        <rFont val="微软雅黑"/>
        <charset val="134"/>
      </rPr>
      <t>N4020已不接单</t>
    </r>
  </si>
  <si>
    <t>A.F.M.2301043-MP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</si>
  <si>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c;IT8987E/BX</t>
    </r>
    <r>
      <rPr>
        <sz val="10"/>
        <rFont val="宋体"/>
        <charset val="134"/>
      </rPr>
      <t>；</t>
    </r>
    <r>
      <rPr>
        <sz val="10"/>
        <rFont val="微软雅黑"/>
        <charset val="134"/>
      </rPr>
      <t>N4020已不接单</t>
    </r>
  </si>
  <si>
    <t>A.F.M.2401115-MP</t>
  </si>
  <si>
    <t>单Type C IC及一个Type c 接口；N4020已不接单</t>
  </si>
  <si>
    <t>A.F.M.2401182-MP</t>
  </si>
  <si>
    <t>A.F.M.2401183-MP</t>
  </si>
  <si>
    <t>A.F.M.2500251-MP</t>
  </si>
  <si>
    <t>Type c(一Type c个接口)</t>
  </si>
  <si>
    <t>佰维</t>
  </si>
  <si>
    <t>单Type C IC及一个Type c 接口；IT8987E/BX；N4020已不接单</t>
  </si>
  <si>
    <t>A.P.10000966</t>
  </si>
  <si>
    <t>A.P.10000966 USB DB</t>
  </si>
  <si>
    <t>A.F.D.2300103</t>
  </si>
  <si>
    <t>A.F.P.1000298</t>
  </si>
  <si>
    <t>GN1B</t>
  </si>
  <si>
    <t>A.P.0GN1B007-MP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</si>
  <si>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/LPDDR4-432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</si>
  <si>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</si>
  <si>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A.F.P.1000504</t>
  </si>
  <si>
    <t>A.F.P.1000504  DB RJ45</t>
  </si>
  <si>
    <t>GN1C</t>
  </si>
  <si>
    <t>A.P.0GN1C007-MP</t>
  </si>
  <si>
    <r>
      <rPr>
        <sz val="10"/>
        <rFont val="Arial"/>
        <charset val="134"/>
      </rPr>
      <t>LPDDR4-342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</si>
  <si>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CPU/DDR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非全功能</t>
    </r>
    <r>
      <rPr>
        <sz val="10"/>
        <rFont val="Arial"/>
        <charset val="134"/>
      </rPr>
      <t>TYPE C</t>
    </r>
  </si>
  <si>
    <t>A.P.10000858</t>
  </si>
  <si>
    <t>A.P.10000858 USB DB</t>
  </si>
  <si>
    <t>A.P.10000743</t>
  </si>
  <si>
    <t>A.P.10000743 USB DB</t>
  </si>
  <si>
    <t>A.P.0GN1D013</t>
  </si>
  <si>
    <t>1G*8+128G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</si>
  <si>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使用三星目前无价格，不含加密</t>
    </r>
    <r>
      <rPr>
        <sz val="10"/>
        <rFont val="Arial"/>
        <charset val="134"/>
      </rPr>
      <t>IC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</si>
  <si>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GN1G</t>
  </si>
  <si>
    <t>A.F.P.0GN1G01</t>
  </si>
  <si>
    <r>
      <rPr>
        <sz val="10"/>
        <rFont val="Arial"/>
        <charset val="134"/>
      </rPr>
      <t xml:space="preserve">SKU1 </t>
    </r>
    <r>
      <rPr>
        <sz val="10"/>
        <rFont val="微软雅黑"/>
        <charset val="134"/>
      </rPr>
      <t>支持显卡</t>
    </r>
  </si>
  <si>
    <t>J4115(10W)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</si>
  <si>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无价格；EMMC停产中待验新料暂无价格</t>
    </r>
  </si>
  <si>
    <t>A.F.P.0GN1G02</t>
  </si>
  <si>
    <r>
      <rPr>
        <sz val="10"/>
        <rFont val="Arial"/>
        <charset val="134"/>
      </rPr>
      <t xml:space="preserve">SKU2 </t>
    </r>
    <r>
      <rPr>
        <sz val="10"/>
        <rFont val="微软雅黑"/>
        <charset val="134"/>
      </rPr>
      <t>不支持显卡</t>
    </r>
  </si>
  <si>
    <t>A.P.10000621</t>
  </si>
  <si>
    <t>A.P.10000621 USB DB</t>
  </si>
  <si>
    <t>A.P.10000570</t>
  </si>
  <si>
    <t>A.P.10000570 RJ45 DB</t>
  </si>
  <si>
    <t>GN1F</t>
  </si>
  <si>
    <t>A.P.0GN1F003-PVT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</si>
  <si>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;DDR</t>
    </r>
    <r>
      <rPr>
        <sz val="10"/>
        <rFont val="微软雅黑"/>
        <charset val="134"/>
      </rPr>
      <t>为库存料目前无价格；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，非全功能</t>
    </r>
    <r>
      <rPr>
        <sz val="10"/>
        <rFont val="Arial"/>
        <charset val="134"/>
      </rPr>
      <t>TYPE C</t>
    </r>
  </si>
  <si>
    <t>A.P.0GN1F011-PVT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</si>
  <si>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;DDR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</si>
  <si>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A.F.M.2300092-MP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</si>
  <si>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;</t>
    </r>
  </si>
  <si>
    <t>A.F.D.2300016</t>
  </si>
  <si>
    <t>A.F.D.2300016 Audio DB</t>
  </si>
  <si>
    <t>GN1-116PC USB DB</t>
  </si>
  <si>
    <t>GN1H</t>
  </si>
  <si>
    <t>A.P.0GN1H007-PVT</t>
  </si>
  <si>
    <r>
      <rPr>
        <sz val="10"/>
        <rFont val="Arial"/>
        <charset val="134"/>
      </rPr>
      <t>LPDDR4x-366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</si>
  <si>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为库存料目前无价格；N4020已不接单</t>
    </r>
  </si>
  <si>
    <t>A.P.0GN1H008-MP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</si>
  <si>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;DDR</t>
    </r>
    <r>
      <rPr>
        <sz val="10"/>
        <rFont val="微软雅黑"/>
        <charset val="134"/>
      </rPr>
      <t>为库存料目前无价格</t>
    </r>
  </si>
  <si>
    <t>A.P.0GN1H010-PVT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</si>
  <si>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停产中待验新料暂无价格；N4020已不接单</t>
    </r>
  </si>
  <si>
    <r>
      <rPr>
        <sz val="10"/>
        <rFont val="Arial"/>
        <charset val="134"/>
      </rPr>
      <t xml:space="preserve">SKU10 </t>
    </r>
    <r>
      <rPr>
        <sz val="10"/>
        <rFont val="微软雅黑"/>
        <charset val="134"/>
      </rPr>
      <t>替换配置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</si>
  <si>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；</t>
    </r>
    <r>
      <rPr>
        <sz val="10"/>
        <rFont val="Arial"/>
        <charset val="134"/>
      </rPr>
      <t>N4020</t>
    </r>
    <r>
      <rPr>
        <sz val="10"/>
        <rFont val="宋体"/>
        <charset val="134"/>
      </rPr>
      <t>已不接单</t>
    </r>
  </si>
  <si>
    <t>A.P.10000634</t>
  </si>
  <si>
    <t>J4105(10W)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</si>
  <si>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为库存料目掐无价格，目前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</t>
    </r>
  </si>
  <si>
    <t>A.P.10000755</t>
  </si>
  <si>
    <t>A.P.10000755 IO_DB</t>
  </si>
  <si>
    <t>A.P.10000754</t>
  </si>
  <si>
    <t>A.P.10000754 IO_DB</t>
  </si>
  <si>
    <t>A.P.10000826</t>
  </si>
  <si>
    <r>
      <rPr>
        <sz val="10"/>
        <rFont val="Arial"/>
        <charset val="134"/>
      </rPr>
      <t>A.P.10000826 IO-DB</t>
    </r>
    <r>
      <rPr>
        <sz val="10"/>
        <rFont val="微软雅黑"/>
        <charset val="134"/>
      </rPr>
      <t>荣亮</t>
    </r>
    <r>
      <rPr>
        <sz val="10"/>
        <rFont val="Arial"/>
        <charset val="134"/>
      </rPr>
      <t>1308</t>
    </r>
  </si>
  <si>
    <t>A.P.10000511</t>
  </si>
  <si>
    <t>A.P.10000511 USB DB 3.0V10</t>
  </si>
  <si>
    <t>A.P.10000530 USB DB 3.0V20</t>
  </si>
  <si>
    <t>GN10B(8L+HDI1+OSP)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</si>
  <si>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为库存料目前无价格；EMMC停产中待验新料暂无价格；N4020已不接单</t>
    </r>
  </si>
  <si>
    <t>A.F.M.2400188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</si>
  <si>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为库存料；；N4020已不接单</t>
    </r>
  </si>
  <si>
    <t>A.F.M.2400242-MP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</si>
  <si>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为库存料；</t>
    </r>
    <r>
      <rPr>
        <sz val="10"/>
        <rFont val="Arial"/>
        <charset val="134"/>
      </rPr>
      <t>WIFI R8723BT1</t>
    </r>
    <r>
      <rPr>
        <sz val="10"/>
        <rFont val="微软雅黑"/>
        <charset val="134"/>
      </rPr>
      <t>停产更换</t>
    </r>
    <r>
      <rPr>
        <sz val="10"/>
        <rFont val="Arial"/>
        <charset val="134"/>
      </rPr>
      <t>9560.D2WG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停产中待验新料暂无价格；N4020已不接单</t>
    </r>
  </si>
  <si>
    <t>A.F.M.2401541-MP</t>
  </si>
  <si>
    <r>
      <rPr>
        <sz val="10"/>
        <rFont val="Arial"/>
        <charset val="134"/>
      </rPr>
      <t>Non Type c(</t>
    </r>
    <r>
      <rPr>
        <sz val="10"/>
        <rFont val="宋体"/>
        <charset val="134"/>
      </rPr>
      <t>无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及无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</si>
  <si>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t>B18723D</t>
  </si>
  <si>
    <t>时创意/LPDDR4X-376球4G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</si>
  <si>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使用海力士或者三星（库存料）；无Type C IC及无Type C接口；EMMC停产中待验新料暂无价格；N4020已不接单</t>
    </r>
  </si>
  <si>
    <t>A.F.M.2401542-MP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</si>
  <si>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使用三星或者海力士（库存料）；无Type C IC及无Type C接口；N4020已不接单</t>
    </r>
  </si>
  <si>
    <t>A.F.M.2401634-MP</t>
  </si>
  <si>
    <r>
      <rPr>
        <sz val="10"/>
        <rFont val="Arial"/>
        <charset val="134"/>
      </rPr>
      <t>LPDDR4X-376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</si>
  <si>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t>A.F.M.2402505-MP</t>
  </si>
  <si>
    <r>
      <rPr>
        <sz val="10"/>
        <rFont val="Arial"/>
        <charset val="134"/>
      </rPr>
      <t>LPDDR4X-376</t>
    </r>
    <r>
      <rPr>
        <sz val="10"/>
        <rFont val="宋体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</si>
  <si>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使用三星或者海力士（库存料）；</t>
    </r>
    <r>
      <rPr>
        <sz val="10"/>
        <rFont val="Arial"/>
        <charset val="134"/>
      </rPr>
      <t>IT8987E/BX;BD2671MWV</t>
    </r>
    <r>
      <rPr>
        <sz val="10"/>
        <rFont val="宋体"/>
        <charset val="134"/>
      </rPr>
      <t>；</t>
    </r>
    <r>
      <rPr>
        <sz val="10"/>
        <rFont val="Arial"/>
        <charset val="134"/>
      </rPr>
      <t>N4020</t>
    </r>
    <r>
      <rPr>
        <sz val="10"/>
        <rFont val="宋体"/>
        <charset val="134"/>
      </rPr>
      <t>已不接单</t>
    </r>
  </si>
  <si>
    <t>A.F.M.2402506-MP</t>
  </si>
  <si>
    <t>LPDDR4X-376球8G</t>
  </si>
  <si>
    <t>Non Type c(无Type C IC及无Type C接口)</t>
  </si>
  <si>
    <t>LPDDR4X-376球4G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</si>
  <si>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使用镁光（库存料）目前无价格；</t>
    </r>
    <r>
      <rPr>
        <sz val="10"/>
        <rFont val="Arial"/>
        <charset val="134"/>
      </rPr>
      <t>IT8987E/BX</t>
    </r>
    <r>
      <rPr>
        <sz val="10"/>
        <rFont val="宋体"/>
        <charset val="134"/>
      </rPr>
      <t>；</t>
    </r>
    <r>
      <rPr>
        <sz val="10"/>
        <rFont val="Arial"/>
        <charset val="134"/>
      </rPr>
      <t>N4020</t>
    </r>
    <r>
      <rPr>
        <sz val="10"/>
        <rFont val="宋体"/>
        <charset val="134"/>
      </rPr>
      <t>已不接单</t>
    </r>
  </si>
  <si>
    <t>A.F.M.2500148</t>
  </si>
  <si>
    <t>A.F.M.2500451-MP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</si>
  <si>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使用三星或者海力士（库存料）目前无价格；</t>
    </r>
    <r>
      <rPr>
        <sz val="10"/>
        <rFont val="Arial"/>
        <charset val="134"/>
      </rPr>
      <t>IT8987E/BX;</t>
    </r>
    <r>
      <rPr>
        <sz val="10"/>
        <rFont val="宋体"/>
        <charset val="134"/>
      </rPr>
      <t>；</t>
    </r>
    <r>
      <rPr>
        <sz val="10"/>
        <rFont val="Arial"/>
        <charset val="134"/>
      </rPr>
      <t>BD2671MWV;N4020</t>
    </r>
    <r>
      <rPr>
        <sz val="10"/>
        <rFont val="宋体"/>
        <charset val="134"/>
      </rPr>
      <t>已不接单</t>
    </r>
  </si>
  <si>
    <t>A.F.M.2500452</t>
  </si>
  <si>
    <r>
      <rPr>
        <sz val="10"/>
        <rFont val="宋体"/>
        <charset val="134"/>
      </rPr>
      <t>群联</t>
    </r>
    <r>
      <rPr>
        <sz val="10"/>
        <rFont val="Arial"/>
        <charset val="134"/>
      </rPr>
      <t>/LPDDR4X-376</t>
    </r>
    <r>
      <rPr>
        <sz val="10"/>
        <rFont val="宋体"/>
        <charset val="134"/>
      </rPr>
      <t>球</t>
    </r>
    <r>
      <rPr>
        <sz val="10"/>
        <rFont val="Arial"/>
        <charset val="134"/>
      </rPr>
      <t>4G</t>
    </r>
  </si>
  <si>
    <t>A.F.M.2500487</t>
  </si>
  <si>
    <t>A.F.M.2500489</t>
  </si>
  <si>
    <r>
      <rPr>
        <sz val="10"/>
        <rFont val="Arial"/>
        <charset val="134"/>
      </rPr>
      <t>LPDDR4X-376</t>
    </r>
    <r>
      <rPr>
        <sz val="10"/>
        <rFont val="宋体"/>
        <charset val="134"/>
      </rPr>
      <t>球</t>
    </r>
    <r>
      <rPr>
        <sz val="10"/>
        <rFont val="Arial"/>
        <charset val="134"/>
      </rPr>
      <t>8G</t>
    </r>
  </si>
  <si>
    <t>A.F.M.2500606</t>
  </si>
  <si>
    <t>A.P.10000742</t>
  </si>
  <si>
    <t>A.P.10000742 USB DB</t>
  </si>
  <si>
    <t>A.P.10000637</t>
  </si>
  <si>
    <r>
      <rPr>
        <sz val="10"/>
        <rFont val="Arial"/>
        <charset val="134"/>
      </rPr>
      <t>A.P.10000637 RJ45_DB Hall</t>
    </r>
    <r>
      <rPr>
        <sz val="10"/>
        <rFont val="微软雅黑"/>
        <charset val="134"/>
      </rPr>
      <t>磁铁在屏下方</t>
    </r>
  </si>
  <si>
    <t>A.P.10000638</t>
  </si>
  <si>
    <r>
      <rPr>
        <sz val="10"/>
        <rFont val="Arial"/>
        <charset val="134"/>
      </rPr>
      <t>A.P.10000638 RJ45_DB Hall</t>
    </r>
    <r>
      <rPr>
        <sz val="10"/>
        <rFont val="微软雅黑"/>
        <charset val="134"/>
      </rPr>
      <t>磁铁在屏右侧</t>
    </r>
  </si>
  <si>
    <t>A.P.10000757</t>
  </si>
  <si>
    <r>
      <rPr>
        <sz val="10"/>
        <rFont val="Arial"/>
        <charset val="134"/>
      </rPr>
      <t>A.P.10000757 RJ45 DB Hall</t>
    </r>
    <r>
      <rPr>
        <sz val="10"/>
        <rFont val="微软雅黑"/>
        <charset val="134"/>
      </rPr>
      <t>磁铁在屏右侧</t>
    </r>
  </si>
  <si>
    <t>A.P.10000600</t>
  </si>
  <si>
    <r>
      <rPr>
        <sz val="10"/>
        <rFont val="Arial"/>
        <charset val="134"/>
      </rPr>
      <t xml:space="preserve">A.P.10000600 RJ45 DB </t>
    </r>
    <r>
      <rPr>
        <sz val="10"/>
        <rFont val="微软雅黑"/>
        <charset val="134"/>
      </rPr>
      <t>屏下方</t>
    </r>
  </si>
  <si>
    <r>
      <rPr>
        <sz val="10"/>
        <rFont val="Arial"/>
        <charset val="134"/>
      </rPr>
      <t xml:space="preserve">A.P.10000601 RJ45 DB </t>
    </r>
    <r>
      <rPr>
        <sz val="10"/>
        <rFont val="微软雅黑"/>
        <charset val="134"/>
      </rPr>
      <t>屏右侧</t>
    </r>
  </si>
  <si>
    <t>A.P.10000756</t>
  </si>
  <si>
    <r>
      <rPr>
        <sz val="10"/>
        <rFont val="Arial"/>
        <charset val="134"/>
      </rPr>
      <t xml:space="preserve">A.P.10000756 RJ45 DB </t>
    </r>
    <r>
      <rPr>
        <sz val="10"/>
        <rFont val="微软雅黑"/>
        <charset val="134"/>
      </rPr>
      <t>屏下方</t>
    </r>
  </si>
  <si>
    <t>RTL8152B</t>
  </si>
  <si>
    <t>A.P.10000602</t>
  </si>
  <si>
    <t>A.P.10000602 USB DB V10</t>
  </si>
  <si>
    <t>A.P.10000758</t>
  </si>
  <si>
    <t>A.P.10000758 USB DB V12</t>
  </si>
  <si>
    <t>A.P.10000530 USB DB V20</t>
  </si>
  <si>
    <r>
      <rPr>
        <sz val="10"/>
        <rFont val="Arial"/>
        <charset val="134"/>
      </rPr>
      <t>GN10H(8L+HDI1+</t>
    </r>
    <r>
      <rPr>
        <sz val="10"/>
        <rFont val="宋体"/>
        <charset val="134"/>
      </rPr>
      <t>沉金</t>
    </r>
    <r>
      <rPr>
        <sz val="10"/>
        <rFont val="Arial"/>
        <charset val="134"/>
      </rPr>
      <t>)</t>
    </r>
  </si>
  <si>
    <t>1G*4+64GB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</si>
  <si>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使用三星，；EMMC停产中待验新料暂无价格</t>
    </r>
  </si>
  <si>
    <t>1G*4+128GB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</si>
  <si>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使用三星，；EMMC停产中待验新料暂无价格；N4020已不接单</t>
    </r>
  </si>
  <si>
    <t>A.F.M.2300850-MP</t>
  </si>
  <si>
    <r>
      <rPr>
        <sz val="10"/>
        <rFont val="Arial"/>
        <charset val="134"/>
      </rPr>
      <t>Non Type c(</t>
    </r>
    <r>
      <rPr>
        <sz val="10"/>
        <rFont val="宋体"/>
        <charset val="134"/>
      </rPr>
      <t>无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</si>
  <si>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t>1G*4+0GB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</si>
  <si>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</t>
    </r>
    <r>
      <rPr>
        <sz val="10"/>
        <rFont val="Arial"/>
        <charset val="134"/>
      </rPr>
      <t>,</t>
    </r>
    <r>
      <rPr>
        <sz val="10"/>
        <rFont val="宋体"/>
        <charset val="134"/>
      </rPr>
      <t>；</t>
    </r>
    <r>
      <rPr>
        <sz val="10"/>
        <rFont val="Arial"/>
        <charset val="134"/>
      </rPr>
      <t>N4020</t>
    </r>
    <r>
      <rPr>
        <sz val="10"/>
        <rFont val="宋体"/>
        <charset val="134"/>
      </rPr>
      <t>已不接单</t>
    </r>
  </si>
  <si>
    <t>A.F.D.2300256-PVT</t>
  </si>
  <si>
    <t>A.F.D.2300256  USB DB</t>
  </si>
  <si>
    <t>含有RTS5170</t>
  </si>
  <si>
    <t>A.F.D.2300082-MP</t>
  </si>
  <si>
    <t>A.F.D.2300082 USB DB</t>
  </si>
  <si>
    <t>A.F.D.2300175</t>
  </si>
  <si>
    <t>A.F.D.2300175 IO_DB</t>
  </si>
  <si>
    <t>GN10C</t>
  </si>
  <si>
    <t>8821C</t>
  </si>
  <si>
    <t>A.P.10001097</t>
  </si>
  <si>
    <t>A.P.10001097 USB DB</t>
  </si>
  <si>
    <t>A.P.10000918</t>
  </si>
  <si>
    <r>
      <rPr>
        <sz val="10"/>
        <rFont val="Arial"/>
        <charset val="134"/>
      </rPr>
      <t xml:space="preserve">A.P.10000918 USB DB </t>
    </r>
    <r>
      <rPr>
        <sz val="10"/>
        <rFont val="微软雅黑"/>
        <charset val="134"/>
      </rPr>
      <t>琛玛</t>
    </r>
    <r>
      <rPr>
        <sz val="10"/>
        <rFont val="Arial"/>
        <charset val="134"/>
      </rPr>
      <t>CM1185</t>
    </r>
  </si>
  <si>
    <t>A.P.10000917</t>
  </si>
  <si>
    <r>
      <rPr>
        <sz val="10"/>
        <rFont val="Arial"/>
        <charset val="134"/>
      </rPr>
      <t xml:space="preserve">A.P.10000917 USB DB </t>
    </r>
    <r>
      <rPr>
        <sz val="10"/>
        <rFont val="微软雅黑"/>
        <charset val="134"/>
      </rPr>
      <t>琛玛</t>
    </r>
    <r>
      <rPr>
        <sz val="10"/>
        <rFont val="Arial"/>
        <charset val="134"/>
      </rPr>
      <t>CM1172</t>
    </r>
  </si>
  <si>
    <t>A.P.10000783</t>
  </si>
  <si>
    <r>
      <rPr>
        <sz val="10"/>
        <rFont val="Arial"/>
        <charset val="134"/>
      </rPr>
      <t xml:space="preserve">A.P.10000783 USB DB </t>
    </r>
    <r>
      <rPr>
        <sz val="10"/>
        <rFont val="微软雅黑"/>
        <charset val="134"/>
      </rPr>
      <t>森创达</t>
    </r>
    <r>
      <rPr>
        <sz val="10"/>
        <rFont val="Arial"/>
        <charset val="134"/>
      </rPr>
      <t>N1412-B</t>
    </r>
  </si>
  <si>
    <t>A.P.10000741</t>
  </si>
  <si>
    <r>
      <rPr>
        <sz val="10"/>
        <rFont val="Arial"/>
        <charset val="134"/>
      </rPr>
      <t>A.P.10000741 RJ45 DB</t>
    </r>
    <r>
      <rPr>
        <sz val="10"/>
        <rFont val="微软雅黑"/>
        <charset val="134"/>
      </rPr>
      <t>支持屏右侧</t>
    </r>
    <r>
      <rPr>
        <sz val="10"/>
        <rFont val="Arial"/>
        <charset val="134"/>
      </rPr>
      <t>Hall</t>
    </r>
    <r>
      <rPr>
        <sz val="10"/>
        <rFont val="微软雅黑"/>
        <charset val="134"/>
      </rPr>
      <t>磁铁</t>
    </r>
  </si>
  <si>
    <t>A.P.10000715</t>
  </si>
  <si>
    <t>A.P.10000715 RJ45 DB</t>
  </si>
  <si>
    <t>A.P.10000706</t>
  </si>
  <si>
    <r>
      <rPr>
        <sz val="10"/>
        <rFont val="Arial"/>
        <charset val="134"/>
      </rPr>
      <t xml:space="preserve">A.P.10000706 USB DB </t>
    </r>
    <r>
      <rPr>
        <sz val="10"/>
        <rFont val="微软雅黑"/>
        <charset val="134"/>
      </rPr>
      <t>琛玛</t>
    </r>
    <r>
      <rPr>
        <sz val="10"/>
        <rFont val="Arial"/>
        <charset val="134"/>
      </rPr>
      <t>CM1172</t>
    </r>
  </si>
  <si>
    <t>A.P.10000679</t>
  </si>
  <si>
    <r>
      <rPr>
        <sz val="10"/>
        <rFont val="Arial"/>
        <charset val="134"/>
      </rPr>
      <t xml:space="preserve">A.P.10000679 USB DB </t>
    </r>
    <r>
      <rPr>
        <sz val="10"/>
        <rFont val="微软雅黑"/>
        <charset val="134"/>
      </rPr>
      <t>琛玛</t>
    </r>
    <r>
      <rPr>
        <sz val="10"/>
        <rFont val="Arial"/>
        <charset val="134"/>
      </rPr>
      <t>CM1185</t>
    </r>
  </si>
  <si>
    <t>A.P.10000625</t>
  </si>
  <si>
    <t>A.P.10000625 USB DB</t>
  </si>
  <si>
    <t>A.P.10000640</t>
  </si>
  <si>
    <r>
      <rPr>
        <sz val="10"/>
        <rFont val="Arial"/>
        <charset val="134"/>
      </rPr>
      <t>A.P.10000640 USB DB</t>
    </r>
    <r>
      <rPr>
        <sz val="10"/>
        <rFont val="微软雅黑"/>
        <charset val="134"/>
      </rPr>
      <t>森创达</t>
    </r>
    <r>
      <rPr>
        <sz val="10"/>
        <rFont val="Arial"/>
        <charset val="134"/>
      </rPr>
      <t>Y156S</t>
    </r>
  </si>
  <si>
    <t>A.P.10000639</t>
  </si>
  <si>
    <t>A.P.10000639 USB DB</t>
  </si>
  <si>
    <t>GN10Q(8L+HDI2+OSP)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</si>
  <si>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</si>
  <si>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N4020C(6W)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</si>
  <si>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使用海力士库存料目前无价格；；EMMC停产中待验新料暂无价格；N4020已不接单</t>
    </r>
  </si>
  <si>
    <t>R8723BT1</t>
  </si>
  <si>
    <r>
      <rPr>
        <sz val="10"/>
        <rFont val="Arial"/>
        <charset val="134"/>
      </rPr>
      <t>DDR Spectek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停产已经让</t>
    </r>
    <r>
      <rPr>
        <sz val="10"/>
        <rFont val="Arial"/>
        <charset val="134"/>
      </rPr>
      <t>PM</t>
    </r>
    <r>
      <rPr>
        <sz val="10"/>
        <rFont val="微软雅黑"/>
        <charset val="134"/>
      </rPr>
      <t>修改；EMMC停产中待验新料暂无价格；N4020已不接单</t>
    </r>
  </si>
  <si>
    <r>
      <rPr>
        <sz val="10"/>
        <rFont val="Arial"/>
        <charset val="134"/>
      </rPr>
      <t>DDR Spectek</t>
    </r>
    <r>
      <rPr>
        <sz val="10"/>
        <rFont val="宋体"/>
        <charset val="134"/>
      </rPr>
      <t>；</t>
    </r>
    <r>
      <rPr>
        <sz val="10"/>
        <rFont val="Arial"/>
        <charset val="134"/>
      </rPr>
      <t>N4020</t>
    </r>
    <r>
      <rPr>
        <sz val="10"/>
        <rFont val="宋体"/>
        <charset val="134"/>
      </rPr>
      <t>已不接单</t>
    </r>
  </si>
  <si>
    <t>A.F.M.2400363-MP</t>
  </si>
  <si>
    <t>A.F.M.2400672-MP</t>
  </si>
  <si>
    <r>
      <rPr>
        <sz val="10"/>
        <rFont val="Arial"/>
        <charset val="134"/>
      </rPr>
      <t>Non Type c(</t>
    </r>
    <r>
      <rPr>
        <sz val="10"/>
        <rFont val="微软雅黑"/>
        <charset val="134"/>
      </rPr>
      <t>无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无接口</t>
    </r>
    <r>
      <rPr>
        <sz val="10"/>
        <rFont val="Arial"/>
        <charset val="134"/>
      </rPr>
      <t>)</t>
    </r>
  </si>
  <si>
    <t>A.F.M.2400673-MP</t>
  </si>
  <si>
    <t>A.F.M.2400674-MP</t>
  </si>
  <si>
    <t>A.F.M.2400701-MP</t>
  </si>
  <si>
    <r>
      <rPr>
        <sz val="10"/>
        <rFont val="Arial"/>
        <charset val="134"/>
      </rPr>
      <t>DDR Spectek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停产中待验新料暂无价格；N4020已不接单</t>
    </r>
  </si>
  <si>
    <t>A.F.M.2400702-MP</t>
  </si>
  <si>
    <t>A.F.M.2401119-MP</t>
  </si>
  <si>
    <t>A.F.M.2401184-MP</t>
  </si>
  <si>
    <r>
      <rPr>
        <sz val="10"/>
        <rFont val="Arial"/>
        <charset val="134"/>
      </rPr>
      <t>N4020(6W)</t>
    </r>
    <r>
      <rPr>
        <sz val="10"/>
        <rFont val="微软雅黑"/>
        <charset val="134"/>
      </rPr>
      <t>客供</t>
    </r>
  </si>
  <si>
    <t>A.F.M.2401343-MP</t>
  </si>
  <si>
    <t>A.F.M.2401662-MP</t>
  </si>
  <si>
    <r>
      <rPr>
        <sz val="10"/>
        <rFont val="Arial"/>
        <charset val="134"/>
      </rPr>
      <t>DDR Spectek;</t>
    </r>
    <r>
      <rPr>
        <sz val="10"/>
        <rFont val="微软雅黑"/>
        <charset val="134"/>
      </rPr>
      <t>无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及接口；N4020已不接单</t>
    </r>
  </si>
  <si>
    <t>A.F.M.2401663-MP</t>
  </si>
  <si>
    <t>A.F.M.2401664-MP</t>
  </si>
  <si>
    <t>A.F.M.2500272-MP</t>
  </si>
  <si>
    <t>Non Type c(无IC无接口)</t>
  </si>
  <si>
    <r>
      <rPr>
        <sz val="10"/>
        <rFont val="Arial"/>
        <charset val="134"/>
      </rPr>
      <t>LPDDR4X-556</t>
    </r>
    <r>
      <rPr>
        <sz val="10"/>
        <rFont val="宋体"/>
        <charset val="134"/>
      </rPr>
      <t>球</t>
    </r>
    <r>
      <rPr>
        <sz val="10"/>
        <rFont val="Arial"/>
        <charset val="134"/>
      </rPr>
      <t>6G</t>
    </r>
  </si>
  <si>
    <r>
      <rPr>
        <sz val="10"/>
        <rFont val="Arial"/>
        <charset val="134"/>
      </rPr>
      <t>DDR Spectek;KB9028Q C;DDR Spectek;N4020</t>
    </r>
    <r>
      <rPr>
        <sz val="10"/>
        <rFont val="宋体"/>
        <charset val="134"/>
      </rPr>
      <t>已不接单</t>
    </r>
  </si>
  <si>
    <t>A.F.M.2500307-MP</t>
  </si>
  <si>
    <r>
      <rPr>
        <sz val="10"/>
        <rFont val="宋体"/>
        <charset val="134"/>
      </rPr>
      <t>时创意</t>
    </r>
    <r>
      <rPr>
        <sz val="10"/>
        <rFont val="Arial"/>
        <charset val="134"/>
      </rPr>
      <t>/LPDDR4X-556</t>
    </r>
    <r>
      <rPr>
        <sz val="10"/>
        <rFont val="宋体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</si>
  <si>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使用库存料；</t>
    </r>
    <r>
      <rPr>
        <sz val="10"/>
        <rFont val="Arial"/>
        <charset val="134"/>
      </rPr>
      <t>N4020</t>
    </r>
    <r>
      <rPr>
        <sz val="10"/>
        <rFont val="宋体"/>
        <charset val="134"/>
      </rPr>
      <t>已不接单；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停产中待验新料暂无价格；</t>
    </r>
    <r>
      <rPr>
        <sz val="10"/>
        <rFont val="Arial"/>
        <charset val="134"/>
      </rPr>
      <t>KB9028Q C</t>
    </r>
  </si>
  <si>
    <t>A.F.D.2300257  IO DB</t>
  </si>
  <si>
    <t>A.P.10000997</t>
  </si>
  <si>
    <t>A.P.10000997 TYPE C DB</t>
  </si>
  <si>
    <t>A.P.10001145 USB DB</t>
  </si>
  <si>
    <t>GN10M</t>
  </si>
  <si>
    <r>
      <rPr>
        <sz val="10"/>
        <rFont val="微软雅黑"/>
        <charset val="134"/>
      </rPr>
      <t>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使用佰维；EMMC停产中待验新料暂无价格</t>
    </r>
  </si>
  <si>
    <t>GN10L(8L+HDI2+OSP)</t>
  </si>
  <si>
    <t>6G*2+0G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</si>
  <si>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</t>
    </r>
    <r>
      <rPr>
        <sz val="10"/>
        <rFont val="Arial"/>
        <charset val="134"/>
      </rPr>
      <t>Spectek</t>
    </r>
  </si>
  <si>
    <r>
      <rPr>
        <sz val="10"/>
        <rFont val="Arial"/>
        <charset val="134"/>
      </rPr>
      <t>DDR Spectek</t>
    </r>
    <r>
      <rPr>
        <sz val="10"/>
        <rFont val="微软雅黑"/>
        <charset val="134"/>
      </rPr>
      <t>目前无价格；N4020已不接单</t>
    </r>
  </si>
  <si>
    <r>
      <rPr>
        <sz val="10"/>
        <rFont val="Arial"/>
        <charset val="134"/>
      </rPr>
      <t>Type c(</t>
    </r>
    <r>
      <rPr>
        <sz val="10"/>
        <rFont val="微软雅黑"/>
        <charset val="134"/>
      </rPr>
      <t>非全功能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</si>
  <si>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DDR Spectek</t>
    </r>
    <r>
      <rPr>
        <sz val="10"/>
        <rFont val="微软雅黑"/>
        <charset val="134"/>
      </rPr>
      <t>目前无价格，无</t>
    </r>
    <r>
      <rPr>
        <sz val="10"/>
        <rFont val="Arial"/>
        <charset val="134"/>
      </rPr>
      <t xml:space="preserve">Type IC </t>
    </r>
    <r>
      <rPr>
        <sz val="10"/>
        <rFont val="微软雅黑"/>
        <charset val="134"/>
      </rPr>
      <t>只有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个接口</t>
    </r>
    <r>
      <rPr>
        <sz val="10"/>
        <rFont val="Arial"/>
        <charset val="134"/>
      </rPr>
      <t>;WIFI</t>
    </r>
    <r>
      <rPr>
        <sz val="10"/>
        <rFont val="微软雅黑"/>
        <charset val="134"/>
      </rPr>
      <t>使用妙明智能</t>
    </r>
    <r>
      <rPr>
        <sz val="10"/>
        <rFont val="Arial"/>
        <charset val="134"/>
      </rPr>
      <t>8723DU</t>
    </r>
    <r>
      <rPr>
        <sz val="10"/>
        <rFont val="微软雅黑"/>
        <charset val="134"/>
      </rPr>
      <t>停产使用</t>
    </r>
    <r>
      <rPr>
        <sz val="10"/>
        <rFont val="Arial"/>
        <charset val="134"/>
      </rPr>
      <t>8723BU</t>
    </r>
    <r>
      <rPr>
        <sz val="10"/>
        <rFont val="微软雅黑"/>
        <charset val="134"/>
      </rPr>
      <t>；；EMMC停产中待验新料暂无价格；N4020已不接单</t>
    </r>
  </si>
  <si>
    <t>6G+0G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</si>
  <si>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；；N4020已不接单</t>
    </r>
  </si>
  <si>
    <t>A.P.10000601</t>
  </si>
  <si>
    <t>GN10P</t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</si>
  <si>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/LPDDR4x-556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6G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</si>
  <si>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停产中待验新料暂无价格；N4020已不接单</t>
    </r>
  </si>
  <si>
    <t>A.F.D.2200030</t>
  </si>
  <si>
    <t>A.F.D.2200030 TF USB DB</t>
  </si>
  <si>
    <t>A.F.P.1000261</t>
  </si>
  <si>
    <t>A.F.P.1000261 SSD DB</t>
  </si>
  <si>
    <t>A.F.P.1000260</t>
  </si>
  <si>
    <t>A.F.P.1000260 TF USB DB</t>
  </si>
  <si>
    <r>
      <rPr>
        <sz val="10"/>
        <rFont val="Arial"/>
        <charset val="134"/>
      </rPr>
      <t>GN12(6L+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</si>
  <si>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</t>
    </r>
  </si>
  <si>
    <r>
      <rPr>
        <sz val="10"/>
        <rFont val="微软雅黑"/>
        <charset val="134"/>
      </rPr>
      <t>佰维</t>
    </r>
    <r>
      <rPr>
        <sz val="10"/>
        <rFont val="Arial"/>
        <charset val="134"/>
      </rPr>
      <t>/LPDDR4-272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</si>
  <si>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</t>
    </r>
    <r>
      <rPr>
        <sz val="10"/>
        <rFont val="Arial"/>
        <charset val="134"/>
      </rPr>
      <t>;EMMC/</t>
    </r>
    <r>
      <rPr>
        <sz val="10"/>
        <rFont val="宋体"/>
        <charset val="134"/>
      </rPr>
      <t>佰维</t>
    </r>
  </si>
  <si>
    <r>
      <rPr>
        <sz val="10"/>
        <rFont val="微软雅黑"/>
        <charset val="134"/>
      </rPr>
      <t>江波龙</t>
    </r>
    <r>
      <rPr>
        <sz val="10"/>
        <rFont val="Arial"/>
        <charset val="134"/>
      </rPr>
      <t>/LPDDR4-272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</si>
  <si>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 xml:space="preserve">;EMMC </t>
    </r>
    <r>
      <rPr>
        <sz val="10"/>
        <rFont val="微软雅黑"/>
        <charset val="134"/>
      </rPr>
      <t>江波龙目前无价格单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</t>
    </r>
    <r>
      <rPr>
        <sz val="10"/>
        <rFont val="Arial"/>
        <charset val="134"/>
      </rPr>
      <t>;</t>
    </r>
  </si>
  <si>
    <t>A.F.M.2302324-OOC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</si>
  <si>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库存料；；EMMC停产中待验新料暂无价格</t>
    </r>
  </si>
  <si>
    <t>A.P.10000745</t>
  </si>
  <si>
    <t>A.P.10000745 DB RJ45</t>
  </si>
  <si>
    <r>
      <rPr>
        <sz val="10"/>
        <rFont val="微软雅黑"/>
        <charset val="134"/>
      </rPr>
      <t>光华芯科</t>
    </r>
    <r>
      <rPr>
        <sz val="10"/>
        <rFont val="Arial"/>
        <charset val="134"/>
      </rPr>
      <t xml:space="preserve"> USB CODE</t>
    </r>
  </si>
  <si>
    <t>A.P.10000712</t>
  </si>
  <si>
    <r>
      <rPr>
        <sz val="10"/>
        <rFont val="Arial"/>
        <charset val="134"/>
      </rPr>
      <t>A.P.10000712 DB RJ45</t>
    </r>
    <r>
      <rPr>
        <sz val="10"/>
        <rFont val="微软雅黑"/>
        <charset val="134"/>
      </rPr>
      <t>空贴</t>
    </r>
  </si>
  <si>
    <t>A.P.10000652</t>
  </si>
  <si>
    <t>A.P.10000652  DB RJ45</t>
  </si>
  <si>
    <t>A.P.10000527</t>
  </si>
  <si>
    <t>A.F.P.1000277</t>
  </si>
  <si>
    <t>A.F.P.1000280</t>
  </si>
  <si>
    <r>
      <rPr>
        <sz val="10"/>
        <rFont val="Arial"/>
        <charset val="134"/>
      </rPr>
      <t>8152B.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USBHUB:GL850G</t>
    </r>
  </si>
  <si>
    <t>A.F.P.1000281</t>
  </si>
  <si>
    <r>
      <rPr>
        <sz val="10"/>
        <rFont val="Arial"/>
        <charset val="134"/>
      </rPr>
      <t>A.F.P.1000281 DB RJ45</t>
    </r>
    <r>
      <rPr>
        <sz val="10"/>
        <rFont val="微软雅黑"/>
        <charset val="134"/>
      </rPr>
      <t>空贴</t>
    </r>
    <r>
      <rPr>
        <sz val="10"/>
        <rFont val="Arial"/>
        <charset val="134"/>
      </rPr>
      <t xml:space="preserve"> USB 156H</t>
    </r>
  </si>
  <si>
    <r>
      <rPr>
        <sz val="10"/>
        <rFont val="微软雅黑"/>
        <charset val="134"/>
      </rPr>
      <t>空贴</t>
    </r>
  </si>
  <si>
    <t>GN12S</t>
  </si>
  <si>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停产中待验新料暂无价格；N4020已不接单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</si>
  <si>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;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</si>
  <si>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r>
      <rPr>
        <sz val="10"/>
        <rFont val="宋体"/>
        <charset val="134"/>
      </rPr>
      <t>；</t>
    </r>
    <r>
      <rPr>
        <sz val="10"/>
        <rFont val="Arial"/>
        <charset val="134"/>
      </rPr>
      <t>N4020</t>
    </r>
    <r>
      <rPr>
        <sz val="10"/>
        <rFont val="宋体"/>
        <charset val="134"/>
      </rPr>
      <t>已不接单</t>
    </r>
  </si>
  <si>
    <t>A.P.10000686</t>
  </si>
  <si>
    <t>A.P.10000686  DB RJ45 K14TSR</t>
  </si>
  <si>
    <t>A.P.10001022</t>
  </si>
  <si>
    <t>A.P.10001022 DB RJ45</t>
  </si>
  <si>
    <t>A.P.10000842</t>
  </si>
  <si>
    <t>A.P.10000842 DB RJ45</t>
  </si>
  <si>
    <t>A.P.10000836</t>
  </si>
  <si>
    <t>A.P.10000836 DB RJ45 K14TSR</t>
  </si>
  <si>
    <t>A.P.10000594</t>
  </si>
  <si>
    <t>A.P.10000524</t>
  </si>
  <si>
    <t>A.P.10000522</t>
  </si>
  <si>
    <t>A.P.10000522 DB RJ45</t>
  </si>
  <si>
    <t>A.P.10000525</t>
  </si>
  <si>
    <t>A.F.P.1000440</t>
  </si>
  <si>
    <t>A.F.P.1000441</t>
  </si>
  <si>
    <t>A.F.P.1000442</t>
  </si>
  <si>
    <r>
      <rPr>
        <sz val="10"/>
        <rFont val="Arial"/>
        <charset val="134"/>
      </rPr>
      <t>GN1K(8L+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</si>
  <si>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微软雅黑"/>
        <charset val="134"/>
      </rPr>
      <t>非全功能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；EMMC停产中待验新料暂无价格；N4020已不接单</t>
    </r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</si>
  <si>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 xml:space="preserve">IC TPM </t>
    </r>
    <r>
      <rPr>
        <sz val="10"/>
        <rFont val="微软雅黑"/>
        <charset val="134"/>
      </rPr>
      <t>；EMMC停产中待验新料暂无价格；N4020已不接单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</si>
  <si>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；EMMC停产中待验新料暂无价格；N4020已不接单</t>
    </r>
  </si>
  <si>
    <t>A.F.M.2301603-PVT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</si>
  <si>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；N4020已不接单</t>
    </r>
  </si>
  <si>
    <t>A.F.M.2302107-PVT</t>
  </si>
  <si>
    <t>GN1F(8L+HDI2+OSP)</t>
  </si>
  <si>
    <t>A.F.M.2300092</t>
  </si>
  <si>
    <r>
      <rPr>
        <sz val="10"/>
        <rFont val="Arial"/>
        <charset val="134"/>
      </rPr>
      <t>Non Type c(</t>
    </r>
    <r>
      <rPr>
        <sz val="10"/>
        <rFont val="微软雅黑"/>
        <charset val="134"/>
      </rPr>
      <t>无</t>
    </r>
    <r>
      <rPr>
        <sz val="10"/>
        <rFont val="Arial"/>
        <charset val="134"/>
      </rPr>
      <t xml:space="preserve">Typec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</si>
  <si>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:DDR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Spectek;</t>
    </r>
  </si>
  <si>
    <t>GA215S</t>
  </si>
  <si>
    <r>
      <rPr>
        <sz val="10"/>
        <rFont val="微软雅黑"/>
        <charset val="134"/>
      </rPr>
      <t>带</t>
    </r>
    <r>
      <rPr>
        <sz val="10"/>
        <rFont val="Arial"/>
        <charset val="134"/>
      </rPr>
      <t>RJ45,</t>
    </r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主板需加</t>
    </r>
    <r>
      <rPr>
        <sz val="10"/>
        <rFont val="Arial"/>
        <charset val="134"/>
      </rPr>
      <t>633(ES8336)</t>
    </r>
    <r>
      <rPr>
        <sz val="10"/>
        <rFont val="微软雅黑"/>
        <charset val="134"/>
      </rPr>
      <t>小板成本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网卡</t>
    </r>
    <r>
      <rPr>
        <sz val="10"/>
        <rFont val="Arial"/>
        <charset val="134"/>
      </rPr>
      <t>IC 225V</t>
    </r>
    <r>
      <rPr>
        <sz val="10"/>
        <rFont val="微软雅黑"/>
        <charset val="134"/>
      </rPr>
      <t>；EMMC停产中待验新料暂无价格；N4020已不接单</t>
    </r>
  </si>
  <si>
    <t>A.P.10000633</t>
  </si>
  <si>
    <t>A.F.P.1000371</t>
  </si>
  <si>
    <t>A.F.P.1000371 SATA+BKL_DB</t>
  </si>
  <si>
    <t>GN10T</t>
  </si>
  <si>
    <r>
      <rPr>
        <sz val="10"/>
        <rFont val="Arial"/>
        <charset val="134"/>
      </rPr>
      <t xml:space="preserve">SKU1 </t>
    </r>
    <r>
      <rPr>
        <sz val="10"/>
        <rFont val="微软雅黑"/>
        <charset val="134"/>
      </rPr>
      <t>支持</t>
    </r>
    <r>
      <rPr>
        <sz val="10"/>
        <rFont val="Arial"/>
        <charset val="134"/>
      </rPr>
      <t>SSD</t>
    </r>
  </si>
  <si>
    <r>
      <rPr>
        <sz val="10"/>
        <rFont val="Arial"/>
        <charset val="134"/>
      </rPr>
      <t>TYPE C</t>
    </r>
    <r>
      <rPr>
        <sz val="10"/>
        <rFont val="微软雅黑"/>
        <charset val="134"/>
      </rPr>
      <t>仅支持</t>
    </r>
    <r>
      <rPr>
        <sz val="10"/>
        <rFont val="Arial"/>
        <charset val="134"/>
      </rPr>
      <t>USB</t>
    </r>
    <r>
      <rPr>
        <sz val="10"/>
        <rFont val="微软雅黑"/>
        <charset val="134"/>
      </rPr>
      <t>数据功能</t>
    </r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与</t>
    </r>
    <r>
      <rPr>
        <sz val="10"/>
        <rFont val="Arial"/>
        <charset val="134"/>
      </rPr>
      <t>GN10F</t>
    </r>
    <r>
      <rPr>
        <sz val="10"/>
        <rFont val="微软雅黑"/>
        <charset val="134"/>
      </rPr>
      <t>相比多了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连接器、</t>
    </r>
    <r>
      <rPr>
        <sz val="10"/>
        <rFont val="Arial"/>
        <charset val="134"/>
      </rPr>
      <t>NGFF</t>
    </r>
    <r>
      <rPr>
        <sz val="10"/>
        <rFont val="微软雅黑"/>
        <charset val="134"/>
      </rPr>
      <t>连接器，几个螺柱</t>
    </r>
    <r>
      <rPr>
        <sz val="10"/>
        <rFont val="Arial"/>
        <charset val="134"/>
      </rPr>
      <t xml:space="preserve">
CPU/DDR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</si>
  <si>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r>
      <rPr>
        <sz val="10"/>
        <rFont val="Arial"/>
        <charset val="134"/>
      </rPr>
      <t xml:space="preserve">SKU2 </t>
    </r>
    <r>
      <rPr>
        <sz val="10"/>
        <rFont val="微软雅黑"/>
        <charset val="134"/>
      </rPr>
      <t>支持</t>
    </r>
    <r>
      <rPr>
        <sz val="10"/>
        <rFont val="Arial"/>
        <charset val="134"/>
      </rPr>
      <t>SSD</t>
    </r>
  </si>
  <si>
    <t>A.F.P.1000468</t>
  </si>
  <si>
    <t>A.F.P.1000468 USB DB</t>
  </si>
  <si>
    <t>GN11B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</si>
  <si>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使用三星；非功能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停产无价格；EMMC停产中待验新料暂无价格；N4020已不接单</t>
    </r>
  </si>
  <si>
    <t>2G*4+128G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</si>
  <si>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:DDR</t>
    </r>
    <r>
      <rPr>
        <sz val="10"/>
        <rFont val="微软雅黑"/>
        <charset val="134"/>
      </rPr>
      <t>使用百维；双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含加密；含加密</t>
    </r>
    <r>
      <rPr>
        <sz val="10"/>
        <rFont val="Arial"/>
        <charset val="134"/>
      </rPr>
      <t>IC TPM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</si>
  <si>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t>A.P.10001113</t>
  </si>
  <si>
    <t>A.P.10001161</t>
  </si>
  <si>
    <t>A.P.10001161 LED_DB</t>
  </si>
  <si>
    <r>
      <rPr>
        <sz val="10"/>
        <rFont val="Arial"/>
        <charset val="134"/>
      </rPr>
      <t>GN18B(</t>
    </r>
    <r>
      <rPr>
        <sz val="10"/>
        <rFont val="微软雅黑"/>
        <charset val="134"/>
      </rPr>
      <t>爱高</t>
    </r>
    <r>
      <rPr>
        <sz val="10"/>
        <rFont val="Arial"/>
        <charset val="134"/>
      </rPr>
      <t>CKD)</t>
    </r>
  </si>
  <si>
    <r>
      <rPr>
        <sz val="10"/>
        <rFont val="Arial"/>
        <charset val="134"/>
      </rPr>
      <t>LPDDR4X-376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6G/CKD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</si>
  <si>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为库存料目前无价格，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</si>
  <si>
    <r>
      <rPr>
        <sz val="10"/>
        <rFont val="Arial"/>
        <charset val="134"/>
      </rPr>
      <t>GN18F(</t>
    </r>
    <r>
      <rPr>
        <sz val="10"/>
        <rFont val="微软雅黑"/>
        <charset val="134"/>
      </rPr>
      <t>爱高</t>
    </r>
    <r>
      <rPr>
        <sz val="10"/>
        <rFont val="Arial"/>
        <charset val="134"/>
      </rPr>
      <t>CKD)</t>
    </r>
  </si>
  <si>
    <r>
      <rPr>
        <sz val="10"/>
        <rFont val="微软雅黑"/>
        <charset val="134"/>
      </rPr>
      <t>时创意</t>
    </r>
    <r>
      <rPr>
        <sz val="10"/>
        <rFont val="Arial"/>
        <charset val="134"/>
      </rPr>
      <t>/DDR4-96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1G/CKD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</si>
  <si>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使用三星目前无价格，不带</t>
    </r>
    <r>
      <rPr>
        <sz val="10"/>
        <rFont val="Arial"/>
        <charset val="134"/>
      </rPr>
      <t>RJ45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CKD</t>
    </r>
    <r>
      <rPr>
        <sz val="10"/>
        <rFont val="微软雅黑"/>
        <charset val="134"/>
      </rPr>
      <t>报价</t>
    </r>
    <r>
      <rPr>
        <sz val="10"/>
        <rFont val="Arial"/>
        <charset val="134"/>
      </rPr>
      <t>0.5/</t>
    </r>
    <r>
      <rPr>
        <sz val="10"/>
        <rFont val="微软雅黑"/>
        <charset val="134"/>
      </rPr>
      <t>片，</t>
    </r>
    <r>
      <rPr>
        <sz val="10"/>
        <rFont val="Arial"/>
        <charset val="134"/>
      </rPr>
      <t>CODEC</t>
    </r>
    <r>
      <rPr>
        <sz val="10"/>
        <rFont val="微软雅黑"/>
        <charset val="134"/>
      </rPr>
      <t>参考</t>
    </r>
    <r>
      <rPr>
        <sz val="10"/>
        <rFont val="Arial"/>
        <charset val="134"/>
      </rPr>
      <t xml:space="preserve">ES8336,Card DDR 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;Reade</t>
    </r>
    <r>
      <rPr>
        <sz val="10"/>
        <rFont val="微软雅黑"/>
        <charset val="134"/>
      </rPr>
      <t>参考</t>
    </r>
    <r>
      <rPr>
        <sz val="10"/>
        <rFont val="Arial"/>
        <charset val="134"/>
      </rPr>
      <t>MA8121N</t>
    </r>
    <r>
      <rPr>
        <sz val="10"/>
        <rFont val="微软雅黑"/>
        <charset val="134"/>
      </rPr>
      <t>报价；EMMC停产中待验新料暂无价格；N4020已不接单</t>
    </r>
  </si>
  <si>
    <r>
      <rPr>
        <sz val="10"/>
        <rFont val="Arial"/>
        <charset val="134"/>
      </rPr>
      <t>GN21S(8L+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</si>
  <si>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A.F.M.2200169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</si>
  <si>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2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Typec</t>
    </r>
    <r>
      <rPr>
        <sz val="10"/>
        <rFont val="微软雅黑"/>
        <charset val="134"/>
      </rPr>
      <t>接口；；N4020已不接单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</si>
  <si>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: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；含加密</t>
    </r>
    <r>
      <rPr>
        <sz val="10"/>
        <rFont val="Arial"/>
        <charset val="134"/>
      </rPr>
      <t xml:space="preserve">IC 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 xml:space="preserve"> WIFI</t>
    </r>
    <r>
      <rPr>
        <sz val="10"/>
        <rFont val="微软雅黑"/>
        <charset val="134"/>
      </rPr>
      <t>停产无价格；EMMC停产中待验新料暂无价格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</si>
  <si>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目前无价格；单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</si>
  <si>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A.F.M.2401394-PVT</t>
  </si>
  <si>
    <r>
      <rPr>
        <sz val="10"/>
        <rFont val="宋体"/>
        <charset val="134"/>
      </rPr>
      <t>无</t>
    </r>
    <r>
      <rPr>
        <sz val="10"/>
        <rFont val="微软雅黑"/>
        <charset val="134"/>
      </rPr>
      <t xml:space="preserve"> 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接口；N4020已不接单</t>
    </r>
  </si>
  <si>
    <t>GNXU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</si>
  <si>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使用百维；不含加密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成本；EMMC停产中待验新料暂无价格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</si>
  <si>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使用百维；不含加密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成本；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停产无价格；EMMC停产中待验新料暂无价格；N4020已不接单</t>
    </r>
  </si>
  <si>
    <t>A.P.10000731</t>
  </si>
  <si>
    <t>A.P.10000731 XU DB</t>
  </si>
  <si>
    <t>JN5</t>
  </si>
  <si>
    <t>9560D2W</t>
  </si>
  <si>
    <r>
      <rPr>
        <sz val="10"/>
        <rFont val="Arial"/>
        <charset val="134"/>
      </rPr>
      <t>JN5B(8L+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</si>
  <si>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使用百维；不含加密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成本</t>
    </r>
    <r>
      <rPr>
        <sz val="10"/>
        <rFont val="Arial"/>
        <charset val="134"/>
      </rPr>
      <t>;EMMC</t>
    </r>
    <r>
      <rPr>
        <sz val="10"/>
        <rFont val="微软雅黑"/>
        <charset val="134"/>
      </rPr>
      <t>目前无价格</t>
    </r>
  </si>
  <si>
    <t>A.P.0JN5B005</t>
  </si>
  <si>
    <r>
      <rPr>
        <sz val="10"/>
        <rFont val="Arial"/>
        <charset val="134"/>
      </rPr>
      <t>DDR BOM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更换百维；单</t>
    </r>
    <r>
      <rPr>
        <sz val="10"/>
        <rFont val="Arial"/>
        <charset val="134"/>
      </rPr>
      <t>Type C;EMMC</t>
    </r>
    <r>
      <rPr>
        <sz val="10"/>
        <rFont val="微软雅黑"/>
        <charset val="134"/>
      </rPr>
      <t>目前无价格</t>
    </r>
  </si>
  <si>
    <t>A.F.P.1000405</t>
  </si>
  <si>
    <r>
      <rPr>
        <sz val="10"/>
        <rFont val="Arial"/>
        <charset val="134"/>
      </rPr>
      <t xml:space="preserve">A.F.P.1000405 </t>
    </r>
    <r>
      <rPr>
        <sz val="10"/>
        <rFont val="微软雅黑"/>
        <charset val="134"/>
      </rPr>
      <t>耳机</t>
    </r>
    <r>
      <rPr>
        <sz val="10"/>
        <rFont val="Arial"/>
        <charset val="134"/>
      </rPr>
      <t xml:space="preserve"> DB</t>
    </r>
  </si>
  <si>
    <t>A.P.10001039</t>
  </si>
  <si>
    <t>A.P.10001039 USB DB</t>
  </si>
  <si>
    <r>
      <rPr>
        <sz val="10"/>
        <rFont val="Arial"/>
        <charset val="134"/>
      </rPr>
      <t>CN1G(</t>
    </r>
    <r>
      <rPr>
        <sz val="10"/>
        <rFont val="宋体"/>
        <charset val="134"/>
      </rPr>
      <t>衍生机型</t>
    </r>
    <r>
      <rPr>
        <sz val="10"/>
        <rFont val="Arial"/>
        <charset val="134"/>
      </rPr>
      <t>CA101G)</t>
    </r>
  </si>
  <si>
    <r>
      <rPr>
        <sz val="10"/>
        <rFont val="Arial"/>
        <charset val="134"/>
      </rPr>
      <t xml:space="preserve">SKU1 </t>
    </r>
    <r>
      <rPr>
        <sz val="10"/>
        <rFont val="微软雅黑"/>
        <charset val="134"/>
      </rPr>
      <t>带显卡</t>
    </r>
  </si>
  <si>
    <t>I5-8260U(15W)</t>
  </si>
  <si>
    <r>
      <rPr>
        <sz val="10"/>
        <rFont val="微软雅黑"/>
        <charset val="134"/>
      </rPr>
      <t>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无价格；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为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材料，</t>
    </r>
    <r>
      <rPr>
        <sz val="10"/>
        <rFont val="Arial"/>
        <charset val="134"/>
      </rPr>
      <t>TTL</t>
    </r>
    <r>
      <rPr>
        <sz val="10"/>
        <rFont val="微软雅黑"/>
        <charset val="134"/>
      </rPr>
      <t>总价：含</t>
    </r>
    <r>
      <rPr>
        <sz val="10"/>
        <rFont val="Arial"/>
        <charset val="134"/>
      </rPr>
      <t>MX450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GDDR5 1GB</t>
    </r>
    <r>
      <rPr>
        <sz val="10"/>
        <rFont val="微软雅黑"/>
        <charset val="134"/>
      </rPr>
      <t>的报价随市</t>
    </r>
  </si>
  <si>
    <r>
      <rPr>
        <sz val="10"/>
        <rFont val="Arial"/>
        <charset val="134"/>
      </rPr>
      <t xml:space="preserve">SKU8 </t>
    </r>
    <r>
      <rPr>
        <sz val="10"/>
        <rFont val="微软雅黑"/>
        <charset val="134"/>
      </rPr>
      <t>不带显卡</t>
    </r>
  </si>
  <si>
    <r>
      <rPr>
        <sz val="10"/>
        <rFont val="Arial"/>
        <charset val="134"/>
      </rPr>
      <t xml:space="preserve">SKU4 </t>
    </r>
    <r>
      <rPr>
        <sz val="10"/>
        <rFont val="微软雅黑"/>
        <charset val="134"/>
      </rPr>
      <t>带显卡</t>
    </r>
  </si>
  <si>
    <r>
      <rPr>
        <sz val="10"/>
        <rFont val="Arial"/>
        <charset val="134"/>
      </rPr>
      <t>TTL</t>
    </r>
    <r>
      <rPr>
        <sz val="10"/>
        <rFont val="微软雅黑"/>
        <charset val="134"/>
      </rPr>
      <t>总价：含</t>
    </r>
    <r>
      <rPr>
        <sz val="10"/>
        <rFont val="Arial"/>
        <charset val="134"/>
      </rPr>
      <t>MX250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GDDR5 1GB</t>
    </r>
    <r>
      <rPr>
        <sz val="10"/>
        <rFont val="微软雅黑"/>
        <charset val="134"/>
      </rPr>
      <t>的报价随市，目前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无价格</t>
    </r>
  </si>
  <si>
    <r>
      <rPr>
        <sz val="10"/>
        <rFont val="Arial"/>
        <charset val="134"/>
      </rPr>
      <t xml:space="preserve">SKU4 </t>
    </r>
    <r>
      <rPr>
        <sz val="10"/>
        <rFont val="微软雅黑"/>
        <charset val="134"/>
      </rPr>
      <t>带显卡</t>
    </r>
    <r>
      <rPr>
        <sz val="10"/>
        <rFont val="Arial"/>
        <charset val="134"/>
      </rPr>
      <t xml:space="preserve"> 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</si>
  <si>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TTL</t>
    </r>
    <r>
      <rPr>
        <sz val="10"/>
        <rFont val="微软雅黑"/>
        <charset val="134"/>
      </rPr>
      <t>总价：含</t>
    </r>
    <r>
      <rPr>
        <sz val="10"/>
        <rFont val="Arial"/>
        <charset val="134"/>
      </rPr>
      <t>MX250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GDDR5 1GB</t>
    </r>
    <r>
      <rPr>
        <sz val="10"/>
        <rFont val="微软雅黑"/>
        <charset val="134"/>
      </rPr>
      <t>的报价随市</t>
    </r>
  </si>
  <si>
    <r>
      <rPr>
        <sz val="10"/>
        <rFont val="Arial"/>
        <charset val="134"/>
      </rPr>
      <t xml:space="preserve">SKU5 </t>
    </r>
    <r>
      <rPr>
        <sz val="10"/>
        <rFont val="微软雅黑"/>
        <charset val="134"/>
      </rPr>
      <t>带显卡</t>
    </r>
  </si>
  <si>
    <t>I5-8265U(15W)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</si>
  <si>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</t>
    </r>
    <r>
      <rPr>
        <sz val="10"/>
        <rFont val="Arial"/>
        <charset val="134"/>
      </rPr>
      <t>TTL</t>
    </r>
    <r>
      <rPr>
        <sz val="10"/>
        <rFont val="微软雅黑"/>
        <charset val="134"/>
      </rPr>
      <t>总价：含</t>
    </r>
    <r>
      <rPr>
        <sz val="10"/>
        <rFont val="Arial"/>
        <charset val="134"/>
      </rPr>
      <t>MX250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GDDR5 1GB</t>
    </r>
    <r>
      <rPr>
        <sz val="10"/>
        <rFont val="微软雅黑"/>
        <charset val="134"/>
      </rPr>
      <t>的报价随市；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</si>
  <si>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 xml:space="preserve">TPM IC 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 xml:space="preserve"> ALC283 IC</t>
    </r>
  </si>
  <si>
    <r>
      <rPr>
        <sz val="10"/>
        <rFont val="Arial"/>
        <charset val="134"/>
      </rPr>
      <t xml:space="preserve">SKU29 </t>
    </r>
    <r>
      <rPr>
        <sz val="10"/>
        <rFont val="微软雅黑"/>
        <charset val="134"/>
      </rPr>
      <t>不带显卡</t>
    </r>
  </si>
  <si>
    <r>
      <rPr>
        <sz val="10"/>
        <rFont val="Arial"/>
        <charset val="134"/>
      </rPr>
      <t xml:space="preserve">SKU42 </t>
    </r>
    <r>
      <rPr>
        <sz val="10"/>
        <rFont val="微软雅黑"/>
        <charset val="134"/>
      </rPr>
      <t>不带显卡</t>
    </r>
  </si>
  <si>
    <r>
      <rPr>
        <sz val="10"/>
        <rFont val="Arial"/>
        <charset val="134"/>
      </rPr>
      <t xml:space="preserve">SKU43 </t>
    </r>
    <r>
      <rPr>
        <sz val="10"/>
        <rFont val="微软雅黑"/>
        <charset val="134"/>
      </rPr>
      <t>不带显卡</t>
    </r>
  </si>
  <si>
    <r>
      <rPr>
        <sz val="10"/>
        <rFont val="Arial"/>
        <charset val="134"/>
      </rPr>
      <t>CN12(4L+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</si>
  <si>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目前无价格；不含英飞凌的加密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，含</t>
    </r>
    <r>
      <rPr>
        <sz val="10"/>
        <rFont val="Arial"/>
        <charset val="134"/>
      </rPr>
      <t>5</t>
    </r>
    <r>
      <rPr>
        <sz val="10"/>
        <rFont val="微软雅黑"/>
        <charset val="134"/>
      </rPr>
      <t>个用量高精密钽电容；；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</si>
  <si>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Arial"/>
        <charset val="134"/>
      </rPr>
      <t>EMMC</t>
    </r>
    <r>
      <rPr>
        <sz val="10"/>
        <rFont val="微软雅黑"/>
        <charset val="134"/>
      </rPr>
      <t>江波龙目前无价格；不含英飞凌的加密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，含</t>
    </r>
    <r>
      <rPr>
        <sz val="10"/>
        <rFont val="Arial"/>
        <charset val="134"/>
      </rPr>
      <t>7</t>
    </r>
    <r>
      <rPr>
        <sz val="10"/>
        <rFont val="微软雅黑"/>
        <charset val="134"/>
      </rPr>
      <t>个用量高精密钽电容</t>
    </r>
  </si>
  <si>
    <t>CN12S</t>
  </si>
  <si>
    <r>
      <rPr>
        <sz val="10"/>
        <rFont val="Arial"/>
        <charset val="134"/>
      </rPr>
      <t>CN12M(4L+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</si>
  <si>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客供；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</si>
  <si>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A.F.D.2300036  156P-DB</t>
  </si>
  <si>
    <t>CN22</t>
  </si>
  <si>
    <r>
      <rPr>
        <sz val="10"/>
        <rFont val="微软雅黑"/>
        <charset val="134"/>
      </rPr>
      <t>非全功能</t>
    </r>
    <r>
      <rPr>
        <sz val="10"/>
        <rFont val="Arial"/>
        <charset val="134"/>
      </rPr>
      <t>TYPE-C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</si>
  <si>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CN23</t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</si>
  <si>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成本，带</t>
    </r>
    <r>
      <rPr>
        <sz val="10"/>
        <rFont val="Arial"/>
        <charset val="134"/>
      </rPr>
      <t>RJ45,</t>
    </r>
    <r>
      <rPr>
        <sz val="10"/>
        <rFont val="微软雅黑"/>
        <charset val="134"/>
      </rPr>
      <t>新增一颗支持</t>
    </r>
    <r>
      <rPr>
        <sz val="10"/>
        <rFont val="Arial"/>
        <charset val="134"/>
      </rPr>
      <t>HDMI</t>
    </r>
    <r>
      <rPr>
        <sz val="10"/>
        <rFont val="微软雅黑"/>
        <charset val="134"/>
      </rPr>
      <t>转换</t>
    </r>
    <r>
      <rPr>
        <sz val="10"/>
        <rFont val="Arial"/>
        <charset val="134"/>
      </rPr>
      <t>IC</t>
    </r>
  </si>
  <si>
    <t>HDMI+VGA DB</t>
  </si>
  <si>
    <t>A.P.10000565 USB DB</t>
  </si>
  <si>
    <r>
      <rPr>
        <sz val="10"/>
        <rFont val="Arial"/>
        <charset val="134"/>
      </rPr>
      <t>CNXU(4L+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</si>
  <si>
    <t>A.P.CNXUM010-MP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</si>
  <si>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成本；</t>
    </r>
  </si>
  <si>
    <t>A.P.CNXUM017-MP FOR MTW(XU156)</t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</si>
  <si>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目前无价格；不含加密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成本；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停产无货</t>
    </r>
  </si>
  <si>
    <t>A.P.CNXUM018-MP FOR MTW(HL156H)</t>
  </si>
  <si>
    <t>A.F.M.2200037-MP</t>
  </si>
  <si>
    <t>I5-10310U(15W)</t>
  </si>
  <si>
    <t>A.F.D.2200010  RJ45  DB</t>
  </si>
  <si>
    <t>A.P.10001034 USB  DB</t>
  </si>
  <si>
    <t>A.P.10000857 RJ45 DB</t>
  </si>
  <si>
    <t>A.P.10000981 USB DB</t>
  </si>
  <si>
    <t>A.P.10000982 SSD DB</t>
  </si>
  <si>
    <t>A.P.10000856 USB DB</t>
  </si>
  <si>
    <r>
      <rPr>
        <sz val="10"/>
        <rFont val="Arial"/>
        <charset val="134"/>
      </rPr>
      <t>DN29(6L+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 xml:space="preserve">+OSP)
</t>
    </r>
    <r>
      <rPr>
        <sz val="10"/>
        <rFont val="微软雅黑"/>
        <charset val="134"/>
      </rPr>
      <t>衍生机型</t>
    </r>
    <r>
      <rPr>
        <sz val="10"/>
        <rFont val="Arial"/>
        <charset val="134"/>
      </rPr>
      <t>DA1029</t>
    </r>
  </si>
  <si>
    <t>A.F.M.2301538-MP</t>
  </si>
  <si>
    <t>SKU25  CKD(DN29)</t>
  </si>
  <si>
    <r>
      <rPr>
        <sz val="10"/>
        <rFont val="Arial"/>
        <charset val="134"/>
      </rPr>
      <t>CKD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$0.3/</t>
    </r>
    <r>
      <rPr>
        <sz val="10"/>
        <rFont val="微软雅黑"/>
        <charset val="134"/>
      </rPr>
      <t>片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双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;</t>
    </r>
  </si>
  <si>
    <t>SKU28(DN29)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</si>
  <si>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C,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</si>
  <si>
    <t>A.F.M.2302413-MP</t>
  </si>
  <si>
    <t>SKU29(DN29)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</si>
  <si>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C,</t>
    </r>
  </si>
  <si>
    <t>A.F.M.2400217-MP</t>
  </si>
  <si>
    <t>SKU30(DN29)</t>
  </si>
  <si>
    <t>A.F.M.2400575-MP</t>
  </si>
  <si>
    <t>SKU32(DN29)</t>
  </si>
  <si>
    <t>A.F.M.2400626-MP</t>
  </si>
  <si>
    <t>SKU33(DN29)</t>
  </si>
  <si>
    <t>A.F.M.2400973-MP</t>
  </si>
  <si>
    <t>SKU34(DN29)</t>
  </si>
  <si>
    <t>A.F.M.2401091-MP</t>
  </si>
  <si>
    <t>SKU35(DA1029)</t>
  </si>
  <si>
    <r>
      <rPr>
        <sz val="10"/>
        <rFont val="Arial"/>
        <charset val="134"/>
      </rPr>
      <t>i5-1340P(</t>
    </r>
    <r>
      <rPr>
        <sz val="10"/>
        <rFont val="微软雅黑"/>
        <charset val="134"/>
      </rPr>
      <t>不带</t>
    </r>
    <r>
      <rPr>
        <sz val="10"/>
        <rFont val="Arial"/>
        <charset val="134"/>
      </rPr>
      <t>IPU)(28W)</t>
    </r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</si>
  <si>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 IC,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</si>
  <si>
    <t>A.F.M.2401092-MP</t>
  </si>
  <si>
    <t>SKU36(DA1029)</t>
  </si>
  <si>
    <t>A.F.M.2401300-MP</t>
  </si>
  <si>
    <t>SKU37(DN29)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</si>
  <si>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</si>
  <si>
    <t>A.F.M.2401301-MP</t>
  </si>
  <si>
    <t>SKU38(DN29)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</si>
  <si>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MP86941*3pcs</t>
    </r>
  </si>
  <si>
    <t>A.F.M.2401302-MP</t>
  </si>
  <si>
    <t>SKU39(DN29)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</si>
  <si>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MP86941*5pcs</t>
    </r>
  </si>
  <si>
    <t>A.F.M.2401303-MP</t>
  </si>
  <si>
    <t>SKU40(DN29)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</si>
  <si>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MP86941*5pcs</t>
    </r>
  </si>
  <si>
    <t>A.F.M.2401320-MP</t>
  </si>
  <si>
    <t>SKU41(DN29)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</si>
  <si>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 IC,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MP86941*3pcs</t>
    </r>
  </si>
  <si>
    <t>A.F.M.2401544-OOC</t>
  </si>
  <si>
    <t>SKU42(DN29)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</si>
  <si>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MP86941*3pcs</t>
    </r>
  </si>
  <si>
    <t>A.F.M.2401545-OOC</t>
  </si>
  <si>
    <t>SKU43(DN29)</t>
  </si>
  <si>
    <t>A.F.M.2401679-MP</t>
  </si>
  <si>
    <t>SKU44(DN29)</t>
  </si>
  <si>
    <t>A.F.M.2401680-MP</t>
  </si>
  <si>
    <t>SKU45(DN29)</t>
  </si>
  <si>
    <t>A.F.M.2500729-MP</t>
  </si>
  <si>
    <t>SKU47(DN29)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</si>
  <si>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MP86941*3pcs;W25R256JVEIN;IT5570E;MP2964GQKT;</t>
    </r>
    <r>
      <rPr>
        <sz val="10"/>
        <rFont val="微软雅黑"/>
        <charset val="134"/>
      </rPr>
      <t>含加密IC TPM;</t>
    </r>
  </si>
  <si>
    <t>A.F.D.2400260-PVT</t>
  </si>
  <si>
    <t>A.F.D.2400260 RJ45 DB</t>
  </si>
  <si>
    <r>
      <rPr>
        <sz val="10"/>
        <rFont val="微软雅黑"/>
        <charset val="134"/>
      </rPr>
      <t>含英特尔网络</t>
    </r>
    <r>
      <rPr>
        <sz val="10"/>
        <rFont val="Arial"/>
        <charset val="134"/>
      </rPr>
      <t>IC WGI219V;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ALC269Q</t>
    </r>
  </si>
  <si>
    <t>A.F.D.2400190-MP</t>
  </si>
  <si>
    <t>A.F.D.2400190 RJ45 DB</t>
  </si>
  <si>
    <t>A.F.D.2300335 RJ45 DB</t>
  </si>
  <si>
    <r>
      <rPr>
        <sz val="10"/>
        <rFont val="微软雅黑"/>
        <charset val="134"/>
      </rPr>
      <t>含有英特尔雷电</t>
    </r>
    <r>
      <rPr>
        <sz val="10"/>
        <rFont val="Arial"/>
        <charset val="134"/>
      </rPr>
      <t>IC*1pcs</t>
    </r>
  </si>
  <si>
    <t>A.F.D.2300162  RJ45 DB</t>
  </si>
  <si>
    <r>
      <rPr>
        <sz val="10"/>
        <rFont val="Arial"/>
        <charset val="134"/>
      </rPr>
      <t>DN38(8L+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</si>
  <si>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TPM,</t>
    </r>
    <r>
      <rPr>
        <sz val="10"/>
        <rFont val="微软雅黑"/>
        <charset val="134"/>
      </rPr>
      <t>英特尔桥片</t>
    </r>
  </si>
  <si>
    <t>A.F.M.2301179-OOC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</si>
  <si>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PS8811</t>
    </r>
  </si>
  <si>
    <t>A.F.M.2301563-MP</t>
  </si>
  <si>
    <t>A.F.M.2400978-OOC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</si>
  <si>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IT66318</t>
    </r>
  </si>
  <si>
    <t>A.F.M.2400991-OOC</t>
  </si>
  <si>
    <t>A.F.M.2401390-MP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</si>
  <si>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微软雅黑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微软雅黑"/>
        <charset val="134"/>
      </rPr>
      <t>;含加密IC TPM</t>
    </r>
  </si>
  <si>
    <t>A.F.M.2401391-MP</t>
  </si>
  <si>
    <t>A.F.M.2401392-MP</t>
  </si>
  <si>
    <t>A.F.D.2400088-EVT</t>
  </si>
  <si>
    <t>A.F.D.2400088   RJ45 DB</t>
  </si>
  <si>
    <t>A.F.D.2300112-EVT</t>
  </si>
  <si>
    <t>A.F.D.2300112  RJ45 DB</t>
  </si>
  <si>
    <t>DN39C</t>
  </si>
  <si>
    <t>A.F.M.2200097-MP</t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</si>
  <si>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Type Ic(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</si>
  <si>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t>I5-12500H</t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</si>
  <si>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>TYPE IC</t>
    </r>
    <r>
      <rPr>
        <sz val="10"/>
        <rFont val="宋体"/>
        <charset val="134"/>
      </rPr>
      <t>及两个Type c接口</t>
    </r>
    <r>
      <rPr>
        <sz val="10"/>
        <rFont val="Arial"/>
        <charset val="134"/>
      </rPr>
      <t>;</t>
    </r>
    <r>
      <rPr>
        <sz val="10"/>
        <rFont val="宋体"/>
        <charset val="134"/>
      </rPr>
      <t>含</t>
    </r>
    <r>
      <rPr>
        <sz val="10"/>
        <rFont val="Arial"/>
        <charset val="134"/>
      </rPr>
      <t>MP86941*6pcs</t>
    </r>
    <r>
      <rPr>
        <sz val="10"/>
        <rFont val="宋体"/>
        <charset val="134"/>
      </rPr>
      <t>；W25R256JVEIN；含加密IC;IT5570E;MP2964GQKT-2101； BOM里CPU(SRLCY)是老版本的不用</t>
    </r>
  </si>
  <si>
    <t>A.F.D.2300003-EVT</t>
  </si>
  <si>
    <r>
      <rPr>
        <sz val="10"/>
        <rFont val="Arial"/>
        <charset val="134"/>
      </rPr>
      <t>DN5(8L+HDI2+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</si>
  <si>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Arial"/>
        <charset val="134"/>
      </rPr>
      <t>,,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 xml:space="preserve">IC TPM 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</si>
  <si>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 xml:space="preserve">IC TPM 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</si>
  <si>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 xml:space="preserve">IC TPM 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</si>
  <si>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IC</t>
    </r>
  </si>
  <si>
    <t>A.F.M.2301486-MP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</si>
  <si>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使用库存料接单前确认价格；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IC</t>
    </r>
  </si>
  <si>
    <t>DP8(10L+HDI1+OSP)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</si>
  <si>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暂无价格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 xml:space="preserve">Type c. 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</si>
  <si>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使用三星目前无价格；单</t>
    </r>
    <r>
      <rPr>
        <sz val="10"/>
        <rFont val="Arial"/>
        <charset val="134"/>
      </rPr>
      <t xml:space="preserve">Type c. 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</si>
  <si>
    <r>
      <rPr>
        <sz val="10"/>
        <rFont val="Arial"/>
        <charset val="134"/>
      </rPr>
      <t>LPDDR5x-496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</si>
  <si>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微软雅黑"/>
        <charset val="134"/>
      </rPr>
      <t>目前无价格；单</t>
    </r>
    <r>
      <rPr>
        <sz val="10"/>
        <rFont val="Arial"/>
        <charset val="134"/>
      </rPr>
      <t xml:space="preserve">Type c. 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</si>
  <si>
    <t>A.F.M.2401413-MP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</si>
  <si>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暂无价格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及一个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 xml:space="preserve">. 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</si>
  <si>
    <t>A.F.M.2401414-MP</t>
  </si>
  <si>
    <t>A.F.M.2401415-MP</t>
  </si>
  <si>
    <r>
      <rPr>
        <sz val="10"/>
        <rFont val="微软雅黑"/>
        <charset val="134"/>
      </rPr>
      <t>太行山</t>
    </r>
    <r>
      <rPr>
        <sz val="10"/>
        <rFont val="Arial"/>
        <charset val="134"/>
      </rPr>
      <t>G3(10L+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</si>
  <si>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i5-210H/i5-220H(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>)
i7-240H/i7-250H(</t>
    </r>
    <r>
      <rPr>
        <sz val="10"/>
        <rFont val="微软雅黑"/>
        <charset val="134"/>
      </rPr>
      <t>客供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</si>
  <si>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 xml:space="preserve">Tpye c, 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；含</t>
    </r>
    <r>
      <rPr>
        <sz val="10"/>
        <rFont val="Arial"/>
        <charset val="134"/>
      </rPr>
      <t>8111H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客供</t>
    </r>
  </si>
  <si>
    <t>RT-10C(10L+HDI1+沉金)</t>
  </si>
  <si>
    <t>试产200台</t>
  </si>
  <si>
    <r>
      <rPr>
        <sz val="10"/>
        <rFont val="Arial"/>
        <charset val="134"/>
      </rPr>
      <t>Type c (</t>
    </r>
    <r>
      <rPr>
        <sz val="10"/>
        <rFont val="宋体"/>
        <charset val="134"/>
      </rPr>
      <t>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接口）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</si>
  <si>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使用三星原料；单</t>
    </r>
    <r>
      <rPr>
        <sz val="10"/>
        <rFont val="Arial"/>
        <charset val="134"/>
      </rPr>
      <t>Type IC</t>
    </r>
    <r>
      <rPr>
        <sz val="10"/>
        <rFont val="宋体"/>
        <charset val="134"/>
      </rPr>
      <t>及一个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 xml:space="preserve">. 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颗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材料客供</t>
    </r>
    <r>
      <rPr>
        <sz val="10"/>
        <rFont val="Arial"/>
        <charset val="134"/>
      </rPr>
      <t>NEO-7M-0;IT5570E</t>
    </r>
    <r>
      <rPr>
        <sz val="10"/>
        <rFont val="宋体"/>
        <charset val="134"/>
      </rPr>
      <t>；</t>
    </r>
    <r>
      <rPr>
        <sz val="10"/>
        <rFont val="Arial"/>
        <charset val="134"/>
      </rPr>
      <t>MP86941*3pcs</t>
    </r>
    <r>
      <rPr>
        <sz val="10"/>
        <rFont val="宋体"/>
        <charset val="134"/>
      </rPr>
      <t>；</t>
    </r>
    <r>
      <rPr>
        <sz val="10"/>
        <rFont val="Arial"/>
        <charset val="134"/>
      </rPr>
      <t>MP2964GQKT,</t>
    </r>
    <r>
      <rPr>
        <sz val="10"/>
        <rFont val="宋体"/>
        <charset val="134"/>
      </rPr>
      <t>工艺使用</t>
    </r>
    <r>
      <rPr>
        <sz val="10"/>
        <rFont val="Arial"/>
        <charset val="134"/>
      </rPr>
      <t>OSP,PCB</t>
    </r>
    <r>
      <rPr>
        <sz val="10"/>
        <rFont val="宋体"/>
        <charset val="134"/>
      </rPr>
      <t>试产需平摊</t>
    </r>
    <r>
      <rPr>
        <sz val="10"/>
        <rFont val="Arial"/>
        <charset val="134"/>
      </rPr>
      <t>3500</t>
    </r>
    <r>
      <rPr>
        <sz val="10"/>
        <rFont val="宋体"/>
        <charset val="134"/>
      </rPr>
      <t>的测试费和试产上线费</t>
    </r>
    <r>
      <rPr>
        <sz val="10"/>
        <rFont val="Arial"/>
        <charset val="134"/>
      </rPr>
      <t>8000</t>
    </r>
  </si>
  <si>
    <r>
      <rPr>
        <sz val="10"/>
        <rFont val="Arial"/>
        <charset val="134"/>
      </rPr>
      <t>RT-10C(10L+HDI1+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</si>
  <si>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t>A.F.M.2401893-MP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</si>
  <si>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使用三星原料；单</t>
    </r>
    <r>
      <rPr>
        <sz val="10"/>
        <rFont val="Arial"/>
        <charset val="134"/>
      </rPr>
      <t>Type IC</t>
    </r>
    <r>
      <rPr>
        <sz val="10"/>
        <rFont val="宋体"/>
        <charset val="134"/>
      </rPr>
      <t>及一个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 xml:space="preserve">. 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颗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材料客供</t>
    </r>
    <r>
      <rPr>
        <sz val="10"/>
        <rFont val="Arial"/>
        <charset val="134"/>
      </rPr>
      <t>NEO-7M-0;IT5570E</t>
    </r>
    <r>
      <rPr>
        <sz val="10"/>
        <rFont val="宋体"/>
        <charset val="134"/>
      </rPr>
      <t>；</t>
    </r>
    <r>
      <rPr>
        <sz val="10"/>
        <rFont val="Arial"/>
        <charset val="134"/>
      </rPr>
      <t>MP86941*3pcs</t>
    </r>
    <r>
      <rPr>
        <sz val="10"/>
        <rFont val="宋体"/>
        <charset val="134"/>
      </rPr>
      <t>；</t>
    </r>
    <r>
      <rPr>
        <sz val="10"/>
        <rFont val="Arial"/>
        <charset val="134"/>
      </rPr>
      <t>MP2964GQKT,</t>
    </r>
    <r>
      <rPr>
        <sz val="10"/>
        <rFont val="宋体"/>
        <charset val="134"/>
      </rPr>
      <t>工艺使用</t>
    </r>
    <r>
      <rPr>
        <sz val="10"/>
        <rFont val="Arial"/>
        <charset val="134"/>
      </rPr>
      <t>OSP</t>
    </r>
  </si>
  <si>
    <t>A.F.M.2401894-MP</t>
  </si>
  <si>
    <t>A.F.M.2402490-OOC</t>
  </si>
  <si>
    <t>LPDDR5-496球8G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</si>
  <si>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使用三星原料；单</t>
    </r>
    <r>
      <rPr>
        <sz val="10"/>
        <rFont val="Arial"/>
        <charset val="134"/>
      </rPr>
      <t>Type IC</t>
    </r>
    <r>
      <rPr>
        <sz val="10"/>
        <rFont val="宋体"/>
        <charset val="134"/>
      </rPr>
      <t>及一个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 xml:space="preserve">. </t>
    </r>
    <r>
      <rPr>
        <sz val="10"/>
        <rFont val="宋体"/>
        <charset val="134"/>
      </rPr>
      <t>含加密</t>
    </r>
    <r>
      <rPr>
        <sz val="10"/>
        <rFont val="Arial"/>
        <charset val="134"/>
      </rPr>
      <t>IC TPM</t>
    </r>
    <r>
      <rPr>
        <sz val="10"/>
        <rFont val="宋体"/>
        <charset val="134"/>
      </rPr>
      <t>；</t>
    </r>
    <r>
      <rPr>
        <sz val="10"/>
        <rFont val="Arial"/>
        <charset val="134"/>
      </rPr>
      <t>1</t>
    </r>
    <r>
      <rPr>
        <sz val="10"/>
        <rFont val="宋体"/>
        <charset val="134"/>
      </rPr>
      <t>颗</t>
    </r>
    <r>
      <rPr>
        <sz val="10"/>
        <rFont val="Arial"/>
        <charset val="134"/>
      </rPr>
      <t>IC</t>
    </r>
    <r>
      <rPr>
        <sz val="10"/>
        <rFont val="宋体"/>
        <charset val="134"/>
      </rPr>
      <t>材料客供</t>
    </r>
    <r>
      <rPr>
        <sz val="10"/>
        <rFont val="Arial"/>
        <charset val="134"/>
      </rPr>
      <t>NEO-7M-0;IT5570E</t>
    </r>
    <r>
      <rPr>
        <sz val="10"/>
        <rFont val="宋体"/>
        <charset val="134"/>
      </rPr>
      <t>；</t>
    </r>
    <r>
      <rPr>
        <sz val="10"/>
        <rFont val="Arial"/>
        <charset val="134"/>
      </rPr>
      <t>MP86941*3pcs</t>
    </r>
    <r>
      <rPr>
        <sz val="10"/>
        <rFont val="宋体"/>
        <charset val="134"/>
      </rPr>
      <t>；工艺使用OSP</t>
    </r>
  </si>
  <si>
    <t>DN58</t>
  </si>
  <si>
    <t>A.F.M.2301178-OOC</t>
  </si>
  <si>
    <t>A.F.M.2402410-MP</t>
  </si>
  <si>
    <t>i7-1360P(28W)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</si>
  <si>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.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TPM;IT5570E;W25R256JVEIN;MP86941</t>
    </r>
  </si>
  <si>
    <t>A.F.M.2402411-MP</t>
  </si>
  <si>
    <t>A.F.D.2400240-PVT</t>
  </si>
  <si>
    <t>A.F.D.2400240  RJ45 DB</t>
  </si>
  <si>
    <t>含有STM32L432KBU6TR意法半导体</t>
  </si>
  <si>
    <t>A.F.D.2400219-PVT</t>
  </si>
  <si>
    <t>A.F.D.2400219  LED   DB</t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</si>
  <si>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STM32L432KBU6TR</t>
    </r>
    <r>
      <rPr>
        <sz val="10"/>
        <rFont val="微软雅黑"/>
        <charset val="134"/>
      </rPr>
      <t>意法半导体</t>
    </r>
  </si>
  <si>
    <t>A.F.D.2400189-PVT</t>
  </si>
  <si>
    <t>A.F.D.2400189  RJ45 DB</t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</si>
  <si>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WGI219V</t>
    </r>
  </si>
  <si>
    <t>A.F.D.2300188-PVT</t>
  </si>
  <si>
    <t>A.F.D.2300187  RJ45 DB</t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</si>
  <si>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网路</t>
    </r>
    <r>
      <rPr>
        <sz val="10"/>
        <rFont val="Arial"/>
        <charset val="134"/>
      </rPr>
      <t>IC</t>
    </r>
  </si>
  <si>
    <t>A.F.D.2300275  RJ45 DB</t>
  </si>
  <si>
    <t>A.F.D.2300280  RJ45 DB</t>
  </si>
  <si>
    <r>
      <rPr>
        <sz val="10"/>
        <rFont val="Arial"/>
        <charset val="134"/>
      </rPr>
      <t>ACN1S(10L+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</si>
  <si>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t>A9-9400</t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</si>
  <si>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SATA</t>
    </r>
    <r>
      <rPr>
        <sz val="10"/>
        <rFont val="微软雅黑"/>
        <charset val="134"/>
      </rPr>
      <t>转</t>
    </r>
    <r>
      <rPr>
        <sz val="10"/>
        <rFont val="Arial"/>
        <charset val="134"/>
      </rPr>
      <t>EMMC</t>
    </r>
    <r>
      <rPr>
        <sz val="10"/>
        <rFont val="微软雅黑"/>
        <charset val="134"/>
      </rPr>
      <t>的芯片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主板需加</t>
    </r>
    <r>
      <rPr>
        <sz val="10"/>
        <rFont val="Arial"/>
        <charset val="134"/>
      </rPr>
      <t>787</t>
    </r>
    <r>
      <rPr>
        <sz val="10"/>
        <rFont val="微软雅黑"/>
        <charset val="134"/>
      </rPr>
      <t>模块小板成本；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停产无价格；EMMC停产中待验新料暂无价格</t>
    </r>
  </si>
  <si>
    <t>SKU4 COST</t>
  </si>
  <si>
    <t>NON Type c</t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</si>
  <si>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SATA</t>
    </r>
    <r>
      <rPr>
        <sz val="10"/>
        <rFont val="微软雅黑"/>
        <charset val="134"/>
      </rPr>
      <t>转</t>
    </r>
    <r>
      <rPr>
        <sz val="10"/>
        <rFont val="Arial"/>
        <charset val="134"/>
      </rPr>
      <t>EMMC</t>
    </r>
    <r>
      <rPr>
        <sz val="10"/>
        <rFont val="微软雅黑"/>
        <charset val="134"/>
      </rPr>
      <t>的芯片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主板需加</t>
    </r>
    <r>
      <rPr>
        <sz val="10"/>
        <rFont val="Arial"/>
        <charset val="134"/>
      </rPr>
      <t>787</t>
    </r>
    <r>
      <rPr>
        <sz val="10"/>
        <rFont val="微软雅黑"/>
        <charset val="134"/>
      </rPr>
      <t>模块小板成本</t>
    </r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</si>
  <si>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SATA</t>
    </r>
    <r>
      <rPr>
        <sz val="10"/>
        <rFont val="微软雅黑"/>
        <charset val="134"/>
      </rPr>
      <t>转</t>
    </r>
    <r>
      <rPr>
        <sz val="10"/>
        <rFont val="Arial"/>
        <charset val="134"/>
      </rPr>
      <t>EMMC</t>
    </r>
    <r>
      <rPr>
        <sz val="10"/>
        <rFont val="微软雅黑"/>
        <charset val="134"/>
      </rPr>
      <t>的芯片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主板需加</t>
    </r>
    <r>
      <rPr>
        <sz val="10"/>
        <rFont val="Arial"/>
        <charset val="134"/>
      </rPr>
      <t>908</t>
    </r>
    <r>
      <rPr>
        <sz val="10"/>
        <rFont val="微软雅黑"/>
        <charset val="134"/>
      </rPr>
      <t>模块小板成本；EMMC停产中待验新料暂无价格</t>
    </r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</si>
  <si>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SATA</t>
    </r>
    <r>
      <rPr>
        <sz val="10"/>
        <rFont val="微软雅黑"/>
        <charset val="134"/>
      </rPr>
      <t>转</t>
    </r>
    <r>
      <rPr>
        <sz val="10"/>
        <rFont val="Arial"/>
        <charset val="134"/>
      </rPr>
      <t>EMMC</t>
    </r>
    <r>
      <rPr>
        <sz val="10"/>
        <rFont val="微软雅黑"/>
        <charset val="134"/>
      </rPr>
      <t>的芯片</t>
    </r>
    <r>
      <rPr>
        <sz val="10"/>
        <rFont val="Arial"/>
        <charset val="134"/>
      </rPr>
      <t>,ES8336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</si>
  <si>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  <r>
      <rPr>
        <sz val="10"/>
        <rFont val="微软雅黑"/>
        <charset val="134"/>
      </rPr>
      <t>；</t>
    </r>
  </si>
  <si>
    <t>SKU51(CKD)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</si>
  <si>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C;BOM</t>
    </r>
    <r>
      <rPr>
        <sz val="10"/>
        <rFont val="微软雅黑"/>
        <charset val="134"/>
      </rPr>
      <t>里含</t>
    </r>
    <r>
      <rPr>
        <sz val="10"/>
        <rFont val="Arial"/>
        <charset val="134"/>
      </rPr>
      <t xml:space="preserve">A.P.10000787 </t>
    </r>
    <r>
      <rPr>
        <sz val="10"/>
        <rFont val="微软雅黑"/>
        <charset val="134"/>
      </rPr>
      <t>小板；</t>
    </r>
  </si>
  <si>
    <t>A.F.M.2400508-MP</t>
  </si>
  <si>
    <r>
      <rPr>
        <sz val="10"/>
        <rFont val="Arial"/>
        <charset val="134"/>
      </rPr>
      <t>SKU95-</t>
    </r>
    <r>
      <rPr>
        <sz val="10"/>
        <rFont val="微软雅黑"/>
        <charset val="134"/>
      </rPr>
      <t>朱亚文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</si>
  <si>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TPM;BOM</t>
    </r>
    <r>
      <rPr>
        <sz val="10"/>
        <rFont val="微软雅黑"/>
        <charset val="134"/>
      </rPr>
      <t>里含</t>
    </r>
    <r>
      <rPr>
        <sz val="10"/>
        <rFont val="Arial"/>
        <charset val="134"/>
      </rPr>
      <t xml:space="preserve">A.P.10000787 </t>
    </r>
    <r>
      <rPr>
        <sz val="10"/>
        <rFont val="微软雅黑"/>
        <charset val="134"/>
      </rPr>
      <t>小板；</t>
    </r>
  </si>
  <si>
    <t>A.F.D.2300374-EVT</t>
  </si>
  <si>
    <t>A.F.D.2300374 RJ45 DB</t>
  </si>
  <si>
    <t>8111H;GL3510</t>
  </si>
  <si>
    <t>A.F.D.2300186 RJ45(CKD)</t>
  </si>
  <si>
    <r>
      <rPr>
        <sz val="10"/>
        <rFont val="Arial"/>
        <charset val="134"/>
      </rPr>
      <t>A.P.10000835 IO_DB</t>
    </r>
    <r>
      <rPr>
        <sz val="10"/>
        <rFont val="微软雅黑"/>
        <charset val="134"/>
      </rPr>
      <t>（支持屏右侧</t>
    </r>
    <r>
      <rPr>
        <sz val="10"/>
        <rFont val="Arial"/>
        <charset val="134"/>
      </rPr>
      <t>Hall</t>
    </r>
    <r>
      <rPr>
        <sz val="10"/>
        <rFont val="微软雅黑"/>
        <charset val="134"/>
      </rPr>
      <t>磁铁）</t>
    </r>
  </si>
  <si>
    <t>A.P.10000908 CX20632 DB</t>
  </si>
  <si>
    <t>ASN1D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</si>
  <si>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使用三星目前无价格；不含加密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SATA</t>
    </r>
    <r>
      <rPr>
        <sz val="10"/>
        <rFont val="微软雅黑"/>
        <charset val="134"/>
      </rPr>
      <t>转</t>
    </r>
    <r>
      <rPr>
        <sz val="10"/>
        <rFont val="Arial"/>
        <charset val="134"/>
      </rPr>
      <t>EMMC</t>
    </r>
    <r>
      <rPr>
        <sz val="10"/>
        <rFont val="微软雅黑"/>
        <charset val="134"/>
      </rPr>
      <t>的芯片</t>
    </r>
    <r>
      <rPr>
        <sz val="10"/>
        <rFont val="Arial"/>
        <charset val="134"/>
      </rPr>
      <t>,ES8336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此前料号停产换验新料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</si>
  <si>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使用三星目前无价格；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SATA</t>
    </r>
    <r>
      <rPr>
        <sz val="10"/>
        <rFont val="微软雅黑"/>
        <charset val="134"/>
      </rPr>
      <t>转</t>
    </r>
    <r>
      <rPr>
        <sz val="10"/>
        <rFont val="Arial"/>
        <charset val="134"/>
      </rPr>
      <t>EMMC</t>
    </r>
    <r>
      <rPr>
        <sz val="10"/>
        <rFont val="微软雅黑"/>
        <charset val="134"/>
      </rPr>
      <t>的芯片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需加</t>
    </r>
    <r>
      <rPr>
        <sz val="10"/>
        <rFont val="Arial"/>
        <charset val="134"/>
      </rPr>
      <t>787</t>
    </r>
    <r>
      <rPr>
        <sz val="10"/>
        <rFont val="微软雅黑"/>
        <charset val="134"/>
      </rPr>
      <t>小板</t>
    </r>
  </si>
  <si>
    <t>ASN10</t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</si>
  <si>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IC/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SATA</t>
    </r>
    <r>
      <rPr>
        <sz val="10"/>
        <rFont val="微软雅黑"/>
        <charset val="134"/>
      </rPr>
      <t>转</t>
    </r>
    <r>
      <rPr>
        <sz val="10"/>
        <rFont val="Arial"/>
        <charset val="134"/>
      </rPr>
      <t>EMMC</t>
    </r>
    <r>
      <rPr>
        <sz val="10"/>
        <rFont val="微软雅黑"/>
        <charset val="134"/>
      </rPr>
      <t>的芯片</t>
    </r>
    <r>
      <rPr>
        <sz val="10"/>
        <rFont val="Arial"/>
        <charset val="134"/>
      </rPr>
      <t>,ES8336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</si>
  <si>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r>
      <rPr>
        <sz val="10"/>
        <rFont val="Arial"/>
        <charset val="134"/>
      </rPr>
      <t>A.P.10001008 USB DB</t>
    </r>
    <r>
      <rPr>
        <sz val="10"/>
        <rFont val="微软雅黑"/>
        <charset val="134"/>
      </rPr>
      <t>琛玛</t>
    </r>
    <r>
      <rPr>
        <sz val="10"/>
        <rFont val="Arial"/>
        <charset val="134"/>
      </rPr>
      <t>CM1185</t>
    </r>
  </si>
  <si>
    <t>ASXU</t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</si>
  <si>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SATA</t>
    </r>
    <r>
      <rPr>
        <sz val="10"/>
        <rFont val="微软雅黑"/>
        <charset val="134"/>
      </rPr>
      <t>转</t>
    </r>
    <r>
      <rPr>
        <sz val="10"/>
        <rFont val="Arial"/>
        <charset val="134"/>
      </rPr>
      <t>EMMC</t>
    </r>
    <r>
      <rPr>
        <sz val="10"/>
        <rFont val="微软雅黑"/>
        <charset val="134"/>
      </rPr>
      <t>的芯片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需加</t>
    </r>
    <r>
      <rPr>
        <sz val="10"/>
        <rFont val="Arial"/>
        <charset val="134"/>
      </rPr>
      <t>787</t>
    </r>
    <r>
      <rPr>
        <sz val="10"/>
        <rFont val="微软雅黑"/>
        <charset val="134"/>
      </rPr>
      <t>小板；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</si>
  <si>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SATA</t>
    </r>
    <r>
      <rPr>
        <sz val="10"/>
        <rFont val="微软雅黑"/>
        <charset val="134"/>
      </rPr>
      <t>转</t>
    </r>
    <r>
      <rPr>
        <sz val="10"/>
        <rFont val="Arial"/>
        <charset val="134"/>
      </rPr>
      <t>EMMC</t>
    </r>
    <r>
      <rPr>
        <sz val="10"/>
        <rFont val="微软雅黑"/>
        <charset val="134"/>
      </rPr>
      <t>的芯片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需加</t>
    </r>
    <r>
      <rPr>
        <sz val="10"/>
        <rFont val="Arial"/>
        <charset val="134"/>
      </rPr>
      <t>787</t>
    </r>
    <r>
      <rPr>
        <sz val="10"/>
        <rFont val="微软雅黑"/>
        <charset val="134"/>
      </rPr>
      <t>小板</t>
    </r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</si>
  <si>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不含</t>
    </r>
    <r>
      <rPr>
        <sz val="10"/>
        <rFont val="Arial"/>
        <charset val="134"/>
      </rPr>
      <t>SATA</t>
    </r>
    <r>
      <rPr>
        <sz val="10"/>
        <rFont val="微软雅黑"/>
        <charset val="134"/>
      </rPr>
      <t>转</t>
    </r>
    <r>
      <rPr>
        <sz val="10"/>
        <rFont val="Arial"/>
        <charset val="134"/>
      </rPr>
      <t>EMMC</t>
    </r>
    <r>
      <rPr>
        <sz val="10"/>
        <rFont val="微软雅黑"/>
        <charset val="134"/>
      </rPr>
      <t>的芯片</t>
    </r>
    <r>
      <rPr>
        <sz val="10"/>
        <rFont val="Arial"/>
        <charset val="134"/>
      </rPr>
      <t>,ES8336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</si>
  <si>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 xml:space="preserve">A.P.10000787 </t>
    </r>
    <r>
      <rPr>
        <sz val="10"/>
        <rFont val="微软雅黑"/>
        <charset val="134"/>
      </rPr>
      <t>小板成本，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有替换</t>
    </r>
  </si>
  <si>
    <t>A.P.10000971 RJ45 DB</t>
  </si>
  <si>
    <t>A.P.10000780 RJ45 DB</t>
  </si>
  <si>
    <t>A.P.10000724 USB DB</t>
  </si>
  <si>
    <t>APN23</t>
  </si>
  <si>
    <t>3500U</t>
  </si>
  <si>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主板需加</t>
    </r>
    <r>
      <rPr>
        <sz val="10"/>
        <rFont val="Arial"/>
        <charset val="134"/>
      </rPr>
      <t>787</t>
    </r>
    <r>
      <rPr>
        <sz val="10"/>
        <rFont val="微软雅黑"/>
        <charset val="134"/>
      </rPr>
      <t>小板成本；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建议推荐</t>
    </r>
    <r>
      <rPr>
        <sz val="10"/>
        <rFont val="Arial"/>
        <charset val="134"/>
      </rPr>
      <t>5500U  75$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</si>
  <si>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3700U</t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</si>
  <si>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主板需加</t>
    </r>
    <r>
      <rPr>
        <sz val="10"/>
        <rFont val="Arial"/>
        <charset val="134"/>
      </rPr>
      <t>787</t>
    </r>
    <r>
      <rPr>
        <sz val="10"/>
        <rFont val="微软雅黑"/>
        <charset val="134"/>
      </rPr>
      <t>小板成本；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</si>
  <si>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3050U</t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</si>
  <si>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主板需加</t>
    </r>
    <r>
      <rPr>
        <sz val="10"/>
        <rFont val="Arial"/>
        <charset val="134"/>
      </rPr>
      <t>724</t>
    </r>
    <r>
      <rPr>
        <sz val="10"/>
        <rFont val="微软雅黑"/>
        <charset val="134"/>
      </rPr>
      <t>小板成本；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</si>
  <si>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APN1S</t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</si>
  <si>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建议推荐</t>
    </r>
    <r>
      <rPr>
        <sz val="10"/>
        <rFont val="Arial"/>
        <charset val="134"/>
      </rPr>
      <t>5500U  75$</t>
    </r>
    <r>
      <rPr>
        <sz val="10"/>
        <rFont val="宋体"/>
        <charset val="134"/>
      </rPr>
      <t>；</t>
    </r>
    <r>
      <rPr>
        <sz val="10"/>
        <rFont val="Arial"/>
        <charset val="134"/>
      </rPr>
      <t>EMMC</t>
    </r>
    <r>
      <rPr>
        <sz val="10"/>
        <rFont val="宋体"/>
        <charset val="134"/>
      </rPr>
      <t>停产中待验新料暂无价格</t>
    </r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</si>
  <si>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建议推荐</t>
    </r>
    <r>
      <rPr>
        <sz val="10"/>
        <rFont val="Arial"/>
        <charset val="134"/>
      </rPr>
      <t>5500U  75$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</si>
  <si>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建议推荐</t>
    </r>
    <r>
      <rPr>
        <sz val="10"/>
        <rFont val="Arial"/>
        <charset val="134"/>
      </rPr>
      <t>5500U  75$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</si>
  <si>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3250U</t>
  </si>
  <si>
    <t>A.P.10001084 USB DB</t>
  </si>
  <si>
    <t>APN16</t>
  </si>
  <si>
    <r>
      <rPr>
        <sz val="10"/>
        <rFont val="微软雅黑"/>
        <charset val="134"/>
      </rPr>
      <t>含有小板</t>
    </r>
    <r>
      <rPr>
        <sz val="10"/>
        <rFont val="Arial"/>
        <charset val="134"/>
      </rPr>
      <t xml:space="preserve">A.P.10000787 </t>
    </r>
    <r>
      <rPr>
        <sz val="10"/>
        <rFont val="微软雅黑"/>
        <charset val="134"/>
      </rPr>
      <t>材料</t>
    </r>
  </si>
  <si>
    <t>5400U</t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</si>
  <si>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无货</t>
    </r>
  </si>
  <si>
    <t>5800U</t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</si>
  <si>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IC,,</t>
    </r>
    <r>
      <rPr>
        <sz val="10"/>
        <rFont val="微软雅黑"/>
        <charset val="134"/>
      </rPr>
      <t>主板需加</t>
    </r>
    <r>
      <rPr>
        <sz val="10"/>
        <rFont val="Arial"/>
        <charset val="134"/>
      </rPr>
      <t>787</t>
    </r>
    <r>
      <rPr>
        <sz val="10"/>
        <rFont val="微软雅黑"/>
        <charset val="134"/>
      </rPr>
      <t>小板成本；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无货</t>
    </r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</si>
  <si>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IC;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</si>
  <si>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;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主板需加</t>
    </r>
    <r>
      <rPr>
        <sz val="10"/>
        <rFont val="Arial"/>
        <charset val="134"/>
      </rPr>
      <t>787</t>
    </r>
    <r>
      <rPr>
        <sz val="10"/>
        <rFont val="微软雅黑"/>
        <charset val="134"/>
      </rPr>
      <t>小板成本；</t>
    </r>
  </si>
  <si>
    <r>
      <rPr>
        <sz val="10"/>
        <rFont val="Arial"/>
        <charset val="134"/>
      </rPr>
      <t>ARN1S(10L+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+)</t>
    </r>
  </si>
  <si>
    <t>6800U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</si>
  <si>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，不含加密</t>
    </r>
    <r>
      <rPr>
        <sz val="10"/>
        <rFont val="Arial"/>
        <charset val="134"/>
      </rPr>
      <t>IC</t>
    </r>
  </si>
  <si>
    <t>6850U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</si>
  <si>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，不含加密</t>
    </r>
    <r>
      <rPr>
        <sz val="10"/>
        <rFont val="Arial"/>
        <charset val="134"/>
      </rPr>
      <t>IC ;</t>
    </r>
  </si>
  <si>
    <t>A.F.M.2301122-MP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</si>
  <si>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，含加密</t>
    </r>
    <r>
      <rPr>
        <sz val="10"/>
        <rFont val="Arial"/>
        <charset val="134"/>
      </rPr>
      <t>IC</t>
    </r>
  </si>
  <si>
    <t>A.F.M.2301147-MP</t>
  </si>
  <si>
    <t>ACN16B</t>
  </si>
  <si>
    <r>
      <rPr>
        <sz val="10"/>
        <rFont val="微软雅黑"/>
        <charset val="134"/>
      </rPr>
      <t>不含加密</t>
    </r>
    <r>
      <rPr>
        <sz val="10"/>
        <rFont val="Arial"/>
        <charset val="134"/>
      </rPr>
      <t>IC,</t>
    </r>
    <r>
      <rPr>
        <sz val="10"/>
        <rFont val="微软雅黑"/>
        <charset val="134"/>
      </rPr>
      <t>不含模块小板成本</t>
    </r>
  </si>
  <si>
    <t>A.P.10000782 RJ45 DB</t>
  </si>
  <si>
    <r>
      <rPr>
        <sz val="10"/>
        <rFont val="微软雅黑"/>
        <charset val="134"/>
      </rPr>
      <t>网卡</t>
    </r>
    <r>
      <rPr>
        <sz val="10"/>
        <rFont val="Arial"/>
        <charset val="134"/>
      </rPr>
      <t>IC:8125BG</t>
    </r>
  </si>
  <si>
    <t>ACN16</t>
  </si>
  <si>
    <t>A.P.10000837 RJ45 DB</t>
  </si>
  <si>
    <t>ACNXU</t>
  </si>
  <si>
    <t>ARN50</t>
  </si>
  <si>
    <t>A.F.D.2400020-MP</t>
  </si>
  <si>
    <t>A.F.D.2400020 USB DB</t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</si>
  <si>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8111H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ALC269Q</t>
    </r>
  </si>
  <si>
    <t>ACN29</t>
  </si>
  <si>
    <r>
      <rPr>
        <sz val="10"/>
        <rFont val="微软雅黑"/>
        <charset val="134"/>
      </rPr>
      <t>条子</t>
    </r>
    <r>
      <rPr>
        <sz val="10"/>
        <rFont val="Arial"/>
        <charset val="134"/>
      </rPr>
      <t>/CKD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</si>
  <si>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</si>
  <si>
    <t>A.P.10000980 Audio_DB</t>
  </si>
  <si>
    <r>
      <rPr>
        <sz val="10"/>
        <rFont val="Arial"/>
        <charset val="134"/>
      </rPr>
      <t>ACN30(8L+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)(CKD)</t>
    </r>
  </si>
  <si>
    <r>
      <rPr>
        <sz val="10"/>
        <rFont val="Arial"/>
        <charset val="134"/>
      </rPr>
      <t>CPU</t>
    </r>
    <r>
      <rPr>
        <sz val="10"/>
        <rFont val="微软雅黑"/>
        <charset val="134"/>
      </rPr>
      <t>无货</t>
    </r>
    <r>
      <rPr>
        <sz val="10"/>
        <rFont val="Arial"/>
        <charset val="134"/>
      </rPr>
      <t>;CKD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$0.3</t>
    </r>
    <r>
      <rPr>
        <sz val="10"/>
        <rFont val="微软雅黑"/>
        <charset val="134"/>
      </rPr>
      <t>每片；</t>
    </r>
    <r>
      <rPr>
        <sz val="10"/>
        <rFont val="Arial"/>
        <charset val="134"/>
      </rPr>
      <t>WIFI</t>
    </r>
    <r>
      <rPr>
        <sz val="10"/>
        <rFont val="微软雅黑"/>
        <charset val="134"/>
      </rPr>
      <t>停产无价格</t>
    </r>
  </si>
  <si>
    <t>8265NGWG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</si>
  <si>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C,</t>
    </r>
    <r>
      <rPr>
        <sz val="10"/>
        <rFont val="微软雅黑"/>
        <charset val="134"/>
      </rPr>
      <t>深蕾</t>
    </r>
    <r>
      <rPr>
        <sz val="10"/>
        <rFont val="Arial"/>
        <charset val="134"/>
      </rPr>
      <t>SN6140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无货；</t>
    </r>
    <r>
      <rPr>
        <sz val="10"/>
        <rFont val="Arial"/>
        <charset val="134"/>
      </rPr>
      <t>WIF</t>
    </r>
    <r>
      <rPr>
        <sz val="10"/>
        <rFont val="微软雅黑"/>
        <charset val="134"/>
      </rPr>
      <t>停产无价格</t>
    </r>
  </si>
  <si>
    <r>
      <rPr>
        <sz val="10"/>
        <rFont val="Arial"/>
        <charset val="134"/>
      </rPr>
      <t>ACN30D(8L+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</si>
  <si>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t>RTL8852BELGA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</si>
  <si>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type C ;</t>
    </r>
  </si>
  <si>
    <t>A.F.M.2400299-MP</t>
  </si>
  <si>
    <t>SKU4(CKD)</t>
  </si>
  <si>
    <r>
      <rPr>
        <sz val="10"/>
        <rFont val="Arial"/>
        <charset val="134"/>
      </rPr>
      <t xml:space="preserve">CKD 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0.3$/</t>
    </r>
    <r>
      <rPr>
        <sz val="10"/>
        <rFont val="微软雅黑"/>
        <charset val="134"/>
      </rPr>
      <t>双</t>
    </r>
    <r>
      <rPr>
        <sz val="10"/>
        <rFont val="Arial"/>
        <charset val="134"/>
      </rPr>
      <t>type C 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8111H</t>
    </r>
    <r>
      <rPr>
        <sz val="10"/>
        <rFont val="微软雅黑"/>
        <charset val="134"/>
      </rPr>
      <t>；含有</t>
    </r>
    <r>
      <rPr>
        <sz val="10"/>
        <rFont val="Arial"/>
        <charset val="134"/>
      </rPr>
      <t>IT6562FN</t>
    </r>
  </si>
  <si>
    <t>ACN38(CKD)</t>
  </si>
  <si>
    <r>
      <rPr>
        <sz val="10"/>
        <rFont val="Arial"/>
        <charset val="134"/>
      </rPr>
      <t xml:space="preserve">CKD 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0.3$/PCS;</t>
    </r>
    <r>
      <rPr>
        <sz val="10"/>
        <rFont val="微软雅黑"/>
        <charset val="134"/>
      </rPr>
      <t>双</t>
    </r>
    <r>
      <rPr>
        <sz val="10"/>
        <rFont val="Arial"/>
        <charset val="134"/>
      </rPr>
      <t>Type C,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USBHUB 3.2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无货</t>
    </r>
  </si>
  <si>
    <r>
      <rPr>
        <sz val="10"/>
        <rFont val="Arial"/>
        <charset val="134"/>
      </rPr>
      <t xml:space="preserve">CKD 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0.3$/PCS;</t>
    </r>
    <r>
      <rPr>
        <sz val="10"/>
        <rFont val="微软雅黑"/>
        <charset val="134"/>
      </rPr>
      <t>三个</t>
    </r>
    <r>
      <rPr>
        <sz val="10"/>
        <rFont val="Arial"/>
        <charset val="134"/>
      </rPr>
      <t>Type C,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USBHUB 3.2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CPU</t>
    </r>
    <r>
      <rPr>
        <sz val="10"/>
        <rFont val="微软雅黑"/>
        <charset val="134"/>
      </rPr>
      <t>无货</t>
    </r>
  </si>
  <si>
    <t>A.P.ACN38008</t>
  </si>
  <si>
    <t>5400U(100-000000288)</t>
  </si>
  <si>
    <r>
      <rPr>
        <sz val="10"/>
        <rFont val="微软雅黑"/>
        <charset val="134"/>
      </rPr>
      <t>条子</t>
    </r>
    <r>
      <rPr>
        <sz val="10"/>
        <rFont val="Arial"/>
        <charset val="134"/>
      </rPr>
      <t>/</t>
    </r>
    <r>
      <rPr>
        <sz val="10"/>
        <rFont val="宋体"/>
        <charset val="134"/>
      </rPr>
      <t>此sku非</t>
    </r>
    <r>
      <rPr>
        <sz val="10"/>
        <rFont val="Arial"/>
        <charset val="134"/>
      </rPr>
      <t>CKD</t>
    </r>
  </si>
  <si>
    <r>
      <rPr>
        <sz val="10"/>
        <rFont val="Arial"/>
        <charset val="134"/>
      </rPr>
      <t>;</t>
    </r>
    <r>
      <rPr>
        <sz val="10"/>
        <rFont val="微软雅黑"/>
        <charset val="134"/>
      </rPr>
      <t>三个</t>
    </r>
    <r>
      <rPr>
        <sz val="10"/>
        <rFont val="Arial"/>
        <charset val="134"/>
      </rPr>
      <t>Type C,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USBHUB 3.2</t>
    </r>
  </si>
  <si>
    <t>A.F.M.2200082-MP</t>
  </si>
  <si>
    <t>A.F.M.2200083-MP</t>
  </si>
  <si>
    <r>
      <rPr>
        <sz val="10"/>
        <rFont val="Arial"/>
        <charset val="134"/>
      </rPr>
      <t xml:space="preserve">CKD 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0.3$/PCS;</t>
    </r>
    <r>
      <rPr>
        <sz val="10"/>
        <rFont val="微软雅黑"/>
        <charset val="134"/>
      </rPr>
      <t>三个</t>
    </r>
    <r>
      <rPr>
        <sz val="10"/>
        <rFont val="Arial"/>
        <charset val="134"/>
      </rPr>
      <t>Type C,</t>
    </r>
    <r>
      <rPr>
        <sz val="10"/>
        <rFont val="微软雅黑"/>
        <charset val="134"/>
      </rPr>
      <t>含</t>
    </r>
    <r>
      <rPr>
        <sz val="10"/>
        <rFont val="Arial"/>
        <charset val="134"/>
      </rPr>
      <t>USBHUB 3.2</t>
    </r>
  </si>
  <si>
    <t>ACN39</t>
  </si>
  <si>
    <t>5600H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</si>
  <si>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使用三星暂无价格</t>
    </r>
  </si>
  <si>
    <t>32557.32+（126.25+134.82）/2(4桶油）=131+300借钱6.21+299游戏+200借钱6.28+100借钱7.5+100借钱7.7+110.77/2=55.382家里纸巾-500七月十号+200-500/8.8号+2000（9月2号）-1500 915还</t>
  </si>
  <si>
    <t>10月份汇率：7.1币种:USA</t>
  </si>
  <si>
    <t>DNNXU</t>
  </si>
  <si>
    <t>单Type C IC无接口；</t>
  </si>
  <si>
    <t>10月份汇率：7.11币种:USA</t>
  </si>
  <si>
    <t>单Type C</t>
  </si>
  <si>
    <t>DN21C</t>
  </si>
  <si>
    <t>I7-1255U(不带IPU)(15W)</t>
  </si>
  <si>
    <t>单type c IC;含有加密IC TPM</t>
  </si>
  <si>
    <t xml:space="preserve"> </t>
  </si>
  <si>
    <t>原成本</t>
  </si>
  <si>
    <t>按汇率7.11核算</t>
  </si>
  <si>
    <t>现成本</t>
  </si>
  <si>
    <t>DN25C</t>
  </si>
  <si>
    <t>A.F.M.2401315-EVT</t>
  </si>
  <si>
    <t>DDR 使用佰维，单Type C IC及两个Type c接口</t>
  </si>
  <si>
    <t>A.F.M.2401735-MP</t>
  </si>
  <si>
    <t>DDR 使用江波龙，两个Type C IC及两个Type c接口；MP86941*5;</t>
  </si>
  <si>
    <t>A.F.M.2401461-MP</t>
  </si>
  <si>
    <t>DDR 使用江波龙，两个Type C IC及两个Type c接口;</t>
  </si>
  <si>
    <t>含有ALC269Q;SY6863B3ABC</t>
  </si>
  <si>
    <t>leo要的配置</t>
  </si>
  <si>
    <t>i3-1220P</t>
  </si>
  <si>
    <t>LPDDR4x-200球2G</t>
  </si>
  <si>
    <t>DDR 使用三星，单Type-c</t>
  </si>
  <si>
    <t>含ALC269Q</t>
  </si>
  <si>
    <t>Joylin-核价临时BOM</t>
  </si>
  <si>
    <t>单Type C；含加密IC TPM</t>
  </si>
  <si>
    <t>ARB60C</t>
  </si>
  <si>
    <t>costdown版本bom</t>
  </si>
  <si>
    <t>NON Type c（一个Type c 接口)</t>
  </si>
  <si>
    <t>A.F.M.2400278-MP</t>
  </si>
  <si>
    <t>单Tpye c IC</t>
  </si>
  <si>
    <t>A.F.D.2400114  DB(按不带RJ45)</t>
  </si>
  <si>
    <t>A.F.D.2300361  DB(按不带RJ45)</t>
  </si>
  <si>
    <t>含有英特尔WGI219V；含有ALC233</t>
  </si>
  <si>
    <t>含有英特尔网卡IC/I226LM_SRKTT；含有ALC233</t>
  </si>
  <si>
    <t>含有英特尔网卡IC/I226-V；含有ALC233</t>
  </si>
  <si>
    <t>含RTL8111H；</t>
  </si>
  <si>
    <t>CPU 接单前确认,交期有滞后；DDR使用海力士；单Type c;含intel 雷电芯片2Pcs</t>
  </si>
  <si>
    <t>E.M.W.0000119</t>
  </si>
  <si>
    <t>DDR使用Spectek;单Type c;含intel 雷电芯片2Pcs</t>
  </si>
  <si>
    <t>xN50</t>
  </si>
  <si>
    <t>A.F.M.2401932-MP</t>
  </si>
  <si>
    <t>双 Type c(两个Type c接口)</t>
  </si>
  <si>
    <t>A.F.M.2401015-MP</t>
  </si>
  <si>
    <t>SKU108</t>
  </si>
  <si>
    <t>A.F.D.2300314</t>
  </si>
  <si>
    <t>A.F.D.2300314  USB DB 爆款不带RJ45小板</t>
  </si>
  <si>
    <t>DDR 使用江波龙，两个Type C IC及两个Type c接口；MP86941*5pcs;</t>
  </si>
  <si>
    <t>GN10Q</t>
  </si>
  <si>
    <t>LPDDR4X-366球6G</t>
  </si>
  <si>
    <t>DDR Spectek;无Type c IC及接口</t>
  </si>
  <si>
    <t>GN15</t>
  </si>
  <si>
    <t>时创意或者佰维/LPDDR4-366球4G</t>
  </si>
  <si>
    <t>DDR使用NETSOL目前无价格;</t>
  </si>
  <si>
    <t>MTN79</t>
  </si>
  <si>
    <t>A.F.M.2401650-PVT</t>
  </si>
  <si>
    <t>单Type C IC及两个Type c接口;W25R256JWEIQ;MP87440GQVT*4pcs</t>
  </si>
  <si>
    <t>DNN21</t>
  </si>
  <si>
    <t>LPDDR5-496球16G</t>
  </si>
  <si>
    <t>DDR使用三星改为Spectek；单Type c IC及一个Type c 接口</t>
  </si>
  <si>
    <t>DNN81S</t>
  </si>
  <si>
    <t>A.F.M.2401828-EVT</t>
  </si>
  <si>
    <t>Type Ic（一个Type c 接口)</t>
  </si>
  <si>
    <t>单Type C IC及1个Type c接口；MP86941*2pcs</t>
  </si>
  <si>
    <t>A.F.M.2401829-EVT</t>
  </si>
  <si>
    <t>Non Type c(一个Type c 接口)</t>
  </si>
  <si>
    <t>单type c接口；WIFI中龙通，含加密IC;IT5570E;MP86941*2pcs</t>
  </si>
  <si>
    <t>单Type C IC及1个Type c接口；MP86941*3pcs;IT5570E;</t>
  </si>
  <si>
    <t>i5-12450H（45W)</t>
  </si>
  <si>
    <t>单Type C IC及1个Type c接口；MP86941*5pcs;IT5570E;</t>
  </si>
  <si>
    <t>I7-13620H（45W)</t>
  </si>
  <si>
    <t>10月份汇率：7.2币种:USA</t>
  </si>
  <si>
    <t>AMN21</t>
  </si>
  <si>
    <t>Type c(2个Type c 接口)</t>
  </si>
  <si>
    <t>Type c;DDR使用佰维； Flash:128M ,W25R128JWSIQ</t>
  </si>
  <si>
    <t>含有8111H</t>
  </si>
  <si>
    <t>含有SN6140</t>
  </si>
  <si>
    <t>A.F.M.2401484-MP</t>
  </si>
  <si>
    <t>E.M.R.0000175</t>
  </si>
  <si>
    <t>E.M.P.0000355</t>
  </si>
  <si>
    <t>A.F.M.2401419-MP</t>
  </si>
  <si>
    <t>SKU125</t>
  </si>
  <si>
    <t>E.M.W.0000072</t>
  </si>
  <si>
    <t>含有Intel网络WGI219V；含有USB3.0 Redriver IC;</t>
  </si>
  <si>
    <t>含有英特尔网络IC  WGI219LM;含有 ALC269Q</t>
  </si>
  <si>
    <t>JN1</t>
  </si>
  <si>
    <t>Non Type c(一个接口)</t>
  </si>
  <si>
    <t>江波龙(客供)/条子</t>
  </si>
  <si>
    <t>无Type IC及Type C 一个接口；EMMC客供；</t>
  </si>
  <si>
    <t>CKD打包费</t>
  </si>
  <si>
    <t>JN1 CKD成本</t>
  </si>
  <si>
    <t>SKU22(JN1)（CKD）</t>
  </si>
  <si>
    <t xml:space="preserve">无Type IC及Type C 一个接口；EMMC客供；CKD打包费0.25$/pcs </t>
  </si>
  <si>
    <t>DN50  CKD成本</t>
  </si>
  <si>
    <t>SKU20(CKD）</t>
  </si>
  <si>
    <t xml:space="preserve">无Type IC及Type C 一个接口；含ALC269Q-VC3-GR、APW8743CQBI-TRG，IT5570E-128/CX；CKD打包费0.25$/pcs </t>
  </si>
  <si>
    <t>A.F.M.2401139-PVT</t>
  </si>
  <si>
    <t>单Tpye c IC及两个Type c接口；含有intel雷电IC*2pcs;含有RTS5453H;;含有MP87440GQVT-Z*4pcs;含有ANX7484Q42-AA1-R</t>
  </si>
  <si>
    <t>单Type IC及一个Type C接口</t>
  </si>
  <si>
    <t>DN79C</t>
  </si>
  <si>
    <t>A.F.M.2400908-PVT</t>
  </si>
  <si>
    <t>单Type C IC及两个Type c 接口;</t>
  </si>
  <si>
    <t>A.F.M.2401951-MP</t>
  </si>
  <si>
    <t>SKU149</t>
  </si>
  <si>
    <t>Type c(l两个Type c接口)</t>
  </si>
  <si>
    <t>单Tpye c IC及一个Type c接口；ANX7447QN;IT5570E;MP86941*5</t>
  </si>
  <si>
    <t>A.F.M.2400923-PVT</t>
  </si>
  <si>
    <t>单Type C；含ALC269</t>
  </si>
  <si>
    <t>A.F.M.2400925-PVT</t>
  </si>
  <si>
    <t>客供CPU</t>
  </si>
  <si>
    <t>含ALC269;含MP86995</t>
  </si>
  <si>
    <t>单Type C ic及1个Type c接口；含ALC269</t>
  </si>
  <si>
    <t>LN89</t>
  </si>
  <si>
    <t>Q49M/Q5HF/Q5HU(研发样品)</t>
  </si>
  <si>
    <t>AMOLED;研发样品CPU无价格；单Type c IC及两个接口;含有加密IC TPM;含有华邦256Mbit flash;含有瑞萨*RAA225019CRGBM#HA0 4pcs/RAA225020RGNP#HA0  1pcs；</t>
  </si>
  <si>
    <t>E.M.P.0000316</t>
  </si>
  <si>
    <t>512G PCIE4.0*1</t>
  </si>
  <si>
    <t>金士顿</t>
  </si>
  <si>
    <t>E.M.W.0000097</t>
  </si>
  <si>
    <t>AX211.NGWG</t>
  </si>
  <si>
    <t>11月份汇率：7.2币种:USA</t>
  </si>
  <si>
    <t>佰维换群联/LPDDR4X-556球12G</t>
  </si>
  <si>
    <t>DDR使用Spectek目前无价格；128G EMMC按7$群联核算</t>
  </si>
  <si>
    <t>A.F.M.2401771-MP</t>
  </si>
  <si>
    <t>SKU139</t>
  </si>
  <si>
    <t>单Tpye c IC及一个Type c接口；含ANX7447QN-AC-R，含IT5570E-128/CX，含5个POWER_IC=MP86941-CGQVT-Z</t>
  </si>
  <si>
    <t>GN1S</t>
  </si>
  <si>
    <t>时创意或者佰维/条子</t>
  </si>
  <si>
    <t>WIFI停产无货，佰维的 8$</t>
  </si>
  <si>
    <t>GL850G；RTS5170</t>
  </si>
  <si>
    <t>A.F.M.2400817-MP</t>
  </si>
  <si>
    <t>RTS5170-GR；GL850G-OHY60；RTL8111H-CG</t>
  </si>
  <si>
    <t>E.M.R.0000087</t>
  </si>
  <si>
    <t>三星</t>
  </si>
  <si>
    <t xml:space="preserve">M471A1K43EB1-CWE </t>
  </si>
  <si>
    <t>E.M.P.0000393</t>
  </si>
  <si>
    <t xml:space="preserve">MZVL21T0HCLR-00B00 </t>
  </si>
  <si>
    <t>Type c（1个TYPE接口)</t>
  </si>
  <si>
    <t>单Type C及一个type c接口；IT5570E；MP2964GQKT；ANX7447QN</t>
  </si>
  <si>
    <t>智微JMB582</t>
  </si>
  <si>
    <t>JSLIA</t>
  </si>
  <si>
    <t>含有外围料散热模组套料*6pcs;含有8111H；含有IT8784E；含有ALC897</t>
  </si>
  <si>
    <t>E.M.R.0000155</t>
  </si>
  <si>
    <t>CBDAD4S2666J4G19-B</t>
  </si>
  <si>
    <t>采购不推荐</t>
  </si>
  <si>
    <t>E.M.P.0000245</t>
  </si>
  <si>
    <t>SNM4T1G12800D</t>
  </si>
  <si>
    <t>E.M.W.0000111</t>
  </si>
  <si>
    <t>wifi 5</t>
  </si>
  <si>
    <t>含有外围料散热模组套料*6pcs;含有8111H；含有IT8784E</t>
  </si>
  <si>
    <t>ACN21S</t>
  </si>
  <si>
    <t>Type c(两个Type c 接口)</t>
  </si>
  <si>
    <t>100-000001471</t>
  </si>
  <si>
    <t>A.F.M.2401861</t>
  </si>
  <si>
    <t>Type c(两个Type C 接口)</t>
  </si>
  <si>
    <t>时创意/LPDDR5-315球6G</t>
  </si>
  <si>
    <t>DDR使用佰维；Type c(两个Type C 接口)；ALC269Q；IT5570E</t>
  </si>
  <si>
    <t>A.F.M.2401862</t>
  </si>
  <si>
    <t>DDR使用spectek；双Type c IC(两个Type C 接口); ALC269Q；IT5570E</t>
  </si>
  <si>
    <t>A.F.M.2402110</t>
  </si>
  <si>
    <t>时创意/LPDDR5-315球4G</t>
  </si>
  <si>
    <t>DDR使用江波龙；双Type c IC(两个Type C 接口); ALC269Q；T55B336M016C0070</t>
  </si>
  <si>
    <t>11月份汇率：7.25币种:USA</t>
  </si>
  <si>
    <t>Type c(一个Type c个接口)</t>
  </si>
  <si>
    <t>单Type C IC及1个接口；；含加密IC TPM</t>
  </si>
  <si>
    <t>含RTS5170</t>
  </si>
  <si>
    <t>WPBH32D408SWD-8G</t>
  </si>
  <si>
    <t>均用沃存（价格和供应更优）报价，如需更换品牌请和采购咨询</t>
  </si>
  <si>
    <t>E.M.P.0000353</t>
  </si>
  <si>
    <t>WPBSSM8-256GTP</t>
  </si>
  <si>
    <t>E.M.R.0000029</t>
  </si>
  <si>
    <t>WPBH26D408SWA-4G</t>
  </si>
  <si>
    <t>E.M.P.0000352</t>
  </si>
  <si>
    <t>WPBSSM8-128GTP</t>
  </si>
  <si>
    <t>A.F.M.2400532-EVT</t>
  </si>
  <si>
    <t>单Type C IC及两个Type c 接口;含加密IC TPM;含有IT66318FN</t>
  </si>
  <si>
    <t>A.F.M.2400793-PVT</t>
  </si>
  <si>
    <t>单Type C IC及两个Type c 接口;含有IT66318FN</t>
  </si>
  <si>
    <t>DNB60C(6L+通孔+OSP)</t>
  </si>
  <si>
    <t>Non Type c(2个Type c 接口)</t>
  </si>
  <si>
    <t>JSLK53</t>
  </si>
  <si>
    <t>含有加密IC TPM</t>
  </si>
  <si>
    <t>RT-10C</t>
  </si>
  <si>
    <t>DDR使用三星原料；单Type IC及一个Type c接口. 含加密IC TPM；1颗IC材料客供NEO-7M-0;IT5570E；MP86941*3pcs；MP2964GQKT</t>
  </si>
  <si>
    <t>DDR使用三星原料；单Type IC及一个Type c接口. 含加密IC TPM；1颗IC材料客供NEO-7M-0;IT5570E；MP86941*3pcs；</t>
  </si>
  <si>
    <t>A.F.M.2400681-PVT</t>
  </si>
  <si>
    <t>单Type C IC及两个Type c接口;含加密IC TPM;MP87440GQVT*7;W25R256JWEIQ;</t>
  </si>
  <si>
    <t>E.M.R.0000227</t>
  </si>
  <si>
    <t>CBDAD5S56008G-BHYZ</t>
  </si>
  <si>
    <t>E.M.P.0000240</t>
  </si>
  <si>
    <t>OM8SEP4512Q-A0</t>
  </si>
  <si>
    <t>DNB60</t>
  </si>
  <si>
    <t>Non Type c(三个Type c接口)</t>
  </si>
  <si>
    <t>含瑞昱有网络IC RTL8111H及RTL8125BG；含有瑞昱RTS5452H- IC*2颗;含有瑞昱ALC269Q IC;MP86941*3</t>
  </si>
  <si>
    <t>A.F.M.2401933-MP</t>
  </si>
  <si>
    <t>单Type C IC及一个Type c 接口；</t>
  </si>
  <si>
    <t>GN10B(8L+HDI1+OSP)
GN10Q(8L+HDI2+OSP)</t>
  </si>
  <si>
    <t>刘进添临时BOM（参考SKU45）</t>
  </si>
  <si>
    <t>CDW-8723DE*$1</t>
  </si>
  <si>
    <t>群联/GN10Q  LPDDR4X-556/366 球  4G 库存</t>
  </si>
  <si>
    <r>
      <rPr>
        <sz val="9"/>
        <rFont val="微软雅黑"/>
        <charset val="134"/>
      </rPr>
      <t>Non RJ45/Non WIFI.时创意新方案待验证128G*$6.4  256G*$14；如果用SSD成本如下 SATA: 128G/256G  $8/$13、PCIE: 128G/256G  $9/$14;Others参考A.F.M.2401542(SKU44)/A.F.M.2401634(</t>
    </r>
    <r>
      <rPr>
        <sz val="9"/>
        <color theme="9" tint="-0.25"/>
        <rFont val="微软雅黑"/>
        <charset val="134"/>
      </rPr>
      <t>SKU45</t>
    </r>
    <r>
      <rPr>
        <sz val="9"/>
        <rFont val="微软雅黑"/>
        <charset val="134"/>
      </rPr>
      <t>)，</t>
    </r>
    <r>
      <rPr>
        <sz val="9"/>
        <color theme="9" tint="-0.25"/>
        <rFont val="微软雅黑"/>
        <charset val="134"/>
      </rPr>
      <t>DDR EMMC按低价配置搭配</t>
    </r>
  </si>
  <si>
    <t>刘进添临时BOM（参考SKU44/SKU45)</t>
  </si>
  <si>
    <t>GN10B  LPDDR4X-376 球  8G 库存;</t>
  </si>
  <si>
    <r>
      <rPr>
        <sz val="9"/>
        <rFont val="微软雅黑"/>
        <charset val="134"/>
      </rPr>
      <t>Non RJ45/Non WIFI.时创意新方案待验证128G*$6.4  256G*$14；如果用SSD成本如下 SATA: 128G/256G  $8/$13、PCIE: 128G/256G  $9/$14;Others参考A.F.M.2401542(</t>
    </r>
    <r>
      <rPr>
        <sz val="9"/>
        <color theme="9" tint="-0.25"/>
        <rFont val="微软雅黑"/>
        <charset val="134"/>
      </rPr>
      <t>SKU44</t>
    </r>
    <r>
      <rPr>
        <sz val="9"/>
        <rFont val="微软雅黑"/>
        <charset val="134"/>
      </rPr>
      <t>)/A.F.M.2401634(</t>
    </r>
    <r>
      <rPr>
        <sz val="9"/>
        <color theme="9" tint="-0.25"/>
        <rFont val="微软雅黑"/>
        <charset val="134"/>
      </rPr>
      <t>SKU45</t>
    </r>
    <r>
      <rPr>
        <sz val="9"/>
        <rFont val="微软雅黑"/>
        <charset val="134"/>
      </rPr>
      <t>)，</t>
    </r>
    <r>
      <rPr>
        <sz val="9"/>
        <color theme="9" tint="-0.25"/>
        <rFont val="微软雅黑"/>
        <charset val="134"/>
      </rPr>
      <t>DDR 按低价配置搭配</t>
    </r>
  </si>
  <si>
    <t>SKU2(临时bom）</t>
  </si>
  <si>
    <t>61821CE (WIFI5)</t>
  </si>
  <si>
    <t>DDR使用海力士/三星（二手料）,无Type c IC 无接口;T5570E;PCB参考以前价格</t>
  </si>
  <si>
    <t>SKU3(临时bom）</t>
  </si>
  <si>
    <t>61851BE (WIFI6)</t>
  </si>
  <si>
    <t>条子/LPDDR4X-556球8G</t>
  </si>
  <si>
    <t>DDR使用三星（二手料）；无Type c IC 无接口;T5570E;PCB参考以前价格</t>
  </si>
  <si>
    <t>搭配小板</t>
  </si>
  <si>
    <t>DNN15(8L+OSP+HDI)</t>
  </si>
  <si>
    <t>DDR使用三星；无Typec C IC含一个Typec C接口;IT5570E;MP86941*2pcs；pcb使用富腾茂</t>
  </si>
  <si>
    <t>DDR使用三星；无Typec C IC含一个Typec C接口；MP2964GQKT;MP86941*2pcs；pcb使用富腾茂</t>
  </si>
  <si>
    <t>Type c（一个Type C IC/接口)</t>
  </si>
  <si>
    <t>DDR使用三星；单Typec C IC及一个接口;ANX7447QN;IT5570E;MP86941*2pcs;MP2964GQKT；pcb使用富腾茂</t>
  </si>
  <si>
    <t>DDR使用三星；单Typec C IC及一个接口;ANX7447QN;MP86941*3pcs;MP2964GQKT;CSCE2010WBR6NR；pcb使用富腾茂</t>
  </si>
  <si>
    <t>GN15(6L+通孔+OSP)</t>
  </si>
  <si>
    <t>刘进添临时BOM（参考SKU23）</t>
  </si>
  <si>
    <t xml:space="preserve">群联/GN15  LPDDR4X-大366 球  4G*1 库存 </t>
  </si>
  <si>
    <r>
      <rPr>
        <sz val="9"/>
        <rFont val="微软雅黑"/>
        <charset val="134"/>
      </rPr>
      <t>备注：设计行位只能放一颗DDR、成本金额是群联供应商；时创意新方案待验证128G*$6.4  256G*$14
如果用SSD成本如下SATA: 128G/256G  $8/$13；PCIE: 128G/256G  $9/$14，如需要Type功能如下成本:Data only Type接口:</t>
    </r>
    <r>
      <rPr>
        <sz val="9"/>
        <color rgb="FFC00000"/>
        <rFont val="微软雅黑"/>
        <charset val="134"/>
      </rPr>
      <t>$0.19</t>
    </r>
    <r>
      <rPr>
        <sz val="9"/>
        <rFont val="微软雅黑"/>
        <charset val="134"/>
      </rPr>
      <t xml:space="preserve"> ；全功能Typc IC+接口:$0.63+$0.19=</t>
    </r>
    <r>
      <rPr>
        <sz val="9"/>
        <color rgb="FFC00000"/>
        <rFont val="微软雅黑"/>
        <charset val="134"/>
      </rPr>
      <t>$0.82</t>
    </r>
    <r>
      <rPr>
        <sz val="9"/>
        <rFont val="微软雅黑"/>
        <charset val="134"/>
      </rPr>
      <t>;Others参考A.F.M.2400110(</t>
    </r>
    <r>
      <rPr>
        <sz val="9"/>
        <color theme="9" tint="-0.25"/>
        <rFont val="微软雅黑"/>
        <charset val="134"/>
      </rPr>
      <t>SKU23</t>
    </r>
    <r>
      <rPr>
        <sz val="9"/>
        <rFont val="微软雅黑"/>
        <charset val="134"/>
      </rPr>
      <t>)，</t>
    </r>
    <r>
      <rPr>
        <sz val="9"/>
        <color theme="9" tint="-0.25"/>
        <rFont val="微软雅黑"/>
        <charset val="134"/>
      </rPr>
      <t>DDR EMMC按低价配置搭配</t>
    </r>
  </si>
  <si>
    <t>GN15A(6L+通孔+OSP)</t>
  </si>
  <si>
    <t>刘进添临时BOM（参考SKU26）</t>
  </si>
  <si>
    <t>群联/GN15A LPDDR4X-200球2G*2 或者4G*2  江波龙</t>
  </si>
  <si>
    <r>
      <rPr>
        <sz val="9"/>
        <rFont val="微软雅黑"/>
        <charset val="134"/>
      </rPr>
      <t>备注：行位按2颗参考优化成本 5$*2 、成本金额是群联供应商；时创意新方案待验证128G*$6.4  256G*$14
如果用SSD成本如下SATA: 128G/256G  $8/$13；PCIE: 128G/256G  $9/$14，如需要Type功能如下成本:Data only Type接口:$0.19 ；全功能Typc IC+接口:$0.63+$0.19=</t>
    </r>
    <r>
      <rPr>
        <sz val="9"/>
        <color rgb="FFC00000"/>
        <rFont val="微软雅黑"/>
        <charset val="134"/>
      </rPr>
      <t>$0.82</t>
    </r>
    <r>
      <rPr>
        <sz val="9"/>
        <rFont val="微软雅黑"/>
        <charset val="134"/>
      </rPr>
      <t>；Others参考A.F.M.2400911(</t>
    </r>
    <r>
      <rPr>
        <sz val="9"/>
        <color theme="9" tint="-0.25"/>
        <rFont val="微软雅黑"/>
        <charset val="134"/>
      </rPr>
      <t>SKU26</t>
    </r>
    <r>
      <rPr>
        <sz val="9"/>
        <rFont val="微软雅黑"/>
        <charset val="134"/>
      </rPr>
      <t>)，</t>
    </r>
    <r>
      <rPr>
        <sz val="9"/>
        <color theme="9" tint="-0.25"/>
        <rFont val="微软雅黑"/>
        <charset val="134"/>
      </rPr>
      <t>DDR EMMC按低价配置搭配</t>
    </r>
  </si>
  <si>
    <t>单Tpye c IC及两个Type c接口；;含有intel雷电IC*2pcs含有RTS5453H;含有MP87440GQVT-Z*4pcs;含有ANX7484Q42-AA1-R</t>
  </si>
  <si>
    <t>含有英特尔WGI219V; 含有ALC233</t>
  </si>
  <si>
    <t>A.F.M.2401502-MP</t>
  </si>
  <si>
    <t>SKU133</t>
  </si>
  <si>
    <t>单Tpye c IC及一个Type c接口；如改OSP工艺科降0.24美金左右</t>
  </si>
  <si>
    <t>12月份汇率：7.3币种:USA</t>
  </si>
  <si>
    <t>条子，参考sku38的others,除去tpm</t>
  </si>
  <si>
    <t>单Type C;</t>
  </si>
  <si>
    <t>无Type IC及Type C 一个Type c；IT5570E</t>
  </si>
  <si>
    <t>A.F.M.2301211</t>
  </si>
  <si>
    <t>单Tpye c IC, 含加密IC TPM</t>
  </si>
  <si>
    <t>单Type c IC及两个Type c接口；DDR使用江波龙;含intel 雷电芯片2Pcs;MP86941*6pcs;PI3HDX1204B1ZHE</t>
  </si>
  <si>
    <t>MTN39C</t>
  </si>
  <si>
    <t>DDR使用镁光;单Type c IC及两个Type c 接口；含英特尔雷电IC;4颗接口使用不用厂家</t>
  </si>
  <si>
    <t>A.F.M.2401344-EVT</t>
  </si>
  <si>
    <t>DDR使用佰维；单Type C IC及两个Type C 接口；含有AOZ5516QI*4pcs(品牌万国)</t>
  </si>
  <si>
    <t>A.F.M.2401345-EVT</t>
  </si>
  <si>
    <t>DDR使用江波龙；双Type C IC及两个Type C 接口；含有加密IC TPM;含有SiC634CD*4pcs(品牌威世)</t>
  </si>
  <si>
    <t>A.F.M.2401346-EVT</t>
  </si>
  <si>
    <t>DDR使用江波龙；双Type C IC及两个Type C 接口；含有SiC634CD*6pcs(品牌威世)</t>
  </si>
  <si>
    <t>E.M.P.0000344</t>
  </si>
  <si>
    <t>OM8PGP41024N-A0</t>
  </si>
  <si>
    <t>SSD Gen4 x4 1TB 金士顿 OM8PGP41024N-A0</t>
  </si>
  <si>
    <t>E.M.P.0000362</t>
  </si>
  <si>
    <t>ZSP03PM02C</t>
  </si>
  <si>
    <t>SSD  521G Gen4 x4 泽石 ZSP03PM02C</t>
  </si>
  <si>
    <t>GN21S(8L+通孔+OSP)</t>
  </si>
  <si>
    <t>Non Type c(一个Type C接口)</t>
  </si>
  <si>
    <t>无 Type C ic及1个Type c接口</t>
  </si>
  <si>
    <t>12月份汇率：7.25币种:USA</t>
  </si>
  <si>
    <t>DN50E</t>
  </si>
  <si>
    <t>SKU24主板</t>
  </si>
  <si>
    <t>降价成本</t>
  </si>
  <si>
    <t>12/20號更新</t>
  </si>
  <si>
    <t>单pcs差异</t>
  </si>
  <si>
    <t>24053小板</t>
  </si>
  <si>
    <t>JN1 CKD成本(80K）</t>
  </si>
  <si>
    <t>含PCB内三颗料</t>
  </si>
  <si>
    <t>SKU24(pst 专用）</t>
  </si>
  <si>
    <t>无Type IC(1个Type c接口)</t>
  </si>
  <si>
    <t>DDR使用海力士；无Typec C IC含一个Typec C接口；MP2964GQKT;MP86941*2pcs；pcb使用富腾茂</t>
  </si>
  <si>
    <t>A.F.M.2402149-PVT</t>
  </si>
  <si>
    <t>DDR 使用江波龙，两个Type C IC及两个Type c接口;PS1713DQW*5pcs;RT3624BEGQW</t>
  </si>
  <si>
    <t>I219LM(Vpro)，ALC269</t>
  </si>
  <si>
    <t>单Type c IC及两个Type c接口；DDR使用三星;含intel 雷电芯片2Pcs;MP86941*6pcs;PI3HDX1204B1ZHE</t>
  </si>
  <si>
    <t>JSLVA(6L+通孔+OSP)</t>
  </si>
  <si>
    <t>含RTL8111H；含IT8786E;含有ALC897</t>
  </si>
  <si>
    <t>A.F.M.2401140-PVT</t>
  </si>
  <si>
    <t>待定</t>
  </si>
  <si>
    <t>单Type c IC及一个Type c 接口</t>
  </si>
  <si>
    <t>SKU23(pst 专用）</t>
  </si>
  <si>
    <t>N5100</t>
  </si>
  <si>
    <t>A.F.M.2401838-MP</t>
  </si>
  <si>
    <t>SKU143(CKD)</t>
  </si>
  <si>
    <t>SSD</t>
  </si>
  <si>
    <t>OM8PGP4512N-A0</t>
  </si>
  <si>
    <t>E.M.P.0000244</t>
  </si>
  <si>
    <t>OM8SEP4256Q-A0</t>
  </si>
  <si>
    <t>A.F.M.2401687-MP</t>
  </si>
  <si>
    <t>A.F.M.2401688-MP</t>
  </si>
  <si>
    <t>DDR 使用佰维，单Type C IC及两个Type c接口；MP86941*3pcs;</t>
  </si>
  <si>
    <t>A.F.M.2401689-MP</t>
  </si>
  <si>
    <t>DDR 使用海力士，两个Type C IC及两个Type c接口；MP86941*5pcs;</t>
  </si>
  <si>
    <t>ADNF53(8L+OSP+通孔)</t>
  </si>
  <si>
    <t>含加密IC TPM、intel 网络IC*2pcs、IT8786E、CD4248GQV、MP86941*3pcs、HSA20、</t>
  </si>
  <si>
    <t>含加密IC TPM、intel 网络IC*2pcs、IT8786E、CD4248GQV、MP86941*3pcs、HSA20、ALC897</t>
  </si>
  <si>
    <t>ADNT58(6L+OSP+通孔)</t>
  </si>
  <si>
    <t>含加密IC TPM\intel 网络IC*2pcs\IT8786E\ALC897/WS213EA*6pcs/CH7513A</t>
  </si>
  <si>
    <t>A.F.M.2402268-DVT</t>
  </si>
  <si>
    <t>DB60(盒子)</t>
  </si>
  <si>
    <t>单Type c；含雷电IC*1pcs,\网路千兆IC 及2.5G IC;IT5570VG-128/CX;MP86941*6pcs</t>
  </si>
  <si>
    <t>12450H-cpu</t>
  </si>
  <si>
    <t>替换cpu价格</t>
  </si>
  <si>
    <t>E.M.R.0000183</t>
  </si>
  <si>
    <t>CT16G56C46S5</t>
  </si>
  <si>
    <t>E.M.P.0000331</t>
  </si>
  <si>
    <t>FSP0C512G-B7C7200</t>
  </si>
  <si>
    <t xml:space="preserve">暂无供应 无报价 </t>
  </si>
  <si>
    <t>E.M.W.0000127</t>
  </si>
  <si>
    <t>WIFI 6</t>
  </si>
  <si>
    <t>含RTL8111H</t>
  </si>
  <si>
    <t>单Type C及一个TYPE C 接口,含TPM IC ;IT5570E-</t>
  </si>
  <si>
    <t>1月份汇率：7.3币种:USA</t>
  </si>
  <si>
    <t>杨昭（临时bom）</t>
  </si>
  <si>
    <r>
      <rPr>
        <sz val="9"/>
        <rFont val="微软雅黑"/>
        <charset val="134"/>
      </rPr>
      <t>时创意</t>
    </r>
    <r>
      <rPr>
        <sz val="9"/>
        <color theme="1"/>
        <rFont val="微软雅黑"/>
        <charset val="134"/>
      </rPr>
      <t>/佰维/群联</t>
    </r>
  </si>
  <si>
    <t>单Type C ic及1个Type c接口；RTL8125BG-CG</t>
  </si>
  <si>
    <t>DN21F</t>
  </si>
  <si>
    <t>A.F.M.2401751-PVT</t>
  </si>
  <si>
    <t>SKU8（仅参考）</t>
  </si>
  <si>
    <t>此核价为仅取掉单颗TPM的价格，如出正式bom需单独核价，请注意！！！</t>
  </si>
  <si>
    <r>
      <rPr>
        <sz val="9"/>
        <rFont val="微软雅黑"/>
        <charset val="134"/>
      </rPr>
      <t>SU-5100-MB--</t>
    </r>
    <r>
      <rPr>
        <sz val="9"/>
        <color theme="1"/>
        <rFont val="微软雅黑"/>
        <charset val="134"/>
      </rPr>
      <t>许燕</t>
    </r>
  </si>
  <si>
    <t>Non Type c(一个Typec 接口)</t>
  </si>
  <si>
    <t>2G*4+128GB</t>
  </si>
  <si>
    <t>群联/LPDDR4x-200球2G</t>
  </si>
  <si>
    <r>
      <rPr>
        <sz val="9"/>
        <rFont val="微软雅黑"/>
        <charset val="134"/>
      </rPr>
      <t>无</t>
    </r>
    <r>
      <rPr>
        <sz val="9"/>
        <color theme="1"/>
        <rFont val="微软雅黑"/>
        <charset val="134"/>
      </rPr>
      <t>Tpye c IC含一个Type C接口, 含加密IC TPM，DDR使用大为</t>
    </r>
  </si>
  <si>
    <t>A.F.D.2300285 USB DB</t>
  </si>
  <si>
    <t>含RTL8111H；含GL850G；PS8719ETQFN24GTR2-A0</t>
  </si>
  <si>
    <t>SKU10（咸万俊）</t>
  </si>
  <si>
    <t>LPDD4X 556球8G</t>
  </si>
  <si>
    <t>单Type C及一个type c接口；DDR使用库存料；IT5570E</t>
  </si>
  <si>
    <t>A.F.M.2402354-MP</t>
  </si>
  <si>
    <t>DDR 使用江波龙，两个Type C IC及两个Type c接口；MP86941*5pcs;IT5570E;IT66318FN/EW</t>
  </si>
  <si>
    <t>2G*4+128</t>
  </si>
  <si>
    <t>DDR 使用三星，单Type-c IC及两个Type c 接口；IT5570E;MP2964GQKT</t>
  </si>
  <si>
    <t>A.F.M.2402282</t>
  </si>
  <si>
    <t>2月份汇率：7.3币种:USA</t>
  </si>
  <si>
    <t>DN1E(8L+通孔+沉金)</t>
  </si>
  <si>
    <t>单Type c.含英特尔桥片，含加密IC成本</t>
  </si>
  <si>
    <t>A.F.M.2401268-MP</t>
  </si>
  <si>
    <t>SKU114</t>
  </si>
  <si>
    <t>A.F.M.2401269-MP</t>
  </si>
  <si>
    <t>SKU115</t>
  </si>
  <si>
    <t>A.F.M.2401270-MP</t>
  </si>
  <si>
    <t>SKU116</t>
  </si>
  <si>
    <t>GL850G；PS8719ETQFN24GTR2；RTS5170</t>
  </si>
  <si>
    <t>DN121C</t>
  </si>
  <si>
    <t>A.F.M.2301248-MP</t>
  </si>
  <si>
    <t>A.F.D.2400367 AUDIO DB</t>
  </si>
  <si>
    <t>RTL8111H;PS8719ETQFN24GTR2</t>
  </si>
  <si>
    <t>MTN25</t>
  </si>
  <si>
    <t>A.F.M.2402284-PVT</t>
  </si>
  <si>
    <t>DDR使用三星；单Type IC及两个Type C接口;含有Intel 雷电IC;含有IT5570E;MP87440GQVT*4pcs;W25R256JWEIQ;如一次性下50k ，还可以再降0.12美金</t>
  </si>
  <si>
    <t>含有IT66318FN</t>
  </si>
  <si>
    <t>DDR使用三星；单Type IC及两个Type C接口;含有Intel 雷电IC;含有IT5570E;MP87440GQVT*4pcs;W25R256JWEIQ;如一次性下50k ，还可以再降0.18美金，SMT还可以降价0.69美金</t>
  </si>
  <si>
    <t>成本差异</t>
  </si>
  <si>
    <t>GN15A</t>
  </si>
  <si>
    <r>
      <rPr>
        <sz val="9"/>
        <color theme="1"/>
        <rFont val="微软雅黑"/>
        <charset val="134"/>
      </rPr>
      <t>参考</t>
    </r>
    <r>
      <rPr>
        <sz val="9"/>
        <rFont val="微软雅黑"/>
        <charset val="134"/>
      </rPr>
      <t>SKU25（LEO要的配置）</t>
    </r>
  </si>
  <si>
    <r>
      <rPr>
        <sz val="9"/>
        <color theme="1"/>
        <rFont val="微软雅黑"/>
        <charset val="134"/>
      </rPr>
      <t>2G*2</t>
    </r>
    <r>
      <rPr>
        <sz val="9"/>
        <color rgb="FFFF0000"/>
        <rFont val="微软雅黑"/>
        <charset val="134"/>
      </rPr>
      <t>+128G</t>
    </r>
  </si>
  <si>
    <r>
      <rPr>
        <sz val="9"/>
        <color theme="1"/>
        <rFont val="微软雅黑"/>
        <charset val="134"/>
      </rPr>
      <t>群联</t>
    </r>
    <r>
      <rPr>
        <sz val="9"/>
        <rFont val="微软雅黑"/>
        <charset val="134"/>
      </rPr>
      <t>/LPDDR4X-200球2G</t>
    </r>
  </si>
  <si>
    <r>
      <rPr>
        <sz val="9"/>
        <color rgb="FFFF0000"/>
        <rFont val="微软雅黑"/>
        <charset val="134"/>
      </rPr>
      <t>DDR使用Spectek暂无价格，DDR用佰维核</t>
    </r>
    <r>
      <rPr>
        <sz val="9"/>
        <rFont val="微软雅黑"/>
        <charset val="134"/>
      </rPr>
      <t>;BD99950MUV,DDR还在测试中，待确认</t>
    </r>
  </si>
  <si>
    <r>
      <rPr>
        <sz val="9"/>
        <color theme="1"/>
        <rFont val="微软雅黑"/>
        <charset val="134"/>
      </rPr>
      <t>参考</t>
    </r>
    <r>
      <rPr>
        <sz val="9"/>
        <rFont val="微软雅黑"/>
        <charset val="134"/>
      </rPr>
      <t>SKU26（LEO要的配置）</t>
    </r>
  </si>
  <si>
    <r>
      <rPr>
        <sz val="9"/>
        <color theme="1"/>
        <rFont val="微软雅黑"/>
        <charset val="134"/>
      </rPr>
      <t>4G*2+</t>
    </r>
    <r>
      <rPr>
        <sz val="9"/>
        <color rgb="FFFF0000"/>
        <rFont val="微软雅黑"/>
        <charset val="134"/>
      </rPr>
      <t>256G</t>
    </r>
  </si>
  <si>
    <t>256G 2280 SATA江波龙/LPDDR4X-200球4G</t>
  </si>
  <si>
    <r>
      <rPr>
        <sz val="9"/>
        <rFont val="微软雅黑"/>
        <charset val="134"/>
      </rPr>
      <t>DDR使用江波龙；单Type c;含IT8528E，</t>
    </r>
    <r>
      <rPr>
        <sz val="9"/>
        <color rgb="FFFF0000"/>
        <rFont val="微软雅黑"/>
        <charset val="134"/>
      </rPr>
      <t>SSD用256G 2280 SATA，价格12美金并入合计金额</t>
    </r>
  </si>
  <si>
    <t>A.F.M.2400275-EVT</t>
  </si>
  <si>
    <t>单Tpye c;含加密IC TPM;含有CW8602;含加密IC TPM;W25R256JWEIQ</t>
  </si>
  <si>
    <t>A.F.M.2500016-MP</t>
  </si>
  <si>
    <t>i5-210H(45W)</t>
  </si>
  <si>
    <t>RZ616(AMD)</t>
  </si>
  <si>
    <t>A.F.M.2500017-MP</t>
  </si>
  <si>
    <t>i7-240H(45W)</t>
  </si>
  <si>
    <t>A.F.M.2401648-PVT</t>
  </si>
  <si>
    <t>单Type C IC及两个Type c接口;W25R256JWEIQ;MP87440GQVT*7pcs;IT5570E</t>
  </si>
  <si>
    <t>A.F.M.2402077-MP</t>
  </si>
  <si>
    <t>SKU154</t>
  </si>
  <si>
    <t>i5-210H</t>
  </si>
  <si>
    <t>A.F.M.2400603-MP</t>
  </si>
  <si>
    <t>SKU85</t>
  </si>
  <si>
    <t>A.F.D.2400148 AUDIO DB(pst 专用）</t>
  </si>
  <si>
    <t>A.F.M.2400863-MP</t>
  </si>
  <si>
    <t>2月份汇率：7.31 币种:USA</t>
  </si>
  <si>
    <t>内存类型</t>
  </si>
  <si>
    <t>分离式</t>
  </si>
  <si>
    <t>一体式</t>
  </si>
  <si>
    <t>CPU套料+license费用</t>
  </si>
  <si>
    <t>LPDDR</t>
  </si>
  <si>
    <t>2025.2.10</t>
  </si>
  <si>
    <t>高通80100</t>
  </si>
  <si>
    <t>镁光LPDDR5X-315球*8G</t>
  </si>
  <si>
    <t>CPU套价(12核），移远WIFI7</t>
  </si>
  <si>
    <t>DN59</t>
  </si>
  <si>
    <t>单Type c IC及两个Type c 接口；含PS8811QFN36GTR2-A2*;含雷电芯片;MP2964GQKT;IT66318FN;IT5570E;MP86941*5pcs</t>
  </si>
  <si>
    <t>DDR使用江波龙;MP86901;RTS5452H-GR;单Type C IC及一个Type C接口；</t>
  </si>
  <si>
    <t>A.F.M.2400950-MP</t>
  </si>
  <si>
    <t>SKU104</t>
  </si>
  <si>
    <t>单Type C IC及2个Typec接口；</t>
  </si>
  <si>
    <t>单Type c;IT8987E/BX</t>
  </si>
  <si>
    <t>2月份汇率：7.25币种:USA</t>
  </si>
  <si>
    <t>群联/LPDDR4X-200球2G</t>
  </si>
  <si>
    <t>三TYPE C IC 及两个Type c 接口,带HDMI，DDR使用江波龙；含国民技术的加密IC和移远的4G模块</t>
  </si>
  <si>
    <t>DDR 使用江波龙，两个Type C IC及两个Type c接口；MP86941*5pcs;CPU缺货，请和采购单独确认下价格；</t>
  </si>
  <si>
    <t>A.F.M.2402079-OOC</t>
  </si>
  <si>
    <t>DDR 使用佰维，单Type C IC及两个Type c接口;MP86941*3pcs;</t>
  </si>
  <si>
    <t>A.F.M.2401033-MP</t>
  </si>
  <si>
    <t>SKU109</t>
  </si>
  <si>
    <t>单Tpye c IC及两个Type c接口；</t>
  </si>
  <si>
    <t>含有8111H；GL3510;RTS5170</t>
  </si>
  <si>
    <t>8GB DDR4</t>
  </si>
  <si>
    <t>WPBSNM8-256GTP</t>
  </si>
  <si>
    <t>E.M.P.0000307</t>
  </si>
  <si>
    <t>PCIE 256G SSD</t>
  </si>
  <si>
    <t>APF10-128G</t>
  </si>
  <si>
    <t>E.M.P.0000392</t>
  </si>
  <si>
    <t>PCIE 128G SSD</t>
  </si>
  <si>
    <t>DDR使用江波龙;MP86901;RTS5452H-GR;单Type C IC及一个Type C接口；需和cpu采购确认价格，目前暂无价格</t>
  </si>
  <si>
    <t>i5-210H(45W)客供</t>
  </si>
  <si>
    <t>i7-240H(45W)客供</t>
  </si>
  <si>
    <t>含SAS硬盘接口EAST-SAS8639A68P-E01R*2pcs'</t>
  </si>
  <si>
    <t>A.F.M.2401779-PVT</t>
  </si>
  <si>
    <t>DDR 使用江波龙，两个Type C IC及两个Type c接口；PS1713DQW*3pcs；RT3624BEGQW</t>
  </si>
  <si>
    <t>A.F.M.2401928-PVT</t>
  </si>
  <si>
    <t>DDR 使用佰维，单Type C IC及两个Type c接口;SPT5311B*3pcs</t>
  </si>
  <si>
    <r>
      <rPr>
        <sz val="9"/>
        <rFont val="微软雅黑"/>
        <charset val="134"/>
      </rPr>
      <t>单type c;含有Intel雷电IC</t>
    </r>
    <r>
      <rPr>
        <sz val="9"/>
        <color rgb="FFFF0000"/>
        <rFont val="微软雅黑"/>
        <charset val="134"/>
      </rPr>
      <t>,pcb如换成osp工艺，可再降0.36美金，但用OSP的有氧化风险，板子只能放3个月，如果不及时贴片就会氧化</t>
    </r>
  </si>
  <si>
    <t>原单价</t>
  </si>
  <si>
    <t>现单价</t>
  </si>
  <si>
    <t>降本</t>
  </si>
  <si>
    <t>pcb如换成osp工艺，可再降0.36美金，但用OSP的有氧化风险，板子只能放3个月，如果不及时贴片就会氧化</t>
  </si>
  <si>
    <t>JN21S</t>
  </si>
  <si>
    <t>A.F.M.2500239-PVT</t>
  </si>
  <si>
    <t>单Type C及一个Type  c接口；ALC269Q;IT5570E</t>
  </si>
  <si>
    <t>DNN11S</t>
  </si>
  <si>
    <t>含有GL850G；RTS5170</t>
  </si>
  <si>
    <t>单Type C;含有加密IC TPM；EMMC停产中待验新料暂无价格</t>
  </si>
  <si>
    <t>原价格</t>
  </si>
  <si>
    <t>A.F.M.2301180-PVT</t>
  </si>
  <si>
    <t>MP86941*3pcs;W25R256JVEIN;IT5570E;MP2964GQKT;IT66318FN;PS8811QFN36GTR2-A2</t>
  </si>
  <si>
    <t>含有ALC269Q；RTL8111H</t>
  </si>
  <si>
    <t>DNP13C</t>
  </si>
  <si>
    <t>A.F.M.2500157</t>
  </si>
  <si>
    <t>DDR使用江波龙;MP3367GR;ALC269Q-</t>
  </si>
  <si>
    <t>ACN58</t>
  </si>
  <si>
    <t>PS8811QFN36GTR2-A2*2pcs;SiC634CD*4pcs;W25R128JWSIQ;IT5570E</t>
  </si>
  <si>
    <t>CKD打包费0.2/pcs;含有8111H、DP转换IC、PCIE USB转换IC</t>
  </si>
  <si>
    <t>A.F.D.2300300 RJ45 DB</t>
  </si>
  <si>
    <t>A.F.M.2401865-PVT</t>
  </si>
  <si>
    <t>DDR 使用江波龙，两个Type C IC及两个Type c接口；RT3624BEGQW；SPT5311B*5pcs</t>
  </si>
  <si>
    <t>WPB48A6SF-8GSC3G2</t>
  </si>
  <si>
    <t>8G*2</t>
  </si>
  <si>
    <t>DDR4_SO-DIMM 8GB</t>
  </si>
  <si>
    <t>E.M.P.0000373</t>
  </si>
  <si>
    <t>SMM5T1G51200D</t>
  </si>
  <si>
    <t>PCIE3.0 512GB</t>
  </si>
  <si>
    <t>1215U</t>
  </si>
  <si>
    <t>DDR 使用海力士，两个Type C IC及两个Type c接口；MP86941*5pcs;CPU缺货，请和采购单独确认下价格；</t>
  </si>
  <si>
    <t>3月份汇率：7.25币种:USA</t>
  </si>
  <si>
    <t>DDR使用佰维；双Type C IC及两个Type c接口 ;MP86941*3pcs;IT5570E;MP2964GQKT;ALC122</t>
  </si>
  <si>
    <t>A.F.M.2401699-PVT</t>
  </si>
  <si>
    <t>DDR使用江波龙；双Type C IC及两个Type C 接口；SiC634CD-*6pcs;RT3634CEGQW;W25R256JWEIQ;IT5570E;</t>
  </si>
  <si>
    <t>pcb使用TG-135板材，金手指+斜边</t>
  </si>
  <si>
    <t>ALC245-CG;IT5570E；含加密IC TPM</t>
  </si>
  <si>
    <t>JN81S(6L+通孔+OSP)</t>
  </si>
  <si>
    <t>单Type IC及一个Type C接口；IT5570E；ANX7447QN-AC-R</t>
  </si>
  <si>
    <t>小板24144</t>
  </si>
  <si>
    <t>单价</t>
  </si>
  <si>
    <t>降本差异</t>
  </si>
  <si>
    <t>单Tpye c IC及两个Type c接口；含有intel雷电IC*2pcs；含有RTS5453H；含有MP87440GQVT*6pcs；W25R256JWEIQ；ANX7484Q42</t>
  </si>
  <si>
    <t>A.F.M.2402358</t>
  </si>
  <si>
    <t>单Type C IC及1个Type c接口；IT5570E;MP86941*2pcs</t>
  </si>
  <si>
    <t>Type C ic及1个Type c接口；含ANX7447QN；MP2964GQKT；IT5570E；含3颗MP86941GQVT</t>
  </si>
  <si>
    <t>SKU25 （曹勇的配置，更换wifi）</t>
  </si>
  <si>
    <t>61821C</t>
  </si>
  <si>
    <r>
      <rPr>
        <sz val="9"/>
        <color rgb="FFFF0000"/>
        <rFont val="微软雅黑"/>
        <charset val="134"/>
      </rPr>
      <t>;pcb需要改二供富腾茂才能降成2.6$的价格</t>
    </r>
    <r>
      <rPr>
        <sz val="9"/>
        <rFont val="微软雅黑"/>
        <charset val="134"/>
      </rPr>
      <t>。</t>
    </r>
    <r>
      <rPr>
        <sz val="9"/>
        <color rgb="FFFF0000"/>
        <rFont val="微软雅黑"/>
        <charset val="134"/>
      </rPr>
      <t>9560.D2WG改为61821CE</t>
    </r>
    <r>
      <rPr>
        <sz val="9"/>
        <rFont val="微软雅黑"/>
        <charset val="134"/>
      </rPr>
      <t>；Type C ic及1个Type c接口；含ANX7447QN；MP2964GQKT；IT5570E；含3颗MP86941GQVT</t>
    </r>
  </si>
  <si>
    <t xml:space="preserve">RTS5170;PS8719ETQFN24GTR2 </t>
  </si>
  <si>
    <t>小板24344</t>
  </si>
  <si>
    <t>小板24343</t>
  </si>
  <si>
    <t>DDR使用库存料；无Typec C IC含一个Typec C接口;IT5570E;MP86941*2pcs；pcb使用富腾茂</t>
  </si>
  <si>
    <t>A.F.M.2400040-MP</t>
  </si>
  <si>
    <t>A.F.M.2400044-MP</t>
  </si>
  <si>
    <t>A.F.M.2400045-MP</t>
  </si>
  <si>
    <t>A.F.M.2400752-MP</t>
  </si>
  <si>
    <t>SKU92</t>
  </si>
  <si>
    <t>A.F.M.2300713-PVT</t>
  </si>
  <si>
    <t>双Type C及两个接口;DDR使用事必达(Spectek)，暂无价格;MP86995GVT;IT5570E;</t>
  </si>
  <si>
    <t>A.F.M.2500062-MP</t>
  </si>
  <si>
    <t>SKU166</t>
  </si>
  <si>
    <t>单Tpye c IC及两个Type c接口；MP2964GQKT;IT5570E;MP86941*3pcs;SN6140</t>
  </si>
  <si>
    <t>沃存(Wodposit)</t>
  </si>
  <si>
    <t>PCIE 512G SSD</t>
  </si>
  <si>
    <t>APF10-512G</t>
  </si>
  <si>
    <t>江波龙（Airdisk）</t>
  </si>
  <si>
    <t>WIFI module</t>
  </si>
  <si>
    <t>AX101.NGWG.NV</t>
  </si>
  <si>
    <t>英特尔（intel）</t>
  </si>
  <si>
    <t>A.F.M.2400462-PVT</t>
  </si>
  <si>
    <t>单type c;含有Intel雷电IC;含有IT66318FN、MP2964GQKT</t>
  </si>
  <si>
    <t>A.F.M.2402080-OOC</t>
  </si>
  <si>
    <t>DDR 使用佰维，单Type C IC及两个Type c接口;MP86941*3pcs;G2708CKU1U</t>
  </si>
  <si>
    <t>A.F.M.2500132-OOC</t>
  </si>
  <si>
    <t>DDR 使用江波龙，两个Type C IC及两个Type c接口;PS1713DQW*3pcs;IT5570E</t>
  </si>
  <si>
    <t>A.F.M.2400438-PVT</t>
  </si>
  <si>
    <t>单type c;含有Intel雷电IC;含有IT66318FN、MP2964GQKT；CPU缺货，请和采购单独确认下价格；</t>
  </si>
  <si>
    <t>A.F.M.2302474-PVT</t>
  </si>
  <si>
    <t>单Type C及两个Type  c接口</t>
  </si>
  <si>
    <t>DNNXU/SKU12</t>
  </si>
  <si>
    <t>1152小板</t>
  </si>
  <si>
    <t>A.F.D.2300230-MP</t>
  </si>
  <si>
    <t>A.F.D.2300230  LED DB</t>
  </si>
  <si>
    <r>
      <rPr>
        <sz val="9"/>
        <rFont val="微软雅黑"/>
        <charset val="134"/>
      </rPr>
      <t>单</t>
    </r>
    <r>
      <rPr>
        <sz val="9"/>
        <color theme="1"/>
        <rFont val="微软雅黑"/>
        <charset val="134"/>
      </rPr>
      <t>Type C IC及2个接口；MP86941*2pcs;IT5570E;；含加密IC TPM</t>
    </r>
  </si>
  <si>
    <t>MTP13 预估成本</t>
  </si>
  <si>
    <t>金额</t>
  </si>
  <si>
    <t>smt</t>
  </si>
  <si>
    <t>pcb</t>
  </si>
  <si>
    <t>合计</t>
  </si>
  <si>
    <t>E.M.P.0000307/SSD $14.6</t>
  </si>
  <si>
    <t>SKU16(JN1)标案180k的bom</t>
  </si>
  <si>
    <t>SKU18(JN1)标案180k的bom</t>
  </si>
  <si>
    <t>JN1 CKD成本(180K）</t>
  </si>
  <si>
    <t>(Others+pcb)单价</t>
  </si>
  <si>
    <t>23076小板</t>
  </si>
  <si>
    <t>JN1(SKU16)</t>
  </si>
  <si>
    <t>JN1(SKU18)</t>
  </si>
  <si>
    <t>A.F.M.2500398-PVT</t>
  </si>
  <si>
    <t>SKU7(低配临时BOM）</t>
  </si>
  <si>
    <t>DDR使用佰维；单Type C IC及两个Type C 接口；SiC634CD*4pcs;RT3634CEGQW;W25R256JWEIQ</t>
  </si>
  <si>
    <t>A.F.M.2500399-PVT</t>
  </si>
  <si>
    <t>SKU8(低配临时BOM）</t>
  </si>
  <si>
    <t>DDR使用江波龙；双Type C IC及两个Type C 接口；SiC634CD*6pcs;W25R256JWEIQ;IT5570E;IT66318FN;</t>
  </si>
  <si>
    <t>A.F.M.2500400-PVT</t>
  </si>
  <si>
    <t>SKU9(低配临时BOM）</t>
  </si>
  <si>
    <t>255H(28W）</t>
  </si>
  <si>
    <t>DDR使用江波龙；双Type C IC及两个Type C 接口；SiC634CD*6pcs;W25R256JWEIQ;IT5570E;IT66318FN;G2708CKU1U</t>
  </si>
  <si>
    <t>A.F.M.250016666</t>
  </si>
  <si>
    <t>MTN25低配版本临时BOM</t>
  </si>
  <si>
    <t>DDR使用江波龙；单Type IC及一个Type C接口;MP87440GQVT*4pcs;MP29001GQKT;W25R256JWEIQ;IT5570E</t>
  </si>
  <si>
    <t>A.F.M.250066666</t>
  </si>
  <si>
    <t>MTN25高配版本临时BOM</t>
  </si>
  <si>
    <t>DDR使用海力士；单Type IC及一个Type C接口;;含加密IC TPM;含Intel雷电icMP87440GQVT*6pcs;W25R256JWEIQ;IT5570E;IT66318FN</t>
  </si>
  <si>
    <t>MTN21T</t>
  </si>
  <si>
    <t>SKU1(低配）</t>
  </si>
  <si>
    <t>单Type c及两个Type c接口；含雷电IC*2pcs,加密IC TPM;W25R256JWEIQ;MP87440GQVT-Z*4PCS</t>
  </si>
  <si>
    <t>SKU2(高配）</t>
  </si>
  <si>
    <t>单Type c及两个Type c接口；含雷电IC*2pcs,加密IC TPM;W25R256JWEIQ;MP87440GQVT-Z*6PCS;IT66318FN/EW-0003(R);IT5570E-128/CX</t>
  </si>
  <si>
    <t>MTN21</t>
  </si>
  <si>
    <t>SKU17(低配）</t>
  </si>
  <si>
    <t>SKU18(高配）</t>
  </si>
  <si>
    <r>
      <rPr>
        <sz val="9"/>
        <color theme="1"/>
        <rFont val="微软雅黑"/>
        <charset val="134"/>
      </rPr>
      <t>D</t>
    </r>
    <r>
      <rPr>
        <sz val="9"/>
        <rFont val="微软雅黑"/>
        <charset val="134"/>
      </rPr>
      <t>NN11S</t>
    </r>
  </si>
  <si>
    <t>xn1</t>
  </si>
  <si>
    <t>A.F.D.2400148 AUDIO DB(PST only)</t>
  </si>
  <si>
    <t>E.M.R.0000094</t>
  </si>
  <si>
    <t>CT16G4SFS832A</t>
  </si>
  <si>
    <t>英睿达</t>
  </si>
  <si>
    <t>E.M.P.0000279</t>
  </si>
  <si>
    <t>AFF10-256G</t>
  </si>
  <si>
    <t>江波龙</t>
  </si>
  <si>
    <t>DNN11C</t>
  </si>
  <si>
    <t>DDR使用海力士目前无价格；单Type C IC及两个Type c 接口；</t>
  </si>
  <si>
    <t>群联/LPDDR4X-556球6G</t>
  </si>
  <si>
    <t>DDR使用spectek目前无价格；单Type C IC及两个Type c 接口；</t>
  </si>
  <si>
    <t>2025.2.20</t>
  </si>
  <si>
    <t>MTN79T(8L+通孔+OSP)</t>
  </si>
  <si>
    <t>A.F.M.2500167-PVT</t>
  </si>
  <si>
    <t>单type c及两个TYPE C接口</t>
  </si>
  <si>
    <t>单Type c及两个Type c接口；含雷电IC*2pcs,RTS5453H；MP87440GQVT*7pcs;IT5570E</t>
  </si>
  <si>
    <t>SKU19(临时BOM）</t>
  </si>
  <si>
    <t>I7-13620H</t>
  </si>
  <si>
    <t>SKU20(临时BOM）</t>
  </si>
  <si>
    <t>210H</t>
  </si>
  <si>
    <r>
      <rPr>
        <sz val="9"/>
        <color rgb="FFFF0000"/>
        <rFont val="微软雅黑"/>
        <charset val="134"/>
      </rPr>
      <t>PCB使用普通板材的价格，不指定；</t>
    </r>
    <r>
      <rPr>
        <sz val="9"/>
        <rFont val="微软雅黑"/>
        <charset val="134"/>
      </rPr>
      <t>单Type c及两个Type c接口；含雷电IC*2pcs,RTS5453H；MP87440GQVT*7pcs;IT5570E</t>
    </r>
  </si>
  <si>
    <r>
      <rPr>
        <sz val="9"/>
        <color rgb="FFFF0000"/>
        <rFont val="微软雅黑"/>
        <charset val="134"/>
      </rPr>
      <t>PCB使用普通板材的价格，不指定；</t>
    </r>
    <r>
      <rPr>
        <sz val="9"/>
        <rFont val="微软雅黑"/>
        <charset val="134"/>
      </rPr>
      <t>单Tpye c IC及两个Type c接口；MP86941*5pcs;IT5570E;含有Intel雷电IC;</t>
    </r>
  </si>
  <si>
    <r>
      <rPr>
        <sz val="9"/>
        <color rgb="FFFF0000"/>
        <rFont val="微软雅黑"/>
        <charset val="134"/>
      </rPr>
      <t>PCB使用普通板材的价格，不指定</t>
    </r>
    <r>
      <rPr>
        <sz val="9"/>
        <rFont val="微软雅黑"/>
        <charset val="134"/>
      </rPr>
      <t>；单Tpye c IC及两个Type c接口；MP86941*5pcs;IT5570E;含有Intel雷电IC;</t>
    </r>
  </si>
  <si>
    <t>MTN79T(SKU1)</t>
  </si>
  <si>
    <t>DN79(SKU19)</t>
  </si>
  <si>
    <t>MTN79(SKU20)</t>
  </si>
  <si>
    <t>MP86941*3pcs;IT5570E;PCB工艺价格为OSP,如需要沉金的 请单独核价；</t>
  </si>
  <si>
    <t>DNTU(SKU9)</t>
  </si>
  <si>
    <t>PCB更新为osp工艺的价格</t>
  </si>
  <si>
    <t>MTN25(10L+通孔+沉金)</t>
  </si>
  <si>
    <t>SKU8(中配临时BOM）</t>
  </si>
  <si>
    <t>SKU9(高配临时BOM）</t>
  </si>
  <si>
    <t>A.F.M.2500369-MP</t>
  </si>
  <si>
    <t>SKU175</t>
  </si>
  <si>
    <t>单Tpye c IC及两个Type c接口；IT5570E;MP86941*5pcs;IT66318FN/EW-0003(R)</t>
  </si>
  <si>
    <t>A.F.M.2401280-MP</t>
  </si>
  <si>
    <t>Non Type c(一个Type c接口)</t>
  </si>
  <si>
    <t>4GB DDR4</t>
  </si>
  <si>
    <t>E.M.R.0000053</t>
  </si>
  <si>
    <t>暂无报价</t>
  </si>
  <si>
    <t>PCIE 256GB SSD</t>
  </si>
  <si>
    <t>CDW-C9821CE-00</t>
  </si>
  <si>
    <t>A.F.M.2402270-MP</t>
  </si>
  <si>
    <t>SKU159</t>
  </si>
  <si>
    <t>i3-1315U（15W）</t>
  </si>
  <si>
    <t>单Tpye c IC及一个Type c接口；ANX7447QN;IT5570E;MP86941*3;</t>
  </si>
  <si>
    <t>E.M.W.0000142</t>
  </si>
  <si>
    <t>C9822CE</t>
  </si>
  <si>
    <t>2.7$</t>
  </si>
  <si>
    <t>单Type C IC及两个Type c 接口;含有IT66318FN；CPU缺货，请和采购单独确认下价格；此价格为表面沉金工艺，如客户无指定需求 可以按OSP工艺核算，价格4.88$</t>
  </si>
  <si>
    <t>含SN6140</t>
  </si>
  <si>
    <t>单Type C IC及两个Type c 接口;含有IT66318FN；CPU缺货，请和采购单独确认下价格；，如客户无指定需求 可以按OSP工艺核算，价格4.88$</t>
  </si>
  <si>
    <t>DN79C(SKU6)</t>
  </si>
  <si>
    <t>24139小板</t>
  </si>
  <si>
    <t>16G</t>
  </si>
  <si>
    <t>（先参考价格，不限定品牌，DDR涨幅太快，需接单前再和采购确认价格）</t>
  </si>
  <si>
    <t>512G</t>
  </si>
  <si>
    <t>32G</t>
  </si>
  <si>
    <t>现价格</t>
  </si>
  <si>
    <t>DNN21S(SKU30)</t>
  </si>
  <si>
    <t>24068小板</t>
  </si>
  <si>
    <t>DB60</t>
  </si>
  <si>
    <t>A.F.M.2500443</t>
  </si>
  <si>
    <t>SKU18（梁颖临时BOM）</t>
  </si>
  <si>
    <t xml:space="preserve"> 1240P(28W)</t>
  </si>
  <si>
    <t>单Type c；含雷电IC*1pcs,\网路千兆IC 及2.5G IC;IT5570VG</t>
  </si>
  <si>
    <t>A.F.M.2301458-MP</t>
  </si>
  <si>
    <t>i5-1235U(不带IPU)(15W)</t>
  </si>
  <si>
    <t>单Type C IC及两个Type c接口;MP86941*3pcs;IT5570E;W25R256JVEIN</t>
  </si>
  <si>
    <t>A.F.M.2400042-MP</t>
  </si>
  <si>
    <t>A.F.M.2400043-MP</t>
  </si>
  <si>
    <t>SKU62</t>
  </si>
  <si>
    <t>A.F.M.2401950-MP</t>
  </si>
  <si>
    <t>SKU148</t>
  </si>
  <si>
    <t>单Tpye c IC及一个Type c接口；ANX7447QN;IT5570E;MP86941*3</t>
  </si>
  <si>
    <t>E.M.P.0000308</t>
  </si>
  <si>
    <t>WPNM28-512G</t>
  </si>
  <si>
    <t>沃存</t>
  </si>
  <si>
    <t>存储涨价幅度大，接单钱请实时和采购询价</t>
  </si>
  <si>
    <t>E.M.R.0000143</t>
  </si>
  <si>
    <t>WPBH32D416SWA-16G</t>
  </si>
  <si>
    <t>E.M.R.0000234</t>
  </si>
  <si>
    <t xml:space="preserve">WPBS48D504SWB-8G </t>
  </si>
  <si>
    <t>缺货，暂不接单</t>
  </si>
  <si>
    <t>A.F.M.2500238-PVT</t>
  </si>
  <si>
    <t>单Type C及一个Type  c接口；ALC269Q;IT5570E,</t>
  </si>
  <si>
    <t>DNXU(8L+通孔+OSP)</t>
  </si>
  <si>
    <t>A.F.M.2200232-pvt</t>
  </si>
  <si>
    <t>单Type c；含加密IC TPM；MP86941GQVT*4PCS；IT5570E</t>
  </si>
  <si>
    <t>SKU25(临时替换bom）</t>
  </si>
  <si>
    <t>1235U（15w）</t>
  </si>
  <si>
    <t>Type C ic及1个Type c接口；含ANX7447QN；MP2964GQKT；IT5570E；含3颗MP86941GQVT，cpu需要和采购确认库存状态</t>
  </si>
  <si>
    <t>主板改CPU 成4500报价</t>
  </si>
  <si>
    <t>4月份汇率：7.25币种:USA</t>
  </si>
  <si>
    <t>A.F.M.2500240-PVT</t>
  </si>
  <si>
    <t>A.F.M.2500367-MP</t>
  </si>
  <si>
    <t>SKU173</t>
  </si>
  <si>
    <t>单Tpye c IC及两个Type c接口；IT5570E;MP86941*3pcs;IT66318FN/EW-0003(R)</t>
  </si>
  <si>
    <t>单Type C IC及两个Type c 接口;MP2964GQKT;MP86941*5pcs；IT5570E；此价格为表面沉金工艺，如客户无指定需求 可以按OSP工艺核算，价格4.88$</t>
  </si>
  <si>
    <r>
      <rPr>
        <b/>
        <sz val="9"/>
        <rFont val="微软雅黑"/>
        <charset val="134"/>
      </rPr>
      <t xml:space="preserve">4月份汇率：7.25币种:USA                          </t>
    </r>
    <r>
      <rPr>
        <b/>
        <sz val="9"/>
        <color rgb="FFFF0000"/>
        <rFont val="微软雅黑"/>
        <charset val="134"/>
      </rPr>
      <t>因最近DDR SSD涨幅很大，需要和采购实时询价确认下单</t>
    </r>
  </si>
  <si>
    <r>
      <rPr>
        <sz val="9"/>
        <rFont val="微软雅黑"/>
        <charset val="134"/>
      </rPr>
      <t>Non RJ45/Non WIFI.时创意新方案待验证128G*$6.6  256G*$14；如果用SSD成本如下 SATA: 128G/256G  $9/$14、PCIE: 128G/256G  $10/$15.2;Others参考A.F.M.2401542(SKU44)/A.F.M.2401634(</t>
    </r>
    <r>
      <rPr>
        <sz val="9"/>
        <color theme="9" tint="-0.25"/>
        <rFont val="微软雅黑"/>
        <charset val="134"/>
      </rPr>
      <t>SKU45</t>
    </r>
    <r>
      <rPr>
        <sz val="9"/>
        <rFont val="微软雅黑"/>
        <charset val="134"/>
      </rPr>
      <t>)，</t>
    </r>
    <r>
      <rPr>
        <sz val="9"/>
        <color theme="9" tint="-0.25"/>
        <rFont val="微软雅黑"/>
        <charset val="134"/>
      </rPr>
      <t>DDR EMMC按低价配置搭配</t>
    </r>
  </si>
  <si>
    <r>
      <rPr>
        <sz val="9"/>
        <rFont val="微软雅黑"/>
        <charset val="134"/>
      </rPr>
      <t>Non RJ45/Non WIFI.时创意新方案待验证128G*$6.6  256G*$14；如果用SSD成本如下 SATA: 128G/256G  $9/$14、PCIE: 128G/256G  $10/$15.2;Others参考A.F.M.2401542(</t>
    </r>
    <r>
      <rPr>
        <sz val="9"/>
        <color theme="9" tint="-0.25"/>
        <rFont val="微软雅黑"/>
        <charset val="134"/>
      </rPr>
      <t>SKU44</t>
    </r>
    <r>
      <rPr>
        <sz val="9"/>
        <rFont val="微软雅黑"/>
        <charset val="134"/>
      </rPr>
      <t>)/A.F.M.2401634(</t>
    </r>
    <r>
      <rPr>
        <sz val="9"/>
        <color theme="9" tint="-0.25"/>
        <rFont val="微软雅黑"/>
        <charset val="134"/>
      </rPr>
      <t>SKU45</t>
    </r>
    <r>
      <rPr>
        <sz val="9"/>
        <rFont val="微软雅黑"/>
        <charset val="134"/>
      </rPr>
      <t>)，</t>
    </r>
    <r>
      <rPr>
        <sz val="9"/>
        <color theme="9" tint="-0.25"/>
        <rFont val="微软雅黑"/>
        <charset val="134"/>
      </rPr>
      <t>DDR 按低价配置搭配</t>
    </r>
  </si>
  <si>
    <t>时创意/LPDDR4X-366球4G</t>
  </si>
  <si>
    <t>DDR使用库存料；IT5570E</t>
  </si>
  <si>
    <t>A.F.M.2500084-MP</t>
  </si>
  <si>
    <t>CPU缺货，请和采购单独确认下价格；单Tpye c IC及一个Type c接口；IT5570E;ALC269Q</t>
  </si>
  <si>
    <t>4月份汇率：7.31币种:USA</t>
  </si>
  <si>
    <t>DNS15</t>
  </si>
  <si>
    <t>主板临时bom</t>
  </si>
  <si>
    <t>0+32GB</t>
  </si>
  <si>
    <t>群联（请和采购实时询价为准)</t>
  </si>
  <si>
    <t>pcb参考ADNT58；含INTEL 网卡IC;AQC113C-B1-C;含加密IC TPM;MP86941*3PCS；IT8786E-I/HX；</t>
  </si>
  <si>
    <t>HDD小板临时bom</t>
  </si>
  <si>
    <t>pcb参考MTS12</t>
  </si>
  <si>
    <t>HDD小板临时bom 3盘位</t>
  </si>
  <si>
    <t>HDD小板临时bom 4盘位</t>
  </si>
  <si>
    <t>ASM1064</t>
  </si>
  <si>
    <t>主板临时bom更新</t>
  </si>
  <si>
    <t>pcb参考ADNT58；含INTEL 网卡IC;AQC113C-B1-C;含加密IC TPM;MP86941*3PCS；IT8786E-I/HX；ASM1064</t>
  </si>
  <si>
    <t>HDD小板临时bom 6盘位更新</t>
  </si>
  <si>
    <t>pcb参考MTS12;ASM1064</t>
  </si>
  <si>
    <t>PCIE 10G网卡小板临时bom</t>
  </si>
  <si>
    <t>pcb参考MTS12;AQC113C-B1-C(此价格不含PCIE SWITCH,)</t>
  </si>
  <si>
    <t>单type c;含有Intel雷电IC;含有G2708CKU1U；CPU缺货，请和采购单独确认下价格；</t>
  </si>
  <si>
    <t>DDR 使用三星停产暂无价格，单Type-c IC及两个Type c 接口；IT5570E;MP2964GQKT</t>
  </si>
  <si>
    <t>LPDDR4x-200球4G</t>
  </si>
  <si>
    <t>DDR 使用三星停产暂无价格，单Type-c IC及两个Type c 接口；IT5570E;MP2964GQKT;MP86941*3pcs</t>
  </si>
  <si>
    <t>DN79C(80~100k）</t>
  </si>
  <si>
    <r>
      <rPr>
        <sz val="9"/>
        <rFont val="微软雅黑"/>
        <charset val="134"/>
      </rPr>
      <t>I5-13420H(45W)</t>
    </r>
    <r>
      <rPr>
        <sz val="10"/>
        <rFont val="宋体"/>
        <charset val="134"/>
      </rPr>
      <t>（客供）</t>
    </r>
  </si>
  <si>
    <t>单Type C IC及两个Type c 接口;含有IT66318FN；IT5570E；MP86941*5pcs；如客户无指定需求.可按OSP工艺核算，价格4.88$</t>
  </si>
  <si>
    <r>
      <rPr>
        <b/>
        <sz val="10"/>
        <color theme="1"/>
        <rFont val="微软雅黑"/>
        <charset val="134"/>
      </rPr>
      <t>4月份汇率：</t>
    </r>
    <r>
      <rPr>
        <b/>
        <sz val="10"/>
        <color theme="1"/>
        <rFont val="Arial"/>
        <charset val="134"/>
      </rPr>
      <t>7.31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</si>
  <si>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r>
      <rPr>
        <sz val="10"/>
        <rFont val="Arial"/>
        <charset val="134"/>
      </rPr>
      <t>SKU104(leo</t>
    </r>
    <r>
      <rPr>
        <sz val="10"/>
        <rFont val="宋体"/>
        <charset val="134"/>
      </rPr>
      <t>的配置</t>
    </r>
    <r>
      <rPr>
        <sz val="10"/>
        <rFont val="Arial"/>
        <charset val="134"/>
      </rPr>
      <t>)</t>
    </r>
  </si>
  <si>
    <t>CPU改成1335U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</si>
  <si>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IC;CPU</t>
    </r>
    <r>
      <rPr>
        <sz val="10"/>
        <rFont val="微软雅黑"/>
        <charset val="134"/>
      </rPr>
      <t>不接单 请和采购确认；</t>
    </r>
  </si>
  <si>
    <t>A.F.M.2500427-MP</t>
  </si>
  <si>
    <r>
      <rPr>
        <sz val="10"/>
        <rFont val="Arial"/>
        <charset val="134"/>
      </rPr>
      <t xml:space="preserve">DDR </t>
    </r>
    <r>
      <rPr>
        <sz val="10"/>
        <rFont val="宋体"/>
        <charset val="134"/>
      </rPr>
      <t>使用江波龙，双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;MP86941*5pcs;IT5570E;IT66318FN;MP2964GQKT</t>
    </r>
  </si>
  <si>
    <t>A.F.M.2500428-MP</t>
  </si>
  <si>
    <r>
      <rPr>
        <sz val="10"/>
        <rFont val="Arial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MP87440GQVT*2pcs;W25R256JWEIQ;IT5570VG;MP86941*2pcs</t>
    </r>
  </si>
  <si>
    <r>
      <rPr>
        <sz val="10"/>
        <rFont val="Arial"/>
        <charset val="134"/>
      </rPr>
      <t>双</t>
    </r>
    <r>
      <rPr>
        <sz val="10"/>
        <rFont val="Arial"/>
        <charset val="134"/>
      </rPr>
      <t>Tpye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接口；T55B156M025C0100*9pcs；</t>
    </r>
    <r>
      <rPr>
        <sz val="10"/>
        <rFont val="Arial"/>
        <charset val="134"/>
      </rPr>
      <t>MP87440GQVT*3pcs;W25R256JWEIQ;IT5570VG;MP86941*3pcs</t>
    </r>
  </si>
  <si>
    <r>
      <rPr>
        <sz val="10"/>
        <rFont val="Arial"/>
        <charset val="134"/>
      </rPr>
      <t>双</t>
    </r>
    <r>
      <rPr>
        <sz val="10"/>
        <rFont val="Arial"/>
        <charset val="134"/>
      </rPr>
      <t>Tpye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接口；MP87440GQVT</t>
    </r>
    <r>
      <rPr>
        <sz val="10"/>
        <rFont val="Arial"/>
        <charset val="134"/>
      </rPr>
      <t>*3pcs;W25R256JWEIQ;IT66318FN;IT5570VG;MP86941*3pcs;</t>
    </r>
    <r>
      <rPr>
        <sz val="10"/>
        <rFont val="宋体"/>
        <charset val="134"/>
      </rPr>
      <t>含加密IC TPM</t>
    </r>
  </si>
  <si>
    <t>A.F.D.2500072 AUDIO DB</t>
  </si>
  <si>
    <r>
      <rPr>
        <sz val="10"/>
        <rFont val="Arial"/>
        <charset val="134"/>
      </rPr>
      <t>Type c(</t>
    </r>
    <r>
      <rPr>
        <sz val="10"/>
        <rFont val="宋体"/>
        <charset val="134"/>
      </rPr>
      <t>一个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</si>
  <si>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t>A.F.M.2500241-PVT</t>
  </si>
  <si>
    <r>
      <rPr>
        <sz val="10"/>
        <rFont val="Arial"/>
        <charset val="134"/>
      </rPr>
      <t>DDR SSD</t>
    </r>
    <r>
      <rPr>
        <sz val="10"/>
        <rFont val="宋体"/>
        <charset val="134"/>
      </rPr>
      <t>涨幅大，如下单独购买请按实时询价</t>
    </r>
  </si>
  <si>
    <r>
      <rPr>
        <sz val="8"/>
        <color theme="1"/>
        <rFont val="微软雅黑"/>
        <charset val="134"/>
      </rPr>
      <t>沃存</t>
    </r>
    <r>
      <rPr>
        <sz val="8"/>
        <color theme="1"/>
        <rFont val="Arial"/>
        <charset val="134"/>
      </rPr>
      <t>(Wodposit)</t>
    </r>
  </si>
  <si>
    <t>单独购买10pcs</t>
  </si>
  <si>
    <r>
      <rPr>
        <sz val="8"/>
        <color theme="1"/>
        <rFont val="微软雅黑"/>
        <charset val="134"/>
      </rPr>
      <t>江波龙（</t>
    </r>
    <r>
      <rPr>
        <sz val="8"/>
        <color theme="1"/>
        <rFont val="Arial"/>
        <charset val="134"/>
      </rPr>
      <t>Airdisk</t>
    </r>
    <r>
      <rPr>
        <sz val="8"/>
        <color theme="1"/>
        <rFont val="微软雅黑"/>
        <charset val="134"/>
      </rPr>
      <t>）</t>
    </r>
  </si>
  <si>
    <t>A.F.M.2400902-MP</t>
  </si>
  <si>
    <t>SKU103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</si>
  <si>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</si>
  <si>
    <r>
      <rPr>
        <sz val="10"/>
        <rFont val="宋体"/>
        <charset val="134"/>
      </rPr>
      <t>含</t>
    </r>
    <r>
      <rPr>
        <sz val="10"/>
        <rFont val="Arial"/>
        <charset val="134"/>
      </rPr>
      <t>8111H,GL850G,GL3510</t>
    </r>
  </si>
  <si>
    <r>
      <rPr>
        <sz val="10"/>
        <rFont val="宋体"/>
        <charset val="134"/>
      </rPr>
      <t>含有</t>
    </r>
    <r>
      <rPr>
        <sz val="10"/>
        <rFont val="Arial"/>
        <charset val="134"/>
      </rPr>
      <t>8111H</t>
    </r>
  </si>
  <si>
    <r>
      <rPr>
        <sz val="10"/>
        <rFont val="Arial"/>
        <charset val="134"/>
      </rPr>
      <t>i3-1315U</t>
    </r>
    <r>
      <rPr>
        <sz val="10"/>
        <rFont val="宋体"/>
        <charset val="134"/>
      </rPr>
      <t>（</t>
    </r>
    <r>
      <rPr>
        <sz val="10"/>
        <rFont val="Arial"/>
        <charset val="134"/>
      </rPr>
      <t>15W</t>
    </r>
    <r>
      <rPr>
        <sz val="10"/>
        <rFont val="宋体"/>
        <charset val="134"/>
      </rPr>
      <t>）</t>
    </r>
  </si>
  <si>
    <t>A.F.M.2500321-MP</t>
  </si>
  <si>
    <t>DDR 使用江波龙，单Type C IC及两个Type c接口;MP86941*3pcs;IT5570E;</t>
  </si>
  <si>
    <t>A.F.M.2500322-MP</t>
  </si>
  <si>
    <t>DDR 使用江波龙，双Type C IC及两个Type c接口;MP86941*3pcs;IT5570E;</t>
  </si>
  <si>
    <t>A.F.M.2500323-MP</t>
  </si>
  <si>
    <t>DDR 使用江波龙，双Type C IC及两个Type c接口;MP86941*5pcs;IT5570E;IT66318FN</t>
  </si>
  <si>
    <t>E.M.P.0000456</t>
  </si>
  <si>
    <t>OM8TAP41024K1-A00</t>
  </si>
  <si>
    <t>E.M.P.0000469</t>
  </si>
  <si>
    <t>OM8PGP4256Q-A0</t>
  </si>
  <si>
    <t>E.M.P.0000455</t>
  </si>
  <si>
    <t>OM8TAP4512K1-A00</t>
  </si>
  <si>
    <t>单Type C IC及两个Type C 接口；DDR使用佰维；IT5570E;W25R256JWEIQ;RT3634CEGQW-28W;SiC634CD*4pcs;</t>
  </si>
  <si>
    <t>双Type C IC及两个Type C 接口；DDR使用野马士(价格暂无）；SiC634CD*6pcs;RT3634CEGQW;W25R256JWEIQ;IT66318FN</t>
  </si>
  <si>
    <t>双Type C IC及两个Type C 接口；DDR使用江波龙；SiC634CD*6pcs;RT3634CEGQW;W25R256JWEIQ;IT66318FN;G2708CKU1U</t>
  </si>
  <si>
    <r>
      <rPr>
        <sz val="10"/>
        <rFont val="Arial"/>
        <charset val="134"/>
      </rPr>
      <t>SKU38(</t>
    </r>
    <r>
      <rPr>
        <sz val="10"/>
        <color rgb="FFFF0000"/>
        <rFont val="宋体"/>
        <charset val="134"/>
      </rPr>
      <t>替换</t>
    </r>
    <r>
      <rPr>
        <sz val="10"/>
        <color rgb="FFFF0000"/>
        <rFont val="Arial"/>
        <charset val="134"/>
      </rPr>
      <t>N4505</t>
    </r>
    <r>
      <rPr>
        <sz val="10"/>
        <rFont val="Arial"/>
        <charset val="134"/>
      </rPr>
      <t>)</t>
    </r>
  </si>
  <si>
    <t>N4505</t>
  </si>
  <si>
    <t>MP86941*2pcs;IT5570E;</t>
  </si>
  <si>
    <t>目前无价格，需和采购实时询价</t>
  </si>
  <si>
    <r>
      <rPr>
        <sz val="10"/>
        <rFont val="Arial"/>
        <charset val="134"/>
      </rPr>
      <t xml:space="preserve">DDR </t>
    </r>
    <r>
      <rPr>
        <sz val="10"/>
        <rFont val="宋体"/>
        <charset val="134"/>
      </rPr>
      <t>使用海力士，两个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MP86941*5pcs;CPU</t>
    </r>
    <r>
      <rPr>
        <sz val="10"/>
        <rFont val="宋体"/>
        <charset val="134"/>
      </rPr>
      <t>缺货，请和采购单独确认下价格；</t>
    </r>
  </si>
  <si>
    <r>
      <rPr>
        <sz val="8"/>
        <rFont val="Arial"/>
        <charset val="134"/>
      </rPr>
      <t xml:space="preserve"> E.M.P.0000344  </t>
    </r>
    <r>
      <rPr>
        <sz val="8"/>
        <rFont val="宋体"/>
        <charset val="134"/>
      </rPr>
      <t>金士顿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</si>
  <si>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接口；</t>
    </r>
  </si>
  <si>
    <t>DNN21S(SKU46)</t>
  </si>
  <si>
    <t>23314小板</t>
  </si>
  <si>
    <t>A.F.M.2402217-PVT</t>
  </si>
  <si>
    <r>
      <rPr>
        <sz val="10"/>
        <rFont val="Arial"/>
        <charset val="134"/>
      </rPr>
      <t>265H(Q5YQ</t>
    </r>
    <r>
      <rPr>
        <sz val="10"/>
        <rFont val="宋体"/>
        <charset val="134"/>
      </rPr>
      <t>研发样品）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</si>
  <si>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使用佰维；双Type C IC及两个Type C 接口；</t>
    </r>
    <r>
      <rPr>
        <sz val="10"/>
        <rFont val="Arial"/>
        <charset val="134"/>
      </rPr>
      <t>CPU</t>
    </r>
    <r>
      <rPr>
        <sz val="10"/>
        <rFont val="宋体"/>
        <charset val="134"/>
      </rPr>
      <t>研发样品，如正式，</t>
    </r>
    <r>
      <rPr>
        <sz val="10"/>
        <rFont val="Arial"/>
        <charset val="134"/>
      </rPr>
      <t>PS1713DQW</t>
    </r>
    <r>
      <rPr>
        <sz val="10"/>
        <rFont val="宋体"/>
        <charset val="134"/>
      </rPr>
      <t>；</t>
    </r>
    <r>
      <rPr>
        <sz val="10"/>
        <rFont val="Arial"/>
        <charset val="134"/>
      </rPr>
      <t>W25R256JWEIQ</t>
    </r>
    <r>
      <rPr>
        <sz val="10"/>
        <rFont val="宋体"/>
        <charset val="134"/>
      </rPr>
      <t>；</t>
    </r>
    <r>
      <rPr>
        <sz val="10"/>
        <rFont val="Arial"/>
        <charset val="134"/>
      </rPr>
      <t>IT5570E</t>
    </r>
    <r>
      <rPr>
        <sz val="10"/>
        <rFont val="宋体"/>
        <charset val="134"/>
      </rPr>
      <t>；</t>
    </r>
    <r>
      <rPr>
        <sz val="10"/>
        <rFont val="Arial"/>
        <charset val="134"/>
      </rPr>
      <t>IT66318FN</t>
    </r>
    <r>
      <rPr>
        <sz val="10"/>
        <rFont val="宋体"/>
        <charset val="134"/>
      </rPr>
      <t>；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</si>
  <si>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使用江波龙；双Type C IC及两个Type C 接口；</t>
    </r>
    <r>
      <rPr>
        <sz val="10"/>
        <rFont val="Arial"/>
        <charset val="134"/>
      </rPr>
      <t>SiC634CD-*6pcs;RT3634CEGQW;W25R256JWEIQ;IT5570E;</t>
    </r>
  </si>
  <si>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月份汇率：</t>
    </r>
    <r>
      <rPr>
        <b/>
        <sz val="10"/>
        <color theme="1"/>
        <rFont val="Arial"/>
        <charset val="134"/>
      </rPr>
      <t>7.31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</si>
  <si>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DNN10A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</si>
  <si>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宋体"/>
        <charset val="134"/>
      </rPr>
      <t>海力士</t>
    </r>
    <r>
      <rPr>
        <sz val="10"/>
        <rFont val="Arial"/>
        <charset val="134"/>
      </rPr>
      <t>/</t>
    </r>
    <r>
      <rPr>
        <sz val="10"/>
        <rFont val="宋体"/>
        <charset val="134"/>
      </rPr>
      <t>三星（二手料）</t>
    </r>
    <r>
      <rPr>
        <sz val="10"/>
        <rFont val="Arial"/>
        <charset val="134"/>
      </rPr>
      <t>,</t>
    </r>
    <r>
      <rPr>
        <sz val="10"/>
        <rFont val="宋体"/>
        <charset val="134"/>
      </rPr>
      <t>无</t>
    </r>
    <r>
      <rPr>
        <sz val="10"/>
        <rFont val="Arial"/>
        <charset val="134"/>
      </rPr>
      <t xml:space="preserve">Type c IC </t>
    </r>
    <r>
      <rPr>
        <sz val="10"/>
        <rFont val="宋体"/>
        <charset val="134"/>
      </rPr>
      <t>无接口</t>
    </r>
    <r>
      <rPr>
        <sz val="10"/>
        <rFont val="Arial"/>
        <charset val="134"/>
      </rPr>
      <t>;T5570E;PCB</t>
    </r>
    <r>
      <rPr>
        <sz val="10"/>
        <rFont val="宋体"/>
        <charset val="134"/>
      </rPr>
      <t>参考以前价格；EMMC停产验新料价格</t>
    </r>
  </si>
  <si>
    <r>
      <rPr>
        <sz val="10"/>
        <rFont val="宋体"/>
        <charset val="134"/>
      </rPr>
      <t>三个</t>
    </r>
    <r>
      <rPr>
        <sz val="10"/>
        <rFont val="Arial"/>
        <charset val="134"/>
      </rPr>
      <t xml:space="preserve">TYPE C IC 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带</t>
    </r>
    <r>
      <rPr>
        <sz val="10"/>
        <rFont val="Arial"/>
        <charset val="134"/>
      </rPr>
      <t>HDMI</t>
    </r>
    <r>
      <rPr>
        <sz val="10"/>
        <rFont val="微软雅黑"/>
        <charset val="134"/>
      </rPr>
      <t>，</t>
    </r>
    <r>
      <rPr>
        <sz val="10"/>
        <rFont val="Arial"/>
        <charset val="134"/>
      </rPr>
      <t>DDR</t>
    </r>
    <r>
      <rPr>
        <sz val="10"/>
        <rFont val="微软雅黑"/>
        <charset val="134"/>
      </rPr>
      <t>使用江波龙</t>
    </r>
    <r>
      <rPr>
        <sz val="10"/>
        <rFont val="Arial"/>
        <charset val="134"/>
      </rPr>
      <t>N2</t>
    </r>
    <r>
      <rPr>
        <sz val="10"/>
        <rFont val="微软雅黑"/>
        <charset val="134"/>
      </rPr>
      <t>；含移远的</t>
    </r>
    <r>
      <rPr>
        <sz val="10"/>
        <rFont val="Arial"/>
        <charset val="134"/>
      </rPr>
      <t>4G</t>
    </r>
    <r>
      <rPr>
        <sz val="10"/>
        <rFont val="微软雅黑"/>
        <charset val="134"/>
      </rPr>
      <t>模块;IT5570E;IT66318FN/EW-0003(R);ALC269Q</t>
    </r>
  </si>
  <si>
    <t>JN56(SKU11)</t>
  </si>
  <si>
    <r>
      <rPr>
        <sz val="10"/>
        <rFont val="Arial"/>
        <charset val="134"/>
      </rPr>
      <t>SKU6(</t>
    </r>
    <r>
      <rPr>
        <sz val="10"/>
        <rFont val="宋体"/>
        <charset val="134"/>
      </rPr>
      <t>替换成</t>
    </r>
    <r>
      <rPr>
        <sz val="10"/>
        <rFont val="Arial"/>
        <charset val="134"/>
      </rPr>
      <t>1315U</t>
    </r>
    <r>
      <rPr>
        <sz val="10"/>
        <rFont val="宋体"/>
        <charset val="134"/>
      </rPr>
      <t>）程润芝需求</t>
    </r>
  </si>
  <si>
    <r>
      <rPr>
        <sz val="10"/>
        <rFont val="Arial"/>
        <charset val="134"/>
      </rPr>
      <t>1315U</t>
    </r>
    <r>
      <rPr>
        <sz val="10"/>
        <rFont val="宋体"/>
        <charset val="134"/>
      </rPr>
      <t>（</t>
    </r>
    <r>
      <rPr>
        <sz val="10"/>
        <rFont val="Arial"/>
        <charset val="134"/>
      </rPr>
      <t>15W</t>
    </r>
    <r>
      <rPr>
        <sz val="10"/>
        <rFont val="宋体"/>
        <charset val="134"/>
      </rPr>
      <t>）</t>
    </r>
  </si>
  <si>
    <t>单Type C IC及两个Type c 接口;含有IT66318FN；CPU缺货，请和采购单独确认下价格；此价格为表面沉金工艺，如客户无指定需求 可以按OSP工艺核算</t>
  </si>
  <si>
    <r>
      <rPr>
        <sz val="8"/>
        <rFont val="Arial"/>
        <charset val="134"/>
      </rPr>
      <t xml:space="preserve"> E.M.P.0000344EOL,</t>
    </r>
    <r>
      <rPr>
        <sz val="8"/>
        <rFont val="微软雅黑"/>
        <charset val="134"/>
      </rPr>
      <t>后续</t>
    </r>
    <r>
      <rPr>
        <sz val="8"/>
        <rFont val="Arial"/>
        <charset val="134"/>
      </rPr>
      <t>E.M.P.0000456</t>
    </r>
  </si>
  <si>
    <r>
      <rPr>
        <sz val="8"/>
        <color theme="1"/>
        <rFont val="微软雅黑"/>
        <charset val="134"/>
      </rPr>
      <t>英睿达</t>
    </r>
    <r>
      <rPr>
        <sz val="8"/>
        <color theme="1"/>
        <rFont val="Arial"/>
        <charset val="134"/>
      </rPr>
      <t>(Crucial)</t>
    </r>
  </si>
  <si>
    <r>
      <rPr>
        <sz val="8"/>
        <rFont val="Arial"/>
        <charset val="134"/>
      </rPr>
      <t>2025</t>
    </r>
    <r>
      <rPr>
        <sz val="8"/>
        <rFont val="微软雅黑"/>
        <charset val="134"/>
      </rPr>
      <t>年</t>
    </r>
    <r>
      <rPr>
        <sz val="8"/>
        <rFont val="Arial"/>
        <charset val="134"/>
      </rPr>
      <t>7</t>
    </r>
    <r>
      <rPr>
        <sz val="8"/>
        <rFont val="微软雅黑"/>
        <charset val="134"/>
      </rPr>
      <t>月停止接单，即将</t>
    </r>
    <r>
      <rPr>
        <sz val="8"/>
        <rFont val="Arial"/>
        <charset val="134"/>
      </rPr>
      <t>EOL</t>
    </r>
  </si>
  <si>
    <t>DNN11</t>
  </si>
  <si>
    <r>
      <rPr>
        <sz val="10"/>
        <rFont val="Arial"/>
        <charset val="134"/>
      </rPr>
      <t>SKU8(leo</t>
    </r>
    <r>
      <rPr>
        <sz val="10"/>
        <rFont val="宋体"/>
        <charset val="134"/>
      </rPr>
      <t>需求替换</t>
    </r>
    <r>
      <rPr>
        <sz val="10"/>
        <rFont val="Arial"/>
        <charset val="134"/>
      </rPr>
      <t>cpu N150</t>
    </r>
    <r>
      <rPr>
        <sz val="10"/>
        <rFont val="宋体"/>
        <charset val="134"/>
      </rPr>
      <t>）</t>
    </r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</si>
  <si>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暂无价格</t>
    </r>
    <r>
      <rPr>
        <sz val="10"/>
        <rFont val="微软雅黑"/>
        <charset val="134"/>
      </rPr>
      <t>；单</t>
    </r>
    <r>
      <rPr>
        <sz val="10"/>
        <rFont val="Arial"/>
        <charset val="134"/>
      </rPr>
      <t>Typec</t>
    </r>
    <r>
      <rPr>
        <sz val="10"/>
        <rFont val="宋体"/>
        <charset val="134"/>
      </rPr>
      <t>及两个接口</t>
    </r>
    <r>
      <rPr>
        <sz val="10"/>
        <rFont val="Arial"/>
        <charset val="134"/>
      </rPr>
      <t>;</t>
    </r>
  </si>
  <si>
    <r>
      <rPr>
        <sz val="10"/>
        <rFont val="Arial"/>
        <charset val="134"/>
      </rPr>
      <t>SKU10(leo</t>
    </r>
    <r>
      <rPr>
        <sz val="10"/>
        <rFont val="宋体"/>
        <charset val="134"/>
      </rPr>
      <t>需求替换cpu N150）</t>
    </r>
  </si>
  <si>
    <t>DDR使用Spectek暂无价格；单Typec C IC及两个接口;</t>
  </si>
  <si>
    <r>
      <rPr>
        <sz val="10"/>
        <rFont val="Arial"/>
        <charset val="134"/>
      </rPr>
      <t xml:space="preserve">DDR </t>
    </r>
    <r>
      <rPr>
        <sz val="10"/>
        <rFont val="宋体"/>
        <charset val="134"/>
      </rPr>
      <t>使用三星停产暂无价格，</t>
    </r>
    <r>
      <rPr>
        <sz val="10"/>
        <rFont val="Arial"/>
        <charset val="134"/>
      </rPr>
      <t>Type-c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IT5570E;MP2964GQKT;MP86941*3pcs</t>
    </r>
  </si>
  <si>
    <t>单Type C IC及两个Type c 接口;IT5570E；MP86941*5pcs；25TQC15MYFB*8pcs;IT66318FN/EW；CPU缺货，请和采购单独确认下价格；此价格为表面沉金工艺，如客户无指定需求 可以按OSP工艺核算</t>
  </si>
  <si>
    <r>
      <rPr>
        <sz val="10"/>
        <rFont val="Arial"/>
        <charset val="134"/>
      </rPr>
      <t>DDR</t>
    </r>
    <r>
      <rPr>
        <sz val="10"/>
        <rFont val="微软雅黑"/>
        <charset val="134"/>
      </rPr>
      <t>使用库存料；单</t>
    </r>
    <r>
      <rPr>
        <sz val="10"/>
        <rFont val="Arial"/>
        <charset val="134"/>
      </rPr>
      <t>Typec C IC</t>
    </r>
    <r>
      <rPr>
        <sz val="10"/>
        <rFont val="微软雅黑"/>
        <charset val="134"/>
      </rPr>
      <t>及一个接口</t>
    </r>
    <r>
      <rPr>
        <sz val="10"/>
        <rFont val="Arial"/>
        <charset val="134"/>
      </rPr>
      <t>;ANX7447QN;MP86941*3pcs;MP2964GQKT;CSCE2010WBR6NR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pcb</t>
    </r>
    <r>
      <rPr>
        <sz val="10"/>
        <rFont val="宋体"/>
        <charset val="134"/>
      </rPr>
      <t>使用富腾茂</t>
    </r>
  </si>
  <si>
    <t>DN21B</t>
  </si>
  <si>
    <t>单Type C IC及两个Type c 接口;MP2964GQKT;MP86941*5pcs；IT5570E；此价格为表面沉金工艺，如客户无指定需求 可以按OSP工艺核算</t>
  </si>
  <si>
    <r>
      <rPr>
        <sz val="10"/>
        <rFont val="Arial"/>
        <charset val="134"/>
      </rPr>
      <t xml:space="preserve">DDR </t>
    </r>
    <r>
      <rPr>
        <sz val="10"/>
        <rFont val="微软雅黑"/>
        <charset val="134"/>
      </rPr>
      <t>使用三星暂无价格，单</t>
    </r>
    <r>
      <rPr>
        <sz val="10"/>
        <rFont val="Arial"/>
        <charset val="134"/>
      </rPr>
      <t>Type-c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接口；</t>
    </r>
  </si>
  <si>
    <r>
      <rPr>
        <sz val="10"/>
        <rFont val="宋体"/>
        <charset val="134"/>
      </rPr>
      <t>含</t>
    </r>
    <r>
      <rPr>
        <sz val="10"/>
        <rFont val="Arial"/>
        <charset val="134"/>
      </rPr>
      <t>ALC269Q</t>
    </r>
  </si>
  <si>
    <t>A.F.M.2500156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</si>
  <si>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及一个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接口；</t>
    </r>
    <r>
      <rPr>
        <sz val="10"/>
        <rFont val="微软雅黑"/>
        <charset val="134"/>
      </rPr>
      <t>PCB</t>
    </r>
    <r>
      <rPr>
        <sz val="10"/>
        <rFont val="宋体"/>
        <charset val="134"/>
      </rPr>
      <t>如果是做成OSP，可以做到</t>
    </r>
    <r>
      <rPr>
        <sz val="10"/>
        <rFont val="微软雅黑"/>
        <charset val="134"/>
      </rPr>
      <t>2.9$</t>
    </r>
  </si>
  <si>
    <t>DNN21S(SKI45)</t>
  </si>
  <si>
    <t>pcb如果是做成OSP，可以做到2.9$</t>
  </si>
  <si>
    <t>单Tpye c IC及两个Type c接口；;含有intel雷电IC*2pcs含有RTS5453H;含有MP87440GQVT-Z*6pcs;含有ANX7484Q42-AA1-R,含有W25R256JWEIQ</t>
  </si>
  <si>
    <t>IC含有英特尔 WGI219LM; 含有ALC233</t>
  </si>
  <si>
    <t>UDP加一个FPC</t>
  </si>
  <si>
    <t>A.F.M.2401481-MP</t>
  </si>
  <si>
    <t>SKU129</t>
  </si>
  <si>
    <t>单Tpye c IC及两个Type c接口；ANX7447QN;IT5570E;MP86941*3</t>
  </si>
  <si>
    <t>DN1E</t>
  </si>
  <si>
    <r>
      <rPr>
        <sz val="10"/>
        <rFont val="Arial"/>
        <charset val="134"/>
      </rPr>
      <t>Type c</t>
    </r>
    <r>
      <rPr>
        <sz val="10"/>
        <rFont val="宋体"/>
        <charset val="134"/>
      </rPr>
      <t>（一个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接口）</t>
    </r>
  </si>
  <si>
    <t>单Type c及一个接口；MP86941*3PCS;IT5570E;含雷电ic；MP2964GQKT；IT66318FN；IT8856FN；ALC269Q</t>
  </si>
  <si>
    <t>A.F.M.2401371-MP</t>
  </si>
  <si>
    <t>SKU121</t>
  </si>
  <si>
    <t>DM79C</t>
  </si>
  <si>
    <t>单Type C IC及两个Type c 接口;IT5570E；MP86941*5pcs；25TQC15MYFB*8pcs；CPU缺货，请和采购单独确认下价格；PCB客户无指定需求 可以按OSP工艺核算</t>
  </si>
  <si>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月份汇率：</t>
    </r>
    <r>
      <rPr>
        <b/>
        <sz val="10"/>
        <color theme="1"/>
        <rFont val="Arial"/>
        <charset val="134"/>
      </rPr>
      <t>7.24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</si>
  <si>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ARN793</t>
  </si>
  <si>
    <r>
      <rPr>
        <sz val="10"/>
        <rFont val="微软雅黑"/>
        <charset val="134"/>
      </rPr>
      <t>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</si>
  <si>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>2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用海力士；</t>
    </r>
    <r>
      <rPr>
        <sz val="10"/>
        <rFont val="Arial"/>
        <charset val="134"/>
      </rPr>
      <t>MP86941*4pcs;W25R256JWEIQ;IT5570E;IT66318FN/EW-0003(R);NPCT760xACYX FW7.2.4.0;RTS5453H-GR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</si>
  <si>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>2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用佰维；MP86941</t>
    </r>
    <r>
      <rPr>
        <sz val="10"/>
        <rFont val="Arial"/>
        <charset val="134"/>
      </rPr>
      <t>*4pcs;W25Q256JWEIQ;RTS5453H-GR</t>
    </r>
  </si>
  <si>
    <r>
      <rPr>
        <sz val="10"/>
        <rFont val="微软雅黑"/>
        <charset val="134"/>
      </rPr>
      <t>LPDDR5-315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8G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</si>
  <si>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>2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用佰维；MP86941</t>
    </r>
    <r>
      <rPr>
        <sz val="10"/>
        <rFont val="Arial"/>
        <charset val="134"/>
      </rPr>
      <t>*4pcs;W25Q256JWEIQ;MP2845BGQK-009A-Z;RTS5453H-GR;IT5570E</t>
    </r>
  </si>
  <si>
    <t>LP88</t>
  </si>
  <si>
    <t>Ultra-7-258V</t>
  </si>
  <si>
    <t>Ultra-5-226V</t>
  </si>
  <si>
    <t>试产价格</t>
  </si>
  <si>
    <t>PCB用科翔的，需要后面试产验证一版</t>
  </si>
  <si>
    <t>量产价格(30K-100K)</t>
  </si>
  <si>
    <t>LP88(SKU2)</t>
  </si>
  <si>
    <t>LP88(SKU3)</t>
  </si>
  <si>
    <r>
      <rPr>
        <b/>
        <sz val="10"/>
        <color theme="1"/>
        <rFont val="Arial"/>
        <charset val="134"/>
      </rPr>
      <t>8</t>
    </r>
    <r>
      <rPr>
        <b/>
        <sz val="10"/>
        <color theme="1"/>
        <rFont val="微软雅黑"/>
        <charset val="134"/>
      </rPr>
      <t>月份汇率：</t>
    </r>
    <r>
      <rPr>
        <b/>
        <sz val="10"/>
        <color theme="1"/>
        <rFont val="Arial"/>
        <charset val="134"/>
      </rPr>
      <t>7.17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</si>
  <si>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单Type c IC及两个接口;ALC897;含雷电ic*2pcs；BMI323；IT5570VG；含加密IC TPM（新唐）;TPA2016D2RTJR*2pcs；YZ-2504280001/YZ-2504280002;CW8601B;P25Q40SH；pcb用四会的黑漆树塞</t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</si>
  <si>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使用佰维；双Type C IC及两个Type C 接口；</t>
    </r>
    <r>
      <rPr>
        <sz val="10"/>
        <rFont val="Arial"/>
        <charset val="134"/>
      </rPr>
      <t>CPU</t>
    </r>
    <r>
      <rPr>
        <sz val="10"/>
        <rFont val="宋体"/>
        <charset val="134"/>
      </rPr>
      <t>研发样品，</t>
    </r>
    <r>
      <rPr>
        <sz val="10"/>
        <rFont val="Arial"/>
        <charset val="134"/>
      </rPr>
      <t>PS1713DQW</t>
    </r>
    <r>
      <rPr>
        <sz val="10"/>
        <rFont val="宋体"/>
        <charset val="134"/>
      </rPr>
      <t>；</t>
    </r>
    <r>
      <rPr>
        <sz val="10"/>
        <rFont val="Arial"/>
        <charset val="134"/>
      </rPr>
      <t>W25R256JWEIQ</t>
    </r>
    <r>
      <rPr>
        <sz val="10"/>
        <rFont val="宋体"/>
        <charset val="134"/>
      </rPr>
      <t>；</t>
    </r>
    <r>
      <rPr>
        <sz val="10"/>
        <rFont val="Arial"/>
        <charset val="134"/>
      </rPr>
      <t>IT5570E</t>
    </r>
    <r>
      <rPr>
        <sz val="10"/>
        <rFont val="宋体"/>
        <charset val="134"/>
      </rPr>
      <t>；</t>
    </r>
    <r>
      <rPr>
        <sz val="10"/>
        <rFont val="Arial"/>
        <charset val="134"/>
      </rPr>
      <t>IT66318FN</t>
    </r>
    <r>
      <rPr>
        <sz val="10"/>
        <rFont val="宋体"/>
        <charset val="134"/>
      </rPr>
      <t>；</t>
    </r>
  </si>
  <si>
    <t>试产</t>
  </si>
  <si>
    <t>量产15k</t>
  </si>
  <si>
    <t>MTN21T(SKU3)</t>
  </si>
  <si>
    <r>
      <rPr>
        <b/>
        <sz val="10"/>
        <color theme="1"/>
        <rFont val="微软雅黑"/>
        <charset val="134"/>
      </rPr>
      <t>5月份汇率：</t>
    </r>
    <r>
      <rPr>
        <b/>
        <sz val="10"/>
        <color theme="1"/>
        <rFont val="Arial"/>
        <charset val="134"/>
      </rPr>
      <t>7.24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</si>
  <si>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单Type C IC及两个Type c 接口;IT5570E；MP86941*5pcs；25TQC15MYFB*8pcs；用联茂IT-170GRA2 低损耗无卤板材的PCB需要单独确认价格</t>
  </si>
  <si>
    <r>
      <rPr>
        <sz val="10"/>
        <rFont val="微软雅黑"/>
        <charset val="134"/>
      </rPr>
      <t>含</t>
    </r>
    <r>
      <rPr>
        <sz val="10"/>
        <rFont val="Arial"/>
        <charset val="134"/>
      </rPr>
      <t>8111H</t>
    </r>
    <r>
      <rPr>
        <sz val="10"/>
        <rFont val="微软雅黑"/>
        <charset val="134"/>
      </rPr>
      <t>、</t>
    </r>
    <r>
      <rPr>
        <sz val="10"/>
        <rFont val="Arial"/>
        <charset val="134"/>
      </rPr>
      <t>ALC269Q</t>
    </r>
  </si>
  <si>
    <r>
      <rPr>
        <sz val="10"/>
        <rFont val="Arial"/>
        <charset val="134"/>
      </rPr>
      <t>DN21F(8L+OSP+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)</t>
    </r>
  </si>
  <si>
    <t>A.F.M.2401747-PVT</t>
  </si>
  <si>
    <t>单Tpye c IC及一个Type c接口；RT9610CGQW用量3颗</t>
  </si>
  <si>
    <r>
      <rPr>
        <sz val="10"/>
        <rFont val="宋体"/>
        <charset val="134"/>
      </rPr>
      <t>含</t>
    </r>
    <r>
      <rPr>
        <sz val="10"/>
        <rFont val="Arial"/>
        <charset val="134"/>
      </rPr>
      <t>RTL8111H</t>
    </r>
    <r>
      <rPr>
        <sz val="10"/>
        <rFont val="宋体"/>
        <charset val="134"/>
      </rPr>
      <t>；</t>
    </r>
  </si>
  <si>
    <r>
      <rPr>
        <sz val="10"/>
        <rFont val="Arial"/>
        <charset val="134"/>
      </rPr>
      <t>SKU4</t>
    </r>
    <r>
      <rPr>
        <sz val="10"/>
        <rFont val="宋体"/>
        <charset val="134"/>
      </rPr>
      <t>（</t>
    </r>
    <r>
      <rPr>
        <sz val="10"/>
        <rFont val="Arial"/>
        <charset val="134"/>
      </rPr>
      <t>Judy</t>
    </r>
    <r>
      <rPr>
        <sz val="10"/>
        <rFont val="宋体"/>
        <charset val="134"/>
      </rPr>
      <t>临时BOM）</t>
    </r>
  </si>
  <si>
    <t>i3-1315U</t>
  </si>
  <si>
    <t>二次降价</t>
  </si>
  <si>
    <t>DN21F(SKU)</t>
  </si>
  <si>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月份汇率：</t>
    </r>
    <r>
      <rPr>
        <b/>
        <sz val="10"/>
        <color theme="1"/>
        <rFont val="Arial"/>
        <charset val="134"/>
      </rPr>
      <t>7.21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</si>
  <si>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125U</t>
  </si>
  <si>
    <r>
      <rPr>
        <sz val="10"/>
        <rFont val="Arial"/>
        <charset val="134"/>
      </rPr>
      <t>SKU18(Leo</t>
    </r>
    <r>
      <rPr>
        <sz val="10"/>
        <rFont val="宋体"/>
        <charset val="134"/>
      </rPr>
      <t>临时配置）</t>
    </r>
  </si>
  <si>
    <t xml:space="preserve"> AX201</t>
  </si>
  <si>
    <t>单Type C IC及两个Type c 接口;IT5570E；MP86941*3pcs；25TQC15MYFB*6pcs；如用联茂IT-170GRA2 低损耗无卤板材的PCB需要单独确认价格</t>
  </si>
  <si>
    <t>单Type C ic及1个Type c接口；含ALC269;MP86941*3pcs</t>
  </si>
  <si>
    <r>
      <rPr>
        <b/>
        <sz val="10"/>
        <color theme="1"/>
        <rFont val="微软雅黑"/>
        <charset val="134"/>
      </rPr>
      <t>5月份汇率：</t>
    </r>
    <r>
      <rPr>
        <b/>
        <sz val="10"/>
        <color theme="1"/>
        <rFont val="Arial"/>
        <charset val="134"/>
      </rPr>
      <t>7.21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</si>
  <si>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DNNTUS(SKU10)</t>
  </si>
  <si>
    <r>
      <rPr>
        <sz val="9"/>
        <color theme="1"/>
        <rFont val="微软雅黑"/>
        <charset val="134"/>
      </rPr>
      <t>DDR</t>
    </r>
    <r>
      <rPr>
        <sz val="10"/>
        <rFont val="微软雅黑"/>
        <charset val="134"/>
      </rPr>
      <t>使用三星</t>
    </r>
    <r>
      <rPr>
        <sz val="10"/>
        <rFont val="Arial"/>
        <charset val="134"/>
      </rPr>
      <t>(BOM</t>
    </r>
    <r>
      <rPr>
        <sz val="10"/>
        <rFont val="微软雅黑"/>
        <charset val="134"/>
      </rPr>
      <t>里是</t>
    </r>
    <r>
      <rPr>
        <sz val="10"/>
        <rFont val="Arial"/>
        <charset val="134"/>
      </rPr>
      <t>SPECTEK)</t>
    </r>
    <r>
      <rPr>
        <sz val="10"/>
        <rFont val="微软雅黑"/>
        <charset val="134"/>
      </rPr>
      <t>目前无价格</t>
    </r>
    <r>
      <rPr>
        <sz val="10"/>
        <rFont val="Arial"/>
        <charset val="134"/>
      </rPr>
      <t>;WIFI 7265.D2WG</t>
    </r>
    <r>
      <rPr>
        <sz val="10"/>
        <rFont val="微软雅黑"/>
        <charset val="134"/>
      </rPr>
      <t>更换</t>
    </r>
    <r>
      <rPr>
        <sz val="10"/>
        <rFont val="Arial"/>
        <charset val="134"/>
      </rPr>
      <t xml:space="preserve">6222C </t>
    </r>
  </si>
  <si>
    <r>
      <rPr>
        <b/>
        <sz val="10"/>
        <color theme="1"/>
        <rFont val="微软雅黑"/>
        <charset val="134"/>
      </rPr>
      <t>5月份汇率：</t>
    </r>
    <r>
      <rPr>
        <b/>
        <sz val="10"/>
        <color theme="1"/>
        <rFont val="Arial"/>
        <charset val="134"/>
      </rPr>
      <t>7.17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</si>
  <si>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r>
      <rPr>
        <sz val="10"/>
        <rFont val="Arial"/>
        <charset val="134"/>
      </rPr>
      <t>SKU35(</t>
    </r>
    <r>
      <rPr>
        <sz val="10"/>
        <rFont val="宋体"/>
        <charset val="134"/>
      </rPr>
      <t>业务许嘉</t>
    </r>
    <r>
      <rPr>
        <sz val="10"/>
        <rFont val="Arial"/>
        <charset val="134"/>
      </rPr>
      <t xml:space="preserve"> 50k</t>
    </r>
    <r>
      <rPr>
        <sz val="10"/>
        <rFont val="宋体"/>
        <charset val="134"/>
      </rPr>
      <t>一次性下单）</t>
    </r>
  </si>
  <si>
    <t>4+128</t>
  </si>
  <si>
    <t>需提供交期计划和采购确认</t>
  </si>
  <si>
    <r>
      <rPr>
        <sz val="10"/>
        <rFont val="Arial"/>
        <charset val="134"/>
      </rPr>
      <t>LPDDR4X-556</t>
    </r>
    <r>
      <rPr>
        <sz val="10"/>
        <rFont val="微软雅黑"/>
        <charset val="134"/>
      </rPr>
      <t>球</t>
    </r>
    <r>
      <rPr>
        <sz val="10"/>
        <rFont val="Arial"/>
        <charset val="134"/>
      </rPr>
      <t>4G</t>
    </r>
  </si>
  <si>
    <r>
      <rPr>
        <sz val="9"/>
        <color theme="1"/>
        <rFont val="微软雅黑"/>
        <charset val="134"/>
      </rPr>
      <t>CPU目前缺货，价格得按实际为准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MP86941</t>
    </r>
    <r>
      <rPr>
        <sz val="10"/>
        <rFont val="宋体"/>
        <charset val="134"/>
      </rPr>
      <t>；</t>
    </r>
    <r>
      <rPr>
        <sz val="10"/>
        <rFont val="Arial"/>
        <charset val="134"/>
      </rPr>
      <t>IT5570E,</t>
    </r>
    <r>
      <rPr>
        <sz val="10"/>
        <rFont val="微软雅黑"/>
        <charset val="134"/>
      </rPr>
      <t>采购回复</t>
    </r>
    <r>
      <rPr>
        <sz val="10"/>
        <rFont val="Arial"/>
        <charset val="134"/>
      </rPr>
      <t>128G SATA 50K</t>
    </r>
    <r>
      <rPr>
        <sz val="10"/>
        <rFont val="宋体"/>
        <charset val="134"/>
      </rPr>
      <t>目前参考价</t>
    </r>
    <r>
      <rPr>
        <sz val="10"/>
        <rFont val="Arial"/>
        <charset val="134"/>
      </rPr>
      <t>9$</t>
    </r>
  </si>
  <si>
    <t>JN15(SKU35)</t>
  </si>
  <si>
    <r>
      <rPr>
        <sz val="10"/>
        <rFont val="Arial"/>
        <charset val="134"/>
      </rPr>
      <t>I5-1235U(</t>
    </r>
    <r>
      <rPr>
        <sz val="10"/>
        <rFont val="宋体"/>
        <charset val="134"/>
      </rPr>
      <t>带</t>
    </r>
    <r>
      <rPr>
        <sz val="10"/>
        <rFont val="Arial"/>
        <charset val="134"/>
      </rPr>
      <t>IPU)(15W)</t>
    </r>
  </si>
  <si>
    <t>单Tpye c IC及两个Type c接口；含有intel雷电IC*2pcs；含有MP87440GQVT*4pcs；W25R256JWEIQ；ANX7484Q42;RTS5453H</t>
  </si>
  <si>
    <t>E.I.F.0000361：0.65$(仅为现参考价格）</t>
  </si>
  <si>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月份汇率：</t>
    </r>
    <r>
      <rPr>
        <b/>
        <sz val="10"/>
        <color theme="1"/>
        <rFont val="Arial"/>
        <charset val="134"/>
      </rPr>
      <t>7.17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</si>
  <si>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r>
      <rPr>
        <sz val="10"/>
        <rFont val="Arial"/>
        <charset val="134"/>
      </rPr>
      <t>CKD</t>
    </r>
    <r>
      <rPr>
        <sz val="10"/>
        <rFont val="微软雅黑"/>
        <charset val="134"/>
      </rPr>
      <t>打包费</t>
    </r>
    <r>
      <rPr>
        <sz val="10"/>
        <rFont val="Arial"/>
        <charset val="134"/>
      </rPr>
      <t>0.3/pcs;</t>
    </r>
    <r>
      <rPr>
        <sz val="10"/>
        <rFont val="微软雅黑"/>
        <charset val="134"/>
      </rPr>
      <t>单</t>
    </r>
    <r>
      <rPr>
        <sz val="10"/>
        <rFont val="Arial"/>
        <charset val="134"/>
      </rPr>
      <t>Type C;UP9505UQGW</t>
    </r>
    <r>
      <rPr>
        <sz val="10"/>
        <rFont val="宋体"/>
        <charset val="134"/>
      </rPr>
      <t>；</t>
    </r>
    <r>
      <rPr>
        <sz val="10"/>
        <rFont val="Arial"/>
        <charset val="134"/>
      </rPr>
      <t>SiC634CD</t>
    </r>
    <r>
      <rPr>
        <sz val="10"/>
        <rFont val="宋体"/>
        <charset val="134"/>
      </rPr>
      <t>；</t>
    </r>
    <r>
      <rPr>
        <sz val="10"/>
        <rFont val="Arial"/>
        <charset val="134"/>
      </rPr>
      <t>W25R128JWSIQ</t>
    </r>
    <r>
      <rPr>
        <sz val="10"/>
        <rFont val="宋体"/>
        <charset val="134"/>
      </rPr>
      <t>；</t>
    </r>
    <r>
      <rPr>
        <sz val="10"/>
        <rFont val="Arial"/>
        <charset val="134"/>
      </rPr>
      <t>IT5570E</t>
    </r>
    <r>
      <rPr>
        <sz val="10"/>
        <rFont val="宋体"/>
        <charset val="134"/>
      </rPr>
      <t>；</t>
    </r>
    <r>
      <rPr>
        <sz val="10"/>
        <rFont val="Arial"/>
        <charset val="134"/>
      </rPr>
      <t>PS8811QFN36GTR2</t>
    </r>
    <r>
      <rPr>
        <sz val="10"/>
        <rFont val="宋体"/>
        <charset val="134"/>
      </rPr>
      <t>；</t>
    </r>
    <r>
      <rPr>
        <sz val="10"/>
        <rFont val="Arial"/>
        <charset val="134"/>
      </rPr>
      <t>RTS5452H</t>
    </r>
  </si>
  <si>
    <r>
      <rPr>
        <sz val="10"/>
        <rFont val="Arial"/>
        <charset val="134"/>
      </rPr>
      <t>MTN25C(10L+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</si>
  <si>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Arial"/>
        <charset val="134"/>
      </rPr>
      <t>DDR</t>
    </r>
    <r>
      <rPr>
        <sz val="10"/>
        <rFont val="宋体"/>
        <charset val="134"/>
      </rPr>
      <t>江波龙缺货，用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的；双Type C IC及两个Type C 接口；</t>
    </r>
    <r>
      <rPr>
        <sz val="10"/>
        <rFont val="Arial"/>
        <charset val="134"/>
      </rPr>
      <t>SiC634CD-*6pcs;RT3634CEGQW;W25R256JWEIQ;IT5570E;</t>
    </r>
  </si>
  <si>
    <r>
      <rPr>
        <sz val="10"/>
        <rFont val="Arial"/>
        <charset val="134"/>
      </rPr>
      <t xml:space="preserve">DDR SPECTEK </t>
    </r>
    <r>
      <rPr>
        <sz val="10"/>
        <rFont val="微软雅黑"/>
        <charset val="134"/>
      </rPr>
      <t>目前无价格</t>
    </r>
  </si>
  <si>
    <r>
      <rPr>
        <sz val="10"/>
        <rFont val="Arial"/>
        <charset val="134"/>
      </rPr>
      <t>SKU33(</t>
    </r>
    <r>
      <rPr>
        <sz val="10"/>
        <rFont val="宋体"/>
        <charset val="134"/>
      </rPr>
      <t>姚科临时配置）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</si>
  <si>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c(1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</si>
  <si>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及一个接口；</t>
    </r>
    <r>
      <rPr>
        <sz val="10"/>
        <rFont val="Arial"/>
        <charset val="134"/>
      </rPr>
      <t xml:space="preserve">DDR </t>
    </r>
    <r>
      <rPr>
        <sz val="10"/>
        <rFont val="微软雅黑"/>
        <charset val="134"/>
      </rPr>
      <t>目前无价格；</t>
    </r>
    <r>
      <rPr>
        <sz val="10"/>
        <rFont val="宋体"/>
        <charset val="134"/>
      </rPr>
      <t>cpu需要和采购确认；</t>
    </r>
    <r>
      <rPr>
        <sz val="10"/>
        <rFont val="Arial"/>
        <charset val="134"/>
      </rPr>
      <t>MP86941GQVT</t>
    </r>
    <r>
      <rPr>
        <sz val="10"/>
        <rFont val="宋体"/>
        <charset val="134"/>
      </rPr>
      <t>；IT5570E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</si>
  <si>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无接口；</t>
    </r>
    <r>
      <rPr>
        <sz val="10"/>
        <rFont val="Arial"/>
        <charset val="134"/>
      </rPr>
      <t>CPU</t>
    </r>
    <r>
      <rPr>
        <sz val="10"/>
        <rFont val="宋体"/>
        <charset val="134"/>
      </rPr>
      <t>缺货请和采购确认</t>
    </r>
  </si>
  <si>
    <t>拆分人民币</t>
  </si>
  <si>
    <r>
      <rPr>
        <sz val="10"/>
        <rFont val="Arial"/>
        <charset val="134"/>
      </rPr>
      <t>SKU35(</t>
    </r>
    <r>
      <rPr>
        <sz val="10"/>
        <rFont val="宋体"/>
        <charset val="134"/>
      </rPr>
      <t>业务姚科临时配置）</t>
    </r>
  </si>
  <si>
    <r>
      <rPr>
        <sz val="9"/>
        <color theme="1"/>
        <rFont val="微软雅黑"/>
        <charset val="134"/>
      </rPr>
      <t>CPU目前缺货，价格得按实际为准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MP86941</t>
    </r>
    <r>
      <rPr>
        <sz val="10"/>
        <rFont val="宋体"/>
        <charset val="134"/>
      </rPr>
      <t>；</t>
    </r>
    <r>
      <rPr>
        <sz val="10"/>
        <rFont val="Arial"/>
        <charset val="134"/>
      </rPr>
      <t>IT5570E,</t>
    </r>
  </si>
  <si>
    <r>
      <rPr>
        <sz val="10"/>
        <rFont val="Arial"/>
        <charset val="134"/>
      </rPr>
      <t>Non Type c(</t>
    </r>
    <r>
      <rPr>
        <sz val="10"/>
        <rFont val="宋体"/>
        <charset val="134"/>
      </rPr>
      <t>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</si>
  <si>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SKU117(</t>
    </r>
    <r>
      <rPr>
        <sz val="10"/>
        <rFont val="宋体"/>
        <charset val="134"/>
      </rPr>
      <t>临时配置）</t>
    </r>
  </si>
  <si>
    <t>单Tpye c IC及一个Type c接口；PCB用OSP工艺普通材质</t>
  </si>
  <si>
    <t>A.F.M.2400866-MP</t>
  </si>
  <si>
    <r>
      <rPr>
        <sz val="10"/>
        <rFont val="Arial"/>
        <charset val="134"/>
      </rPr>
      <t>SKU98‘</t>
    </r>
    <r>
      <rPr>
        <sz val="10"/>
        <rFont val="宋体"/>
        <charset val="134"/>
      </rPr>
      <t>朱奕临时配置</t>
    </r>
  </si>
  <si>
    <t>i5-1235U</t>
  </si>
  <si>
    <r>
      <rPr>
        <b/>
        <sz val="10"/>
        <color theme="1"/>
        <rFont val="微软雅黑"/>
        <charset val="134"/>
      </rPr>
      <t>5月份汇率：</t>
    </r>
    <r>
      <rPr>
        <b/>
        <sz val="10"/>
        <color theme="1"/>
        <rFont val="Arial"/>
        <charset val="134"/>
      </rPr>
      <t>7.20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</si>
  <si>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DNN792</t>
  </si>
  <si>
    <t>单Type C IC及2个Typec接口；IT5570E</t>
  </si>
  <si>
    <t>DN79C'</t>
  </si>
  <si>
    <t>DN79C_15W低配BOM</t>
  </si>
  <si>
    <r>
      <rPr>
        <sz val="10"/>
        <rFont val="Arial"/>
        <charset val="134"/>
      </rPr>
      <t>单</t>
    </r>
    <r>
      <rPr>
        <sz val="10"/>
        <rFont val="Arial"/>
        <charset val="134"/>
      </rPr>
      <t>Type c(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</si>
  <si>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t>单Type C IC及2个Typec接口；MP86941*3PCS;IT5570E;MP2964GQKT;pcb为OSP工艺，普通材质</t>
  </si>
  <si>
    <t>MTN79_15W低配BOM</t>
  </si>
  <si>
    <t>155U（15W）</t>
  </si>
  <si>
    <t>单Type C IC及2个Typec接口；MP87440GQVT-Z*4pcs;MP29001GQKT;W25R256JWEIQ;IT5570E;pcb为OSP工艺，普通材质</t>
  </si>
  <si>
    <t>单Tpye c IC及两个Type c接口；MP86941*5pcs;IT5570E;含有Intel雷电IC;;pcb为OSP工艺，普通材质</t>
  </si>
  <si>
    <t>单Tpye c IC及两个Type c接口；MP86941*5pcs;IT5570E;含有Intel雷电IC;pcb为OSP工艺，普通材质</t>
  </si>
  <si>
    <r>
      <rPr>
        <sz val="10"/>
        <color rgb="FFFF0000"/>
        <rFont val="宋体"/>
        <charset val="134"/>
      </rPr>
      <t>PCB为指定联茂中损耗IT-170GRA1,如换树塞还需加0.52$。</t>
    </r>
    <r>
      <rPr>
        <sz val="10"/>
        <rFont val="宋体"/>
        <charset val="134"/>
      </rPr>
      <t>单Type C IC及两个Type C接口;DDR用spectek（价格仅参考，具体以实际下单询价位准）;MP86941*4pcs;MP2845BGQK;W25R256JWEIQ;IT5570E;25TQC15MYFB；</t>
    </r>
  </si>
  <si>
    <r>
      <rPr>
        <b/>
        <sz val="10"/>
        <color theme="1"/>
        <rFont val="微软雅黑"/>
        <charset val="134"/>
      </rPr>
      <t>6月份汇率：</t>
    </r>
    <r>
      <rPr>
        <b/>
        <sz val="10"/>
        <color theme="1"/>
        <rFont val="Arial"/>
        <charset val="134"/>
      </rPr>
      <t>7.19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</si>
  <si>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r>
      <rPr>
        <sz val="10"/>
        <rFont val="Arial"/>
        <charset val="134"/>
      </rPr>
      <t>SKU3(</t>
    </r>
    <r>
      <rPr>
        <sz val="10"/>
        <rFont val="宋体"/>
        <charset val="134"/>
      </rPr>
      <t>文雯更换</t>
    </r>
    <r>
      <rPr>
        <sz val="10"/>
        <rFont val="Arial"/>
        <charset val="134"/>
      </rPr>
      <t>SSD/DDR</t>
    </r>
    <r>
      <rPr>
        <sz val="10"/>
        <rFont val="宋体"/>
        <charset val="134"/>
      </rPr>
      <t>配置）</t>
    </r>
  </si>
  <si>
    <r>
      <rPr>
        <sz val="10"/>
        <color rgb="FFFF0000"/>
        <rFont val="宋体"/>
        <charset val="134"/>
      </rPr>
      <t>PCB为指定联茂中损耗IT-170GRA1,如换树塞还需加0.52$。</t>
    </r>
    <r>
      <rPr>
        <sz val="10"/>
        <rFont val="宋体"/>
        <charset val="134"/>
      </rPr>
      <t>单Type C IC及两个Type C接口;DDR用佰维持续涨价需单独确认;MP86941*4pcs;MP2845BGQK;W25R256JWEIQ;IT5570E;IT66318FN;含新唐TPM2.0(NPCT760xACYX FW7.2.4.0)</t>
    </r>
  </si>
  <si>
    <r>
      <rPr>
        <sz val="10"/>
        <rFont val="Arial"/>
        <charset val="134"/>
      </rPr>
      <t>SKU3(</t>
    </r>
    <r>
      <rPr>
        <sz val="10"/>
        <rFont val="宋体"/>
        <charset val="134"/>
      </rPr>
      <t>文雯更换</t>
    </r>
    <r>
      <rPr>
        <sz val="10"/>
        <rFont val="Arial"/>
        <charset val="134"/>
      </rPr>
      <t>SSD/DDR</t>
    </r>
    <r>
      <rPr>
        <sz val="10"/>
        <rFont val="宋体"/>
        <charset val="134"/>
      </rPr>
      <t>配置）更新</t>
    </r>
  </si>
  <si>
    <r>
      <rPr>
        <sz val="10"/>
        <color rgb="FFFF0000"/>
        <rFont val="宋体"/>
        <charset val="134"/>
      </rPr>
      <t>PCB为指定联茂中损耗板材加树塞工艺。</t>
    </r>
    <r>
      <rPr>
        <sz val="10"/>
        <rFont val="宋体"/>
        <charset val="134"/>
      </rPr>
      <t>单Type C IC及两个Type C接口;DDR用佰维持续涨价需单独确认;MP86941*4pcs;MP2845BGQK;W25R256JWEIQ;IT5570E;IT66318FN;含新唐TPM2.0(NPCT760xACYX FW7.2.4.0)</t>
    </r>
  </si>
  <si>
    <r>
      <rPr>
        <b/>
        <sz val="10"/>
        <color theme="1"/>
        <rFont val="微软雅黑"/>
        <charset val="134"/>
      </rPr>
      <t>6月份汇率：</t>
    </r>
    <r>
      <rPr>
        <b/>
        <sz val="10"/>
        <color theme="1"/>
        <rFont val="Arial"/>
        <charset val="134"/>
      </rPr>
      <t>7.20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</si>
  <si>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A.F.M.2501151-MP</t>
  </si>
  <si>
    <t>SKU191</t>
  </si>
  <si>
    <t>单Tpye c IC及两个Type c接口；SN6140;MP86941*3pcs;IT5570E;MP2964GQKT;pcb用普通材质OSP工艺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</si>
  <si>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IC;</t>
    </r>
    <r>
      <rPr>
        <sz val="10"/>
        <rFont val="宋体"/>
        <charset val="134"/>
      </rPr>
      <t>此价格为</t>
    </r>
    <r>
      <rPr>
        <sz val="10"/>
        <rFont val="Arial"/>
        <charset val="134"/>
      </rPr>
      <t>pcb</t>
    </r>
    <r>
      <rPr>
        <sz val="10"/>
        <rFont val="宋体"/>
        <charset val="134"/>
      </rPr>
      <t>用普通材质</t>
    </r>
    <r>
      <rPr>
        <sz val="10"/>
        <rFont val="Arial"/>
        <charset val="134"/>
      </rPr>
      <t>OSP</t>
    </r>
    <r>
      <rPr>
        <sz val="10"/>
        <rFont val="宋体"/>
        <charset val="134"/>
      </rPr>
      <t>工艺；</t>
    </r>
    <r>
      <rPr>
        <sz val="10"/>
        <rFont val="微软雅黑"/>
        <charset val="134"/>
      </rPr>
      <t>IT5570E</t>
    </r>
  </si>
  <si>
    <t>DN21C(SKU104)</t>
  </si>
  <si>
    <t>JN15S</t>
  </si>
  <si>
    <r>
      <rPr>
        <sz val="10"/>
        <rFont val="Arial"/>
        <charset val="134"/>
      </rPr>
      <t>JN51S</t>
    </r>
    <r>
      <rPr>
        <sz val="10"/>
        <rFont val="宋体"/>
        <charset val="134"/>
      </rPr>
      <t>临时</t>
    </r>
    <r>
      <rPr>
        <sz val="10"/>
        <rFont val="Arial"/>
        <charset val="134"/>
      </rPr>
      <t>bom1</t>
    </r>
  </si>
  <si>
    <t>无Type c及含一个Type c接口；ALC269Q;MP86941*2PCS;IT5570E</t>
  </si>
  <si>
    <r>
      <rPr>
        <sz val="10"/>
        <rFont val="Arial"/>
        <charset val="134"/>
      </rPr>
      <t>JN15S</t>
    </r>
    <r>
      <rPr>
        <sz val="10"/>
        <rFont val="宋体"/>
        <charset val="134"/>
      </rPr>
      <t>临时</t>
    </r>
    <r>
      <rPr>
        <sz val="10"/>
        <rFont val="Arial"/>
        <charset val="134"/>
      </rPr>
      <t>bom2</t>
    </r>
  </si>
  <si>
    <t>ADNTA</t>
  </si>
  <si>
    <r>
      <rPr>
        <sz val="10"/>
        <rFont val="Arial"/>
        <charset val="134"/>
      </rPr>
      <t>SKU16(</t>
    </r>
    <r>
      <rPr>
        <sz val="10"/>
        <rFont val="宋体"/>
        <charset val="134"/>
      </rPr>
      <t>去掉散热</t>
    </r>
    <r>
      <rPr>
        <sz val="10"/>
        <rFont val="Arial"/>
        <charset val="134"/>
      </rPr>
      <t>A00732</t>
    </r>
    <r>
      <rPr>
        <sz val="10"/>
        <rFont val="宋体"/>
        <charset val="134"/>
      </rPr>
      <t>，增加</t>
    </r>
    <r>
      <rPr>
        <sz val="10"/>
        <rFont val="Arial"/>
        <charset val="134"/>
      </rPr>
      <t>A00731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</si>
  <si>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及一个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接口；含有8111H;含有EC IC;含有ALC897，</t>
    </r>
    <r>
      <rPr>
        <sz val="10"/>
        <color rgb="FFFF0000"/>
        <rFont val="微软雅黑"/>
        <charset val="134"/>
      </rPr>
      <t>业务</t>
    </r>
    <r>
      <rPr>
        <sz val="10"/>
        <color rgb="FFFF0000"/>
        <rFont val="宋体"/>
        <charset val="134"/>
      </rPr>
      <t>XIUNI需求，不</t>
    </r>
    <r>
      <rPr>
        <sz val="10"/>
        <color rgb="FFFF0000"/>
        <rFont val="微软雅黑"/>
        <charset val="134"/>
      </rPr>
      <t>含</t>
    </r>
    <r>
      <rPr>
        <sz val="10"/>
        <color rgb="FFFF0000"/>
        <rFont val="宋体"/>
        <charset val="134"/>
      </rPr>
      <t>A00732，增加散热片M.T.M.0000401（A00731）</t>
    </r>
  </si>
  <si>
    <r>
      <rPr>
        <sz val="10"/>
        <rFont val="Arial"/>
        <charset val="134"/>
      </rPr>
      <t>PN50</t>
    </r>
    <r>
      <rPr>
        <sz val="10"/>
        <rFont val="宋体"/>
        <charset val="134"/>
      </rPr>
      <t>李琳临时</t>
    </r>
    <r>
      <rPr>
        <sz val="10"/>
        <rFont val="Arial"/>
        <charset val="134"/>
      </rPr>
      <t>bom</t>
    </r>
    <r>
      <rPr>
        <sz val="10"/>
        <rFont val="宋体"/>
        <charset val="134"/>
      </rPr>
      <t>预估</t>
    </r>
  </si>
  <si>
    <t>单Type c及含两个Type c接口；MP87440GQVT-Z*7pcs；W25Q512NWEIQ；IT5570E；RTS5453H；含intel雷电IC*2PCS</t>
  </si>
  <si>
    <r>
      <rPr>
        <sz val="10"/>
        <rFont val="Arial"/>
        <charset val="134"/>
      </rPr>
      <t>JN15S</t>
    </r>
    <r>
      <rPr>
        <sz val="10"/>
        <rFont val="宋体"/>
        <charset val="134"/>
      </rPr>
      <t>临时</t>
    </r>
    <r>
      <rPr>
        <sz val="10"/>
        <rFont val="Arial"/>
        <charset val="134"/>
      </rPr>
      <t>bom2</t>
    </r>
    <r>
      <rPr>
        <sz val="10"/>
        <rFont val="宋体"/>
        <charset val="134"/>
      </rPr>
      <t>（暂无料号预估）</t>
    </r>
  </si>
  <si>
    <r>
      <rPr>
        <sz val="10"/>
        <rFont val="Arial"/>
        <charset val="134"/>
      </rPr>
      <t>SKU1(</t>
    </r>
    <r>
      <rPr>
        <sz val="10"/>
        <rFont val="宋体"/>
        <charset val="134"/>
      </rPr>
      <t>临时BOM预估）</t>
    </r>
  </si>
  <si>
    <t>单Type c及含两个Type c接口；25TQC15MYFB；W25R256JWEIQ;CSCE2010WBR6NR;D4AR0-26001-1P40;</t>
  </si>
  <si>
    <r>
      <rPr>
        <sz val="10"/>
        <rFont val="Arial"/>
        <charset val="134"/>
      </rPr>
      <t>SKU2(</t>
    </r>
    <r>
      <rPr>
        <sz val="10"/>
        <rFont val="宋体"/>
        <charset val="134"/>
      </rPr>
      <t>临时BOM预估）</t>
    </r>
  </si>
  <si>
    <t>双Type c及含两个Type c接口；PA700LT337M0D;T55B156M025C0100;W25R256JWEIQ;含加密IC tpm；IT66318FN/EW-0003(R)；CSCE2010WBR6NR；ZMS020N03NC*7pcs</t>
  </si>
  <si>
    <r>
      <rPr>
        <sz val="10"/>
        <rFont val="Arial"/>
        <charset val="134"/>
      </rPr>
      <t>SKU3(</t>
    </r>
    <r>
      <rPr>
        <sz val="10"/>
        <rFont val="宋体"/>
        <charset val="134"/>
      </rPr>
      <t>临时BOM预估）</t>
    </r>
  </si>
  <si>
    <t>双Type c及含两个Type c接口；T521B156M025ATE100；W25R256JWEIQ；CSCE2010WBR6NR；含加密IC tpm；CSCE2010WBR6NR；FKBA3080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</si>
  <si>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Typc c;</t>
    </r>
    <r>
      <rPr>
        <sz val="10"/>
        <rFont val="微软雅黑"/>
        <charset val="134"/>
      </rPr>
      <t>含有雷电</t>
    </r>
    <r>
      <rPr>
        <sz val="10"/>
        <rFont val="Arial"/>
        <charset val="134"/>
      </rPr>
      <t>IC*2pcs;FLASH</t>
    </r>
    <r>
      <rPr>
        <sz val="10"/>
        <rFont val="微软雅黑"/>
        <charset val="134"/>
      </rPr>
      <t>使用华邦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</si>
  <si>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Intel WGI219V;ALC269Q</t>
    </r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</si>
  <si>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IC</t>
    </r>
    <r>
      <rPr>
        <sz val="10"/>
        <rFont val="微软雅黑"/>
        <charset val="134"/>
      </rPr>
      <t>；PCB工艺价格为OSP,如需要沉金的 请单独核价；</t>
    </r>
  </si>
  <si>
    <r>
      <rPr>
        <sz val="10"/>
        <rFont val="Arial"/>
        <charset val="134"/>
      </rPr>
      <t>SKU12(</t>
    </r>
    <r>
      <rPr>
        <sz val="10"/>
        <rFont val="宋体"/>
        <charset val="134"/>
      </rPr>
      <t>梁颖需求配置</t>
    </r>
    <r>
      <rPr>
        <sz val="10"/>
        <rFont val="Arial"/>
        <charset val="134"/>
      </rPr>
      <t>CPU</t>
    </r>
    <r>
      <rPr>
        <sz val="10"/>
        <rFont val="宋体"/>
        <charset val="134"/>
      </rPr>
      <t>换N6000)</t>
    </r>
  </si>
  <si>
    <r>
      <rPr>
        <sz val="10"/>
        <color rgb="FFFF0000"/>
        <rFont val="宋体"/>
        <charset val="134"/>
      </rPr>
      <t>换</t>
    </r>
    <r>
      <rPr>
        <sz val="10"/>
        <color rgb="FFFF0000"/>
        <rFont val="Arial"/>
        <charset val="134"/>
      </rPr>
      <t>N6000</t>
    </r>
  </si>
  <si>
    <r>
      <rPr>
        <sz val="10"/>
        <rFont val="Arial"/>
        <charset val="134"/>
      </rPr>
      <t>SKU9</t>
    </r>
    <r>
      <rPr>
        <sz val="10"/>
        <rFont val="宋体"/>
        <charset val="134"/>
      </rPr>
      <t>（临时ckdbom）</t>
    </r>
  </si>
  <si>
    <r>
      <rPr>
        <sz val="10"/>
        <rFont val="宋体"/>
        <charset val="134"/>
      </rPr>
      <t>双</t>
    </r>
    <r>
      <rPr>
        <sz val="10"/>
        <rFont val="Arial"/>
        <charset val="134"/>
      </rPr>
      <t xml:space="preserve"> Type c(</t>
    </r>
    <r>
      <rPr>
        <sz val="10"/>
        <rFont val="宋体"/>
        <charset val="134"/>
      </rPr>
      <t>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)</t>
    </r>
  </si>
  <si>
    <t>缺货暂无价格</t>
  </si>
  <si>
    <r>
      <rPr>
        <sz val="9"/>
        <rFont val="微软雅黑"/>
        <charset val="134"/>
      </rPr>
      <t>CKD</t>
    </r>
    <r>
      <rPr>
        <sz val="10"/>
        <rFont val="宋体"/>
        <charset val="134"/>
      </rPr>
      <t>费用</t>
    </r>
    <r>
      <rPr>
        <sz val="10"/>
        <rFont val="Arial"/>
        <charset val="134"/>
      </rPr>
      <t xml:space="preserve">0.3$/pcs;DDR </t>
    </r>
    <r>
      <rPr>
        <sz val="10"/>
        <rFont val="宋体"/>
        <charset val="134"/>
      </rPr>
      <t>使用江波龙，两个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MP86941*5;</t>
    </r>
    <r>
      <rPr>
        <sz val="10"/>
        <rFont val="宋体"/>
        <charset val="134"/>
      </rPr>
      <t>含</t>
    </r>
    <r>
      <rPr>
        <sz val="10"/>
        <rFont val="Arial"/>
        <charset val="134"/>
      </rPr>
      <t>G2708CKU1U</t>
    </r>
    <r>
      <rPr>
        <sz val="10"/>
        <rFont val="宋体"/>
        <charset val="134"/>
      </rPr>
      <t>；</t>
    </r>
    <r>
      <rPr>
        <sz val="10"/>
        <color rgb="FFFF0000"/>
        <rFont val="Arial"/>
        <charset val="134"/>
      </rPr>
      <t>DDR</t>
    </r>
    <r>
      <rPr>
        <sz val="10"/>
        <color rgb="FFFF0000"/>
        <rFont val="宋体"/>
        <charset val="134"/>
      </rPr>
      <t>缺货，请和采购单独确认下价格；</t>
    </r>
  </si>
  <si>
    <r>
      <rPr>
        <sz val="10"/>
        <color theme="1"/>
        <rFont val="宋体"/>
        <charset val="134"/>
      </rPr>
      <t>单</t>
    </r>
    <r>
      <rPr>
        <sz val="10"/>
        <color theme="1"/>
        <rFont val="Arial"/>
        <charset val="134"/>
      </rPr>
      <t>Type C IC</t>
    </r>
    <r>
      <rPr>
        <sz val="10"/>
        <color theme="1"/>
        <rFont val="宋体"/>
        <charset val="134"/>
      </rPr>
      <t>及</t>
    </r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个接口；</t>
    </r>
    <r>
      <rPr>
        <sz val="10"/>
        <color theme="1"/>
        <rFont val="Arial"/>
        <charset val="134"/>
      </rPr>
      <t>MP86941*2pcs;IT5570E;</t>
    </r>
    <r>
      <rPr>
        <sz val="10"/>
        <color theme="1"/>
        <rFont val="宋体"/>
        <charset val="134"/>
      </rPr>
      <t>MP2964GQKT</t>
    </r>
  </si>
  <si>
    <r>
      <rPr>
        <sz val="10"/>
        <rFont val="Arial"/>
        <charset val="134"/>
      </rPr>
      <t xml:space="preserve">DDR </t>
    </r>
    <r>
      <rPr>
        <sz val="10"/>
        <rFont val="宋体"/>
        <charset val="134"/>
      </rPr>
      <t>使用江波龙，双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;MP86941*5pcs;IT5570E;IT66318FN/EW-0003(R);MP2964GQKT</t>
    </r>
  </si>
  <si>
    <r>
      <rPr>
        <sz val="10"/>
        <rFont val="微软雅黑"/>
        <charset val="134"/>
      </rPr>
      <t>三</t>
    </r>
    <r>
      <rPr>
        <sz val="10"/>
        <rFont val="Arial"/>
        <charset val="134"/>
      </rPr>
      <t xml:space="preserve">TYPE C IC 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微软雅黑"/>
        <charset val="134"/>
      </rPr>
      <t>接口</t>
    </r>
    <r>
      <rPr>
        <sz val="10"/>
        <rFont val="Arial"/>
        <charset val="134"/>
      </rPr>
      <t>,</t>
    </r>
    <r>
      <rPr>
        <sz val="10"/>
        <rFont val="微软雅黑"/>
        <charset val="134"/>
      </rPr>
      <t>带</t>
    </r>
    <r>
      <rPr>
        <sz val="10"/>
        <rFont val="Arial"/>
        <charset val="134"/>
      </rPr>
      <t>HDMI</t>
    </r>
    <r>
      <rPr>
        <sz val="10"/>
        <rFont val="微软雅黑"/>
        <charset val="134"/>
      </rPr>
      <t>，</t>
    </r>
    <r>
      <rPr>
        <sz val="10"/>
        <color rgb="FFFF0000"/>
        <rFont val="Arial"/>
        <charset val="134"/>
      </rPr>
      <t>DDR</t>
    </r>
    <r>
      <rPr>
        <sz val="10"/>
        <color rgb="FFFF0000"/>
        <rFont val="微软雅黑"/>
        <charset val="134"/>
      </rPr>
      <t>使用江波龙缺货，需要更改为大为的</t>
    </r>
    <r>
      <rPr>
        <sz val="10"/>
        <rFont val="微软雅黑"/>
        <charset val="134"/>
      </rPr>
      <t>；含国民技术的加密</t>
    </r>
    <r>
      <rPr>
        <sz val="10"/>
        <rFont val="Arial"/>
        <charset val="134"/>
      </rPr>
      <t>IC</t>
    </r>
    <r>
      <rPr>
        <sz val="10"/>
        <rFont val="微软雅黑"/>
        <charset val="134"/>
      </rPr>
      <t>和移远的</t>
    </r>
    <r>
      <rPr>
        <sz val="10"/>
        <rFont val="Arial"/>
        <charset val="134"/>
      </rPr>
      <t>4G</t>
    </r>
    <r>
      <rPr>
        <sz val="10"/>
        <rFont val="微软雅黑"/>
        <charset val="134"/>
      </rPr>
      <t>模块</t>
    </r>
  </si>
  <si>
    <t>A.F.M.2500525-MP</t>
  </si>
  <si>
    <t>单Tpye c IC及一个Type c接口；IT5570E;MP86941*3pcs;</t>
  </si>
  <si>
    <t>Ultra-5-125U(15W)</t>
  </si>
  <si>
    <t>单Tpye c IC及两个Type c接口；234.7*127.2*1.0mm、PCB价格还在谈，初步议价是这个；MP87440GQVT*2pcs;W25R256JWEIQ;IT5570VG;MP86941*2pcs</t>
  </si>
  <si>
    <t>双Tpye c IC及两个Type c接口；234.7*127.2*1.0mm、PCB价格还在谈，初步议价是这个；MP86941*3PCS;MP87440GQVT*3PCS;MP29001GQKT;W25R256JWEIQ;IT5570VG</t>
  </si>
  <si>
    <t>双Tpye c IC及两个Type c接口；234.7*127.2*1.0mm、PCB价格还在谈，初步议价是这个；T527T156M025ATE100*4pcs;MP86941*3PCS;MP87440*3PCS;MP29001GQKT;W25R256JWEIQ;IT66318FN/EW-0003(R);IT5570VG</t>
  </si>
  <si>
    <t>单Tpye c IC及两个Type c接口；234.7*127.2*1.0mm、PCB价格还在谈，初步议价是这个；MP87440GQVT*2pcs;W25R256JWEIQ;MP29001GQKT;MP86941*2pcs</t>
  </si>
  <si>
    <r>
      <rPr>
        <b/>
        <sz val="10"/>
        <color theme="1"/>
        <rFont val="Arial"/>
        <charset val="134"/>
      </rPr>
      <t>6</t>
    </r>
    <r>
      <rPr>
        <b/>
        <sz val="10"/>
        <color theme="1"/>
        <rFont val="微软雅黑"/>
        <charset val="134"/>
      </rPr>
      <t>月份汇率：</t>
    </r>
    <r>
      <rPr>
        <b/>
        <sz val="10"/>
        <color theme="1"/>
        <rFont val="Arial"/>
        <charset val="134"/>
      </rPr>
      <t>7.19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</si>
  <si>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单Type C IC及两个Type c 接口;MP86941*5pcs;IT5570E;MP2964GQKT;bom为普通板材OSP工艺核价，如用联茂IT-170GRA2 低损耗无卤板材的PCB需要单独确认价格</t>
  </si>
  <si>
    <r>
      <rPr>
        <sz val="10"/>
        <rFont val="Arial"/>
        <charset val="134"/>
      </rPr>
      <t>I7-13620H</t>
    </r>
    <r>
      <rPr>
        <sz val="10"/>
        <rFont val="宋体"/>
        <charset val="134"/>
      </rPr>
      <t>（</t>
    </r>
    <r>
      <rPr>
        <sz val="10"/>
        <rFont val="Arial"/>
        <charset val="134"/>
      </rPr>
      <t>45W)</t>
    </r>
    <r>
      <rPr>
        <sz val="10"/>
        <rFont val="宋体"/>
        <charset val="134"/>
      </rPr>
      <t>（客供）</t>
    </r>
  </si>
  <si>
    <t>DN525E</t>
  </si>
  <si>
    <t>按实际下单</t>
  </si>
  <si>
    <r>
      <rPr>
        <sz val="10"/>
        <color theme="1"/>
        <rFont val="宋体"/>
        <charset val="134"/>
      </rPr>
      <t>三个Type C IC及两个Type C 接口；MP86941*5pcs;IT5570E;ALC269Q,</t>
    </r>
    <r>
      <rPr>
        <sz val="10"/>
        <color rgb="FFFF0000"/>
        <rFont val="宋体"/>
        <charset val="134"/>
      </rPr>
      <t>已减去HUSB252/E.I.O.0001257的0.3$</t>
    </r>
  </si>
  <si>
    <t>DN525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</si>
  <si>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Typc c</t>
    </r>
    <r>
      <rPr>
        <sz val="10"/>
        <rFont val="微软雅黑"/>
        <charset val="134"/>
      </rPr>
      <t>及双接口</t>
    </r>
    <r>
      <rPr>
        <sz val="10"/>
        <rFont val="Arial"/>
        <charset val="134"/>
      </rPr>
      <t>;</t>
    </r>
    <r>
      <rPr>
        <sz val="10"/>
        <rFont val="微软雅黑"/>
        <charset val="134"/>
      </rPr>
      <t>含有JHL8040R雷电</t>
    </r>
    <r>
      <rPr>
        <sz val="10"/>
        <rFont val="Arial"/>
        <charset val="134"/>
      </rPr>
      <t>IC*2pcs;FLASH</t>
    </r>
    <r>
      <rPr>
        <sz val="10"/>
        <rFont val="微软雅黑"/>
        <charset val="134"/>
      </rPr>
      <t>使用华邦;；MP86941*3pcs；IT66318FN/EW；PS8811QFN36GTR2-A2；IT8856FN/CX*2pcs；T521B226M025ATE100*8pcs</t>
    </r>
  </si>
  <si>
    <r>
      <rPr>
        <sz val="10"/>
        <rFont val="Arial"/>
        <charset val="134"/>
      </rPr>
      <t>SKU10</t>
    </r>
    <r>
      <rPr>
        <sz val="10"/>
        <rFont val="宋体"/>
        <charset val="134"/>
      </rPr>
      <t>（降本版）</t>
    </r>
  </si>
  <si>
    <t>双Typc c及双接口;含有JHL8010R雷电IC*2pcs价格未出，先用8040核算；FLASH使用华邦;MP86941*3pcs；IT66318FN/EW；PS8811QFN36GTR2-A2；IT8856FN/CX*2pcs</t>
  </si>
  <si>
    <t>SKU10（降本版）</t>
  </si>
  <si>
    <t>双Typc c及双接口;含有JHL8010R雷电IC*2pcs；FLASH使用华邦;MP86941*3pcs；IT66318FN/EW；PS8811QFN36GTR2-A2；IT8856FN/CX*2pcs</t>
  </si>
  <si>
    <r>
      <rPr>
        <sz val="10"/>
        <rFont val="Arial"/>
        <charset val="134"/>
      </rPr>
      <t>MTN79T(8L+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+OSP)</t>
    </r>
  </si>
  <si>
    <r>
      <rPr>
        <sz val="10"/>
        <rFont val="宋体"/>
        <charset val="134"/>
      </rPr>
      <t>单type c及两个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</si>
  <si>
    <r>
      <rPr>
        <sz val="10"/>
        <rFont val="宋体"/>
        <charset val="134"/>
      </rPr>
      <t>单Type c及两个Type c接口；含雷电IC*2pcs,RTS5453H；MP87440GQVT*6pcs;IT5570E;</t>
    </r>
    <r>
      <rPr>
        <sz val="10"/>
        <color rgb="FFFF0000"/>
        <rFont val="宋体"/>
        <charset val="134"/>
      </rPr>
      <t>pcb的BOM用普通板材报价</t>
    </r>
  </si>
  <si>
    <r>
      <rPr>
        <sz val="10"/>
        <rFont val="Arial"/>
        <charset val="134"/>
      </rPr>
      <t xml:space="preserve">DDR </t>
    </r>
    <r>
      <rPr>
        <sz val="10"/>
        <rFont val="宋体"/>
        <charset val="134"/>
      </rPr>
      <t>使用三星停产暂无价格</t>
    </r>
    <r>
      <rPr>
        <sz val="10"/>
        <rFont val="Arial"/>
        <charset val="134"/>
      </rPr>
      <t>,</t>
    </r>
    <r>
      <rPr>
        <sz val="10"/>
        <rFont val="宋体"/>
        <charset val="134"/>
      </rPr>
      <t>请和采购确认，</t>
    </r>
    <r>
      <rPr>
        <sz val="10"/>
        <rFont val="Arial"/>
        <charset val="134"/>
      </rPr>
      <t>Type-c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IT5570E;MP2964GQKT;MP86941*3pcs</t>
    </r>
  </si>
  <si>
    <t>A.F.M.2501512</t>
  </si>
  <si>
    <r>
      <rPr>
        <sz val="10"/>
        <rFont val="Arial"/>
        <charset val="134"/>
      </rPr>
      <t>SKU50(</t>
    </r>
    <r>
      <rPr>
        <sz val="10"/>
        <rFont val="宋体"/>
        <charset val="134"/>
      </rPr>
      <t>临时bom、SKU37+CPU）</t>
    </r>
  </si>
  <si>
    <r>
      <rPr>
        <sz val="10"/>
        <rFont val="Arial"/>
        <charset val="134"/>
      </rPr>
      <t>单Type C IC及两个Type c 接口;MP86941*5pcs;IT5570E;MP2964GQKT;</t>
    </r>
    <r>
      <rPr>
        <sz val="10"/>
        <color rgb="FFFF0000"/>
        <rFont val="微软雅黑"/>
        <charset val="134"/>
      </rPr>
      <t>pcb用联茂IT-170GRA2 低损耗无卤板材的价格，如有其他需求请单独确认pcb价格</t>
    </r>
  </si>
  <si>
    <t>A.F.M.2501513</t>
  </si>
  <si>
    <r>
      <rPr>
        <sz val="10"/>
        <rFont val="Arial"/>
        <charset val="134"/>
      </rPr>
      <t>SKU51(</t>
    </r>
    <r>
      <rPr>
        <sz val="10"/>
        <rFont val="宋体"/>
        <charset val="134"/>
      </rPr>
      <t>临时bom、SKU38+CPU）</t>
    </r>
  </si>
  <si>
    <r>
      <rPr>
        <b/>
        <sz val="10"/>
        <color theme="1"/>
        <rFont val="微软雅黑"/>
        <charset val="134"/>
      </rPr>
      <t>6月份汇率：</t>
    </r>
    <r>
      <rPr>
        <b/>
        <sz val="10"/>
        <color theme="1"/>
        <rFont val="Arial"/>
        <charset val="134"/>
      </rPr>
      <t>7.17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</si>
  <si>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r>
      <rPr>
        <sz val="10"/>
        <rFont val="宋体"/>
        <charset val="134"/>
      </rPr>
      <t>江波龙缺货，是否能改</t>
    </r>
    <r>
      <rPr>
        <sz val="10"/>
        <rFont val="Arial"/>
        <charset val="134"/>
      </rPr>
      <t>spectek</t>
    </r>
    <r>
      <rPr>
        <sz val="10"/>
        <rFont val="宋体"/>
        <charset val="134"/>
      </rPr>
      <t>，6$*2</t>
    </r>
  </si>
  <si>
    <t>DDR使用江波龙缺货;MP86901;RTS5452H-GR;单Type C IC及一个Type C接口；</t>
  </si>
  <si>
    <t>E.M.G.0000047</t>
  </si>
  <si>
    <t>EC200AEU-M2</t>
  </si>
  <si>
    <t>10.5$</t>
  </si>
  <si>
    <t>E.M.G.0000066</t>
  </si>
  <si>
    <t>FibocomL716-EU</t>
  </si>
  <si>
    <r>
      <rPr>
        <b/>
        <sz val="10"/>
        <color theme="1"/>
        <rFont val="微软雅黑"/>
        <charset val="134"/>
      </rPr>
      <t>7月份汇率：</t>
    </r>
    <r>
      <rPr>
        <b/>
        <sz val="10"/>
        <color theme="1"/>
        <rFont val="Arial"/>
        <charset val="134"/>
      </rPr>
      <t>7.17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</si>
  <si>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MTN79T</t>
  </si>
  <si>
    <t>A.F.M.2500168-PVT</t>
  </si>
  <si>
    <r>
      <rPr>
        <sz val="10"/>
        <rFont val="Arial"/>
        <charset val="134"/>
      </rPr>
      <t>SKU2</t>
    </r>
    <r>
      <rPr>
        <sz val="10"/>
        <rFont val="宋体"/>
        <charset val="134"/>
      </rPr>
      <t>临时搭配BOM 替换cpu</t>
    </r>
  </si>
  <si>
    <t>285H(45W)</t>
  </si>
  <si>
    <t>单Type c及两个Type c接口；含加密IC TPM;含雷电IC*2pcs,RTS5453H；MP87440GQVT*7pcs;IT5570E</t>
  </si>
  <si>
    <t>A.F.M.2401686-MP</t>
  </si>
  <si>
    <t>i5-13500H(28W)</t>
  </si>
  <si>
    <t>江波龙缺货，现询</t>
  </si>
  <si>
    <r>
      <rPr>
        <sz val="10"/>
        <rFont val="Arial"/>
        <charset val="134"/>
      </rPr>
      <t xml:space="preserve">DDR </t>
    </r>
    <r>
      <rPr>
        <sz val="10"/>
        <rFont val="宋体"/>
        <charset val="134"/>
      </rPr>
      <t>使用江波龙，两个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MP86941*5;</t>
    </r>
    <r>
      <rPr>
        <sz val="10"/>
        <rFont val="宋体"/>
        <charset val="134"/>
      </rPr>
      <t>含</t>
    </r>
    <r>
      <rPr>
        <sz val="10"/>
        <rFont val="Arial"/>
        <charset val="134"/>
      </rPr>
      <t>G2708CKU1U</t>
    </r>
    <r>
      <rPr>
        <sz val="10"/>
        <rFont val="宋体"/>
        <charset val="134"/>
      </rPr>
      <t>；</t>
    </r>
    <r>
      <rPr>
        <sz val="10"/>
        <rFont val="Arial"/>
        <charset val="134"/>
      </rPr>
      <t>IT5570E;</t>
    </r>
  </si>
  <si>
    <r>
      <rPr>
        <sz val="10"/>
        <rFont val="Arial"/>
        <charset val="134"/>
      </rPr>
      <t>i5-12450H</t>
    </r>
    <r>
      <rPr>
        <sz val="10"/>
        <rFont val="宋体"/>
        <charset val="134"/>
      </rPr>
      <t>（</t>
    </r>
    <r>
      <rPr>
        <sz val="10"/>
        <rFont val="Arial"/>
        <charset val="134"/>
      </rPr>
      <t>45W)</t>
    </r>
  </si>
  <si>
    <r>
      <rPr>
        <sz val="10"/>
        <rFont val="Arial"/>
        <charset val="134"/>
      </rPr>
      <t xml:space="preserve">DDR </t>
    </r>
    <r>
      <rPr>
        <sz val="10"/>
        <rFont val="宋体"/>
        <charset val="134"/>
      </rPr>
      <t>使用江波龙，两个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RT3624BEGQW</t>
    </r>
    <r>
      <rPr>
        <sz val="10"/>
        <rFont val="宋体"/>
        <charset val="134"/>
      </rPr>
      <t>；</t>
    </r>
    <r>
      <rPr>
        <sz val="10"/>
        <rFont val="Arial"/>
        <charset val="134"/>
      </rPr>
      <t>SPT5311B*5pcs</t>
    </r>
  </si>
  <si>
    <r>
      <rPr>
        <sz val="10"/>
        <rFont val="Arial"/>
        <charset val="134"/>
      </rPr>
      <t xml:space="preserve">DDR </t>
    </r>
    <r>
      <rPr>
        <sz val="10"/>
        <rFont val="宋体"/>
        <charset val="134"/>
      </rPr>
      <t>使用江波龙，两个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</t>
    </r>
    <r>
      <rPr>
        <sz val="10"/>
        <rFont val="宋体"/>
        <charset val="134"/>
      </rPr>
      <t>PS1713DQW*3pcs;IT5570E</t>
    </r>
  </si>
  <si>
    <t>共用</t>
  </si>
  <si>
    <t>STORAGE_SSD_512GB_80*22*2.15mm_3.3V_R:6300MB/S_W:3000MB/S_M.2_2280_PCIe Gen4×4_ZSP03PM02C_ZETTASTONE</t>
  </si>
  <si>
    <r>
      <rPr>
        <sz val="11"/>
        <color theme="1"/>
        <rFont val="宋体"/>
        <charset val="134"/>
      </rPr>
      <t>泽石</t>
    </r>
    <r>
      <rPr>
        <sz val="11"/>
        <color theme="1"/>
        <rFont val="Times New Roman"/>
        <charset val="134"/>
      </rPr>
      <t>(ZETTASTONE)</t>
    </r>
  </si>
  <si>
    <t>北京泽石科技有限公司</t>
  </si>
  <si>
    <t>E.M.P.0000305</t>
  </si>
  <si>
    <t>STORAGE_SSD_512GB_M.2 2280_80*22*2.25mm_3.3V_Read:5000MB/S_Write:3900MB/S_PCIe Gen4_FSB0C512G-C6C7200_FORESEE</t>
  </si>
  <si>
    <t>SSD Gen4 x4 521G 江波龙
FSB0C512G-C6C7200</t>
  </si>
  <si>
    <t>DN25 / MTN79 / DN79 / DN79C</t>
  </si>
  <si>
    <t>江波龙（FORESEE）</t>
  </si>
  <si>
    <t>上海赞禾英泰信息科技股份有限公司</t>
  </si>
  <si>
    <t>FSB0C512G-C6C7200</t>
  </si>
  <si>
    <t>STORAGE_SSD_1TB_2280_80*22*2.35mm_3.3V_Read:4000 MB/S_Write:3200 MB/S_M.2_PCIE Gen4x4_OM8PGP41024N-A0_Kingston</t>
  </si>
  <si>
    <t>通用</t>
  </si>
  <si>
    <t>金士顿(Kingston)</t>
  </si>
  <si>
    <t>A.F.M.2400682-PVT</t>
  </si>
  <si>
    <r>
      <rPr>
        <sz val="10"/>
        <rFont val="Arial"/>
        <charset val="134"/>
      </rPr>
      <t>单</t>
    </r>
    <r>
      <rPr>
        <sz val="10"/>
        <rFont val="Arial"/>
        <charset val="134"/>
      </rPr>
      <t>Tpye c;25TQC15MYFB</t>
    </r>
  </si>
  <si>
    <t>A.F.M.2400683-PVT</t>
  </si>
  <si>
    <t>A.F.D.2300269</t>
  </si>
  <si>
    <r>
      <rPr>
        <sz val="11"/>
        <color rgb="FFFF0000"/>
        <rFont val="Times New Roman"/>
        <charset val="0"/>
      </rPr>
      <t xml:space="preserve">A.F.D.2300269 </t>
    </r>
    <r>
      <rPr>
        <sz val="11"/>
        <color rgb="FFFF0000"/>
        <rFont val="宋体"/>
        <charset val="0"/>
      </rPr>
      <t>上海小板</t>
    </r>
  </si>
  <si>
    <t>不计入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</si>
  <si>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；</t>
    </r>
  </si>
  <si>
    <t>缺货，按实单询价换品牌</t>
  </si>
  <si>
    <r>
      <rPr>
        <sz val="10"/>
        <rFont val="Arial"/>
        <charset val="134"/>
      </rPr>
      <t>SKU21(</t>
    </r>
    <r>
      <rPr>
        <sz val="10"/>
        <rFont val="宋体"/>
        <charset val="134"/>
      </rPr>
      <t>临时BOM）</t>
    </r>
  </si>
  <si>
    <r>
      <rPr>
        <sz val="10"/>
        <rFont val="Arial"/>
        <charset val="134"/>
      </rPr>
      <t>I5-13420H(</t>
    </r>
    <r>
      <rPr>
        <sz val="10"/>
        <rFont val="宋体"/>
        <charset val="134"/>
      </rPr>
      <t>客供）</t>
    </r>
  </si>
  <si>
    <r>
      <rPr>
        <sz val="10"/>
        <rFont val="Arial"/>
        <charset val="134"/>
      </rPr>
      <t>SKU22(</t>
    </r>
    <r>
      <rPr>
        <sz val="10"/>
        <rFont val="宋体"/>
        <charset val="134"/>
      </rPr>
      <t>临时</t>
    </r>
    <r>
      <rPr>
        <sz val="10"/>
        <rFont val="Arial"/>
        <charset val="134"/>
      </rPr>
      <t>BOM</t>
    </r>
    <r>
      <rPr>
        <sz val="10"/>
        <rFont val="宋体"/>
        <charset val="134"/>
      </rPr>
      <t>）</t>
    </r>
  </si>
  <si>
    <r>
      <rPr>
        <sz val="10"/>
        <rFont val="Arial"/>
        <charset val="134"/>
      </rPr>
      <t>SKU3(</t>
    </r>
    <r>
      <rPr>
        <sz val="10"/>
        <rFont val="宋体"/>
        <charset val="134"/>
      </rPr>
      <t>艾志青临时bom）</t>
    </r>
  </si>
  <si>
    <t>双Type c及两个Type c接口；RT3634CEGQW；W25R256JWEIQ；IT5570E；含加密IC tpm</t>
  </si>
  <si>
    <t>A.F.M.2400375-PVT</t>
  </si>
  <si>
    <r>
      <rPr>
        <sz val="10"/>
        <rFont val="微软雅黑"/>
        <charset val="134"/>
      </rPr>
      <t>双</t>
    </r>
    <r>
      <rPr>
        <sz val="10"/>
        <rFont val="Arial"/>
        <charset val="134"/>
      </rPr>
      <t>Typc c;</t>
    </r>
    <r>
      <rPr>
        <sz val="10"/>
        <rFont val="微软雅黑"/>
        <charset val="134"/>
      </rPr>
      <t>含有加密</t>
    </r>
    <r>
      <rPr>
        <sz val="10"/>
        <rFont val="Arial"/>
        <charset val="134"/>
      </rPr>
      <t>IC TPM;</t>
    </r>
    <r>
      <rPr>
        <sz val="10"/>
        <rFont val="微软雅黑"/>
        <charset val="134"/>
      </rPr>
      <t>含有雷电</t>
    </r>
    <r>
      <rPr>
        <sz val="10"/>
        <rFont val="Arial"/>
        <charset val="134"/>
      </rPr>
      <t>IC*2pcs;FLASH</t>
    </r>
    <r>
      <rPr>
        <sz val="10"/>
        <rFont val="微软雅黑"/>
        <charset val="134"/>
      </rPr>
      <t>使用兆易</t>
    </r>
  </si>
  <si>
    <t>A.F.M.2401142-PVT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</si>
  <si>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Tpye c IC</t>
    </r>
    <r>
      <rPr>
        <sz val="10"/>
        <rFont val="微软雅黑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接口；含加密IC TPM;含有</t>
    </r>
    <r>
      <rPr>
        <sz val="10"/>
        <rFont val="Arial"/>
        <charset val="134"/>
      </rPr>
      <t>intel</t>
    </r>
    <r>
      <rPr>
        <sz val="10"/>
        <rFont val="微软雅黑"/>
        <charset val="134"/>
      </rPr>
      <t>雷电</t>
    </r>
    <r>
      <rPr>
        <sz val="10"/>
        <rFont val="Arial"/>
        <charset val="134"/>
      </rPr>
      <t>IC*2pcs;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RTS5453H;;</t>
    </r>
    <r>
      <rPr>
        <sz val="10"/>
        <rFont val="微软雅黑"/>
        <charset val="134"/>
      </rPr>
      <t>含有</t>
    </r>
    <r>
      <rPr>
        <sz val="10"/>
        <rFont val="Arial"/>
        <charset val="134"/>
      </rPr>
      <t>MP87440GQVT-Z*6pcs;</t>
    </r>
    <r>
      <rPr>
        <sz val="10"/>
        <rFont val="微软雅黑"/>
        <charset val="134"/>
      </rPr>
      <t>含有ANX7484Q42-AA1-R</t>
    </r>
  </si>
  <si>
    <r>
      <rPr>
        <sz val="10"/>
        <rFont val="Arial"/>
        <charset val="134"/>
      </rPr>
      <t>SKU9(</t>
    </r>
    <r>
      <rPr>
        <sz val="10"/>
        <rFont val="宋体"/>
        <charset val="134"/>
      </rPr>
      <t>替换cpu）</t>
    </r>
  </si>
  <si>
    <t>256V(16GB)</t>
  </si>
  <si>
    <t xml:space="preserve">单Type C IC及两个Type c接口;W25R256JWEIQ;MP87440GQVT*7pcs;IT5570E;如用普通板材价格为5.06$,如用联茂IT-170GRA2TC 低损耗无卤板材的报5.91$
</t>
  </si>
  <si>
    <t>i9 185H</t>
  </si>
  <si>
    <t>DDR使用海力士；bom不带wifi;SSD;pcb价格为系统下单价，为上海下单</t>
  </si>
  <si>
    <t>含在主板BOM里面的 需合计；pcb价格为系统下单价，</t>
  </si>
  <si>
    <t>合计成本</t>
  </si>
  <si>
    <r>
      <rPr>
        <sz val="10"/>
        <rFont val="Arial"/>
        <charset val="134"/>
      </rPr>
      <t>SKU80(cost</t>
    </r>
    <r>
      <rPr>
        <sz val="10"/>
        <rFont val="宋体"/>
        <charset val="134"/>
      </rPr>
      <t>版本临时BOM）吴小惠</t>
    </r>
  </si>
  <si>
    <t>双Type c IC及2个Type c 接口;MP86941*3pcs;IT5570E;IT66318FN/EW-0003(R);MP2964GQKT;PS8811QFN36GTR2-A2;</t>
  </si>
  <si>
    <r>
      <rPr>
        <b/>
        <sz val="10"/>
        <color theme="1"/>
        <rFont val="Arial"/>
        <charset val="134"/>
      </rPr>
      <t>7</t>
    </r>
    <r>
      <rPr>
        <b/>
        <sz val="10"/>
        <color theme="1"/>
        <rFont val="微软雅黑"/>
        <charset val="134"/>
      </rPr>
      <t>月份汇率：</t>
    </r>
    <r>
      <rPr>
        <b/>
        <sz val="10"/>
        <color theme="1"/>
        <rFont val="Arial"/>
        <charset val="134"/>
      </rPr>
      <t>7.17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</si>
  <si>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SKU1(临时BOM预估）</t>
  </si>
  <si>
    <r>
      <rPr>
        <sz val="10"/>
        <rFont val="Arial"/>
        <charset val="134"/>
      </rPr>
      <t>SKU2(</t>
    </r>
    <r>
      <rPr>
        <sz val="10"/>
        <rFont val="宋体"/>
        <charset val="134"/>
      </rPr>
      <t>临时</t>
    </r>
    <r>
      <rPr>
        <sz val="10"/>
        <rFont val="Arial"/>
        <charset val="134"/>
      </rPr>
      <t>BOM</t>
    </r>
    <r>
      <rPr>
        <sz val="10"/>
        <rFont val="宋体"/>
        <charset val="134"/>
      </rPr>
      <t>预估）</t>
    </r>
  </si>
  <si>
    <r>
      <rPr>
        <sz val="10"/>
        <rFont val="Arial"/>
        <charset val="134"/>
      </rPr>
      <t>SKU3(</t>
    </r>
    <r>
      <rPr>
        <sz val="10"/>
        <rFont val="宋体"/>
        <charset val="134"/>
      </rPr>
      <t>临时</t>
    </r>
    <r>
      <rPr>
        <sz val="10"/>
        <rFont val="Arial"/>
        <charset val="134"/>
      </rPr>
      <t>BOM</t>
    </r>
    <r>
      <rPr>
        <sz val="10"/>
        <rFont val="宋体"/>
        <charset val="134"/>
      </rPr>
      <t>预估）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</si>
  <si>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用镁光；</t>
    </r>
    <r>
      <rPr>
        <sz val="10"/>
        <rFont val="Arial"/>
        <charset val="134"/>
      </rPr>
      <t>MP87440GQVT*14pcs;MP2825GQKT*2pcs;W25R256JWEIQ</t>
    </r>
    <r>
      <rPr>
        <sz val="10"/>
        <rFont val="宋体"/>
        <charset val="134"/>
      </rPr>
      <t>；</t>
    </r>
    <r>
      <rPr>
        <sz val="10"/>
        <rFont val="Arial"/>
        <charset val="134"/>
      </rPr>
      <t>IT66318FN/EW</t>
    </r>
    <r>
      <rPr>
        <sz val="10"/>
        <rFont val="宋体"/>
        <charset val="134"/>
      </rPr>
      <t>；</t>
    </r>
    <r>
      <rPr>
        <sz val="10"/>
        <rFont val="Arial"/>
        <charset val="134"/>
      </rPr>
      <t>RTS5453H</t>
    </r>
    <r>
      <rPr>
        <sz val="10"/>
        <rFont val="宋体"/>
        <charset val="134"/>
      </rPr>
      <t>；</t>
    </r>
    <r>
      <rPr>
        <sz val="10"/>
        <rFont val="Arial"/>
        <charset val="134"/>
      </rPr>
      <t>IT5570VG</t>
    </r>
    <r>
      <rPr>
        <sz val="10"/>
        <rFont val="宋体"/>
        <charset val="134"/>
      </rPr>
      <t>；</t>
    </r>
    <r>
      <rPr>
        <sz val="10"/>
        <rFont val="Arial"/>
        <charset val="134"/>
      </rPr>
      <t>RTD2156*2pcs;G2708CKU1U</t>
    </r>
  </si>
  <si>
    <r>
      <rPr>
        <sz val="9"/>
        <color rgb="FFFF0000"/>
        <rFont val="微软雅黑"/>
        <charset val="134"/>
      </rPr>
      <t>DDR</t>
    </r>
    <r>
      <rPr>
        <sz val="10"/>
        <color rgb="FFFF0000"/>
        <rFont val="宋体"/>
        <charset val="134"/>
      </rPr>
      <t>为镁光，沟通按海力士导入更新报价；</t>
    </r>
    <r>
      <rPr>
        <sz val="10"/>
        <color theme="1"/>
        <rFont val="宋体"/>
        <charset val="134"/>
      </rPr>
      <t>单Type c及含一个Type c接口;</t>
    </r>
    <r>
      <rPr>
        <sz val="10"/>
        <color theme="1"/>
        <rFont val="Arial"/>
        <charset val="134"/>
      </rPr>
      <t>MP29011GQKT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>MP86941*7pcs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>W25R256JWEIQ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>IT5570E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>IT5272FN</t>
    </r>
    <r>
      <rPr>
        <sz val="10"/>
        <color theme="1"/>
        <rFont val="宋体"/>
        <charset val="134"/>
      </rPr>
      <t>；含</t>
    </r>
    <r>
      <rPr>
        <sz val="10"/>
        <color theme="1"/>
        <rFont val="Arial"/>
        <charset val="134"/>
      </rPr>
      <t>INTEL</t>
    </r>
    <r>
      <rPr>
        <sz val="10"/>
        <color theme="1"/>
        <rFont val="宋体"/>
        <charset val="134"/>
      </rPr>
      <t>雷电</t>
    </r>
    <r>
      <rPr>
        <sz val="10"/>
        <color theme="1"/>
        <rFont val="Arial"/>
        <charset val="134"/>
      </rPr>
      <t>IC</t>
    </r>
  </si>
  <si>
    <r>
      <rPr>
        <sz val="9"/>
        <color rgb="FFFF0000"/>
        <rFont val="微软雅黑"/>
        <charset val="134"/>
      </rPr>
      <t>DDR</t>
    </r>
    <r>
      <rPr>
        <sz val="10"/>
        <color rgb="FFFF0000"/>
        <rFont val="宋体"/>
        <charset val="134"/>
      </rPr>
      <t>为镁光，沟通按海力士导入更新报价；</t>
    </r>
    <r>
      <rPr>
        <sz val="10"/>
        <color theme="1"/>
        <rFont val="Arial"/>
        <charset val="134"/>
      </rPr>
      <t>MP29011GQKT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>JWH7030QFNAZ#TR*7pcs;JWH63992VQELA;W25Q256JWEIQ;</t>
    </r>
    <r>
      <rPr>
        <sz val="10"/>
        <color theme="1"/>
        <rFont val="宋体"/>
        <charset val="134"/>
      </rPr>
      <t>含</t>
    </r>
    <r>
      <rPr>
        <sz val="10"/>
        <color theme="1"/>
        <rFont val="Arial"/>
        <charset val="134"/>
      </rPr>
      <t>INTEL</t>
    </r>
    <r>
      <rPr>
        <sz val="10"/>
        <color theme="1"/>
        <rFont val="宋体"/>
        <charset val="134"/>
      </rPr>
      <t>雷电</t>
    </r>
    <r>
      <rPr>
        <sz val="10"/>
        <color theme="1"/>
        <rFont val="Arial"/>
        <charset val="134"/>
      </rPr>
      <t>IC</t>
    </r>
  </si>
  <si>
    <t>A.F.M.2501441</t>
  </si>
  <si>
    <t>上海调拨</t>
  </si>
  <si>
    <t>A.F.M.2501442</t>
  </si>
  <si>
    <r>
      <rPr>
        <sz val="10"/>
        <rFont val="Arial"/>
        <charset val="134"/>
      </rPr>
      <t xml:space="preserve">i5-13420H SRMHX </t>
    </r>
    <r>
      <rPr>
        <sz val="10"/>
        <rFont val="宋体"/>
        <charset val="134"/>
      </rPr>
      <t>（</t>
    </r>
    <r>
      <rPr>
        <sz val="10"/>
        <rFont val="Arial"/>
        <charset val="134"/>
      </rPr>
      <t>non ipu</t>
    </r>
    <r>
      <rPr>
        <sz val="10"/>
        <rFont val="宋体"/>
        <charset val="134"/>
      </rPr>
      <t>）</t>
    </r>
  </si>
  <si>
    <r>
      <rPr>
        <sz val="10"/>
        <rFont val="微软雅黑"/>
        <charset val="134"/>
      </rPr>
      <t>单Type C IC及两个Type c 接口;MP86941*5pcs;IT5570E;MP2964GQKT;</t>
    </r>
    <r>
      <rPr>
        <sz val="10"/>
        <color rgb="FFFF0000"/>
        <rFont val="微软雅黑"/>
        <charset val="134"/>
      </rPr>
      <t>pcb用联茂IT-170GRA2 低损耗无卤板材的价格，如有其他需求请单独确认pcb价格</t>
    </r>
  </si>
  <si>
    <t>MTN66</t>
  </si>
  <si>
    <r>
      <rPr>
        <sz val="10"/>
        <rFont val="Arial"/>
        <charset val="134"/>
      </rPr>
      <t>LPDDR4x-200</t>
    </r>
    <r>
      <rPr>
        <sz val="10"/>
        <rFont val="宋体"/>
        <charset val="134"/>
      </rPr>
      <t>球</t>
    </r>
    <r>
      <rPr>
        <sz val="10"/>
        <rFont val="Arial"/>
        <charset val="134"/>
      </rPr>
      <t>2G</t>
    </r>
  </si>
  <si>
    <r>
      <rPr>
        <sz val="10"/>
        <rFont val="Arial"/>
        <charset val="134"/>
      </rPr>
      <t xml:space="preserve">DDR </t>
    </r>
    <r>
      <rPr>
        <sz val="10"/>
        <rFont val="宋体"/>
        <charset val="134"/>
      </rPr>
      <t>使用三星暂无价格，单</t>
    </r>
    <r>
      <rPr>
        <sz val="10"/>
        <rFont val="Arial"/>
        <charset val="134"/>
      </rPr>
      <t>Type-c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IT5570E;MP2964GQKT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</si>
  <si>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用镁光；</t>
    </r>
    <r>
      <rPr>
        <sz val="10"/>
        <rFont val="Arial"/>
        <charset val="134"/>
      </rPr>
      <t>MP87440GQVT*14pcs;MP2825GQKT*2pcs;W25R256JWEIQ</t>
    </r>
    <r>
      <rPr>
        <sz val="10"/>
        <rFont val="宋体"/>
        <charset val="134"/>
      </rPr>
      <t>；含加密IC TPM；</t>
    </r>
    <r>
      <rPr>
        <sz val="10"/>
        <rFont val="Arial"/>
        <charset val="134"/>
      </rPr>
      <t>RTS5453H</t>
    </r>
    <r>
      <rPr>
        <sz val="10"/>
        <rFont val="宋体"/>
        <charset val="134"/>
      </rPr>
      <t>；</t>
    </r>
    <r>
      <rPr>
        <sz val="10"/>
        <rFont val="Arial"/>
        <charset val="134"/>
      </rPr>
      <t>IT5570VG</t>
    </r>
    <r>
      <rPr>
        <sz val="10"/>
        <rFont val="宋体"/>
        <charset val="134"/>
      </rPr>
      <t>；</t>
    </r>
    <r>
      <rPr>
        <sz val="10"/>
        <rFont val="Arial"/>
        <charset val="134"/>
      </rPr>
      <t>RTD2156*2pcs;G2708CKU1U</t>
    </r>
  </si>
  <si>
    <r>
      <rPr>
        <b/>
        <sz val="10"/>
        <color theme="1"/>
        <rFont val="微软雅黑"/>
        <charset val="134"/>
      </rPr>
      <t>9月份汇率：</t>
    </r>
    <r>
      <rPr>
        <b/>
        <sz val="10"/>
        <color theme="1"/>
        <rFont val="Arial"/>
        <charset val="134"/>
      </rPr>
      <t>7.13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</si>
  <si>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临时核价bom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</si>
  <si>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Type-c IC</t>
    </r>
    <r>
      <rPr>
        <sz val="10"/>
        <rFont val="宋体"/>
        <charset val="134"/>
      </rPr>
      <t>及两个</t>
    </r>
    <r>
      <rPr>
        <sz val="10"/>
        <rFont val="Arial"/>
        <charset val="134"/>
      </rPr>
      <t xml:space="preserve">Type c 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MP86941*3pcs;IT5570E;</t>
    </r>
    <r>
      <rPr>
        <sz val="10"/>
        <rFont val="宋体"/>
        <charset val="134"/>
      </rPr>
      <t>含</t>
    </r>
    <r>
      <rPr>
        <sz val="10"/>
        <rFont val="Arial"/>
        <charset val="134"/>
      </rPr>
      <t>INTEL</t>
    </r>
    <r>
      <rPr>
        <sz val="10"/>
        <rFont val="宋体"/>
        <charset val="134"/>
      </rPr>
      <t>雷电</t>
    </r>
    <r>
      <rPr>
        <sz val="10"/>
        <rFont val="Arial"/>
        <charset val="134"/>
      </rPr>
      <t>IC</t>
    </r>
  </si>
  <si>
    <r>
      <rPr>
        <sz val="10"/>
        <rFont val="Arial"/>
        <charset val="134"/>
      </rPr>
      <t>DN79(8L+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</t>
    </r>
    <r>
      <rPr>
        <sz val="10"/>
        <rFont val="微软雅黑"/>
        <charset val="134"/>
      </rPr>
      <t>沉金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</si>
  <si>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SKU19(</t>
    </r>
    <r>
      <rPr>
        <sz val="10"/>
        <rFont val="宋体"/>
        <charset val="134"/>
      </rPr>
      <t>临时BOM）</t>
    </r>
  </si>
  <si>
    <r>
      <rPr>
        <sz val="10"/>
        <rFont val="Arial"/>
        <charset val="134"/>
      </rPr>
      <t>SKU20(</t>
    </r>
    <r>
      <rPr>
        <sz val="10"/>
        <rFont val="宋体"/>
        <charset val="134"/>
      </rPr>
      <t>临时</t>
    </r>
    <r>
      <rPr>
        <sz val="10"/>
        <rFont val="Arial"/>
        <charset val="134"/>
      </rPr>
      <t>BOM</t>
    </r>
    <r>
      <rPr>
        <sz val="10"/>
        <rFont val="宋体"/>
        <charset val="134"/>
      </rPr>
      <t>）</t>
    </r>
  </si>
  <si>
    <r>
      <rPr>
        <sz val="10"/>
        <rFont val="Arial"/>
        <charset val="134"/>
      </rPr>
      <t>DA1030</t>
    </r>
    <r>
      <rPr>
        <sz val="10"/>
        <rFont val="宋体"/>
        <charset val="134"/>
      </rPr>
      <t>（</t>
    </r>
    <r>
      <rPr>
        <sz val="10"/>
        <rFont val="Arial"/>
        <charset val="134"/>
      </rPr>
      <t>8L+</t>
    </r>
    <r>
      <rPr>
        <sz val="10"/>
        <rFont val="宋体"/>
        <charset val="134"/>
      </rPr>
      <t>通孔</t>
    </r>
    <r>
      <rPr>
        <sz val="10"/>
        <rFont val="Arial"/>
        <charset val="134"/>
      </rPr>
      <t>+</t>
    </r>
    <r>
      <rPr>
        <sz val="10"/>
        <rFont val="宋体"/>
        <charset val="134"/>
      </rPr>
      <t>沉金）</t>
    </r>
  </si>
  <si>
    <t>单Type C IC及两个Type c 接口;含有IT66318FN；CPU请和采购单独确认下价格；此价格为表面沉金工艺，如客户无指定需求 可以按OSP工艺核算</t>
  </si>
  <si>
    <t>7月份汇率：7.17币种:USA</t>
  </si>
  <si>
    <t>PCB（预估）</t>
  </si>
  <si>
    <t>Others（预估）</t>
  </si>
  <si>
    <t>SMT（预估）</t>
  </si>
  <si>
    <t>TTL（预估）</t>
  </si>
  <si>
    <t>DP13C</t>
  </si>
  <si>
    <t>DP13C(预估成本）无bom</t>
  </si>
  <si>
    <t>others按 MTP13-SKU1参阅价格，PCB价格参照 MTP13，SMT价按DP13往上预估,以上因无BOM无资料，正式成本需按实际为准。</t>
  </si>
  <si>
    <t>8月份汇率：7.17币种:USA</t>
  </si>
  <si>
    <t>A.F.M.2501910</t>
  </si>
  <si>
    <t>A.F.M.2501911</t>
  </si>
  <si>
    <t>A.F.M.2501912</t>
  </si>
  <si>
    <r>
      <rPr>
        <b/>
        <sz val="10"/>
        <color theme="1"/>
        <rFont val="微软雅黑"/>
        <charset val="134"/>
      </rPr>
      <t>月份汇率：</t>
    </r>
    <r>
      <rPr>
        <b/>
        <sz val="10"/>
        <color theme="1"/>
        <rFont val="Arial"/>
        <charset val="134"/>
      </rPr>
      <t xml:space="preserve">7.24 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</si>
  <si>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A.F.M.2301124-MP</t>
  </si>
  <si>
    <t>A.F.M.2401836-MP</t>
  </si>
  <si>
    <t>SKU142</t>
  </si>
  <si>
    <r>
      <rPr>
        <sz val="10"/>
        <rFont val="Arial"/>
        <charset val="134"/>
      </rPr>
      <t>i5-12450H</t>
    </r>
    <r>
      <rPr>
        <sz val="10"/>
        <rFont val="宋体"/>
        <charset val="134"/>
      </rPr>
      <t>（</t>
    </r>
    <r>
      <rPr>
        <sz val="10"/>
        <rFont val="Arial"/>
        <charset val="134"/>
      </rPr>
      <t>28W)</t>
    </r>
  </si>
  <si>
    <r>
      <rPr>
        <b/>
        <sz val="10"/>
        <color theme="1"/>
        <rFont val="微软雅黑"/>
        <charset val="134"/>
      </rPr>
      <t>8月份汇率：</t>
    </r>
    <r>
      <rPr>
        <b/>
        <sz val="10"/>
        <color theme="1"/>
        <rFont val="Arial"/>
        <charset val="134"/>
      </rPr>
      <t>7.17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</si>
  <si>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>2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用野马士；MP86941</t>
    </r>
    <r>
      <rPr>
        <sz val="10"/>
        <rFont val="Arial"/>
        <charset val="134"/>
      </rPr>
      <t>*4pcs;NB693AGQ*3PCS;MP2845BGQK;W25Q256JWEIQ;IT5570E</t>
    </r>
  </si>
  <si>
    <t>A.F.M.2501796</t>
  </si>
  <si>
    <t>SKU207</t>
  </si>
  <si>
    <t>i7-1280P(15W)</t>
  </si>
  <si>
    <t>单Tpye c IC及一个Type c接口；MP86941*3PCS;IT5570E;MP2964GQKT;</t>
  </si>
  <si>
    <t>无Type C IC及1个Type c接口；MP86941*3pcs;ALC269Q;IT5570E;MP2964GQKT;</t>
  </si>
  <si>
    <t>按实际需求</t>
  </si>
  <si>
    <r>
      <rPr>
        <sz val="10"/>
        <rFont val="Arial"/>
        <charset val="134"/>
      </rPr>
      <t>单</t>
    </r>
    <r>
      <rPr>
        <sz val="10"/>
        <color theme="1"/>
        <rFont val="Arial"/>
        <charset val="134"/>
      </rPr>
      <t>Type C IC</t>
    </r>
    <r>
      <rPr>
        <sz val="10"/>
        <color theme="1"/>
        <rFont val="宋体"/>
        <charset val="134"/>
      </rPr>
      <t>及一个</t>
    </r>
    <r>
      <rPr>
        <sz val="10"/>
        <color theme="1"/>
        <rFont val="Arial"/>
        <charset val="134"/>
      </rPr>
      <t xml:space="preserve">Type c </t>
    </r>
    <r>
      <rPr>
        <sz val="10"/>
        <color theme="1"/>
        <rFont val="宋体"/>
        <charset val="134"/>
      </rPr>
      <t>接口；ALC269Q</t>
    </r>
    <r>
      <rPr>
        <sz val="10"/>
        <color theme="1"/>
        <rFont val="Arial"/>
        <charset val="134"/>
      </rPr>
      <t>;MP86941*2pcs</t>
    </r>
    <r>
      <rPr>
        <sz val="10"/>
        <color theme="1"/>
        <rFont val="宋体"/>
        <charset val="134"/>
      </rPr>
      <t>；IT5570E;板子用</t>
    </r>
    <r>
      <rPr>
        <sz val="10"/>
        <color theme="1"/>
        <rFont val="Arial"/>
        <charset val="134"/>
      </rPr>
      <t>OSP</t>
    </r>
    <r>
      <rPr>
        <sz val="10"/>
        <color theme="1"/>
        <rFont val="宋体"/>
        <charset val="134"/>
      </rPr>
      <t>工艺</t>
    </r>
  </si>
  <si>
    <t>A.F.M.2400945-MP</t>
  </si>
  <si>
    <t>A.F.M.2501026-MP</t>
  </si>
  <si>
    <t>SU187</t>
  </si>
  <si>
    <t>i5-1340P(28W)</t>
  </si>
  <si>
    <t xml:space="preserve">单Tpye c IC及一个Type c接口；SN6140;MP86941*5pcs;含加密IC TPM 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</si>
  <si>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及两个</t>
    </r>
    <r>
      <rPr>
        <sz val="10"/>
        <rFont val="微软雅黑"/>
        <charset val="134"/>
      </rPr>
      <t>Type  c</t>
    </r>
    <r>
      <rPr>
        <sz val="10"/>
        <rFont val="宋体"/>
        <charset val="134"/>
      </rPr>
      <t>接口</t>
    </r>
  </si>
  <si>
    <t>DNTU146A</t>
  </si>
  <si>
    <t>A.F.M.2502070-EVT</t>
  </si>
  <si>
    <r>
      <rPr>
        <sz val="10"/>
        <rFont val="Arial"/>
        <charset val="134"/>
      </rPr>
      <t>SKU6</t>
    </r>
    <r>
      <rPr>
        <sz val="10"/>
        <rFont val="宋体"/>
        <charset val="134"/>
      </rPr>
      <t>临时BOM</t>
    </r>
  </si>
  <si>
    <t>270H(45W)</t>
  </si>
  <si>
    <t>PCB回复和DNTU146的一样参考；SMT目前暂为预估；单Type c及含两个Type c接口；EEFSX0E331ER;MP86941*6pcs;</t>
  </si>
  <si>
    <r>
      <rPr>
        <sz val="10"/>
        <rFont val="宋体"/>
        <charset val="134"/>
      </rPr>
      <t>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</t>
    </r>
    <r>
      <rPr>
        <sz val="10"/>
        <rFont val="Arial"/>
        <charset val="134"/>
      </rPr>
      <t>2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</t>
    </r>
    <r>
      <rPr>
        <sz val="10"/>
        <rFont val="Arial"/>
        <charset val="134"/>
      </rPr>
      <t>;DDR</t>
    </r>
    <r>
      <rPr>
        <sz val="10"/>
        <rFont val="宋体"/>
        <charset val="134"/>
      </rPr>
      <t>用佰维；T55B156M025C0100*8pcs;MP86941*4pcs;NB693AGQ*3pcs;MP2845BGQK;W25Q256JWEIN;IT5570E;IT66318FN/EW</t>
    </r>
  </si>
  <si>
    <t>Type c（一个Type c接口）</t>
  </si>
  <si>
    <t>单Type C IC及1个Type c接口；MP86941*3pcs;ALC269Q;IT5570E;MP2964GQKT;</t>
  </si>
  <si>
    <t>单Type C IC及1个Type c接口；MP86941*5pcs;ALC269Q;IT5570E;MP2964GQKT;EEFSX0E331ER*7pcs;</t>
  </si>
  <si>
    <t>A.F.M.2401205-PVT</t>
  </si>
  <si>
    <t>PN50</t>
  </si>
  <si>
    <t>SKU2临时bom</t>
  </si>
  <si>
    <t>Q9C9(25W)</t>
  </si>
  <si>
    <t>MP86941*5pcs；MP29011GQKT；XM25QU256CXIQT；IT5570E；含雷电9040*2pcs；含加密IC TPM;ANX7484Q42;</t>
  </si>
  <si>
    <t>SKU3临时bom</t>
  </si>
  <si>
    <t>Q9CA(25W)</t>
  </si>
  <si>
    <t>MP86941*5pcs；W25Q256JWEIN；IT5570E；含雷电9040*2pcs；含加密IC TPM;ANX7484Q42;G2708CKU1U</t>
  </si>
  <si>
    <r>
      <rPr>
        <b/>
        <sz val="10"/>
        <color theme="1"/>
        <rFont val="Arial"/>
        <charset val="134"/>
      </rPr>
      <t>9</t>
    </r>
    <r>
      <rPr>
        <b/>
        <sz val="10"/>
        <color theme="1"/>
        <rFont val="微软雅黑"/>
        <charset val="134"/>
      </rPr>
      <t>月份汇率：</t>
    </r>
    <r>
      <rPr>
        <b/>
        <sz val="10"/>
        <color theme="1"/>
        <rFont val="Arial"/>
        <charset val="134"/>
      </rPr>
      <t>7.13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</si>
  <si>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物料编码</t>
  </si>
  <si>
    <t>含税单价</t>
  </si>
  <si>
    <t>结算币别</t>
  </si>
  <si>
    <t>物料名称</t>
  </si>
  <si>
    <t>规格型号</t>
  </si>
  <si>
    <t>E.I.A.0000008</t>
  </si>
  <si>
    <r>
      <rPr>
        <sz val="9"/>
        <color theme="1"/>
        <rFont val="微软雅黑"/>
        <charset val="134"/>
      </rPr>
      <t>音视频</t>
    </r>
    <r>
      <rPr>
        <sz val="9"/>
        <color theme="1"/>
        <rFont val="Arial"/>
        <charset val="0"/>
      </rPr>
      <t>IC</t>
    </r>
  </si>
  <si>
    <t>IC,AUDIO CODEC,ALC269-VC3-GR, QFN48, Realtek</t>
  </si>
  <si>
    <t>E.I.A.0000089</t>
  </si>
  <si>
    <t>Audio and video converter IC</t>
  </si>
  <si>
    <t>IC_CODEC_HDA_Realtek_6x6mm_H1.0mm_QFN48_SMD_ALC269QN-VC3-GR</t>
  </si>
  <si>
    <r>
      <rPr>
        <b/>
        <sz val="10"/>
        <color theme="1"/>
        <rFont val="Arial"/>
        <charset val="134"/>
      </rPr>
      <t>10</t>
    </r>
    <r>
      <rPr>
        <b/>
        <sz val="10"/>
        <color theme="1"/>
        <rFont val="微软雅黑"/>
        <charset val="134"/>
      </rPr>
      <t>月份汇率：</t>
    </r>
    <r>
      <rPr>
        <b/>
        <sz val="10"/>
        <color theme="1"/>
        <rFont val="Arial"/>
        <charset val="134"/>
      </rPr>
      <t>7.1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</si>
  <si>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r>
      <rPr>
        <sz val="10"/>
        <rFont val="Arial"/>
        <charset val="134"/>
      </rPr>
      <t xml:space="preserve">Type c;DDR </t>
    </r>
    <r>
      <rPr>
        <sz val="10"/>
        <rFont val="微软雅黑"/>
        <charset val="134"/>
      </rPr>
      <t>使用海力士</t>
    </r>
    <r>
      <rPr>
        <sz val="10"/>
        <rFont val="Arial"/>
        <charset val="134"/>
      </rPr>
      <t xml:space="preserve">  Flash:128M ,W25R128JWSIQ</t>
    </r>
  </si>
  <si>
    <r>
      <rPr>
        <sz val="10"/>
        <rFont val="Arial"/>
        <charset val="134"/>
      </rPr>
      <t>Type c;DDR</t>
    </r>
    <r>
      <rPr>
        <sz val="10"/>
        <rFont val="宋体"/>
        <charset val="134"/>
      </rPr>
      <t>使用佰维；</t>
    </r>
    <r>
      <rPr>
        <sz val="10"/>
        <rFont val="Arial"/>
        <charset val="134"/>
      </rPr>
      <t xml:space="preserve"> Flash:128M ,W25R128JWSIQ</t>
    </r>
  </si>
  <si>
    <t>已停产</t>
  </si>
  <si>
    <r>
      <rPr>
        <sz val="10"/>
        <rFont val="Arial"/>
        <charset val="134"/>
      </rPr>
      <t>CPU</t>
    </r>
    <r>
      <rPr>
        <sz val="10"/>
        <rFont val="宋体"/>
        <charset val="134"/>
      </rPr>
      <t>目前无价格；</t>
    </r>
    <r>
      <rPr>
        <sz val="10"/>
        <rFont val="Arial"/>
        <charset val="134"/>
      </rPr>
      <t xml:space="preserve"> Type c;DDR</t>
    </r>
    <r>
      <rPr>
        <sz val="10"/>
        <rFont val="宋体"/>
        <charset val="134"/>
      </rPr>
      <t>使用江波龙（此颗料已停产，需要和研发采购确认替换</t>
    </r>
    <r>
      <rPr>
        <sz val="10"/>
        <rFont val="Arial"/>
        <charset val="134"/>
      </rPr>
      <t xml:space="preserve">FL5P4006G-51 </t>
    </r>
    <r>
      <rPr>
        <sz val="10"/>
        <rFont val="宋体"/>
        <charset val="134"/>
      </rPr>
      <t>）；</t>
    </r>
    <r>
      <rPr>
        <sz val="10"/>
        <rFont val="Arial"/>
        <charset val="134"/>
      </rPr>
      <t xml:space="preserve"> Flash:128M ,W25R128JWSIQ</t>
    </r>
  </si>
  <si>
    <r>
      <rPr>
        <sz val="10"/>
        <rFont val="宋体"/>
        <charset val="134"/>
      </rPr>
      <t>CPU目前无价格；单</t>
    </r>
    <r>
      <rPr>
        <sz val="10"/>
        <rFont val="Arial"/>
        <charset val="134"/>
      </rPr>
      <t>Type C IC</t>
    </r>
    <r>
      <rPr>
        <sz val="10"/>
        <rFont val="宋体"/>
        <charset val="134"/>
      </rPr>
      <t>及一个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</t>
    </r>
    <r>
      <rPr>
        <sz val="10"/>
        <rFont val="Arial"/>
        <charset val="134"/>
      </rPr>
      <t>DDR</t>
    </r>
    <r>
      <rPr>
        <sz val="10"/>
        <rFont val="宋体"/>
        <charset val="134"/>
      </rPr>
      <t>使用江波龙</t>
    </r>
  </si>
  <si>
    <r>
      <rPr>
        <sz val="10"/>
        <rFont val="Arial"/>
        <charset val="134"/>
      </rPr>
      <t>DNS9(8L+</t>
    </r>
    <r>
      <rPr>
        <sz val="10"/>
        <rFont val="微软雅黑"/>
        <charset val="134"/>
      </rPr>
      <t>通孔</t>
    </r>
    <r>
      <rPr>
        <sz val="10"/>
        <rFont val="Arial"/>
        <charset val="134"/>
      </rPr>
      <t>+OSP)</t>
    </r>
    <r>
      <rPr>
        <sz val="10"/>
        <rFont val="微软雅黑"/>
        <charset val="134"/>
      </rPr>
      <t>服务器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</si>
  <si>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RTL8125BG</t>
    </r>
    <r>
      <rPr>
        <sz val="10"/>
        <rFont val="微软雅黑"/>
        <charset val="134"/>
      </rPr>
      <t>；</t>
    </r>
  </si>
  <si>
    <r>
      <rPr>
        <sz val="10"/>
        <rFont val="微软雅黑"/>
        <charset val="134"/>
      </rPr>
      <t>佰维</t>
    </r>
    <r>
      <rPr>
        <sz val="10"/>
        <rFont val="Arial"/>
        <charset val="134"/>
      </rPr>
      <t>/</t>
    </r>
    <r>
      <rPr>
        <sz val="10"/>
        <rFont val="微软雅黑"/>
        <charset val="134"/>
      </rPr>
      <t>条子</t>
    </r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</si>
  <si>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RTL8125BG</t>
    </r>
    <r>
      <rPr>
        <sz val="10"/>
        <rFont val="微软雅黑"/>
        <charset val="134"/>
      </rPr>
      <t>；还有加密</t>
    </r>
    <r>
      <rPr>
        <sz val="10"/>
        <rFont val="Arial"/>
        <charset val="134"/>
      </rPr>
      <t>IC TPM</t>
    </r>
  </si>
  <si>
    <t>无Type c IC 及一个Type c 接口；含有RTL8125BG；</t>
  </si>
  <si>
    <r>
      <rPr>
        <sz val="10"/>
        <rFont val="微软雅黑"/>
        <charset val="134"/>
      </rPr>
      <t>单</t>
    </r>
    <r>
      <rPr>
        <sz val="10"/>
        <rFont val="Arial"/>
        <charset val="134"/>
      </rPr>
      <t xml:space="preserve">Tpye c IC, </t>
    </r>
    <r>
      <rPr>
        <sz val="10"/>
        <rFont val="微软雅黑"/>
        <charset val="134"/>
      </rPr>
      <t>含加密</t>
    </r>
    <r>
      <rPr>
        <sz val="10"/>
        <rFont val="Arial"/>
        <charset val="134"/>
      </rPr>
      <t>IC TPM</t>
    </r>
  </si>
  <si>
    <r>
      <rPr>
        <sz val="10"/>
        <rFont val="Arial"/>
        <charset val="134"/>
      </rPr>
      <t>SKU51</t>
    </r>
    <r>
      <rPr>
        <sz val="10"/>
        <rFont val="微软雅黑"/>
        <charset val="134"/>
      </rPr>
      <t>精简</t>
    </r>
  </si>
  <si>
    <t>SKU78</t>
  </si>
  <si>
    <t>SKU110</t>
  </si>
  <si>
    <t>SKU119</t>
  </si>
  <si>
    <r>
      <rPr>
        <sz val="10"/>
        <rFont val="微软雅黑"/>
        <charset val="134"/>
      </rPr>
      <t>含有</t>
    </r>
    <r>
      <rPr>
        <sz val="10"/>
        <rFont val="Arial"/>
        <charset val="134"/>
      </rPr>
      <t>8111H</t>
    </r>
    <r>
      <rPr>
        <sz val="10"/>
        <rFont val="微软雅黑"/>
        <charset val="134"/>
      </rPr>
      <t>；</t>
    </r>
    <r>
      <rPr>
        <sz val="10"/>
        <rFont val="Arial"/>
        <charset val="134"/>
      </rPr>
      <t>GL3510</t>
    </r>
  </si>
  <si>
    <t>无Type c IC 及一个Type c 接口；含有RTL8125BG；EMMC目前2美元</t>
  </si>
  <si>
    <r>
      <rPr>
        <sz val="10"/>
        <rFont val="Arial"/>
        <charset val="134"/>
      </rPr>
      <t>SKU13(B</t>
    </r>
    <r>
      <rPr>
        <sz val="10"/>
        <rFont val="宋体"/>
        <charset val="134"/>
      </rPr>
      <t>面</t>
    </r>
    <r>
      <rPr>
        <sz val="10"/>
        <rFont val="Arial"/>
        <charset val="134"/>
      </rPr>
      <t>)</t>
    </r>
  </si>
  <si>
    <t>PCB板为E.P.P.0005589</t>
  </si>
  <si>
    <t>单Tpye c IC及两个Type c接口；;含有intel雷电IC*2pcs含有RTS5453H;含有MP87440GQVT-Z*4pcs;含有ANX7484Q42-AA1-R,含有W25R256JWEIQ，PCB板为E.P.P.0005589</t>
  </si>
  <si>
    <t>单Tpye c IC及两个Type c接口；;含有intel雷电IC*2pcs含有RTS5453H;含有MP87440GQVT-Z*6pcs;含有ANX7484Q42-AA1-R,含有W25R256JWEIQ,含加密IC，PCB板为E.P.P.0005589</t>
  </si>
  <si>
    <t>E.P.P.0005589</t>
  </si>
  <si>
    <r>
      <rPr>
        <b/>
        <sz val="10"/>
        <color theme="1"/>
        <rFont val="Arial"/>
        <charset val="134"/>
      </rPr>
      <t>10</t>
    </r>
    <r>
      <rPr>
        <b/>
        <sz val="10"/>
        <color theme="1"/>
        <rFont val="微软雅黑"/>
        <charset val="134"/>
      </rPr>
      <t>月份汇率：</t>
    </r>
    <r>
      <rPr>
        <b/>
        <sz val="10"/>
        <color theme="1"/>
        <rFont val="Arial"/>
        <charset val="134"/>
      </rPr>
      <t>7.11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</si>
  <si>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含8111H、GL3510,含109010782连接器</t>
  </si>
  <si>
    <r>
      <rPr>
        <b/>
        <sz val="9"/>
        <color theme="1"/>
        <rFont val="Arial"/>
        <charset val="134"/>
      </rPr>
      <t>10</t>
    </r>
    <r>
      <rPr>
        <b/>
        <sz val="9"/>
        <color theme="1"/>
        <rFont val="微软雅黑"/>
        <charset val="134"/>
      </rPr>
      <t>月份汇率：</t>
    </r>
    <r>
      <rPr>
        <b/>
        <sz val="9"/>
        <color theme="1"/>
        <rFont val="Arial"/>
        <charset val="134"/>
      </rPr>
      <t xml:space="preserve">7.11  </t>
    </r>
    <r>
      <rPr>
        <b/>
        <sz val="9"/>
        <color theme="1"/>
        <rFont val="微软雅黑"/>
        <charset val="134"/>
      </rPr>
      <t>币种</t>
    </r>
    <r>
      <rPr>
        <b/>
        <sz val="9"/>
        <color theme="1"/>
        <rFont val="Arial"/>
        <charset val="134"/>
      </rPr>
      <t>:USA</t>
    </r>
  </si>
  <si>
    <r>
      <rPr>
        <b/>
        <sz val="9"/>
        <rFont val="Arial"/>
        <charset val="134"/>
      </rPr>
      <t>Type c(</t>
    </r>
    <r>
      <rPr>
        <b/>
        <sz val="9"/>
        <rFont val="微软雅黑"/>
        <charset val="134"/>
      </rPr>
      <t>两个</t>
    </r>
    <r>
      <rPr>
        <b/>
        <sz val="9"/>
        <rFont val="Arial"/>
        <charset val="134"/>
      </rPr>
      <t xml:space="preserve">Type c </t>
    </r>
    <r>
      <rPr>
        <b/>
        <sz val="9"/>
        <rFont val="微软雅黑"/>
        <charset val="134"/>
      </rPr>
      <t>接口</t>
    </r>
    <r>
      <rPr>
        <b/>
        <sz val="9"/>
        <rFont val="Arial"/>
        <charset val="134"/>
      </rPr>
      <t>)</t>
    </r>
  </si>
  <si>
    <r>
      <rPr>
        <b/>
        <sz val="9"/>
        <rFont val="微软雅黑"/>
        <charset val="134"/>
      </rPr>
      <t>单</t>
    </r>
    <r>
      <rPr>
        <b/>
        <sz val="9"/>
        <rFont val="Arial"/>
        <charset val="134"/>
      </rPr>
      <t>Type C IC</t>
    </r>
    <r>
      <rPr>
        <b/>
        <sz val="9"/>
        <rFont val="微软雅黑"/>
        <charset val="134"/>
      </rPr>
      <t>及两个</t>
    </r>
    <r>
      <rPr>
        <b/>
        <sz val="9"/>
        <rFont val="Arial"/>
        <charset val="134"/>
      </rPr>
      <t>Type C</t>
    </r>
    <r>
      <rPr>
        <b/>
        <sz val="9"/>
        <rFont val="微软雅黑"/>
        <charset val="134"/>
      </rPr>
      <t>接口，目前</t>
    </r>
    <r>
      <rPr>
        <b/>
        <sz val="9"/>
        <rFont val="Arial"/>
        <charset val="134"/>
      </rPr>
      <t>CPU</t>
    </r>
    <r>
      <rPr>
        <b/>
        <sz val="9"/>
        <rFont val="微软雅黑"/>
        <charset val="134"/>
      </rPr>
      <t>价格最新</t>
    </r>
    <r>
      <rPr>
        <b/>
        <sz val="9"/>
        <rFont val="Arial"/>
        <charset val="134"/>
      </rPr>
      <t>80</t>
    </r>
  </si>
  <si>
    <t>E.M.W.0000127  C9852BE</t>
  </si>
  <si>
    <t>中龙通</t>
  </si>
  <si>
    <t>成本</t>
  </si>
  <si>
    <r>
      <rPr>
        <b/>
        <sz val="9"/>
        <rFont val="微软雅黑"/>
        <charset val="134"/>
      </rPr>
      <t>单</t>
    </r>
    <r>
      <rPr>
        <b/>
        <sz val="9"/>
        <rFont val="Arial"/>
        <charset val="134"/>
      </rPr>
      <t>Type C IC</t>
    </r>
    <r>
      <rPr>
        <b/>
        <sz val="9"/>
        <rFont val="微软雅黑"/>
        <charset val="134"/>
      </rPr>
      <t>及两个</t>
    </r>
    <r>
      <rPr>
        <b/>
        <sz val="9"/>
        <rFont val="Arial"/>
        <charset val="134"/>
      </rPr>
      <t>Type C</t>
    </r>
    <r>
      <rPr>
        <b/>
        <sz val="9"/>
        <rFont val="微软雅黑"/>
        <charset val="134"/>
      </rPr>
      <t>接口</t>
    </r>
  </si>
  <si>
    <r>
      <rPr>
        <b/>
        <sz val="9"/>
        <color theme="1"/>
        <rFont val="微软雅黑"/>
        <charset val="134"/>
      </rPr>
      <t>按汇率</t>
    </r>
    <r>
      <rPr>
        <b/>
        <sz val="9"/>
        <color theme="1"/>
        <rFont val="Arial"/>
        <charset val="134"/>
      </rPr>
      <t>7.11</t>
    </r>
    <r>
      <rPr>
        <b/>
        <sz val="9"/>
        <color theme="1"/>
        <rFont val="微软雅黑"/>
        <charset val="134"/>
      </rPr>
      <t>核算</t>
    </r>
  </si>
  <si>
    <t>目标成本</t>
  </si>
  <si>
    <t>单Type C IC及两个Type C接口，PCB板如使用OSP工艺可降0.374美金左右</t>
  </si>
  <si>
    <t>ACN21S SKU50</t>
  </si>
  <si>
    <t>ACN21S SKU51</t>
  </si>
  <si>
    <t>ACN21S SKU52</t>
  </si>
  <si>
    <r>
      <rPr>
        <b/>
        <sz val="10"/>
        <color theme="1"/>
        <rFont val="Arial"/>
        <charset val="134"/>
      </rPr>
      <t>10</t>
    </r>
    <r>
      <rPr>
        <b/>
        <sz val="10"/>
        <color theme="1"/>
        <rFont val="微软雅黑"/>
        <charset val="134"/>
      </rPr>
      <t>月份汇率：</t>
    </r>
    <r>
      <rPr>
        <b/>
        <sz val="10"/>
        <color theme="1"/>
        <rFont val="Arial"/>
        <charset val="134"/>
      </rPr>
      <t xml:space="preserve">7.11  </t>
    </r>
    <r>
      <rPr>
        <b/>
        <sz val="10"/>
        <color theme="1"/>
        <rFont val="微软雅黑"/>
        <charset val="134"/>
      </rPr>
      <t>币种</t>
    </r>
    <r>
      <rPr>
        <b/>
        <sz val="10"/>
        <color theme="1"/>
        <rFont val="Arial"/>
        <charset val="134"/>
      </rPr>
      <t>:USA</t>
    </r>
  </si>
  <si>
    <t>单Type C IC及两个Type c 接口；</t>
  </si>
  <si>
    <t>单Type C IC及两个Type c 接口；pcb板如使用OSP工艺可降0.249美金左右</t>
  </si>
  <si>
    <t>A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</si>
  <si>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个</t>
    </r>
    <r>
      <rPr>
        <sz val="10"/>
        <rFont val="Arial"/>
        <charset val="134"/>
      </rPr>
      <t>Type C</t>
    </r>
    <r>
      <rPr>
        <sz val="10"/>
        <rFont val="宋体"/>
        <charset val="134"/>
      </rPr>
      <t>接口；含</t>
    </r>
    <r>
      <rPr>
        <sz val="10"/>
        <rFont val="Arial"/>
        <charset val="134"/>
      </rPr>
      <t>MP86941</t>
    </r>
    <r>
      <rPr>
        <sz val="10"/>
        <rFont val="宋体"/>
        <charset val="134"/>
      </rPr>
      <t>；</t>
    </r>
    <r>
      <rPr>
        <sz val="10"/>
        <rFont val="Arial"/>
        <charset val="134"/>
      </rPr>
      <t>pcb</t>
    </r>
    <r>
      <rPr>
        <sz val="10"/>
        <rFont val="宋体"/>
        <charset val="134"/>
      </rPr>
      <t>板如使用</t>
    </r>
    <r>
      <rPr>
        <sz val="10"/>
        <rFont val="Arial"/>
        <charset val="134"/>
      </rPr>
      <t>OSP</t>
    </r>
    <r>
      <rPr>
        <sz val="10"/>
        <rFont val="宋体"/>
        <charset val="134"/>
      </rPr>
      <t>工艺可降</t>
    </r>
    <r>
      <rPr>
        <sz val="10"/>
        <rFont val="Arial"/>
        <charset val="134"/>
      </rPr>
      <t>0.249</t>
    </r>
    <r>
      <rPr>
        <sz val="10"/>
        <rFont val="宋体"/>
        <charset val="134"/>
      </rPr>
      <t>美金左右</t>
    </r>
  </si>
  <si>
    <t>DNN21S SKU26</t>
  </si>
  <si>
    <t>DNN21S SKU35</t>
  </si>
  <si>
    <t>DNN21S SKU36</t>
  </si>
  <si>
    <t>GN21S</t>
  </si>
  <si>
    <r>
      <rPr>
        <sz val="10"/>
        <rFont val="宋体"/>
        <charset val="134"/>
      </rPr>
      <t>无</t>
    </r>
    <r>
      <rPr>
        <sz val="10"/>
        <rFont val="微软雅黑"/>
        <charset val="134"/>
      </rPr>
      <t xml:space="preserve"> </t>
    </r>
    <r>
      <rPr>
        <sz val="10"/>
        <rFont val="Arial"/>
        <charset val="134"/>
      </rPr>
      <t>Type C ic</t>
    </r>
    <r>
      <rPr>
        <sz val="10"/>
        <rFont val="微软雅黑"/>
        <charset val="134"/>
      </rPr>
      <t>及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Arial"/>
        <charset val="134"/>
      </rPr>
      <t>Type c</t>
    </r>
    <r>
      <rPr>
        <sz val="10"/>
        <rFont val="微软雅黑"/>
        <charset val="134"/>
      </rPr>
      <t>接口</t>
    </r>
  </si>
  <si>
    <t>客户名称</t>
  </si>
  <si>
    <t>客户订单</t>
  </si>
  <si>
    <t>核算成本</t>
  </si>
  <si>
    <t>实际成本</t>
  </si>
  <si>
    <t>财务价格</t>
  </si>
  <si>
    <t>TOTAL</t>
  </si>
  <si>
    <t>ACN21S 8600套 SKU51: 1800 SKU52: 2800 SKU50: 4000 订单需求已推系统单 业务：胡仁江  商务：严梦玲 PM： 刘泰仁</t>
  </si>
  <si>
    <t>胡仁江</t>
  </si>
  <si>
    <t>5825U,C9852BE,USB DB</t>
  </si>
  <si>
    <t> DNN21S*5300套，（SKU26*2.6K，SKU35*1.7K，SKU36*1K）业务胡仁江，PM张怀文</t>
  </si>
  <si>
    <t>A.F.M.2400944-MP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</si>
</sst>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4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/mmm/yy;@"/>
    <numFmt numFmtId="177" formatCode="[$-409]d/mmm/yy;@"/>
    <numFmt numFmtId="178" formatCode="[$-804]aaa;@"/>
    <numFmt numFmtId="179" formatCode="\$#,##0.00;\-\$#,##0.00"/>
    <numFmt numFmtId="180" formatCode="0_);[Red]\(0\)"/>
    <numFmt numFmtId="181" formatCode="0.00_ "/>
    <numFmt numFmtId="182" formatCode="0.00_);[Red]\(0.00\)"/>
    <numFmt numFmtId="183" formatCode="m&quot;月&quot;d&quot;日&quot;;@"/>
    <numFmt numFmtId="184" formatCode="#,##0_ ;[Red]\-#,##0\ "/>
    <numFmt numFmtId="185" formatCode="0_ "/>
    <numFmt numFmtId="186" formatCode="\$#,##0.00;[Red]\-\$#,##0.00"/>
    <numFmt numFmtId="187" formatCode="0.000000_ "/>
    <numFmt numFmtId="188" formatCode="0.000_);[Red]\(0.000\)"/>
    <numFmt numFmtId="189" formatCode="yyyy/m/d;@"/>
    <numFmt numFmtId="190" formatCode="&quot;￥&quot;#,##0.00_);[Red]\(&quot;￥&quot;#,##0.00\)"/>
    <numFmt numFmtId="191" formatCode="0.0000_);[Red]\(0.0000\)"/>
    <numFmt numFmtId="192" formatCode="0.0000_ "/>
    <numFmt numFmtId="193" formatCode="0.00_ ;[Red]\-0.00\ "/>
  </numFmts>
  <fonts count="167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9"/>
      <name val="Arial"/>
      <charset val="134"/>
    </font>
    <font>
      <sz val="10"/>
      <name val="宋体"/>
      <charset val="134"/>
    </font>
    <font>
      <b/>
      <sz val="10"/>
      <color theme="1"/>
      <name val="Arial"/>
      <charset val="134"/>
    </font>
    <font>
      <b/>
      <sz val="10"/>
      <name val="Arial"/>
      <charset val="134"/>
    </font>
    <font>
      <sz val="10"/>
      <color theme="5"/>
      <name val="Arial"/>
      <charset val="134"/>
    </font>
    <font>
      <sz val="10"/>
      <name val="微软雅黑"/>
      <charset val="134"/>
    </font>
    <font>
      <b/>
      <sz val="9"/>
      <color theme="1"/>
      <name val="Arial"/>
      <charset val="134"/>
    </font>
    <font>
      <sz val="10"/>
      <color theme="1"/>
      <name val="Arial"/>
      <charset val="134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sz val="10"/>
      <color rgb="FFFF0000"/>
      <name val="Arial"/>
      <charset val="134"/>
    </font>
    <font>
      <b/>
      <sz val="9"/>
      <color rgb="FFFF0000"/>
      <name val="Arial"/>
      <charset val="134"/>
    </font>
    <font>
      <b/>
      <sz val="9"/>
      <color rgb="FFFF0000"/>
      <name val="微软雅黑"/>
      <charset val="134"/>
    </font>
    <font>
      <b/>
      <sz val="9"/>
      <color rgb="FF0000FF"/>
      <name val="微软雅黑"/>
      <charset val="134"/>
    </font>
    <font>
      <sz val="10"/>
      <color theme="0"/>
      <name val="Arial"/>
      <charset val="134"/>
    </font>
    <font>
      <sz val="10"/>
      <color rgb="FFFF0000"/>
      <name val="宋体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theme="1"/>
      <name val="宋体"/>
      <charset val="134"/>
    </font>
    <font>
      <b/>
      <sz val="9"/>
      <color indexed="8"/>
      <name val="微软雅黑"/>
      <charset val="134"/>
    </font>
    <font>
      <b/>
      <sz val="9"/>
      <color theme="1"/>
      <name val="微软雅黑"/>
      <charset val="0"/>
    </font>
    <font>
      <sz val="9"/>
      <color theme="1"/>
      <name val="Arial"/>
      <charset val="0"/>
    </font>
    <font>
      <sz val="9"/>
      <color theme="1"/>
      <name val="Arial"/>
      <charset val="134"/>
    </font>
    <font>
      <sz val="9"/>
      <color theme="1"/>
      <name val="微软雅黑"/>
      <charset val="0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color rgb="FF000000"/>
      <name val="微软雅黑"/>
      <charset val="134"/>
    </font>
    <font>
      <sz val="9"/>
      <color theme="0"/>
      <name val="微软雅黑"/>
      <charset val="134"/>
    </font>
    <font>
      <sz val="9"/>
      <color theme="5"/>
      <name val="微软雅黑"/>
      <charset val="134"/>
    </font>
    <font>
      <sz val="9"/>
      <color rgb="FFC00000"/>
      <name val="微软雅黑"/>
      <charset val="134"/>
    </font>
    <font>
      <sz val="9"/>
      <color theme="9" tint="-0.25"/>
      <name val="微软雅黑"/>
      <charset val="134"/>
    </font>
    <font>
      <sz val="9"/>
      <name val="Arial"/>
      <charset val="134"/>
    </font>
    <font>
      <b/>
      <sz val="9"/>
      <color rgb="FF000000"/>
      <name val="微软雅黑"/>
      <charset val="134"/>
    </font>
    <font>
      <sz val="8"/>
      <name val="微软雅黑"/>
      <charset val="134"/>
    </font>
    <font>
      <sz val="8"/>
      <name val="Arial"/>
      <charset val="134"/>
    </font>
    <font>
      <sz val="10"/>
      <color theme="1"/>
      <name val="微软雅黑"/>
      <charset val="134"/>
    </font>
    <font>
      <sz val="11"/>
      <name val="Times New Roman"/>
      <charset val="134"/>
    </font>
    <font>
      <sz val="9"/>
      <color rgb="FFFF0000"/>
      <name val="Arial"/>
      <charset val="134"/>
    </font>
    <font>
      <sz val="10.5"/>
      <color rgb="FF000000"/>
      <name val="Microsoft YaHei UI"/>
      <charset val="134"/>
    </font>
    <font>
      <sz val="10.5"/>
      <color rgb="FF000000"/>
      <name val="Calibri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0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sz val="11"/>
      <color rgb="FF000000"/>
      <name val="宋体"/>
      <charset val="134"/>
    </font>
    <font>
      <sz val="8"/>
      <color rgb="FFFF0000"/>
      <name val="宋体"/>
      <charset val="134"/>
    </font>
    <font>
      <sz val="11"/>
      <color indexed="8"/>
      <name val="宋体"/>
      <charset val="134"/>
    </font>
    <font>
      <sz val="10"/>
      <color rgb="FFFF0000"/>
      <name val="微软雅黑"/>
      <charset val="134"/>
    </font>
    <font>
      <b/>
      <sz val="10"/>
      <color rgb="FF000000"/>
      <name val="Arial"/>
      <charset val="134"/>
    </font>
    <font>
      <sz val="11"/>
      <color theme="1"/>
      <name val="Arial"/>
      <charset val="134"/>
    </font>
    <font>
      <sz val="12"/>
      <color rgb="FF0000FF"/>
      <name val="微软雅黑"/>
      <charset val="134"/>
    </font>
    <font>
      <b/>
      <sz val="10"/>
      <color theme="0"/>
      <name val="Arial"/>
      <charset val="134"/>
    </font>
    <font>
      <sz val="11"/>
      <color rgb="FF010000"/>
      <name val="宋体"/>
      <charset val="134"/>
    </font>
    <font>
      <sz val="10"/>
      <color theme="0"/>
      <name val="宋体"/>
      <charset val="134"/>
    </font>
    <font>
      <b/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0"/>
      <color rgb="FFFF0000"/>
      <name val="微软雅黑"/>
      <charset val="134"/>
    </font>
    <font>
      <b/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b/>
      <sz val="12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b/>
      <sz val="10"/>
      <name val="宋体"/>
      <charset val="134"/>
    </font>
    <font>
      <b/>
      <sz val="12"/>
      <color theme="1"/>
      <name val="Arial"/>
      <charset val="134"/>
    </font>
    <font>
      <b/>
      <sz val="12"/>
      <color rgb="FF000000"/>
      <name val="Arial"/>
      <charset val="134"/>
    </font>
    <font>
      <b/>
      <sz val="12"/>
      <name val="Arial"/>
      <charset val="134"/>
    </font>
    <font>
      <sz val="10"/>
      <color rgb="FF000000"/>
      <name val="Arial"/>
      <charset val="134"/>
    </font>
    <font>
      <sz val="12"/>
      <color theme="1"/>
      <name val="Arial"/>
      <charset val="134"/>
    </font>
    <font>
      <sz val="12"/>
      <color theme="1"/>
      <name val="微软雅黑"/>
      <charset val="134"/>
    </font>
    <font>
      <sz val="12"/>
      <color theme="1"/>
      <name val="宋体"/>
      <charset val="134"/>
    </font>
    <font>
      <sz val="9"/>
      <color rgb="FF0000FF"/>
      <name val="微软雅黑"/>
      <charset val="134"/>
    </font>
    <font>
      <sz val="11"/>
      <color rgb="FF000000"/>
      <name val="Arial"/>
      <charset val="134"/>
    </font>
    <font>
      <sz val="11"/>
      <color indexed="8"/>
      <name val="Arial"/>
      <charset val="134"/>
    </font>
    <font>
      <sz val="11"/>
      <name val="宋体"/>
      <charset val="134"/>
      <scheme val="minor"/>
    </font>
    <font>
      <b/>
      <sz val="8"/>
      <color rgb="FF000000"/>
      <name val="Arial"/>
      <charset val="134"/>
    </font>
    <font>
      <b/>
      <sz val="8"/>
      <color rgb="FF000000"/>
      <name val="微软雅黑"/>
      <charset val="134"/>
    </font>
    <font>
      <b/>
      <sz val="8"/>
      <color rgb="FF000000"/>
      <name val="宋体"/>
      <charset val="134"/>
    </font>
    <font>
      <i/>
      <sz val="10"/>
      <name val="Arial"/>
      <charset val="134"/>
    </font>
    <font>
      <sz val="8"/>
      <color theme="1"/>
      <name val="Arial"/>
      <charset val="134"/>
    </font>
    <font>
      <sz val="10"/>
      <color rgb="FFFFFFFF"/>
      <name val="Arial"/>
      <charset val="134"/>
    </font>
    <font>
      <b/>
      <sz val="8"/>
      <color theme="1"/>
      <name val="Arial"/>
      <charset val="134"/>
    </font>
    <font>
      <b/>
      <sz val="10"/>
      <color rgb="FFFFFFFF"/>
      <name val="Arial"/>
      <charset val="134"/>
    </font>
    <font>
      <b/>
      <sz val="12"/>
      <color rgb="FFFF0000"/>
      <name val="Arial"/>
      <charset val="134"/>
    </font>
    <font>
      <sz val="8"/>
      <color rgb="FF000000"/>
      <name val="Arial"/>
      <charset val="134"/>
    </font>
    <font>
      <sz val="8"/>
      <color rgb="FF000000"/>
      <name val="微软雅黑"/>
      <charset val="134"/>
    </font>
    <font>
      <sz val="8"/>
      <color rgb="FF000000"/>
      <name val="宋体"/>
      <charset val="134"/>
    </font>
    <font>
      <b/>
      <sz val="8"/>
      <color theme="1"/>
      <name val="微软雅黑"/>
      <charset val="134"/>
    </font>
    <font>
      <sz val="11"/>
      <name val="宋体"/>
      <charset val="134"/>
    </font>
    <font>
      <b/>
      <sz val="16"/>
      <color theme="1"/>
      <name val="Arial"/>
      <charset val="134"/>
    </font>
    <font>
      <b/>
      <sz val="12"/>
      <color rgb="FFFFFFFF"/>
      <name val="微软雅黑"/>
      <charset val="134"/>
    </font>
    <font>
      <b/>
      <sz val="12"/>
      <color rgb="FFFFFFFF"/>
      <name val="Arial"/>
      <charset val="134"/>
    </font>
    <font>
      <b/>
      <sz val="12"/>
      <color rgb="FFFFFFFF"/>
      <name val="宋体"/>
      <charset val="134"/>
    </font>
    <font>
      <b/>
      <sz val="12"/>
      <color theme="1"/>
      <name val="宋体"/>
      <charset val="134"/>
    </font>
    <font>
      <sz val="8"/>
      <color theme="1"/>
      <name val="微软雅黑"/>
      <charset val="134"/>
    </font>
    <font>
      <sz val="8"/>
      <color rgb="FFFF0000"/>
      <name val="微软雅黑"/>
      <charset val="134"/>
    </font>
    <font>
      <sz val="6"/>
      <name val="微软雅黑"/>
      <charset val="134"/>
    </font>
    <font>
      <sz val="10.5"/>
      <color rgb="FF000000"/>
      <name val="Arial"/>
      <charset val="134"/>
    </font>
    <font>
      <sz val="6"/>
      <name val="Arial"/>
      <charset val="134"/>
    </font>
    <font>
      <sz val="8"/>
      <color rgb="FFFFFFFF"/>
      <name val="微软雅黑"/>
      <charset val="134"/>
    </font>
    <font>
      <sz val="6"/>
      <color theme="1"/>
      <name val="宋体"/>
      <charset val="134"/>
    </font>
    <font>
      <sz val="8"/>
      <color indexed="8"/>
      <name val="微软雅黑"/>
      <charset val="134"/>
    </font>
    <font>
      <b/>
      <sz val="10"/>
      <color rgb="FFFFFFFF"/>
      <name val="宋体"/>
      <charset val="134"/>
    </font>
    <font>
      <b/>
      <sz val="11"/>
      <color theme="4"/>
      <name val="宋体"/>
      <charset val="134"/>
      <scheme val="minor"/>
    </font>
    <font>
      <b/>
      <sz val="10"/>
      <color theme="4"/>
      <name val="Arial"/>
      <charset val="134"/>
    </font>
    <font>
      <b/>
      <sz val="10"/>
      <color theme="4"/>
      <name val="宋体"/>
      <charset val="134"/>
    </font>
    <font>
      <sz val="8"/>
      <color theme="0"/>
      <name val="微软雅黑"/>
      <charset val="134"/>
    </font>
    <font>
      <sz val="9"/>
      <color theme="0"/>
      <name val="Arial"/>
      <charset val="134"/>
    </font>
    <font>
      <sz val="9"/>
      <color indexed="8"/>
      <name val="Arial"/>
      <charset val="134"/>
    </font>
    <font>
      <sz val="9"/>
      <color rgb="FF000000"/>
      <name val="Arial"/>
      <charset val="134"/>
    </font>
    <font>
      <sz val="10"/>
      <color theme="0"/>
      <name val="微软雅黑"/>
      <charset val="134"/>
    </font>
    <font>
      <sz val="11"/>
      <color indexed="8"/>
      <name val="微软雅黑"/>
      <charset val="134"/>
    </font>
    <font>
      <sz val="9"/>
      <color theme="0"/>
      <name val="宋体"/>
      <charset val="134"/>
    </font>
    <font>
      <b/>
      <sz val="9"/>
      <color theme="0"/>
      <name val="宋体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</font>
    <font>
      <b/>
      <sz val="9"/>
      <color theme="1"/>
      <name val="宋体"/>
      <charset val="134"/>
    </font>
    <font>
      <sz val="9"/>
      <color rgb="FFFFFFFF"/>
      <name val="Arial"/>
      <charset val="134"/>
    </font>
    <font>
      <sz val="9"/>
      <name val="宋体"/>
      <charset val="134"/>
    </font>
    <font>
      <b/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Arial"/>
      <charset val="0"/>
    </font>
    <font>
      <sz val="10"/>
      <color theme="1"/>
      <name val="宋体"/>
      <charset val="134"/>
      <scheme val="minor"/>
    </font>
    <font>
      <sz val="12"/>
      <color indexed="8"/>
      <name val="宋体"/>
      <charset val="134"/>
    </font>
    <font>
      <sz val="10"/>
      <color indexed="8"/>
      <name val="MS Sans Serif"/>
      <charset val="134"/>
    </font>
    <font>
      <sz val="10"/>
      <color indexed="8"/>
      <name val="Arial"/>
      <charset val="134"/>
    </font>
    <font>
      <sz val="10"/>
      <color indexed="8"/>
      <name val="宋体"/>
      <charset val="134"/>
    </font>
    <font>
      <b/>
      <sz val="12"/>
      <color rgb="FFFF0000"/>
      <name val="微软雅黑"/>
      <charset val="134"/>
    </font>
    <font>
      <sz val="6"/>
      <name val="宋体"/>
      <charset val="134"/>
    </font>
    <font>
      <sz val="10"/>
      <color rgb="FF000000"/>
      <name val="宋体"/>
      <charset val="134"/>
    </font>
    <font>
      <b/>
      <sz val="8"/>
      <color theme="1"/>
      <name val="宋体"/>
      <charset val="134"/>
    </font>
    <font>
      <b/>
      <sz val="12"/>
      <color rgb="FFFF0000"/>
      <name val="宋体"/>
      <charset val="134"/>
    </font>
    <font>
      <sz val="8"/>
      <name val="宋体"/>
      <charset val="134"/>
    </font>
    <font>
      <sz val="11"/>
      <color rgb="FFFF0000"/>
      <name val="宋体"/>
      <charset val="0"/>
    </font>
    <font>
      <sz val="10"/>
      <color theme="1"/>
      <name val="Times New Roman"/>
      <charset val="134"/>
    </font>
    <font>
      <b/>
      <sz val="12"/>
      <color rgb="FF000000"/>
      <name val="宋体"/>
      <charset val="134"/>
    </font>
    <font>
      <sz val="6"/>
      <color theme="1"/>
      <name val="Arial"/>
      <charset val="134"/>
    </font>
    <font>
      <sz val="11"/>
      <color rgb="FF000000"/>
      <name val="微软雅黑"/>
      <charset val="134"/>
    </font>
    <font>
      <sz val="8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14"/>
      <name val="宋体"/>
      <charset val="134"/>
    </font>
    <font>
      <sz val="14"/>
      <name val="宋体"/>
      <charset val="134"/>
    </font>
  </fonts>
  <fills count="6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9FBFA"/>
        <bgColor indexed="64"/>
      </patternFill>
    </fill>
    <fill>
      <patternFill patternType="solid">
        <fgColor theme="0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0.1"/>
      </left>
      <right style="thin">
        <color theme="2" tint="-0.1"/>
      </right>
      <top style="thin">
        <color theme="2" tint="-0.1"/>
      </top>
      <bottom style="thin">
        <color theme="2" tint="-0.1"/>
      </bottom>
      <diagonal/>
    </border>
    <border>
      <left style="thin">
        <color theme="2" tint="-0.1"/>
      </left>
      <right style="thin">
        <color theme="2" tint="-0.1"/>
      </right>
      <top style="thin">
        <color theme="2" tint="-0.1"/>
      </top>
      <bottom/>
      <diagonal/>
    </border>
    <border>
      <left style="thin">
        <color theme="2" tint="-0.1"/>
      </left>
      <right style="thin">
        <color theme="2" tint="-0.1"/>
      </right>
      <top/>
      <bottom/>
      <diagonal/>
    </border>
    <border>
      <left style="thin">
        <color theme="2" tint="-0.1"/>
      </left>
      <right style="thin">
        <color theme="2" tint="-0.1"/>
      </right>
      <top/>
      <bottom style="thin">
        <color theme="2" tint="-0.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0" fillId="37" borderId="50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51" applyNumberFormat="0" applyFill="0" applyAlignment="0" applyProtection="0">
      <alignment vertical="center"/>
    </xf>
    <xf numFmtId="0" fontId="132" fillId="0" borderId="51" applyNumberFormat="0" applyFill="0" applyAlignment="0" applyProtection="0">
      <alignment vertical="center"/>
    </xf>
    <xf numFmtId="0" fontId="133" fillId="0" borderId="52" applyNumberFormat="0" applyFill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38" borderId="53" applyNumberFormat="0" applyAlignment="0" applyProtection="0">
      <alignment vertical="center"/>
    </xf>
    <xf numFmtId="0" fontId="135" fillId="39" borderId="54" applyNumberFormat="0" applyAlignment="0" applyProtection="0">
      <alignment vertical="center"/>
    </xf>
    <xf numFmtId="0" fontId="136" fillId="39" borderId="53" applyNumberFormat="0" applyAlignment="0" applyProtection="0">
      <alignment vertical="center"/>
    </xf>
    <xf numFmtId="0" fontId="137" fillId="40" borderId="55" applyNumberFormat="0" applyAlignment="0" applyProtection="0">
      <alignment vertical="center"/>
    </xf>
    <xf numFmtId="0" fontId="138" fillId="0" borderId="56" applyNumberFormat="0" applyFill="0" applyAlignment="0" applyProtection="0">
      <alignment vertical="center"/>
    </xf>
    <xf numFmtId="0" fontId="139" fillId="0" borderId="57" applyNumberFormat="0" applyFill="0" applyAlignment="0" applyProtection="0">
      <alignment vertical="center"/>
    </xf>
    <xf numFmtId="0" fontId="140" fillId="41" borderId="0" applyNumberFormat="0" applyBorder="0" applyAlignment="0" applyProtection="0">
      <alignment vertical="center"/>
    </xf>
    <xf numFmtId="0" fontId="141" fillId="42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4" fillId="45" borderId="0" applyNumberFormat="0" applyBorder="0" applyAlignment="0" applyProtection="0">
      <alignment vertical="center"/>
    </xf>
    <xf numFmtId="0" fontId="143" fillId="46" borderId="0" applyNumberFormat="0" applyBorder="0" applyAlignment="0" applyProtection="0">
      <alignment vertical="center"/>
    </xf>
    <xf numFmtId="0" fontId="143" fillId="47" borderId="0" applyNumberFormat="0" applyBorder="0" applyAlignment="0" applyProtection="0">
      <alignment vertical="center"/>
    </xf>
    <xf numFmtId="0" fontId="144" fillId="48" borderId="0" applyNumberFormat="0" applyBorder="0" applyAlignment="0" applyProtection="0">
      <alignment vertical="center"/>
    </xf>
    <xf numFmtId="0" fontId="144" fillId="49" borderId="0" applyNumberFormat="0" applyBorder="0" applyAlignment="0" applyProtection="0">
      <alignment vertical="center"/>
    </xf>
    <xf numFmtId="0" fontId="143" fillId="50" borderId="0" applyNumberFormat="0" applyBorder="0" applyAlignment="0" applyProtection="0">
      <alignment vertical="center"/>
    </xf>
    <xf numFmtId="0" fontId="143" fillId="51" borderId="0" applyNumberFormat="0" applyBorder="0" applyAlignment="0" applyProtection="0">
      <alignment vertical="center"/>
    </xf>
    <xf numFmtId="0" fontId="144" fillId="52" borderId="0" applyNumberFormat="0" applyBorder="0" applyAlignment="0" applyProtection="0">
      <alignment vertical="center"/>
    </xf>
    <xf numFmtId="0" fontId="144" fillId="53" borderId="0" applyNumberFormat="0" applyBorder="0" applyAlignment="0" applyProtection="0">
      <alignment vertical="center"/>
    </xf>
    <xf numFmtId="0" fontId="143" fillId="54" borderId="0" applyNumberFormat="0" applyBorder="0" applyAlignment="0" applyProtection="0">
      <alignment vertical="center"/>
    </xf>
    <xf numFmtId="0" fontId="143" fillId="9" borderId="0" applyNumberFormat="0" applyBorder="0" applyAlignment="0" applyProtection="0">
      <alignment vertical="center"/>
    </xf>
    <xf numFmtId="0" fontId="144" fillId="55" borderId="0" applyNumberFormat="0" applyBorder="0" applyAlignment="0" applyProtection="0">
      <alignment vertical="center"/>
    </xf>
    <xf numFmtId="0" fontId="144" fillId="56" borderId="0" applyNumberFormat="0" applyBorder="0" applyAlignment="0" applyProtection="0">
      <alignment vertical="center"/>
    </xf>
    <xf numFmtId="0" fontId="143" fillId="57" borderId="0" applyNumberFormat="0" applyBorder="0" applyAlignment="0" applyProtection="0">
      <alignment vertical="center"/>
    </xf>
    <xf numFmtId="0" fontId="143" fillId="18" borderId="0" applyNumberFormat="0" applyBorder="0" applyAlignment="0" applyProtection="0">
      <alignment vertical="center"/>
    </xf>
    <xf numFmtId="0" fontId="144" fillId="58" borderId="0" applyNumberFormat="0" applyBorder="0" applyAlignment="0" applyProtection="0">
      <alignment vertical="center"/>
    </xf>
    <xf numFmtId="0" fontId="144" fillId="59" borderId="0" applyNumberFormat="0" applyBorder="0" applyAlignment="0" applyProtection="0">
      <alignment vertical="center"/>
    </xf>
    <xf numFmtId="0" fontId="143" fillId="60" borderId="0" applyNumberFormat="0" applyBorder="0" applyAlignment="0" applyProtection="0">
      <alignment vertical="center"/>
    </xf>
    <xf numFmtId="0" fontId="143" fillId="61" borderId="0" applyNumberFormat="0" applyBorder="0" applyAlignment="0" applyProtection="0">
      <alignment vertical="center"/>
    </xf>
    <xf numFmtId="0" fontId="144" fillId="62" borderId="0" applyNumberFormat="0" applyBorder="0" applyAlignment="0" applyProtection="0">
      <alignment vertical="center"/>
    </xf>
    <xf numFmtId="0" fontId="144" fillId="29" borderId="0" applyNumberFormat="0" applyBorder="0" applyAlignment="0" applyProtection="0">
      <alignment vertical="center"/>
    </xf>
    <xf numFmtId="0" fontId="143" fillId="6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>
      <alignment vertical="center"/>
    </xf>
    <xf numFmtId="177" fontId="145" fillId="0" borderId="0" applyBorder="0" applyProtection="0">
      <alignment vertical="center"/>
    </xf>
    <xf numFmtId="178" fontId="146" fillId="0" borderId="0">
      <alignment vertical="center"/>
    </xf>
    <xf numFmtId="178" fontId="147" fillId="0" borderId="0" applyBorder="0" applyAlignment="0" applyProtection="0">
      <alignment vertical="center"/>
    </xf>
    <xf numFmtId="0" fontId="124" fillId="0" borderId="0">
      <alignment vertical="top"/>
      <protection locked="0"/>
    </xf>
    <xf numFmtId="177" fontId="147" fillId="0" borderId="0" applyBorder="0" applyProtection="0">
      <alignment vertical="center"/>
    </xf>
    <xf numFmtId="178" fontId="147" fillId="0" borderId="0" applyBorder="0" applyProtection="0">
      <alignment vertical="center"/>
    </xf>
    <xf numFmtId="177" fontId="148" fillId="0" borderId="0"/>
    <xf numFmtId="178" fontId="149" fillId="0" borderId="0" applyBorder="0" applyProtection="0">
      <alignment vertical="center"/>
    </xf>
    <xf numFmtId="178" fontId="150" fillId="0" borderId="0">
      <alignment vertical="center"/>
    </xf>
  </cellStyleXfs>
  <cellXfs count="29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9" fontId="0" fillId="0" borderId="1" xfId="0" applyNumberFormat="1" applyBorder="1" applyAlignment="1">
      <alignment horizontal="left" vertical="center"/>
    </xf>
    <xf numFmtId="179" fontId="2" fillId="3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/>
    <xf numFmtId="180" fontId="4" fillId="3" borderId="2" xfId="0" applyNumberFormat="1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180" fontId="4" fillId="3" borderId="2" xfId="0" applyNumberFormat="1" applyFont="1" applyFill="1" applyBorder="1" applyAlignment="1">
      <alignment horizontal="center" vertical="center"/>
    </xf>
    <xf numFmtId="18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4" borderId="2" xfId="49" applyFont="1" applyFill="1" applyBorder="1" applyAlignment="1">
      <alignment horizontal="center" vertical="center" wrapText="1"/>
    </xf>
    <xf numFmtId="0" fontId="5" fillId="4" borderId="2" xfId="49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181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181" fontId="6" fillId="0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49" applyFont="1" applyFill="1" applyBorder="1" applyAlignment="1">
      <alignment horizontal="center" vertical="center" wrapText="1"/>
    </xf>
    <xf numFmtId="181" fontId="1" fillId="3" borderId="2" xfId="0" applyNumberFormat="1" applyFont="1" applyFill="1" applyBorder="1" applyAlignment="1">
      <alignment horizontal="center" vertical="center"/>
    </xf>
    <xf numFmtId="182" fontId="6" fillId="3" borderId="2" xfId="0" applyNumberFormat="1" applyFont="1" applyFill="1" applyBorder="1" applyAlignment="1">
      <alignment horizontal="center" vertical="center"/>
    </xf>
    <xf numFmtId="183" fontId="7" fillId="3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center" vertical="center"/>
    </xf>
    <xf numFmtId="182" fontId="1" fillId="0" borderId="2" xfId="0" applyNumberFormat="1" applyFont="1" applyFill="1" applyBorder="1" applyAlignment="1">
      <alignment horizontal="center" vertical="center"/>
    </xf>
    <xf numFmtId="183" fontId="1" fillId="0" borderId="2" xfId="0" applyNumberFormat="1" applyFont="1" applyFill="1" applyBorder="1" applyAlignment="1">
      <alignment horizontal="left" vertical="center"/>
    </xf>
    <xf numFmtId="0" fontId="1" fillId="0" borderId="2" xfId="0" applyFont="1" applyFill="1" applyBorder="1" applyAlignment="1"/>
    <xf numFmtId="0" fontId="8" fillId="0" borderId="0" xfId="0" applyFont="1" applyFill="1" applyAlignment="1"/>
    <xf numFmtId="0" fontId="8" fillId="0" borderId="0" xfId="0" applyFont="1" applyFill="1" applyBorder="1" applyAlignment="1"/>
    <xf numFmtId="0" fontId="9" fillId="0" borderId="0" xfId="0" applyFont="1" applyFill="1" applyAlignment="1">
      <alignment vertical="center"/>
    </xf>
    <xf numFmtId="180" fontId="8" fillId="3" borderId="0" xfId="0" applyNumberFormat="1" applyFont="1" applyFill="1" applyBorder="1" applyAlignment="1">
      <alignment horizontal="left" vertical="center"/>
    </xf>
    <xf numFmtId="180" fontId="2" fillId="3" borderId="0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180" fontId="2" fillId="3" borderId="0" xfId="0" applyNumberFormat="1" applyFont="1" applyFill="1" applyBorder="1" applyAlignment="1">
      <alignment horizontal="center" vertical="center"/>
    </xf>
    <xf numFmtId="181" fontId="2" fillId="3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10" fillId="4" borderId="2" xfId="49" applyFont="1" applyFill="1" applyBorder="1" applyAlignment="1">
      <alignment horizontal="left" vertical="center" wrapText="1"/>
    </xf>
    <xf numFmtId="0" fontId="2" fillId="4" borderId="2" xfId="49" applyFont="1" applyFill="1" applyBorder="1" applyAlignment="1">
      <alignment horizontal="left" vertical="center" wrapText="1"/>
    </xf>
    <xf numFmtId="0" fontId="2" fillId="4" borderId="2" xfId="49" applyFont="1" applyFill="1" applyBorder="1" applyAlignment="1">
      <alignment horizontal="center" vertical="center" wrapText="1"/>
    </xf>
    <xf numFmtId="180" fontId="11" fillId="4" borderId="2" xfId="49" applyNumberFormat="1" applyFont="1" applyFill="1" applyBorder="1" applyAlignment="1">
      <alignment horizontal="center" vertical="center" wrapText="1"/>
    </xf>
    <xf numFmtId="180" fontId="2" fillId="4" borderId="2" xfId="49" applyNumberFormat="1" applyFont="1" applyFill="1" applyBorder="1" applyAlignment="1">
      <alignment horizontal="center" vertical="center" wrapText="1"/>
    </xf>
    <xf numFmtId="181" fontId="2" fillId="4" borderId="2" xfId="49" applyNumberFormat="1" applyFont="1" applyFill="1" applyBorder="1" applyAlignment="1">
      <alignment horizontal="center" vertical="center" wrapText="1"/>
    </xf>
    <xf numFmtId="181" fontId="11" fillId="4" borderId="2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181" fontId="2" fillId="3" borderId="2" xfId="0" applyNumberFormat="1" applyFont="1" applyFill="1" applyBorder="1" applyAlignment="1">
      <alignment horizontal="center" vertical="center"/>
    </xf>
    <xf numFmtId="182" fontId="2" fillId="3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center" vertical="center"/>
    </xf>
    <xf numFmtId="182" fontId="1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NumberFormat="1" applyFont="1" applyFill="1" applyBorder="1" applyAlignment="1">
      <alignment horizontal="left" vertical="center"/>
    </xf>
    <xf numFmtId="0" fontId="8" fillId="0" borderId="2" xfId="0" applyFont="1" applyFill="1" applyBorder="1" applyAlignment="1"/>
    <xf numFmtId="0" fontId="10" fillId="0" borderId="2" xfId="0" applyFont="1" applyFill="1" applyBorder="1" applyAlignment="1"/>
    <xf numFmtId="0" fontId="10" fillId="0" borderId="0" xfId="0" applyFont="1" applyFill="1" applyAlignment="1"/>
    <xf numFmtId="181" fontId="8" fillId="0" borderId="0" xfId="0" applyNumberFormat="1" applyFont="1" applyFill="1" applyAlignment="1">
      <alignment horizontal="center"/>
    </xf>
    <xf numFmtId="0" fontId="8" fillId="3" borderId="0" xfId="0" applyFont="1" applyFill="1" applyAlignment="1"/>
    <xf numFmtId="0" fontId="11" fillId="4" borderId="2" xfId="49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/>
    </xf>
    <xf numFmtId="181" fontId="13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8" fillId="3" borderId="2" xfId="0" applyFont="1" applyFill="1" applyBorder="1" applyAlignment="1"/>
    <xf numFmtId="0" fontId="10" fillId="3" borderId="2" xfId="0" applyFont="1" applyFill="1" applyBorder="1" applyAlignment="1"/>
    <xf numFmtId="0" fontId="10" fillId="3" borderId="0" xfId="0" applyFont="1" applyFill="1" applyAlignment="1"/>
    <xf numFmtId="181" fontId="8" fillId="3" borderId="0" xfId="0" applyNumberFormat="1" applyFont="1" applyFill="1" applyAlignment="1">
      <alignment horizontal="center"/>
    </xf>
    <xf numFmtId="0" fontId="14" fillId="3" borderId="2" xfId="0" applyFont="1" applyFill="1" applyBorder="1" applyAlignment="1">
      <alignment vertical="center"/>
    </xf>
    <xf numFmtId="181" fontId="8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vertical="center"/>
    </xf>
    <xf numFmtId="0" fontId="15" fillId="5" borderId="2" xfId="0" applyFont="1" applyFill="1" applyBorder="1" applyAlignment="1">
      <alignment vertical="center"/>
    </xf>
    <xf numFmtId="181" fontId="8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10" fillId="3" borderId="0" xfId="0" applyFont="1" applyFill="1" applyBorder="1" applyAlignment="1"/>
    <xf numFmtId="0" fontId="0" fillId="0" borderId="4" xfId="0" applyBorder="1" applyAlignment="1">
      <alignment horizontal="center" vertical="center"/>
    </xf>
    <xf numFmtId="0" fontId="14" fillId="3" borderId="3" xfId="0" applyFont="1" applyFill="1" applyBorder="1" applyAlignment="1">
      <alignment vertical="center"/>
    </xf>
    <xf numFmtId="0" fontId="15" fillId="5" borderId="3" xfId="0" applyFont="1" applyFill="1" applyBorder="1" applyAlignment="1">
      <alignment vertical="center"/>
    </xf>
    <xf numFmtId="0" fontId="15" fillId="3" borderId="3" xfId="0" applyFont="1" applyFill="1" applyBorder="1" applyAlignment="1">
      <alignment vertical="center"/>
    </xf>
    <xf numFmtId="180" fontId="4" fillId="3" borderId="0" xfId="0" applyNumberFormat="1" applyFont="1" applyFill="1" applyAlignment="1">
      <alignment horizontal="left" vertical="center"/>
    </xf>
    <xf numFmtId="180" fontId="4" fillId="3" borderId="0" xfId="0" applyNumberFormat="1" applyFont="1" applyFill="1" applyAlignment="1">
      <alignment horizontal="center" vertical="center"/>
    </xf>
    <xf numFmtId="0" fontId="10" fillId="4" borderId="4" xfId="49" applyFont="1" applyFill="1" applyBorder="1" applyAlignment="1">
      <alignment horizontal="left" vertical="center" wrapText="1"/>
    </xf>
    <xf numFmtId="0" fontId="2" fillId="4" borderId="4" xfId="49" applyFont="1" applyFill="1" applyBorder="1" applyAlignment="1">
      <alignment horizontal="center" vertical="center" wrapText="1"/>
    </xf>
    <xf numFmtId="0" fontId="11" fillId="4" borderId="4" xfId="49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left" vertical="center"/>
    </xf>
    <xf numFmtId="181" fontId="2" fillId="3" borderId="4" xfId="0" applyNumberFormat="1" applyFont="1" applyFill="1" applyBorder="1" applyAlignment="1">
      <alignment horizontal="center" vertical="center"/>
    </xf>
    <xf numFmtId="182" fontId="2" fillId="3" borderId="4" xfId="0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4" xfId="49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/>
    </xf>
    <xf numFmtId="181" fontId="12" fillId="0" borderId="4" xfId="0" applyNumberFormat="1" applyFont="1" applyFill="1" applyBorder="1" applyAlignment="1">
      <alignment horizontal="center" vertical="center"/>
    </xf>
    <xf numFmtId="182" fontId="1" fillId="0" borderId="4" xfId="0" applyNumberFormat="1" applyFont="1" applyFill="1" applyBorder="1" applyAlignment="1">
      <alignment horizontal="center" vertical="center"/>
    </xf>
    <xf numFmtId="181" fontId="1" fillId="0" borderId="4" xfId="0" applyNumberFormat="1" applyFont="1" applyFill="1" applyBorder="1" applyAlignment="1">
      <alignment horizontal="center" vertical="center"/>
    </xf>
    <xf numFmtId="183" fontId="1" fillId="0" borderId="4" xfId="0" applyNumberFormat="1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5" fillId="4" borderId="2" xfId="49" applyFont="1" applyFill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1" fillId="3" borderId="2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9" xfId="0" applyBorder="1" applyAlignment="1">
      <alignment horizontal="center" vertical="center"/>
    </xf>
    <xf numFmtId="0" fontId="4" fillId="3" borderId="2" xfId="0" applyFont="1" applyFill="1" applyBorder="1" applyAlignment="1">
      <alignment horizontal="left"/>
    </xf>
    <xf numFmtId="0" fontId="5" fillId="3" borderId="2" xfId="0" applyNumberFormat="1" applyFont="1" applyFill="1" applyBorder="1" applyAlignment="1">
      <alignment horizontal="center"/>
    </xf>
    <xf numFmtId="0" fontId="4" fillId="3" borderId="2" xfId="0" applyNumberFormat="1" applyFont="1" applyFill="1" applyBorder="1" applyAlignment="1">
      <alignment horizontal="center"/>
    </xf>
    <xf numFmtId="182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/>
    <xf numFmtId="0" fontId="4" fillId="4" borderId="2" xfId="49" applyFont="1" applyFill="1" applyBorder="1" applyAlignment="1">
      <alignment horizontal="left" vertical="center" wrapText="1"/>
    </xf>
    <xf numFmtId="180" fontId="5" fillId="4" borderId="2" xfId="49" applyNumberFormat="1" applyFont="1" applyFill="1" applyBorder="1" applyAlignment="1">
      <alignment horizontal="center" vertical="center" wrapText="1"/>
    </xf>
    <xf numFmtId="181" fontId="5" fillId="4" borderId="2" xfId="49" applyNumberFormat="1" applyFont="1" applyFill="1" applyBorder="1" applyAlignment="1">
      <alignment horizontal="center" vertical="center" wrapText="1"/>
    </xf>
    <xf numFmtId="181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18" fillId="4" borderId="3" xfId="49" applyFont="1" applyFill="1" applyBorder="1" applyAlignment="1">
      <alignment horizontal="center" vertical="center" wrapText="1"/>
    </xf>
    <xf numFmtId="0" fontId="19" fillId="4" borderId="2" xfId="49" applyFont="1" applyFill="1" applyBorder="1" applyAlignment="1">
      <alignment horizontal="center" vertical="center" wrapText="1"/>
    </xf>
    <xf numFmtId="0" fontId="1" fillId="3" borderId="2" xfId="49" applyFont="1" applyFill="1" applyBorder="1" applyAlignment="1">
      <alignment horizontal="left" vertical="center" wrapText="1"/>
    </xf>
    <xf numFmtId="182" fontId="12" fillId="3" borderId="2" xfId="0" applyNumberFormat="1" applyFont="1" applyFill="1" applyBorder="1" applyAlignment="1">
      <alignment horizontal="center" vertical="center"/>
    </xf>
    <xf numFmtId="0" fontId="7" fillId="3" borderId="2" xfId="49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/>
    </xf>
    <xf numFmtId="0" fontId="1" fillId="6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left"/>
    </xf>
    <xf numFmtId="0" fontId="1" fillId="6" borderId="2" xfId="49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182" fontId="1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 vertical="center"/>
    </xf>
    <xf numFmtId="183" fontId="1" fillId="3" borderId="2" xfId="0" applyNumberFormat="1" applyFont="1" applyFill="1" applyBorder="1" applyAlignment="1">
      <alignment horizontal="left" vertical="center"/>
    </xf>
    <xf numFmtId="0" fontId="7" fillId="3" borderId="2" xfId="0" applyFont="1" applyFill="1" applyBorder="1" applyAlignment="1"/>
    <xf numFmtId="0" fontId="1" fillId="3" borderId="2" xfId="0" applyNumberFormat="1" applyFont="1" applyFill="1" applyBorder="1" applyAlignment="1">
      <alignment vertical="center"/>
    </xf>
    <xf numFmtId="180" fontId="4" fillId="3" borderId="10" xfId="0" applyNumberFormat="1" applyFont="1" applyFill="1" applyBorder="1" applyAlignment="1">
      <alignment horizontal="left" vertical="center"/>
    </xf>
    <xf numFmtId="180" fontId="4" fillId="3" borderId="11" xfId="0" applyNumberFormat="1" applyFont="1" applyFill="1" applyBorder="1" applyAlignment="1">
      <alignment horizontal="left" vertical="center"/>
    </xf>
    <xf numFmtId="180" fontId="4" fillId="3" borderId="3" xfId="0" applyNumberFormat="1" applyFont="1" applyFill="1" applyBorder="1" applyAlignment="1">
      <alignment horizontal="left" vertical="center"/>
    </xf>
    <xf numFmtId="181" fontId="12" fillId="3" borderId="2" xfId="0" applyNumberFormat="1" applyFont="1" applyFill="1" applyBorder="1" applyAlignment="1">
      <alignment horizontal="center" vertical="center"/>
    </xf>
    <xf numFmtId="0" fontId="5" fillId="4" borderId="10" xfId="49" applyFont="1" applyFill="1" applyBorder="1" applyAlignment="1">
      <alignment horizontal="center" vertical="center" wrapText="1"/>
    </xf>
    <xf numFmtId="0" fontId="20" fillId="4" borderId="2" xfId="49" applyFont="1" applyFill="1" applyBorder="1" applyAlignment="1">
      <alignment horizontal="center" vertical="center" wrapText="1"/>
    </xf>
    <xf numFmtId="183" fontId="7" fillId="0" borderId="2" xfId="0" applyNumberFormat="1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21" fillId="0" borderId="2" xfId="0" applyFont="1" applyFill="1" applyBorder="1" applyAlignment="1">
      <alignment horizontal="center" vertical="center"/>
    </xf>
    <xf numFmtId="0" fontId="22" fillId="0" borderId="2" xfId="0" applyNumberFormat="1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/>
    <xf numFmtId="0" fontId="24" fillId="0" borderId="2" xfId="0" applyNumberFormat="1" applyFont="1" applyFill="1" applyBorder="1" applyAlignment="1"/>
    <xf numFmtId="0" fontId="25" fillId="0" borderId="2" xfId="0" applyFont="1" applyFill="1" applyBorder="1" applyAlignment="1"/>
    <xf numFmtId="0" fontId="26" fillId="0" borderId="2" xfId="0" applyFont="1" applyFill="1" applyBorder="1" applyAlignment="1"/>
    <xf numFmtId="0" fontId="24" fillId="0" borderId="2" xfId="0" applyFont="1" applyFill="1" applyBorder="1" applyAlignment="1"/>
    <xf numFmtId="0" fontId="26" fillId="0" borderId="0" xfId="0" applyFont="1" applyFill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vertical="center"/>
    </xf>
    <xf numFmtId="0" fontId="26" fillId="7" borderId="0" xfId="0" applyFont="1" applyFill="1" applyAlignment="1">
      <alignment vertical="center"/>
    </xf>
    <xf numFmtId="0" fontId="27" fillId="0" borderId="0" xfId="0" applyFont="1" applyFill="1" applyAlignment="1">
      <alignment horizontal="center" vertical="center"/>
    </xf>
    <xf numFmtId="0" fontId="26" fillId="0" borderId="0" xfId="0" applyFont="1">
      <alignment vertical="center"/>
    </xf>
    <xf numFmtId="0" fontId="26" fillId="3" borderId="0" xfId="0" applyFont="1" applyFill="1">
      <alignment vertical="center"/>
    </xf>
    <xf numFmtId="0" fontId="27" fillId="0" borderId="0" xfId="0" applyFont="1">
      <alignment vertical="center"/>
    </xf>
    <xf numFmtId="0" fontId="27" fillId="0" borderId="0" xfId="0" applyFont="1" applyFill="1">
      <alignment vertical="center"/>
    </xf>
    <xf numFmtId="0" fontId="26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4" fillId="3" borderId="0" xfId="0" applyFont="1" applyFill="1" applyAlignment="1"/>
    <xf numFmtId="0" fontId="4" fillId="3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2" xfId="0" applyFont="1" applyFill="1" applyBorder="1">
      <alignment vertical="center"/>
    </xf>
    <xf numFmtId="0" fontId="9" fillId="6" borderId="0" xfId="0" applyFont="1" applyFill="1" applyAlignment="1">
      <alignment vertical="center"/>
    </xf>
    <xf numFmtId="180" fontId="10" fillId="3" borderId="8" xfId="0" applyNumberFormat="1" applyFont="1" applyFill="1" applyBorder="1" applyAlignment="1">
      <alignment horizontal="left" vertical="center"/>
    </xf>
    <xf numFmtId="180" fontId="10" fillId="3" borderId="2" xfId="0" applyNumberFormat="1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center" vertical="center"/>
    </xf>
    <xf numFmtId="180" fontId="10" fillId="3" borderId="2" xfId="0" applyNumberFormat="1" applyFont="1" applyFill="1" applyBorder="1" applyAlignment="1">
      <alignment horizontal="center" vertical="center"/>
    </xf>
    <xf numFmtId="0" fontId="11" fillId="3" borderId="2" xfId="0" applyNumberFormat="1" applyFont="1" applyFill="1" applyBorder="1" applyAlignment="1">
      <alignment horizontal="center"/>
    </xf>
    <xf numFmtId="0" fontId="10" fillId="3" borderId="2" xfId="0" applyNumberFormat="1" applyFont="1" applyFill="1" applyBorder="1" applyAlignment="1">
      <alignment horizontal="center"/>
    </xf>
    <xf numFmtId="181" fontId="10" fillId="3" borderId="2" xfId="0" applyNumberFormat="1" applyFont="1" applyFill="1" applyBorder="1" applyAlignment="1">
      <alignment horizontal="center" vertical="center"/>
    </xf>
    <xf numFmtId="182" fontId="10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10" fillId="4" borderId="1" xfId="49" applyFont="1" applyFill="1" applyBorder="1" applyAlignment="1">
      <alignment horizontal="center" vertical="center" wrapText="1"/>
    </xf>
    <xf numFmtId="0" fontId="10" fillId="4" borderId="3" xfId="49" applyFont="1" applyFill="1" applyBorder="1" applyAlignment="1">
      <alignment horizontal="center" vertical="center" wrapText="1"/>
    </xf>
    <xf numFmtId="0" fontId="11" fillId="4" borderId="10" xfId="49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left" vertical="center"/>
    </xf>
    <xf numFmtId="0" fontId="27" fillId="3" borderId="3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left" vertical="center"/>
    </xf>
    <xf numFmtId="0" fontId="27" fillId="3" borderId="2" xfId="0" applyFont="1" applyFill="1" applyBorder="1" applyAlignment="1">
      <alignment vertical="center"/>
    </xf>
    <xf numFmtId="0" fontId="27" fillId="3" borderId="2" xfId="49" applyFont="1" applyFill="1" applyBorder="1" applyAlignment="1">
      <alignment horizontal="left" vertical="center" wrapText="1"/>
    </xf>
    <xf numFmtId="0" fontId="27" fillId="3" borderId="2" xfId="0" applyFont="1" applyFill="1" applyBorder="1" applyAlignment="1">
      <alignment horizontal="center" vertical="center"/>
    </xf>
    <xf numFmtId="181" fontId="27" fillId="3" borderId="2" xfId="0" applyNumberFormat="1" applyFont="1" applyFill="1" applyBorder="1" applyAlignment="1">
      <alignment horizontal="center" vertical="center"/>
    </xf>
    <xf numFmtId="182" fontId="28" fillId="6" borderId="2" xfId="0" applyNumberFormat="1" applyFont="1" applyFill="1" applyBorder="1" applyAlignment="1">
      <alignment horizontal="center" vertical="center"/>
    </xf>
    <xf numFmtId="183" fontId="27" fillId="3" borderId="2" xfId="0" applyNumberFormat="1" applyFont="1" applyFill="1" applyBorder="1" applyAlignment="1">
      <alignment horizontal="left" vertical="center"/>
    </xf>
    <xf numFmtId="0" fontId="27" fillId="8" borderId="2" xfId="0" applyFont="1" applyFill="1" applyBorder="1" applyAlignment="1">
      <alignment horizontal="left" vertical="center"/>
    </xf>
    <xf numFmtId="0" fontId="27" fillId="8" borderId="2" xfId="0" applyFont="1" applyFill="1" applyBorder="1" applyAlignment="1">
      <alignment horizontal="center" vertical="center"/>
    </xf>
    <xf numFmtId="0" fontId="27" fillId="8" borderId="2" xfId="0" applyFont="1" applyFill="1" applyBorder="1" applyAlignment="1">
      <alignment vertical="center"/>
    </xf>
    <xf numFmtId="0" fontId="27" fillId="6" borderId="2" xfId="0" applyFont="1" applyFill="1" applyBorder="1" applyAlignment="1">
      <alignment horizontal="center" vertical="center"/>
    </xf>
    <xf numFmtId="181" fontId="27" fillId="8" borderId="2" xfId="0" applyNumberFormat="1" applyFont="1" applyFill="1" applyBorder="1" applyAlignment="1">
      <alignment horizontal="center" vertical="center"/>
    </xf>
    <xf numFmtId="180" fontId="10" fillId="3" borderId="10" xfId="0" applyNumberFormat="1" applyFont="1" applyFill="1" applyBorder="1" applyAlignment="1">
      <alignment horizontal="left" vertical="center"/>
    </xf>
    <xf numFmtId="180" fontId="10" fillId="3" borderId="11" xfId="0" applyNumberFormat="1" applyFont="1" applyFill="1" applyBorder="1" applyAlignment="1">
      <alignment horizontal="left" vertical="center"/>
    </xf>
    <xf numFmtId="180" fontId="10" fillId="3" borderId="3" xfId="0" applyNumberFormat="1" applyFont="1" applyFill="1" applyBorder="1" applyAlignment="1">
      <alignment horizontal="left" vertical="center"/>
    </xf>
    <xf numFmtId="0" fontId="10" fillId="4" borderId="2" xfId="49" applyFont="1" applyFill="1" applyBorder="1" applyAlignment="1">
      <alignment horizontal="center" vertical="center" wrapText="1"/>
    </xf>
    <xf numFmtId="0" fontId="27" fillId="0" borderId="8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left" vertical="center"/>
    </xf>
    <xf numFmtId="0" fontId="27" fillId="0" borderId="2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vertical="center"/>
    </xf>
    <xf numFmtId="0" fontId="27" fillId="0" borderId="2" xfId="49" applyFont="1" applyFill="1" applyBorder="1" applyAlignment="1">
      <alignment horizontal="left" vertical="center" wrapText="1"/>
    </xf>
    <xf numFmtId="181" fontId="28" fillId="0" borderId="2" xfId="0" applyNumberFormat="1" applyFont="1" applyFill="1" applyBorder="1" applyAlignment="1">
      <alignment horizontal="center" vertical="center"/>
    </xf>
    <xf numFmtId="182" fontId="27" fillId="0" borderId="2" xfId="0" applyNumberFormat="1" applyFont="1" applyFill="1" applyBorder="1" applyAlignment="1">
      <alignment horizontal="center" vertical="center"/>
    </xf>
    <xf numFmtId="181" fontId="27" fillId="0" borderId="2" xfId="0" applyNumberFormat="1" applyFont="1" applyFill="1" applyBorder="1" applyAlignment="1">
      <alignment horizontal="center" vertical="center"/>
    </xf>
    <xf numFmtId="183" fontId="27" fillId="0" borderId="2" xfId="0" applyNumberFormat="1" applyFont="1" applyFill="1" applyBorder="1" applyAlignment="1">
      <alignment horizontal="left" vertical="center"/>
    </xf>
    <xf numFmtId="0" fontId="27" fillId="0" borderId="9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left" vertical="center"/>
    </xf>
    <xf numFmtId="0" fontId="27" fillId="0" borderId="0" xfId="0" applyFont="1" applyFill="1" applyAlignment="1">
      <alignment vertical="center"/>
    </xf>
    <xf numFmtId="0" fontId="27" fillId="0" borderId="0" xfId="49" applyFont="1" applyFill="1" applyAlignment="1">
      <alignment horizontal="left" vertical="center" wrapText="1"/>
    </xf>
    <xf numFmtId="181" fontId="28" fillId="0" borderId="0" xfId="0" applyNumberFormat="1" applyFont="1" applyFill="1" applyAlignment="1">
      <alignment horizontal="center" vertical="center"/>
    </xf>
    <xf numFmtId="182" fontId="27" fillId="0" borderId="0" xfId="0" applyNumberFormat="1" applyFont="1" applyFill="1" applyAlignment="1">
      <alignment horizontal="center" vertical="center"/>
    </xf>
    <xf numFmtId="181" fontId="27" fillId="0" borderId="0" xfId="0" applyNumberFormat="1" applyFont="1" applyFill="1" applyAlignment="1">
      <alignment horizontal="center" vertical="center"/>
    </xf>
    <xf numFmtId="183" fontId="27" fillId="0" borderId="0" xfId="0" applyNumberFormat="1" applyFont="1" applyFill="1" applyAlignment="1">
      <alignment horizontal="left" vertical="center"/>
    </xf>
    <xf numFmtId="180" fontId="10" fillId="0" borderId="2" xfId="0" applyNumberFormat="1" applyFont="1" applyFill="1" applyBorder="1" applyAlignment="1">
      <alignment horizontal="left" vertical="center"/>
    </xf>
    <xf numFmtId="0" fontId="27" fillId="0" borderId="2" xfId="0" applyFont="1" applyFill="1" applyBorder="1" applyAlignment="1">
      <alignment horizontal="left"/>
    </xf>
    <xf numFmtId="0" fontId="27" fillId="0" borderId="2" xfId="49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/>
    </xf>
    <xf numFmtId="182" fontId="27" fillId="0" borderId="3" xfId="0" applyNumberFormat="1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181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0" fontId="27" fillId="0" borderId="12" xfId="0" applyFont="1" applyFill="1" applyBorder="1" applyAlignment="1">
      <alignment horizontal="center" vertical="center"/>
    </xf>
    <xf numFmtId="0" fontId="27" fillId="8" borderId="3" xfId="0" applyFont="1" applyFill="1" applyBorder="1" applyAlignment="1">
      <alignment horizontal="left" vertical="center"/>
    </xf>
    <xf numFmtId="184" fontId="27" fillId="0" borderId="2" xfId="0" applyNumberFormat="1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horizontal="left" vertical="center"/>
    </xf>
    <xf numFmtId="0" fontId="27" fillId="0" borderId="3" xfId="0" applyFont="1" applyFill="1" applyBorder="1" applyAlignment="1">
      <alignment vertical="center"/>
    </xf>
    <xf numFmtId="0" fontId="27" fillId="0" borderId="2" xfId="0" applyNumberFormat="1" applyFont="1" applyFill="1" applyBorder="1" applyAlignment="1">
      <alignment horizontal="center" vertical="center"/>
    </xf>
    <xf numFmtId="182" fontId="28" fillId="0" borderId="2" xfId="0" applyNumberFormat="1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left" vertical="center"/>
    </xf>
    <xf numFmtId="0" fontId="26" fillId="0" borderId="2" xfId="0" applyFont="1" applyFill="1" applyBorder="1" applyAlignment="1">
      <alignment horizontal="left"/>
    </xf>
    <xf numFmtId="0" fontId="27" fillId="0" borderId="2" xfId="0" applyFont="1" applyFill="1" applyBorder="1" applyAlignment="1"/>
    <xf numFmtId="0" fontId="27" fillId="0" borderId="2" xfId="0" applyNumberFormat="1" applyFont="1" applyFill="1" applyBorder="1" applyAlignment="1">
      <alignment horizontal="center"/>
    </xf>
    <xf numFmtId="0" fontId="27" fillId="0" borderId="3" xfId="49" applyFont="1" applyFill="1" applyBorder="1" applyAlignment="1">
      <alignment horizontal="left" vertical="center" wrapText="1"/>
    </xf>
    <xf numFmtId="0" fontId="27" fillId="0" borderId="10" xfId="49" applyFont="1" applyFill="1" applyBorder="1" applyAlignment="1">
      <alignment horizontal="left" vertical="center" wrapText="1"/>
    </xf>
    <xf numFmtId="182" fontId="27" fillId="3" borderId="2" xfId="0" applyNumberFormat="1" applyFont="1" applyFill="1" applyBorder="1" applyAlignment="1">
      <alignment horizontal="center" vertical="center"/>
    </xf>
    <xf numFmtId="0" fontId="26" fillId="4" borderId="2" xfId="49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left" vertical="center"/>
    </xf>
    <xf numFmtId="0" fontId="27" fillId="0" borderId="9" xfId="49" applyFont="1" applyFill="1" applyBorder="1" applyAlignment="1">
      <alignment horizontal="left" vertical="center" wrapText="1"/>
    </xf>
    <xf numFmtId="0" fontId="27" fillId="0" borderId="9" xfId="0" applyFont="1" applyFill="1" applyBorder="1" applyAlignment="1">
      <alignment horizontal="center"/>
    </xf>
    <xf numFmtId="181" fontId="27" fillId="0" borderId="9" xfId="0" applyNumberFormat="1" applyFont="1" applyFill="1" applyBorder="1" applyAlignment="1">
      <alignment horizontal="center" vertical="center"/>
    </xf>
    <xf numFmtId="182" fontId="27" fillId="0" borderId="9" xfId="0" applyNumberFormat="1" applyFont="1" applyFill="1" applyBorder="1" applyAlignment="1">
      <alignment horizontal="center" vertical="center"/>
    </xf>
    <xf numFmtId="183" fontId="27" fillId="0" borderId="9" xfId="0" applyNumberFormat="1" applyFont="1" applyFill="1" applyBorder="1" applyAlignment="1">
      <alignment horizontal="left" vertical="center"/>
    </xf>
    <xf numFmtId="0" fontId="27" fillId="7" borderId="2" xfId="0" applyFont="1" applyFill="1" applyBorder="1" applyAlignment="1">
      <alignment horizontal="left" vertical="center"/>
    </xf>
    <xf numFmtId="181" fontId="28" fillId="0" borderId="9" xfId="0" applyNumberFormat="1" applyFont="1" applyFill="1" applyBorder="1" applyAlignment="1">
      <alignment horizontal="center" vertical="center"/>
    </xf>
    <xf numFmtId="0" fontId="11" fillId="4" borderId="2" xfId="49" applyFont="1" applyFill="1" applyBorder="1" applyAlignment="1">
      <alignment horizontal="left" vertical="center" wrapText="1"/>
    </xf>
    <xf numFmtId="0" fontId="27" fillId="0" borderId="13" xfId="0" applyFont="1" applyFill="1" applyBorder="1" applyAlignment="1">
      <alignment horizontal="center" vertical="center"/>
    </xf>
    <xf numFmtId="0" fontId="26" fillId="0" borderId="0" xfId="0" applyFont="1" applyFill="1" applyAlignment="1">
      <alignment horizontal="left" vertical="center"/>
    </xf>
    <xf numFmtId="182" fontId="26" fillId="0" borderId="0" xfId="0" applyNumberFormat="1" applyFont="1" applyFill="1" applyAlignment="1">
      <alignment horizontal="center" vertical="center"/>
    </xf>
    <xf numFmtId="0" fontId="27" fillId="0" borderId="2" xfId="0" applyNumberFormat="1" applyFont="1" applyFill="1" applyBorder="1" applyAlignment="1">
      <alignment vertical="center"/>
    </xf>
    <xf numFmtId="0" fontId="27" fillId="0" borderId="3" xfId="0" applyFont="1" applyFill="1" applyBorder="1" applyAlignment="1"/>
    <xf numFmtId="0" fontId="11" fillId="9" borderId="2" xfId="49" applyFont="1" applyFill="1" applyBorder="1" applyAlignment="1">
      <alignment horizontal="center" vertical="center" wrapText="1"/>
    </xf>
    <xf numFmtId="181" fontId="27" fillId="0" borderId="2" xfId="0" applyNumberFormat="1" applyFont="1" applyFill="1" applyBorder="1" applyAlignment="1">
      <alignment horizontal="left" vertical="center"/>
    </xf>
    <xf numFmtId="0" fontId="29" fillId="0" borderId="2" xfId="0" applyFont="1" applyFill="1" applyBorder="1" applyAlignment="1">
      <alignment vertical="center"/>
    </xf>
    <xf numFmtId="0" fontId="30" fillId="0" borderId="0" xfId="0" applyFont="1" applyFill="1" applyAlignment="1">
      <alignment vertical="center"/>
    </xf>
    <xf numFmtId="0" fontId="28" fillId="0" borderId="2" xfId="0" applyFont="1" applyFill="1" applyBorder="1" applyAlignment="1">
      <alignment vertical="center"/>
    </xf>
    <xf numFmtId="0" fontId="27" fillId="0" borderId="14" xfId="0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horizontal="center" vertical="center"/>
    </xf>
    <xf numFmtId="183" fontId="27" fillId="0" borderId="10" xfId="0" applyNumberFormat="1" applyFont="1" applyFill="1" applyBorder="1" applyAlignment="1">
      <alignment horizontal="left" vertical="center"/>
    </xf>
    <xf numFmtId="182" fontId="27" fillId="0" borderId="2" xfId="0" applyNumberFormat="1" applyFont="1" applyFill="1" applyBorder="1" applyAlignment="1">
      <alignment horizontal="center"/>
    </xf>
    <xf numFmtId="0" fontId="27" fillId="0" borderId="2" xfId="0" applyFont="1" applyFill="1" applyBorder="1" applyAlignment="1">
      <alignment horizontal="left" vertical="center" wrapText="1"/>
    </xf>
    <xf numFmtId="0" fontId="27" fillId="0" borderId="8" xfId="0" applyFont="1" applyFill="1" applyBorder="1" applyAlignment="1">
      <alignment horizontal="left" vertical="center"/>
    </xf>
    <xf numFmtId="0" fontId="27" fillId="0" borderId="13" xfId="0" applyFont="1" applyFill="1" applyBorder="1" applyAlignment="1">
      <alignment horizontal="left" vertical="center"/>
    </xf>
    <xf numFmtId="0" fontId="27" fillId="0" borderId="9" xfId="0" applyFont="1" applyFill="1" applyBorder="1" applyAlignment="1">
      <alignment horizontal="left" vertical="center"/>
    </xf>
    <xf numFmtId="181" fontId="11" fillId="4" borderId="2" xfId="49" applyNumberFormat="1" applyFont="1" applyFill="1" applyBorder="1" applyAlignment="1">
      <alignment horizontal="center" vertical="center" wrapText="1"/>
    </xf>
    <xf numFmtId="0" fontId="27" fillId="8" borderId="1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/>
    </xf>
    <xf numFmtId="181" fontId="10" fillId="0" borderId="2" xfId="0" applyNumberFormat="1" applyFont="1" applyFill="1" applyBorder="1" applyAlignment="1">
      <alignment horizontal="center" vertical="center"/>
    </xf>
    <xf numFmtId="0" fontId="11" fillId="0" borderId="2" xfId="49" applyFont="1" applyFill="1" applyBorder="1" applyAlignment="1">
      <alignment horizontal="center" vertical="center" wrapText="1"/>
    </xf>
    <xf numFmtId="0" fontId="27" fillId="7" borderId="15" xfId="0" applyFont="1" applyFill="1" applyBorder="1" applyAlignment="1">
      <alignment horizontal="left" vertical="center"/>
    </xf>
    <xf numFmtId="0" fontId="27" fillId="7" borderId="3" xfId="0" applyFont="1" applyFill="1" applyBorder="1" applyAlignment="1">
      <alignment horizontal="left" vertical="center"/>
    </xf>
    <xf numFmtId="0" fontId="27" fillId="7" borderId="3" xfId="0" applyFont="1" applyFill="1" applyBorder="1" applyAlignment="1">
      <alignment vertical="center"/>
    </xf>
    <xf numFmtId="0" fontId="27" fillId="7" borderId="2" xfId="0" applyFont="1" applyFill="1" applyBorder="1" applyAlignment="1">
      <alignment horizontal="left"/>
    </xf>
    <xf numFmtId="0" fontId="27" fillId="7" borderId="2" xfId="0" applyFont="1" applyFill="1" applyBorder="1" applyAlignment="1">
      <alignment horizontal="center" vertical="center"/>
    </xf>
    <xf numFmtId="184" fontId="27" fillId="7" borderId="2" xfId="0" applyNumberFormat="1" applyFont="1" applyFill="1" applyBorder="1" applyAlignment="1">
      <alignment horizontal="center" vertical="center"/>
    </xf>
    <xf numFmtId="182" fontId="27" fillId="7" borderId="2" xfId="0" applyNumberFormat="1" applyFont="1" applyFill="1" applyBorder="1" applyAlignment="1">
      <alignment horizontal="center" vertical="center"/>
    </xf>
    <xf numFmtId="182" fontId="28" fillId="7" borderId="2" xfId="0" applyNumberFormat="1" applyFont="1" applyFill="1" applyBorder="1" applyAlignment="1">
      <alignment horizontal="center" vertical="center"/>
    </xf>
    <xf numFmtId="182" fontId="27" fillId="7" borderId="3" xfId="0" applyNumberFormat="1" applyFont="1" applyFill="1" applyBorder="1" applyAlignment="1">
      <alignment horizontal="center" vertical="center"/>
    </xf>
    <xf numFmtId="0" fontId="27" fillId="7" borderId="16" xfId="0" applyFont="1" applyFill="1" applyBorder="1" applyAlignment="1">
      <alignment horizontal="left" vertical="center"/>
    </xf>
    <xf numFmtId="0" fontId="27" fillId="7" borderId="2" xfId="0" applyFont="1" applyFill="1" applyBorder="1" applyAlignment="1">
      <alignment horizontal="center"/>
    </xf>
    <xf numFmtId="0" fontId="26" fillId="7" borderId="13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vertical="center"/>
    </xf>
    <xf numFmtId="182" fontId="27" fillId="7" borderId="2" xfId="0" applyNumberFormat="1" applyFont="1" applyFill="1" applyBorder="1" applyAlignment="1">
      <alignment horizontal="center"/>
    </xf>
    <xf numFmtId="0" fontId="30" fillId="7" borderId="0" xfId="0" applyFont="1" applyFill="1" applyAlignment="1">
      <alignment vertical="center"/>
    </xf>
    <xf numFmtId="0" fontId="27" fillId="6" borderId="2" xfId="0" applyFont="1" applyFill="1" applyBorder="1" applyAlignment="1">
      <alignment horizontal="left" vertical="center" wrapText="1"/>
    </xf>
    <xf numFmtId="0" fontId="27" fillId="6" borderId="3" xfId="0" applyFont="1" applyFill="1" applyBorder="1" applyAlignment="1">
      <alignment horizontal="left" vertical="center"/>
    </xf>
    <xf numFmtId="0" fontId="27" fillId="6" borderId="3" xfId="0" applyFont="1" applyFill="1" applyBorder="1" applyAlignment="1">
      <alignment vertical="center"/>
    </xf>
    <xf numFmtId="0" fontId="27" fillId="6" borderId="2" xfId="0" applyFont="1" applyFill="1" applyBorder="1" applyAlignment="1">
      <alignment horizontal="center"/>
    </xf>
    <xf numFmtId="0" fontId="31" fillId="6" borderId="2" xfId="0" applyFont="1" applyFill="1" applyBorder="1" applyAlignment="1">
      <alignment horizontal="center" vertical="center"/>
    </xf>
    <xf numFmtId="181" fontId="27" fillId="6" borderId="2" xfId="0" applyNumberFormat="1" applyFont="1" applyFill="1" applyBorder="1" applyAlignment="1">
      <alignment horizontal="center" vertical="center"/>
    </xf>
    <xf numFmtId="182" fontId="27" fillId="6" borderId="2" xfId="0" applyNumberFormat="1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vertical="center"/>
    </xf>
    <xf numFmtId="0" fontId="27" fillId="0" borderId="2" xfId="0" applyFont="1" applyFill="1" applyBorder="1" applyAlignment="1">
      <alignment horizontal="center" vertical="center" wrapText="1"/>
    </xf>
    <xf numFmtId="0" fontId="27" fillId="0" borderId="14" xfId="0" applyFont="1" applyFill="1" applyBorder="1" applyAlignment="1">
      <alignment vertical="center"/>
    </xf>
    <xf numFmtId="0" fontId="27" fillId="0" borderId="9" xfId="0" applyFont="1" applyFill="1" applyBorder="1" applyAlignment="1">
      <alignment horizontal="left"/>
    </xf>
    <xf numFmtId="0" fontId="27" fillId="7" borderId="2" xfId="0" applyNumberFormat="1" applyFont="1" applyFill="1" applyBorder="1" applyAlignment="1">
      <alignment horizontal="center" vertical="center"/>
    </xf>
    <xf numFmtId="0" fontId="27" fillId="7" borderId="2" xfId="49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27" fillId="3" borderId="2" xfId="0" applyNumberFormat="1" applyFont="1" applyFill="1" applyBorder="1" applyAlignment="1">
      <alignment horizontal="left" vertical="center"/>
    </xf>
    <xf numFmtId="0" fontId="27" fillId="3" borderId="3" xfId="0" applyFont="1" applyFill="1" applyBorder="1" applyAlignment="1">
      <alignment horizontal="left" vertical="center"/>
    </xf>
    <xf numFmtId="0" fontId="27" fillId="3" borderId="9" xfId="0" applyFont="1" applyFill="1" applyBorder="1" applyAlignment="1">
      <alignment horizontal="center" vertical="center"/>
    </xf>
    <xf numFmtId="181" fontId="27" fillId="3" borderId="9" xfId="0" applyNumberFormat="1" applyFont="1" applyFill="1" applyBorder="1" applyAlignment="1">
      <alignment horizontal="center" vertical="center"/>
    </xf>
    <xf numFmtId="183" fontId="27" fillId="3" borderId="10" xfId="0" applyNumberFormat="1" applyFont="1" applyFill="1" applyBorder="1" applyAlignment="1">
      <alignment horizontal="left" vertical="center"/>
    </xf>
    <xf numFmtId="0" fontId="26" fillId="0" borderId="2" xfId="0" applyFont="1" applyBorder="1">
      <alignment vertical="center"/>
    </xf>
    <xf numFmtId="181" fontId="31" fillId="0" borderId="2" xfId="0" applyNumberFormat="1" applyFont="1" applyFill="1" applyBorder="1" applyAlignment="1">
      <alignment horizontal="center" vertical="center"/>
    </xf>
    <xf numFmtId="180" fontId="11" fillId="3" borderId="10" xfId="0" applyNumberFormat="1" applyFont="1" applyFill="1" applyBorder="1" applyAlignment="1">
      <alignment horizontal="left" vertical="center"/>
    </xf>
    <xf numFmtId="180" fontId="11" fillId="3" borderId="11" xfId="0" applyNumberFormat="1" applyFont="1" applyFill="1" applyBorder="1" applyAlignment="1">
      <alignment horizontal="left" vertical="center"/>
    </xf>
    <xf numFmtId="180" fontId="11" fillId="3" borderId="3" xfId="0" applyNumberFormat="1" applyFont="1" applyFill="1" applyBorder="1" applyAlignment="1">
      <alignment horizontal="left" vertical="center"/>
    </xf>
    <xf numFmtId="0" fontId="11" fillId="4" borderId="8" xfId="49" applyFont="1" applyFill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left" vertical="center"/>
    </xf>
    <xf numFmtId="0" fontId="27" fillId="0" borderId="18" xfId="0" applyFont="1" applyFill="1" applyBorder="1" applyAlignment="1">
      <alignment vertical="center"/>
    </xf>
    <xf numFmtId="182" fontId="27" fillId="0" borderId="18" xfId="0" applyNumberFormat="1" applyFont="1" applyFill="1" applyBorder="1" applyAlignment="1">
      <alignment horizontal="center" vertical="center" wrapText="1"/>
    </xf>
    <xf numFmtId="182" fontId="27" fillId="0" borderId="18" xfId="0" applyNumberFormat="1" applyFont="1" applyFill="1" applyBorder="1" applyAlignment="1">
      <alignment horizontal="center" vertical="center"/>
    </xf>
    <xf numFmtId="180" fontId="27" fillId="0" borderId="18" xfId="0" applyNumberFormat="1" applyFont="1" applyFill="1" applyBorder="1" applyAlignment="1">
      <alignment horizontal="center" vertical="center"/>
    </xf>
    <xf numFmtId="181" fontId="27" fillId="0" borderId="18" xfId="0" applyNumberFormat="1" applyFont="1" applyFill="1" applyBorder="1" applyAlignment="1">
      <alignment horizontal="center" vertical="center"/>
    </xf>
    <xf numFmtId="0" fontId="27" fillId="0" borderId="18" xfId="0" applyFont="1" applyFill="1" applyBorder="1" applyAlignment="1">
      <alignment horizontal="left" vertical="center" wrapText="1"/>
    </xf>
    <xf numFmtId="0" fontId="27" fillId="0" borderId="19" xfId="0" applyFont="1" applyFill="1" applyBorder="1" applyAlignment="1">
      <alignment horizontal="left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21" xfId="0" applyFont="1" applyFill="1" applyBorder="1" applyAlignment="1">
      <alignment horizontal="left" vertical="center"/>
    </xf>
    <xf numFmtId="0" fontId="27" fillId="0" borderId="21" xfId="0" applyFont="1" applyFill="1" applyBorder="1" applyAlignment="1">
      <alignment vertical="center"/>
    </xf>
    <xf numFmtId="182" fontId="27" fillId="0" borderId="21" xfId="0" applyNumberFormat="1" applyFont="1" applyFill="1" applyBorder="1" applyAlignment="1">
      <alignment horizontal="center" vertical="center"/>
    </xf>
    <xf numFmtId="180" fontId="27" fillId="0" borderId="21" xfId="0" applyNumberFormat="1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 vertical="center"/>
    </xf>
    <xf numFmtId="181" fontId="27" fillId="0" borderId="21" xfId="0" applyNumberFormat="1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left" vertical="center" wrapText="1"/>
    </xf>
    <xf numFmtId="0" fontId="32" fillId="0" borderId="23" xfId="0" applyFont="1" applyFill="1" applyBorder="1" applyAlignment="1">
      <alignment horizontal="center" vertical="center"/>
    </xf>
    <xf numFmtId="0" fontId="27" fillId="0" borderId="9" xfId="0" applyFont="1" applyFill="1" applyBorder="1" applyAlignment="1">
      <alignment vertical="center"/>
    </xf>
    <xf numFmtId="184" fontId="27" fillId="0" borderId="9" xfId="0" applyNumberFormat="1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left" vertical="center"/>
    </xf>
    <xf numFmtId="0" fontId="32" fillId="0" borderId="25" xfId="0" applyFont="1" applyFill="1" applyBorder="1" applyAlignment="1">
      <alignment horizontal="center" vertical="center"/>
    </xf>
    <xf numFmtId="0" fontId="27" fillId="0" borderId="26" xfId="0" applyFont="1" applyFill="1" applyBorder="1" applyAlignment="1">
      <alignment horizontal="left" vertical="center"/>
    </xf>
    <xf numFmtId="0" fontId="27" fillId="0" borderId="20" xfId="0" applyFont="1" applyBorder="1" applyAlignment="1">
      <alignment horizontal="center" vertical="center"/>
    </xf>
    <xf numFmtId="0" fontId="27" fillId="3" borderId="21" xfId="0" applyFont="1" applyFill="1" applyBorder="1" applyAlignment="1">
      <alignment horizontal="left" vertical="center"/>
    </xf>
    <xf numFmtId="0" fontId="27" fillId="3" borderId="27" xfId="0" applyFont="1" applyFill="1" applyBorder="1" applyAlignment="1">
      <alignment horizontal="left" vertical="center"/>
    </xf>
    <xf numFmtId="0" fontId="27" fillId="3" borderId="27" xfId="0" applyFont="1" applyFill="1" applyBorder="1" applyAlignment="1">
      <alignment horizontal="center" vertical="center"/>
    </xf>
    <xf numFmtId="0" fontId="27" fillId="3" borderId="28" xfId="0" applyFont="1" applyFill="1" applyBorder="1" applyAlignment="1">
      <alignment horizontal="center" vertical="center"/>
    </xf>
    <xf numFmtId="181" fontId="27" fillId="3" borderId="28" xfId="0" applyNumberFormat="1" applyFont="1" applyFill="1" applyBorder="1" applyAlignment="1">
      <alignment horizontal="center" vertical="center"/>
    </xf>
    <xf numFmtId="181" fontId="27" fillId="3" borderId="21" xfId="0" applyNumberFormat="1" applyFont="1" applyFill="1" applyBorder="1" applyAlignment="1">
      <alignment horizontal="center" vertical="center"/>
    </xf>
    <xf numFmtId="182" fontId="27" fillId="3" borderId="21" xfId="0" applyNumberFormat="1" applyFont="1" applyFill="1" applyBorder="1" applyAlignment="1">
      <alignment horizontal="center" vertical="center"/>
    </xf>
    <xf numFmtId="183" fontId="27" fillId="3" borderId="29" xfId="0" applyNumberFormat="1" applyFont="1" applyFill="1" applyBorder="1" applyAlignment="1">
      <alignment horizontal="left" vertical="center"/>
    </xf>
    <xf numFmtId="0" fontId="27" fillId="3" borderId="22" xfId="0" applyFont="1" applyFill="1" applyBorder="1" applyAlignment="1">
      <alignment vertical="center"/>
    </xf>
    <xf numFmtId="0" fontId="32" fillId="0" borderId="17" xfId="0" applyFont="1" applyFill="1" applyBorder="1" applyAlignment="1">
      <alignment horizontal="center" vertical="center"/>
    </xf>
    <xf numFmtId="0" fontId="27" fillId="0" borderId="30" xfId="0" applyFont="1" applyFill="1" applyBorder="1" applyAlignment="1">
      <alignment horizontal="left" vertical="center"/>
    </xf>
    <xf numFmtId="0" fontId="27" fillId="0" borderId="18" xfId="49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/>
    </xf>
    <xf numFmtId="183" fontId="27" fillId="0" borderId="18" xfId="0" applyNumberFormat="1" applyFont="1" applyFill="1" applyBorder="1" applyAlignment="1">
      <alignment horizontal="left" vertical="center"/>
    </xf>
    <xf numFmtId="0" fontId="27" fillId="0" borderId="19" xfId="0" applyFont="1" applyFill="1" applyBorder="1" applyAlignment="1">
      <alignment horizontal="left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27" xfId="0" applyFont="1" applyFill="1" applyBorder="1" applyAlignment="1">
      <alignment horizontal="left" vertical="center"/>
    </xf>
    <xf numFmtId="181" fontId="27" fillId="0" borderId="28" xfId="0" applyNumberFormat="1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left" vertical="center"/>
    </xf>
    <xf numFmtId="0" fontId="27" fillId="0" borderId="33" xfId="0" applyFont="1" applyBorder="1" applyAlignment="1">
      <alignment horizontal="center" vertical="center" wrapText="1"/>
    </xf>
    <xf numFmtId="0" fontId="27" fillId="0" borderId="14" xfId="0" applyFont="1" applyFill="1" applyBorder="1" applyAlignment="1">
      <alignment horizontal="left" vertical="center"/>
    </xf>
    <xf numFmtId="0" fontId="27" fillId="0" borderId="16" xfId="0" applyFont="1" applyFill="1" applyBorder="1" applyAlignment="1">
      <alignment horizontal="left" vertical="center"/>
    </xf>
    <xf numFmtId="0" fontId="27" fillId="0" borderId="32" xfId="0" applyFont="1" applyFill="1" applyBorder="1" applyAlignment="1">
      <alignment vertical="center"/>
    </xf>
    <xf numFmtId="182" fontId="27" fillId="0" borderId="28" xfId="0" applyNumberFormat="1" applyFont="1" applyFill="1" applyBorder="1" applyAlignment="1">
      <alignment horizontal="center" vertical="center"/>
    </xf>
    <xf numFmtId="180" fontId="27" fillId="0" borderId="28" xfId="0" applyNumberFormat="1" applyFont="1" applyFill="1" applyBorder="1" applyAlignment="1">
      <alignment horizontal="center" vertical="center"/>
    </xf>
    <xf numFmtId="0" fontId="27" fillId="0" borderId="28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left" vertical="center" wrapText="1"/>
    </xf>
    <xf numFmtId="0" fontId="27" fillId="0" borderId="35" xfId="0" applyFont="1" applyFill="1" applyBorder="1" applyAlignment="1">
      <alignment vertical="center" wrapText="1"/>
    </xf>
    <xf numFmtId="0" fontId="27" fillId="0" borderId="36" xfId="0" applyFont="1" applyBorder="1" applyAlignment="1">
      <alignment horizontal="center" vertical="center" wrapText="1"/>
    </xf>
    <xf numFmtId="0" fontId="27" fillId="0" borderId="37" xfId="0" applyFont="1" applyFill="1" applyBorder="1" applyAlignment="1">
      <alignment horizontal="left" vertical="center"/>
    </xf>
    <xf numFmtId="0" fontId="27" fillId="0" borderId="13" xfId="0" applyFont="1" applyFill="1" applyBorder="1" applyAlignment="1">
      <alignment vertical="center"/>
    </xf>
    <xf numFmtId="182" fontId="27" fillId="0" borderId="8" xfId="0" applyNumberFormat="1" applyFont="1" applyFill="1" applyBorder="1" applyAlignment="1">
      <alignment horizontal="center" vertical="center"/>
    </xf>
    <xf numFmtId="182" fontId="27" fillId="0" borderId="13" xfId="0" applyNumberFormat="1" applyFont="1" applyFill="1" applyBorder="1" applyAlignment="1">
      <alignment horizontal="center" vertical="center"/>
    </xf>
    <xf numFmtId="180" fontId="27" fillId="0" borderId="13" xfId="0" applyNumberFormat="1" applyFont="1" applyFill="1" applyBorder="1" applyAlignment="1">
      <alignment horizontal="center" vertical="center"/>
    </xf>
    <xf numFmtId="182" fontId="33" fillId="0" borderId="13" xfId="0" applyNumberFormat="1" applyFont="1" applyFill="1" applyBorder="1" applyAlignment="1">
      <alignment horizontal="center" vertical="center"/>
    </xf>
    <xf numFmtId="181" fontId="27" fillId="0" borderId="13" xfId="0" applyNumberFormat="1" applyFont="1" applyFill="1" applyBorder="1" applyAlignment="1">
      <alignment horizontal="center" vertical="center"/>
    </xf>
    <xf numFmtId="0" fontId="27" fillId="0" borderId="38" xfId="0" applyFont="1" applyFill="1" applyBorder="1" applyAlignment="1">
      <alignment horizontal="left" vertical="center"/>
    </xf>
    <xf numFmtId="0" fontId="27" fillId="0" borderId="39" xfId="0" applyFont="1" applyFill="1" applyBorder="1" applyAlignment="1">
      <alignment vertical="center" wrapText="1"/>
    </xf>
    <xf numFmtId="0" fontId="27" fillId="0" borderId="40" xfId="0" applyFont="1" applyBorder="1" applyAlignment="1">
      <alignment horizontal="center" vertical="center"/>
    </xf>
    <xf numFmtId="0" fontId="27" fillId="0" borderId="41" xfId="0" applyFont="1" applyFill="1" applyBorder="1" applyAlignment="1">
      <alignment horizontal="left" vertical="center" wrapText="1"/>
    </xf>
    <xf numFmtId="0" fontId="27" fillId="0" borderId="41" xfId="0" applyFont="1" applyFill="1" applyBorder="1" applyAlignment="1">
      <alignment horizontal="center" vertical="center"/>
    </xf>
    <xf numFmtId="0" fontId="27" fillId="0" borderId="41" xfId="0" applyFont="1" applyFill="1" applyBorder="1" applyAlignment="1">
      <alignment vertical="center"/>
    </xf>
    <xf numFmtId="182" fontId="27" fillId="0" borderId="41" xfId="0" applyNumberFormat="1" applyFont="1" applyFill="1" applyBorder="1" applyAlignment="1">
      <alignment horizontal="center" vertical="center"/>
    </xf>
    <xf numFmtId="181" fontId="27" fillId="0" borderId="41" xfId="0" applyNumberFormat="1" applyFont="1" applyFill="1" applyBorder="1" applyAlignment="1">
      <alignment horizontal="center" vertical="center"/>
    </xf>
    <xf numFmtId="0" fontId="26" fillId="0" borderId="41" xfId="0" applyFont="1" applyBorder="1">
      <alignment vertical="center"/>
    </xf>
    <xf numFmtId="0" fontId="26" fillId="0" borderId="42" xfId="0" applyFont="1" applyBorder="1">
      <alignment vertical="center"/>
    </xf>
    <xf numFmtId="0" fontId="26" fillId="0" borderId="0" xfId="0" applyFont="1" applyBorder="1">
      <alignment vertical="center"/>
    </xf>
    <xf numFmtId="0" fontId="34" fillId="0" borderId="9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7" fillId="3" borderId="13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/>
    </xf>
    <xf numFmtId="0" fontId="27" fillId="3" borderId="2" xfId="0" applyNumberFormat="1" applyFont="1" applyFill="1" applyBorder="1" applyAlignment="1">
      <alignment horizontal="center" vertical="center"/>
    </xf>
    <xf numFmtId="181" fontId="31" fillId="3" borderId="2" xfId="0" applyNumberFormat="1" applyFont="1" applyFill="1" applyBorder="1" applyAlignment="1">
      <alignment horizontal="center" vertical="center"/>
    </xf>
    <xf numFmtId="0" fontId="27" fillId="3" borderId="2" xfId="0" applyFont="1" applyFill="1" applyBorder="1" applyAlignment="1"/>
    <xf numFmtId="0" fontId="27" fillId="10" borderId="2" xfId="0" applyFont="1" applyFill="1" applyBorder="1" applyAlignment="1">
      <alignment horizontal="left" vertical="center"/>
    </xf>
    <xf numFmtId="0" fontId="27" fillId="10" borderId="2" xfId="0" applyFont="1" applyFill="1" applyBorder="1" applyAlignment="1">
      <alignment vertical="center"/>
    </xf>
    <xf numFmtId="0" fontId="27" fillId="10" borderId="2" xfId="0" applyFont="1" applyFill="1" applyBorder="1" applyAlignment="1">
      <alignment horizontal="left"/>
    </xf>
    <xf numFmtId="0" fontId="27" fillId="10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/>
    </xf>
    <xf numFmtId="182" fontId="28" fillId="10" borderId="2" xfId="0" applyNumberFormat="1" applyFont="1" applyFill="1" applyBorder="1" applyAlignment="1">
      <alignment horizontal="center" vertical="center"/>
    </xf>
    <xf numFmtId="182" fontId="27" fillId="10" borderId="2" xfId="0" applyNumberFormat="1" applyFont="1" applyFill="1" applyBorder="1" applyAlignment="1">
      <alignment horizontal="center" vertical="center"/>
    </xf>
    <xf numFmtId="182" fontId="27" fillId="10" borderId="3" xfId="0" applyNumberFormat="1" applyFont="1" applyFill="1" applyBorder="1" applyAlignment="1">
      <alignment horizontal="center" vertical="center"/>
    </xf>
    <xf numFmtId="0" fontId="27" fillId="10" borderId="3" xfId="0" applyFont="1" applyFill="1" applyBorder="1" applyAlignment="1">
      <alignment horizontal="left" vertical="center"/>
    </xf>
    <xf numFmtId="0" fontId="27" fillId="10" borderId="3" xfId="0" applyFont="1" applyFill="1" applyBorder="1" applyAlignment="1">
      <alignment vertical="center"/>
    </xf>
    <xf numFmtId="0" fontId="28" fillId="10" borderId="2" xfId="0" applyFont="1" applyFill="1" applyBorder="1" applyAlignment="1">
      <alignment horizontal="center" vertical="center"/>
    </xf>
    <xf numFmtId="181" fontId="27" fillId="10" borderId="2" xfId="0" applyNumberFormat="1" applyFont="1" applyFill="1" applyBorder="1" applyAlignment="1">
      <alignment horizontal="left" vertical="center"/>
    </xf>
    <xf numFmtId="0" fontId="28" fillId="6" borderId="3" xfId="0" applyFont="1" applyFill="1" applyBorder="1" applyAlignment="1">
      <alignment vertical="center"/>
    </xf>
    <xf numFmtId="0" fontId="28" fillId="6" borderId="2" xfId="0" applyFont="1" applyFill="1" applyBorder="1" applyAlignment="1">
      <alignment horizontal="center" vertical="center"/>
    </xf>
    <xf numFmtId="182" fontId="27" fillId="6" borderId="3" xfId="0" applyNumberFormat="1" applyFont="1" applyFill="1" applyBorder="1" applyAlignment="1">
      <alignment horizontal="center" vertical="center"/>
    </xf>
    <xf numFmtId="181" fontId="27" fillId="6" borderId="2" xfId="0" applyNumberFormat="1" applyFont="1" applyFill="1" applyBorder="1" applyAlignment="1">
      <alignment horizontal="left" vertical="center"/>
    </xf>
    <xf numFmtId="181" fontId="27" fillId="10" borderId="2" xfId="0" applyNumberFormat="1" applyFont="1" applyFill="1" applyBorder="1" applyAlignment="1">
      <alignment horizontal="center" vertical="center"/>
    </xf>
    <xf numFmtId="0" fontId="27" fillId="10" borderId="2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7" fillId="0" borderId="3" xfId="0" applyFont="1" applyFill="1" applyBorder="1" applyAlignment="1">
      <alignment vertical="center" wrapText="1"/>
    </xf>
    <xf numFmtId="182" fontId="31" fillId="0" borderId="2" xfId="0" applyNumberFormat="1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vertical="center"/>
    </xf>
    <xf numFmtId="180" fontId="11" fillId="3" borderId="2" xfId="0" applyNumberFormat="1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center" vertical="center"/>
    </xf>
    <xf numFmtId="180" fontId="11" fillId="3" borderId="2" xfId="0" applyNumberFormat="1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/>
    </xf>
    <xf numFmtId="181" fontId="11" fillId="0" borderId="2" xfId="0" applyNumberFormat="1" applyFont="1" applyFill="1" applyBorder="1" applyAlignment="1">
      <alignment horizontal="center" vertical="center"/>
    </xf>
    <xf numFmtId="181" fontId="11" fillId="3" borderId="2" xfId="0" applyNumberFormat="1" applyFont="1" applyFill="1" applyBorder="1" applyAlignment="1">
      <alignment horizontal="center" vertical="center"/>
    </xf>
    <xf numFmtId="182" fontId="11" fillId="3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/>
    <xf numFmtId="181" fontId="26" fillId="0" borderId="0" xfId="0" applyNumberFormat="1" applyFont="1">
      <alignment vertical="center"/>
    </xf>
    <xf numFmtId="10" fontId="26" fillId="0" borderId="0" xfId="0" applyNumberFormat="1" applyFont="1">
      <alignment vertical="center"/>
    </xf>
    <xf numFmtId="0" fontId="27" fillId="0" borderId="8" xfId="0" applyFont="1" applyFill="1" applyBorder="1" applyAlignment="1">
      <alignment horizontal="center" vertical="center" wrapText="1"/>
    </xf>
    <xf numFmtId="0" fontId="27" fillId="0" borderId="13" xfId="0" applyFont="1" applyFill="1" applyBorder="1" applyAlignment="1">
      <alignment horizontal="center" vertical="center" wrapText="1"/>
    </xf>
    <xf numFmtId="0" fontId="27" fillId="0" borderId="9" xfId="0" applyFont="1" applyFill="1" applyBorder="1" applyAlignment="1">
      <alignment horizontal="center" vertical="center" wrapText="1"/>
    </xf>
    <xf numFmtId="0" fontId="27" fillId="0" borderId="37" xfId="0" applyFont="1" applyFill="1" applyBorder="1" applyAlignment="1">
      <alignment horizontal="center" vertical="center" wrapText="1"/>
    </xf>
    <xf numFmtId="0" fontId="27" fillId="0" borderId="43" xfId="0" applyFont="1" applyFill="1" applyBorder="1" applyAlignment="1">
      <alignment horizontal="center" vertical="center" wrapText="1"/>
    </xf>
    <xf numFmtId="0" fontId="27" fillId="0" borderId="14" xfId="0" applyFont="1" applyFill="1" applyBorder="1" applyAlignment="1">
      <alignment horizontal="center" vertical="center" wrapText="1"/>
    </xf>
    <xf numFmtId="180" fontId="11" fillId="3" borderId="44" xfId="0" applyNumberFormat="1" applyFont="1" applyFill="1" applyBorder="1" applyAlignment="1">
      <alignment horizontal="left" vertical="center"/>
    </xf>
    <xf numFmtId="180" fontId="11" fillId="3" borderId="12" xfId="0" applyNumberFormat="1" applyFont="1" applyFill="1" applyBorder="1" applyAlignment="1">
      <alignment horizontal="left" vertical="center"/>
    </xf>
    <xf numFmtId="180" fontId="11" fillId="3" borderId="37" xfId="0" applyNumberFormat="1" applyFont="1" applyFill="1" applyBorder="1" applyAlignment="1">
      <alignment horizontal="left" vertical="center"/>
    </xf>
    <xf numFmtId="0" fontId="11" fillId="4" borderId="17" xfId="49" applyFont="1" applyFill="1" applyBorder="1" applyAlignment="1">
      <alignment horizontal="center" vertical="center" wrapText="1"/>
    </xf>
    <xf numFmtId="0" fontId="11" fillId="4" borderId="18" xfId="49" applyFont="1" applyFill="1" applyBorder="1" applyAlignment="1">
      <alignment horizontal="center" vertical="center" wrapText="1"/>
    </xf>
    <xf numFmtId="0" fontId="11" fillId="4" borderId="19" xfId="49" applyFont="1" applyFill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182" fontId="27" fillId="0" borderId="2" xfId="0" applyNumberFormat="1" applyFont="1" applyFill="1" applyBorder="1" applyAlignment="1">
      <alignment horizontal="center" vertical="center" wrapText="1"/>
    </xf>
    <xf numFmtId="180" fontId="27" fillId="0" borderId="2" xfId="0" applyNumberFormat="1" applyFont="1" applyFill="1" applyBorder="1" applyAlignment="1">
      <alignment horizontal="center" vertical="center"/>
    </xf>
    <xf numFmtId="0" fontId="27" fillId="0" borderId="26" xfId="0" applyFont="1" applyFill="1" applyBorder="1" applyAlignment="1">
      <alignment horizontal="left" vertical="center" wrapText="1"/>
    </xf>
    <xf numFmtId="0" fontId="28" fillId="11" borderId="2" xfId="0" applyFont="1" applyFill="1" applyBorder="1" applyAlignment="1">
      <alignment horizontal="center" vertical="center"/>
    </xf>
    <xf numFmtId="181" fontId="28" fillId="11" borderId="2" xfId="0" applyNumberFormat="1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left" vertical="center"/>
    </xf>
    <xf numFmtId="181" fontId="27" fillId="3" borderId="8" xfId="0" applyNumberFormat="1" applyFont="1" applyFill="1" applyBorder="1" applyAlignment="1">
      <alignment horizontal="center" vertical="center"/>
    </xf>
    <xf numFmtId="182" fontId="27" fillId="3" borderId="8" xfId="0" applyNumberFormat="1" applyFont="1" applyFill="1" applyBorder="1" applyAlignment="1">
      <alignment horizontal="center" vertical="center"/>
    </xf>
    <xf numFmtId="183" fontId="27" fillId="3" borderId="8" xfId="0" applyNumberFormat="1" applyFont="1" applyFill="1" applyBorder="1" applyAlignment="1">
      <alignment horizontal="left" vertical="center"/>
    </xf>
    <xf numFmtId="0" fontId="27" fillId="3" borderId="45" xfId="0" applyFont="1" applyFill="1" applyBorder="1" applyAlignment="1">
      <alignment vertical="center"/>
    </xf>
    <xf numFmtId="181" fontId="28" fillId="11" borderId="18" xfId="0" applyNumberFormat="1" applyFont="1" applyFill="1" applyBorder="1" applyAlignment="1">
      <alignment horizontal="center" vertical="center"/>
    </xf>
    <xf numFmtId="0" fontId="27" fillId="0" borderId="25" xfId="0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vertical="center"/>
    </xf>
    <xf numFmtId="0" fontId="27" fillId="0" borderId="20" xfId="0" applyFont="1" applyFill="1" applyBorder="1" applyAlignment="1">
      <alignment horizontal="center" vertical="center"/>
    </xf>
    <xf numFmtId="0" fontId="27" fillId="0" borderId="21" xfId="0" applyFont="1" applyFill="1" applyBorder="1" applyAlignment="1">
      <alignment horizontal="center" vertical="center"/>
    </xf>
    <xf numFmtId="0" fontId="27" fillId="11" borderId="21" xfId="0" applyFont="1" applyFill="1" applyBorder="1" applyAlignment="1">
      <alignment vertical="center"/>
    </xf>
    <xf numFmtId="0" fontId="27" fillId="0" borderId="21" xfId="49" applyFont="1" applyFill="1" applyBorder="1" applyAlignment="1">
      <alignment horizontal="left" vertical="center" wrapText="1"/>
    </xf>
    <xf numFmtId="0" fontId="27" fillId="0" borderId="21" xfId="0" applyFont="1" applyFill="1" applyBorder="1" applyAlignment="1">
      <alignment horizontal="center"/>
    </xf>
    <xf numFmtId="183" fontId="27" fillId="0" borderId="21" xfId="0" applyNumberFormat="1" applyFont="1" applyFill="1" applyBorder="1" applyAlignment="1">
      <alignment horizontal="left" vertical="center"/>
    </xf>
    <xf numFmtId="0" fontId="10" fillId="4" borderId="8" xfId="49" applyFont="1" applyFill="1" applyBorder="1" applyAlignment="1">
      <alignment horizontal="center" vertical="center" wrapText="1"/>
    </xf>
    <xf numFmtId="0" fontId="11" fillId="4" borderId="8" xfId="49" applyFont="1" applyFill="1" applyBorder="1" applyAlignment="1">
      <alignment horizontal="left" vertical="center" wrapText="1"/>
    </xf>
    <xf numFmtId="0" fontId="27" fillId="0" borderId="46" xfId="0" applyFont="1" applyFill="1" applyBorder="1" applyAlignment="1">
      <alignment horizontal="center" vertical="center"/>
    </xf>
    <xf numFmtId="0" fontId="27" fillId="0" borderId="18" xfId="0" applyFont="1" applyFill="1" applyBorder="1" applyAlignment="1"/>
    <xf numFmtId="0" fontId="27" fillId="0" borderId="18" xfId="0" applyFont="1" applyFill="1" applyBorder="1" applyAlignment="1">
      <alignment horizontal="center"/>
    </xf>
    <xf numFmtId="0" fontId="27" fillId="0" borderId="30" xfId="0" applyFont="1" applyFill="1" applyBorder="1" applyAlignment="1">
      <alignment horizontal="center" vertical="center"/>
    </xf>
    <xf numFmtId="0" fontId="27" fillId="0" borderId="19" xfId="0" applyFont="1" applyFill="1" applyBorder="1" applyAlignment="1">
      <alignment vertical="center"/>
    </xf>
    <xf numFmtId="0" fontId="27" fillId="0" borderId="36" xfId="0" applyFont="1" applyFill="1" applyBorder="1" applyAlignment="1">
      <alignment horizontal="center" vertical="center"/>
    </xf>
    <xf numFmtId="0" fontId="27" fillId="0" borderId="26" xfId="0" applyFont="1" applyFill="1" applyBorder="1" applyAlignment="1">
      <alignment vertical="center"/>
    </xf>
    <xf numFmtId="0" fontId="27" fillId="0" borderId="32" xfId="0" applyFont="1" applyFill="1" applyBorder="1" applyAlignment="1">
      <alignment horizontal="center" vertical="center"/>
    </xf>
    <xf numFmtId="0" fontId="27" fillId="0" borderId="21" xfId="0" applyFont="1" applyFill="1" applyBorder="1" applyAlignment="1"/>
    <xf numFmtId="0" fontId="27" fillId="0" borderId="27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vertical="center"/>
    </xf>
    <xf numFmtId="0" fontId="27" fillId="0" borderId="46" xfId="0" applyFont="1" applyFill="1" applyBorder="1" applyAlignment="1">
      <alignment vertical="center"/>
    </xf>
    <xf numFmtId="0" fontId="27" fillId="0" borderId="36" xfId="0" applyFont="1" applyFill="1" applyBorder="1" applyAlignment="1">
      <alignment vertical="center"/>
    </xf>
    <xf numFmtId="0" fontId="27" fillId="0" borderId="9" xfId="0" applyFont="1" applyFill="1" applyBorder="1" applyAlignment="1"/>
    <xf numFmtId="0" fontId="26" fillId="0" borderId="2" xfId="0" applyFont="1" applyFill="1" applyBorder="1" applyAlignment="1">
      <alignment vertical="center"/>
    </xf>
    <xf numFmtId="0" fontId="28" fillId="0" borderId="2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center" vertical="center"/>
    </xf>
    <xf numFmtId="180" fontId="10" fillId="0" borderId="2" xfId="0" applyNumberFormat="1" applyFont="1" applyFill="1" applyBorder="1" applyAlignment="1">
      <alignment horizontal="center" vertical="center"/>
    </xf>
    <xf numFmtId="182" fontId="10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/>
    </xf>
    <xf numFmtId="0" fontId="28" fillId="0" borderId="2" xfId="0" applyNumberFormat="1" applyFont="1" applyFill="1" applyBorder="1" applyAlignment="1">
      <alignment horizontal="center" vertical="center"/>
    </xf>
    <xf numFmtId="0" fontId="27" fillId="0" borderId="2" xfId="0" applyFont="1" applyFill="1" applyBorder="1">
      <alignment vertical="center"/>
    </xf>
    <xf numFmtId="0" fontId="28" fillId="0" borderId="2" xfId="0" applyFont="1" applyFill="1" applyBorder="1" applyAlignment="1">
      <alignment horizontal="center"/>
    </xf>
    <xf numFmtId="0" fontId="28" fillId="0" borderId="2" xfId="0" applyFont="1" applyFill="1" applyBorder="1" applyAlignment="1"/>
    <xf numFmtId="0" fontId="26" fillId="0" borderId="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/>
    </xf>
    <xf numFmtId="0" fontId="28" fillId="6" borderId="2" xfId="0" applyFont="1" applyFill="1" applyBorder="1" applyAlignment="1">
      <alignment horizontal="center"/>
    </xf>
    <xf numFmtId="0" fontId="28" fillId="0" borderId="2" xfId="0" applyFont="1" applyFill="1" applyBorder="1" applyAlignment="1">
      <alignment horizontal="left"/>
    </xf>
    <xf numFmtId="0" fontId="27" fillId="0" borderId="9" xfId="0" applyNumberFormat="1" applyFont="1" applyFill="1" applyBorder="1" applyAlignment="1">
      <alignment horizontal="center" vertical="center"/>
    </xf>
    <xf numFmtId="180" fontId="10" fillId="3" borderId="8" xfId="0" applyNumberFormat="1" applyFont="1" applyFill="1" applyBorder="1" applyAlignment="1">
      <alignment horizontal="center" vertical="center"/>
    </xf>
    <xf numFmtId="43" fontId="10" fillId="3" borderId="2" xfId="0" applyNumberFormat="1" applyFont="1" applyFill="1" applyBorder="1" applyAlignment="1">
      <alignment vertical="center"/>
    </xf>
    <xf numFmtId="180" fontId="10" fillId="3" borderId="2" xfId="0" applyNumberFormat="1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180" fontId="10" fillId="3" borderId="0" xfId="0" applyNumberFormat="1" applyFont="1" applyFill="1" applyBorder="1" applyAlignment="1">
      <alignment horizontal="left" vertical="center"/>
    </xf>
    <xf numFmtId="180" fontId="10" fillId="3" borderId="0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181" fontId="11" fillId="3" borderId="0" xfId="0" applyNumberFormat="1" applyFont="1" applyFill="1" applyBorder="1" applyAlignment="1">
      <alignment horizontal="center" vertical="center"/>
    </xf>
    <xf numFmtId="182" fontId="11" fillId="3" borderId="0" xfId="0" applyNumberFormat="1" applyFont="1" applyFill="1" applyBorder="1" applyAlignment="1">
      <alignment horizontal="center" vertical="center"/>
    </xf>
    <xf numFmtId="181" fontId="10" fillId="3" borderId="0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vertical="center"/>
    </xf>
    <xf numFmtId="180" fontId="10" fillId="3" borderId="9" xfId="0" applyNumberFormat="1" applyFont="1" applyFill="1" applyBorder="1" applyAlignment="1">
      <alignment horizontal="left" vertical="center"/>
    </xf>
    <xf numFmtId="0" fontId="10" fillId="3" borderId="47" xfId="0" applyFont="1" applyFill="1" applyBorder="1" applyAlignment="1">
      <alignment horizontal="left" vertical="center"/>
    </xf>
    <xf numFmtId="180" fontId="10" fillId="3" borderId="47" xfId="0" applyNumberFormat="1" applyFont="1" applyFill="1" applyBorder="1" applyAlignment="1">
      <alignment horizontal="left" vertical="center"/>
    </xf>
    <xf numFmtId="180" fontId="10" fillId="3" borderId="47" xfId="0" applyNumberFormat="1" applyFont="1" applyFill="1" applyBorder="1" applyAlignment="1">
      <alignment horizontal="center" vertical="center"/>
    </xf>
    <xf numFmtId="0" fontId="11" fillId="3" borderId="47" xfId="0" applyFont="1" applyFill="1" applyBorder="1" applyAlignment="1">
      <alignment horizontal="center" vertical="center"/>
    </xf>
    <xf numFmtId="0" fontId="11" fillId="12" borderId="25" xfId="49" applyFont="1" applyFill="1" applyBorder="1" applyAlignment="1">
      <alignment horizontal="center" vertical="center" wrapText="1"/>
    </xf>
    <xf numFmtId="0" fontId="11" fillId="12" borderId="2" xfId="49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181" fontId="11" fillId="3" borderId="47" xfId="0" applyNumberFormat="1" applyFont="1" applyFill="1" applyBorder="1" applyAlignment="1">
      <alignment horizontal="center" vertical="center"/>
    </xf>
    <xf numFmtId="182" fontId="11" fillId="3" borderId="47" xfId="0" applyNumberFormat="1" applyFont="1" applyFill="1" applyBorder="1" applyAlignment="1">
      <alignment horizontal="center" vertical="center"/>
    </xf>
    <xf numFmtId="181" fontId="10" fillId="3" borderId="47" xfId="0" applyNumberFormat="1" applyFont="1" applyFill="1" applyBorder="1" applyAlignment="1">
      <alignment horizontal="center" vertical="center"/>
    </xf>
    <xf numFmtId="0" fontId="11" fillId="3" borderId="47" xfId="0" applyFont="1" applyFill="1" applyBorder="1" applyAlignment="1">
      <alignment vertical="center"/>
    </xf>
    <xf numFmtId="0" fontId="10" fillId="4" borderId="14" xfId="49" applyFont="1" applyFill="1" applyBorder="1" applyAlignment="1">
      <alignment horizontal="left" vertical="center" wrapText="1"/>
    </xf>
    <xf numFmtId="0" fontId="10" fillId="4" borderId="9" xfId="49" applyFont="1" applyFill="1" applyBorder="1" applyAlignment="1">
      <alignment horizontal="left" vertical="center" wrapText="1"/>
    </xf>
    <xf numFmtId="0" fontId="35" fillId="4" borderId="9" xfId="49" applyFont="1" applyFill="1" applyBorder="1" applyAlignment="1">
      <alignment horizontal="left" vertical="center" wrapText="1"/>
    </xf>
    <xf numFmtId="180" fontId="35" fillId="4" borderId="9" xfId="49" applyNumberFormat="1" applyFont="1" applyFill="1" applyBorder="1" applyAlignment="1">
      <alignment horizontal="left" vertical="center" wrapText="1"/>
    </xf>
    <xf numFmtId="180" fontId="35" fillId="4" borderId="9" xfId="49" applyNumberFormat="1" applyFont="1" applyFill="1" applyBorder="1" applyAlignment="1">
      <alignment horizontal="center" vertical="center" wrapText="1"/>
    </xf>
    <xf numFmtId="0" fontId="11" fillId="4" borderId="16" xfId="49" applyFont="1" applyFill="1" applyBorder="1" applyAlignment="1">
      <alignment horizontal="center" vertical="center" wrapText="1"/>
    </xf>
    <xf numFmtId="0" fontId="11" fillId="4" borderId="25" xfId="49" applyFont="1" applyFill="1" applyBorder="1" applyAlignment="1">
      <alignment horizontal="center" vertical="center" wrapText="1"/>
    </xf>
    <xf numFmtId="0" fontId="11" fillId="4" borderId="26" xfId="49" applyFont="1" applyFill="1" applyBorder="1" applyAlignment="1">
      <alignment horizontal="center" vertical="center" wrapText="1"/>
    </xf>
    <xf numFmtId="0" fontId="11" fillId="4" borderId="14" xfId="49" applyFont="1" applyFill="1" applyBorder="1" applyAlignment="1">
      <alignment horizontal="center" vertical="center" wrapText="1"/>
    </xf>
    <xf numFmtId="181" fontId="11" fillId="4" borderId="9" xfId="49" applyNumberFormat="1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/>
    </xf>
    <xf numFmtId="182" fontId="11" fillId="4" borderId="9" xfId="49" applyNumberFormat="1" applyFont="1" applyFill="1" applyBorder="1" applyAlignment="1">
      <alignment horizontal="center" vertical="center" wrapText="1"/>
    </xf>
    <xf numFmtId="181" fontId="35" fillId="4" borderId="9" xfId="49" applyNumberFormat="1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vertical="center"/>
    </xf>
    <xf numFmtId="0" fontId="26" fillId="3" borderId="3" xfId="0" applyFont="1" applyFill="1" applyBorder="1" applyAlignment="1">
      <alignment horizontal="center" vertical="center"/>
    </xf>
    <xf numFmtId="0" fontId="26" fillId="3" borderId="2" xfId="49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left" vertical="center"/>
    </xf>
    <xf numFmtId="0" fontId="26" fillId="3" borderId="2" xfId="0" applyFont="1" applyFill="1" applyBorder="1" applyAlignment="1">
      <alignment vertical="center"/>
    </xf>
    <xf numFmtId="182" fontId="26" fillId="3" borderId="2" xfId="0" applyNumberFormat="1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horizontal="left" vertical="center" wrapText="1"/>
    </xf>
    <xf numFmtId="0" fontId="27" fillId="0" borderId="0" xfId="0" applyFont="1" applyFill="1" applyAlignment="1">
      <alignment horizontal="left" vertical="center" wrapText="1"/>
    </xf>
    <xf numFmtId="182" fontId="31" fillId="0" borderId="0" xfId="0" applyNumberFormat="1" applyFont="1" applyFill="1" applyAlignment="1">
      <alignment horizontal="center" vertical="center"/>
    </xf>
    <xf numFmtId="0" fontId="27" fillId="13" borderId="2" xfId="0" applyFont="1" applyFill="1" applyBorder="1" applyAlignment="1">
      <alignment horizontal="left" vertical="center"/>
    </xf>
    <xf numFmtId="0" fontId="27" fillId="13" borderId="2" xfId="0" applyFont="1" applyFill="1" applyBorder="1" applyAlignment="1">
      <alignment vertical="center"/>
    </xf>
    <xf numFmtId="0" fontId="27" fillId="13" borderId="2" xfId="0" applyFont="1" applyFill="1" applyBorder="1" applyAlignment="1">
      <alignment horizontal="left"/>
    </xf>
    <xf numFmtId="0" fontId="27" fillId="13" borderId="2" xfId="49" applyFont="1" applyFill="1" applyBorder="1" applyAlignment="1">
      <alignment horizontal="center" vertical="center" wrapText="1"/>
    </xf>
    <xf numFmtId="0" fontId="27" fillId="13" borderId="2" xfId="0" applyFont="1" applyFill="1" applyBorder="1" applyAlignment="1">
      <alignment horizontal="center"/>
    </xf>
    <xf numFmtId="0" fontId="27" fillId="13" borderId="2" xfId="0" applyFont="1" applyFill="1" applyBorder="1" applyAlignment="1">
      <alignment horizontal="center" vertical="center"/>
    </xf>
    <xf numFmtId="182" fontId="28" fillId="13" borderId="2" xfId="0" applyNumberFormat="1" applyFont="1" applyFill="1" applyBorder="1" applyAlignment="1">
      <alignment horizontal="center" vertical="center"/>
    </xf>
    <xf numFmtId="182" fontId="27" fillId="13" borderId="2" xfId="0" applyNumberFormat="1" applyFont="1" applyFill="1" applyBorder="1" applyAlignment="1">
      <alignment horizontal="center" vertical="center"/>
    </xf>
    <xf numFmtId="0" fontId="27" fillId="13" borderId="2" xfId="0" applyNumberFormat="1" applyFont="1" applyFill="1" applyBorder="1" applyAlignment="1">
      <alignment horizontal="center" vertical="center"/>
    </xf>
    <xf numFmtId="181" fontId="27" fillId="13" borderId="2" xfId="0" applyNumberFormat="1" applyFont="1" applyFill="1" applyBorder="1" applyAlignment="1">
      <alignment horizontal="center" vertical="center"/>
    </xf>
    <xf numFmtId="183" fontId="27" fillId="13" borderId="2" xfId="0" applyNumberFormat="1" applyFont="1" applyFill="1" applyBorder="1" applyAlignment="1">
      <alignment horizontal="left" vertical="center"/>
    </xf>
    <xf numFmtId="0" fontId="27" fillId="13" borderId="2" xfId="0" applyFont="1" applyFill="1" applyBorder="1" applyAlignment="1"/>
    <xf numFmtId="0" fontId="30" fillId="0" borderId="0" xfId="0" applyFont="1" applyFill="1" applyAlignment="1"/>
    <xf numFmtId="0" fontId="27" fillId="14" borderId="2" xfId="0" applyFont="1" applyFill="1" applyBorder="1" applyAlignment="1">
      <alignment horizontal="left" vertical="center"/>
    </xf>
    <xf numFmtId="0" fontId="27" fillId="14" borderId="2" xfId="0" applyFont="1" applyFill="1" applyBorder="1" applyAlignment="1">
      <alignment vertical="center"/>
    </xf>
    <xf numFmtId="0" fontId="27" fillId="14" borderId="2" xfId="0" applyFont="1" applyFill="1" applyBorder="1" applyAlignment="1">
      <alignment horizontal="center"/>
    </xf>
    <xf numFmtId="0" fontId="27" fillId="14" borderId="2" xfId="0" applyFont="1" applyFill="1" applyBorder="1" applyAlignment="1">
      <alignment horizontal="center" vertical="center"/>
    </xf>
    <xf numFmtId="182" fontId="27" fillId="14" borderId="2" xfId="0" applyNumberFormat="1" applyFont="1" applyFill="1" applyBorder="1" applyAlignment="1">
      <alignment horizontal="center" vertical="center"/>
    </xf>
    <xf numFmtId="182" fontId="27" fillId="14" borderId="3" xfId="0" applyNumberFormat="1" applyFont="1" applyFill="1" applyBorder="1" applyAlignment="1">
      <alignment horizontal="center" vertical="center"/>
    </xf>
    <xf numFmtId="0" fontId="27" fillId="14" borderId="37" xfId="0" applyFont="1" applyFill="1" applyBorder="1" applyAlignment="1">
      <alignment horizontal="left" vertical="center"/>
    </xf>
    <xf numFmtId="0" fontId="27" fillId="15" borderId="2" xfId="0" applyFont="1" applyFill="1" applyBorder="1" applyAlignment="1">
      <alignment horizontal="left" vertical="center"/>
    </xf>
    <xf numFmtId="0" fontId="26" fillId="15" borderId="2" xfId="0" applyFont="1" applyFill="1" applyBorder="1" applyAlignment="1"/>
    <xf numFmtId="181" fontId="27" fillId="15" borderId="2" xfId="0" applyNumberFormat="1" applyFont="1" applyFill="1" applyBorder="1" applyAlignment="1">
      <alignment horizontal="center" vertical="center"/>
    </xf>
    <xf numFmtId="182" fontId="27" fillId="15" borderId="2" xfId="0" applyNumberFormat="1" applyFont="1" applyFill="1" applyBorder="1" applyAlignment="1">
      <alignment horizontal="center" vertical="center"/>
    </xf>
    <xf numFmtId="179" fontId="28" fillId="0" borderId="2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7" fillId="0" borderId="37" xfId="0" applyFont="1" applyFill="1" applyBorder="1" applyAlignment="1">
      <alignment horizontal="center" vertical="center"/>
    </xf>
    <xf numFmtId="0" fontId="27" fillId="0" borderId="43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79" fontId="26" fillId="0" borderId="2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9" fontId="28" fillId="3" borderId="2" xfId="0" applyNumberFormat="1" applyFont="1" applyFill="1" applyBorder="1" applyAlignment="1">
      <alignment horizontal="center" vertical="center"/>
    </xf>
    <xf numFmtId="179" fontId="27" fillId="3" borderId="2" xfId="0" applyNumberFormat="1" applyFont="1" applyFill="1" applyBorder="1" applyAlignment="1">
      <alignment horizontal="center" vertical="center"/>
    </xf>
    <xf numFmtId="0" fontId="27" fillId="10" borderId="8" xfId="0" applyFont="1" applyFill="1" applyBorder="1" applyAlignment="1">
      <alignment horizontal="center" vertical="center"/>
    </xf>
    <xf numFmtId="0" fontId="30" fillId="10" borderId="0" xfId="0" applyFont="1" applyFill="1" applyAlignment="1">
      <alignment vertical="center"/>
    </xf>
    <xf numFmtId="0" fontId="27" fillId="10" borderId="13" xfId="0" applyFont="1" applyFill="1" applyBorder="1" applyAlignment="1">
      <alignment horizontal="center" vertical="center"/>
    </xf>
    <xf numFmtId="184" fontId="27" fillId="10" borderId="2" xfId="0" applyNumberFormat="1" applyFont="1" applyFill="1" applyBorder="1" applyAlignment="1">
      <alignment horizontal="center" vertical="center"/>
    </xf>
    <xf numFmtId="0" fontId="27" fillId="10" borderId="9" xfId="0" applyFont="1" applyFill="1" applyBorder="1" applyAlignment="1">
      <alignment horizontal="center" vertical="center"/>
    </xf>
    <xf numFmtId="0" fontId="27" fillId="10" borderId="2" xfId="49" applyFont="1" applyFill="1" applyBorder="1" applyAlignment="1">
      <alignment horizontal="center" vertical="center" wrapText="1"/>
    </xf>
    <xf numFmtId="181" fontId="28" fillId="10" borderId="2" xfId="0" applyNumberFormat="1" applyFont="1" applyFill="1" applyBorder="1" applyAlignment="1">
      <alignment horizontal="center" vertical="center"/>
    </xf>
    <xf numFmtId="0" fontId="27" fillId="0" borderId="8" xfId="0" applyFont="1" applyFill="1" applyBorder="1" applyAlignment="1">
      <alignment vertical="center"/>
    </xf>
    <xf numFmtId="0" fontId="27" fillId="16" borderId="2" xfId="0" applyFont="1" applyFill="1" applyBorder="1" applyAlignment="1">
      <alignment horizontal="left" vertical="center"/>
    </xf>
    <xf numFmtId="0" fontId="27" fillId="16" borderId="2" xfId="0" applyFont="1" applyFill="1" applyBorder="1" applyAlignment="1">
      <alignment horizontal="center" vertical="center"/>
    </xf>
    <xf numFmtId="0" fontId="27" fillId="16" borderId="2" xfId="0" applyFont="1" applyFill="1" applyBorder="1" applyAlignment="1">
      <alignment vertical="center"/>
    </xf>
    <xf numFmtId="0" fontId="27" fillId="16" borderId="2" xfId="49" applyFont="1" applyFill="1" applyBorder="1" applyAlignment="1">
      <alignment horizontal="left" vertical="center" wrapText="1"/>
    </xf>
    <xf numFmtId="181" fontId="27" fillId="16" borderId="2" xfId="0" applyNumberFormat="1" applyFont="1" applyFill="1" applyBorder="1" applyAlignment="1">
      <alignment horizontal="center" vertical="center"/>
    </xf>
    <xf numFmtId="182" fontId="27" fillId="16" borderId="2" xfId="0" applyNumberFormat="1" applyFont="1" applyFill="1" applyBorder="1" applyAlignment="1">
      <alignment horizontal="center" vertical="center"/>
    </xf>
    <xf numFmtId="183" fontId="27" fillId="16" borderId="2" xfId="0" applyNumberFormat="1" applyFont="1" applyFill="1" applyBorder="1" applyAlignment="1">
      <alignment horizontal="left" vertical="center"/>
    </xf>
    <xf numFmtId="0" fontId="30" fillId="16" borderId="0" xfId="0" applyFont="1" applyFill="1" applyAlignment="1">
      <alignment vertical="center"/>
    </xf>
    <xf numFmtId="0" fontId="27" fillId="0" borderId="0" xfId="0" applyNumberFormat="1" applyFont="1" applyFill="1" applyAlignment="1">
      <alignment vertical="center"/>
    </xf>
    <xf numFmtId="0" fontId="27" fillId="0" borderId="2" xfId="49" applyFont="1" applyFill="1" applyBorder="1" applyAlignment="1">
      <alignment vertical="center" wrapText="1"/>
    </xf>
    <xf numFmtId="0" fontId="27" fillId="0" borderId="47" xfId="49" applyFont="1" applyFill="1" applyBorder="1" applyAlignment="1">
      <alignment vertical="center" wrapText="1"/>
    </xf>
    <xf numFmtId="0" fontId="31" fillId="0" borderId="2" xfId="0" applyNumberFormat="1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left"/>
    </xf>
    <xf numFmtId="0" fontId="27" fillId="17" borderId="3" xfId="0" applyFont="1" applyFill="1" applyBorder="1" applyAlignment="1">
      <alignment horizontal="left" vertical="center" wrapText="1"/>
    </xf>
    <xf numFmtId="0" fontId="27" fillId="17" borderId="2" xfId="0" applyFont="1" applyFill="1" applyBorder="1" applyAlignment="1">
      <alignment horizontal="center" vertical="center"/>
    </xf>
    <xf numFmtId="0" fontId="27" fillId="17" borderId="2" xfId="0" applyFont="1" applyFill="1" applyBorder="1" applyAlignment="1">
      <alignment horizontal="left" vertical="center" wrapText="1"/>
    </xf>
    <xf numFmtId="0" fontId="27" fillId="17" borderId="3" xfId="0" applyFont="1" applyFill="1" applyBorder="1" applyAlignment="1">
      <alignment vertical="center"/>
    </xf>
    <xf numFmtId="0" fontId="27" fillId="17" borderId="3" xfId="0" applyFont="1" applyFill="1" applyBorder="1" applyAlignment="1">
      <alignment horizontal="left" vertical="center"/>
    </xf>
    <xf numFmtId="0" fontId="27" fillId="17" borderId="2" xfId="0" applyFont="1" applyFill="1" applyBorder="1" applyAlignment="1">
      <alignment horizontal="center"/>
    </xf>
    <xf numFmtId="0" fontId="28" fillId="17" borderId="2" xfId="0" applyFont="1" applyFill="1" applyBorder="1" applyAlignment="1">
      <alignment horizontal="center" vertical="center"/>
    </xf>
    <xf numFmtId="181" fontId="27" fillId="17" borderId="2" xfId="0" applyNumberFormat="1" applyFont="1" applyFill="1" applyBorder="1" applyAlignment="1">
      <alignment horizontal="center" vertical="center"/>
    </xf>
    <xf numFmtId="182" fontId="27" fillId="17" borderId="2" xfId="0" applyNumberFormat="1" applyFont="1" applyFill="1" applyBorder="1" applyAlignment="1">
      <alignment horizontal="center" vertical="center"/>
    </xf>
    <xf numFmtId="0" fontId="27" fillId="17" borderId="2" xfId="0" applyFont="1" applyFill="1" applyBorder="1" applyAlignment="1">
      <alignment horizontal="left" vertical="center"/>
    </xf>
    <xf numFmtId="0" fontId="27" fillId="17" borderId="2" xfId="0" applyFont="1" applyFill="1" applyBorder="1" applyAlignment="1">
      <alignment vertical="center"/>
    </xf>
    <xf numFmtId="0" fontId="28" fillId="8" borderId="2" xfId="0" applyFont="1" applyFill="1" applyBorder="1" applyAlignment="1">
      <alignment horizontal="center" vertical="center"/>
    </xf>
    <xf numFmtId="0" fontId="28" fillId="8" borderId="2" xfId="0" applyNumberFormat="1" applyFont="1" applyFill="1" applyBorder="1" applyAlignment="1">
      <alignment horizontal="center"/>
    </xf>
    <xf numFmtId="181" fontId="28" fillId="8" borderId="2" xfId="0" applyNumberFormat="1" applyFont="1" applyFill="1" applyBorder="1" applyAlignment="1">
      <alignment horizontal="center" vertical="center"/>
    </xf>
    <xf numFmtId="179" fontId="28" fillId="8" borderId="2" xfId="0" applyNumberFormat="1" applyFont="1" applyFill="1" applyBorder="1" applyAlignment="1">
      <alignment horizontal="center" vertical="center"/>
    </xf>
    <xf numFmtId="0" fontId="26" fillId="0" borderId="0" xfId="0" applyFont="1" applyFill="1" applyAlignment="1">
      <alignment horizontal="left"/>
    </xf>
    <xf numFmtId="0" fontId="27" fillId="0" borderId="0" xfId="0" applyNumberFormat="1" applyFont="1" applyFill="1" applyAlignment="1">
      <alignment horizontal="center"/>
    </xf>
    <xf numFmtId="0" fontId="26" fillId="0" borderId="0" xfId="0" applyNumberFormat="1" applyFont="1" applyFill="1" applyAlignment="1">
      <alignment horizontal="center"/>
    </xf>
    <xf numFmtId="181" fontId="26" fillId="0" borderId="0" xfId="0" applyNumberFormat="1" applyFont="1" applyFill="1" applyBorder="1" applyAlignment="1">
      <alignment horizontal="center" vertical="center"/>
    </xf>
    <xf numFmtId="181" fontId="26" fillId="0" borderId="0" xfId="0" applyNumberFormat="1" applyFont="1" applyFill="1" applyAlignment="1">
      <alignment horizontal="center" vertical="center"/>
    </xf>
    <xf numFmtId="183" fontId="27" fillId="6" borderId="2" xfId="0" applyNumberFormat="1" applyFont="1" applyFill="1" applyBorder="1" applyAlignment="1">
      <alignment horizontal="left" vertical="center"/>
    </xf>
    <xf numFmtId="0" fontId="26" fillId="6" borderId="2" xfId="0" applyNumberFormat="1" applyFont="1" applyFill="1" applyBorder="1" applyAlignment="1">
      <alignment vertical="center"/>
    </xf>
    <xf numFmtId="183" fontId="27" fillId="10" borderId="2" xfId="0" applyNumberFormat="1" applyFont="1" applyFill="1" applyBorder="1" applyAlignment="1">
      <alignment horizontal="left" vertical="center"/>
    </xf>
    <xf numFmtId="184" fontId="28" fillId="10" borderId="2" xfId="0" applyNumberFormat="1" applyFont="1" applyFill="1" applyBorder="1" applyAlignment="1">
      <alignment horizontal="center" vertical="center"/>
    </xf>
    <xf numFmtId="0" fontId="27" fillId="6" borderId="2" xfId="49" applyFont="1" applyFill="1" applyBorder="1" applyAlignment="1">
      <alignment horizontal="left" vertical="center" wrapText="1"/>
    </xf>
    <xf numFmtId="0" fontId="28" fillId="0" borderId="2" xfId="49" applyFont="1" applyFill="1" applyBorder="1" applyAlignment="1">
      <alignment horizontal="center" vertical="center" wrapText="1"/>
    </xf>
    <xf numFmtId="181" fontId="32" fillId="0" borderId="2" xfId="0" applyNumberFormat="1" applyFont="1" applyFill="1" applyBorder="1" applyAlignment="1">
      <alignment horizontal="center" vertical="center"/>
    </xf>
    <xf numFmtId="182" fontId="28" fillId="0" borderId="2" xfId="0" applyNumberFormat="1" applyFont="1" applyFill="1" applyBorder="1" applyAlignment="1">
      <alignment horizontal="center"/>
    </xf>
    <xf numFmtId="0" fontId="28" fillId="0" borderId="3" xfId="0" applyFont="1" applyFill="1" applyBorder="1" applyAlignment="1">
      <alignment horizontal="left" vertical="center"/>
    </xf>
    <xf numFmtId="0" fontId="26" fillId="0" borderId="15" xfId="0" applyFont="1" applyFill="1" applyBorder="1" applyAlignment="1">
      <alignment horizontal="center" vertical="center"/>
    </xf>
    <xf numFmtId="0" fontId="26" fillId="0" borderId="2" xfId="0" applyNumberFormat="1" applyFont="1" applyFill="1" applyBorder="1" applyAlignment="1">
      <alignment vertical="center"/>
    </xf>
    <xf numFmtId="0" fontId="27" fillId="12" borderId="2" xfId="0" applyFont="1" applyFill="1" applyBorder="1" applyAlignment="1">
      <alignment horizontal="left" vertical="center"/>
    </xf>
    <xf numFmtId="0" fontId="27" fillId="0" borderId="2" xfId="0" applyFont="1" applyFill="1" applyBorder="1" applyAlignment="1">
      <alignment vertical="center" wrapText="1"/>
    </xf>
    <xf numFmtId="0" fontId="27" fillId="18" borderId="2" xfId="0" applyFont="1" applyFill="1" applyBorder="1" applyAlignment="1">
      <alignment horizontal="left" vertical="center"/>
    </xf>
    <xf numFmtId="181" fontId="28" fillId="6" borderId="2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6" fillId="16" borderId="2" xfId="0" applyFont="1" applyFill="1" applyBorder="1" applyAlignment="1">
      <alignment horizontal="center" vertical="center"/>
    </xf>
    <xf numFmtId="179" fontId="27" fillId="16" borderId="2" xfId="0" applyNumberFormat="1" applyFont="1" applyFill="1" applyBorder="1" applyAlignment="1">
      <alignment horizontal="center" vertical="center"/>
    </xf>
    <xf numFmtId="0" fontId="27" fillId="19" borderId="2" xfId="0" applyFont="1" applyFill="1" applyBorder="1" applyAlignment="1">
      <alignment horizontal="left" vertical="center"/>
    </xf>
    <xf numFmtId="0" fontId="27" fillId="19" borderId="2" xfId="0" applyFont="1" applyFill="1" applyBorder="1" applyAlignment="1">
      <alignment vertical="center"/>
    </xf>
    <xf numFmtId="0" fontId="27" fillId="19" borderId="2" xfId="0" applyFont="1" applyFill="1" applyBorder="1" applyAlignment="1">
      <alignment horizontal="center"/>
    </xf>
    <xf numFmtId="0" fontId="27" fillId="19" borderId="2" xfId="0" applyFont="1" applyFill="1" applyBorder="1" applyAlignment="1">
      <alignment horizontal="center" vertical="center"/>
    </xf>
    <xf numFmtId="0" fontId="28" fillId="19" borderId="2" xfId="0" applyFont="1" applyFill="1" applyBorder="1" applyAlignment="1">
      <alignment horizontal="center"/>
    </xf>
    <xf numFmtId="182" fontId="27" fillId="19" borderId="2" xfId="0" applyNumberFormat="1" applyFont="1" applyFill="1" applyBorder="1" applyAlignment="1">
      <alignment horizontal="center" vertical="center"/>
    </xf>
    <xf numFmtId="182" fontId="27" fillId="19" borderId="3" xfId="0" applyNumberFormat="1" applyFont="1" applyFill="1" applyBorder="1" applyAlignment="1">
      <alignment horizontal="center" vertical="center"/>
    </xf>
    <xf numFmtId="0" fontId="27" fillId="19" borderId="37" xfId="0" applyFont="1" applyFill="1" applyBorder="1" applyAlignment="1">
      <alignment horizontal="left" vertical="center"/>
    </xf>
    <xf numFmtId="0" fontId="26" fillId="6" borderId="0" xfId="0" applyFont="1" applyFill="1">
      <alignment vertical="center"/>
    </xf>
    <xf numFmtId="0" fontId="28" fillId="6" borderId="2" xfId="0" applyNumberFormat="1" applyFont="1" applyFill="1" applyBorder="1" applyAlignment="1">
      <alignment horizontal="center" vertical="center"/>
    </xf>
    <xf numFmtId="181" fontId="27" fillId="0" borderId="2" xfId="0" applyNumberFormat="1" applyFont="1" applyFill="1" applyBorder="1" applyAlignment="1">
      <alignment horizontal="center"/>
    </xf>
    <xf numFmtId="0" fontId="28" fillId="20" borderId="2" xfId="0" applyFont="1" applyFill="1" applyBorder="1" applyAlignment="1">
      <alignment horizontal="left" vertical="center"/>
    </xf>
    <xf numFmtId="0" fontId="28" fillId="20" borderId="2" xfId="0" applyFont="1" applyFill="1" applyBorder="1" applyAlignment="1">
      <alignment horizontal="left" vertical="center" wrapText="1"/>
    </xf>
    <xf numFmtId="179" fontId="28" fillId="20" borderId="2" xfId="0" applyNumberFormat="1" applyFont="1" applyFill="1" applyBorder="1" applyAlignment="1">
      <alignment horizontal="center" vertical="center" wrapText="1"/>
    </xf>
    <xf numFmtId="179" fontId="28" fillId="20" borderId="2" xfId="0" applyNumberFormat="1" applyFont="1" applyFill="1" applyBorder="1" applyAlignment="1">
      <alignment horizontal="center" vertical="center"/>
    </xf>
    <xf numFmtId="0" fontId="28" fillId="20" borderId="0" xfId="0" applyFont="1" applyFill="1" applyBorder="1" applyAlignment="1">
      <alignment vertical="center"/>
    </xf>
    <xf numFmtId="181" fontId="28" fillId="0" borderId="2" xfId="0" applyNumberFormat="1" applyFont="1" applyFill="1" applyBorder="1" applyAlignment="1">
      <alignment horizontal="center"/>
    </xf>
    <xf numFmtId="0" fontId="27" fillId="21" borderId="2" xfId="0" applyFont="1" applyFill="1" applyBorder="1" applyAlignment="1">
      <alignment vertical="center"/>
    </xf>
    <xf numFmtId="0" fontId="27" fillId="21" borderId="2" xfId="0" applyFont="1" applyFill="1" applyBorder="1" applyAlignment="1">
      <alignment horizontal="left" vertical="center"/>
    </xf>
    <xf numFmtId="0" fontId="27" fillId="6" borderId="2" xfId="0" applyFont="1" applyFill="1" applyBorder="1">
      <alignment vertical="center"/>
    </xf>
    <xf numFmtId="182" fontId="28" fillId="0" borderId="18" xfId="0" applyNumberFormat="1" applyFont="1" applyFill="1" applyBorder="1" applyAlignment="1">
      <alignment horizontal="center" vertical="center"/>
    </xf>
    <xf numFmtId="0" fontId="27" fillId="0" borderId="23" xfId="0" applyFont="1" applyFill="1" applyBorder="1" applyAlignment="1">
      <alignment horizontal="center" vertical="center"/>
    </xf>
    <xf numFmtId="0" fontId="28" fillId="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181" fontId="28" fillId="3" borderId="2" xfId="0" applyNumberFormat="1" applyFont="1" applyFill="1" applyBorder="1" applyAlignment="1">
      <alignment horizontal="center" vertical="center"/>
    </xf>
    <xf numFmtId="180" fontId="18" fillId="3" borderId="2" xfId="0" applyNumberFormat="1" applyFont="1" applyFill="1" applyBorder="1" applyAlignment="1">
      <alignment horizontal="left" vertical="center"/>
    </xf>
    <xf numFmtId="0" fontId="4" fillId="0" borderId="2" xfId="0" applyNumberFormat="1" applyFont="1" applyFill="1" applyBorder="1" applyAlignment="1">
      <alignment horizontal="center"/>
    </xf>
    <xf numFmtId="181" fontId="4" fillId="0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/>
    </xf>
    <xf numFmtId="0" fontId="1" fillId="0" borderId="2" xfId="49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/>
    </xf>
    <xf numFmtId="0" fontId="17" fillId="0" borderId="2" xfId="0" applyNumberFormat="1" applyFont="1" applyFill="1" applyBorder="1" applyAlignment="1">
      <alignment horizontal="center" vertical="center"/>
    </xf>
    <xf numFmtId="182" fontId="9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/>
    </xf>
    <xf numFmtId="0" fontId="1" fillId="13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1" fontId="12" fillId="0" borderId="2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12" borderId="2" xfId="0" applyFont="1" applyFill="1" applyBorder="1" applyAlignment="1">
      <alignment horizontal="left" vertical="center"/>
    </xf>
    <xf numFmtId="182" fontId="12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/>
    <xf numFmtId="0" fontId="1" fillId="19" borderId="2" xfId="0" applyFont="1" applyFill="1" applyBorder="1" applyAlignment="1">
      <alignment vertical="center"/>
    </xf>
    <xf numFmtId="0" fontId="1" fillId="19" borderId="14" xfId="0" applyFont="1" applyFill="1" applyBorder="1" applyAlignment="1">
      <alignment horizontal="left" vertical="center"/>
    </xf>
    <xf numFmtId="0" fontId="1" fillId="0" borderId="9" xfId="0" applyNumberFormat="1" applyFont="1" applyFill="1" applyBorder="1" applyAlignment="1">
      <alignment horizontal="center" vertical="center"/>
    </xf>
    <xf numFmtId="182" fontId="1" fillId="0" borderId="9" xfId="0" applyNumberFormat="1" applyFont="1" applyFill="1" applyBorder="1" applyAlignment="1">
      <alignment horizontal="center" vertical="center"/>
    </xf>
    <xf numFmtId="183" fontId="1" fillId="0" borderId="9" xfId="0" applyNumberFormat="1" applyFont="1" applyFill="1" applyBorder="1" applyAlignment="1">
      <alignment horizontal="left" vertical="center"/>
    </xf>
    <xf numFmtId="0" fontId="3" fillId="0" borderId="9" xfId="0" applyFont="1" applyFill="1" applyBorder="1" applyAlignment="1"/>
    <xf numFmtId="0" fontId="1" fillId="19" borderId="3" xfId="0" applyFont="1" applyFill="1" applyBorder="1" applyAlignment="1">
      <alignment horizontal="left" vertical="center"/>
    </xf>
    <xf numFmtId="180" fontId="4" fillId="0" borderId="2" xfId="0" applyNumberFormat="1" applyFont="1" applyFill="1" applyBorder="1" applyAlignment="1">
      <alignment horizontal="left" vertical="center"/>
    </xf>
    <xf numFmtId="0" fontId="4" fillId="0" borderId="2" xfId="49" applyFont="1" applyFill="1" applyBorder="1" applyAlignment="1">
      <alignment horizontal="center" vertical="center" wrapText="1"/>
    </xf>
    <xf numFmtId="0" fontId="20" fillId="0" borderId="2" xfId="49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left" vertical="center"/>
    </xf>
    <xf numFmtId="185" fontId="27" fillId="0" borderId="2" xfId="59" applyNumberFormat="1" applyFont="1" applyFill="1" applyBorder="1" applyAlignment="1">
      <alignment horizontal="left" vertical="center" wrapText="1"/>
    </xf>
    <xf numFmtId="179" fontId="27" fillId="3" borderId="2" xfId="0" applyNumberFormat="1" applyFont="1" applyFill="1" applyBorder="1" applyAlignment="1">
      <alignment horizontal="center" vertical="center" wrapText="1"/>
    </xf>
    <xf numFmtId="185" fontId="29" fillId="0" borderId="2" xfId="59" applyNumberFormat="1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center" vertical="center"/>
    </xf>
    <xf numFmtId="181" fontId="1" fillId="6" borderId="2" xfId="0" applyNumberFormat="1" applyFont="1" applyFill="1" applyBorder="1" applyAlignment="1">
      <alignment horizontal="center" vertical="center"/>
    </xf>
    <xf numFmtId="183" fontId="1" fillId="6" borderId="2" xfId="0" applyNumberFormat="1" applyFont="1" applyFill="1" applyBorder="1" applyAlignment="1">
      <alignment horizontal="left" vertical="center"/>
    </xf>
    <xf numFmtId="0" fontId="1" fillId="0" borderId="2" xfId="49" applyFont="1" applyFill="1" applyBorder="1" applyAlignment="1">
      <alignment horizontal="left" vertical="center" wrapText="1"/>
    </xf>
    <xf numFmtId="0" fontId="34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 vertical="center"/>
    </xf>
    <xf numFmtId="0" fontId="36" fillId="3" borderId="9" xfId="0" applyNumberFormat="1" applyFont="1" applyFill="1" applyBorder="1" applyAlignment="1">
      <alignment horizontal="left" vertical="center" wrapText="1"/>
    </xf>
    <xf numFmtId="0" fontId="37" fillId="3" borderId="2" xfId="0" applyNumberFormat="1" applyFont="1" applyFill="1" applyBorder="1" applyAlignment="1">
      <alignment horizontal="left" vertical="center"/>
    </xf>
    <xf numFmtId="179" fontId="37" fillId="3" borderId="2" xfId="0" applyNumberFormat="1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left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vertical="center"/>
    </xf>
    <xf numFmtId="0" fontId="1" fillId="16" borderId="2" xfId="49" applyFont="1" applyFill="1" applyBorder="1" applyAlignment="1">
      <alignment horizontal="left" vertical="center" wrapText="1"/>
    </xf>
    <xf numFmtId="0" fontId="12" fillId="16" borderId="2" xfId="0" applyFont="1" applyFill="1" applyBorder="1" applyAlignment="1">
      <alignment horizontal="center" vertical="center"/>
    </xf>
    <xf numFmtId="182" fontId="1" fillId="16" borderId="2" xfId="0" applyNumberFormat="1" applyFont="1" applyFill="1" applyBorder="1" applyAlignment="1">
      <alignment horizontal="center" vertical="center"/>
    </xf>
    <xf numFmtId="181" fontId="1" fillId="16" borderId="2" xfId="0" applyNumberFormat="1" applyFont="1" applyFill="1" applyBorder="1" applyAlignment="1">
      <alignment horizontal="center" vertical="center"/>
    </xf>
    <xf numFmtId="183" fontId="1" fillId="16" borderId="2" xfId="0" applyNumberFormat="1" applyFont="1" applyFill="1" applyBorder="1" applyAlignment="1">
      <alignment horizontal="left" vertical="center"/>
    </xf>
    <xf numFmtId="0" fontId="7" fillId="16" borderId="2" xfId="0" applyFont="1" applyFill="1" applyBorder="1" applyAlignment="1">
      <alignment horizontal="left" vertical="center"/>
    </xf>
    <xf numFmtId="0" fontId="1" fillId="16" borderId="9" xfId="0" applyFont="1" applyFill="1" applyBorder="1" applyAlignment="1">
      <alignment horizontal="center" vertical="center"/>
    </xf>
    <xf numFmtId="182" fontId="12" fillId="16" borderId="2" xfId="0" applyNumberFormat="1" applyFont="1" applyFill="1" applyBorder="1" applyAlignment="1">
      <alignment horizontal="center" vertical="center"/>
    </xf>
    <xf numFmtId="181" fontId="12" fillId="16" borderId="2" xfId="0" applyNumberFormat="1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18" fillId="4" borderId="2" xfId="49" applyFont="1" applyFill="1" applyBorder="1" applyAlignment="1">
      <alignment horizontal="left" vertical="center" wrapText="1"/>
    </xf>
    <xf numFmtId="0" fontId="38" fillId="4" borderId="2" xfId="49" applyFont="1" applyFill="1" applyBorder="1" applyAlignment="1">
      <alignment horizontal="center" vertical="center" wrapText="1"/>
    </xf>
    <xf numFmtId="0" fontId="20" fillId="4" borderId="10" xfId="49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vertical="center"/>
    </xf>
    <xf numFmtId="183" fontId="1" fillId="0" borderId="10" xfId="0" applyNumberFormat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left" vertical="center"/>
    </xf>
    <xf numFmtId="0" fontId="1" fillId="22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/>
    </xf>
    <xf numFmtId="0" fontId="1" fillId="22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10" xfId="49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/>
    </xf>
    <xf numFmtId="184" fontId="37" fillId="6" borderId="2" xfId="0" applyNumberFormat="1" applyFont="1" applyFill="1" applyBorder="1" applyAlignment="1">
      <alignment horizontal="center" vertical="center"/>
    </xf>
    <xf numFmtId="182" fontId="1" fillId="0" borderId="3" xfId="0" applyNumberFormat="1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left" vertical="center"/>
    </xf>
    <xf numFmtId="0" fontId="1" fillId="0" borderId="2" xfId="0" applyNumberFormat="1" applyFont="1" applyFill="1" applyBorder="1" applyAlignment="1">
      <alignment vertical="center"/>
    </xf>
    <xf numFmtId="0" fontId="18" fillId="4" borderId="2" xfId="49" applyFont="1" applyFill="1" applyBorder="1" applyAlignment="1">
      <alignment horizontal="center" vertical="center" wrapText="1"/>
    </xf>
    <xf numFmtId="182" fontId="1" fillId="0" borderId="2" xfId="0" applyNumberFormat="1" applyFont="1" applyFill="1" applyBorder="1" applyAlignment="1">
      <alignment horizontal="center"/>
    </xf>
    <xf numFmtId="0" fontId="1" fillId="0" borderId="14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9" fillId="0" borderId="2" xfId="0" applyFont="1" applyFill="1" applyBorder="1" applyAlignment="1">
      <alignment horizontal="left"/>
    </xf>
    <xf numFmtId="0" fontId="1" fillId="0" borderId="3" xfId="0" applyFont="1" applyFill="1" applyBorder="1" applyAlignment="1"/>
    <xf numFmtId="0" fontId="1" fillId="0" borderId="2" xfId="0" applyNumberFormat="1" applyFont="1" applyFill="1" applyBorder="1" applyAlignment="1">
      <alignment horizontal="center"/>
    </xf>
    <xf numFmtId="0" fontId="39" fillId="0" borderId="2" xfId="0" applyFont="1" applyFill="1" applyBorder="1">
      <alignment vertical="center"/>
    </xf>
    <xf numFmtId="0" fontId="12" fillId="0" borderId="2" xfId="49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left" vertical="center"/>
    </xf>
    <xf numFmtId="0" fontId="1" fillId="10" borderId="2" xfId="0" applyFont="1" applyFill="1" applyBorder="1" applyAlignment="1">
      <alignment horizontal="center" vertical="center"/>
    </xf>
    <xf numFmtId="0" fontId="1" fillId="23" borderId="2" xfId="0" applyFont="1" applyFill="1" applyBorder="1" applyAlignment="1">
      <alignment horizontal="left" vertical="center"/>
    </xf>
    <xf numFmtId="0" fontId="1" fillId="23" borderId="2" xfId="49" applyFont="1" applyFill="1" applyBorder="1" applyAlignment="1">
      <alignment horizontal="left" vertical="center" wrapText="1"/>
    </xf>
    <xf numFmtId="0" fontId="1" fillId="23" borderId="2" xfId="0" applyFont="1" applyFill="1" applyBorder="1" applyAlignment="1">
      <alignment horizontal="center" vertical="center"/>
    </xf>
    <xf numFmtId="182" fontId="1" fillId="23" borderId="2" xfId="0" applyNumberFormat="1" applyFont="1" applyFill="1" applyBorder="1" applyAlignment="1">
      <alignment horizontal="center" vertical="center"/>
    </xf>
    <xf numFmtId="183" fontId="7" fillId="23" borderId="2" xfId="0" applyNumberFormat="1" applyFont="1" applyFill="1" applyBorder="1" applyAlignment="1">
      <alignment horizontal="left" vertical="center"/>
    </xf>
    <xf numFmtId="0" fontId="7" fillId="23" borderId="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/>
    </xf>
    <xf numFmtId="24" fontId="1" fillId="0" borderId="2" xfId="0" applyNumberFormat="1" applyFont="1" applyFill="1" applyBorder="1" applyAlignment="1">
      <alignment horizontal="center" vertical="center"/>
    </xf>
    <xf numFmtId="181" fontId="7" fillId="0" borderId="2" xfId="0" applyNumberFormat="1" applyFont="1" applyFill="1" applyBorder="1" applyAlignment="1">
      <alignment horizontal="left" vertical="center"/>
    </xf>
    <xf numFmtId="182" fontId="12" fillId="0" borderId="2" xfId="0" applyNumberFormat="1" applyFont="1" applyFill="1" applyBorder="1" applyAlignment="1">
      <alignment horizontal="center"/>
    </xf>
    <xf numFmtId="182" fontId="12" fillId="6" borderId="2" xfId="0" applyNumberFormat="1" applyFont="1" applyFill="1" applyBorder="1" applyAlignment="1">
      <alignment horizontal="center" vertical="center"/>
    </xf>
    <xf numFmtId="182" fontId="12" fillId="6" borderId="3" xfId="0" applyNumberFormat="1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182" fontId="12" fillId="0" borderId="3" xfId="0" applyNumberFormat="1" applyFont="1" applyFill="1" applyBorder="1" applyAlignment="1">
      <alignment horizontal="center" vertical="center"/>
    </xf>
    <xf numFmtId="180" fontId="18" fillId="3" borderId="2" xfId="0" applyNumberFormat="1" applyFont="1" applyFill="1" applyBorder="1" applyAlignment="1">
      <alignment vertical="center"/>
    </xf>
    <xf numFmtId="0" fontId="4" fillId="4" borderId="2" xfId="49" applyFont="1" applyFill="1" applyBorder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181" fontId="1" fillId="0" borderId="0" xfId="0" applyNumberFormat="1" applyFont="1" applyFill="1" applyAlignment="1">
      <alignment horizontal="center" vertical="center"/>
    </xf>
    <xf numFmtId="182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1" fillId="0" borderId="13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181" fontId="1" fillId="0" borderId="2" xfId="0" applyNumberFormat="1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179" fontId="40" fillId="0" borderId="2" xfId="0" applyNumberFormat="1" applyFont="1" applyFill="1" applyBorder="1" applyAlignment="1">
      <alignment horizontal="center" vertical="center"/>
    </xf>
    <xf numFmtId="0" fontId="1" fillId="0" borderId="2" xfId="49" applyFont="1" applyFill="1" applyBorder="1" applyAlignment="1">
      <alignment vertical="center" wrapText="1"/>
    </xf>
    <xf numFmtId="0" fontId="41" fillId="0" borderId="2" xfId="0" applyFont="1" applyFill="1" applyBorder="1">
      <alignment vertical="center"/>
    </xf>
    <xf numFmtId="0" fontId="1" fillId="0" borderId="3" xfId="49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42" fillId="0" borderId="2" xfId="0" applyFont="1" applyBorder="1" applyAlignment="1">
      <alignment vertical="center"/>
    </xf>
    <xf numFmtId="181" fontId="1" fillId="0" borderId="2" xfId="49" applyNumberFormat="1" applyFont="1" applyFill="1" applyBorder="1" applyAlignment="1">
      <alignment horizontal="center" vertical="center" wrapText="1"/>
    </xf>
    <xf numFmtId="181" fontId="12" fillId="0" borderId="2" xfId="49" applyNumberFormat="1" applyFont="1" applyFill="1" applyBorder="1" applyAlignment="1">
      <alignment horizontal="center" vertical="center" wrapText="1"/>
    </xf>
    <xf numFmtId="0" fontId="7" fillId="0" borderId="2" xfId="49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vertical="center"/>
    </xf>
    <xf numFmtId="0" fontId="1" fillId="12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181" fontId="1" fillId="12" borderId="2" xfId="0" applyNumberFormat="1" applyFont="1" applyFill="1" applyBorder="1" applyAlignment="1">
      <alignment horizontal="center" vertical="center"/>
    </xf>
    <xf numFmtId="182" fontId="12" fillId="12" borderId="2" xfId="0" applyNumberFormat="1" applyFont="1" applyFill="1" applyBorder="1" applyAlignment="1">
      <alignment horizontal="center" vertical="center"/>
    </xf>
    <xf numFmtId="182" fontId="1" fillId="12" borderId="2" xfId="0" applyNumberFormat="1" applyFont="1" applyFill="1" applyBorder="1" applyAlignment="1">
      <alignment horizontal="center" vertical="center"/>
    </xf>
    <xf numFmtId="183" fontId="1" fillId="12" borderId="2" xfId="0" applyNumberFormat="1" applyFont="1" applyFill="1" applyBorder="1" applyAlignment="1">
      <alignment horizontal="left" vertical="center"/>
    </xf>
    <xf numFmtId="184" fontId="1" fillId="0" borderId="2" xfId="0" applyNumberFormat="1" applyFont="1" applyFill="1" applyBorder="1" applyAlignment="1">
      <alignment horizontal="center" vertical="center"/>
    </xf>
    <xf numFmtId="184" fontId="3" fillId="0" borderId="2" xfId="0" applyNumberFormat="1" applyFont="1" applyFill="1" applyBorder="1" applyAlignment="1">
      <alignment horizontal="center" vertical="center"/>
    </xf>
    <xf numFmtId="0" fontId="1" fillId="25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/>
    <xf numFmtId="184" fontId="37" fillId="3" borderId="2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9" fillId="0" borderId="0" xfId="0" applyFont="1" applyFill="1" applyAlignment="1"/>
    <xf numFmtId="0" fontId="9" fillId="0" borderId="2" xfId="0" applyFont="1" applyFill="1" applyBorder="1" applyAlignment="1"/>
    <xf numFmtId="0" fontId="4" fillId="4" borderId="3" xfId="49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vertical="center"/>
    </xf>
    <xf numFmtId="0" fontId="12" fillId="6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/>
    </xf>
    <xf numFmtId="0" fontId="1" fillId="17" borderId="2" xfId="0" applyFont="1" applyFill="1" applyBorder="1" applyAlignment="1">
      <alignment vertical="center"/>
    </xf>
    <xf numFmtId="0" fontId="1" fillId="17" borderId="2" xfId="49" applyFont="1" applyFill="1" applyBorder="1" applyAlignment="1">
      <alignment horizontal="left" vertical="center" wrapText="1"/>
    </xf>
    <xf numFmtId="0" fontId="1" fillId="17" borderId="2" xfId="0" applyFont="1" applyFill="1" applyBorder="1" applyAlignment="1">
      <alignment horizontal="left" vertical="center"/>
    </xf>
    <xf numFmtId="0" fontId="1" fillId="17" borderId="2" xfId="0" applyFont="1" applyFill="1" applyBorder="1" applyAlignment="1">
      <alignment horizontal="center" vertical="center"/>
    </xf>
    <xf numFmtId="180" fontId="1" fillId="17" borderId="2" xfId="49" applyNumberFormat="1" applyFont="1" applyFill="1" applyBorder="1" applyAlignment="1">
      <alignment horizontal="center" vertical="center" wrapText="1"/>
    </xf>
    <xf numFmtId="24" fontId="1" fillId="17" borderId="2" xfId="0" applyNumberFormat="1" applyFont="1" applyFill="1" applyBorder="1" applyAlignment="1">
      <alignment horizontal="center"/>
    </xf>
    <xf numFmtId="0" fontId="1" fillId="17" borderId="2" xfId="49" applyFont="1" applyFill="1" applyBorder="1" applyAlignment="1">
      <alignment horizontal="center" vertical="center" wrapText="1"/>
    </xf>
    <xf numFmtId="181" fontId="1" fillId="17" borderId="2" xfId="0" applyNumberFormat="1" applyFont="1" applyFill="1" applyBorder="1" applyAlignment="1">
      <alignment horizontal="center" vertical="center"/>
    </xf>
    <xf numFmtId="182" fontId="12" fillId="17" borderId="2" xfId="0" applyNumberFormat="1" applyFont="1" applyFill="1" applyBorder="1" applyAlignment="1">
      <alignment horizontal="center" vertical="center"/>
    </xf>
    <xf numFmtId="182" fontId="1" fillId="17" borderId="2" xfId="0" applyNumberFormat="1" applyFont="1" applyFill="1" applyBorder="1" applyAlignment="1">
      <alignment horizontal="center" vertical="center"/>
    </xf>
    <xf numFmtId="183" fontId="7" fillId="17" borderId="10" xfId="0" applyNumberFormat="1" applyFont="1" applyFill="1" applyBorder="1" applyAlignment="1">
      <alignment horizontal="left" vertical="center"/>
    </xf>
    <xf numFmtId="0" fontId="3" fillId="17" borderId="2" xfId="0" applyFont="1" applyFill="1" applyBorder="1" applyAlignment="1">
      <alignment vertical="center"/>
    </xf>
    <xf numFmtId="0" fontId="1" fillId="0" borderId="44" xfId="0" applyFont="1" applyFill="1" applyBorder="1" applyAlignment="1">
      <alignment vertical="center"/>
    </xf>
    <xf numFmtId="0" fontId="7" fillId="0" borderId="37" xfId="0" applyFont="1" applyFill="1" applyBorder="1" applyAlignment="1">
      <alignment horizontal="left" vertical="center"/>
    </xf>
    <xf numFmtId="0" fontId="1" fillId="0" borderId="16" xfId="0" applyFont="1" applyFill="1" applyBorder="1" applyAlignment="1">
      <alignment vertical="center"/>
    </xf>
    <xf numFmtId="0" fontId="1" fillId="26" borderId="2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vertical="center"/>
    </xf>
    <xf numFmtId="0" fontId="17" fillId="0" borderId="2" xfId="49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/>
    </xf>
    <xf numFmtId="181" fontId="5" fillId="0" borderId="2" xfId="0" applyNumberFormat="1" applyFont="1" applyFill="1" applyBorder="1" applyAlignment="1">
      <alignment horizontal="center" vertical="center"/>
    </xf>
    <xf numFmtId="181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82" fontId="5" fillId="3" borderId="2" xfId="0" applyNumberFormat="1" applyFont="1" applyFill="1" applyBorder="1" applyAlignment="1">
      <alignment horizontal="center" vertical="center"/>
    </xf>
    <xf numFmtId="182" fontId="17" fillId="0" borderId="2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43" fillId="0" borderId="2" xfId="0" applyFont="1" applyFill="1" applyBorder="1" applyAlignment="1">
      <alignment vertical="center"/>
    </xf>
    <xf numFmtId="182" fontId="4" fillId="0" borderId="2" xfId="0" applyNumberFormat="1" applyFont="1" applyFill="1" applyBorder="1" applyAlignment="1">
      <alignment horizontal="center" vertical="center"/>
    </xf>
    <xf numFmtId="0" fontId="44" fillId="0" borderId="2" xfId="0" applyNumberFormat="1" applyFont="1" applyFill="1" applyBorder="1" applyAlignment="1"/>
    <xf numFmtId="0" fontId="9" fillId="0" borderId="2" xfId="0" applyFont="1" applyFill="1" applyBorder="1" applyAlignment="1">
      <alignment horizontal="center"/>
    </xf>
    <xf numFmtId="0" fontId="17" fillId="6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center"/>
    </xf>
    <xf numFmtId="0" fontId="43" fillId="0" borderId="2" xfId="0" applyFont="1" applyFill="1" applyBorder="1" applyAlignment="1"/>
    <xf numFmtId="0" fontId="9" fillId="0" borderId="2" xfId="0" applyFont="1" applyFill="1" applyBorder="1" applyAlignment="1">
      <alignment horizontal="left" vertical="center"/>
    </xf>
    <xf numFmtId="0" fontId="1" fillId="0" borderId="10" xfId="49" applyFont="1" applyFill="1" applyBorder="1" applyAlignment="1">
      <alignment vertical="center" wrapText="1"/>
    </xf>
    <xf numFmtId="0" fontId="9" fillId="10" borderId="2" xfId="0" applyFont="1" applyFill="1" applyBorder="1" applyAlignment="1">
      <alignment horizontal="left"/>
    </xf>
    <xf numFmtId="0" fontId="1" fillId="0" borderId="13" xfId="0" applyFont="1" applyFill="1" applyBorder="1" applyAlignment="1">
      <alignment horizontal="left"/>
    </xf>
    <xf numFmtId="0" fontId="12" fillId="0" borderId="13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181" fontId="1" fillId="0" borderId="13" xfId="0" applyNumberFormat="1" applyFont="1" applyFill="1" applyBorder="1" applyAlignment="1">
      <alignment horizontal="center" vertical="center"/>
    </xf>
    <xf numFmtId="182" fontId="1" fillId="0" borderId="13" xfId="0" applyNumberFormat="1" applyFont="1" applyFill="1" applyBorder="1" applyAlignment="1">
      <alignment horizontal="center" vertical="center"/>
    </xf>
    <xf numFmtId="185" fontId="45" fillId="0" borderId="10" xfId="59" applyNumberFormat="1" applyFont="1" applyFill="1" applyBorder="1" applyAlignment="1">
      <alignment horizontal="left" vertical="center" wrapText="1"/>
    </xf>
    <xf numFmtId="185" fontId="46" fillId="0" borderId="2" xfId="59" applyNumberFormat="1" applyFont="1" applyFill="1" applyBorder="1" applyAlignment="1">
      <alignment horizontal="left" vertical="center" wrapText="1"/>
    </xf>
    <xf numFmtId="185" fontId="44" fillId="0" borderId="2" xfId="59" applyNumberFormat="1" applyFont="1" applyFill="1" applyBorder="1" applyAlignment="1">
      <alignment horizontal="left" vertical="center" wrapText="1"/>
    </xf>
    <xf numFmtId="180" fontId="46" fillId="0" borderId="2" xfId="59" applyNumberFormat="1" applyFont="1" applyFill="1" applyBorder="1" applyAlignment="1">
      <alignment horizontal="left" vertical="center" wrapText="1"/>
    </xf>
    <xf numFmtId="185" fontId="46" fillId="0" borderId="48" xfId="59" applyNumberFormat="1" applyFont="1" applyFill="1" applyBorder="1" applyAlignment="1">
      <alignment horizontal="left" vertical="center" wrapText="1"/>
    </xf>
    <xf numFmtId="180" fontId="46" fillId="0" borderId="3" xfId="59" applyNumberFormat="1" applyFont="1" applyFill="1" applyBorder="1" applyAlignment="1">
      <alignment horizontal="left" vertical="center" wrapText="1"/>
    </xf>
    <xf numFmtId="178" fontId="47" fillId="6" borderId="49" xfId="53" applyFont="1" applyFill="1" applyBorder="1" applyAlignment="1">
      <alignment horizontal="left" vertical="center" wrapText="1"/>
    </xf>
    <xf numFmtId="183" fontId="3" fillId="0" borderId="2" xfId="0" applyNumberFormat="1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center"/>
    </xf>
    <xf numFmtId="0" fontId="43" fillId="0" borderId="3" xfId="0" applyFont="1" applyFill="1" applyBorder="1" applyAlignment="1"/>
    <xf numFmtId="0" fontId="26" fillId="6" borderId="2" xfId="0" applyFont="1" applyFill="1" applyBorder="1">
      <alignment vertical="center"/>
    </xf>
    <xf numFmtId="186" fontId="1" fillId="6" borderId="2" xfId="0" applyNumberFormat="1" applyFont="1" applyFill="1" applyBorder="1" applyAlignment="1">
      <alignment horizontal="center" vertical="center"/>
    </xf>
    <xf numFmtId="181" fontId="1" fillId="6" borderId="2" xfId="0" applyNumberFormat="1" applyFont="1" applyFill="1" applyBorder="1" applyAlignment="1">
      <alignment horizontal="left" vertical="center"/>
    </xf>
    <xf numFmtId="0" fontId="17" fillId="6" borderId="3" xfId="0" applyFont="1" applyFill="1" applyBorder="1" applyAlignment="1">
      <alignment horizontal="left" vertical="center"/>
    </xf>
    <xf numFmtId="182" fontId="1" fillId="6" borderId="3" xfId="0" applyNumberFormat="1" applyFont="1" applyFill="1" applyBorder="1" applyAlignment="1">
      <alignment horizontal="center" vertical="center"/>
    </xf>
    <xf numFmtId="182" fontId="12" fillId="27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/>
    </xf>
    <xf numFmtId="0" fontId="1" fillId="6" borderId="2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1" fillId="6" borderId="3" xfId="0" applyFont="1" applyFill="1" applyBorder="1" applyAlignment="1"/>
    <xf numFmtId="0" fontId="1" fillId="6" borderId="2" xfId="0" applyFont="1" applyFill="1" applyBorder="1" applyAlignment="1"/>
    <xf numFmtId="0" fontId="1" fillId="6" borderId="2" xfId="0" applyNumberFormat="1" applyFont="1" applyFill="1" applyBorder="1" applyAlignment="1">
      <alignment horizontal="center"/>
    </xf>
    <xf numFmtId="181" fontId="12" fillId="6" borderId="2" xfId="0" applyNumberFormat="1" applyFont="1" applyFill="1" applyBorder="1" applyAlignment="1">
      <alignment horizontal="center" vertical="center"/>
    </xf>
    <xf numFmtId="0" fontId="48" fillId="0" borderId="2" xfId="0" applyNumberFormat="1" applyFont="1" applyFill="1" applyBorder="1" applyAlignment="1">
      <alignment horizontal="center"/>
    </xf>
    <xf numFmtId="0" fontId="49" fillId="3" borderId="2" xfId="0" applyNumberFormat="1" applyFont="1" applyFill="1" applyBorder="1" applyAlignment="1">
      <alignment horizontal="center"/>
    </xf>
    <xf numFmtId="0" fontId="20" fillId="3" borderId="2" xfId="0" applyNumberFormat="1" applyFont="1" applyFill="1" applyBorder="1" applyAlignment="1">
      <alignment horizontal="center"/>
    </xf>
    <xf numFmtId="0" fontId="9" fillId="0" borderId="8" xfId="0" applyFont="1" applyFill="1" applyBorder="1" applyAlignment="1">
      <alignment horizontal="left" vertical="center"/>
    </xf>
    <xf numFmtId="0" fontId="50" fillId="0" borderId="2" xfId="0" applyNumberFormat="1" applyFont="1" applyFill="1" applyBorder="1" applyAlignment="1">
      <alignment vertical="center"/>
    </xf>
    <xf numFmtId="0" fontId="9" fillId="0" borderId="9" xfId="0" applyFont="1" applyFill="1" applyBorder="1" applyAlignment="1">
      <alignment horizontal="left" vertical="center"/>
    </xf>
    <xf numFmtId="0" fontId="48" fillId="12" borderId="2" xfId="0" applyNumberFormat="1" applyFont="1" applyFill="1" applyBorder="1" applyAlignment="1">
      <alignment horizontal="center"/>
    </xf>
    <xf numFmtId="0" fontId="1" fillId="15" borderId="2" xfId="0" applyFont="1" applyFill="1" applyBorder="1" applyAlignment="1">
      <alignment horizontal="left" vertical="center"/>
    </xf>
    <xf numFmtId="184" fontId="51" fillId="3" borderId="2" xfId="0" applyNumberFormat="1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0" fontId="28" fillId="6" borderId="2" xfId="0" applyFont="1" applyFill="1" applyBorder="1">
      <alignment vertical="center"/>
    </xf>
    <xf numFmtId="0" fontId="52" fillId="0" borderId="2" xfId="0" applyNumberFormat="1" applyFont="1" applyFill="1" applyBorder="1" applyAlignment="1"/>
    <xf numFmtId="0" fontId="50" fillId="0" borderId="0" xfId="0" applyNumberFormat="1" applyFont="1" applyFill="1" applyAlignment="1"/>
    <xf numFmtId="0" fontId="3" fillId="0" borderId="2" xfId="49" applyFont="1" applyFill="1" applyBorder="1" applyAlignment="1">
      <alignment horizontal="left" vertical="center" wrapText="1"/>
    </xf>
    <xf numFmtId="0" fontId="44" fillId="0" borderId="2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50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14" xfId="0" applyFont="1" applyFill="1" applyBorder="1" applyAlignment="1">
      <alignment horizontal="left" vertical="center"/>
    </xf>
    <xf numFmtId="181" fontId="9" fillId="0" borderId="2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0" fontId="1" fillId="18" borderId="2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/>
    </xf>
    <xf numFmtId="181" fontId="19" fillId="0" borderId="2" xfId="0" applyNumberFormat="1" applyFont="1" applyFill="1" applyBorder="1" applyAlignment="1">
      <alignment horizontal="center" vertical="center"/>
    </xf>
    <xf numFmtId="181" fontId="19" fillId="3" borderId="2" xfId="0" applyNumberFormat="1" applyFont="1" applyFill="1" applyBorder="1" applyAlignment="1">
      <alignment horizontal="center" vertical="center"/>
    </xf>
    <xf numFmtId="182" fontId="19" fillId="3" borderId="2" xfId="0" applyNumberFormat="1" applyFont="1" applyFill="1" applyBorder="1" applyAlignment="1">
      <alignment horizontal="center" vertical="center"/>
    </xf>
    <xf numFmtId="182" fontId="18" fillId="3" borderId="2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/>
    <xf numFmtId="0" fontId="38" fillId="0" borderId="2" xfId="0" applyFont="1" applyBorder="1" applyAlignment="1">
      <alignment vertical="center"/>
    </xf>
    <xf numFmtId="181" fontId="7" fillId="0" borderId="2" xfId="0" applyNumberFormat="1" applyFont="1" applyFill="1" applyBorder="1" applyAlignment="1">
      <alignment horizontal="center" vertical="center"/>
    </xf>
    <xf numFmtId="182" fontId="7" fillId="0" borderId="2" xfId="0" applyNumberFormat="1" applyFont="1" applyFill="1" applyBorder="1" applyAlignment="1">
      <alignment horizontal="center" vertical="center"/>
    </xf>
    <xf numFmtId="0" fontId="53" fillId="0" borderId="2" xfId="0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180" fontId="5" fillId="3" borderId="0" xfId="0" applyNumberFormat="1" applyFont="1" applyFill="1" applyAlignment="1">
      <alignment horizontal="center" vertical="center"/>
    </xf>
    <xf numFmtId="181" fontId="5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4" fillId="4" borderId="2" xfId="49" applyFont="1" applyFill="1" applyBorder="1" applyAlignment="1">
      <alignment horizontal="left" vertical="center" wrapText="1"/>
    </xf>
    <xf numFmtId="0" fontId="1" fillId="19" borderId="13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left" vertical="center"/>
    </xf>
    <xf numFmtId="0" fontId="1" fillId="19" borderId="2" xfId="0" applyFont="1" applyFill="1" applyBorder="1" applyAlignment="1">
      <alignment horizontal="left"/>
    </xf>
    <xf numFmtId="0" fontId="1" fillId="19" borderId="2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/>
    </xf>
    <xf numFmtId="0" fontId="3" fillId="19" borderId="2" xfId="0" applyNumberFormat="1" applyFont="1" applyFill="1" applyBorder="1" applyAlignment="1">
      <alignment horizontal="center" vertical="center"/>
    </xf>
    <xf numFmtId="182" fontId="1" fillId="19" borderId="2" xfId="0" applyNumberFormat="1" applyFont="1" applyFill="1" applyBorder="1" applyAlignment="1">
      <alignment horizontal="center" vertical="center"/>
    </xf>
    <xf numFmtId="181" fontId="1" fillId="19" borderId="2" xfId="0" applyNumberFormat="1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left"/>
    </xf>
    <xf numFmtId="0" fontId="7" fillId="19" borderId="2" xfId="0" applyFont="1" applyFill="1" applyBorder="1" applyAlignment="1">
      <alignment horizontal="left" vertical="center"/>
    </xf>
    <xf numFmtId="0" fontId="17" fillId="19" borderId="2" xfId="0" applyNumberFormat="1" applyFont="1" applyFill="1" applyBorder="1" applyAlignment="1">
      <alignment horizontal="center" vertical="center"/>
    </xf>
    <xf numFmtId="0" fontId="1" fillId="19" borderId="2" xfId="0" applyNumberFormat="1" applyFont="1" applyFill="1" applyBorder="1" applyAlignment="1">
      <alignment horizontal="center" vertical="center"/>
    </xf>
    <xf numFmtId="0" fontId="50" fillId="0" borderId="2" xfId="0" applyNumberFormat="1" applyFont="1" applyFill="1" applyBorder="1" applyAlignment="1"/>
    <xf numFmtId="185" fontId="45" fillId="6" borderId="10" xfId="59" applyNumberFormat="1" applyFont="1" applyFill="1" applyBorder="1" applyAlignment="1">
      <alignment horizontal="left" vertical="center" wrapText="1"/>
    </xf>
    <xf numFmtId="0" fontId="52" fillId="6" borderId="2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left" vertical="center"/>
    </xf>
    <xf numFmtId="0" fontId="5" fillId="4" borderId="8" xfId="49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/>
    </xf>
    <xf numFmtId="0" fontId="9" fillId="6" borderId="2" xfId="0" applyFont="1" applyFill="1" applyBorder="1" applyAlignment="1">
      <alignment horizontal="center"/>
    </xf>
    <xf numFmtId="0" fontId="16" fillId="6" borderId="0" xfId="0" applyFont="1" applyFill="1" applyAlignment="1">
      <alignment vertical="center"/>
    </xf>
    <xf numFmtId="0" fontId="1" fillId="6" borderId="10" xfId="0" applyFont="1" applyFill="1" applyBorder="1" applyAlignment="1">
      <alignment horizontal="left" vertical="center"/>
    </xf>
    <xf numFmtId="0" fontId="9" fillId="6" borderId="14" xfId="0" applyFont="1" applyFill="1" applyBorder="1" applyAlignment="1">
      <alignment horizontal="left"/>
    </xf>
    <xf numFmtId="0" fontId="1" fillId="6" borderId="14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184" fontId="1" fillId="6" borderId="2" xfId="0" applyNumberFormat="1" applyFont="1" applyFill="1" applyBorder="1" applyAlignment="1">
      <alignment horizontal="center" vertical="center"/>
    </xf>
    <xf numFmtId="0" fontId="7" fillId="6" borderId="37" xfId="0" applyFont="1" applyFill="1" applyBorder="1" applyAlignment="1">
      <alignment horizontal="left" vertical="center"/>
    </xf>
    <xf numFmtId="0" fontId="1" fillId="6" borderId="2" xfId="0" applyNumberFormat="1" applyFont="1" applyFill="1" applyBorder="1" applyAlignment="1">
      <alignment vertical="center"/>
    </xf>
    <xf numFmtId="182" fontId="12" fillId="23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/>
    <xf numFmtId="0" fontId="9" fillId="3" borderId="0" xfId="0" applyFont="1" applyFill="1" applyAlignment="1">
      <alignment horizontal="left"/>
    </xf>
    <xf numFmtId="0" fontId="9" fillId="6" borderId="0" xfId="0" applyFont="1" applyFill="1" applyAlignment="1"/>
    <xf numFmtId="0" fontId="9" fillId="10" borderId="0" xfId="0" applyFont="1" applyFill="1" applyAlignment="1">
      <alignment vertical="center"/>
    </xf>
    <xf numFmtId="0" fontId="55" fillId="0" borderId="0" xfId="0" applyFont="1" applyFill="1" applyAlignment="1"/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9" fillId="10" borderId="0" xfId="0" applyFont="1" applyFill="1" applyBorder="1" applyAlignment="1">
      <alignment vertical="center"/>
    </xf>
    <xf numFmtId="0" fontId="1" fillId="3" borderId="0" xfId="0" applyFont="1" applyFill="1" applyAlignment="1"/>
    <xf numFmtId="181" fontId="1" fillId="3" borderId="0" xfId="0" applyNumberFormat="1" applyFont="1" applyFill="1" applyAlignment="1"/>
    <xf numFmtId="0" fontId="20" fillId="3" borderId="0" xfId="0" applyFont="1" applyFill="1" applyAlignment="1">
      <alignment horizontal="center" vertical="center"/>
    </xf>
    <xf numFmtId="180" fontId="1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83" fontId="1" fillId="3" borderId="10" xfId="0" applyNumberFormat="1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 wrapText="1"/>
    </xf>
    <xf numFmtId="14" fontId="1" fillId="3" borderId="3" xfId="0" applyNumberFormat="1" applyFont="1" applyFill="1" applyBorder="1" applyAlignment="1">
      <alignment horizontal="center" vertical="center"/>
    </xf>
    <xf numFmtId="0" fontId="49" fillId="3" borderId="0" xfId="0" applyFont="1" applyFill="1" applyAlignment="1">
      <alignment vertic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/>
    </xf>
    <xf numFmtId="180" fontId="1" fillId="3" borderId="0" xfId="0" applyNumberFormat="1" applyFont="1" applyFill="1" applyAlignment="1">
      <alignment horizontal="center" vertical="center"/>
    </xf>
    <xf numFmtId="14" fontId="1" fillId="6" borderId="2" xfId="0" applyNumberFormat="1" applyFont="1" applyFill="1" applyBorder="1" applyAlignment="1">
      <alignment horizontal="center" vertical="center"/>
    </xf>
    <xf numFmtId="183" fontId="1" fillId="6" borderId="10" xfId="0" applyNumberFormat="1" applyFont="1" applyFill="1" applyBorder="1" applyAlignment="1">
      <alignment horizontal="left" vertical="center"/>
    </xf>
    <xf numFmtId="0" fontId="17" fillId="6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0" fontId="1" fillId="3" borderId="3" xfId="0" applyFont="1" applyFill="1" applyBorder="1" applyAlignment="1"/>
    <xf numFmtId="0" fontId="9" fillId="3" borderId="2" xfId="0" applyFont="1" applyFill="1" applyBorder="1" applyAlignment="1">
      <alignment horizontal="center"/>
    </xf>
    <xf numFmtId="181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/>
    <xf numFmtId="0" fontId="16" fillId="3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vertical="center"/>
    </xf>
    <xf numFmtId="0" fontId="16" fillId="3" borderId="2" xfId="49" applyFont="1" applyFill="1" applyBorder="1" applyAlignment="1">
      <alignment horizontal="center" vertical="center" wrapText="1"/>
    </xf>
    <xf numFmtId="181" fontId="16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/>
    </xf>
    <xf numFmtId="180" fontId="1" fillId="3" borderId="2" xfId="49" applyNumberFormat="1" applyFont="1" applyFill="1" applyBorder="1" applyAlignment="1">
      <alignment horizontal="center" vertical="center" wrapText="1"/>
    </xf>
    <xf numFmtId="181" fontId="1" fillId="3" borderId="2" xfId="49" applyNumberFormat="1" applyFont="1" applyFill="1" applyBorder="1" applyAlignment="1">
      <alignment horizontal="center" vertical="center" wrapText="1"/>
    </xf>
    <xf numFmtId="0" fontId="56" fillId="0" borderId="0" xfId="0" applyFont="1">
      <alignment vertical="center"/>
    </xf>
    <xf numFmtId="0" fontId="1" fillId="3" borderId="37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9" fillId="3" borderId="0" xfId="0" applyNumberFormat="1" applyFont="1" applyFill="1" applyAlignment="1"/>
    <xf numFmtId="0" fontId="1" fillId="3" borderId="13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181" fontId="1" fillId="3" borderId="2" xfId="0" applyNumberFormat="1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 wrapText="1"/>
    </xf>
    <xf numFmtId="181" fontId="1" fillId="3" borderId="10" xfId="0" applyNumberFormat="1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 wrapText="1"/>
    </xf>
    <xf numFmtId="181" fontId="1" fillId="3" borderId="2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181" fontId="1" fillId="3" borderId="3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wrapText="1"/>
    </xf>
    <xf numFmtId="181" fontId="1" fillId="6" borderId="2" xfId="0" applyNumberFormat="1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1" fillId="3" borderId="10" xfId="0" applyFont="1" applyFill="1" applyBorder="1" applyAlignment="1">
      <alignment horizontal="center" vertical="center"/>
    </xf>
    <xf numFmtId="181" fontId="1" fillId="3" borderId="3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3" borderId="43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2" xfId="0" applyNumberFormat="1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 vertical="center"/>
    </xf>
    <xf numFmtId="181" fontId="1" fillId="3" borderId="9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left" vertical="center" wrapText="1"/>
    </xf>
    <xf numFmtId="182" fontId="1" fillId="3" borderId="3" xfId="0" applyNumberFormat="1" applyFont="1" applyFill="1" applyBorder="1" applyAlignment="1">
      <alignment horizontal="center" vertical="center"/>
    </xf>
    <xf numFmtId="182" fontId="1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 wrapText="1"/>
    </xf>
    <xf numFmtId="0" fontId="1" fillId="3" borderId="37" xfId="0" applyFont="1" applyFill="1" applyBorder="1" applyAlignment="1">
      <alignment vertical="center"/>
    </xf>
    <xf numFmtId="0" fontId="1" fillId="3" borderId="43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3" borderId="44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11" borderId="10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vertical="center"/>
    </xf>
    <xf numFmtId="0" fontId="1" fillId="11" borderId="2" xfId="0" applyFont="1" applyFill="1" applyBorder="1" applyAlignment="1">
      <alignment vertical="center"/>
    </xf>
    <xf numFmtId="0" fontId="1" fillId="11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/>
    </xf>
    <xf numFmtId="0" fontId="9" fillId="3" borderId="2" xfId="0" applyNumberFormat="1" applyFont="1" applyFill="1" applyBorder="1" applyAlignment="1">
      <alignment horizontal="center"/>
    </xf>
    <xf numFmtId="0" fontId="9" fillId="3" borderId="3" xfId="0" applyNumberFormat="1" applyFont="1" applyFill="1" applyBorder="1" applyAlignment="1">
      <alignment horizontal="center"/>
    </xf>
    <xf numFmtId="0" fontId="1" fillId="3" borderId="3" xfId="0" applyNumberFormat="1" applyFont="1" applyFill="1" applyBorder="1" applyAlignment="1">
      <alignment horizontal="center"/>
    </xf>
    <xf numFmtId="0" fontId="9" fillId="3" borderId="3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183" fontId="1" fillId="3" borderId="3" xfId="0" applyNumberFormat="1" applyFont="1" applyFill="1" applyBorder="1" applyAlignment="1">
      <alignment horizontal="left" vertical="center"/>
    </xf>
    <xf numFmtId="0" fontId="9" fillId="3" borderId="2" xfId="50" applyNumberFormat="1" applyFont="1" applyFill="1" applyBorder="1" applyAlignment="1">
      <alignment horizontal="center"/>
    </xf>
    <xf numFmtId="0" fontId="9" fillId="3" borderId="2" xfId="0" applyNumberFormat="1" applyFont="1" applyFill="1" applyBorder="1" applyAlignment="1">
      <alignment vertical="center"/>
    </xf>
    <xf numFmtId="0" fontId="1" fillId="3" borderId="9" xfId="0" applyNumberFormat="1" applyFont="1" applyFill="1" applyBorder="1" applyAlignment="1">
      <alignment horizontal="center" vertical="center"/>
    </xf>
    <xf numFmtId="0" fontId="12" fillId="3" borderId="3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1" fillId="3" borderId="15" xfId="0" applyFont="1" applyFill="1" applyBorder="1" applyAlignment="1">
      <alignment horizontal="left" vertical="center" wrapText="1"/>
    </xf>
    <xf numFmtId="0" fontId="1" fillId="28" borderId="3" xfId="0" applyFont="1" applyFill="1" applyBorder="1" applyAlignment="1">
      <alignment vertical="center"/>
    </xf>
    <xf numFmtId="0" fontId="1" fillId="28" borderId="3" xfId="0" applyFont="1" applyFill="1" applyBorder="1" applyAlignment="1">
      <alignment horizontal="left" vertical="center"/>
    </xf>
    <xf numFmtId="0" fontId="9" fillId="6" borderId="15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left" vertical="center" wrapText="1"/>
    </xf>
    <xf numFmtId="0" fontId="1" fillId="6" borderId="10" xfId="0" applyFont="1" applyFill="1" applyBorder="1" applyAlignment="1">
      <alignment horizontal="left" vertical="center" wrapText="1"/>
    </xf>
    <xf numFmtId="0" fontId="3" fillId="6" borderId="10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vertical="center"/>
    </xf>
    <xf numFmtId="0" fontId="1" fillId="3" borderId="44" xfId="49" applyFont="1" applyFill="1" applyBorder="1" applyAlignment="1">
      <alignment horizontal="left" vertical="center" wrapText="1"/>
    </xf>
    <xf numFmtId="0" fontId="1" fillId="3" borderId="3" xfId="49" applyFont="1" applyFill="1" applyBorder="1" applyAlignment="1">
      <alignment horizontal="left" vertical="center" wrapText="1"/>
    </xf>
    <xf numFmtId="182" fontId="1" fillId="3" borderId="2" xfId="49" applyNumberFormat="1" applyFont="1" applyFill="1" applyBorder="1" applyAlignment="1">
      <alignment horizontal="center" vertical="center" wrapText="1"/>
    </xf>
    <xf numFmtId="0" fontId="5" fillId="3" borderId="2" xfId="49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/>
    </xf>
    <xf numFmtId="0" fontId="1" fillId="3" borderId="16" xfId="49" applyFont="1" applyFill="1" applyBorder="1" applyAlignment="1">
      <alignment horizontal="left" vertical="center" wrapText="1"/>
    </xf>
    <xf numFmtId="181" fontId="7" fillId="3" borderId="2" xfId="0" applyNumberFormat="1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1" fillId="0" borderId="44" xfId="0" applyFont="1" applyFill="1" applyBorder="1" applyAlignment="1">
      <alignment horizontal="left" vertical="center"/>
    </xf>
    <xf numFmtId="0" fontId="1" fillId="0" borderId="16" xfId="0" applyFont="1" applyFill="1" applyBorder="1" applyAlignment="1">
      <alignment horizontal="left" vertical="center"/>
    </xf>
    <xf numFmtId="0" fontId="1" fillId="0" borderId="37" xfId="0" applyFont="1" applyFill="1" applyBorder="1" applyAlignment="1">
      <alignment vertical="center"/>
    </xf>
    <xf numFmtId="0" fontId="1" fillId="0" borderId="3" xfId="0" applyNumberFormat="1" applyFont="1" applyFill="1" applyBorder="1" applyAlignment="1">
      <alignment horizontal="center" vertical="center"/>
    </xf>
    <xf numFmtId="183" fontId="1" fillId="0" borderId="3" xfId="0" applyNumberFormat="1" applyFont="1" applyFill="1" applyBorder="1" applyAlignment="1">
      <alignment horizontal="left" vertical="center"/>
    </xf>
    <xf numFmtId="0" fontId="7" fillId="0" borderId="3" xfId="0" applyFont="1" applyFill="1" applyBorder="1" applyAlignment="1">
      <alignment vertical="center"/>
    </xf>
    <xf numFmtId="14" fontId="1" fillId="0" borderId="2" xfId="0" applyNumberFormat="1" applyFont="1" applyFill="1" applyBorder="1" applyAlignment="1">
      <alignment horizontal="left" vertical="center" wrapText="1"/>
    </xf>
    <xf numFmtId="0" fontId="38" fillId="0" borderId="2" xfId="0" applyFont="1" applyFill="1" applyBorder="1" applyAlignment="1">
      <alignment vertical="center"/>
    </xf>
    <xf numFmtId="0" fontId="1" fillId="0" borderId="43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center"/>
    </xf>
    <xf numFmtId="184" fontId="1" fillId="0" borderId="8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182" fontId="1" fillId="0" borderId="2" xfId="0" applyNumberFormat="1" applyFont="1" applyFill="1" applyBorder="1" applyAlignment="1">
      <alignment horizontal="left" vertical="center"/>
    </xf>
    <xf numFmtId="180" fontId="1" fillId="0" borderId="2" xfId="0" applyNumberFormat="1" applyFont="1" applyFill="1" applyBorder="1" applyAlignment="1">
      <alignment horizontal="center" vertical="center"/>
    </xf>
    <xf numFmtId="181" fontId="1" fillId="0" borderId="2" xfId="50" applyNumberFormat="1" applyFont="1" applyFill="1" applyBorder="1" applyAlignment="1">
      <alignment horizontal="center" vertical="center"/>
    </xf>
    <xf numFmtId="179" fontId="34" fillId="0" borderId="2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/>
    </xf>
    <xf numFmtId="181" fontId="1" fillId="0" borderId="2" xfId="0" applyNumberFormat="1" applyFont="1" applyFill="1" applyBorder="1" applyAlignment="1"/>
    <xf numFmtId="0" fontId="1" fillId="0" borderId="2" xfId="50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center" vertical="center"/>
    </xf>
    <xf numFmtId="183" fontId="3" fillId="0" borderId="10" xfId="0" applyNumberFormat="1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181" fontId="1" fillId="0" borderId="2" xfId="0" applyNumberFormat="1" applyFont="1" applyFill="1" applyBorder="1" applyAlignment="1">
      <alignment horizontal="center"/>
    </xf>
    <xf numFmtId="0" fontId="18" fillId="0" borderId="2" xfId="0" applyFont="1" applyFill="1" applyBorder="1" applyAlignment="1">
      <alignment horizontal="center" vertical="center"/>
    </xf>
    <xf numFmtId="0" fontId="1" fillId="0" borderId="11" xfId="49" applyFont="1" applyFill="1" applyBorder="1" applyAlignment="1">
      <alignment horizontal="left" vertical="center" wrapText="1"/>
    </xf>
    <xf numFmtId="183" fontId="7" fillId="0" borderId="10" xfId="0" applyNumberFormat="1" applyFont="1" applyFill="1" applyBorder="1" applyAlignment="1">
      <alignment horizontal="left" vertical="center"/>
    </xf>
    <xf numFmtId="0" fontId="3" fillId="0" borderId="8" xfId="0" applyFont="1" applyFill="1" applyBorder="1" applyAlignment="1">
      <alignment vertical="center"/>
    </xf>
    <xf numFmtId="0" fontId="1" fillId="0" borderId="0" xfId="49" applyFont="1" applyFill="1" applyBorder="1" applyAlignment="1">
      <alignment horizontal="left" vertical="center" wrapText="1"/>
    </xf>
    <xf numFmtId="0" fontId="1" fillId="0" borderId="47" xfId="49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47" xfId="0" applyFont="1" applyFill="1" applyBorder="1" applyAlignment="1">
      <alignment horizontal="left" vertical="center"/>
    </xf>
    <xf numFmtId="182" fontId="6" fillId="0" borderId="2" xfId="0" applyNumberFormat="1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47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center" vertical="center"/>
    </xf>
    <xf numFmtId="0" fontId="16" fillId="0" borderId="0" xfId="0" applyFont="1" applyFill="1" applyAlignment="1"/>
    <xf numFmtId="182" fontId="1" fillId="0" borderId="8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182" fontId="1" fillId="6" borderId="8" xfId="0" applyNumberFormat="1" applyFont="1" applyFill="1" applyBorder="1" applyAlignment="1">
      <alignment horizontal="center" vertical="center"/>
    </xf>
    <xf numFmtId="0" fontId="16" fillId="6" borderId="0" xfId="0" applyFont="1" applyFill="1" applyAlignment="1"/>
    <xf numFmtId="0" fontId="1" fillId="0" borderId="15" xfId="0" applyFont="1" applyFill="1" applyBorder="1" applyAlignment="1">
      <alignment vertical="center"/>
    </xf>
    <xf numFmtId="0" fontId="9" fillId="10" borderId="15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1" fillId="10" borderId="3" xfId="0" applyFont="1" applyFill="1" applyBorder="1" applyAlignment="1">
      <alignment vertical="center"/>
    </xf>
    <xf numFmtId="0" fontId="1" fillId="10" borderId="2" xfId="0" applyNumberFormat="1" applyFont="1" applyFill="1" applyBorder="1" applyAlignment="1">
      <alignment horizontal="center" vertical="center"/>
    </xf>
    <xf numFmtId="181" fontId="12" fillId="10" borderId="2" xfId="0" applyNumberFormat="1" applyFont="1" applyFill="1" applyBorder="1" applyAlignment="1">
      <alignment horizontal="center" vertical="center"/>
    </xf>
    <xf numFmtId="182" fontId="12" fillId="10" borderId="2" xfId="0" applyNumberFormat="1" applyFont="1" applyFill="1" applyBorder="1" applyAlignment="1">
      <alignment horizontal="center" vertical="center"/>
    </xf>
    <xf numFmtId="182" fontId="1" fillId="10" borderId="2" xfId="0" applyNumberFormat="1" applyFont="1" applyFill="1" applyBorder="1" applyAlignment="1">
      <alignment horizontal="center" vertical="center"/>
    </xf>
    <xf numFmtId="181" fontId="7" fillId="10" borderId="2" xfId="0" applyNumberFormat="1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left" vertical="center"/>
    </xf>
    <xf numFmtId="0" fontId="16" fillId="10" borderId="0" xfId="0" applyFont="1" applyFill="1" applyAlignment="1"/>
    <xf numFmtId="0" fontId="1" fillId="0" borderId="10" xfId="0" applyFont="1" applyFill="1" applyBorder="1" applyAlignment="1">
      <alignment vertical="center"/>
    </xf>
    <xf numFmtId="180" fontId="1" fillId="0" borderId="2" xfId="49" applyNumberFormat="1" applyFont="1" applyFill="1" applyBorder="1" applyAlignment="1">
      <alignment horizontal="center" vertical="center" wrapText="1"/>
    </xf>
    <xf numFmtId="14" fontId="1" fillId="0" borderId="2" xfId="0" applyNumberFormat="1" applyFont="1" applyFill="1" applyBorder="1" applyAlignment="1">
      <alignment horizontal="left" vertical="center"/>
    </xf>
    <xf numFmtId="0" fontId="9" fillId="3" borderId="0" xfId="0" applyFont="1" applyFill="1" applyBorder="1" applyAlignment="1">
      <alignment vertical="center"/>
    </xf>
    <xf numFmtId="0" fontId="57" fillId="0" borderId="0" xfId="0" applyFont="1" applyFill="1" applyAlignment="1">
      <alignment vertical="center"/>
    </xf>
    <xf numFmtId="0" fontId="6" fillId="0" borderId="2" xfId="49" applyFont="1" applyFill="1" applyBorder="1" applyAlignment="1">
      <alignment horizontal="center" vertical="center" wrapText="1"/>
    </xf>
    <xf numFmtId="0" fontId="1" fillId="0" borderId="2" xfId="49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9" fillId="10" borderId="0" xfId="0" applyFont="1" applyFill="1" applyBorder="1" applyAlignment="1">
      <alignment horizontal="center" vertical="center"/>
    </xf>
    <xf numFmtId="0" fontId="44" fillId="10" borderId="0" xfId="0" applyNumberFormat="1" applyFont="1" applyFill="1" applyAlignment="1">
      <alignment vertical="center"/>
    </xf>
    <xf numFmtId="0" fontId="1" fillId="10" borderId="2" xfId="49" applyFont="1" applyFill="1" applyBorder="1" applyAlignment="1">
      <alignment horizontal="center" vertical="center" wrapText="1"/>
    </xf>
    <xf numFmtId="0" fontId="3" fillId="10" borderId="2" xfId="49" applyFont="1" applyFill="1" applyBorder="1" applyAlignment="1">
      <alignment horizontal="center" vertical="center" wrapText="1"/>
    </xf>
    <xf numFmtId="181" fontId="1" fillId="10" borderId="2" xfId="0" applyNumberFormat="1" applyFont="1" applyFill="1" applyBorder="1" applyAlignment="1">
      <alignment horizontal="center" vertical="center"/>
    </xf>
    <xf numFmtId="0" fontId="7" fillId="10" borderId="2" xfId="49" applyFont="1" applyFill="1" applyBorder="1" applyAlignment="1">
      <alignment horizontal="left" vertical="center" wrapText="1"/>
    </xf>
    <xf numFmtId="0" fontId="57" fillId="10" borderId="0" xfId="0" applyFont="1" applyFill="1" applyAlignment="1">
      <alignment vertical="center"/>
    </xf>
    <xf numFmtId="0" fontId="9" fillId="10" borderId="0" xfId="0" applyFont="1" applyFill="1" applyAlignment="1"/>
    <xf numFmtId="0" fontId="9" fillId="17" borderId="0" xfId="0" applyFont="1" applyFill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181" fontId="1" fillId="3" borderId="0" xfId="0" applyNumberFormat="1" applyFont="1" applyFill="1" applyAlignment="1">
      <alignment vertical="center"/>
    </xf>
    <xf numFmtId="181" fontId="1" fillId="3" borderId="0" xfId="0" applyNumberFormat="1" applyFont="1" applyFill="1" applyAlignment="1">
      <alignment horizontal="center" vertical="center"/>
    </xf>
    <xf numFmtId="182" fontId="1" fillId="3" borderId="0" xfId="0" applyNumberFormat="1" applyFont="1" applyFill="1" applyAlignment="1">
      <alignment vertical="center"/>
    </xf>
    <xf numFmtId="0" fontId="9" fillId="3" borderId="4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/>
    </xf>
    <xf numFmtId="0" fontId="7" fillId="0" borderId="3" xfId="0" applyFont="1" applyFill="1" applyBorder="1" applyAlignment="1"/>
    <xf numFmtId="0" fontId="1" fillId="0" borderId="37" xfId="0" applyFont="1" applyFill="1" applyBorder="1" applyAlignment="1">
      <alignment horizontal="left" vertical="center" wrapText="1"/>
    </xf>
    <xf numFmtId="0" fontId="1" fillId="0" borderId="3" xfId="0" applyNumberFormat="1" applyFont="1" applyFill="1" applyBorder="1" applyAlignment="1">
      <alignment vertical="center" wrapText="1"/>
    </xf>
    <xf numFmtId="0" fontId="1" fillId="0" borderId="43" xfId="0" applyFont="1" applyFill="1" applyBorder="1" applyAlignment="1">
      <alignment horizontal="left" vertical="center" wrapText="1"/>
    </xf>
    <xf numFmtId="0" fontId="58" fillId="0" borderId="2" xfId="0" applyFont="1" applyFill="1" applyBorder="1" applyAlignment="1"/>
    <xf numFmtId="0" fontId="7" fillId="0" borderId="3" xfId="0" applyNumberFormat="1" applyFont="1" applyFill="1" applyBorder="1" applyAlignment="1">
      <alignment vertical="center" wrapText="1"/>
    </xf>
    <xf numFmtId="14" fontId="1" fillId="0" borderId="2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horizontal="center"/>
    </xf>
    <xf numFmtId="181" fontId="1" fillId="0" borderId="9" xfId="0" applyNumberFormat="1" applyFont="1" applyFill="1" applyBorder="1" applyAlignment="1">
      <alignment horizontal="center" vertical="center"/>
    </xf>
    <xf numFmtId="0" fontId="49" fillId="0" borderId="0" xfId="0" applyFont="1" applyFill="1" applyAlignment="1"/>
    <xf numFmtId="0" fontId="9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vertical="center"/>
    </xf>
    <xf numFmtId="14" fontId="1" fillId="6" borderId="2" xfId="0" applyNumberFormat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vertical="center"/>
    </xf>
    <xf numFmtId="0" fontId="9" fillId="17" borderId="2" xfId="0" applyFont="1" applyFill="1" applyBorder="1" applyAlignment="1">
      <alignment horizontal="center" vertical="center"/>
    </xf>
    <xf numFmtId="0" fontId="16" fillId="17" borderId="0" xfId="0" applyFont="1" applyFill="1" applyAlignment="1"/>
    <xf numFmtId="0" fontId="16" fillId="0" borderId="13" xfId="0" applyFont="1" applyFill="1" applyBorder="1" applyAlignment="1">
      <alignment horizontal="left" vertical="center"/>
    </xf>
    <xf numFmtId="0" fontId="16" fillId="0" borderId="2" xfId="0" applyFont="1" applyFill="1" applyBorder="1" applyAlignment="1">
      <alignment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left" vertical="center"/>
    </xf>
    <xf numFmtId="180" fontId="16" fillId="0" borderId="2" xfId="49" applyNumberFormat="1" applyFont="1" applyFill="1" applyBorder="1" applyAlignment="1">
      <alignment horizontal="center" vertical="center" wrapText="1"/>
    </xf>
    <xf numFmtId="0" fontId="59" fillId="0" borderId="2" xfId="0" applyFont="1" applyFill="1" applyBorder="1" applyAlignment="1">
      <alignment horizontal="center"/>
    </xf>
    <xf numFmtId="0" fontId="16" fillId="0" borderId="2" xfId="49" applyFont="1" applyFill="1" applyBorder="1" applyAlignment="1">
      <alignment horizontal="center" vertical="center" wrapText="1"/>
    </xf>
    <xf numFmtId="181" fontId="16" fillId="0" borderId="2" xfId="0" applyNumberFormat="1" applyFont="1" applyFill="1" applyBorder="1" applyAlignment="1">
      <alignment horizontal="center" vertical="center"/>
    </xf>
    <xf numFmtId="182" fontId="16" fillId="0" borderId="2" xfId="0" applyNumberFormat="1" applyFont="1" applyFill="1" applyBorder="1" applyAlignment="1">
      <alignment horizontal="center" vertical="center"/>
    </xf>
    <xf numFmtId="182" fontId="1" fillId="0" borderId="2" xfId="49" applyNumberFormat="1" applyFont="1" applyFill="1" applyBorder="1" applyAlignment="1">
      <alignment horizontal="center" vertical="center" wrapText="1"/>
    </xf>
    <xf numFmtId="181" fontId="1" fillId="0" borderId="2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181" fontId="1" fillId="6" borderId="0" xfId="0" applyNumberFormat="1" applyFont="1" applyFill="1" applyAlignment="1">
      <alignment vertical="center"/>
    </xf>
    <xf numFmtId="181" fontId="1" fillId="6" borderId="0" xfId="0" applyNumberFormat="1" applyFont="1" applyFill="1" applyAlignment="1">
      <alignment horizontal="center" vertical="center"/>
    </xf>
    <xf numFmtId="182" fontId="1" fillId="6" borderId="0" xfId="0" applyNumberFormat="1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181" fontId="12" fillId="3" borderId="0" xfId="0" applyNumberFormat="1" applyFont="1" applyFill="1" applyAlignment="1">
      <alignment vertical="center"/>
    </xf>
    <xf numFmtId="0" fontId="9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181" fontId="1" fillId="6" borderId="2" xfId="0" applyNumberFormat="1" applyFont="1" applyFill="1" applyBorder="1" applyAlignment="1">
      <alignment vertical="center"/>
    </xf>
    <xf numFmtId="182" fontId="1" fillId="6" borderId="2" xfId="0" applyNumberFormat="1" applyFont="1" applyFill="1" applyBorder="1" applyAlignment="1">
      <alignment vertical="center"/>
    </xf>
    <xf numFmtId="14" fontId="9" fillId="3" borderId="0" xfId="0" applyNumberFormat="1" applyFont="1" applyFill="1" applyAlignment="1">
      <alignment vertical="center"/>
    </xf>
    <xf numFmtId="0" fontId="24" fillId="6" borderId="2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9" fillId="28" borderId="0" xfId="0" applyFont="1" applyFill="1" applyBorder="1" applyAlignment="1">
      <alignment vertical="center"/>
    </xf>
    <xf numFmtId="0" fontId="9" fillId="11" borderId="0" xfId="0" applyFont="1" applyFill="1" applyBorder="1" applyAlignment="1">
      <alignment vertical="center"/>
    </xf>
    <xf numFmtId="0" fontId="9" fillId="3" borderId="0" xfId="0" applyFont="1" applyFill="1" applyBorder="1" applyAlignment="1"/>
    <xf numFmtId="0" fontId="9" fillId="6" borderId="0" xfId="0" applyFont="1" applyFill="1" applyBorder="1" applyAlignment="1"/>
    <xf numFmtId="0" fontId="9" fillId="28" borderId="0" xfId="0" applyFont="1" applyFill="1" applyBorder="1" applyAlignment="1"/>
    <xf numFmtId="0" fontId="38" fillId="3" borderId="0" xfId="0" applyFont="1" applyFill="1" applyAlignment="1"/>
    <xf numFmtId="0" fontId="38" fillId="3" borderId="0" xfId="0" applyFont="1" applyFill="1" applyAlignment="1">
      <alignment horizontal="center"/>
    </xf>
    <xf numFmtId="0" fontId="38" fillId="3" borderId="0" xfId="0" applyFont="1" applyFill="1" applyAlignment="1">
      <alignment horizontal="left"/>
    </xf>
    <xf numFmtId="181" fontId="38" fillId="3" borderId="0" xfId="0" applyNumberFormat="1" applyFont="1" applyFill="1" applyAlignment="1"/>
    <xf numFmtId="181" fontId="7" fillId="3" borderId="0" xfId="0" applyNumberFormat="1" applyFont="1" applyFill="1" applyAlignment="1"/>
    <xf numFmtId="181" fontId="18" fillId="3" borderId="0" xfId="0" applyNumberFormat="1" applyFont="1" applyFill="1" applyAlignment="1"/>
    <xf numFmtId="182" fontId="18" fillId="3" borderId="2" xfId="0" applyNumberFormat="1" applyFont="1" applyFill="1" applyBorder="1" applyAlignment="1">
      <alignment horizontal="left" vertical="center"/>
    </xf>
    <xf numFmtId="181" fontId="18" fillId="3" borderId="2" xfId="0" applyNumberFormat="1" applyFont="1" applyFill="1" applyBorder="1" applyAlignment="1">
      <alignment vertical="center"/>
    </xf>
    <xf numFmtId="181" fontId="19" fillId="3" borderId="0" xfId="0" applyNumberFormat="1" applyFont="1" applyFill="1" applyBorder="1" applyAlignment="1">
      <alignment horizontal="left" vertical="center"/>
    </xf>
    <xf numFmtId="181" fontId="7" fillId="3" borderId="0" xfId="0" applyNumberFormat="1" applyFont="1" applyFill="1" applyAlignment="1">
      <alignment vertical="center"/>
    </xf>
    <xf numFmtId="181" fontId="18" fillId="3" borderId="0" xfId="0" applyNumberFormat="1" applyFont="1" applyFill="1" applyBorder="1" applyAlignment="1">
      <alignment horizontal="center" vertical="center"/>
    </xf>
    <xf numFmtId="0" fontId="18" fillId="3" borderId="2" xfId="49" applyFont="1" applyFill="1" applyBorder="1" applyAlignment="1">
      <alignment horizontal="center" vertical="center" wrapText="1"/>
    </xf>
    <xf numFmtId="0" fontId="18" fillId="3" borderId="3" xfId="49" applyFont="1" applyFill="1" applyBorder="1" applyAlignment="1">
      <alignment horizontal="center" vertical="center" wrapText="1"/>
    </xf>
    <xf numFmtId="0" fontId="18" fillId="3" borderId="3" xfId="49" applyFont="1" applyFill="1" applyBorder="1" applyAlignment="1">
      <alignment vertical="center" wrapText="1"/>
    </xf>
    <xf numFmtId="0" fontId="60" fillId="3" borderId="2" xfId="49" applyFont="1" applyFill="1" applyBorder="1" applyAlignment="1">
      <alignment horizontal="center" vertical="center" wrapText="1"/>
    </xf>
    <xf numFmtId="180" fontId="19" fillId="3" borderId="2" xfId="49" applyNumberFormat="1" applyFont="1" applyFill="1" applyBorder="1" applyAlignment="1">
      <alignment horizontal="center" vertical="center" wrapText="1"/>
    </xf>
    <xf numFmtId="180" fontId="19" fillId="3" borderId="2" xfId="49" applyNumberFormat="1" applyFont="1" applyFill="1" applyBorder="1" applyAlignment="1">
      <alignment horizontal="left" vertical="center" wrapText="1"/>
    </xf>
    <xf numFmtId="181" fontId="19" fillId="3" borderId="10" xfId="49" applyNumberFormat="1" applyFont="1" applyFill="1" applyBorder="1" applyAlignment="1">
      <alignment horizontal="center" vertical="center" wrapText="1"/>
    </xf>
    <xf numFmtId="181" fontId="19" fillId="3" borderId="2" xfId="49" applyNumberFormat="1" applyFont="1" applyFill="1" applyBorder="1" applyAlignment="1">
      <alignment horizontal="center" vertical="center" wrapText="1"/>
    </xf>
    <xf numFmtId="181" fontId="19" fillId="3" borderId="3" xfId="49" applyNumberFormat="1" applyFont="1" applyFill="1" applyBorder="1" applyAlignment="1">
      <alignment horizontal="center" vertical="center" wrapText="1"/>
    </xf>
    <xf numFmtId="0" fontId="19" fillId="3" borderId="2" xfId="49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38" fillId="3" borderId="3" xfId="0" applyFont="1" applyFill="1" applyBorder="1" applyAlignment="1">
      <alignment horizontal="center" vertical="center"/>
    </xf>
    <xf numFmtId="181" fontId="38" fillId="3" borderId="2" xfId="49" applyNumberFormat="1" applyFont="1" applyFill="1" applyBorder="1" applyAlignment="1">
      <alignment horizontal="center" vertical="center" wrapText="1"/>
    </xf>
    <xf numFmtId="0" fontId="38" fillId="3" borderId="2" xfId="0" applyFont="1" applyFill="1" applyBorder="1" applyAlignment="1">
      <alignment vertical="center"/>
    </xf>
    <xf numFmtId="0" fontId="38" fillId="3" borderId="3" xfId="0" applyFont="1" applyFill="1" applyBorder="1" applyAlignment="1">
      <alignment horizontal="left" vertical="center"/>
    </xf>
    <xf numFmtId="0" fontId="38" fillId="3" borderId="8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81" fontId="7" fillId="3" borderId="10" xfId="0" applyNumberFormat="1" applyFont="1" applyFill="1" applyBorder="1" applyAlignment="1">
      <alignment horizontal="center" vertical="center"/>
    </xf>
    <xf numFmtId="181" fontId="7" fillId="3" borderId="2" xfId="0" applyNumberFormat="1" applyFont="1" applyFill="1" applyBorder="1" applyAlignment="1">
      <alignment horizontal="center" vertical="center"/>
    </xf>
    <xf numFmtId="181" fontId="7" fillId="3" borderId="3" xfId="0" applyNumberFormat="1" applyFont="1" applyFill="1" applyBorder="1" applyAlignment="1">
      <alignment horizontal="center" vertical="center"/>
    </xf>
    <xf numFmtId="181" fontId="38" fillId="3" borderId="8" xfId="0" applyNumberFormat="1" applyFont="1" applyFill="1" applyBorder="1" applyAlignment="1">
      <alignment horizontal="center" vertical="center"/>
    </xf>
    <xf numFmtId="0" fontId="38" fillId="3" borderId="3" xfId="0" applyFont="1" applyFill="1" applyBorder="1" applyAlignment="1">
      <alignment vertical="center"/>
    </xf>
    <xf numFmtId="0" fontId="38" fillId="3" borderId="37" xfId="0" applyFont="1" applyFill="1" applyBorder="1" applyAlignment="1">
      <alignment vertical="center"/>
    </xf>
    <xf numFmtId="0" fontId="38" fillId="3" borderId="37" xfId="0" applyFont="1" applyFill="1" applyBorder="1" applyAlignment="1">
      <alignment horizontal="left" vertical="center"/>
    </xf>
    <xf numFmtId="181" fontId="7" fillId="3" borderId="8" xfId="0" applyNumberFormat="1" applyFont="1" applyFill="1" applyBorder="1" applyAlignment="1">
      <alignment horizontal="center" vertical="center"/>
    </xf>
    <xf numFmtId="181" fontId="7" fillId="3" borderId="3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/>
    </xf>
    <xf numFmtId="181" fontId="7" fillId="3" borderId="44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181" fontId="53" fillId="3" borderId="44" xfId="0" applyNumberFormat="1" applyFont="1" applyFill="1" applyBorder="1" applyAlignment="1">
      <alignment horizontal="center" vertical="center"/>
    </xf>
    <xf numFmtId="181" fontId="53" fillId="3" borderId="8" xfId="0" applyNumberFormat="1" applyFont="1" applyFill="1" applyBorder="1" applyAlignment="1">
      <alignment horizontal="center" vertical="center"/>
    </xf>
    <xf numFmtId="0" fontId="38" fillId="3" borderId="2" xfId="0" applyFont="1" applyFill="1" applyBorder="1" applyAlignment="1">
      <alignment horizontal="left" vertical="center"/>
    </xf>
    <xf numFmtId="0" fontId="38" fillId="3" borderId="2" xfId="0" applyFont="1" applyFill="1" applyBorder="1" applyAlignment="1">
      <alignment horizontal="center" vertical="center"/>
    </xf>
    <xf numFmtId="181" fontId="53" fillId="3" borderId="2" xfId="0" applyNumberFormat="1" applyFont="1" applyFill="1" applyBorder="1" applyAlignment="1">
      <alignment horizontal="center" vertical="center"/>
    </xf>
    <xf numFmtId="181" fontId="38" fillId="3" borderId="2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38" fillId="3" borderId="43" xfId="0" applyFont="1" applyFill="1" applyBorder="1" applyAlignment="1">
      <alignment vertical="center"/>
    </xf>
    <xf numFmtId="0" fontId="38" fillId="3" borderId="43" xfId="0" applyFont="1" applyFill="1" applyBorder="1" applyAlignment="1">
      <alignment horizontal="left" vertical="center"/>
    </xf>
    <xf numFmtId="0" fontId="38" fillId="3" borderId="1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181" fontId="7" fillId="3" borderId="15" xfId="0" applyNumberFormat="1" applyFont="1" applyFill="1" applyBorder="1" applyAlignment="1">
      <alignment horizontal="center" vertical="center"/>
    </xf>
    <xf numFmtId="181" fontId="7" fillId="3" borderId="13" xfId="0" applyNumberFormat="1" applyFont="1" applyFill="1" applyBorder="1" applyAlignment="1">
      <alignment horizontal="center" vertical="center"/>
    </xf>
    <xf numFmtId="181" fontId="7" fillId="3" borderId="43" xfId="0" applyNumberFormat="1" applyFont="1" applyFill="1" applyBorder="1" applyAlignment="1">
      <alignment horizontal="center" vertical="center"/>
    </xf>
    <xf numFmtId="181" fontId="38" fillId="3" borderId="13" xfId="0" applyNumberFormat="1" applyFont="1" applyFill="1" applyBorder="1" applyAlignment="1">
      <alignment horizontal="center" vertical="center"/>
    </xf>
    <xf numFmtId="181" fontId="7" fillId="3" borderId="9" xfId="0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181" fontId="38" fillId="19" borderId="8" xfId="0" applyNumberFormat="1" applyFont="1" applyFill="1" applyBorder="1" applyAlignment="1">
      <alignment horizontal="center" vertical="center"/>
    </xf>
    <xf numFmtId="181" fontId="53" fillId="3" borderId="10" xfId="0" applyNumberFormat="1" applyFont="1" applyFill="1" applyBorder="1" applyAlignment="1">
      <alignment horizontal="center"/>
    </xf>
    <xf numFmtId="181" fontId="7" fillId="6" borderId="2" xfId="0" applyNumberFormat="1" applyFont="1" applyFill="1" applyBorder="1" applyAlignment="1">
      <alignment horizontal="center" vertical="center"/>
    </xf>
    <xf numFmtId="0" fontId="9" fillId="28" borderId="0" xfId="0" applyFont="1" applyFill="1" applyAlignment="1">
      <alignment vertical="center"/>
    </xf>
    <xf numFmtId="0" fontId="7" fillId="28" borderId="13" xfId="0" applyFont="1" applyFill="1" applyBorder="1" applyAlignment="1">
      <alignment horizontal="center" vertical="center" wrapText="1"/>
    </xf>
    <xf numFmtId="0" fontId="38" fillId="28" borderId="3" xfId="0" applyFont="1" applyFill="1" applyBorder="1" applyAlignment="1">
      <alignment vertical="center"/>
    </xf>
    <xf numFmtId="0" fontId="38" fillId="28" borderId="3" xfId="0" applyFont="1" applyFill="1" applyBorder="1" applyAlignment="1">
      <alignment horizontal="left" vertical="center"/>
    </xf>
    <xf numFmtId="0" fontId="38" fillId="28" borderId="0" xfId="0" applyFont="1" applyFill="1" applyAlignment="1">
      <alignment vertical="center"/>
    </xf>
    <xf numFmtId="181" fontId="38" fillId="28" borderId="2" xfId="0" applyNumberFormat="1" applyFont="1" applyFill="1" applyBorder="1" applyAlignment="1">
      <alignment horizontal="center" vertical="center"/>
    </xf>
    <xf numFmtId="0" fontId="7" fillId="28" borderId="2" xfId="0" applyFont="1" applyFill="1" applyBorder="1" applyAlignment="1">
      <alignment horizontal="left" vertical="center"/>
    </xf>
    <xf numFmtId="0" fontId="9" fillId="11" borderId="0" xfId="0" applyFont="1" applyFill="1" applyAlignment="1">
      <alignment vertical="center"/>
    </xf>
    <xf numFmtId="0" fontId="7" fillId="11" borderId="13" xfId="0" applyFont="1" applyFill="1" applyBorder="1" applyAlignment="1">
      <alignment horizontal="center" vertical="center" wrapText="1"/>
    </xf>
    <xf numFmtId="0" fontId="38" fillId="11" borderId="37" xfId="0" applyFont="1" applyFill="1" applyBorder="1" applyAlignment="1">
      <alignment vertical="center"/>
    </xf>
    <xf numFmtId="0" fontId="38" fillId="11" borderId="37" xfId="0" applyFont="1" applyFill="1" applyBorder="1" applyAlignment="1">
      <alignment horizontal="left" vertical="center"/>
    </xf>
    <xf numFmtId="181" fontId="7" fillId="11" borderId="37" xfId="0" applyNumberFormat="1" applyFont="1" applyFill="1" applyBorder="1" applyAlignment="1">
      <alignment horizontal="center" vertical="center"/>
    </xf>
    <xf numFmtId="181" fontId="38" fillId="11" borderId="8" xfId="0" applyNumberFormat="1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left" vertical="center"/>
    </xf>
    <xf numFmtId="0" fontId="7" fillId="11" borderId="2" xfId="0" applyFont="1" applyFill="1" applyBorder="1" applyAlignment="1">
      <alignment horizontal="left" vertical="center"/>
    </xf>
    <xf numFmtId="0" fontId="7" fillId="11" borderId="9" xfId="0" applyFont="1" applyFill="1" applyBorder="1" applyAlignment="1">
      <alignment horizontal="center" vertical="center" wrapText="1"/>
    </xf>
    <xf numFmtId="0" fontId="38" fillId="11" borderId="14" xfId="0" applyFont="1" applyFill="1" applyBorder="1" applyAlignment="1">
      <alignment vertical="center"/>
    </xf>
    <xf numFmtId="0" fontId="38" fillId="11" borderId="14" xfId="0" applyFont="1" applyFill="1" applyBorder="1" applyAlignment="1">
      <alignment horizontal="left" vertical="center"/>
    </xf>
    <xf numFmtId="0" fontId="38" fillId="11" borderId="2" xfId="0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left" vertical="center"/>
    </xf>
    <xf numFmtId="181" fontId="7" fillId="11" borderId="14" xfId="0" applyNumberFormat="1" applyFont="1" applyFill="1" applyBorder="1" applyAlignment="1">
      <alignment horizontal="center" vertical="center"/>
    </xf>
    <xf numFmtId="181" fontId="7" fillId="11" borderId="9" xfId="0" applyNumberFormat="1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0" fontId="38" fillId="3" borderId="2" xfId="0" applyFont="1" applyFill="1" applyBorder="1" applyAlignment="1"/>
    <xf numFmtId="181" fontId="38" fillId="3" borderId="2" xfId="0" applyNumberFormat="1" applyFont="1" applyFill="1" applyBorder="1" applyAlignment="1">
      <alignment horizontal="center"/>
    </xf>
    <xf numFmtId="0" fontId="38" fillId="3" borderId="2" xfId="0" applyFont="1" applyFill="1" applyBorder="1" applyAlignment="1">
      <alignment horizontal="center"/>
    </xf>
    <xf numFmtId="0" fontId="38" fillId="3" borderId="2" xfId="0" applyFont="1" applyFill="1" applyBorder="1" applyAlignment="1">
      <alignment horizontal="left"/>
    </xf>
    <xf numFmtId="181" fontId="7" fillId="3" borderId="2" xfId="0" applyNumberFormat="1" applyFont="1" applyFill="1" applyBorder="1" applyAlignment="1">
      <alignment horizontal="center"/>
    </xf>
    <xf numFmtId="0" fontId="38" fillId="6" borderId="13" xfId="0" applyFont="1" applyFill="1" applyBorder="1" applyAlignment="1">
      <alignment horizontal="center" vertical="center"/>
    </xf>
    <xf numFmtId="0" fontId="38" fillId="6" borderId="2" xfId="0" applyFont="1" applyFill="1" applyBorder="1" applyAlignment="1"/>
    <xf numFmtId="0" fontId="7" fillId="6" borderId="2" xfId="0" applyFont="1" applyFill="1" applyBorder="1" applyAlignment="1">
      <alignment horizontal="center" vertical="center"/>
    </xf>
    <xf numFmtId="0" fontId="38" fillId="6" borderId="2" xfId="0" applyFont="1" applyFill="1" applyBorder="1" applyAlignment="1">
      <alignment horizontal="left"/>
    </xf>
    <xf numFmtId="181" fontId="38" fillId="6" borderId="2" xfId="0" applyNumberFormat="1" applyFont="1" applyFill="1" applyBorder="1" applyAlignment="1">
      <alignment horizontal="center"/>
    </xf>
    <xf numFmtId="181" fontId="53" fillId="3" borderId="10" xfId="0" applyNumberFormat="1" applyFont="1" applyFill="1" applyBorder="1" applyAlignment="1">
      <alignment horizontal="center" vertical="center"/>
    </xf>
    <xf numFmtId="181" fontId="53" fillId="3" borderId="2" xfId="0" applyNumberFormat="1" applyFont="1" applyFill="1" applyBorder="1" applyAlignment="1">
      <alignment horizontal="center"/>
    </xf>
    <xf numFmtId="0" fontId="38" fillId="3" borderId="9" xfId="0" applyFont="1" applyFill="1" applyBorder="1" applyAlignment="1">
      <alignment horizontal="center" vertical="center"/>
    </xf>
    <xf numFmtId="0" fontId="9" fillId="28" borderId="0" xfId="0" applyFont="1" applyFill="1" applyAlignment="1"/>
    <xf numFmtId="0" fontId="38" fillId="28" borderId="2" xfId="0" applyFont="1" applyFill="1" applyBorder="1" applyAlignment="1"/>
    <xf numFmtId="0" fontId="7" fillId="28" borderId="2" xfId="0" applyFont="1" applyFill="1" applyBorder="1" applyAlignment="1">
      <alignment horizontal="center" vertical="center"/>
    </xf>
    <xf numFmtId="0" fontId="38" fillId="28" borderId="2" xfId="0" applyFont="1" applyFill="1" applyBorder="1" applyAlignment="1">
      <alignment horizontal="left"/>
    </xf>
    <xf numFmtId="181" fontId="38" fillId="28" borderId="2" xfId="0" applyNumberFormat="1" applyFont="1" applyFill="1" applyBorder="1" applyAlignment="1">
      <alignment horizontal="center"/>
    </xf>
    <xf numFmtId="181" fontId="7" fillId="28" borderId="2" xfId="0" applyNumberFormat="1" applyFont="1" applyFill="1" applyBorder="1" applyAlignment="1">
      <alignment horizontal="center" vertical="center"/>
    </xf>
    <xf numFmtId="0" fontId="38" fillId="3" borderId="8" xfId="0" applyFont="1" applyFill="1" applyBorder="1" applyAlignment="1">
      <alignment horizontal="left" vertical="center"/>
    </xf>
    <xf numFmtId="0" fontId="38" fillId="3" borderId="9" xfId="0" applyFont="1" applyFill="1" applyBorder="1" applyAlignment="1">
      <alignment horizontal="left" vertical="center"/>
    </xf>
    <xf numFmtId="181" fontId="38" fillId="3" borderId="2" xfId="0" applyNumberFormat="1" applyFont="1" applyFill="1" applyBorder="1" applyAlignment="1"/>
    <xf numFmtId="181" fontId="7" fillId="3" borderId="2" xfId="0" applyNumberFormat="1" applyFont="1" applyFill="1" applyBorder="1" applyAlignment="1"/>
    <xf numFmtId="0" fontId="4" fillId="28" borderId="0" xfId="0" applyFont="1" applyFill="1" applyAlignment="1">
      <alignment vertical="center"/>
    </xf>
    <xf numFmtId="0" fontId="0" fillId="3" borderId="0" xfId="0" applyFill="1" applyAlignment="1"/>
    <xf numFmtId="0" fontId="38" fillId="3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left" vertical="center"/>
    </xf>
    <xf numFmtId="0" fontId="38" fillId="3" borderId="0" xfId="0" applyFont="1" applyFill="1" applyAlignment="1">
      <alignment vertical="center"/>
    </xf>
    <xf numFmtId="181" fontId="38" fillId="3" borderId="0" xfId="0" applyNumberFormat="1" applyFont="1" applyFill="1" applyAlignment="1">
      <alignment horizontal="center" vertical="center"/>
    </xf>
    <xf numFmtId="181" fontId="7" fillId="3" borderId="0" xfId="0" applyNumberFormat="1" applyFont="1" applyFill="1" applyAlignment="1">
      <alignment horizontal="center" vertical="center"/>
    </xf>
    <xf numFmtId="182" fontId="61" fillId="3" borderId="0" xfId="0" applyNumberFormat="1" applyFont="1" applyFill="1" applyAlignment="1">
      <alignment horizontal="center" vertical="center"/>
    </xf>
    <xf numFmtId="181" fontId="61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18" fillId="3" borderId="2" xfId="0" applyFont="1" applyFill="1" applyBorder="1" applyAlignment="1">
      <alignment horizontal="left" vertical="center"/>
    </xf>
    <xf numFmtId="180" fontId="18" fillId="3" borderId="2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vertical="center"/>
    </xf>
    <xf numFmtId="181" fontId="18" fillId="3" borderId="2" xfId="0" applyNumberFormat="1" applyFont="1" applyFill="1" applyBorder="1" applyAlignment="1">
      <alignment horizontal="center" vertical="center"/>
    </xf>
    <xf numFmtId="182" fontId="61" fillId="3" borderId="2" xfId="0" applyNumberFormat="1" applyFont="1" applyFill="1" applyBorder="1" applyAlignment="1">
      <alignment horizontal="center" vertical="center"/>
    </xf>
    <xf numFmtId="181" fontId="61" fillId="3" borderId="2" xfId="0" applyNumberFormat="1" applyFont="1" applyFill="1" applyBorder="1" applyAlignment="1">
      <alignment horizontal="center" vertical="center"/>
    </xf>
    <xf numFmtId="0" fontId="62" fillId="3" borderId="2" xfId="0" applyFont="1" applyFill="1" applyBorder="1" applyAlignment="1">
      <alignment vertical="center"/>
    </xf>
    <xf numFmtId="0" fontId="63" fillId="29" borderId="2" xfId="49" applyFont="1" applyFill="1" applyBorder="1" applyAlignment="1">
      <alignment horizontal="center" vertical="center" wrapText="1"/>
    </xf>
    <xf numFmtId="0" fontId="63" fillId="29" borderId="2" xfId="49" applyFont="1" applyFill="1" applyBorder="1" applyAlignment="1">
      <alignment horizontal="left" vertical="center" wrapText="1"/>
    </xf>
    <xf numFmtId="0" fontId="64" fillId="29" borderId="2" xfId="49" applyFont="1" applyFill="1" applyBorder="1" applyAlignment="1">
      <alignment horizontal="left" vertical="center" wrapText="1"/>
    </xf>
    <xf numFmtId="0" fontId="64" fillId="29" borderId="2" xfId="49" applyFont="1" applyFill="1" applyBorder="1" applyAlignment="1">
      <alignment vertical="center" wrapText="1"/>
    </xf>
    <xf numFmtId="180" fontId="64" fillId="29" borderId="2" xfId="49" applyNumberFormat="1" applyFont="1" applyFill="1" applyBorder="1" applyAlignment="1">
      <alignment horizontal="left" vertical="center" wrapText="1"/>
    </xf>
    <xf numFmtId="181" fontId="65" fillId="29" borderId="2" xfId="49" applyNumberFormat="1" applyFont="1" applyFill="1" applyBorder="1" applyAlignment="1">
      <alignment horizontal="center" vertical="center" wrapText="1"/>
    </xf>
    <xf numFmtId="181" fontId="65" fillId="3" borderId="2" xfId="49" applyNumberFormat="1" applyFont="1" applyFill="1" applyBorder="1" applyAlignment="1">
      <alignment horizontal="center" vertical="center" wrapText="1"/>
    </xf>
    <xf numFmtId="181" fontId="64" fillId="29" borderId="2" xfId="49" applyNumberFormat="1" applyFont="1" applyFill="1" applyBorder="1" applyAlignment="1">
      <alignment horizontal="center" vertical="center" wrapText="1"/>
    </xf>
    <xf numFmtId="181" fontId="63" fillId="29" borderId="2" xfId="0" applyNumberFormat="1" applyFont="1" applyFill="1" applyBorder="1" applyAlignment="1">
      <alignment horizontal="center" vertical="center"/>
    </xf>
    <xf numFmtId="182" fontId="66" fillId="3" borderId="2" xfId="49" applyNumberFormat="1" applyFont="1" applyFill="1" applyBorder="1" applyAlignment="1">
      <alignment horizontal="center" vertical="center" wrapText="1"/>
    </xf>
    <xf numFmtId="181" fontId="66" fillId="3" borderId="2" xfId="49" applyNumberFormat="1" applyFont="1" applyFill="1" applyBorder="1" applyAlignment="1">
      <alignment horizontal="center" vertical="center" wrapText="1"/>
    </xf>
    <xf numFmtId="0" fontId="65" fillId="29" borderId="2" xfId="0" applyFont="1" applyFill="1" applyBorder="1" applyAlignment="1">
      <alignment vertical="center"/>
    </xf>
    <xf numFmtId="0" fontId="38" fillId="3" borderId="2" xfId="49" applyFont="1" applyFill="1" applyBorder="1" applyAlignment="1">
      <alignment horizontal="center" vertical="center" wrapText="1"/>
    </xf>
    <xf numFmtId="0" fontId="38" fillId="3" borderId="3" xfId="49" applyFont="1" applyFill="1" applyBorder="1" applyAlignment="1">
      <alignment horizontal="left" vertical="center" wrapText="1"/>
    </xf>
    <xf numFmtId="0" fontId="67" fillId="3" borderId="2" xfId="49" applyFont="1" applyFill="1" applyBorder="1" applyAlignment="1">
      <alignment horizontal="left" vertical="center" wrapText="1"/>
    </xf>
    <xf numFmtId="181" fontId="67" fillId="3" borderId="2" xfId="49" applyNumberFormat="1" applyFont="1" applyFill="1" applyBorder="1" applyAlignment="1">
      <alignment horizontal="center" vertical="center" wrapText="1"/>
    </xf>
    <xf numFmtId="181" fontId="7" fillId="3" borderId="2" xfId="49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/>
    </xf>
    <xf numFmtId="0" fontId="67" fillId="3" borderId="2" xfId="49" applyFont="1" applyFill="1" applyBorder="1" applyAlignment="1">
      <alignment vertical="center" wrapText="1"/>
    </xf>
    <xf numFmtId="180" fontId="67" fillId="3" borderId="2" xfId="49" applyNumberFormat="1" applyFont="1" applyFill="1" applyBorder="1" applyAlignment="1">
      <alignment horizontal="left" vertical="center" wrapText="1"/>
    </xf>
    <xf numFmtId="181" fontId="7" fillId="3" borderId="8" xfId="49" applyNumberFormat="1" applyFont="1" applyFill="1" applyBorder="1" applyAlignment="1">
      <alignment horizontal="center" vertical="center" wrapText="1"/>
    </xf>
    <xf numFmtId="0" fontId="38" fillId="3" borderId="13" xfId="49" applyFont="1" applyFill="1" applyBorder="1" applyAlignment="1">
      <alignment horizontal="center" vertical="center" wrapText="1"/>
    </xf>
    <xf numFmtId="0" fontId="38" fillId="3" borderId="9" xfId="49" applyFont="1" applyFill="1" applyBorder="1" applyAlignment="1">
      <alignment horizontal="center" vertical="center" wrapText="1"/>
    </xf>
    <xf numFmtId="0" fontId="38" fillId="3" borderId="8" xfId="49" applyFont="1" applyFill="1" applyBorder="1" applyAlignment="1">
      <alignment horizontal="center" vertical="center" wrapText="1"/>
    </xf>
    <xf numFmtId="181" fontId="67" fillId="30" borderId="2" xfId="49" applyNumberFormat="1" applyFont="1" applyFill="1" applyBorder="1" applyAlignment="1">
      <alignment horizontal="center" vertical="center" wrapText="1"/>
    </xf>
    <xf numFmtId="181" fontId="67" fillId="19" borderId="2" xfId="49" applyNumberFormat="1" applyFont="1" applyFill="1" applyBorder="1" applyAlignment="1">
      <alignment horizontal="center" vertical="center" wrapText="1"/>
    </xf>
    <xf numFmtId="0" fontId="38" fillId="28" borderId="13" xfId="49" applyFont="1" applyFill="1" applyBorder="1" applyAlignment="1">
      <alignment horizontal="center" vertical="center" wrapText="1"/>
    </xf>
    <xf numFmtId="0" fontId="38" fillId="28" borderId="3" xfId="49" applyFont="1" applyFill="1" applyBorder="1" applyAlignment="1">
      <alignment horizontal="left" vertical="center" wrapText="1"/>
    </xf>
    <xf numFmtId="0" fontId="67" fillId="28" borderId="2" xfId="49" applyFont="1" applyFill="1" applyBorder="1" applyAlignment="1">
      <alignment horizontal="left" vertical="center" wrapText="1"/>
    </xf>
    <xf numFmtId="0" fontId="67" fillId="28" borderId="2" xfId="49" applyFont="1" applyFill="1" applyBorder="1" applyAlignment="1">
      <alignment vertical="center" wrapText="1"/>
    </xf>
    <xf numFmtId="180" fontId="67" fillId="28" borderId="2" xfId="49" applyNumberFormat="1" applyFont="1" applyFill="1" applyBorder="1" applyAlignment="1">
      <alignment horizontal="left" vertical="center" wrapText="1"/>
    </xf>
    <xf numFmtId="181" fontId="7" fillId="28" borderId="2" xfId="49" applyNumberFormat="1" applyFont="1" applyFill="1" applyBorder="1" applyAlignment="1">
      <alignment horizontal="center" vertical="center" wrapText="1"/>
    </xf>
    <xf numFmtId="181" fontId="67" fillId="28" borderId="2" xfId="49" applyNumberFormat="1" applyFont="1" applyFill="1" applyBorder="1" applyAlignment="1">
      <alignment horizontal="center" vertical="center" wrapText="1"/>
    </xf>
    <xf numFmtId="0" fontId="7" fillId="28" borderId="2" xfId="0" applyFont="1" applyFill="1" applyBorder="1" applyAlignment="1">
      <alignment vertical="center"/>
    </xf>
    <xf numFmtId="0" fontId="67" fillId="6" borderId="2" xfId="49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vertical="center"/>
    </xf>
    <xf numFmtId="0" fontId="38" fillId="3" borderId="8" xfId="0" applyFont="1" applyFill="1" applyBorder="1" applyAlignment="1">
      <alignment horizontal="center" vertical="center" wrapText="1"/>
    </xf>
    <xf numFmtId="181" fontId="7" fillId="3" borderId="2" xfId="0" applyNumberFormat="1" applyFont="1" applyFill="1" applyBorder="1" applyAlignment="1">
      <alignment vertical="center"/>
    </xf>
    <xf numFmtId="181" fontId="38" fillId="30" borderId="2" xfId="0" applyNumberFormat="1" applyFont="1" applyFill="1" applyBorder="1" applyAlignment="1">
      <alignment horizontal="center" vertical="center"/>
    </xf>
    <xf numFmtId="0" fontId="38" fillId="3" borderId="13" xfId="0" applyFont="1" applyFill="1" applyBorder="1" applyAlignment="1">
      <alignment horizontal="center" vertical="center" wrapText="1"/>
    </xf>
    <xf numFmtId="0" fontId="38" fillId="6" borderId="2" xfId="0" applyFont="1" applyFill="1" applyBorder="1" applyAlignment="1">
      <alignment vertical="center"/>
    </xf>
    <xf numFmtId="181" fontId="38" fillId="19" borderId="2" xfId="0" applyNumberFormat="1" applyFont="1" applyFill="1" applyBorder="1" applyAlignment="1">
      <alignment horizontal="center" vertical="center"/>
    </xf>
    <xf numFmtId="0" fontId="38" fillId="3" borderId="9" xfId="0" applyFont="1" applyFill="1" applyBorder="1" applyAlignment="1">
      <alignment horizontal="center" vertical="center" wrapText="1"/>
    </xf>
    <xf numFmtId="0" fontId="68" fillId="3" borderId="8" xfId="0" applyFont="1" applyFill="1" applyBorder="1" applyAlignment="1">
      <alignment horizontal="center" vertical="center"/>
    </xf>
    <xf numFmtId="0" fontId="68" fillId="3" borderId="2" xfId="0" applyFont="1" applyFill="1" applyBorder="1" applyAlignment="1"/>
    <xf numFmtId="181" fontId="68" fillId="3" borderId="2" xfId="0" applyNumberFormat="1" applyFont="1" applyFill="1" applyBorder="1" applyAlignment="1"/>
    <xf numFmtId="181" fontId="38" fillId="6" borderId="2" xfId="0" applyNumberFormat="1" applyFont="1" applyFill="1" applyBorder="1" applyAlignment="1">
      <alignment horizontal="center" vertical="center"/>
    </xf>
    <xf numFmtId="0" fontId="38" fillId="6" borderId="8" xfId="0" applyFont="1" applyFill="1" applyBorder="1" applyAlignment="1">
      <alignment horizontal="center" vertical="center"/>
    </xf>
    <xf numFmtId="0" fontId="38" fillId="6" borderId="3" xfId="0" applyFont="1" applyFill="1" applyBorder="1" applyAlignment="1">
      <alignment horizontal="center" vertical="center"/>
    </xf>
    <xf numFmtId="181" fontId="38" fillId="6" borderId="2" xfId="49" applyNumberFormat="1" applyFont="1" applyFill="1" applyBorder="1" applyAlignment="1">
      <alignment horizontal="center" vertical="center" wrapText="1"/>
    </xf>
    <xf numFmtId="180" fontId="67" fillId="6" borderId="2" xfId="49" applyNumberFormat="1" applyFont="1" applyFill="1" applyBorder="1" applyAlignment="1">
      <alignment horizontal="left" vertical="center" wrapText="1"/>
    </xf>
    <xf numFmtId="43" fontId="38" fillId="6" borderId="2" xfId="0" applyNumberFormat="1" applyFont="1" applyFill="1" applyBorder="1" applyAlignment="1">
      <alignment vertical="center"/>
    </xf>
    <xf numFmtId="182" fontId="38" fillId="6" borderId="2" xfId="0" applyNumberFormat="1" applyFont="1" applyFill="1" applyBorder="1" applyAlignment="1">
      <alignment vertical="center"/>
    </xf>
    <xf numFmtId="182" fontId="38" fillId="6" borderId="2" xfId="0" applyNumberFormat="1" applyFont="1" applyFill="1" applyBorder="1" applyAlignment="1">
      <alignment horizontal="center" vertical="center"/>
    </xf>
    <xf numFmtId="182" fontId="61" fillId="6" borderId="2" xfId="0" applyNumberFormat="1" applyFont="1" applyFill="1" applyBorder="1" applyAlignment="1">
      <alignment horizontal="center" vertical="center"/>
    </xf>
    <xf numFmtId="181" fontId="61" fillId="6" borderId="2" xfId="0" applyNumberFormat="1" applyFont="1" applyFill="1" applyBorder="1" applyAlignment="1">
      <alignment horizontal="center" vertical="center"/>
    </xf>
    <xf numFmtId="0" fontId="38" fillId="6" borderId="2" xfId="0" applyFont="1" applyFill="1" applyBorder="1" applyAlignment="1">
      <alignment horizontal="left" vertical="center"/>
    </xf>
    <xf numFmtId="43" fontId="38" fillId="3" borderId="2" xfId="0" applyNumberFormat="1" applyFont="1" applyFill="1" applyBorder="1" applyAlignment="1">
      <alignment vertical="center"/>
    </xf>
    <xf numFmtId="182" fontId="38" fillId="3" borderId="2" xfId="0" applyNumberFormat="1" applyFont="1" applyFill="1" applyBorder="1" applyAlignment="1">
      <alignment vertical="center"/>
    </xf>
    <xf numFmtId="182" fontId="38" fillId="3" borderId="2" xfId="0" applyNumberFormat="1" applyFont="1" applyFill="1" applyBorder="1" applyAlignment="1">
      <alignment horizontal="center" vertical="center"/>
    </xf>
    <xf numFmtId="0" fontId="38" fillId="6" borderId="2" xfId="0" applyFont="1" applyFill="1" applyBorder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181" fontId="38" fillId="3" borderId="0" xfId="0" applyNumberFormat="1" applyFont="1" applyFill="1" applyBorder="1" applyAlignment="1">
      <alignment horizontal="center" vertical="center"/>
    </xf>
    <xf numFmtId="182" fontId="1" fillId="3" borderId="0" xfId="0" applyNumberFormat="1" applyFont="1" applyFill="1" applyAlignment="1">
      <alignment horizontal="center" vertical="center"/>
    </xf>
    <xf numFmtId="181" fontId="9" fillId="3" borderId="0" xfId="0" applyNumberFormat="1" applyFont="1" applyFill="1" applyAlignment="1">
      <alignment horizontal="center" vertical="center"/>
    </xf>
    <xf numFmtId="181" fontId="4" fillId="30" borderId="0" xfId="0" applyNumberFormat="1" applyFont="1" applyFill="1" applyAlignment="1">
      <alignment horizontal="center" vertical="center"/>
    </xf>
    <xf numFmtId="43" fontId="18" fillId="3" borderId="2" xfId="0" applyNumberFormat="1" applyFont="1" applyFill="1" applyBorder="1" applyAlignment="1">
      <alignment vertical="center"/>
    </xf>
    <xf numFmtId="182" fontId="18" fillId="3" borderId="2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center"/>
    </xf>
    <xf numFmtId="180" fontId="4" fillId="3" borderId="0" xfId="0" applyNumberFormat="1" applyFont="1" applyFill="1" applyBorder="1" applyAlignment="1">
      <alignment horizontal="left" vertical="center"/>
    </xf>
    <xf numFmtId="180" fontId="4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181" fontId="5" fillId="3" borderId="0" xfId="0" applyNumberFormat="1" applyFont="1" applyFill="1" applyBorder="1" applyAlignment="1">
      <alignment horizontal="center" vertical="center"/>
    </xf>
    <xf numFmtId="182" fontId="5" fillId="3" borderId="0" xfId="0" applyNumberFormat="1" applyFont="1" applyFill="1" applyBorder="1" applyAlignment="1">
      <alignment horizontal="center" vertical="center"/>
    </xf>
    <xf numFmtId="181" fontId="4" fillId="3" borderId="0" xfId="0" applyNumberFormat="1" applyFont="1" applyFill="1" applyBorder="1" applyAlignment="1">
      <alignment horizontal="center" vertical="center"/>
    </xf>
    <xf numFmtId="181" fontId="4" fillId="30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4" fillId="3" borderId="47" xfId="0" applyFont="1" applyFill="1" applyBorder="1" applyAlignment="1">
      <alignment horizontal="left" vertical="center"/>
    </xf>
    <xf numFmtId="180" fontId="4" fillId="3" borderId="47" xfId="0" applyNumberFormat="1" applyFont="1" applyFill="1" applyBorder="1" applyAlignment="1">
      <alignment horizontal="left" vertical="center"/>
    </xf>
    <xf numFmtId="180" fontId="4" fillId="3" borderId="47" xfId="0" applyNumberFormat="1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/>
    </xf>
    <xf numFmtId="0" fontId="69" fillId="3" borderId="9" xfId="49" applyFont="1" applyFill="1" applyBorder="1" applyAlignment="1">
      <alignment horizontal="center" vertical="center" wrapText="1"/>
    </xf>
    <xf numFmtId="0" fontId="5" fillId="3" borderId="9" xfId="49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181" fontId="5" fillId="3" borderId="47" xfId="0" applyNumberFormat="1" applyFont="1" applyFill="1" applyBorder="1" applyAlignment="1">
      <alignment horizontal="center" vertical="center"/>
    </xf>
    <xf numFmtId="182" fontId="5" fillId="3" borderId="47" xfId="0" applyNumberFormat="1" applyFont="1" applyFill="1" applyBorder="1" applyAlignment="1">
      <alignment horizontal="center" vertical="center"/>
    </xf>
    <xf numFmtId="181" fontId="4" fillId="3" borderId="47" xfId="0" applyNumberFormat="1" applyFont="1" applyFill="1" applyBorder="1" applyAlignment="1">
      <alignment horizontal="center" vertical="center"/>
    </xf>
    <xf numFmtId="181" fontId="4" fillId="30" borderId="47" xfId="0" applyNumberFormat="1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vertical="center"/>
    </xf>
    <xf numFmtId="0" fontId="9" fillId="3" borderId="16" xfId="0" applyFont="1" applyFill="1" applyBorder="1" applyAlignment="1">
      <alignment vertical="center"/>
    </xf>
    <xf numFmtId="0" fontId="63" fillId="29" borderId="14" xfId="49" applyFont="1" applyFill="1" applyBorder="1" applyAlignment="1">
      <alignment horizontal="left" vertical="center" wrapText="1"/>
    </xf>
    <xf numFmtId="0" fontId="70" fillId="29" borderId="9" xfId="49" applyFont="1" applyFill="1" applyBorder="1" applyAlignment="1">
      <alignment horizontal="left" vertical="center" wrapText="1"/>
    </xf>
    <xf numFmtId="0" fontId="71" fillId="29" borderId="9" xfId="49" applyFont="1" applyFill="1" applyBorder="1" applyAlignment="1">
      <alignment horizontal="left" vertical="center" wrapText="1"/>
    </xf>
    <xf numFmtId="180" fontId="64" fillId="29" borderId="9" xfId="49" applyNumberFormat="1" applyFont="1" applyFill="1" applyBorder="1" applyAlignment="1">
      <alignment horizontal="left" vertical="center" wrapText="1"/>
    </xf>
    <xf numFmtId="180" fontId="71" fillId="29" borderId="9" xfId="49" applyNumberFormat="1" applyFont="1" applyFill="1" applyBorder="1" applyAlignment="1">
      <alignment horizontal="center" vertical="center" wrapText="1"/>
    </xf>
    <xf numFmtId="0" fontId="72" fillId="29" borderId="16" xfId="49" applyFont="1" applyFill="1" applyBorder="1" applyAlignment="1">
      <alignment horizontal="center" vertical="center" wrapText="1"/>
    </xf>
    <xf numFmtId="0" fontId="72" fillId="3" borderId="25" xfId="49" applyFont="1" applyFill="1" applyBorder="1" applyAlignment="1">
      <alignment horizontal="center" vertical="center" wrapText="1"/>
    </xf>
    <xf numFmtId="0" fontId="72" fillId="3" borderId="2" xfId="49" applyFont="1" applyFill="1" applyBorder="1" applyAlignment="1">
      <alignment horizontal="center" vertical="center" wrapText="1"/>
    </xf>
    <xf numFmtId="0" fontId="72" fillId="29" borderId="26" xfId="49" applyFont="1" applyFill="1" applyBorder="1" applyAlignment="1">
      <alignment horizontal="center" vertical="center" wrapText="1"/>
    </xf>
    <xf numFmtId="0" fontId="72" fillId="29" borderId="14" xfId="49" applyFont="1" applyFill="1" applyBorder="1" applyAlignment="1">
      <alignment horizontal="center" vertical="center" wrapText="1"/>
    </xf>
    <xf numFmtId="181" fontId="72" fillId="29" borderId="9" xfId="49" applyNumberFormat="1" applyFont="1" applyFill="1" applyBorder="1" applyAlignment="1">
      <alignment horizontal="center" vertical="center" wrapText="1"/>
    </xf>
    <xf numFmtId="0" fontId="65" fillId="29" borderId="9" xfId="0" applyFont="1" applyFill="1" applyBorder="1" applyAlignment="1">
      <alignment horizontal="center" vertical="center"/>
    </xf>
    <xf numFmtId="182" fontId="72" fillId="29" borderId="9" xfId="49" applyNumberFormat="1" applyFont="1" applyFill="1" applyBorder="1" applyAlignment="1">
      <alignment horizontal="center" vertical="center" wrapText="1"/>
    </xf>
    <xf numFmtId="181" fontId="71" fillId="29" borderId="9" xfId="49" applyNumberFormat="1" applyFont="1" applyFill="1" applyBorder="1" applyAlignment="1">
      <alignment horizontal="center" vertical="center" wrapText="1"/>
    </xf>
    <xf numFmtId="181" fontId="71" fillId="30" borderId="9" xfId="49" applyNumberFormat="1" applyFont="1" applyFill="1" applyBorder="1" applyAlignment="1">
      <alignment horizontal="center" vertical="center" wrapText="1"/>
    </xf>
    <xf numFmtId="0" fontId="65" fillId="29" borderId="9" xfId="0" applyFont="1" applyFill="1" applyBorder="1" applyAlignment="1">
      <alignment vertical="center"/>
    </xf>
    <xf numFmtId="0" fontId="9" fillId="3" borderId="37" xfId="49" applyFont="1" applyFill="1" applyBorder="1" applyAlignment="1">
      <alignment horizontal="left" vertical="center" wrapText="1"/>
    </xf>
    <xf numFmtId="0" fontId="9" fillId="3" borderId="3" xfId="49" applyFont="1" applyFill="1" applyBorder="1" applyAlignment="1">
      <alignment horizontal="left" vertical="center" wrapText="1"/>
    </xf>
    <xf numFmtId="0" fontId="73" fillId="3" borderId="2" xfId="49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/>
    </xf>
    <xf numFmtId="180" fontId="73" fillId="3" borderId="2" xfId="49" applyNumberFormat="1" applyFont="1" applyFill="1" applyBorder="1" applyAlignment="1">
      <alignment horizontal="left" vertical="center" wrapText="1"/>
    </xf>
    <xf numFmtId="180" fontId="73" fillId="3" borderId="2" xfId="49" applyNumberFormat="1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0" fontId="1" fillId="3" borderId="26" xfId="49" applyFont="1" applyFill="1" applyBorder="1" applyAlignment="1">
      <alignment horizontal="center" vertical="center" wrapText="1"/>
    </xf>
    <xf numFmtId="0" fontId="1" fillId="3" borderId="3" xfId="49" applyFont="1" applyFill="1" applyBorder="1" applyAlignment="1">
      <alignment horizontal="center" vertical="center" wrapText="1"/>
    </xf>
    <xf numFmtId="182" fontId="9" fillId="3" borderId="2" xfId="0" applyNumberFormat="1" applyFont="1" applyFill="1" applyBorder="1" applyAlignment="1">
      <alignment horizontal="center" vertical="center"/>
    </xf>
    <xf numFmtId="181" fontId="9" fillId="3" borderId="2" xfId="0" applyNumberFormat="1" applyFont="1" applyFill="1" applyBorder="1" applyAlignment="1">
      <alignment horizontal="center" vertical="center"/>
    </xf>
    <xf numFmtId="0" fontId="9" fillId="3" borderId="43" xfId="49" applyFont="1" applyFill="1" applyBorder="1" applyAlignment="1">
      <alignment horizontal="left" vertical="center" wrapText="1"/>
    </xf>
    <xf numFmtId="0" fontId="9" fillId="3" borderId="13" xfId="49" applyFont="1" applyFill="1" applyBorder="1" applyAlignment="1">
      <alignment horizontal="left" vertical="center" wrapText="1"/>
    </xf>
    <xf numFmtId="0" fontId="9" fillId="3" borderId="2" xfId="49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vertical="center" wrapText="1"/>
    </xf>
    <xf numFmtId="180" fontId="73" fillId="11" borderId="2" xfId="49" applyNumberFormat="1" applyFont="1" applyFill="1" applyBorder="1" applyAlignment="1">
      <alignment horizontal="left" vertical="center" wrapText="1"/>
    </xf>
    <xf numFmtId="180" fontId="73" fillId="11" borderId="2" xfId="49" applyNumberFormat="1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/>
    </xf>
    <xf numFmtId="0" fontId="1" fillId="11" borderId="26" xfId="49" applyFont="1" applyFill="1" applyBorder="1" applyAlignment="1">
      <alignment horizontal="center" vertical="center" wrapText="1"/>
    </xf>
    <xf numFmtId="0" fontId="1" fillId="11" borderId="3" xfId="49" applyFont="1" applyFill="1" applyBorder="1" applyAlignment="1">
      <alignment horizontal="center" vertical="center" wrapText="1"/>
    </xf>
    <xf numFmtId="181" fontId="1" fillId="11" borderId="2" xfId="49" applyNumberFormat="1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/>
    </xf>
    <xf numFmtId="181" fontId="9" fillId="11" borderId="2" xfId="0" applyNumberFormat="1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vertical="center"/>
    </xf>
    <xf numFmtId="0" fontId="9" fillId="3" borderId="14" xfId="49" applyFont="1" applyFill="1" applyBorder="1" applyAlignment="1">
      <alignment horizontal="left" vertical="center" wrapText="1"/>
    </xf>
    <xf numFmtId="0" fontId="9" fillId="3" borderId="9" xfId="49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/>
    </xf>
    <xf numFmtId="0" fontId="9" fillId="3" borderId="8" xfId="49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/>
    </xf>
    <xf numFmtId="180" fontId="1" fillId="3" borderId="2" xfId="49" applyNumberFormat="1" applyFont="1" applyFill="1" applyBorder="1" applyAlignment="1">
      <alignment horizontal="left" vertical="center" wrapText="1"/>
    </xf>
    <xf numFmtId="0" fontId="1" fillId="3" borderId="26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left" vertical="center"/>
    </xf>
    <xf numFmtId="0" fontId="9" fillId="0" borderId="37" xfId="0" applyFont="1" applyFill="1" applyBorder="1" applyAlignment="1">
      <alignment horizontal="left" vertical="center"/>
    </xf>
    <xf numFmtId="0" fontId="9" fillId="0" borderId="37" xfId="0" applyFont="1" applyFill="1" applyBorder="1" applyAlignment="1">
      <alignment horizontal="center" vertical="center"/>
    </xf>
    <xf numFmtId="0" fontId="9" fillId="3" borderId="26" xfId="49" applyFont="1" applyFill="1" applyBorder="1" applyAlignment="1">
      <alignment horizontal="center" vertical="center" wrapText="1"/>
    </xf>
    <xf numFmtId="181" fontId="9" fillId="3" borderId="2" xfId="49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/>
    </xf>
    <xf numFmtId="0" fontId="73" fillId="0" borderId="2" xfId="49" applyFont="1" applyFill="1" applyBorder="1" applyAlignment="1">
      <alignment horizontal="left" vertical="center" wrapText="1"/>
    </xf>
    <xf numFmtId="181" fontId="1" fillId="3" borderId="10" xfId="0" applyNumberFormat="1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left" vertical="center"/>
    </xf>
    <xf numFmtId="0" fontId="9" fillId="3" borderId="8" xfId="0" applyFont="1" applyFill="1" applyBorder="1" applyAlignment="1">
      <alignment vertical="center"/>
    </xf>
    <xf numFmtId="180" fontId="73" fillId="3" borderId="8" xfId="49" applyNumberFormat="1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center" vertical="center"/>
    </xf>
    <xf numFmtId="181" fontId="1" fillId="3" borderId="44" xfId="0" applyNumberFormat="1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181" fontId="1" fillId="3" borderId="8" xfId="0" applyNumberFormat="1" applyFont="1" applyFill="1" applyBorder="1" applyAlignment="1">
      <alignment horizontal="center" vertical="center"/>
    </xf>
    <xf numFmtId="182" fontId="9" fillId="3" borderId="8" xfId="0" applyNumberFormat="1" applyFont="1" applyFill="1" applyBorder="1" applyAlignment="1">
      <alignment horizontal="center" vertical="center"/>
    </xf>
    <xf numFmtId="181" fontId="9" fillId="3" borderId="8" xfId="0" applyNumberFormat="1" applyFont="1" applyFill="1" applyBorder="1" applyAlignment="1">
      <alignment horizontal="center" vertical="center"/>
    </xf>
    <xf numFmtId="0" fontId="73" fillId="3" borderId="8" xfId="49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vertical="center" wrapText="1"/>
    </xf>
    <xf numFmtId="0" fontId="43" fillId="3" borderId="2" xfId="0" applyFont="1" applyFill="1" applyBorder="1" applyAlignment="1">
      <alignment vertical="center"/>
    </xf>
    <xf numFmtId="0" fontId="43" fillId="3" borderId="2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/>
    </xf>
    <xf numFmtId="0" fontId="55" fillId="3" borderId="2" xfId="49" applyFont="1" applyFill="1" applyBorder="1" applyAlignment="1">
      <alignment horizontal="center" vertical="center" wrapText="1"/>
    </xf>
    <xf numFmtId="181" fontId="3" fillId="3" borderId="2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181" fontId="4" fillId="30" borderId="2" xfId="0" applyNumberFormat="1" applyFont="1" applyFill="1" applyBorder="1" applyAlignment="1">
      <alignment horizontal="center" vertical="center"/>
    </xf>
    <xf numFmtId="0" fontId="69" fillId="3" borderId="2" xfId="0" applyFont="1" applyFill="1" applyBorder="1" applyAlignment="1">
      <alignment vertical="center"/>
    </xf>
    <xf numFmtId="0" fontId="9" fillId="6" borderId="3" xfId="0" applyFont="1" applyFill="1" applyBorder="1" applyAlignment="1">
      <alignment horizontal="center" vertical="center"/>
    </xf>
    <xf numFmtId="0" fontId="55" fillId="6" borderId="2" xfId="49" applyFont="1" applyFill="1" applyBorder="1" applyAlignment="1">
      <alignment horizontal="center" vertical="center" wrapText="1"/>
    </xf>
    <xf numFmtId="182" fontId="9" fillId="6" borderId="2" xfId="0" applyNumberFormat="1" applyFont="1" applyFill="1" applyBorder="1" applyAlignment="1">
      <alignment horizontal="center" vertical="center"/>
    </xf>
    <xf numFmtId="0" fontId="3" fillId="6" borderId="2" xfId="0" applyNumberFormat="1" applyFont="1" applyFill="1" applyBorder="1" applyAlignment="1">
      <alignment horizontal="center" vertical="center"/>
    </xf>
    <xf numFmtId="181" fontId="3" fillId="6" borderId="2" xfId="0" applyNumberFormat="1" applyFont="1" applyFill="1" applyBorder="1" applyAlignment="1">
      <alignment horizontal="center" vertical="center"/>
    </xf>
    <xf numFmtId="181" fontId="4" fillId="6" borderId="2" xfId="0" applyNumberFormat="1" applyFont="1" applyFill="1" applyBorder="1" applyAlignment="1">
      <alignment horizontal="center" vertical="center"/>
    </xf>
    <xf numFmtId="0" fontId="43" fillId="6" borderId="2" xfId="0" applyFont="1" applyFill="1" applyBorder="1" applyAlignment="1">
      <alignment horizontal="left" vertical="center"/>
    </xf>
    <xf numFmtId="0" fontId="74" fillId="3" borderId="13" xfId="0" applyFont="1" applyFill="1" applyBorder="1" applyAlignment="1">
      <alignment horizontal="center" vertical="center"/>
    </xf>
    <xf numFmtId="182" fontId="74" fillId="3" borderId="2" xfId="0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/>
    </xf>
    <xf numFmtId="0" fontId="74" fillId="6" borderId="13" xfId="0" applyFont="1" applyFill="1" applyBorder="1" applyAlignment="1">
      <alignment horizontal="center" vertical="center"/>
    </xf>
    <xf numFmtId="0" fontId="43" fillId="6" borderId="2" xfId="0" applyFont="1" applyFill="1" applyBorder="1" applyAlignment="1">
      <alignment vertical="center"/>
    </xf>
    <xf numFmtId="182" fontId="74" fillId="6" borderId="2" xfId="0" applyNumberFormat="1" applyFont="1" applyFill="1" applyBorder="1" applyAlignment="1">
      <alignment horizontal="center" vertical="center"/>
    </xf>
    <xf numFmtId="181" fontId="9" fillId="6" borderId="2" xfId="0" applyNumberFormat="1" applyFont="1" applyFill="1" applyBorder="1" applyAlignment="1">
      <alignment horizontal="center" vertical="center"/>
    </xf>
    <xf numFmtId="182" fontId="3" fillId="3" borderId="2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74" fillId="3" borderId="9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181" fontId="1" fillId="3" borderId="0" xfId="0" applyNumberFormat="1" applyFont="1" applyFill="1" applyBorder="1" applyAlignment="1">
      <alignment horizontal="center" vertical="center"/>
    </xf>
    <xf numFmtId="181" fontId="1" fillId="3" borderId="0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0" fontId="38" fillId="3" borderId="0" xfId="0" applyFont="1" applyFill="1" applyBorder="1" applyAlignment="1">
      <alignment vertical="center"/>
    </xf>
    <xf numFmtId="0" fontId="69" fillId="4" borderId="2" xfId="0" applyFont="1" applyFill="1" applyBorder="1" applyAlignment="1">
      <alignment horizontal="center" vertical="center"/>
    </xf>
    <xf numFmtId="0" fontId="5" fillId="4" borderId="3" xfId="49" applyFont="1" applyFill="1" applyBorder="1" applyAlignment="1">
      <alignment horizontal="left" vertical="center" wrapText="1"/>
    </xf>
    <xf numFmtId="0" fontId="69" fillId="4" borderId="2" xfId="0" applyFont="1" applyFill="1" applyBorder="1" applyAlignment="1">
      <alignment vertical="center"/>
    </xf>
    <xf numFmtId="0" fontId="43" fillId="19" borderId="2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179" fontId="1" fillId="19" borderId="2" xfId="0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left" vertical="center" wrapText="1"/>
    </xf>
    <xf numFmtId="0" fontId="3" fillId="19" borderId="2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vertical="center"/>
    </xf>
    <xf numFmtId="0" fontId="12" fillId="3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vertical="center"/>
    </xf>
    <xf numFmtId="0" fontId="1" fillId="6" borderId="0" xfId="0" applyFont="1" applyFill="1" applyBorder="1" applyAlignment="1">
      <alignment horizontal="center" vertical="center"/>
    </xf>
    <xf numFmtId="181" fontId="1" fillId="6" borderId="0" xfId="0" applyNumberFormat="1" applyFont="1" applyFill="1" applyBorder="1" applyAlignment="1">
      <alignment horizontal="center" vertical="center"/>
    </xf>
    <xf numFmtId="181" fontId="1" fillId="6" borderId="0" xfId="0" applyNumberFormat="1" applyFont="1" applyFill="1" applyBorder="1" applyAlignment="1">
      <alignment vertical="center"/>
    </xf>
    <xf numFmtId="0" fontId="9" fillId="6" borderId="0" xfId="0" applyFont="1" applyFill="1" applyBorder="1" applyAlignment="1">
      <alignment vertical="center"/>
    </xf>
    <xf numFmtId="181" fontId="24" fillId="6" borderId="2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5" fillId="4" borderId="2" xfId="0" applyFont="1" applyFill="1" applyBorder="1" applyAlignment="1">
      <alignment horizontal="left" vertical="center"/>
    </xf>
    <xf numFmtId="0" fontId="38" fillId="0" borderId="0" xfId="0" applyFont="1" applyFill="1" applyBorder="1" applyAlignment="1">
      <alignment vertical="center"/>
    </xf>
    <xf numFmtId="0" fontId="4" fillId="0" borderId="2" xfId="49" applyFont="1" applyFill="1" applyBorder="1" applyAlignment="1">
      <alignment horizontal="left" vertical="center" wrapText="1"/>
    </xf>
    <xf numFmtId="0" fontId="43" fillId="0" borderId="2" xfId="49" applyFont="1" applyFill="1" applyBorder="1" applyAlignment="1">
      <alignment horizontal="center" vertical="center" wrapText="1"/>
    </xf>
    <xf numFmtId="0" fontId="5" fillId="0" borderId="2" xfId="49" applyFont="1" applyFill="1" applyBorder="1" applyAlignment="1">
      <alignment horizontal="left" vertical="center" wrapText="1"/>
    </xf>
    <xf numFmtId="0" fontId="5" fillId="0" borderId="2" xfId="49" applyFont="1" applyFill="1" applyBorder="1" applyAlignment="1">
      <alignment horizontal="center" vertical="center" wrapText="1"/>
    </xf>
    <xf numFmtId="0" fontId="20" fillId="0" borderId="2" xfId="0" applyNumberFormat="1" applyFont="1" applyFill="1" applyBorder="1" applyAlignment="1">
      <alignment horizontal="center" vertical="center"/>
    </xf>
    <xf numFmtId="181" fontId="5" fillId="0" borderId="2" xfId="49" applyNumberFormat="1" applyFont="1" applyFill="1" applyBorder="1" applyAlignment="1">
      <alignment horizontal="center" vertical="center" wrapText="1"/>
    </xf>
    <xf numFmtId="14" fontId="4" fillId="0" borderId="2" xfId="49" applyNumberFormat="1" applyFont="1" applyFill="1" applyBorder="1" applyAlignment="1">
      <alignment horizontal="center" vertical="center" wrapText="1"/>
    </xf>
    <xf numFmtId="0" fontId="48" fillId="0" borderId="2" xfId="0" applyFont="1" applyFill="1" applyBorder="1">
      <alignment vertical="center"/>
    </xf>
    <xf numFmtId="0" fontId="17" fillId="0" borderId="2" xfId="0" applyFont="1" applyFill="1" applyBorder="1" applyAlignment="1">
      <alignment vertical="center" wrapText="1"/>
    </xf>
    <xf numFmtId="180" fontId="5" fillId="0" borderId="2" xfId="49" applyNumberFormat="1" applyFont="1" applyFill="1" applyBorder="1" applyAlignment="1">
      <alignment horizontal="center" vertical="center" wrapText="1"/>
    </xf>
    <xf numFmtId="0" fontId="69" fillId="0" borderId="2" xfId="49" applyFont="1" applyFill="1" applyBorder="1" applyAlignment="1">
      <alignment horizontal="center" vertical="center" wrapText="1"/>
    </xf>
    <xf numFmtId="0" fontId="20" fillId="0" borderId="2" xfId="0" applyNumberFormat="1" applyFont="1" applyFill="1" applyBorder="1" applyAlignment="1">
      <alignment horizontal="center"/>
    </xf>
    <xf numFmtId="14" fontId="1" fillId="0" borderId="2" xfId="49" applyNumberFormat="1" applyFont="1" applyFill="1" applyBorder="1" applyAlignment="1">
      <alignment horizontal="left" vertical="center" wrapText="1"/>
    </xf>
    <xf numFmtId="0" fontId="57" fillId="0" borderId="3" xfId="0" applyFont="1" applyFill="1" applyBorder="1" applyAlignment="1">
      <alignment vertical="center"/>
    </xf>
    <xf numFmtId="0" fontId="9" fillId="0" borderId="3" xfId="0" applyFont="1" applyFill="1" applyBorder="1" applyAlignment="1">
      <alignment vertical="center"/>
    </xf>
    <xf numFmtId="0" fontId="43" fillId="0" borderId="2" xfId="49" applyNumberFormat="1" applyFont="1" applyFill="1" applyBorder="1" applyAlignment="1">
      <alignment horizontal="center" vertical="center" wrapText="1"/>
    </xf>
    <xf numFmtId="0" fontId="49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81" fontId="1" fillId="6" borderId="2" xfId="49" applyNumberFormat="1" applyFont="1" applyFill="1" applyBorder="1" applyAlignment="1">
      <alignment horizontal="center" vertical="center" wrapText="1"/>
    </xf>
    <xf numFmtId="0" fontId="0" fillId="0" borderId="2" xfId="0" applyFill="1" applyBorder="1">
      <alignment vertical="center"/>
    </xf>
    <xf numFmtId="24" fontId="12" fillId="0" borderId="2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9" fillId="0" borderId="2" xfId="49" applyFont="1" applyFill="1" applyBorder="1" applyAlignment="1">
      <alignment vertical="center" wrapText="1"/>
    </xf>
    <xf numFmtId="14" fontId="9" fillId="0" borderId="2" xfId="49" applyNumberFormat="1" applyFont="1" applyFill="1" applyBorder="1" applyAlignment="1">
      <alignment horizontal="center" vertical="center" wrapText="1"/>
    </xf>
    <xf numFmtId="181" fontId="3" fillId="0" borderId="2" xfId="0" applyNumberFormat="1" applyFont="1" applyFill="1" applyBorder="1" applyAlignment="1">
      <alignment horizontal="center" vertical="center"/>
    </xf>
    <xf numFmtId="0" fontId="9" fillId="6" borderId="2" xfId="49" applyFont="1" applyFill="1" applyBorder="1" applyAlignment="1">
      <alignment vertical="center" wrapText="1"/>
    </xf>
    <xf numFmtId="0" fontId="20" fillId="6" borderId="2" xfId="0" applyNumberFormat="1" applyFont="1" applyFill="1" applyBorder="1" applyAlignment="1">
      <alignment horizontal="center" vertical="center"/>
    </xf>
    <xf numFmtId="0" fontId="75" fillId="6" borderId="2" xfId="0" applyFont="1" applyFill="1" applyBorder="1" applyAlignment="1">
      <alignment horizontal="left" vertical="center"/>
    </xf>
    <xf numFmtId="0" fontId="75" fillId="0" borderId="2" xfId="0" applyFont="1" applyFill="1" applyBorder="1" applyAlignment="1">
      <alignment horizontal="left" vertical="center"/>
    </xf>
    <xf numFmtId="14" fontId="76" fillId="0" borderId="2" xfId="0" applyNumberFormat="1" applyFont="1" applyFill="1" applyBorder="1" applyAlignment="1">
      <alignment horizontal="center"/>
    </xf>
    <xf numFmtId="0" fontId="74" fillId="0" borderId="2" xfId="0" applyFont="1" applyFill="1" applyBorder="1" applyAlignment="1">
      <alignment horizontal="center" vertical="center"/>
    </xf>
    <xf numFmtId="0" fontId="76" fillId="0" borderId="2" xfId="0" applyFont="1" applyFill="1" applyBorder="1" applyAlignment="1">
      <alignment horizontal="center"/>
    </xf>
    <xf numFmtId="0" fontId="74" fillId="0" borderId="2" xfId="0" applyFont="1" applyFill="1" applyBorder="1" applyAlignment="1">
      <alignment horizontal="center"/>
    </xf>
    <xf numFmtId="0" fontId="75" fillId="0" borderId="2" xfId="0" applyFont="1" applyFill="1" applyBorder="1" applyAlignment="1">
      <alignment horizontal="center" vertical="center"/>
    </xf>
    <xf numFmtId="0" fontId="74" fillId="0" borderId="2" xfId="0" applyFont="1" applyFill="1" applyBorder="1" applyAlignment="1">
      <alignment horizontal="left"/>
    </xf>
    <xf numFmtId="0" fontId="74" fillId="0" borderId="2" xfId="0" applyFont="1" applyFill="1" applyBorder="1" applyAlignment="1">
      <alignment horizontal="left" vertical="center"/>
    </xf>
    <xf numFmtId="0" fontId="76" fillId="0" borderId="2" xfId="0" applyFont="1" applyFill="1" applyBorder="1" applyAlignment="1">
      <alignment horizontal="center" vertical="center"/>
    </xf>
    <xf numFmtId="182" fontId="74" fillId="0" borderId="2" xfId="0" applyNumberFormat="1" applyFont="1" applyFill="1" applyBorder="1" applyAlignment="1">
      <alignment horizontal="center" vertical="center"/>
    </xf>
    <xf numFmtId="181" fontId="74" fillId="0" borderId="2" xfId="0" applyNumberFormat="1" applyFont="1" applyFill="1" applyBorder="1" applyAlignment="1">
      <alignment horizontal="center" vertical="center"/>
    </xf>
    <xf numFmtId="0" fontId="74" fillId="6" borderId="2" xfId="0" applyFont="1" applyFill="1" applyBorder="1" applyAlignment="1">
      <alignment horizontal="left"/>
    </xf>
    <xf numFmtId="0" fontId="74" fillId="6" borderId="2" xfId="0" applyFont="1" applyFill="1" applyBorder="1" applyAlignment="1">
      <alignment horizontal="left" vertical="center"/>
    </xf>
    <xf numFmtId="0" fontId="74" fillId="6" borderId="2" xfId="0" applyFont="1" applyFill="1" applyBorder="1" applyAlignment="1">
      <alignment horizontal="center" vertical="center"/>
    </xf>
    <xf numFmtId="0" fontId="76" fillId="6" borderId="2" xfId="0" applyFont="1" applyFill="1" applyBorder="1" applyAlignment="1">
      <alignment horizontal="center" vertical="center"/>
    </xf>
    <xf numFmtId="181" fontId="74" fillId="6" borderId="2" xfId="0" applyNumberFormat="1" applyFont="1" applyFill="1" applyBorder="1" applyAlignment="1">
      <alignment horizontal="center" vertical="center"/>
    </xf>
    <xf numFmtId="0" fontId="26" fillId="0" borderId="2" xfId="49" applyFont="1" applyFill="1" applyBorder="1" applyAlignment="1">
      <alignment horizontal="left" vertical="center" wrapText="1"/>
    </xf>
    <xf numFmtId="14" fontId="26" fillId="0" borderId="2" xfId="49" applyNumberFormat="1" applyFont="1" applyFill="1" applyBorder="1" applyAlignment="1">
      <alignment horizontal="center" vertical="center" wrapText="1"/>
    </xf>
    <xf numFmtId="0" fontId="77" fillId="0" borderId="2" xfId="0" applyFont="1" applyFill="1" applyBorder="1" applyAlignment="1">
      <alignment horizontal="center" vertical="center"/>
    </xf>
    <xf numFmtId="0" fontId="27" fillId="6" borderId="3" xfId="49" applyFont="1" applyFill="1" applyBorder="1" applyAlignment="1">
      <alignment horizontal="left" vertical="center" wrapText="1"/>
    </xf>
    <xf numFmtId="14" fontId="9" fillId="0" borderId="2" xfId="0" applyNumberFormat="1" applyFont="1" applyFill="1" applyBorder="1" applyAlignment="1">
      <alignment horizontal="left" vertical="center"/>
    </xf>
    <xf numFmtId="0" fontId="43" fillId="0" borderId="2" xfId="0" applyFont="1" applyFill="1" applyBorder="1" applyAlignment="1">
      <alignment horizontal="left" vertical="center"/>
    </xf>
    <xf numFmtId="14" fontId="9" fillId="3" borderId="0" xfId="0" applyNumberFormat="1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/>
    </xf>
    <xf numFmtId="0" fontId="9" fillId="6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center" vertical="center"/>
    </xf>
    <xf numFmtId="180" fontId="20" fillId="3" borderId="2" xfId="0" applyNumberFormat="1" applyFont="1" applyFill="1" applyBorder="1" applyAlignment="1">
      <alignment horizontal="left" vertical="center"/>
    </xf>
    <xf numFmtId="0" fontId="9" fillId="19" borderId="2" xfId="49" applyFont="1" applyFill="1" applyBorder="1" applyAlignment="1">
      <alignment horizontal="left" vertical="center" wrapText="1"/>
    </xf>
    <xf numFmtId="14" fontId="9" fillId="19" borderId="2" xfId="49" applyNumberFormat="1" applyFont="1" applyFill="1" applyBorder="1" applyAlignment="1">
      <alignment horizontal="center" vertical="center" wrapText="1"/>
    </xf>
    <xf numFmtId="0" fontId="9" fillId="19" borderId="2" xfId="49" applyFont="1" applyFill="1" applyBorder="1" applyAlignment="1">
      <alignment horizontal="center" vertical="center" wrapText="1"/>
    </xf>
    <xf numFmtId="0" fontId="1" fillId="19" borderId="2" xfId="49" applyFont="1" applyFill="1" applyBorder="1" applyAlignment="1">
      <alignment horizontal="center" vertical="center" wrapText="1"/>
    </xf>
    <xf numFmtId="0" fontId="1" fillId="19" borderId="2" xfId="49" applyFont="1" applyFill="1" applyBorder="1" applyAlignment="1">
      <alignment horizontal="left" vertical="center" wrapText="1"/>
    </xf>
    <xf numFmtId="0" fontId="9" fillId="19" borderId="2" xfId="0" applyNumberFormat="1" applyFont="1" applyFill="1" applyBorder="1" applyAlignment="1">
      <alignment horizontal="center" vertical="center"/>
    </xf>
    <xf numFmtId="0" fontId="43" fillId="19" borderId="2" xfId="0" applyNumberFormat="1" applyFont="1" applyFill="1" applyBorder="1" applyAlignment="1">
      <alignment horizontal="center" vertical="center"/>
    </xf>
    <xf numFmtId="0" fontId="3" fillId="19" borderId="2" xfId="49" applyFont="1" applyFill="1" applyBorder="1" applyAlignment="1">
      <alignment horizontal="center" vertical="center" wrapText="1"/>
    </xf>
    <xf numFmtId="181" fontId="1" fillId="19" borderId="2" xfId="49" applyNumberFormat="1" applyFont="1" applyFill="1" applyBorder="1" applyAlignment="1">
      <alignment horizontal="center" vertical="center" wrapText="1"/>
    </xf>
    <xf numFmtId="0" fontId="20" fillId="0" borderId="0" xfId="0" applyFont="1" applyFill="1" applyAlignment="1">
      <alignment vertical="center"/>
    </xf>
    <xf numFmtId="180" fontId="1" fillId="19" borderId="2" xfId="49" applyNumberFormat="1" applyFont="1" applyFill="1" applyBorder="1" applyAlignment="1">
      <alignment horizontal="center" vertical="center" wrapText="1"/>
    </xf>
    <xf numFmtId="0" fontId="9" fillId="19" borderId="2" xfId="0" applyNumberFormat="1" applyFont="1" applyFill="1" applyBorder="1" applyAlignment="1">
      <alignment horizontal="center"/>
    </xf>
    <xf numFmtId="0" fontId="9" fillId="19" borderId="2" xfId="0" applyFont="1" applyFill="1" applyBorder="1" applyAlignment="1">
      <alignment horizontal="left" vertical="center"/>
    </xf>
    <xf numFmtId="14" fontId="1" fillId="19" borderId="2" xfId="0" applyNumberFormat="1" applyFont="1" applyFill="1" applyBorder="1" applyAlignment="1">
      <alignment horizontal="center" vertical="center"/>
    </xf>
    <xf numFmtId="0" fontId="78" fillId="19" borderId="2" xfId="0" applyNumberFormat="1" applyFont="1" applyFill="1" applyBorder="1" applyAlignment="1">
      <alignment horizontal="center"/>
    </xf>
    <xf numFmtId="0" fontId="43" fillId="0" borderId="0" xfId="0" applyFont="1" applyFill="1" applyBorder="1" applyAlignment="1">
      <alignment vertical="center"/>
    </xf>
    <xf numFmtId="0" fontId="78" fillId="19" borderId="2" xfId="0" applyNumberFormat="1" applyFont="1" applyFill="1" applyBorder="1" applyAlignment="1">
      <alignment horizontal="center" vertical="center"/>
    </xf>
    <xf numFmtId="181" fontId="1" fillId="19" borderId="2" xfId="0" applyNumberFormat="1" applyFont="1" applyFill="1" applyBorder="1" applyAlignment="1">
      <alignment horizontal="left" vertical="center"/>
    </xf>
    <xf numFmtId="0" fontId="69" fillId="0" borderId="0" xfId="0" applyFont="1" applyFill="1" applyAlignment="1">
      <alignment vertical="center"/>
    </xf>
    <xf numFmtId="0" fontId="1" fillId="19" borderId="2" xfId="0" applyNumberFormat="1" applyFont="1" applyFill="1" applyBorder="1" applyAlignment="1">
      <alignment horizontal="center"/>
    </xf>
    <xf numFmtId="182" fontId="1" fillId="19" borderId="2" xfId="49" applyNumberFormat="1" applyFont="1" applyFill="1" applyBorder="1" applyAlignment="1">
      <alignment horizontal="center" vertical="center" wrapText="1"/>
    </xf>
    <xf numFmtId="0" fontId="9" fillId="19" borderId="0" xfId="0" applyFont="1" applyFill="1" applyBorder="1" applyAlignment="1">
      <alignment horizontal="center"/>
    </xf>
    <xf numFmtId="0" fontId="9" fillId="19" borderId="2" xfId="0" applyFont="1" applyFill="1" applyBorder="1" applyAlignment="1">
      <alignment horizontal="center"/>
    </xf>
    <xf numFmtId="0" fontId="9" fillId="19" borderId="2" xfId="0" applyFont="1" applyFill="1" applyBorder="1" applyAlignment="1">
      <alignment horizontal="left"/>
    </xf>
    <xf numFmtId="0" fontId="55" fillId="19" borderId="2" xfId="0" applyFont="1" applyFill="1" applyBorder="1" applyAlignment="1">
      <alignment horizontal="left" vertical="center"/>
    </xf>
    <xf numFmtId="14" fontId="9" fillId="19" borderId="2" xfId="0" applyNumberFormat="1" applyFont="1" applyFill="1" applyBorder="1" applyAlignment="1">
      <alignment horizontal="center" vertical="center"/>
    </xf>
    <xf numFmtId="0" fontId="9" fillId="19" borderId="2" xfId="0" applyFont="1" applyFill="1" applyBorder="1" applyAlignment="1">
      <alignment horizontal="center" vertical="center"/>
    </xf>
    <xf numFmtId="0" fontId="1" fillId="19" borderId="2" xfId="49" applyNumberFormat="1" applyFont="1" applyFill="1" applyBorder="1" applyAlignment="1">
      <alignment horizontal="center" vertical="center" wrapText="1"/>
    </xf>
    <xf numFmtId="0" fontId="79" fillId="19" borderId="2" xfId="0" applyNumberFormat="1" applyFont="1" applyFill="1" applyBorder="1" applyAlignment="1">
      <alignment horizontal="center"/>
    </xf>
    <xf numFmtId="0" fontId="1" fillId="6" borderId="0" xfId="0" applyFont="1" applyFill="1" applyBorder="1" applyAlignment="1">
      <alignment horizontal="left" vertical="center"/>
    </xf>
    <xf numFmtId="181" fontId="12" fillId="3" borderId="0" xfId="0" applyNumberFormat="1" applyFont="1" applyFill="1" applyBorder="1" applyAlignment="1">
      <alignment horizontal="center" vertical="center"/>
    </xf>
    <xf numFmtId="14" fontId="9" fillId="3" borderId="0" xfId="0" applyNumberFormat="1" applyFont="1" applyFill="1" applyBorder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80" fillId="0" borderId="0" xfId="0" applyFont="1" applyFill="1">
      <alignment vertical="center"/>
    </xf>
    <xf numFmtId="0" fontId="0" fillId="6" borderId="0" xfId="0" applyFill="1">
      <alignment vertical="center"/>
    </xf>
    <xf numFmtId="182" fontId="9" fillId="3" borderId="0" xfId="0" applyNumberFormat="1" applyFont="1" applyFill="1" applyAlignment="1">
      <alignment vertical="center"/>
    </xf>
    <xf numFmtId="181" fontId="9" fillId="3" borderId="0" xfId="0" applyNumberFormat="1" applyFont="1" applyFill="1" applyAlignment="1">
      <alignment vertical="center"/>
    </xf>
    <xf numFmtId="180" fontId="18" fillId="3" borderId="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/>
    </xf>
    <xf numFmtId="0" fontId="5" fillId="3" borderId="0" xfId="0" applyNumberFormat="1" applyFont="1" applyFill="1" applyBorder="1" applyAlignment="1">
      <alignment horizontal="center"/>
    </xf>
    <xf numFmtId="182" fontId="4" fillId="3" borderId="0" xfId="0" applyNumberFormat="1" applyFont="1" applyFill="1" applyBorder="1" applyAlignment="1">
      <alignment horizontal="center" vertical="center"/>
    </xf>
    <xf numFmtId="0" fontId="70" fillId="3" borderId="0" xfId="0" applyFont="1" applyFill="1" applyAlignment="1">
      <alignment horizontal="center" vertical="center"/>
    </xf>
    <xf numFmtId="0" fontId="81" fillId="0" borderId="2" xfId="0" applyFont="1" applyFill="1" applyBorder="1" applyAlignment="1">
      <alignment horizontal="center" vertical="center"/>
    </xf>
    <xf numFmtId="0" fontId="82" fillId="0" borderId="2" xfId="0" applyFont="1" applyFill="1" applyBorder="1" applyAlignment="1">
      <alignment horizontal="left" vertical="center"/>
    </xf>
    <xf numFmtId="179" fontId="83" fillId="0" borderId="2" xfId="0" applyNumberFormat="1" applyFont="1" applyFill="1" applyBorder="1" applyAlignment="1">
      <alignment horizontal="center" vertical="center"/>
    </xf>
    <xf numFmtId="0" fontId="81" fillId="0" borderId="1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81" fillId="0" borderId="3" xfId="0" applyFont="1" applyFill="1" applyBorder="1" applyAlignment="1">
      <alignment horizontal="left" vertical="center"/>
    </xf>
    <xf numFmtId="179" fontId="81" fillId="0" borderId="2" xfId="0" applyNumberFormat="1" applyFont="1" applyFill="1" applyBorder="1" applyAlignment="1">
      <alignment horizontal="center" vertical="center"/>
    </xf>
    <xf numFmtId="0" fontId="81" fillId="0" borderId="2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center" vertical="center"/>
    </xf>
    <xf numFmtId="0" fontId="69" fillId="4" borderId="2" xfId="49" applyFont="1" applyFill="1" applyBorder="1" applyAlignment="1">
      <alignment horizontal="center" vertical="center" wrapText="1"/>
    </xf>
    <xf numFmtId="0" fontId="38" fillId="19" borderId="2" xfId="49" applyFont="1" applyFill="1" applyBorder="1" applyAlignment="1">
      <alignment horizontal="center" vertical="center" wrapText="1"/>
    </xf>
    <xf numFmtId="0" fontId="18" fillId="19" borderId="2" xfId="49" applyFont="1" applyFill="1" applyBorder="1" applyAlignment="1">
      <alignment horizontal="center" vertical="center" wrapText="1"/>
    </xf>
    <xf numFmtId="0" fontId="5" fillId="19" borderId="2" xfId="49" applyFont="1" applyFill="1" applyBorder="1" applyAlignment="1">
      <alignment horizontal="center" vertical="center" wrapText="1"/>
    </xf>
    <xf numFmtId="0" fontId="69" fillId="19" borderId="2" xfId="49" applyFont="1" applyFill="1" applyBorder="1" applyAlignment="1">
      <alignment horizontal="center" vertical="center" wrapText="1"/>
    </xf>
    <xf numFmtId="0" fontId="7" fillId="19" borderId="2" xfId="49" applyFont="1" applyFill="1" applyBorder="1" applyAlignment="1">
      <alignment horizontal="center" vertical="center" wrapText="1"/>
    </xf>
    <xf numFmtId="0" fontId="9" fillId="6" borderId="2" xfId="49" applyFont="1" applyFill="1" applyBorder="1" applyAlignment="1">
      <alignment horizontal="left" vertical="center" wrapText="1"/>
    </xf>
    <xf numFmtId="0" fontId="7" fillId="0" borderId="16" xfId="49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vertical="center"/>
    </xf>
    <xf numFmtId="0" fontId="7" fillId="0" borderId="10" xfId="49" applyFont="1" applyFill="1" applyBorder="1" applyAlignment="1">
      <alignment horizontal="left" vertical="center" wrapText="1"/>
    </xf>
    <xf numFmtId="0" fontId="49" fillId="0" borderId="0" xfId="0" applyFont="1" applyFill="1" applyAlignment="1">
      <alignment horizontal="center" vertical="center"/>
    </xf>
    <xf numFmtId="0" fontId="7" fillId="0" borderId="37" xfId="0" applyFont="1" applyFill="1" applyBorder="1" applyAlignment="1">
      <alignment vertical="center"/>
    </xf>
    <xf numFmtId="0" fontId="3" fillId="0" borderId="37" xfId="0" applyFont="1" applyFill="1" applyBorder="1" applyAlignment="1">
      <alignment vertical="center"/>
    </xf>
    <xf numFmtId="0" fontId="7" fillId="0" borderId="9" xfId="0" applyFont="1" applyFill="1" applyBorder="1" applyAlignment="1">
      <alignment horizontal="left" vertical="center"/>
    </xf>
    <xf numFmtId="0" fontId="84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18" fillId="0" borderId="8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2" fillId="6" borderId="2" xfId="0" applyFont="1" applyFill="1" applyBorder="1" applyAlignment="1">
      <alignment horizontal="center"/>
    </xf>
    <xf numFmtId="0" fontId="9" fillId="19" borderId="2" xfId="49" applyFont="1" applyFill="1" applyBorder="1" applyAlignment="1">
      <alignment vertical="center" wrapText="1"/>
    </xf>
    <xf numFmtId="0" fontId="43" fillId="19" borderId="2" xfId="49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9" fillId="19" borderId="2" xfId="0" applyFont="1" applyFill="1" applyBorder="1" applyAlignment="1">
      <alignment vertical="center"/>
    </xf>
    <xf numFmtId="182" fontId="9" fillId="19" borderId="2" xfId="0" applyNumberFormat="1" applyFont="1" applyFill="1" applyBorder="1" applyAlignment="1">
      <alignment horizontal="center" vertical="center"/>
    </xf>
    <xf numFmtId="181" fontId="9" fillId="19" borderId="2" xfId="0" applyNumberFormat="1" applyFont="1" applyFill="1" applyBorder="1" applyAlignment="1">
      <alignment horizontal="center" vertical="center"/>
    </xf>
    <xf numFmtId="0" fontId="85" fillId="19" borderId="2" xfId="49" applyFont="1" applyFill="1" applyBorder="1" applyAlignment="1">
      <alignment horizontal="center" vertical="center" wrapText="1"/>
    </xf>
    <xf numFmtId="181" fontId="86" fillId="19" borderId="2" xfId="0" applyNumberFormat="1" applyFont="1" applyFill="1" applyBorder="1" applyAlignment="1">
      <alignment horizontal="center" vertical="center"/>
    </xf>
    <xf numFmtId="183" fontId="7" fillId="19" borderId="2" xfId="0" applyNumberFormat="1" applyFont="1" applyFill="1" applyBorder="1" applyAlignment="1">
      <alignment horizontal="left" vertical="center"/>
    </xf>
    <xf numFmtId="0" fontId="9" fillId="19" borderId="0" xfId="0" applyFont="1" applyFill="1" applyAlignment="1">
      <alignment vertical="center"/>
    </xf>
    <xf numFmtId="182" fontId="9" fillId="3" borderId="0" xfId="0" applyNumberFormat="1" applyFont="1" applyFill="1" applyAlignment="1">
      <alignment horizontal="center" vertical="center"/>
    </xf>
    <xf numFmtId="0" fontId="4" fillId="3" borderId="0" xfId="0" applyFont="1" applyFill="1" applyBorder="1" applyAlignment="1">
      <alignment horizontal="left"/>
    </xf>
    <xf numFmtId="0" fontId="48" fillId="0" borderId="0" xfId="0" applyNumberFormat="1" applyFont="1" applyFill="1" applyBorder="1" applyAlignment="1">
      <alignment horizontal="center"/>
    </xf>
    <xf numFmtId="0" fontId="49" fillId="3" borderId="0" xfId="0" applyNumberFormat="1" applyFont="1" applyFill="1" applyBorder="1" applyAlignment="1">
      <alignment horizontal="center"/>
    </xf>
    <xf numFmtId="0" fontId="69" fillId="4" borderId="2" xfId="49" applyFont="1" applyFill="1" applyBorder="1" applyAlignment="1">
      <alignment horizontal="left" vertical="center" wrapText="1"/>
    </xf>
    <xf numFmtId="0" fontId="5" fillId="6" borderId="2" xfId="49" applyFont="1" applyFill="1" applyBorder="1" applyAlignment="1">
      <alignment horizontal="center" vertical="center" wrapText="1"/>
    </xf>
    <xf numFmtId="0" fontId="9" fillId="19" borderId="13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left"/>
    </xf>
    <xf numFmtId="0" fontId="3" fillId="19" borderId="2" xfId="0" applyFont="1" applyFill="1" applyBorder="1" applyAlignment="1">
      <alignment horizontal="center"/>
    </xf>
    <xf numFmtId="181" fontId="7" fillId="19" borderId="2" xfId="0" applyNumberFormat="1" applyFont="1" applyFill="1" applyBorder="1" applyAlignment="1">
      <alignment horizontal="left" vertical="center"/>
    </xf>
    <xf numFmtId="0" fontId="16" fillId="19" borderId="0" xfId="0" applyFont="1" applyFill="1" applyAlignment="1">
      <alignment vertical="center"/>
    </xf>
    <xf numFmtId="0" fontId="1" fillId="19" borderId="8" xfId="0" applyFont="1" applyFill="1" applyBorder="1" applyAlignment="1">
      <alignment horizontal="center" vertical="center"/>
    </xf>
    <xf numFmtId="0" fontId="1" fillId="19" borderId="9" xfId="0" applyFont="1" applyFill="1" applyBorder="1" applyAlignment="1">
      <alignment horizontal="center" vertical="center"/>
    </xf>
    <xf numFmtId="0" fontId="52" fillId="0" borderId="2" xfId="0" applyNumberFormat="1" applyFont="1" applyFill="1" applyBorder="1" applyAlignment="1">
      <alignment vertical="center"/>
    </xf>
    <xf numFmtId="0" fontId="49" fillId="0" borderId="2" xfId="0" applyFont="1" applyFill="1" applyBorder="1" applyAlignment="1">
      <alignment horizontal="left" vertical="center"/>
    </xf>
    <xf numFmtId="184" fontId="12" fillId="0" borderId="2" xfId="0" applyNumberFormat="1" applyFont="1" applyFill="1" applyBorder="1" applyAlignment="1">
      <alignment horizontal="center" vertical="center"/>
    </xf>
    <xf numFmtId="182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82" fontId="1" fillId="4" borderId="2" xfId="0" applyNumberFormat="1" applyFont="1" applyFill="1" applyBorder="1" applyAlignment="1">
      <alignment horizontal="center"/>
    </xf>
    <xf numFmtId="0" fontId="1" fillId="0" borderId="37" xfId="0" applyFont="1" applyFill="1" applyBorder="1" applyAlignment="1">
      <alignment horizontal="left" vertical="center"/>
    </xf>
    <xf numFmtId="0" fontId="38" fillId="0" borderId="2" xfId="0" applyFont="1" applyFill="1" applyBorder="1" applyAlignment="1">
      <alignment horizontal="left" vertical="center"/>
    </xf>
    <xf numFmtId="0" fontId="43" fillId="0" borderId="3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left" vertical="center"/>
    </xf>
    <xf numFmtId="0" fontId="12" fillId="0" borderId="2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180" fontId="9" fillId="3" borderId="0" xfId="0" applyNumberFormat="1" applyFont="1" applyFill="1" applyAlignment="1">
      <alignment horizontal="center" vertical="center"/>
    </xf>
    <xf numFmtId="181" fontId="9" fillId="6" borderId="0" xfId="0" applyNumberFormat="1" applyFont="1" applyFill="1" applyAlignment="1">
      <alignment horizontal="center" vertical="center"/>
    </xf>
    <xf numFmtId="0" fontId="4" fillId="3" borderId="0" xfId="0" applyFont="1" applyFill="1" applyBorder="1" applyAlignment="1"/>
    <xf numFmtId="0" fontId="48" fillId="0" borderId="0" xfId="0" applyNumberFormat="1" applyFont="1" applyFill="1" applyAlignment="1">
      <alignment horizontal="center"/>
    </xf>
    <xf numFmtId="182" fontId="4" fillId="6" borderId="0" xfId="0" applyNumberFormat="1" applyFont="1" applyFill="1" applyBorder="1" applyAlignment="1">
      <alignment horizontal="center" vertical="center"/>
    </xf>
    <xf numFmtId="0" fontId="70" fillId="3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81" fillId="19" borderId="3" xfId="0" applyFont="1" applyFill="1" applyBorder="1" applyAlignment="1">
      <alignment horizontal="left" vertical="center"/>
    </xf>
    <xf numFmtId="179" fontId="81" fillId="19" borderId="2" xfId="0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vertical="center"/>
    </xf>
    <xf numFmtId="0" fontId="69" fillId="6" borderId="2" xfId="49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left" vertical="center"/>
    </xf>
    <xf numFmtId="187" fontId="1" fillId="0" borderId="2" xfId="0" applyNumberFormat="1" applyFont="1" applyFill="1" applyBorder="1" applyAlignment="1">
      <alignment horizontal="center" vertical="center"/>
    </xf>
    <xf numFmtId="0" fontId="38" fillId="6" borderId="15" xfId="0" applyFont="1" applyFill="1" applyBorder="1" applyAlignment="1">
      <alignment vertical="center"/>
    </xf>
    <xf numFmtId="0" fontId="43" fillId="6" borderId="2" xfId="49" applyFont="1" applyFill="1" applyBorder="1" applyAlignment="1">
      <alignment vertical="center" wrapText="1"/>
    </xf>
    <xf numFmtId="0" fontId="9" fillId="6" borderId="2" xfId="49" applyFont="1" applyFill="1" applyBorder="1" applyAlignment="1">
      <alignment horizontal="center" vertical="center" wrapText="1"/>
    </xf>
    <xf numFmtId="0" fontId="43" fillId="6" borderId="2" xfId="49" applyFont="1" applyFill="1" applyBorder="1" applyAlignment="1">
      <alignment horizontal="center" vertical="center" wrapText="1"/>
    </xf>
    <xf numFmtId="180" fontId="9" fillId="6" borderId="2" xfId="0" applyNumberFormat="1" applyFont="1" applyFill="1" applyBorder="1" applyAlignment="1">
      <alignment horizontal="center" vertical="center"/>
    </xf>
    <xf numFmtId="0" fontId="38" fillId="19" borderId="0" xfId="0" applyFont="1" applyFill="1" applyAlignment="1">
      <alignment vertical="center"/>
    </xf>
    <xf numFmtId="0" fontId="43" fillId="19" borderId="2" xfId="49" applyFont="1" applyFill="1" applyBorder="1" applyAlignment="1">
      <alignment horizontal="center" vertical="center" wrapText="1"/>
    </xf>
    <xf numFmtId="0" fontId="17" fillId="19" borderId="2" xfId="0" applyFont="1" applyFill="1" applyBorder="1" applyAlignment="1">
      <alignment horizontal="center" vertical="center"/>
    </xf>
    <xf numFmtId="0" fontId="38" fillId="19" borderId="15" xfId="0" applyFont="1" applyFill="1" applyBorder="1" applyAlignment="1">
      <alignment vertical="center"/>
    </xf>
    <xf numFmtId="0" fontId="3" fillId="19" borderId="2" xfId="49" applyFont="1" applyFill="1" applyBorder="1" applyAlignment="1">
      <alignment horizontal="left" vertical="center" wrapText="1"/>
    </xf>
    <xf numFmtId="0" fontId="3" fillId="19" borderId="2" xfId="0" applyFont="1" applyFill="1" applyBorder="1" applyAlignment="1">
      <alignment vertical="center"/>
    </xf>
    <xf numFmtId="183" fontId="1" fillId="19" borderId="10" xfId="0" applyNumberFormat="1" applyFont="1" applyFill="1" applyBorder="1" applyAlignment="1">
      <alignment horizontal="left" vertical="center"/>
    </xf>
    <xf numFmtId="183" fontId="7" fillId="19" borderId="10" xfId="0" applyNumberFormat="1" applyFont="1" applyFill="1" applyBorder="1" applyAlignment="1">
      <alignment horizontal="left" vertical="center"/>
    </xf>
    <xf numFmtId="183" fontId="3" fillId="19" borderId="10" xfId="0" applyNumberFormat="1" applyFont="1" applyFill="1" applyBorder="1" applyAlignment="1">
      <alignment horizontal="left" vertical="center"/>
    </xf>
    <xf numFmtId="0" fontId="85" fillId="19" borderId="2" xfId="49" applyFont="1" applyFill="1" applyBorder="1" applyAlignment="1">
      <alignment horizontal="left" vertical="center" wrapText="1"/>
    </xf>
    <xf numFmtId="183" fontId="1" fillId="19" borderId="0" xfId="0" applyNumberFormat="1" applyFont="1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14" fontId="9" fillId="6" borderId="2" xfId="49" applyNumberFormat="1" applyFont="1" applyFill="1" applyBorder="1" applyAlignment="1">
      <alignment horizontal="center" vertical="center" wrapText="1"/>
    </xf>
    <xf numFmtId="0" fontId="1" fillId="6" borderId="2" xfId="49" applyFont="1" applyFill="1" applyBorder="1" applyAlignment="1">
      <alignment horizontal="left" vertical="center"/>
    </xf>
    <xf numFmtId="0" fontId="1" fillId="6" borderId="10" xfId="49" applyFont="1" applyFill="1" applyBorder="1" applyAlignment="1">
      <alignment horizontal="left" vertical="center" wrapText="1"/>
    </xf>
    <xf numFmtId="183" fontId="1" fillId="6" borderId="0" xfId="0" applyNumberFormat="1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" fillId="19" borderId="2" xfId="49" applyFont="1" applyFill="1" applyBorder="1" applyAlignment="1">
      <alignment horizontal="left" vertical="center"/>
    </xf>
    <xf numFmtId="183" fontId="49" fillId="6" borderId="0" xfId="0" applyNumberFormat="1" applyFont="1" applyFill="1" applyAlignment="1">
      <alignment horizontal="left" vertical="center"/>
    </xf>
    <xf numFmtId="0" fontId="1" fillId="6" borderId="2" xfId="49" applyFont="1" applyFill="1" applyBorder="1" applyAlignment="1">
      <alignment horizontal="left" vertical="center" wrapText="1"/>
    </xf>
    <xf numFmtId="0" fontId="4" fillId="6" borderId="0" xfId="0" applyFont="1" applyFill="1" applyAlignment="1">
      <alignment vertical="center"/>
    </xf>
    <xf numFmtId="14" fontId="1" fillId="6" borderId="2" xfId="0" applyNumberFormat="1" applyFont="1" applyFill="1" applyBorder="1" applyAlignment="1">
      <alignment horizontal="left" vertical="center"/>
    </xf>
    <xf numFmtId="0" fontId="50" fillId="0" borderId="2" xfId="0" applyNumberFormat="1" applyFont="1" applyFill="1" applyBorder="1" applyAlignment="1">
      <alignment horizontal="left"/>
    </xf>
    <xf numFmtId="0" fontId="16" fillId="6" borderId="2" xfId="0" applyFont="1" applyFill="1" applyBorder="1" applyAlignment="1">
      <alignment horizontal="center" vertical="center"/>
    </xf>
    <xf numFmtId="0" fontId="59" fillId="0" borderId="2" xfId="49" applyFont="1" applyFill="1" applyBorder="1" applyAlignment="1">
      <alignment horizontal="left" vertical="center" wrapText="1"/>
    </xf>
    <xf numFmtId="0" fontId="59" fillId="0" borderId="2" xfId="0" applyFont="1" applyFill="1" applyBorder="1" applyAlignment="1">
      <alignment horizontal="center" vertical="center"/>
    </xf>
    <xf numFmtId="0" fontId="44" fillId="0" borderId="2" xfId="0" applyNumberFormat="1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7" fillId="6" borderId="10" xfId="0" applyFont="1" applyFill="1" applyBorder="1" applyAlignment="1">
      <alignment horizontal="left" vertical="center"/>
    </xf>
    <xf numFmtId="0" fontId="12" fillId="19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vertical="center"/>
    </xf>
    <xf numFmtId="0" fontId="12" fillId="0" borderId="2" xfId="49" applyFont="1" applyFill="1" applyBorder="1" applyAlignment="1">
      <alignment horizontal="left" vertical="center" wrapText="1"/>
    </xf>
    <xf numFmtId="182" fontId="12" fillId="19" borderId="2" xfId="0" applyNumberFormat="1" applyFont="1" applyFill="1" applyBorder="1" applyAlignment="1">
      <alignment horizontal="center" vertical="center"/>
    </xf>
    <xf numFmtId="181" fontId="12" fillId="19" borderId="2" xfId="0" applyNumberFormat="1" applyFont="1" applyFill="1" applyBorder="1" applyAlignment="1">
      <alignment horizontal="center" vertical="center"/>
    </xf>
    <xf numFmtId="183" fontId="12" fillId="19" borderId="10" xfId="0" applyNumberFormat="1" applyFont="1" applyFill="1" applyBorder="1" applyAlignment="1">
      <alignment horizontal="left" vertical="center"/>
    </xf>
    <xf numFmtId="0" fontId="56" fillId="0" borderId="2" xfId="0" applyFont="1" applyBorder="1">
      <alignment vertical="center"/>
    </xf>
    <xf numFmtId="0" fontId="7" fillId="6" borderId="10" xfId="49" applyFont="1" applyFill="1" applyBorder="1" applyAlignment="1">
      <alignment horizontal="left" vertical="center" wrapText="1"/>
    </xf>
    <xf numFmtId="0" fontId="3" fillId="6" borderId="2" xfId="49" applyFont="1" applyFill="1" applyBorder="1" applyAlignment="1">
      <alignment horizontal="left" vertical="center" wrapText="1"/>
    </xf>
    <xf numFmtId="0" fontId="50" fillId="0" borderId="2" xfId="0" applyNumberFormat="1" applyFont="1" applyFill="1" applyBorder="1" applyAlignment="1">
      <alignment horizontal="left" vertical="center"/>
    </xf>
    <xf numFmtId="0" fontId="5" fillId="0" borderId="15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14" fontId="1" fillId="6" borderId="2" xfId="0" applyNumberFormat="1" applyFont="1" applyFill="1" applyBorder="1" applyAlignment="1">
      <alignment horizontal="left" vertical="center" wrapText="1"/>
    </xf>
    <xf numFmtId="0" fontId="3" fillId="0" borderId="10" xfId="49" applyFont="1" applyFill="1" applyBorder="1" applyAlignment="1">
      <alignment horizontal="left" vertical="center" wrapText="1"/>
    </xf>
    <xf numFmtId="0" fontId="3" fillId="6" borderId="10" xfId="49" applyFont="1" applyFill="1" applyBorder="1" applyAlignment="1">
      <alignment horizontal="left" vertical="center" wrapText="1"/>
    </xf>
    <xf numFmtId="0" fontId="4" fillId="0" borderId="1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/>
    </xf>
    <xf numFmtId="0" fontId="52" fillId="0" borderId="2" xfId="0" applyNumberFormat="1" applyFont="1" applyFill="1" applyBorder="1" applyAlignment="1" applyProtection="1">
      <alignment horizontal="left" vertical="center"/>
    </xf>
    <xf numFmtId="0" fontId="18" fillId="6" borderId="10" xfId="0" applyFont="1" applyFill="1" applyBorder="1" applyAlignment="1">
      <alignment horizontal="center" vertical="center"/>
    </xf>
    <xf numFmtId="0" fontId="44" fillId="19" borderId="2" xfId="0" applyNumberFormat="1" applyFont="1" applyFill="1" applyBorder="1" applyAlignment="1">
      <alignment vertical="center"/>
    </xf>
    <xf numFmtId="182" fontId="86" fillId="19" borderId="2" xfId="0" applyNumberFormat="1" applyFont="1" applyFill="1" applyBorder="1" applyAlignment="1">
      <alignment horizontal="center" vertical="center"/>
    </xf>
    <xf numFmtId="0" fontId="43" fillId="19" borderId="2" xfId="0" applyFont="1" applyFill="1" applyBorder="1" applyAlignment="1">
      <alignment vertical="center"/>
    </xf>
    <xf numFmtId="0" fontId="43" fillId="6" borderId="2" xfId="0" applyFont="1" applyFill="1" applyBorder="1" applyAlignment="1">
      <alignment horizontal="center" vertical="center"/>
    </xf>
    <xf numFmtId="14" fontId="9" fillId="0" borderId="2" xfId="0" applyNumberFormat="1" applyFont="1" applyFill="1" applyBorder="1" applyAlignment="1">
      <alignment vertical="center"/>
    </xf>
    <xf numFmtId="0" fontId="7" fillId="12" borderId="2" xfId="0" applyFont="1" applyFill="1" applyBorder="1" applyAlignment="1">
      <alignment horizontal="left" vertical="center"/>
    </xf>
    <xf numFmtId="0" fontId="7" fillId="12" borderId="2" xfId="0" applyFont="1" applyFill="1" applyBorder="1" applyAlignment="1">
      <alignment vertical="center"/>
    </xf>
    <xf numFmtId="0" fontId="7" fillId="19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vertical="center"/>
    </xf>
    <xf numFmtId="183" fontId="3" fillId="0" borderId="9" xfId="0" applyNumberFormat="1" applyFont="1" applyFill="1" applyBorder="1" applyAlignment="1">
      <alignment horizontal="left" vertical="center"/>
    </xf>
    <xf numFmtId="0" fontId="3" fillId="0" borderId="43" xfId="0" applyFont="1" applyFill="1" applyBorder="1" applyAlignment="1">
      <alignment vertical="center"/>
    </xf>
    <xf numFmtId="0" fontId="0" fillId="19" borderId="2" xfId="0" applyFill="1" applyBorder="1">
      <alignment vertical="center"/>
    </xf>
    <xf numFmtId="14" fontId="0" fillId="0" borderId="2" xfId="0" applyNumberFormat="1" applyBorder="1">
      <alignment vertical="center"/>
    </xf>
    <xf numFmtId="0" fontId="0" fillId="0" borderId="2" xfId="0" applyBorder="1" applyAlignment="1">
      <alignment horizontal="left" vertical="center"/>
    </xf>
    <xf numFmtId="181" fontId="0" fillId="19" borderId="2" xfId="0" applyNumberFormat="1" applyFill="1" applyBorder="1">
      <alignment vertical="center"/>
    </xf>
    <xf numFmtId="181" fontId="0" fillId="19" borderId="2" xfId="0" applyNumberFormat="1" applyFill="1" applyBorder="1" applyAlignment="1">
      <alignment horizontal="center" vertical="center"/>
    </xf>
    <xf numFmtId="0" fontId="0" fillId="19" borderId="0" xfId="0" applyFill="1">
      <alignment vertical="center"/>
    </xf>
    <xf numFmtId="0" fontId="0" fillId="6" borderId="2" xfId="0" applyFill="1" applyBorder="1">
      <alignment vertical="center"/>
    </xf>
    <xf numFmtId="0" fontId="0" fillId="6" borderId="2" xfId="0" applyFill="1" applyBorder="1" applyAlignment="1">
      <alignment horizontal="center" vertical="center"/>
    </xf>
    <xf numFmtId="181" fontId="0" fillId="6" borderId="2" xfId="0" applyNumberFormat="1" applyFill="1" applyBorder="1">
      <alignment vertical="center"/>
    </xf>
    <xf numFmtId="180" fontId="9" fillId="3" borderId="2" xfId="0" applyNumberFormat="1" applyFont="1" applyFill="1" applyBorder="1" applyAlignment="1">
      <alignment horizontal="center" vertical="center"/>
    </xf>
    <xf numFmtId="0" fontId="43" fillId="6" borderId="0" xfId="0" applyFont="1" applyFill="1" applyAlignment="1">
      <alignment vertical="center"/>
    </xf>
    <xf numFmtId="0" fontId="85" fillId="6" borderId="2" xfId="49" applyFont="1" applyFill="1" applyBorder="1" applyAlignment="1">
      <alignment horizontal="center" vertical="center" wrapText="1"/>
    </xf>
    <xf numFmtId="0" fontId="44" fillId="6" borderId="2" xfId="0" applyNumberFormat="1" applyFont="1" applyFill="1" applyBorder="1" applyAlignment="1">
      <alignment horizontal="left" vertical="center"/>
    </xf>
    <xf numFmtId="14" fontId="9" fillId="6" borderId="2" xfId="0" applyNumberFormat="1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43" fillId="12" borderId="2" xfId="0" applyFont="1" applyFill="1" applyBorder="1" applyAlignment="1">
      <alignment horizontal="left" vertical="center"/>
    </xf>
    <xf numFmtId="180" fontId="9" fillId="12" borderId="2" xfId="0" applyNumberFormat="1" applyFont="1" applyFill="1" applyBorder="1" applyAlignment="1">
      <alignment horizontal="center" vertical="center"/>
    </xf>
    <xf numFmtId="0" fontId="43" fillId="12" borderId="2" xfId="0" applyFont="1" applyFill="1" applyBorder="1" applyAlignment="1">
      <alignment vertical="center"/>
    </xf>
    <xf numFmtId="0" fontId="43" fillId="6" borderId="10" xfId="49" applyFont="1" applyFill="1" applyBorder="1" applyAlignment="1">
      <alignment horizontal="center" vertical="center" wrapText="1"/>
    </xf>
    <xf numFmtId="0" fontId="43" fillId="19" borderId="10" xfId="49" applyFont="1" applyFill="1" applyBorder="1" applyAlignment="1">
      <alignment horizontal="center" vertical="center" wrapText="1"/>
    </xf>
    <xf numFmtId="0" fontId="16" fillId="19" borderId="2" xfId="0" applyFont="1" applyFill="1" applyBorder="1" applyAlignment="1">
      <alignment vertical="center"/>
    </xf>
    <xf numFmtId="0" fontId="43" fillId="19" borderId="10" xfId="49" applyNumberFormat="1" applyFont="1" applyFill="1" applyBorder="1" applyAlignment="1">
      <alignment horizontal="center" vertical="center" wrapText="1"/>
    </xf>
    <xf numFmtId="182" fontId="1" fillId="19" borderId="2" xfId="0" applyNumberFormat="1" applyFont="1" applyFill="1" applyBorder="1" applyAlignment="1">
      <alignment horizontal="left" vertical="center"/>
    </xf>
    <xf numFmtId="14" fontId="9" fillId="3" borderId="0" xfId="0" applyNumberFormat="1" applyFont="1" applyFill="1" applyAlignment="1">
      <alignment horizontal="left" vertical="center"/>
    </xf>
    <xf numFmtId="181" fontId="24" fillId="6" borderId="2" xfId="0" applyNumberFormat="1" applyFont="1" applyFill="1" applyBorder="1" applyAlignment="1">
      <alignment horizontal="center" vertical="center"/>
    </xf>
    <xf numFmtId="0" fontId="85" fillId="0" borderId="0" xfId="0" applyFont="1" applyFill="1" applyAlignment="1">
      <alignment horizontal="center" vertical="center"/>
    </xf>
    <xf numFmtId="180" fontId="9" fillId="0" borderId="0" xfId="0" applyNumberFormat="1" applyFont="1" applyFill="1" applyAlignment="1">
      <alignment horizontal="center" vertical="center"/>
    </xf>
    <xf numFmtId="181" fontId="86" fillId="0" borderId="0" xfId="0" applyNumberFormat="1" applyFont="1" applyFill="1" applyAlignment="1">
      <alignment horizontal="center" vertical="center"/>
    </xf>
    <xf numFmtId="181" fontId="9" fillId="0" borderId="0" xfId="0" applyNumberFormat="1" applyFont="1" applyFill="1" applyAlignment="1">
      <alignment horizontal="center" vertical="center"/>
    </xf>
    <xf numFmtId="0" fontId="87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181" fontId="88" fillId="3" borderId="0" xfId="0" applyNumberFormat="1" applyFont="1" applyFill="1" applyBorder="1" applyAlignment="1">
      <alignment horizontal="center" vertical="center"/>
    </xf>
    <xf numFmtId="0" fontId="89" fillId="3" borderId="0" xfId="0" applyFont="1" applyFill="1" applyBorder="1" applyAlignment="1">
      <alignment horizontal="center" vertical="center"/>
    </xf>
    <xf numFmtId="0" fontId="90" fillId="0" borderId="2" xfId="0" applyFont="1" applyFill="1" applyBorder="1" applyAlignment="1">
      <alignment horizontal="center" vertical="center"/>
    </xf>
    <xf numFmtId="0" fontId="91" fillId="0" borderId="2" xfId="0" applyFont="1" applyFill="1" applyBorder="1" applyAlignment="1">
      <alignment horizontal="left" vertical="center"/>
    </xf>
    <xf numFmtId="179" fontId="92" fillId="0" borderId="2" xfId="0" applyNumberFormat="1" applyFont="1" applyFill="1" applyBorder="1" applyAlignment="1">
      <alignment horizontal="center" vertical="center"/>
    </xf>
    <xf numFmtId="180" fontId="18" fillId="3" borderId="0" xfId="0" applyNumberFormat="1" applyFont="1" applyFill="1" applyBorder="1" applyAlignment="1">
      <alignment vertical="center"/>
    </xf>
    <xf numFmtId="180" fontId="93" fillId="3" borderId="0" xfId="0" applyNumberFormat="1" applyFont="1" applyFill="1" applyBorder="1" applyAlignment="1">
      <alignment horizontal="center" vertical="center"/>
    </xf>
    <xf numFmtId="0" fontId="90" fillId="0" borderId="10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0" fillId="0" borderId="3" xfId="0" applyFont="1" applyFill="1" applyBorder="1" applyAlignment="1">
      <alignment horizontal="left" vertical="center"/>
    </xf>
    <xf numFmtId="179" fontId="90" fillId="0" borderId="2" xfId="0" applyNumberFormat="1" applyFont="1" applyFill="1" applyBorder="1" applyAlignment="1">
      <alignment horizontal="center" vertical="center"/>
    </xf>
    <xf numFmtId="0" fontId="90" fillId="0" borderId="2" xfId="0" applyFont="1" applyFill="1" applyBorder="1" applyAlignment="1">
      <alignment horizontal="left" vertical="center"/>
    </xf>
    <xf numFmtId="188" fontId="4" fillId="3" borderId="0" xfId="0" applyNumberFormat="1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center" vertical="center"/>
    </xf>
    <xf numFmtId="0" fontId="43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center" vertical="center"/>
    </xf>
    <xf numFmtId="0" fontId="87" fillId="4" borderId="2" xfId="49" applyFont="1" applyFill="1" applyBorder="1" applyAlignment="1">
      <alignment horizontal="left" vertical="center" wrapText="1"/>
    </xf>
    <xf numFmtId="0" fontId="88" fillId="4" borderId="2" xfId="49" applyFont="1" applyFill="1" applyBorder="1" applyAlignment="1">
      <alignment horizontal="center" vertical="center" wrapText="1"/>
    </xf>
    <xf numFmtId="0" fontId="9" fillId="19" borderId="8" xfId="49" applyFont="1" applyFill="1" applyBorder="1" applyAlignment="1">
      <alignment horizontal="left" vertical="center" wrapText="1"/>
    </xf>
    <xf numFmtId="0" fontId="85" fillId="19" borderId="8" xfId="49" applyFont="1" applyFill="1" applyBorder="1" applyAlignment="1">
      <alignment horizontal="center" vertical="center" wrapText="1"/>
    </xf>
    <xf numFmtId="181" fontId="3" fillId="19" borderId="2" xfId="0" applyNumberFormat="1" applyFont="1" applyFill="1" applyBorder="1" applyAlignment="1">
      <alignment horizontal="center" vertical="center"/>
    </xf>
    <xf numFmtId="0" fontId="3" fillId="19" borderId="3" xfId="0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1" fillId="19" borderId="10" xfId="49" applyFont="1" applyFill="1" applyBorder="1" applyAlignment="1">
      <alignment horizontal="left" vertical="center" wrapText="1"/>
    </xf>
    <xf numFmtId="0" fontId="9" fillId="19" borderId="8" xfId="49" applyFont="1" applyFill="1" applyBorder="1" applyAlignment="1">
      <alignment vertical="center" wrapText="1"/>
    </xf>
    <xf numFmtId="183" fontId="1" fillId="19" borderId="2" xfId="0" applyNumberFormat="1" applyFont="1" applyFill="1" applyBorder="1" applyAlignment="1">
      <alignment horizontal="left" vertical="center"/>
    </xf>
    <xf numFmtId="0" fontId="85" fillId="19" borderId="3" xfId="49" applyFont="1" applyFill="1" applyBorder="1" applyAlignment="1">
      <alignment horizontal="center" vertical="center" wrapText="1"/>
    </xf>
    <xf numFmtId="14" fontId="9" fillId="19" borderId="3" xfId="49" applyNumberFormat="1" applyFont="1" applyFill="1" applyBorder="1" applyAlignment="1">
      <alignment horizontal="center" vertical="center" wrapText="1"/>
    </xf>
    <xf numFmtId="0" fontId="44" fillId="19" borderId="2" xfId="0" applyNumberFormat="1" applyFont="1" applyFill="1" applyBorder="1" applyAlignment="1">
      <alignment vertical="center" wrapText="1"/>
    </xf>
    <xf numFmtId="0" fontId="43" fillId="19" borderId="10" xfId="49" applyFont="1" applyFill="1" applyBorder="1" applyAlignment="1">
      <alignment horizontal="left" vertical="center" wrapText="1"/>
    </xf>
    <xf numFmtId="0" fontId="38" fillId="19" borderId="2" xfId="0" applyFont="1" applyFill="1" applyBorder="1" applyAlignment="1">
      <alignment horizontal="center" vertical="center"/>
    </xf>
    <xf numFmtId="181" fontId="43" fillId="19" borderId="2" xfId="0" applyNumberFormat="1" applyFont="1" applyFill="1" applyBorder="1" applyAlignment="1">
      <alignment horizontal="center" vertical="center"/>
    </xf>
    <xf numFmtId="183" fontId="9" fillId="19" borderId="2" xfId="0" applyNumberFormat="1" applyFont="1" applyFill="1" applyBorder="1" applyAlignment="1">
      <alignment horizontal="left" vertical="center"/>
    </xf>
    <xf numFmtId="0" fontId="37" fillId="19" borderId="2" xfId="49" applyFont="1" applyFill="1" applyBorder="1" applyAlignment="1">
      <alignment horizontal="center" vertical="center" wrapText="1"/>
    </xf>
    <xf numFmtId="0" fontId="3" fillId="19" borderId="10" xfId="49" applyNumberFormat="1" applyFont="1" applyFill="1" applyBorder="1" applyAlignment="1">
      <alignment horizontal="center" vertical="center" wrapText="1"/>
    </xf>
    <xf numFmtId="0" fontId="94" fillId="19" borderId="2" xfId="0" applyNumberFormat="1" applyFont="1" applyFill="1" applyBorder="1" applyAlignment="1">
      <alignment vertical="center"/>
    </xf>
    <xf numFmtId="0" fontId="49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44" fillId="19" borderId="2" xfId="0" applyNumberFormat="1" applyFont="1" applyFill="1" applyBorder="1" applyAlignment="1">
      <alignment horizontal="left" vertical="center"/>
    </xf>
    <xf numFmtId="185" fontId="1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center" vertical="center"/>
    </xf>
    <xf numFmtId="180" fontId="12" fillId="0" borderId="0" xfId="0" applyNumberFormat="1" applyFont="1" applyFill="1" applyAlignment="1">
      <alignment horizontal="center" vertical="center"/>
    </xf>
    <xf numFmtId="181" fontId="12" fillId="0" borderId="0" xfId="0" applyNumberFormat="1" applyFont="1" applyFill="1" applyAlignment="1">
      <alignment horizontal="center" vertical="center"/>
    </xf>
    <xf numFmtId="0" fontId="85" fillId="6" borderId="2" xfId="0" applyFont="1" applyFill="1" applyBorder="1" applyAlignment="1">
      <alignment horizontal="center" vertical="center"/>
    </xf>
    <xf numFmtId="181" fontId="86" fillId="6" borderId="2" xfId="0" applyNumberFormat="1" applyFont="1" applyFill="1" applyBorder="1" applyAlignment="1">
      <alignment horizontal="center" vertical="center"/>
    </xf>
    <xf numFmtId="14" fontId="85" fillId="0" borderId="0" xfId="0" applyNumberFormat="1" applyFont="1" applyFill="1" applyAlignment="1">
      <alignment horizontal="center" vertical="center"/>
    </xf>
    <xf numFmtId="0" fontId="85" fillId="0" borderId="2" xfId="0" applyFont="1" applyFill="1" applyBorder="1" applyAlignment="1">
      <alignment horizontal="center" vertical="center"/>
    </xf>
    <xf numFmtId="180" fontId="9" fillId="0" borderId="2" xfId="0" applyNumberFormat="1" applyFont="1" applyFill="1" applyBorder="1" applyAlignment="1">
      <alignment horizontal="center" vertical="center"/>
    </xf>
    <xf numFmtId="181" fontId="86" fillId="0" borderId="2" xfId="0" applyNumberFormat="1" applyFont="1" applyFill="1" applyBorder="1" applyAlignment="1">
      <alignment horizontal="center" vertical="center"/>
    </xf>
    <xf numFmtId="0" fontId="9" fillId="19" borderId="0" xfId="0" applyFont="1" applyFill="1" applyAlignment="1"/>
    <xf numFmtId="0" fontId="1" fillId="0" borderId="0" xfId="0" applyFont="1" applyFill="1" applyAlignment="1"/>
    <xf numFmtId="0" fontId="9" fillId="22" borderId="0" xfId="0" applyFont="1" applyFill="1" applyAlignment="1"/>
    <xf numFmtId="0" fontId="9" fillId="31" borderId="0" xfId="0" applyFont="1" applyFill="1" applyAlignment="1"/>
    <xf numFmtId="0" fontId="9" fillId="20" borderId="0" xfId="0" applyFont="1" applyFill="1" applyAlignment="1"/>
    <xf numFmtId="0" fontId="55" fillId="0" borderId="0" xfId="0" applyFont="1" applyFill="1">
      <alignment vertical="center"/>
    </xf>
    <xf numFmtId="0" fontId="9" fillId="12" borderId="0" xfId="0" applyFont="1" applyFill="1" applyAlignment="1"/>
    <xf numFmtId="0" fontId="9" fillId="0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" fillId="3" borderId="0" xfId="0" applyNumberFormat="1" applyFont="1" applyFill="1" applyAlignment="1">
      <alignment horizontal="center"/>
    </xf>
    <xf numFmtId="179" fontId="9" fillId="0" borderId="0" xfId="0" applyNumberFormat="1" applyFont="1" applyFill="1" applyAlignment="1"/>
    <xf numFmtId="180" fontId="20" fillId="3" borderId="0" xfId="0" applyNumberFormat="1" applyFont="1" applyFill="1" applyAlignment="1">
      <alignment horizontal="left" vertical="center"/>
    </xf>
    <xf numFmtId="0" fontId="9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180" fontId="4" fillId="28" borderId="0" xfId="0" applyNumberFormat="1" applyFont="1" applyFill="1" applyAlignment="1">
      <alignment horizontal="center" vertical="center"/>
    </xf>
    <xf numFmtId="180" fontId="4" fillId="28" borderId="0" xfId="0" applyNumberFormat="1" applyFont="1" applyFill="1" applyAlignment="1">
      <alignment horizontal="left" vertical="center"/>
    </xf>
    <xf numFmtId="0" fontId="4" fillId="3" borderId="16" xfId="0" applyFont="1" applyFill="1" applyBorder="1" applyAlignment="1">
      <alignment vertical="center"/>
    </xf>
    <xf numFmtId="0" fontId="96" fillId="32" borderId="2" xfId="49" applyFont="1" applyFill="1" applyBorder="1" applyAlignment="1">
      <alignment horizontal="left" vertical="center" wrapText="1"/>
    </xf>
    <xf numFmtId="0" fontId="63" fillId="0" borderId="2" xfId="49" applyFont="1" applyFill="1" applyBorder="1" applyAlignment="1">
      <alignment horizontal="center" vertical="center" wrapText="1"/>
    </xf>
    <xf numFmtId="0" fontId="70" fillId="0" borderId="2" xfId="49" applyFont="1" applyFill="1" applyBorder="1" applyAlignment="1">
      <alignment horizontal="center" vertical="center" wrapText="1"/>
    </xf>
    <xf numFmtId="0" fontId="70" fillId="0" borderId="2" xfId="49" applyFont="1" applyFill="1" applyBorder="1" applyAlignment="1">
      <alignment horizontal="left" vertical="center" wrapText="1"/>
    </xf>
    <xf numFmtId="0" fontId="63" fillId="0" borderId="2" xfId="49" applyFont="1" applyFill="1" applyBorder="1" applyAlignment="1">
      <alignment horizontal="left" vertical="center" wrapText="1"/>
    </xf>
    <xf numFmtId="0" fontId="96" fillId="32" borderId="2" xfId="49" applyFont="1" applyFill="1" applyBorder="1" applyAlignment="1">
      <alignment horizontal="center" vertical="center" wrapText="1"/>
    </xf>
    <xf numFmtId="0" fontId="97" fillId="32" borderId="2" xfId="49" applyFont="1" applyFill="1" applyBorder="1" applyAlignment="1">
      <alignment horizontal="center" vertical="center" wrapText="1"/>
    </xf>
    <xf numFmtId="0" fontId="98" fillId="32" borderId="2" xfId="49" applyFont="1" applyFill="1" applyBorder="1" applyAlignment="1">
      <alignment horizontal="center" vertical="center" wrapText="1"/>
    </xf>
    <xf numFmtId="0" fontId="99" fillId="0" borderId="2" xfId="49" applyFont="1" applyFill="1" applyBorder="1" applyAlignment="1">
      <alignment horizontal="left" vertical="center" wrapText="1"/>
    </xf>
    <xf numFmtId="0" fontId="63" fillId="6" borderId="2" xfId="49" applyFont="1" applyFill="1" applyBorder="1" applyAlignment="1">
      <alignment horizontal="left" vertical="center" wrapText="1"/>
    </xf>
    <xf numFmtId="0" fontId="5" fillId="4" borderId="47" xfId="49" applyFont="1" applyFill="1" applyBorder="1" applyAlignment="1">
      <alignment horizontal="center" vertical="center" wrapText="1"/>
    </xf>
    <xf numFmtId="0" fontId="70" fillId="19" borderId="2" xfId="49" applyFont="1" applyFill="1" applyBorder="1" applyAlignment="1">
      <alignment horizontal="left" vertical="center" wrapText="1"/>
    </xf>
    <xf numFmtId="0" fontId="70" fillId="19" borderId="2" xfId="49" applyFont="1" applyFill="1" applyBorder="1" applyAlignment="1">
      <alignment horizontal="center" vertical="center" wrapText="1"/>
    </xf>
    <xf numFmtId="0" fontId="5" fillId="0" borderId="0" xfId="49" applyFont="1" applyFill="1" applyAlignment="1">
      <alignment horizontal="center" vertical="center" wrapText="1"/>
    </xf>
    <xf numFmtId="0" fontId="81" fillId="0" borderId="0" xfId="0" applyFont="1" applyFill="1" applyAlignment="1">
      <alignment horizontal="center" vertical="center"/>
    </xf>
    <xf numFmtId="0" fontId="81" fillId="0" borderId="0" xfId="0" applyFont="1" applyFill="1" applyAlignment="1">
      <alignment horizontal="left" vertical="center"/>
    </xf>
    <xf numFmtId="179" fontId="81" fillId="0" borderId="0" xfId="0" applyNumberFormat="1" applyFont="1" applyFill="1" applyAlignment="1">
      <alignment horizontal="center" vertical="center"/>
    </xf>
    <xf numFmtId="0" fontId="75" fillId="19" borderId="2" xfId="0" applyFont="1" applyFill="1" applyBorder="1" applyAlignment="1">
      <alignment horizontal="center" vertical="center"/>
    </xf>
    <xf numFmtId="182" fontId="74" fillId="19" borderId="2" xfId="0" applyNumberFormat="1" applyFont="1" applyFill="1" applyBorder="1" applyAlignment="1">
      <alignment horizontal="center" vertical="center"/>
    </xf>
    <xf numFmtId="181" fontId="74" fillId="19" borderId="2" xfId="0" applyNumberFormat="1" applyFont="1" applyFill="1" applyBorder="1" applyAlignment="1">
      <alignment horizontal="center" vertical="center"/>
    </xf>
    <xf numFmtId="0" fontId="99" fillId="19" borderId="2" xfId="49" applyFont="1" applyFill="1" applyBorder="1" applyAlignment="1">
      <alignment horizontal="left" vertical="center" wrapText="1"/>
    </xf>
    <xf numFmtId="0" fontId="70" fillId="6" borderId="2" xfId="49" applyFont="1" applyFill="1" applyBorder="1" applyAlignment="1">
      <alignment horizontal="left" vertical="center" wrapText="1"/>
    </xf>
    <xf numFmtId="0" fontId="70" fillId="6" borderId="2" xfId="49" applyFont="1" applyFill="1" applyBorder="1" applyAlignment="1">
      <alignment horizontal="center" vertical="center" wrapText="1"/>
    </xf>
    <xf numFmtId="0" fontId="100" fillId="6" borderId="2" xfId="49" applyFont="1" applyFill="1" applyBorder="1" applyAlignment="1">
      <alignment horizontal="center" vertical="center" wrapText="1"/>
    </xf>
    <xf numFmtId="0" fontId="75" fillId="6" borderId="2" xfId="0" applyFont="1" applyFill="1" applyBorder="1" applyAlignment="1">
      <alignment horizontal="center" vertical="center"/>
    </xf>
    <xf numFmtId="0" fontId="99" fillId="6" borderId="2" xfId="49" applyFont="1" applyFill="1" applyBorder="1" applyAlignment="1">
      <alignment horizontal="left" vertical="center" wrapText="1"/>
    </xf>
    <xf numFmtId="181" fontId="100" fillId="6" borderId="2" xfId="0" applyNumberFormat="1" applyFont="1" applyFill="1" applyBorder="1" applyAlignment="1">
      <alignment horizontal="center" vertical="center"/>
    </xf>
    <xf numFmtId="0" fontId="100" fillId="6" borderId="2" xfId="49" applyFont="1" applyFill="1" applyBorder="1" applyAlignment="1">
      <alignment horizontal="left" vertical="center" wrapText="1"/>
    </xf>
    <xf numFmtId="0" fontId="100" fillId="6" borderId="2" xfId="0" applyFont="1" applyFill="1" applyBorder="1" applyAlignment="1">
      <alignment horizontal="center" vertical="center"/>
    </xf>
    <xf numFmtId="182" fontId="100" fillId="6" borderId="2" xfId="0" applyNumberFormat="1" applyFont="1" applyFill="1" applyBorder="1" applyAlignment="1">
      <alignment horizontal="center" vertical="center"/>
    </xf>
    <xf numFmtId="179" fontId="9" fillId="19" borderId="0" xfId="0" applyNumberFormat="1" applyFont="1" applyFill="1" applyAlignment="1"/>
    <xf numFmtId="0" fontId="36" fillId="6" borderId="2" xfId="0" applyFont="1" applyFill="1" applyBorder="1" applyAlignment="1">
      <alignment horizontal="left" vertical="center"/>
    </xf>
    <xf numFmtId="14" fontId="100" fillId="6" borderId="2" xfId="0" applyNumberFormat="1" applyFont="1" applyFill="1" applyBorder="1" applyAlignment="1">
      <alignment horizontal="center"/>
    </xf>
    <xf numFmtId="0" fontId="36" fillId="6" borderId="2" xfId="0" applyFont="1" applyFill="1" applyBorder="1" applyAlignment="1">
      <alignment horizontal="center" vertical="center"/>
    </xf>
    <xf numFmtId="0" fontId="91" fillId="6" borderId="2" xfId="0" applyNumberFormat="1" applyFont="1" applyFill="1" applyBorder="1" applyAlignment="1">
      <alignment vertical="center"/>
    </xf>
    <xf numFmtId="0" fontId="36" fillId="6" borderId="2" xfId="0" applyFont="1" applyFill="1" applyBorder="1" applyAlignment="1">
      <alignment vertical="center"/>
    </xf>
    <xf numFmtId="0" fontId="36" fillId="6" borderId="2" xfId="0" applyFont="1" applyFill="1" applyBorder="1" applyAlignment="1">
      <alignment horizontal="left"/>
    </xf>
    <xf numFmtId="0" fontId="36" fillId="6" borderId="2" xfId="0" applyFont="1" applyFill="1" applyBorder="1" applyAlignment="1">
      <alignment horizontal="center"/>
    </xf>
    <xf numFmtId="182" fontId="36" fillId="6" borderId="2" xfId="0" applyNumberFormat="1" applyFont="1" applyFill="1" applyBorder="1" applyAlignment="1">
      <alignment horizontal="center" vertical="center"/>
    </xf>
    <xf numFmtId="182" fontId="36" fillId="6" borderId="2" xfId="0" applyNumberFormat="1" applyFont="1" applyFill="1" applyBorder="1" applyAlignment="1">
      <alignment horizontal="left" vertical="center"/>
    </xf>
    <xf numFmtId="182" fontId="36" fillId="19" borderId="2" xfId="0" applyNumberFormat="1" applyFont="1" applyFill="1" applyBorder="1" applyAlignment="1">
      <alignment horizontal="center" vertical="center"/>
    </xf>
    <xf numFmtId="0" fontId="36" fillId="19" borderId="2" xfId="0" applyFont="1" applyFill="1" applyBorder="1" applyAlignment="1">
      <alignment horizontal="left" vertical="center"/>
    </xf>
    <xf numFmtId="0" fontId="100" fillId="19" borderId="2" xfId="0" applyFont="1" applyFill="1" applyBorder="1" applyAlignment="1"/>
    <xf numFmtId="0" fontId="36" fillId="19" borderId="0" xfId="0" applyFont="1" applyFill="1" applyAlignment="1">
      <alignment horizontal="left" vertical="center"/>
    </xf>
    <xf numFmtId="0" fontId="100" fillId="19" borderId="0" xfId="0" applyFont="1" applyFill="1" applyAlignment="1"/>
    <xf numFmtId="14" fontId="74" fillId="19" borderId="2" xfId="0" applyNumberFormat="1" applyFont="1" applyFill="1" applyBorder="1" applyAlignment="1">
      <alignment horizontal="center"/>
    </xf>
    <xf numFmtId="0" fontId="74" fillId="19" borderId="2" xfId="0" applyFont="1" applyFill="1" applyBorder="1" applyAlignment="1">
      <alignment horizontal="center" vertical="center"/>
    </xf>
    <xf numFmtId="0" fontId="76" fillId="6" borderId="2" xfId="0" applyFont="1" applyFill="1" applyBorder="1" applyAlignment="1">
      <alignment horizontal="left"/>
    </xf>
    <xf numFmtId="0" fontId="74" fillId="19" borderId="2" xfId="0" applyFont="1" applyFill="1" applyBorder="1" applyAlignment="1">
      <alignment horizontal="left" vertical="center"/>
    </xf>
    <xf numFmtId="0" fontId="74" fillId="19" borderId="2" xfId="0" applyFont="1" applyFill="1" applyBorder="1" applyAlignment="1">
      <alignment horizontal="center"/>
    </xf>
    <xf numFmtId="0" fontId="74" fillId="19" borderId="2" xfId="0" applyFont="1" applyFill="1" applyBorder="1" applyAlignment="1">
      <alignment horizontal="left"/>
    </xf>
    <xf numFmtId="14" fontId="76" fillId="19" borderId="2" xfId="0" applyNumberFormat="1" applyFont="1" applyFill="1" applyBorder="1" applyAlignment="1">
      <alignment horizontal="center"/>
    </xf>
    <xf numFmtId="182" fontId="75" fillId="0" borderId="2" xfId="0" applyNumberFormat="1" applyFont="1" applyFill="1" applyBorder="1" applyAlignment="1">
      <alignment horizontal="center" vertical="center"/>
    </xf>
    <xf numFmtId="0" fontId="76" fillId="19" borderId="2" xfId="0" applyFont="1" applyFill="1" applyBorder="1" applyAlignment="1">
      <alignment horizontal="center"/>
    </xf>
    <xf numFmtId="0" fontId="76" fillId="6" borderId="2" xfId="0" applyFont="1" applyFill="1" applyBorder="1" applyAlignment="1">
      <alignment horizontal="center"/>
    </xf>
    <xf numFmtId="0" fontId="74" fillId="6" borderId="2" xfId="0" applyFont="1" applyFill="1" applyBorder="1" applyAlignment="1">
      <alignment horizontal="center"/>
    </xf>
    <xf numFmtId="182" fontId="75" fillId="6" borderId="2" xfId="0" applyNumberFormat="1" applyFont="1" applyFill="1" applyBorder="1" applyAlignment="1">
      <alignment horizontal="center" vertical="center"/>
    </xf>
    <xf numFmtId="0" fontId="26" fillId="19" borderId="2" xfId="0" applyFont="1" applyFill="1" applyBorder="1" applyAlignment="1">
      <alignment horizontal="left" vertical="center"/>
    </xf>
    <xf numFmtId="14" fontId="26" fillId="19" borderId="2" xfId="0" applyNumberFormat="1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6" fillId="19" borderId="2" xfId="0" applyFont="1" applyFill="1" applyBorder="1" applyAlignment="1">
      <alignment horizontal="center" vertical="center"/>
    </xf>
    <xf numFmtId="0" fontId="26" fillId="19" borderId="2" xfId="0" applyFont="1" applyFill="1" applyBorder="1" applyAlignment="1">
      <alignment horizontal="center"/>
    </xf>
    <xf numFmtId="0" fontId="26" fillId="19" borderId="2" xfId="49" applyFont="1" applyFill="1" applyBorder="1" applyAlignment="1">
      <alignment horizontal="center" vertical="center" wrapText="1"/>
    </xf>
    <xf numFmtId="181" fontId="26" fillId="0" borderId="2" xfId="0" applyNumberFormat="1" applyFont="1" applyFill="1" applyBorder="1" applyAlignment="1">
      <alignment horizontal="center" vertical="center"/>
    </xf>
    <xf numFmtId="181" fontId="26" fillId="6" borderId="2" xfId="0" applyNumberFormat="1" applyFont="1" applyFill="1" applyBorder="1" applyAlignment="1">
      <alignment horizontal="center" vertical="center"/>
    </xf>
    <xf numFmtId="182" fontId="26" fillId="6" borderId="2" xfId="0" applyNumberFormat="1" applyFont="1" applyFill="1" applyBorder="1" applyAlignment="1">
      <alignment horizontal="center" vertical="center"/>
    </xf>
    <xf numFmtId="0" fontId="26" fillId="0" borderId="2" xfId="0" applyNumberFormat="1" applyFont="1" applyFill="1" applyBorder="1" applyAlignment="1">
      <alignment horizontal="left" vertical="center"/>
    </xf>
    <xf numFmtId="0" fontId="26" fillId="6" borderId="2" xfId="0" applyFont="1" applyFill="1" applyBorder="1" applyAlignment="1">
      <alignment horizontal="left" vertical="center"/>
    </xf>
    <xf numFmtId="179" fontId="1" fillId="0" borderId="0" xfId="0" applyNumberFormat="1" applyFont="1" applyFill="1" applyAlignment="1">
      <alignment horizontal="center" vertical="center"/>
    </xf>
    <xf numFmtId="14" fontId="26" fillId="0" borderId="2" xfId="0" applyNumberFormat="1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/>
    </xf>
    <xf numFmtId="0" fontId="26" fillId="6" borderId="2" xfId="49" applyFont="1" applyFill="1" applyBorder="1" applyAlignment="1">
      <alignment horizontal="center" vertical="center" wrapText="1"/>
    </xf>
    <xf numFmtId="0" fontId="26" fillId="6" borderId="2" xfId="0" applyNumberFormat="1" applyFont="1" applyFill="1" applyBorder="1" applyAlignment="1">
      <alignment horizontal="left" vertical="center"/>
    </xf>
    <xf numFmtId="0" fontId="100" fillId="12" borderId="2" xfId="0" applyFont="1" applyFill="1" applyBorder="1" applyAlignment="1">
      <alignment horizontal="center" vertical="center"/>
    </xf>
    <xf numFmtId="0" fontId="26" fillId="12" borderId="2" xfId="0" applyFont="1" applyFill="1" applyBorder="1" applyAlignment="1">
      <alignment horizontal="center" vertical="center"/>
    </xf>
    <xf numFmtId="0" fontId="26" fillId="12" borderId="2" xfId="0" applyFont="1" applyFill="1" applyBorder="1" applyAlignment="1">
      <alignment horizontal="center"/>
    </xf>
    <xf numFmtId="0" fontId="26" fillId="12" borderId="2" xfId="49" applyFont="1" applyFill="1" applyBorder="1" applyAlignment="1">
      <alignment horizontal="center" vertical="center" wrapText="1"/>
    </xf>
    <xf numFmtId="181" fontId="26" fillId="12" borderId="2" xfId="0" applyNumberFormat="1" applyFont="1" applyFill="1" applyBorder="1" applyAlignment="1">
      <alignment horizontal="left" vertical="center"/>
    </xf>
    <xf numFmtId="181" fontId="26" fillId="12" borderId="2" xfId="0" applyNumberFormat="1" applyFont="1" applyFill="1" applyBorder="1" applyAlignment="1">
      <alignment horizontal="center" vertical="center"/>
    </xf>
    <xf numFmtId="182" fontId="26" fillId="12" borderId="2" xfId="0" applyNumberFormat="1" applyFont="1" applyFill="1" applyBorder="1" applyAlignment="1">
      <alignment horizontal="center" vertical="center"/>
    </xf>
    <xf numFmtId="181" fontId="26" fillId="6" borderId="2" xfId="0" applyNumberFormat="1" applyFont="1" applyFill="1" applyBorder="1" applyAlignment="1">
      <alignment horizontal="left" vertical="center"/>
    </xf>
    <xf numFmtId="14" fontId="27" fillId="0" borderId="2" xfId="0" applyNumberFormat="1" applyFont="1" applyFill="1" applyBorder="1" applyAlignment="1">
      <alignment horizontal="center" vertical="center"/>
    </xf>
    <xf numFmtId="179" fontId="1" fillId="0" borderId="0" xfId="0" applyNumberFormat="1" applyFont="1" applyFill="1" applyAlignment="1"/>
    <xf numFmtId="181" fontId="26" fillId="19" borderId="2" xfId="0" applyNumberFormat="1" applyFont="1" applyFill="1" applyBorder="1" applyAlignment="1">
      <alignment horizontal="center" vertical="center"/>
    </xf>
    <xf numFmtId="182" fontId="26" fillId="0" borderId="2" xfId="0" applyNumberFormat="1" applyFont="1" applyFill="1" applyBorder="1" applyAlignment="1">
      <alignment horizontal="center" vertical="center"/>
    </xf>
    <xf numFmtId="0" fontId="36" fillId="19" borderId="2" xfId="0" applyFont="1" applyFill="1" applyBorder="1" applyAlignment="1">
      <alignment horizontal="center"/>
    </xf>
    <xf numFmtId="0" fontId="36" fillId="19" borderId="2" xfId="0" applyFont="1" applyFill="1" applyBorder="1" applyAlignment="1">
      <alignment horizontal="center" vertical="center"/>
    </xf>
    <xf numFmtId="182" fontId="36" fillId="0" borderId="2" xfId="0" applyNumberFormat="1" applyFont="1" applyFill="1" applyBorder="1" applyAlignment="1">
      <alignment horizontal="center" vertical="center"/>
    </xf>
    <xf numFmtId="0" fontId="36" fillId="0" borderId="2" xfId="0" applyFont="1" applyFill="1" applyBorder="1" applyAlignment="1">
      <alignment horizontal="left" vertical="center"/>
    </xf>
    <xf numFmtId="179" fontId="27" fillId="0" borderId="2" xfId="0" applyNumberFormat="1" applyFont="1" applyFill="1" applyBorder="1" applyAlignment="1">
      <alignment horizontal="left" vertical="center"/>
    </xf>
    <xf numFmtId="14" fontId="26" fillId="6" borderId="2" xfId="0" applyNumberFormat="1" applyFont="1" applyFill="1" applyBorder="1" applyAlignment="1">
      <alignment horizontal="center" vertical="center"/>
    </xf>
    <xf numFmtId="179" fontId="26" fillId="0" borderId="2" xfId="0" applyNumberFormat="1" applyFont="1" applyFill="1" applyBorder="1" applyAlignment="1">
      <alignment horizontal="left" vertical="center"/>
    </xf>
    <xf numFmtId="179" fontId="9" fillId="22" borderId="0" xfId="0" applyNumberFormat="1" applyFont="1" applyFill="1" applyAlignment="1"/>
    <xf numFmtId="14" fontId="26" fillId="19" borderId="2" xfId="0" applyNumberFormat="1" applyFont="1" applyFill="1" applyBorder="1" applyAlignment="1">
      <alignment horizontal="center"/>
    </xf>
    <xf numFmtId="182" fontId="26" fillId="19" borderId="2" xfId="0" applyNumberFormat="1" applyFont="1" applyFill="1" applyBorder="1" applyAlignment="1">
      <alignment horizontal="center" vertical="center"/>
    </xf>
    <xf numFmtId="181" fontId="26" fillId="19" borderId="2" xfId="0" applyNumberFormat="1" applyFont="1" applyFill="1" applyBorder="1" applyAlignment="1">
      <alignment horizontal="left" vertical="center"/>
    </xf>
    <xf numFmtId="0" fontId="27" fillId="19" borderId="2" xfId="0" applyFont="1" applyFill="1" applyBorder="1" applyAlignment="1">
      <alignment horizontal="left"/>
    </xf>
    <xf numFmtId="179" fontId="9" fillId="6" borderId="0" xfId="0" applyNumberFormat="1" applyFont="1" applyFill="1" applyAlignment="1"/>
    <xf numFmtId="0" fontId="26" fillId="6" borderId="2" xfId="0" applyFont="1" applyFill="1" applyBorder="1" applyAlignment="1">
      <alignment horizontal="left"/>
    </xf>
    <xf numFmtId="14" fontId="26" fillId="6" borderId="2" xfId="0" applyNumberFormat="1" applyFont="1" applyFill="1" applyBorder="1" applyAlignment="1">
      <alignment horizontal="center"/>
    </xf>
    <xf numFmtId="0" fontId="43" fillId="6" borderId="2" xfId="0" applyFont="1" applyFill="1" applyBorder="1" applyAlignment="1">
      <alignment horizontal="center"/>
    </xf>
    <xf numFmtId="0" fontId="27" fillId="6" borderId="2" xfId="0" applyNumberFormat="1" applyFont="1" applyFill="1" applyBorder="1" applyAlignment="1">
      <alignment horizontal="center" vertical="center"/>
    </xf>
    <xf numFmtId="0" fontId="26" fillId="31" borderId="2" xfId="0" applyFont="1" applyFill="1" applyBorder="1" applyAlignment="1">
      <alignment horizontal="left"/>
    </xf>
    <xf numFmtId="14" fontId="26" fillId="31" borderId="2" xfId="0" applyNumberFormat="1" applyFont="1" applyFill="1" applyBorder="1" applyAlignment="1">
      <alignment horizontal="center"/>
    </xf>
    <xf numFmtId="0" fontId="26" fillId="31" borderId="2" xfId="0" applyFont="1" applyFill="1" applyBorder="1" applyAlignment="1">
      <alignment horizontal="center" vertical="center"/>
    </xf>
    <xf numFmtId="0" fontId="43" fillId="31" borderId="2" xfId="0" applyFont="1" applyFill="1" applyBorder="1" applyAlignment="1">
      <alignment horizontal="center"/>
    </xf>
    <xf numFmtId="0" fontId="9" fillId="31" borderId="2" xfId="0" applyFont="1" applyFill="1" applyBorder="1" applyAlignment="1">
      <alignment horizontal="center"/>
    </xf>
    <xf numFmtId="0" fontId="9" fillId="31" borderId="2" xfId="0" applyFont="1" applyFill="1" applyBorder="1" applyAlignment="1">
      <alignment horizontal="center" vertical="center"/>
    </xf>
    <xf numFmtId="0" fontId="27" fillId="31" borderId="2" xfId="0" applyNumberFormat="1" applyFont="1" applyFill="1" applyBorder="1" applyAlignment="1">
      <alignment horizontal="center" vertical="center"/>
    </xf>
    <xf numFmtId="0" fontId="43" fillId="22" borderId="0" xfId="0" applyFont="1" applyFill="1" applyAlignment="1"/>
    <xf numFmtId="0" fontId="26" fillId="19" borderId="2" xfId="0" applyFont="1" applyFill="1" applyBorder="1" applyAlignment="1">
      <alignment horizontal="left"/>
    </xf>
    <xf numFmtId="0" fontId="26" fillId="6" borderId="2" xfId="0" applyFont="1" applyFill="1" applyBorder="1" applyAlignment="1">
      <alignment horizontal="left" vertical="center" wrapText="1"/>
    </xf>
    <xf numFmtId="0" fontId="26" fillId="19" borderId="2" xfId="0" applyFont="1" applyFill="1" applyBorder="1" applyAlignment="1">
      <alignment horizontal="left" vertical="center" wrapText="1"/>
    </xf>
    <xf numFmtId="0" fontId="26" fillId="19" borderId="2" xfId="0" applyNumberFormat="1" applyFont="1" applyFill="1" applyBorder="1" applyAlignment="1">
      <alignment horizontal="center" vertical="center"/>
    </xf>
    <xf numFmtId="0" fontId="26" fillId="19" borderId="2" xfId="49" applyFont="1" applyFill="1" applyBorder="1" applyAlignment="1">
      <alignment horizontal="left" vertical="center" wrapText="1"/>
    </xf>
    <xf numFmtId="0" fontId="100" fillId="12" borderId="2" xfId="0" applyNumberFormat="1" applyFont="1" applyFill="1" applyBorder="1" applyAlignment="1">
      <alignment horizontal="center" vertical="center"/>
    </xf>
    <xf numFmtId="14" fontId="26" fillId="19" borderId="2" xfId="49" applyNumberFormat="1" applyFont="1" applyFill="1" applyBorder="1" applyAlignment="1">
      <alignment horizontal="center" vertical="center" wrapText="1"/>
    </xf>
    <xf numFmtId="0" fontId="77" fillId="19" borderId="2" xfId="0" applyFont="1" applyFill="1" applyBorder="1" applyAlignment="1">
      <alignment horizontal="center" vertical="center"/>
    </xf>
    <xf numFmtId="14" fontId="26" fillId="0" borderId="2" xfId="0" applyNumberFormat="1" applyFont="1" applyFill="1" applyBorder="1" applyAlignment="1">
      <alignment horizontal="left" vertical="center"/>
    </xf>
    <xf numFmtId="0" fontId="26" fillId="0" borderId="2" xfId="49" applyFont="1" applyFill="1" applyBorder="1" applyAlignment="1">
      <alignment horizontal="center" vertical="center" wrapText="1"/>
    </xf>
    <xf numFmtId="0" fontId="48" fillId="0" borderId="47" xfId="49" applyFont="1" applyFill="1" applyBorder="1" applyAlignment="1">
      <alignment horizontal="left" vertical="center" wrapText="1"/>
    </xf>
    <xf numFmtId="0" fontId="3" fillId="19" borderId="3" xfId="0" applyFont="1" applyFill="1" applyBorder="1" applyAlignment="1">
      <alignment horizontal="left" vertical="center"/>
    </xf>
    <xf numFmtId="0" fontId="26" fillId="30" borderId="2" xfId="0" applyFont="1" applyFill="1" applyBorder="1" applyAlignment="1">
      <alignment horizontal="left" vertical="center"/>
    </xf>
    <xf numFmtId="14" fontId="26" fillId="30" borderId="2" xfId="0" applyNumberFormat="1" applyFont="1" applyFill="1" applyBorder="1" applyAlignment="1">
      <alignment horizontal="center" vertical="center"/>
    </xf>
    <xf numFmtId="0" fontId="27" fillId="30" borderId="2" xfId="0" applyFont="1" applyFill="1" applyBorder="1" applyAlignment="1">
      <alignment horizontal="center" vertical="center"/>
    </xf>
    <xf numFmtId="0" fontId="26" fillId="30" borderId="2" xfId="0" applyFont="1" applyFill="1" applyBorder="1" applyAlignment="1">
      <alignment horizontal="center"/>
    </xf>
    <xf numFmtId="0" fontId="26" fillId="30" borderId="2" xfId="0" applyFont="1" applyFill="1" applyBorder="1" applyAlignment="1">
      <alignment horizontal="center" vertical="center"/>
    </xf>
    <xf numFmtId="182" fontId="27" fillId="30" borderId="2" xfId="0" applyNumberFormat="1" applyFont="1" applyFill="1" applyBorder="1" applyAlignment="1">
      <alignment horizontal="center" vertical="center"/>
    </xf>
    <xf numFmtId="183" fontId="27" fillId="30" borderId="2" xfId="0" applyNumberFormat="1" applyFont="1" applyFill="1" applyBorder="1" applyAlignment="1">
      <alignment horizontal="left" vertical="center"/>
    </xf>
    <xf numFmtId="0" fontId="27" fillId="30" borderId="2" xfId="0" applyFont="1" applyFill="1" applyBorder="1" applyAlignment="1">
      <alignment horizontal="left" vertical="center"/>
    </xf>
    <xf numFmtId="0" fontId="27" fillId="6" borderId="2" xfId="0" applyNumberFormat="1" applyFont="1" applyFill="1" applyBorder="1" applyAlignment="1">
      <alignment horizontal="left" vertical="center"/>
    </xf>
    <xf numFmtId="179" fontId="27" fillId="6" borderId="2" xfId="0" applyNumberFormat="1" applyFont="1" applyFill="1" applyBorder="1" applyAlignment="1">
      <alignment horizontal="left" vertical="center"/>
    </xf>
    <xf numFmtId="0" fontId="1" fillId="19" borderId="0" xfId="0" applyFont="1" applyFill="1" applyAlignment="1">
      <alignment horizontal="left" vertical="center"/>
    </xf>
    <xf numFmtId="14" fontId="27" fillId="19" borderId="2" xfId="0" applyNumberFormat="1" applyFont="1" applyFill="1" applyBorder="1" applyAlignment="1">
      <alignment horizontal="center" vertical="center"/>
    </xf>
    <xf numFmtId="14" fontId="27" fillId="6" borderId="2" xfId="0" applyNumberFormat="1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left"/>
    </xf>
    <xf numFmtId="0" fontId="28" fillId="6" borderId="2" xfId="0" applyFont="1" applyFill="1" applyBorder="1" applyAlignment="1">
      <alignment horizontal="left" vertical="center"/>
    </xf>
    <xf numFmtId="14" fontId="28" fillId="6" borderId="2" xfId="0" applyNumberFormat="1" applyFont="1" applyFill="1" applyBorder="1" applyAlignment="1">
      <alignment horizontal="center" vertical="center"/>
    </xf>
    <xf numFmtId="0" fontId="101" fillId="6" borderId="2" xfId="0" applyFont="1" applyFill="1" applyBorder="1" applyAlignment="1">
      <alignment horizontal="center" vertical="center"/>
    </xf>
    <xf numFmtId="0" fontId="27" fillId="33" borderId="2" xfId="0" applyFont="1" applyFill="1" applyBorder="1" applyAlignment="1">
      <alignment horizontal="left" vertical="center"/>
    </xf>
    <xf numFmtId="14" fontId="27" fillId="33" borderId="2" xfId="0" applyNumberFormat="1" applyFont="1" applyFill="1" applyBorder="1" applyAlignment="1">
      <alignment horizontal="center" vertical="center"/>
    </xf>
    <xf numFmtId="0" fontId="27" fillId="33" borderId="2" xfId="0" applyFont="1" applyFill="1" applyBorder="1" applyAlignment="1">
      <alignment horizontal="center" vertical="center"/>
    </xf>
    <xf numFmtId="182" fontId="27" fillId="6" borderId="2" xfId="0" applyNumberFormat="1" applyFont="1" applyFill="1" applyBorder="1" applyAlignment="1">
      <alignment horizontal="left" vertical="center"/>
    </xf>
    <xf numFmtId="0" fontId="27" fillId="33" borderId="2" xfId="0" applyFont="1" applyFill="1" applyBorder="1" applyAlignment="1">
      <alignment horizontal="left"/>
    </xf>
    <xf numFmtId="182" fontId="27" fillId="33" borderId="2" xfId="0" applyNumberFormat="1" applyFont="1" applyFill="1" applyBorder="1" applyAlignment="1">
      <alignment horizontal="center" vertical="center"/>
    </xf>
    <xf numFmtId="181" fontId="27" fillId="33" borderId="2" xfId="0" applyNumberFormat="1" applyFont="1" applyFill="1" applyBorder="1" applyAlignment="1">
      <alignment horizontal="center" vertical="center"/>
    </xf>
    <xf numFmtId="14" fontId="27" fillId="12" borderId="2" xfId="0" applyNumberFormat="1" applyFont="1" applyFill="1" applyBorder="1" applyAlignment="1">
      <alignment horizontal="center" vertical="center"/>
    </xf>
    <xf numFmtId="0" fontId="27" fillId="12" borderId="2" xfId="0" applyFont="1" applyFill="1" applyBorder="1" applyAlignment="1">
      <alignment horizontal="center" vertical="center"/>
    </xf>
    <xf numFmtId="0" fontId="55" fillId="19" borderId="0" xfId="0" applyFont="1" applyFill="1">
      <alignment vertical="center"/>
    </xf>
    <xf numFmtId="179" fontId="55" fillId="19" borderId="0" xfId="0" applyNumberFormat="1" applyFont="1" applyFill="1">
      <alignment vertical="center"/>
    </xf>
    <xf numFmtId="0" fontId="26" fillId="31" borderId="2" xfId="0" applyFont="1" applyFill="1" applyBorder="1" applyAlignment="1">
      <alignment horizontal="left" vertical="center"/>
    </xf>
    <xf numFmtId="14" fontId="26" fillId="31" borderId="2" xfId="0" applyNumberFormat="1" applyFont="1" applyFill="1" applyBorder="1" applyAlignment="1">
      <alignment horizontal="center" vertical="center"/>
    </xf>
    <xf numFmtId="0" fontId="100" fillId="31" borderId="2" xfId="0" applyNumberFormat="1" applyFont="1" applyFill="1" applyBorder="1" applyAlignment="1">
      <alignment horizontal="center" vertical="center"/>
    </xf>
    <xf numFmtId="182" fontId="26" fillId="31" borderId="2" xfId="0" applyNumberFormat="1" applyFont="1" applyFill="1" applyBorder="1" applyAlignment="1">
      <alignment horizontal="center" vertical="center"/>
    </xf>
    <xf numFmtId="181" fontId="26" fillId="31" borderId="2" xfId="0" applyNumberFormat="1" applyFont="1" applyFill="1" applyBorder="1" applyAlignment="1">
      <alignment horizontal="center" vertical="center"/>
    </xf>
    <xf numFmtId="0" fontId="55" fillId="6" borderId="0" xfId="0" applyFont="1" applyFill="1">
      <alignment vertical="center"/>
    </xf>
    <xf numFmtId="179" fontId="55" fillId="6" borderId="0" xfId="0" applyNumberFormat="1" applyFont="1" applyFill="1">
      <alignment vertical="center"/>
    </xf>
    <xf numFmtId="181" fontId="36" fillId="19" borderId="2" xfId="0" applyNumberFormat="1" applyFont="1" applyFill="1" applyBorder="1" applyAlignment="1">
      <alignment horizontal="center" vertical="center"/>
    </xf>
    <xf numFmtId="0" fontId="36" fillId="19" borderId="2" xfId="0" applyFont="1" applyFill="1" applyBorder="1" applyAlignment="1">
      <alignment vertical="center"/>
    </xf>
    <xf numFmtId="182" fontId="36" fillId="19" borderId="2" xfId="0" applyNumberFormat="1" applyFont="1" applyFill="1" applyBorder="1" applyAlignment="1">
      <alignment horizontal="left" vertical="center"/>
    </xf>
    <xf numFmtId="0" fontId="1" fillId="31" borderId="0" xfId="0" applyFont="1" applyFill="1" applyAlignment="1">
      <alignment horizontal="left" vertical="center"/>
    </xf>
    <xf numFmtId="0" fontId="16" fillId="31" borderId="0" xfId="0" applyFont="1" applyFill="1" applyAlignment="1">
      <alignment vertical="center"/>
    </xf>
    <xf numFmtId="179" fontId="9" fillId="31" borderId="0" xfId="0" applyNumberFormat="1" applyFont="1" applyFill="1" applyAlignment="1"/>
    <xf numFmtId="14" fontId="36" fillId="19" borderId="2" xfId="0" applyNumberFormat="1" applyFont="1" applyFill="1" applyBorder="1" applyAlignment="1">
      <alignment horizontal="center" vertical="center"/>
    </xf>
    <xf numFmtId="181" fontId="36" fillId="6" borderId="2" xfId="0" applyNumberFormat="1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 wrapText="1"/>
    </xf>
    <xf numFmtId="24" fontId="27" fillId="6" borderId="2" xfId="0" applyNumberFormat="1" applyFont="1" applyFill="1" applyBorder="1" applyAlignment="1">
      <alignment horizontal="left" vertical="center" wrapText="1"/>
    </xf>
    <xf numFmtId="0" fontId="27" fillId="19" borderId="2" xfId="0" applyFont="1" applyFill="1" applyBorder="1" applyAlignment="1">
      <alignment horizontal="center" vertical="center" wrapText="1"/>
    </xf>
    <xf numFmtId="24" fontId="27" fillId="19" borderId="2" xfId="0" applyNumberFormat="1" applyFont="1" applyFill="1" applyBorder="1" applyAlignment="1">
      <alignment horizontal="left" vertical="center" wrapText="1"/>
    </xf>
    <xf numFmtId="0" fontId="27" fillId="12" borderId="2" xfId="0" applyFont="1" applyFill="1" applyBorder="1" applyAlignment="1">
      <alignment horizontal="center" vertical="center" wrapText="1"/>
    </xf>
    <xf numFmtId="0" fontId="27" fillId="25" borderId="2" xfId="0" applyFont="1" applyFill="1" applyBorder="1" applyAlignment="1">
      <alignment horizontal="center"/>
    </xf>
    <xf numFmtId="0" fontId="27" fillId="25" borderId="2" xfId="0" applyFont="1" applyFill="1" applyBorder="1" applyAlignment="1">
      <alignment horizontal="center" vertical="center"/>
    </xf>
    <xf numFmtId="0" fontId="27" fillId="31" borderId="2" xfId="0" applyFont="1" applyFill="1" applyBorder="1" applyAlignment="1">
      <alignment horizontal="center"/>
    </xf>
    <xf numFmtId="0" fontId="27" fillId="31" borderId="2" xfId="0" applyFont="1" applyFill="1" applyBorder="1" applyAlignment="1">
      <alignment horizontal="center" vertical="center"/>
    </xf>
    <xf numFmtId="0" fontId="27" fillId="6" borderId="9" xfId="0" applyFont="1" applyFill="1" applyBorder="1" applyAlignment="1">
      <alignment horizontal="left" vertical="center"/>
    </xf>
    <xf numFmtId="0" fontId="27" fillId="31" borderId="9" xfId="0" applyFont="1" applyFill="1" applyBorder="1" applyAlignment="1">
      <alignment horizontal="left" vertical="center"/>
    </xf>
    <xf numFmtId="14" fontId="27" fillId="31" borderId="9" xfId="0" applyNumberFormat="1" applyFont="1" applyFill="1" applyBorder="1" applyAlignment="1">
      <alignment horizontal="center" vertical="center"/>
    </xf>
    <xf numFmtId="0" fontId="27" fillId="31" borderId="9" xfId="0" applyFont="1" applyFill="1" applyBorder="1" applyAlignment="1">
      <alignment horizontal="center" vertical="center"/>
    </xf>
    <xf numFmtId="0" fontId="100" fillId="6" borderId="0" xfId="0" applyFont="1" applyFill="1" applyAlignment="1">
      <alignment horizontal="center" vertical="center"/>
    </xf>
    <xf numFmtId="0" fontId="27" fillId="6" borderId="9" xfId="0" applyFont="1" applyFill="1" applyBorder="1" applyAlignment="1">
      <alignment horizontal="center" vertical="center"/>
    </xf>
    <xf numFmtId="182" fontId="27" fillId="6" borderId="9" xfId="0" applyNumberFormat="1" applyFont="1" applyFill="1" applyBorder="1" applyAlignment="1">
      <alignment horizontal="center" vertical="center"/>
    </xf>
    <xf numFmtId="181" fontId="27" fillId="6" borderId="9" xfId="0" applyNumberFormat="1" applyFont="1" applyFill="1" applyBorder="1" applyAlignment="1">
      <alignment horizontal="center" vertical="center"/>
    </xf>
    <xf numFmtId="0" fontId="27" fillId="31" borderId="2" xfId="0" applyFont="1" applyFill="1" applyBorder="1" applyAlignment="1">
      <alignment horizontal="left" vertical="center"/>
    </xf>
    <xf numFmtId="0" fontId="100" fillId="12" borderId="0" xfId="0" applyNumberFormat="1" applyFont="1" applyFill="1" applyAlignment="1">
      <alignment horizontal="center" vertical="center"/>
    </xf>
    <xf numFmtId="182" fontId="27" fillId="0" borderId="2" xfId="0" applyNumberFormat="1" applyFont="1" applyFill="1" applyBorder="1" applyAlignment="1">
      <alignment horizontal="left" vertical="center"/>
    </xf>
    <xf numFmtId="0" fontId="100" fillId="12" borderId="0" xfId="0" applyFont="1" applyFill="1" applyAlignment="1">
      <alignment horizontal="center" vertical="center"/>
    </xf>
    <xf numFmtId="0" fontId="27" fillId="19" borderId="8" xfId="0" applyFont="1" applyFill="1" applyBorder="1" applyAlignment="1">
      <alignment horizontal="left" vertical="center"/>
    </xf>
    <xf numFmtId="0" fontId="27" fillId="6" borderId="13" xfId="0" applyFont="1" applyFill="1" applyBorder="1" applyAlignment="1">
      <alignment horizontal="left" vertical="center"/>
    </xf>
    <xf numFmtId="0" fontId="27" fillId="19" borderId="13" xfId="0" applyFont="1" applyFill="1" applyBorder="1" applyAlignment="1">
      <alignment horizontal="left" vertical="center"/>
    </xf>
    <xf numFmtId="0" fontId="27" fillId="20" borderId="2" xfId="0" applyFont="1" applyFill="1" applyBorder="1" applyAlignment="1">
      <alignment horizontal="left" vertical="center"/>
    </xf>
    <xf numFmtId="0" fontId="27" fillId="20" borderId="2" xfId="0" applyFont="1" applyFill="1" applyBorder="1" applyAlignment="1">
      <alignment horizontal="center" vertical="center"/>
    </xf>
    <xf numFmtId="0" fontId="27" fillId="20" borderId="2" xfId="0" applyFont="1" applyFill="1" applyBorder="1" applyAlignment="1">
      <alignment horizontal="center"/>
    </xf>
    <xf numFmtId="0" fontId="27" fillId="12" borderId="2" xfId="0" applyFont="1" applyFill="1" applyBorder="1" applyAlignment="1">
      <alignment horizontal="center"/>
    </xf>
    <xf numFmtId="182" fontId="27" fillId="12" borderId="2" xfId="0" applyNumberFormat="1" applyFont="1" applyFill="1" applyBorder="1" applyAlignment="1">
      <alignment horizontal="center" vertical="center"/>
    </xf>
    <xf numFmtId="181" fontId="27" fillId="20" borderId="2" xfId="0" applyNumberFormat="1" applyFont="1" applyFill="1" applyBorder="1" applyAlignment="1">
      <alignment horizontal="left" vertical="center"/>
    </xf>
    <xf numFmtId="0" fontId="16" fillId="20" borderId="0" xfId="0" applyFont="1" applyFill="1" applyAlignment="1">
      <alignment vertical="center"/>
    </xf>
    <xf numFmtId="179" fontId="9" fillId="20" borderId="0" xfId="0" applyNumberFormat="1" applyFont="1" applyFill="1" applyAlignment="1"/>
    <xf numFmtId="182" fontId="27" fillId="20" borderId="2" xfId="0" applyNumberFormat="1" applyFont="1" applyFill="1" applyBorder="1" applyAlignment="1">
      <alignment horizontal="center" vertical="center"/>
    </xf>
    <xf numFmtId="14" fontId="27" fillId="20" borderId="2" xfId="0" applyNumberFormat="1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/>
    </xf>
    <xf numFmtId="182" fontId="27" fillId="20" borderId="0" xfId="0" applyNumberFormat="1" applyFont="1" applyFill="1" applyAlignment="1">
      <alignment horizontal="center" vertical="center"/>
    </xf>
    <xf numFmtId="0" fontId="9" fillId="20" borderId="0" xfId="0" applyFont="1" applyFill="1" applyAlignment="1">
      <alignment vertical="center"/>
    </xf>
    <xf numFmtId="14" fontId="26" fillId="20" borderId="2" xfId="0" applyNumberFormat="1" applyFont="1" applyFill="1" applyBorder="1" applyAlignment="1">
      <alignment vertical="center"/>
    </xf>
    <xf numFmtId="0" fontId="26" fillId="20" borderId="2" xfId="0" applyFont="1" applyFill="1" applyBorder="1" applyAlignment="1">
      <alignment vertical="center"/>
    </xf>
    <xf numFmtId="0" fontId="26" fillId="20" borderId="2" xfId="0" applyFont="1" applyFill="1" applyBorder="1" applyAlignment="1">
      <alignment horizontal="center" vertical="center"/>
    </xf>
    <xf numFmtId="0" fontId="26" fillId="20" borderId="2" xfId="0" applyFont="1" applyFill="1" applyBorder="1" applyAlignment="1">
      <alignment horizontal="left" vertical="center"/>
    </xf>
    <xf numFmtId="181" fontId="27" fillId="19" borderId="2" xfId="0" applyNumberFormat="1" applyFont="1" applyFill="1" applyBorder="1" applyAlignment="1">
      <alignment horizontal="left" vertical="center"/>
    </xf>
    <xf numFmtId="0" fontId="27" fillId="19" borderId="2" xfId="0" applyFont="1" applyFill="1" applyBorder="1" applyAlignment="1">
      <alignment horizontal="left" vertical="center" wrapText="1"/>
    </xf>
    <xf numFmtId="0" fontId="27" fillId="19" borderId="8" xfId="0" applyFont="1" applyFill="1" applyBorder="1" applyAlignment="1">
      <alignment horizontal="center" vertical="center"/>
    </xf>
    <xf numFmtId="14" fontId="27" fillId="6" borderId="2" xfId="0" applyNumberFormat="1" applyFont="1" applyFill="1" applyBorder="1" applyAlignment="1">
      <alignment horizontal="left" vertical="center"/>
    </xf>
    <xf numFmtId="0" fontId="30" fillId="19" borderId="2" xfId="0" applyFont="1" applyFill="1" applyBorder="1" applyAlignment="1">
      <alignment horizontal="left" vertical="center"/>
    </xf>
    <xf numFmtId="0" fontId="30" fillId="19" borderId="2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/>
    </xf>
    <xf numFmtId="184" fontId="28" fillId="0" borderId="2" xfId="0" applyNumberFormat="1" applyFont="1" applyFill="1" applyBorder="1" applyAlignment="1">
      <alignment horizontal="center" vertical="center"/>
    </xf>
    <xf numFmtId="179" fontId="9" fillId="0" borderId="0" xfId="0" applyNumberFormat="1" applyFont="1" applyFill="1" applyAlignment="1">
      <alignment vertical="center"/>
    </xf>
    <xf numFmtId="3" fontId="27" fillId="0" borderId="2" xfId="0" applyNumberFormat="1" applyFont="1" applyFill="1" applyBorder="1" applyAlignment="1">
      <alignment horizontal="center" vertical="center"/>
    </xf>
    <xf numFmtId="14" fontId="26" fillId="6" borderId="2" xfId="0" applyNumberFormat="1" applyFont="1" applyFill="1" applyBorder="1" applyAlignment="1">
      <alignment horizontal="left"/>
    </xf>
    <xf numFmtId="179" fontId="9" fillId="6" borderId="0" xfId="0" applyNumberFormat="1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181" fontId="27" fillId="0" borderId="8" xfId="0" applyNumberFormat="1" applyFont="1" applyFill="1" applyBorder="1" applyAlignment="1">
      <alignment horizontal="center" vertical="center"/>
    </xf>
    <xf numFmtId="0" fontId="27" fillId="0" borderId="8" xfId="0" applyNumberFormat="1" applyFont="1" applyFill="1" applyBorder="1" applyAlignment="1">
      <alignment horizontal="center" vertical="center"/>
    </xf>
    <xf numFmtId="183" fontId="27" fillId="19" borderId="2" xfId="0" applyNumberFormat="1" applyFont="1" applyFill="1" applyBorder="1" applyAlignment="1">
      <alignment horizontal="left" vertical="center"/>
    </xf>
    <xf numFmtId="179" fontId="55" fillId="0" borderId="0" xfId="0" applyNumberFormat="1" applyFont="1" applyFill="1">
      <alignment vertical="center"/>
    </xf>
    <xf numFmtId="183" fontId="27" fillId="12" borderId="2" xfId="0" applyNumberFormat="1" applyFont="1" applyFill="1" applyBorder="1" applyAlignment="1">
      <alignment horizontal="left" vertical="center"/>
    </xf>
    <xf numFmtId="0" fontId="102" fillId="0" borderId="2" xfId="0" applyFont="1" applyFill="1" applyBorder="1" applyAlignment="1">
      <alignment horizontal="left" vertical="center"/>
    </xf>
    <xf numFmtId="0" fontId="27" fillId="6" borderId="8" xfId="0" applyFont="1" applyFill="1" applyBorder="1" applyAlignment="1">
      <alignment horizontal="left" vertical="center"/>
    </xf>
    <xf numFmtId="179" fontId="1" fillId="0" borderId="0" xfId="0" applyNumberFormat="1" applyFont="1" applyFill="1" applyAlignment="1">
      <alignment vertical="center"/>
    </xf>
    <xf numFmtId="184" fontId="28" fillId="6" borderId="2" xfId="0" applyNumberFormat="1" applyFont="1" applyFill="1" applyBorder="1" applyAlignment="1">
      <alignment horizontal="center" vertical="center"/>
    </xf>
    <xf numFmtId="14" fontId="28" fillId="0" borderId="2" xfId="0" applyNumberFormat="1" applyFont="1" applyFill="1" applyBorder="1" applyAlignment="1">
      <alignment horizontal="center" vertical="center"/>
    </xf>
    <xf numFmtId="183" fontId="28" fillId="0" borderId="2" xfId="0" applyNumberFormat="1" applyFont="1" applyFill="1" applyBorder="1" applyAlignment="1">
      <alignment horizontal="left" vertical="center"/>
    </xf>
    <xf numFmtId="179" fontId="9" fillId="6" borderId="0" xfId="0" applyNumberFormat="1" applyFont="1" applyFill="1" applyAlignment="1">
      <alignment horizontal="left" vertical="center"/>
    </xf>
    <xf numFmtId="179" fontId="9" fillId="0" borderId="0" xfId="0" applyNumberFormat="1" applyFont="1" applyFill="1" applyAlignment="1">
      <alignment horizontal="left" vertical="center"/>
    </xf>
    <xf numFmtId="0" fontId="26" fillId="6" borderId="2" xfId="0" applyNumberFormat="1" applyFont="1" applyFill="1" applyBorder="1" applyAlignment="1">
      <alignment horizontal="center" vertical="center"/>
    </xf>
    <xf numFmtId="183" fontId="26" fillId="6" borderId="2" xfId="0" applyNumberFormat="1" applyFont="1" applyFill="1" applyBorder="1" applyAlignment="1">
      <alignment horizontal="left" vertical="center"/>
    </xf>
    <xf numFmtId="0" fontId="27" fillId="6" borderId="13" xfId="0" applyNumberFormat="1" applyFont="1" applyFill="1" applyBorder="1" applyAlignment="1">
      <alignment horizontal="left" vertical="center"/>
    </xf>
    <xf numFmtId="0" fontId="36" fillId="12" borderId="2" xfId="0" applyNumberFormat="1" applyFont="1" applyFill="1" applyBorder="1" applyAlignment="1">
      <alignment horizontal="center"/>
    </xf>
    <xf numFmtId="181" fontId="36" fillId="12" borderId="2" xfId="0" applyNumberFormat="1" applyFont="1" applyFill="1" applyBorder="1" applyAlignment="1">
      <alignment horizontal="center"/>
    </xf>
    <xf numFmtId="181" fontId="27" fillId="12" borderId="2" xfId="0" applyNumberFormat="1" applyFont="1" applyFill="1" applyBorder="1" applyAlignment="1">
      <alignment horizontal="center" vertical="center"/>
    </xf>
    <xf numFmtId="0" fontId="27" fillId="6" borderId="9" xfId="0" applyNumberFormat="1" applyFont="1" applyFill="1" applyBorder="1" applyAlignment="1">
      <alignment horizontal="left" vertical="center"/>
    </xf>
    <xf numFmtId="0" fontId="103" fillId="0" borderId="2" xfId="0" applyFont="1" applyFill="1" applyBorder="1" applyAlignment="1">
      <alignment horizontal="center" vertical="center"/>
    </xf>
    <xf numFmtId="0" fontId="103" fillId="34" borderId="2" xfId="0" applyFont="1" applyFill="1" applyBorder="1" applyAlignment="1">
      <alignment horizontal="center" vertical="center"/>
    </xf>
    <xf numFmtId="0" fontId="1" fillId="34" borderId="2" xfId="0" applyFont="1" applyFill="1" applyBorder="1" applyAlignment="1">
      <alignment horizontal="center" vertical="center"/>
    </xf>
    <xf numFmtId="0" fontId="1" fillId="34" borderId="2" xfId="0" applyFont="1" applyFill="1" applyBorder="1" applyAlignment="1">
      <alignment horizontal="left" vertical="center"/>
    </xf>
    <xf numFmtId="0" fontId="103" fillId="6" borderId="2" xfId="0" applyFont="1" applyFill="1" applyBorder="1" applyAlignment="1">
      <alignment horizontal="center" vertical="center"/>
    </xf>
    <xf numFmtId="0" fontId="27" fillId="12" borderId="2" xfId="0" applyNumberFormat="1" applyFont="1" applyFill="1" applyBorder="1" applyAlignment="1">
      <alignment horizontal="center" vertical="center"/>
    </xf>
    <xf numFmtId="0" fontId="27" fillId="6" borderId="8" xfId="0" applyNumberFormat="1" applyFont="1" applyFill="1" applyBorder="1" applyAlignment="1">
      <alignment horizontal="center" vertical="center"/>
    </xf>
    <xf numFmtId="184" fontId="17" fillId="0" borderId="8" xfId="0" applyNumberFormat="1" applyFont="1" applyFill="1" applyBorder="1" applyAlignment="1">
      <alignment horizontal="center" vertical="center"/>
    </xf>
    <xf numFmtId="181" fontId="1" fillId="0" borderId="8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/>
    <xf numFmtId="0" fontId="100" fillId="6" borderId="2" xfId="0" applyNumberFormat="1" applyFont="1" applyFill="1" applyBorder="1" applyAlignment="1">
      <alignment horizontal="center" vertical="center"/>
    </xf>
    <xf numFmtId="184" fontId="17" fillId="6" borderId="2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/>
    </xf>
    <xf numFmtId="0" fontId="27" fillId="6" borderId="9" xfId="0" applyNumberFormat="1" applyFont="1" applyFill="1" applyBorder="1" applyAlignment="1">
      <alignment horizontal="center" vertical="center"/>
    </xf>
    <xf numFmtId="0" fontId="1" fillId="31" borderId="2" xfId="0" applyFont="1" applyFill="1" applyBorder="1" applyAlignment="1">
      <alignment horizontal="left" vertical="center" wrapText="1"/>
    </xf>
    <xf numFmtId="14" fontId="1" fillId="31" borderId="2" xfId="0" applyNumberFormat="1" applyFont="1" applyFill="1" applyBorder="1" applyAlignment="1">
      <alignment horizontal="center" vertical="center"/>
    </xf>
    <xf numFmtId="0" fontId="1" fillId="31" borderId="2" xfId="0" applyFont="1" applyFill="1" applyBorder="1" applyAlignment="1">
      <alignment horizontal="center" vertical="center"/>
    </xf>
    <xf numFmtId="179" fontId="9" fillId="31" borderId="0" xfId="0" applyNumberFormat="1" applyFont="1" applyFill="1" applyAlignment="1">
      <alignment vertical="center"/>
    </xf>
    <xf numFmtId="0" fontId="100" fillId="25" borderId="0" xfId="0" applyFont="1" applyFill="1" applyAlignment="1">
      <alignment horizontal="center" vertical="center"/>
    </xf>
    <xf numFmtId="0" fontId="1" fillId="25" borderId="2" xfId="0" applyFont="1" applyFill="1" applyBorder="1" applyAlignment="1">
      <alignment horizontal="center" vertical="center"/>
    </xf>
    <xf numFmtId="0" fontId="1" fillId="25" borderId="2" xfId="0" applyFont="1" applyFill="1" applyBorder="1" applyAlignment="1">
      <alignment horizontal="center"/>
    </xf>
    <xf numFmtId="0" fontId="27" fillId="25" borderId="2" xfId="0" applyNumberFormat="1" applyFont="1" applyFill="1" applyBorder="1" applyAlignment="1">
      <alignment horizontal="center" vertical="center"/>
    </xf>
    <xf numFmtId="182" fontId="1" fillId="25" borderId="2" xfId="0" applyNumberFormat="1" applyFont="1" applyFill="1" applyBorder="1" applyAlignment="1">
      <alignment horizontal="center" vertical="center"/>
    </xf>
    <xf numFmtId="181" fontId="1" fillId="25" borderId="2" xfId="0" applyNumberFormat="1" applyFont="1" applyFill="1" applyBorder="1" applyAlignment="1">
      <alignment horizontal="center" vertical="center"/>
    </xf>
    <xf numFmtId="0" fontId="100" fillId="6" borderId="0" xfId="0" applyNumberFormat="1" applyFont="1" applyFill="1" applyAlignment="1">
      <alignment horizontal="center" vertical="center"/>
    </xf>
    <xf numFmtId="0" fontId="55" fillId="0" borderId="2" xfId="0" applyFont="1" applyBorder="1">
      <alignment vertical="center"/>
    </xf>
    <xf numFmtId="0" fontId="55" fillId="0" borderId="0" xfId="0" applyFont="1">
      <alignment vertical="center"/>
    </xf>
    <xf numFmtId="0" fontId="55" fillId="0" borderId="2" xfId="0" applyFont="1" applyFill="1" applyBorder="1">
      <alignment vertical="center"/>
    </xf>
    <xf numFmtId="14" fontId="9" fillId="19" borderId="2" xfId="0" applyNumberFormat="1" applyFont="1" applyFill="1" applyBorder="1" applyAlignment="1">
      <alignment horizontal="center"/>
    </xf>
    <xf numFmtId="0" fontId="43" fillId="19" borderId="2" xfId="0" applyFont="1" applyFill="1" applyBorder="1" applyAlignment="1">
      <alignment horizontal="center"/>
    </xf>
    <xf numFmtId="0" fontId="9" fillId="19" borderId="2" xfId="0" applyFont="1" applyFill="1" applyBorder="1" applyAlignment="1"/>
    <xf numFmtId="14" fontId="9" fillId="0" borderId="2" xfId="0" applyNumberFormat="1" applyFont="1" applyFill="1" applyBorder="1" applyAlignment="1">
      <alignment horizontal="center"/>
    </xf>
    <xf numFmtId="0" fontId="43" fillId="0" borderId="2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left"/>
    </xf>
    <xf numFmtId="14" fontId="9" fillId="12" borderId="2" xfId="0" applyNumberFormat="1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36" fillId="6" borderId="2" xfId="0" applyNumberFormat="1" applyFont="1" applyFill="1" applyBorder="1" applyAlignment="1">
      <alignment horizontal="center"/>
    </xf>
    <xf numFmtId="181" fontId="36" fillId="6" borderId="2" xfId="0" applyNumberFormat="1" applyFont="1" applyFill="1" applyBorder="1" applyAlignment="1">
      <alignment horizontal="center"/>
    </xf>
    <xf numFmtId="14" fontId="9" fillId="6" borderId="2" xfId="0" applyNumberFormat="1" applyFont="1" applyFill="1" applyBorder="1" applyAlignment="1">
      <alignment horizontal="center"/>
    </xf>
    <xf numFmtId="14" fontId="9" fillId="6" borderId="2" xfId="0" applyNumberFormat="1" applyFont="1" applyFill="1" applyBorder="1" applyAlignment="1">
      <alignment horizontal="center" vertical="center"/>
    </xf>
    <xf numFmtId="181" fontId="1" fillId="6" borderId="2" xfId="0" applyNumberFormat="1" applyFont="1" applyFill="1" applyBorder="1" applyAlignment="1">
      <alignment horizontal="center" vertical="center" wrapText="1"/>
    </xf>
    <xf numFmtId="0" fontId="43" fillId="6" borderId="2" xfId="0" applyFont="1" applyFill="1" applyBorder="1" applyAlignment="1">
      <alignment vertical="center" wrapText="1"/>
    </xf>
    <xf numFmtId="181" fontId="1" fillId="6" borderId="8" xfId="0" applyNumberFormat="1" applyFont="1" applyFill="1" applyBorder="1" applyAlignment="1">
      <alignment horizontal="left" vertical="center"/>
    </xf>
    <xf numFmtId="14" fontId="9" fillId="6" borderId="8" xfId="0" applyNumberFormat="1" applyFont="1" applyFill="1" applyBorder="1" applyAlignment="1">
      <alignment horizontal="center" vertical="center"/>
    </xf>
    <xf numFmtId="181" fontId="1" fillId="6" borderId="8" xfId="0" applyNumberFormat="1" applyFont="1" applyFill="1" applyBorder="1" applyAlignment="1">
      <alignment horizontal="center" vertical="center"/>
    </xf>
    <xf numFmtId="181" fontId="1" fillId="6" borderId="9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left"/>
    </xf>
    <xf numFmtId="14" fontId="9" fillId="0" borderId="9" xfId="0" applyNumberFormat="1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43" fillId="3" borderId="2" xfId="0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/>
    </xf>
    <xf numFmtId="14" fontId="9" fillId="0" borderId="0" xfId="0" applyNumberFormat="1" applyFont="1" applyFill="1" applyAlignment="1">
      <alignment horizontal="center"/>
    </xf>
    <xf numFmtId="0" fontId="43" fillId="3" borderId="0" xfId="0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center"/>
    </xf>
    <xf numFmtId="0" fontId="38" fillId="6" borderId="2" xfId="0" applyNumberFormat="1" applyFont="1" applyFill="1" applyBorder="1" applyAlignment="1">
      <alignment horizontal="left" vertical="center"/>
    </xf>
    <xf numFmtId="0" fontId="9" fillId="6" borderId="0" xfId="0" applyFont="1" applyFill="1" applyAlignment="1">
      <alignment horizontal="left"/>
    </xf>
    <xf numFmtId="14" fontId="9" fillId="6" borderId="0" xfId="0" applyNumberFormat="1" applyFont="1" applyFill="1" applyAlignment="1">
      <alignment horizontal="center"/>
    </xf>
    <xf numFmtId="182" fontId="9" fillId="6" borderId="8" xfId="0" applyNumberFormat="1" applyFont="1" applyFill="1" applyBorder="1" applyAlignment="1">
      <alignment horizontal="center" vertical="center"/>
    </xf>
    <xf numFmtId="0" fontId="27" fillId="6" borderId="8" xfId="0" applyFont="1" applyFill="1" applyBorder="1" applyAlignment="1">
      <alignment horizontal="center" vertical="center"/>
    </xf>
    <xf numFmtId="0" fontId="9" fillId="6" borderId="2" xfId="0" applyNumberFormat="1" applyFont="1" applyFill="1" applyBorder="1" applyAlignment="1">
      <alignment horizontal="left" vertical="center"/>
    </xf>
    <xf numFmtId="0" fontId="9" fillId="6" borderId="12" xfId="0" applyFont="1" applyFill="1" applyBorder="1" applyAlignment="1">
      <alignment horizontal="left"/>
    </xf>
    <xf numFmtId="182" fontId="36" fillId="19" borderId="9" xfId="0" applyNumberFormat="1" applyFont="1" applyFill="1" applyBorder="1" applyAlignment="1">
      <alignment horizontal="center" vertical="center"/>
    </xf>
    <xf numFmtId="182" fontId="9" fillId="6" borderId="9" xfId="0" applyNumberFormat="1" applyFont="1" applyFill="1" applyBorder="1" applyAlignment="1">
      <alignment horizontal="center" vertical="center"/>
    </xf>
    <xf numFmtId="0" fontId="100" fillId="19" borderId="12" xfId="0" applyFont="1" applyFill="1" applyBorder="1" applyAlignment="1">
      <alignment horizontal="center" vertical="center"/>
    </xf>
    <xf numFmtId="14" fontId="100" fillId="19" borderId="3" xfId="0" applyNumberFormat="1" applyFont="1" applyFill="1" applyBorder="1" applyAlignment="1">
      <alignment horizontal="center"/>
    </xf>
    <xf numFmtId="0" fontId="100" fillId="19" borderId="0" xfId="0" applyFont="1" applyFill="1" applyAlignment="1">
      <alignment horizontal="center" vertical="center"/>
    </xf>
    <xf numFmtId="14" fontId="9" fillId="0" borderId="8" xfId="0" applyNumberFormat="1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9" fillId="19" borderId="8" xfId="0" applyFont="1" applyFill="1" applyBorder="1" applyAlignment="1">
      <alignment horizontal="center"/>
    </xf>
    <xf numFmtId="0" fontId="43" fillId="19" borderId="8" xfId="0" applyFont="1" applyFill="1" applyBorder="1" applyAlignment="1">
      <alignment horizontal="center"/>
    </xf>
    <xf numFmtId="0" fontId="9" fillId="19" borderId="8" xfId="0" applyFont="1" applyFill="1" applyBorder="1" applyAlignment="1">
      <alignment horizontal="center" vertical="center"/>
    </xf>
    <xf numFmtId="0" fontId="1" fillId="19" borderId="8" xfId="0" applyNumberFormat="1" applyFont="1" applyFill="1" applyBorder="1" applyAlignment="1">
      <alignment horizontal="center"/>
    </xf>
    <xf numFmtId="182" fontId="36" fillId="19" borderId="8" xfId="0" applyNumberFormat="1" applyFont="1" applyFill="1" applyBorder="1" applyAlignment="1">
      <alignment horizontal="center" vertical="center"/>
    </xf>
    <xf numFmtId="0" fontId="9" fillId="19" borderId="8" xfId="0" applyFont="1" applyFill="1" applyBorder="1" applyAlignment="1"/>
    <xf numFmtId="0" fontId="9" fillId="3" borderId="8" xfId="0" applyFont="1" applyFill="1" applyBorder="1" applyAlignment="1">
      <alignment horizontal="center"/>
    </xf>
    <xf numFmtId="0" fontId="9" fillId="3" borderId="2" xfId="0" applyFont="1" applyFill="1" applyBorder="1" applyAlignment="1"/>
    <xf numFmtId="0" fontId="36" fillId="19" borderId="8" xfId="0" applyFont="1" applyFill="1" applyBorder="1" applyAlignment="1">
      <alignment vertical="center" wrapText="1"/>
    </xf>
    <xf numFmtId="0" fontId="36" fillId="19" borderId="2" xfId="0" applyNumberFormat="1" applyFont="1" applyFill="1" applyBorder="1" applyAlignment="1">
      <alignment horizontal="center" vertical="center"/>
    </xf>
    <xf numFmtId="0" fontId="36" fillId="19" borderId="2" xfId="0" applyFont="1" applyFill="1" applyBorder="1" applyAlignment="1">
      <alignment horizontal="left"/>
    </xf>
    <xf numFmtId="24" fontId="36" fillId="19" borderId="2" xfId="0" applyNumberFormat="1" applyFont="1" applyFill="1" applyBorder="1" applyAlignment="1">
      <alignment horizontal="center" vertical="center"/>
    </xf>
    <xf numFmtId="0" fontId="36" fillId="19" borderId="0" xfId="0" applyFont="1" applyFill="1" applyAlignment="1">
      <alignment horizontal="center" vertical="center"/>
    </xf>
    <xf numFmtId="182" fontId="9" fillId="19" borderId="0" xfId="0" applyNumberFormat="1" applyFont="1" applyFill="1" applyAlignment="1">
      <alignment horizontal="center" vertical="center"/>
    </xf>
    <xf numFmtId="189" fontId="36" fillId="19" borderId="2" xfId="0" applyNumberFormat="1" applyFont="1" applyFill="1" applyBorder="1" applyAlignment="1">
      <alignment horizontal="center"/>
    </xf>
    <xf numFmtId="182" fontId="36" fillId="19" borderId="0" xfId="0" applyNumberFormat="1" applyFont="1" applyFill="1" applyAlignment="1">
      <alignment horizontal="center" vertical="center"/>
    </xf>
    <xf numFmtId="182" fontId="36" fillId="6" borderId="0" xfId="0" applyNumberFormat="1" applyFont="1" applyFill="1" applyAlignment="1">
      <alignment horizontal="center" vertical="center"/>
    </xf>
    <xf numFmtId="182" fontId="9" fillId="6" borderId="0" xfId="0" applyNumberFormat="1" applyFont="1" applyFill="1" applyAlignment="1">
      <alignment horizontal="center" vertical="center"/>
    </xf>
    <xf numFmtId="0" fontId="36" fillId="19" borderId="8" xfId="0" applyFont="1" applyFill="1" applyBorder="1" applyAlignment="1"/>
    <xf numFmtId="14" fontId="36" fillId="19" borderId="8" xfId="0" applyNumberFormat="1" applyFont="1" applyFill="1" applyBorder="1" applyAlignment="1">
      <alignment horizontal="center"/>
    </xf>
    <xf numFmtId="0" fontId="36" fillId="19" borderId="8" xfId="0" applyFont="1" applyFill="1" applyBorder="1" applyAlignment="1">
      <alignment horizontal="center"/>
    </xf>
    <xf numFmtId="0" fontId="36" fillId="19" borderId="8" xfId="0" applyFont="1" applyFill="1" applyBorder="1" applyAlignment="1">
      <alignment horizontal="left"/>
    </xf>
    <xf numFmtId="0" fontId="36" fillId="19" borderId="8" xfId="0" applyFont="1" applyFill="1" applyBorder="1" applyAlignment="1">
      <alignment horizontal="center" vertical="center"/>
    </xf>
    <xf numFmtId="181" fontId="36" fillId="19" borderId="8" xfId="0" applyNumberFormat="1" applyFont="1" applyFill="1" applyBorder="1" applyAlignment="1">
      <alignment horizontal="center"/>
    </xf>
    <xf numFmtId="181" fontId="36" fillId="19" borderId="8" xfId="0" applyNumberFormat="1" applyFont="1" applyFill="1" applyBorder="1" applyAlignment="1">
      <alignment horizontal="center" vertical="center"/>
    </xf>
    <xf numFmtId="0" fontId="36" fillId="19" borderId="2" xfId="0" applyFont="1" applyFill="1" applyBorder="1" applyAlignment="1"/>
    <xf numFmtId="182" fontId="1" fillId="19" borderId="8" xfId="0" applyNumberFormat="1" applyFont="1" applyFill="1" applyBorder="1" applyAlignment="1">
      <alignment horizontal="center" vertical="center"/>
    </xf>
    <xf numFmtId="182" fontId="9" fillId="19" borderId="8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/>
    </xf>
    <xf numFmtId="0" fontId="1" fillId="6" borderId="0" xfId="0" applyNumberFormat="1" applyFont="1" applyFill="1" applyAlignment="1">
      <alignment horizontal="center"/>
    </xf>
    <xf numFmtId="182" fontId="1" fillId="6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36" fillId="0" borderId="0" xfId="0" applyFont="1" applyFill="1" applyAlignment="1">
      <alignment vertical="center"/>
    </xf>
    <xf numFmtId="14" fontId="36" fillId="0" borderId="0" xfId="0" applyNumberFormat="1" applyFont="1" applyFill="1" applyAlignment="1">
      <alignment horizontal="center"/>
    </xf>
    <xf numFmtId="0" fontId="36" fillId="0" borderId="0" xfId="0" applyFont="1" applyFill="1" applyAlignment="1">
      <alignment horizontal="center" vertical="center"/>
    </xf>
    <xf numFmtId="0" fontId="36" fillId="0" borderId="0" xfId="0" applyFont="1" applyFill="1" applyAlignment="1">
      <alignment horizontal="left"/>
    </xf>
    <xf numFmtId="182" fontId="36" fillId="0" borderId="0" xfId="0" applyNumberFormat="1" applyFont="1" applyFill="1" applyAlignment="1">
      <alignment horizontal="center" vertical="center"/>
    </xf>
    <xf numFmtId="0" fontId="36" fillId="0" borderId="0" xfId="0" applyFont="1" applyFill="1" applyAlignment="1">
      <alignment horizontal="left" vertical="center"/>
    </xf>
    <xf numFmtId="0" fontId="100" fillId="19" borderId="2" xfId="0" applyFont="1" applyFill="1" applyBorder="1" applyAlignment="1">
      <alignment vertical="center"/>
    </xf>
    <xf numFmtId="0" fontId="100" fillId="19" borderId="2" xfId="0" applyFont="1" applyFill="1" applyBorder="1" applyAlignment="1">
      <alignment horizontal="center"/>
    </xf>
    <xf numFmtId="0" fontId="36" fillId="19" borderId="3" xfId="0" applyFont="1" applyFill="1" applyBorder="1" applyAlignment="1">
      <alignment vertical="center"/>
    </xf>
    <xf numFmtId="182" fontId="36" fillId="19" borderId="3" xfId="0" applyNumberFormat="1" applyFont="1" applyFill="1" applyBorder="1" applyAlignment="1">
      <alignment horizontal="center" vertical="center"/>
    </xf>
    <xf numFmtId="0" fontId="36" fillId="19" borderId="3" xfId="0" applyFont="1" applyFill="1" applyBorder="1" applyAlignment="1">
      <alignment horizontal="left" vertical="center"/>
    </xf>
    <xf numFmtId="0" fontId="100" fillId="19" borderId="8" xfId="0" applyFont="1" applyFill="1" applyBorder="1" applyAlignment="1">
      <alignment vertical="center"/>
    </xf>
    <xf numFmtId="0" fontId="100" fillId="19" borderId="8" xfId="0" applyFont="1" applyFill="1" applyBorder="1" applyAlignment="1">
      <alignment horizontal="center"/>
    </xf>
    <xf numFmtId="0" fontId="36" fillId="19" borderId="8" xfId="0" applyFont="1" applyFill="1" applyBorder="1" applyAlignment="1">
      <alignment vertical="center"/>
    </xf>
    <xf numFmtId="182" fontId="36" fillId="19" borderId="37" xfId="0" applyNumberFormat="1" applyFont="1" applyFill="1" applyBorder="1" applyAlignment="1">
      <alignment horizontal="center" vertical="center"/>
    </xf>
    <xf numFmtId="0" fontId="100" fillId="35" borderId="0" xfId="0" applyFont="1" applyFill="1" applyBorder="1" applyAlignment="1">
      <alignment horizontal="left" vertical="center"/>
    </xf>
    <xf numFmtId="0" fontId="27" fillId="6" borderId="0" xfId="0" applyNumberFormat="1" applyFont="1" applyFill="1" applyBorder="1" applyAlignment="1">
      <alignment horizontal="left" vertical="center"/>
    </xf>
    <xf numFmtId="14" fontId="1" fillId="6" borderId="0" xfId="0" applyNumberFormat="1" applyFont="1" applyFill="1" applyBorder="1" applyAlignment="1">
      <alignment horizontal="center" vertical="center"/>
    </xf>
    <xf numFmtId="0" fontId="100" fillId="6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27" fillId="6" borderId="0" xfId="0" applyFont="1" applyFill="1" applyBorder="1" applyAlignment="1">
      <alignment horizontal="center" vertical="center"/>
    </xf>
    <xf numFmtId="0" fontId="104" fillId="6" borderId="0" xfId="0" applyFont="1" applyFill="1" applyBorder="1" applyAlignment="1">
      <alignment horizontal="center" vertical="center"/>
    </xf>
    <xf numFmtId="0" fontId="27" fillId="6" borderId="0" xfId="0" applyNumberFormat="1" applyFont="1" applyFill="1" applyBorder="1" applyAlignment="1">
      <alignment horizontal="center" vertical="center"/>
    </xf>
    <xf numFmtId="181" fontId="27" fillId="6" borderId="0" xfId="0" applyNumberFormat="1" applyFont="1" applyFill="1" applyBorder="1" applyAlignment="1">
      <alignment horizontal="center" vertical="center"/>
    </xf>
    <xf numFmtId="182" fontId="27" fillId="6" borderId="0" xfId="0" applyNumberFormat="1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181" fontId="3" fillId="6" borderId="0" xfId="0" applyNumberFormat="1" applyFont="1" applyFill="1" applyBorder="1" applyAlignment="1">
      <alignment horizontal="center"/>
    </xf>
    <xf numFmtId="14" fontId="1" fillId="31" borderId="0" xfId="0" applyNumberFormat="1" applyFont="1" applyFill="1" applyBorder="1" applyAlignment="1">
      <alignment horizontal="center" vertical="center"/>
    </xf>
    <xf numFmtId="0" fontId="1" fillId="31" borderId="0" xfId="0" applyFont="1" applyFill="1" applyBorder="1" applyAlignment="1">
      <alignment horizontal="center" vertical="center"/>
    </xf>
    <xf numFmtId="0" fontId="36" fillId="6" borderId="0" xfId="0" applyNumberFormat="1" applyFont="1" applyFill="1" applyBorder="1" applyAlignment="1">
      <alignment horizontal="center"/>
    </xf>
    <xf numFmtId="181" fontId="36" fillId="6" borderId="0" xfId="0" applyNumberFormat="1" applyFont="1" applyFill="1" applyBorder="1" applyAlignment="1">
      <alignment horizontal="center"/>
    </xf>
    <xf numFmtId="179" fontId="9" fillId="12" borderId="0" xfId="0" applyNumberFormat="1" applyFont="1" applyFill="1" applyAlignment="1"/>
    <xf numFmtId="0" fontId="3" fillId="4" borderId="0" xfId="0" applyFont="1" applyFill="1" applyBorder="1" applyAlignment="1">
      <alignment horizontal="center" vertical="center"/>
    </xf>
    <xf numFmtId="0" fontId="27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181" fontId="9" fillId="6" borderId="0" xfId="0" applyNumberFormat="1" applyFont="1" applyFill="1" applyBorder="1" applyAlignment="1">
      <alignment horizontal="center" vertical="center"/>
    </xf>
    <xf numFmtId="179" fontId="9" fillId="6" borderId="0" xfId="0" applyNumberFormat="1" applyFont="1" applyFill="1" applyBorder="1" applyAlignment="1">
      <alignment horizontal="center" vertical="center"/>
    </xf>
    <xf numFmtId="179" fontId="27" fillId="6" borderId="0" xfId="0" applyNumberFormat="1" applyFont="1" applyFill="1" applyBorder="1" applyAlignment="1">
      <alignment horizontal="center" vertical="center"/>
    </xf>
    <xf numFmtId="14" fontId="1" fillId="35" borderId="0" xfId="0" applyNumberFormat="1" applyFont="1" applyFill="1" applyBorder="1" applyAlignment="1">
      <alignment horizontal="center" vertical="center"/>
    </xf>
    <xf numFmtId="0" fontId="1" fillId="35" borderId="0" xfId="0" applyFont="1" applyFill="1" applyBorder="1" applyAlignment="1">
      <alignment horizontal="center" vertical="center"/>
    </xf>
    <xf numFmtId="0" fontId="100" fillId="35" borderId="0" xfId="0" applyFont="1" applyFill="1" applyBorder="1" applyAlignment="1">
      <alignment horizontal="center" vertical="center"/>
    </xf>
    <xf numFmtId="0" fontId="3" fillId="35" borderId="0" xfId="0" applyFont="1" applyFill="1" applyBorder="1" applyAlignment="1">
      <alignment horizontal="center" vertical="center"/>
    </xf>
    <xf numFmtId="0" fontId="27" fillId="35" borderId="0" xfId="0" applyFont="1" applyFill="1" applyBorder="1" applyAlignment="1">
      <alignment horizontal="center" vertical="center"/>
    </xf>
    <xf numFmtId="181" fontId="9" fillId="35" borderId="0" xfId="0" applyNumberFormat="1" applyFont="1" applyFill="1" applyBorder="1" applyAlignment="1">
      <alignment horizontal="center" vertical="center"/>
    </xf>
    <xf numFmtId="179" fontId="9" fillId="35" borderId="0" xfId="0" applyNumberFormat="1" applyFont="1" applyFill="1" applyBorder="1" applyAlignment="1">
      <alignment horizontal="center" vertical="center"/>
    </xf>
    <xf numFmtId="179" fontId="27" fillId="35" borderId="0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vertical="center"/>
    </xf>
    <xf numFmtId="0" fontId="9" fillId="35" borderId="0" xfId="0" applyFont="1" applyFill="1" applyBorder="1" applyAlignment="1">
      <alignment horizontal="center" vertical="center"/>
    </xf>
    <xf numFmtId="179" fontId="9" fillId="12" borderId="0" xfId="0" applyNumberFormat="1" applyFont="1" applyFill="1" applyAlignment="1">
      <alignment vertical="center"/>
    </xf>
    <xf numFmtId="0" fontId="105" fillId="35" borderId="0" xfId="0" applyFont="1" applyFill="1" applyBorder="1" applyAlignment="1">
      <alignment horizontal="center" vertical="center"/>
    </xf>
    <xf numFmtId="181" fontId="3" fillId="35" borderId="0" xfId="0" applyNumberFormat="1" applyFont="1" applyFill="1" applyBorder="1" applyAlignment="1">
      <alignment horizontal="center"/>
    </xf>
    <xf numFmtId="181" fontId="27" fillId="35" borderId="0" xfId="0" applyNumberFormat="1" applyFont="1" applyFill="1" applyBorder="1" applyAlignment="1">
      <alignment horizontal="center" vertical="center"/>
    </xf>
    <xf numFmtId="182" fontId="27" fillId="35" borderId="0" xfId="0" applyNumberFormat="1" applyFont="1" applyFill="1" applyBorder="1" applyAlignment="1">
      <alignment horizontal="center" vertical="center"/>
    </xf>
    <xf numFmtId="0" fontId="36" fillId="35" borderId="0" xfId="0" applyNumberFormat="1" applyFont="1" applyFill="1" applyBorder="1" applyAlignment="1">
      <alignment horizontal="center"/>
    </xf>
    <xf numFmtId="181" fontId="36" fillId="35" borderId="0" xfId="0" applyNumberFormat="1" applyFont="1" applyFill="1" applyBorder="1" applyAlignment="1">
      <alignment horizontal="center"/>
    </xf>
    <xf numFmtId="0" fontId="104" fillId="35" borderId="0" xfId="0" applyFont="1" applyFill="1" applyBorder="1" applyAlignment="1">
      <alignment horizontal="center" vertical="center"/>
    </xf>
    <xf numFmtId="0" fontId="27" fillId="35" borderId="0" xfId="0" applyNumberFormat="1" applyFont="1" applyFill="1" applyBorder="1" applyAlignment="1">
      <alignment horizontal="center" vertical="center"/>
    </xf>
    <xf numFmtId="181" fontId="1" fillId="35" borderId="0" xfId="0" applyNumberFormat="1" applyFont="1" applyFill="1" applyBorder="1" applyAlignment="1">
      <alignment horizontal="center" vertical="center"/>
    </xf>
    <xf numFmtId="0" fontId="100" fillId="6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/>
    </xf>
    <xf numFmtId="0" fontId="9" fillId="35" borderId="0" xfId="0" applyFont="1" applyFill="1" applyBorder="1" applyAlignment="1">
      <alignment horizontal="center"/>
    </xf>
    <xf numFmtId="0" fontId="9" fillId="35" borderId="0" xfId="0" applyFont="1" applyFill="1" applyBorder="1" applyAlignment="1">
      <alignment horizontal="left"/>
    </xf>
    <xf numFmtId="182" fontId="36" fillId="35" borderId="0" xfId="0" applyNumberFormat="1" applyFont="1" applyFill="1" applyBorder="1" applyAlignment="1">
      <alignment horizontal="center" vertical="center"/>
    </xf>
    <xf numFmtId="0" fontId="100" fillId="19" borderId="0" xfId="0" applyFont="1" applyFill="1" applyBorder="1" applyAlignment="1">
      <alignment vertical="center"/>
    </xf>
    <xf numFmtId="0" fontId="100" fillId="35" borderId="0" xfId="0" applyFont="1" applyFill="1" applyBorder="1" applyAlignment="1">
      <alignment horizontal="center"/>
    </xf>
    <xf numFmtId="0" fontId="36" fillId="35" borderId="0" xfId="0" applyFont="1" applyFill="1" applyBorder="1" applyAlignment="1">
      <alignment horizontal="center" vertical="center"/>
    </xf>
    <xf numFmtId="0" fontId="36" fillId="35" borderId="0" xfId="0" applyFont="1" applyFill="1" applyBorder="1" applyAlignment="1">
      <alignment horizontal="left" vertical="center"/>
    </xf>
    <xf numFmtId="0" fontId="36" fillId="35" borderId="0" xfId="0" applyFont="1" applyFill="1" applyBorder="1" applyAlignment="1">
      <alignment vertical="center"/>
    </xf>
    <xf numFmtId="0" fontId="36" fillId="35" borderId="0" xfId="0" applyFont="1" applyFill="1" applyBorder="1" applyAlignment="1">
      <alignment horizontal="left"/>
    </xf>
    <xf numFmtId="0" fontId="100" fillId="12" borderId="0" xfId="0" applyFont="1" applyFill="1" applyBorder="1" applyAlignment="1">
      <alignment vertical="center"/>
    </xf>
    <xf numFmtId="0" fontId="100" fillId="36" borderId="0" xfId="0" applyFont="1" applyFill="1" applyBorder="1" applyAlignment="1">
      <alignment vertical="center"/>
    </xf>
    <xf numFmtId="14" fontId="100" fillId="35" borderId="0" xfId="0" applyNumberFormat="1" applyFont="1" applyFill="1" applyBorder="1" applyAlignment="1">
      <alignment horizontal="center"/>
    </xf>
    <xf numFmtId="0" fontId="9" fillId="6" borderId="0" xfId="0" applyFont="1" applyFill="1" applyBorder="1" applyAlignment="1">
      <alignment horizontal="left"/>
    </xf>
    <xf numFmtId="14" fontId="9" fillId="35" borderId="0" xfId="0" applyNumberFormat="1" applyFont="1" applyFill="1" applyBorder="1" applyAlignment="1">
      <alignment horizontal="center"/>
    </xf>
    <xf numFmtId="0" fontId="1" fillId="35" borderId="0" xfId="0" applyNumberFormat="1" applyFont="1" applyFill="1" applyBorder="1" applyAlignment="1">
      <alignment horizontal="center"/>
    </xf>
    <xf numFmtId="182" fontId="9" fillId="35" borderId="0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/>
    </xf>
    <xf numFmtId="0" fontId="36" fillId="0" borderId="0" xfId="0" applyFont="1" applyFill="1" applyBorder="1" applyAlignment="1">
      <alignment horizontal="center" vertical="center"/>
    </xf>
    <xf numFmtId="181" fontId="36" fillId="35" borderId="0" xfId="0" applyNumberFormat="1" applyFont="1" applyFill="1" applyBorder="1" applyAlignment="1">
      <alignment horizontal="center" vertical="center"/>
    </xf>
    <xf numFmtId="181" fontId="36" fillId="0" borderId="3" xfId="0" applyNumberFormat="1" applyFont="1" applyFill="1" applyBorder="1" applyAlignment="1">
      <alignment horizontal="left" vertical="center"/>
    </xf>
    <xf numFmtId="0" fontId="36" fillId="19" borderId="0" xfId="0" applyFont="1" applyFill="1" applyBorder="1" applyAlignment="1">
      <alignment vertical="center"/>
    </xf>
    <xf numFmtId="0" fontId="36" fillId="19" borderId="0" xfId="0" applyFont="1" applyFill="1" applyBorder="1" applyAlignment="1">
      <alignment horizontal="center" vertical="center"/>
    </xf>
    <xf numFmtId="181" fontId="36" fillId="19" borderId="3" xfId="0" applyNumberFormat="1" applyFont="1" applyFill="1" applyBorder="1" applyAlignment="1">
      <alignment horizontal="left" vertical="center"/>
    </xf>
    <xf numFmtId="0" fontId="36" fillId="14" borderId="0" xfId="0" applyFont="1" applyFill="1" applyBorder="1" applyAlignment="1">
      <alignment vertical="center"/>
    </xf>
    <xf numFmtId="0" fontId="9" fillId="31" borderId="0" xfId="0" applyFont="1" applyFill="1" applyBorder="1" applyAlignment="1">
      <alignment horizontal="left"/>
    </xf>
    <xf numFmtId="182" fontId="1" fillId="35" borderId="0" xfId="0" applyNumberFormat="1" applyFont="1" applyFill="1" applyBorder="1" applyAlignment="1">
      <alignment horizontal="center" vertical="center"/>
    </xf>
    <xf numFmtId="0" fontId="9" fillId="14" borderId="0" xfId="0" applyFont="1" applyFill="1" applyAlignment="1"/>
    <xf numFmtId="0" fontId="100" fillId="19" borderId="3" xfId="0" applyFont="1" applyFill="1" applyBorder="1" applyAlignment="1"/>
    <xf numFmtId="0" fontId="36" fillId="6" borderId="0" xfId="0" applyFont="1" applyFill="1" applyBorder="1" applyAlignment="1">
      <alignment horizontal="left" vertical="center"/>
    </xf>
    <xf numFmtId="14" fontId="36" fillId="35" borderId="0" xfId="0" applyNumberFormat="1" applyFont="1" applyFill="1" applyBorder="1" applyAlignment="1">
      <alignment vertical="center"/>
    </xf>
    <xf numFmtId="0" fontId="106" fillId="35" borderId="0" xfId="0" applyFont="1" applyFill="1" applyBorder="1" applyAlignment="1">
      <alignment horizontal="center" wrapText="1"/>
    </xf>
    <xf numFmtId="0" fontId="43" fillId="6" borderId="0" xfId="0" applyFont="1" applyFill="1" applyAlignment="1"/>
    <xf numFmtId="0" fontId="36" fillId="19" borderId="0" xfId="0" applyFont="1" applyFill="1" applyBorder="1" applyAlignment="1">
      <alignment horizontal="left" vertical="center"/>
    </xf>
    <xf numFmtId="0" fontId="91" fillId="35" borderId="0" xfId="0" applyNumberFormat="1" applyFont="1" applyFill="1" applyBorder="1" applyAlignment="1">
      <alignment vertical="center"/>
    </xf>
    <xf numFmtId="0" fontId="36" fillId="35" borderId="0" xfId="0" applyFont="1" applyFill="1" applyBorder="1" applyAlignment="1">
      <alignment horizontal="center"/>
    </xf>
    <xf numFmtId="179" fontId="36" fillId="35" borderId="0" xfId="0" applyNumberFormat="1" applyFont="1" applyFill="1" applyBorder="1" applyAlignment="1">
      <alignment horizontal="center" vertical="center"/>
    </xf>
    <xf numFmtId="0" fontId="36" fillId="6" borderId="8" xfId="0" applyFont="1" applyFill="1" applyBorder="1" applyAlignment="1">
      <alignment horizontal="left" vertical="center"/>
    </xf>
    <xf numFmtId="0" fontId="3" fillId="35" borderId="0" xfId="0" applyNumberFormat="1" applyFont="1" applyFill="1" applyBorder="1" applyAlignment="1">
      <alignment horizontal="center"/>
    </xf>
    <xf numFmtId="0" fontId="43" fillId="35" borderId="0" xfId="0" applyFont="1" applyFill="1" applyBorder="1" applyAlignment="1">
      <alignment horizontal="center"/>
    </xf>
    <xf numFmtId="0" fontId="9" fillId="3" borderId="9" xfId="0" applyFont="1" applyFill="1" applyBorder="1" applyAlignment="1"/>
    <xf numFmtId="0" fontId="9" fillId="19" borderId="0" xfId="0" applyFont="1" applyFill="1" applyBorder="1" applyAlignment="1">
      <alignment horizontal="left"/>
    </xf>
    <xf numFmtId="0" fontId="9" fillId="19" borderId="0" xfId="0" applyFont="1" applyFill="1" applyAlignment="1">
      <alignment horizontal="left" vertical="center"/>
    </xf>
    <xf numFmtId="0" fontId="100" fillId="19" borderId="0" xfId="0" applyFont="1" applyFill="1" applyBorder="1" applyAlignment="1">
      <alignment horizontal="center" vertical="center" wrapText="1"/>
    </xf>
    <xf numFmtId="0" fontId="100" fillId="35" borderId="0" xfId="0" applyFont="1" applyFill="1" applyBorder="1" applyAlignment="1">
      <alignment horizontal="left"/>
    </xf>
    <xf numFmtId="0" fontId="100" fillId="35" borderId="0" xfId="0" applyFont="1" applyFill="1" applyBorder="1" applyAlignment="1"/>
    <xf numFmtId="182" fontId="101" fillId="35" borderId="0" xfId="0" applyNumberFormat="1" applyFont="1" applyFill="1" applyBorder="1" applyAlignment="1">
      <alignment horizontal="center" vertical="center"/>
    </xf>
    <xf numFmtId="0" fontId="100" fillId="19" borderId="3" xfId="0" applyFont="1" applyFill="1" applyBorder="1" applyAlignment="1">
      <alignment horizontal="left" vertical="center"/>
    </xf>
    <xf numFmtId="0" fontId="100" fillId="12" borderId="0" xfId="0" applyFont="1" applyFill="1" applyBorder="1" applyAlignment="1">
      <alignment horizontal="center" vertical="center" wrapText="1"/>
    </xf>
    <xf numFmtId="0" fontId="100" fillId="0" borderId="0" xfId="0" applyFont="1" applyFill="1" applyAlignment="1">
      <alignment horizontal="left" vertical="center"/>
    </xf>
    <xf numFmtId="0" fontId="100" fillId="0" borderId="2" xfId="0" applyFont="1" applyFill="1" applyBorder="1" applyAlignment="1"/>
    <xf numFmtId="0" fontId="101" fillId="35" borderId="0" xfId="0" applyFont="1" applyFill="1" applyBorder="1" applyAlignment="1">
      <alignment horizontal="center" vertical="center"/>
    </xf>
    <xf numFmtId="0" fontId="12" fillId="35" borderId="0" xfId="0" applyFont="1" applyFill="1" applyBorder="1" applyAlignment="1">
      <alignment horizontal="center" vertical="center"/>
    </xf>
    <xf numFmtId="181" fontId="17" fillId="35" borderId="0" xfId="0" applyNumberFormat="1" applyFont="1" applyFill="1" applyBorder="1" applyAlignment="1">
      <alignment horizontal="center"/>
    </xf>
    <xf numFmtId="179" fontId="28" fillId="35" borderId="0" xfId="0" applyNumberFormat="1" applyFont="1" applyFill="1" applyBorder="1" applyAlignment="1">
      <alignment horizontal="center" vertical="center"/>
    </xf>
    <xf numFmtId="0" fontId="100" fillId="6" borderId="0" xfId="0" applyFont="1" applyFill="1" applyBorder="1" applyAlignment="1">
      <alignment horizontal="center" vertical="center" wrapText="1"/>
    </xf>
    <xf numFmtId="181" fontId="100" fillId="35" borderId="0" xfId="0" applyNumberFormat="1" applyFont="1" applyFill="1" applyBorder="1" applyAlignment="1">
      <alignment horizontal="center"/>
    </xf>
    <xf numFmtId="0" fontId="100" fillId="6" borderId="3" xfId="0" applyFont="1" applyFill="1" applyBorder="1" applyAlignment="1">
      <alignment horizontal="left" vertical="center"/>
    </xf>
    <xf numFmtId="0" fontId="101" fillId="6" borderId="0" xfId="0" applyFont="1" applyFill="1" applyBorder="1" applyAlignment="1">
      <alignment horizontal="center" vertical="center"/>
    </xf>
    <xf numFmtId="0" fontId="101" fillId="35" borderId="0" xfId="0" applyNumberFormat="1" applyFont="1" applyFill="1" applyBorder="1" applyAlignment="1">
      <alignment horizontal="center"/>
    </xf>
    <xf numFmtId="181" fontId="101" fillId="35" borderId="0" xfId="0" applyNumberFormat="1" applyFont="1" applyFill="1" applyBorder="1" applyAlignment="1">
      <alignment horizontal="center"/>
    </xf>
    <xf numFmtId="181" fontId="101" fillId="35" borderId="0" xfId="0" applyNumberFormat="1" applyFont="1" applyFill="1" applyBorder="1" applyAlignment="1">
      <alignment horizontal="center" vertical="center"/>
    </xf>
    <xf numFmtId="0" fontId="100" fillId="12" borderId="0" xfId="0" applyFont="1" applyFill="1" applyAlignment="1">
      <alignment horizontal="left" vertical="center"/>
    </xf>
    <xf numFmtId="0" fontId="100" fillId="12" borderId="2" xfId="0" applyFont="1" applyFill="1" applyBorder="1" applyAlignment="1"/>
    <xf numFmtId="0" fontId="100" fillId="0" borderId="0" xfId="0" applyFont="1" applyFill="1" applyBorder="1" applyAlignment="1">
      <alignment horizontal="center" vertical="center" wrapText="1"/>
    </xf>
    <xf numFmtId="0" fontId="36" fillId="19" borderId="0" xfId="0" applyFont="1" applyFill="1" applyBorder="1" applyAlignment="1">
      <alignment vertical="center" wrapText="1"/>
    </xf>
    <xf numFmtId="0" fontId="107" fillId="35" borderId="0" xfId="0" applyNumberFormat="1" applyFont="1" applyFill="1" applyBorder="1" applyAlignment="1">
      <alignment vertical="center"/>
    </xf>
    <xf numFmtId="182" fontId="36" fillId="35" borderId="0" xfId="0" applyNumberFormat="1" applyFont="1" applyFill="1" applyBorder="1" applyAlignment="1">
      <alignment horizontal="center"/>
    </xf>
    <xf numFmtId="0" fontId="36" fillId="6" borderId="0" xfId="0" applyFont="1" applyFill="1" applyBorder="1" applyAlignment="1">
      <alignment vertical="center" wrapText="1"/>
    </xf>
    <xf numFmtId="0" fontId="36" fillId="6" borderId="3" xfId="0" applyFont="1" applyFill="1" applyBorder="1" applyAlignment="1">
      <alignment horizontal="left" vertical="center"/>
    </xf>
    <xf numFmtId="0" fontId="100" fillId="6" borderId="0" xfId="0" applyFont="1" applyFill="1" applyBorder="1" applyAlignment="1"/>
    <xf numFmtId="0" fontId="100" fillId="6" borderId="0" xfId="0" applyFont="1" applyFill="1" applyBorder="1" applyAlignment="1">
      <alignment horizontal="left"/>
    </xf>
    <xf numFmtId="0" fontId="107" fillId="35" borderId="0" xfId="0" applyNumberFormat="1" applyFont="1" applyFill="1" applyBorder="1" applyAlignment="1">
      <alignment horizontal="center" vertical="center"/>
    </xf>
    <xf numFmtId="0" fontId="36" fillId="19" borderId="0" xfId="0" applyFont="1" applyFill="1" applyBorder="1" applyAlignment="1">
      <alignment horizontal="left" vertical="center" wrapText="1"/>
    </xf>
    <xf numFmtId="24" fontId="36" fillId="35" borderId="0" xfId="0" applyNumberFormat="1" applyFont="1" applyFill="1" applyBorder="1" applyAlignment="1">
      <alignment horizontal="center" vertical="center"/>
    </xf>
    <xf numFmtId="0" fontId="36" fillId="12" borderId="0" xfId="0" applyFont="1" applyFill="1" applyBorder="1" applyAlignment="1">
      <alignment vertical="center" wrapText="1"/>
    </xf>
    <xf numFmtId="0" fontId="36" fillId="12" borderId="0" xfId="0" applyFont="1" applyFill="1" applyBorder="1" applyAlignment="1">
      <alignment horizontal="left" vertical="center" wrapText="1"/>
    </xf>
    <xf numFmtId="0" fontId="9" fillId="35" borderId="0" xfId="0" applyFont="1" applyFill="1" applyBorder="1" applyAlignment="1">
      <alignment horizontal="left" vertical="center"/>
    </xf>
    <xf numFmtId="0" fontId="48" fillId="35" borderId="0" xfId="0" applyFont="1" applyFill="1" applyBorder="1" applyAlignment="1">
      <alignment horizontal="center" vertical="center"/>
    </xf>
    <xf numFmtId="0" fontId="49" fillId="35" borderId="0" xfId="0" applyFont="1" applyFill="1" applyBorder="1" applyAlignment="1">
      <alignment horizontal="center" vertical="center"/>
    </xf>
    <xf numFmtId="0" fontId="43" fillId="35" borderId="0" xfId="0" applyFont="1" applyFill="1" applyBorder="1" applyAlignment="1">
      <alignment horizontal="center" vertical="center"/>
    </xf>
    <xf numFmtId="179" fontId="49" fillId="35" borderId="0" xfId="0" applyNumberFormat="1" applyFont="1" applyFill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9" fillId="35" borderId="0" xfId="0" applyFont="1" applyFill="1" applyAlignment="1">
      <alignment horizontal="left" vertical="center"/>
    </xf>
    <xf numFmtId="0" fontId="48" fillId="35" borderId="0" xfId="0" applyFont="1" applyFill="1" applyAlignment="1">
      <alignment horizontal="center" vertical="center"/>
    </xf>
    <xf numFmtId="0" fontId="49" fillId="35" borderId="0" xfId="0" applyFont="1" applyFill="1" applyAlignment="1">
      <alignment horizontal="center" vertical="center"/>
    </xf>
    <xf numFmtId="0" fontId="9" fillId="35" borderId="0" xfId="0" applyFont="1" applyFill="1" applyAlignment="1">
      <alignment horizontal="center"/>
    </xf>
    <xf numFmtId="0" fontId="9" fillId="35" borderId="0" xfId="0" applyFont="1" applyFill="1" applyAlignment="1">
      <alignment horizontal="center" vertical="center"/>
    </xf>
    <xf numFmtId="0" fontId="43" fillId="35" borderId="0" xfId="0" applyFont="1" applyFill="1" applyAlignment="1">
      <alignment horizontal="center" vertical="center"/>
    </xf>
    <xf numFmtId="179" fontId="49" fillId="35" borderId="0" xfId="0" applyNumberFormat="1" applyFont="1" applyFill="1" applyAlignment="1">
      <alignment horizontal="center" vertical="center"/>
    </xf>
    <xf numFmtId="0" fontId="108" fillId="32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108" fillId="32" borderId="0" xfId="0" applyNumberFormat="1" applyFont="1" applyFill="1" applyBorder="1" applyAlignment="1">
      <alignment horizontal="center" vertical="center"/>
    </xf>
    <xf numFmtId="181" fontId="88" fillId="32" borderId="0" xfId="0" applyNumberFormat="1" applyFont="1" applyFill="1" applyBorder="1" applyAlignment="1">
      <alignment horizontal="center" vertical="center"/>
    </xf>
    <xf numFmtId="182" fontId="108" fillId="32" borderId="0" xfId="0" applyNumberFormat="1" applyFont="1" applyFill="1" applyBorder="1" applyAlignment="1">
      <alignment horizontal="center" vertical="center"/>
    </xf>
    <xf numFmtId="0" fontId="9" fillId="28" borderId="0" xfId="0" applyFont="1" applyFill="1" applyBorder="1" applyAlignment="1">
      <alignment horizontal="center" vertical="center"/>
    </xf>
    <xf numFmtId="0" fontId="3" fillId="28" borderId="0" xfId="0" applyNumberFormat="1" applyFont="1" applyFill="1" applyBorder="1" applyAlignment="1">
      <alignment horizontal="center" vertical="center"/>
    </xf>
    <xf numFmtId="0" fontId="1" fillId="28" borderId="0" xfId="0" applyNumberFormat="1" applyFont="1" applyFill="1" applyBorder="1" applyAlignment="1">
      <alignment horizontal="center" vertical="center"/>
    </xf>
    <xf numFmtId="190" fontId="1" fillId="28" borderId="0" xfId="0" applyNumberFormat="1" applyFont="1" applyFill="1" applyBorder="1" applyAlignment="1">
      <alignment horizontal="center" vertical="center"/>
    </xf>
    <xf numFmtId="10" fontId="1" fillId="28" borderId="0" xfId="0" applyNumberFormat="1" applyFont="1" applyFill="1" applyBorder="1" applyAlignment="1">
      <alignment horizontal="center" vertical="center"/>
    </xf>
    <xf numFmtId="182" fontId="9" fillId="28" borderId="0" xfId="0" applyNumberFormat="1" applyFont="1" applyFill="1" applyBorder="1" applyAlignment="1">
      <alignment horizontal="center" vertical="center"/>
    </xf>
    <xf numFmtId="0" fontId="43" fillId="28" borderId="0" xfId="0" applyFont="1" applyFill="1" applyBorder="1" applyAlignment="1">
      <alignment horizontal="center" vertical="center"/>
    </xf>
    <xf numFmtId="182" fontId="43" fillId="28" borderId="0" xfId="0" applyNumberFormat="1" applyFont="1" applyFill="1" applyBorder="1" applyAlignment="1">
      <alignment horizontal="center" vertical="center"/>
    </xf>
    <xf numFmtId="191" fontId="1" fillId="28" borderId="0" xfId="0" applyNumberFormat="1" applyFont="1" applyFill="1" applyBorder="1" applyAlignment="1">
      <alignment horizontal="center" vertical="center"/>
    </xf>
    <xf numFmtId="182" fontId="1" fillId="28" borderId="0" xfId="0" applyNumberFormat="1" applyFont="1" applyFill="1" applyBorder="1" applyAlignment="1">
      <alignment horizontal="center" vertical="center"/>
    </xf>
    <xf numFmtId="9" fontId="1" fillId="28" borderId="0" xfId="0" applyNumberFormat="1" applyFont="1" applyFill="1" applyBorder="1" applyAlignment="1">
      <alignment horizontal="center" vertical="center"/>
    </xf>
    <xf numFmtId="192" fontId="1" fillId="28" borderId="0" xfId="0" applyNumberFormat="1" applyFont="1" applyFill="1" applyBorder="1" applyAlignment="1">
      <alignment horizontal="center" vertical="center"/>
    </xf>
    <xf numFmtId="0" fontId="9" fillId="28" borderId="0" xfId="0" applyFont="1" applyFill="1" applyBorder="1" applyAlignment="1">
      <alignment horizontal="center"/>
    </xf>
    <xf numFmtId="0" fontId="1" fillId="28" borderId="0" xfId="0" applyNumberFormat="1" applyFont="1" applyFill="1" applyBorder="1" applyAlignment="1">
      <alignment horizontal="center"/>
    </xf>
    <xf numFmtId="181" fontId="1" fillId="28" borderId="0" xfId="0" applyNumberFormat="1" applyFont="1" applyFill="1" applyBorder="1" applyAlignment="1">
      <alignment horizontal="center" vertical="center"/>
    </xf>
    <xf numFmtId="26" fontId="1" fillId="28" borderId="0" xfId="0" applyNumberFormat="1" applyFont="1" applyFill="1" applyBorder="1" applyAlignment="1">
      <alignment horizontal="center" vertical="center"/>
    </xf>
    <xf numFmtId="0" fontId="1" fillId="3" borderId="9" xfId="0" applyNumberFormat="1" applyFont="1" applyFill="1" applyBorder="1" applyAlignment="1">
      <alignment horizontal="center"/>
    </xf>
    <xf numFmtId="182" fontId="1" fillId="3" borderId="9" xfId="0" applyNumberFormat="1" applyFont="1" applyFill="1" applyBorder="1" applyAlignment="1">
      <alignment horizontal="center" vertical="center"/>
    </xf>
    <xf numFmtId="182" fontId="1" fillId="3" borderId="16" xfId="0" applyNumberFormat="1" applyFont="1" applyFill="1" applyBorder="1" applyAlignment="1">
      <alignment horizontal="center" vertical="center"/>
    </xf>
    <xf numFmtId="182" fontId="9" fillId="3" borderId="9" xfId="0" applyNumberFormat="1" applyFont="1" applyFill="1" applyBorder="1" applyAlignment="1">
      <alignment horizontal="center" vertical="center"/>
    </xf>
    <xf numFmtId="0" fontId="100" fillId="6" borderId="2" xfId="0" applyFont="1" applyFill="1" applyBorder="1" applyAlignment="1">
      <alignment vertical="center"/>
    </xf>
    <xf numFmtId="0" fontId="100" fillId="6" borderId="2" xfId="0" applyFont="1" applyFill="1" applyBorder="1" applyAlignment="1">
      <alignment horizontal="left" vertical="center"/>
    </xf>
    <xf numFmtId="0" fontId="104" fillId="6" borderId="2" xfId="0" applyFont="1" applyFill="1" applyBorder="1" applyAlignment="1">
      <alignment horizontal="center" vertical="center"/>
    </xf>
    <xf numFmtId="181" fontId="3" fillId="6" borderId="2" xfId="0" applyNumberFormat="1" applyFont="1" applyFill="1" applyBorder="1" applyAlignment="1">
      <alignment horizontal="center"/>
    </xf>
    <xf numFmtId="179" fontId="27" fillId="6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79" fontId="9" fillId="6" borderId="2" xfId="0" applyNumberFormat="1" applyFont="1" applyFill="1" applyBorder="1" applyAlignment="1">
      <alignment horizontal="center" vertical="center"/>
    </xf>
    <xf numFmtId="0" fontId="105" fillId="6" borderId="2" xfId="0" applyFont="1" applyFill="1" applyBorder="1" applyAlignment="1">
      <alignment horizontal="center" vertical="center"/>
    </xf>
    <xf numFmtId="0" fontId="100" fillId="12" borderId="2" xfId="0" applyFont="1" applyFill="1" applyBorder="1" applyAlignment="1">
      <alignment vertical="center"/>
    </xf>
    <xf numFmtId="0" fontId="100" fillId="36" borderId="2" xfId="0" applyFont="1" applyFill="1" applyBorder="1" applyAlignment="1">
      <alignment vertical="center"/>
    </xf>
    <xf numFmtId="14" fontId="100" fillId="36" borderId="2" xfId="0" applyNumberFormat="1" applyFont="1" applyFill="1" applyBorder="1" applyAlignment="1">
      <alignment horizontal="center"/>
    </xf>
    <xf numFmtId="0" fontId="36" fillId="36" borderId="2" xfId="0" applyFont="1" applyFill="1" applyBorder="1" applyAlignment="1">
      <alignment horizontal="center" vertical="center"/>
    </xf>
    <xf numFmtId="0" fontId="36" fillId="36" borderId="2" xfId="0" applyFont="1" applyFill="1" applyBorder="1" applyAlignment="1">
      <alignment vertical="center"/>
    </xf>
    <xf numFmtId="0" fontId="36" fillId="36" borderId="2" xfId="0" applyFont="1" applyFill="1" applyBorder="1" applyAlignment="1">
      <alignment horizontal="left"/>
    </xf>
    <xf numFmtId="0" fontId="36" fillId="36" borderId="0" xfId="0" applyFont="1" applyFill="1" applyAlignment="1">
      <alignment horizontal="center" vertical="center"/>
    </xf>
    <xf numFmtId="182" fontId="36" fillId="0" borderId="8" xfId="0" applyNumberFormat="1" applyFont="1" applyFill="1" applyBorder="1" applyAlignment="1">
      <alignment horizontal="center" vertical="center"/>
    </xf>
    <xf numFmtId="182" fontId="36" fillId="0" borderId="37" xfId="0" applyNumberFormat="1" applyFont="1" applyFill="1" applyBorder="1" applyAlignment="1">
      <alignment horizontal="center" vertical="center"/>
    </xf>
    <xf numFmtId="0" fontId="36" fillId="0" borderId="2" xfId="0" applyFont="1" applyFill="1" applyBorder="1" applyAlignment="1">
      <alignment horizontal="center" vertical="center"/>
    </xf>
    <xf numFmtId="14" fontId="100" fillId="0" borderId="2" xfId="0" applyNumberFormat="1" applyFont="1" applyFill="1" applyBorder="1" applyAlignment="1">
      <alignment horizontal="center"/>
    </xf>
    <xf numFmtId="0" fontId="36" fillId="0" borderId="3" xfId="0" applyFont="1" applyFill="1" applyBorder="1" applyAlignment="1">
      <alignment vertical="center"/>
    </xf>
    <xf numFmtId="0" fontId="36" fillId="0" borderId="2" xfId="0" applyFont="1" applyFill="1" applyBorder="1" applyAlignment="1">
      <alignment horizontal="left"/>
    </xf>
    <xf numFmtId="181" fontId="36" fillId="0" borderId="0" xfId="0" applyNumberFormat="1" applyFont="1" applyFill="1" applyAlignment="1">
      <alignment horizontal="center" vertical="center"/>
    </xf>
    <xf numFmtId="181" fontId="36" fillId="0" borderId="2" xfId="0" applyNumberFormat="1" applyFont="1" applyFill="1" applyBorder="1" applyAlignment="1">
      <alignment horizontal="left" vertical="center"/>
    </xf>
    <xf numFmtId="14" fontId="100" fillId="19" borderId="2" xfId="0" applyNumberFormat="1" applyFont="1" applyFill="1" applyBorder="1" applyAlignment="1">
      <alignment horizontal="center"/>
    </xf>
    <xf numFmtId="181" fontId="36" fillId="19" borderId="2" xfId="0" applyNumberFormat="1" applyFont="1" applyFill="1" applyBorder="1" applyAlignment="1">
      <alignment horizontal="left" vertical="center"/>
    </xf>
    <xf numFmtId="0" fontId="36" fillId="14" borderId="2" xfId="0" applyFont="1" applyFill="1" applyBorder="1" applyAlignment="1">
      <alignment vertical="center"/>
    </xf>
    <xf numFmtId="0" fontId="9" fillId="31" borderId="0" xfId="0" applyFont="1" applyFill="1" applyAlignment="1">
      <alignment horizontal="left"/>
    </xf>
    <xf numFmtId="14" fontId="9" fillId="31" borderId="0" xfId="0" applyNumberFormat="1" applyFont="1" applyFill="1" applyAlignment="1">
      <alignment horizontal="center"/>
    </xf>
    <xf numFmtId="0" fontId="9" fillId="31" borderId="0" xfId="0" applyFont="1" applyFill="1" applyAlignment="1">
      <alignment horizontal="center"/>
    </xf>
    <xf numFmtId="0" fontId="9" fillId="14" borderId="2" xfId="0" applyFont="1" applyFill="1" applyBorder="1" applyAlignment="1">
      <alignment horizontal="center"/>
    </xf>
    <xf numFmtId="0" fontId="36" fillId="31" borderId="2" xfId="0" applyFont="1" applyFill="1" applyBorder="1" applyAlignment="1">
      <alignment horizontal="left"/>
    </xf>
    <xf numFmtId="0" fontId="9" fillId="31" borderId="0" xfId="0" applyFont="1" applyFill="1" applyAlignment="1">
      <alignment horizontal="center" vertical="center"/>
    </xf>
    <xf numFmtId="0" fontId="3" fillId="31" borderId="0" xfId="0" applyNumberFormat="1" applyFont="1" applyFill="1" applyAlignment="1">
      <alignment horizontal="center"/>
    </xf>
    <xf numFmtId="181" fontId="1" fillId="14" borderId="8" xfId="0" applyNumberFormat="1" applyFont="1" applyFill="1" applyBorder="1" applyAlignment="1">
      <alignment horizontal="center" vertical="center"/>
    </xf>
    <xf numFmtId="182" fontId="1" fillId="14" borderId="8" xfId="0" applyNumberFormat="1" applyFont="1" applyFill="1" applyBorder="1" applyAlignment="1">
      <alignment horizontal="center" vertical="center"/>
    </xf>
    <xf numFmtId="182" fontId="36" fillId="14" borderId="8" xfId="0" applyNumberFormat="1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3" fillId="14" borderId="2" xfId="0" applyNumberFormat="1" applyFont="1" applyFill="1" applyBorder="1" applyAlignment="1">
      <alignment horizontal="center"/>
    </xf>
    <xf numFmtId="181" fontId="1" fillId="14" borderId="2" xfId="0" applyNumberFormat="1" applyFont="1" applyFill="1" applyBorder="1" applyAlignment="1">
      <alignment horizontal="center" vertical="center"/>
    </xf>
    <xf numFmtId="182" fontId="1" fillId="14" borderId="2" xfId="0" applyNumberFormat="1" applyFont="1" applyFill="1" applyBorder="1" applyAlignment="1">
      <alignment horizontal="center" vertical="center"/>
    </xf>
    <xf numFmtId="182" fontId="36" fillId="14" borderId="2" xfId="0" applyNumberFormat="1" applyFont="1" applyFill="1" applyBorder="1" applyAlignment="1">
      <alignment horizontal="center" vertical="center"/>
    </xf>
    <xf numFmtId="14" fontId="36" fillId="6" borderId="2" xfId="0" applyNumberFormat="1" applyFont="1" applyFill="1" applyBorder="1" applyAlignment="1">
      <alignment vertical="center"/>
    </xf>
    <xf numFmtId="0" fontId="106" fillId="6" borderId="2" xfId="0" applyFont="1" applyFill="1" applyBorder="1" applyAlignment="1">
      <alignment horizontal="center" wrapText="1"/>
    </xf>
    <xf numFmtId="0" fontId="91" fillId="19" borderId="2" xfId="0" applyNumberFormat="1" applyFont="1" applyFill="1" applyBorder="1" applyAlignment="1">
      <alignment vertical="center"/>
    </xf>
    <xf numFmtId="0" fontId="100" fillId="19" borderId="2" xfId="0" applyFont="1" applyFill="1" applyBorder="1" applyAlignment="1">
      <alignment horizontal="center" vertical="center"/>
    </xf>
    <xf numFmtId="179" fontId="36" fillId="19" borderId="2" xfId="0" applyNumberFormat="1" applyFont="1" applyFill="1" applyBorder="1" applyAlignment="1">
      <alignment horizontal="center" vertical="center"/>
    </xf>
    <xf numFmtId="182" fontId="36" fillId="6" borderId="8" xfId="0" applyNumberFormat="1" applyFont="1" applyFill="1" applyBorder="1" applyAlignment="1">
      <alignment horizontal="center" vertical="center"/>
    </xf>
    <xf numFmtId="0" fontId="36" fillId="6" borderId="0" xfId="0" applyFont="1" applyFill="1" applyAlignment="1">
      <alignment horizontal="left" vertical="center"/>
    </xf>
    <xf numFmtId="0" fontId="3" fillId="6" borderId="2" xfId="0" applyNumberFormat="1" applyFont="1" applyFill="1" applyBorder="1" applyAlignment="1">
      <alignment horizontal="center"/>
    </xf>
    <xf numFmtId="0" fontId="43" fillId="0" borderId="0" xfId="0" applyFont="1" applyFill="1" applyAlignment="1">
      <alignment horizontal="center"/>
    </xf>
    <xf numFmtId="182" fontId="1" fillId="6" borderId="9" xfId="0" applyNumberFormat="1" applyFont="1" applyFill="1" applyBorder="1" applyAlignment="1">
      <alignment horizontal="center" vertical="center"/>
    </xf>
    <xf numFmtId="182" fontId="36" fillId="6" borderId="9" xfId="0" applyNumberFormat="1" applyFont="1" applyFill="1" applyBorder="1" applyAlignment="1">
      <alignment horizontal="center" vertical="center"/>
    </xf>
    <xf numFmtId="0" fontId="9" fillId="19" borderId="0" xfId="0" applyFont="1" applyFill="1" applyAlignment="1">
      <alignment horizontal="left"/>
    </xf>
    <xf numFmtId="0" fontId="9" fillId="19" borderId="0" xfId="0" applyFont="1" applyFill="1" applyAlignment="1">
      <alignment horizontal="center"/>
    </xf>
    <xf numFmtId="0" fontId="3" fillId="19" borderId="0" xfId="0" applyNumberFormat="1" applyFont="1" applyFill="1" applyAlignment="1">
      <alignment horizontal="center"/>
    </xf>
    <xf numFmtId="0" fontId="1" fillId="19" borderId="0" xfId="0" applyNumberFormat="1" applyFont="1" applyFill="1" applyAlignment="1">
      <alignment horizontal="center"/>
    </xf>
    <xf numFmtId="181" fontId="1" fillId="19" borderId="0" xfId="0" applyNumberFormat="1" applyFont="1" applyFill="1" applyAlignment="1">
      <alignment horizontal="center" vertical="center"/>
    </xf>
    <xf numFmtId="182" fontId="1" fillId="19" borderId="0" xfId="0" applyNumberFormat="1" applyFont="1" applyFill="1" applyAlignment="1">
      <alignment horizontal="center" vertical="center"/>
    </xf>
    <xf numFmtId="0" fontId="100" fillId="6" borderId="12" xfId="0" applyFont="1" applyFill="1" applyBorder="1" applyAlignment="1">
      <alignment horizontal="center" vertical="center"/>
    </xf>
    <xf numFmtId="0" fontId="100" fillId="19" borderId="12" xfId="0" applyFont="1" applyFill="1" applyBorder="1" applyAlignment="1">
      <alignment horizontal="center" vertical="center" wrapText="1"/>
    </xf>
    <xf numFmtId="0" fontId="100" fillId="19" borderId="2" xfId="0" applyFont="1" applyFill="1" applyBorder="1" applyAlignment="1">
      <alignment horizontal="left"/>
    </xf>
    <xf numFmtId="0" fontId="36" fillId="19" borderId="2" xfId="0" applyNumberFormat="1" applyFont="1" applyFill="1" applyBorder="1" applyAlignment="1">
      <alignment horizontal="center"/>
    </xf>
    <xf numFmtId="181" fontId="36" fillId="19" borderId="2" xfId="0" applyNumberFormat="1" applyFont="1" applyFill="1" applyBorder="1" applyAlignment="1">
      <alignment horizontal="center"/>
    </xf>
    <xf numFmtId="182" fontId="101" fillId="19" borderId="2" xfId="0" applyNumberFormat="1" applyFont="1" applyFill="1" applyBorder="1" applyAlignment="1">
      <alignment horizontal="center" vertical="center"/>
    </xf>
    <xf numFmtId="0" fontId="100" fillId="19" borderId="2" xfId="0" applyFont="1" applyFill="1" applyBorder="1" applyAlignment="1">
      <alignment horizontal="left" vertical="center"/>
    </xf>
    <xf numFmtId="0" fontId="100" fillId="12" borderId="0" xfId="0" applyFont="1" applyFill="1" applyAlignment="1">
      <alignment horizontal="center" vertical="center" wrapText="1"/>
    </xf>
    <xf numFmtId="14" fontId="100" fillId="12" borderId="0" xfId="0" applyNumberFormat="1" applyFont="1" applyFill="1" applyAlignment="1">
      <alignment horizontal="center"/>
    </xf>
    <xf numFmtId="0" fontId="100" fillId="12" borderId="0" xfId="0" applyFont="1" applyFill="1" applyAlignment="1">
      <alignment horizontal="center"/>
    </xf>
    <xf numFmtId="0" fontId="100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/>
    </xf>
    <xf numFmtId="0" fontId="100" fillId="6" borderId="8" xfId="0" applyFont="1" applyFill="1" applyBorder="1" applyAlignment="1">
      <alignment horizontal="center" vertical="center"/>
    </xf>
    <xf numFmtId="0" fontId="36" fillId="6" borderId="8" xfId="0" applyNumberFormat="1" applyFont="1" applyFill="1" applyBorder="1" applyAlignment="1">
      <alignment horizontal="center"/>
    </xf>
    <xf numFmtId="181" fontId="36" fillId="6" borderId="8" xfId="0" applyNumberFormat="1" applyFont="1" applyFill="1" applyBorder="1" applyAlignment="1">
      <alignment horizontal="center"/>
    </xf>
    <xf numFmtId="181" fontId="36" fillId="6" borderId="0" xfId="0" applyNumberFormat="1" applyFont="1" applyFill="1" applyAlignment="1">
      <alignment horizontal="center" vertical="center"/>
    </xf>
    <xf numFmtId="182" fontId="101" fillId="6" borderId="8" xfId="0" applyNumberFormat="1" applyFont="1" applyFill="1" applyBorder="1" applyAlignment="1">
      <alignment horizontal="center" vertical="center"/>
    </xf>
    <xf numFmtId="0" fontId="100" fillId="6" borderId="2" xfId="0" applyFont="1" applyFill="1" applyBorder="1" applyAlignment="1">
      <alignment horizontal="center"/>
    </xf>
    <xf numFmtId="182" fontId="101" fillId="6" borderId="2" xfId="0" applyNumberFormat="1" applyFont="1" applyFill="1" applyBorder="1" applyAlignment="1">
      <alignment horizontal="center" vertical="center"/>
    </xf>
    <xf numFmtId="14" fontId="1" fillId="6" borderId="10" xfId="0" applyNumberFormat="1" applyFont="1" applyFill="1" applyBorder="1" applyAlignment="1">
      <alignment horizontal="center" vertical="center"/>
    </xf>
    <xf numFmtId="181" fontId="17" fillId="6" borderId="2" xfId="0" applyNumberFormat="1" applyFont="1" applyFill="1" applyBorder="1" applyAlignment="1">
      <alignment horizontal="center"/>
    </xf>
    <xf numFmtId="179" fontId="28" fillId="6" borderId="2" xfId="0" applyNumberFormat="1" applyFont="1" applyFill="1" applyBorder="1" applyAlignment="1">
      <alignment horizontal="center" vertical="center"/>
    </xf>
    <xf numFmtId="0" fontId="100" fillId="6" borderId="0" xfId="0" applyFont="1" applyFill="1" applyAlignment="1">
      <alignment horizontal="center" vertical="center" wrapText="1"/>
    </xf>
    <xf numFmtId="14" fontId="100" fillId="6" borderId="0" xfId="0" applyNumberFormat="1" applyFont="1" applyFill="1" applyAlignment="1">
      <alignment horizontal="center"/>
    </xf>
    <xf numFmtId="181" fontId="100" fillId="6" borderId="2" xfId="0" applyNumberFormat="1" applyFont="1" applyFill="1" applyBorder="1" applyAlignment="1">
      <alignment horizontal="center"/>
    </xf>
    <xf numFmtId="0" fontId="100" fillId="6" borderId="13" xfId="0" applyFont="1" applyFill="1" applyBorder="1" applyAlignment="1">
      <alignment horizontal="center" vertical="center"/>
    </xf>
    <xf numFmtId="0" fontId="36" fillId="6" borderId="13" xfId="0" applyNumberFormat="1" applyFont="1" applyFill="1" applyBorder="1" applyAlignment="1">
      <alignment horizontal="center"/>
    </xf>
    <xf numFmtId="181" fontId="36" fillId="6" borderId="13" xfId="0" applyNumberFormat="1" applyFont="1" applyFill="1" applyBorder="1" applyAlignment="1">
      <alignment horizontal="center"/>
    </xf>
    <xf numFmtId="181" fontId="1" fillId="6" borderId="13" xfId="0" applyNumberFormat="1" applyFont="1" applyFill="1" applyBorder="1" applyAlignment="1">
      <alignment horizontal="center" vertical="center"/>
    </xf>
    <xf numFmtId="182" fontId="36" fillId="6" borderId="13" xfId="0" applyNumberFormat="1" applyFont="1" applyFill="1" applyBorder="1" applyAlignment="1">
      <alignment horizontal="center" vertical="center"/>
    </xf>
    <xf numFmtId="182" fontId="101" fillId="6" borderId="13" xfId="0" applyNumberFormat="1" applyFont="1" applyFill="1" applyBorder="1" applyAlignment="1">
      <alignment horizontal="center" vertical="center"/>
    </xf>
    <xf numFmtId="0" fontId="100" fillId="12" borderId="0" xfId="0" applyFont="1" applyFill="1" applyAlignment="1"/>
    <xf numFmtId="0" fontId="36" fillId="12" borderId="0" xfId="0" applyFont="1" applyFill="1" applyAlignment="1">
      <alignment horizontal="left"/>
    </xf>
    <xf numFmtId="0" fontId="101" fillId="6" borderId="2" xfId="0" applyNumberFormat="1" applyFont="1" applyFill="1" applyBorder="1" applyAlignment="1">
      <alignment horizontal="center"/>
    </xf>
    <xf numFmtId="181" fontId="101" fillId="6" borderId="2" xfId="0" applyNumberFormat="1" applyFont="1" applyFill="1" applyBorder="1" applyAlignment="1">
      <alignment horizontal="center"/>
    </xf>
    <xf numFmtId="181" fontId="101" fillId="6" borderId="2" xfId="0" applyNumberFormat="1" applyFont="1" applyFill="1" applyBorder="1" applyAlignment="1">
      <alignment horizontal="center" vertical="center"/>
    </xf>
    <xf numFmtId="0" fontId="100" fillId="0" borderId="0" xfId="0" applyFont="1" applyFill="1" applyAlignment="1">
      <alignment horizontal="center" vertical="center" wrapText="1"/>
    </xf>
    <xf numFmtId="0" fontId="3" fillId="6" borderId="0" xfId="0" applyNumberFormat="1" applyFont="1" applyFill="1" applyAlignment="1">
      <alignment horizontal="center"/>
    </xf>
    <xf numFmtId="182" fontId="101" fillId="6" borderId="9" xfId="0" applyNumberFormat="1" applyFont="1" applyFill="1" applyBorder="1" applyAlignment="1">
      <alignment horizontal="center" vertical="center"/>
    </xf>
    <xf numFmtId="0" fontId="36" fillId="19" borderId="2" xfId="0" applyFont="1" applyFill="1" applyBorder="1" applyAlignment="1">
      <alignment vertical="center" wrapText="1"/>
    </xf>
    <xf numFmtId="0" fontId="107" fillId="19" borderId="2" xfId="0" applyNumberFormat="1" applyFont="1" applyFill="1" applyBorder="1" applyAlignment="1">
      <alignment vertical="center"/>
    </xf>
    <xf numFmtId="182" fontId="36" fillId="19" borderId="2" xfId="0" applyNumberFormat="1" applyFont="1" applyFill="1" applyBorder="1" applyAlignment="1">
      <alignment horizontal="center"/>
    </xf>
    <xf numFmtId="0" fontId="36" fillId="6" borderId="2" xfId="0" applyFont="1" applyFill="1" applyBorder="1" applyAlignment="1">
      <alignment vertical="center" wrapText="1"/>
    </xf>
    <xf numFmtId="0" fontId="100" fillId="6" borderId="2" xfId="0" applyFont="1" applyFill="1" applyBorder="1" applyAlignment="1"/>
    <xf numFmtId="0" fontId="100" fillId="6" borderId="2" xfId="0" applyFont="1" applyFill="1" applyBorder="1" applyAlignment="1">
      <alignment horizontal="left"/>
    </xf>
    <xf numFmtId="0" fontId="107" fillId="6" borderId="2" xfId="0" applyNumberFormat="1" applyFont="1" applyFill="1" applyBorder="1" applyAlignment="1">
      <alignment horizontal="center" vertical="center"/>
    </xf>
    <xf numFmtId="0" fontId="100" fillId="36" borderId="2" xfId="0" applyFont="1" applyFill="1" applyBorder="1" applyAlignment="1">
      <alignment horizontal="center" vertical="center"/>
    </xf>
    <xf numFmtId="0" fontId="36" fillId="19" borderId="2" xfId="0" applyFont="1" applyFill="1" applyBorder="1" applyAlignment="1">
      <alignment horizontal="left" vertical="center" wrapText="1"/>
    </xf>
    <xf numFmtId="0" fontId="36" fillId="12" borderId="2" xfId="0" applyFont="1" applyFill="1" applyBorder="1" applyAlignment="1">
      <alignment vertical="center" wrapText="1"/>
    </xf>
    <xf numFmtId="0" fontId="36" fillId="12" borderId="2" xfId="0" applyFont="1" applyFill="1" applyBorder="1" applyAlignment="1">
      <alignment horizontal="left" vertical="center" wrapText="1"/>
    </xf>
    <xf numFmtId="14" fontId="9" fillId="12" borderId="0" xfId="0" applyNumberFormat="1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9" fillId="12" borderId="0" xfId="0" applyFont="1" applyFill="1" applyAlignment="1">
      <alignment horizontal="center" vertical="center"/>
    </xf>
    <xf numFmtId="182" fontId="36" fillId="12" borderId="2" xfId="0" applyNumberFormat="1" applyFont="1" applyFill="1" applyBorder="1" applyAlignment="1">
      <alignment horizontal="center"/>
    </xf>
    <xf numFmtId="182" fontId="36" fillId="12" borderId="2" xfId="0" applyNumberFormat="1" applyFont="1" applyFill="1" applyBorder="1" applyAlignment="1">
      <alignment horizontal="center" vertical="center"/>
    </xf>
    <xf numFmtId="0" fontId="48" fillId="6" borderId="2" xfId="0" applyFont="1" applyFill="1" applyBorder="1" applyAlignment="1">
      <alignment horizontal="center" vertical="center"/>
    </xf>
    <xf numFmtId="0" fontId="49" fillId="6" borderId="2" xfId="0" applyFont="1" applyFill="1" applyBorder="1" applyAlignment="1">
      <alignment horizontal="center" vertical="center"/>
    </xf>
    <xf numFmtId="179" fontId="49" fillId="6" borderId="2" xfId="0" applyNumberFormat="1" applyFont="1" applyFill="1" applyBorder="1" applyAlignment="1">
      <alignment horizontal="center" vertical="center"/>
    </xf>
    <xf numFmtId="0" fontId="109" fillId="0" borderId="0" xfId="0" applyFont="1" applyFill="1">
      <alignment vertical="center"/>
    </xf>
    <xf numFmtId="0" fontId="0" fillId="0" borderId="0" xfId="0" applyBorder="1">
      <alignment vertical="center"/>
    </xf>
    <xf numFmtId="181" fontId="5" fillId="3" borderId="0" xfId="0" applyNumberFormat="1" applyFont="1" applyFill="1" applyBorder="1" applyAlignment="1">
      <alignment horizontal="left" vertical="center"/>
    </xf>
    <xf numFmtId="0" fontId="4" fillId="4" borderId="0" xfId="49" applyFont="1" applyFill="1" applyBorder="1" applyAlignment="1">
      <alignment horizontal="left" vertical="center" wrapText="1"/>
    </xf>
    <xf numFmtId="0" fontId="5" fillId="4" borderId="0" xfId="49" applyFont="1" applyFill="1" applyBorder="1" applyAlignment="1">
      <alignment horizontal="left" vertical="center" wrapText="1"/>
    </xf>
    <xf numFmtId="0" fontId="5" fillId="4" borderId="0" xfId="49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181" fontId="1" fillId="0" borderId="0" xfId="0" applyNumberFormat="1" applyFont="1" applyFill="1" applyBorder="1" applyAlignment="1">
      <alignment horizontal="center" vertical="center"/>
    </xf>
    <xf numFmtId="182" fontId="1" fillId="0" borderId="0" xfId="0" applyNumberFormat="1" applyFont="1" applyFill="1" applyBorder="1" applyAlignment="1">
      <alignment horizontal="center" vertical="center"/>
    </xf>
    <xf numFmtId="0" fontId="109" fillId="0" borderId="0" xfId="0" applyFont="1" applyFill="1" applyBorder="1">
      <alignment vertical="center"/>
    </xf>
    <xf numFmtId="0" fontId="110" fillId="0" borderId="0" xfId="0" applyFont="1" applyFill="1" applyBorder="1" applyAlignment="1">
      <alignment vertical="center"/>
    </xf>
    <xf numFmtId="0" fontId="110" fillId="0" borderId="0" xfId="0" applyFont="1" applyFill="1" applyBorder="1" applyAlignment="1">
      <alignment horizontal="left" vertical="center"/>
    </xf>
    <xf numFmtId="0" fontId="111" fillId="0" borderId="0" xfId="0" applyFont="1" applyFill="1" applyBorder="1" applyAlignment="1">
      <alignment horizontal="center" vertical="center"/>
    </xf>
    <xf numFmtId="193" fontId="110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Alignment="1"/>
    <xf numFmtId="0" fontId="100" fillId="0" borderId="0" xfId="0" applyFont="1" applyFill="1" applyAlignment="1"/>
    <xf numFmtId="0" fontId="112" fillId="0" borderId="0" xfId="0" applyFont="1" applyFill="1" applyAlignment="1"/>
    <xf numFmtId="0" fontId="100" fillId="3" borderId="0" xfId="0" applyFont="1" applyFill="1" applyAlignment="1"/>
    <xf numFmtId="0" fontId="100" fillId="3" borderId="0" xfId="0" applyFont="1" applyFill="1" applyAlignment="1">
      <alignment horizontal="left"/>
    </xf>
    <xf numFmtId="0" fontId="100" fillId="0" borderId="0" xfId="0" applyFont="1" applyFill="1" applyAlignment="1">
      <alignment horizontal="center"/>
    </xf>
    <xf numFmtId="0" fontId="100" fillId="0" borderId="0" xfId="0" applyFont="1" applyFill="1" applyAlignment="1">
      <alignment horizontal="left"/>
    </xf>
    <xf numFmtId="0" fontId="100" fillId="3" borderId="0" xfId="0" applyFont="1" applyFill="1" applyAlignment="1">
      <alignment horizontal="center" vertical="center"/>
    </xf>
    <xf numFmtId="0" fontId="36" fillId="3" borderId="0" xfId="0" applyNumberFormat="1" applyFont="1" applyFill="1" applyAlignment="1">
      <alignment horizontal="center"/>
    </xf>
    <xf numFmtId="181" fontId="36" fillId="3" borderId="0" xfId="0" applyNumberFormat="1" applyFont="1" applyFill="1" applyAlignment="1">
      <alignment horizontal="center"/>
    </xf>
    <xf numFmtId="182" fontId="36" fillId="3" borderId="0" xfId="0" applyNumberFormat="1" applyFont="1" applyFill="1" applyAlignment="1">
      <alignment horizontal="center" vertical="center"/>
    </xf>
    <xf numFmtId="182" fontId="100" fillId="3" borderId="0" xfId="0" applyNumberFormat="1" applyFont="1" applyFill="1" applyAlignment="1">
      <alignment horizontal="center" vertical="center"/>
    </xf>
    <xf numFmtId="0" fontId="100" fillId="3" borderId="0" xfId="0" applyFont="1" applyFill="1" applyAlignment="1">
      <alignment horizontal="left" vertical="center"/>
    </xf>
    <xf numFmtId="179" fontId="100" fillId="0" borderId="0" xfId="0" applyNumberFormat="1" applyFont="1" applyFill="1" applyAlignment="1"/>
    <xf numFmtId="0" fontId="100" fillId="0" borderId="0" xfId="0" applyFont="1" applyFill="1">
      <alignment vertical="center"/>
    </xf>
    <xf numFmtId="180" fontId="20" fillId="3" borderId="0" xfId="0" applyNumberFormat="1" applyFont="1" applyFill="1" applyAlignment="1">
      <alignment horizontal="center" vertical="center"/>
    </xf>
    <xf numFmtId="0" fontId="89" fillId="3" borderId="0" xfId="0" applyFont="1" applyFill="1" applyAlignment="1">
      <alignment horizontal="left" vertical="center" wrapText="1"/>
    </xf>
    <xf numFmtId="179" fontId="91" fillId="0" borderId="2" xfId="0" applyNumberFormat="1" applyFont="1" applyFill="1" applyBorder="1" applyAlignment="1">
      <alignment horizontal="center" vertical="center"/>
    </xf>
    <xf numFmtId="181" fontId="69" fillId="3" borderId="0" xfId="0" applyNumberFormat="1" applyFont="1" applyFill="1" applyBorder="1" applyAlignment="1">
      <alignment horizontal="left" vertical="center"/>
    </xf>
    <xf numFmtId="0" fontId="82" fillId="0" borderId="8" xfId="0" applyFont="1" applyFill="1" applyBorder="1" applyAlignment="1">
      <alignment horizontal="left" vertical="center"/>
    </xf>
    <xf numFmtId="0" fontId="18" fillId="0" borderId="8" xfId="0" applyFont="1" applyFill="1" applyBorder="1" applyAlignment="1">
      <alignment horizontal="left" vertical="center"/>
    </xf>
    <xf numFmtId="14" fontId="100" fillId="0" borderId="0" xfId="0" applyNumberFormat="1" applyFont="1" applyFill="1" applyAlignment="1">
      <alignment horizontal="center"/>
    </xf>
    <xf numFmtId="179" fontId="100" fillId="19" borderId="0" xfId="0" applyNumberFormat="1" applyFont="1" applyFill="1" applyAlignment="1"/>
    <xf numFmtId="0" fontId="112" fillId="0" borderId="0" xfId="0" applyFont="1" applyFill="1" applyAlignment="1">
      <alignment vertical="center"/>
    </xf>
    <xf numFmtId="181" fontId="36" fillId="19" borderId="9" xfId="0" applyNumberFormat="1" applyFont="1" applyFill="1" applyBorder="1" applyAlignment="1">
      <alignment horizontal="center" vertical="center"/>
    </xf>
    <xf numFmtId="0" fontId="36" fillId="19" borderId="9" xfId="0" applyFont="1" applyFill="1" applyBorder="1" applyAlignment="1">
      <alignment horizontal="center" vertical="center"/>
    </xf>
    <xf numFmtId="0" fontId="36" fillId="19" borderId="9" xfId="0" applyFont="1" applyFill="1" applyBorder="1" applyAlignment="1">
      <alignment horizontal="left" vertical="center"/>
    </xf>
    <xf numFmtId="0" fontId="36" fillId="19" borderId="9" xfId="0" applyFont="1" applyFill="1" applyBorder="1" applyAlignment="1">
      <alignment vertical="center"/>
    </xf>
    <xf numFmtId="179" fontId="100" fillId="0" borderId="0" xfId="0" applyNumberFormat="1" applyFont="1" applyFill="1">
      <alignment vertical="center"/>
    </xf>
    <xf numFmtId="183" fontId="36" fillId="19" borderId="2" xfId="0" applyNumberFormat="1" applyFont="1" applyFill="1" applyBorder="1" applyAlignment="1">
      <alignment horizontal="left" vertical="center"/>
    </xf>
    <xf numFmtId="0" fontId="36" fillId="19" borderId="8" xfId="0" applyFont="1" applyFill="1" applyBorder="1" applyAlignment="1">
      <alignment horizontal="left" vertical="center"/>
    </xf>
    <xf numFmtId="14" fontId="36" fillId="19" borderId="9" xfId="0" applyNumberFormat="1" applyFont="1" applyFill="1" applyBorder="1" applyAlignment="1">
      <alignment horizontal="center" vertical="center"/>
    </xf>
    <xf numFmtId="0" fontId="107" fillId="19" borderId="2" xfId="0" applyNumberFormat="1" applyFont="1" applyFill="1" applyBorder="1" applyAlignment="1"/>
    <xf numFmtId="14" fontId="100" fillId="0" borderId="0" xfId="0" applyNumberFormat="1" applyFont="1" applyFill="1" applyAlignment="1"/>
    <xf numFmtId="0" fontId="36" fillId="19" borderId="37" xfId="0" applyFont="1" applyFill="1" applyBorder="1" applyAlignment="1">
      <alignment horizontal="left" vertical="center"/>
    </xf>
    <xf numFmtId="0" fontId="36" fillId="19" borderId="13" xfId="0" applyFont="1" applyFill="1" applyBorder="1" applyAlignment="1">
      <alignment horizontal="left" vertical="center"/>
    </xf>
    <xf numFmtId="0" fontId="36" fillId="19" borderId="8" xfId="0" applyFont="1" applyFill="1" applyBorder="1" applyAlignment="1">
      <alignment horizontal="center" vertical="center" wrapText="1"/>
    </xf>
    <xf numFmtId="0" fontId="36" fillId="19" borderId="9" xfId="0" applyFont="1" applyFill="1" applyBorder="1" applyAlignment="1">
      <alignment horizontal="center" vertical="center" wrapText="1"/>
    </xf>
    <xf numFmtId="0" fontId="100" fillId="19" borderId="0" xfId="0" applyFont="1" applyFill="1" applyAlignment="1">
      <alignment horizontal="left" vertical="center"/>
    </xf>
    <xf numFmtId="0" fontId="100" fillId="19" borderId="2" xfId="0" applyFont="1" applyFill="1" applyBorder="1">
      <alignment vertical="center"/>
    </xf>
    <xf numFmtId="0" fontId="101" fillId="19" borderId="2" xfId="0" applyFont="1" applyFill="1" applyBorder="1" applyAlignment="1">
      <alignment horizontal="center" vertical="center"/>
    </xf>
    <xf numFmtId="14" fontId="101" fillId="19" borderId="2" xfId="0" applyNumberFormat="1" applyFont="1" applyFill="1" applyBorder="1" applyAlignment="1">
      <alignment horizontal="center"/>
    </xf>
    <xf numFmtId="0" fontId="101" fillId="19" borderId="2" xfId="0" applyFont="1" applyFill="1" applyBorder="1" applyAlignment="1">
      <alignment horizontal="left"/>
    </xf>
    <xf numFmtId="0" fontId="101" fillId="19" borderId="2" xfId="0" applyFont="1" applyFill="1" applyBorder="1" applyAlignment="1"/>
    <xf numFmtId="0" fontId="36" fillId="19" borderId="2" xfId="0" applyFont="1" applyFill="1" applyBorder="1">
      <alignment vertical="center"/>
    </xf>
    <xf numFmtId="179" fontId="112" fillId="0" borderId="0" xfId="0" applyNumberFormat="1" applyFont="1" applyFill="1" applyAlignment="1"/>
    <xf numFmtId="0" fontId="100" fillId="19" borderId="14" xfId="0" applyFont="1" applyFill="1" applyBorder="1" applyAlignment="1">
      <alignment horizontal="left"/>
    </xf>
    <xf numFmtId="0" fontId="36" fillId="19" borderId="14" xfId="0" applyFont="1" applyFill="1" applyBorder="1" applyAlignment="1">
      <alignment vertical="center"/>
    </xf>
    <xf numFmtId="0" fontId="100" fillId="19" borderId="2" xfId="49" applyFont="1" applyFill="1" applyBorder="1" applyAlignment="1">
      <alignment horizontal="left" vertical="center" wrapText="1"/>
    </xf>
    <xf numFmtId="0" fontId="100" fillId="19" borderId="2" xfId="49" applyFont="1" applyFill="1" applyBorder="1" applyAlignment="1">
      <alignment horizontal="center" vertical="center" wrapText="1"/>
    </xf>
    <xf numFmtId="0" fontId="100" fillId="19" borderId="2" xfId="0" applyNumberFormat="1" applyFont="1" applyFill="1" applyBorder="1" applyAlignment="1">
      <alignment vertical="center"/>
    </xf>
    <xf numFmtId="0" fontId="100" fillId="19" borderId="0" xfId="0" applyFont="1" applyFill="1" applyAlignment="1">
      <alignment vertical="center"/>
    </xf>
    <xf numFmtId="0" fontId="101" fillId="19" borderId="2" xfId="0" applyNumberFormat="1" applyFont="1" applyFill="1" applyBorder="1" applyAlignment="1">
      <alignment horizontal="center" vertical="center"/>
    </xf>
    <xf numFmtId="0" fontId="101" fillId="0" borderId="0" xfId="0" applyFont="1" applyFill="1" applyAlignment="1"/>
    <xf numFmtId="0" fontId="100" fillId="19" borderId="0" xfId="0" applyFont="1" applyFill="1" applyBorder="1" applyAlignment="1"/>
    <xf numFmtId="0" fontId="100" fillId="0" borderId="0" xfId="0" applyFont="1" applyFill="1" applyBorder="1" applyAlignment="1"/>
    <xf numFmtId="189" fontId="100" fillId="19" borderId="2" xfId="0" applyNumberFormat="1" applyFont="1" applyFill="1" applyBorder="1" applyAlignment="1">
      <alignment horizontal="center"/>
    </xf>
    <xf numFmtId="0" fontId="36" fillId="19" borderId="0" xfId="0" applyFont="1" applyFill="1" applyAlignment="1"/>
    <xf numFmtId="0" fontId="105" fillId="0" borderId="0" xfId="0" applyFont="1" applyFill="1" applyBorder="1" applyAlignment="1">
      <alignment horizontal="left" vertical="center"/>
    </xf>
    <xf numFmtId="14" fontId="36" fillId="19" borderId="2" xfId="0" applyNumberFormat="1" applyFont="1" applyFill="1" applyBorder="1" applyAlignment="1">
      <alignment horizontal="center"/>
    </xf>
    <xf numFmtId="0" fontId="36" fillId="19" borderId="0" xfId="0" applyFont="1" applyFill="1" applyBorder="1" applyAlignment="1"/>
    <xf numFmtId="181" fontId="36" fillId="19" borderId="0" xfId="0" applyNumberFormat="1" applyFont="1" applyFill="1" applyAlignment="1">
      <alignment horizontal="center" vertical="center"/>
    </xf>
    <xf numFmtId="0" fontId="105" fillId="0" borderId="0" xfId="0" applyFont="1" applyFill="1" applyBorder="1" applyAlignment="1"/>
    <xf numFmtId="14" fontId="0" fillId="0" borderId="0" xfId="0" applyNumberFormat="1">
      <alignment vertical="center"/>
    </xf>
    <xf numFmtId="0" fontId="100" fillId="19" borderId="2" xfId="0" applyNumberFormat="1" applyFont="1" applyFill="1" applyBorder="1" applyAlignment="1">
      <alignment horizontal="center"/>
    </xf>
    <xf numFmtId="0" fontId="100" fillId="6" borderId="0" xfId="0" applyFont="1" applyFill="1" applyAlignment="1">
      <alignment horizontal="left"/>
    </xf>
    <xf numFmtId="0" fontId="100" fillId="6" borderId="0" xfId="0" applyFont="1" applyFill="1" applyAlignment="1"/>
    <xf numFmtId="0" fontId="36" fillId="6" borderId="0" xfId="0" applyNumberFormat="1" applyFont="1" applyFill="1" applyAlignment="1">
      <alignment horizontal="center"/>
    </xf>
    <xf numFmtId="181" fontId="36" fillId="6" borderId="0" xfId="0" applyNumberFormat="1" applyFont="1" applyFill="1" applyAlignment="1">
      <alignment horizontal="center"/>
    </xf>
    <xf numFmtId="182" fontId="100" fillId="6" borderId="0" xfId="0" applyNumberFormat="1" applyFont="1" applyFill="1" applyAlignment="1">
      <alignment horizontal="center" vertical="center"/>
    </xf>
    <xf numFmtId="0" fontId="100" fillId="6" borderId="0" xfId="0" applyFont="1" applyFill="1" applyAlignment="1">
      <alignment horizontal="left" vertical="center"/>
    </xf>
    <xf numFmtId="0" fontId="101" fillId="0" borderId="0" xfId="0" applyFont="1" applyFill="1" applyAlignment="1">
      <alignment horizontal="center"/>
    </xf>
    <xf numFmtId="0" fontId="101" fillId="0" borderId="0" xfId="0" applyFont="1" applyFill="1" applyAlignment="1">
      <alignment horizontal="left"/>
    </xf>
    <xf numFmtId="0" fontId="101" fillId="3" borderId="0" xfId="0" applyFont="1" applyFill="1" applyAlignment="1"/>
    <xf numFmtId="0" fontId="101" fillId="3" borderId="0" xfId="0" applyFont="1" applyFill="1" applyAlignment="1">
      <alignment horizontal="center" vertical="center"/>
    </xf>
    <xf numFmtId="0" fontId="101" fillId="3" borderId="0" xfId="0" applyNumberFormat="1" applyFont="1" applyFill="1" applyAlignment="1">
      <alignment horizontal="center"/>
    </xf>
    <xf numFmtId="181" fontId="101" fillId="3" borderId="0" xfId="0" applyNumberFormat="1" applyFont="1" applyFill="1" applyAlignment="1">
      <alignment horizontal="center"/>
    </xf>
    <xf numFmtId="181" fontId="101" fillId="0" borderId="0" xfId="0" applyNumberFormat="1" applyFont="1" applyFill="1" applyAlignment="1">
      <alignment horizontal="center" vertical="center"/>
    </xf>
    <xf numFmtId="182" fontId="101" fillId="3" borderId="0" xfId="0" applyNumberFormat="1" applyFont="1" applyFill="1" applyAlignment="1">
      <alignment horizontal="center" vertical="center"/>
    </xf>
    <xf numFmtId="181" fontId="36" fillId="3" borderId="2" xfId="0" applyNumberFormat="1" applyFont="1" applyFill="1" applyBorder="1" applyAlignment="1">
      <alignment horizontal="center"/>
    </xf>
    <xf numFmtId="0" fontId="8" fillId="3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vertical="center"/>
    </xf>
    <xf numFmtId="0" fontId="24" fillId="0" borderId="0" xfId="0" applyFont="1" applyFill="1" applyAlignment="1">
      <alignment horizontal="left" vertical="center"/>
    </xf>
    <xf numFmtId="0" fontId="24" fillId="19" borderId="0" xfId="0" applyFont="1" applyFill="1" applyAlignment="1">
      <alignment horizontal="left" vertical="center"/>
    </xf>
    <xf numFmtId="0" fontId="24" fillId="17" borderId="0" xfId="0" applyFont="1" applyFill="1" applyAlignment="1"/>
    <xf numFmtId="0" fontId="24" fillId="17" borderId="0" xfId="0" applyFont="1" applyFill="1" applyAlignment="1">
      <alignment horizontal="left" vertical="center"/>
    </xf>
    <xf numFmtId="0" fontId="24" fillId="19" borderId="0" xfId="0" applyFont="1" applyFill="1" applyAlignment="1"/>
    <xf numFmtId="0" fontId="34" fillId="0" borderId="0" xfId="0" applyFont="1" applyFill="1" applyAlignment="1">
      <alignment vertical="center"/>
    </xf>
    <xf numFmtId="0" fontId="24" fillId="19" borderId="0" xfId="0" applyFont="1" applyFill="1" applyAlignment="1">
      <alignment vertical="center"/>
    </xf>
    <xf numFmtId="0" fontId="24" fillId="0" borderId="0" xfId="0" applyFont="1" applyFill="1" applyAlignment="1">
      <alignment horizontal="center" vertical="center"/>
    </xf>
    <xf numFmtId="0" fontId="24" fillId="16" borderId="0" xfId="0" applyFont="1" applyFill="1" applyAlignment="1"/>
    <xf numFmtId="0" fontId="24" fillId="0" borderId="2" xfId="0" applyFont="1" applyFill="1" applyBorder="1" applyAlignment="1">
      <alignment vertical="center"/>
    </xf>
    <xf numFmtId="0" fontId="24" fillId="0" borderId="2" xfId="0" applyFont="1" applyFill="1" applyBorder="1" applyAlignment="1">
      <alignment horizontal="left" vertical="center"/>
    </xf>
    <xf numFmtId="0" fontId="113" fillId="0" borderId="0" xfId="0" applyFont="1" applyFill="1" applyAlignment="1"/>
    <xf numFmtId="0" fontId="113" fillId="3" borderId="0" xfId="0" applyFont="1" applyFill="1" applyAlignment="1"/>
    <xf numFmtId="0" fontId="24" fillId="3" borderId="0" xfId="0" applyFont="1" applyFill="1" applyAlignment="1"/>
    <xf numFmtId="0" fontId="40" fillId="3" borderId="0" xfId="0" applyFont="1" applyFill="1" applyAlignment="1"/>
    <xf numFmtId="0" fontId="24" fillId="10" borderId="0" xfId="0" applyFont="1" applyFill="1" applyAlignment="1"/>
    <xf numFmtId="0" fontId="24" fillId="3" borderId="2" xfId="0" applyFont="1" applyFill="1" applyBorder="1" applyAlignment="1"/>
    <xf numFmtId="0" fontId="24" fillId="0" borderId="0" xfId="0" applyFont="1" applyFill="1" applyAlignment="1">
      <alignment horizontal="left"/>
    </xf>
    <xf numFmtId="181" fontId="34" fillId="0" borderId="0" xfId="0" applyNumberFormat="1" applyFont="1" applyFill="1" applyAlignment="1">
      <alignment horizontal="center" vertical="center"/>
    </xf>
    <xf numFmtId="181" fontId="34" fillId="3" borderId="0" xfId="0" applyNumberFormat="1" applyFont="1" applyFill="1" applyAlignment="1">
      <alignment horizontal="center" vertical="center"/>
    </xf>
    <xf numFmtId="182" fontId="34" fillId="3" borderId="0" xfId="0" applyNumberFormat="1" applyFont="1" applyFill="1" applyAlignment="1">
      <alignment horizontal="center" vertical="center"/>
    </xf>
    <xf numFmtId="182" fontId="24" fillId="3" borderId="0" xfId="0" applyNumberFormat="1" applyFont="1" applyFill="1" applyAlignment="1">
      <alignment horizontal="center" vertical="center"/>
    </xf>
    <xf numFmtId="0" fontId="24" fillId="0" borderId="0" xfId="0" applyFont="1">
      <alignment vertical="center"/>
    </xf>
    <xf numFmtId="0" fontId="8" fillId="3" borderId="10" xfId="0" applyFont="1" applyFill="1" applyBorder="1" applyAlignment="1"/>
    <xf numFmtId="180" fontId="8" fillId="3" borderId="11" xfId="0" applyNumberFormat="1" applyFont="1" applyFill="1" applyBorder="1" applyAlignment="1">
      <alignment vertical="center"/>
    </xf>
    <xf numFmtId="180" fontId="8" fillId="3" borderId="2" xfId="0" applyNumberFormat="1" applyFont="1" applyFill="1" applyBorder="1" applyAlignment="1">
      <alignment horizontal="left" vertical="center"/>
    </xf>
    <xf numFmtId="181" fontId="2" fillId="0" borderId="2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left" vertical="center" wrapText="1"/>
    </xf>
    <xf numFmtId="0" fontId="24" fillId="0" borderId="15" xfId="0" applyFont="1" applyFill="1" applyBorder="1" applyAlignment="1">
      <alignment horizontal="center" vertical="center"/>
    </xf>
    <xf numFmtId="0" fontId="34" fillId="0" borderId="3" xfId="0" applyFont="1" applyFill="1" applyBorder="1" applyAlignment="1">
      <alignment horizontal="left" vertical="center"/>
    </xf>
    <xf numFmtId="0" fontId="34" fillId="0" borderId="2" xfId="0" applyFont="1" applyFill="1" applyBorder="1" applyAlignment="1">
      <alignment horizontal="left" vertical="center"/>
    </xf>
    <xf numFmtId="0" fontId="34" fillId="0" borderId="2" xfId="0" applyFont="1" applyFill="1" applyBorder="1" applyAlignment="1">
      <alignment vertical="center"/>
    </xf>
    <xf numFmtId="181" fontId="34" fillId="0" borderId="2" xfId="0" applyNumberFormat="1" applyFont="1" applyFill="1" applyBorder="1" applyAlignment="1">
      <alignment horizontal="center" vertical="center"/>
    </xf>
    <xf numFmtId="182" fontId="34" fillId="0" borderId="2" xfId="0" applyNumberFormat="1" applyFont="1" applyFill="1" applyBorder="1" applyAlignment="1">
      <alignment horizontal="center" vertical="center"/>
    </xf>
    <xf numFmtId="0" fontId="113" fillId="0" borderId="0" xfId="0" applyFont="1" applyFill="1" applyAlignment="1">
      <alignment vertical="center"/>
    </xf>
    <xf numFmtId="182" fontId="34" fillId="0" borderId="2" xfId="0" applyNumberFormat="1" applyFont="1" applyFill="1" applyBorder="1" applyAlignment="1">
      <alignment horizontal="center"/>
    </xf>
    <xf numFmtId="0" fontId="40" fillId="0" borderId="3" xfId="0" applyFont="1" applyFill="1" applyBorder="1" applyAlignment="1">
      <alignment vertical="center"/>
    </xf>
    <xf numFmtId="182" fontId="34" fillId="0" borderId="3" xfId="0" applyNumberFormat="1" applyFont="1" applyFill="1" applyBorder="1" applyAlignment="1">
      <alignment horizontal="center"/>
    </xf>
    <xf numFmtId="0" fontId="34" fillId="0" borderId="3" xfId="0" applyFont="1" applyFill="1" applyBorder="1" applyAlignment="1">
      <alignment vertical="center"/>
    </xf>
    <xf numFmtId="0" fontId="24" fillId="0" borderId="3" xfId="0" applyFont="1" applyFill="1" applyBorder="1" applyAlignment="1">
      <alignment vertical="center"/>
    </xf>
    <xf numFmtId="14" fontId="34" fillId="0" borderId="3" xfId="0" applyNumberFormat="1" applyFont="1" applyFill="1" applyBorder="1" applyAlignment="1">
      <alignment horizontal="left" vertical="center"/>
    </xf>
    <xf numFmtId="0" fontId="34" fillId="0" borderId="2" xfId="0" applyFont="1" applyFill="1" applyBorder="1" applyAlignment="1">
      <alignment vertical="center" wrapText="1"/>
    </xf>
    <xf numFmtId="0" fontId="34" fillId="0" borderId="14" xfId="0" applyFont="1" applyFill="1" applyBorder="1" applyAlignment="1">
      <alignment vertical="center"/>
    </xf>
    <xf numFmtId="0" fontId="34" fillId="6" borderId="2" xfId="0" applyFont="1" applyFill="1" applyBorder="1" applyAlignment="1">
      <alignment vertical="center" wrapText="1"/>
    </xf>
    <xf numFmtId="182" fontId="34" fillId="0" borderId="3" xfId="0" applyNumberFormat="1" applyFont="1" applyFill="1" applyBorder="1" applyAlignment="1">
      <alignment horizontal="center" vertical="center"/>
    </xf>
    <xf numFmtId="0" fontId="114" fillId="0" borderId="2" xfId="0" applyNumberFormat="1" applyFont="1" applyFill="1" applyBorder="1" applyAlignment="1"/>
    <xf numFmtId="0" fontId="24" fillId="0" borderId="15" xfId="0" applyFont="1" applyFill="1" applyBorder="1" applyAlignment="1">
      <alignment vertical="center"/>
    </xf>
    <xf numFmtId="0" fontId="34" fillId="0" borderId="3" xfId="0" applyFont="1" applyFill="1" applyBorder="1" applyAlignment="1">
      <alignment horizontal="left" vertical="center" wrapText="1"/>
    </xf>
    <xf numFmtId="0" fontId="34" fillId="0" borderId="2" xfId="49" applyFont="1" applyFill="1" applyBorder="1" applyAlignment="1">
      <alignment vertical="center" wrapText="1"/>
    </xf>
    <xf numFmtId="0" fontId="34" fillId="0" borderId="3" xfId="49" applyFont="1" applyFill="1" applyBorder="1" applyAlignment="1">
      <alignment horizontal="left" vertical="center" wrapText="1"/>
    </xf>
    <xf numFmtId="0" fontId="34" fillId="0" borderId="2" xfId="49" applyFont="1" applyFill="1" applyBorder="1" applyAlignment="1">
      <alignment horizontal="left" vertical="center" wrapText="1"/>
    </xf>
    <xf numFmtId="0" fontId="34" fillId="0" borderId="14" xfId="0" applyFont="1" applyFill="1" applyBorder="1" applyAlignment="1">
      <alignment horizontal="left" vertical="center"/>
    </xf>
    <xf numFmtId="0" fontId="34" fillId="0" borderId="2" xfId="0" applyFont="1" applyFill="1" applyBorder="1" applyAlignment="1">
      <alignment horizontal="center" vertical="center" wrapText="1"/>
    </xf>
    <xf numFmtId="0" fontId="34" fillId="6" borderId="3" xfId="0" applyFont="1" applyFill="1" applyBorder="1" applyAlignment="1">
      <alignment horizontal="left" vertical="center"/>
    </xf>
    <xf numFmtId="182" fontId="34" fillId="6" borderId="2" xfId="0" applyNumberFormat="1" applyFont="1" applyFill="1" applyBorder="1" applyAlignment="1">
      <alignment horizontal="center" vertical="center"/>
    </xf>
    <xf numFmtId="0" fontId="34" fillId="0" borderId="2" xfId="0" applyFont="1" applyFill="1" applyBorder="1" applyAlignment="1"/>
    <xf numFmtId="0" fontId="34" fillId="0" borderId="37" xfId="0" applyFont="1" applyFill="1" applyBorder="1" applyAlignment="1">
      <alignment horizontal="left" vertical="center"/>
    </xf>
    <xf numFmtId="0" fontId="34" fillId="0" borderId="8" xfId="0" applyFont="1" applyFill="1" applyBorder="1" applyAlignment="1">
      <alignment horizontal="left" vertical="center"/>
    </xf>
    <xf numFmtId="182" fontId="34" fillId="0" borderId="8" xfId="0" applyNumberFormat="1" applyFont="1" applyFill="1" applyBorder="1" applyAlignment="1">
      <alignment horizontal="center" vertical="center"/>
    </xf>
    <xf numFmtId="0" fontId="27" fillId="0" borderId="8" xfId="0" applyFont="1" applyFill="1" applyBorder="1" applyAlignment="1"/>
    <xf numFmtId="0" fontId="24" fillId="0" borderId="10" xfId="0" applyFont="1" applyFill="1" applyBorder="1" applyAlignment="1">
      <alignment horizontal="center" vertical="center"/>
    </xf>
    <xf numFmtId="0" fontId="24" fillId="19" borderId="15" xfId="0" applyFont="1" applyFill="1" applyBorder="1" applyAlignment="1">
      <alignment horizontal="center" vertical="center"/>
    </xf>
    <xf numFmtId="0" fontId="34" fillId="19" borderId="3" xfId="0" applyFont="1" applyFill="1" applyBorder="1" applyAlignment="1">
      <alignment horizontal="left" vertical="center"/>
    </xf>
    <xf numFmtId="0" fontId="34" fillId="19" borderId="2" xfId="0" applyFont="1" applyFill="1" applyBorder="1" applyAlignment="1">
      <alignment horizontal="left" vertical="center"/>
    </xf>
    <xf numFmtId="0" fontId="40" fillId="19" borderId="2" xfId="0" applyFont="1" applyFill="1" applyBorder="1" applyAlignment="1">
      <alignment horizontal="left" vertical="center"/>
    </xf>
    <xf numFmtId="182" fontId="34" fillId="19" borderId="2" xfId="0" applyNumberFormat="1" applyFont="1" applyFill="1" applyBorder="1" applyAlignment="1">
      <alignment horizontal="center" vertical="center"/>
    </xf>
    <xf numFmtId="0" fontId="27" fillId="19" borderId="2" xfId="0" applyFont="1" applyFill="1" applyBorder="1" applyAlignment="1"/>
    <xf numFmtId="0" fontId="113" fillId="19" borderId="0" xfId="0" applyFont="1" applyFill="1" applyAlignment="1">
      <alignment vertical="center"/>
    </xf>
    <xf numFmtId="0" fontId="34" fillId="6" borderId="2" xfId="0" applyFont="1" applyFill="1" applyBorder="1" applyAlignment="1">
      <alignment vertical="center"/>
    </xf>
    <xf numFmtId="0" fontId="24" fillId="17" borderId="0" xfId="0" applyFont="1" applyFill="1" applyAlignment="1">
      <alignment horizontal="center" vertical="center"/>
    </xf>
    <xf numFmtId="0" fontId="34" fillId="17" borderId="2" xfId="0" applyFont="1" applyFill="1" applyBorder="1" applyAlignment="1">
      <alignment vertical="center"/>
    </xf>
    <xf numFmtId="0" fontId="34" fillId="17" borderId="2" xfId="0" applyFont="1" applyFill="1" applyBorder="1" applyAlignment="1">
      <alignment horizontal="left" vertical="center"/>
    </xf>
    <xf numFmtId="182" fontId="34" fillId="17" borderId="2" xfId="0" applyNumberFormat="1" applyFont="1" applyFill="1" applyBorder="1" applyAlignment="1">
      <alignment horizontal="center" vertical="center"/>
    </xf>
    <xf numFmtId="0" fontId="113" fillId="17" borderId="0" xfId="0" applyFont="1" applyFill="1" applyAlignment="1">
      <alignment vertical="center"/>
    </xf>
    <xf numFmtId="0" fontId="34" fillId="6" borderId="2" xfId="0" applyFont="1" applyFill="1" applyBorder="1" applyAlignment="1">
      <alignment horizontal="left" vertical="center"/>
    </xf>
    <xf numFmtId="0" fontId="34" fillId="17" borderId="3" xfId="0" applyFont="1" applyFill="1" applyBorder="1" applyAlignment="1">
      <alignment horizontal="left" vertical="center"/>
    </xf>
    <xf numFmtId="0" fontId="34" fillId="0" borderId="9" xfId="0" applyFont="1" applyFill="1" applyBorder="1" applyAlignment="1">
      <alignment horizontal="left" vertical="center"/>
    </xf>
    <xf numFmtId="0" fontId="34" fillId="0" borderId="14" xfId="0" applyFont="1" applyFill="1" applyBorder="1" applyAlignment="1"/>
    <xf numFmtId="0" fontId="34" fillId="0" borderId="3" xfId="0" applyFont="1" applyFill="1" applyBorder="1" applyAlignment="1"/>
    <xf numFmtId="0" fontId="40" fillId="19" borderId="2" xfId="0" applyFont="1" applyFill="1" applyBorder="1" applyAlignment="1"/>
    <xf numFmtId="0" fontId="24" fillId="19" borderId="2" xfId="0" applyFont="1" applyFill="1" applyBorder="1" applyAlignment="1"/>
    <xf numFmtId="0" fontId="34" fillId="19" borderId="2" xfId="0" applyFont="1" applyFill="1" applyBorder="1" applyAlignment="1"/>
    <xf numFmtId="0" fontId="115" fillId="0" borderId="2" xfId="0" applyFont="1" applyFill="1" applyBorder="1">
      <alignment vertical="center"/>
    </xf>
    <xf numFmtId="0" fontId="34" fillId="0" borderId="2" xfId="0" applyFont="1" applyFill="1" applyBorder="1" applyAlignment="1">
      <alignment horizontal="left" vertical="center" wrapText="1"/>
    </xf>
    <xf numFmtId="0" fontId="34" fillId="0" borderId="11" xfId="0" applyFont="1" applyFill="1" applyBorder="1" applyAlignment="1">
      <alignment horizontal="left" vertical="center"/>
    </xf>
    <xf numFmtId="0" fontId="24" fillId="0" borderId="2" xfId="0" applyFont="1" applyBorder="1">
      <alignment vertical="center"/>
    </xf>
    <xf numFmtId="0" fontId="24" fillId="0" borderId="2" xfId="0" applyFont="1" applyFill="1" applyBorder="1">
      <alignment vertical="center"/>
    </xf>
    <xf numFmtId="0" fontId="24" fillId="0" borderId="3" xfId="0" applyFont="1" applyFill="1" applyBorder="1" applyAlignment="1"/>
    <xf numFmtId="0" fontId="34" fillId="0" borderId="37" xfId="0" applyFont="1" applyFill="1" applyBorder="1" applyAlignment="1"/>
    <xf numFmtId="0" fontId="34" fillId="6" borderId="14" xfId="0" applyFont="1" applyFill="1" applyBorder="1" applyAlignment="1">
      <alignment horizontal="left" vertical="center"/>
    </xf>
    <xf numFmtId="0" fontId="24" fillId="0" borderId="3" xfId="0" applyFont="1" applyFill="1" applyBorder="1" applyAlignment="1">
      <alignment horizontal="left"/>
    </xf>
    <xf numFmtId="0" fontId="24" fillId="0" borderId="2" xfId="0" applyFont="1" applyFill="1" applyBorder="1" applyAlignment="1">
      <alignment horizontal="left"/>
    </xf>
    <xf numFmtId="14" fontId="24" fillId="6" borderId="3" xfId="0" applyNumberFormat="1" applyFont="1" applyFill="1" applyBorder="1" applyAlignment="1">
      <alignment horizontal="left"/>
    </xf>
    <xf numFmtId="0" fontId="24" fillId="6" borderId="2" xfId="0" applyFont="1" applyFill="1" applyBorder="1" applyAlignment="1">
      <alignment horizontal="left"/>
    </xf>
    <xf numFmtId="0" fontId="8" fillId="0" borderId="15" xfId="0" applyFont="1" applyFill="1" applyBorder="1" applyAlignment="1">
      <alignment vertical="center"/>
    </xf>
    <xf numFmtId="0" fontId="34" fillId="6" borderId="2" xfId="0" applyFont="1" applyFill="1" applyBorder="1" applyAlignment="1">
      <alignment horizontal="center" vertical="center"/>
    </xf>
    <xf numFmtId="0" fontId="34" fillId="0" borderId="13" xfId="0" applyFont="1" applyFill="1" applyBorder="1" applyAlignment="1">
      <alignment horizontal="left" vertical="center"/>
    </xf>
    <xf numFmtId="0" fontId="34" fillId="0" borderId="15" xfId="0" applyFont="1" applyFill="1" applyBorder="1" applyAlignment="1">
      <alignment horizontal="left" vertical="center"/>
    </xf>
    <xf numFmtId="0" fontId="34" fillId="0" borderId="16" xfId="0" applyFont="1" applyFill="1" applyBorder="1" applyAlignment="1">
      <alignment horizontal="left" vertical="center"/>
    </xf>
    <xf numFmtId="0" fontId="34" fillId="0" borderId="3" xfId="0" applyFont="1" applyFill="1" applyBorder="1" applyAlignment="1">
      <alignment horizontal="center" vertical="center"/>
    </xf>
    <xf numFmtId="0" fontId="115" fillId="0" borderId="2" xfId="0" applyNumberFormat="1" applyFont="1" applyFill="1" applyBorder="1" applyAlignment="1">
      <alignment vertical="center"/>
    </xf>
    <xf numFmtId="0" fontId="34" fillId="0" borderId="15" xfId="49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vertical="center"/>
    </xf>
    <xf numFmtId="0" fontId="34" fillId="0" borderId="13" xfId="0" applyFont="1" applyFill="1" applyBorder="1" applyAlignment="1">
      <alignment horizontal="left" vertical="center" wrapText="1"/>
    </xf>
    <xf numFmtId="0" fontId="8" fillId="19" borderId="15" xfId="0" applyFont="1" applyFill="1" applyBorder="1" applyAlignment="1">
      <alignment vertical="center"/>
    </xf>
    <xf numFmtId="0" fontId="34" fillId="19" borderId="13" xfId="0" applyFont="1" applyFill="1" applyBorder="1" applyAlignment="1">
      <alignment horizontal="left" vertical="center" wrapText="1"/>
    </xf>
    <xf numFmtId="0" fontId="34" fillId="19" borderId="2" xfId="0" applyFont="1" applyFill="1" applyBorder="1" applyAlignment="1">
      <alignment vertical="center"/>
    </xf>
    <xf numFmtId="181" fontId="34" fillId="19" borderId="2" xfId="0" applyNumberFormat="1" applyFont="1" applyFill="1" applyBorder="1" applyAlignment="1">
      <alignment horizontal="center" vertical="center"/>
    </xf>
    <xf numFmtId="0" fontId="34" fillId="19" borderId="2" xfId="0" applyFont="1" applyFill="1" applyBorder="1" applyAlignment="1">
      <alignment horizontal="left" vertical="center" wrapText="1"/>
    </xf>
    <xf numFmtId="0" fontId="34" fillId="0" borderId="37" xfId="0" applyFont="1" applyFill="1" applyBorder="1" applyAlignment="1">
      <alignment horizontal="left" vertical="center" wrapText="1"/>
    </xf>
    <xf numFmtId="0" fontId="34" fillId="0" borderId="8" xfId="0" applyFont="1" applyFill="1" applyBorder="1" applyAlignment="1">
      <alignment horizontal="center" vertical="center"/>
    </xf>
    <xf numFmtId="0" fontId="34" fillId="0" borderId="8" xfId="0" applyFont="1" applyFill="1" applyBorder="1" applyAlignment="1">
      <alignment horizontal="left" vertical="center" wrapText="1"/>
    </xf>
    <xf numFmtId="0" fontId="34" fillId="0" borderId="8" xfId="0" applyFont="1" applyFill="1" applyBorder="1" applyAlignment="1">
      <alignment vertical="center"/>
    </xf>
    <xf numFmtId="181" fontId="34" fillId="0" borderId="8" xfId="0" applyNumberFormat="1" applyFont="1" applyFill="1" applyBorder="1" applyAlignment="1">
      <alignment horizontal="center" vertical="center"/>
    </xf>
    <xf numFmtId="0" fontId="34" fillId="0" borderId="14" xfId="0" applyFont="1" applyFill="1" applyBorder="1" applyAlignment="1">
      <alignment horizontal="left" vertical="center" wrapText="1"/>
    </xf>
    <xf numFmtId="0" fontId="34" fillId="0" borderId="9" xfId="0" applyFont="1" applyFill="1" applyBorder="1" applyAlignment="1">
      <alignment horizontal="left" vertical="center" wrapText="1"/>
    </xf>
    <xf numFmtId="0" fontId="34" fillId="0" borderId="9" xfId="0" applyFont="1" applyFill="1" applyBorder="1" applyAlignment="1">
      <alignment vertical="center"/>
    </xf>
    <xf numFmtId="181" fontId="34" fillId="0" borderId="9" xfId="0" applyNumberFormat="1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left"/>
    </xf>
    <xf numFmtId="181" fontId="34" fillId="0" borderId="2" xfId="0" applyNumberFormat="1" applyFont="1" applyFill="1" applyBorder="1" applyAlignment="1">
      <alignment horizontal="center"/>
    </xf>
    <xf numFmtId="0" fontId="34" fillId="0" borderId="13" xfId="49" applyFont="1" applyFill="1" applyBorder="1" applyAlignment="1">
      <alignment horizontal="left" vertical="center" wrapText="1"/>
    </xf>
    <xf numFmtId="0" fontId="34" fillId="0" borderId="9" xfId="49" applyFont="1" applyFill="1" applyBorder="1" applyAlignment="1">
      <alignment horizontal="left" vertical="center" wrapText="1"/>
    </xf>
    <xf numFmtId="0" fontId="8" fillId="0" borderId="16" xfId="0" applyFont="1" applyFill="1" applyBorder="1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0" fontId="34" fillId="0" borderId="43" xfId="0" applyFont="1" applyFill="1" applyBorder="1" applyAlignment="1">
      <alignment horizontal="left" vertical="center"/>
    </xf>
    <xf numFmtId="0" fontId="8" fillId="16" borderId="2" xfId="0" applyFont="1" applyFill="1" applyBorder="1" applyAlignment="1">
      <alignment horizontal="center" vertical="center"/>
    </xf>
    <xf numFmtId="0" fontId="34" fillId="16" borderId="2" xfId="0" applyFont="1" applyFill="1" applyBorder="1" applyAlignment="1">
      <alignment horizontal="left" vertical="center"/>
    </xf>
    <xf numFmtId="0" fontId="34" fillId="16" borderId="2" xfId="0" applyFont="1" applyFill="1" applyBorder="1" applyAlignment="1">
      <alignment vertical="center"/>
    </xf>
    <xf numFmtId="182" fontId="34" fillId="16" borderId="2" xfId="0" applyNumberFormat="1" applyFont="1" applyFill="1" applyBorder="1" applyAlignment="1">
      <alignment horizontal="center" vertical="center"/>
    </xf>
    <xf numFmtId="181" fontId="34" fillId="16" borderId="2" xfId="0" applyNumberFormat="1" applyFont="1" applyFill="1" applyBorder="1" applyAlignment="1">
      <alignment horizontal="center" vertical="center"/>
    </xf>
    <xf numFmtId="181" fontId="34" fillId="0" borderId="13" xfId="0" applyNumberFormat="1" applyFont="1" applyFill="1" applyBorder="1" applyAlignment="1">
      <alignment horizontal="center" vertical="center"/>
    </xf>
    <xf numFmtId="0" fontId="24" fillId="3" borderId="9" xfId="0" applyFont="1" applyFill="1" applyBorder="1" applyAlignment="1"/>
    <xf numFmtId="0" fontId="113" fillId="0" borderId="2" xfId="0" applyFont="1" applyFill="1" applyBorder="1" applyAlignment="1"/>
    <xf numFmtId="181" fontId="113" fillId="0" borderId="2" xfId="0" applyNumberFormat="1" applyFont="1" applyFill="1" applyBorder="1" applyAlignment="1">
      <alignment horizontal="center" vertical="center"/>
    </xf>
    <xf numFmtId="0" fontId="116" fillId="0" borderId="2" xfId="0" applyFont="1" applyFill="1" applyBorder="1" applyAlignment="1">
      <alignment vertical="center"/>
    </xf>
    <xf numFmtId="0" fontId="24" fillId="6" borderId="2" xfId="0" applyFont="1" applyFill="1" applyBorder="1" applyAlignment="1"/>
    <xf numFmtId="0" fontId="117" fillId="6" borderId="0" xfId="0" applyNumberFormat="1" applyFont="1" applyFill="1" applyAlignment="1" applyProtection="1">
      <alignment vertical="center"/>
    </xf>
    <xf numFmtId="181" fontId="34" fillId="6" borderId="2" xfId="0" applyNumberFormat="1" applyFont="1" applyFill="1" applyBorder="1" applyAlignment="1">
      <alignment horizontal="center" vertical="center"/>
    </xf>
    <xf numFmtId="0" fontId="24" fillId="3" borderId="8" xfId="0" applyFont="1" applyFill="1" applyBorder="1" applyAlignment="1"/>
    <xf numFmtId="0" fontId="113" fillId="0" borderId="2" xfId="0" applyFont="1" applyFill="1" applyBorder="1" applyAlignment="1">
      <alignment horizontal="left"/>
    </xf>
    <xf numFmtId="0" fontId="118" fillId="0" borderId="2" xfId="0" applyFont="1" applyFill="1" applyBorder="1" applyAlignment="1">
      <alignment horizontal="left"/>
    </xf>
    <xf numFmtId="0" fontId="118" fillId="0" borderId="2" xfId="0" applyFont="1" applyFill="1" applyBorder="1" applyAlignment="1"/>
    <xf numFmtId="182" fontId="113" fillId="0" borderId="2" xfId="0" applyNumberFormat="1" applyFont="1" applyFill="1" applyBorder="1" applyAlignment="1">
      <alignment horizontal="center" vertical="center"/>
    </xf>
    <xf numFmtId="0" fontId="24" fillId="16" borderId="8" xfId="0" applyFont="1" applyFill="1" applyBorder="1" applyAlignment="1"/>
    <xf numFmtId="0" fontId="1" fillId="16" borderId="8" xfId="0" applyFont="1" applyFill="1" applyBorder="1" applyAlignment="1">
      <alignment horizontal="left" vertical="center"/>
    </xf>
    <xf numFmtId="0" fontId="24" fillId="16" borderId="0" xfId="0" applyFont="1" applyFill="1" applyAlignment="1">
      <alignment horizontal="left"/>
    </xf>
    <xf numFmtId="0" fontId="1" fillId="16" borderId="8" xfId="0" applyFont="1" applyFill="1" applyBorder="1" applyAlignment="1">
      <alignment vertical="center"/>
    </xf>
    <xf numFmtId="182" fontId="1" fillId="16" borderId="8" xfId="0" applyNumberFormat="1" applyFont="1" applyFill="1" applyBorder="1" applyAlignment="1">
      <alignment horizontal="center" vertical="center"/>
    </xf>
    <xf numFmtId="181" fontId="1" fillId="16" borderId="8" xfId="0" applyNumberFormat="1" applyFont="1" applyFill="1" applyBorder="1" applyAlignment="1">
      <alignment horizontal="center" vertical="center"/>
    </xf>
    <xf numFmtId="0" fontId="1" fillId="22" borderId="2" xfId="0" applyFont="1" applyFill="1" applyBorder="1" applyAlignment="1">
      <alignment vertical="center"/>
    </xf>
    <xf numFmtId="0" fontId="113" fillId="0" borderId="0" xfId="0" applyFont="1" applyFill="1" applyAlignment="1">
      <alignment horizontal="center" vertical="center"/>
    </xf>
    <xf numFmtId="0" fontId="113" fillId="0" borderId="2" xfId="0" applyFont="1" applyFill="1" applyBorder="1" applyAlignment="1">
      <alignment vertical="center"/>
    </xf>
    <xf numFmtId="0" fontId="113" fillId="0" borderId="3" xfId="0" applyFont="1" applyFill="1" applyBorder="1" applyAlignment="1">
      <alignment horizontal="left" vertical="center"/>
    </xf>
    <xf numFmtId="0" fontId="113" fillId="0" borderId="2" xfId="0" applyFont="1" applyFill="1" applyBorder="1" applyAlignment="1">
      <alignment horizontal="left" vertical="center"/>
    </xf>
    <xf numFmtId="0" fontId="30" fillId="0" borderId="3" xfId="0" applyFont="1" applyFill="1" applyBorder="1" applyAlignment="1">
      <alignment horizontal="left" vertical="center"/>
    </xf>
    <xf numFmtId="0" fontId="113" fillId="0" borderId="15" xfId="0" applyFont="1" applyFill="1" applyBorder="1" applyAlignment="1">
      <alignment horizontal="center" vertical="center"/>
    </xf>
    <xf numFmtId="0" fontId="113" fillId="0" borderId="2" xfId="0" applyFont="1" applyFill="1" applyBorder="1" applyAlignment="1">
      <alignment vertical="center" wrapText="1"/>
    </xf>
    <xf numFmtId="0" fontId="113" fillId="0" borderId="14" xfId="0" applyFont="1" applyFill="1" applyBorder="1" applyAlignment="1">
      <alignment vertical="center"/>
    </xf>
    <xf numFmtId="0" fontId="119" fillId="0" borderId="2" xfId="0" applyFont="1" applyFill="1" applyBorder="1" applyAlignment="1">
      <alignment horizontal="left" vertical="center"/>
    </xf>
    <xf numFmtId="0" fontId="120" fillId="3" borderId="2" xfId="0" applyFont="1" applyFill="1" applyBorder="1" applyAlignment="1"/>
    <xf numFmtId="182" fontId="1" fillId="3" borderId="8" xfId="0" applyNumberFormat="1" applyFont="1" applyFill="1" applyBorder="1" applyAlignment="1">
      <alignment horizontal="center" vertical="center"/>
    </xf>
    <xf numFmtId="0" fontId="120" fillId="3" borderId="8" xfId="0" applyFont="1" applyFill="1" applyBorder="1" applyAlignment="1"/>
    <xf numFmtId="0" fontId="50" fillId="0" borderId="2" xfId="0" applyNumberFormat="1" applyFont="1" applyBorder="1" applyAlignment="1">
      <alignment vertical="center"/>
    </xf>
    <xf numFmtId="182" fontId="34" fillId="3" borderId="2" xfId="0" applyNumberFormat="1" applyFont="1" applyFill="1" applyBorder="1" applyAlignment="1">
      <alignment horizontal="center" vertical="center"/>
    </xf>
    <xf numFmtId="181" fontId="34" fillId="0" borderId="2" xfId="0" applyNumberFormat="1" applyFont="1" applyFill="1" applyBorder="1" applyAlignment="1">
      <alignment horizontal="left" vertical="center"/>
    </xf>
    <xf numFmtId="0" fontId="40" fillId="3" borderId="9" xfId="0" applyFont="1" applyFill="1" applyBorder="1" applyAlignment="1"/>
    <xf numFmtId="0" fontId="40" fillId="0" borderId="2" xfId="0" applyFont="1" applyFill="1" applyBorder="1" applyAlignment="1">
      <alignment horizontal="left"/>
    </xf>
    <xf numFmtId="0" fontId="40" fillId="3" borderId="2" xfId="0" applyFont="1" applyFill="1" applyBorder="1" applyAlignment="1"/>
    <xf numFmtId="0" fontId="121" fillId="3" borderId="2" xfId="0" applyFont="1" applyFill="1" applyBorder="1" applyAlignment="1"/>
    <xf numFmtId="0" fontId="40" fillId="4" borderId="8" xfId="0" applyFont="1" applyFill="1" applyBorder="1" applyAlignment="1"/>
    <xf numFmtId="181" fontId="34" fillId="3" borderId="2" xfId="0" applyNumberFormat="1" applyFont="1" applyFill="1" applyBorder="1" applyAlignment="1">
      <alignment horizontal="center" vertical="center"/>
    </xf>
    <xf numFmtId="0" fontId="113" fillId="3" borderId="15" xfId="0" applyFont="1" applyFill="1" applyBorder="1" applyAlignment="1">
      <alignment horizontal="center" vertical="center"/>
    </xf>
    <xf numFmtId="0" fontId="113" fillId="3" borderId="2" xfId="0" applyFont="1" applyFill="1" applyBorder="1" applyAlignment="1">
      <alignment vertical="center"/>
    </xf>
    <xf numFmtId="181" fontId="113" fillId="3" borderId="2" xfId="0" applyNumberFormat="1" applyFont="1" applyFill="1" applyBorder="1" applyAlignment="1">
      <alignment horizontal="center" vertical="center"/>
    </xf>
    <xf numFmtId="182" fontId="113" fillId="3" borderId="2" xfId="0" applyNumberFormat="1" applyFont="1" applyFill="1" applyBorder="1" applyAlignment="1">
      <alignment horizontal="center" vertical="center"/>
    </xf>
    <xf numFmtId="0" fontId="113" fillId="3" borderId="2" xfId="0" applyFont="1" applyFill="1" applyBorder="1" applyAlignment="1">
      <alignment vertical="center" wrapText="1"/>
    </xf>
    <xf numFmtId="0" fontId="113" fillId="3" borderId="0" xfId="0" applyFont="1" applyFill="1" applyAlignment="1">
      <alignment vertical="center"/>
    </xf>
    <xf numFmtId="0" fontId="24" fillId="10" borderId="15" xfId="0" applyFont="1" applyFill="1" applyBorder="1" applyAlignment="1">
      <alignment horizontal="center" vertical="center"/>
    </xf>
    <xf numFmtId="0" fontId="34" fillId="10" borderId="2" xfId="0" applyFont="1" applyFill="1" applyBorder="1" applyAlignment="1">
      <alignment vertical="center"/>
    </xf>
    <xf numFmtId="0" fontId="34" fillId="10" borderId="3" xfId="0" applyFont="1" applyFill="1" applyBorder="1" applyAlignment="1">
      <alignment horizontal="left" vertical="center"/>
    </xf>
    <xf numFmtId="0" fontId="34" fillId="10" borderId="2" xfId="0" applyFont="1" applyFill="1" applyBorder="1" applyAlignment="1">
      <alignment horizontal="left" vertical="center"/>
    </xf>
    <xf numFmtId="181" fontId="34" fillId="10" borderId="2" xfId="0" applyNumberFormat="1" applyFont="1" applyFill="1" applyBorder="1" applyAlignment="1">
      <alignment horizontal="center" vertical="center"/>
    </xf>
    <xf numFmtId="182" fontId="34" fillId="10" borderId="2" xfId="0" applyNumberFormat="1" applyFont="1" applyFill="1" applyBorder="1" applyAlignment="1">
      <alignment horizontal="center" vertical="center"/>
    </xf>
    <xf numFmtId="0" fontId="121" fillId="10" borderId="3" xfId="0" applyFont="1" applyFill="1" applyBorder="1" applyAlignment="1">
      <alignment horizontal="left" vertical="center"/>
    </xf>
    <xf numFmtId="0" fontId="113" fillId="10" borderId="0" xfId="0" applyFont="1" applyFill="1" applyAlignment="1">
      <alignment vertical="center"/>
    </xf>
    <xf numFmtId="14" fontId="24" fillId="6" borderId="2" xfId="0" applyNumberFormat="1" applyFont="1" applyFill="1" applyBorder="1" applyAlignment="1">
      <alignment horizontal="left"/>
    </xf>
    <xf numFmtId="0" fontId="48" fillId="6" borderId="2" xfId="0" applyFont="1" applyFill="1" applyBorder="1">
      <alignment vertical="center"/>
    </xf>
    <xf numFmtId="182" fontId="34" fillId="6" borderId="2" xfId="0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0" fontId="24" fillId="0" borderId="0" xfId="0" applyFont="1" applyFill="1" applyBorder="1" applyAlignment="1"/>
    <xf numFmtId="0" fontId="24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left"/>
    </xf>
    <xf numFmtId="181" fontId="34" fillId="0" borderId="0" xfId="0" applyNumberFormat="1" applyFont="1" applyFill="1" applyBorder="1" applyAlignment="1">
      <alignment horizontal="center" vertical="center"/>
    </xf>
    <xf numFmtId="182" fontId="34" fillId="0" borderId="0" xfId="0" applyNumberFormat="1" applyFont="1" applyFill="1" applyBorder="1" applyAlignment="1">
      <alignment horizontal="center" vertical="center"/>
    </xf>
    <xf numFmtId="182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>
      <alignment vertical="center"/>
    </xf>
    <xf numFmtId="180" fontId="10" fillId="0" borderId="11" xfId="0" applyNumberFormat="1" applyFont="1" applyFill="1" applyBorder="1" applyAlignment="1">
      <alignment vertical="center"/>
    </xf>
    <xf numFmtId="180" fontId="10" fillId="0" borderId="11" xfId="0" applyNumberFormat="1" applyFont="1" applyFill="1" applyBorder="1" applyAlignment="1">
      <alignment horizontal="left" vertical="center"/>
    </xf>
    <xf numFmtId="180" fontId="10" fillId="0" borderId="2" xfId="0" applyNumberFormat="1" applyFont="1" applyFill="1" applyBorder="1" applyAlignment="1">
      <alignment vertical="center"/>
    </xf>
    <xf numFmtId="182" fontId="2" fillId="0" borderId="2" xfId="0" applyNumberFormat="1" applyFont="1" applyFill="1" applyBorder="1" applyAlignment="1">
      <alignment horizontal="center" vertical="center"/>
    </xf>
    <xf numFmtId="182" fontId="8" fillId="0" borderId="2" xfId="0" applyNumberFormat="1" applyFont="1" applyFill="1" applyBorder="1" applyAlignment="1">
      <alignment horizontal="center" vertical="center"/>
    </xf>
    <xf numFmtId="0" fontId="122" fillId="4" borderId="2" xfId="49" applyFont="1" applyFill="1" applyBorder="1" applyAlignment="1">
      <alignment horizontal="center" vertical="center" wrapText="1"/>
    </xf>
    <xf numFmtId="14" fontId="34" fillId="0" borderId="2" xfId="0" applyNumberFormat="1" applyFont="1" applyFill="1" applyBorder="1" applyAlignment="1">
      <alignment horizontal="left" vertical="center"/>
    </xf>
    <xf numFmtId="0" fontId="40" fillId="0" borderId="2" xfId="0" applyFont="1" applyFill="1" applyBorder="1" applyAlignment="1">
      <alignment horizontal="center" vertical="center"/>
    </xf>
    <xf numFmtId="14" fontId="40" fillId="0" borderId="2" xfId="0" applyNumberFormat="1" applyFont="1" applyFill="1" applyBorder="1" applyAlignment="1">
      <alignment horizontal="left" vertical="center"/>
    </xf>
    <xf numFmtId="0" fontId="40" fillId="0" borderId="2" xfId="0" applyFont="1" applyFill="1" applyBorder="1" applyAlignment="1">
      <alignment horizontal="left" vertical="center"/>
    </xf>
    <xf numFmtId="0" fontId="40" fillId="0" borderId="2" xfId="0" applyFont="1" applyFill="1" applyBorder="1" applyAlignment="1">
      <alignment vertical="center"/>
    </xf>
    <xf numFmtId="181" fontId="40" fillId="0" borderId="2" xfId="0" applyNumberFormat="1" applyFont="1" applyFill="1" applyBorder="1" applyAlignment="1">
      <alignment horizontal="center" vertical="center"/>
    </xf>
    <xf numFmtId="182" fontId="40" fillId="0" borderId="2" xfId="0" applyNumberFormat="1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34" fillId="0" borderId="2" xfId="49" applyFont="1" applyFill="1" applyBorder="1" applyAlignment="1">
      <alignment horizontal="center" vertical="center" wrapText="1"/>
    </xf>
    <xf numFmtId="14" fontId="34" fillId="6" borderId="2" xfId="0" applyNumberFormat="1" applyFont="1" applyFill="1" applyBorder="1" applyAlignment="1">
      <alignment horizontal="left" vertical="center"/>
    </xf>
    <xf numFmtId="0" fontId="34" fillId="6" borderId="2" xfId="0" applyNumberFormat="1" applyFont="1" applyFill="1" applyBorder="1" applyAlignment="1">
      <alignment horizontal="left" vertical="center"/>
    </xf>
    <xf numFmtId="0" fontId="34" fillId="6" borderId="2" xfId="0" applyFont="1" applyFill="1" applyBorder="1" applyAlignment="1"/>
    <xf numFmtId="0" fontId="123" fillId="0" borderId="2" xfId="0" applyFont="1" applyFill="1" applyBorder="1" applyAlignment="1">
      <alignment horizontal="center" vertical="center"/>
    </xf>
    <xf numFmtId="0" fontId="123" fillId="0" borderId="2" xfId="0" applyFont="1" applyFill="1" applyBorder="1" applyAlignment="1">
      <alignment horizontal="left" vertical="center"/>
    </xf>
    <xf numFmtId="181" fontId="123" fillId="0" borderId="2" xfId="0" applyNumberFormat="1" applyFont="1" applyFill="1" applyBorder="1" applyAlignment="1">
      <alignment horizontal="center" vertical="center"/>
    </xf>
    <xf numFmtId="182" fontId="123" fillId="0" borderId="2" xfId="0" applyNumberFormat="1" applyFont="1" applyFill="1" applyBorder="1" applyAlignment="1">
      <alignment horizontal="center" vertical="center"/>
    </xf>
    <xf numFmtId="0" fontId="34" fillId="0" borderId="2" xfId="0" applyNumberFormat="1" applyFont="1" applyFill="1" applyBorder="1" applyAlignment="1">
      <alignment horizontal="left" vertical="center"/>
    </xf>
    <xf numFmtId="0" fontId="56" fillId="0" borderId="2" xfId="0" applyFont="1" applyFill="1" applyBorder="1" applyAlignment="1">
      <alignment horizontal="left" vertical="center"/>
    </xf>
    <xf numFmtId="0" fontId="40" fillId="0" borderId="2" xfId="0" applyFont="1" applyFill="1" applyBorder="1" applyAlignment="1"/>
    <xf numFmtId="0" fontId="24" fillId="0" borderId="2" xfId="0" applyNumberFormat="1" applyFont="1" applyFill="1" applyBorder="1" applyAlignment="1">
      <alignment horizontal="left"/>
    </xf>
    <xf numFmtId="182" fontId="40" fillId="0" borderId="2" xfId="0" applyNumberFormat="1" applyFont="1" applyFill="1" applyBorder="1" applyAlignment="1">
      <alignment horizontal="center"/>
    </xf>
    <xf numFmtId="0" fontId="40" fillId="0" borderId="0" xfId="0" applyFont="1" applyFill="1" applyBorder="1" applyAlignment="1"/>
    <xf numFmtId="182" fontId="124" fillId="0" borderId="2" xfId="0" applyNumberFormat="1" applyFont="1" applyFill="1" applyBorder="1" applyAlignment="1">
      <alignment horizontal="center" vertical="center"/>
    </xf>
    <xf numFmtId="0" fontId="34" fillId="0" borderId="2" xfId="0" applyNumberFormat="1" applyFont="1" applyFill="1" applyBorder="1" applyAlignment="1">
      <alignment horizontal="center" vertical="center"/>
    </xf>
    <xf numFmtId="14" fontId="24" fillId="0" borderId="2" xfId="0" applyNumberFormat="1" applyFont="1" applyFill="1" applyBorder="1" applyAlignment="1">
      <alignment horizontal="left"/>
    </xf>
    <xf numFmtId="14" fontId="40" fillId="0" borderId="2" xfId="49" applyNumberFormat="1" applyFont="1" applyFill="1" applyBorder="1" applyAlignment="1">
      <alignment horizontal="left" vertical="center" wrapText="1"/>
    </xf>
    <xf numFmtId="0" fontId="40" fillId="0" borderId="2" xfId="0" applyNumberFormat="1" applyFont="1" applyFill="1" applyBorder="1" applyAlignment="1">
      <alignment vertical="center"/>
    </xf>
    <xf numFmtId="0" fontId="40" fillId="0" borderId="2" xfId="49" applyFont="1" applyFill="1" applyBorder="1" applyAlignment="1">
      <alignment horizontal="left" vertical="center" wrapText="1"/>
    </xf>
    <xf numFmtId="14" fontId="34" fillId="0" borderId="2" xfId="0" applyNumberFormat="1" applyFont="1" applyFill="1" applyBorder="1" applyAlignment="1">
      <alignment horizontal="left" vertical="center" wrapText="1"/>
    </xf>
    <xf numFmtId="14" fontId="34" fillId="0" borderId="2" xfId="49" applyNumberFormat="1" applyFont="1" applyFill="1" applyBorder="1" applyAlignment="1">
      <alignment horizontal="left" vertical="center" wrapText="1"/>
    </xf>
    <xf numFmtId="0" fontId="24" fillId="0" borderId="2" xfId="0" applyFont="1" applyFill="1" applyBorder="1" applyAlignment="1">
      <alignment horizontal="center"/>
    </xf>
    <xf numFmtId="0" fontId="40" fillId="0" borderId="2" xfId="0" applyFont="1" applyFill="1" applyBorder="1" applyAlignment="1">
      <alignment horizontal="center"/>
    </xf>
    <xf numFmtId="14" fontId="12" fillId="0" borderId="2" xfId="0" applyNumberFormat="1" applyFont="1" applyFill="1" applyBorder="1" applyAlignment="1">
      <alignment horizontal="left" vertical="center"/>
    </xf>
    <xf numFmtId="0" fontId="12" fillId="0" borderId="2" xfId="0" applyNumberFormat="1" applyFont="1" applyFill="1" applyBorder="1" applyAlignment="1">
      <alignment horizontal="left" vertical="center"/>
    </xf>
    <xf numFmtId="0" fontId="117" fillId="0" borderId="2" xfId="0" applyNumberFormat="1" applyFont="1" applyFill="1" applyBorder="1" applyAlignment="1" applyProtection="1">
      <alignment vertical="center"/>
    </xf>
    <xf numFmtId="0" fontId="120" fillId="0" borderId="2" xfId="0" applyFont="1" applyFill="1" applyBorder="1" applyAlignment="1"/>
    <xf numFmtId="0" fontId="125" fillId="0" borderId="2" xfId="0" applyFont="1" applyFill="1" applyBorder="1" applyAlignment="1">
      <alignment horizontal="left" vertical="center"/>
    </xf>
    <xf numFmtId="14" fontId="40" fillId="0" borderId="2" xfId="0" applyNumberFormat="1" applyFont="1" applyFill="1" applyBorder="1" applyAlignment="1">
      <alignment horizontal="left"/>
    </xf>
    <xf numFmtId="0" fontId="121" fillId="0" borderId="2" xfId="0" applyFont="1" applyFill="1" applyBorder="1" applyAlignment="1"/>
    <xf numFmtId="0" fontId="40" fillId="6" borderId="2" xfId="0" applyFont="1" applyFill="1" applyBorder="1" applyAlignment="1"/>
    <xf numFmtId="0" fontId="121" fillId="0" borderId="2" xfId="0" applyFont="1" applyFill="1" applyBorder="1" applyAlignment="1">
      <alignment horizontal="left" vertical="center"/>
    </xf>
    <xf numFmtId="14" fontId="120" fillId="0" borderId="2" xfId="0" applyNumberFormat="1" applyFont="1" applyFill="1" applyBorder="1" applyAlignment="1">
      <alignment horizontal="left"/>
    </xf>
    <xf numFmtId="0" fontId="24" fillId="6" borderId="2" xfId="0" applyFont="1" applyFill="1" applyBorder="1" applyAlignment="1">
      <alignment horizontal="center"/>
    </xf>
    <xf numFmtId="0" fontId="120" fillId="6" borderId="2" xfId="0" applyFont="1" applyFill="1" applyBorder="1" applyAlignment="1"/>
    <xf numFmtId="14" fontId="34" fillId="0" borderId="2" xfId="0" applyNumberFormat="1" applyFont="1" applyFill="1" applyBorder="1" applyAlignment="1">
      <alignment horizontal="left"/>
    </xf>
    <xf numFmtId="182" fontId="40" fillId="0" borderId="2" xfId="0" applyNumberFormat="1" applyFont="1" applyFill="1" applyBorder="1" applyAlignment="1">
      <alignment horizontal="left" vertical="center" wrapText="1"/>
    </xf>
    <xf numFmtId="182" fontId="36" fillId="0" borderId="2" xfId="0" applyNumberFormat="1" applyFont="1" applyFill="1" applyBorder="1" applyAlignment="1">
      <alignment horizontal="left" vertical="center"/>
    </xf>
    <xf numFmtId="188" fontId="34" fillId="0" borderId="2" xfId="0" applyNumberFormat="1" applyFont="1" applyFill="1" applyBorder="1" applyAlignment="1">
      <alignment horizontal="center" vertical="center"/>
    </xf>
    <xf numFmtId="182" fontId="24" fillId="0" borderId="2" xfId="0" applyNumberFormat="1" applyFont="1" applyFill="1" applyBorder="1" applyAlignment="1">
      <alignment horizontal="center" vertical="center"/>
    </xf>
    <xf numFmtId="182" fontId="24" fillId="6" borderId="2" xfId="0" applyNumberFormat="1" applyFont="1" applyFill="1" applyBorder="1" applyAlignment="1">
      <alignment horizontal="center" vertical="center"/>
    </xf>
    <xf numFmtId="14" fontId="50" fillId="0" borderId="2" xfId="0" applyNumberFormat="1" applyFont="1" applyFill="1" applyBorder="1" applyAlignment="1">
      <alignment vertical="center"/>
    </xf>
    <xf numFmtId="14" fontId="24" fillId="0" borderId="0" xfId="0" applyNumberFormat="1" applyFont="1" applyFill="1" applyBorder="1" applyAlignment="1">
      <alignment horizontal="left"/>
    </xf>
    <xf numFmtId="14" fontId="24" fillId="0" borderId="8" xfId="0" applyNumberFormat="1" applyFont="1" applyFill="1" applyBorder="1" applyAlignment="1">
      <alignment horizontal="center"/>
    </xf>
    <xf numFmtId="0" fontId="24" fillId="0" borderId="8" xfId="0" applyFont="1" applyFill="1" applyBorder="1" applyAlignment="1"/>
    <xf numFmtId="182" fontId="24" fillId="0" borderId="8" xfId="0" applyNumberFormat="1" applyFont="1" applyFill="1" applyBorder="1" applyAlignment="1">
      <alignment horizontal="center" vertical="center"/>
    </xf>
    <xf numFmtId="0" fontId="40" fillId="6" borderId="0" xfId="0" applyFont="1" applyFill="1" applyBorder="1" applyAlignment="1">
      <alignment horizontal="center"/>
    </xf>
    <xf numFmtId="0" fontId="40" fillId="6" borderId="0" xfId="0" applyFont="1" applyFill="1" applyBorder="1" applyAlignment="1"/>
    <xf numFmtId="181" fontId="40" fillId="6" borderId="0" xfId="0" applyNumberFormat="1" applyFont="1" applyFill="1" applyBorder="1" applyAlignment="1">
      <alignment horizontal="center" vertical="center"/>
    </xf>
    <xf numFmtId="182" fontId="40" fillId="6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 quotePrefix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 2" xfId="49"/>
    <cellStyle name="常规 2" xfId="50"/>
    <cellStyle name="常规 10" xfId="51"/>
    <cellStyle name="常规_Sheet1_1 2" xfId="52"/>
    <cellStyle name="常规 23" xfId="53"/>
    <cellStyle name="常规_Sheet1 2" xfId="54"/>
    <cellStyle name="Normal" xfId="55"/>
    <cellStyle name="常规_Sheet1 3 2" xfId="56"/>
    <cellStyle name="常规_Sheet1 3 2 2 3" xfId="57"/>
    <cellStyle name="常规_F32M sourcing plan D 080404" xfId="58"/>
    <cellStyle name="常规_Sheet1_1 2 2" xfId="59"/>
    <cellStyle name="常规 2 11" xfId="60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C00000"/>
      <color rgb="004472C4"/>
      <color rgb="00003366"/>
      <color rgb="00000000"/>
      <color rgb="00FF0000"/>
      <color rgb="00F9FBFA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eetMetadata" Target="metadata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externalLink" Target="externalLinks/externalLink3.xml"/><Relationship Id="rId30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1074420</xdr:colOff>
      <xdr:row>730</xdr:row>
      <xdr:rowOff>103505</xdr:rowOff>
    </xdr:from>
    <xdr:to>
      <xdr:col>11</xdr:col>
      <xdr:colOff>163830</xdr:colOff>
      <xdr:row>735</xdr:row>
      <xdr:rowOff>14605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4420" y="137080625"/>
          <a:ext cx="12508230" cy="749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IP3\&#32467;&#26500;BOM&#33258;&#21160;&#21270;&#29983;&#25104;\&#24050;&#20462;&#24489;&#30340;&#22806;&#37096;&#36899;&#32080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wt\AppData\Roaming\Foxmail7\Temp-11844-20251124093650\Attach\PCB&#26495;&#28165;&#21333;&#20215;&#26684;&#3492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145;&#22323;&#30005;&#23376;\&#20851;&#38190;&#29289;&#26009;&#25104;&#26412;\PCB&#26495;&#20215;&#26684;&#28165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.O.M."/>
      <sheetName val="Data lists"/>
      <sheetName val="Menu Items"/>
      <sheetName val="FA-LISTING"/>
      <sheetName val="B7Tox"/>
      <sheetName val="Bluford3 MB BOM-Intel LAN"/>
      <sheetName val="Issues List"/>
      <sheetName val="OP"/>
      <sheetName val="zasset"/>
      <sheetName val="costedBOM"/>
      <sheetName val="Receiving Inspection"/>
      <sheetName val="infohp0710"/>
      <sheetName val="Cover"/>
      <sheetName val="FA_LISTING"/>
      <sheetName val="ISRDATA"/>
      <sheetName val="General Instructions"/>
      <sheetName val="Cost Breakdown"/>
      <sheetName val="Palm"/>
      <sheetName val="Price Model"/>
      <sheetName val="Data Input "/>
      <sheetName val="eBOM"/>
      <sheetName val="8-09-02"/>
      <sheetName val="Asus_BOM"/>
      <sheetName val="Freight"/>
      <sheetName val="Summary"/>
      <sheetName val="Customize Your Invoice"/>
      <sheetName val="Alpine White_Right Cover"/>
      <sheetName val="Total Report"/>
      <sheetName val="SFF-U-Cover"/>
      <sheetName val="SFF-Side-Cover"/>
      <sheetName val="SFF側板壓合"/>
      <sheetName val="Lotto"/>
      <sheetName val="Hitec 2-Tone_Moon light"/>
      <sheetName val="Java風扇底盤"/>
      <sheetName val="B_O_M_"/>
      <sheetName val="Data_lists"/>
      <sheetName val="Guide"/>
      <sheetName val="LINE A"/>
      <sheetName val="LINE K"/>
      <sheetName val="Sheet2"/>
      <sheetName val="Master Lists"/>
      <sheetName val="Information"/>
      <sheetName val="MSTR_DB"/>
      <sheetName val="Calculation"/>
      <sheetName val="MPU Other"/>
      <sheetName val="Matl1"/>
      <sheetName val="0512MB"/>
      <sheetName val="Labour"/>
      <sheetName val="FY Data Sheet"/>
      <sheetName val="Rates"/>
      <sheetName val="差異表"/>
      <sheetName val="FY03 GLOBAL Q1 EU"/>
      <sheetName val="&quot;B&quot; Quote Model"/>
      <sheetName val="Cost BOM,526273540007,10122005"/>
      <sheetName val="Q2 Quote"/>
      <sheetName val="AK Cost BOM,541673540003,101220"/>
      <sheetName val="reference"/>
      <sheetName val="Splitter 1"/>
      <sheetName val="BAL COST "/>
      <sheetName val="NET COST "/>
      <sheetName val="All"/>
      <sheetName val="Fcst SALES"/>
      <sheetName val="Flex RFQ Form - page 1"/>
      <sheetName val="Menu_Items"/>
      <sheetName val="Bluford3_MB_BOM-Intel_LAN"/>
      <sheetName val="Issues_List"/>
      <sheetName val="Receiving_Inspection"/>
      <sheetName val="General_Instructions"/>
      <sheetName val="Cost_Breakdown"/>
      <sheetName val="Price_Model"/>
      <sheetName val="Data_Input_"/>
      <sheetName val="LINE_A"/>
      <sheetName val="LINE_K"/>
      <sheetName val="ACT VS FCST"/>
      <sheetName val="129 COA"/>
      <sheetName val="Dec99"/>
      <sheetName val="EPSILON Build Plan"/>
      <sheetName val="List"/>
      <sheetName val="장적산출"/>
      <sheetName val="BUS제원1"/>
      <sheetName val="part_costs"/>
      <sheetName val="Gartner"/>
      <sheetName val="Values"/>
      <sheetName val="Job2005"/>
      <sheetName val="Condition"/>
      <sheetName val="Oper Bal"/>
      <sheetName val="Incr Inv Tool"/>
      <sheetName val="Debug check list"/>
      <sheetName val="Cost BOM"/>
      <sheetName val="Sheet1"/>
      <sheetName val="BLUFORD3 FBOM-update081303"/>
      <sheetName val="?"/>
      <sheetName val="FMEA"/>
      <sheetName val="Data Validation"/>
      <sheetName val="_"/>
      <sheetName val="B_O_M_1"/>
      <sheetName val="Data_lists1"/>
      <sheetName val="Issues_List1"/>
      <sheetName val="Menu_Items1"/>
      <sheetName val="Bluford3_MB_BOM-Intel_LAN1"/>
      <sheetName val="Receiving_Inspection1"/>
      <sheetName val="FY_Data_Sheet"/>
      <sheetName val="General_Instructions1"/>
      <sheetName val="Cost_Breakdown1"/>
      <sheetName val="Price_Model1"/>
      <sheetName val="Data_Input_1"/>
      <sheetName val="LINE_A1"/>
      <sheetName val="LINE_K1"/>
      <sheetName val="Master_Lists"/>
      <sheetName val="ACT_VS_FCST"/>
      <sheetName val="tooling"/>
      <sheetName val="Transformation Wrksht-Mech"/>
      <sheetName val="FY03_GLOBAL_Q1_EU"/>
      <sheetName val="SPM Units"/>
      <sheetName val="Electronics"/>
      <sheetName val="Mechanical"/>
      <sheetName val="Keyboard &amp; Accessories"/>
      <sheetName val="Packaging"/>
      <sheetName val="Final Prep"/>
      <sheetName val="_x000e_箘С졤渢২Ь_xdc18_渢浠С_xddf0_渢咠"/>
      <sheetName val="#2057 Project lexus checklist"/>
      <sheetName val=""/>
      <sheetName val="詳細資料"/>
      <sheetName val="All-In-One"/>
      <sheetName val="614_BOM"/>
      <sheetName val="_x005f_x0000__x005f_x000e__x005f_x0000__x005f_x0000__x0"/>
      <sheetName val="備案檔-cover"/>
      <sheetName val="1D465-013"/>
      <sheetName val="Purchase"/>
      <sheetName val="SheetMetal"/>
      <sheetName val="Plastic"/>
      <sheetName val="Painting"/>
      <sheetName val="期初B"/>
      <sheetName val="Y1"/>
      <sheetName val="Download"/>
      <sheetName val="Pretest"/>
      <sheetName val="Pretest 1"/>
      <sheetName val="Pretest (2)"/>
      <sheetName val="Pretest (3)"/>
      <sheetName val="TV"/>
      <sheetName val="Metal_list"/>
      <sheetName val="Plastic_list"/>
      <sheetName val="Metal"/>
      <sheetName val="Color&amp;Texture"/>
      <sheetName val="History"/>
      <sheetName val="2D&amp;3D drawing schedule"/>
      <sheetName val="PLASTIC-self"/>
      <sheetName val="RFQ-Metal"/>
      <sheetName val="RFQ-Plastic-TX1"/>
      <sheetName val="RFQ-Plastic-AIRS"/>
      <sheetName val="tooling cost-0"/>
      <sheetName val="tooling cost-non holes"/>
      <sheetName val="tooling cost-holes"/>
      <sheetName val="tooling cost comparison-1"/>
      <sheetName val="tooling cost comparison-2"/>
      <sheetName val="RFQ-Plastic"/>
      <sheetName val="6"/>
      <sheetName val="Note"/>
      <sheetName val="$ISC"/>
      <sheetName val="information summary"/>
      <sheetName val="exchange rate"/>
      <sheetName val="Eu localization list"/>
      <sheetName val="Tuner cost（Poland proivde)"/>
      <sheetName val="ActionPlan"/>
      <sheetName val="Comm Matrix"/>
      <sheetName val="Change History"/>
      <sheetName val="NewBOM-GAV"/>
      <sheetName val="Messages"/>
      <sheetName val="比較結果"/>
      <sheetName val="GAV Loadsheet "/>
      <sheetName val="MTM Loadsheet "/>
      <sheetName val="SBB Table"/>
      <sheetName val="SVT MTM Models"/>
      <sheetName val="Master POR"/>
      <sheetName val="Life Cycle "/>
      <sheetName val="RFA Schedule"/>
      <sheetName val="03.15.07"/>
      <sheetName val="03.13.07"/>
      <sheetName val="03.12.07"/>
      <sheetName val="03.08.07"/>
      <sheetName val="03.07.07"/>
      <sheetName val="03.02.07"/>
      <sheetName val="02.28.07"/>
      <sheetName val="02.27.07"/>
      <sheetName val="02.22.07"/>
      <sheetName val="02.19.07"/>
      <sheetName val="02.15.07"/>
      <sheetName val="02.09.07"/>
      <sheetName val="02.02.07"/>
      <sheetName val="01.30.07"/>
      <sheetName val="01.26.07"/>
      <sheetName val="01.10.07"/>
      <sheetName val="01.05.07"/>
      <sheetName val="County Matrix"/>
      <sheetName val="Spec Tab "/>
      <sheetName val="Life Cycle"/>
      <sheetName val="Offering Definition "/>
      <sheetName val="RFA Schedule "/>
      <sheetName val="Model No Assignmnet"/>
      <sheetName val="NewCountryMatrix(OLD)"/>
      <sheetName val="Country Matrix"/>
      <sheetName val="Country Matrix Base"/>
      <sheetName val="Country Matrix(OLD)"/>
      <sheetName val="Spec Tab"/>
      <sheetName val="Building Blocks"/>
      <sheetName val="Odyssey BB"/>
      <sheetName val="Import-Export "/>
      <sheetName val="eANN Dummy Models"/>
      <sheetName val="Import-Export"/>
      <sheetName val="Product parts cost L22W06"/>
      <sheetName val="Product parts cost L20W06"/>
      <sheetName val="OEM 20W-22W"/>
      <sheetName val="inbound"/>
      <sheetName val="outbound"/>
      <sheetName val="storage cost"/>
      <sheetName val="import duty"/>
      <sheetName val="Eric SKD COST"/>
      <sheetName val="SZ 200WB7"/>
      <sheetName val="FQ 17B-19B No Profit"/>
      <sheetName val="170B-190B"/>
      <sheetName val="$ISC cost"/>
      <sheetName val="for sales"/>
      <sheetName val="200WB7ES-96(SZ sales FG)"/>
      <sheetName val="Chassis IIP"/>
      <sheetName val="200WB7ES-96(SKD TW)"/>
      <sheetName val="200WB7ES-96(假机器Extra cost)"/>
      <sheetName val="TW import duty rate"/>
      <sheetName val="price index"/>
      <sheetName val="container loading"/>
      <sheetName val="container loading(假机器)"/>
      <sheetName val="TRS"/>
      <sheetName val="ADJ"/>
      <sheetName val="EX-RATE"/>
      <sheetName val="136J"/>
      <sheetName val="CHA"/>
      <sheetName val="ENC"/>
      <sheetName val="CFPP"/>
      <sheetName val="EFPP"/>
      <sheetName val="DATA"/>
      <sheetName val="PRICE"/>
      <sheetName val="Module1"/>
      <sheetName val="Module2"/>
      <sheetName val="Module3"/>
      <sheetName val="ChungLi"/>
      <sheetName val="ChungLiChart(LCD)"/>
      <sheetName val="ChungLiChart(CRT)"/>
      <sheetName val="DongGuan"/>
      <sheetName val="DongGuanChart(CRT)"/>
      <sheetName val="Juarez"/>
      <sheetName val="JuarezChart(LCD)"/>
      <sheetName val="JuarezChart(CRT)"/>
      <sheetName val="Manaus"/>
      <sheetName val="ManausChart(CRT)"/>
      <sheetName val="Suzhou"/>
      <sheetName val="SuzhouChart(LCD)"/>
      <sheetName val="SuzhouChart(CRT)"/>
      <sheetName val="Szombathely"/>
      <sheetName val="SzombathelyChart(LCD)"/>
      <sheetName val="SzombathelyChart(CRT)"/>
      <sheetName val="RMD"/>
      <sheetName val="ChungLiRChart(CRT)"/>
      <sheetName val="ChungLiRChart(LCD)"/>
      <sheetName val="DongGuanRChart(CRT)"/>
      <sheetName val="SuzhouRChart(CRT)"/>
      <sheetName val="SuzhouRChart(LCD)"/>
      <sheetName val="JuarezRChart(CRT)"/>
      <sheetName val="JuarezRChart(LCD)"/>
      <sheetName val="SzombathelyRChart(CRT)"/>
      <sheetName val="SzombathelyRChart(LCD)"/>
      <sheetName val="ManausRChart(CRT)"/>
      <sheetName val="Sheet3"/>
      <sheetName val="Instraction"/>
      <sheetName val="transportation cost"/>
      <sheetName val="DG"/>
      <sheetName val="CL"/>
      <sheetName val="SU"/>
      <sheetName val="Loading"/>
      <sheetName val="loading (2)"/>
      <sheetName val="Pallet"/>
      <sheetName val="Dis"/>
      <sheetName val="Warranty"/>
      <sheetName val="Branded-Exp"/>
      <sheetName val="Branded-Loca"/>
      <sheetName val="OEM"/>
      <sheetName val="LCD"/>
      <sheetName val="comparsion"/>
      <sheetName val="Entr-Placa OficAbr"/>
      <sheetName val="Entreg Ofic abr"/>
      <sheetName val="guia"/>
      <sheetName val="raw_data"/>
      <sheetName val="Brand107t14BOM"/>
      <sheetName val="FC sheet"/>
      <sheetName val="BUFCbase"/>
      <sheetName val="BUFCvar"/>
      <sheetName val="FC"/>
      <sheetName val="Br107T14Trend"/>
      <sheetName val="Br107T14_ROM"/>
      <sheetName val="ISC$(TV)"/>
      <sheetName val="Suzhou COO"/>
      <sheetName val="IC3 Budget"/>
      <sheetName val="Juarez IC"/>
      <sheetName val="Total Saving &amp; payback"/>
      <sheetName val="BUCA"/>
      <sheetName val="Integral overview"/>
      <sheetName val="Content"/>
      <sheetName val="Nafta - Overview"/>
      <sheetName val="Spec Jumbo"/>
      <sheetName val="ID"/>
      <sheetName val="Plug &amp; Play"/>
      <sheetName val="DFU &amp; guide"/>
      <sheetName val="RC &amp; UI"/>
      <sheetName val="Pro Check List"/>
      <sheetName val="Price template"/>
      <sheetName val="Sample Criteria"/>
      <sheetName val="Project Schedule"/>
      <sheetName val="Revision History"/>
      <sheetName val="B540 Intel H77"/>
      <sheetName val="B340 Intel H61"/>
      <sheetName val="B545 AMD A75"/>
      <sheetName val="B345 AMD A75 "/>
      <sheetName val="ENVIRonmental data_ERIC_0707200"/>
      <sheetName val="#REF!"/>
      <sheetName val="cost summary"/>
      <sheetName val="all item"/>
      <sheetName val="IRPF8PB7"/>
      <sheetName val="KEPF8PB2"/>
      <sheetName val="ADTV82428SA2"/>
      <sheetName val="bom"/>
      <sheetName val="Ex"/>
      <sheetName val="CBPF82MBZ4"/>
      <sheetName val="CBPF8T2NZ1"/>
      <sheetName val="CBPF8T2NZ2"/>
      <sheetName val="E328AMNBWLSS2NT"/>
      <sheetName val="TJ8GT2NNLWPH2NT"/>
      <sheetName val="TN8GT2NNLWPH2NT"/>
      <sheetName val="Set time "/>
      <sheetName val="Process"/>
      <sheetName val="plan"/>
      <sheetName val="Calc Base"/>
      <sheetName val="32MF605W-17"/>
      <sheetName val="ISC$"/>
      <sheetName val="trend"/>
      <sheetName val="Mapping"/>
      <sheetName val="Cabinet Quotation"/>
      <sheetName val="目錄"/>
      <sheetName val="開模規範書(1)"/>
      <sheetName val="塑膠模具開模前檢討表(2)"/>
      <sheetName val="估價成本分析表 (3)"/>
      <sheetName val="模具零件追蹤進度表(4)"/>
      <sheetName val="模具修改設變單(5)"/>
      <sheetName val="FAI Form-sheet (6)"/>
      <sheetName val="試模成型記錄(7)"/>
      <sheetName val="模具材質證明書(8)"/>
      <sheetName val="模具備品另件表(9) "/>
      <sheetName val="熱膠道示意圖(10)"/>
      <sheetName val="模具機種互換模仁表(11)"/>
      <sheetName val="Tooling Check List  (12)"/>
      <sheetName val="製造證明書(13)"/>
      <sheetName val="模具轉移清冊一海運(14)"/>
      <sheetName val="模具履歷卡(15)"/>
      <sheetName val="模具驗收會議紀錄表(16)"/>
      <sheetName val="樣品圖片(17)"/>
      <sheetName val="T1&amp;咬花T1參數&amp;MI值(18)"/>
      <sheetName val="機種塑膠件總表(19)"/>
      <sheetName val="T&amp;I Logo"/>
      <sheetName val="pn0309"/>
      <sheetName val="KC Naming"/>
      <sheetName val="KT1 Qual"/>
      <sheetName val="MonthMapping"/>
      <sheetName val="已修復的外部連結1"/>
      <sheetName val="文件"/>
      <sheetName val="非機種"/>
      <sheetName val="ISO文件"/>
      <sheetName val="SFIS"/>
      <sheetName val="SUNON"/>
      <sheetName val="HIPRO"/>
      <sheetName val="Sunon2"/>
      <sheetName val="SUNON(昆山)"/>
      <sheetName val="Sunon(台灣)"/>
      <sheetName val="___"/>
      <sheetName val="2004 CARD PD年度工作目標"/>
      <sheetName val="CARD PD 行動方案展開"/>
      <sheetName val="幹部工作日誌"/>
      <sheetName val="7到9月離職統計"/>
      <sheetName val="原因1"/>
      <sheetName val="原因2"/>
      <sheetName val="原因3"/>
      <sheetName val="SOP"/>
      <sheetName val="基調RETEST OK分析"/>
      <sheetName val="SMT製程達成率"/>
      <sheetName val="Input commodity fallout"/>
      <sheetName val="Reporting"/>
      <sheetName val="附件一---外箱破損處理流程圖1"/>
      <sheetName val="3"/>
      <sheetName val="CUM CONSTRAINED AVAIL"/>
      <sheetName val="統計処理(H)"/>
      <sheetName val="周生產"/>
      <sheetName val="90% PRST Worksheet"/>
      <sheetName val="Bom(P1)"/>
      <sheetName val="預算-實績"/>
      <sheetName val="2007年CARDICT工作目標設定"/>
      <sheetName val="Monthly Summary"/>
      <sheetName val="Macro1"/>
      <sheetName val="daily report"/>
      <sheetName val="【測試領料記錄表】"/>
      <sheetName val="【PR CHECK LIST】 "/>
      <sheetName val="【產品標示單-綠】 "/>
      <sheetName val="【產能狀況記錄表】"/>
      <sheetName val="WIP_STATION_REPAIR_Q"/>
      <sheetName val="檢驗規範"/>
      <sheetName val="W25"/>
      <sheetName val="2003 prod2"/>
      <sheetName val="生產計劃"/>
      <sheetName val="2003 Target"/>
      <sheetName val="MS60 PVT-ME-BOM"/>
      <sheetName val="MS60_PVT-ME-BOM"/>
      <sheetName val="ISO憇件"/>
      <sheetName val="Cork"/>
      <sheetName val="FATP MLB LOSS"/>
      <sheetName val="MPM"/>
      <sheetName val="參考--PDA 2003 Defect Rate"/>
      <sheetName val="系統類別分析"/>
      <sheetName val="單板類別分析"/>
      <sheetName val="評分表"/>
      <sheetName val="0906"/>
      <sheetName val="主表(081211)"/>
      <sheetName val="主表(081204)"/>
      <sheetName val="蘆竹"/>
      <sheetName val="TY9007本勞"/>
      <sheetName val="Daily Quality summary"/>
      <sheetName val="summary_4.5%MOH"/>
      <sheetName val="Monthly_Summary"/>
      <sheetName val="Neo"/>
      <sheetName val="文件一覽"/>
      <sheetName val="連絡書１"/>
      <sheetName val="AIR (Inbound material)"/>
      <sheetName val="FVS"/>
      <sheetName val="P chart1"/>
      <sheetName val="FVS 3 UP Chart"/>
      <sheetName val="Yield"/>
      <sheetName val="FVS "/>
      <sheetName val="FVS CND"/>
      <sheetName val="MB (Action)"/>
      <sheetName val="對策回復"/>
      <sheetName val="Rank"/>
      <sheetName val="Progress Summary"/>
      <sheetName val="QuoteFormat"/>
      <sheetName val="Medion - Product mix"/>
      <sheetName val="annex - references prices"/>
      <sheetName val="BOM overview table"/>
      <sheetName val="新比較損益"/>
      <sheetName val="新一般管理"/>
      <sheetName val="SBA"/>
      <sheetName val="取引先コード"/>
      <sheetName val="ENV"/>
      <sheetName val="2004"/>
      <sheetName val="P_chart1"/>
      <sheetName val="FVS_3_UP_Chart"/>
      <sheetName val="FVS_"/>
      <sheetName val="FVS_CND"/>
      <sheetName val="DELL_Schedule"/>
      <sheetName val="職位一覧"/>
      <sheetName val="生計"/>
      <sheetName val="機種名"/>
      <sheetName val="原価単位3.1"/>
      <sheetName val="D_ASIA_PVT"/>
      <sheetName val="Version Control"/>
      <sheetName val="M10(E)(A線)"/>
      <sheetName val="BSF"/>
      <sheetName val="客戶排行(8月)"/>
      <sheetName val="Master List"/>
      <sheetName val="2004_CARD_PD年度工作目標"/>
      <sheetName val="CARD_PD_行動方案展開"/>
      <sheetName val="基調RETEST_OK分析"/>
      <sheetName val="Input_commodity_fallout"/>
      <sheetName val="Daily_Quality_summary"/>
      <sheetName val="summary_4_5%MOH"/>
      <sheetName val="2003_prod2"/>
      <sheetName val="Master_List"/>
      <sheetName val="廢棄物管理人員輪值表 "/>
      <sheetName val="黃馬褂盤點表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公司計劃"/>
      <sheetName val="Model Plan"/>
      <sheetName val="Variables1"/>
      <sheetName val="工作表2"/>
      <sheetName val="現況說明"/>
      <sheetName val="QA支出狀況解析"/>
      <sheetName val="0000"/>
      <sheetName val="Bom_P1_"/>
      <sheetName val="ECN "/>
      <sheetName val="修改"/>
      <sheetName val="Sheet4"/>
      <sheetName val="Sheet4-5"/>
      <sheetName val="Sheet5"/>
      <sheetName val="Sheet6"/>
      <sheetName val="治具保養記錄表"/>
      <sheetName val="治具維修記錄表"/>
      <sheetName val="治具驗收檢查表"/>
      <sheetName val="GR&amp;R記錄表"/>
      <sheetName val="治具保養計划1"/>
      <sheetName val="治具保養計划2"/>
      <sheetName val="September"/>
      <sheetName val="CA Monthly "/>
      <sheetName val="LRB&amp;FRU"/>
      <sheetName val="CA Weekly"/>
      <sheetName val="CA Day"/>
      <sheetName val="Control_Run狀況"/>
      <sheetName val="M26 Report"/>
      <sheetName val="WLBG代工"/>
      <sheetName val="ECN"/>
      <sheetName val="修訂履歷"/>
      <sheetName val="内容"/>
      <sheetName val="SOP1"/>
      <sheetName val="SOP2"/>
      <sheetName val="樣品板點檢表"/>
      <sheetName val="治具驗收檢䟥表"/>
      <sheetName val="LRB&amp;FRW"/>
      <sheetName val="SEPTZ"/>
      <sheetName val="ECN_1"/>
      <sheetName val="CA_Monthly_1"/>
      <sheetName val="CA_Weekly1"/>
      <sheetName val="CA_Day1"/>
      <sheetName val="M26_Report1"/>
      <sheetName val="2003_Target1"/>
      <sheetName val="ECN_"/>
      <sheetName val="CA_Monthly_"/>
      <sheetName val="CA_Weekly"/>
      <sheetName val="CA_Day"/>
      <sheetName val="M26_Report"/>
      <sheetName val="2003_Target"/>
      <sheetName val="資料"/>
      <sheetName val="Workings"/>
      <sheetName val="名碩 0908"/>
      <sheetName val="Kod3 Table"/>
      <sheetName val="ECN_2"/>
      <sheetName val="CA_Monthly_2"/>
      <sheetName val="CA_Weekly2"/>
      <sheetName val="CA_Day2"/>
      <sheetName val="M26_Report2"/>
      <sheetName val="2003_Target2"/>
      <sheetName val="TB"/>
      <sheetName val="Definition"/>
      <sheetName val="ME-Partlist"/>
      <sheetName val="Mat Summary"/>
      <sheetName val="ECN_3"/>
      <sheetName val="CA_Monthly_3"/>
      <sheetName val="CA_Weekly3"/>
      <sheetName val="CA_Day3"/>
      <sheetName val="M26_Report3"/>
      <sheetName val="2003_Target3"/>
      <sheetName val="Kod3_Table"/>
      <sheetName val="參考--PDA_2003_Defect_Rate"/>
      <sheetName val="名碩_0908"/>
      <sheetName val="PARTS"/>
      <sheetName val="Shipments"/>
      <sheetName val="表紙"/>
      <sheetName val="Cabinet Lower (2010 HERO)"/>
      <sheetName val="Cabinet Upper(2011J-CB)"/>
      <sheetName val="蘆竹5月薪"/>
      <sheetName val="準意"/>
      <sheetName val="ICT Details"/>
      <sheetName val="target"/>
      <sheetName val="Trand Chart"/>
      <sheetName val="ECN_4"/>
      <sheetName val="CA_Monthly_4"/>
      <sheetName val="CA_Weekly4"/>
      <sheetName val="CA_Day4"/>
      <sheetName val="M26_Report4"/>
      <sheetName val="2003_Target4"/>
      <sheetName val="Kod3_Table1"/>
      <sheetName val="參考--PDA_2003_Defect_Rate1"/>
      <sheetName val="名碩_09081"/>
      <sheetName val="Mat_Summary"/>
      <sheetName val="Cabinet_Lower_(2010_HERO)"/>
      <sheetName val="Cabinet_Upper(2011J-CB)"/>
      <sheetName val="ICT_Details"/>
      <sheetName val="FA Definitions"/>
      <sheetName val="liste"/>
      <sheetName val="UM"/>
      <sheetName val="FAE reports"/>
      <sheetName val="UPC&amp;EAN"/>
      <sheetName val="H-2 Val Allow-By Entity"/>
      <sheetName val="MTL1"/>
      <sheetName val="Keyboard_&amp;_Accessories"/>
      <sheetName val="Final_Prep"/>
      <sheetName val="H-2_Val_Allow-By_Entity"/>
      <sheetName val="Transformation_Wrksht-Mech"/>
      <sheetName val="Trand_Chart"/>
      <sheetName val="Carlin-G_costbom"/>
      <sheetName val="C_K810VU"/>
      <sheetName val="Field Lists"/>
      <sheetName val="5S稽核list"/>
      <sheetName val="工單差异分攤"/>
      <sheetName val="MOLD品コスト明細v4.0"/>
      <sheetName val="PLcost"/>
      <sheetName val="pu-Part"/>
      <sheetName val="sm_Pcost"/>
      <sheetName val="Mat_list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9101"/>
      <sheetName val="9102"/>
      <sheetName val="9103"/>
      <sheetName val="9104"/>
      <sheetName val="9105"/>
      <sheetName val="9106"/>
      <sheetName val="Total"/>
      <sheetName val="KMFR"/>
      <sheetName val="KMFR-1"/>
      <sheetName val="KMFR-2"/>
      <sheetName val="KEGN-1"/>
      <sheetName val="KEGN-2"/>
      <sheetName val="KMMD"/>
      <sheetName val="KMT"/>
      <sheetName val="KPAO"/>
      <sheetName val="KPCD"/>
      <sheetName val="KQAD-1"/>
      <sheetName val="KIQC"/>
      <sheetName val="KPAG"/>
      <sheetName val="KOPD"/>
      <sheetName val="QTR test Spec"/>
      <sheetName val="Proto 2 Config Allocation"/>
      <sheetName val="Spade Proto 2 QTR allocation"/>
      <sheetName val="Test summary by SN"/>
      <sheetName val="Test Schedule"/>
      <sheetName val="FATP retest tracking"/>
      <sheetName val="1.1"/>
      <sheetName val="2.1"/>
      <sheetName val="2.2"/>
      <sheetName val="2.3"/>
      <sheetName val="3.1"/>
      <sheetName val="3.4 "/>
      <sheetName val="3.13"/>
      <sheetName val="3.15"/>
      <sheetName val="3.6"/>
      <sheetName val="3.11"/>
      <sheetName val="3.12"/>
      <sheetName val="3.20"/>
      <sheetName val="4.3"/>
      <sheetName val="4.5"/>
      <sheetName val="5.7"/>
      <sheetName val="Sheet22"/>
      <sheetName val="#REF"/>
      <sheetName val="DRP"/>
      <sheetName val="Latest MLB BOM (Mar 6)"/>
      <sheetName val="Latest LED BOM (Feb 27)"/>
      <sheetName val="MLB BOM (Feb 27)"/>
      <sheetName val="MLB + LED BOM (Feb 19)"/>
      <sheetName val="Yield Rate"/>
      <sheetName val="8D "/>
      <sheetName val="8D(OPEN)"/>
      <sheetName val="8D(SHORT)"/>
      <sheetName val="8D(MISSING)"/>
      <sheetName val="Week1 Open By Location"/>
      <sheetName val="Week1 Short By Location"/>
      <sheetName val="Week1 Missing By Location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Blf2+LOM cost bom_080902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heet Metal-Hard Tool"/>
      <sheetName val="Plastics"/>
      <sheetName val="Assemblies"/>
      <sheetName val="Purchased-All"/>
      <sheetName val="New Issues"/>
      <sheetName val="4048"/>
      <sheetName val="BOXSTER Planner Rev X1"/>
      <sheetName val="塑膠費率(最新)"/>
      <sheetName val="封面"/>
      <sheetName val="工作權責1"/>
      <sheetName val="工作權責2"/>
      <sheetName val="交接作業程序流程圖"/>
      <sheetName val="生產朝會"/>
      <sheetName val="交接1"/>
      <sheetName val="交接2"/>
      <sheetName val="交接3"/>
      <sheetName val="交接4"/>
      <sheetName val="交接5"/>
      <sheetName val="交接6"/>
      <sheetName val="收線停線點檢表"/>
      <sheetName val="良率推移圖"/>
      <sheetName val="生產記錄1"/>
      <sheetName val="生產記錄2"/>
      <sheetName val="生產注意事項"/>
      <sheetName val="改版后注意事項"/>
      <sheetName val="生產日報表"/>
      <sheetName val="生產組5M&amp;5S查檢表(1)"/>
      <sheetName val="5M&amp;5S (2版"/>
      <sheetName val="物料BIOS燒錄區5M5S查檢表"/>
      <sheetName val="System1"/>
      <sheetName val="System2"/>
      <sheetName val="Main"/>
      <sheetName val="Switch"/>
      <sheetName val="Memory"/>
      <sheetName val="LCM&amp;Other"/>
      <sheetName val="Cradle wo"/>
      <sheetName val="Cradle"/>
      <sheetName val="Accessories"/>
      <sheetName val="Manual&amp;Packing"/>
      <sheetName val="Manufacturing"/>
      <sheetName val="NRE"/>
      <sheetName val="Burden"/>
      <sheetName val="PartsList"/>
      <sheetName val="2004_CARD_PD年度工作目標1"/>
      <sheetName val="CARD_PD_行動方案展開1"/>
      <sheetName val="基調RETEST_OK分析1"/>
      <sheetName val="Input_commodity_fallout1"/>
      <sheetName val="Daily_Quality_summary1"/>
      <sheetName val="summary_4_5%MOH1"/>
      <sheetName val="2003_prod21"/>
      <sheetName val="Master_List1"/>
      <sheetName val="Debug_check_list"/>
      <sheetName val="SMT AOI "/>
      <sheetName val="SMT VI"/>
      <sheetName val="A1F封面"/>
      <sheetName val="每月良率趨勢"/>
      <sheetName val="A1F每週良率趨勢"/>
      <sheetName val="每週系統品質分析(For A1F)"/>
      <sheetName val="樞紐分析"/>
      <sheetName val="A1 Quality Abnormal"/>
      <sheetName val="A1 ECN"/>
      <sheetName val="PURGE&amp;REWORK"/>
      <sheetName val="MPE部門任務職掌表"/>
      <sheetName val="PDA Monthly Report "/>
      <sheetName val="2004 Duty"/>
      <sheetName val="OUT"/>
      <sheetName val="IN"/>
      <sheetName val="現職名單"/>
      <sheetName val="Sheet3 (2)"/>
      <sheetName val="ALL (2)"/>
      <sheetName val="New project phase in check list"/>
      <sheetName val="Buglist內容"/>
      <sheetName val="Buglist改善狀況統計表"/>
      <sheetName val="Notice for PD &amp; OQC"/>
      <sheetName val="Notice for IQC"/>
      <sheetName val="螺絲規格扭力對照表"/>
      <sheetName val="治具需求清單"/>
      <sheetName val="ECN導入記錄"/>
      <sheetName val="異常分析報告"/>
      <sheetName val="PR機台ME拆解紀錄"/>
      <sheetName val="MFG MVA Assumption"/>
      <sheetName val="Basic Assumption"/>
      <sheetName val="Material List"/>
      <sheetName val="Pre-BOM"/>
      <sheetName val="0414data"/>
      <sheetName val="Version_Control"/>
      <sheetName val="Philips - AOL"/>
      <sheetName val="Microsoft"/>
      <sheetName val="Compaq"/>
      <sheetName val="Cisco"/>
      <sheetName val="Adtran"/>
      <sheetName val="Glossary"/>
      <sheetName val="Sheet 6"/>
      <sheetName val="MENU"/>
      <sheetName val="Motorola - GI"/>
      <sheetName val="Motorola - Zenith"/>
      <sheetName val="Philips - WebTV"/>
      <sheetName val="Intel"/>
      <sheetName val="Verifone"/>
      <sheetName val="3COM - Kojak"/>
      <sheetName val="TABLES"/>
      <sheetName val="1492C"/>
      <sheetName val="Material Assumption"/>
      <sheetName val="同梱IU部品費CLJ3800"/>
      <sheetName val="MeBOM"/>
      <sheetName val="Valore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_x005f_x005f_x005f_x0000__x005f_x005f_x005f_x000e__x005"/>
      <sheetName val="_x005f_x005f_x005f_x005f_x005f_x005f_x005f_x0000__x005f"/>
      <sheetName val="614-BOM"/>
      <sheetName val="Pallet3"/>
      <sheetName val="Pallet2"/>
      <sheetName val="Pallet3 (2)"/>
      <sheetName val="1506"/>
      <sheetName val="總表"/>
      <sheetName val="VULTURE bom"/>
      <sheetName val="8685VM bom"/>
      <sheetName val="ASBI2G00 bom"/>
      <sheetName val="8685ONO bom"/>
      <sheetName val="DPQ3212 bom"/>
      <sheetName val="DPC3925 bom"/>
      <sheetName val="DPC3828D bom"/>
      <sheetName val="DPC3216 bom"/>
      <sheetName val="8685UPC bom"/>
      <sheetName val="DPC3825 bom"/>
      <sheetName val="DPC2320 bom"/>
      <sheetName val="SelectParts (1)_SHADOW"/>
      <sheetName val="__EBA_Hidden__"/>
      <sheetName val="0313"/>
      <sheetName val="SelectParts (3)_SHADOW"/>
      <sheetName val="MP BOM 0314"/>
      <sheetName val="NPI BOM 0314"/>
      <sheetName val="SAP PN 0314"/>
      <sheetName val="cost template"/>
      <sheetName val="cost table 0109"/>
      <sheetName val="2FDAY"/>
      <sheetName val="圖表"/>
      <sheetName val="250"/>
      <sheetName val="Lists"/>
      <sheetName val="CFI October 2009"/>
      <sheetName val="RVA Service"/>
      <sheetName val="Inv due on 6 Mar (會計)"/>
      <sheetName val="ODM"/>
      <sheetName val="Inv due on 30 Jan"/>
      <sheetName val="Inv due next week"/>
      <sheetName val="Inv due after 6 Feb"/>
      <sheetName val="组装LB2"/>
      <sheetName val=" OPAL THERMALS"/>
      <sheetName val="Buckorn"/>
      <sheetName val="Corba"/>
      <sheetName val="QVL BOM"/>
      <sheetName val="541174170108"/>
      <sheetName val="Buckhorn_Costed BOM_0910"/>
      <sheetName val="SaturnII_FBOM_0317a"/>
      <sheetName val="intel target"/>
      <sheetName val="Q#3839"/>
      <sheetName val="Sheet1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CB板系统清单"/>
      <sheetName val="科翔LIST"/>
      <sheetName val="深圳英众PCB单价清单"/>
      <sheetName val="PCB阶梯价格汇总"/>
      <sheetName val="费用类情况"/>
      <sheetName val="制板流程"/>
      <sheetName val="常用板材信息"/>
      <sheetName val="Sheet1"/>
    </sheetNames>
    <sheetDataSet>
      <sheetData sheetId="0" refreshError="1"/>
      <sheetData sheetId="1" refreshError="1"/>
      <sheetData sheetId="2" refreshError="1">
        <row r="1014">
          <cell r="P1014">
            <v>29.5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CB价格汇总"/>
      <sheetName val="Sheet1"/>
      <sheetName val="26年调整明细"/>
      <sheetName val="Sheet2"/>
    </sheetNames>
    <sheetDataSet>
      <sheetData sheetId="0" refreshError="1">
        <row r="2659">
          <cell r="C2659">
            <v>46198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.xml"/><Relationship Id="rId1" Type="http://schemas.openxmlformats.org/officeDocument/2006/relationships/comments" Target="../comments14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674"/>
  <sheetViews>
    <sheetView workbookViewId="0">
      <pane ySplit="2" topLeftCell="A3" activePane="bottomLeft" state="frozen"/>
      <selection/>
      <selection pane="bottomLeft" activeCell="E30" sqref="E30"/>
    </sheetView>
  </sheetViews>
  <sheetFormatPr defaultColWidth="9" defaultRowHeight="11.4"/>
  <cols>
    <col min="1" max="1" width="20.8888888888889" style="2871" customWidth="1"/>
    <col min="2" max="2" width="13.3703703703704" style="2872" hidden="1" customWidth="1"/>
    <col min="3" max="3" width="8.41666666666667" style="2872" hidden="1" customWidth="1"/>
    <col min="4" max="4" width="3.77777777777778" style="2872" hidden="1" customWidth="1"/>
    <col min="5" max="5" width="29.5555555555556" style="2870" customWidth="1"/>
    <col min="6" max="7" width="14.287037037037" style="2873" hidden="1" customWidth="1"/>
    <col min="8" max="8" width="14.287037037037" style="2873" customWidth="1"/>
    <col min="9" max="9" width="16.0277777777778" style="2873" hidden="1" customWidth="1"/>
    <col min="10" max="10" width="16.0277777777778" style="2873" customWidth="1"/>
    <col min="11" max="11" width="17.3425925925926" style="2874" customWidth="1"/>
    <col min="12" max="12" width="16.3518518518519" style="2875" customWidth="1"/>
    <col min="13" max="13" width="16.0277777777778" style="2873" hidden="1" customWidth="1"/>
    <col min="14" max="14" width="65.7777777777778" style="2870" customWidth="1"/>
    <col min="15" max="17" width="11.3333333333333" style="2870"/>
    <col min="18" max="16354" width="9" style="2870"/>
    <col min="16355" max="16384" width="9" style="2876"/>
  </cols>
  <sheetData>
    <row r="1" s="40" customFormat="1" ht="14" customHeight="1" spans="1:14">
      <c r="A1" s="505">
        <v>6.71</v>
      </c>
      <c r="B1" s="2877"/>
      <c r="C1" s="2878"/>
      <c r="D1" s="2877"/>
      <c r="E1" s="2879" t="s">
        <v>0</v>
      </c>
      <c r="F1" s="2705"/>
      <c r="G1" s="2705"/>
      <c r="H1" s="2705"/>
      <c r="I1" s="2705"/>
      <c r="J1" s="2705"/>
      <c r="K1" s="2880"/>
      <c r="L1" s="2881"/>
      <c r="M1" s="2705"/>
      <c r="N1" s="70"/>
    </row>
    <row r="2" s="2869" customFormat="1" ht="25" customHeight="1" spans="1:14">
      <c r="A2" s="2882" t="s">
        <v>1</v>
      </c>
      <c r="B2" s="224" t="s">
        <v>2</v>
      </c>
      <c r="C2" s="50" t="s">
        <v>3</v>
      </c>
      <c r="D2" s="75" t="s">
        <v>4</v>
      </c>
      <c r="E2" s="52" t="s">
        <v>5</v>
      </c>
      <c r="F2" s="52" t="s">
        <v>6</v>
      </c>
      <c r="G2" s="52" t="s">
        <v>6</v>
      </c>
      <c r="H2" s="52" t="s">
        <v>6</v>
      </c>
      <c r="I2" s="52" t="s">
        <v>7</v>
      </c>
      <c r="J2" s="52" t="s">
        <v>7</v>
      </c>
      <c r="K2" s="52" t="s">
        <v>8</v>
      </c>
      <c r="L2" s="52" t="s">
        <v>9</v>
      </c>
      <c r="M2" s="52"/>
      <c r="N2" s="75" t="s">
        <v>10</v>
      </c>
    </row>
    <row r="3" s="2870" customFormat="1" ht="13.2" customHeight="1" spans="1:14">
      <c r="A3" s="730" t="s">
        <v>11</v>
      </c>
      <c r="B3" s="2883">
        <v>46081</v>
      </c>
      <c r="C3" s="2711">
        <v>6.837</v>
      </c>
      <c r="D3" s="2711" t="s">
        <v>12</v>
      </c>
      <c r="E3" s="2712" t="s">
        <v>13</v>
      </c>
      <c r="F3" s="2713">
        <f>6.038/C3/1.13</f>
        <v>0.781536175494867</v>
      </c>
      <c r="G3" s="2713">
        <v>0.93784341059384</v>
      </c>
      <c r="H3" s="2713">
        <v>1.03162775165322</v>
      </c>
      <c r="I3" s="2713">
        <v>3.41</v>
      </c>
      <c r="J3" s="2713">
        <f>I3*1.05</f>
        <v>3.5805</v>
      </c>
      <c r="K3" s="2714">
        <v>0.4</v>
      </c>
      <c r="L3" s="2714">
        <f>SUBTOTAL(109,H3,J3,K3)</f>
        <v>5.01212775165322</v>
      </c>
      <c r="M3" s="2713">
        <v>3.1</v>
      </c>
      <c r="N3" s="226" t="s">
        <v>14</v>
      </c>
    </row>
    <row r="4" s="2870" customFormat="1" ht="13.2" customHeight="1" spans="1:14">
      <c r="A4" s="730" t="s">
        <v>15</v>
      </c>
      <c r="B4" s="2883">
        <v>46081</v>
      </c>
      <c r="C4" s="2711">
        <v>6.837</v>
      </c>
      <c r="D4" s="2711" t="s">
        <v>16</v>
      </c>
      <c r="E4" s="2712" t="s">
        <v>17</v>
      </c>
      <c r="F4" s="2713">
        <v>0.416623855378138</v>
      </c>
      <c r="G4" s="2713">
        <v>0.499948626453766</v>
      </c>
      <c r="H4" s="2713">
        <v>0.549943489099143</v>
      </c>
      <c r="I4" s="2713">
        <v>2.61558511598012</v>
      </c>
      <c r="J4" s="2713">
        <f t="shared" ref="J4:J67" si="0">I4*1.05</f>
        <v>2.74636437177913</v>
      </c>
      <c r="K4" s="2714">
        <v>0.4</v>
      </c>
      <c r="L4" s="2714">
        <f t="shared" ref="L4:L67" si="1">SUBTOTAL(109,H4,J4,K4)</f>
        <v>3.69630786087827</v>
      </c>
      <c r="M4" s="2713">
        <v>2.37780465089102</v>
      </c>
      <c r="N4" s="226" t="s">
        <v>18</v>
      </c>
    </row>
    <row r="5" s="2870" customFormat="1" ht="13.2" customHeight="1" spans="1:14">
      <c r="A5" s="2884" t="s">
        <v>19</v>
      </c>
      <c r="B5" s="2885">
        <v>46285</v>
      </c>
      <c r="C5" s="2886">
        <v>6.7</v>
      </c>
      <c r="D5" s="2886" t="s">
        <v>20</v>
      </c>
      <c r="E5" s="2887" t="s">
        <v>21</v>
      </c>
      <c r="F5" s="2888">
        <f>4/C5/1.13*1.1</f>
        <v>0.581164971602166</v>
      </c>
      <c r="G5" s="2888">
        <v>0.688651069502501</v>
      </c>
      <c r="H5" s="2888">
        <f>4.33/C5/1.13</f>
        <v>0.571919165235768</v>
      </c>
      <c r="I5" s="2888">
        <v>2.83494953927161</v>
      </c>
      <c r="J5" s="2888">
        <v>2.8</v>
      </c>
      <c r="K5" s="2889">
        <v>0.4</v>
      </c>
      <c r="L5" s="2889">
        <f t="shared" si="1"/>
        <v>3.77191916523577</v>
      </c>
      <c r="M5" s="2888">
        <v>2.57722685388328</v>
      </c>
      <c r="N5" s="501" t="s">
        <v>22</v>
      </c>
    </row>
    <row r="6" s="2870" customFormat="1" ht="13.2" customHeight="1" spans="1:14">
      <c r="A6" s="730"/>
      <c r="B6" s="2711">
        <v>20240105</v>
      </c>
      <c r="C6" s="2711">
        <v>6.837</v>
      </c>
      <c r="D6" s="2711" t="s">
        <v>23</v>
      </c>
      <c r="E6" s="2688" t="s">
        <v>24</v>
      </c>
      <c r="F6" s="2713">
        <v>0.721828530635851</v>
      </c>
      <c r="G6" s="2713">
        <v>0.866194236763021</v>
      </c>
      <c r="H6" s="2713">
        <v>0.952813660439323</v>
      </c>
      <c r="I6" s="2713">
        <v>3.30772677509572</v>
      </c>
      <c r="J6" s="2713">
        <f t="shared" si="0"/>
        <v>3.47311311385051</v>
      </c>
      <c r="K6" s="2716">
        <v>0.4</v>
      </c>
      <c r="L6" s="2714">
        <f t="shared" si="1"/>
        <v>4.82592677428983</v>
      </c>
      <c r="M6" s="2713">
        <v>3.00702434099611</v>
      </c>
      <c r="N6" s="2711" t="s">
        <v>25</v>
      </c>
    </row>
    <row r="7" s="2870" customFormat="1" ht="13.2" customHeight="1" spans="1:14">
      <c r="A7" s="730"/>
      <c r="B7" s="2711">
        <v>20241105</v>
      </c>
      <c r="C7" s="2711">
        <v>6.837</v>
      </c>
      <c r="D7" s="2711" t="s">
        <v>26</v>
      </c>
      <c r="E7" s="2688" t="s">
        <v>27</v>
      </c>
      <c r="F7" s="2713">
        <v>0.177453745708128</v>
      </c>
      <c r="G7" s="2713">
        <v>0.212944494849754</v>
      </c>
      <c r="H7" s="2713">
        <v>0.234238944334729</v>
      </c>
      <c r="I7" s="2713">
        <v>1.70556838138652</v>
      </c>
      <c r="J7" s="2713">
        <f t="shared" si="0"/>
        <v>1.79084680045585</v>
      </c>
      <c r="K7" s="2716">
        <v>0.2</v>
      </c>
      <c r="L7" s="2714">
        <f t="shared" si="1"/>
        <v>2.22508574479058</v>
      </c>
      <c r="M7" s="2713">
        <v>1.55051671035138</v>
      </c>
      <c r="N7" s="226" t="s">
        <v>28</v>
      </c>
    </row>
    <row r="8" s="2870" customFormat="1" ht="13.2" customHeight="1" spans="1:14">
      <c r="A8" s="730"/>
      <c r="B8" s="2711">
        <v>20240411</v>
      </c>
      <c r="C8" s="2711">
        <v>6.837</v>
      </c>
      <c r="D8" s="2711" t="s">
        <v>29</v>
      </c>
      <c r="E8" s="2688" t="s">
        <v>30</v>
      </c>
      <c r="F8" s="2713">
        <v>0.160215080625807</v>
      </c>
      <c r="G8" s="2713">
        <v>0.192258096750968</v>
      </c>
      <c r="H8" s="2713">
        <v>0.211483906426065</v>
      </c>
      <c r="I8" s="2713">
        <v>0.655082744986762</v>
      </c>
      <c r="J8" s="2713">
        <f t="shared" si="0"/>
        <v>0.6878368822361</v>
      </c>
      <c r="K8" s="2716">
        <v>0.2</v>
      </c>
      <c r="L8" s="2714">
        <f t="shared" si="1"/>
        <v>1.09932078866216</v>
      </c>
      <c r="M8" s="2713">
        <v>0.595529768169784</v>
      </c>
      <c r="N8" s="2711"/>
    </row>
    <row r="9" s="2870" customFormat="1" ht="13.2" customHeight="1" spans="1:14">
      <c r="A9" s="730"/>
      <c r="B9" s="2711">
        <v>20240411</v>
      </c>
      <c r="C9" s="2711">
        <v>6.837</v>
      </c>
      <c r="D9" s="2711" t="s">
        <v>31</v>
      </c>
      <c r="E9" s="2688" t="s">
        <v>32</v>
      </c>
      <c r="F9" s="2713">
        <v>0.333503711830681</v>
      </c>
      <c r="G9" s="2713">
        <v>0.400204454196817</v>
      </c>
      <c r="H9" s="2713">
        <v>0.440224899616499</v>
      </c>
      <c r="I9" s="2713">
        <v>2.69153395550402</v>
      </c>
      <c r="J9" s="2713">
        <f t="shared" si="0"/>
        <v>2.82611065327922</v>
      </c>
      <c r="K9" s="2716">
        <v>0.3</v>
      </c>
      <c r="L9" s="2714">
        <f t="shared" si="1"/>
        <v>3.56633555289572</v>
      </c>
      <c r="M9" s="2713">
        <v>2.4468490504582</v>
      </c>
      <c r="N9" s="226" t="s">
        <v>33</v>
      </c>
    </row>
    <row r="10" s="2870" customFormat="1" ht="13.2" customHeight="1" spans="1:14">
      <c r="A10" s="730"/>
      <c r="B10" s="2711">
        <v>20240411</v>
      </c>
      <c r="C10" s="2711">
        <v>6.837</v>
      </c>
      <c r="D10" s="2711" t="s">
        <v>34</v>
      </c>
      <c r="E10" s="2688" t="s">
        <v>35</v>
      </c>
      <c r="F10" s="2713">
        <v>0.333503711830681</v>
      </c>
      <c r="G10" s="2713">
        <v>0.400204454196817</v>
      </c>
      <c r="H10" s="2713">
        <v>0.440224899616499</v>
      </c>
      <c r="I10" s="2713">
        <v>3.22769696883307</v>
      </c>
      <c r="J10" s="2713">
        <f t="shared" si="0"/>
        <v>3.38908181727472</v>
      </c>
      <c r="K10" s="2716">
        <v>0.3</v>
      </c>
      <c r="L10" s="2714">
        <f t="shared" si="1"/>
        <v>4.12930671689122</v>
      </c>
      <c r="M10" s="2713">
        <v>2.93426997166643</v>
      </c>
      <c r="N10" s="226" t="s">
        <v>33</v>
      </c>
    </row>
    <row r="11" s="2870" customFormat="1" ht="13.2" customHeight="1" spans="1:14">
      <c r="A11" s="730"/>
      <c r="B11" s="2711">
        <v>20241105</v>
      </c>
      <c r="C11" s="2711">
        <v>6.837</v>
      </c>
      <c r="D11" s="2711" t="s">
        <v>36</v>
      </c>
      <c r="E11" s="2688" t="s">
        <v>37</v>
      </c>
      <c r="F11" s="2713">
        <v>0.344856221168931</v>
      </c>
      <c r="G11" s="2713">
        <v>0.413827465402717</v>
      </c>
      <c r="H11" s="2713">
        <v>0.455210211942989</v>
      </c>
      <c r="I11" s="2713">
        <v>3.40729013814825</v>
      </c>
      <c r="J11" s="2713">
        <f t="shared" si="0"/>
        <v>3.57765464505566</v>
      </c>
      <c r="K11" s="2716">
        <v>0.4</v>
      </c>
      <c r="L11" s="2714">
        <f t="shared" si="1"/>
        <v>4.43286485699865</v>
      </c>
      <c r="M11" s="2713">
        <v>3.09753648922568</v>
      </c>
      <c r="N11" s="2711"/>
    </row>
    <row r="12" s="2870" customFormat="1" ht="13.2" customHeight="1" spans="1:14">
      <c r="A12" s="730"/>
      <c r="B12" s="2711"/>
      <c r="C12" s="2711">
        <v>6.837</v>
      </c>
      <c r="D12" s="2711"/>
      <c r="E12" s="2712" t="s">
        <v>38</v>
      </c>
      <c r="F12" s="2713">
        <v>0.424206195751714</v>
      </c>
      <c r="G12" s="2713">
        <v>0.509047434902057</v>
      </c>
      <c r="H12" s="2713">
        <v>0.559952178392263</v>
      </c>
      <c r="I12" s="2713">
        <v>3.54494905759181</v>
      </c>
      <c r="J12" s="2713">
        <f t="shared" si="0"/>
        <v>3.7221965104714</v>
      </c>
      <c r="K12" s="2716">
        <v>0.4</v>
      </c>
      <c r="L12" s="2714">
        <f t="shared" si="1"/>
        <v>4.68214868886366</v>
      </c>
      <c r="M12" s="2713">
        <v>3.2226809614471</v>
      </c>
      <c r="N12" s="2711"/>
    </row>
    <row r="13" s="2870" customFormat="1" ht="13.2" customHeight="1" spans="1:14">
      <c r="A13" s="730" t="s">
        <v>39</v>
      </c>
      <c r="B13" s="2711"/>
      <c r="C13" s="2711">
        <v>6.837</v>
      </c>
      <c r="D13" s="2711"/>
      <c r="E13" s="2712" t="s">
        <v>40</v>
      </c>
      <c r="F13" s="2713">
        <v>0.157856123752457</v>
      </c>
      <c r="G13" s="2713">
        <v>0.189427348502948</v>
      </c>
      <c r="H13" s="2713">
        <v>0.208370083353243</v>
      </c>
      <c r="I13" s="2713">
        <v>1.69178923830468</v>
      </c>
      <c r="J13" s="2713">
        <f t="shared" si="0"/>
        <v>1.77637870021991</v>
      </c>
      <c r="K13" s="2716">
        <v>0.2</v>
      </c>
      <c r="L13" s="2714">
        <f t="shared" si="1"/>
        <v>2.18474878357315</v>
      </c>
      <c r="M13" s="2713">
        <v>1.53799021664062</v>
      </c>
      <c r="N13" s="2711"/>
    </row>
    <row r="14" s="2870" customFormat="1" ht="13.2" customHeight="1" spans="1:14">
      <c r="A14" s="730" t="s">
        <v>41</v>
      </c>
      <c r="B14" s="2883">
        <v>46122</v>
      </c>
      <c r="C14" s="2711">
        <v>6.837</v>
      </c>
      <c r="D14" s="2711" t="s">
        <v>42</v>
      </c>
      <c r="E14" s="2712" t="s">
        <v>43</v>
      </c>
      <c r="F14" s="2713">
        <f>0.454147943452342*1.2</f>
        <v>0.54497753214281</v>
      </c>
      <c r="G14" s="2713">
        <v>0.653973038571372</v>
      </c>
      <c r="H14" s="2713">
        <v>0.719370342428509</v>
      </c>
      <c r="I14" s="2713">
        <v>1.50361294599756</v>
      </c>
      <c r="J14" s="2713">
        <f t="shared" si="0"/>
        <v>1.57879359329744</v>
      </c>
      <c r="K14" s="2714">
        <f>2.3/C14</f>
        <v>0.336404855930964</v>
      </c>
      <c r="L14" s="2714">
        <f t="shared" si="1"/>
        <v>2.63456879165691</v>
      </c>
      <c r="M14" s="2713">
        <v>1.36692085999778</v>
      </c>
      <c r="N14" s="226" t="s">
        <v>44</v>
      </c>
    </row>
    <row r="15" s="2870" customFormat="1" ht="13.2" customHeight="1" spans="1:14">
      <c r="A15" s="730"/>
      <c r="B15" s="2711">
        <v>20250114</v>
      </c>
      <c r="C15" s="2711">
        <v>6.78</v>
      </c>
      <c r="D15" s="2711" t="s">
        <v>45</v>
      </c>
      <c r="E15" s="2712" t="s">
        <v>46</v>
      </c>
      <c r="F15" s="2713">
        <f>5.5/C15/1.13*1.2</f>
        <v>0.861461351711176</v>
      </c>
      <c r="G15" s="2713">
        <v>1.03375362205341</v>
      </c>
      <c r="H15" s="2713">
        <v>1.13712898425875</v>
      </c>
      <c r="I15" s="2713">
        <v>4.00138667448709</v>
      </c>
      <c r="J15" s="2713">
        <f t="shared" si="0"/>
        <v>4.20145600821145</v>
      </c>
      <c r="K15" s="2714">
        <f>2.8/C15</f>
        <v>0.412979351032448</v>
      </c>
      <c r="L15" s="2714">
        <f t="shared" si="1"/>
        <v>5.75156434350265</v>
      </c>
      <c r="M15" s="2713">
        <v>3.63762424953372</v>
      </c>
      <c r="N15" s="226" t="s">
        <v>47</v>
      </c>
    </row>
    <row r="16" s="2870" customFormat="1" ht="13.2" customHeight="1" spans="1:14">
      <c r="A16" s="730"/>
      <c r="B16" s="2688"/>
      <c r="C16" s="2689">
        <v>6.837</v>
      </c>
      <c r="D16" s="2711"/>
      <c r="E16" s="2712" t="s">
        <v>48</v>
      </c>
      <c r="F16" s="2713">
        <v>0.536139053683671</v>
      </c>
      <c r="G16" s="2713">
        <v>0.643366864420405</v>
      </c>
      <c r="H16" s="2713">
        <v>0.707703550862446</v>
      </c>
      <c r="I16" s="2713">
        <v>4.08997815542886</v>
      </c>
      <c r="J16" s="2713">
        <f t="shared" si="0"/>
        <v>4.2944770632003</v>
      </c>
      <c r="K16" s="2714">
        <v>0.4</v>
      </c>
      <c r="L16" s="2714">
        <f t="shared" si="1"/>
        <v>5.40218061406275</v>
      </c>
      <c r="M16" s="2713">
        <v>3.71816195948078</v>
      </c>
      <c r="N16" s="226" t="s">
        <v>49</v>
      </c>
    </row>
    <row r="17" s="2870" customFormat="1" ht="13.2" customHeight="1" spans="1:14">
      <c r="A17" s="730" t="s">
        <v>50</v>
      </c>
      <c r="B17" s="2711">
        <v>20240625</v>
      </c>
      <c r="C17" s="2711">
        <v>6.837</v>
      </c>
      <c r="D17" s="2711" t="s">
        <v>51</v>
      </c>
      <c r="E17" s="2712" t="s">
        <v>52</v>
      </c>
      <c r="F17" s="2713">
        <v>0.387166665468497</v>
      </c>
      <c r="G17" s="2713">
        <v>0.464599998562196</v>
      </c>
      <c r="H17" s="2713">
        <v>0.511059998418416</v>
      </c>
      <c r="I17" s="2713">
        <v>3.03333725268725</v>
      </c>
      <c r="J17" s="2713">
        <f t="shared" si="0"/>
        <v>3.18500411532161</v>
      </c>
      <c r="K17" s="2714">
        <v>0.2</v>
      </c>
      <c r="L17" s="2714">
        <f t="shared" si="1"/>
        <v>3.89606411374003</v>
      </c>
      <c r="M17" s="2713">
        <v>2.75757932062477</v>
      </c>
      <c r="N17" s="2711"/>
    </row>
    <row r="18" s="2870" customFormat="1" ht="13.2" customHeight="1" spans="1:14">
      <c r="A18" s="730"/>
      <c r="B18" s="2711">
        <v>20241030</v>
      </c>
      <c r="C18" s="2711">
        <v>6.837</v>
      </c>
      <c r="D18" s="2711" t="s">
        <v>53</v>
      </c>
      <c r="E18" s="2711" t="s">
        <v>54</v>
      </c>
      <c r="F18" s="2713">
        <v>0.59640776143743</v>
      </c>
      <c r="G18" s="2713">
        <v>0.715689313724916</v>
      </c>
      <c r="H18" s="2713">
        <v>0.787258245097408</v>
      </c>
      <c r="I18" s="2713">
        <v>7.7942757177385</v>
      </c>
      <c r="J18" s="2713">
        <f t="shared" si="0"/>
        <v>8.18398950362542</v>
      </c>
      <c r="K18" s="2714">
        <v>0.4</v>
      </c>
      <c r="L18" s="2714">
        <f t="shared" si="1"/>
        <v>9.37124774872283</v>
      </c>
      <c r="M18" s="2713">
        <v>7.08570519794409</v>
      </c>
      <c r="N18" s="226" t="s">
        <v>55</v>
      </c>
    </row>
    <row r="19" s="2870" customFormat="1" ht="13.2" customHeight="1" spans="1:14">
      <c r="A19" s="730" t="s">
        <v>56</v>
      </c>
      <c r="B19" s="2711">
        <v>20241030</v>
      </c>
      <c r="C19" s="2711">
        <v>6.7739</v>
      </c>
      <c r="D19" s="2711" t="s">
        <v>57</v>
      </c>
      <c r="E19" s="2711" t="s">
        <v>58</v>
      </c>
      <c r="F19" s="2713">
        <f>6.26/C19/1.13</f>
        <v>0.817818835360657</v>
      </c>
      <c r="G19" s="2713">
        <v>0.981382602432788</v>
      </c>
      <c r="H19" s="2713">
        <v>1.07952086267607</v>
      </c>
      <c r="I19" s="2713">
        <v>6.98775</v>
      </c>
      <c r="J19" s="2713">
        <f t="shared" si="0"/>
        <v>7.3371375</v>
      </c>
      <c r="K19" s="2714">
        <v>0.4</v>
      </c>
      <c r="L19" s="2714">
        <f t="shared" si="1"/>
        <v>8.81665836267607</v>
      </c>
      <c r="M19" s="2713">
        <f>6.05*1.05</f>
        <v>6.3525</v>
      </c>
      <c r="N19" s="226" t="s">
        <v>59</v>
      </c>
    </row>
    <row r="20" s="2870" customFormat="1" ht="13.2" customHeight="1" spans="1:14">
      <c r="A20" s="730" t="s">
        <v>50</v>
      </c>
      <c r="B20" s="2711" t="s">
        <v>60</v>
      </c>
      <c r="C20" s="2711">
        <v>6.837</v>
      </c>
      <c r="D20" s="2711" t="s">
        <v>61</v>
      </c>
      <c r="E20" s="2711" t="s">
        <v>62</v>
      </c>
      <c r="F20" s="2713">
        <v>0.388770945195324</v>
      </c>
      <c r="G20" s="2713">
        <v>0.466525134234389</v>
      </c>
      <c r="H20" s="2713">
        <v>0.513177647657828</v>
      </c>
      <c r="I20" s="2713">
        <v>3.35452446856344</v>
      </c>
      <c r="J20" s="2713">
        <f t="shared" si="0"/>
        <v>3.52225069199161</v>
      </c>
      <c r="K20" s="2714">
        <v>0.2</v>
      </c>
      <c r="L20" s="2714">
        <f t="shared" si="1"/>
        <v>4.23542833964944</v>
      </c>
      <c r="M20" s="2713">
        <v>3.04956769869404</v>
      </c>
      <c r="N20" s="2711" t="s">
        <v>63</v>
      </c>
    </row>
    <row r="21" s="2870" customFormat="1" ht="13.2" customHeight="1" spans="1:14">
      <c r="A21" s="730"/>
      <c r="B21" s="2711"/>
      <c r="C21" s="2711">
        <v>6.837</v>
      </c>
      <c r="D21" s="2711"/>
      <c r="E21" s="2712" t="s">
        <v>64</v>
      </c>
      <c r="F21" s="2713">
        <v>0.432811725480349</v>
      </c>
      <c r="G21" s="2713">
        <v>0.519374070576419</v>
      </c>
      <c r="H21" s="2713">
        <v>0.571311477634061</v>
      </c>
      <c r="I21" s="2713">
        <v>3.22290979466517</v>
      </c>
      <c r="J21" s="2713">
        <f t="shared" si="0"/>
        <v>3.38405528439843</v>
      </c>
      <c r="K21" s="2714">
        <v>0.4</v>
      </c>
      <c r="L21" s="2714">
        <f t="shared" si="1"/>
        <v>4.35536676203249</v>
      </c>
      <c r="M21" s="2713">
        <v>2.92991799515015</v>
      </c>
      <c r="N21" s="2711"/>
    </row>
    <row r="22" s="2870" customFormat="1" ht="13.2" customHeight="1" spans="1:14">
      <c r="A22" s="730"/>
      <c r="B22" s="2711"/>
      <c r="C22" s="2711">
        <v>6.837</v>
      </c>
      <c r="D22" s="2711"/>
      <c r="E22" s="2712" t="s">
        <v>65</v>
      </c>
      <c r="F22" s="2713">
        <v>0.776769749670908</v>
      </c>
      <c r="G22" s="2713">
        <v>0.932123699605089</v>
      </c>
      <c r="H22" s="2713">
        <v>1.0253360695656</v>
      </c>
      <c r="I22" s="2713">
        <v>4.61842849173322</v>
      </c>
      <c r="J22" s="2713">
        <f t="shared" si="0"/>
        <v>4.84934991631988</v>
      </c>
      <c r="K22" s="2714">
        <v>0.8</v>
      </c>
      <c r="L22" s="2714">
        <f t="shared" si="1"/>
        <v>6.67468598588548</v>
      </c>
      <c r="M22" s="2713">
        <v>4.19857135612111</v>
      </c>
      <c r="N22" s="2711" t="s">
        <v>66</v>
      </c>
    </row>
    <row r="23" s="2870" customFormat="1" ht="13.2" customHeight="1" spans="1:14">
      <c r="A23" s="730"/>
      <c r="B23" s="2711"/>
      <c r="C23" s="2711">
        <v>6.837</v>
      </c>
      <c r="D23" s="2711"/>
      <c r="E23" s="2712" t="s">
        <v>67</v>
      </c>
      <c r="F23" s="2713">
        <v>0.561212955427258</v>
      </c>
      <c r="G23" s="2713">
        <v>0.67345554651271</v>
      </c>
      <c r="H23" s="2713">
        <v>0.740801101163981</v>
      </c>
      <c r="I23" s="2713">
        <v>4.09899643642826</v>
      </c>
      <c r="J23" s="2713">
        <f t="shared" si="0"/>
        <v>4.30394625824967</v>
      </c>
      <c r="K23" s="2714">
        <v>0.4</v>
      </c>
      <c r="L23" s="2714">
        <f t="shared" si="1"/>
        <v>5.44474735941365</v>
      </c>
      <c r="M23" s="2713">
        <v>3.72636039675296</v>
      </c>
      <c r="N23" s="2711"/>
    </row>
    <row r="24" s="2870" customFormat="1" ht="13.2" customHeight="1" spans="1:14">
      <c r="A24" s="730"/>
      <c r="B24" s="2711"/>
      <c r="C24" s="2711">
        <v>6.837</v>
      </c>
      <c r="D24" s="2711"/>
      <c r="E24" s="2712" t="s">
        <v>65</v>
      </c>
      <c r="F24" s="2713">
        <v>0.776769749670908</v>
      </c>
      <c r="G24" s="2713">
        <v>0.932123699605089</v>
      </c>
      <c r="H24" s="2713">
        <v>1.0253360695656</v>
      </c>
      <c r="I24" s="2713">
        <v>4.61842849173322</v>
      </c>
      <c r="J24" s="2713">
        <f t="shared" si="0"/>
        <v>4.84934991631988</v>
      </c>
      <c r="K24" s="2714">
        <v>0.4</v>
      </c>
      <c r="L24" s="2714">
        <f t="shared" si="1"/>
        <v>6.27468598588548</v>
      </c>
      <c r="M24" s="2713">
        <v>4.19857135612111</v>
      </c>
      <c r="N24" s="2711" t="s">
        <v>66</v>
      </c>
    </row>
    <row r="25" s="2870" customFormat="1" ht="13.2" customHeight="1" spans="1:14">
      <c r="A25" s="2733"/>
      <c r="B25" s="2711">
        <v>20241115</v>
      </c>
      <c r="C25" s="2711">
        <v>6.837</v>
      </c>
      <c r="D25" s="2711" t="s">
        <v>68</v>
      </c>
      <c r="E25" s="2712" t="s">
        <v>69</v>
      </c>
      <c r="F25" s="2713">
        <v>0.452348365866614</v>
      </c>
      <c r="G25" s="2713">
        <v>0.542818039039937</v>
      </c>
      <c r="H25" s="2713">
        <v>0.597099842943931</v>
      </c>
      <c r="I25" s="2713">
        <v>2.54665753613695</v>
      </c>
      <c r="J25" s="2713">
        <f t="shared" si="0"/>
        <v>2.6739904129438</v>
      </c>
      <c r="K25" s="2714">
        <v>0.2</v>
      </c>
      <c r="L25" s="2714">
        <f t="shared" si="1"/>
        <v>3.47109025588773</v>
      </c>
      <c r="M25" s="2713">
        <v>2.31514321466995</v>
      </c>
      <c r="N25" s="2711" t="s">
        <v>70</v>
      </c>
    </row>
    <row r="26" s="2870" customFormat="1" ht="13.2" customHeight="1" spans="1:14">
      <c r="A26" s="730"/>
      <c r="B26" s="2711">
        <v>20250715</v>
      </c>
      <c r="C26" s="2711">
        <v>6.837</v>
      </c>
      <c r="D26" s="2711" t="s">
        <v>71</v>
      </c>
      <c r="E26" s="2712" t="s">
        <v>72</v>
      </c>
      <c r="F26" s="2713">
        <v>7.03960867995161</v>
      </c>
      <c r="G26" s="2713">
        <v>8.44753041594193</v>
      </c>
      <c r="H26" s="2713">
        <v>9.29228345753612</v>
      </c>
      <c r="I26" s="2713">
        <v>1.79717329324562</v>
      </c>
      <c r="J26" s="2713">
        <f t="shared" si="0"/>
        <v>1.8870319579079</v>
      </c>
      <c r="K26" s="2714">
        <v>0.2</v>
      </c>
      <c r="L26" s="2714">
        <f t="shared" si="1"/>
        <v>11.379315415444</v>
      </c>
      <c r="M26" s="2713">
        <v>1.63379390295056</v>
      </c>
      <c r="N26" s="226" t="s">
        <v>73</v>
      </c>
    </row>
    <row r="27" s="2870" customFormat="1" ht="13.2" customHeight="1" spans="1:14">
      <c r="A27" s="730"/>
      <c r="B27" s="2711">
        <v>20250218</v>
      </c>
      <c r="C27" s="2711">
        <v>6.837</v>
      </c>
      <c r="D27" s="2711" t="s">
        <v>74</v>
      </c>
      <c r="E27" s="2712" t="s">
        <v>75</v>
      </c>
      <c r="F27" s="2713">
        <v>0.348372290317235</v>
      </c>
      <c r="G27" s="2713">
        <v>0.418046748380682</v>
      </c>
      <c r="H27" s="2713">
        <v>0.45985142321875</v>
      </c>
      <c r="I27" s="2713">
        <v>1.81922693462208</v>
      </c>
      <c r="J27" s="2713">
        <f t="shared" si="0"/>
        <v>1.91018828135318</v>
      </c>
      <c r="K27" s="2714">
        <v>0.2</v>
      </c>
      <c r="L27" s="2714">
        <f t="shared" si="1"/>
        <v>2.57003970457193</v>
      </c>
      <c r="M27" s="2713">
        <v>1.65384266783825</v>
      </c>
      <c r="N27" s="2711" t="s">
        <v>76</v>
      </c>
    </row>
    <row r="28" s="2870" customFormat="1" ht="13.2" customHeight="1" spans="1:14">
      <c r="A28" s="730"/>
      <c r="B28" s="2711">
        <v>20250807</v>
      </c>
      <c r="C28" s="2711">
        <v>6.837</v>
      </c>
      <c r="D28" s="2726" t="s">
        <v>77</v>
      </c>
      <c r="E28" s="2711" t="s">
        <v>78</v>
      </c>
      <c r="F28" s="2713">
        <v>0.493680201960653</v>
      </c>
      <c r="G28" s="2713">
        <v>0.592416242352784</v>
      </c>
      <c r="H28" s="2713">
        <v>0.651657866588062</v>
      </c>
      <c r="I28" s="2713">
        <v>3.27743318622981</v>
      </c>
      <c r="J28" s="2713">
        <f t="shared" si="0"/>
        <v>3.4413048455413</v>
      </c>
      <c r="K28" s="2714">
        <v>0.4</v>
      </c>
      <c r="L28" s="2714">
        <f t="shared" si="1"/>
        <v>4.49296271212936</v>
      </c>
      <c r="M28" s="2713">
        <v>2.97948471475437</v>
      </c>
      <c r="N28" s="226" t="s">
        <v>79</v>
      </c>
    </row>
    <row r="29" s="2870" customFormat="1" ht="13.2" customHeight="1" spans="1:14">
      <c r="A29" s="730"/>
      <c r="B29" s="2711">
        <v>20240829</v>
      </c>
      <c r="C29" s="2711">
        <v>6.837</v>
      </c>
      <c r="D29" s="2711" t="s">
        <v>80</v>
      </c>
      <c r="E29" s="2711" t="s">
        <v>81</v>
      </c>
      <c r="F29" s="2713">
        <v>0.499576253579238</v>
      </c>
      <c r="G29" s="2713">
        <v>0.599491504295086</v>
      </c>
      <c r="H29" s="2713">
        <v>0.659440654724595</v>
      </c>
      <c r="I29" s="2713">
        <v>3.08887720948829</v>
      </c>
      <c r="J29" s="2713">
        <f t="shared" si="0"/>
        <v>3.2433210699627</v>
      </c>
      <c r="K29" s="2714">
        <v>0.4</v>
      </c>
      <c r="L29" s="2714">
        <f t="shared" si="1"/>
        <v>4.3027617246873</v>
      </c>
      <c r="M29" s="2713">
        <v>2.8080701904439</v>
      </c>
      <c r="N29" s="226" t="s">
        <v>82</v>
      </c>
    </row>
    <row r="30" s="2870" customFormat="1" ht="13.2" customHeight="1" spans="1:14">
      <c r="A30" s="730" t="s">
        <v>83</v>
      </c>
      <c r="B30" s="2711">
        <v>20250516</v>
      </c>
      <c r="C30" s="2711">
        <v>6.837</v>
      </c>
      <c r="D30" s="2711"/>
      <c r="E30" s="2712" t="s">
        <v>84</v>
      </c>
      <c r="F30" s="2713">
        <v>0.449915662160911</v>
      </c>
      <c r="G30" s="2713">
        <v>0.539898794593093</v>
      </c>
      <c r="H30" s="2713">
        <v>0.593888674052402</v>
      </c>
      <c r="I30" s="2713">
        <v>3.68397104623376</v>
      </c>
      <c r="J30" s="2713">
        <f t="shared" si="0"/>
        <v>3.86816959854545</v>
      </c>
      <c r="K30" s="2714">
        <v>0.4</v>
      </c>
      <c r="L30" s="2714">
        <f t="shared" si="1"/>
        <v>4.86205827259785</v>
      </c>
      <c r="M30" s="2713">
        <v>3.34906458748524</v>
      </c>
      <c r="N30" s="226" t="s">
        <v>79</v>
      </c>
    </row>
    <row r="31" s="2870" customFormat="1" ht="13.2" customHeight="1" spans="1:14">
      <c r="A31" s="2890" t="s">
        <v>85</v>
      </c>
      <c r="B31" s="2883">
        <v>46081</v>
      </c>
      <c r="C31" s="2711">
        <v>6.837</v>
      </c>
      <c r="D31" s="730" t="s">
        <v>86</v>
      </c>
      <c r="E31" s="2712" t="s">
        <v>87</v>
      </c>
      <c r="F31" s="2713">
        <f>2.64/C31/1.13</f>
        <v>0.341711742846381</v>
      </c>
      <c r="G31" s="2713">
        <v>0.410054091415657</v>
      </c>
      <c r="H31" s="2713">
        <v>0.451059500557223</v>
      </c>
      <c r="I31" s="2713">
        <v>3.46586175515577</v>
      </c>
      <c r="J31" s="2713">
        <f t="shared" si="0"/>
        <v>3.63915484291356</v>
      </c>
      <c r="K31" s="2714">
        <f>3.14/C31</f>
        <v>0.459265759836186</v>
      </c>
      <c r="L31" s="2714">
        <f t="shared" si="1"/>
        <v>4.54948010330697</v>
      </c>
      <c r="M31" s="2713">
        <v>3.15078341377797</v>
      </c>
      <c r="N31" s="2711" t="s">
        <v>88</v>
      </c>
    </row>
    <row r="32" s="2870" customFormat="1" ht="13.2" customHeight="1" spans="1:14">
      <c r="A32" s="730"/>
      <c r="B32" s="2711">
        <v>20240802</v>
      </c>
      <c r="C32" s="2711">
        <v>6.837</v>
      </c>
      <c r="D32" s="2711" t="s">
        <v>89</v>
      </c>
      <c r="E32" s="2712" t="s">
        <v>90</v>
      </c>
      <c r="F32" s="2713">
        <v>0.606772675717842</v>
      </c>
      <c r="G32" s="2713">
        <v>0.72812721086141</v>
      </c>
      <c r="H32" s="2713">
        <v>0.800939931947551</v>
      </c>
      <c r="I32" s="2713">
        <v>0.718572952334546</v>
      </c>
      <c r="J32" s="2713">
        <f t="shared" si="0"/>
        <v>0.754501599951273</v>
      </c>
      <c r="K32" s="2714">
        <v>0.2</v>
      </c>
      <c r="L32" s="2714">
        <f t="shared" si="1"/>
        <v>1.75544153189882</v>
      </c>
      <c r="M32" s="2713">
        <v>0.653248138485951</v>
      </c>
      <c r="N32" s="2711"/>
    </row>
    <row r="33" s="2870" customFormat="1" ht="13.2" customHeight="1" spans="1:14">
      <c r="A33" s="730"/>
      <c r="B33" s="2711"/>
      <c r="C33" s="2711">
        <v>6.837</v>
      </c>
      <c r="D33" s="2711"/>
      <c r="E33" s="2712" t="s">
        <v>91</v>
      </c>
      <c r="F33" s="2713">
        <v>0.257793352483482</v>
      </c>
      <c r="G33" s="2713">
        <v>0.309352022980178</v>
      </c>
      <c r="H33" s="2713">
        <v>0.340287225278196</v>
      </c>
      <c r="I33" s="2713">
        <v>1.08962893505221</v>
      </c>
      <c r="J33" s="2713">
        <f t="shared" si="0"/>
        <v>1.14411038180482</v>
      </c>
      <c r="K33" s="2714">
        <v>0.2</v>
      </c>
      <c r="L33" s="2714">
        <f t="shared" si="1"/>
        <v>1.68439760708302</v>
      </c>
      <c r="M33" s="2713">
        <v>0.990571759138375</v>
      </c>
      <c r="N33" s="2711"/>
    </row>
    <row r="34" s="2870" customFormat="1" ht="13.2" customHeight="1" spans="1:14">
      <c r="A34" s="730"/>
      <c r="B34" s="2711"/>
      <c r="C34" s="2711">
        <v>6.837</v>
      </c>
      <c r="D34" s="2711"/>
      <c r="E34" s="2712" t="s">
        <v>92</v>
      </c>
      <c r="F34" s="2713">
        <v>0.369676381740558</v>
      </c>
      <c r="G34" s="2713">
        <v>0.44361165808867</v>
      </c>
      <c r="H34" s="2713">
        <v>0.487972823897537</v>
      </c>
      <c r="I34" s="2713">
        <v>1.56919338417853</v>
      </c>
      <c r="J34" s="2713">
        <f t="shared" si="0"/>
        <v>1.64765305338746</v>
      </c>
      <c r="K34" s="2714">
        <v>0.2</v>
      </c>
      <c r="L34" s="2714">
        <f t="shared" si="1"/>
        <v>2.335625877285</v>
      </c>
      <c r="M34" s="2713">
        <v>1.4265394401623</v>
      </c>
      <c r="N34" s="2711"/>
    </row>
    <row r="35" s="2870" customFormat="1" ht="13.2" customHeight="1" spans="1:14">
      <c r="A35" s="730"/>
      <c r="B35" s="2711"/>
      <c r="C35" s="2711">
        <v>6.837</v>
      </c>
      <c r="D35" s="2711"/>
      <c r="E35" s="730" t="s">
        <v>93</v>
      </c>
      <c r="F35" s="2713">
        <v>1.63463131312638</v>
      </c>
      <c r="G35" s="2713">
        <v>1.96155757575166</v>
      </c>
      <c r="H35" s="2713">
        <v>2.15771333332683</v>
      </c>
      <c r="I35" s="2713">
        <v>2.25843532244329</v>
      </c>
      <c r="J35" s="2713">
        <f t="shared" si="0"/>
        <v>2.37135708856545</v>
      </c>
      <c r="K35" s="2714">
        <v>0.2</v>
      </c>
      <c r="L35" s="2714">
        <f t="shared" si="1"/>
        <v>4.72907042189228</v>
      </c>
      <c r="M35" s="2713">
        <v>2.05312302040299</v>
      </c>
      <c r="N35" s="2711"/>
    </row>
    <row r="36" s="2870" customFormat="1" ht="13.2" customHeight="1" spans="1:14">
      <c r="A36" s="730"/>
      <c r="B36" s="2711"/>
      <c r="C36" s="2711">
        <v>6.837</v>
      </c>
      <c r="D36" s="2711"/>
      <c r="E36" s="2712" t="s">
        <v>94</v>
      </c>
      <c r="F36" s="2713">
        <v>0.170025271186142</v>
      </c>
      <c r="G36" s="2713">
        <v>0.20403032542337</v>
      </c>
      <c r="H36" s="2713">
        <v>0.224433357965707</v>
      </c>
      <c r="I36" s="2713">
        <v>0.966897355257978</v>
      </c>
      <c r="J36" s="2713">
        <f t="shared" si="0"/>
        <v>1.01524222302088</v>
      </c>
      <c r="K36" s="2714">
        <v>0.2</v>
      </c>
      <c r="L36" s="2714">
        <f t="shared" si="1"/>
        <v>1.43967558098659</v>
      </c>
      <c r="M36" s="2713">
        <v>0.878997595689071</v>
      </c>
      <c r="N36" s="2764"/>
    </row>
    <row r="37" s="2870" customFormat="1" ht="13.2" customHeight="1" spans="1:14">
      <c r="A37" s="730"/>
      <c r="B37" s="2711"/>
      <c r="C37" s="2711">
        <v>6.837</v>
      </c>
      <c r="D37" s="2711"/>
      <c r="E37" s="2712" t="s">
        <v>95</v>
      </c>
      <c r="F37" s="2713">
        <v>0.0850126355930711</v>
      </c>
      <c r="G37" s="2713">
        <v>0.102015162711685</v>
      </c>
      <c r="H37" s="2713">
        <v>0.112216678982854</v>
      </c>
      <c r="I37" s="2713">
        <v>4.06327769792301</v>
      </c>
      <c r="J37" s="2713">
        <f t="shared" si="0"/>
        <v>4.26644158281916</v>
      </c>
      <c r="K37" s="2714">
        <v>0.2</v>
      </c>
      <c r="L37" s="2714">
        <f t="shared" si="1"/>
        <v>4.57865826180201</v>
      </c>
      <c r="M37" s="2713">
        <v>3.69388881629365</v>
      </c>
      <c r="N37" s="2764"/>
    </row>
    <row r="38" s="2870" customFormat="1" ht="13.2" customHeight="1" spans="1:14">
      <c r="A38" s="2891"/>
      <c r="B38" s="2731">
        <v>20250425</v>
      </c>
      <c r="C38" s="2711">
        <v>6.837</v>
      </c>
      <c r="D38" s="2731" t="s">
        <v>96</v>
      </c>
      <c r="E38" s="2711" t="s">
        <v>97</v>
      </c>
      <c r="F38" s="2713">
        <v>0.204372672818757</v>
      </c>
      <c r="G38" s="2713">
        <v>0.245247207382508</v>
      </c>
      <c r="H38" s="2713">
        <v>0.269771928120759</v>
      </c>
      <c r="I38" s="2713">
        <v>1.0900664447544</v>
      </c>
      <c r="J38" s="2713">
        <f t="shared" si="0"/>
        <v>1.14456976699212</v>
      </c>
      <c r="K38" s="2714">
        <v>0.2</v>
      </c>
      <c r="L38" s="2714">
        <f t="shared" si="1"/>
        <v>1.61434169511288</v>
      </c>
      <c r="M38" s="2713">
        <v>0.990969495231275</v>
      </c>
      <c r="N38" s="2711" t="s">
        <v>63</v>
      </c>
    </row>
    <row r="39" s="2870" customFormat="1" ht="13.2" customHeight="1" spans="1:14">
      <c r="A39" s="2891"/>
      <c r="B39" s="2731">
        <v>20240814</v>
      </c>
      <c r="C39" s="2731">
        <v>6.837</v>
      </c>
      <c r="D39" s="2731"/>
      <c r="E39" s="2711" t="s">
        <v>98</v>
      </c>
      <c r="F39" s="2713">
        <v>0.191478233458454</v>
      </c>
      <c r="G39" s="2713">
        <v>0.229773880150145</v>
      </c>
      <c r="H39" s="2713">
        <v>0.25275126816516</v>
      </c>
      <c r="I39" s="2713">
        <v>1.20576976847625</v>
      </c>
      <c r="J39" s="2713">
        <f t="shared" si="0"/>
        <v>1.26605825690006</v>
      </c>
      <c r="K39" s="2714">
        <v>0.2</v>
      </c>
      <c r="L39" s="2714">
        <f t="shared" si="1"/>
        <v>1.71880952506522</v>
      </c>
      <c r="M39" s="2713">
        <v>1.09615433497841</v>
      </c>
      <c r="N39" s="226" t="s">
        <v>33</v>
      </c>
    </row>
    <row r="40" s="2870" customFormat="1" ht="13.2" customHeight="1" spans="1:14">
      <c r="A40" s="2891"/>
      <c r="B40" s="2731"/>
      <c r="C40" s="2731">
        <v>6.837</v>
      </c>
      <c r="D40" s="2731"/>
      <c r="E40" s="2711" t="s">
        <v>99</v>
      </c>
      <c r="F40" s="2713">
        <v>0.33097367242615</v>
      </c>
      <c r="G40" s="2713">
        <v>0.39716840691138</v>
      </c>
      <c r="H40" s="2713">
        <v>0.436885247602518</v>
      </c>
      <c r="I40" s="2713">
        <v>1.20157515125624</v>
      </c>
      <c r="J40" s="2713">
        <f t="shared" si="0"/>
        <v>1.26165390881905</v>
      </c>
      <c r="K40" s="2714">
        <v>0.2</v>
      </c>
      <c r="L40" s="2714">
        <f t="shared" si="1"/>
        <v>1.89853915642157</v>
      </c>
      <c r="M40" s="2713">
        <v>1.09234104659658</v>
      </c>
      <c r="N40" s="2711"/>
    </row>
    <row r="41" s="2870" customFormat="1" ht="13.2" customHeight="1" spans="1:14">
      <c r="A41" s="2733" t="s">
        <v>100</v>
      </c>
      <c r="B41" s="2883">
        <v>46079</v>
      </c>
      <c r="C41" s="2711">
        <v>6.75</v>
      </c>
      <c r="D41" s="2711" t="s">
        <v>101</v>
      </c>
      <c r="E41" s="2711" t="s">
        <v>102</v>
      </c>
      <c r="F41" s="2713">
        <f>3.13/C41/1.13</f>
        <v>0.410357259914782</v>
      </c>
      <c r="G41" s="2713">
        <v>0.486162615958715</v>
      </c>
      <c r="H41" s="2713">
        <f>5/C41/1.13</f>
        <v>0.655522779416585</v>
      </c>
      <c r="I41" s="2713">
        <v>1.9703717419921</v>
      </c>
      <c r="J41" s="2713">
        <f t="shared" si="0"/>
        <v>2.0688903290917</v>
      </c>
      <c r="K41" s="2714">
        <f>2.6/C41/1.13</f>
        <v>0.340871845296624</v>
      </c>
      <c r="L41" s="2714">
        <f t="shared" si="1"/>
        <v>3.06528495380491</v>
      </c>
      <c r="M41" s="2713">
        <v>1.79124703817464</v>
      </c>
      <c r="N41" s="2711" t="s">
        <v>103</v>
      </c>
    </row>
    <row r="42" s="2870" customFormat="1" ht="13.2" customHeight="1" spans="1:14">
      <c r="A42" s="2733" t="s">
        <v>104</v>
      </c>
      <c r="B42" s="2883">
        <v>46285</v>
      </c>
      <c r="C42" s="2711">
        <v>6.7</v>
      </c>
      <c r="D42" s="2711" t="s">
        <v>105</v>
      </c>
      <c r="E42" s="2711" t="s">
        <v>106</v>
      </c>
      <c r="F42" s="2713">
        <f>6.3/6.78/1.13</f>
        <v>0.822304017542486</v>
      </c>
      <c r="G42" s="2713">
        <v>0.986764821050983</v>
      </c>
      <c r="H42" s="2713">
        <f>4.27/C42/1.13</f>
        <v>0.563994188350284</v>
      </c>
      <c r="I42" s="2713">
        <v>3.47031843001316</v>
      </c>
      <c r="J42" s="2713">
        <v>3.35</v>
      </c>
      <c r="K42" s="2714">
        <f>3.06/C42/1.13</f>
        <v>0.404173821159688</v>
      </c>
      <c r="L42" s="2714">
        <f t="shared" si="1"/>
        <v>4.31816800950997</v>
      </c>
      <c r="M42" s="2713">
        <v>3.1548349363756</v>
      </c>
      <c r="N42" s="2711" t="s">
        <v>103</v>
      </c>
    </row>
    <row r="43" s="2870" customFormat="1" ht="13.2" customHeight="1" spans="1:14">
      <c r="A43" s="2733" t="s">
        <v>107</v>
      </c>
      <c r="B43" s="2883">
        <v>46151</v>
      </c>
      <c r="C43" s="2711">
        <v>6.75</v>
      </c>
      <c r="D43" s="2711" t="s">
        <v>108</v>
      </c>
      <c r="E43" s="2711" t="s">
        <v>109</v>
      </c>
      <c r="F43" s="2713">
        <f>3.2/C43/1.13*1.3</f>
        <v>0.545394952474599</v>
      </c>
      <c r="G43" s="2713">
        <v>0.647604537798206</v>
      </c>
      <c r="H43" s="2713">
        <f>4.2/C43/1.13</f>
        <v>0.550639134709931</v>
      </c>
      <c r="I43" s="2713">
        <v>3.41</v>
      </c>
      <c r="J43" s="2713">
        <f t="shared" si="0"/>
        <v>3.5805</v>
      </c>
      <c r="K43" s="2714">
        <v>0.4</v>
      </c>
      <c r="L43" s="2714">
        <f t="shared" si="1"/>
        <v>4.53113913470993</v>
      </c>
      <c r="M43" s="2713">
        <v>3.1</v>
      </c>
      <c r="N43" s="2711" t="s">
        <v>110</v>
      </c>
    </row>
    <row r="44" s="2870" customFormat="1" ht="13.2" customHeight="1" spans="1:14">
      <c r="A44" s="2733" t="s">
        <v>107</v>
      </c>
      <c r="B44" s="2711">
        <v>20250430</v>
      </c>
      <c r="C44" s="2711">
        <v>6.837</v>
      </c>
      <c r="D44" s="2711" t="s">
        <v>111</v>
      </c>
      <c r="E44" s="2711" t="s">
        <v>112</v>
      </c>
      <c r="F44" s="2713">
        <v>0.367369283042304</v>
      </c>
      <c r="G44" s="2713">
        <v>0.440843139650765</v>
      </c>
      <c r="H44" s="2713">
        <v>0.484927453615842</v>
      </c>
      <c r="I44" s="2713">
        <v>3.2506484204405</v>
      </c>
      <c r="J44" s="2713">
        <f t="shared" si="0"/>
        <v>3.41318084146253</v>
      </c>
      <c r="K44" s="2714">
        <v>0.4</v>
      </c>
      <c r="L44" s="2714">
        <f t="shared" si="1"/>
        <v>4.29810829507837</v>
      </c>
      <c r="M44" s="2713">
        <v>2.95513492767318</v>
      </c>
      <c r="N44" s="2711" t="s">
        <v>113</v>
      </c>
    </row>
    <row r="45" s="2870" customFormat="1" ht="13.2" customHeight="1" spans="1:14">
      <c r="A45" s="2733" t="s">
        <v>107</v>
      </c>
      <c r="B45" s="2711">
        <v>20250506</v>
      </c>
      <c r="C45" s="2711">
        <v>6.837</v>
      </c>
      <c r="D45" s="2711" t="s">
        <v>114</v>
      </c>
      <c r="E45" s="2711" t="s">
        <v>115</v>
      </c>
      <c r="F45" s="2713">
        <v>0.363325540109113</v>
      </c>
      <c r="G45" s="2713">
        <v>0.435990648130936</v>
      </c>
      <c r="H45" s="2713">
        <v>0.47958971294403</v>
      </c>
      <c r="I45" s="2713">
        <v>1.66934755839012</v>
      </c>
      <c r="J45" s="2713">
        <f t="shared" si="0"/>
        <v>1.75281493630963</v>
      </c>
      <c r="K45" s="2714">
        <v>0.2</v>
      </c>
      <c r="L45" s="2714">
        <f t="shared" si="1"/>
        <v>2.43240464925366</v>
      </c>
      <c r="M45" s="2713">
        <v>1.51758868944556</v>
      </c>
      <c r="N45" s="2711" t="s">
        <v>103</v>
      </c>
    </row>
    <row r="46" s="2870" customFormat="1" ht="13.2" customHeight="1" spans="1:14">
      <c r="A46" s="2733" t="s">
        <v>107</v>
      </c>
      <c r="B46" s="2711">
        <v>20250605</v>
      </c>
      <c r="C46" s="2711">
        <v>6.837</v>
      </c>
      <c r="D46" s="2711" t="s">
        <v>116</v>
      </c>
      <c r="E46" s="2711" t="s">
        <v>117</v>
      </c>
      <c r="F46" s="2713">
        <v>0.411171139206331</v>
      </c>
      <c r="G46" s="2713">
        <v>0.493405367047597</v>
      </c>
      <c r="H46" s="2713">
        <v>0.542745903752357</v>
      </c>
      <c r="I46" s="2713">
        <v>3.31603010292089</v>
      </c>
      <c r="J46" s="2713">
        <f t="shared" si="0"/>
        <v>3.48183160806693</v>
      </c>
      <c r="K46" s="2714">
        <v>0.4</v>
      </c>
      <c r="L46" s="2714">
        <f t="shared" si="1"/>
        <v>4.42457751181929</v>
      </c>
      <c r="M46" s="2713">
        <v>3.01457282083717</v>
      </c>
      <c r="N46" s="2711" t="s">
        <v>118</v>
      </c>
    </row>
    <row r="47" s="2870" customFormat="1" ht="13.2" customHeight="1" spans="1:14">
      <c r="A47" s="2733" t="s">
        <v>107</v>
      </c>
      <c r="B47" s="2711"/>
      <c r="C47" s="2711">
        <v>6.837</v>
      </c>
      <c r="D47" s="2711"/>
      <c r="E47" s="2711" t="s">
        <v>119</v>
      </c>
      <c r="F47" s="2713">
        <v>0.430684217639316</v>
      </c>
      <c r="G47" s="2713">
        <v>0.516821061167179</v>
      </c>
      <c r="H47" s="2713">
        <v>0.568503167283897</v>
      </c>
      <c r="I47" s="2713">
        <v>3.46586175515577</v>
      </c>
      <c r="J47" s="2713">
        <f t="shared" si="0"/>
        <v>3.63915484291356</v>
      </c>
      <c r="K47" s="2714">
        <v>0.4</v>
      </c>
      <c r="L47" s="2714">
        <f t="shared" si="1"/>
        <v>4.60765801019746</v>
      </c>
      <c r="M47" s="2713">
        <v>3.15078341377797</v>
      </c>
      <c r="N47" s="2711" t="s">
        <v>118</v>
      </c>
    </row>
    <row r="48" s="2870" customFormat="1" ht="13.2" customHeight="1" spans="1:14">
      <c r="A48" s="730" t="s">
        <v>19</v>
      </c>
      <c r="B48" s="2883">
        <v>46081</v>
      </c>
      <c r="C48" s="2711">
        <v>6.837</v>
      </c>
      <c r="D48" s="2711"/>
      <c r="E48" s="2711" t="s">
        <v>120</v>
      </c>
      <c r="F48" s="2713">
        <v>1.02109915655256</v>
      </c>
      <c r="G48" s="2713">
        <v>1.22531898786307</v>
      </c>
      <c r="H48" s="2713">
        <v>1.34785088664938</v>
      </c>
      <c r="I48" s="2713">
        <v>1.67084965435141</v>
      </c>
      <c r="J48" s="2713">
        <f t="shared" si="0"/>
        <v>1.75439213706898</v>
      </c>
      <c r="K48" s="2714">
        <v>0.2</v>
      </c>
      <c r="L48" s="2714">
        <f t="shared" si="1"/>
        <v>3.30224302371836</v>
      </c>
      <c r="M48" s="2713">
        <v>1.51895423122855</v>
      </c>
      <c r="N48" s="2711"/>
    </row>
    <row r="49" s="2870" customFormat="1" ht="13.2" customHeight="1" spans="1:14">
      <c r="A49" s="730" t="s">
        <v>19</v>
      </c>
      <c r="B49" s="2883">
        <v>46081</v>
      </c>
      <c r="C49" s="2711">
        <v>6.837</v>
      </c>
      <c r="D49" s="2711"/>
      <c r="E49" s="2711" t="s">
        <v>121</v>
      </c>
      <c r="F49" s="2713">
        <v>0.289549897441264</v>
      </c>
      <c r="G49" s="2713">
        <v>0.347459876929517</v>
      </c>
      <c r="H49" s="2713">
        <v>0.382205864622469</v>
      </c>
      <c r="I49" s="2713">
        <v>1.59858644470954</v>
      </c>
      <c r="J49" s="2713">
        <f t="shared" si="0"/>
        <v>1.67851576694502</v>
      </c>
      <c r="K49" s="2714">
        <v>0.2</v>
      </c>
      <c r="L49" s="2714">
        <f t="shared" si="1"/>
        <v>2.26072163156749</v>
      </c>
      <c r="M49" s="2713">
        <v>1.4532604042814</v>
      </c>
      <c r="N49" s="2711"/>
    </row>
    <row r="50" s="2870" customFormat="1" ht="13.2" customHeight="1" spans="1:14">
      <c r="A50" s="730" t="s">
        <v>19</v>
      </c>
      <c r="B50" s="2711"/>
      <c r="C50" s="2711">
        <v>6.837</v>
      </c>
      <c r="D50" s="2711"/>
      <c r="E50" s="2711" t="s">
        <v>122</v>
      </c>
      <c r="F50" s="2713">
        <v>0.427468370844789</v>
      </c>
      <c r="G50" s="2713">
        <v>0.512962045013747</v>
      </c>
      <c r="H50" s="2713">
        <v>0.564258249515122</v>
      </c>
      <c r="I50" s="2713">
        <v>3.01398897034803</v>
      </c>
      <c r="J50" s="2713">
        <f t="shared" si="0"/>
        <v>3.16468841886543</v>
      </c>
      <c r="K50" s="2714">
        <v>0.4</v>
      </c>
      <c r="L50" s="2714">
        <f t="shared" si="1"/>
        <v>4.12894666838055</v>
      </c>
      <c r="M50" s="2713">
        <v>2.73998997304366</v>
      </c>
      <c r="N50" s="2711" t="s">
        <v>25</v>
      </c>
    </row>
    <row r="51" s="2870" customFormat="1" ht="13.2" customHeight="1" spans="1:14">
      <c r="A51" s="730" t="s">
        <v>19</v>
      </c>
      <c r="B51" s="2711"/>
      <c r="C51" s="2711">
        <v>6.837</v>
      </c>
      <c r="D51" s="2711"/>
      <c r="E51" s="2711" t="s">
        <v>123</v>
      </c>
      <c r="F51" s="2713">
        <v>0.485078191428083</v>
      </c>
      <c r="G51" s="2713">
        <v>0.5820938297137</v>
      </c>
      <c r="H51" s="2713">
        <v>0.64030321268507</v>
      </c>
      <c r="I51" s="2713">
        <v>5.08207755352669</v>
      </c>
      <c r="J51" s="2713">
        <f t="shared" si="0"/>
        <v>5.33618143120303</v>
      </c>
      <c r="K51" s="2714">
        <v>0.4</v>
      </c>
      <c r="L51" s="2714">
        <f t="shared" si="1"/>
        <v>6.3764846438881</v>
      </c>
      <c r="M51" s="2713">
        <v>4.62007050320608</v>
      </c>
      <c r="N51" s="2711" t="s">
        <v>124</v>
      </c>
    </row>
    <row r="52" s="2870" customFormat="1" ht="13.2" customHeight="1" spans="1:14">
      <c r="A52" s="730" t="s">
        <v>19</v>
      </c>
      <c r="B52" s="2711"/>
      <c r="C52" s="2711">
        <v>6.837</v>
      </c>
      <c r="D52" s="2711"/>
      <c r="E52" s="2711" t="s">
        <v>125</v>
      </c>
      <c r="F52" s="2713">
        <f>0.328256083931726</f>
        <v>0.328256083931726</v>
      </c>
      <c r="G52" s="2713">
        <v>0.393907300718071</v>
      </c>
      <c r="H52" s="2713">
        <f>0.66</f>
        <v>0.66</v>
      </c>
      <c r="I52" s="2713">
        <v>1.60340416052943</v>
      </c>
      <c r="J52" s="2713">
        <f t="shared" si="0"/>
        <v>1.6835743685559</v>
      </c>
      <c r="K52" s="2714">
        <v>0.2</v>
      </c>
      <c r="L52" s="2714">
        <f t="shared" si="1"/>
        <v>2.5435743685559</v>
      </c>
      <c r="M52" s="2713">
        <v>1.45764014593585</v>
      </c>
      <c r="N52" s="2711"/>
    </row>
    <row r="53" s="2870" customFormat="1" ht="13.2" customHeight="1" spans="1:14">
      <c r="A53" s="730" t="s">
        <v>19</v>
      </c>
      <c r="B53" s="2711">
        <v>20240301</v>
      </c>
      <c r="C53" s="2711">
        <v>6.837</v>
      </c>
      <c r="D53" s="2711" t="s">
        <v>126</v>
      </c>
      <c r="E53" s="2711" t="s">
        <v>127</v>
      </c>
      <c r="F53" s="2713">
        <v>0.242329481714258</v>
      </c>
      <c r="G53" s="2713">
        <v>0.29079537805711</v>
      </c>
      <c r="H53" s="2713">
        <v>0.319874915862821</v>
      </c>
      <c r="I53" s="2713">
        <v>0.0448383617717347</v>
      </c>
      <c r="J53" s="2713">
        <f t="shared" si="0"/>
        <v>0.0470802798603214</v>
      </c>
      <c r="K53" s="2714">
        <v>0.2</v>
      </c>
      <c r="L53" s="2714">
        <f t="shared" si="1"/>
        <v>0.566955195723142</v>
      </c>
      <c r="M53" s="2713">
        <v>0.0407621470652134</v>
      </c>
      <c r="N53" s="2711"/>
    </row>
    <row r="54" s="2870" customFormat="1" ht="13.2" customHeight="1" spans="1:14">
      <c r="A54" s="730" t="s">
        <v>19</v>
      </c>
      <c r="B54" s="2711">
        <v>20240301</v>
      </c>
      <c r="C54" s="2711">
        <v>6.837</v>
      </c>
      <c r="D54" s="2711" t="s">
        <v>128</v>
      </c>
      <c r="E54" s="2711" t="s">
        <v>129</v>
      </c>
      <c r="F54" s="2713">
        <v>0.635872560018212</v>
      </c>
      <c r="G54" s="2713">
        <v>0.763047072021854</v>
      </c>
      <c r="H54" s="2713">
        <v>0.839351779224039</v>
      </c>
      <c r="I54" s="2713">
        <v>5.08707111741498</v>
      </c>
      <c r="J54" s="2713">
        <f t="shared" si="0"/>
        <v>5.34142467328573</v>
      </c>
      <c r="K54" s="2714">
        <v>0.4</v>
      </c>
      <c r="L54" s="2714">
        <f t="shared" si="1"/>
        <v>6.58077645250977</v>
      </c>
      <c r="M54" s="2713">
        <v>4.62461010674089</v>
      </c>
      <c r="N54" s="2736" t="s">
        <v>130</v>
      </c>
    </row>
    <row r="55" s="2870" customFormat="1" ht="13.2" customHeight="1" spans="1:14">
      <c r="A55" s="730" t="s">
        <v>19</v>
      </c>
      <c r="B55" s="2711">
        <v>20241010</v>
      </c>
      <c r="C55" s="2711">
        <v>6.837</v>
      </c>
      <c r="D55" s="2711" t="s">
        <v>131</v>
      </c>
      <c r="E55" s="2711" t="s">
        <v>132</v>
      </c>
      <c r="F55" s="2713">
        <v>0.497833364063365</v>
      </c>
      <c r="G55" s="2713">
        <v>0.597400036876038</v>
      </c>
      <c r="H55" s="2713">
        <v>0.657140040563642</v>
      </c>
      <c r="I55" s="2713">
        <v>5.02715950281081</v>
      </c>
      <c r="J55" s="2713">
        <f t="shared" si="0"/>
        <v>5.27851747795135</v>
      </c>
      <c r="K55" s="2714">
        <v>0.4</v>
      </c>
      <c r="L55" s="2714">
        <f t="shared" si="1"/>
        <v>6.33565751851499</v>
      </c>
      <c r="M55" s="2713">
        <v>4.57014500255528</v>
      </c>
      <c r="N55" s="260" t="s">
        <v>133</v>
      </c>
    </row>
    <row r="56" s="2870" customFormat="1" ht="13.2" customHeight="1" spans="1:14">
      <c r="A56" s="730" t="s">
        <v>19</v>
      </c>
      <c r="B56" s="2711">
        <v>20241011</v>
      </c>
      <c r="C56" s="2711">
        <v>6.837</v>
      </c>
      <c r="D56" s="2711" t="s">
        <v>134</v>
      </c>
      <c r="E56" s="2712" t="s">
        <v>135</v>
      </c>
      <c r="F56" s="2713">
        <v>0.59640776143743</v>
      </c>
      <c r="G56" s="2713">
        <v>0.715689313724916</v>
      </c>
      <c r="H56" s="2713">
        <v>0.787258245097408</v>
      </c>
      <c r="I56" s="2713">
        <v>3.25902164687904</v>
      </c>
      <c r="J56" s="2713">
        <f t="shared" si="0"/>
        <v>3.42197272922299</v>
      </c>
      <c r="K56" s="2714">
        <v>0.4</v>
      </c>
      <c r="L56" s="2714">
        <f t="shared" si="1"/>
        <v>4.6092309743204</v>
      </c>
      <c r="M56" s="2713">
        <v>2.96274695170822</v>
      </c>
      <c r="N56" s="260" t="s">
        <v>136</v>
      </c>
    </row>
    <row r="57" s="2870" customFormat="1" ht="13.2" customHeight="1" spans="1:14">
      <c r="A57" s="730" t="s">
        <v>19</v>
      </c>
      <c r="B57" s="2711">
        <v>20241011</v>
      </c>
      <c r="C57" s="2711">
        <v>6.837</v>
      </c>
      <c r="D57" s="2711" t="s">
        <v>137</v>
      </c>
      <c r="E57" s="2711" t="s">
        <v>138</v>
      </c>
      <c r="F57" s="2713">
        <v>0.450619197530504</v>
      </c>
      <c r="G57" s="2713">
        <v>0.540743037036605</v>
      </c>
      <c r="H57" s="2713">
        <v>0.594817340740265</v>
      </c>
      <c r="I57" s="2713">
        <v>2.86456378812623</v>
      </c>
      <c r="J57" s="2713">
        <f t="shared" si="0"/>
        <v>3.00779197753254</v>
      </c>
      <c r="K57" s="2714">
        <v>0.4</v>
      </c>
      <c r="L57" s="2714">
        <f t="shared" si="1"/>
        <v>4.00260931827281</v>
      </c>
      <c r="M57" s="2713">
        <v>2.60414889829657</v>
      </c>
      <c r="N57" s="260" t="s">
        <v>82</v>
      </c>
    </row>
    <row r="58" s="2870" customFormat="1" ht="13.2" customHeight="1" spans="1:14">
      <c r="A58" s="730" t="s">
        <v>19</v>
      </c>
      <c r="B58" s="2711">
        <v>20241025</v>
      </c>
      <c r="C58" s="2711">
        <v>6.837</v>
      </c>
      <c r="D58" s="2711" t="s">
        <v>139</v>
      </c>
      <c r="E58" s="2711" t="s">
        <v>140</v>
      </c>
      <c r="F58" s="2713">
        <v>0.616288020152011</v>
      </c>
      <c r="G58" s="2713">
        <v>0.739545624182413</v>
      </c>
      <c r="H58" s="2713">
        <v>0.813500186600654</v>
      </c>
      <c r="I58" s="2713">
        <v>3.12604848437394</v>
      </c>
      <c r="J58" s="2713">
        <f t="shared" si="0"/>
        <v>3.28235090859264</v>
      </c>
      <c r="K58" s="2714">
        <v>0.4</v>
      </c>
      <c r="L58" s="2714">
        <f t="shared" si="1"/>
        <v>4.49585109519329</v>
      </c>
      <c r="M58" s="2713">
        <v>2.84186225852176</v>
      </c>
      <c r="N58" s="260" t="s">
        <v>82</v>
      </c>
    </row>
    <row r="59" s="2870" customFormat="1" ht="13.2" customHeight="1" spans="1:14">
      <c r="A59" s="730" t="s">
        <v>19</v>
      </c>
      <c r="B59" s="2711"/>
      <c r="C59" s="2711">
        <v>6.837</v>
      </c>
      <c r="D59" s="2711"/>
      <c r="E59" s="2711" t="s">
        <v>129</v>
      </c>
      <c r="F59" s="2713">
        <v>0.626304026283327</v>
      </c>
      <c r="G59" s="2713">
        <v>0.751564831539992</v>
      </c>
      <c r="H59" s="2713">
        <v>0.826721314693991</v>
      </c>
      <c r="I59" s="2713">
        <v>5.0589657521254</v>
      </c>
      <c r="J59" s="2713">
        <f t="shared" si="0"/>
        <v>5.31191403973167</v>
      </c>
      <c r="K59" s="2714">
        <v>0.4</v>
      </c>
      <c r="L59" s="2714">
        <f t="shared" si="1"/>
        <v>6.53863535442566</v>
      </c>
      <c r="M59" s="2713">
        <v>4.59905977465945</v>
      </c>
      <c r="N59" s="2736" t="s">
        <v>130</v>
      </c>
    </row>
    <row r="60" s="2870" customFormat="1" ht="13.2" customHeight="1" spans="1:14">
      <c r="A60" s="730" t="s">
        <v>19</v>
      </c>
      <c r="B60" s="2711">
        <v>20241213</v>
      </c>
      <c r="C60" s="2711">
        <v>6.837</v>
      </c>
      <c r="D60" s="2711" t="s">
        <v>141</v>
      </c>
      <c r="E60" s="2711" t="s">
        <v>142</v>
      </c>
      <c r="F60" s="2713">
        <v>0.674943414384319</v>
      </c>
      <c r="G60" s="2713">
        <v>0.809932097261183</v>
      </c>
      <c r="H60" s="2713">
        <v>0.890925306987301</v>
      </c>
      <c r="I60" s="2713">
        <v>3.45082394645101</v>
      </c>
      <c r="J60" s="2713">
        <f t="shared" si="0"/>
        <v>3.62336514377356</v>
      </c>
      <c r="K60" s="2714">
        <v>0.4</v>
      </c>
      <c r="L60" s="2714">
        <f t="shared" si="1"/>
        <v>4.91429045076086</v>
      </c>
      <c r="M60" s="2713">
        <v>3.13711267859183</v>
      </c>
      <c r="N60" s="2736" t="s">
        <v>143</v>
      </c>
    </row>
    <row r="61" s="2870" customFormat="1" ht="13.2" customHeight="1" spans="1:14">
      <c r="A61" s="730" t="s">
        <v>19</v>
      </c>
      <c r="B61" s="2711">
        <v>20251126</v>
      </c>
      <c r="C61" s="2711">
        <v>6.837</v>
      </c>
      <c r="D61" s="2711" t="s">
        <v>144</v>
      </c>
      <c r="E61" s="2711" t="s">
        <v>145</v>
      </c>
      <c r="F61" s="2713">
        <v>0.438907665275846</v>
      </c>
      <c r="G61" s="2713">
        <v>0.526689198331015</v>
      </c>
      <c r="H61" s="2713">
        <v>0.579358118164117</v>
      </c>
      <c r="I61" s="2713">
        <v>1.26330303896616</v>
      </c>
      <c r="J61" s="2713">
        <f t="shared" si="0"/>
        <v>1.32646819091447</v>
      </c>
      <c r="K61" s="2714">
        <v>0.4</v>
      </c>
      <c r="L61" s="2714">
        <f t="shared" si="1"/>
        <v>2.30582630907859</v>
      </c>
      <c r="M61" s="2713">
        <v>1.14845730815105</v>
      </c>
      <c r="N61" s="2736" t="s">
        <v>146</v>
      </c>
    </row>
    <row r="62" s="2870" customFormat="1" ht="13.2" customHeight="1" spans="1:14">
      <c r="A62" s="730" t="s">
        <v>19</v>
      </c>
      <c r="B62" s="2711">
        <v>20250103</v>
      </c>
      <c r="C62" s="2711">
        <v>6.837</v>
      </c>
      <c r="D62" s="2711" t="s">
        <v>147</v>
      </c>
      <c r="E62" s="2711" t="s">
        <v>148</v>
      </c>
      <c r="F62" s="2713">
        <v>0.0249729240370777</v>
      </c>
      <c r="G62" s="2713">
        <v>0.0299675088444932</v>
      </c>
      <c r="H62" s="2713">
        <v>0.0329642597289425</v>
      </c>
      <c r="I62" s="2713">
        <v>0.042255254797833</v>
      </c>
      <c r="J62" s="2713">
        <f t="shared" si="0"/>
        <v>0.0443680175377247</v>
      </c>
      <c r="K62" s="2714">
        <v>0.2</v>
      </c>
      <c r="L62" s="2714">
        <f t="shared" si="1"/>
        <v>0.277332277266667</v>
      </c>
      <c r="M62" s="2713">
        <v>0.03841386799803</v>
      </c>
      <c r="N62" s="2736" t="s">
        <v>149</v>
      </c>
    </row>
    <row r="63" s="2870" customFormat="1" ht="13.2" customHeight="1" spans="1:14">
      <c r="A63" s="730" t="s">
        <v>19</v>
      </c>
      <c r="B63" s="2711">
        <v>20250507</v>
      </c>
      <c r="C63" s="2711">
        <v>6.837</v>
      </c>
      <c r="D63" s="2711" t="s">
        <v>150</v>
      </c>
      <c r="E63" s="2711" t="s">
        <v>151</v>
      </c>
      <c r="F63" s="2713">
        <v>0.682849464581379</v>
      </c>
      <c r="G63" s="2713">
        <v>0.819419357497655</v>
      </c>
      <c r="H63" s="2713">
        <v>0.901361293247421</v>
      </c>
      <c r="I63" s="2713">
        <v>3.06632269121301</v>
      </c>
      <c r="J63" s="2713">
        <f t="shared" si="0"/>
        <v>3.21963882577366</v>
      </c>
      <c r="K63" s="2714">
        <v>0.4</v>
      </c>
      <c r="L63" s="2714">
        <f t="shared" si="1"/>
        <v>4.52100011902108</v>
      </c>
      <c r="M63" s="2713">
        <v>2.78756608292092</v>
      </c>
      <c r="N63" s="2736" t="s">
        <v>152</v>
      </c>
    </row>
    <row r="64" s="2870" customFormat="1" ht="13.2" customHeight="1" spans="1:14">
      <c r="A64" s="2776" t="s">
        <v>19</v>
      </c>
      <c r="B64" s="2892">
        <v>46081</v>
      </c>
      <c r="C64" s="2893">
        <v>6.75</v>
      </c>
      <c r="D64" s="2755" t="s">
        <v>153</v>
      </c>
      <c r="E64" s="2755" t="s">
        <v>154</v>
      </c>
      <c r="F64" s="2818">
        <f>4.8/C64/1.13</f>
        <v>0.629301868239921</v>
      </c>
      <c r="G64" s="2818">
        <v>0.745552893483013</v>
      </c>
      <c r="H64" s="2818">
        <f>5.97/C64/1.13</f>
        <v>0.782694198623402</v>
      </c>
      <c r="I64" s="2818">
        <v>4.00490979593761</v>
      </c>
      <c r="J64" s="2818">
        <v>3.9</v>
      </c>
      <c r="K64" s="2735">
        <v>0.4</v>
      </c>
      <c r="L64" s="2735">
        <f t="shared" si="1"/>
        <v>5.0826941986234</v>
      </c>
      <c r="M64" s="2818">
        <v>3.64082708721601</v>
      </c>
      <c r="N64" s="2894" t="s">
        <v>155</v>
      </c>
    </row>
    <row r="65" s="2870" customFormat="1" ht="13.2" customHeight="1" spans="1:14">
      <c r="A65" s="730" t="s">
        <v>19</v>
      </c>
      <c r="B65" s="2711">
        <v>20250108</v>
      </c>
      <c r="C65" s="2711">
        <v>6.837</v>
      </c>
      <c r="D65" s="2711" t="s">
        <v>156</v>
      </c>
      <c r="E65" s="2711" t="s">
        <v>157</v>
      </c>
      <c r="F65" s="2713">
        <v>0.610587992706553</v>
      </c>
      <c r="G65" s="2713">
        <v>0.732705591247863</v>
      </c>
      <c r="H65" s="2713">
        <v>0.805976150372649</v>
      </c>
      <c r="I65" s="2713">
        <v>3.02962990781001</v>
      </c>
      <c r="J65" s="2713">
        <f t="shared" si="0"/>
        <v>3.18111140320051</v>
      </c>
      <c r="K65" s="2714">
        <v>0.4</v>
      </c>
      <c r="L65" s="2714">
        <f t="shared" si="1"/>
        <v>4.38708755357316</v>
      </c>
      <c r="M65" s="2713">
        <v>2.75420900710001</v>
      </c>
      <c r="N65" s="2736" t="s">
        <v>158</v>
      </c>
    </row>
    <row r="66" s="2870" customFormat="1" ht="13.2" customHeight="1" spans="1:14">
      <c r="A66" s="730" t="s">
        <v>19</v>
      </c>
      <c r="B66" s="2711">
        <v>20241202</v>
      </c>
      <c r="C66" s="2711">
        <v>6.837</v>
      </c>
      <c r="D66" s="2711" t="s">
        <v>159</v>
      </c>
      <c r="E66" s="2711" t="s">
        <v>160</v>
      </c>
      <c r="F66" s="2713">
        <v>0.577579785382397</v>
      </c>
      <c r="G66" s="2713">
        <v>0.693095742458876</v>
      </c>
      <c r="H66" s="2713">
        <v>0.762405316704764</v>
      </c>
      <c r="I66" s="2713">
        <v>3.75190821112021</v>
      </c>
      <c r="J66" s="2713">
        <f t="shared" si="0"/>
        <v>3.93950362167622</v>
      </c>
      <c r="K66" s="2714">
        <v>0.4</v>
      </c>
      <c r="L66" s="2714">
        <f t="shared" si="1"/>
        <v>5.10190893838098</v>
      </c>
      <c r="M66" s="2713">
        <v>3.41082564647292</v>
      </c>
      <c r="N66" s="2736" t="s">
        <v>130</v>
      </c>
    </row>
    <row r="67" s="2870" customFormat="1" ht="13.2" customHeight="1" spans="1:14">
      <c r="A67" s="2776" t="s">
        <v>19</v>
      </c>
      <c r="B67" s="2892">
        <v>46081</v>
      </c>
      <c r="C67" s="2755">
        <v>6.837</v>
      </c>
      <c r="D67" s="2755" t="s">
        <v>161</v>
      </c>
      <c r="E67" s="2755" t="s">
        <v>162</v>
      </c>
      <c r="F67" s="2818">
        <v>0.0378392613292467</v>
      </c>
      <c r="G67" s="2818">
        <v>0.045407113595096</v>
      </c>
      <c r="H67" s="2818">
        <f>1/6.7/1.13</f>
        <v>0.132082948091401</v>
      </c>
      <c r="I67" s="2818">
        <v>0.0458656984255416</v>
      </c>
      <c r="J67" s="2818">
        <f t="shared" si="0"/>
        <v>0.0481589833468187</v>
      </c>
      <c r="K67" s="2735">
        <v>0.2</v>
      </c>
      <c r="L67" s="2735">
        <f t="shared" si="1"/>
        <v>0.38024193143822</v>
      </c>
      <c r="M67" s="2818">
        <v>0.0416960894777651</v>
      </c>
      <c r="N67" s="2894"/>
    </row>
    <row r="68" s="2870" customFormat="1" ht="13.2" customHeight="1" spans="1:14">
      <c r="A68" s="730" t="s">
        <v>19</v>
      </c>
      <c r="B68" s="2711">
        <v>20240605</v>
      </c>
      <c r="C68" s="2711">
        <v>6.837</v>
      </c>
      <c r="D68" s="2711" t="s">
        <v>163</v>
      </c>
      <c r="E68" s="2711" t="s">
        <v>164</v>
      </c>
      <c r="F68" s="2713">
        <v>0.430834686806621</v>
      </c>
      <c r="G68" s="2713">
        <v>0.517001624167945</v>
      </c>
      <c r="H68" s="2713">
        <v>0.56870178658474</v>
      </c>
      <c r="I68" s="2713">
        <v>6.63598085441555</v>
      </c>
      <c r="J68" s="2713">
        <f t="shared" ref="J68:J131" si="2">I68*1.05</f>
        <v>6.96777989713633</v>
      </c>
      <c r="K68" s="2714">
        <v>0.4</v>
      </c>
      <c r="L68" s="2714">
        <f t="shared" ref="L68:L131" si="3">SUBTOTAL(109,H68,J68,K68)</f>
        <v>7.93648168372107</v>
      </c>
      <c r="M68" s="2713">
        <v>6.0327098676505</v>
      </c>
      <c r="N68" s="260" t="s">
        <v>165</v>
      </c>
    </row>
    <row r="69" s="2870" customFormat="1" ht="13.2" customHeight="1" spans="1:14">
      <c r="A69" s="730" t="s">
        <v>19</v>
      </c>
      <c r="B69" s="2711">
        <v>20250618</v>
      </c>
      <c r="C69" s="2711">
        <v>6.837</v>
      </c>
      <c r="D69" s="2711" t="s">
        <v>166</v>
      </c>
      <c r="E69" s="2711" t="s">
        <v>167</v>
      </c>
      <c r="F69" s="2713">
        <v>0.696011394587396</v>
      </c>
      <c r="G69" s="2713">
        <v>0.835213673504875</v>
      </c>
      <c r="H69" s="2713">
        <v>0.918735040855363</v>
      </c>
      <c r="I69" s="2713">
        <v>3.07105902254095</v>
      </c>
      <c r="J69" s="2713">
        <f t="shared" si="2"/>
        <v>3.224611973668</v>
      </c>
      <c r="K69" s="2714">
        <v>0.4</v>
      </c>
      <c r="L69" s="2714">
        <f t="shared" si="3"/>
        <v>4.54334701452336</v>
      </c>
      <c r="M69" s="2713">
        <v>2.79187183867359</v>
      </c>
      <c r="N69" s="2736" t="s">
        <v>168</v>
      </c>
    </row>
    <row r="70" s="2870" customFormat="1" ht="13.2" customHeight="1" spans="1:14">
      <c r="A70" s="730" t="s">
        <v>19</v>
      </c>
      <c r="B70" s="2711">
        <v>20241023</v>
      </c>
      <c r="C70" s="2711">
        <v>6.837</v>
      </c>
      <c r="D70" s="2711" t="s">
        <v>169</v>
      </c>
      <c r="E70" s="2711" t="s">
        <v>170</v>
      </c>
      <c r="F70" s="2713">
        <v>0.648096434095341</v>
      </c>
      <c r="G70" s="2713">
        <v>0.777715720914409</v>
      </c>
      <c r="H70" s="2713">
        <v>0.85548729300585</v>
      </c>
      <c r="I70" s="2713">
        <v>3.25900962503408</v>
      </c>
      <c r="J70" s="2713">
        <f t="shared" si="2"/>
        <v>3.42196010628578</v>
      </c>
      <c r="K70" s="2714">
        <v>0.4</v>
      </c>
      <c r="L70" s="2714">
        <f t="shared" si="3"/>
        <v>4.67744739929163</v>
      </c>
      <c r="M70" s="2713">
        <v>2.96273602275825</v>
      </c>
      <c r="N70" s="260" t="s">
        <v>171</v>
      </c>
    </row>
    <row r="71" s="2870" customFormat="1" ht="13.2" customHeight="1" spans="1:14">
      <c r="A71" s="730" t="s">
        <v>19</v>
      </c>
      <c r="B71" s="2883">
        <v>46056</v>
      </c>
      <c r="C71" s="2711">
        <v>6.72</v>
      </c>
      <c r="D71" s="2711" t="s">
        <v>172</v>
      </c>
      <c r="E71" s="2711" t="s">
        <v>173</v>
      </c>
      <c r="F71" s="2713">
        <f>5.7/C71/1.13</f>
        <v>0.75063211125158</v>
      </c>
      <c r="G71" s="2713">
        <v>0.885344061011078</v>
      </c>
      <c r="H71" s="2713">
        <v>0.973878467112186</v>
      </c>
      <c r="I71" s="2713">
        <v>4.52798068012286</v>
      </c>
      <c r="J71" s="2713">
        <v>4.3</v>
      </c>
      <c r="K71" s="2714">
        <f>3/C71</f>
        <v>0.446428571428571</v>
      </c>
      <c r="L71" s="2714">
        <f t="shared" si="3"/>
        <v>5.72030703854076</v>
      </c>
      <c r="M71" s="2713">
        <v>4.11634607283896</v>
      </c>
      <c r="N71" s="260" t="s">
        <v>174</v>
      </c>
    </row>
    <row r="72" s="2870" customFormat="1" ht="13.2" customHeight="1" spans="1:14">
      <c r="A72" s="730" t="s">
        <v>19</v>
      </c>
      <c r="B72" s="2883">
        <v>46248</v>
      </c>
      <c r="C72" s="2711">
        <v>6.75</v>
      </c>
      <c r="D72" s="2886" t="s">
        <v>175</v>
      </c>
      <c r="E72" s="2711" t="s">
        <v>176</v>
      </c>
      <c r="F72" s="2713">
        <f>3.18/C72/1.13+2000/312/6.7851/1.13</f>
        <v>1.2529787628431</v>
      </c>
      <c r="G72" s="2713">
        <v>1.49832338357404</v>
      </c>
      <c r="H72" s="2713">
        <f>5/C72/1.13</f>
        <v>0.655522779416585</v>
      </c>
      <c r="I72" s="2713">
        <v>2.57144581834138</v>
      </c>
      <c r="J72" s="2713">
        <f t="shared" si="2"/>
        <v>2.70001810925845</v>
      </c>
      <c r="K72" s="2714">
        <v>0.4</v>
      </c>
      <c r="L72" s="2714">
        <f t="shared" si="3"/>
        <v>3.75554088867503</v>
      </c>
      <c r="M72" s="2713">
        <v>2.33767801667398</v>
      </c>
      <c r="N72" s="260" t="s">
        <v>177</v>
      </c>
    </row>
    <row r="73" s="2870" customFormat="1" ht="13.2" customHeight="1" spans="1:14">
      <c r="A73" s="2895" t="s">
        <v>41</v>
      </c>
      <c r="B73" s="2896"/>
      <c r="C73" s="2896">
        <v>6.837</v>
      </c>
      <c r="D73" s="2896"/>
      <c r="E73" s="2896" t="s">
        <v>178</v>
      </c>
      <c r="F73" s="2897">
        <v>1.67782265928916</v>
      </c>
      <c r="G73" s="2713">
        <v>2.01338719114699</v>
      </c>
      <c r="H73" s="2713">
        <v>2.21472591026169</v>
      </c>
      <c r="I73" s="2713">
        <v>3.51665180299631</v>
      </c>
      <c r="J73" s="2713">
        <f t="shared" si="2"/>
        <v>3.69248439314613</v>
      </c>
      <c r="K73" s="2898">
        <v>0.4</v>
      </c>
      <c r="L73" s="2714">
        <f t="shared" si="3"/>
        <v>6.30721030340782</v>
      </c>
      <c r="M73" s="2897">
        <v>3.1969561845421</v>
      </c>
      <c r="N73" s="2896"/>
    </row>
    <row r="74" s="2870" customFormat="1" ht="13.2" customHeight="1" spans="1:14">
      <c r="A74" s="730" t="s">
        <v>41</v>
      </c>
      <c r="B74" s="2711"/>
      <c r="C74" s="2711">
        <v>6.837</v>
      </c>
      <c r="D74" s="2711"/>
      <c r="E74" s="2711" t="s">
        <v>179</v>
      </c>
      <c r="F74" s="2713">
        <v>1.94710283917508</v>
      </c>
      <c r="G74" s="2713">
        <v>2.3365234070101</v>
      </c>
      <c r="H74" s="2713">
        <v>2.57017574771111</v>
      </c>
      <c r="I74" s="2713">
        <v>10.3563782455212</v>
      </c>
      <c r="J74" s="2713">
        <f t="shared" si="2"/>
        <v>10.8741971577973</v>
      </c>
      <c r="K74" s="2714">
        <v>0.4</v>
      </c>
      <c r="L74" s="2714">
        <f t="shared" si="3"/>
        <v>13.8443729055084</v>
      </c>
      <c r="M74" s="2713">
        <v>9.4148893141102</v>
      </c>
      <c r="N74" s="226" t="s">
        <v>180</v>
      </c>
    </row>
    <row r="75" s="2870" customFormat="1" ht="13.2" customHeight="1" spans="1:14">
      <c r="A75" s="730" t="s">
        <v>41</v>
      </c>
      <c r="B75" s="2883">
        <v>46265</v>
      </c>
      <c r="C75" s="2711">
        <v>6.73</v>
      </c>
      <c r="D75" s="2711" t="s">
        <v>181</v>
      </c>
      <c r="E75" s="2711" t="s">
        <v>182</v>
      </c>
      <c r="F75" s="2713">
        <v>0.371501789612866</v>
      </c>
      <c r="G75" s="2713">
        <v>0.445802147535439</v>
      </c>
      <c r="H75" s="2713">
        <f>4.4/C75/1.13</f>
        <v>0.578574340228011</v>
      </c>
      <c r="I75" s="2713">
        <v>1.64058380866283</v>
      </c>
      <c r="J75" s="2713">
        <f t="shared" si="2"/>
        <v>1.72261299909597</v>
      </c>
      <c r="K75" s="2714">
        <v>0.4</v>
      </c>
      <c r="L75" s="2714">
        <f t="shared" si="3"/>
        <v>2.70118733932398</v>
      </c>
      <c r="M75" s="2713">
        <v>1.49143982605712</v>
      </c>
      <c r="N75" s="226" t="s">
        <v>183</v>
      </c>
    </row>
    <row r="76" s="2870" customFormat="1" ht="13.2" customHeight="1" spans="1:14">
      <c r="A76" s="730" t="s">
        <v>41</v>
      </c>
      <c r="B76" s="2883">
        <v>46059</v>
      </c>
      <c r="C76" s="2711">
        <v>6.837</v>
      </c>
      <c r="D76" s="2711" t="s">
        <v>184</v>
      </c>
      <c r="E76" s="2711" t="s">
        <v>185</v>
      </c>
      <c r="F76" s="2713">
        <f>3.47/C76/1.13</f>
        <v>0.449143843817024</v>
      </c>
      <c r="G76" s="2713">
        <v>0.538972612580429</v>
      </c>
      <c r="H76" s="2713">
        <v>0.592869873838472</v>
      </c>
      <c r="I76" s="2713">
        <v>1.63230908468627</v>
      </c>
      <c r="J76" s="2713">
        <f t="shared" si="2"/>
        <v>1.71392453892058</v>
      </c>
      <c r="K76" s="2714">
        <f>2.05/C76</f>
        <v>0.299839110721076</v>
      </c>
      <c r="L76" s="2714">
        <f t="shared" si="3"/>
        <v>2.60663352348013</v>
      </c>
      <c r="M76" s="2713">
        <v>1.48391734971479</v>
      </c>
      <c r="N76" s="2711" t="s">
        <v>186</v>
      </c>
    </row>
    <row r="77" s="2870" customFormat="1" ht="13.2" customHeight="1" spans="1:14">
      <c r="A77" s="730" t="s">
        <v>41</v>
      </c>
      <c r="B77" s="2883">
        <v>46080</v>
      </c>
      <c r="C77" s="2899">
        <v>6.837</v>
      </c>
      <c r="D77" s="2711" t="s">
        <v>187</v>
      </c>
      <c r="E77" s="2711" t="s">
        <v>188</v>
      </c>
      <c r="F77" s="2713">
        <f>3.47/C77/1.13</f>
        <v>0.449143843817024</v>
      </c>
      <c r="G77" s="2713">
        <v>0.538972612580429</v>
      </c>
      <c r="H77" s="2713">
        <v>0.592869873838472</v>
      </c>
      <c r="I77" s="2713">
        <v>1.603464170724</v>
      </c>
      <c r="J77" s="2713">
        <f t="shared" si="2"/>
        <v>1.6836373792602</v>
      </c>
      <c r="K77" s="2714">
        <v>0.2</v>
      </c>
      <c r="L77" s="2714">
        <f t="shared" si="3"/>
        <v>2.47650725309867</v>
      </c>
      <c r="M77" s="2713">
        <v>1.45769470065818</v>
      </c>
      <c r="N77" s="226" t="s">
        <v>189</v>
      </c>
    </row>
    <row r="78" s="2870" customFormat="1" ht="13.2" customHeight="1" spans="1:14">
      <c r="A78" s="730" t="s">
        <v>41</v>
      </c>
      <c r="B78" s="2711">
        <v>20250123</v>
      </c>
      <c r="C78" s="2711">
        <v>6.837</v>
      </c>
      <c r="D78" s="2711" t="s">
        <v>190</v>
      </c>
      <c r="E78" s="2711" t="s">
        <v>191</v>
      </c>
      <c r="F78" s="2713">
        <v>0.342129059307967</v>
      </c>
      <c r="G78" s="2713">
        <v>0.41055487116956</v>
      </c>
      <c r="H78" s="2713">
        <v>0.451610358286516</v>
      </c>
      <c r="I78" s="2713">
        <v>1.40629582228764</v>
      </c>
      <c r="J78" s="2713">
        <f t="shared" si="2"/>
        <v>1.47661061340202</v>
      </c>
      <c r="K78" s="2714">
        <v>0.2</v>
      </c>
      <c r="L78" s="2714">
        <f t="shared" si="3"/>
        <v>2.12822097168854</v>
      </c>
      <c r="M78" s="2713">
        <v>1.27845074753422</v>
      </c>
      <c r="N78" s="2711" t="s">
        <v>63</v>
      </c>
    </row>
    <row r="79" s="2870" customFormat="1" ht="13.2" customHeight="1" spans="1:14">
      <c r="A79" s="730" t="s">
        <v>41</v>
      </c>
      <c r="B79" s="2711">
        <v>20240409</v>
      </c>
      <c r="C79" s="2711">
        <v>6.837</v>
      </c>
      <c r="D79" s="2711" t="s">
        <v>192</v>
      </c>
      <c r="E79" s="2711" t="s">
        <v>193</v>
      </c>
      <c r="F79" s="2713">
        <v>0.208920465136052</v>
      </c>
      <c r="G79" s="2713">
        <v>0.250704558163262</v>
      </c>
      <c r="H79" s="2713">
        <v>0.275775013979588</v>
      </c>
      <c r="I79" s="2713">
        <v>3.02385336121807</v>
      </c>
      <c r="J79" s="2713">
        <f t="shared" si="2"/>
        <v>3.17504602927897</v>
      </c>
      <c r="K79" s="2714">
        <v>0.4</v>
      </c>
      <c r="L79" s="2714">
        <f t="shared" si="3"/>
        <v>3.85082104325856</v>
      </c>
      <c r="M79" s="2713">
        <v>2.74895760110734</v>
      </c>
      <c r="N79" s="226" t="s">
        <v>194</v>
      </c>
    </row>
    <row r="80" s="2870" customFormat="1" ht="13.2" customHeight="1" spans="1:14">
      <c r="A80" s="730" t="s">
        <v>41</v>
      </c>
      <c r="B80" s="2711">
        <v>20250224</v>
      </c>
      <c r="C80" s="2711">
        <v>6.837</v>
      </c>
      <c r="D80" s="2711" t="s">
        <v>195</v>
      </c>
      <c r="E80" s="2711" t="s">
        <v>196</v>
      </c>
      <c r="F80" s="2713">
        <v>0.349256521257437</v>
      </c>
      <c r="G80" s="2713">
        <v>0.419107825508924</v>
      </c>
      <c r="H80" s="2713">
        <v>0.461018608059816</v>
      </c>
      <c r="I80" s="2713">
        <v>1.25299184066532</v>
      </c>
      <c r="J80" s="2713">
        <f t="shared" si="2"/>
        <v>1.31564143269859</v>
      </c>
      <c r="K80" s="2714">
        <v>0.2</v>
      </c>
      <c r="L80" s="2714">
        <f t="shared" si="3"/>
        <v>1.97666004075841</v>
      </c>
      <c r="M80" s="2713">
        <v>1.13908349151393</v>
      </c>
      <c r="N80" s="2711" t="s">
        <v>197</v>
      </c>
    </row>
    <row r="81" s="2870" customFormat="1" ht="13.2" customHeight="1" spans="1:14">
      <c r="A81" s="730" t="s">
        <v>41</v>
      </c>
      <c r="B81" s="2711">
        <v>20240416</v>
      </c>
      <c r="C81" s="2711">
        <v>6.837</v>
      </c>
      <c r="D81" s="2711" t="s">
        <v>198</v>
      </c>
      <c r="E81" s="2711" t="s">
        <v>199</v>
      </c>
      <c r="F81" s="2713">
        <v>0.172554627435981</v>
      </c>
      <c r="G81" s="2713">
        <v>0.207065552923177</v>
      </c>
      <c r="H81" s="2713">
        <v>0.227772108215495</v>
      </c>
      <c r="I81" s="2713">
        <v>1.42674752650885</v>
      </c>
      <c r="J81" s="2713">
        <f t="shared" si="2"/>
        <v>1.49808490283429</v>
      </c>
      <c r="K81" s="2714">
        <v>0.2</v>
      </c>
      <c r="L81" s="2714">
        <f t="shared" si="3"/>
        <v>1.92585701104979</v>
      </c>
      <c r="M81" s="2713">
        <v>1.29704320591714</v>
      </c>
      <c r="N81" s="226" t="s">
        <v>28</v>
      </c>
    </row>
    <row r="82" s="2870" customFormat="1" ht="13.2" customHeight="1" spans="1:14">
      <c r="A82" s="730" t="s">
        <v>41</v>
      </c>
      <c r="B82" s="2711">
        <v>20240925</v>
      </c>
      <c r="C82" s="2711">
        <v>6.837</v>
      </c>
      <c r="D82" s="2711" t="s">
        <v>200</v>
      </c>
      <c r="E82" s="2711" t="s">
        <v>201</v>
      </c>
      <c r="F82" s="2713">
        <v>0.459896651597307</v>
      </c>
      <c r="G82" s="2713">
        <v>0.551875981916768</v>
      </c>
      <c r="H82" s="2713">
        <v>0.607063580108445</v>
      </c>
      <c r="I82" s="2713">
        <v>1.52648513117824</v>
      </c>
      <c r="J82" s="2713">
        <f t="shared" si="2"/>
        <v>1.60280938773715</v>
      </c>
      <c r="K82" s="2714">
        <v>0.2</v>
      </c>
      <c r="L82" s="2714">
        <f t="shared" si="3"/>
        <v>2.4098729678456</v>
      </c>
      <c r="M82" s="2713">
        <v>1.38771375561658</v>
      </c>
      <c r="N82" s="2711"/>
    </row>
    <row r="83" s="2870" customFormat="1" ht="13.2" customHeight="1" spans="1:14">
      <c r="A83" s="730" t="s">
        <v>41</v>
      </c>
      <c r="B83" s="2711">
        <v>20240925</v>
      </c>
      <c r="C83" s="2711">
        <v>6.837</v>
      </c>
      <c r="D83" s="2711" t="s">
        <v>202</v>
      </c>
      <c r="E83" s="2711" t="s">
        <v>203</v>
      </c>
      <c r="F83" s="2713">
        <v>0.388327720224815</v>
      </c>
      <c r="G83" s="2713">
        <v>0.465993264269778</v>
      </c>
      <c r="H83" s="2713">
        <v>0.512592590696756</v>
      </c>
      <c r="I83" s="2713">
        <v>1.38595950693367</v>
      </c>
      <c r="J83" s="2713">
        <f t="shared" si="2"/>
        <v>1.45525748228035</v>
      </c>
      <c r="K83" s="2714">
        <v>0.2</v>
      </c>
      <c r="L83" s="2714">
        <f t="shared" si="3"/>
        <v>2.16785007297711</v>
      </c>
      <c r="M83" s="2713">
        <v>1.25996318812152</v>
      </c>
      <c r="N83" s="2711"/>
    </row>
    <row r="84" s="2870" customFormat="1" ht="13.2" customHeight="1" spans="1:14">
      <c r="A84" s="730" t="s">
        <v>41</v>
      </c>
      <c r="B84" s="2711">
        <v>20250401</v>
      </c>
      <c r="C84" s="2711">
        <v>6.837</v>
      </c>
      <c r="D84" s="2711" t="s">
        <v>204</v>
      </c>
      <c r="E84" s="2711" t="s">
        <v>205</v>
      </c>
      <c r="F84" s="2713">
        <v>0.428285369133209</v>
      </c>
      <c r="G84" s="2713">
        <v>0.513942442959851</v>
      </c>
      <c r="H84" s="2713">
        <v>0.565336687255836</v>
      </c>
      <c r="I84" s="2713">
        <v>1.54817371531874</v>
      </c>
      <c r="J84" s="2713">
        <f t="shared" si="2"/>
        <v>1.62558240108468</v>
      </c>
      <c r="K84" s="2714">
        <v>0.2</v>
      </c>
      <c r="L84" s="2714">
        <f t="shared" si="3"/>
        <v>2.39091908834052</v>
      </c>
      <c r="M84" s="2713">
        <v>1.40743065028976</v>
      </c>
      <c r="N84" s="2711" t="s">
        <v>63</v>
      </c>
    </row>
    <row r="85" s="2870" customFormat="1" ht="13.2" customHeight="1" spans="1:14">
      <c r="A85" s="730" t="s">
        <v>41</v>
      </c>
      <c r="B85" s="2883">
        <v>46078</v>
      </c>
      <c r="C85" s="2711">
        <v>6.837</v>
      </c>
      <c r="D85" s="2711" t="s">
        <v>206</v>
      </c>
      <c r="E85" s="2711" t="s">
        <v>207</v>
      </c>
      <c r="F85" s="2713">
        <f>1/C85/1.13</f>
        <v>0.12943626622969</v>
      </c>
      <c r="G85" s="2713">
        <v>0.155323519475628</v>
      </c>
      <c r="H85" s="2713">
        <v>0.170855871423191</v>
      </c>
      <c r="I85" s="2713">
        <v>0.760253546292233</v>
      </c>
      <c r="J85" s="2713">
        <f t="shared" si="2"/>
        <v>0.798266223606845</v>
      </c>
      <c r="K85" s="2714">
        <v>0.15</v>
      </c>
      <c r="L85" s="2714">
        <f t="shared" si="3"/>
        <v>1.11912209503004</v>
      </c>
      <c r="M85" s="2713">
        <v>0.691139587538394</v>
      </c>
      <c r="N85" s="2711" t="s">
        <v>208</v>
      </c>
    </row>
    <row r="86" s="2870" customFormat="1" ht="13.2" customHeight="1" spans="1:14">
      <c r="A86" s="730" t="s">
        <v>41</v>
      </c>
      <c r="B86" s="2711">
        <v>20250428</v>
      </c>
      <c r="C86" s="2711">
        <v>6.837</v>
      </c>
      <c r="D86" s="2711" t="s">
        <v>209</v>
      </c>
      <c r="E86" s="2711" t="s">
        <v>210</v>
      </c>
      <c r="F86" s="2713">
        <v>0.351069622019949</v>
      </c>
      <c r="G86" s="2713">
        <v>0.421283546423939</v>
      </c>
      <c r="H86" s="2713">
        <v>0.463411901066333</v>
      </c>
      <c r="I86" s="2713">
        <v>3.05935628357483</v>
      </c>
      <c r="J86" s="2713">
        <f t="shared" si="2"/>
        <v>3.21232409775357</v>
      </c>
      <c r="K86" s="2714">
        <v>0.2</v>
      </c>
      <c r="L86" s="2714">
        <f t="shared" si="3"/>
        <v>3.8757359988199</v>
      </c>
      <c r="M86" s="2713">
        <v>2.78123298506803</v>
      </c>
      <c r="N86" s="2711" t="s">
        <v>63</v>
      </c>
    </row>
    <row r="87" s="2870" customFormat="1" ht="13.2" customHeight="1" spans="1:14">
      <c r="A87" s="730" t="s">
        <v>41</v>
      </c>
      <c r="B87" s="2711">
        <v>20250618</v>
      </c>
      <c r="C87" s="2711">
        <v>6.837</v>
      </c>
      <c r="D87" s="2711" t="s">
        <v>211</v>
      </c>
      <c r="E87" s="2711" t="s">
        <v>212</v>
      </c>
      <c r="F87" s="2713">
        <v>0.369301425029602</v>
      </c>
      <c r="G87" s="2713">
        <v>0.443161710035522</v>
      </c>
      <c r="H87" s="2713">
        <v>0.487477881039074</v>
      </c>
      <c r="I87" s="2713">
        <v>3.21772609062161</v>
      </c>
      <c r="J87" s="2713">
        <f t="shared" si="2"/>
        <v>3.37861239515269</v>
      </c>
      <c r="K87" s="2714">
        <v>0.2</v>
      </c>
      <c r="L87" s="2714">
        <f t="shared" si="3"/>
        <v>4.06609027619176</v>
      </c>
      <c r="M87" s="2713">
        <v>2.92520553692874</v>
      </c>
      <c r="N87" s="2711" t="s">
        <v>213</v>
      </c>
    </row>
    <row r="88" s="2870" customFormat="1" ht="13.2" customHeight="1" spans="1:14">
      <c r="A88" s="730" t="s">
        <v>41</v>
      </c>
      <c r="B88" s="2883">
        <v>46106</v>
      </c>
      <c r="C88" s="2900">
        <v>6.837</v>
      </c>
      <c r="D88" s="2711" t="s">
        <v>214</v>
      </c>
      <c r="E88" s="2711" t="s">
        <v>215</v>
      </c>
      <c r="F88" s="2713">
        <f>2.89/C88/1.13*1.05</f>
        <v>0.392774349873994</v>
      </c>
      <c r="G88" s="2713">
        <v>0.471329219848793</v>
      </c>
      <c r="H88" s="2713">
        <v>0.518462141833672</v>
      </c>
      <c r="I88" s="2713">
        <v>1.60507810443177</v>
      </c>
      <c r="J88" s="2713">
        <f t="shared" si="2"/>
        <v>1.68533200965336</v>
      </c>
      <c r="K88" s="2714">
        <f>2.01/C88</f>
        <v>0.293988591487495</v>
      </c>
      <c r="L88" s="2714">
        <f t="shared" si="3"/>
        <v>2.49778274297453</v>
      </c>
      <c r="M88" s="2713">
        <v>1.45916191311979</v>
      </c>
      <c r="N88" s="2711" t="s">
        <v>63</v>
      </c>
    </row>
    <row r="89" s="2870" customFormat="1" ht="13.2" customHeight="1" spans="1:14">
      <c r="A89" s="730" t="s">
        <v>41</v>
      </c>
      <c r="B89" s="2711">
        <v>20250106</v>
      </c>
      <c r="C89" s="2711">
        <v>6.837</v>
      </c>
      <c r="D89" s="2711" t="s">
        <v>216</v>
      </c>
      <c r="E89" s="2711" t="s">
        <v>217</v>
      </c>
      <c r="F89" s="2713">
        <v>0.427037001034031</v>
      </c>
      <c r="G89" s="2713">
        <v>0.512444401240837</v>
      </c>
      <c r="H89" s="2713">
        <v>0.563688841364921</v>
      </c>
      <c r="I89" s="2713">
        <v>1.53351516140149</v>
      </c>
      <c r="J89" s="2713">
        <f t="shared" si="2"/>
        <v>1.61019091947156</v>
      </c>
      <c r="K89" s="2714">
        <v>0.2</v>
      </c>
      <c r="L89" s="2714">
        <f t="shared" si="3"/>
        <v>2.37387976083648</v>
      </c>
      <c r="M89" s="2713">
        <v>1.39410469218317</v>
      </c>
      <c r="N89" s="2711" t="s">
        <v>63</v>
      </c>
    </row>
    <row r="90" s="2870" customFormat="1" ht="13.2" customHeight="1" spans="1:14">
      <c r="A90" s="730" t="s">
        <v>41</v>
      </c>
      <c r="B90" s="2883">
        <v>46042</v>
      </c>
      <c r="C90" s="2711">
        <v>6.837</v>
      </c>
      <c r="D90" s="2711" t="s">
        <v>218</v>
      </c>
      <c r="E90" s="2711" t="s">
        <v>219</v>
      </c>
      <c r="F90" s="2713">
        <v>0.52328565160158</v>
      </c>
      <c r="G90" s="2713">
        <v>0.627942781921896</v>
      </c>
      <c r="H90" s="2713">
        <v>0.690737060114086</v>
      </c>
      <c r="I90" s="2713">
        <v>1.65466948310663</v>
      </c>
      <c r="J90" s="2713">
        <f t="shared" si="2"/>
        <v>1.73740295726196</v>
      </c>
      <c r="K90" s="2714">
        <v>0.22</v>
      </c>
      <c r="L90" s="2714">
        <f t="shared" si="3"/>
        <v>2.64814001737605</v>
      </c>
      <c r="M90" s="2713">
        <v>1.50424498464239</v>
      </c>
      <c r="N90" s="2711" t="s">
        <v>220</v>
      </c>
    </row>
    <row r="91" s="2870" customFormat="1" ht="13.2" customHeight="1" spans="1:14">
      <c r="A91" s="730" t="s">
        <v>41</v>
      </c>
      <c r="B91" s="2711">
        <v>20250826</v>
      </c>
      <c r="C91" s="2711">
        <v>6.837</v>
      </c>
      <c r="D91" s="2711" t="s">
        <v>221</v>
      </c>
      <c r="E91" s="2711" t="s">
        <v>222</v>
      </c>
      <c r="F91" s="2713">
        <v>0.446059242199532</v>
      </c>
      <c r="G91" s="2713">
        <v>0.535271090639438</v>
      </c>
      <c r="H91" s="2713">
        <f>5.5/6.72/1.13</f>
        <v>0.724294142435735</v>
      </c>
      <c r="I91" s="2713">
        <v>1.63764603927576</v>
      </c>
      <c r="J91" s="2713">
        <f t="shared" si="2"/>
        <v>1.71952834123955</v>
      </c>
      <c r="K91" s="2714">
        <f>2.75/6.72</f>
        <v>0.40922619047619</v>
      </c>
      <c r="L91" s="2714">
        <f t="shared" si="3"/>
        <v>2.85304867415147</v>
      </c>
      <c r="M91" s="2713">
        <v>1.48876912661433</v>
      </c>
      <c r="N91" s="2711" t="s">
        <v>63</v>
      </c>
    </row>
    <row r="92" s="2870" customFormat="1" ht="13.2" customHeight="1" spans="1:14">
      <c r="A92" s="730" t="s">
        <v>41</v>
      </c>
      <c r="B92" s="2711">
        <v>20240919</v>
      </c>
      <c r="C92" s="2711">
        <v>6.837</v>
      </c>
      <c r="D92" s="2711" t="s">
        <v>223</v>
      </c>
      <c r="E92" s="2711" t="s">
        <v>224</v>
      </c>
      <c r="F92" s="2713">
        <v>0.461286996406066</v>
      </c>
      <c r="G92" s="2713">
        <v>0.553544395687279</v>
      </c>
      <c r="H92" s="2713">
        <v>0.608898835256007</v>
      </c>
      <c r="I92" s="2713">
        <v>1.74088486617888</v>
      </c>
      <c r="J92" s="2713">
        <f t="shared" si="2"/>
        <v>1.82792910948782</v>
      </c>
      <c r="K92" s="2714">
        <v>0.2</v>
      </c>
      <c r="L92" s="2714">
        <f t="shared" si="3"/>
        <v>2.63682794474383</v>
      </c>
      <c r="M92" s="2713">
        <v>1.58262260561716</v>
      </c>
      <c r="N92" s="226" t="s">
        <v>183</v>
      </c>
    </row>
    <row r="93" s="2870" customFormat="1" ht="13.2" customHeight="1" spans="1:14">
      <c r="A93" s="730" t="s">
        <v>225</v>
      </c>
      <c r="B93" s="2711"/>
      <c r="C93" s="2711">
        <v>6.837</v>
      </c>
      <c r="D93" s="2711" t="s">
        <v>226</v>
      </c>
      <c r="E93" s="2736" t="s">
        <v>227</v>
      </c>
      <c r="F93" s="2713">
        <v>0.805054848617815</v>
      </c>
      <c r="G93" s="2713">
        <v>0.966065818341378</v>
      </c>
      <c r="H93" s="2713">
        <v>1.06267240017552</v>
      </c>
      <c r="I93" s="2713">
        <v>4.00284901678519</v>
      </c>
      <c r="J93" s="2713">
        <f t="shared" si="2"/>
        <v>4.20299146762445</v>
      </c>
      <c r="K93" s="2714">
        <v>0.4</v>
      </c>
      <c r="L93" s="2714">
        <f t="shared" si="3"/>
        <v>5.66566386779997</v>
      </c>
      <c r="M93" s="2713">
        <v>3.6389536516229</v>
      </c>
      <c r="N93" s="2736" t="s">
        <v>25</v>
      </c>
    </row>
    <row r="94" s="2870" customFormat="1" ht="13.2" customHeight="1" spans="1:14">
      <c r="A94" s="730" t="s">
        <v>225</v>
      </c>
      <c r="B94" s="2711"/>
      <c r="C94" s="2711">
        <v>6.837</v>
      </c>
      <c r="D94" s="2711" t="s">
        <v>228</v>
      </c>
      <c r="E94" s="2736" t="s">
        <v>229</v>
      </c>
      <c r="F94" s="2713">
        <v>0.780659726464897</v>
      </c>
      <c r="G94" s="2713">
        <v>0.936791671757876</v>
      </c>
      <c r="H94" s="2713">
        <v>1.03047083893366</v>
      </c>
      <c r="I94" s="2713">
        <v>6.57519313050796</v>
      </c>
      <c r="J94" s="2713">
        <f t="shared" si="2"/>
        <v>6.90395278703336</v>
      </c>
      <c r="K94" s="2714">
        <v>0.4</v>
      </c>
      <c r="L94" s="2714">
        <f t="shared" si="3"/>
        <v>8.33442362596702</v>
      </c>
      <c r="M94" s="2713">
        <v>5.97744830046178</v>
      </c>
      <c r="N94" s="2736"/>
    </row>
    <row r="95" s="2870" customFormat="1" ht="13.2" customHeight="1" spans="1:14">
      <c r="A95" s="730" t="s">
        <v>225</v>
      </c>
      <c r="B95" s="2711">
        <v>20250617</v>
      </c>
      <c r="C95" s="2711">
        <v>6.837</v>
      </c>
      <c r="D95" s="2711" t="s">
        <v>230</v>
      </c>
      <c r="E95" s="2711" t="s">
        <v>231</v>
      </c>
      <c r="F95" s="2713">
        <v>0.641707564433576</v>
      </c>
      <c r="G95" s="2713">
        <v>0.770049077320291</v>
      </c>
      <c r="H95" s="2713">
        <v>0.84705398505232</v>
      </c>
      <c r="I95" s="2713">
        <v>3.81728137386719</v>
      </c>
      <c r="J95" s="2713">
        <f t="shared" si="2"/>
        <v>4.00814544256055</v>
      </c>
      <c r="K95" s="2714">
        <v>0.4</v>
      </c>
      <c r="L95" s="2714">
        <f t="shared" si="3"/>
        <v>5.25519942761287</v>
      </c>
      <c r="M95" s="2713">
        <v>3.47025579442472</v>
      </c>
      <c r="N95" s="2736" t="s">
        <v>232</v>
      </c>
    </row>
    <row r="96" s="2870" customFormat="1" ht="13.2" customHeight="1" spans="1:14">
      <c r="A96" s="730" t="s">
        <v>225</v>
      </c>
      <c r="B96" s="2711">
        <v>20250716</v>
      </c>
      <c r="C96" s="2711">
        <v>6.837</v>
      </c>
      <c r="D96" s="2711" t="s">
        <v>233</v>
      </c>
      <c r="E96" s="2736" t="s">
        <v>234</v>
      </c>
      <c r="F96" s="2713">
        <v>0.596966997192191</v>
      </c>
      <c r="G96" s="2713">
        <v>0.716360396630629</v>
      </c>
      <c r="H96" s="2713">
        <v>0.787996436293692</v>
      </c>
      <c r="I96" s="2713">
        <v>3.87253364961189</v>
      </c>
      <c r="J96" s="2713">
        <f t="shared" si="2"/>
        <v>4.06616033209248</v>
      </c>
      <c r="K96" s="2714">
        <v>0.4</v>
      </c>
      <c r="L96" s="2714">
        <f t="shared" si="3"/>
        <v>5.25415676838617</v>
      </c>
      <c r="M96" s="2713">
        <v>3.52048513601081</v>
      </c>
      <c r="N96" s="2736" t="s">
        <v>235</v>
      </c>
    </row>
    <row r="97" s="2870" customFormat="1" ht="13.2" customHeight="1" spans="1:14">
      <c r="A97" s="730" t="s">
        <v>236</v>
      </c>
      <c r="B97" s="2711">
        <v>20240627</v>
      </c>
      <c r="C97" s="2711">
        <v>6.837</v>
      </c>
      <c r="D97" s="2711" t="s">
        <v>237</v>
      </c>
      <c r="E97" s="2736" t="s">
        <v>238</v>
      </c>
      <c r="F97" s="2713">
        <v>0.409056614778375</v>
      </c>
      <c r="G97" s="2713">
        <v>0.49086793773405</v>
      </c>
      <c r="H97" s="2713">
        <v>0.539954731507455</v>
      </c>
      <c r="I97" s="2713">
        <v>1.94833819737917</v>
      </c>
      <c r="J97" s="2713">
        <f t="shared" si="2"/>
        <v>2.04575510724813</v>
      </c>
      <c r="K97" s="2714">
        <v>0.2</v>
      </c>
      <c r="L97" s="2714">
        <f t="shared" si="3"/>
        <v>2.78570983875559</v>
      </c>
      <c r="M97" s="2713">
        <v>1.77121654307197</v>
      </c>
      <c r="N97" s="260" t="s">
        <v>239</v>
      </c>
    </row>
    <row r="98" s="2870" customFormat="1" ht="13.2" customHeight="1" spans="1:14">
      <c r="A98" s="730" t="s">
        <v>236</v>
      </c>
      <c r="B98" s="2711">
        <v>20250326</v>
      </c>
      <c r="C98" s="2711">
        <v>6.837</v>
      </c>
      <c r="D98" s="2711" t="s">
        <v>240</v>
      </c>
      <c r="E98" s="2736" t="s">
        <v>241</v>
      </c>
      <c r="F98" s="2713">
        <v>0.363277768461204</v>
      </c>
      <c r="G98" s="2713">
        <v>0.435933322153445</v>
      </c>
      <c r="H98" s="2713">
        <f>4.66/6.73/1.13</f>
        <v>0.612762823968757</v>
      </c>
      <c r="I98" s="2713">
        <v>1.56946058572925</v>
      </c>
      <c r="J98" s="2713">
        <f t="shared" si="2"/>
        <v>1.64793361501571</v>
      </c>
      <c r="K98" s="2714">
        <v>0.4</v>
      </c>
      <c r="L98" s="2714">
        <f t="shared" si="3"/>
        <v>2.66069643898447</v>
      </c>
      <c r="M98" s="2713">
        <v>1.42678235066295</v>
      </c>
      <c r="N98" s="260" t="s">
        <v>239</v>
      </c>
    </row>
    <row r="99" s="2870" customFormat="1" ht="13.2" customHeight="1" spans="1:14">
      <c r="A99" s="730" t="s">
        <v>236</v>
      </c>
      <c r="B99" s="2711">
        <v>20241129</v>
      </c>
      <c r="C99" s="2711">
        <v>6.837</v>
      </c>
      <c r="D99" s="2711" t="s">
        <v>242</v>
      </c>
      <c r="E99" s="2736" t="s">
        <v>243</v>
      </c>
      <c r="F99" s="2713">
        <v>0.414264121929443</v>
      </c>
      <c r="G99" s="2713">
        <v>0.497116946315332</v>
      </c>
      <c r="H99" s="2713">
        <v>0.546828640946865</v>
      </c>
      <c r="I99" s="2713">
        <v>4.18082909895588</v>
      </c>
      <c r="J99" s="2713">
        <f t="shared" si="2"/>
        <v>4.38987055390367</v>
      </c>
      <c r="K99" s="2714">
        <v>0.2</v>
      </c>
      <c r="L99" s="2714">
        <f t="shared" si="3"/>
        <v>5.13669919485053</v>
      </c>
      <c r="M99" s="2713">
        <v>3.80075372632353</v>
      </c>
      <c r="N99" s="2736" t="s">
        <v>244</v>
      </c>
    </row>
    <row r="100" s="2870" customFormat="1" ht="13.2" customHeight="1" spans="1:14">
      <c r="A100" s="730" t="s">
        <v>236</v>
      </c>
      <c r="B100" s="2711">
        <v>20241018</v>
      </c>
      <c r="C100" s="2711">
        <v>6.837</v>
      </c>
      <c r="D100" s="2711" t="s">
        <v>245</v>
      </c>
      <c r="E100" s="2736" t="s">
        <v>246</v>
      </c>
      <c r="F100" s="2713">
        <v>0.487469089359758</v>
      </c>
      <c r="G100" s="2713">
        <v>0.58496290723171</v>
      </c>
      <c r="H100" s="2713">
        <v>0.643459197954881</v>
      </c>
      <c r="I100" s="2713">
        <v>5.21892982964026</v>
      </c>
      <c r="J100" s="2713">
        <f t="shared" si="2"/>
        <v>5.47987632112227</v>
      </c>
      <c r="K100" s="2714">
        <v>0.2</v>
      </c>
      <c r="L100" s="2714">
        <f t="shared" si="3"/>
        <v>6.32333551907715</v>
      </c>
      <c r="M100" s="2713">
        <v>4.74448166330933</v>
      </c>
      <c r="N100" s="260" t="s">
        <v>247</v>
      </c>
    </row>
    <row r="101" s="2870" customFormat="1" ht="13.2" customHeight="1" spans="1:14">
      <c r="A101" s="730" t="s">
        <v>236</v>
      </c>
      <c r="B101" s="2711">
        <v>20241018</v>
      </c>
      <c r="C101" s="2711">
        <v>6.837</v>
      </c>
      <c r="D101" s="2711" t="s">
        <v>248</v>
      </c>
      <c r="E101" s="2711" t="s">
        <v>249</v>
      </c>
      <c r="F101" s="2713">
        <v>0.502394731788282</v>
      </c>
      <c r="G101" s="2713">
        <v>0.602873678145938</v>
      </c>
      <c r="H101" s="2713">
        <v>0.663161045960532</v>
      </c>
      <c r="I101" s="2713">
        <v>2.4804901918895</v>
      </c>
      <c r="J101" s="2713">
        <f t="shared" si="2"/>
        <v>2.60451470148397</v>
      </c>
      <c r="K101" s="2714">
        <v>0.2</v>
      </c>
      <c r="L101" s="2714">
        <f t="shared" si="3"/>
        <v>3.4676757474445</v>
      </c>
      <c r="M101" s="2713">
        <v>2.25499108353591</v>
      </c>
      <c r="N101" s="260" t="s">
        <v>239</v>
      </c>
    </row>
    <row r="102" s="2870" customFormat="1" ht="13.2" customHeight="1" spans="1:14">
      <c r="A102" s="730" t="s">
        <v>236</v>
      </c>
      <c r="B102" s="2711">
        <v>20241018</v>
      </c>
      <c r="C102" s="2711">
        <v>6.837</v>
      </c>
      <c r="D102" s="2711" t="s">
        <v>250</v>
      </c>
      <c r="E102" s="2711" t="s">
        <v>251</v>
      </c>
      <c r="F102" s="2713">
        <v>0.429294969226495</v>
      </c>
      <c r="G102" s="2713">
        <v>0.515153963071794</v>
      </c>
      <c r="H102" s="2713">
        <v>0.566669359378973</v>
      </c>
      <c r="I102" s="2713">
        <v>3.54339399118842</v>
      </c>
      <c r="J102" s="2713">
        <f t="shared" si="2"/>
        <v>3.72056369074784</v>
      </c>
      <c r="K102" s="2714">
        <v>0.4</v>
      </c>
      <c r="L102" s="2714">
        <f t="shared" si="3"/>
        <v>4.68723305012681</v>
      </c>
      <c r="M102" s="2713">
        <v>3.22126726471675</v>
      </c>
      <c r="N102" s="260" t="s">
        <v>252</v>
      </c>
    </row>
    <row r="103" s="2870" customFormat="1" ht="13.2" customHeight="1" spans="1:14">
      <c r="A103" s="730" t="s">
        <v>236</v>
      </c>
      <c r="B103" s="2711">
        <v>20241018</v>
      </c>
      <c r="C103" s="2711">
        <v>6.837</v>
      </c>
      <c r="D103" s="176" t="s">
        <v>253</v>
      </c>
      <c r="E103" s="176" t="s">
        <v>254</v>
      </c>
      <c r="F103" s="2713">
        <v>0.502394731788282</v>
      </c>
      <c r="G103" s="2713">
        <v>0.602873678145938</v>
      </c>
      <c r="H103" s="2713">
        <v>0.663161045960532</v>
      </c>
      <c r="I103" s="2713">
        <v>2.42869900783916</v>
      </c>
      <c r="J103" s="2713">
        <f t="shared" si="2"/>
        <v>2.55013395823112</v>
      </c>
      <c r="K103" s="2714">
        <v>0.2</v>
      </c>
      <c r="L103" s="2714">
        <f t="shared" si="3"/>
        <v>3.41329500419165</v>
      </c>
      <c r="M103" s="2713">
        <v>2.20790818894469</v>
      </c>
      <c r="N103" s="260" t="s">
        <v>239</v>
      </c>
    </row>
    <row r="104" s="2870" customFormat="1" ht="13.2" customHeight="1" spans="1:14">
      <c r="A104" s="730" t="s">
        <v>236</v>
      </c>
      <c r="B104" s="2711">
        <v>20241203</v>
      </c>
      <c r="C104" s="2711">
        <v>6.837</v>
      </c>
      <c r="D104" s="176" t="s">
        <v>255</v>
      </c>
      <c r="E104" s="176" t="s">
        <v>256</v>
      </c>
      <c r="F104" s="2713">
        <v>0.483095699111567</v>
      </c>
      <c r="G104" s="2713">
        <v>0.57971483893388</v>
      </c>
      <c r="H104" s="2713">
        <v>0.637686322827268</v>
      </c>
      <c r="I104" s="2713">
        <v>2.95771158825406</v>
      </c>
      <c r="J104" s="2713">
        <f t="shared" si="2"/>
        <v>3.10559716766676</v>
      </c>
      <c r="K104" s="2714">
        <v>0.2</v>
      </c>
      <c r="L104" s="2714">
        <f t="shared" si="3"/>
        <v>3.94328349049403</v>
      </c>
      <c r="M104" s="2713">
        <v>2.6888287165946</v>
      </c>
      <c r="N104" s="2736" t="s">
        <v>257</v>
      </c>
    </row>
    <row r="105" s="2870" customFormat="1" ht="13.2" customHeight="1" spans="1:14">
      <c r="A105" s="730" t="s">
        <v>236</v>
      </c>
      <c r="B105" s="2711">
        <v>20250220</v>
      </c>
      <c r="C105" s="2711">
        <v>6.837</v>
      </c>
      <c r="D105" s="2901" t="s">
        <v>258</v>
      </c>
      <c r="E105" s="176" t="s">
        <v>259</v>
      </c>
      <c r="F105" s="2713">
        <v>0.534756901311253</v>
      </c>
      <c r="G105" s="2713">
        <v>0.641708281573504</v>
      </c>
      <c r="H105" s="2713">
        <v>0.705879109730854</v>
      </c>
      <c r="I105" s="2713">
        <v>3.25768141232758</v>
      </c>
      <c r="J105" s="2713">
        <f t="shared" si="2"/>
        <v>3.42056548294396</v>
      </c>
      <c r="K105" s="2714">
        <v>0.4</v>
      </c>
      <c r="L105" s="2714">
        <f t="shared" si="3"/>
        <v>4.52644459267481</v>
      </c>
      <c r="M105" s="2713">
        <v>2.96152855666144</v>
      </c>
      <c r="N105" s="2736" t="s">
        <v>260</v>
      </c>
    </row>
    <row r="106" s="2870" customFormat="1" ht="13.2" customHeight="1" spans="1:14">
      <c r="A106" s="730" t="s">
        <v>236</v>
      </c>
      <c r="B106" s="2711">
        <v>20250312</v>
      </c>
      <c r="C106" s="2711">
        <v>6.78</v>
      </c>
      <c r="D106" s="176" t="s">
        <v>261</v>
      </c>
      <c r="E106" s="176" t="s">
        <v>262</v>
      </c>
      <c r="F106" s="2713">
        <f>4.24/C106/1.13</f>
        <v>0.553423656250816</v>
      </c>
      <c r="G106" s="2713">
        <f>4.24/6.78/1.13*1.2</f>
        <v>0.664108387500979</v>
      </c>
      <c r="H106" s="2713">
        <v>0.730519226251077</v>
      </c>
      <c r="I106" s="2713">
        <v>3.08270803802801</v>
      </c>
      <c r="J106" s="2713">
        <v>3.3</v>
      </c>
      <c r="K106" s="2714">
        <v>0.4</v>
      </c>
      <c r="L106" s="2714">
        <f t="shared" si="3"/>
        <v>4.43051922625108</v>
      </c>
      <c r="M106" s="2713">
        <v>2.80246185275274</v>
      </c>
      <c r="N106" s="2736" t="s">
        <v>260</v>
      </c>
    </row>
    <row r="107" s="2870" customFormat="1" ht="13.2" customHeight="1" spans="1:14">
      <c r="A107" s="730" t="s">
        <v>236</v>
      </c>
      <c r="B107" s="2711">
        <v>20250312</v>
      </c>
      <c r="C107" s="2711">
        <v>6.837</v>
      </c>
      <c r="D107" s="176" t="s">
        <v>263</v>
      </c>
      <c r="E107" s="176" t="s">
        <v>264</v>
      </c>
      <c r="F107" s="2713">
        <v>0.527708758396276</v>
      </c>
      <c r="G107" s="2713">
        <v>0.633250510075531</v>
      </c>
      <c r="H107" s="2713">
        <v>0.696575561083084</v>
      </c>
      <c r="I107" s="2713">
        <v>2.26360972850573</v>
      </c>
      <c r="J107" s="2713">
        <f t="shared" si="2"/>
        <v>2.37679021493102</v>
      </c>
      <c r="K107" s="2714">
        <v>0.4</v>
      </c>
      <c r="L107" s="2714">
        <f t="shared" si="3"/>
        <v>3.4733657760141</v>
      </c>
      <c r="M107" s="2713">
        <v>2.0578270259143</v>
      </c>
      <c r="N107" s="2736" t="s">
        <v>63</v>
      </c>
    </row>
    <row r="108" s="2870" customFormat="1" ht="13.2" customHeight="1" spans="1:14">
      <c r="A108" s="730" t="s">
        <v>236</v>
      </c>
      <c r="B108" s="2711">
        <v>20250312</v>
      </c>
      <c r="C108" s="2711">
        <v>6.837</v>
      </c>
      <c r="D108" s="176" t="s">
        <v>265</v>
      </c>
      <c r="E108" s="176" t="s">
        <v>266</v>
      </c>
      <c r="F108" s="2713">
        <v>0.48182104027486</v>
      </c>
      <c r="G108" s="2713">
        <v>0.578185248329832</v>
      </c>
      <c r="H108" s="2713">
        <v>0.636003773162815</v>
      </c>
      <c r="I108" s="2713">
        <v>2.40931178555493</v>
      </c>
      <c r="J108" s="2713">
        <f t="shared" si="2"/>
        <v>2.52977737483268</v>
      </c>
      <c r="K108" s="2714">
        <v>0.4</v>
      </c>
      <c r="L108" s="2714">
        <f t="shared" si="3"/>
        <v>3.56578114799549</v>
      </c>
      <c r="M108" s="2713">
        <v>2.19028344141357</v>
      </c>
      <c r="N108" s="2736" t="s">
        <v>63</v>
      </c>
    </row>
    <row r="109" s="2870" customFormat="1" ht="13.2" customHeight="1" spans="1:14">
      <c r="A109" s="730" t="s">
        <v>236</v>
      </c>
      <c r="B109" s="2711">
        <v>20250410</v>
      </c>
      <c r="C109" s="2711">
        <v>6.837</v>
      </c>
      <c r="D109" s="176" t="s">
        <v>267</v>
      </c>
      <c r="E109" s="176" t="s">
        <v>268</v>
      </c>
      <c r="F109" s="2713">
        <v>0.357338722413165</v>
      </c>
      <c r="G109" s="2713">
        <v>0.428806466895798</v>
      </c>
      <c r="H109" s="2713">
        <v>0.471687113585378</v>
      </c>
      <c r="I109" s="2713">
        <v>1.53508930484509</v>
      </c>
      <c r="J109" s="2713">
        <f t="shared" si="2"/>
        <v>1.61184377008734</v>
      </c>
      <c r="K109" s="2714">
        <v>0.2</v>
      </c>
      <c r="L109" s="2714">
        <f t="shared" si="3"/>
        <v>2.28353088367272</v>
      </c>
      <c r="M109" s="2713">
        <v>1.39553573167735</v>
      </c>
      <c r="N109" s="2736" t="s">
        <v>197</v>
      </c>
    </row>
    <row r="110" s="2870" customFormat="1" ht="13.2" customHeight="1" spans="1:14">
      <c r="A110" s="730" t="s">
        <v>236</v>
      </c>
      <c r="B110" s="2711">
        <v>20250220</v>
      </c>
      <c r="C110" s="2711">
        <v>6.837</v>
      </c>
      <c r="D110" s="176" t="s">
        <v>269</v>
      </c>
      <c r="E110" s="176" t="s">
        <v>270</v>
      </c>
      <c r="F110" s="2713">
        <v>0.485003727670626</v>
      </c>
      <c r="G110" s="2713">
        <v>0.582004473204751</v>
      </c>
      <c r="H110" s="2713">
        <v>0.640204920525226</v>
      </c>
      <c r="I110" s="2713">
        <v>2.91915626383516</v>
      </c>
      <c r="J110" s="2713">
        <f t="shared" si="2"/>
        <v>3.06511407702692</v>
      </c>
      <c r="K110" s="2714">
        <v>0.4</v>
      </c>
      <c r="L110" s="2714">
        <f t="shared" si="3"/>
        <v>4.10531899755215</v>
      </c>
      <c r="M110" s="2713">
        <v>2.65377842166833</v>
      </c>
      <c r="N110" s="2736" t="s">
        <v>271</v>
      </c>
    </row>
    <row r="111" s="2870" customFormat="1" ht="13.2" customHeight="1" spans="1:14">
      <c r="A111" s="730" t="s">
        <v>236</v>
      </c>
      <c r="B111" s="2711" t="s">
        <v>272</v>
      </c>
      <c r="C111" s="2711">
        <v>6.837</v>
      </c>
      <c r="D111" s="176" t="s">
        <v>273</v>
      </c>
      <c r="E111" s="176" t="s">
        <v>274</v>
      </c>
      <c r="F111" s="2713">
        <v>0.46718206838614</v>
      </c>
      <c r="G111" s="2713">
        <v>0.560618482063368</v>
      </c>
      <c r="H111" s="2713">
        <v>0.616680330269705</v>
      </c>
      <c r="I111" s="2713">
        <v>3.67177688364307</v>
      </c>
      <c r="J111" s="2713">
        <f t="shared" si="2"/>
        <v>3.85536572782522</v>
      </c>
      <c r="K111" s="2714">
        <v>0.4</v>
      </c>
      <c r="L111" s="2714">
        <f t="shared" si="3"/>
        <v>4.87204605809493</v>
      </c>
      <c r="M111" s="2713">
        <v>3.33797898513006</v>
      </c>
      <c r="N111" s="2736" t="s">
        <v>275</v>
      </c>
    </row>
    <row r="112" s="2870" customFormat="1" ht="13.2" customHeight="1" spans="1:14">
      <c r="A112" s="730" t="s">
        <v>236</v>
      </c>
      <c r="B112" s="2711">
        <v>20250603</v>
      </c>
      <c r="C112" s="2711">
        <v>6.837</v>
      </c>
      <c r="D112" s="176" t="s">
        <v>276</v>
      </c>
      <c r="E112" s="176" t="s">
        <v>277</v>
      </c>
      <c r="F112" s="2713">
        <v>0.548652510829501</v>
      </c>
      <c r="G112" s="2713">
        <v>0.658383012995401</v>
      </c>
      <c r="H112" s="2713">
        <v>0.724221314294941</v>
      </c>
      <c r="I112" s="2713">
        <v>2.13042089643405</v>
      </c>
      <c r="J112" s="2713">
        <f t="shared" si="2"/>
        <v>2.23694194125575</v>
      </c>
      <c r="K112" s="2714">
        <v>0.2</v>
      </c>
      <c r="L112" s="2714">
        <f t="shared" si="3"/>
        <v>3.16116325555069</v>
      </c>
      <c r="M112" s="2713">
        <v>1.9367462694855</v>
      </c>
      <c r="N112" s="2736" t="s">
        <v>278</v>
      </c>
    </row>
    <row r="113" s="2870" customFormat="1" ht="13.2" customHeight="1" spans="1:16">
      <c r="A113" s="2776" t="s">
        <v>236</v>
      </c>
      <c r="B113" s="2883">
        <v>46286</v>
      </c>
      <c r="C113" s="2711">
        <v>6.7</v>
      </c>
      <c r="D113" s="176" t="s">
        <v>279</v>
      </c>
      <c r="E113" s="2816" t="s">
        <v>280</v>
      </c>
      <c r="F113" s="2713">
        <v>0.761239446580143</v>
      </c>
      <c r="G113" s="2713">
        <v>0.913487335896171</v>
      </c>
      <c r="H113" s="2818">
        <f>12.18/C113/1.13</f>
        <v>1.60877030775327</v>
      </c>
      <c r="I113" s="2713">
        <v>3.10286257201503</v>
      </c>
      <c r="J113" s="2818">
        <v>3.21</v>
      </c>
      <c r="K113" s="2735">
        <v>0.4</v>
      </c>
      <c r="L113" s="2735">
        <f t="shared" si="3"/>
        <v>5.21877030775327</v>
      </c>
      <c r="M113" s="2713">
        <v>2.8207841563773</v>
      </c>
      <c r="N113" s="2736" t="s">
        <v>281</v>
      </c>
      <c r="O113" s="2870"/>
      <c r="P113" s="2870" t="e">
        <f>63.76/E113/1.13</f>
        <v>#VALUE!</v>
      </c>
    </row>
    <row r="114" s="2870" customFormat="1" ht="13.2" customHeight="1" spans="1:16">
      <c r="A114" s="730" t="s">
        <v>236</v>
      </c>
      <c r="B114" s="2711">
        <v>20250604</v>
      </c>
      <c r="C114" s="2711">
        <v>6.8225</v>
      </c>
      <c r="D114" s="2901" t="s">
        <v>282</v>
      </c>
      <c r="E114" s="176" t="s">
        <v>283</v>
      </c>
      <c r="F114" s="2713">
        <v>0.668446126639067</v>
      </c>
      <c r="G114" s="2713">
        <v>0.80213535196688</v>
      </c>
      <c r="H114" s="2713">
        <f>7.81/6.73/1.13*1.05</f>
        <v>1.07831792659996</v>
      </c>
      <c r="I114" s="2713">
        <v>3.256</v>
      </c>
      <c r="J114" s="2713">
        <f t="shared" si="2"/>
        <v>3.4188</v>
      </c>
      <c r="K114" s="2714">
        <v>0.4</v>
      </c>
      <c r="L114" s="2714">
        <f t="shared" si="3"/>
        <v>4.89711792659996</v>
      </c>
      <c r="M114" s="2713">
        <v>2.96</v>
      </c>
      <c r="N114" s="2736" t="s">
        <v>281</v>
      </c>
      <c r="O114" s="2870"/>
      <c r="P114" s="2870" t="e">
        <f>63.76/E114/1.13</f>
        <v>#VALUE!</v>
      </c>
    </row>
    <row r="115" s="2870" customFormat="1" ht="13.2" customHeight="1" spans="1:16">
      <c r="A115" s="730" t="s">
        <v>236</v>
      </c>
      <c r="B115" s="2883">
        <v>46098</v>
      </c>
      <c r="C115" s="2711">
        <v>6.7851</v>
      </c>
      <c r="D115" s="176" t="s">
        <v>284</v>
      </c>
      <c r="E115" s="176" t="s">
        <v>285</v>
      </c>
      <c r="F115" s="2713">
        <f>3.64/C115/1.13*1.15</f>
        <v>0.545964654723005</v>
      </c>
      <c r="G115" s="2713">
        <v>0.655157585667606</v>
      </c>
      <c r="H115" s="2713">
        <v>0.720673344234367</v>
      </c>
      <c r="I115" s="2713">
        <v>3.41</v>
      </c>
      <c r="J115" s="2713">
        <v>3.31</v>
      </c>
      <c r="K115" s="2714">
        <v>0.4</v>
      </c>
      <c r="L115" s="2714">
        <f t="shared" si="3"/>
        <v>4.43067334423437</v>
      </c>
      <c r="M115" s="2713">
        <v>3.1</v>
      </c>
      <c r="N115" s="2736" t="s">
        <v>286</v>
      </c>
    </row>
    <row r="116" s="2870" customFormat="1" ht="13.2" customHeight="1" spans="1:16">
      <c r="A116" s="730" t="s">
        <v>236</v>
      </c>
      <c r="B116" s="2711">
        <v>20250725</v>
      </c>
      <c r="C116" s="2711">
        <v>6.837</v>
      </c>
      <c r="D116" s="176" t="s">
        <v>287</v>
      </c>
      <c r="E116" s="176" t="s">
        <v>288</v>
      </c>
      <c r="F116" s="2713">
        <v>0.469136805073949</v>
      </c>
      <c r="G116" s="2713">
        <v>0.562964166088739</v>
      </c>
      <c r="H116" s="2713">
        <v>0.619260582697613</v>
      </c>
      <c r="I116" s="2713">
        <v>3.78442771514307</v>
      </c>
      <c r="J116" s="2713">
        <f t="shared" si="2"/>
        <v>3.97364910090022</v>
      </c>
      <c r="K116" s="2714">
        <v>0.4</v>
      </c>
      <c r="L116" s="2714">
        <f t="shared" si="3"/>
        <v>4.99290968359783</v>
      </c>
      <c r="M116" s="2713">
        <v>3.44038883194825</v>
      </c>
      <c r="N116" s="2736" t="s">
        <v>286</v>
      </c>
    </row>
    <row r="117" s="2870" customFormat="1" ht="13.2" customHeight="1" spans="1:16">
      <c r="A117" s="730" t="s">
        <v>236</v>
      </c>
      <c r="B117" s="2711">
        <v>20250327</v>
      </c>
      <c r="C117" s="2711">
        <v>6.837</v>
      </c>
      <c r="D117" s="176" t="s">
        <v>289</v>
      </c>
      <c r="E117" s="176" t="s">
        <v>290</v>
      </c>
      <c r="F117" s="2713">
        <v>0.45632786354074</v>
      </c>
      <c r="G117" s="2713">
        <v>0.547593436248888</v>
      </c>
      <c r="H117" s="2713">
        <v>0.602352779873777</v>
      </c>
      <c r="I117" s="2713">
        <v>2.95501778921952</v>
      </c>
      <c r="J117" s="2713">
        <f t="shared" si="2"/>
        <v>3.1027686786805</v>
      </c>
      <c r="K117" s="2714">
        <v>0.4</v>
      </c>
      <c r="L117" s="2714">
        <f t="shared" si="3"/>
        <v>4.10512145855428</v>
      </c>
      <c r="M117" s="2713">
        <v>2.68637980838138</v>
      </c>
      <c r="N117" s="2736" t="s">
        <v>271</v>
      </c>
    </row>
    <row r="118" s="2870" customFormat="1" ht="13.2" customHeight="1" spans="1:16">
      <c r="A118" s="730" t="s">
        <v>236</v>
      </c>
      <c r="B118" s="2711">
        <v>20241203</v>
      </c>
      <c r="C118" s="2711">
        <v>6.837</v>
      </c>
      <c r="D118" s="2711" t="s">
        <v>291</v>
      </c>
      <c r="E118" s="2711" t="s">
        <v>292</v>
      </c>
      <c r="F118" s="2713">
        <v>0.483095699111567</v>
      </c>
      <c r="G118" s="2713">
        <v>0.57971483893388</v>
      </c>
      <c r="H118" s="2713">
        <v>0.637686322827268</v>
      </c>
      <c r="I118" s="2713">
        <v>2.28124688533425</v>
      </c>
      <c r="J118" s="2713">
        <f t="shared" si="2"/>
        <v>2.39530922960096</v>
      </c>
      <c r="K118" s="2714">
        <v>0.2</v>
      </c>
      <c r="L118" s="2714">
        <f t="shared" si="3"/>
        <v>3.23299555242823</v>
      </c>
      <c r="M118" s="2713">
        <v>2.07386080484932</v>
      </c>
      <c r="N118" s="2736" t="s">
        <v>257</v>
      </c>
    </row>
    <row r="119" s="2870" customFormat="1" ht="13.2" customHeight="1" spans="1:16">
      <c r="A119" s="730" t="s">
        <v>293</v>
      </c>
      <c r="B119" s="2711">
        <v>20250703</v>
      </c>
      <c r="C119" s="2711">
        <v>6.837</v>
      </c>
      <c r="D119" s="2711" t="s">
        <v>294</v>
      </c>
      <c r="E119" s="2711" t="s">
        <v>295</v>
      </c>
      <c r="F119" s="2713">
        <v>0.483581616783311</v>
      </c>
      <c r="G119" s="2713">
        <v>0.580297940139973</v>
      </c>
      <c r="H119" s="2713">
        <v>0.63832773415397</v>
      </c>
      <c r="I119" s="2713">
        <v>2.97674151060187</v>
      </c>
      <c r="J119" s="2713">
        <f t="shared" si="2"/>
        <v>3.12557858613196</v>
      </c>
      <c r="K119" s="2714">
        <v>0.4</v>
      </c>
      <c r="L119" s="2714">
        <f t="shared" si="3"/>
        <v>4.16390632028593</v>
      </c>
      <c r="M119" s="2713">
        <v>2.7061286460017</v>
      </c>
      <c r="N119" s="2736" t="s">
        <v>271</v>
      </c>
    </row>
    <row r="120" s="2870" customFormat="1" ht="13.2" customHeight="1" spans="1:16">
      <c r="A120" s="730" t="s">
        <v>293</v>
      </c>
      <c r="B120" s="2711">
        <v>20250703</v>
      </c>
      <c r="C120" s="2711">
        <v>6.837</v>
      </c>
      <c r="D120" s="2711" t="s">
        <v>296</v>
      </c>
      <c r="E120" s="2711" t="s">
        <v>297</v>
      </c>
      <c r="F120" s="2713">
        <v>0.483581616783311</v>
      </c>
      <c r="G120" s="2713">
        <v>0.580297940139973</v>
      </c>
      <c r="H120" s="2713">
        <v>0.63832773415397</v>
      </c>
      <c r="I120" s="2713">
        <v>2.97674151060187</v>
      </c>
      <c r="J120" s="2713">
        <f t="shared" si="2"/>
        <v>3.12557858613196</v>
      </c>
      <c r="K120" s="2714">
        <v>0.4</v>
      </c>
      <c r="L120" s="2714">
        <f t="shared" si="3"/>
        <v>4.16390632028593</v>
      </c>
      <c r="M120" s="2713">
        <v>2.7061286460017</v>
      </c>
      <c r="N120" s="2736" t="s">
        <v>271</v>
      </c>
    </row>
    <row r="121" s="2870" customFormat="1" ht="13.2" customHeight="1" spans="1:16">
      <c r="A121" s="730" t="s">
        <v>298</v>
      </c>
      <c r="B121" s="2711">
        <v>20250506</v>
      </c>
      <c r="C121" s="2711">
        <v>6.837</v>
      </c>
      <c r="D121" s="2711" t="s">
        <v>299</v>
      </c>
      <c r="E121" s="2711" t="s">
        <v>300</v>
      </c>
      <c r="F121" s="2713">
        <v>0.348134228327548</v>
      </c>
      <c r="G121" s="2713">
        <v>0.417761073993058</v>
      </c>
      <c r="H121" s="2713">
        <v>0.459537181392364</v>
      </c>
      <c r="I121" s="2713">
        <v>3.12257218743761</v>
      </c>
      <c r="J121" s="2713">
        <f t="shared" si="2"/>
        <v>3.27870079680949</v>
      </c>
      <c r="K121" s="2714">
        <v>0.4</v>
      </c>
      <c r="L121" s="2714">
        <f t="shared" si="3"/>
        <v>4.13823797820185</v>
      </c>
      <c r="M121" s="2713">
        <v>2.83870198857965</v>
      </c>
      <c r="N121" s="2736" t="s">
        <v>260</v>
      </c>
    </row>
    <row r="122" s="2870" customFormat="1" ht="13.2" customHeight="1" spans="1:16">
      <c r="A122" s="730" t="s">
        <v>298</v>
      </c>
      <c r="B122" s="2883">
        <v>46227</v>
      </c>
      <c r="C122" s="2711">
        <v>6.78</v>
      </c>
      <c r="D122" s="2711" t="s">
        <v>301</v>
      </c>
      <c r="E122" s="2711" t="s">
        <v>302</v>
      </c>
      <c r="F122" s="2713">
        <f>2.75/C122/1.13*1.2</f>
        <v>0.430730675855588</v>
      </c>
      <c r="G122" s="2713">
        <f>5.5/6.78/1.13</f>
        <v>0.717884459759313</v>
      </c>
      <c r="H122" s="2713">
        <v>0.789672905735244</v>
      </c>
      <c r="I122" s="2713">
        <v>3.256</v>
      </c>
      <c r="J122" s="2713">
        <f t="shared" si="2"/>
        <v>3.4188</v>
      </c>
      <c r="K122" s="2714">
        <v>0.4</v>
      </c>
      <c r="L122" s="2714">
        <f t="shared" si="3"/>
        <v>4.60847290573524</v>
      </c>
      <c r="M122" s="2713">
        <v>2.96</v>
      </c>
      <c r="N122" s="2736" t="s">
        <v>260</v>
      </c>
    </row>
    <row r="123" s="2870" customFormat="1" ht="13.2" customHeight="1" spans="1:16">
      <c r="A123" s="730" t="s">
        <v>298</v>
      </c>
      <c r="B123" s="2883">
        <v>46049</v>
      </c>
      <c r="C123" s="2711">
        <v>6.837</v>
      </c>
      <c r="D123" s="2711" t="s">
        <v>303</v>
      </c>
      <c r="E123" s="2711" t="s">
        <v>304</v>
      </c>
      <c r="F123" s="2713">
        <v>0.334444448515914</v>
      </c>
      <c r="G123" s="2713">
        <v>0.401333338219097</v>
      </c>
      <c r="H123" s="2713">
        <v>0.441466672041007</v>
      </c>
      <c r="I123" s="2713">
        <v>2.24256580460741</v>
      </c>
      <c r="J123" s="2713">
        <f t="shared" si="2"/>
        <v>2.35469409483778</v>
      </c>
      <c r="K123" s="2714">
        <v>0.4</v>
      </c>
      <c r="L123" s="2714">
        <f t="shared" si="3"/>
        <v>3.19616076687879</v>
      </c>
      <c r="M123" s="2713">
        <v>2.03869618600674</v>
      </c>
      <c r="N123" s="2736" t="s">
        <v>305</v>
      </c>
    </row>
    <row r="124" s="2870" customFormat="1" ht="13.2" customHeight="1" spans="1:16">
      <c r="A124" s="730" t="s">
        <v>298</v>
      </c>
      <c r="B124" s="2711">
        <v>20250506</v>
      </c>
      <c r="C124" s="2711">
        <v>6.837</v>
      </c>
      <c r="D124" s="2711" t="s">
        <v>306</v>
      </c>
      <c r="E124" s="2711" t="s">
        <v>307</v>
      </c>
      <c r="F124" s="2713">
        <v>0.334208859194446</v>
      </c>
      <c r="G124" s="2713">
        <v>0.401050631033335</v>
      </c>
      <c r="H124" s="2713">
        <v>0.441155694136669</v>
      </c>
      <c r="I124" s="2713">
        <v>2.1532210541376</v>
      </c>
      <c r="J124" s="2713">
        <f t="shared" si="2"/>
        <v>2.26088210684448</v>
      </c>
      <c r="K124" s="2714">
        <v>0.2</v>
      </c>
      <c r="L124" s="2714">
        <f t="shared" si="3"/>
        <v>2.90203780098115</v>
      </c>
      <c r="M124" s="2713">
        <v>1.95747368557964</v>
      </c>
      <c r="N124" s="2736" t="s">
        <v>308</v>
      </c>
    </row>
    <row r="125" s="2870" customFormat="1" ht="13.2" customHeight="1" spans="1:16">
      <c r="A125" s="730" t="s">
        <v>309</v>
      </c>
      <c r="B125" s="2711">
        <v>20241114</v>
      </c>
      <c r="C125" s="2711">
        <v>6.837</v>
      </c>
      <c r="D125" s="2711" t="s">
        <v>310</v>
      </c>
      <c r="E125" s="2712" t="s">
        <v>311</v>
      </c>
      <c r="F125" s="2713">
        <f>5.38/C125/1.13*1.1</f>
        <v>0.766003823547305</v>
      </c>
      <c r="G125" s="2713">
        <v>0.919204588256766</v>
      </c>
      <c r="H125" s="2713">
        <v>1.01112504708244</v>
      </c>
      <c r="I125" s="2713">
        <v>4.54209733036859</v>
      </c>
      <c r="J125" s="2713">
        <f t="shared" si="2"/>
        <v>4.76920219688702</v>
      </c>
      <c r="K125" s="2716">
        <v>0.4</v>
      </c>
      <c r="L125" s="2714">
        <f t="shared" si="3"/>
        <v>6.18032724396946</v>
      </c>
      <c r="M125" s="2713">
        <v>4.12917939124417</v>
      </c>
      <c r="N125" s="226" t="s">
        <v>312</v>
      </c>
    </row>
    <row r="126" s="2870" customFormat="1" ht="13.2" customHeight="1" spans="1:16">
      <c r="A126" s="730" t="s">
        <v>313</v>
      </c>
      <c r="B126" s="2883">
        <v>46057</v>
      </c>
      <c r="C126" s="2711">
        <v>6.837</v>
      </c>
      <c r="D126" s="2711" t="s">
        <v>314</v>
      </c>
      <c r="E126" s="2712" t="s">
        <v>315</v>
      </c>
      <c r="F126" s="2713">
        <f>5.38/C126/1.13*1.1</f>
        <v>0.766003823547305</v>
      </c>
      <c r="G126" s="2713">
        <v>0.919204588256766</v>
      </c>
      <c r="H126" s="2713">
        <v>1.01112504708244</v>
      </c>
      <c r="I126" s="2713">
        <v>5.68824269994079</v>
      </c>
      <c r="J126" s="2713">
        <f t="shared" si="2"/>
        <v>5.97265483493783</v>
      </c>
      <c r="K126" s="2714">
        <v>0.23</v>
      </c>
      <c r="L126" s="2714">
        <f t="shared" si="3"/>
        <v>7.21377988202027</v>
      </c>
      <c r="M126" s="2713">
        <v>5.1711297272189</v>
      </c>
      <c r="N126" s="226" t="s">
        <v>316</v>
      </c>
    </row>
    <row r="127" s="2870" customFormat="1" ht="13.2" customHeight="1" spans="1:16">
      <c r="A127" s="730" t="s">
        <v>313</v>
      </c>
      <c r="B127" s="2711">
        <v>20241220</v>
      </c>
      <c r="C127" s="2711">
        <v>6.837</v>
      </c>
      <c r="D127" s="2711" t="s">
        <v>317</v>
      </c>
      <c r="E127" s="2712" t="s">
        <v>318</v>
      </c>
      <c r="F127" s="2713">
        <v>0.565765899736557</v>
      </c>
      <c r="G127" s="2713">
        <v>0.678919079683868</v>
      </c>
      <c r="H127" s="2713">
        <v>0.746810987652255</v>
      </c>
      <c r="I127" s="2713">
        <v>6.31634329169165</v>
      </c>
      <c r="J127" s="2713">
        <f t="shared" si="2"/>
        <v>6.63216045627623</v>
      </c>
      <c r="K127" s="2714">
        <v>0.4</v>
      </c>
      <c r="L127" s="2714">
        <f t="shared" si="3"/>
        <v>7.77897144392849</v>
      </c>
      <c r="M127" s="2713">
        <v>5.74213026517423</v>
      </c>
      <c r="N127" s="2711" t="s">
        <v>319</v>
      </c>
    </row>
    <row r="128" s="2870" customFormat="1" ht="13.2" customHeight="1" spans="1:16">
      <c r="A128" s="730" t="s">
        <v>50</v>
      </c>
      <c r="B128" s="2711"/>
      <c r="C128" s="2711">
        <v>6.837</v>
      </c>
      <c r="D128" s="2711"/>
      <c r="E128" s="2712" t="s">
        <v>65</v>
      </c>
      <c r="F128" s="2713">
        <v>0.78319818897853</v>
      </c>
      <c r="G128" s="2713">
        <v>0.939837826774236</v>
      </c>
      <c r="H128" s="2713">
        <v>1.03382160945166</v>
      </c>
      <c r="I128" s="2713">
        <v>4.61842849173322</v>
      </c>
      <c r="J128" s="2713">
        <f t="shared" si="2"/>
        <v>4.84934991631988</v>
      </c>
      <c r="K128" s="2714">
        <v>0.4</v>
      </c>
      <c r="L128" s="2714">
        <f t="shared" si="3"/>
        <v>6.28317152577154</v>
      </c>
      <c r="M128" s="2713">
        <v>4.19857135612111</v>
      </c>
      <c r="N128" s="2711" t="s">
        <v>66</v>
      </c>
    </row>
    <row r="129" s="2870" customFormat="1" ht="13.2" customHeight="1" spans="1:14">
      <c r="A129" s="730" t="s">
        <v>225</v>
      </c>
      <c r="B129" s="2711"/>
      <c r="C129" s="2711">
        <v>6.837</v>
      </c>
      <c r="D129" s="2711" t="s">
        <v>228</v>
      </c>
      <c r="E129" s="2712" t="s">
        <v>229</v>
      </c>
      <c r="F129" s="2713">
        <v>0.78319818897853</v>
      </c>
      <c r="G129" s="2713">
        <v>0.939837826774236</v>
      </c>
      <c r="H129" s="2713">
        <v>1.03382160945166</v>
      </c>
      <c r="I129" s="2713">
        <v>6.47031668890741</v>
      </c>
      <c r="J129" s="2713">
        <f t="shared" si="2"/>
        <v>6.79383252335278</v>
      </c>
      <c r="K129" s="2714">
        <v>0.4</v>
      </c>
      <c r="L129" s="2714">
        <f t="shared" si="3"/>
        <v>8.22765413280444</v>
      </c>
      <c r="M129" s="2713">
        <v>5.88210608082492</v>
      </c>
      <c r="N129" s="2711" t="s">
        <v>320</v>
      </c>
    </row>
    <row r="130" s="2870" customFormat="1" ht="13.2" customHeight="1" spans="1:14">
      <c r="A130" s="730" t="s">
        <v>313</v>
      </c>
      <c r="B130" s="2711"/>
      <c r="C130" s="2711">
        <v>6.837</v>
      </c>
      <c r="D130" s="2711"/>
      <c r="E130" s="2712" t="s">
        <v>321</v>
      </c>
      <c r="F130" s="2713">
        <v>0.78319818897853</v>
      </c>
      <c r="G130" s="2713">
        <v>0.939837826774236</v>
      </c>
      <c r="H130" s="2713">
        <v>1.03382160945166</v>
      </c>
      <c r="I130" s="2713">
        <v>9.45140500630978</v>
      </c>
      <c r="J130" s="2713">
        <f t="shared" si="2"/>
        <v>9.92397525662527</v>
      </c>
      <c r="K130" s="2714">
        <v>0.4</v>
      </c>
      <c r="L130" s="2714">
        <f t="shared" si="3"/>
        <v>11.3577968660769</v>
      </c>
      <c r="M130" s="2713">
        <v>8.59218636937253</v>
      </c>
      <c r="N130" s="2711" t="s">
        <v>322</v>
      </c>
    </row>
    <row r="131" s="2870" customFormat="1" ht="13.2" customHeight="1" spans="1:14">
      <c r="A131" s="730" t="s">
        <v>313</v>
      </c>
      <c r="B131" s="2711"/>
      <c r="C131" s="2711">
        <v>6.837</v>
      </c>
      <c r="D131" s="2711"/>
      <c r="E131" s="2712" t="s">
        <v>323</v>
      </c>
      <c r="F131" s="2713">
        <v>0.845854044096813</v>
      </c>
      <c r="G131" s="2713">
        <v>1.01502485291618</v>
      </c>
      <c r="H131" s="2713">
        <v>1.1165273382078</v>
      </c>
      <c r="I131" s="2713">
        <v>6.413856682896</v>
      </c>
      <c r="J131" s="2713">
        <f t="shared" si="2"/>
        <v>6.7345495170408</v>
      </c>
      <c r="K131" s="2714">
        <v>0.4</v>
      </c>
      <c r="L131" s="2714">
        <f t="shared" si="3"/>
        <v>8.2510768552486</v>
      </c>
      <c r="M131" s="2713">
        <v>5.83077880263273</v>
      </c>
      <c r="N131" s="2711" t="s">
        <v>319</v>
      </c>
    </row>
    <row r="132" s="2870" customFormat="1" ht="13.2" customHeight="1" spans="1:14">
      <c r="A132" s="730" t="s">
        <v>313</v>
      </c>
      <c r="B132" s="2711"/>
      <c r="C132" s="2711">
        <v>6.837</v>
      </c>
      <c r="D132" s="2711"/>
      <c r="E132" s="2712" t="s">
        <v>324</v>
      </c>
      <c r="F132" s="2713">
        <v>0.845854044096813</v>
      </c>
      <c r="G132" s="2713">
        <v>1.01502485291618</v>
      </c>
      <c r="H132" s="2713">
        <v>1.1165273382078</v>
      </c>
      <c r="I132" s="2713">
        <v>4.79910051096972</v>
      </c>
      <c r="J132" s="2713">
        <f t="shared" ref="J132:J149" si="4">I132*1.05</f>
        <v>5.03905553651821</v>
      </c>
      <c r="K132" s="2714">
        <v>0.4</v>
      </c>
      <c r="L132" s="2714">
        <f t="shared" ref="L132:L149" si="5">SUBTOTAL(109,H132,J132,K132)</f>
        <v>6.55558287472601</v>
      </c>
      <c r="M132" s="2713">
        <v>4.36281864633611</v>
      </c>
      <c r="N132" s="2711" t="s">
        <v>66</v>
      </c>
    </row>
    <row r="133" s="2870" customFormat="1" ht="13.2" customHeight="1" spans="1:14">
      <c r="A133" s="730" t="s">
        <v>313</v>
      </c>
      <c r="B133" s="2711"/>
      <c r="C133" s="2711">
        <v>6.837</v>
      </c>
      <c r="D133" s="2711"/>
      <c r="E133" s="2712" t="s">
        <v>325</v>
      </c>
      <c r="F133" s="2713">
        <v>0.845854044096813</v>
      </c>
      <c r="G133" s="2713">
        <v>1.01502485291618</v>
      </c>
      <c r="H133" s="2713">
        <v>1.1165273382078</v>
      </c>
      <c r="I133" s="2713">
        <v>9.45140500630978</v>
      </c>
      <c r="J133" s="2713">
        <f t="shared" si="4"/>
        <v>9.92397525662527</v>
      </c>
      <c r="K133" s="2714">
        <v>0.4</v>
      </c>
      <c r="L133" s="2714">
        <f t="shared" si="5"/>
        <v>11.4405025948331</v>
      </c>
      <c r="M133" s="2713">
        <v>8.59218636937253</v>
      </c>
      <c r="N133" s="2711" t="s">
        <v>322</v>
      </c>
    </row>
    <row r="134" s="2870" customFormat="1" ht="13.2" customHeight="1" spans="1:14">
      <c r="A134" s="730" t="s">
        <v>313</v>
      </c>
      <c r="B134" s="2711"/>
      <c r="C134" s="2711">
        <v>6.837</v>
      </c>
      <c r="D134" s="2711"/>
      <c r="E134" s="2712" t="s">
        <v>326</v>
      </c>
      <c r="F134" s="2713">
        <v>0.845854044096813</v>
      </c>
      <c r="G134" s="2713">
        <v>1.01502485291618</v>
      </c>
      <c r="H134" s="2713">
        <v>1.1165273382078</v>
      </c>
      <c r="I134" s="2713">
        <v>6.4816086901097</v>
      </c>
      <c r="J134" s="2713">
        <f t="shared" si="4"/>
        <v>6.80568912461518</v>
      </c>
      <c r="K134" s="2714">
        <v>0.4</v>
      </c>
      <c r="L134" s="2714">
        <f t="shared" si="5"/>
        <v>8.32221646282298</v>
      </c>
      <c r="M134" s="2713">
        <v>5.89237153646336</v>
      </c>
      <c r="N134" s="2711" t="s">
        <v>320</v>
      </c>
    </row>
    <row r="135" s="2870" customFormat="1" ht="13.2" customHeight="1" spans="1:14">
      <c r="A135" s="730" t="s">
        <v>313</v>
      </c>
      <c r="B135" s="2711"/>
      <c r="C135" s="2711">
        <v>6.837</v>
      </c>
      <c r="D135" s="2711"/>
      <c r="E135" s="2712" t="s">
        <v>327</v>
      </c>
      <c r="F135" s="2713">
        <v>0.845854044096813</v>
      </c>
      <c r="G135" s="2713">
        <v>1.01502485291618</v>
      </c>
      <c r="H135" s="2713">
        <v>1.1165273382078</v>
      </c>
      <c r="I135" s="2713">
        <v>6.37998067928916</v>
      </c>
      <c r="J135" s="2713">
        <f t="shared" si="4"/>
        <v>6.69897971325362</v>
      </c>
      <c r="K135" s="2714">
        <v>0.4</v>
      </c>
      <c r="L135" s="2714">
        <f t="shared" si="5"/>
        <v>8.21550705146142</v>
      </c>
      <c r="M135" s="2713">
        <v>5.79998243571742</v>
      </c>
      <c r="N135" s="2711" t="s">
        <v>328</v>
      </c>
    </row>
    <row r="136" s="2870" customFormat="1" ht="13.2" customHeight="1" spans="1:14">
      <c r="A136" s="730" t="s">
        <v>313</v>
      </c>
      <c r="B136" s="2711"/>
      <c r="C136" s="2711">
        <v>6.837</v>
      </c>
      <c r="D136" s="2711"/>
      <c r="E136" s="2712" t="s">
        <v>329</v>
      </c>
      <c r="F136" s="2713">
        <v>0.845854044096813</v>
      </c>
      <c r="G136" s="2713">
        <v>1.01502485291618</v>
      </c>
      <c r="H136" s="2713">
        <v>1.1165273382078</v>
      </c>
      <c r="I136" s="2713">
        <v>4.82168451337429</v>
      </c>
      <c r="J136" s="2713">
        <f t="shared" si="4"/>
        <v>5.062768739043</v>
      </c>
      <c r="K136" s="2714">
        <v>0.4</v>
      </c>
      <c r="L136" s="2714">
        <f t="shared" si="5"/>
        <v>6.5792960772508</v>
      </c>
      <c r="M136" s="2713">
        <v>4.38334955761299</v>
      </c>
      <c r="N136" s="2711" t="s">
        <v>330</v>
      </c>
    </row>
    <row r="137" s="2870" customFormat="1" ht="13.2" customHeight="1" spans="1:14">
      <c r="A137" s="730" t="s">
        <v>313</v>
      </c>
      <c r="B137" s="2711"/>
      <c r="C137" s="2711">
        <v>6.837</v>
      </c>
      <c r="D137" s="2711"/>
      <c r="E137" s="2712" t="s">
        <v>331</v>
      </c>
      <c r="F137" s="2713">
        <v>0.845854044096813</v>
      </c>
      <c r="G137" s="2713">
        <v>1.01502485291618</v>
      </c>
      <c r="H137" s="2713">
        <v>1.1165273382078</v>
      </c>
      <c r="I137" s="2713">
        <v>6.42514868409829</v>
      </c>
      <c r="J137" s="2713">
        <f t="shared" si="4"/>
        <v>6.7464061183032</v>
      </c>
      <c r="K137" s="2714">
        <v>0.4</v>
      </c>
      <c r="L137" s="2714">
        <f t="shared" si="5"/>
        <v>8.262933456511</v>
      </c>
      <c r="M137" s="2713">
        <v>5.84104425827117</v>
      </c>
      <c r="N137" s="2711" t="s">
        <v>328</v>
      </c>
    </row>
    <row r="138" s="2870" customFormat="1" ht="13.2" customHeight="1" spans="1:14">
      <c r="A138" s="730" t="s">
        <v>313</v>
      </c>
      <c r="B138" s="2711"/>
      <c r="C138" s="2711">
        <v>6.837</v>
      </c>
      <c r="D138" s="2711"/>
      <c r="E138" s="2712" t="s">
        <v>332</v>
      </c>
      <c r="F138" s="2713">
        <v>0.845854044096813</v>
      </c>
      <c r="G138" s="2713">
        <v>1.01502485291618</v>
      </c>
      <c r="H138" s="2713">
        <v>1.1165273382078</v>
      </c>
      <c r="I138" s="2713">
        <v>7.13654475984204</v>
      </c>
      <c r="J138" s="2713">
        <f t="shared" si="4"/>
        <v>7.49337199783414</v>
      </c>
      <c r="K138" s="2714">
        <v>0.4</v>
      </c>
      <c r="L138" s="2714">
        <f t="shared" si="5"/>
        <v>9.00989933604194</v>
      </c>
      <c r="M138" s="2713">
        <v>6.48776796349276</v>
      </c>
      <c r="N138" s="2711" t="s">
        <v>333</v>
      </c>
    </row>
    <row r="139" s="2870" customFormat="1" ht="13.2" customHeight="1" spans="1:14">
      <c r="A139" s="730" t="s">
        <v>313</v>
      </c>
      <c r="B139" s="2711"/>
      <c r="C139" s="2711">
        <v>6.837</v>
      </c>
      <c r="D139" s="2711"/>
      <c r="E139" s="2712" t="s">
        <v>334</v>
      </c>
      <c r="F139" s="2713">
        <v>0.845854044096813</v>
      </c>
      <c r="G139" s="2713">
        <v>1.01502485291618</v>
      </c>
      <c r="H139" s="2713">
        <v>1.1165273382078</v>
      </c>
      <c r="I139" s="2713">
        <v>6.39127268049145</v>
      </c>
      <c r="J139" s="2713">
        <f t="shared" si="4"/>
        <v>6.71083631451602</v>
      </c>
      <c r="K139" s="2714">
        <v>0.4</v>
      </c>
      <c r="L139" s="2714">
        <f t="shared" si="5"/>
        <v>8.22736365272382</v>
      </c>
      <c r="M139" s="2713">
        <v>5.81024789135586</v>
      </c>
      <c r="N139" s="2711" t="s">
        <v>335</v>
      </c>
    </row>
    <row r="140" s="2870" customFormat="1" ht="13.2" customHeight="1" spans="1:14">
      <c r="A140" s="730" t="s">
        <v>313</v>
      </c>
      <c r="B140" s="2711"/>
      <c r="C140" s="2711">
        <v>6.837</v>
      </c>
      <c r="D140" s="2711"/>
      <c r="E140" s="2712" t="s">
        <v>336</v>
      </c>
      <c r="F140" s="2713">
        <v>0.845854044096813</v>
      </c>
      <c r="G140" s="2713">
        <v>1.01502485291618</v>
      </c>
      <c r="H140" s="2713">
        <v>1.1165273382078</v>
      </c>
      <c r="I140" s="2713">
        <v>9.36106899669153</v>
      </c>
      <c r="J140" s="2713">
        <f t="shared" si="4"/>
        <v>9.82912244652611</v>
      </c>
      <c r="K140" s="2714">
        <v>0.4</v>
      </c>
      <c r="L140" s="2714">
        <f t="shared" si="5"/>
        <v>11.3456497847339</v>
      </c>
      <c r="M140" s="2713">
        <v>8.51006272426503</v>
      </c>
      <c r="N140" s="2711" t="s">
        <v>337</v>
      </c>
    </row>
    <row r="141" s="2870" customFormat="1" ht="13.2" customHeight="1" spans="1:14">
      <c r="A141" s="730" t="s">
        <v>313</v>
      </c>
      <c r="B141" s="2711"/>
      <c r="C141" s="2711">
        <v>6.837</v>
      </c>
      <c r="D141" s="2711"/>
      <c r="E141" s="2712" t="s">
        <v>338</v>
      </c>
      <c r="F141" s="2713">
        <v>0.845854044096813</v>
      </c>
      <c r="G141" s="2713">
        <v>1.01502485291618</v>
      </c>
      <c r="H141" s="2713">
        <v>1.1165273382078</v>
      </c>
      <c r="I141" s="2713">
        <v>10.061173071233</v>
      </c>
      <c r="J141" s="2713">
        <f t="shared" si="4"/>
        <v>10.5642317247947</v>
      </c>
      <c r="K141" s="2714">
        <v>0.4</v>
      </c>
      <c r="L141" s="2714">
        <f t="shared" si="5"/>
        <v>12.0807590630025</v>
      </c>
      <c r="M141" s="2713">
        <v>9.14652097384818</v>
      </c>
      <c r="N141" s="2711" t="s">
        <v>339</v>
      </c>
    </row>
    <row r="142" s="2870" customFormat="1" ht="13.2" customHeight="1" spans="1:14">
      <c r="A142" s="730" t="s">
        <v>313</v>
      </c>
      <c r="B142" s="2711"/>
      <c r="C142" s="2711">
        <v>6.837</v>
      </c>
      <c r="D142" s="2711"/>
      <c r="E142" s="2712" t="s">
        <v>340</v>
      </c>
      <c r="F142" s="2713">
        <v>0.845854044096813</v>
      </c>
      <c r="G142" s="2713">
        <v>1.01502485291618</v>
      </c>
      <c r="H142" s="2713">
        <v>1.1165273382078</v>
      </c>
      <c r="I142" s="2713">
        <v>5.51049658671347</v>
      </c>
      <c r="J142" s="2713">
        <f t="shared" si="4"/>
        <v>5.78602141604914</v>
      </c>
      <c r="K142" s="2714">
        <v>0.4</v>
      </c>
      <c r="L142" s="2714">
        <f t="shared" si="5"/>
        <v>7.30254875425694</v>
      </c>
      <c r="M142" s="2713">
        <v>5.0095423515577</v>
      </c>
      <c r="N142" s="2711" t="s">
        <v>341</v>
      </c>
    </row>
    <row r="143" s="2870" customFormat="1" ht="13.2" customHeight="1" spans="1:14">
      <c r="A143" s="730" t="s">
        <v>313</v>
      </c>
      <c r="B143" s="2711"/>
      <c r="C143" s="2711">
        <v>6.837</v>
      </c>
      <c r="D143" s="2711"/>
      <c r="E143" s="2712" t="s">
        <v>342</v>
      </c>
      <c r="F143" s="2713">
        <v>0.845854044096813</v>
      </c>
      <c r="G143" s="2713">
        <v>1.01502485291618</v>
      </c>
      <c r="H143" s="2713">
        <v>1.1165273382078</v>
      </c>
      <c r="I143" s="2713">
        <v>7.06879275262834</v>
      </c>
      <c r="J143" s="2713">
        <f t="shared" si="4"/>
        <v>7.42223239025976</v>
      </c>
      <c r="K143" s="2714">
        <v>0.4</v>
      </c>
      <c r="L143" s="2714">
        <f t="shared" si="5"/>
        <v>8.93875972846756</v>
      </c>
      <c r="M143" s="2713">
        <v>6.42617522966213</v>
      </c>
      <c r="N143" s="2711" t="s">
        <v>343</v>
      </c>
    </row>
    <row r="144" s="2870" customFormat="1" ht="13.2" customHeight="1" spans="1:14">
      <c r="A144" s="730" t="s">
        <v>313</v>
      </c>
      <c r="B144" s="2711"/>
      <c r="C144" s="2711">
        <v>6.837</v>
      </c>
      <c r="D144" s="2711"/>
      <c r="E144" s="2712" t="s">
        <v>344</v>
      </c>
      <c r="F144" s="2713">
        <v>0.845854044096813</v>
      </c>
      <c r="G144" s="2713">
        <v>1.01502485291618</v>
      </c>
      <c r="H144" s="2713">
        <v>1.1165273382078</v>
      </c>
      <c r="I144" s="2713">
        <v>7.0349167490215</v>
      </c>
      <c r="J144" s="2713">
        <f t="shared" si="4"/>
        <v>7.38666258647257</v>
      </c>
      <c r="K144" s="2714">
        <v>0.4</v>
      </c>
      <c r="L144" s="2714">
        <f t="shared" si="5"/>
        <v>8.90318992468037</v>
      </c>
      <c r="M144" s="2713">
        <v>6.39537886274682</v>
      </c>
      <c r="N144" s="2711" t="s">
        <v>343</v>
      </c>
    </row>
    <row r="145" s="2870" customFormat="1" ht="13.2" customHeight="1" spans="1:14">
      <c r="A145" s="730" t="s">
        <v>313</v>
      </c>
      <c r="B145" s="2711"/>
      <c r="C145" s="2711">
        <v>6.837</v>
      </c>
      <c r="D145" s="2711"/>
      <c r="E145" s="2712" t="s">
        <v>345</v>
      </c>
      <c r="F145" s="2713">
        <v>0.553460053544829</v>
      </c>
      <c r="G145" s="2713">
        <v>0.664152064253795</v>
      </c>
      <c r="H145" s="2713">
        <v>0.730567270679175</v>
      </c>
      <c r="I145" s="2713">
        <v>4.8781445193857</v>
      </c>
      <c r="J145" s="2713">
        <f t="shared" si="4"/>
        <v>5.12205174535498</v>
      </c>
      <c r="K145" s="2714">
        <v>0.4</v>
      </c>
      <c r="L145" s="2714">
        <f t="shared" si="5"/>
        <v>6.25261901603416</v>
      </c>
      <c r="M145" s="2713">
        <v>4.43467683580518</v>
      </c>
      <c r="N145" s="2711" t="s">
        <v>346</v>
      </c>
    </row>
    <row r="146" s="2870" customFormat="1" ht="13.2" customHeight="1" spans="1:14">
      <c r="A146" s="730" t="s">
        <v>39</v>
      </c>
      <c r="B146" s="2883">
        <v>46133</v>
      </c>
      <c r="C146" s="2711">
        <v>6.837</v>
      </c>
      <c r="D146" s="2711" t="s">
        <v>347</v>
      </c>
      <c r="E146" s="2763" t="s">
        <v>348</v>
      </c>
      <c r="F146" s="2713">
        <f>6.97/C146/1.13*1.15</f>
        <v>1.03749639196408</v>
      </c>
      <c r="G146" s="2713">
        <v>1.2449956703569</v>
      </c>
      <c r="H146" s="2713">
        <f>12.85/6.73/1.13*1.05</f>
        <v>1.77418506489237</v>
      </c>
      <c r="I146" s="2713">
        <v>10.7816970601141</v>
      </c>
      <c r="J146" s="2713">
        <v>10.4</v>
      </c>
      <c r="K146" s="2714">
        <f>6/C146</f>
        <v>0.877577885037297</v>
      </c>
      <c r="L146" s="2714">
        <f t="shared" si="5"/>
        <v>13.0517629499297</v>
      </c>
      <c r="M146" s="2713">
        <v>9.8015427819219</v>
      </c>
      <c r="N146" s="2711"/>
    </row>
    <row r="147" s="2870" customFormat="1" ht="13.2" customHeight="1" spans="1:14">
      <c r="A147" s="730" t="s">
        <v>39</v>
      </c>
      <c r="B147" s="2883">
        <v>46246</v>
      </c>
      <c r="C147" s="2711">
        <v>6.75</v>
      </c>
      <c r="D147" s="2711" t="s">
        <v>347</v>
      </c>
      <c r="E147" s="2763" t="s">
        <v>348</v>
      </c>
      <c r="F147" s="2713">
        <f>6.97/C147/1.13*1.15</f>
        <v>1.05086856768273</v>
      </c>
      <c r="G147" s="2713">
        <v>1.2449956703569</v>
      </c>
      <c r="H147" s="2713">
        <f>(12.65/C147/1.13+1200/200/C147/1.13)*1.05</f>
        <v>2.56735496558505</v>
      </c>
      <c r="I147" s="2713">
        <v>10.7816970601141</v>
      </c>
      <c r="J147" s="2713">
        <f t="shared" si="4"/>
        <v>11.3207819131198</v>
      </c>
      <c r="K147" s="2714">
        <f>6/C147</f>
        <v>0.888888888888889</v>
      </c>
      <c r="L147" s="2714">
        <f t="shared" si="5"/>
        <v>14.7770257675937</v>
      </c>
      <c r="M147" s="2713"/>
      <c r="N147" s="2711" t="s">
        <v>349</v>
      </c>
    </row>
    <row r="148" s="2870" customFormat="1" ht="13.2" customHeight="1" spans="1:14">
      <c r="A148" s="730" t="s">
        <v>350</v>
      </c>
      <c r="B148" s="2711">
        <v>20250522</v>
      </c>
      <c r="C148" s="2711">
        <v>6.837</v>
      </c>
      <c r="D148" s="2711" t="s">
        <v>351</v>
      </c>
      <c r="E148" s="2763" t="s">
        <v>352</v>
      </c>
      <c r="F148" s="2713">
        <v>0.639150960591212</v>
      </c>
      <c r="G148" s="2713">
        <v>0.766981152709454</v>
      </c>
      <c r="H148" s="2713">
        <v>0.843679267980399</v>
      </c>
      <c r="I148" s="2713">
        <v>3.92396139123715</v>
      </c>
      <c r="J148" s="2713">
        <f t="shared" si="4"/>
        <v>4.12015946079901</v>
      </c>
      <c r="K148" s="2714">
        <v>0.4</v>
      </c>
      <c r="L148" s="2714">
        <f t="shared" si="5"/>
        <v>5.36383872877941</v>
      </c>
      <c r="M148" s="2713">
        <v>3.56723762839741</v>
      </c>
      <c r="N148" s="2711" t="s">
        <v>353</v>
      </c>
    </row>
    <row r="149" s="2870" customFormat="1" ht="13.2" customHeight="1" spans="1:14">
      <c r="A149" s="730" t="s">
        <v>350</v>
      </c>
      <c r="B149" s="2731">
        <v>20241009</v>
      </c>
      <c r="C149" s="2711">
        <v>6.837</v>
      </c>
      <c r="D149" s="2711" t="s">
        <v>354</v>
      </c>
      <c r="E149" s="2711" t="s">
        <v>355</v>
      </c>
      <c r="F149" s="2713">
        <f>7.67/C149/1.13+1200/160/6.77/1.13</f>
        <v>1.97315550342824</v>
      </c>
      <c r="G149" s="2713">
        <v>2.36778660411389</v>
      </c>
      <c r="H149" s="2713"/>
      <c r="I149" s="2713">
        <v>4.95</v>
      </c>
      <c r="J149" s="2713">
        <v>5</v>
      </c>
      <c r="K149" s="2714">
        <v>0.4</v>
      </c>
      <c r="L149" s="2714">
        <f t="shared" si="5"/>
        <v>5.4</v>
      </c>
      <c r="M149" s="2713">
        <v>4.5</v>
      </c>
      <c r="N149" s="226" t="s">
        <v>356</v>
      </c>
    </row>
    <row r="150" s="2870" customFormat="1" ht="13.2" customHeight="1" spans="1:14">
      <c r="A150" s="730" t="s">
        <v>350</v>
      </c>
      <c r="B150" s="2731">
        <v>20241009</v>
      </c>
      <c r="C150" s="2711">
        <v>6.78</v>
      </c>
      <c r="D150" s="2711" t="s">
        <v>357</v>
      </c>
      <c r="E150" s="2711" t="s">
        <v>358</v>
      </c>
      <c r="F150" s="2713">
        <f>8.21/C150/1.13</f>
        <v>1.07160571174981</v>
      </c>
      <c r="G150" s="2713">
        <v>1.28592685409977</v>
      </c>
      <c r="H150" s="2713">
        <v>1.41451953950975</v>
      </c>
      <c r="I150" s="2713">
        <v>5.80419323824971</v>
      </c>
      <c r="J150" s="2713">
        <f t="shared" ref="J150:J198" si="6">I150*1.05</f>
        <v>6.0944029001622</v>
      </c>
      <c r="K150" s="2714">
        <v>0.4</v>
      </c>
      <c r="L150" s="2714">
        <f t="shared" ref="L150:L198" si="7">SUBTOTAL(109,H150,J150,K150)</f>
        <v>7.90892243967195</v>
      </c>
      <c r="M150" s="2713">
        <v>5.27653930749974</v>
      </c>
      <c r="N150" s="2711" t="s">
        <v>359</v>
      </c>
    </row>
    <row r="151" s="2870" customFormat="1" ht="13.2" customHeight="1" spans="1:14">
      <c r="A151" s="730" t="s">
        <v>350</v>
      </c>
      <c r="B151" s="2711">
        <v>20241028</v>
      </c>
      <c r="C151" s="2711">
        <v>6.837</v>
      </c>
      <c r="D151" s="2711" t="s">
        <v>360</v>
      </c>
      <c r="E151" s="2711" t="s">
        <v>361</v>
      </c>
      <c r="F151" s="2713">
        <v>0.972709420918624</v>
      </c>
      <c r="G151" s="2713">
        <v>1.16725130510235</v>
      </c>
      <c r="H151" s="2713">
        <v>1.28397643561259</v>
      </c>
      <c r="I151" s="2713">
        <v>4.98023246748617</v>
      </c>
      <c r="J151" s="2713">
        <f t="shared" si="6"/>
        <v>5.22924409086048</v>
      </c>
      <c r="K151" s="2714">
        <v>0.4</v>
      </c>
      <c r="L151" s="2714">
        <f t="shared" si="7"/>
        <v>6.91322052647307</v>
      </c>
      <c r="M151" s="2713">
        <v>4.52748406135106</v>
      </c>
      <c r="N151" s="226" t="s">
        <v>362</v>
      </c>
    </row>
    <row r="152" s="2870" customFormat="1" ht="13.2" customHeight="1" spans="1:14">
      <c r="A152" s="730" t="s">
        <v>350</v>
      </c>
      <c r="B152" s="2711">
        <v>20241028</v>
      </c>
      <c r="C152" s="2711">
        <v>6.837</v>
      </c>
      <c r="D152" s="2711" t="s">
        <v>363</v>
      </c>
      <c r="E152" s="2711" t="s">
        <v>364</v>
      </c>
      <c r="F152" s="2713">
        <v>0.972709420918624</v>
      </c>
      <c r="G152" s="2713">
        <v>1.16725130510235</v>
      </c>
      <c r="H152" s="2713">
        <v>1.28397643561259</v>
      </c>
      <c r="I152" s="2713">
        <v>8.01463613598276</v>
      </c>
      <c r="J152" s="2713">
        <f t="shared" si="6"/>
        <v>8.4153679427819</v>
      </c>
      <c r="K152" s="2714">
        <v>0.4</v>
      </c>
      <c r="L152" s="2714">
        <f t="shared" si="7"/>
        <v>10.0993443783945</v>
      </c>
      <c r="M152" s="2713">
        <v>7.28603285089342</v>
      </c>
      <c r="N152" s="226" t="s">
        <v>365</v>
      </c>
    </row>
    <row r="153" s="2870" customFormat="1" ht="13.2" customHeight="1" spans="1:14">
      <c r="A153" s="730" t="s">
        <v>350</v>
      </c>
      <c r="B153" s="2711">
        <v>20241028</v>
      </c>
      <c r="C153" s="2711">
        <v>6.837</v>
      </c>
      <c r="D153" s="2711" t="s">
        <v>366</v>
      </c>
      <c r="E153" s="2711" t="s">
        <v>367</v>
      </c>
      <c r="F153" s="2713">
        <v>0.972709420918624</v>
      </c>
      <c r="G153" s="2713">
        <v>1.16725130510235</v>
      </c>
      <c r="H153" s="2713">
        <v>1.28397643561259</v>
      </c>
      <c r="I153" s="2713">
        <v>5.77375741700509</v>
      </c>
      <c r="J153" s="2713">
        <f t="shared" si="6"/>
        <v>6.06244528785534</v>
      </c>
      <c r="K153" s="2714">
        <v>0.4</v>
      </c>
      <c r="L153" s="2714">
        <f t="shared" si="7"/>
        <v>7.74642172346793</v>
      </c>
      <c r="M153" s="2713">
        <v>5.24887037909554</v>
      </c>
      <c r="N153" s="226" t="s">
        <v>368</v>
      </c>
    </row>
    <row r="154" s="2870" customFormat="1" ht="13.2" customHeight="1" spans="1:14">
      <c r="A154" s="730" t="s">
        <v>350</v>
      </c>
      <c r="B154" s="2711">
        <v>20241028</v>
      </c>
      <c r="C154" s="2711">
        <v>6.837</v>
      </c>
      <c r="D154" s="2711" t="s">
        <v>369</v>
      </c>
      <c r="E154" s="2711" t="s">
        <v>370</v>
      </c>
      <c r="F154" s="2713">
        <v>0.972709420918624</v>
      </c>
      <c r="G154" s="2713">
        <v>1.16725130510235</v>
      </c>
      <c r="H154" s="2713">
        <v>1.28397643561259</v>
      </c>
      <c r="I154" s="2713">
        <v>5.32486002414169</v>
      </c>
      <c r="J154" s="2713">
        <f t="shared" si="6"/>
        <v>5.59110302534877</v>
      </c>
      <c r="K154" s="2714">
        <v>0.4</v>
      </c>
      <c r="L154" s="2714">
        <f t="shared" si="7"/>
        <v>7.27507946096136</v>
      </c>
      <c r="M154" s="2713">
        <v>4.84078184012881</v>
      </c>
      <c r="N154" s="226" t="s">
        <v>362</v>
      </c>
    </row>
    <row r="155" s="2870" customFormat="1" ht="13.2" customHeight="1" spans="1:14">
      <c r="A155" s="730" t="s">
        <v>350</v>
      </c>
      <c r="B155" s="2711">
        <v>20240731</v>
      </c>
      <c r="C155" s="2711">
        <v>6.837</v>
      </c>
      <c r="D155" s="2711" t="s">
        <v>371</v>
      </c>
      <c r="E155" s="2711" t="s">
        <v>372</v>
      </c>
      <c r="F155" s="2713">
        <v>0.915227854714268</v>
      </c>
      <c r="G155" s="2713">
        <v>1.09827342565712</v>
      </c>
      <c r="H155" s="2713">
        <v>1.20810076822283</v>
      </c>
      <c r="I155" s="2713">
        <v>7.43958405926299</v>
      </c>
      <c r="J155" s="2713">
        <f t="shared" si="6"/>
        <v>7.81156326222614</v>
      </c>
      <c r="K155" s="2714">
        <v>0.4</v>
      </c>
      <c r="L155" s="2714">
        <f t="shared" si="7"/>
        <v>9.41966403044897</v>
      </c>
      <c r="M155" s="2713">
        <v>6.76325823569363</v>
      </c>
      <c r="N155" s="226" t="s">
        <v>373</v>
      </c>
    </row>
    <row r="156" s="2870" customFormat="1" ht="13.2" customHeight="1" spans="1:14">
      <c r="A156" s="730" t="s">
        <v>350</v>
      </c>
      <c r="B156" s="2711">
        <v>20240621</v>
      </c>
      <c r="C156" s="2711">
        <v>6.837</v>
      </c>
      <c r="D156" s="2711" t="s">
        <v>374</v>
      </c>
      <c r="E156" s="2711" t="s">
        <v>375</v>
      </c>
      <c r="F156" s="2713">
        <v>0.915227854714268</v>
      </c>
      <c r="G156" s="2713">
        <v>1.09827342565712</v>
      </c>
      <c r="H156" s="2713">
        <v>1.20810076822283</v>
      </c>
      <c r="I156" s="2713">
        <v>6.01574236832607</v>
      </c>
      <c r="J156" s="2713">
        <f t="shared" si="6"/>
        <v>6.31652948674237</v>
      </c>
      <c r="K156" s="2714">
        <v>0.4</v>
      </c>
      <c r="L156" s="2714">
        <f t="shared" si="7"/>
        <v>7.9246302549652</v>
      </c>
      <c r="M156" s="2713">
        <v>5.46885669847824</v>
      </c>
      <c r="N156" s="226" t="s">
        <v>376</v>
      </c>
    </row>
    <row r="157" s="2870" customFormat="1" ht="13.2" customHeight="1" spans="1:14">
      <c r="A157" s="730" t="s">
        <v>350</v>
      </c>
      <c r="B157" s="2711">
        <v>20240715</v>
      </c>
      <c r="C157" s="2711">
        <v>6.837</v>
      </c>
      <c r="D157" s="2711" t="s">
        <v>377</v>
      </c>
      <c r="E157" s="2711" t="s">
        <v>378</v>
      </c>
      <c r="F157" s="2713">
        <v>0.912711765582168</v>
      </c>
      <c r="G157" s="2713">
        <v>1.0952541186986</v>
      </c>
      <c r="H157" s="2713">
        <v>1.20477953056846</v>
      </c>
      <c r="I157" s="2713">
        <v>4.62164649747255</v>
      </c>
      <c r="J157" s="2713">
        <f t="shared" si="6"/>
        <v>4.85272882234618</v>
      </c>
      <c r="K157" s="2714">
        <v>0.4</v>
      </c>
      <c r="L157" s="2714">
        <f t="shared" si="7"/>
        <v>6.45750835291464</v>
      </c>
      <c r="M157" s="2713">
        <v>4.20149681588414</v>
      </c>
      <c r="N157" s="226" t="s">
        <v>312</v>
      </c>
    </row>
    <row r="158" s="2870" customFormat="1" ht="13.2" customHeight="1" spans="1:14">
      <c r="A158" s="730" t="s">
        <v>379</v>
      </c>
      <c r="B158" s="2711">
        <v>20250211</v>
      </c>
      <c r="C158" s="2711">
        <v>6.837</v>
      </c>
      <c r="D158" s="2711" t="s">
        <v>380</v>
      </c>
      <c r="E158" s="2711" t="s">
        <v>381</v>
      </c>
      <c r="F158" s="2713">
        <v>0.331438189080194</v>
      </c>
      <c r="G158" s="2713">
        <v>0.397725826896233</v>
      </c>
      <c r="H158" s="2713">
        <v>0.437498409585856</v>
      </c>
      <c r="I158" s="2713">
        <v>1.13331169024388</v>
      </c>
      <c r="J158" s="2713">
        <f t="shared" si="6"/>
        <v>1.18997727475607</v>
      </c>
      <c r="K158" s="2714">
        <v>0.2</v>
      </c>
      <c r="L158" s="2714">
        <f t="shared" si="7"/>
        <v>1.82747568434193</v>
      </c>
      <c r="M158" s="2713">
        <v>1.03028335476716</v>
      </c>
      <c r="N158" s="2711" t="s">
        <v>382</v>
      </c>
    </row>
    <row r="159" s="2870" customFormat="1" ht="13.2" customHeight="1" spans="1:14">
      <c r="A159" s="730" t="s">
        <v>379</v>
      </c>
      <c r="B159" s="2711"/>
      <c r="C159" s="2711">
        <v>6.837</v>
      </c>
      <c r="D159" s="2711" t="s">
        <v>383</v>
      </c>
      <c r="E159" s="2712" t="s">
        <v>384</v>
      </c>
      <c r="F159" s="2713">
        <v>0.528203429776218</v>
      </c>
      <c r="G159" s="2713">
        <v>0.633844115731462</v>
      </c>
      <c r="H159" s="2713">
        <v>0.697228527304608</v>
      </c>
      <c r="I159" s="2713">
        <v>3.0262563222115</v>
      </c>
      <c r="J159" s="2713">
        <f t="shared" si="6"/>
        <v>3.17756913832208</v>
      </c>
      <c r="K159" s="2714">
        <v>0.4</v>
      </c>
      <c r="L159" s="2714">
        <f t="shared" si="7"/>
        <v>4.27479766562669</v>
      </c>
      <c r="M159" s="2713">
        <v>2.75114211110136</v>
      </c>
      <c r="N159" s="2712" t="s">
        <v>25</v>
      </c>
    </row>
    <row r="160" s="2870" customFormat="1" ht="13.2" customHeight="1" spans="1:14">
      <c r="A160" s="730" t="s">
        <v>379</v>
      </c>
      <c r="B160" s="2711"/>
      <c r="C160" s="2711">
        <v>6.837</v>
      </c>
      <c r="D160" s="2711" t="s">
        <v>385</v>
      </c>
      <c r="E160" s="2712" t="s">
        <v>386</v>
      </c>
      <c r="F160" s="2713">
        <v>0.632640058845272</v>
      </c>
      <c r="G160" s="2713">
        <v>0.759168070614326</v>
      </c>
      <c r="H160" s="2713">
        <v>0.835084877675759</v>
      </c>
      <c r="I160" s="2713">
        <v>2.46977760286359</v>
      </c>
      <c r="J160" s="2713">
        <f t="shared" si="6"/>
        <v>2.59326648300677</v>
      </c>
      <c r="K160" s="2714">
        <v>0.2</v>
      </c>
      <c r="L160" s="2714">
        <f t="shared" si="7"/>
        <v>3.62835136068253</v>
      </c>
      <c r="M160" s="2713">
        <v>2.24525236623963</v>
      </c>
      <c r="N160" s="2712"/>
    </row>
    <row r="161" s="2870" customFormat="1" ht="13.2" customHeight="1" spans="1:14">
      <c r="A161" s="730" t="s">
        <v>379</v>
      </c>
      <c r="B161" s="2711"/>
      <c r="C161" s="2711">
        <v>6.837</v>
      </c>
      <c r="D161" s="2711" t="s">
        <v>387</v>
      </c>
      <c r="E161" s="2712" t="s">
        <v>388</v>
      </c>
      <c r="F161" s="2713">
        <v>0.367339389006932</v>
      </c>
      <c r="G161" s="2713">
        <v>0.440807266808318</v>
      </c>
      <c r="H161" s="2713">
        <v>0.48488799348915</v>
      </c>
      <c r="I161" s="2713">
        <v>1.22906135535039</v>
      </c>
      <c r="J161" s="2713">
        <f t="shared" si="6"/>
        <v>1.29051442311791</v>
      </c>
      <c r="K161" s="2714">
        <v>0.2</v>
      </c>
      <c r="L161" s="2714">
        <f t="shared" si="7"/>
        <v>1.97540241660706</v>
      </c>
      <c r="M161" s="2713">
        <v>1.11732850486399</v>
      </c>
      <c r="N161" s="2712"/>
    </row>
    <row r="162" s="2870" customFormat="1" ht="13.2" customHeight="1" spans="1:14">
      <c r="A162" s="730" t="s">
        <v>379</v>
      </c>
      <c r="B162" s="2711"/>
      <c r="C162" s="2711">
        <v>6.837</v>
      </c>
      <c r="D162" s="2711" t="s">
        <v>389</v>
      </c>
      <c r="E162" s="2712" t="s">
        <v>390</v>
      </c>
      <c r="F162" s="2713">
        <v>0.631772729732339</v>
      </c>
      <c r="G162" s="2713">
        <v>0.758127275678807</v>
      </c>
      <c r="H162" s="2713">
        <v>0.833940003246688</v>
      </c>
      <c r="I162" s="2713">
        <v>5.90410348576443</v>
      </c>
      <c r="J162" s="2713">
        <f t="shared" si="6"/>
        <v>6.19930866005265</v>
      </c>
      <c r="K162" s="2714">
        <v>0.4</v>
      </c>
      <c r="L162" s="2714">
        <f t="shared" si="7"/>
        <v>7.43324866329934</v>
      </c>
      <c r="M162" s="2713">
        <v>5.36736680524039</v>
      </c>
      <c r="N162" s="2712"/>
    </row>
    <row r="163" s="2870" customFormat="1" ht="13.2" customHeight="1" spans="1:14">
      <c r="A163" s="730" t="s">
        <v>379</v>
      </c>
      <c r="B163" s="2711"/>
      <c r="C163" s="2711">
        <v>6.837</v>
      </c>
      <c r="D163" s="2711" t="s">
        <v>391</v>
      </c>
      <c r="E163" s="2712" t="s">
        <v>392</v>
      </c>
      <c r="F163" s="2713">
        <v>0.843054101642826</v>
      </c>
      <c r="G163" s="2713">
        <v>1.01166492197139</v>
      </c>
      <c r="H163" s="2713">
        <v>1.11283141416853</v>
      </c>
      <c r="I163" s="2713">
        <v>5.72128060915607</v>
      </c>
      <c r="J163" s="2713">
        <f t="shared" si="6"/>
        <v>6.00734463961387</v>
      </c>
      <c r="K163" s="2714">
        <v>0.4</v>
      </c>
      <c r="L163" s="2714">
        <f t="shared" si="7"/>
        <v>7.5201760537824</v>
      </c>
      <c r="M163" s="2713">
        <v>5.20116419014188</v>
      </c>
      <c r="N163" s="2712"/>
    </row>
    <row r="164" s="2870" customFormat="1" ht="13.2" customHeight="1" spans="1:14">
      <c r="A164" s="730" t="s">
        <v>379</v>
      </c>
      <c r="B164" s="2711"/>
      <c r="C164" s="2711">
        <v>6.837</v>
      </c>
      <c r="D164" s="2711" t="s">
        <v>393</v>
      </c>
      <c r="E164" s="2712" t="s">
        <v>394</v>
      </c>
      <c r="F164" s="2713">
        <v>0.37595655884072</v>
      </c>
      <c r="G164" s="2713">
        <v>0.451147870608864</v>
      </c>
      <c r="H164" s="2713">
        <v>0.49626265766975</v>
      </c>
      <c r="I164" s="2713">
        <v>1.17221726766543</v>
      </c>
      <c r="J164" s="2713">
        <f t="shared" si="6"/>
        <v>1.2308281310487</v>
      </c>
      <c r="K164" s="2714">
        <v>0.2</v>
      </c>
      <c r="L164" s="2714">
        <f t="shared" si="7"/>
        <v>1.92709078871845</v>
      </c>
      <c r="M164" s="2713">
        <v>1.06565206151403</v>
      </c>
      <c r="N164" s="2712"/>
    </row>
    <row r="165" s="2870" customFormat="1" ht="13.2" customHeight="1" spans="1:14">
      <c r="A165" s="730" t="s">
        <v>379</v>
      </c>
      <c r="B165" s="2711"/>
      <c r="C165" s="2711">
        <v>6.837</v>
      </c>
      <c r="D165" s="2711" t="s">
        <v>395</v>
      </c>
      <c r="E165" s="2711" t="s">
        <v>396</v>
      </c>
      <c r="F165" s="2713">
        <v>0.418358748591227</v>
      </c>
      <c r="G165" s="2713">
        <v>0.502030498309472</v>
      </c>
      <c r="H165" s="2713">
        <v>0.552233548140419</v>
      </c>
      <c r="I165" s="2713">
        <v>2.44752735418913</v>
      </c>
      <c r="J165" s="2713">
        <f t="shared" si="6"/>
        <v>2.56990372189859</v>
      </c>
      <c r="K165" s="2714">
        <v>0.2</v>
      </c>
      <c r="L165" s="2714">
        <f t="shared" si="7"/>
        <v>3.32213727003901</v>
      </c>
      <c r="M165" s="2713">
        <v>2.22502486744466</v>
      </c>
      <c r="N165" s="2712"/>
    </row>
    <row r="166" s="2870" customFormat="1" ht="13.2" customHeight="1" spans="1:14">
      <c r="A166" s="730" t="s">
        <v>379</v>
      </c>
      <c r="B166" s="2711"/>
      <c r="C166" s="2711">
        <v>6.837</v>
      </c>
      <c r="D166" s="2711" t="s">
        <v>397</v>
      </c>
      <c r="E166" s="2712" t="s">
        <v>398</v>
      </c>
      <c r="F166" s="2713">
        <v>0.480085133016604</v>
      </c>
      <c r="G166" s="2713">
        <v>0.576102159619925</v>
      </c>
      <c r="H166" s="2713">
        <v>0.633712375581918</v>
      </c>
      <c r="I166" s="2713">
        <v>3.87154326935373</v>
      </c>
      <c r="J166" s="2713">
        <f t="shared" si="6"/>
        <v>4.06512043282142</v>
      </c>
      <c r="K166" s="2714">
        <v>0.4</v>
      </c>
      <c r="L166" s="2714">
        <f t="shared" si="7"/>
        <v>5.09883280840334</v>
      </c>
      <c r="M166" s="2713">
        <v>3.51958479032157</v>
      </c>
      <c r="N166" s="2712"/>
    </row>
    <row r="167" s="2870" customFormat="1" ht="13.2" customHeight="1" spans="1:14">
      <c r="A167" s="730" t="s">
        <v>379</v>
      </c>
      <c r="B167" s="2711"/>
      <c r="C167" s="2711">
        <v>6.837</v>
      </c>
      <c r="D167" s="2711" t="s">
        <v>399</v>
      </c>
      <c r="E167" s="2712" t="s">
        <v>400</v>
      </c>
      <c r="F167" s="2713">
        <v>0.403920269828872</v>
      </c>
      <c r="G167" s="2713">
        <v>0.484704323794646</v>
      </c>
      <c r="H167" s="2713">
        <v>0.533174756174111</v>
      </c>
      <c r="I167" s="2713">
        <v>3.12788433303203</v>
      </c>
      <c r="J167" s="2713">
        <f t="shared" si="6"/>
        <v>3.28427854968363</v>
      </c>
      <c r="K167" s="2714">
        <v>0.4</v>
      </c>
      <c r="L167" s="2714">
        <f t="shared" si="7"/>
        <v>4.21745330585774</v>
      </c>
      <c r="M167" s="2713">
        <v>2.8435312118473</v>
      </c>
      <c r="N167" s="2712"/>
    </row>
    <row r="168" s="2870" customFormat="1" ht="13.2" customHeight="1" spans="1:14">
      <c r="A168" s="730" t="s">
        <v>379</v>
      </c>
      <c r="B168" s="2711"/>
      <c r="C168" s="2711">
        <v>6.837</v>
      </c>
      <c r="D168" s="2711" t="s">
        <v>401</v>
      </c>
      <c r="E168" s="2712" t="s">
        <v>402</v>
      </c>
      <c r="F168" s="2713">
        <v>0.37595655884072</v>
      </c>
      <c r="G168" s="2713">
        <v>0.451147870608864</v>
      </c>
      <c r="H168" s="2713">
        <v>0.49626265766975</v>
      </c>
      <c r="I168" s="2713">
        <v>1.57012588146013</v>
      </c>
      <c r="J168" s="2713">
        <f t="shared" si="6"/>
        <v>1.64863217553314</v>
      </c>
      <c r="K168" s="2714">
        <v>0.2</v>
      </c>
      <c r="L168" s="2714">
        <f t="shared" si="7"/>
        <v>2.34489483320289</v>
      </c>
      <c r="M168" s="2713">
        <v>1.42738716496375</v>
      </c>
      <c r="N168" s="2712"/>
    </row>
    <row r="169" s="2870" customFormat="1" ht="13.2" customHeight="1" spans="1:14">
      <c r="A169" s="730" t="s">
        <v>379</v>
      </c>
      <c r="B169" s="2711"/>
      <c r="C169" s="2711">
        <v>6.837</v>
      </c>
      <c r="D169" s="2711" t="s">
        <v>403</v>
      </c>
      <c r="E169" s="2712" t="s">
        <v>404</v>
      </c>
      <c r="F169" s="2713">
        <v>0.372849479842036</v>
      </c>
      <c r="G169" s="2713">
        <v>0.447419375810443</v>
      </c>
      <c r="H169" s="2713">
        <v>0.492161313391487</v>
      </c>
      <c r="I169" s="2713">
        <v>1.55829616591487</v>
      </c>
      <c r="J169" s="2713">
        <f t="shared" si="6"/>
        <v>1.63621097421061</v>
      </c>
      <c r="K169" s="2714">
        <v>0.3</v>
      </c>
      <c r="L169" s="2714">
        <f t="shared" si="7"/>
        <v>2.4283722876021</v>
      </c>
      <c r="M169" s="2713">
        <v>1.41663287810443</v>
      </c>
      <c r="N169" s="2712"/>
    </row>
    <row r="170" s="2870" customFormat="1" ht="13.2" customHeight="1" spans="1:14">
      <c r="A170" s="730" t="s">
        <v>379</v>
      </c>
      <c r="B170" s="2711"/>
      <c r="C170" s="2711">
        <v>6.837</v>
      </c>
      <c r="D170" s="2711" t="s">
        <v>405</v>
      </c>
      <c r="E170" s="2712" t="s">
        <v>406</v>
      </c>
      <c r="F170" s="2713">
        <v>0.3417786898552</v>
      </c>
      <c r="G170" s="2713">
        <v>0.41013442782624</v>
      </c>
      <c r="H170" s="2713">
        <v>0.451147870608864</v>
      </c>
      <c r="I170" s="2713">
        <v>2.00997621400615</v>
      </c>
      <c r="J170" s="2713">
        <f t="shared" si="6"/>
        <v>2.11047502470646</v>
      </c>
      <c r="K170" s="2714">
        <v>0.2</v>
      </c>
      <c r="L170" s="2714">
        <f t="shared" si="7"/>
        <v>2.76162289531532</v>
      </c>
      <c r="M170" s="2713">
        <v>1.82725110364195</v>
      </c>
      <c r="N170" s="2712"/>
    </row>
    <row r="171" s="2870" customFormat="1" ht="13.2" customHeight="1" spans="1:14">
      <c r="A171" s="730" t="s">
        <v>407</v>
      </c>
      <c r="B171" s="2711">
        <v>20240125</v>
      </c>
      <c r="C171" s="2711">
        <v>6.837</v>
      </c>
      <c r="D171" s="2711" t="s">
        <v>408</v>
      </c>
      <c r="E171" s="2736" t="s">
        <v>409</v>
      </c>
      <c r="F171" s="2713">
        <v>0.283909343504717</v>
      </c>
      <c r="G171" s="2713">
        <v>0.34069121220566</v>
      </c>
      <c r="H171" s="2713">
        <v>0.374760333426226</v>
      </c>
      <c r="I171" s="2713">
        <v>0.734940207197092</v>
      </c>
      <c r="J171" s="2713">
        <f t="shared" si="6"/>
        <v>0.771687217556947</v>
      </c>
      <c r="K171" s="2714">
        <v>0.2</v>
      </c>
      <c r="L171" s="2714">
        <f t="shared" si="7"/>
        <v>1.34644755098317</v>
      </c>
      <c r="M171" s="2713">
        <v>0.668127461088265</v>
      </c>
      <c r="N171" s="2736"/>
    </row>
    <row r="172" s="2870" customFormat="1" ht="13.2" customHeight="1" spans="1:14">
      <c r="A172" s="730" t="s">
        <v>407</v>
      </c>
      <c r="B172" s="2711"/>
      <c r="C172" s="2711">
        <v>6.837</v>
      </c>
      <c r="D172" s="2711"/>
      <c r="E172" s="2736" t="s">
        <v>410</v>
      </c>
      <c r="F172" s="2713">
        <v>0.637594766948033</v>
      </c>
      <c r="G172" s="2713">
        <v>0.76511372033764</v>
      </c>
      <c r="H172" s="2713">
        <v>0.841625092371404</v>
      </c>
      <c r="I172" s="2713">
        <v>2.3616414909578</v>
      </c>
      <c r="J172" s="2713">
        <f t="shared" si="6"/>
        <v>2.47972356550569</v>
      </c>
      <c r="K172" s="2714">
        <v>0.4</v>
      </c>
      <c r="L172" s="2714">
        <f t="shared" si="7"/>
        <v>3.72134865787709</v>
      </c>
      <c r="M172" s="2713">
        <v>2.14694680996164</v>
      </c>
      <c r="N172" s="2736"/>
    </row>
    <row r="173" s="2870" customFormat="1" ht="13.2" customHeight="1" spans="1:14">
      <c r="A173" s="730" t="s">
        <v>407</v>
      </c>
      <c r="B173" s="2711"/>
      <c r="C173" s="2711">
        <v>6.837</v>
      </c>
      <c r="D173" s="2711"/>
      <c r="E173" s="2736" t="s">
        <v>411</v>
      </c>
      <c r="F173" s="2713">
        <v>0.787126679666521</v>
      </c>
      <c r="G173" s="2713">
        <v>0.944552015599825</v>
      </c>
      <c r="H173" s="2713">
        <v>1.03900721715981</v>
      </c>
      <c r="I173" s="2713">
        <v>3.33382892638794</v>
      </c>
      <c r="J173" s="2713">
        <f t="shared" si="6"/>
        <v>3.50052037270734</v>
      </c>
      <c r="K173" s="2714">
        <v>0.2</v>
      </c>
      <c r="L173" s="2714">
        <f t="shared" si="7"/>
        <v>4.73952758986715</v>
      </c>
      <c r="M173" s="2713">
        <v>3.03075356944358</v>
      </c>
      <c r="N173" s="2736"/>
    </row>
    <row r="174" s="2870" customFormat="1" ht="13.2" customHeight="1" spans="1:14">
      <c r="A174" s="730" t="s">
        <v>407</v>
      </c>
      <c r="B174" s="2711"/>
      <c r="C174" s="2711">
        <v>6.837</v>
      </c>
      <c r="D174" s="2711"/>
      <c r="E174" s="2736" t="s">
        <v>412</v>
      </c>
      <c r="F174" s="2713">
        <v>0.828554399648969</v>
      </c>
      <c r="G174" s="2713">
        <v>0.994265279578763</v>
      </c>
      <c r="H174" s="2713">
        <v>1.09369180753664</v>
      </c>
      <c r="I174" s="2713">
        <v>5.5201807425651</v>
      </c>
      <c r="J174" s="2713">
        <f t="shared" si="6"/>
        <v>5.79618977969336</v>
      </c>
      <c r="K174" s="2714">
        <v>0.4</v>
      </c>
      <c r="L174" s="2714">
        <f t="shared" si="7"/>
        <v>7.28988158723</v>
      </c>
      <c r="M174" s="2713">
        <v>5.01834612960464</v>
      </c>
      <c r="N174" s="2736" t="s">
        <v>413</v>
      </c>
    </row>
    <row r="175" s="2870" customFormat="1" ht="13.2" customHeight="1" spans="1:14">
      <c r="A175" s="730" t="s">
        <v>407</v>
      </c>
      <c r="B175" s="2711"/>
      <c r="C175" s="2711">
        <v>6.837</v>
      </c>
      <c r="D175" s="2711"/>
      <c r="E175" s="2736" t="s">
        <v>414</v>
      </c>
      <c r="F175" s="2713">
        <v>0.859625189635805</v>
      </c>
      <c r="G175" s="2713">
        <v>1.03155022756297</v>
      </c>
      <c r="H175" s="2713">
        <v>1.13470525031927</v>
      </c>
      <c r="I175" s="2713">
        <v>5.98637642907732</v>
      </c>
      <c r="J175" s="2713">
        <f t="shared" si="6"/>
        <v>6.28569525053119</v>
      </c>
      <c r="K175" s="2714">
        <v>0.4</v>
      </c>
      <c r="L175" s="2714">
        <f t="shared" si="7"/>
        <v>7.82040050085046</v>
      </c>
      <c r="M175" s="2713">
        <v>5.44216039007029</v>
      </c>
      <c r="N175" s="2736" t="s">
        <v>415</v>
      </c>
    </row>
    <row r="176" s="2870" customFormat="1" ht="13.2" customHeight="1" spans="1:14">
      <c r="A176" s="730" t="s">
        <v>407</v>
      </c>
      <c r="B176" s="2711"/>
      <c r="C176" s="2711">
        <v>6.837</v>
      </c>
      <c r="D176" s="2711"/>
      <c r="E176" s="2736" t="s">
        <v>416</v>
      </c>
      <c r="F176" s="2713">
        <v>0.279637109881527</v>
      </c>
      <c r="G176" s="2713">
        <v>0.335564531857832</v>
      </c>
      <c r="H176" s="2713">
        <v>0.369120985043615</v>
      </c>
      <c r="I176" s="2713">
        <v>0.537714342965796</v>
      </c>
      <c r="J176" s="2713">
        <f t="shared" si="6"/>
        <v>0.564600060114086</v>
      </c>
      <c r="K176" s="2714">
        <v>0.2</v>
      </c>
      <c r="L176" s="2714">
        <f t="shared" si="7"/>
        <v>1.1337210451577</v>
      </c>
      <c r="M176" s="2713">
        <v>0.488831220877996</v>
      </c>
      <c r="N176" s="2736"/>
    </row>
    <row r="177" s="2870" customFormat="1" ht="13.2" customHeight="1" spans="1:14">
      <c r="A177" s="730" t="s">
        <v>407</v>
      </c>
      <c r="B177" s="2711"/>
      <c r="C177" s="2711">
        <v>6.837</v>
      </c>
      <c r="D177" s="2711"/>
      <c r="E177" s="2736" t="s">
        <v>417</v>
      </c>
      <c r="F177" s="2713">
        <v>0.818197469653357</v>
      </c>
      <c r="G177" s="2713">
        <v>0.981836963584028</v>
      </c>
      <c r="H177" s="2713">
        <v>1.08002065994243</v>
      </c>
      <c r="I177" s="2713">
        <v>5.53845773254768</v>
      </c>
      <c r="J177" s="2713">
        <f t="shared" si="6"/>
        <v>5.81538061917506</v>
      </c>
      <c r="K177" s="2714">
        <v>0.4</v>
      </c>
      <c r="L177" s="2714">
        <f t="shared" si="7"/>
        <v>7.29540127911749</v>
      </c>
      <c r="M177" s="2713">
        <v>5.03496157504335</v>
      </c>
      <c r="N177" s="2736" t="s">
        <v>346</v>
      </c>
    </row>
    <row r="178" s="2870" customFormat="1" ht="13.2" customHeight="1" spans="1:14">
      <c r="A178" s="730" t="s">
        <v>407</v>
      </c>
      <c r="B178" s="2711"/>
      <c r="C178" s="2711">
        <v>6.837</v>
      </c>
      <c r="D178" s="2711"/>
      <c r="E178" s="2736" t="s">
        <v>418</v>
      </c>
      <c r="F178" s="2713">
        <v>0.756055889679684</v>
      </c>
      <c r="G178" s="2713">
        <v>0.907267067615621</v>
      </c>
      <c r="H178" s="2713">
        <v>0.997993774377183</v>
      </c>
      <c r="I178" s="2713">
        <v>4.59838472605233</v>
      </c>
      <c r="J178" s="2713">
        <f t="shared" si="6"/>
        <v>4.82830396235495</v>
      </c>
      <c r="K178" s="2714">
        <v>0.4</v>
      </c>
      <c r="L178" s="2714">
        <f t="shared" si="7"/>
        <v>6.22629773673213</v>
      </c>
      <c r="M178" s="2713">
        <v>4.18034975095666</v>
      </c>
      <c r="N178" s="2736" t="s">
        <v>346</v>
      </c>
    </row>
    <row r="179" s="2870" customFormat="1" ht="13.2" customHeight="1" spans="1:14">
      <c r="A179" s="730" t="s">
        <v>407</v>
      </c>
      <c r="B179" s="2711"/>
      <c r="C179" s="2711">
        <v>6.837</v>
      </c>
      <c r="D179" s="2711"/>
      <c r="E179" s="2736" t="s">
        <v>419</v>
      </c>
      <c r="F179" s="2713">
        <v>0.600701939745502</v>
      </c>
      <c r="G179" s="2713">
        <v>0.720842327694602</v>
      </c>
      <c r="H179" s="2713">
        <v>0.792926560464062</v>
      </c>
      <c r="I179" s="2713">
        <v>4.12159368302846</v>
      </c>
      <c r="J179" s="2713">
        <f t="shared" si="6"/>
        <v>4.32767336717988</v>
      </c>
      <c r="K179" s="2714">
        <v>0.3</v>
      </c>
      <c r="L179" s="2714">
        <f t="shared" si="7"/>
        <v>5.42059992764394</v>
      </c>
      <c r="M179" s="2713">
        <v>3.74690334820769</v>
      </c>
      <c r="N179" s="2736" t="s">
        <v>346</v>
      </c>
    </row>
    <row r="180" s="2870" customFormat="1" ht="13.2" customHeight="1" spans="1:14">
      <c r="A180" s="730" t="s">
        <v>407</v>
      </c>
      <c r="B180" s="2711"/>
      <c r="C180" s="2711">
        <v>6.837</v>
      </c>
      <c r="D180" s="2711"/>
      <c r="E180" s="2736" t="s">
        <v>420</v>
      </c>
      <c r="F180" s="2713">
        <v>0.362492549846424</v>
      </c>
      <c r="G180" s="2713">
        <v>0.434991059815709</v>
      </c>
      <c r="H180" s="2713">
        <v>0.47849016579728</v>
      </c>
      <c r="I180" s="2713">
        <v>1.22598870196201</v>
      </c>
      <c r="J180" s="2713">
        <f t="shared" si="6"/>
        <v>1.28728813706011</v>
      </c>
      <c r="K180" s="2714">
        <v>0.2</v>
      </c>
      <c r="L180" s="2714">
        <f t="shared" si="7"/>
        <v>1.96577830285739</v>
      </c>
      <c r="M180" s="2713">
        <v>1.11453518360183</v>
      </c>
      <c r="N180" s="2736"/>
    </row>
    <row r="181" s="2870" customFormat="1" ht="13.2" customHeight="1" spans="1:14">
      <c r="A181" s="730" t="s">
        <v>407</v>
      </c>
      <c r="B181" s="2711"/>
      <c r="C181" s="2711">
        <v>6.837</v>
      </c>
      <c r="D181" s="2711"/>
      <c r="E181" s="2736" t="s">
        <v>421</v>
      </c>
      <c r="F181" s="2713">
        <v>0.93212369960509</v>
      </c>
      <c r="G181" s="2713">
        <v>1.11854843952611</v>
      </c>
      <c r="H181" s="2713">
        <v>1.23040328347872</v>
      </c>
      <c r="I181" s="2713">
        <v>4.08662900654005</v>
      </c>
      <c r="J181" s="2713">
        <f t="shared" si="6"/>
        <v>4.29096045686705</v>
      </c>
      <c r="K181" s="2714">
        <v>0.4</v>
      </c>
      <c r="L181" s="2714">
        <f t="shared" si="7"/>
        <v>5.92136374034577</v>
      </c>
      <c r="M181" s="2713">
        <v>3.71511727867277</v>
      </c>
      <c r="N181" s="2736" t="s">
        <v>422</v>
      </c>
    </row>
    <row r="182" s="2870" customFormat="1" ht="13.2" customHeight="1" spans="1:14">
      <c r="A182" s="730" t="s">
        <v>407</v>
      </c>
      <c r="B182" s="2711"/>
      <c r="C182" s="2711">
        <v>6.837</v>
      </c>
      <c r="D182" s="2711"/>
      <c r="E182" s="2736" t="s">
        <v>423</v>
      </c>
      <c r="F182" s="2713">
        <v>0.890695979622642</v>
      </c>
      <c r="G182" s="2713">
        <v>1.06883517554717</v>
      </c>
      <c r="H182" s="2713">
        <v>1.17571869310189</v>
      </c>
      <c r="I182" s="2713">
        <v>3.76400040076057</v>
      </c>
      <c r="J182" s="2713">
        <f t="shared" si="6"/>
        <v>3.9522004207986</v>
      </c>
      <c r="K182" s="2714">
        <v>0.4</v>
      </c>
      <c r="L182" s="2714">
        <f t="shared" si="7"/>
        <v>5.52791911390049</v>
      </c>
      <c r="M182" s="2713">
        <v>3.42181854614597</v>
      </c>
      <c r="N182" s="2736" t="s">
        <v>422</v>
      </c>
    </row>
    <row r="183" s="2870" customFormat="1" ht="13.2" customHeight="1" spans="1:14">
      <c r="A183" s="730" t="s">
        <v>407</v>
      </c>
      <c r="B183" s="2711"/>
      <c r="C183" s="2711">
        <v>6.837</v>
      </c>
      <c r="D183" s="2711"/>
      <c r="E183" s="2736" t="s">
        <v>424</v>
      </c>
      <c r="F183" s="2713">
        <v>0.444881927961518</v>
      </c>
      <c r="G183" s="2713">
        <v>0.533858313553822</v>
      </c>
      <c r="H183" s="2713">
        <v>0.587244144909204</v>
      </c>
      <c r="I183" s="2713">
        <v>1.15537605444375</v>
      </c>
      <c r="J183" s="2713">
        <f t="shared" si="6"/>
        <v>1.21314485716594</v>
      </c>
      <c r="K183" s="2714">
        <v>0.2</v>
      </c>
      <c r="L183" s="2714">
        <f t="shared" si="7"/>
        <v>2.00038900207514</v>
      </c>
      <c r="M183" s="2713">
        <v>1.05034186767614</v>
      </c>
      <c r="N183" s="2736"/>
    </row>
    <row r="184" s="2870" customFormat="1" ht="13.2" customHeight="1" spans="1:14">
      <c r="A184" s="730" t="s">
        <v>407</v>
      </c>
      <c r="B184" s="2711"/>
      <c r="C184" s="2711">
        <v>6.837</v>
      </c>
      <c r="D184" s="2711"/>
      <c r="E184" s="2736" t="s">
        <v>425</v>
      </c>
      <c r="F184" s="2713">
        <v>0.480085133016604</v>
      </c>
      <c r="G184" s="2713">
        <v>0.576102159619925</v>
      </c>
      <c r="H184" s="2713">
        <v>0.633712375581918</v>
      </c>
      <c r="I184" s="2713">
        <v>4.3652868827962</v>
      </c>
      <c r="J184" s="2713">
        <f t="shared" si="6"/>
        <v>4.58355122693601</v>
      </c>
      <c r="K184" s="2714">
        <v>0.4</v>
      </c>
      <c r="L184" s="2714">
        <f t="shared" si="7"/>
        <v>5.61726360251793</v>
      </c>
      <c r="M184" s="2713">
        <v>3.96844262072382</v>
      </c>
      <c r="N184" s="2736" t="s">
        <v>426</v>
      </c>
    </row>
    <row r="185" s="2870" customFormat="1" ht="13.2" customHeight="1" spans="1:14">
      <c r="A185" s="730" t="s">
        <v>407</v>
      </c>
      <c r="B185" s="2711"/>
      <c r="C185" s="2711">
        <v>6.837</v>
      </c>
      <c r="D185" s="2711"/>
      <c r="E185" s="2736" t="s">
        <v>427</v>
      </c>
      <c r="F185" s="2713">
        <v>0.480085133016604</v>
      </c>
      <c r="G185" s="2713">
        <v>0.576102159619925</v>
      </c>
      <c r="H185" s="2713">
        <v>0.633712375581918</v>
      </c>
      <c r="I185" s="2713">
        <v>3.87790048326073</v>
      </c>
      <c r="J185" s="2713">
        <f t="shared" si="6"/>
        <v>4.07179550742377</v>
      </c>
      <c r="K185" s="2714">
        <v>0.4</v>
      </c>
      <c r="L185" s="2714">
        <f t="shared" si="7"/>
        <v>5.10550788300569</v>
      </c>
      <c r="M185" s="2713">
        <v>3.52536407569157</v>
      </c>
      <c r="N185" s="2736" t="s">
        <v>25</v>
      </c>
    </row>
    <row r="186" s="2870" customFormat="1" ht="13.2" customHeight="1" spans="1:14">
      <c r="A186" s="730" t="s">
        <v>407</v>
      </c>
      <c r="B186" s="2711"/>
      <c r="C186" s="2711">
        <v>6.837</v>
      </c>
      <c r="D186" s="2711">
        <v>6.8226</v>
      </c>
      <c r="E186" s="2736" t="s">
        <v>428</v>
      </c>
      <c r="F186" s="2713">
        <v>0.409678722906433</v>
      </c>
      <c r="G186" s="2713">
        <v>0.49161446748772</v>
      </c>
      <c r="H186" s="2713">
        <v>0.540775914236492</v>
      </c>
      <c r="I186" s="2713">
        <v>3.66599335302787</v>
      </c>
      <c r="J186" s="2713">
        <f t="shared" si="6"/>
        <v>3.84929302067926</v>
      </c>
      <c r="K186" s="2714">
        <v>0.4</v>
      </c>
      <c r="L186" s="2714">
        <f t="shared" si="7"/>
        <v>4.79006893491575</v>
      </c>
      <c r="M186" s="2713">
        <v>3.33272123002534</v>
      </c>
      <c r="N186" s="2736" t="s">
        <v>25</v>
      </c>
    </row>
    <row r="187" s="2870" customFormat="1" ht="13.2" customHeight="1" spans="1:14">
      <c r="A187" s="730" t="s">
        <v>407</v>
      </c>
      <c r="B187" s="2711"/>
      <c r="C187" s="2711">
        <v>6.837</v>
      </c>
      <c r="D187" s="2711"/>
      <c r="E187" s="2736" t="s">
        <v>429</v>
      </c>
      <c r="F187" s="2713">
        <v>0.398741804831066</v>
      </c>
      <c r="G187" s="2713">
        <v>0.478490165797279</v>
      </c>
      <c r="H187" s="2713">
        <v>0.526339182377007</v>
      </c>
      <c r="I187" s="2713">
        <v>3.71897013558608</v>
      </c>
      <c r="J187" s="2713">
        <f t="shared" si="6"/>
        <v>3.90491864236538</v>
      </c>
      <c r="K187" s="2714">
        <v>0.4</v>
      </c>
      <c r="L187" s="2714">
        <f t="shared" si="7"/>
        <v>4.83125782474239</v>
      </c>
      <c r="M187" s="2713">
        <v>3.38088194144189</v>
      </c>
      <c r="N187" s="2736" t="s">
        <v>25</v>
      </c>
    </row>
    <row r="188" s="2870" customFormat="1" ht="13.2" customHeight="1" spans="1:14">
      <c r="A188" s="730" t="s">
        <v>407</v>
      </c>
      <c r="B188" s="2711"/>
      <c r="C188" s="2711">
        <v>6.837</v>
      </c>
      <c r="D188" s="2711"/>
      <c r="E188" s="2736" t="s">
        <v>430</v>
      </c>
      <c r="F188" s="2713">
        <v>0.996398807157859</v>
      </c>
      <c r="G188" s="2713">
        <v>1.19567856858943</v>
      </c>
      <c r="H188" s="2713">
        <v>1.31524642544837</v>
      </c>
      <c r="I188" s="2713">
        <v>4.90565006488992</v>
      </c>
      <c r="J188" s="2713">
        <f t="shared" si="6"/>
        <v>5.15093256813442</v>
      </c>
      <c r="K188" s="2714">
        <v>0.4</v>
      </c>
      <c r="L188" s="2714">
        <f t="shared" si="7"/>
        <v>6.86617899358279</v>
      </c>
      <c r="M188" s="2713">
        <v>4.45968187717265</v>
      </c>
      <c r="N188" s="2736" t="s">
        <v>426</v>
      </c>
    </row>
    <row r="189" s="2870" customFormat="1" ht="13.2" customHeight="1" spans="1:14">
      <c r="A189" s="730" t="s">
        <v>407</v>
      </c>
      <c r="B189" s="2711"/>
      <c r="C189" s="2711">
        <v>6.837</v>
      </c>
      <c r="D189" s="2711"/>
      <c r="E189" s="2736" t="s">
        <v>431</v>
      </c>
      <c r="F189" s="2713">
        <v>0.409678722906433</v>
      </c>
      <c r="G189" s="2713">
        <v>0.49161446748772</v>
      </c>
      <c r="H189" s="2713">
        <v>0.540775914236492</v>
      </c>
      <c r="I189" s="2713">
        <v>0.989394391057064</v>
      </c>
      <c r="J189" s="2713">
        <f t="shared" si="6"/>
        <v>1.03886411060992</v>
      </c>
      <c r="K189" s="2714">
        <v>0.4</v>
      </c>
      <c r="L189" s="2714">
        <f t="shared" si="7"/>
        <v>1.97964002484641</v>
      </c>
      <c r="M189" s="2713">
        <v>0.899449446415513</v>
      </c>
      <c r="N189" s="2736"/>
    </row>
    <row r="190" s="2870" customFormat="1" ht="13.2" customHeight="1" spans="1:14">
      <c r="A190" s="730" t="s">
        <v>432</v>
      </c>
      <c r="B190" s="2711">
        <v>20250609</v>
      </c>
      <c r="C190" s="2711">
        <v>6.837</v>
      </c>
      <c r="D190" s="2711" t="s">
        <v>433</v>
      </c>
      <c r="E190" s="2711" t="s">
        <v>434</v>
      </c>
      <c r="F190" s="2713">
        <v>0.29701585153638</v>
      </c>
      <c r="G190" s="2713">
        <v>0.356419021843656</v>
      </c>
      <c r="H190" s="2713">
        <v>0.392060924028022</v>
      </c>
      <c r="I190" s="2713">
        <v>0.931391148485732</v>
      </c>
      <c r="J190" s="2713">
        <f t="shared" si="6"/>
        <v>0.977960705910019</v>
      </c>
      <c r="K190" s="2714">
        <v>0.2</v>
      </c>
      <c r="L190" s="2714">
        <f t="shared" si="7"/>
        <v>1.57002162993804</v>
      </c>
      <c r="M190" s="2713">
        <v>0.84671922589612</v>
      </c>
      <c r="N190" s="2711" t="s">
        <v>435</v>
      </c>
    </row>
    <row r="191" s="2870" customFormat="1" ht="13.2" customHeight="1" spans="1:14">
      <c r="A191" s="730" t="s">
        <v>432</v>
      </c>
      <c r="B191" s="2711">
        <v>20250508</v>
      </c>
      <c r="C191" s="2902">
        <v>6.837</v>
      </c>
      <c r="D191" s="2711" t="s">
        <v>436</v>
      </c>
      <c r="E191" s="2711" t="s">
        <v>437</v>
      </c>
      <c r="F191" s="2713">
        <v>0.281039267958965</v>
      </c>
      <c r="G191" s="2713">
        <v>0.337247121550758</v>
      </c>
      <c r="H191" s="2713">
        <v>0.370971833705834</v>
      </c>
      <c r="I191" s="2713">
        <v>0.910303124532087</v>
      </c>
      <c r="J191" s="2713">
        <f t="shared" si="6"/>
        <v>0.955818280758691</v>
      </c>
      <c r="K191" s="2714">
        <v>0.2</v>
      </c>
      <c r="L191" s="2714">
        <f t="shared" si="7"/>
        <v>1.52679011446452</v>
      </c>
      <c r="M191" s="2713">
        <v>0.82754829502917</v>
      </c>
      <c r="N191" s="2711" t="s">
        <v>438</v>
      </c>
    </row>
    <row r="192" s="2870" customFormat="1" ht="13.2" customHeight="1" spans="1:14">
      <c r="A192" s="730" t="s">
        <v>432</v>
      </c>
      <c r="B192" s="2711">
        <v>20250304</v>
      </c>
      <c r="C192" s="2711">
        <v>6.837</v>
      </c>
      <c r="D192" s="2711" t="s">
        <v>439</v>
      </c>
      <c r="E192" s="2711" t="s">
        <v>440</v>
      </c>
      <c r="F192" s="2713">
        <v>0.296995508952493</v>
      </c>
      <c r="G192" s="2713">
        <v>0.356394610742992</v>
      </c>
      <c r="H192" s="2713">
        <v>0.392034071817291</v>
      </c>
      <c r="I192" s="2713">
        <v>0.635879063838223</v>
      </c>
      <c r="J192" s="2713">
        <f t="shared" si="6"/>
        <v>0.667673017030134</v>
      </c>
      <c r="K192" s="2714">
        <v>0.2</v>
      </c>
      <c r="L192" s="2714">
        <f t="shared" si="7"/>
        <v>1.25970708884742</v>
      </c>
      <c r="M192" s="2713">
        <v>0.578071876216566</v>
      </c>
      <c r="N192" s="2711" t="s">
        <v>435</v>
      </c>
    </row>
    <row r="193" s="2870" customFormat="1" ht="13.2" customHeight="1" spans="1:18">
      <c r="A193" s="730" t="s">
        <v>441</v>
      </c>
      <c r="B193" s="2764">
        <v>20240724</v>
      </c>
      <c r="C193" s="2711">
        <v>6.8191</v>
      </c>
      <c r="D193" s="2764" t="s">
        <v>442</v>
      </c>
      <c r="E193" s="2712" t="s">
        <v>443</v>
      </c>
      <c r="F193" s="2713">
        <f>3.4/C193/1.13</f>
        <v>0.441238514983227</v>
      </c>
      <c r="G193" s="2713">
        <v>0.529486217979872</v>
      </c>
      <c r="H193" s="2713">
        <v>0.582434839777859</v>
      </c>
      <c r="I193" s="2713">
        <v>2.79251327142228</v>
      </c>
      <c r="J193" s="2713">
        <f t="shared" si="6"/>
        <v>2.93213893499339</v>
      </c>
      <c r="K193" s="2714">
        <v>0.4</v>
      </c>
      <c r="L193" s="2714">
        <f t="shared" si="7"/>
        <v>3.91457377477125</v>
      </c>
      <c r="M193" s="2713">
        <v>2.53864842856571</v>
      </c>
      <c r="N193" s="226" t="s">
        <v>444</v>
      </c>
    </row>
    <row r="194" s="2870" customFormat="1" ht="13.2" customHeight="1" spans="1:18">
      <c r="A194" s="730" t="s">
        <v>445</v>
      </c>
      <c r="B194" s="2711">
        <v>20240820</v>
      </c>
      <c r="C194" s="2711">
        <v>6.837</v>
      </c>
      <c r="D194" s="2711" t="s">
        <v>446</v>
      </c>
      <c r="E194" s="2712" t="s">
        <v>447</v>
      </c>
      <c r="F194" s="2713">
        <v>0.524225185422137</v>
      </c>
      <c r="G194" s="2713">
        <v>0.629070222506564</v>
      </c>
      <c r="H194" s="2713">
        <v>0.69197724475722</v>
      </c>
      <c r="I194" s="2713">
        <v>3.09361875959466</v>
      </c>
      <c r="J194" s="2713">
        <f t="shared" si="6"/>
        <v>3.24829969757439</v>
      </c>
      <c r="K194" s="2716">
        <v>0.4</v>
      </c>
      <c r="L194" s="2714">
        <f t="shared" si="7"/>
        <v>4.34027694233161</v>
      </c>
      <c r="M194" s="2713">
        <v>2.8123806905406</v>
      </c>
      <c r="N194" s="2711"/>
    </row>
    <row r="195" s="2870" customFormat="1" ht="13.2" customHeight="1" spans="1:18">
      <c r="A195" s="730" t="s">
        <v>445</v>
      </c>
      <c r="B195" s="2883">
        <v>46098</v>
      </c>
      <c r="C195" s="2886">
        <v>6.837</v>
      </c>
      <c r="D195" s="2886" t="s">
        <v>448</v>
      </c>
      <c r="E195" s="2887" t="s">
        <v>449</v>
      </c>
      <c r="F195" s="2888">
        <f>0.453477702342092*1.1</f>
        <v>0.498825472576301</v>
      </c>
      <c r="G195" s="2713">
        <v>0.598590567091561</v>
      </c>
      <c r="H195" s="2713">
        <v>0.658449623800717</v>
      </c>
      <c r="I195" s="2713">
        <v>1.94301959923943</v>
      </c>
      <c r="J195" s="2713">
        <f t="shared" si="6"/>
        <v>2.0401705792014</v>
      </c>
      <c r="K195" s="2903">
        <f>2.93/C195/1.13</f>
        <v>0.379248260052991</v>
      </c>
      <c r="L195" s="2714">
        <f t="shared" si="7"/>
        <v>3.07786846305511</v>
      </c>
      <c r="M195" s="2888">
        <v>1.76638145385403</v>
      </c>
      <c r="N195" s="501" t="s">
        <v>450</v>
      </c>
      <c r="O195" s="2904"/>
      <c r="P195" s="2904"/>
      <c r="Q195" s="2904">
        <f>23.49+20/6.7739/1.13</f>
        <v>26.1028397295868</v>
      </c>
      <c r="R195" s="2904"/>
    </row>
    <row r="196" s="2870" customFormat="1" ht="13.2" customHeight="1" spans="1:18">
      <c r="A196" s="730" t="s">
        <v>451</v>
      </c>
      <c r="B196" s="2883">
        <v>46080</v>
      </c>
      <c r="C196" s="2899">
        <v>6.837</v>
      </c>
      <c r="D196" s="2712" t="s">
        <v>452</v>
      </c>
      <c r="E196" s="2712" t="s">
        <v>453</v>
      </c>
      <c r="F196" s="2713">
        <f>3/C196/1.13</f>
        <v>0.38830879868907</v>
      </c>
      <c r="G196" s="2713">
        <v>0.465970558426884</v>
      </c>
      <c r="H196" s="2713">
        <v>0.512567614269572</v>
      </c>
      <c r="I196" s="2713">
        <v>3.30646661558309</v>
      </c>
      <c r="J196" s="2713">
        <f t="shared" si="6"/>
        <v>3.47178994636224</v>
      </c>
      <c r="K196" s="2716">
        <v>0.43</v>
      </c>
      <c r="L196" s="2714">
        <f t="shared" si="7"/>
        <v>4.41435756063181</v>
      </c>
      <c r="M196" s="2713">
        <v>3.00587874143917</v>
      </c>
      <c r="N196" s="2711"/>
    </row>
    <row r="197" s="2870" customFormat="1" ht="13.2" customHeight="1" spans="1:18">
      <c r="A197" s="730" t="s">
        <v>445</v>
      </c>
      <c r="B197" s="2711"/>
      <c r="C197" s="2711">
        <v>6.837</v>
      </c>
      <c r="D197" s="2711"/>
      <c r="E197" s="2712" t="s">
        <v>454</v>
      </c>
      <c r="F197" s="2713">
        <v>1.16650860771175</v>
      </c>
      <c r="G197" s="2713">
        <v>1.3998103292541</v>
      </c>
      <c r="H197" s="2713">
        <v>1.53979136217951</v>
      </c>
      <c r="I197" s="2713">
        <v>1.97754141677962</v>
      </c>
      <c r="J197" s="2713">
        <f t="shared" si="6"/>
        <v>2.0764184876186</v>
      </c>
      <c r="K197" s="2716">
        <v>0.4</v>
      </c>
      <c r="L197" s="2714">
        <f t="shared" si="7"/>
        <v>4.01620984979811</v>
      </c>
      <c r="M197" s="2713">
        <v>1.79776492434511</v>
      </c>
      <c r="N197" s="2711"/>
    </row>
    <row r="198" s="2870" customFormat="1" ht="13.2" customHeight="1" spans="1:18">
      <c r="A198" s="730" t="s">
        <v>455</v>
      </c>
      <c r="B198" s="2711">
        <v>20250324</v>
      </c>
      <c r="C198" s="2711">
        <v>6.837</v>
      </c>
      <c r="D198" s="2712" t="s">
        <v>456</v>
      </c>
      <c r="E198" s="2712" t="s">
        <v>457</v>
      </c>
      <c r="F198" s="2713">
        <f>5.84/6.78/1.13*1.1</f>
        <v>0.838489048998878</v>
      </c>
      <c r="G198" s="2713">
        <v>0.94</v>
      </c>
      <c r="H198" s="2713">
        <v>1.034</v>
      </c>
      <c r="I198" s="2713">
        <v>2.55</v>
      </c>
      <c r="J198" s="2713">
        <f t="shared" si="6"/>
        <v>2.6775</v>
      </c>
      <c r="K198" s="2714">
        <v>0.4</v>
      </c>
      <c r="L198" s="2714">
        <f t="shared" si="7"/>
        <v>4.1115</v>
      </c>
      <c r="M198" s="2713">
        <v>2.20168495437441</v>
      </c>
      <c r="N198" s="226" t="s">
        <v>82</v>
      </c>
    </row>
    <row r="199" s="2870" customFormat="1" ht="13.2" customHeight="1" spans="1:18">
      <c r="A199" s="730" t="s">
        <v>455</v>
      </c>
      <c r="B199" s="2711">
        <v>20250418</v>
      </c>
      <c r="C199" s="2711">
        <v>6.837</v>
      </c>
      <c r="D199" s="2711" t="s">
        <v>458</v>
      </c>
      <c r="E199" s="2712" t="s">
        <v>459</v>
      </c>
      <c r="F199" s="2713">
        <v>0.366112008913858</v>
      </c>
      <c r="G199" s="2713">
        <v>0.43933441069663</v>
      </c>
      <c r="H199" s="2713">
        <v>0.483267851766293</v>
      </c>
      <c r="I199" s="2713">
        <v>2.4997224229908</v>
      </c>
      <c r="J199" s="2713">
        <f t="shared" ref="J199:J259" si="8">I199*1.05</f>
        <v>2.62470854414034</v>
      </c>
      <c r="K199" s="2714">
        <v>0.4</v>
      </c>
      <c r="L199" s="2714">
        <f t="shared" ref="L199:L259" si="9">SUBTOTAL(109,H199,J199,K199)</f>
        <v>3.50797639590663</v>
      </c>
      <c r="M199" s="2713">
        <v>2.27247492999164</v>
      </c>
      <c r="N199" s="226" t="s">
        <v>82</v>
      </c>
    </row>
    <row r="200" s="2870" customFormat="1" ht="13.2" customHeight="1" spans="1:18">
      <c r="A200" s="730" t="s">
        <v>455</v>
      </c>
      <c r="B200" s="2711">
        <v>20250418</v>
      </c>
      <c r="C200" s="2711">
        <v>6.837</v>
      </c>
      <c r="D200" s="2711" t="s">
        <v>460</v>
      </c>
      <c r="E200" s="2712" t="s">
        <v>461</v>
      </c>
      <c r="F200" s="2713">
        <v>0.365344015331942</v>
      </c>
      <c r="G200" s="2713">
        <v>0.43841281839833</v>
      </c>
      <c r="H200" s="2713">
        <v>0.482254100238163</v>
      </c>
      <c r="I200" s="2713">
        <v>2.52469667332518</v>
      </c>
      <c r="J200" s="2713">
        <f t="shared" si="8"/>
        <v>2.65093150699144</v>
      </c>
      <c r="K200" s="2714">
        <v>0.4</v>
      </c>
      <c r="L200" s="2714">
        <f t="shared" si="9"/>
        <v>3.5331856072296</v>
      </c>
      <c r="M200" s="2713">
        <v>2.29517879393198</v>
      </c>
      <c r="N200" s="226" t="s">
        <v>82</v>
      </c>
    </row>
    <row r="201" s="2870" customFormat="1" ht="13.2" customHeight="1" spans="1:18">
      <c r="A201" s="730" t="s">
        <v>455</v>
      </c>
      <c r="B201" s="2711">
        <v>20250731</v>
      </c>
      <c r="C201" s="2711">
        <v>6.837</v>
      </c>
      <c r="D201" s="2711" t="s">
        <v>462</v>
      </c>
      <c r="E201" s="2711" t="s">
        <v>463</v>
      </c>
      <c r="F201" s="2713">
        <v>0.37965567059118</v>
      </c>
      <c r="G201" s="2713">
        <v>0.455586804709416</v>
      </c>
      <c r="H201" s="2713">
        <v>0.501145485180358</v>
      </c>
      <c r="I201" s="2713">
        <v>2.52469667332518</v>
      </c>
      <c r="J201" s="2713">
        <f t="shared" si="8"/>
        <v>2.65093150699144</v>
      </c>
      <c r="K201" s="2714">
        <v>0.4</v>
      </c>
      <c r="L201" s="2714">
        <f t="shared" si="9"/>
        <v>3.5520769921718</v>
      </c>
      <c r="M201" s="2713">
        <v>2.29517879393198</v>
      </c>
      <c r="N201" s="226" t="s">
        <v>82</v>
      </c>
    </row>
    <row r="202" s="2870" customFormat="1" ht="13.2" customHeight="1" spans="1:18">
      <c r="A202" s="730" t="s">
        <v>455</v>
      </c>
      <c r="B202" s="2711"/>
      <c r="C202" s="2711">
        <v>6.837</v>
      </c>
      <c r="D202" s="2711"/>
      <c r="E202" s="2712" t="s">
        <v>464</v>
      </c>
      <c r="F202" s="2713">
        <v>0.322062842783905</v>
      </c>
      <c r="G202" s="2713">
        <v>0.386475411340686</v>
      </c>
      <c r="H202" s="2713">
        <v>0.425122952474755</v>
      </c>
      <c r="I202" s="2713">
        <v>2.33420889853053</v>
      </c>
      <c r="J202" s="2713">
        <f t="shared" si="8"/>
        <v>2.45091934345706</v>
      </c>
      <c r="K202" s="2714">
        <v>0.4</v>
      </c>
      <c r="L202" s="2714">
        <f t="shared" si="9"/>
        <v>3.27604229593181</v>
      </c>
      <c r="M202" s="2713">
        <v>2.12200808957321</v>
      </c>
      <c r="N202" s="226" t="s">
        <v>82</v>
      </c>
    </row>
    <row r="203" s="2870" customFormat="1" ht="13.2" customHeight="1" spans="1:18">
      <c r="A203" s="730" t="s">
        <v>465</v>
      </c>
      <c r="B203" s="2883">
        <v>46045</v>
      </c>
      <c r="C203" s="2711">
        <v>6.837</v>
      </c>
      <c r="D203" s="2711" t="s">
        <v>466</v>
      </c>
      <c r="E203" s="2712" t="s">
        <v>467</v>
      </c>
      <c r="F203" s="2713">
        <v>0.414196051935008</v>
      </c>
      <c r="G203" s="2713">
        <v>0.49703526232201</v>
      </c>
      <c r="H203" s="2713">
        <v>0.546738788554211</v>
      </c>
      <c r="I203" s="2713">
        <v>1.56522788942519</v>
      </c>
      <c r="J203" s="2713">
        <f t="shared" si="8"/>
        <v>1.64348928389645</v>
      </c>
      <c r="K203" s="2905">
        <v>0.3</v>
      </c>
      <c r="L203" s="2714">
        <f t="shared" si="9"/>
        <v>2.49022807245066</v>
      </c>
      <c r="M203" s="2713">
        <v>1.42293444493199</v>
      </c>
      <c r="N203" s="2712" t="s">
        <v>468</v>
      </c>
    </row>
    <row r="204" s="2870" customFormat="1" ht="13.2" customHeight="1" spans="1:18">
      <c r="A204" s="730" t="s">
        <v>469</v>
      </c>
      <c r="B204" s="2711"/>
      <c r="C204" s="2711">
        <v>6.837</v>
      </c>
      <c r="D204" s="2711"/>
      <c r="E204" s="2712" t="s">
        <v>470</v>
      </c>
      <c r="F204" s="2713">
        <v>0.569631149758666</v>
      </c>
      <c r="G204" s="2713">
        <v>0.683557379710399</v>
      </c>
      <c r="H204" s="2713">
        <v>0.751913117681439</v>
      </c>
      <c r="I204" s="2713">
        <v>9.67885817338431</v>
      </c>
      <c r="J204" s="2713">
        <f t="shared" si="8"/>
        <v>10.1628010820535</v>
      </c>
      <c r="K204" s="2714">
        <v>0.4</v>
      </c>
      <c r="L204" s="2714">
        <f t="shared" si="9"/>
        <v>11.3147141997349</v>
      </c>
      <c r="M204" s="2713">
        <v>8.79896197580392</v>
      </c>
      <c r="N204" s="2712"/>
    </row>
    <row r="205" s="2870" customFormat="1" ht="13.2" customHeight="1" spans="1:18">
      <c r="A205" s="730" t="s">
        <v>469</v>
      </c>
      <c r="B205" s="2711"/>
      <c r="C205" s="2711">
        <v>6.837</v>
      </c>
      <c r="D205" s="2711"/>
      <c r="E205" s="2711" t="s">
        <v>471</v>
      </c>
      <c r="F205" s="2713">
        <v>0.699287964305504</v>
      </c>
      <c r="G205" s="2713">
        <v>0.839145557166605</v>
      </c>
      <c r="H205" s="2713">
        <v>0.923060112883266</v>
      </c>
      <c r="I205" s="2713">
        <v>1.76463100348039</v>
      </c>
      <c r="J205" s="2713">
        <f t="shared" si="8"/>
        <v>1.85286255365441</v>
      </c>
      <c r="K205" s="2714">
        <v>0.2</v>
      </c>
      <c r="L205" s="2714">
        <f t="shared" si="9"/>
        <v>2.97592266653768</v>
      </c>
      <c r="M205" s="2713">
        <v>1.60421000316399</v>
      </c>
      <c r="N205" s="2712"/>
    </row>
    <row r="206" s="2870" customFormat="1" ht="13.2" customHeight="1" spans="1:18">
      <c r="A206" s="730" t="s">
        <v>469</v>
      </c>
      <c r="B206" s="2711">
        <v>20241018</v>
      </c>
      <c r="C206" s="2711">
        <v>6.837</v>
      </c>
      <c r="D206" s="2711" t="s">
        <v>472</v>
      </c>
      <c r="E206" s="2712" t="s">
        <v>473</v>
      </c>
      <c r="F206" s="2713">
        <v>0.445244008330885</v>
      </c>
      <c r="G206" s="2713">
        <v>0.534292809997062</v>
      </c>
      <c r="H206" s="2713">
        <v>0.587722090996768</v>
      </c>
      <c r="I206" s="2713">
        <v>2.57804165234792</v>
      </c>
      <c r="J206" s="2713">
        <f t="shared" si="8"/>
        <v>2.70694373496532</v>
      </c>
      <c r="K206" s="2714">
        <v>0.4</v>
      </c>
      <c r="L206" s="2714">
        <f t="shared" si="9"/>
        <v>3.69466582596209</v>
      </c>
      <c r="M206" s="2713">
        <v>2.3436742294072</v>
      </c>
      <c r="N206" s="2712" t="s">
        <v>25</v>
      </c>
    </row>
    <row r="207" s="2870" customFormat="1" ht="13.2" customHeight="1" spans="1:18">
      <c r="A207" s="730" t="s">
        <v>469</v>
      </c>
      <c r="B207" s="2711"/>
      <c r="C207" s="2711">
        <v>6.837</v>
      </c>
      <c r="D207" s="2711"/>
      <c r="E207" s="2712" t="s">
        <v>474</v>
      </c>
      <c r="F207" s="2713">
        <v>0.428562620508087</v>
      </c>
      <c r="G207" s="2713">
        <v>0.514275144609704</v>
      </c>
      <c r="H207" s="2713">
        <v>0.565702659070675</v>
      </c>
      <c r="I207" s="2713">
        <v>1.14026217696712</v>
      </c>
      <c r="J207" s="2713">
        <f t="shared" si="8"/>
        <v>1.19727528581548</v>
      </c>
      <c r="K207" s="2714">
        <v>0.4</v>
      </c>
      <c r="L207" s="2714">
        <f t="shared" si="9"/>
        <v>2.16297794488615</v>
      </c>
      <c r="M207" s="2713">
        <v>1.03660197906102</v>
      </c>
      <c r="N207" s="2712"/>
    </row>
    <row r="208" s="2870" customFormat="1" ht="13.2" customHeight="1" spans="1:18">
      <c r="A208" s="730" t="s">
        <v>379</v>
      </c>
      <c r="B208" s="2711"/>
      <c r="C208" s="2711">
        <v>6.837</v>
      </c>
      <c r="D208" s="2711"/>
      <c r="E208" s="2711" t="s">
        <v>396</v>
      </c>
      <c r="F208" s="2713">
        <v>0.418358748591227</v>
      </c>
      <c r="G208" s="2713">
        <v>0.502030498309472</v>
      </c>
      <c r="H208" s="2713">
        <v>0.552233548140419</v>
      </c>
      <c r="I208" s="2713">
        <v>2.44752735418913</v>
      </c>
      <c r="J208" s="2713">
        <f t="shared" si="8"/>
        <v>2.56990372189859</v>
      </c>
      <c r="K208" s="2714">
        <v>0.2</v>
      </c>
      <c r="L208" s="2714">
        <f t="shared" si="9"/>
        <v>3.32213727003901</v>
      </c>
      <c r="M208" s="2713">
        <v>2.22502486744466</v>
      </c>
      <c r="N208" s="2712"/>
    </row>
    <row r="209" s="2870" customFormat="1" ht="13.2" customHeight="1" spans="1:14">
      <c r="A209" s="730" t="s">
        <v>469</v>
      </c>
      <c r="B209" s="2711"/>
      <c r="C209" s="2711">
        <v>6.837</v>
      </c>
      <c r="D209" s="2711"/>
      <c r="E209" s="2712" t="s">
        <v>475</v>
      </c>
      <c r="F209" s="2713">
        <v>0.826513625265596</v>
      </c>
      <c r="G209" s="2713">
        <v>0.991816350318715</v>
      </c>
      <c r="H209" s="2713">
        <v>1.09099798535059</v>
      </c>
      <c r="I209" s="2713">
        <v>6.86579101954357</v>
      </c>
      <c r="J209" s="2713">
        <f t="shared" si="8"/>
        <v>7.20908057052075</v>
      </c>
      <c r="K209" s="2714">
        <v>0.4</v>
      </c>
      <c r="L209" s="2714">
        <f t="shared" si="9"/>
        <v>8.70007855587134</v>
      </c>
      <c r="M209" s="2713">
        <v>6.24162819958506</v>
      </c>
      <c r="N209" s="2711" t="s">
        <v>476</v>
      </c>
    </row>
    <row r="210" s="2870" customFormat="1" ht="13.2" customHeight="1" spans="1:14">
      <c r="A210" s="730" t="s">
        <v>379</v>
      </c>
      <c r="B210" s="2711"/>
      <c r="C210" s="2711">
        <v>6.837</v>
      </c>
      <c r="D210" s="2711"/>
      <c r="E210" s="2712" t="s">
        <v>402</v>
      </c>
      <c r="F210" s="2713">
        <v>0.37595655884072</v>
      </c>
      <c r="G210" s="2713">
        <v>0.451147870608864</v>
      </c>
      <c r="H210" s="2713">
        <v>0.49626265766975</v>
      </c>
      <c r="I210" s="2713">
        <v>1.57012588146013</v>
      </c>
      <c r="J210" s="2713">
        <f t="shared" si="8"/>
        <v>1.64863217553314</v>
      </c>
      <c r="K210" s="2714">
        <v>0.2</v>
      </c>
      <c r="L210" s="2714">
        <f t="shared" si="9"/>
        <v>2.34489483320289</v>
      </c>
      <c r="M210" s="2713">
        <v>1.42738716496375</v>
      </c>
      <c r="N210" s="2712"/>
    </row>
    <row r="211" s="2870" customFormat="1" ht="13.2" customHeight="1" spans="1:14">
      <c r="A211" s="730" t="s">
        <v>469</v>
      </c>
      <c r="B211" s="2711"/>
      <c r="C211" s="2711">
        <v>6.837</v>
      </c>
      <c r="D211" s="2711"/>
      <c r="E211" s="2712" t="s">
        <v>477</v>
      </c>
      <c r="F211" s="2713">
        <v>0.245397099316033</v>
      </c>
      <c r="G211" s="2713">
        <v>0.29447651917924</v>
      </c>
      <c r="H211" s="2713">
        <v>0.323924171097164</v>
      </c>
      <c r="I211" s="2713">
        <v>1.64949251848187</v>
      </c>
      <c r="J211" s="2713">
        <f t="shared" si="8"/>
        <v>1.73196714440596</v>
      </c>
      <c r="K211" s="2714">
        <v>0.2</v>
      </c>
      <c r="L211" s="2714">
        <f t="shared" si="9"/>
        <v>2.25589131550312</v>
      </c>
      <c r="M211" s="2713">
        <v>1.49953865316534</v>
      </c>
      <c r="N211" s="2712"/>
    </row>
    <row r="212" s="2870" customFormat="1" ht="13.2" customHeight="1" spans="1:14">
      <c r="A212" s="730" t="s">
        <v>478</v>
      </c>
      <c r="B212" s="2711"/>
      <c r="C212" s="2711">
        <v>6.837</v>
      </c>
      <c r="D212" s="2711"/>
      <c r="E212" s="2712" t="s">
        <v>479</v>
      </c>
      <c r="F212" s="2713">
        <v>0.310707899868363</v>
      </c>
      <c r="G212" s="2713">
        <v>0.372849479842036</v>
      </c>
      <c r="H212" s="2713">
        <v>0.41013442782624</v>
      </c>
      <c r="I212" s="2713">
        <v>0.978640104197748</v>
      </c>
      <c r="J212" s="2713">
        <f t="shared" si="8"/>
        <v>1.02757210940764</v>
      </c>
      <c r="K212" s="2714">
        <v>0.2</v>
      </c>
      <c r="L212" s="2714">
        <f t="shared" si="9"/>
        <v>1.63770653723388</v>
      </c>
      <c r="M212" s="2713">
        <v>0.889672821997953</v>
      </c>
      <c r="N212" s="2712"/>
    </row>
    <row r="213" s="2870" customFormat="1" ht="13.2" customHeight="1" spans="1:14">
      <c r="A213" s="730" t="s">
        <v>478</v>
      </c>
      <c r="B213" s="2711"/>
      <c r="C213" s="2711">
        <v>6.837</v>
      </c>
      <c r="D213" s="2711"/>
      <c r="E213" s="2712" t="s">
        <v>480</v>
      </c>
      <c r="F213" s="2713">
        <v>0.309917571321798</v>
      </c>
      <c r="G213" s="2713">
        <v>0.371901085586158</v>
      </c>
      <c r="H213" s="2713">
        <v>0.409091194144774</v>
      </c>
      <c r="I213" s="2713">
        <v>0.877063748180023</v>
      </c>
      <c r="J213" s="2713">
        <f t="shared" si="8"/>
        <v>0.920916935589024</v>
      </c>
      <c r="K213" s="2714">
        <v>0.2</v>
      </c>
      <c r="L213" s="2714">
        <f t="shared" si="9"/>
        <v>1.5300081297338</v>
      </c>
      <c r="M213" s="2713">
        <v>0.797330680163657</v>
      </c>
      <c r="N213" s="2712"/>
    </row>
    <row r="214" s="2870" customFormat="1" ht="13.2" customHeight="1" spans="1:14">
      <c r="A214" s="730" t="s">
        <v>478</v>
      </c>
      <c r="B214" s="2711"/>
      <c r="C214" s="2711">
        <v>6.837</v>
      </c>
      <c r="D214" s="2711"/>
      <c r="E214" s="2712" t="s">
        <v>481</v>
      </c>
      <c r="F214" s="2713">
        <v>0.0414277199824484</v>
      </c>
      <c r="G214" s="2713">
        <v>0.0497132639789381</v>
      </c>
      <c r="H214" s="2713">
        <v>0.0546845903768319</v>
      </c>
      <c r="I214" s="2713">
        <v>0.0790440084159719</v>
      </c>
      <c r="J214" s="2713">
        <f t="shared" si="8"/>
        <v>0.0829962088367705</v>
      </c>
      <c r="K214" s="2714">
        <v>0.07</v>
      </c>
      <c r="L214" s="2714">
        <f t="shared" si="9"/>
        <v>0.207680799213602</v>
      </c>
      <c r="M214" s="2713">
        <v>0.0718581894690654</v>
      </c>
      <c r="N214" s="2736"/>
    </row>
    <row r="215" s="2870" customFormat="1" ht="13.2" customHeight="1" spans="1:14">
      <c r="A215" s="730" t="s">
        <v>478</v>
      </c>
      <c r="B215" s="2711">
        <v>20241114</v>
      </c>
      <c r="C215" s="2711">
        <v>6.837</v>
      </c>
      <c r="D215" s="2711" t="s">
        <v>482</v>
      </c>
      <c r="E215" s="2711" t="s">
        <v>483</v>
      </c>
      <c r="F215" s="2713">
        <v>0.439424126841855</v>
      </c>
      <c r="G215" s="2713">
        <v>0.527308952210226</v>
      </c>
      <c r="H215" s="2713">
        <v>0.580039847431249</v>
      </c>
      <c r="I215" s="2713">
        <v>0.761680545078829</v>
      </c>
      <c r="J215" s="2713">
        <f t="shared" si="8"/>
        <v>0.79976457233277</v>
      </c>
      <c r="K215" s="2714">
        <v>0.2</v>
      </c>
      <c r="L215" s="2714">
        <f t="shared" si="9"/>
        <v>1.57980441976402</v>
      </c>
      <c r="M215" s="2713">
        <v>0.692436859162572</v>
      </c>
      <c r="N215" s="2736" t="s">
        <v>484</v>
      </c>
    </row>
    <row r="216" s="2870" customFormat="1" ht="13.2" customHeight="1" spans="1:14">
      <c r="A216" s="730" t="s">
        <v>478</v>
      </c>
      <c r="B216" s="2711">
        <v>20240510</v>
      </c>
      <c r="C216" s="2711">
        <v>6.837</v>
      </c>
      <c r="D216" s="2711" t="s">
        <v>485</v>
      </c>
      <c r="E216" s="2712" t="s">
        <v>486</v>
      </c>
      <c r="F216" s="2713">
        <v>0.436993016004361</v>
      </c>
      <c r="G216" s="2713">
        <v>0.524391619205233</v>
      </c>
      <c r="H216" s="2713">
        <v>0.576830781125756</v>
      </c>
      <c r="I216" s="2713">
        <v>0.760266483366488</v>
      </c>
      <c r="J216" s="2713">
        <f t="shared" si="8"/>
        <v>0.798279807534813</v>
      </c>
      <c r="K216" s="2714">
        <v>0.2</v>
      </c>
      <c r="L216" s="2714">
        <f t="shared" si="9"/>
        <v>1.57511058866057</v>
      </c>
      <c r="M216" s="2713">
        <v>0.691151348514989</v>
      </c>
      <c r="N216" s="2736"/>
    </row>
    <row r="217" s="2870" customFormat="1" ht="13.2" customHeight="1" spans="1:14">
      <c r="A217" s="730" t="s">
        <v>478</v>
      </c>
      <c r="B217" s="2711"/>
      <c r="C217" s="2711">
        <v>6.837</v>
      </c>
      <c r="D217" s="2711"/>
      <c r="E217" s="2712" t="s">
        <v>487</v>
      </c>
      <c r="F217" s="2713">
        <v>0.387623694435494</v>
      </c>
      <c r="G217" s="2713">
        <v>0.465148433322593</v>
      </c>
      <c r="H217" s="2713">
        <v>0.511663276654852</v>
      </c>
      <c r="I217" s="2713">
        <v>0.733148433554626</v>
      </c>
      <c r="J217" s="2713">
        <f t="shared" si="8"/>
        <v>0.769805855232357</v>
      </c>
      <c r="K217" s="2714">
        <v>0.2</v>
      </c>
      <c r="L217" s="2714">
        <f t="shared" si="9"/>
        <v>1.48146913188721</v>
      </c>
      <c r="M217" s="2713">
        <v>0.666498575958751</v>
      </c>
      <c r="N217" s="2711"/>
    </row>
    <row r="218" s="2870" customFormat="1" ht="13.2" customHeight="1" spans="1:14">
      <c r="A218" s="730" t="s">
        <v>478</v>
      </c>
      <c r="B218" s="2711">
        <v>20250418</v>
      </c>
      <c r="C218" s="2711">
        <v>6.837</v>
      </c>
      <c r="D218" s="2711"/>
      <c r="E218" s="2712" t="s">
        <v>488</v>
      </c>
      <c r="F218" s="2713">
        <v>0.499989723926102</v>
      </c>
      <c r="G218" s="2713">
        <v>0.599987668711322</v>
      </c>
      <c r="H218" s="2713">
        <v>0.659986435582454</v>
      </c>
      <c r="I218" s="2713">
        <v>2.3381976455767</v>
      </c>
      <c r="J218" s="2713">
        <f t="shared" si="8"/>
        <v>2.45510752785554</v>
      </c>
      <c r="K218" s="2714">
        <v>0.4</v>
      </c>
      <c r="L218" s="2714">
        <f t="shared" si="9"/>
        <v>3.51509396343799</v>
      </c>
      <c r="M218" s="2713">
        <v>2.12563422325155</v>
      </c>
      <c r="N218" s="2711" t="s">
        <v>25</v>
      </c>
    </row>
    <row r="219" s="2870" customFormat="1" ht="13.2" customHeight="1" spans="1:14">
      <c r="A219" s="730" t="s">
        <v>478</v>
      </c>
      <c r="B219" s="2711">
        <v>20240606</v>
      </c>
      <c r="C219" s="2711">
        <v>6.837</v>
      </c>
      <c r="D219" s="2711" t="s">
        <v>489</v>
      </c>
      <c r="E219" s="2712" t="s">
        <v>490</v>
      </c>
      <c r="F219" s="2713">
        <v>0.534885087646931</v>
      </c>
      <c r="G219" s="2713">
        <v>0.641862105176317</v>
      </c>
      <c r="H219" s="2713">
        <v>0.706048315693949</v>
      </c>
      <c r="I219" s="2713">
        <v>0.947459087201862</v>
      </c>
      <c r="J219" s="2713">
        <f t="shared" si="8"/>
        <v>0.994832041561955</v>
      </c>
      <c r="K219" s="2714">
        <v>0.2</v>
      </c>
      <c r="L219" s="2714">
        <f t="shared" si="9"/>
        <v>1.9008803572559</v>
      </c>
      <c r="M219" s="2713">
        <v>0.861326442910784</v>
      </c>
      <c r="N219" s="2736" t="s">
        <v>435</v>
      </c>
    </row>
    <row r="220" s="2870" customFormat="1" ht="13.2" customHeight="1" spans="1:14">
      <c r="A220" s="730" t="s">
        <v>491</v>
      </c>
      <c r="B220" s="2711">
        <v>20240513</v>
      </c>
      <c r="C220" s="2711">
        <v>6.837</v>
      </c>
      <c r="D220" s="2711" t="s">
        <v>492</v>
      </c>
      <c r="E220" s="2712" t="s">
        <v>493</v>
      </c>
      <c r="F220" s="2713">
        <v>0.366838356104643</v>
      </c>
      <c r="G220" s="2713">
        <v>0.440206027325572</v>
      </c>
      <c r="H220" s="2713">
        <v>0.484226630058129</v>
      </c>
      <c r="I220" s="2713">
        <v>2.5816350639055</v>
      </c>
      <c r="J220" s="2713">
        <f t="shared" si="8"/>
        <v>2.71071681710078</v>
      </c>
      <c r="K220" s="2714">
        <v>0.4</v>
      </c>
      <c r="L220" s="2714">
        <f t="shared" si="9"/>
        <v>3.59494344715891</v>
      </c>
      <c r="M220" s="2713">
        <v>2.34694096718682</v>
      </c>
      <c r="N220" s="2736"/>
    </row>
    <row r="221" s="2870" customFormat="1" ht="13.2" customHeight="1" spans="1:14">
      <c r="A221" s="730" t="s">
        <v>491</v>
      </c>
      <c r="B221" s="2711">
        <v>20250822</v>
      </c>
      <c r="C221" s="2711">
        <v>6.837</v>
      </c>
      <c r="D221" s="2711" t="s">
        <v>494</v>
      </c>
      <c r="E221" s="2712" t="s">
        <v>495</v>
      </c>
      <c r="F221" s="2713">
        <v>0.396273595566551</v>
      </c>
      <c r="G221" s="2713">
        <v>0.475528314679861</v>
      </c>
      <c r="H221" s="2713">
        <v>0.523081146147847</v>
      </c>
      <c r="I221" s="2713">
        <v>2.56397008832182</v>
      </c>
      <c r="J221" s="2713">
        <f t="shared" si="8"/>
        <v>2.69216859273791</v>
      </c>
      <c r="K221" s="2714">
        <v>0.4</v>
      </c>
      <c r="L221" s="2714">
        <f t="shared" si="9"/>
        <v>3.61524973888576</v>
      </c>
      <c r="M221" s="2713">
        <v>2.33088189847438</v>
      </c>
      <c r="N221" s="2736" t="s">
        <v>496</v>
      </c>
    </row>
    <row r="222" s="2870" customFormat="1" ht="13.2" customHeight="1" spans="1:14">
      <c r="A222" s="730" t="s">
        <v>497</v>
      </c>
      <c r="B222" s="2711"/>
      <c r="C222" s="2711">
        <v>6.837</v>
      </c>
      <c r="D222" s="2711"/>
      <c r="E222" s="2712" t="s">
        <v>498</v>
      </c>
      <c r="F222" s="2713">
        <v>0.859625189635805</v>
      </c>
      <c r="G222" s="2713">
        <v>1.03155022756297</v>
      </c>
      <c r="H222" s="2713">
        <v>1.13470525031927</v>
      </c>
      <c r="I222" s="2713">
        <v>5.26207256026328</v>
      </c>
      <c r="J222" s="2713">
        <f t="shared" si="8"/>
        <v>5.52517618827644</v>
      </c>
      <c r="K222" s="2714">
        <v>0.4</v>
      </c>
      <c r="L222" s="2714">
        <f t="shared" si="9"/>
        <v>7.05988143859571</v>
      </c>
      <c r="M222" s="2713">
        <v>4.78370232751207</v>
      </c>
      <c r="N222" s="2712" t="s">
        <v>499</v>
      </c>
    </row>
    <row r="223" s="2870" customFormat="1" ht="13.2" customHeight="1" spans="1:14">
      <c r="A223" s="730" t="s">
        <v>497</v>
      </c>
      <c r="B223" s="2711"/>
      <c r="C223" s="2711">
        <v>6.837</v>
      </c>
      <c r="D223" s="2711"/>
      <c r="E223" s="2712" t="s">
        <v>500</v>
      </c>
      <c r="F223" s="2713">
        <v>0.859625189635805</v>
      </c>
      <c r="G223" s="2713">
        <v>1.03155022756297</v>
      </c>
      <c r="H223" s="2713">
        <v>1.13470525031927</v>
      </c>
      <c r="I223" s="2713">
        <v>5.25078055906099</v>
      </c>
      <c r="J223" s="2713">
        <f t="shared" si="8"/>
        <v>5.51331958701404</v>
      </c>
      <c r="K223" s="2714">
        <v>0.4</v>
      </c>
      <c r="L223" s="2714">
        <f t="shared" si="9"/>
        <v>7.04802483733331</v>
      </c>
      <c r="M223" s="2713">
        <v>4.77343687187363</v>
      </c>
      <c r="N223" s="2712" t="s">
        <v>499</v>
      </c>
    </row>
    <row r="224" s="2870" customFormat="1" ht="13.2" customHeight="1" spans="1:14">
      <c r="A224" s="730" t="s">
        <v>497</v>
      </c>
      <c r="B224" s="2711"/>
      <c r="C224" s="2711">
        <v>6.837</v>
      </c>
      <c r="D224" s="2711"/>
      <c r="E224" s="2712" t="s">
        <v>501</v>
      </c>
      <c r="F224" s="2713">
        <v>0.418358748591227</v>
      </c>
      <c r="G224" s="2713">
        <v>0.502030498309472</v>
      </c>
      <c r="H224" s="2713">
        <v>0.552233548140419</v>
      </c>
      <c r="I224" s="2713">
        <v>1.40176566649015</v>
      </c>
      <c r="J224" s="2713">
        <f t="shared" si="8"/>
        <v>1.47185394981466</v>
      </c>
      <c r="K224" s="2714">
        <v>0.2</v>
      </c>
      <c r="L224" s="2714">
        <f t="shared" si="9"/>
        <v>2.22408749795508</v>
      </c>
      <c r="M224" s="2713">
        <v>1.27433242408195</v>
      </c>
      <c r="N224" s="2712"/>
    </row>
    <row r="225" s="2870" customFormat="1" ht="13.2" customHeight="1" spans="1:14">
      <c r="A225" s="730" t="s">
        <v>497</v>
      </c>
      <c r="B225" s="2711"/>
      <c r="C225" s="2711">
        <v>6.837</v>
      </c>
      <c r="D225" s="2711"/>
      <c r="E225" s="2712" t="s">
        <v>502</v>
      </c>
      <c r="F225" s="2713">
        <v>0.510193595842961</v>
      </c>
      <c r="G225" s="2713">
        <v>0.612232315011553</v>
      </c>
      <c r="H225" s="2713">
        <v>0.673455546512708</v>
      </c>
      <c r="I225" s="2713">
        <v>5.87406565005393</v>
      </c>
      <c r="J225" s="2713">
        <f t="shared" si="8"/>
        <v>6.16776893255663</v>
      </c>
      <c r="K225" s="2714">
        <v>0.4</v>
      </c>
      <c r="L225" s="2714">
        <f t="shared" si="9"/>
        <v>7.24122447906934</v>
      </c>
      <c r="M225" s="2713">
        <v>5.34005968186721</v>
      </c>
      <c r="N225" s="2712"/>
    </row>
    <row r="226" s="2870" customFormat="1" ht="13.2" customHeight="1" spans="1:14">
      <c r="A226" s="730" t="s">
        <v>497</v>
      </c>
      <c r="B226" s="2711"/>
      <c r="C226" s="2711">
        <v>6.837</v>
      </c>
      <c r="D226" s="2711"/>
      <c r="E226" s="2712" t="s">
        <v>503</v>
      </c>
      <c r="F226" s="2713">
        <v>0.428562620508087</v>
      </c>
      <c r="G226" s="2713">
        <v>0.514275144609704</v>
      </c>
      <c r="H226" s="2713">
        <v>0.565702659070675</v>
      </c>
      <c r="I226" s="2713">
        <v>1.35726516914124</v>
      </c>
      <c r="J226" s="2713">
        <f t="shared" si="8"/>
        <v>1.4251284275983</v>
      </c>
      <c r="K226" s="2714">
        <v>0.4</v>
      </c>
      <c r="L226" s="2714">
        <f t="shared" si="9"/>
        <v>2.39083108666897</v>
      </c>
      <c r="M226" s="2713">
        <v>1.23387742649204</v>
      </c>
      <c r="N226" s="2712"/>
    </row>
    <row r="227" s="2870" customFormat="1" ht="13.2" customHeight="1" spans="1:14">
      <c r="A227" s="730" t="s">
        <v>497</v>
      </c>
      <c r="B227" s="2711">
        <v>20250528</v>
      </c>
      <c r="C227" s="2711">
        <v>6.837</v>
      </c>
      <c r="D227" s="2711" t="s">
        <v>504</v>
      </c>
      <c r="E227" s="2712" t="s">
        <v>505</v>
      </c>
      <c r="F227" s="2713">
        <v>0.557339637635536</v>
      </c>
      <c r="G227" s="2713">
        <v>0.668807565162643</v>
      </c>
      <c r="H227" s="2713">
        <v>0.735688321678907</v>
      </c>
      <c r="I227" s="2713">
        <v>0.647159562262767</v>
      </c>
      <c r="J227" s="2713">
        <f t="shared" si="8"/>
        <v>0.679517540375905</v>
      </c>
      <c r="K227" s="2714">
        <v>0.2</v>
      </c>
      <c r="L227" s="2714">
        <f t="shared" si="9"/>
        <v>1.61520586205481</v>
      </c>
      <c r="M227" s="2713">
        <v>0.588326874784334</v>
      </c>
      <c r="N227" s="2767"/>
    </row>
    <row r="228" s="2870" customFormat="1" ht="13.2" customHeight="1" spans="1:14">
      <c r="A228" s="730" t="s">
        <v>506</v>
      </c>
      <c r="B228" s="2711"/>
      <c r="C228" s="2711">
        <v>6.837</v>
      </c>
      <c r="D228" s="2711"/>
      <c r="E228" s="2712" t="s">
        <v>507</v>
      </c>
      <c r="F228" s="2713">
        <v>0.53856035977183</v>
      </c>
      <c r="G228" s="2713">
        <v>0.646272431726196</v>
      </c>
      <c r="H228" s="2713">
        <v>0.710899674898816</v>
      </c>
      <c r="I228" s="2713">
        <v>3.30855635226854</v>
      </c>
      <c r="J228" s="2713">
        <f t="shared" si="8"/>
        <v>3.47398416988197</v>
      </c>
      <c r="K228" s="2714">
        <v>0.4</v>
      </c>
      <c r="L228" s="2714">
        <f t="shared" si="9"/>
        <v>4.58488384478079</v>
      </c>
      <c r="M228" s="2713">
        <v>3.00777850206231</v>
      </c>
      <c r="N228" s="2712" t="s">
        <v>25</v>
      </c>
    </row>
    <row r="229" s="2870" customFormat="1" ht="13.2" customHeight="1" spans="1:14">
      <c r="A229" s="730" t="s">
        <v>506</v>
      </c>
      <c r="B229" s="2711"/>
      <c r="C229" s="2711">
        <v>6.837</v>
      </c>
      <c r="D229" s="2711"/>
      <c r="E229" s="2712" t="s">
        <v>508</v>
      </c>
      <c r="F229" s="2713">
        <v>0.0306116157505777</v>
      </c>
      <c r="G229" s="2713">
        <v>0.0367339389006932</v>
      </c>
      <c r="H229" s="2713">
        <v>0.0404073327907625</v>
      </c>
      <c r="I229" s="2713">
        <v>0.0556256216861168</v>
      </c>
      <c r="J229" s="2713">
        <f t="shared" si="8"/>
        <v>0.0584069027704226</v>
      </c>
      <c r="K229" s="2714">
        <v>0.4</v>
      </c>
      <c r="L229" s="2714">
        <f t="shared" si="9"/>
        <v>0.498814235561185</v>
      </c>
      <c r="M229" s="2713">
        <v>0.0505687469873789</v>
      </c>
      <c r="N229" s="2712"/>
    </row>
    <row r="230" s="2870" customFormat="1" ht="13.2" customHeight="1" spans="1:14">
      <c r="A230" s="730" t="s">
        <v>506</v>
      </c>
      <c r="B230" s="2711"/>
      <c r="C230" s="2711">
        <v>6.837</v>
      </c>
      <c r="D230" s="2711"/>
      <c r="E230" s="2712" t="s">
        <v>509</v>
      </c>
      <c r="F230" s="2713">
        <v>0.642843930762132</v>
      </c>
      <c r="G230" s="2713">
        <v>0.771412716914558</v>
      </c>
      <c r="H230" s="2713">
        <v>0.848553988606014</v>
      </c>
      <c r="I230" s="2713">
        <v>3.42653829586479</v>
      </c>
      <c r="J230" s="2713">
        <f t="shared" si="8"/>
        <v>3.59786521065803</v>
      </c>
      <c r="K230" s="2714">
        <v>0.4</v>
      </c>
      <c r="L230" s="2714">
        <f t="shared" si="9"/>
        <v>4.84641919926404</v>
      </c>
      <c r="M230" s="2713">
        <v>3.11503481442254</v>
      </c>
      <c r="N230" s="2712" t="s">
        <v>25</v>
      </c>
    </row>
    <row r="231" s="2870" customFormat="1" ht="13.2" customHeight="1" spans="1:14">
      <c r="A231" s="730" t="s">
        <v>506</v>
      </c>
      <c r="B231" s="2711"/>
      <c r="C231" s="2711">
        <v>6.837</v>
      </c>
      <c r="D231" s="2711"/>
      <c r="E231" s="2712" t="s">
        <v>510</v>
      </c>
      <c r="F231" s="2713">
        <v>0.52039746775982</v>
      </c>
      <c r="G231" s="2713">
        <v>0.624476961311784</v>
      </c>
      <c r="H231" s="2713">
        <v>0.686924657442962</v>
      </c>
      <c r="I231" s="2713">
        <v>2.46977760286359</v>
      </c>
      <c r="J231" s="2713">
        <f t="shared" si="8"/>
        <v>2.59326648300677</v>
      </c>
      <c r="K231" s="2714">
        <v>0.4</v>
      </c>
      <c r="L231" s="2714">
        <f t="shared" si="9"/>
        <v>3.68019114044973</v>
      </c>
      <c r="M231" s="2713">
        <v>2.24525236623963</v>
      </c>
      <c r="N231" s="2712" t="s">
        <v>25</v>
      </c>
    </row>
    <row r="232" s="2870" customFormat="1" ht="13.2" customHeight="1" spans="1:14">
      <c r="A232" s="730" t="s">
        <v>506</v>
      </c>
      <c r="B232" s="2711"/>
      <c r="C232" s="2711">
        <v>6.837</v>
      </c>
      <c r="D232" s="2711"/>
      <c r="E232" s="2712" t="s">
        <v>511</v>
      </c>
      <c r="F232" s="2713">
        <v>0.428562620508087</v>
      </c>
      <c r="G232" s="2713">
        <v>0.514275144609704</v>
      </c>
      <c r="H232" s="2713">
        <v>0.565702659070675</v>
      </c>
      <c r="I232" s="2713">
        <v>0.878884822640645</v>
      </c>
      <c r="J232" s="2713">
        <f t="shared" si="8"/>
        <v>0.922829063772677</v>
      </c>
      <c r="K232" s="2714">
        <v>0.2</v>
      </c>
      <c r="L232" s="2714">
        <f t="shared" si="9"/>
        <v>1.68853172284335</v>
      </c>
      <c r="M232" s="2713">
        <v>0.798986202400586</v>
      </c>
      <c r="N232" s="2712"/>
    </row>
    <row r="233" s="2870" customFormat="1" ht="13.2" customHeight="1" spans="1:14">
      <c r="A233" s="730" t="s">
        <v>506</v>
      </c>
      <c r="B233" s="2711"/>
      <c r="C233" s="2711">
        <v>6.837</v>
      </c>
      <c r="D233" s="2711"/>
      <c r="E233" s="2712" t="s">
        <v>512</v>
      </c>
      <c r="F233" s="2713">
        <v>0.428562620508087</v>
      </c>
      <c r="G233" s="2713">
        <v>0.514275144609704</v>
      </c>
      <c r="H233" s="2713">
        <v>0.565702659070675</v>
      </c>
      <c r="I233" s="2713">
        <v>1.43037312907158</v>
      </c>
      <c r="J233" s="2713">
        <f t="shared" si="8"/>
        <v>1.50189178552516</v>
      </c>
      <c r="K233" s="2714">
        <v>0.2</v>
      </c>
      <c r="L233" s="2714">
        <f t="shared" si="9"/>
        <v>2.26759444459584</v>
      </c>
      <c r="M233" s="2713">
        <v>1.30033920824689</v>
      </c>
      <c r="N233" s="2712"/>
    </row>
    <row r="234" s="2870" customFormat="1" ht="13.2" customHeight="1" spans="1:14">
      <c r="A234" s="730" t="s">
        <v>506</v>
      </c>
      <c r="B234" s="2711"/>
      <c r="C234" s="2711">
        <v>6.837</v>
      </c>
      <c r="D234" s="2711"/>
      <c r="E234" s="2712" t="s">
        <v>513</v>
      </c>
      <c r="F234" s="2713">
        <v>0.408154876674369</v>
      </c>
      <c r="G234" s="2713">
        <v>0.489785852009243</v>
      </c>
      <c r="H234" s="2713">
        <v>0.538764437210167</v>
      </c>
      <c r="I234" s="2713">
        <v>1.0277495816292</v>
      </c>
      <c r="J234" s="2713">
        <f t="shared" si="8"/>
        <v>1.07913706071066</v>
      </c>
      <c r="K234" s="2714">
        <v>0.4</v>
      </c>
      <c r="L234" s="2714">
        <f t="shared" si="9"/>
        <v>2.01790149792083</v>
      </c>
      <c r="M234" s="2713">
        <v>0.934317801481095</v>
      </c>
      <c r="N234" s="2712"/>
    </row>
    <row r="235" s="2870" customFormat="1" ht="13.2" customHeight="1" spans="1:14">
      <c r="A235" s="730" t="s">
        <v>506</v>
      </c>
      <c r="B235" s="2711"/>
      <c r="C235" s="2711">
        <v>6.837</v>
      </c>
      <c r="D235" s="2711"/>
      <c r="E235" s="2712" t="s">
        <v>514</v>
      </c>
      <c r="F235" s="2713">
        <v>0.434991059815709</v>
      </c>
      <c r="G235" s="2713">
        <v>0.521989271778851</v>
      </c>
      <c r="H235" s="2713">
        <v>0.574188198956736</v>
      </c>
      <c r="I235" s="2713">
        <v>0.989394391057064</v>
      </c>
      <c r="J235" s="2713">
        <f t="shared" si="8"/>
        <v>1.03886411060992</v>
      </c>
      <c r="K235" s="2714">
        <v>0.2</v>
      </c>
      <c r="L235" s="2714">
        <f t="shared" si="9"/>
        <v>1.81305230956666</v>
      </c>
      <c r="M235" s="2713">
        <v>0.899449446415513</v>
      </c>
      <c r="N235" s="2712"/>
    </row>
    <row r="236" s="2870" customFormat="1" ht="13.2" customHeight="1" spans="1:14">
      <c r="A236" s="730" t="s">
        <v>506</v>
      </c>
      <c r="B236" s="2711"/>
      <c r="C236" s="2711">
        <v>6.837</v>
      </c>
      <c r="D236" s="2711"/>
      <c r="E236" s="2712" t="s">
        <v>515</v>
      </c>
      <c r="F236" s="2713">
        <v>0.497132639789381</v>
      </c>
      <c r="G236" s="2713">
        <v>0.596559167747257</v>
      </c>
      <c r="H236" s="2713">
        <v>0.656215084521983</v>
      </c>
      <c r="I236" s="2713">
        <v>1.07542868593159</v>
      </c>
      <c r="J236" s="2713">
        <f t="shared" si="8"/>
        <v>1.12920012022817</v>
      </c>
      <c r="K236" s="2714">
        <v>0.2</v>
      </c>
      <c r="L236" s="2714">
        <f t="shared" si="9"/>
        <v>1.98541520475015</v>
      </c>
      <c r="M236" s="2713">
        <v>0.977662441755992</v>
      </c>
      <c r="N236" s="2712"/>
    </row>
    <row r="237" s="2870" customFormat="1" ht="13.2" customHeight="1" spans="1:14">
      <c r="A237" s="730" t="s">
        <v>506</v>
      </c>
      <c r="B237" s="2711"/>
      <c r="C237" s="2711">
        <v>6.837</v>
      </c>
      <c r="D237" s="2711"/>
      <c r="E237" s="2712" t="s">
        <v>516</v>
      </c>
      <c r="F237" s="2713">
        <v>0.403920269828872</v>
      </c>
      <c r="G237" s="2713">
        <v>0.484704323794646</v>
      </c>
      <c r="H237" s="2713">
        <v>0.533174756174111</v>
      </c>
      <c r="I237" s="2713">
        <v>1.07542868593159</v>
      </c>
      <c r="J237" s="2713">
        <f t="shared" si="8"/>
        <v>1.12920012022817</v>
      </c>
      <c r="K237" s="2714">
        <v>0.2</v>
      </c>
      <c r="L237" s="2714">
        <f t="shared" si="9"/>
        <v>1.86237487640228</v>
      </c>
      <c r="M237" s="2713">
        <v>0.977662441755992</v>
      </c>
      <c r="N237" s="2712"/>
    </row>
    <row r="238" s="2870" customFormat="1" ht="13.2" customHeight="1" spans="1:14">
      <c r="A238" s="730" t="s">
        <v>506</v>
      </c>
      <c r="B238" s="2711"/>
      <c r="C238" s="2711">
        <v>6.837</v>
      </c>
      <c r="D238" s="2711"/>
      <c r="E238" s="2712" t="s">
        <v>517</v>
      </c>
      <c r="F238" s="2713">
        <v>0.497132639789381</v>
      </c>
      <c r="G238" s="2713">
        <v>0.596559167747257</v>
      </c>
      <c r="H238" s="2713">
        <v>0.656215084521983</v>
      </c>
      <c r="I238" s="2713">
        <v>1.20448012824338</v>
      </c>
      <c r="J238" s="2713">
        <f t="shared" si="8"/>
        <v>1.26470413465555</v>
      </c>
      <c r="K238" s="2714">
        <v>0.2</v>
      </c>
      <c r="L238" s="2714">
        <f t="shared" si="9"/>
        <v>2.12091921917753</v>
      </c>
      <c r="M238" s="2713">
        <v>1.09498193476671</v>
      </c>
      <c r="N238" s="2712"/>
    </row>
    <row r="239" s="2870" customFormat="1" ht="13.2" customHeight="1" spans="1:14">
      <c r="A239" s="730" t="s">
        <v>506</v>
      </c>
      <c r="B239" s="2711"/>
      <c r="C239" s="2711">
        <v>6.837</v>
      </c>
      <c r="D239" s="2711"/>
      <c r="E239" s="2712" t="s">
        <v>518</v>
      </c>
      <c r="F239" s="2713">
        <v>0.0264896669794161</v>
      </c>
      <c r="G239" s="2713">
        <v>0.0317876003752993</v>
      </c>
      <c r="H239" s="2713">
        <v>0.0349663604128292</v>
      </c>
      <c r="I239" s="2713">
        <v>3.11673359122625</v>
      </c>
      <c r="J239" s="2713">
        <f t="shared" si="8"/>
        <v>3.27257027078756</v>
      </c>
      <c r="K239" s="2714">
        <v>0.4</v>
      </c>
      <c r="L239" s="2714">
        <f t="shared" si="9"/>
        <v>3.70753663120039</v>
      </c>
      <c r="M239" s="2713">
        <v>2.83339417384205</v>
      </c>
      <c r="N239" s="2712" t="s">
        <v>25</v>
      </c>
    </row>
    <row r="240" s="2870" customFormat="1" ht="13.2" customHeight="1" spans="1:14">
      <c r="A240" s="730" t="s">
        <v>506</v>
      </c>
      <c r="B240" s="2711">
        <v>20240829</v>
      </c>
      <c r="C240" s="2711">
        <v>6.837</v>
      </c>
      <c r="D240" s="2711" t="s">
        <v>519</v>
      </c>
      <c r="E240" s="2712" t="s">
        <v>520</v>
      </c>
      <c r="F240" s="2713">
        <v>0.409705393146993</v>
      </c>
      <c r="G240" s="2713">
        <v>0.491646471776392</v>
      </c>
      <c r="H240" s="2713">
        <v>0.540811118954031</v>
      </c>
      <c r="I240" s="2713">
        <v>0.709455422337355</v>
      </c>
      <c r="J240" s="2713">
        <f t="shared" si="8"/>
        <v>0.744928193454223</v>
      </c>
      <c r="K240" s="2714">
        <v>0.2</v>
      </c>
      <c r="L240" s="2714">
        <f t="shared" si="9"/>
        <v>1.48573931240825</v>
      </c>
      <c r="M240" s="2713">
        <v>0.644959474852141</v>
      </c>
      <c r="N240" s="2712"/>
    </row>
    <row r="241" s="2870" customFormat="1" ht="13.2" customHeight="1" spans="1:14">
      <c r="A241" s="730" t="s">
        <v>506</v>
      </c>
      <c r="B241" s="2711">
        <v>20240829</v>
      </c>
      <c r="C241" s="2711">
        <v>6.837</v>
      </c>
      <c r="D241" s="2711" t="s">
        <v>521</v>
      </c>
      <c r="E241" s="2712" t="s">
        <v>522</v>
      </c>
      <c r="F241" s="2713">
        <v>0.545833314095834</v>
      </c>
      <c r="G241" s="2713">
        <v>0.654999976915001</v>
      </c>
      <c r="H241" s="2713">
        <v>0.720499974606501</v>
      </c>
      <c r="I241" s="2713">
        <v>2.79063447530317</v>
      </c>
      <c r="J241" s="2713">
        <f t="shared" si="8"/>
        <v>2.93016619906833</v>
      </c>
      <c r="K241" s="2714">
        <v>0.2</v>
      </c>
      <c r="L241" s="2714">
        <f t="shared" si="9"/>
        <v>3.85066617367483</v>
      </c>
      <c r="M241" s="2713">
        <v>2.53694043209379</v>
      </c>
      <c r="N241" s="2712" t="s">
        <v>25</v>
      </c>
    </row>
    <row r="242" s="2870" customFormat="1" ht="13.2" customHeight="1" spans="1:14">
      <c r="A242" s="730" t="s">
        <v>506</v>
      </c>
      <c r="B242" s="2711">
        <v>20240829</v>
      </c>
      <c r="C242" s="2711">
        <v>6.837</v>
      </c>
      <c r="D242" s="2711" t="s">
        <v>523</v>
      </c>
      <c r="E242" s="2712" t="s">
        <v>524</v>
      </c>
      <c r="F242" s="2713">
        <v>0.0489003211175443</v>
      </c>
      <c r="G242" s="2713">
        <v>0.0586803853410532</v>
      </c>
      <c r="H242" s="2713">
        <v>0.0645484238751585</v>
      </c>
      <c r="I242" s="2713">
        <v>0.0472844894173111</v>
      </c>
      <c r="J242" s="2713">
        <f t="shared" si="8"/>
        <v>0.0496487138881767</v>
      </c>
      <c r="K242" s="2714">
        <v>0.2</v>
      </c>
      <c r="L242" s="2714">
        <f t="shared" si="9"/>
        <v>0.314197137763335</v>
      </c>
      <c r="M242" s="2713">
        <v>0.0429858994702828</v>
      </c>
      <c r="N242" s="2712"/>
    </row>
    <row r="243" s="2870" customFormat="1" ht="13.2" customHeight="1" spans="1:14">
      <c r="A243" s="730" t="s">
        <v>506</v>
      </c>
      <c r="B243" s="2883">
        <v>46253</v>
      </c>
      <c r="C243" s="2711">
        <v>6.75</v>
      </c>
      <c r="D243" s="2711" t="s">
        <v>525</v>
      </c>
      <c r="E243" s="2712" t="s">
        <v>526</v>
      </c>
      <c r="F243" s="2713">
        <v>0.0254931767341195</v>
      </c>
      <c r="G243" s="2713">
        <v>0.0305918120809434</v>
      </c>
      <c r="H243" s="2713">
        <f>0.5/C243/1.13</f>
        <v>0.0655522779416585</v>
      </c>
      <c r="I243" s="2713">
        <v>0.0400762185214954</v>
      </c>
      <c r="J243" s="2713">
        <f t="shared" si="8"/>
        <v>0.0420800294475702</v>
      </c>
      <c r="K243" s="2714">
        <v>0.2</v>
      </c>
      <c r="L243" s="2714">
        <f t="shared" si="9"/>
        <v>0.307632307389229</v>
      </c>
      <c r="M243" s="2713">
        <v>0.0364329259286322</v>
      </c>
      <c r="N243" s="2767"/>
    </row>
    <row r="244" s="2870" customFormat="1" ht="13.2" customHeight="1" spans="1:14">
      <c r="A244" s="730" t="s">
        <v>506</v>
      </c>
      <c r="B244" s="2711">
        <v>20240906</v>
      </c>
      <c r="C244" s="2711">
        <v>6.837</v>
      </c>
      <c r="D244" s="2711" t="s">
        <v>527</v>
      </c>
      <c r="E244" s="2712" t="s">
        <v>528</v>
      </c>
      <c r="F244" s="2713">
        <v>0.469439175780306</v>
      </c>
      <c r="G244" s="2713">
        <v>0.563327010936367</v>
      </c>
      <c r="H244" s="2713">
        <v>0.619659712030004</v>
      </c>
      <c r="I244" s="2713">
        <v>2.08845701141513</v>
      </c>
      <c r="J244" s="2713">
        <f t="shared" si="8"/>
        <v>2.19287986198589</v>
      </c>
      <c r="K244" s="2714">
        <v>0.4</v>
      </c>
      <c r="L244" s="2714">
        <f t="shared" si="9"/>
        <v>3.21253957401589</v>
      </c>
      <c r="M244" s="2713">
        <v>1.89859728310466</v>
      </c>
      <c r="N244" s="228" t="s">
        <v>444</v>
      </c>
    </row>
    <row r="245" s="2870" customFormat="1" ht="13.2" customHeight="1" spans="1:14">
      <c r="A245" s="730" t="s">
        <v>506</v>
      </c>
      <c r="B245" s="2711">
        <v>20241127</v>
      </c>
      <c r="C245" s="2711">
        <v>6.8225</v>
      </c>
      <c r="D245" s="2711" t="s">
        <v>529</v>
      </c>
      <c r="E245" s="2712" t="s">
        <v>530</v>
      </c>
      <c r="F245" s="2713">
        <f>0.512104496069005*1.03</f>
        <v>0.527467630951075</v>
      </c>
      <c r="G245" s="2713">
        <v>0.63296115714129</v>
      </c>
      <c r="H245" s="2713">
        <v>0.696257272855419</v>
      </c>
      <c r="I245" s="2713">
        <v>0.946</v>
      </c>
      <c r="J245" s="2713">
        <f t="shared" si="8"/>
        <v>0.9933</v>
      </c>
      <c r="K245" s="2714">
        <v>0.3</v>
      </c>
      <c r="L245" s="2714">
        <f t="shared" si="9"/>
        <v>1.98955727285542</v>
      </c>
      <c r="M245" s="2713">
        <v>0.86</v>
      </c>
      <c r="N245" s="228" t="s">
        <v>531</v>
      </c>
    </row>
    <row r="246" s="2870" customFormat="1" ht="13.2" customHeight="1" spans="1:14">
      <c r="A246" s="730" t="s">
        <v>506</v>
      </c>
      <c r="B246" s="2711">
        <v>20240929</v>
      </c>
      <c r="C246" s="2711">
        <v>6.837</v>
      </c>
      <c r="D246" s="2711" t="s">
        <v>532</v>
      </c>
      <c r="E246" s="2712" t="s">
        <v>533</v>
      </c>
      <c r="F246" s="2713">
        <v>0.520862778322022</v>
      </c>
      <c r="G246" s="2713">
        <v>0.625035333986426</v>
      </c>
      <c r="H246" s="2713">
        <v>0.687538867385069</v>
      </c>
      <c r="I246" s="2713">
        <v>2.35008528219653</v>
      </c>
      <c r="J246" s="2713">
        <f t="shared" si="8"/>
        <v>2.46758954630636</v>
      </c>
      <c r="K246" s="2714">
        <v>0.4</v>
      </c>
      <c r="L246" s="2714">
        <f t="shared" si="9"/>
        <v>3.55512841369143</v>
      </c>
      <c r="M246" s="2713">
        <v>2.13644116563321</v>
      </c>
      <c r="N246" s="228" t="s">
        <v>534</v>
      </c>
    </row>
    <row r="247" s="2870" customFormat="1" ht="13.2" customHeight="1" spans="1:14">
      <c r="A247" s="730" t="s">
        <v>535</v>
      </c>
      <c r="B247" s="2711"/>
      <c r="C247" s="2711">
        <v>6.837</v>
      </c>
      <c r="D247" s="2711"/>
      <c r="E247" s="2712" t="s">
        <v>536</v>
      </c>
      <c r="F247" s="2713">
        <v>0.357135517090073</v>
      </c>
      <c r="G247" s="2713">
        <v>0.428562620508088</v>
      </c>
      <c r="H247" s="2713">
        <v>0.471418882558897</v>
      </c>
      <c r="I247" s="2713">
        <v>0.825</v>
      </c>
      <c r="J247" s="2713">
        <f t="shared" si="8"/>
        <v>0.86625</v>
      </c>
      <c r="K247" s="2714">
        <v>0.3</v>
      </c>
      <c r="L247" s="2714">
        <f t="shared" si="9"/>
        <v>1.6376688825589</v>
      </c>
      <c r="M247" s="2713">
        <v>0.75</v>
      </c>
      <c r="N247" s="2712"/>
    </row>
    <row r="248" s="2870" customFormat="1" ht="13.2" customHeight="1" spans="1:14">
      <c r="A248" s="730" t="s">
        <v>537</v>
      </c>
      <c r="B248" s="2711"/>
      <c r="C248" s="2711">
        <v>6.837</v>
      </c>
      <c r="D248" s="2711"/>
      <c r="E248" s="2712" t="s">
        <v>538</v>
      </c>
      <c r="F248" s="2713">
        <v>0.569631149758666</v>
      </c>
      <c r="G248" s="2713">
        <v>0.683557379710399</v>
      </c>
      <c r="H248" s="2713">
        <v>0.751913117681439</v>
      </c>
      <c r="I248" s="2713">
        <v>6.49290069131198</v>
      </c>
      <c r="J248" s="2713">
        <f t="shared" si="8"/>
        <v>6.81754572587758</v>
      </c>
      <c r="K248" s="2714">
        <v>0.4</v>
      </c>
      <c r="L248" s="2714">
        <f t="shared" si="9"/>
        <v>7.96945884355902</v>
      </c>
      <c r="M248" s="2713">
        <v>5.9026369921018</v>
      </c>
      <c r="N248" s="2712" t="s">
        <v>539</v>
      </c>
    </row>
    <row r="249" s="2870" customFormat="1" ht="13.2" customHeight="1" spans="1:14">
      <c r="A249" s="730" t="s">
        <v>537</v>
      </c>
      <c r="B249" s="2711">
        <v>20241028</v>
      </c>
      <c r="C249" s="2711">
        <v>6.837</v>
      </c>
      <c r="D249" s="2711" t="s">
        <v>540</v>
      </c>
      <c r="E249" s="2712" t="s">
        <v>541</v>
      </c>
      <c r="F249" s="2713">
        <v>0.410858680101341</v>
      </c>
      <c r="G249" s="2713">
        <v>0.493030416121609</v>
      </c>
      <c r="H249" s="2713">
        <v>0.54233345773377</v>
      </c>
      <c r="I249" s="2713">
        <v>2.40339062889876</v>
      </c>
      <c r="J249" s="2713">
        <f t="shared" si="8"/>
        <v>2.5235601603437</v>
      </c>
      <c r="K249" s="2714">
        <v>0.4</v>
      </c>
      <c r="L249" s="2714">
        <f t="shared" si="9"/>
        <v>3.46589361807747</v>
      </c>
      <c r="M249" s="2713">
        <v>2.18490057172615</v>
      </c>
      <c r="N249" s="2712" t="s">
        <v>25</v>
      </c>
    </row>
    <row r="250" s="2870" customFormat="1" ht="13.2" customHeight="1" spans="1:14">
      <c r="A250" s="730" t="s">
        <v>537</v>
      </c>
      <c r="B250" s="2711"/>
      <c r="C250" s="2711">
        <v>6.837</v>
      </c>
      <c r="D250" s="2711"/>
      <c r="E250" s="2712" t="s">
        <v>542</v>
      </c>
      <c r="F250" s="2713">
        <v>0.528203429776218</v>
      </c>
      <c r="G250" s="2713">
        <v>0.633844115731462</v>
      </c>
      <c r="H250" s="2713">
        <v>0.697228527304608</v>
      </c>
      <c r="I250" s="2713">
        <v>2.75524829335674</v>
      </c>
      <c r="J250" s="2713">
        <f t="shared" si="8"/>
        <v>2.89301070802458</v>
      </c>
      <c r="K250" s="2714">
        <v>0.4</v>
      </c>
      <c r="L250" s="2714">
        <f t="shared" si="9"/>
        <v>3.99023923532919</v>
      </c>
      <c r="M250" s="2713">
        <v>2.50477117577885</v>
      </c>
      <c r="N250" s="2712" t="s">
        <v>25</v>
      </c>
    </row>
    <row r="251" s="2870" customFormat="1" ht="13.2" customHeight="1" spans="1:14">
      <c r="A251" s="730" t="s">
        <v>537</v>
      </c>
      <c r="B251" s="2711"/>
      <c r="C251" s="2711">
        <v>6.837</v>
      </c>
      <c r="D251" s="2711"/>
      <c r="E251" s="2712" t="s">
        <v>543</v>
      </c>
      <c r="F251" s="2713">
        <v>0.52039746775982</v>
      </c>
      <c r="G251" s="2713">
        <v>0.624476961311784</v>
      </c>
      <c r="H251" s="2713">
        <v>0.686924657442962</v>
      </c>
      <c r="I251" s="2713">
        <v>2.50682426690654</v>
      </c>
      <c r="J251" s="2713">
        <f t="shared" si="8"/>
        <v>2.63216548025187</v>
      </c>
      <c r="K251" s="2714">
        <v>0.4</v>
      </c>
      <c r="L251" s="2714">
        <f t="shared" si="9"/>
        <v>3.71909013769483</v>
      </c>
      <c r="M251" s="2713">
        <v>2.27893115173322</v>
      </c>
      <c r="N251" s="2712" t="s">
        <v>25</v>
      </c>
    </row>
    <row r="252" s="2870" customFormat="1" ht="13.2" customHeight="1" spans="1:14">
      <c r="A252" s="730" t="s">
        <v>537</v>
      </c>
      <c r="B252" s="2711"/>
      <c r="C252" s="2711">
        <v>6.837</v>
      </c>
      <c r="D252" s="2711"/>
      <c r="E252" s="2712" t="s">
        <v>544</v>
      </c>
      <c r="F252" s="2713">
        <v>0.39795100475751</v>
      </c>
      <c r="G252" s="2713">
        <v>0.477541205709012</v>
      </c>
      <c r="H252" s="2713">
        <v>0.525295326279913</v>
      </c>
      <c r="I252" s="2713">
        <v>1.96914700768853</v>
      </c>
      <c r="J252" s="2713">
        <f t="shared" si="8"/>
        <v>2.06760435807296</v>
      </c>
      <c r="K252" s="2714">
        <v>0.2</v>
      </c>
      <c r="L252" s="2714">
        <f t="shared" si="9"/>
        <v>2.79289968435287</v>
      </c>
      <c r="M252" s="2713">
        <v>1.79013364335321</v>
      </c>
      <c r="N252" s="2712"/>
    </row>
    <row r="253" s="2870" customFormat="1" ht="13.2" customHeight="1" spans="1:14">
      <c r="A253" s="730" t="s">
        <v>537</v>
      </c>
      <c r="B253" s="2711"/>
      <c r="C253" s="2711">
        <v>6.837</v>
      </c>
      <c r="D253" s="2711"/>
      <c r="E253" s="2712" t="s">
        <v>545</v>
      </c>
      <c r="F253" s="2713">
        <v>0.693863290346427</v>
      </c>
      <c r="G253" s="2713">
        <v>0.832635948415712</v>
      </c>
      <c r="H253" s="2713">
        <v>0.915899543257283</v>
      </c>
      <c r="I253" s="2713">
        <v>3.27078655514366</v>
      </c>
      <c r="J253" s="2713">
        <f t="shared" si="8"/>
        <v>3.43432588290084</v>
      </c>
      <c r="K253" s="2714">
        <v>0.4</v>
      </c>
      <c r="L253" s="2714">
        <f t="shared" si="9"/>
        <v>4.75022542615812</v>
      </c>
      <c r="M253" s="2713">
        <v>2.97344232285787</v>
      </c>
      <c r="N253" s="2712" t="s">
        <v>25</v>
      </c>
    </row>
    <row r="254" s="2870" customFormat="1" ht="13.2" customHeight="1" spans="1:14">
      <c r="A254" s="730" t="s">
        <v>537</v>
      </c>
      <c r="B254" s="2711"/>
      <c r="C254" s="2711">
        <v>6.837</v>
      </c>
      <c r="D254" s="2711"/>
      <c r="E254" s="2712" t="s">
        <v>546</v>
      </c>
      <c r="F254" s="2713">
        <v>0.693863290346427</v>
      </c>
      <c r="G254" s="2713">
        <v>0.832635948415712</v>
      </c>
      <c r="H254" s="2713">
        <v>0.915899543257283</v>
      </c>
      <c r="I254" s="2713">
        <v>3.24853630646921</v>
      </c>
      <c r="J254" s="2713">
        <f t="shared" si="8"/>
        <v>3.41096312179267</v>
      </c>
      <c r="K254" s="2714">
        <v>0.4</v>
      </c>
      <c r="L254" s="2714">
        <f t="shared" si="9"/>
        <v>4.72686266504995</v>
      </c>
      <c r="M254" s="2713">
        <v>2.95321482406292</v>
      </c>
      <c r="N254" s="2712" t="s">
        <v>25</v>
      </c>
    </row>
    <row r="255" s="2870" customFormat="1" ht="13.2" customHeight="1" spans="1:14">
      <c r="A255" s="730" t="s">
        <v>537</v>
      </c>
      <c r="B255" s="2711"/>
      <c r="C255" s="2711">
        <v>6.837</v>
      </c>
      <c r="D255" s="2711"/>
      <c r="E255" s="2712" t="s">
        <v>547</v>
      </c>
      <c r="F255" s="2713">
        <v>0.867329112933034</v>
      </c>
      <c r="G255" s="2713">
        <v>1.04079493551964</v>
      </c>
      <c r="H255" s="2713">
        <v>1.1448744290716</v>
      </c>
      <c r="I255" s="2713">
        <v>3.13728506309699</v>
      </c>
      <c r="J255" s="2713">
        <f t="shared" si="8"/>
        <v>3.29414931625184</v>
      </c>
      <c r="K255" s="2714">
        <v>0.2</v>
      </c>
      <c r="L255" s="2714">
        <f t="shared" si="9"/>
        <v>4.63902374532344</v>
      </c>
      <c r="M255" s="2713">
        <v>2.85207733008817</v>
      </c>
      <c r="N255" s="2712"/>
    </row>
    <row r="256" s="2870" customFormat="1" ht="13.2" customHeight="1" spans="1:14">
      <c r="A256" s="730" t="s">
        <v>537</v>
      </c>
      <c r="B256" s="2711"/>
      <c r="C256" s="2711">
        <v>6.837</v>
      </c>
      <c r="D256" s="2711"/>
      <c r="E256" s="2712" t="s">
        <v>548</v>
      </c>
      <c r="F256" s="2713">
        <v>0.724474906097005</v>
      </c>
      <c r="G256" s="2713">
        <v>0.869369887316406</v>
      </c>
      <c r="H256" s="2713">
        <v>0.956306876048047</v>
      </c>
      <c r="I256" s="2713">
        <v>3.81591764766762</v>
      </c>
      <c r="J256" s="2713">
        <f t="shared" si="8"/>
        <v>4.006713530051</v>
      </c>
      <c r="K256" s="2714">
        <v>0.4</v>
      </c>
      <c r="L256" s="2714">
        <f t="shared" si="9"/>
        <v>5.36302040609905</v>
      </c>
      <c r="M256" s="2713">
        <v>3.4690160433342</v>
      </c>
      <c r="N256" s="2712" t="s">
        <v>25</v>
      </c>
    </row>
    <row r="257" s="2870" customFormat="1" ht="13.2" customHeight="1" spans="1:14">
      <c r="A257" s="730" t="s">
        <v>537</v>
      </c>
      <c r="B257" s="2711"/>
      <c r="C257" s="2711">
        <v>6.837</v>
      </c>
      <c r="D257" s="2711"/>
      <c r="E257" s="2712" t="s">
        <v>549</v>
      </c>
      <c r="F257" s="2713">
        <v>0.53060133967668</v>
      </c>
      <c r="G257" s="2713">
        <v>0.636721607612016</v>
      </c>
      <c r="H257" s="2713">
        <f>5.67/6.73/1.13*1.03</f>
        <v>0.767939091901274</v>
      </c>
      <c r="I257" s="2713">
        <v>4.43892461055212</v>
      </c>
      <c r="J257" s="2713">
        <v>3.2</v>
      </c>
      <c r="K257" s="2714">
        <v>0.4</v>
      </c>
      <c r="L257" s="2714">
        <f t="shared" si="9"/>
        <v>4.36793909190127</v>
      </c>
      <c r="M257" s="2713">
        <v>4.03538600959284</v>
      </c>
      <c r="N257" s="2712" t="s">
        <v>550</v>
      </c>
    </row>
    <row r="258" s="2870" customFormat="1" ht="13.2" customHeight="1" spans="1:14">
      <c r="A258" s="730" t="s">
        <v>537</v>
      </c>
      <c r="B258" s="2711"/>
      <c r="C258" s="2711">
        <v>6.837</v>
      </c>
      <c r="D258" s="2711"/>
      <c r="E258" s="2712" t="s">
        <v>551</v>
      </c>
      <c r="F258" s="2713">
        <v>0.561212955427258</v>
      </c>
      <c r="G258" s="2713">
        <v>0.67345554651271</v>
      </c>
      <c r="H258" s="2713">
        <v>0.740801101163981</v>
      </c>
      <c r="I258" s="2713">
        <v>3.19291068478312</v>
      </c>
      <c r="J258" s="2713">
        <f t="shared" si="8"/>
        <v>3.35255621902228</v>
      </c>
      <c r="K258" s="2714">
        <v>0.4</v>
      </c>
      <c r="L258" s="2714">
        <f t="shared" si="9"/>
        <v>4.49335732018626</v>
      </c>
      <c r="M258" s="2713">
        <v>2.90264607707556</v>
      </c>
      <c r="N258" s="2712" t="s">
        <v>25</v>
      </c>
    </row>
    <row r="259" s="2870" customFormat="1" ht="13.2" customHeight="1" spans="1:14">
      <c r="A259" s="730" t="s">
        <v>537</v>
      </c>
      <c r="B259" s="2711"/>
      <c r="C259" s="2711">
        <v>6.837</v>
      </c>
      <c r="D259" s="2711"/>
      <c r="E259" s="2712" t="s">
        <v>552</v>
      </c>
      <c r="F259" s="2713">
        <v>0.469378108175524</v>
      </c>
      <c r="G259" s="2713">
        <v>0.563253729810629</v>
      </c>
      <c r="H259" s="2713">
        <v>0.619579102791692</v>
      </c>
      <c r="I259" s="2713">
        <v>3.01490869538752</v>
      </c>
      <c r="J259" s="2713">
        <f t="shared" si="8"/>
        <v>3.1656541301569</v>
      </c>
      <c r="K259" s="2714">
        <v>0.2</v>
      </c>
      <c r="L259" s="2714">
        <f t="shared" si="9"/>
        <v>3.98523323294859</v>
      </c>
      <c r="M259" s="2713">
        <v>2.74082608671593</v>
      </c>
      <c r="N259" s="2712"/>
    </row>
    <row r="260" s="2870" customFormat="1" ht="13.2" customHeight="1" spans="1:14">
      <c r="A260" s="730" t="s">
        <v>379</v>
      </c>
      <c r="B260" s="2711"/>
      <c r="C260" s="2711">
        <v>6.837</v>
      </c>
      <c r="D260" s="2711"/>
      <c r="E260" s="2712" t="s">
        <v>386</v>
      </c>
      <c r="F260" s="2713">
        <v>0.632640058845272</v>
      </c>
      <c r="G260" s="2713">
        <v>0.759168070614326</v>
      </c>
      <c r="H260" s="2713">
        <v>0.835084877675759</v>
      </c>
      <c r="I260" s="2713">
        <v>2.46977760286359</v>
      </c>
      <c r="J260" s="2713">
        <f t="shared" ref="J260:J323" si="10">I260*1.05</f>
        <v>2.59326648300677</v>
      </c>
      <c r="K260" s="2714">
        <v>0.2</v>
      </c>
      <c r="L260" s="2714">
        <f t="shared" ref="L260:L323" si="11">SUBTOTAL(109,H260,J260,K260)</f>
        <v>3.62835136068253</v>
      </c>
      <c r="M260" s="2713">
        <v>2.24525236623963</v>
      </c>
      <c r="N260" s="2712"/>
    </row>
    <row r="261" s="2870" customFormat="1" ht="13.2" customHeight="1" spans="1:14">
      <c r="A261" s="730" t="s">
        <v>537</v>
      </c>
      <c r="B261" s="2711"/>
      <c r="C261" s="2711">
        <v>6.837</v>
      </c>
      <c r="D261" s="2711"/>
      <c r="E261" s="2712" t="s">
        <v>553</v>
      </c>
      <c r="F261" s="2713">
        <v>0.65304780267899</v>
      </c>
      <c r="G261" s="2713">
        <v>0.783657363214788</v>
      </c>
      <c r="H261" s="2713">
        <v>0.862023099536267</v>
      </c>
      <c r="I261" s="2713">
        <v>2.4809027272008</v>
      </c>
      <c r="J261" s="2713">
        <f t="shared" si="10"/>
        <v>2.60494786356084</v>
      </c>
      <c r="K261" s="2714">
        <v>0.4</v>
      </c>
      <c r="L261" s="2714">
        <f t="shared" si="11"/>
        <v>3.86697096309711</v>
      </c>
      <c r="M261" s="2713">
        <v>2.25536611563709</v>
      </c>
      <c r="N261" s="2712" t="s">
        <v>25</v>
      </c>
    </row>
    <row r="262" s="2870" customFormat="1" ht="13.2" customHeight="1" spans="1:14">
      <c r="A262" s="730" t="s">
        <v>537</v>
      </c>
      <c r="B262" s="2711"/>
      <c r="C262" s="2711">
        <v>6.837</v>
      </c>
      <c r="D262" s="2711"/>
      <c r="E262" s="2712" t="s">
        <v>554</v>
      </c>
      <c r="F262" s="2713">
        <v>0.693863290346427</v>
      </c>
      <c r="G262" s="2713">
        <v>0.832635948415712</v>
      </c>
      <c r="H262" s="2713">
        <v>0.915899543257283</v>
      </c>
      <c r="I262" s="2713">
        <v>3.30416192815534</v>
      </c>
      <c r="J262" s="2713">
        <f t="shared" si="10"/>
        <v>3.46937002456311</v>
      </c>
      <c r="K262" s="2714">
        <v>0.4</v>
      </c>
      <c r="L262" s="2714">
        <f t="shared" si="11"/>
        <v>4.78526956782039</v>
      </c>
      <c r="M262" s="2713">
        <v>3.00378357105031</v>
      </c>
      <c r="N262" s="2712" t="s">
        <v>25</v>
      </c>
    </row>
    <row r="263" s="2870" customFormat="1" ht="13.2" customHeight="1" spans="1:14">
      <c r="A263" s="730" t="s">
        <v>537</v>
      </c>
      <c r="B263" s="2711"/>
      <c r="C263" s="2711">
        <v>6.837</v>
      </c>
      <c r="D263" s="2711"/>
      <c r="E263" s="2712" t="s">
        <v>555</v>
      </c>
      <c r="F263" s="2713">
        <v>0.693863290346427</v>
      </c>
      <c r="G263" s="2713">
        <v>0.832635948415712</v>
      </c>
      <c r="H263" s="2713">
        <v>0.915899543257283</v>
      </c>
      <c r="I263" s="2713">
        <v>3.25966143080644</v>
      </c>
      <c r="J263" s="2713">
        <f t="shared" si="10"/>
        <v>3.42264450234676</v>
      </c>
      <c r="K263" s="2714">
        <v>0.4</v>
      </c>
      <c r="L263" s="2714">
        <f t="shared" si="11"/>
        <v>4.73854404560404</v>
      </c>
      <c r="M263" s="2713">
        <v>2.9633285734604</v>
      </c>
      <c r="N263" s="2712" t="s">
        <v>25</v>
      </c>
    </row>
    <row r="264" s="2870" customFormat="1" ht="13.2" customHeight="1" spans="1:14">
      <c r="A264" s="730" t="s">
        <v>537</v>
      </c>
      <c r="B264" s="2711"/>
      <c r="C264" s="2711">
        <v>6.837</v>
      </c>
      <c r="D264" s="2711"/>
      <c r="E264" s="2712" t="s">
        <v>556</v>
      </c>
      <c r="F264" s="2713">
        <v>0.551009083510399</v>
      </c>
      <c r="G264" s="2713">
        <v>0.661210900212479</v>
      </c>
      <c r="H264" s="2713">
        <v>0.727331990233727</v>
      </c>
      <c r="I264" s="2713">
        <v>3.23741118213201</v>
      </c>
      <c r="J264" s="2713">
        <f t="shared" si="10"/>
        <v>3.39928174123861</v>
      </c>
      <c r="K264" s="2714">
        <v>0.4</v>
      </c>
      <c r="L264" s="2714">
        <f t="shared" si="11"/>
        <v>4.52661373147234</v>
      </c>
      <c r="M264" s="2713">
        <v>2.94310107466546</v>
      </c>
      <c r="N264" s="2712" t="s">
        <v>25</v>
      </c>
    </row>
    <row r="265" s="2870" customFormat="1" ht="13.2" customHeight="1" spans="1:14">
      <c r="A265" s="730" t="s">
        <v>469</v>
      </c>
      <c r="B265" s="176"/>
      <c r="C265" s="2772">
        <v>6.837</v>
      </c>
      <c r="D265" s="176"/>
      <c r="E265" s="2712" t="s">
        <v>473</v>
      </c>
      <c r="F265" s="2713">
        <v>0.528203429776218</v>
      </c>
      <c r="G265" s="2713">
        <v>0.633844115731462</v>
      </c>
      <c r="H265" s="2713">
        <v>0.697228527304608</v>
      </c>
      <c r="I265" s="2713">
        <v>3.56827237992102</v>
      </c>
      <c r="J265" s="2713">
        <f t="shared" si="10"/>
        <v>3.74668599891707</v>
      </c>
      <c r="K265" s="2714">
        <v>0.4</v>
      </c>
      <c r="L265" s="2714">
        <f t="shared" si="11"/>
        <v>4.84391452622168</v>
      </c>
      <c r="M265" s="2713">
        <v>3.24388398174638</v>
      </c>
      <c r="N265" s="2712" t="s">
        <v>25</v>
      </c>
    </row>
    <row r="266" s="2870" customFormat="1" ht="13.2" customHeight="1" spans="1:14">
      <c r="A266" s="730" t="s">
        <v>537</v>
      </c>
      <c r="B266" s="2711"/>
      <c r="C266" s="2711">
        <v>6.837</v>
      </c>
      <c r="D266" s="2711"/>
      <c r="E266" s="2712" t="s">
        <v>557</v>
      </c>
      <c r="F266" s="2713">
        <v>0.602028443094694</v>
      </c>
      <c r="G266" s="2713">
        <v>0.722434131713633</v>
      </c>
      <c r="H266" s="2713">
        <v>0.794677544884996</v>
      </c>
      <c r="I266" s="2713">
        <v>5.39568530355333</v>
      </c>
      <c r="J266" s="2713">
        <f t="shared" si="10"/>
        <v>5.665469568731</v>
      </c>
      <c r="K266" s="2714">
        <v>0.4</v>
      </c>
      <c r="L266" s="2714">
        <f t="shared" si="11"/>
        <v>6.860147113616</v>
      </c>
      <c r="M266" s="2713">
        <v>4.90516845777575</v>
      </c>
      <c r="N266" s="2712" t="s">
        <v>558</v>
      </c>
    </row>
    <row r="267" s="2870" customFormat="1" ht="13.2" customHeight="1" spans="1:14">
      <c r="A267" s="730" t="s">
        <v>537</v>
      </c>
      <c r="B267" s="2711"/>
      <c r="C267" s="2711">
        <v>6.837</v>
      </c>
      <c r="D267" s="2711"/>
      <c r="E267" s="2712" t="s">
        <v>559</v>
      </c>
      <c r="F267" s="2713">
        <v>0.683659418429568</v>
      </c>
      <c r="G267" s="2713">
        <v>0.820391302115482</v>
      </c>
      <c r="H267" s="2713">
        <v>0.90243043232703</v>
      </c>
      <c r="I267" s="2713">
        <v>3.27078655514366</v>
      </c>
      <c r="J267" s="2713">
        <f t="shared" si="10"/>
        <v>3.43432588290084</v>
      </c>
      <c r="K267" s="2714">
        <v>0.4</v>
      </c>
      <c r="L267" s="2714">
        <f t="shared" si="11"/>
        <v>4.73675631522787</v>
      </c>
      <c r="M267" s="2713">
        <v>2.97344232285787</v>
      </c>
      <c r="N267" s="2712" t="s">
        <v>25</v>
      </c>
    </row>
    <row r="268" s="2870" customFormat="1" ht="13.2" customHeight="1" spans="1:14">
      <c r="A268" s="730" t="s">
        <v>537</v>
      </c>
      <c r="B268" s="2711"/>
      <c r="C268" s="2711">
        <v>6.837</v>
      </c>
      <c r="D268" s="2711"/>
      <c r="E268" s="2712" t="s">
        <v>560</v>
      </c>
      <c r="F268" s="2713">
        <v>0.724474906097005</v>
      </c>
      <c r="G268" s="2713">
        <v>0.869369887316406</v>
      </c>
      <c r="H268" s="2713">
        <v>0.956306876048047</v>
      </c>
      <c r="I268" s="2713">
        <v>5.71831390933282</v>
      </c>
      <c r="J268" s="2713">
        <f t="shared" si="10"/>
        <v>6.00422960479946</v>
      </c>
      <c r="K268" s="2714">
        <v>0.45</v>
      </c>
      <c r="L268" s="2714">
        <f t="shared" si="11"/>
        <v>7.41053648084751</v>
      </c>
      <c r="M268" s="2713">
        <v>5.19846719030256</v>
      </c>
      <c r="N268" s="2712" t="s">
        <v>25</v>
      </c>
    </row>
    <row r="269" s="2870" customFormat="1" ht="13.2" customHeight="1" spans="1:14">
      <c r="A269" s="730" t="s">
        <v>537</v>
      </c>
      <c r="B269" s="2711">
        <v>20241009</v>
      </c>
      <c r="C269" s="2711">
        <v>6.837</v>
      </c>
      <c r="D269" s="2711" t="s">
        <v>561</v>
      </c>
      <c r="E269" s="2712" t="s">
        <v>562</v>
      </c>
      <c r="F269" s="2713">
        <v>0.324710892338156</v>
      </c>
      <c r="G269" s="2713">
        <v>0.389653070805787</v>
      </c>
      <c r="H269" s="2713">
        <v>0.428618377886366</v>
      </c>
      <c r="I269" s="2713">
        <v>1.48472393623953</v>
      </c>
      <c r="J269" s="2713">
        <f t="shared" si="10"/>
        <v>1.55896013305151</v>
      </c>
      <c r="K269" s="2714">
        <v>0.2</v>
      </c>
      <c r="L269" s="2714">
        <f t="shared" si="11"/>
        <v>2.18757851093788</v>
      </c>
      <c r="M269" s="2713">
        <v>1.34974903294503</v>
      </c>
      <c r="N269" s="2711"/>
    </row>
    <row r="270" s="2870" customFormat="1" ht="13.2" customHeight="1" spans="1:14">
      <c r="A270" s="730" t="s">
        <v>537</v>
      </c>
      <c r="B270" s="2711"/>
      <c r="C270" s="2711">
        <v>6.837</v>
      </c>
      <c r="D270" s="2711"/>
      <c r="E270" s="2712" t="s">
        <v>563</v>
      </c>
      <c r="F270" s="2713">
        <v>0.897940728683612</v>
      </c>
      <c r="G270" s="2713">
        <v>1.07752887442033</v>
      </c>
      <c r="H270" s="2713">
        <v>1.18528176186236</v>
      </c>
      <c r="I270" s="2713">
        <v>6.30794549920564</v>
      </c>
      <c r="J270" s="2713">
        <f t="shared" si="10"/>
        <v>6.62334277416592</v>
      </c>
      <c r="K270" s="2714">
        <v>0.4</v>
      </c>
      <c r="L270" s="2714">
        <f t="shared" si="11"/>
        <v>8.20862453602828</v>
      </c>
      <c r="M270" s="2713">
        <v>5.73449590836876</v>
      </c>
      <c r="N270" s="2711" t="s">
        <v>564</v>
      </c>
    </row>
    <row r="271" s="2870" customFormat="1" ht="13.2" customHeight="1" spans="1:14">
      <c r="A271" s="730" t="s">
        <v>537</v>
      </c>
      <c r="B271" s="2711"/>
      <c r="C271" s="2711">
        <v>6.837</v>
      </c>
      <c r="D271" s="2711"/>
      <c r="E271" s="2712" t="s">
        <v>565</v>
      </c>
      <c r="F271" s="2713">
        <v>0.734678778013863</v>
      </c>
      <c r="G271" s="2713">
        <v>0.881614533616636</v>
      </c>
      <c r="H271" s="2713">
        <v>0.9697759869783</v>
      </c>
      <c r="I271" s="2713">
        <v>4.79492858934326</v>
      </c>
      <c r="J271" s="2713">
        <f t="shared" si="10"/>
        <v>5.03467501881042</v>
      </c>
      <c r="K271" s="2714">
        <v>0.4</v>
      </c>
      <c r="L271" s="2714">
        <f t="shared" si="11"/>
        <v>6.40445100578872</v>
      </c>
      <c r="M271" s="2713">
        <v>4.35902599031205</v>
      </c>
      <c r="N271" s="2712" t="s">
        <v>25</v>
      </c>
    </row>
    <row r="272" s="2870" customFormat="1" ht="13.2" customHeight="1" spans="1:14">
      <c r="A272" s="730" t="s">
        <v>537</v>
      </c>
      <c r="B272" s="2711"/>
      <c r="C272" s="2711">
        <v>6.837</v>
      </c>
      <c r="D272" s="2711"/>
      <c r="E272" s="2712" t="s">
        <v>566</v>
      </c>
      <c r="F272" s="2713">
        <v>0.600701939745502</v>
      </c>
      <c r="G272" s="2713">
        <v>0.720842327694602</v>
      </c>
      <c r="H272" s="2713">
        <v>0.792926560464062</v>
      </c>
      <c r="I272" s="2713">
        <v>3.5795643811233</v>
      </c>
      <c r="J272" s="2713">
        <f t="shared" si="10"/>
        <v>3.75854260017946</v>
      </c>
      <c r="K272" s="2714">
        <v>0.4</v>
      </c>
      <c r="L272" s="2714">
        <f t="shared" si="11"/>
        <v>4.95146916064352</v>
      </c>
      <c r="M272" s="2713">
        <v>3.25414943738482</v>
      </c>
      <c r="N272" s="2711" t="s">
        <v>567</v>
      </c>
    </row>
    <row r="273" s="2870" customFormat="1" ht="13.2" customHeight="1" spans="1:14">
      <c r="A273" s="730" t="s">
        <v>469</v>
      </c>
      <c r="B273" s="2711"/>
      <c r="C273" s="2711">
        <v>6.837</v>
      </c>
      <c r="D273" s="2711"/>
      <c r="E273" s="2712" t="s">
        <v>474</v>
      </c>
      <c r="F273" s="2713">
        <v>0.428562620508087</v>
      </c>
      <c r="G273" s="2713">
        <v>0.514275144609704</v>
      </c>
      <c r="H273" s="2713">
        <v>0.565702659070675</v>
      </c>
      <c r="I273" s="2713">
        <v>1.14026217696712</v>
      </c>
      <c r="J273" s="2713">
        <f t="shared" si="10"/>
        <v>1.19727528581548</v>
      </c>
      <c r="K273" s="2714">
        <v>0.4</v>
      </c>
      <c r="L273" s="2714">
        <f t="shared" si="11"/>
        <v>2.16297794488615</v>
      </c>
      <c r="M273" s="2713">
        <v>1.03660197906102</v>
      </c>
      <c r="N273" s="2712"/>
    </row>
    <row r="274" s="2870" customFormat="1" ht="13.2" customHeight="1" spans="1:14">
      <c r="A274" s="730" t="s">
        <v>537</v>
      </c>
      <c r="B274" s="2711"/>
      <c r="C274" s="2711">
        <v>6.837</v>
      </c>
      <c r="D274" s="2711"/>
      <c r="E274" s="2712" t="s">
        <v>568</v>
      </c>
      <c r="F274" s="2713">
        <v>0.642843930762132</v>
      </c>
      <c r="G274" s="2713">
        <v>0.771412716914558</v>
      </c>
      <c r="H274" s="2713">
        <v>0.848553988606014</v>
      </c>
      <c r="I274" s="2713">
        <v>4.19777934175502</v>
      </c>
      <c r="J274" s="2713">
        <f t="shared" si="10"/>
        <v>4.40766830884277</v>
      </c>
      <c r="K274" s="2714">
        <v>0.4</v>
      </c>
      <c r="L274" s="2714">
        <f t="shared" si="11"/>
        <v>5.65622229744878</v>
      </c>
      <c r="M274" s="2713">
        <v>3.81616303795911</v>
      </c>
      <c r="N274" s="2711" t="s">
        <v>567</v>
      </c>
    </row>
    <row r="275" s="2870" customFormat="1" ht="13.2" customHeight="1" spans="1:14">
      <c r="A275" s="730" t="s">
        <v>537</v>
      </c>
      <c r="B275" s="2711"/>
      <c r="C275" s="2711">
        <v>6.837</v>
      </c>
      <c r="D275" s="2711"/>
      <c r="E275" s="2712" t="s">
        <v>569</v>
      </c>
      <c r="F275" s="2713">
        <v>0.859625189635805</v>
      </c>
      <c r="G275" s="2713">
        <v>1.03155022756297</v>
      </c>
      <c r="H275" s="2713">
        <v>1.13470525031927</v>
      </c>
      <c r="I275" s="2713">
        <v>7.4075527886968</v>
      </c>
      <c r="J275" s="2713">
        <f t="shared" si="10"/>
        <v>7.77793042813164</v>
      </c>
      <c r="K275" s="2714">
        <v>0.4</v>
      </c>
      <c r="L275" s="2714">
        <f t="shared" si="11"/>
        <v>9.31263567845091</v>
      </c>
      <c r="M275" s="2713">
        <v>6.73413889881527</v>
      </c>
      <c r="N275" s="2712" t="s">
        <v>499</v>
      </c>
    </row>
    <row r="276" s="2870" customFormat="1" ht="13.2" customHeight="1" spans="1:14">
      <c r="A276" s="730" t="s">
        <v>537</v>
      </c>
      <c r="B276" s="2711"/>
      <c r="C276" s="2711">
        <v>6.837</v>
      </c>
      <c r="D276" s="2711"/>
      <c r="E276" s="2712" t="s">
        <v>570</v>
      </c>
      <c r="F276" s="2713">
        <v>0.744882649930724</v>
      </c>
      <c r="G276" s="2713">
        <v>0.893859179916869</v>
      </c>
      <c r="H276" s="2713">
        <v>0.983245097908556</v>
      </c>
      <c r="I276" s="2713">
        <v>2.34106924828646</v>
      </c>
      <c r="J276" s="2713">
        <f t="shared" si="10"/>
        <v>2.45812271070078</v>
      </c>
      <c r="K276" s="2714">
        <v>0.2</v>
      </c>
      <c r="L276" s="2714">
        <f t="shared" si="11"/>
        <v>3.64136780860934</v>
      </c>
      <c r="M276" s="2713">
        <v>2.12824477116951</v>
      </c>
      <c r="N276" s="2712"/>
    </row>
    <row r="277" s="2870" customFormat="1" ht="13.2" customHeight="1" spans="1:14">
      <c r="A277" s="730" t="s">
        <v>537</v>
      </c>
      <c r="B277" s="2711"/>
      <c r="C277" s="2711">
        <v>6.837</v>
      </c>
      <c r="D277" s="2711"/>
      <c r="E277" s="2712" t="s">
        <v>571</v>
      </c>
      <c r="F277" s="2713">
        <v>0.589205878385013</v>
      </c>
      <c r="G277" s="2713">
        <v>0.707047054062016</v>
      </c>
      <c r="H277" s="2713">
        <v>0.777751759468218</v>
      </c>
      <c r="I277" s="2713">
        <v>4.6694139257104</v>
      </c>
      <c r="J277" s="2713">
        <f t="shared" si="10"/>
        <v>4.90288462199592</v>
      </c>
      <c r="K277" s="2714">
        <v>0.4</v>
      </c>
      <c r="L277" s="2714">
        <f t="shared" si="11"/>
        <v>6.08063638146414</v>
      </c>
      <c r="M277" s="2713">
        <v>4.24492175064582</v>
      </c>
      <c r="N277" s="2711" t="s">
        <v>572</v>
      </c>
    </row>
    <row r="278" s="2870" customFormat="1" ht="13.2" customHeight="1" spans="1:14">
      <c r="A278" s="730" t="s">
        <v>469</v>
      </c>
      <c r="B278" s="2711"/>
      <c r="C278" s="2711">
        <v>6.837</v>
      </c>
      <c r="D278" s="2711"/>
      <c r="E278" s="2712" t="s">
        <v>471</v>
      </c>
      <c r="F278" s="2713">
        <v>0.699287964305504</v>
      </c>
      <c r="G278" s="2713">
        <v>0.839145557166605</v>
      </c>
      <c r="H278" s="2713">
        <v>0.923060112883266</v>
      </c>
      <c r="I278" s="2713">
        <v>1.76463100348039</v>
      </c>
      <c r="J278" s="2713">
        <f t="shared" si="10"/>
        <v>1.85286255365441</v>
      </c>
      <c r="K278" s="2714">
        <v>0.2</v>
      </c>
      <c r="L278" s="2714">
        <f t="shared" si="11"/>
        <v>2.97592266653768</v>
      </c>
      <c r="M278" s="2713">
        <v>1.60421000316399</v>
      </c>
      <c r="N278" s="2712"/>
    </row>
    <row r="279" s="2870" customFormat="1" ht="13.2" customHeight="1" spans="1:14">
      <c r="A279" s="730" t="s">
        <v>537</v>
      </c>
      <c r="B279" s="2711"/>
      <c r="C279" s="2711">
        <v>6.837</v>
      </c>
      <c r="D279" s="2711"/>
      <c r="E279" s="2712" t="s">
        <v>573</v>
      </c>
      <c r="F279" s="2713">
        <v>0.499989723926102</v>
      </c>
      <c r="G279" s="2713">
        <v>0.599987668711322</v>
      </c>
      <c r="H279" s="2713">
        <v>0.659986435582454</v>
      </c>
      <c r="I279" s="2713">
        <v>4.08678036877593</v>
      </c>
      <c r="J279" s="2713">
        <f t="shared" si="10"/>
        <v>4.29111938721473</v>
      </c>
      <c r="K279" s="2714">
        <v>0.4</v>
      </c>
      <c r="L279" s="2714">
        <f t="shared" si="11"/>
        <v>5.35110582279718</v>
      </c>
      <c r="M279" s="2713">
        <v>3.71525488070539</v>
      </c>
      <c r="N279" s="2711" t="s">
        <v>567</v>
      </c>
    </row>
    <row r="280" s="2870" customFormat="1" ht="13.2" customHeight="1" spans="1:14">
      <c r="A280" s="730" t="s">
        <v>537</v>
      </c>
      <c r="B280" s="2711"/>
      <c r="C280" s="2711">
        <v>6.837</v>
      </c>
      <c r="D280" s="2711"/>
      <c r="E280" s="2712" t="s">
        <v>574</v>
      </c>
      <c r="F280" s="2713">
        <v>0.714271034180146</v>
      </c>
      <c r="G280" s="2713">
        <v>0.857125241016175</v>
      </c>
      <c r="H280" s="2713">
        <v>0.942837765117793</v>
      </c>
      <c r="I280" s="2713">
        <v>5.50693654692556</v>
      </c>
      <c r="J280" s="2713">
        <f t="shared" si="10"/>
        <v>5.78228337427184</v>
      </c>
      <c r="K280" s="2714">
        <v>0.4</v>
      </c>
      <c r="L280" s="2714">
        <f t="shared" si="11"/>
        <v>7.12512113938963</v>
      </c>
      <c r="M280" s="2713">
        <v>5.00630595175051</v>
      </c>
      <c r="N280" s="2711" t="s">
        <v>476</v>
      </c>
    </row>
    <row r="281" s="2870" customFormat="1" ht="13.2" customHeight="1" spans="1:14">
      <c r="A281" s="730" t="s">
        <v>537</v>
      </c>
      <c r="B281" s="2711"/>
      <c r="C281" s="2711">
        <v>6.837</v>
      </c>
      <c r="D281" s="2711"/>
      <c r="E281" s="2712" t="s">
        <v>575</v>
      </c>
      <c r="F281" s="2713">
        <v>0.838911329644581</v>
      </c>
      <c r="G281" s="2713">
        <v>1.0066935955735</v>
      </c>
      <c r="H281" s="2713">
        <v>1.10736295513085</v>
      </c>
      <c r="I281" s="2713">
        <v>7.56564080552874</v>
      </c>
      <c r="J281" s="2713">
        <f t="shared" si="10"/>
        <v>7.94392284580518</v>
      </c>
      <c r="K281" s="2714">
        <v>0.4</v>
      </c>
      <c r="L281" s="2714">
        <f t="shared" si="11"/>
        <v>9.45128580093603</v>
      </c>
      <c r="M281" s="2713">
        <v>6.8778552777534</v>
      </c>
      <c r="N281" s="2711" t="s">
        <v>572</v>
      </c>
    </row>
    <row r="282" s="2870" customFormat="1" ht="13.2" customHeight="1" spans="1:14">
      <c r="A282" s="730" t="s">
        <v>537</v>
      </c>
      <c r="B282" s="2711">
        <v>20250218</v>
      </c>
      <c r="C282" s="2711">
        <v>6.837</v>
      </c>
      <c r="D282" s="2711" t="s">
        <v>576</v>
      </c>
      <c r="E282" s="2712" t="s">
        <v>577</v>
      </c>
      <c r="F282" s="2713">
        <v>0.710350518558121</v>
      </c>
      <c r="G282" s="2713">
        <v>0.852420622269745</v>
      </c>
      <c r="H282" s="2713">
        <v>0.93766268449672</v>
      </c>
      <c r="I282" s="2713">
        <v>5.25973470021009</v>
      </c>
      <c r="J282" s="2713">
        <f t="shared" si="10"/>
        <v>5.52272143522059</v>
      </c>
      <c r="K282" s="2714">
        <v>0.4</v>
      </c>
      <c r="L282" s="2714">
        <f t="shared" si="11"/>
        <v>6.86038411971731</v>
      </c>
      <c r="M282" s="2713">
        <v>4.78157700019099</v>
      </c>
      <c r="N282" s="2711" t="s">
        <v>476</v>
      </c>
    </row>
    <row r="283" s="2870" customFormat="1" ht="13.2" customHeight="1" spans="1:14">
      <c r="A283" s="730" t="s">
        <v>537</v>
      </c>
      <c r="B283" s="2711"/>
      <c r="C283" s="2711">
        <v>6.837</v>
      </c>
      <c r="D283" s="2711"/>
      <c r="E283" s="2712" t="s">
        <v>578</v>
      </c>
      <c r="F283" s="2713">
        <v>0.428562620508087</v>
      </c>
      <c r="G283" s="2713">
        <v>0.514275144609704</v>
      </c>
      <c r="H283" s="2713">
        <v>0.565702659070675</v>
      </c>
      <c r="I283" s="2713">
        <v>2.44788053273953</v>
      </c>
      <c r="J283" s="2713">
        <f t="shared" si="10"/>
        <v>2.57027455937651</v>
      </c>
      <c r="K283" s="2714">
        <v>0.2</v>
      </c>
      <c r="L283" s="2714">
        <f t="shared" si="11"/>
        <v>3.33597721844718</v>
      </c>
      <c r="M283" s="2713">
        <v>2.22534593885412</v>
      </c>
      <c r="N283" s="2711"/>
    </row>
    <row r="284" s="2870" customFormat="1" ht="13.2" customHeight="1" spans="1:14">
      <c r="A284" s="730" t="s">
        <v>469</v>
      </c>
      <c r="B284" s="2711"/>
      <c r="C284" s="2711">
        <v>6.837</v>
      </c>
      <c r="D284" s="2711"/>
      <c r="E284" s="2712" t="s">
        <v>475</v>
      </c>
      <c r="F284" s="2713">
        <v>0.766412819675296</v>
      </c>
      <c r="G284" s="2713">
        <v>0.919695383610355</v>
      </c>
      <c r="H284" s="2713">
        <v>1.01166492197139</v>
      </c>
      <c r="I284" s="2713">
        <v>6.19930866005265</v>
      </c>
      <c r="J284" s="2713">
        <f t="shared" si="10"/>
        <v>6.50927409305528</v>
      </c>
      <c r="K284" s="2714">
        <v>0.4</v>
      </c>
      <c r="L284" s="2714">
        <f t="shared" si="11"/>
        <v>7.92093901502667</v>
      </c>
      <c r="M284" s="2713">
        <v>5.63573514550241</v>
      </c>
      <c r="N284" s="2711" t="s">
        <v>476</v>
      </c>
    </row>
    <row r="285" s="2870" customFormat="1" ht="13.2" customHeight="1" spans="1:14">
      <c r="A285" s="730" t="s">
        <v>537</v>
      </c>
      <c r="B285" s="2711"/>
      <c r="C285" s="2711">
        <v>6.837</v>
      </c>
      <c r="D285" s="2711"/>
      <c r="E285" s="2712" t="s">
        <v>579</v>
      </c>
      <c r="F285" s="2713">
        <v>0.611058869741115</v>
      </c>
      <c r="G285" s="2713">
        <v>0.733270643689338</v>
      </c>
      <c r="H285" s="2713">
        <v>0.806597708058272</v>
      </c>
      <c r="I285" s="2713">
        <v>5.72149251628628</v>
      </c>
      <c r="J285" s="2713">
        <f t="shared" si="10"/>
        <v>6.00756714210059</v>
      </c>
      <c r="K285" s="2714">
        <v>0.4</v>
      </c>
      <c r="L285" s="2714">
        <f t="shared" si="11"/>
        <v>7.21416485015886</v>
      </c>
      <c r="M285" s="2713">
        <v>5.20135683298753</v>
      </c>
      <c r="N285" s="2711" t="s">
        <v>476</v>
      </c>
    </row>
    <row r="286" s="2870" customFormat="1" ht="13.2" customHeight="1" spans="1:14">
      <c r="A286" s="730" t="s">
        <v>537</v>
      </c>
      <c r="B286" s="2711"/>
      <c r="C286" s="2711">
        <v>6.837</v>
      </c>
      <c r="D286" s="2711"/>
      <c r="E286" s="2712" t="s">
        <v>580</v>
      </c>
      <c r="F286" s="2713">
        <v>0.591824571177834</v>
      </c>
      <c r="G286" s="2713">
        <v>0.710189485413401</v>
      </c>
      <c r="H286" s="2713">
        <v>0.781208433954741</v>
      </c>
      <c r="I286" s="2713">
        <v>3.13728506309699</v>
      </c>
      <c r="J286" s="2713">
        <f t="shared" si="10"/>
        <v>3.29414931625184</v>
      </c>
      <c r="K286" s="2714">
        <v>0.4</v>
      </c>
      <c r="L286" s="2714">
        <f t="shared" si="11"/>
        <v>4.47535775020658</v>
      </c>
      <c r="M286" s="2713">
        <v>2.85207733008817</v>
      </c>
      <c r="N286" s="2711" t="s">
        <v>581</v>
      </c>
    </row>
    <row r="287" s="2870" customFormat="1" ht="13.2" customHeight="1" spans="1:14">
      <c r="A287" s="730" t="s">
        <v>537</v>
      </c>
      <c r="B287" s="2711"/>
      <c r="C287" s="2711">
        <v>6.837</v>
      </c>
      <c r="D287" s="2711"/>
      <c r="E287" s="2711" t="s">
        <v>582</v>
      </c>
      <c r="F287" s="2713">
        <v>0.591824571177834</v>
      </c>
      <c r="G287" s="2713">
        <v>0.710189485413401</v>
      </c>
      <c r="H287" s="2713">
        <v>0.781208433954741</v>
      </c>
      <c r="I287" s="2713">
        <v>5.18430794114608</v>
      </c>
      <c r="J287" s="2713">
        <f t="shared" si="10"/>
        <v>5.44352333820338</v>
      </c>
      <c r="K287" s="2714">
        <v>0.4</v>
      </c>
      <c r="L287" s="2714">
        <f t="shared" si="11"/>
        <v>6.62473177215812</v>
      </c>
      <c r="M287" s="2713">
        <v>4.71300721922371</v>
      </c>
      <c r="N287" s="2711" t="s">
        <v>476</v>
      </c>
    </row>
    <row r="288" s="2870" customFormat="1" ht="13.2" customHeight="1" spans="1:14">
      <c r="A288" s="730" t="s">
        <v>537</v>
      </c>
      <c r="B288" s="2711">
        <v>20241120</v>
      </c>
      <c r="C288" s="2711">
        <v>6.837</v>
      </c>
      <c r="D288" s="2711" t="s">
        <v>583</v>
      </c>
      <c r="E288" s="2711" t="s">
        <v>584</v>
      </c>
      <c r="F288" s="2713">
        <v>0.550572582454794</v>
      </c>
      <c r="G288" s="2713">
        <v>0.660687098945753</v>
      </c>
      <c r="H288" s="2713">
        <v>0.726755808840328</v>
      </c>
      <c r="I288" s="2713">
        <v>2.51439192947314</v>
      </c>
      <c r="J288" s="2713">
        <f t="shared" si="10"/>
        <v>2.6401115259468</v>
      </c>
      <c r="K288" s="2714">
        <v>0.4</v>
      </c>
      <c r="L288" s="2714">
        <f t="shared" si="11"/>
        <v>3.76686733478713</v>
      </c>
      <c r="M288" s="2713">
        <v>2.28581084497558</v>
      </c>
      <c r="N288" s="2711" t="s">
        <v>585</v>
      </c>
    </row>
    <row r="289" s="2870" customFormat="1" ht="13.2" customHeight="1" spans="1:14">
      <c r="A289" s="730" t="s">
        <v>537</v>
      </c>
      <c r="B289" s="2711">
        <v>20240305</v>
      </c>
      <c r="C289" s="2711">
        <v>6.837</v>
      </c>
      <c r="D289" s="2711" t="s">
        <v>586</v>
      </c>
      <c r="E289" s="2711" t="s">
        <v>587</v>
      </c>
      <c r="F289" s="2713">
        <v>0.394189290255192</v>
      </c>
      <c r="G289" s="2713">
        <v>0.47302714830623</v>
      </c>
      <c r="H289" s="2713">
        <v>0.520329863136853</v>
      </c>
      <c r="I289" s="2713">
        <v>1.00557406348146</v>
      </c>
      <c r="J289" s="2713">
        <f t="shared" si="10"/>
        <v>1.05585276665553</v>
      </c>
      <c r="K289" s="2714">
        <v>0.2</v>
      </c>
      <c r="L289" s="2714">
        <f t="shared" si="11"/>
        <v>1.77618262979238</v>
      </c>
      <c r="M289" s="2713">
        <v>0.914158239528598</v>
      </c>
      <c r="N289" s="2711"/>
    </row>
    <row r="290" s="2870" customFormat="1" ht="13.2" customHeight="1" spans="1:14">
      <c r="A290" s="730" t="s">
        <v>537</v>
      </c>
      <c r="B290" s="2711">
        <v>20241028</v>
      </c>
      <c r="C290" s="2711">
        <v>6.837</v>
      </c>
      <c r="D290" s="2711" t="s">
        <v>588</v>
      </c>
      <c r="E290" s="2711" t="s">
        <v>589</v>
      </c>
      <c r="F290" s="2713">
        <v>0.410858680101341</v>
      </c>
      <c r="G290" s="2713">
        <v>0.493030416121609</v>
      </c>
      <c r="H290" s="2713">
        <v>0.54233345773377</v>
      </c>
      <c r="I290" s="2713">
        <v>2.62401566493161</v>
      </c>
      <c r="J290" s="2713">
        <f t="shared" si="10"/>
        <v>2.75521644817819</v>
      </c>
      <c r="K290" s="2714">
        <v>0.4</v>
      </c>
      <c r="L290" s="2714">
        <f t="shared" si="11"/>
        <v>3.69754990591196</v>
      </c>
      <c r="M290" s="2713">
        <v>2.38546878630146</v>
      </c>
      <c r="N290" s="226" t="s">
        <v>444</v>
      </c>
    </row>
    <row r="291" s="2870" customFormat="1" ht="13.2" customHeight="1" spans="1:14">
      <c r="A291" s="730" t="s">
        <v>537</v>
      </c>
      <c r="B291" s="2711"/>
      <c r="C291" s="2711">
        <v>6.837</v>
      </c>
      <c r="D291" s="2711"/>
      <c r="E291" s="2711" t="s">
        <v>590</v>
      </c>
      <c r="F291" s="2713">
        <v>0.425491669072175</v>
      </c>
      <c r="G291" s="2713">
        <v>0.51059000288661</v>
      </c>
      <c r="H291" s="2713">
        <v>0.561649003175271</v>
      </c>
      <c r="I291" s="2713">
        <v>2.82726248043605</v>
      </c>
      <c r="J291" s="2713">
        <f t="shared" si="10"/>
        <v>2.96862560445785</v>
      </c>
      <c r="K291" s="2714">
        <v>0.4</v>
      </c>
      <c r="L291" s="2714">
        <f t="shared" si="11"/>
        <v>3.93027460763312</v>
      </c>
      <c r="M291" s="2713">
        <v>2.57023861857823</v>
      </c>
      <c r="N291" s="226" t="s">
        <v>444</v>
      </c>
    </row>
    <row r="292" s="2870" customFormat="1" ht="13.2" customHeight="1" spans="1:14">
      <c r="A292" s="730" t="s">
        <v>537</v>
      </c>
      <c r="B292" s="2883">
        <v>46081</v>
      </c>
      <c r="C292" s="2711">
        <v>6.837</v>
      </c>
      <c r="D292" s="2711" t="s">
        <v>591</v>
      </c>
      <c r="E292" s="2711" t="s">
        <v>592</v>
      </c>
      <c r="F292" s="2713">
        <f>0.394196795034393*1.02</f>
        <v>0.402080730935081</v>
      </c>
      <c r="G292" s="2713">
        <v>0.482496877122097</v>
      </c>
      <c r="H292" s="2713">
        <v>0.530746564834307</v>
      </c>
      <c r="I292" s="2713">
        <v>2.46632142216222</v>
      </c>
      <c r="J292" s="2713">
        <f t="shared" si="10"/>
        <v>2.58963749327033</v>
      </c>
      <c r="K292" s="2714">
        <v>0.4</v>
      </c>
      <c r="L292" s="2714">
        <f t="shared" si="11"/>
        <v>3.52038405810464</v>
      </c>
      <c r="M292" s="2713">
        <v>2.24211038378384</v>
      </c>
      <c r="N292" s="226" t="s">
        <v>444</v>
      </c>
    </row>
    <row r="293" s="2870" customFormat="1" ht="13.2" customHeight="1" spans="1:14">
      <c r="A293" s="730" t="s">
        <v>537</v>
      </c>
      <c r="B293" s="2711">
        <v>20240125</v>
      </c>
      <c r="C293" s="2711">
        <v>6.837</v>
      </c>
      <c r="D293" s="2711" t="s">
        <v>593</v>
      </c>
      <c r="E293" s="2711" t="s">
        <v>594</v>
      </c>
      <c r="F293" s="2713">
        <v>0.323105975619011</v>
      </c>
      <c r="G293" s="2713">
        <v>0.387727170742813</v>
      </c>
      <c r="H293" s="2713">
        <v>0.426499887817094</v>
      </c>
      <c r="I293" s="2713">
        <v>1.50098589009991</v>
      </c>
      <c r="J293" s="2713">
        <f t="shared" si="10"/>
        <v>1.57603518460491</v>
      </c>
      <c r="K293" s="2714">
        <v>0.2</v>
      </c>
      <c r="L293" s="2714">
        <f t="shared" si="11"/>
        <v>2.202535072422</v>
      </c>
      <c r="M293" s="2713">
        <v>1.36453262736355</v>
      </c>
      <c r="N293" s="2711"/>
    </row>
    <row r="294" s="2870" customFormat="1" ht="13.2" customHeight="1" spans="1:14">
      <c r="A294" s="730" t="s">
        <v>537</v>
      </c>
      <c r="B294" s="2711">
        <v>20240125</v>
      </c>
      <c r="C294" s="2711">
        <v>6.837</v>
      </c>
      <c r="D294" s="2711" t="s">
        <v>595</v>
      </c>
      <c r="E294" s="2711" t="s">
        <v>596</v>
      </c>
      <c r="F294" s="2713">
        <v>0.598392266846408</v>
      </c>
      <c r="G294" s="2713">
        <v>0.71807072021569</v>
      </c>
      <c r="H294" s="2713">
        <v>0.789877792237259</v>
      </c>
      <c r="I294" s="2713">
        <v>2.93345043468687</v>
      </c>
      <c r="J294" s="2713">
        <f t="shared" si="10"/>
        <v>3.08012295642121</v>
      </c>
      <c r="K294" s="2714">
        <v>0.2</v>
      </c>
      <c r="L294" s="2714">
        <f t="shared" si="11"/>
        <v>4.07000074865847</v>
      </c>
      <c r="M294" s="2713">
        <v>2.66677312244261</v>
      </c>
      <c r="N294" s="226" t="s">
        <v>444</v>
      </c>
    </row>
    <row r="295" s="2870" customFormat="1" ht="13.2" customHeight="1" spans="1:14">
      <c r="A295" s="730" t="s">
        <v>537</v>
      </c>
      <c r="B295" s="2711"/>
      <c r="C295" s="2711">
        <v>6.837</v>
      </c>
      <c r="D295" s="2711"/>
      <c r="E295" s="2711" t="s">
        <v>597</v>
      </c>
      <c r="F295" s="2713">
        <v>0.572999283128734</v>
      </c>
      <c r="G295" s="2713">
        <v>0.687599139754481</v>
      </c>
      <c r="H295" s="2713">
        <v>0.756359053729929</v>
      </c>
      <c r="I295" s="2713">
        <v>3.26070045504269</v>
      </c>
      <c r="J295" s="2713">
        <f t="shared" si="10"/>
        <v>3.42373547779482</v>
      </c>
      <c r="K295" s="2714">
        <v>0.2</v>
      </c>
      <c r="L295" s="2714">
        <f t="shared" si="11"/>
        <v>4.38009453152475</v>
      </c>
      <c r="M295" s="2713">
        <v>2.9642731409479</v>
      </c>
      <c r="N295" s="226" t="s">
        <v>444</v>
      </c>
    </row>
    <row r="296" s="2870" customFormat="1" ht="13.2" customHeight="1" spans="1:14">
      <c r="A296" s="730" t="s">
        <v>537</v>
      </c>
      <c r="B296" s="2711">
        <v>20250102</v>
      </c>
      <c r="C296" s="2711">
        <v>6.837</v>
      </c>
      <c r="D296" s="2711" t="s">
        <v>598</v>
      </c>
      <c r="E296" s="2711" t="s">
        <v>599</v>
      </c>
      <c r="F296" s="2713">
        <v>0.4170478314192</v>
      </c>
      <c r="G296" s="2713">
        <v>0.50045739770304</v>
      </c>
      <c r="H296" s="2713">
        <v>0.550503137473344</v>
      </c>
      <c r="I296" s="2713">
        <v>2.36094058241867</v>
      </c>
      <c r="J296" s="2713">
        <f t="shared" si="10"/>
        <v>2.4789876115396</v>
      </c>
      <c r="K296" s="2714">
        <v>0.4</v>
      </c>
      <c r="L296" s="2714">
        <f t="shared" si="11"/>
        <v>3.42949074901294</v>
      </c>
      <c r="M296" s="2713">
        <v>2.14630962038061</v>
      </c>
      <c r="N296" s="226" t="s">
        <v>600</v>
      </c>
    </row>
    <row r="297" s="2870" customFormat="1" ht="13.2" customHeight="1" spans="1:14">
      <c r="A297" s="730" t="s">
        <v>537</v>
      </c>
      <c r="B297" s="2711">
        <v>20240517</v>
      </c>
      <c r="C297" s="2711">
        <v>6.837</v>
      </c>
      <c r="D297" s="2711" t="s">
        <v>601</v>
      </c>
      <c r="E297" s="2711" t="s">
        <v>602</v>
      </c>
      <c r="F297" s="2713">
        <v>0.428191112526326</v>
      </c>
      <c r="G297" s="2713">
        <v>0.513829335031591</v>
      </c>
      <c r="H297" s="2713">
        <v>0.56521226853475</v>
      </c>
      <c r="I297" s="2713">
        <v>3.67518253608858</v>
      </c>
      <c r="J297" s="2713">
        <f t="shared" si="10"/>
        <v>3.85894166289301</v>
      </c>
      <c r="K297" s="2714">
        <v>0.4</v>
      </c>
      <c r="L297" s="2714">
        <f t="shared" si="11"/>
        <v>4.82415393142776</v>
      </c>
      <c r="M297" s="2713">
        <v>3.3410750328078</v>
      </c>
      <c r="N297" s="226" t="s">
        <v>603</v>
      </c>
    </row>
    <row r="298" s="2870" customFormat="1" ht="13.2" customHeight="1" spans="1:14">
      <c r="A298" s="730" t="s">
        <v>537</v>
      </c>
      <c r="B298" s="2711">
        <v>20250328</v>
      </c>
      <c r="C298" s="2711">
        <v>6.837</v>
      </c>
      <c r="D298" s="2711" t="s">
        <v>604</v>
      </c>
      <c r="E298" s="2711" t="s">
        <v>605</v>
      </c>
      <c r="F298" s="2713">
        <v>0.428285369133209</v>
      </c>
      <c r="G298" s="2713">
        <v>0.513942442959851</v>
      </c>
      <c r="H298" s="2713">
        <v>0.565336687255836</v>
      </c>
      <c r="I298" s="2713">
        <v>1.17153442521156</v>
      </c>
      <c r="J298" s="2713">
        <f t="shared" si="10"/>
        <v>1.23011114647214</v>
      </c>
      <c r="K298" s="2714">
        <v>0.3</v>
      </c>
      <c r="L298" s="2714">
        <f t="shared" si="11"/>
        <v>2.09544783372798</v>
      </c>
      <c r="M298" s="2713">
        <v>1.06503129564687</v>
      </c>
      <c r="N298" s="2711" t="s">
        <v>606</v>
      </c>
    </row>
    <row r="299" s="2870" customFormat="1" ht="13.2" customHeight="1" spans="1:14">
      <c r="A299" s="730" t="s">
        <v>537</v>
      </c>
      <c r="B299" s="2711">
        <v>20250113</v>
      </c>
      <c r="C299" s="2711">
        <v>6.837</v>
      </c>
      <c r="D299" s="2711" t="s">
        <v>607</v>
      </c>
      <c r="E299" s="2711" t="s">
        <v>608</v>
      </c>
      <c r="F299" s="2713">
        <v>0.419545123822907</v>
      </c>
      <c r="G299" s="2713">
        <v>0.503454148587488</v>
      </c>
      <c r="H299" s="2713">
        <v>0.553799563446237</v>
      </c>
      <c r="I299" s="2713">
        <v>1.87905800912156</v>
      </c>
      <c r="J299" s="2713">
        <f t="shared" si="10"/>
        <v>1.97301090957764</v>
      </c>
      <c r="K299" s="2714">
        <v>0.2</v>
      </c>
      <c r="L299" s="2714">
        <f t="shared" si="11"/>
        <v>2.72681047302388</v>
      </c>
      <c r="M299" s="2713">
        <v>1.70823455374687</v>
      </c>
      <c r="N299" s="2711" t="s">
        <v>609</v>
      </c>
    </row>
    <row r="300" s="2870" customFormat="1" ht="13.2" customHeight="1" spans="1:14">
      <c r="A300" s="730" t="s">
        <v>537</v>
      </c>
      <c r="B300" s="2711">
        <v>20240516</v>
      </c>
      <c r="C300" s="2711">
        <v>6.837</v>
      </c>
      <c r="D300" s="2711" t="s">
        <v>610</v>
      </c>
      <c r="E300" s="2711" t="s">
        <v>611</v>
      </c>
      <c r="F300" s="2713">
        <v>0.424356565249972</v>
      </c>
      <c r="G300" s="2713">
        <v>0.509227878299966</v>
      </c>
      <c r="H300" s="2713">
        <v>0.560150666129963</v>
      </c>
      <c r="I300" s="2713">
        <v>2.261742375721</v>
      </c>
      <c r="J300" s="2713">
        <f t="shared" si="10"/>
        <v>2.37482949450705</v>
      </c>
      <c r="K300" s="2714">
        <v>0.4</v>
      </c>
      <c r="L300" s="2714">
        <f t="shared" si="11"/>
        <v>3.33498016063701</v>
      </c>
      <c r="M300" s="2713">
        <v>2.05612943247364</v>
      </c>
      <c r="N300" s="2711"/>
    </row>
    <row r="301" s="2870" customFormat="1" ht="13.2" customHeight="1" spans="1:14">
      <c r="A301" s="730" t="s">
        <v>537</v>
      </c>
      <c r="B301" s="2711">
        <v>20240920</v>
      </c>
      <c r="C301" s="2711">
        <v>6.837</v>
      </c>
      <c r="D301" s="2711" t="s">
        <v>612</v>
      </c>
      <c r="E301" s="2711" t="s">
        <v>613</v>
      </c>
      <c r="F301" s="2713">
        <v>0.373748863834122</v>
      </c>
      <c r="G301" s="2713">
        <v>0.448498636600946</v>
      </c>
      <c r="H301" s="2713">
        <v>0.493348500261041</v>
      </c>
      <c r="I301" s="2713">
        <v>2.08313385135387</v>
      </c>
      <c r="J301" s="2713">
        <f t="shared" si="10"/>
        <v>2.18729054392156</v>
      </c>
      <c r="K301" s="2714">
        <v>0.2</v>
      </c>
      <c r="L301" s="2714">
        <f t="shared" si="11"/>
        <v>2.8806390441826</v>
      </c>
      <c r="M301" s="2713">
        <v>1.89375804668534</v>
      </c>
      <c r="N301" s="226" t="s">
        <v>614</v>
      </c>
    </row>
    <row r="302" s="2870" customFormat="1" ht="13.2" customHeight="1" spans="1:14">
      <c r="A302" s="730" t="s">
        <v>615</v>
      </c>
      <c r="B302" s="2711">
        <v>20241219</v>
      </c>
      <c r="C302" s="2711">
        <v>6.837</v>
      </c>
      <c r="D302" s="2711" t="s">
        <v>616</v>
      </c>
      <c r="E302" s="2711" t="s">
        <v>617</v>
      </c>
      <c r="F302" s="2713">
        <v>0.287188626426395</v>
      </c>
      <c r="G302" s="2713">
        <v>0.344626351711674</v>
      </c>
      <c r="H302" s="2713">
        <v>0.379088986882841</v>
      </c>
      <c r="I302" s="2713">
        <v>1.69498916690632</v>
      </c>
      <c r="J302" s="2713">
        <f t="shared" si="10"/>
        <v>1.77973862525164</v>
      </c>
      <c r="K302" s="2714">
        <v>0.2</v>
      </c>
      <c r="L302" s="2714">
        <f t="shared" si="11"/>
        <v>2.35882761213448</v>
      </c>
      <c r="M302" s="2713">
        <v>1.54089924264211</v>
      </c>
      <c r="N302" s="2711" t="s">
        <v>606</v>
      </c>
    </row>
    <row r="303" s="2870" customFormat="1" ht="13.2" customHeight="1" spans="1:14">
      <c r="A303" s="730" t="s">
        <v>615</v>
      </c>
      <c r="B303" s="2711">
        <v>20241219</v>
      </c>
      <c r="C303" s="2711">
        <v>6.837</v>
      </c>
      <c r="D303" s="2711" t="s">
        <v>618</v>
      </c>
      <c r="E303" s="2711" t="s">
        <v>619</v>
      </c>
      <c r="F303" s="2713">
        <v>0.287188626426395</v>
      </c>
      <c r="G303" s="2713">
        <v>0.344626351711674</v>
      </c>
      <c r="H303" s="2713">
        <v>0.379088986882841</v>
      </c>
      <c r="I303" s="2713">
        <v>1.48062700283645</v>
      </c>
      <c r="J303" s="2713">
        <f t="shared" si="10"/>
        <v>1.55465835297827</v>
      </c>
      <c r="K303" s="2714">
        <v>0.2</v>
      </c>
      <c r="L303" s="2714">
        <f t="shared" si="11"/>
        <v>2.13374733986111</v>
      </c>
      <c r="M303" s="2713">
        <v>1.34602454803314</v>
      </c>
      <c r="N303" s="2711" t="s">
        <v>606</v>
      </c>
    </row>
    <row r="304" s="2870" customFormat="1" ht="13.2" customHeight="1" spans="1:14">
      <c r="A304" s="730" t="s">
        <v>615</v>
      </c>
      <c r="B304" s="2711">
        <v>20250819</v>
      </c>
      <c r="C304" s="2711">
        <v>6.837</v>
      </c>
      <c r="D304" s="2711" t="s">
        <v>620</v>
      </c>
      <c r="E304" s="2711" t="s">
        <v>621</v>
      </c>
      <c r="F304" s="2713">
        <v>0.375820764827632</v>
      </c>
      <c r="G304" s="2713">
        <v>0.450984917793158</v>
      </c>
      <c r="H304" s="2713">
        <v>0.496083409572474</v>
      </c>
      <c r="I304" s="2713">
        <v>1.58692349616198</v>
      </c>
      <c r="J304" s="2713">
        <f t="shared" si="10"/>
        <v>1.66626967097008</v>
      </c>
      <c r="K304" s="2714">
        <v>0.2</v>
      </c>
      <c r="L304" s="2714">
        <f t="shared" si="11"/>
        <v>2.36235308054255</v>
      </c>
      <c r="M304" s="2713">
        <v>1.44265772378362</v>
      </c>
      <c r="N304" s="2711" t="s">
        <v>606</v>
      </c>
    </row>
    <row r="305" s="2870" customFormat="1" ht="13.2" customHeight="1" spans="1:14">
      <c r="A305" s="730" t="s">
        <v>615</v>
      </c>
      <c r="B305" s="2711">
        <v>20250819</v>
      </c>
      <c r="C305" s="2711">
        <v>6.837</v>
      </c>
      <c r="D305" s="2711" t="s">
        <v>622</v>
      </c>
      <c r="E305" s="2711" t="s">
        <v>623</v>
      </c>
      <c r="F305" s="2713">
        <v>0.0255660384236485</v>
      </c>
      <c r="G305" s="2713">
        <v>0.0306792461083782</v>
      </c>
      <c r="H305" s="2713">
        <v>0.033747170719216</v>
      </c>
      <c r="I305" s="2713">
        <v>0.325661314673804</v>
      </c>
      <c r="J305" s="2713">
        <f t="shared" si="10"/>
        <v>0.341944380407494</v>
      </c>
      <c r="K305" s="2714">
        <v>0.2</v>
      </c>
      <c r="L305" s="2714">
        <f t="shared" si="11"/>
        <v>0.57569155112671</v>
      </c>
      <c r="M305" s="2713">
        <v>0.296055740612549</v>
      </c>
      <c r="N305" s="2711"/>
    </row>
    <row r="306" s="2870" customFormat="1" ht="13.2" customHeight="1" spans="1:14">
      <c r="A306" s="730" t="s">
        <v>615</v>
      </c>
      <c r="B306" s="2711">
        <v>20250114</v>
      </c>
      <c r="C306" s="2711">
        <v>6.837</v>
      </c>
      <c r="D306" s="2711" t="s">
        <v>624</v>
      </c>
      <c r="E306" s="2711" t="s">
        <v>625</v>
      </c>
      <c r="F306" s="2713">
        <v>0.102798544506227</v>
      </c>
      <c r="G306" s="2713">
        <v>0.123358253407472</v>
      </c>
      <c r="H306" s="2713">
        <v>0.135694078748219</v>
      </c>
      <c r="I306" s="2713">
        <v>0.36173224252416</v>
      </c>
      <c r="J306" s="2713">
        <f t="shared" si="10"/>
        <v>0.379818854650368</v>
      </c>
      <c r="K306" s="2714">
        <v>0.2</v>
      </c>
      <c r="L306" s="2714">
        <f t="shared" si="11"/>
        <v>0.715512933398587</v>
      </c>
      <c r="M306" s="2713">
        <v>0.328847493203782</v>
      </c>
      <c r="N306" s="226" t="s">
        <v>626</v>
      </c>
    </row>
    <row r="307" s="2870" customFormat="1" ht="13.2" customHeight="1" spans="1:14">
      <c r="A307" s="730" t="s">
        <v>615</v>
      </c>
      <c r="B307" s="2711">
        <v>20240930</v>
      </c>
      <c r="C307" s="2711">
        <v>6.837</v>
      </c>
      <c r="D307" s="2711" t="s">
        <v>627</v>
      </c>
      <c r="E307" s="2711" t="s">
        <v>628</v>
      </c>
      <c r="F307" s="2713">
        <v>0.281007691517655</v>
      </c>
      <c r="G307" s="2713">
        <v>0.337209229821186</v>
      </c>
      <c r="H307" s="2713">
        <v>0.370930152803305</v>
      </c>
      <c r="I307" s="2713">
        <v>1.79376059604854</v>
      </c>
      <c r="J307" s="2713">
        <f t="shared" si="10"/>
        <v>1.88344862585097</v>
      </c>
      <c r="K307" s="2714">
        <v>0.2</v>
      </c>
      <c r="L307" s="2714">
        <f t="shared" si="11"/>
        <v>2.45437877865427</v>
      </c>
      <c r="M307" s="2713">
        <v>1.63069145095322</v>
      </c>
      <c r="N307" s="226" t="s">
        <v>629</v>
      </c>
    </row>
    <row r="308" s="2870" customFormat="1" ht="13.2" customHeight="1" spans="1:14">
      <c r="A308" s="730" t="s">
        <v>630</v>
      </c>
      <c r="B308" s="2711"/>
      <c r="C308" s="2711">
        <v>6.837</v>
      </c>
      <c r="D308" s="2711"/>
      <c r="E308" s="2711" t="s">
        <v>631</v>
      </c>
      <c r="F308" s="2713">
        <v>0.309917571321798</v>
      </c>
      <c r="G308" s="2713">
        <v>0.371901085586158</v>
      </c>
      <c r="H308" s="2713">
        <v>0.409091194144774</v>
      </c>
      <c r="I308" s="2713">
        <v>0.793990382155016</v>
      </c>
      <c r="J308" s="2713">
        <f t="shared" si="10"/>
        <v>0.833689901262767</v>
      </c>
      <c r="K308" s="2714">
        <v>0.2</v>
      </c>
      <c r="L308" s="2714">
        <f t="shared" si="11"/>
        <v>1.44278109540754</v>
      </c>
      <c r="M308" s="2713">
        <v>0.721809438322742</v>
      </c>
      <c r="N308" s="2711"/>
    </row>
    <row r="309" s="2870" customFormat="1" ht="13.2" customHeight="1" spans="1:14">
      <c r="A309" s="730" t="s">
        <v>632</v>
      </c>
      <c r="B309" s="2711"/>
      <c r="C309" s="2711">
        <v>6.837</v>
      </c>
      <c r="D309" s="2711"/>
      <c r="E309" s="2711" t="s">
        <v>633</v>
      </c>
      <c r="F309" s="2713">
        <v>0.101838053054199</v>
      </c>
      <c r="G309" s="2713">
        <v>0.122205663665039</v>
      </c>
      <c r="H309" s="2713">
        <v>0.134426230031543</v>
      </c>
      <c r="I309" s="2713">
        <v>0.707162616222206</v>
      </c>
      <c r="J309" s="2713">
        <f t="shared" si="10"/>
        <v>0.742520747033316</v>
      </c>
      <c r="K309" s="2714">
        <v>0.2</v>
      </c>
      <c r="L309" s="2714">
        <f t="shared" si="11"/>
        <v>1.07694697706486</v>
      </c>
      <c r="M309" s="2713">
        <v>0.642875105656551</v>
      </c>
      <c r="N309" s="2711"/>
    </row>
    <row r="310" s="2870" customFormat="1" ht="13.2" customHeight="1" spans="1:14">
      <c r="A310" s="730" t="s">
        <v>634</v>
      </c>
      <c r="B310" s="2711"/>
      <c r="C310" s="2711">
        <v>6.837</v>
      </c>
      <c r="D310" s="2711"/>
      <c r="E310" s="2712" t="s">
        <v>635</v>
      </c>
      <c r="F310" s="2713">
        <v>0.579988079754278</v>
      </c>
      <c r="G310" s="2713">
        <v>0.695985695705134</v>
      </c>
      <c r="H310" s="2713">
        <v>0.765584265275647</v>
      </c>
      <c r="I310" s="2713">
        <v>4.03541811673378</v>
      </c>
      <c r="J310" s="2713">
        <f t="shared" si="10"/>
        <v>4.23718902257047</v>
      </c>
      <c r="K310" s="2714">
        <v>0.4</v>
      </c>
      <c r="L310" s="2714">
        <f t="shared" si="11"/>
        <v>5.40277328784612</v>
      </c>
      <c r="M310" s="2713">
        <v>3.66856192430344</v>
      </c>
      <c r="N310" s="2712" t="s">
        <v>346</v>
      </c>
    </row>
    <row r="311" s="2870" customFormat="1" ht="13.2" customHeight="1" spans="1:14">
      <c r="A311" s="730" t="s">
        <v>634</v>
      </c>
      <c r="B311" s="2711"/>
      <c r="C311" s="2711">
        <v>6.837</v>
      </c>
      <c r="D311" s="2711"/>
      <c r="E311" s="2712" t="s">
        <v>636</v>
      </c>
      <c r="F311" s="2713">
        <v>0.548917289767442</v>
      </c>
      <c r="G311" s="2713">
        <v>0.65870074772093</v>
      </c>
      <c r="H311" s="2713">
        <v>0.724570822493023</v>
      </c>
      <c r="I311" s="2713">
        <v>3.0272447176118</v>
      </c>
      <c r="J311" s="2713">
        <f t="shared" si="10"/>
        <v>3.17860695349239</v>
      </c>
      <c r="K311" s="2714">
        <v>0.4</v>
      </c>
      <c r="L311" s="2714">
        <f t="shared" si="11"/>
        <v>4.30317777598541</v>
      </c>
      <c r="M311" s="2713">
        <v>2.75204065237436</v>
      </c>
      <c r="N311" s="2736" t="s">
        <v>25</v>
      </c>
    </row>
    <row r="312" s="2870" customFormat="1" ht="13.2" customHeight="1" spans="1:14">
      <c r="A312" s="730" t="s">
        <v>637</v>
      </c>
      <c r="B312" s="2711"/>
      <c r="C312" s="2711">
        <v>6.837</v>
      </c>
      <c r="D312" s="2711"/>
      <c r="E312" s="2712" t="s">
        <v>638</v>
      </c>
      <c r="F312" s="2713">
        <v>0.289994039877139</v>
      </c>
      <c r="G312" s="2713">
        <v>0.347992847852567</v>
      </c>
      <c r="H312" s="2713">
        <v>0.382792132637824</v>
      </c>
      <c r="I312" s="2713">
        <v>1.21953612984642</v>
      </c>
      <c r="J312" s="2713">
        <f t="shared" si="10"/>
        <v>1.28051293633874</v>
      </c>
      <c r="K312" s="2714">
        <v>0.2</v>
      </c>
      <c r="L312" s="2714">
        <f t="shared" si="11"/>
        <v>1.86330506897656</v>
      </c>
      <c r="M312" s="2713">
        <v>1.10866920895129</v>
      </c>
      <c r="N312" s="2736"/>
    </row>
    <row r="313" s="2870" customFormat="1" ht="13.2" customHeight="1" spans="1:14">
      <c r="A313" s="730" t="s">
        <v>637</v>
      </c>
      <c r="B313" s="2711"/>
      <c r="C313" s="2711">
        <v>6.837</v>
      </c>
      <c r="D313" s="2711"/>
      <c r="E313" s="2712" t="s">
        <v>639</v>
      </c>
      <c r="F313" s="2713">
        <v>0.19678166991663</v>
      </c>
      <c r="G313" s="2713">
        <v>0.236138003899956</v>
      </c>
      <c r="H313" s="2713">
        <v>0.259751804289952</v>
      </c>
      <c r="I313" s="2713">
        <v>0.575892061316367</v>
      </c>
      <c r="J313" s="2713">
        <f t="shared" si="10"/>
        <v>0.604686664382185</v>
      </c>
      <c r="K313" s="2714">
        <v>0.2</v>
      </c>
      <c r="L313" s="2714">
        <f t="shared" si="11"/>
        <v>1.06443846867214</v>
      </c>
      <c r="M313" s="2713">
        <v>0.523538237560334</v>
      </c>
      <c r="N313" s="2736"/>
    </row>
    <row r="314" s="2870" customFormat="1" ht="13.2" customHeight="1" spans="1:14">
      <c r="A314" s="730" t="s">
        <v>637</v>
      </c>
      <c r="B314" s="2711"/>
      <c r="C314" s="2711">
        <v>6.837</v>
      </c>
      <c r="D314" s="2711"/>
      <c r="E314" s="2712" t="s">
        <v>640</v>
      </c>
      <c r="F314" s="2713">
        <v>0.0612232315011553</v>
      </c>
      <c r="G314" s="2713">
        <v>0.0734678778013864</v>
      </c>
      <c r="H314" s="2713">
        <v>0.080814665581525</v>
      </c>
      <c r="I314" s="2713">
        <v>0.344878854453924</v>
      </c>
      <c r="J314" s="2713">
        <f t="shared" si="10"/>
        <v>0.36212279717662</v>
      </c>
      <c r="K314" s="2714">
        <v>0.4</v>
      </c>
      <c r="L314" s="2714">
        <f t="shared" si="11"/>
        <v>0.842937462758145</v>
      </c>
      <c r="M314" s="2713">
        <v>0.313526231321749</v>
      </c>
      <c r="N314" s="2736"/>
    </row>
    <row r="315" s="2870" customFormat="1" ht="13.2" customHeight="1" spans="1:14">
      <c r="A315" s="730" t="s">
        <v>637</v>
      </c>
      <c r="B315" s="2711"/>
      <c r="C315" s="2711">
        <v>6.837</v>
      </c>
      <c r="D315" s="2711"/>
      <c r="E315" s="2712" t="s">
        <v>641</v>
      </c>
      <c r="F315" s="2713">
        <v>0.234689054087763</v>
      </c>
      <c r="G315" s="2713">
        <v>0.281626864905316</v>
      </c>
      <c r="H315" s="2713">
        <v>0.309789551395848</v>
      </c>
      <c r="I315" s="2713">
        <v>0.478380346500603</v>
      </c>
      <c r="J315" s="2713">
        <f t="shared" si="10"/>
        <v>0.502299363825633</v>
      </c>
      <c r="K315" s="2714">
        <v>0.2</v>
      </c>
      <c r="L315" s="2714">
        <f t="shared" si="11"/>
        <v>1.01208891522148</v>
      </c>
      <c r="M315" s="2713">
        <v>0.434891224091457</v>
      </c>
      <c r="N315" s="2736"/>
    </row>
    <row r="316" s="2870" customFormat="1" ht="13.2" customHeight="1" spans="1:14">
      <c r="A316" s="730" t="s">
        <v>637</v>
      </c>
      <c r="B316" s="2711"/>
      <c r="C316" s="2711">
        <v>6.837</v>
      </c>
      <c r="D316" s="2711"/>
      <c r="E316" s="2712" t="s">
        <v>642</v>
      </c>
      <c r="F316" s="2713">
        <v>0.53060133967668</v>
      </c>
      <c r="G316" s="2713">
        <v>0.636721607612016</v>
      </c>
      <c r="H316" s="2713">
        <v>0.700393768373218</v>
      </c>
      <c r="I316" s="2713">
        <v>3.0482840683992</v>
      </c>
      <c r="J316" s="2713">
        <f t="shared" si="10"/>
        <v>3.20069827181916</v>
      </c>
      <c r="K316" s="2714">
        <v>0.4</v>
      </c>
      <c r="L316" s="2714">
        <f t="shared" si="11"/>
        <v>4.30109204019238</v>
      </c>
      <c r="M316" s="2713">
        <v>2.77116733490836</v>
      </c>
      <c r="N316" s="2736"/>
    </row>
    <row r="317" s="2870" customFormat="1" ht="13.2" customHeight="1" spans="1:14">
      <c r="A317" s="730" t="s">
        <v>637</v>
      </c>
      <c r="B317" s="2711"/>
      <c r="C317" s="2711">
        <v>6.837</v>
      </c>
      <c r="D317" s="2711"/>
      <c r="E317" s="2712" t="s">
        <v>643</v>
      </c>
      <c r="F317" s="2713">
        <v>0.336727773256356</v>
      </c>
      <c r="G317" s="2713">
        <v>0.404073327907627</v>
      </c>
      <c r="H317" s="2713">
        <v>0.44448066069839</v>
      </c>
      <c r="I317" s="2713">
        <v>0.500630595175051</v>
      </c>
      <c r="J317" s="2713">
        <f t="shared" si="10"/>
        <v>0.525662124933804</v>
      </c>
      <c r="K317" s="2714">
        <v>0.2</v>
      </c>
      <c r="L317" s="2714">
        <f t="shared" si="11"/>
        <v>1.17014278563219</v>
      </c>
      <c r="M317" s="2713">
        <v>0.45511872288641</v>
      </c>
      <c r="N317" s="2736"/>
    </row>
    <row r="318" s="2870" customFormat="1" ht="13.2" customHeight="1" spans="1:14">
      <c r="A318" s="730" t="s">
        <v>637</v>
      </c>
      <c r="B318" s="2711"/>
      <c r="C318" s="2711">
        <v>6.837</v>
      </c>
      <c r="D318" s="2711"/>
      <c r="E318" s="2712" t="s">
        <v>644</v>
      </c>
      <c r="F318" s="2713">
        <v>0.204077438337184</v>
      </c>
      <c r="G318" s="2713">
        <v>0.244892926004621</v>
      </c>
      <c r="H318" s="2713">
        <v>0.269382218605083</v>
      </c>
      <c r="I318" s="2713">
        <v>0.244752735418913</v>
      </c>
      <c r="J318" s="2713">
        <f t="shared" si="10"/>
        <v>0.256990372189859</v>
      </c>
      <c r="K318" s="2714">
        <v>0.2</v>
      </c>
      <c r="L318" s="2714">
        <f t="shared" si="11"/>
        <v>0.726372590794942</v>
      </c>
      <c r="M318" s="2713">
        <v>0.222502486744466</v>
      </c>
      <c r="N318" s="2736"/>
    </row>
    <row r="319" s="2870" customFormat="1" ht="13.2" customHeight="1" spans="1:14">
      <c r="A319" s="730" t="s">
        <v>637</v>
      </c>
      <c r="B319" s="2711"/>
      <c r="C319" s="2711">
        <v>6.837</v>
      </c>
      <c r="D319" s="2711"/>
      <c r="E319" s="2712" t="s">
        <v>645</v>
      </c>
      <c r="F319" s="2713">
        <v>0.326523901339495</v>
      </c>
      <c r="G319" s="2713">
        <v>0.391828681607394</v>
      </c>
      <c r="H319" s="2713">
        <v>0.431011549768133</v>
      </c>
      <c r="I319" s="2713">
        <v>1.50189178552515</v>
      </c>
      <c r="J319" s="2713">
        <f t="shared" si="10"/>
        <v>1.57698637480141</v>
      </c>
      <c r="K319" s="2714">
        <v>0.4</v>
      </c>
      <c r="L319" s="2714">
        <f t="shared" si="11"/>
        <v>2.40799792456954</v>
      </c>
      <c r="M319" s="2713">
        <v>1.36535616865923</v>
      </c>
      <c r="N319" s="2736"/>
    </row>
    <row r="320" s="2870" customFormat="1" ht="13.2" customHeight="1" spans="1:14">
      <c r="A320" s="730" t="s">
        <v>637</v>
      </c>
      <c r="B320" s="2711"/>
      <c r="C320" s="2711">
        <v>6.837</v>
      </c>
      <c r="D320" s="2711"/>
      <c r="E320" s="2712" t="s">
        <v>646</v>
      </c>
      <c r="F320" s="2713">
        <v>0.227526932854501</v>
      </c>
      <c r="G320" s="2713">
        <v>0.273032319425401</v>
      </c>
      <c r="H320" s="2713">
        <v>0.300335551367941</v>
      </c>
      <c r="I320" s="2713">
        <v>0.422754724814487</v>
      </c>
      <c r="J320" s="2713">
        <f t="shared" si="10"/>
        <v>0.443892461055211</v>
      </c>
      <c r="K320" s="2714">
        <v>0.2</v>
      </c>
      <c r="L320" s="2714">
        <f t="shared" si="11"/>
        <v>0.944228012423152</v>
      </c>
      <c r="M320" s="2713">
        <v>0.384322477104079</v>
      </c>
      <c r="N320" s="2736"/>
    </row>
    <row r="321" s="2870" customFormat="1" ht="13.2" customHeight="1" spans="1:14">
      <c r="A321" s="730" t="s">
        <v>637</v>
      </c>
      <c r="B321" s="2711"/>
      <c r="C321" s="2711">
        <v>6.837</v>
      </c>
      <c r="D321" s="2711"/>
      <c r="E321" s="2712" t="s">
        <v>647</v>
      </c>
      <c r="F321" s="2713">
        <v>0.597258198743067</v>
      </c>
      <c r="G321" s="2713">
        <v>0.71670983849168</v>
      </c>
      <c r="H321" s="2713">
        <v>0.788380822340848</v>
      </c>
      <c r="I321" s="2713">
        <v>3.79366739899316</v>
      </c>
      <c r="J321" s="2713">
        <f t="shared" si="10"/>
        <v>3.98335076894282</v>
      </c>
      <c r="K321" s="2714">
        <v>0.4</v>
      </c>
      <c r="L321" s="2714">
        <f t="shared" si="11"/>
        <v>5.17173159128367</v>
      </c>
      <c r="M321" s="2713">
        <v>3.44878854453924</v>
      </c>
      <c r="N321" s="2736"/>
    </row>
    <row r="322" s="2870" customFormat="1" ht="13.2" customHeight="1" spans="1:14">
      <c r="A322" s="730" t="s">
        <v>637</v>
      </c>
      <c r="B322" s="2711"/>
      <c r="C322" s="2711">
        <v>6.837</v>
      </c>
      <c r="D322" s="2711"/>
      <c r="E322" s="2712" t="s">
        <v>648</v>
      </c>
      <c r="F322" s="2713">
        <v>0.683659418429568</v>
      </c>
      <c r="G322" s="2713">
        <v>0.820391302115482</v>
      </c>
      <c r="H322" s="2713">
        <v>0.90243043232703</v>
      </c>
      <c r="I322" s="2713">
        <v>3.64480264000461</v>
      </c>
      <c r="J322" s="2713">
        <f t="shared" si="10"/>
        <v>3.82704277200484</v>
      </c>
      <c r="K322" s="2714">
        <v>0.4</v>
      </c>
      <c r="L322" s="2714">
        <f t="shared" si="11"/>
        <v>5.12947320433187</v>
      </c>
      <c r="M322" s="2713">
        <v>3.31345694545874</v>
      </c>
      <c r="N322" s="2736"/>
    </row>
    <row r="323" s="2870" customFormat="1" ht="13.2" customHeight="1" spans="1:14">
      <c r="A323" s="730" t="s">
        <v>637</v>
      </c>
      <c r="B323" s="2711"/>
      <c r="C323" s="2711">
        <v>6.837</v>
      </c>
      <c r="D323" s="2711"/>
      <c r="E323" s="2712" t="s">
        <v>649</v>
      </c>
      <c r="F323" s="2713">
        <v>0.275504541755198</v>
      </c>
      <c r="G323" s="2713">
        <v>0.330605450106238</v>
      </c>
      <c r="H323" s="2713">
        <v>0.363665995116862</v>
      </c>
      <c r="I323" s="2713">
        <v>0.974772799070998</v>
      </c>
      <c r="J323" s="2713">
        <f t="shared" si="10"/>
        <v>1.02351143902455</v>
      </c>
      <c r="K323" s="2714">
        <v>0.4</v>
      </c>
      <c r="L323" s="2714">
        <f t="shared" si="11"/>
        <v>1.78717743414141</v>
      </c>
      <c r="M323" s="2713">
        <v>0.886157090064544</v>
      </c>
      <c r="N323" s="2736"/>
    </row>
    <row r="324" s="2870" customFormat="1" ht="13.2" customHeight="1" spans="1:14">
      <c r="A324" s="730" t="s">
        <v>637</v>
      </c>
      <c r="B324" s="2711"/>
      <c r="C324" s="2711">
        <v>6.837</v>
      </c>
      <c r="D324" s="2711"/>
      <c r="E324" s="2712" t="s">
        <v>650</v>
      </c>
      <c r="F324" s="2713">
        <v>0.683659418429568</v>
      </c>
      <c r="G324" s="2713">
        <v>0.820391302115482</v>
      </c>
      <c r="H324" s="2713">
        <v>0.90243043232703</v>
      </c>
      <c r="I324" s="2713">
        <v>4.03683083093533</v>
      </c>
      <c r="J324" s="2713">
        <f t="shared" ref="J324:J351" si="12">I324*1.05</f>
        <v>4.2386723724821</v>
      </c>
      <c r="K324" s="2714">
        <v>0.4</v>
      </c>
      <c r="L324" s="2714">
        <f t="shared" ref="L324:L351" si="13">SUBTOTAL(109,H324,J324,K324)</f>
        <v>5.54110280480913</v>
      </c>
      <c r="M324" s="2713">
        <v>3.66984620994121</v>
      </c>
      <c r="N324" s="2736"/>
    </row>
    <row r="325" s="2870" customFormat="1" ht="13.2" customHeight="1" spans="1:14">
      <c r="A325" s="730" t="s">
        <v>637</v>
      </c>
      <c r="B325" s="2711"/>
      <c r="C325" s="2711">
        <v>6.837</v>
      </c>
      <c r="D325" s="2711"/>
      <c r="E325" s="2712" t="s">
        <v>651</v>
      </c>
      <c r="F325" s="2713">
        <v>0.683659418429568</v>
      </c>
      <c r="G325" s="2713">
        <v>0.820391302115482</v>
      </c>
      <c r="H325" s="2713">
        <v>0.90243043232703</v>
      </c>
      <c r="I325" s="2713">
        <v>4.00504476140041</v>
      </c>
      <c r="J325" s="2713">
        <f t="shared" si="12"/>
        <v>4.20529699947043</v>
      </c>
      <c r="K325" s="2714">
        <v>0.4</v>
      </c>
      <c r="L325" s="2714">
        <f t="shared" si="13"/>
        <v>5.50772743179746</v>
      </c>
      <c r="M325" s="2713">
        <v>3.64094978309128</v>
      </c>
      <c r="N325" s="2736"/>
    </row>
    <row r="326" s="2870" customFormat="1" ht="13.2" customHeight="1" spans="1:14">
      <c r="A326" s="730" t="s">
        <v>637</v>
      </c>
      <c r="B326" s="2711"/>
      <c r="C326" s="2711">
        <v>6.837</v>
      </c>
      <c r="D326" s="2711"/>
      <c r="E326" s="2712" t="s">
        <v>652</v>
      </c>
      <c r="F326" s="2713">
        <v>0.163261950669748</v>
      </c>
      <c r="G326" s="2713">
        <v>0.195914340803698</v>
      </c>
      <c r="H326" s="2713">
        <v>0.215505774884068</v>
      </c>
      <c r="I326" s="2713">
        <v>0.784056381861455</v>
      </c>
      <c r="J326" s="2713">
        <f t="shared" si="12"/>
        <v>0.823259200954528</v>
      </c>
      <c r="K326" s="2714">
        <v>0.2</v>
      </c>
      <c r="L326" s="2714">
        <f t="shared" si="13"/>
        <v>1.2387649758386</v>
      </c>
      <c r="M326" s="2713">
        <v>0.712778528964959</v>
      </c>
      <c r="N326" s="2736"/>
    </row>
    <row r="327" s="2870" customFormat="1" ht="13.2" customHeight="1" spans="1:14">
      <c r="A327" s="730" t="s">
        <v>637</v>
      </c>
      <c r="B327" s="2711"/>
      <c r="C327" s="2711">
        <v>6.837</v>
      </c>
      <c r="D327" s="2711"/>
      <c r="E327" s="2711" t="s">
        <v>653</v>
      </c>
      <c r="F327" s="2713">
        <v>0.683659418429568</v>
      </c>
      <c r="G327" s="2713">
        <v>0.820391302115482</v>
      </c>
      <c r="H327" s="2713">
        <v>0.90243043232703</v>
      </c>
      <c r="I327" s="2713">
        <v>4.10040297000519</v>
      </c>
      <c r="J327" s="2713">
        <f t="shared" si="12"/>
        <v>4.30542311850545</v>
      </c>
      <c r="K327" s="2714">
        <v>0.4</v>
      </c>
      <c r="L327" s="2714">
        <f t="shared" si="13"/>
        <v>5.60785355083248</v>
      </c>
      <c r="M327" s="2713">
        <v>3.72763906364108</v>
      </c>
      <c r="N327" s="2711"/>
    </row>
    <row r="328" s="2870" customFormat="1" ht="13.2" customHeight="1" spans="1:14">
      <c r="A328" s="730" t="s">
        <v>637</v>
      </c>
      <c r="B328" s="2711"/>
      <c r="C328" s="2711">
        <v>6.837</v>
      </c>
      <c r="D328" s="2711"/>
      <c r="E328" s="2711" t="s">
        <v>654</v>
      </c>
      <c r="F328" s="2713">
        <v>0.0714271034180146</v>
      </c>
      <c r="G328" s="2713">
        <v>0.0857125241016175</v>
      </c>
      <c r="H328" s="2713">
        <v>0.0942837765117793</v>
      </c>
      <c r="I328" s="2713">
        <v>0.16952570418626</v>
      </c>
      <c r="J328" s="2713">
        <f t="shared" si="12"/>
        <v>0.178001989395573</v>
      </c>
      <c r="K328" s="2714">
        <v>0.4</v>
      </c>
      <c r="L328" s="2714">
        <f t="shared" si="13"/>
        <v>0.672285765907352</v>
      </c>
      <c r="M328" s="2713">
        <v>0.154114276532964</v>
      </c>
      <c r="N328" s="2711"/>
    </row>
    <row r="329" s="2870" customFormat="1" ht="13.2" customHeight="1" spans="1:14">
      <c r="A329" s="730" t="s">
        <v>637</v>
      </c>
      <c r="B329" s="2711"/>
      <c r="C329" s="2711">
        <v>6.837</v>
      </c>
      <c r="D329" s="2711"/>
      <c r="E329" s="2711" t="s">
        <v>655</v>
      </c>
      <c r="F329" s="2713">
        <v>0.326523901339495</v>
      </c>
      <c r="G329" s="2713">
        <v>0.391828681607394</v>
      </c>
      <c r="H329" s="2713">
        <v>0.431011549768133</v>
      </c>
      <c r="I329" s="2713">
        <v>1.96014095465363</v>
      </c>
      <c r="J329" s="2713">
        <f t="shared" si="12"/>
        <v>2.05814800238631</v>
      </c>
      <c r="K329" s="2714">
        <v>0.2</v>
      </c>
      <c r="L329" s="2714">
        <f t="shared" si="13"/>
        <v>2.68915955215444</v>
      </c>
      <c r="M329" s="2713">
        <v>1.78194632241239</v>
      </c>
      <c r="N329" s="2711"/>
    </row>
    <row r="330" s="2870" customFormat="1" ht="13.2" customHeight="1" spans="1:14">
      <c r="A330" s="730" t="s">
        <v>637</v>
      </c>
      <c r="B330" s="2711"/>
      <c r="C330" s="2711">
        <v>6.837</v>
      </c>
      <c r="D330" s="2711"/>
      <c r="E330" s="2711" t="s">
        <v>656</v>
      </c>
      <c r="F330" s="2713">
        <v>0.0816309753348738</v>
      </c>
      <c r="G330" s="2713">
        <v>0.0979571704018486</v>
      </c>
      <c r="H330" s="2713">
        <v>0.107752887442033</v>
      </c>
      <c r="I330" s="2713">
        <v>0.339051408372522</v>
      </c>
      <c r="J330" s="2713">
        <f t="shared" si="12"/>
        <v>0.356003978791148</v>
      </c>
      <c r="K330" s="2714">
        <v>0.2</v>
      </c>
      <c r="L330" s="2714">
        <f t="shared" si="13"/>
        <v>0.663756866233181</v>
      </c>
      <c r="M330" s="2713">
        <v>0.308228553065929</v>
      </c>
      <c r="N330" s="2711"/>
    </row>
    <row r="331" s="2870" customFormat="1" ht="13.2" customHeight="1" spans="1:14">
      <c r="A331" s="730" t="s">
        <v>637</v>
      </c>
      <c r="B331" s="2711"/>
      <c r="C331" s="2711">
        <v>6.837</v>
      </c>
      <c r="D331" s="2711"/>
      <c r="E331" s="2711" t="s">
        <v>657</v>
      </c>
      <c r="F331" s="2713">
        <v>0.102038719168592</v>
      </c>
      <c r="G331" s="2713">
        <v>0.12244646300231</v>
      </c>
      <c r="H331" s="2713">
        <v>0.134691109302541</v>
      </c>
      <c r="I331" s="2713">
        <v>0.349646764884161</v>
      </c>
      <c r="J331" s="2713">
        <f t="shared" si="12"/>
        <v>0.367129103128369</v>
      </c>
      <c r="K331" s="2714">
        <v>0.2</v>
      </c>
      <c r="L331" s="2714">
        <f t="shared" si="13"/>
        <v>0.70182021243091</v>
      </c>
      <c r="M331" s="2713">
        <v>0.317860695349237</v>
      </c>
      <c r="N331" s="2711"/>
    </row>
    <row r="332" s="2870" customFormat="1" ht="13.2" customHeight="1" spans="1:14">
      <c r="A332" s="730" t="s">
        <v>637</v>
      </c>
      <c r="B332" s="2711"/>
      <c r="C332" s="2711">
        <v>6.837</v>
      </c>
      <c r="D332" s="2711"/>
      <c r="E332" s="2711" t="s">
        <v>658</v>
      </c>
      <c r="F332" s="2713">
        <v>0.39795100475751</v>
      </c>
      <c r="G332" s="2713">
        <v>0.477541205709012</v>
      </c>
      <c r="H332" s="2713">
        <v>0.525295326279913</v>
      </c>
      <c r="I332" s="2713">
        <v>2.94550911023627</v>
      </c>
      <c r="J332" s="2713">
        <f t="shared" si="12"/>
        <v>3.09278456574808</v>
      </c>
      <c r="K332" s="2714">
        <v>0.4</v>
      </c>
      <c r="L332" s="2714">
        <f t="shared" si="13"/>
        <v>4.01807989202799</v>
      </c>
      <c r="M332" s="2713">
        <v>2.67773555476025</v>
      </c>
      <c r="N332" s="2711"/>
    </row>
    <row r="333" s="2870" customFormat="1" ht="13.2" customHeight="1" spans="1:14">
      <c r="A333" s="730" t="s">
        <v>637</v>
      </c>
      <c r="B333" s="2711"/>
      <c r="C333" s="2711">
        <v>6.837</v>
      </c>
      <c r="D333" s="2711"/>
      <c r="E333" s="2711" t="s">
        <v>659</v>
      </c>
      <c r="F333" s="2713">
        <v>0.269280179885915</v>
      </c>
      <c r="G333" s="2713">
        <v>0.323136215863098</v>
      </c>
      <c r="H333" s="2713">
        <v>0.355449837449408</v>
      </c>
      <c r="I333" s="2713">
        <v>1.20448012824338</v>
      </c>
      <c r="J333" s="2713">
        <f t="shared" si="12"/>
        <v>1.26470413465555</v>
      </c>
      <c r="K333" s="2714">
        <v>0.4</v>
      </c>
      <c r="L333" s="2714">
        <f t="shared" si="13"/>
        <v>2.02015397210496</v>
      </c>
      <c r="M333" s="2713">
        <v>1.09498193476671</v>
      </c>
      <c r="N333" s="2711"/>
    </row>
    <row r="334" s="2870" customFormat="1" ht="13.2" customHeight="1" spans="1:14">
      <c r="A334" s="730" t="s">
        <v>637</v>
      </c>
      <c r="B334" s="2711"/>
      <c r="C334" s="2711">
        <v>6.837</v>
      </c>
      <c r="D334" s="2711"/>
      <c r="E334" s="2711" t="s">
        <v>660</v>
      </c>
      <c r="F334" s="2713">
        <v>0.217495529907854</v>
      </c>
      <c r="G334" s="2713">
        <v>0.260994635889425</v>
      </c>
      <c r="H334" s="2713">
        <v>0.287094099478368</v>
      </c>
      <c r="I334" s="2713">
        <v>0.828080088167324</v>
      </c>
      <c r="J334" s="2713">
        <f t="shared" si="12"/>
        <v>0.86948409257569</v>
      </c>
      <c r="K334" s="2714">
        <v>0.4</v>
      </c>
      <c r="L334" s="2714">
        <f t="shared" si="13"/>
        <v>1.55657819205406</v>
      </c>
      <c r="M334" s="2713">
        <v>0.752800080152113</v>
      </c>
      <c r="N334" s="2711"/>
    </row>
    <row r="335" s="2870" customFormat="1" ht="13.2" customHeight="1" spans="1:14">
      <c r="A335" s="730" t="s">
        <v>637</v>
      </c>
      <c r="B335" s="2711"/>
      <c r="C335" s="2711">
        <v>6.837</v>
      </c>
      <c r="D335" s="2711"/>
      <c r="E335" s="2711" t="s">
        <v>661</v>
      </c>
      <c r="F335" s="2713">
        <v>0.269280179885915</v>
      </c>
      <c r="G335" s="2713">
        <v>0.323136215863098</v>
      </c>
      <c r="H335" s="2713">
        <v>0.355449837449408</v>
      </c>
      <c r="I335" s="2713">
        <v>1.31202299683654</v>
      </c>
      <c r="J335" s="2713">
        <f t="shared" si="12"/>
        <v>1.37762414667837</v>
      </c>
      <c r="K335" s="2714">
        <v>0.2</v>
      </c>
      <c r="L335" s="2714">
        <f t="shared" si="13"/>
        <v>1.93307398412778</v>
      </c>
      <c r="M335" s="2713">
        <v>1.19274817894231</v>
      </c>
      <c r="N335" s="2711"/>
    </row>
    <row r="336" s="2870" customFormat="1" ht="13.2" customHeight="1" spans="1:14">
      <c r="A336" s="730" t="s">
        <v>637</v>
      </c>
      <c r="B336" s="2711"/>
      <c r="C336" s="2711">
        <v>6.837</v>
      </c>
      <c r="D336" s="2711"/>
      <c r="E336" s="2711" t="s">
        <v>662</v>
      </c>
      <c r="F336" s="2713">
        <v>0.227852459903466</v>
      </c>
      <c r="G336" s="2713">
        <v>0.273422951884159</v>
      </c>
      <c r="H336" s="2713">
        <v>0.300765247072575</v>
      </c>
      <c r="I336" s="2713">
        <v>2.47348597764266</v>
      </c>
      <c r="J336" s="2713">
        <f t="shared" si="12"/>
        <v>2.59716027652479</v>
      </c>
      <c r="K336" s="2714">
        <v>0.4</v>
      </c>
      <c r="L336" s="2714">
        <f t="shared" si="13"/>
        <v>3.29792552359736</v>
      </c>
      <c r="M336" s="2713">
        <v>2.24862361603878</v>
      </c>
      <c r="N336" s="2711"/>
    </row>
    <row r="337" s="2870" customFormat="1" ht="13.2" customHeight="1" spans="1:14">
      <c r="A337" s="730" t="s">
        <v>637</v>
      </c>
      <c r="B337" s="2711"/>
      <c r="C337" s="2711">
        <v>6.837</v>
      </c>
      <c r="D337" s="2711"/>
      <c r="E337" s="2711" t="s">
        <v>663</v>
      </c>
      <c r="F337" s="2713">
        <v>0.362492549846424</v>
      </c>
      <c r="G337" s="2713">
        <v>0.434991059815709</v>
      </c>
      <c r="H337" s="2713">
        <v>0.47849016579728</v>
      </c>
      <c r="I337" s="2713">
        <v>1.63465160261601</v>
      </c>
      <c r="J337" s="2713">
        <f t="shared" si="12"/>
        <v>1.71638418274681</v>
      </c>
      <c r="K337" s="2714">
        <v>0.4</v>
      </c>
      <c r="L337" s="2714">
        <f t="shared" si="13"/>
        <v>2.59487434854409</v>
      </c>
      <c r="M337" s="2713">
        <v>1.4860469114691</v>
      </c>
      <c r="N337" s="2711"/>
    </row>
    <row r="338" s="2870" customFormat="1" ht="13.2" customHeight="1" spans="1:14">
      <c r="A338" s="730" t="s">
        <v>637</v>
      </c>
      <c r="B338" s="2711"/>
      <c r="C338" s="2711">
        <v>6.837</v>
      </c>
      <c r="D338" s="2711"/>
      <c r="E338" s="2711" t="s">
        <v>664</v>
      </c>
      <c r="F338" s="2713">
        <v>0.476418779798157</v>
      </c>
      <c r="G338" s="2713">
        <v>0.571702535757788</v>
      </c>
      <c r="H338" s="2713">
        <v>0.628872789333567</v>
      </c>
      <c r="I338" s="2713">
        <v>2.12934879814455</v>
      </c>
      <c r="J338" s="2713">
        <f t="shared" si="12"/>
        <v>2.23581623805178</v>
      </c>
      <c r="K338" s="2714">
        <v>0.2</v>
      </c>
      <c r="L338" s="2714">
        <f t="shared" si="13"/>
        <v>3.06468902738535</v>
      </c>
      <c r="M338" s="2713">
        <v>1.93577163467686</v>
      </c>
      <c r="N338" s="2711"/>
    </row>
    <row r="339" s="2870" customFormat="1" ht="13.2" customHeight="1" spans="1:14">
      <c r="A339" s="730" t="s">
        <v>637</v>
      </c>
      <c r="B339" s="2711"/>
      <c r="C339" s="2711">
        <v>6.837</v>
      </c>
      <c r="D339" s="2711"/>
      <c r="E339" s="2712" t="s">
        <v>665</v>
      </c>
      <c r="F339" s="2713">
        <v>0.39795100475751</v>
      </c>
      <c r="G339" s="2713">
        <v>0.477541205709012</v>
      </c>
      <c r="H339" s="2713">
        <v>0.525295326279913</v>
      </c>
      <c r="I339" s="2713">
        <v>0.389379351802818</v>
      </c>
      <c r="J339" s="2713">
        <f t="shared" si="12"/>
        <v>0.408848319392959</v>
      </c>
      <c r="K339" s="2714">
        <v>0.4</v>
      </c>
      <c r="L339" s="2714">
        <f t="shared" si="13"/>
        <v>1.33414364567287</v>
      </c>
      <c r="M339" s="2713">
        <v>0.353981228911653</v>
      </c>
      <c r="N339" s="2712"/>
    </row>
    <row r="340" s="2870" customFormat="1" ht="13.2" customHeight="1" spans="1:14">
      <c r="A340" s="730" t="s">
        <v>637</v>
      </c>
      <c r="B340" s="2711"/>
      <c r="C340" s="2711">
        <v>6.837</v>
      </c>
      <c r="D340" s="2711"/>
      <c r="E340" s="2712" t="s">
        <v>666</v>
      </c>
      <c r="F340" s="2713">
        <v>0.224485182170902</v>
      </c>
      <c r="G340" s="2713">
        <v>0.269382218605082</v>
      </c>
      <c r="H340" s="2713">
        <v>0.29632044046559</v>
      </c>
      <c r="I340" s="2713">
        <v>0.467255222163381</v>
      </c>
      <c r="J340" s="2713">
        <f t="shared" si="12"/>
        <v>0.49061798327155</v>
      </c>
      <c r="K340" s="2714">
        <v>0.2</v>
      </c>
      <c r="L340" s="2714">
        <f t="shared" si="13"/>
        <v>0.98693842373714</v>
      </c>
      <c r="M340" s="2713">
        <v>0.424777474693983</v>
      </c>
      <c r="N340" s="2712"/>
    </row>
    <row r="341" s="2870" customFormat="1" ht="13.2" customHeight="1" spans="1:14">
      <c r="A341" s="730" t="s">
        <v>637</v>
      </c>
      <c r="B341" s="2711"/>
      <c r="C341" s="2711">
        <v>6.837</v>
      </c>
      <c r="D341" s="2711" t="s">
        <v>667</v>
      </c>
      <c r="E341" s="2711" t="s">
        <v>668</v>
      </c>
      <c r="F341" s="2713">
        <v>0.326523901339495</v>
      </c>
      <c r="G341" s="2713">
        <v>0.391828681607394</v>
      </c>
      <c r="H341" s="2713">
        <v>0.431011549768133</v>
      </c>
      <c r="I341" s="2713">
        <v>1.32388979612957</v>
      </c>
      <c r="J341" s="2713">
        <f t="shared" si="12"/>
        <v>1.39008428593605</v>
      </c>
      <c r="K341" s="2714">
        <v>0.2</v>
      </c>
      <c r="L341" s="2714">
        <f t="shared" si="13"/>
        <v>2.02109583570418</v>
      </c>
      <c r="M341" s="2713">
        <v>1.20353617829961</v>
      </c>
      <c r="N341" s="2711"/>
    </row>
    <row r="342" s="2870" customFormat="1" ht="13.2" customHeight="1" spans="1:14">
      <c r="A342" s="730" t="s">
        <v>39</v>
      </c>
      <c r="B342" s="2711"/>
      <c r="C342" s="2711">
        <v>6.837</v>
      </c>
      <c r="D342" s="2711"/>
      <c r="E342" s="2711" t="s">
        <v>669</v>
      </c>
      <c r="F342" s="2713">
        <v>0.163261950669748</v>
      </c>
      <c r="G342" s="2713">
        <v>0.195914340803698</v>
      </c>
      <c r="H342" s="2713">
        <v>0.215505774884068</v>
      </c>
      <c r="I342" s="2713">
        <v>0.478380346500603</v>
      </c>
      <c r="J342" s="2713">
        <f t="shared" si="12"/>
        <v>0.502299363825633</v>
      </c>
      <c r="K342" s="2714">
        <v>0.2</v>
      </c>
      <c r="L342" s="2714">
        <f t="shared" si="13"/>
        <v>0.917805138709701</v>
      </c>
      <c r="M342" s="2713">
        <v>0.434891224091457</v>
      </c>
      <c r="N342" s="2711"/>
    </row>
    <row r="343" s="2870" customFormat="1" ht="13.2" customHeight="1" spans="1:14">
      <c r="A343" s="730" t="s">
        <v>637</v>
      </c>
      <c r="B343" s="2711"/>
      <c r="C343" s="2711">
        <v>6.837</v>
      </c>
      <c r="D343" s="2711"/>
      <c r="E343" s="2712" t="s">
        <v>670</v>
      </c>
      <c r="F343" s="2713">
        <v>0.39795100475751</v>
      </c>
      <c r="G343" s="2713">
        <v>0.477541205709012</v>
      </c>
      <c r="H343" s="2713">
        <v>0.525295326279913</v>
      </c>
      <c r="I343" s="2713">
        <v>1.39064054215292</v>
      </c>
      <c r="J343" s="2713">
        <f t="shared" si="12"/>
        <v>1.46017256926057</v>
      </c>
      <c r="K343" s="2714">
        <v>0.4</v>
      </c>
      <c r="L343" s="2714">
        <f t="shared" si="13"/>
        <v>2.38546789554048</v>
      </c>
      <c r="M343" s="2713">
        <v>1.26421867468447</v>
      </c>
      <c r="N343" s="2712"/>
    </row>
    <row r="344" s="2870" customFormat="1" ht="13.2" customHeight="1" spans="1:14">
      <c r="A344" s="730" t="s">
        <v>637</v>
      </c>
      <c r="B344" s="2711"/>
      <c r="C344" s="2711">
        <v>6.837</v>
      </c>
      <c r="D344" s="2711"/>
      <c r="E344" s="2712" t="s">
        <v>671</v>
      </c>
      <c r="F344" s="2713">
        <v>0.217495529907854</v>
      </c>
      <c r="G344" s="2713">
        <v>0.260994635889425</v>
      </c>
      <c r="H344" s="2713">
        <v>0.287094099478368</v>
      </c>
      <c r="I344" s="2713">
        <v>0.667507460233401</v>
      </c>
      <c r="J344" s="2713">
        <f t="shared" si="12"/>
        <v>0.700882833245071</v>
      </c>
      <c r="K344" s="2714">
        <v>0.4</v>
      </c>
      <c r="L344" s="2714">
        <f t="shared" si="13"/>
        <v>1.38797693272344</v>
      </c>
      <c r="M344" s="2713">
        <v>0.606824963848546</v>
      </c>
      <c r="N344" s="2712"/>
    </row>
    <row r="345" s="2870" customFormat="1" ht="13.2" customHeight="1" spans="1:14">
      <c r="A345" s="730" t="s">
        <v>637</v>
      </c>
      <c r="B345" s="2711"/>
      <c r="C345" s="2711">
        <v>6.837</v>
      </c>
      <c r="D345" s="2711"/>
      <c r="E345" s="2712" t="s">
        <v>672</v>
      </c>
      <c r="F345" s="2713">
        <v>0.326523901339495</v>
      </c>
      <c r="G345" s="2713">
        <v>0.391828681607394</v>
      </c>
      <c r="H345" s="2713">
        <v>0.431011549768133</v>
      </c>
      <c r="I345" s="2713">
        <v>1.31276467179235</v>
      </c>
      <c r="J345" s="2713">
        <f t="shared" si="12"/>
        <v>1.37840290538197</v>
      </c>
      <c r="K345" s="2714">
        <v>0.2</v>
      </c>
      <c r="L345" s="2714">
        <f t="shared" si="13"/>
        <v>2.0094144551501</v>
      </c>
      <c r="M345" s="2713">
        <v>1.19342242890214</v>
      </c>
      <c r="N345" s="2712"/>
    </row>
    <row r="346" s="2870" customFormat="1" ht="13.2" customHeight="1" spans="1:14">
      <c r="A346" s="730" t="s">
        <v>673</v>
      </c>
      <c r="B346" s="2711"/>
      <c r="C346" s="2711">
        <v>6.837</v>
      </c>
      <c r="D346" s="2711"/>
      <c r="E346" s="2711" t="s">
        <v>674</v>
      </c>
      <c r="F346" s="2713">
        <v>0.499989723926102</v>
      </c>
      <c r="G346" s="2713">
        <v>0.599987668711322</v>
      </c>
      <c r="H346" s="2713">
        <v>0.659986435582454</v>
      </c>
      <c r="I346" s="2713">
        <v>3.68718406605117</v>
      </c>
      <c r="J346" s="2713">
        <f t="shared" si="12"/>
        <v>3.87154326935373</v>
      </c>
      <c r="K346" s="2714">
        <v>0.4</v>
      </c>
      <c r="L346" s="2714">
        <f t="shared" si="13"/>
        <v>4.93152970493618</v>
      </c>
      <c r="M346" s="2713">
        <v>3.35198551459197</v>
      </c>
      <c r="N346" s="2711"/>
    </row>
    <row r="347" s="2870" customFormat="1" ht="13.2" customHeight="1" spans="1:14">
      <c r="A347" s="730" t="s">
        <v>673</v>
      </c>
      <c r="B347" s="2711"/>
      <c r="C347" s="2711">
        <v>6.837</v>
      </c>
      <c r="D347" s="2711"/>
      <c r="E347" s="2711" t="s">
        <v>675</v>
      </c>
      <c r="F347" s="2713">
        <v>0.370545030184351</v>
      </c>
      <c r="G347" s="2713">
        <v>0.444654036221221</v>
      </c>
      <c r="H347" s="2713">
        <v>0.489119439843343</v>
      </c>
      <c r="I347" s="2713">
        <v>2.45689892949973</v>
      </c>
      <c r="J347" s="2713">
        <f t="shared" si="12"/>
        <v>2.57974387597472</v>
      </c>
      <c r="K347" s="2714">
        <v>0.4</v>
      </c>
      <c r="L347" s="2714">
        <f t="shared" si="13"/>
        <v>3.46886331581806</v>
      </c>
      <c r="M347" s="2713">
        <v>2.23354448136339</v>
      </c>
      <c r="N347" s="2711"/>
    </row>
    <row r="348" s="2870" customFormat="1" ht="13.2" customHeight="1" spans="1:14">
      <c r="A348" s="730" t="s">
        <v>673</v>
      </c>
      <c r="B348" s="2711"/>
      <c r="C348" s="2711">
        <v>6.837</v>
      </c>
      <c r="D348" s="2711"/>
      <c r="E348" s="2712" t="s">
        <v>676</v>
      </c>
      <c r="F348" s="2713">
        <v>0.52039746775982</v>
      </c>
      <c r="G348" s="2713">
        <v>0.624476961311784</v>
      </c>
      <c r="H348" s="2713">
        <v>0.686924657442962</v>
      </c>
      <c r="I348" s="2713">
        <v>2.51427810021247</v>
      </c>
      <c r="J348" s="2713">
        <f t="shared" si="12"/>
        <v>2.63999200522309</v>
      </c>
      <c r="K348" s="2714">
        <v>0.2</v>
      </c>
      <c r="L348" s="2714">
        <f t="shared" si="13"/>
        <v>3.52691666266605</v>
      </c>
      <c r="M348" s="2713">
        <v>2.28570736382952</v>
      </c>
      <c r="N348" s="2712"/>
    </row>
    <row r="349" s="2870" customFormat="1" ht="13.2" customHeight="1" spans="1:14">
      <c r="A349" s="730" t="s">
        <v>673</v>
      </c>
      <c r="B349" s="2711"/>
      <c r="C349" s="2711">
        <v>6.837</v>
      </c>
      <c r="D349" s="2711"/>
      <c r="E349" s="2712" t="s">
        <v>677</v>
      </c>
      <c r="F349" s="2713">
        <v>0.877532984849894</v>
      </c>
      <c r="G349" s="2713">
        <v>1.05303958181987</v>
      </c>
      <c r="H349" s="2713">
        <v>1.15834354000186</v>
      </c>
      <c r="I349" s="2713">
        <v>6.41919674257787</v>
      </c>
      <c r="J349" s="2713">
        <f t="shared" si="12"/>
        <v>6.74015657970676</v>
      </c>
      <c r="K349" s="2714">
        <v>0.4</v>
      </c>
      <c r="L349" s="2714">
        <f t="shared" si="13"/>
        <v>8.29850011970862</v>
      </c>
      <c r="M349" s="2713">
        <v>5.83563340234352</v>
      </c>
      <c r="N349" s="2712" t="s">
        <v>346</v>
      </c>
    </row>
    <row r="350" s="2870" customFormat="1" ht="13.2" customHeight="1" spans="1:14">
      <c r="A350" s="730" t="s">
        <v>673</v>
      </c>
      <c r="B350" s="2883">
        <v>46057</v>
      </c>
      <c r="C350" s="2711">
        <v>6.837</v>
      </c>
      <c r="D350" s="2711"/>
      <c r="E350" s="2711" t="s">
        <v>678</v>
      </c>
      <c r="F350" s="2713">
        <f>4.12/C350/1.13</f>
        <v>0.533277416866322</v>
      </c>
      <c r="G350" s="2713">
        <v>0.639932900239586</v>
      </c>
      <c r="H350" s="2713">
        <v>0.703926190263545</v>
      </c>
      <c r="I350" s="2713">
        <v>2.04597645546292</v>
      </c>
      <c r="J350" s="2713">
        <f t="shared" si="12"/>
        <v>2.14827527823607</v>
      </c>
      <c r="K350" s="2714">
        <v>0.4</v>
      </c>
      <c r="L350" s="2714">
        <f t="shared" si="13"/>
        <v>3.25220146849961</v>
      </c>
      <c r="M350" s="2713">
        <v>1.85997859587538</v>
      </c>
      <c r="N350" s="2711"/>
    </row>
    <row r="351" s="2870" customFormat="1" ht="13.2" customHeight="1" spans="1:14">
      <c r="A351" s="730" t="s">
        <v>673</v>
      </c>
      <c r="B351" s="2883">
        <v>46091</v>
      </c>
      <c r="C351" s="2711">
        <v>6.837</v>
      </c>
      <c r="D351" s="2711" t="s">
        <v>679</v>
      </c>
      <c r="E351" s="2711" t="s">
        <v>680</v>
      </c>
      <c r="F351" s="2713">
        <f>4/C351/1.13</f>
        <v>0.517745064918759</v>
      </c>
      <c r="G351" s="2713">
        <v>0.621294077902511</v>
      </c>
      <c r="H351" s="2713">
        <v>0.683423485692762</v>
      </c>
      <c r="I351" s="2713">
        <v>2.509925960509</v>
      </c>
      <c r="J351" s="2713">
        <f t="shared" si="12"/>
        <v>2.63542225853445</v>
      </c>
      <c r="K351" s="2714">
        <v>0.2</v>
      </c>
      <c r="L351" s="2714">
        <f t="shared" si="13"/>
        <v>3.51884574422721</v>
      </c>
      <c r="M351" s="2713">
        <v>2.28175087319</v>
      </c>
      <c r="N351" s="2711" t="s">
        <v>63</v>
      </c>
    </row>
    <row r="352" s="2870" customFormat="1" ht="13.2" customHeight="1" spans="1:14">
      <c r="A352" s="2906" t="s">
        <v>673</v>
      </c>
      <c r="B352" s="2711"/>
      <c r="C352" s="2711"/>
      <c r="D352" s="2711"/>
      <c r="E352" s="2899" t="s">
        <v>680</v>
      </c>
      <c r="F352" s="2713"/>
      <c r="G352" s="2713"/>
      <c r="H352" s="2713">
        <v>0.683423485692762</v>
      </c>
      <c r="I352" s="2713"/>
      <c r="J352" s="2713">
        <v>2.63542225853445</v>
      </c>
      <c r="K352" s="2714">
        <v>0.3</v>
      </c>
      <c r="L352" s="2714">
        <v>3.51884574422721</v>
      </c>
      <c r="M352" s="2713"/>
      <c r="N352" s="2711" t="s">
        <v>681</v>
      </c>
    </row>
    <row r="353" s="2870" customFormat="1" ht="13.2" customHeight="1" spans="1:19">
      <c r="A353" s="730" t="s">
        <v>682</v>
      </c>
      <c r="B353" s="2711"/>
      <c r="C353" s="2711">
        <v>6.837</v>
      </c>
      <c r="D353" s="2711"/>
      <c r="E353" s="2711" t="s">
        <v>683</v>
      </c>
      <c r="F353" s="2713">
        <v>0.420081968848574</v>
      </c>
      <c r="G353" s="2713">
        <v>0.504098362618289</v>
      </c>
      <c r="H353" s="2713">
        <v>0.554508198880118</v>
      </c>
      <c r="I353" s="2713">
        <v>2.63696919799216</v>
      </c>
      <c r="J353" s="2713">
        <f t="shared" ref="J353:J388" si="14">I353*1.05</f>
        <v>2.76881765789177</v>
      </c>
      <c r="K353" s="2714">
        <v>0.2</v>
      </c>
      <c r="L353" s="2714">
        <f t="shared" ref="L353:L388" si="15">SUBTOTAL(109,H353,J353,K353)</f>
        <v>3.52332585677189</v>
      </c>
      <c r="M353" s="2713">
        <v>2.39724472544742</v>
      </c>
      <c r="N353" s="2711"/>
    </row>
    <row r="354" s="2870" customFormat="1" ht="13.2" customHeight="1" spans="1:19">
      <c r="A354" s="730" t="s">
        <v>682</v>
      </c>
      <c r="B354" s="2711">
        <v>20241122</v>
      </c>
      <c r="C354" s="2711">
        <v>6.837</v>
      </c>
      <c r="D354" s="2711" t="s">
        <v>684</v>
      </c>
      <c r="E354" s="2711" t="s">
        <v>685</v>
      </c>
      <c r="F354" s="2713">
        <v>0.448471094159186</v>
      </c>
      <c r="G354" s="2713">
        <v>0.538165312991023</v>
      </c>
      <c r="H354" s="2713">
        <v>0.591981844290125</v>
      </c>
      <c r="I354" s="2713">
        <v>3.06446992131836</v>
      </c>
      <c r="J354" s="2713">
        <f t="shared" si="14"/>
        <v>3.21769341738428</v>
      </c>
      <c r="K354" s="2714">
        <v>0.4</v>
      </c>
      <c r="L354" s="2714">
        <f t="shared" si="15"/>
        <v>4.20967526167441</v>
      </c>
      <c r="M354" s="2713">
        <v>2.78588174665305</v>
      </c>
      <c r="N354" s="2711" t="s">
        <v>686</v>
      </c>
    </row>
    <row r="355" s="2870" customFormat="1" ht="13.2" customHeight="1" spans="1:19">
      <c r="A355" s="730" t="s">
        <v>682</v>
      </c>
      <c r="B355" s="2711"/>
      <c r="C355" s="2711">
        <v>6.837</v>
      </c>
      <c r="D355" s="2711"/>
      <c r="E355" s="2711" t="s">
        <v>687</v>
      </c>
      <c r="F355" s="2713">
        <v>0.429393873014831</v>
      </c>
      <c r="G355" s="2713">
        <v>0.515272647617797</v>
      </c>
      <c r="H355" s="2713">
        <v>0.566799912379577</v>
      </c>
      <c r="I355" s="2713">
        <v>3.44488283056832</v>
      </c>
      <c r="J355" s="2713">
        <f t="shared" si="14"/>
        <v>3.61712697209674</v>
      </c>
      <c r="K355" s="2714">
        <v>0.2</v>
      </c>
      <c r="L355" s="2714">
        <f t="shared" si="15"/>
        <v>4.38392688447632</v>
      </c>
      <c r="M355" s="2713">
        <v>3.13171166415302</v>
      </c>
      <c r="N355" s="2711"/>
    </row>
    <row r="356" s="2870" customFormat="1" ht="13.2" customHeight="1" spans="1:19">
      <c r="A356" s="730" t="s">
        <v>688</v>
      </c>
      <c r="B356" s="2711"/>
      <c r="C356" s="2711">
        <v>6.837</v>
      </c>
      <c r="D356" s="2711"/>
      <c r="E356" s="2711" t="s">
        <v>689</v>
      </c>
      <c r="F356" s="2713">
        <v>0.0621415799736727</v>
      </c>
      <c r="G356" s="2713">
        <v>0.0745698959684072</v>
      </c>
      <c r="H356" s="2713">
        <v>0.0820268855652479</v>
      </c>
      <c r="I356" s="2713">
        <v>0.338760036068451</v>
      </c>
      <c r="J356" s="2713">
        <f t="shared" si="14"/>
        <v>0.355698037871874</v>
      </c>
      <c r="K356" s="2714">
        <v>0.4</v>
      </c>
      <c r="L356" s="2714">
        <f t="shared" si="15"/>
        <v>0.837724923437122</v>
      </c>
      <c r="M356" s="2713">
        <v>0.307963669153137</v>
      </c>
      <c r="N356" s="2711"/>
    </row>
    <row r="357" s="2870" customFormat="1" ht="13.2" customHeight="1" spans="1:19">
      <c r="A357" s="730" t="s">
        <v>688</v>
      </c>
      <c r="B357" s="2711"/>
      <c r="C357" s="2711">
        <v>6.837</v>
      </c>
      <c r="D357" s="2711"/>
      <c r="E357" s="2711" t="s">
        <v>690</v>
      </c>
      <c r="F357" s="2713">
        <v>1.19104694949539</v>
      </c>
      <c r="G357" s="2713">
        <v>1.42925633939447</v>
      </c>
      <c r="H357" s="2713">
        <v>1.57218197333392</v>
      </c>
      <c r="I357" s="2713">
        <v>8.03990485602457</v>
      </c>
      <c r="J357" s="2713">
        <f t="shared" si="14"/>
        <v>8.4419000988258</v>
      </c>
      <c r="K357" s="2714">
        <v>0.4</v>
      </c>
      <c r="L357" s="2714">
        <f t="shared" si="15"/>
        <v>10.4140820721597</v>
      </c>
      <c r="M357" s="2713">
        <v>7.30900441456779</v>
      </c>
      <c r="N357" s="2711" t="s">
        <v>691</v>
      </c>
    </row>
    <row r="358" s="2870" customFormat="1" ht="13.2" customHeight="1" spans="1:19">
      <c r="A358" s="730" t="s">
        <v>688</v>
      </c>
      <c r="B358" s="2711"/>
      <c r="C358" s="2711">
        <v>6.837</v>
      </c>
      <c r="D358" s="2711"/>
      <c r="E358" s="2711" t="s">
        <v>692</v>
      </c>
      <c r="F358" s="2713">
        <v>1.23466850193997</v>
      </c>
      <c r="G358" s="2713">
        <v>1.48160220232796</v>
      </c>
      <c r="H358" s="2713">
        <v>1.62976242256076</v>
      </c>
      <c r="I358" s="2713">
        <v>5.88519077439115</v>
      </c>
      <c r="J358" s="2713">
        <f t="shared" si="14"/>
        <v>6.17945031311071</v>
      </c>
      <c r="K358" s="2714">
        <v>0.4</v>
      </c>
      <c r="L358" s="2714">
        <f t="shared" si="15"/>
        <v>8.20921273567147</v>
      </c>
      <c r="M358" s="2713">
        <v>5.35017343126468</v>
      </c>
      <c r="N358" s="2711" t="s">
        <v>25</v>
      </c>
    </row>
    <row r="359" s="2870" customFormat="1" ht="13.2" customHeight="1" spans="1:19">
      <c r="A359" s="730" t="s">
        <v>688</v>
      </c>
      <c r="B359" s="2711"/>
      <c r="C359" s="2711">
        <v>6.837</v>
      </c>
      <c r="D359" s="2711" t="s">
        <v>693</v>
      </c>
      <c r="E359" s="2711" t="s">
        <v>694</v>
      </c>
      <c r="F359" s="2713">
        <v>1.23466850193997</v>
      </c>
      <c r="G359" s="2713">
        <v>1.48160220232796</v>
      </c>
      <c r="H359" s="2713">
        <v>1.62976242256076</v>
      </c>
      <c r="I359" s="2713">
        <v>5.88519077439115</v>
      </c>
      <c r="J359" s="2713">
        <f t="shared" si="14"/>
        <v>6.17945031311071</v>
      </c>
      <c r="K359" s="2714">
        <v>0.4</v>
      </c>
      <c r="L359" s="2714">
        <f t="shared" si="15"/>
        <v>8.20921273567147</v>
      </c>
      <c r="M359" s="2713">
        <v>5.35017343126468</v>
      </c>
      <c r="N359" s="2711" t="s">
        <v>25</v>
      </c>
    </row>
    <row r="360" s="2870" customFormat="1" ht="13.2" customHeight="1" spans="1:19">
      <c r="A360" s="730" t="s">
        <v>688</v>
      </c>
      <c r="B360" s="2711"/>
      <c r="C360" s="2711">
        <v>6.837</v>
      </c>
      <c r="D360" s="2711" t="s">
        <v>695</v>
      </c>
      <c r="E360" s="2711" t="s">
        <v>696</v>
      </c>
      <c r="F360" s="2713">
        <v>1.23466850193997</v>
      </c>
      <c r="G360" s="2713">
        <v>1.48160220232796</v>
      </c>
      <c r="H360" s="2713">
        <v>1.62976242256076</v>
      </c>
      <c r="I360" s="2713">
        <v>5.87406565005393</v>
      </c>
      <c r="J360" s="2713">
        <f t="shared" si="14"/>
        <v>6.16776893255663</v>
      </c>
      <c r="K360" s="2714">
        <v>0.4</v>
      </c>
      <c r="L360" s="2714">
        <f t="shared" si="15"/>
        <v>8.19753135511739</v>
      </c>
      <c r="M360" s="2713">
        <v>5.34005968186721</v>
      </c>
      <c r="N360" s="2711" t="s">
        <v>25</v>
      </c>
    </row>
    <row r="361" s="2870" customFormat="1" ht="13.2" customHeight="1" spans="1:19">
      <c r="A361" s="730" t="s">
        <v>688</v>
      </c>
      <c r="B361" s="2711"/>
      <c r="C361" s="2711">
        <v>6.837</v>
      </c>
      <c r="D361" s="2711" t="s">
        <v>697</v>
      </c>
      <c r="E361" s="2711" t="s">
        <v>698</v>
      </c>
      <c r="F361" s="2713">
        <v>1.07140655127022</v>
      </c>
      <c r="G361" s="2713">
        <v>1.28568786152426</v>
      </c>
      <c r="H361" s="2713">
        <v>1.41425664767669</v>
      </c>
      <c r="I361" s="2713">
        <v>5.76281440668171</v>
      </c>
      <c r="J361" s="2713">
        <f t="shared" si="14"/>
        <v>6.0509551270158</v>
      </c>
      <c r="K361" s="2714">
        <v>0.4</v>
      </c>
      <c r="L361" s="2714">
        <f t="shared" si="15"/>
        <v>7.86521177469249</v>
      </c>
      <c r="M361" s="2713">
        <v>5.23892218789246</v>
      </c>
      <c r="N361" s="2711" t="s">
        <v>699</v>
      </c>
    </row>
    <row r="362" s="2870" customFormat="1" ht="13.2" customHeight="1" spans="1:19">
      <c r="A362" s="730" t="s">
        <v>688</v>
      </c>
      <c r="B362" s="2711"/>
      <c r="C362" s="2711">
        <v>6.837</v>
      </c>
      <c r="D362" s="2711" t="s">
        <v>700</v>
      </c>
      <c r="E362" s="2711" t="s">
        <v>701</v>
      </c>
      <c r="F362" s="2713">
        <v>0.357135517090073</v>
      </c>
      <c r="G362" s="2713">
        <v>0.428562620508088</v>
      </c>
      <c r="H362" s="2713">
        <v>0.471418882558897</v>
      </c>
      <c r="I362" s="2713">
        <v>2.79717411907329</v>
      </c>
      <c r="J362" s="2713">
        <f t="shared" si="14"/>
        <v>2.93703282502695</v>
      </c>
      <c r="K362" s="2714">
        <v>0.4</v>
      </c>
      <c r="L362" s="2714">
        <f t="shared" si="15"/>
        <v>3.80845170758585</v>
      </c>
      <c r="M362" s="2713">
        <v>2.5428855627939</v>
      </c>
      <c r="N362" s="2711"/>
    </row>
    <row r="363" s="2870" customFormat="1" ht="13.2" customHeight="1" spans="1:19">
      <c r="A363" s="730" t="s">
        <v>688</v>
      </c>
      <c r="B363" s="2711"/>
      <c r="C363" s="2711">
        <v>6.837</v>
      </c>
      <c r="D363" s="2711" t="s">
        <v>702</v>
      </c>
      <c r="E363" s="2711" t="s">
        <v>703</v>
      </c>
      <c r="F363" s="2713">
        <v>1.23466850193997</v>
      </c>
      <c r="G363" s="2713">
        <v>1.48160220232796</v>
      </c>
      <c r="H363" s="2713">
        <v>1.62976242256076</v>
      </c>
      <c r="I363" s="2713">
        <v>6.41919674257787</v>
      </c>
      <c r="J363" s="2713">
        <f t="shared" si="14"/>
        <v>6.74015657970676</v>
      </c>
      <c r="K363" s="2714">
        <v>0.4</v>
      </c>
      <c r="L363" s="2714">
        <f t="shared" si="15"/>
        <v>8.76991900226752</v>
      </c>
      <c r="M363" s="2713">
        <v>5.83563340234352</v>
      </c>
      <c r="N363" s="2736" t="s">
        <v>704</v>
      </c>
    </row>
    <row r="364" s="2870" customFormat="1" ht="13.2" customHeight="1" spans="1:19">
      <c r="A364" s="730" t="s">
        <v>688</v>
      </c>
      <c r="B364" s="2711"/>
      <c r="C364" s="2711">
        <v>6.837</v>
      </c>
      <c r="D364" s="2711" t="s">
        <v>705</v>
      </c>
      <c r="E364" s="2711" t="s">
        <v>706</v>
      </c>
      <c r="F364" s="2713">
        <v>0.0714271034180146</v>
      </c>
      <c r="G364" s="2713">
        <v>0.0857125241016175</v>
      </c>
      <c r="H364" s="2713">
        <v>0.0942837765117793</v>
      </c>
      <c r="I364" s="2713">
        <v>0.178001989395574</v>
      </c>
      <c r="J364" s="2713">
        <f t="shared" si="14"/>
        <v>0.186902088865353</v>
      </c>
      <c r="K364" s="2714">
        <v>0.4</v>
      </c>
      <c r="L364" s="2714">
        <f t="shared" si="15"/>
        <v>0.681185865377132</v>
      </c>
      <c r="M364" s="2713">
        <v>0.161819990359613</v>
      </c>
      <c r="N364" s="226" t="s">
        <v>707</v>
      </c>
    </row>
    <row r="365" s="2870" customFormat="1" ht="13.2" customHeight="1" spans="1:19">
      <c r="A365" s="730" t="s">
        <v>688</v>
      </c>
      <c r="B365" s="2711"/>
      <c r="C365" s="2711">
        <v>6.837</v>
      </c>
      <c r="D365" s="2711" t="s">
        <v>708</v>
      </c>
      <c r="E365" s="2736" t="s">
        <v>709</v>
      </c>
      <c r="F365" s="2713">
        <v>1.19104694949539</v>
      </c>
      <c r="G365" s="2713">
        <v>1.42925633939447</v>
      </c>
      <c r="H365" s="2713">
        <v>1.57218197333392</v>
      </c>
      <c r="I365" s="2713">
        <v>6.56382335896177</v>
      </c>
      <c r="J365" s="2713">
        <f t="shared" si="14"/>
        <v>6.89201452690986</v>
      </c>
      <c r="K365" s="2714">
        <v>0.4</v>
      </c>
      <c r="L365" s="2714">
        <f t="shared" si="15"/>
        <v>8.86419650024378</v>
      </c>
      <c r="M365" s="2713">
        <v>5.9671121445107</v>
      </c>
      <c r="N365" s="2736" t="s">
        <v>704</v>
      </c>
    </row>
    <row r="366" s="2870" customFormat="1" ht="13.2" customHeight="1" spans="1:19">
      <c r="A366" s="730" t="s">
        <v>688</v>
      </c>
      <c r="B366" s="2711"/>
      <c r="C366" s="2711">
        <v>6.837</v>
      </c>
      <c r="D366" s="2711" t="s">
        <v>710</v>
      </c>
      <c r="E366" s="2736" t="s">
        <v>711</v>
      </c>
      <c r="F366" s="2713">
        <v>1.19104694949539</v>
      </c>
      <c r="G366" s="2713">
        <v>1.42925633939447</v>
      </c>
      <c r="H366" s="2713">
        <v>1.57218197333392</v>
      </c>
      <c r="I366" s="2713">
        <v>6.17672465764809</v>
      </c>
      <c r="J366" s="2713">
        <f t="shared" si="14"/>
        <v>6.48556089053049</v>
      </c>
      <c r="K366" s="2714">
        <v>0.4</v>
      </c>
      <c r="L366" s="2714">
        <f t="shared" si="15"/>
        <v>8.45774286386441</v>
      </c>
      <c r="M366" s="1629" t="s">
        <v>712</v>
      </c>
      <c r="N366" s="2736" t="s">
        <v>704</v>
      </c>
      <c r="O366" s="2768"/>
      <c r="P366" s="176"/>
      <c r="Q366" s="176"/>
      <c r="R366" s="176"/>
      <c r="S366" s="176"/>
    </row>
    <row r="367" s="2870" customFormat="1" ht="13.2" customHeight="1" spans="1:19">
      <c r="A367" s="730" t="s">
        <v>688</v>
      </c>
      <c r="B367" s="2711"/>
      <c r="C367" s="2711">
        <v>6.837</v>
      </c>
      <c r="D367" s="2711" t="s">
        <v>713</v>
      </c>
      <c r="E367" s="2736" t="s">
        <v>714</v>
      </c>
      <c r="F367" s="2713" t="s">
        <v>715</v>
      </c>
      <c r="G367" s="2713">
        <v>1.03759525753336</v>
      </c>
      <c r="H367" s="2713">
        <v>1.1413547832867</v>
      </c>
      <c r="I367" s="2713">
        <v>5.19830334435837</v>
      </c>
      <c r="J367" s="2713">
        <f t="shared" si="14"/>
        <v>5.45821851157629</v>
      </c>
      <c r="K367" s="2714">
        <v>0.4</v>
      </c>
      <c r="L367" s="2714">
        <f t="shared" si="15"/>
        <v>6.99957329486299</v>
      </c>
      <c r="M367" s="1629" t="s">
        <v>712</v>
      </c>
      <c r="N367" s="2736" t="s">
        <v>704</v>
      </c>
      <c r="O367" s="2768"/>
      <c r="P367" s="176">
        <v>15.3</v>
      </c>
      <c r="Q367" s="176"/>
      <c r="R367" s="176"/>
      <c r="S367" s="176"/>
    </row>
    <row r="368" s="2870" customFormat="1" ht="13.2" customHeight="1" spans="1:19">
      <c r="A368" s="730" t="s">
        <v>688</v>
      </c>
      <c r="B368" s="2711"/>
      <c r="C368" s="2711">
        <v>6.837</v>
      </c>
      <c r="D368" s="2711" t="s">
        <v>716</v>
      </c>
      <c r="E368" s="2736" t="s">
        <v>717</v>
      </c>
      <c r="F368" s="2713">
        <v>0.913931245358203</v>
      </c>
      <c r="G368" s="2713">
        <v>1.09671749442984</v>
      </c>
      <c r="H368" s="2713">
        <v>1.20638924387282</v>
      </c>
      <c r="I368" s="2713">
        <v>6.28584684993581</v>
      </c>
      <c r="J368" s="2713">
        <f t="shared" si="14"/>
        <v>6.6001391924326</v>
      </c>
      <c r="K368" s="2714">
        <v>0.4</v>
      </c>
      <c r="L368" s="2714">
        <f t="shared" si="15"/>
        <v>8.20652843630542</v>
      </c>
      <c r="M368" s="2713">
        <v>5.71440622721437</v>
      </c>
      <c r="N368" s="2736"/>
    </row>
    <row r="369" s="2870" customFormat="1" ht="13.2" customHeight="1" spans="1:14">
      <c r="A369" s="730" t="s">
        <v>688</v>
      </c>
      <c r="B369" s="2711">
        <v>20240801</v>
      </c>
      <c r="C369" s="2711">
        <v>6.837</v>
      </c>
      <c r="D369" s="2711" t="s">
        <v>718</v>
      </c>
      <c r="E369" s="2736" t="s">
        <v>719</v>
      </c>
      <c r="F369" s="2713">
        <v>0.382089069855793</v>
      </c>
      <c r="G369" s="2713">
        <v>0.458506883826952</v>
      </c>
      <c r="H369" s="2713">
        <v>0.504357572209647</v>
      </c>
      <c r="I369" s="2713">
        <v>3.50386525452993</v>
      </c>
      <c r="J369" s="2713">
        <f t="shared" si="14"/>
        <v>3.67905851725643</v>
      </c>
      <c r="K369" s="2714">
        <v>0.4</v>
      </c>
      <c r="L369" s="2714">
        <f t="shared" si="15"/>
        <v>4.58341608946608</v>
      </c>
      <c r="M369" s="2713">
        <v>3.18533204957266</v>
      </c>
      <c r="N369" s="260" t="s">
        <v>720</v>
      </c>
    </row>
    <row r="370" s="2870" customFormat="1" ht="13.2" customHeight="1" spans="1:14">
      <c r="A370" s="730" t="s">
        <v>688</v>
      </c>
      <c r="B370" s="2711"/>
      <c r="C370" s="2711">
        <v>6.837</v>
      </c>
      <c r="D370" s="2711"/>
      <c r="E370" s="2736" t="s">
        <v>721</v>
      </c>
      <c r="F370" s="2713">
        <v>0.0627768820197121</v>
      </c>
      <c r="G370" s="2713">
        <v>0.0753322584236545</v>
      </c>
      <c r="H370" s="2713">
        <v>0.08286548426602</v>
      </c>
      <c r="I370" s="2713">
        <v>0.317076765484848</v>
      </c>
      <c r="J370" s="2713">
        <f t="shared" si="14"/>
        <v>0.33293060375909</v>
      </c>
      <c r="K370" s="2714">
        <v>0.2</v>
      </c>
      <c r="L370" s="2714">
        <f t="shared" si="15"/>
        <v>0.61579608802511</v>
      </c>
      <c r="M370" s="2713">
        <v>0.288251604986225</v>
      </c>
      <c r="N370" s="2736"/>
    </row>
    <row r="371" s="2870" customFormat="1" ht="13.2" customHeight="1" spans="1:14">
      <c r="A371" s="730" t="s">
        <v>722</v>
      </c>
      <c r="B371" s="2711"/>
      <c r="C371" s="2711">
        <v>6.837</v>
      </c>
      <c r="D371" s="2736" t="s">
        <v>723</v>
      </c>
      <c r="E371" s="2736" t="s">
        <v>724</v>
      </c>
      <c r="F371" s="2713">
        <v>0.435357676806704</v>
      </c>
      <c r="G371" s="2713">
        <v>0.522429212168045</v>
      </c>
      <c r="H371" s="2713">
        <v>0.57467213338485</v>
      </c>
      <c r="I371" s="2713">
        <v>4.23429985961305</v>
      </c>
      <c r="J371" s="2713">
        <f t="shared" si="14"/>
        <v>4.4460148525937</v>
      </c>
      <c r="K371" s="2714">
        <v>0.4</v>
      </c>
      <c r="L371" s="2714">
        <f t="shared" si="15"/>
        <v>5.42068698597855</v>
      </c>
      <c r="M371" s="2713">
        <v>3.84936350873914</v>
      </c>
      <c r="N371" s="2711" t="s">
        <v>25</v>
      </c>
    </row>
    <row r="372" s="2870" customFormat="1" ht="13.2" customHeight="1" spans="1:14">
      <c r="A372" s="730" t="s">
        <v>722</v>
      </c>
      <c r="B372" s="2711"/>
      <c r="C372" s="2711">
        <v>6.837</v>
      </c>
      <c r="D372" s="2711" t="s">
        <v>725</v>
      </c>
      <c r="E372" s="2736" t="s">
        <v>726</v>
      </c>
      <c r="F372" s="2713">
        <v>0.338531421233522</v>
      </c>
      <c r="G372" s="2713">
        <v>0.406237705480226</v>
      </c>
      <c r="H372" s="2713">
        <v>0.446861476028249</v>
      </c>
      <c r="I372" s="2713">
        <v>1.92989043143284</v>
      </c>
      <c r="J372" s="2713">
        <f t="shared" si="14"/>
        <v>2.02638495300448</v>
      </c>
      <c r="K372" s="2714">
        <v>0.2</v>
      </c>
      <c r="L372" s="2714">
        <f t="shared" si="15"/>
        <v>2.67324642903273</v>
      </c>
      <c r="M372" s="2713">
        <v>1.75444584675713</v>
      </c>
      <c r="N372" s="2711"/>
    </row>
    <row r="373" s="2870" customFormat="1" ht="13.2" customHeight="1" spans="1:14">
      <c r="A373" s="730" t="s">
        <v>722</v>
      </c>
      <c r="B373" s="2711">
        <v>20240724</v>
      </c>
      <c r="C373" s="2711">
        <v>6.837</v>
      </c>
      <c r="D373" s="2711" t="s">
        <v>727</v>
      </c>
      <c r="E373" s="2736" t="s">
        <v>728</v>
      </c>
      <c r="F373" s="2713">
        <v>0.417175397209868</v>
      </c>
      <c r="G373" s="2713">
        <v>0.500610476651842</v>
      </c>
      <c r="H373" s="2713">
        <v>0.550671524317026</v>
      </c>
      <c r="I373" s="2713">
        <v>2.38585255033179</v>
      </c>
      <c r="J373" s="2713">
        <f t="shared" si="14"/>
        <v>2.50514517784838</v>
      </c>
      <c r="K373" s="2714">
        <v>0.2</v>
      </c>
      <c r="L373" s="2714">
        <f t="shared" si="15"/>
        <v>3.25581670216541</v>
      </c>
      <c r="M373" s="2713">
        <v>2.16895686393799</v>
      </c>
      <c r="N373" s="2711"/>
    </row>
    <row r="374" s="2870" customFormat="1" ht="13.2" customHeight="1" spans="1:14">
      <c r="A374" s="730" t="s">
        <v>722</v>
      </c>
      <c r="B374" s="2711">
        <v>20240521</v>
      </c>
      <c r="C374" s="2711">
        <v>6.837</v>
      </c>
      <c r="D374" s="2711" t="s">
        <v>729</v>
      </c>
      <c r="E374" s="2736" t="s">
        <v>730</v>
      </c>
      <c r="F374" s="2713">
        <v>0.472774115526082</v>
      </c>
      <c r="G374" s="2713">
        <v>0.567328938631298</v>
      </c>
      <c r="H374" s="2713">
        <v>0.624061832494428</v>
      </c>
      <c r="I374" s="2713">
        <v>1.79676665108939</v>
      </c>
      <c r="J374" s="2713">
        <f t="shared" si="14"/>
        <v>1.88660498364386</v>
      </c>
      <c r="K374" s="2714">
        <v>0.2</v>
      </c>
      <c r="L374" s="2714">
        <f t="shared" si="15"/>
        <v>2.71066681613829</v>
      </c>
      <c r="M374" s="2713">
        <v>1.63342422826308</v>
      </c>
      <c r="N374" s="226" t="s">
        <v>33</v>
      </c>
    </row>
    <row r="375" s="2870" customFormat="1" ht="13.2" customHeight="1" spans="1:14">
      <c r="A375" s="730" t="s">
        <v>722</v>
      </c>
      <c r="B375" s="2711">
        <v>20240606</v>
      </c>
      <c r="C375" s="2711">
        <v>6.837</v>
      </c>
      <c r="D375" s="2711" t="s">
        <v>731</v>
      </c>
      <c r="E375" s="2736" t="s">
        <v>732</v>
      </c>
      <c r="F375" s="2713">
        <v>0.420637416112972</v>
      </c>
      <c r="G375" s="2713">
        <v>0.504764899335566</v>
      </c>
      <c r="H375" s="2713">
        <v>0.555241389269123</v>
      </c>
      <c r="I375" s="2713">
        <v>2.39806294033652</v>
      </c>
      <c r="J375" s="2713">
        <f t="shared" si="14"/>
        <v>2.51796608735335</v>
      </c>
      <c r="K375" s="2714">
        <v>0.2</v>
      </c>
      <c r="L375" s="2714">
        <f t="shared" si="15"/>
        <v>3.27320747662247</v>
      </c>
      <c r="M375" s="2713">
        <v>2.18005721848775</v>
      </c>
      <c r="N375" s="226" t="s">
        <v>733</v>
      </c>
    </row>
    <row r="376" s="2870" customFormat="1" ht="13.2" customHeight="1" spans="1:14">
      <c r="A376" s="730" t="s">
        <v>722</v>
      </c>
      <c r="B376" s="2711">
        <v>20250811</v>
      </c>
      <c r="C376" s="2711">
        <v>6.837</v>
      </c>
      <c r="D376" s="2711" t="s">
        <v>734</v>
      </c>
      <c r="E376" s="2736" t="s">
        <v>735</v>
      </c>
      <c r="F376" s="2713">
        <v>0.348976424482802</v>
      </c>
      <c r="G376" s="2713">
        <v>0.418771709379362</v>
      </c>
      <c r="H376" s="2713">
        <v>0.460648880317298</v>
      </c>
      <c r="I376" s="2713">
        <v>2.49220150432242</v>
      </c>
      <c r="J376" s="2713">
        <f t="shared" si="14"/>
        <v>2.61681157953854</v>
      </c>
      <c r="K376" s="2714">
        <v>0.2</v>
      </c>
      <c r="L376" s="2714">
        <f t="shared" si="15"/>
        <v>3.27746045985584</v>
      </c>
      <c r="M376" s="2713">
        <v>2.2656377312022</v>
      </c>
      <c r="N376" s="2711" t="s">
        <v>736</v>
      </c>
    </row>
    <row r="377" s="2870" customFormat="1" ht="13.2" customHeight="1" spans="1:14">
      <c r="A377" s="730" t="s">
        <v>722</v>
      </c>
      <c r="B377" s="2711">
        <v>20241118</v>
      </c>
      <c r="C377" s="2711">
        <v>6.837</v>
      </c>
      <c r="D377" s="2711" t="s">
        <v>737</v>
      </c>
      <c r="E377" s="2711" t="s">
        <v>738</v>
      </c>
      <c r="F377" s="2713">
        <v>0.373510507815575</v>
      </c>
      <c r="G377" s="2713">
        <v>0.44821260937869</v>
      </c>
      <c r="H377" s="2713">
        <v>0.493033870316559</v>
      </c>
      <c r="I377" s="2713">
        <v>1.72569081796108</v>
      </c>
      <c r="J377" s="2713">
        <f t="shared" si="14"/>
        <v>1.81197535885913</v>
      </c>
      <c r="K377" s="2714">
        <v>0.2</v>
      </c>
      <c r="L377" s="2714">
        <f t="shared" si="15"/>
        <v>2.50500922917569</v>
      </c>
      <c r="M377" s="2713">
        <v>1.56880983451007</v>
      </c>
      <c r="N377" s="2711"/>
    </row>
    <row r="378" s="2870" customFormat="1" ht="13.2" customHeight="1" spans="1:14">
      <c r="A378" s="730" t="s">
        <v>722</v>
      </c>
      <c r="B378" s="2711">
        <v>20250529</v>
      </c>
      <c r="C378" s="2711">
        <v>6.837</v>
      </c>
      <c r="D378" s="2711" t="s">
        <v>739</v>
      </c>
      <c r="E378" s="2711" t="s">
        <v>740</v>
      </c>
      <c r="F378" s="2713">
        <v>0.370707557142903</v>
      </c>
      <c r="G378" s="2713">
        <v>0.444849068571484</v>
      </c>
      <c r="H378" s="2713">
        <v>0.489333975428632</v>
      </c>
      <c r="I378" s="2713">
        <v>3.25058771868427</v>
      </c>
      <c r="J378" s="2713">
        <f t="shared" si="14"/>
        <v>3.41311710461848</v>
      </c>
      <c r="K378" s="2714">
        <v>0.4</v>
      </c>
      <c r="L378" s="2714">
        <f t="shared" si="15"/>
        <v>4.30245108004711</v>
      </c>
      <c r="M378" s="2713">
        <v>2.95507974425843</v>
      </c>
      <c r="N378" s="2711" t="s">
        <v>741</v>
      </c>
    </row>
    <row r="379" s="2870" customFormat="1" ht="13.2" customHeight="1" spans="1:14">
      <c r="A379" s="730" t="s">
        <v>722</v>
      </c>
      <c r="B379" s="2711"/>
      <c r="C379" s="2711">
        <v>6.837</v>
      </c>
      <c r="D379" s="2711"/>
      <c r="E379" s="2711" t="s">
        <v>742</v>
      </c>
      <c r="F379" s="2713">
        <v>0.398387101631559</v>
      </c>
      <c r="G379" s="2713">
        <v>0.478064521957871</v>
      </c>
      <c r="H379" s="2713">
        <v>0.525870974153658</v>
      </c>
      <c r="I379" s="2713">
        <v>2.37343722816344</v>
      </c>
      <c r="J379" s="2713">
        <f t="shared" si="14"/>
        <v>2.49210908957161</v>
      </c>
      <c r="K379" s="2714">
        <v>0.2</v>
      </c>
      <c r="L379" s="2714">
        <f t="shared" si="15"/>
        <v>3.21798006372527</v>
      </c>
      <c r="M379" s="2713">
        <v>2.15767020742131</v>
      </c>
      <c r="N379" s="2711"/>
    </row>
    <row r="380" s="2870" customFormat="1" ht="13.2" customHeight="1" spans="1:14">
      <c r="A380" s="730" t="s">
        <v>722</v>
      </c>
      <c r="B380" s="2711"/>
      <c r="C380" s="2711">
        <v>6.837</v>
      </c>
      <c r="D380" s="2711"/>
      <c r="E380" s="2711" t="s">
        <v>743</v>
      </c>
      <c r="F380" s="2713">
        <v>0.424801990970469</v>
      </c>
      <c r="G380" s="2713">
        <v>0.509762389164563</v>
      </c>
      <c r="H380" s="2713">
        <v>0.560738628081019</v>
      </c>
      <c r="I380" s="2713">
        <v>1.78404499681872</v>
      </c>
      <c r="J380" s="2713">
        <f t="shared" si="14"/>
        <v>1.87324724665966</v>
      </c>
      <c r="K380" s="2714">
        <v>0.2</v>
      </c>
      <c r="L380" s="2714">
        <f t="shared" si="15"/>
        <v>2.63398587474068</v>
      </c>
      <c r="M380" s="2713">
        <v>1.62185908801702</v>
      </c>
      <c r="N380" s="226" t="s">
        <v>183</v>
      </c>
    </row>
    <row r="381" s="2870" customFormat="1" ht="13.2" customHeight="1" spans="1:14">
      <c r="A381" s="730" t="s">
        <v>744</v>
      </c>
      <c r="B381" s="2711"/>
      <c r="C381" s="2711">
        <v>6.837</v>
      </c>
      <c r="D381" s="2711" t="s">
        <v>745</v>
      </c>
      <c r="E381" s="2736" t="s">
        <v>746</v>
      </c>
      <c r="F381" s="2713">
        <v>0.947966791001664</v>
      </c>
      <c r="G381" s="2713">
        <v>1.137560149202</v>
      </c>
      <c r="H381" s="2713">
        <v>1.2513161641222</v>
      </c>
      <c r="I381" s="2713">
        <v>8.98529208288466</v>
      </c>
      <c r="J381" s="2713">
        <f t="shared" si="14"/>
        <v>9.43455668702889</v>
      </c>
      <c r="K381" s="2714">
        <v>0.4</v>
      </c>
      <c r="L381" s="2714">
        <f t="shared" si="15"/>
        <v>11.0858728511511</v>
      </c>
      <c r="M381" s="2713">
        <v>8.16844734807696</v>
      </c>
      <c r="N381" s="2736"/>
    </row>
    <row r="382" s="2870" customFormat="1" ht="13.2" customHeight="1" spans="1:14">
      <c r="A382" s="730" t="s">
        <v>744</v>
      </c>
      <c r="B382" s="2711"/>
      <c r="C382" s="2711">
        <v>6.837</v>
      </c>
      <c r="D382" s="2711" t="s">
        <v>747</v>
      </c>
      <c r="E382" s="2736" t="s">
        <v>748</v>
      </c>
      <c r="F382" s="2713">
        <v>0.99431887465743</v>
      </c>
      <c r="G382" s="2713">
        <v>1.19318264958892</v>
      </c>
      <c r="H382" s="2713">
        <v>1.31250091454781</v>
      </c>
      <c r="I382" s="2713">
        <v>10.220358650502</v>
      </c>
      <c r="J382" s="2713">
        <f t="shared" si="14"/>
        <v>10.7313765830271</v>
      </c>
      <c r="K382" s="2714">
        <v>0.4</v>
      </c>
      <c r="L382" s="2714">
        <f t="shared" si="15"/>
        <v>12.4438774975749</v>
      </c>
      <c r="M382" s="2713">
        <v>9.29123513681999</v>
      </c>
      <c r="N382" s="2736"/>
    </row>
    <row r="383" s="2870" customFormat="1" ht="13.2" customHeight="1" spans="1:14">
      <c r="A383" s="730" t="s">
        <v>744</v>
      </c>
      <c r="B383" s="2711"/>
      <c r="C383" s="2711">
        <v>6.837</v>
      </c>
      <c r="D383" s="2711" t="s">
        <v>749</v>
      </c>
      <c r="E383" s="2736" t="s">
        <v>750</v>
      </c>
      <c r="F383" s="2713">
        <v>0.947966791001664</v>
      </c>
      <c r="G383" s="2713">
        <v>1.137560149202</v>
      </c>
      <c r="H383" s="2713">
        <v>1.2513161641222</v>
      </c>
      <c r="I383" s="2713">
        <v>9.02792188565363</v>
      </c>
      <c r="J383" s="2713">
        <f t="shared" si="14"/>
        <v>9.47931797993631</v>
      </c>
      <c r="K383" s="2714">
        <v>0.4</v>
      </c>
      <c r="L383" s="2714">
        <f t="shared" si="15"/>
        <v>11.1306341440585</v>
      </c>
      <c r="M383" s="2713">
        <v>8.20720171423057</v>
      </c>
      <c r="N383" s="2736"/>
    </row>
    <row r="384" s="2870" customFormat="1" ht="13.2" customHeight="1" spans="1:14">
      <c r="A384" s="730" t="s">
        <v>744</v>
      </c>
      <c r="B384" s="2711"/>
      <c r="C384" s="2711">
        <v>6.837</v>
      </c>
      <c r="D384" s="2711" t="s">
        <v>751</v>
      </c>
      <c r="E384" s="2736" t="s">
        <v>752</v>
      </c>
      <c r="F384" s="2713">
        <v>0.795609789485935</v>
      </c>
      <c r="G384" s="2713">
        <v>0.954731747383122</v>
      </c>
      <c r="H384" s="2713">
        <v>1.05020492212143</v>
      </c>
      <c r="I384" s="2713">
        <v>8.08389007150723</v>
      </c>
      <c r="J384" s="2713">
        <f t="shared" si="14"/>
        <v>8.48808457508259</v>
      </c>
      <c r="K384" s="2714">
        <v>0.4</v>
      </c>
      <c r="L384" s="2714">
        <f t="shared" si="15"/>
        <v>9.93828949720402</v>
      </c>
      <c r="M384" s="2713">
        <v>7.34899097409748</v>
      </c>
      <c r="N384" s="2736"/>
    </row>
    <row r="385" s="2870" customFormat="1" ht="13.2" customHeight="1" spans="1:14">
      <c r="A385" s="730" t="s">
        <v>744</v>
      </c>
      <c r="B385" s="2711"/>
      <c r="C385" s="2711">
        <v>6.837</v>
      </c>
      <c r="D385" s="2711" t="s">
        <v>753</v>
      </c>
      <c r="E385" s="2736" t="s">
        <v>754</v>
      </c>
      <c r="F385" s="2713">
        <v>0.832421455581383</v>
      </c>
      <c r="G385" s="2713">
        <v>0.99890574669766</v>
      </c>
      <c r="H385" s="2713">
        <v>1.09879632136743</v>
      </c>
      <c r="I385" s="2713">
        <v>7.59265111405787</v>
      </c>
      <c r="J385" s="2713">
        <f t="shared" si="14"/>
        <v>7.97228366976076</v>
      </c>
      <c r="K385" s="2714">
        <v>0.4</v>
      </c>
      <c r="L385" s="2714">
        <f t="shared" si="15"/>
        <v>9.47107999112819</v>
      </c>
      <c r="M385" s="2713">
        <v>6.90241010368897</v>
      </c>
      <c r="N385" s="2736" t="s">
        <v>25</v>
      </c>
    </row>
    <row r="386" s="2870" customFormat="1" ht="13.2" customHeight="1" spans="1:14">
      <c r="A386" s="730" t="s">
        <v>744</v>
      </c>
      <c r="B386" s="2711"/>
      <c r="C386" s="2711">
        <v>6.837</v>
      </c>
      <c r="D386" s="2711" t="s">
        <v>755</v>
      </c>
      <c r="E386" s="2736" t="s">
        <v>756</v>
      </c>
      <c r="F386" s="2713">
        <v>0.775438157097859</v>
      </c>
      <c r="G386" s="2713">
        <v>0.930525788517431</v>
      </c>
      <c r="H386" s="2713">
        <v>1.02357836736917</v>
      </c>
      <c r="I386" s="2713">
        <v>7.70882383312427</v>
      </c>
      <c r="J386" s="2713">
        <f t="shared" si="14"/>
        <v>8.09426502478048</v>
      </c>
      <c r="K386" s="2714">
        <v>0.4</v>
      </c>
      <c r="L386" s="2714">
        <f t="shared" si="15"/>
        <v>9.51784339214965</v>
      </c>
      <c r="M386" s="2713">
        <v>7.00802166647661</v>
      </c>
      <c r="N386" s="2736" t="s">
        <v>757</v>
      </c>
    </row>
    <row r="387" s="2870" customFormat="1" ht="13.2" customHeight="1" spans="1:14">
      <c r="A387" s="730" t="s">
        <v>758</v>
      </c>
      <c r="B387" s="2711"/>
      <c r="C387" s="2711">
        <v>6.837</v>
      </c>
      <c r="D387" s="2711"/>
      <c r="E387" s="2736" t="s">
        <v>759</v>
      </c>
      <c r="F387" s="2713">
        <v>0.062250717401628</v>
      </c>
      <c r="G387" s="2713">
        <v>0.0747008608819536</v>
      </c>
      <c r="H387" s="2713">
        <v>0.082170946970149</v>
      </c>
      <c r="I387" s="2713">
        <v>0.111652181778872</v>
      </c>
      <c r="J387" s="2713">
        <f t="shared" si="14"/>
        <v>0.117234790867816</v>
      </c>
      <c r="K387" s="2714">
        <v>0.2</v>
      </c>
      <c r="L387" s="2714">
        <f t="shared" si="15"/>
        <v>0.399405737837965</v>
      </c>
      <c r="M387" s="2713">
        <v>0.101501983435338</v>
      </c>
      <c r="N387" s="2736"/>
    </row>
    <row r="388" s="2870" customFormat="1" ht="13.2" customHeight="1" spans="1:14">
      <c r="A388" s="730" t="s">
        <v>758</v>
      </c>
      <c r="B388" s="2711">
        <v>20250724</v>
      </c>
      <c r="C388" s="2711">
        <v>6.837</v>
      </c>
      <c r="D388" s="2711" t="s">
        <v>760</v>
      </c>
      <c r="E388" s="2711" t="s">
        <v>761</v>
      </c>
      <c r="F388" s="2713">
        <v>0.648099074039489</v>
      </c>
      <c r="G388" s="2713">
        <v>0.777718888847387</v>
      </c>
      <c r="H388" s="2713">
        <v>0.855490777732126</v>
      </c>
      <c r="I388" s="2713">
        <v>3.02420189104073</v>
      </c>
      <c r="J388" s="2713">
        <f t="shared" si="14"/>
        <v>3.17541198559277</v>
      </c>
      <c r="K388" s="2714">
        <v>0.4</v>
      </c>
      <c r="L388" s="2714">
        <f t="shared" si="15"/>
        <v>4.4309027633249</v>
      </c>
      <c r="M388" s="2713">
        <v>2.74927444640066</v>
      </c>
      <c r="N388" s="2736" t="s">
        <v>762</v>
      </c>
    </row>
    <row r="389" s="2870" customFormat="1" ht="13.2" customHeight="1" spans="1:14">
      <c r="A389" s="730" t="s">
        <v>758</v>
      </c>
      <c r="B389" s="2711">
        <v>20240517</v>
      </c>
      <c r="C389" s="2711">
        <v>6.837</v>
      </c>
      <c r="D389" s="2711"/>
      <c r="E389" s="2736" t="s">
        <v>763</v>
      </c>
      <c r="F389" s="2713">
        <v>0.0430787747438476</v>
      </c>
      <c r="G389" s="2713">
        <v>0.0516945296926171</v>
      </c>
      <c r="H389" s="2713">
        <v>0.0568639826618788</v>
      </c>
      <c r="I389" s="2713">
        <v>0.114881523543545</v>
      </c>
      <c r="J389" s="2713">
        <f t="shared" ref="J389:J395" si="16">I389*1.05</f>
        <v>0.120625599720722</v>
      </c>
      <c r="K389" s="2714">
        <v>0.2</v>
      </c>
      <c r="L389" s="2714">
        <f t="shared" ref="L389:L395" si="17">SUBTOTAL(109,H389,J389,K389)</f>
        <v>0.377489582382601</v>
      </c>
      <c r="M389" s="2713">
        <v>0.10443774867595</v>
      </c>
      <c r="N389" s="2736"/>
    </row>
    <row r="390" s="2870" customFormat="1" ht="13.2" customHeight="1" spans="1:14">
      <c r="A390" s="730" t="s">
        <v>764</v>
      </c>
      <c r="B390" s="2711" t="s">
        <v>765</v>
      </c>
      <c r="C390" s="2711">
        <v>6.837</v>
      </c>
      <c r="D390" s="2711" t="s">
        <v>766</v>
      </c>
      <c r="E390" s="2736" t="s">
        <v>767</v>
      </c>
      <c r="F390" s="2713">
        <v>0.0633827614987617</v>
      </c>
      <c r="G390" s="2713">
        <v>0.076059313798514</v>
      </c>
      <c r="H390" s="2713">
        <v>0.0836652451783654</v>
      </c>
      <c r="I390" s="2713">
        <v>0.19151541042415</v>
      </c>
      <c r="J390" s="2713">
        <f t="shared" si="16"/>
        <v>0.201091180945357</v>
      </c>
      <c r="K390" s="2714">
        <v>0.2</v>
      </c>
      <c r="L390" s="2714">
        <f t="shared" si="17"/>
        <v>0.484756426123722</v>
      </c>
      <c r="M390" s="2713">
        <v>0.174104918567409</v>
      </c>
      <c r="N390" s="2736"/>
    </row>
    <row r="391" s="2870" customFormat="1" ht="13.2" customHeight="1" spans="1:14">
      <c r="A391" s="730" t="s">
        <v>768</v>
      </c>
      <c r="B391" s="2772">
        <v>20250801</v>
      </c>
      <c r="C391" s="2711">
        <v>6.837</v>
      </c>
      <c r="D391" s="2772" t="s">
        <v>769</v>
      </c>
      <c r="E391" s="2736" t="s">
        <v>770</v>
      </c>
      <c r="F391" s="2713">
        <v>0.184075476650269</v>
      </c>
      <c r="G391" s="2713">
        <v>0.220890571980323</v>
      </c>
      <c r="H391" s="2713">
        <v>0.242979629178355</v>
      </c>
      <c r="I391" s="2713">
        <v>0.327468034866169</v>
      </c>
      <c r="J391" s="2713">
        <f t="shared" si="16"/>
        <v>0.343841436609477</v>
      </c>
      <c r="K391" s="2714">
        <v>0.2</v>
      </c>
      <c r="L391" s="2714">
        <f t="shared" si="17"/>
        <v>0.786821065787832</v>
      </c>
      <c r="M391" s="2713">
        <v>0.297698213514699</v>
      </c>
      <c r="N391" s="2736"/>
    </row>
    <row r="392" s="2870" customFormat="1" ht="13.2" customHeight="1" spans="1:14">
      <c r="A392" s="730" t="s">
        <v>768</v>
      </c>
      <c r="B392" s="2772">
        <v>20240829</v>
      </c>
      <c r="C392" s="2711">
        <v>6.837</v>
      </c>
      <c r="D392" s="2772" t="s">
        <v>771</v>
      </c>
      <c r="E392" s="2736" t="s">
        <v>772</v>
      </c>
      <c r="F392" s="2713">
        <v>0.293401926705266</v>
      </c>
      <c r="G392" s="2713">
        <v>0.352082312046319</v>
      </c>
      <c r="H392" s="2713">
        <v>0.387290543250951</v>
      </c>
      <c r="I392" s="2713">
        <v>1.28840723828588</v>
      </c>
      <c r="J392" s="2713">
        <f t="shared" si="16"/>
        <v>1.35282760020017</v>
      </c>
      <c r="K392" s="2714">
        <v>0.2</v>
      </c>
      <c r="L392" s="2714">
        <f t="shared" si="17"/>
        <v>1.94011814345112</v>
      </c>
      <c r="M392" s="2713">
        <v>1.17127930753262</v>
      </c>
      <c r="N392" s="2736"/>
    </row>
    <row r="393" s="2870" customFormat="1" ht="13.2" customHeight="1" spans="1:14">
      <c r="A393" s="730" t="s">
        <v>768</v>
      </c>
      <c r="B393" s="2772">
        <v>20240829</v>
      </c>
      <c r="C393" s="2711">
        <v>6.837</v>
      </c>
      <c r="D393" s="2772" t="s">
        <v>773</v>
      </c>
      <c r="E393" s="2736" t="s">
        <v>774</v>
      </c>
      <c r="F393" s="2713">
        <v>0.170490308761169</v>
      </c>
      <c r="G393" s="2713">
        <v>0.204588370513403</v>
      </c>
      <c r="H393" s="2713">
        <v>0.225047207564743</v>
      </c>
      <c r="I393" s="2713">
        <v>0.381998494232616</v>
      </c>
      <c r="J393" s="2713">
        <f t="shared" si="16"/>
        <v>0.401098418944247</v>
      </c>
      <c r="K393" s="2714">
        <v>0.2</v>
      </c>
      <c r="L393" s="2714">
        <f t="shared" si="17"/>
        <v>0.82614562650899</v>
      </c>
      <c r="M393" s="2713">
        <v>0.347271358393287</v>
      </c>
      <c r="N393" s="2736"/>
    </row>
    <row r="394" s="2870" customFormat="1" ht="13.2" customHeight="1" spans="1:14">
      <c r="A394" s="730" t="s">
        <v>768</v>
      </c>
      <c r="B394" s="2907">
        <v>46078</v>
      </c>
      <c r="C394" s="2899">
        <v>6.8225</v>
      </c>
      <c r="D394" s="2772" t="s">
        <v>775</v>
      </c>
      <c r="E394" s="2772" t="s">
        <v>776</v>
      </c>
      <c r="F394" s="2713">
        <f>1.06/C394/1.13*1.5</f>
        <v>0.206241062076614</v>
      </c>
      <c r="G394" s="2713">
        <v>0.247489274491937</v>
      </c>
      <c r="H394" s="2713">
        <v>0.272238201941131</v>
      </c>
      <c r="I394" s="2713">
        <v>0.287607383562371</v>
      </c>
      <c r="J394" s="2713">
        <f t="shared" si="16"/>
        <v>0.30198775274049</v>
      </c>
      <c r="K394" s="2714">
        <v>0.2</v>
      </c>
      <c r="L394" s="2714">
        <f t="shared" si="17"/>
        <v>0.774225954681621</v>
      </c>
      <c r="M394" s="2713">
        <v>0.261461257783974</v>
      </c>
      <c r="N394" s="2736"/>
    </row>
    <row r="395" s="2870" customFormat="1" ht="13.2" customHeight="1" spans="1:14">
      <c r="A395" s="730" t="s">
        <v>768</v>
      </c>
      <c r="B395" s="2772">
        <v>20240829</v>
      </c>
      <c r="C395" s="2711">
        <v>6.837</v>
      </c>
      <c r="D395" s="2772" t="s">
        <v>773</v>
      </c>
      <c r="E395" s="2772" t="s">
        <v>776</v>
      </c>
      <c r="F395" s="2713">
        <v>0.170490308761169</v>
      </c>
      <c r="G395" s="2713">
        <v>0.204588370513403</v>
      </c>
      <c r="H395" s="2713">
        <f>2500/200/6.73/1.13</f>
        <v>1.64367710292049</v>
      </c>
      <c r="I395" s="2713">
        <v>0.381998494232616</v>
      </c>
      <c r="J395" s="2713">
        <f t="shared" si="16"/>
        <v>0.401098418944247</v>
      </c>
      <c r="K395" s="2714">
        <v>0.2</v>
      </c>
      <c r="L395" s="2714">
        <f t="shared" si="17"/>
        <v>2.24477552186474</v>
      </c>
      <c r="M395" s="2713"/>
      <c r="N395" s="2736" t="s">
        <v>777</v>
      </c>
    </row>
    <row r="396" s="2870" customFormat="1" ht="13.2" customHeight="1" spans="1:14">
      <c r="A396" s="730" t="s">
        <v>768</v>
      </c>
      <c r="B396" s="2772">
        <v>20250723</v>
      </c>
      <c r="C396" s="2711">
        <v>6.837</v>
      </c>
      <c r="D396" s="2772" t="s">
        <v>778</v>
      </c>
      <c r="E396" s="2772" t="s">
        <v>779</v>
      </c>
      <c r="F396" s="2713">
        <f>1.04/6.76/1.13</f>
        <v>0.136147038801906</v>
      </c>
      <c r="G396" s="2713">
        <v>0.163376446562287</v>
      </c>
      <c r="H396" s="2713">
        <v>0.179714091218516</v>
      </c>
      <c r="I396" s="2713">
        <v>0.310677534212691</v>
      </c>
      <c r="J396" s="2713">
        <f t="shared" ref="J396:J453" si="18">I396*1.05</f>
        <v>0.326211410923326</v>
      </c>
      <c r="K396" s="2714">
        <v>0.2</v>
      </c>
      <c r="L396" s="2714">
        <f t="shared" ref="L396:L453" si="19">SUBTOTAL(109,H396,J396,K396)</f>
        <v>0.705925502141842</v>
      </c>
      <c r="M396" s="2713">
        <v>0.282434122011537</v>
      </c>
      <c r="N396" s="2736"/>
    </row>
    <row r="397" s="2870" customFormat="1" ht="13.2" customHeight="1" spans="1:14">
      <c r="A397" s="730" t="s">
        <v>768</v>
      </c>
      <c r="B397" s="2772">
        <v>20240914</v>
      </c>
      <c r="C397" s="2711">
        <v>6.837</v>
      </c>
      <c r="D397" s="2772" t="s">
        <v>780</v>
      </c>
      <c r="E397" s="2736" t="s">
        <v>781</v>
      </c>
      <c r="F397" s="2713">
        <v>0.140487161583039</v>
      </c>
      <c r="G397" s="2713">
        <v>0.168584593899647</v>
      </c>
      <c r="H397" s="2713">
        <v>0.185443053289612</v>
      </c>
      <c r="I397" s="2713">
        <v>2.18298316938827</v>
      </c>
      <c r="J397" s="2713">
        <f t="shared" si="18"/>
        <v>2.29213232785768</v>
      </c>
      <c r="K397" s="2714">
        <v>0.2</v>
      </c>
      <c r="L397" s="2714">
        <f t="shared" si="19"/>
        <v>2.67757538114729</v>
      </c>
      <c r="M397" s="2713">
        <v>1.98453015398934</v>
      </c>
      <c r="N397" s="2736"/>
    </row>
    <row r="398" s="2870" customFormat="1" ht="13.2" customHeight="1" spans="1:14">
      <c r="A398" s="730" t="s">
        <v>782</v>
      </c>
      <c r="B398" s="2772">
        <v>20240910</v>
      </c>
      <c r="C398" s="2772">
        <v>6.837</v>
      </c>
      <c r="D398" s="2772" t="s">
        <v>783</v>
      </c>
      <c r="E398" s="2736" t="s">
        <v>784</v>
      </c>
      <c r="F398" s="2713">
        <v>0.235850881088197</v>
      </c>
      <c r="G398" s="2713">
        <v>0.283021057305836</v>
      </c>
      <c r="H398" s="2713">
        <v>0.31132316303642</v>
      </c>
      <c r="I398" s="2713">
        <v>1.2253185491341</v>
      </c>
      <c r="J398" s="2713">
        <f t="shared" si="18"/>
        <v>1.28658447659081</v>
      </c>
      <c r="K398" s="2714">
        <v>0.3</v>
      </c>
      <c r="L398" s="2714">
        <f t="shared" si="19"/>
        <v>1.89790763962723</v>
      </c>
      <c r="M398" s="2713">
        <v>1.11392595375827</v>
      </c>
      <c r="N398" s="260" t="s">
        <v>183</v>
      </c>
    </row>
    <row r="399" s="2870" customFormat="1" ht="13.2" customHeight="1" spans="1:14">
      <c r="A399" s="730" t="s">
        <v>785</v>
      </c>
      <c r="B399" s="2772">
        <v>20240827</v>
      </c>
      <c r="C399" s="2711">
        <v>6.837</v>
      </c>
      <c r="D399" s="2772" t="s">
        <v>786</v>
      </c>
      <c r="E399" s="2736" t="s">
        <v>787</v>
      </c>
      <c r="F399" s="2713">
        <v>0.872275998312955</v>
      </c>
      <c r="G399" s="2713">
        <v>1.04673119797555</v>
      </c>
      <c r="H399" s="2713">
        <v>1.15140431777311</v>
      </c>
      <c r="I399" s="2713">
        <v>6.90306237848257</v>
      </c>
      <c r="J399" s="2713">
        <f t="shared" si="18"/>
        <v>7.2482154974067</v>
      </c>
      <c r="K399" s="2714">
        <v>0.4</v>
      </c>
      <c r="L399" s="2714">
        <f t="shared" si="19"/>
        <v>8.79961981517981</v>
      </c>
      <c r="M399" s="2713">
        <v>6.27551125316597</v>
      </c>
      <c r="N399" s="260" t="s">
        <v>788</v>
      </c>
    </row>
    <row r="400" s="2870" customFormat="1" ht="13.2" customHeight="1" spans="1:14">
      <c r="A400" s="730" t="s">
        <v>537</v>
      </c>
      <c r="B400" s="2883">
        <v>46094</v>
      </c>
      <c r="C400" s="2711">
        <v>6.837</v>
      </c>
      <c r="D400" s="2711" t="s">
        <v>789</v>
      </c>
      <c r="E400" s="2712" t="s">
        <v>790</v>
      </c>
      <c r="F400" s="2713">
        <f>3.36/C400/1.13</f>
        <v>0.434905854531758</v>
      </c>
      <c r="G400" s="2713">
        <v>0.52188702543811</v>
      </c>
      <c r="H400" s="2713">
        <v>0.574075727981921</v>
      </c>
      <c r="I400" s="2713">
        <v>1.265</v>
      </c>
      <c r="J400" s="2713">
        <f t="shared" si="18"/>
        <v>1.32825</v>
      </c>
      <c r="K400" s="2714">
        <f>2.08/C400/1.13</f>
        <v>0.269227433757755</v>
      </c>
      <c r="L400" s="2714">
        <f t="shared" si="19"/>
        <v>2.17155316173968</v>
      </c>
      <c r="M400" s="2713">
        <v>1.15</v>
      </c>
      <c r="N400" s="2711"/>
    </row>
    <row r="401" s="2870" customFormat="1" ht="13.2" customHeight="1" spans="1:14">
      <c r="A401" s="730" t="s">
        <v>537</v>
      </c>
      <c r="B401" s="2711"/>
      <c r="C401" s="2711">
        <v>6.837</v>
      </c>
      <c r="D401" s="2711" t="s">
        <v>791</v>
      </c>
      <c r="E401" s="2712" t="s">
        <v>562</v>
      </c>
      <c r="F401" s="2713">
        <v>0.393285361908657</v>
      </c>
      <c r="G401" s="2713">
        <v>0.471942434290388</v>
      </c>
      <c r="H401" s="2713">
        <v>0.519136677719427</v>
      </c>
      <c r="I401" s="2713">
        <v>1.80371445281995</v>
      </c>
      <c r="J401" s="2713">
        <f t="shared" si="18"/>
        <v>1.89390017546095</v>
      </c>
      <c r="K401" s="2714">
        <v>0.2</v>
      </c>
      <c r="L401" s="2714">
        <f t="shared" si="19"/>
        <v>2.61303685318038</v>
      </c>
      <c r="M401" s="2713">
        <v>1.6397404116545</v>
      </c>
      <c r="N401" s="2711"/>
    </row>
    <row r="402" s="2870" customFormat="1" ht="13.2" customHeight="1" spans="1:14">
      <c r="A402" s="730" t="s">
        <v>792</v>
      </c>
      <c r="B402" s="2711">
        <v>20250411</v>
      </c>
      <c r="C402" s="2711">
        <v>6.837</v>
      </c>
      <c r="D402" s="2711" t="s">
        <v>793</v>
      </c>
      <c r="E402" s="2712" t="s">
        <v>794</v>
      </c>
      <c r="F402" s="2713">
        <v>0.280424944075315</v>
      </c>
      <c r="G402" s="2713">
        <v>0.336509932890378</v>
      </c>
      <c r="H402" s="2713">
        <v>0.370160926179416</v>
      </c>
      <c r="I402" s="2713">
        <v>0.601589873751396</v>
      </c>
      <c r="J402" s="2713">
        <f t="shared" si="18"/>
        <v>0.631669367438966</v>
      </c>
      <c r="K402" s="2714">
        <v>0.2</v>
      </c>
      <c r="L402" s="2714">
        <f t="shared" si="19"/>
        <v>1.20183029361838</v>
      </c>
      <c r="M402" s="2713">
        <v>0.546899885228542</v>
      </c>
      <c r="N402" s="2711" t="s">
        <v>795</v>
      </c>
    </row>
    <row r="403" s="2870" customFormat="1" ht="13.2" customHeight="1" spans="1:14">
      <c r="A403" s="730" t="s">
        <v>792</v>
      </c>
      <c r="B403" s="2711">
        <v>20241202</v>
      </c>
      <c r="C403" s="2711">
        <v>6.837</v>
      </c>
      <c r="D403" s="2711" t="s">
        <v>796</v>
      </c>
      <c r="E403" s="2712" t="s">
        <v>797</v>
      </c>
      <c r="F403" s="2713">
        <v>0.296995508952493</v>
      </c>
      <c r="G403" s="2713">
        <v>0.356394610742992</v>
      </c>
      <c r="H403" s="2713">
        <v>0.392034071817291</v>
      </c>
      <c r="I403" s="2713">
        <v>0.6282874358916</v>
      </c>
      <c r="J403" s="2713">
        <f t="shared" si="18"/>
        <v>0.65970180768618</v>
      </c>
      <c r="K403" s="2714">
        <v>0.2</v>
      </c>
      <c r="L403" s="2714">
        <f t="shared" si="19"/>
        <v>1.25173587950347</v>
      </c>
      <c r="M403" s="2713">
        <v>0.571170396265091</v>
      </c>
      <c r="N403" s="2711" t="s">
        <v>484</v>
      </c>
    </row>
    <row r="404" s="2870" customFormat="1" ht="13.2" customHeight="1" spans="1:14">
      <c r="A404" s="730" t="s">
        <v>792</v>
      </c>
      <c r="B404" s="2711">
        <v>20250328</v>
      </c>
      <c r="C404" s="2711">
        <v>6.837</v>
      </c>
      <c r="D404" s="2711" t="s">
        <v>798</v>
      </c>
      <c r="E404" s="2712" t="s">
        <v>799</v>
      </c>
      <c r="F404" s="2713">
        <v>0.298270167789198</v>
      </c>
      <c r="G404" s="2713">
        <v>0.357924201347038</v>
      </c>
      <c r="H404" s="2713">
        <v>0.393716621481742</v>
      </c>
      <c r="I404" s="2713">
        <v>0.908617647356734</v>
      </c>
      <c r="J404" s="2713">
        <f t="shared" si="18"/>
        <v>0.954048529724571</v>
      </c>
      <c r="K404" s="2714">
        <v>0.2</v>
      </c>
      <c r="L404" s="2714">
        <f t="shared" si="19"/>
        <v>1.54776515120631</v>
      </c>
      <c r="M404" s="2713">
        <v>0.826016043051576</v>
      </c>
      <c r="N404" s="2711" t="s">
        <v>800</v>
      </c>
    </row>
    <row r="405" s="2870" customFormat="1" ht="13.2" customHeight="1" spans="1:14">
      <c r="A405" s="730" t="s">
        <v>792</v>
      </c>
      <c r="B405" s="2711">
        <v>20250328</v>
      </c>
      <c r="C405" s="2711">
        <v>6.837</v>
      </c>
      <c r="D405" s="2711" t="s">
        <v>801</v>
      </c>
      <c r="E405" s="2712" t="s">
        <v>802</v>
      </c>
      <c r="F405" s="2713">
        <v>0.25136272259842</v>
      </c>
      <c r="G405" s="2713">
        <v>0.301635267118104</v>
      </c>
      <c r="H405" s="2713">
        <v>0.331798793829914</v>
      </c>
      <c r="I405" s="2713">
        <v>0.877351131352127</v>
      </c>
      <c r="J405" s="2713">
        <f t="shared" si="18"/>
        <v>0.921218687919733</v>
      </c>
      <c r="K405" s="2714">
        <v>0.2</v>
      </c>
      <c r="L405" s="2714">
        <f t="shared" si="19"/>
        <v>1.45301748174965</v>
      </c>
      <c r="M405" s="2713">
        <v>0.797591937592843</v>
      </c>
      <c r="N405" s="2711" t="s">
        <v>803</v>
      </c>
    </row>
    <row r="406" s="2870" customFormat="1" ht="13.2" customHeight="1" spans="1:14">
      <c r="A406" s="730" t="s">
        <v>804</v>
      </c>
      <c r="B406" s="2711"/>
      <c r="C406" s="2711">
        <v>6.837</v>
      </c>
      <c r="D406" s="2711" t="s">
        <v>805</v>
      </c>
      <c r="E406" s="2712" t="s">
        <v>806</v>
      </c>
      <c r="F406" s="2713">
        <v>0.29852438345607</v>
      </c>
      <c r="G406" s="2713">
        <v>0.358229260147284</v>
      </c>
      <c r="H406" s="2713">
        <v>0.394052186162012</v>
      </c>
      <c r="I406" s="2713">
        <v>1.02007750771122</v>
      </c>
      <c r="J406" s="2713">
        <f t="shared" si="18"/>
        <v>1.07108138309678</v>
      </c>
      <c r="K406" s="2713">
        <v>0.2</v>
      </c>
      <c r="L406" s="2714">
        <f t="shared" si="19"/>
        <v>1.66513356925879</v>
      </c>
      <c r="M406" s="2713">
        <v>0.927343188828384</v>
      </c>
      <c r="N406" s="2712"/>
    </row>
    <row r="407" s="2870" customFormat="1" ht="13.2" customHeight="1" spans="1:14">
      <c r="A407" s="730" t="s">
        <v>19</v>
      </c>
      <c r="B407" s="2711">
        <v>20240821</v>
      </c>
      <c r="C407" s="2711">
        <v>6.837</v>
      </c>
      <c r="D407" s="2711" t="s">
        <v>807</v>
      </c>
      <c r="E407" s="2712" t="s">
        <v>808</v>
      </c>
      <c r="F407" s="2713">
        <v>0.380805087523629</v>
      </c>
      <c r="G407" s="2713">
        <v>0.456966105028355</v>
      </c>
      <c r="H407" s="2713">
        <v>0.502662715531191</v>
      </c>
      <c r="I407" s="2713">
        <v>1.01170110601973</v>
      </c>
      <c r="J407" s="2713">
        <f t="shared" si="18"/>
        <v>1.06228616132072</v>
      </c>
      <c r="K407" s="2714">
        <v>0.2</v>
      </c>
      <c r="L407" s="2714">
        <f t="shared" si="19"/>
        <v>1.76494887685191</v>
      </c>
      <c r="M407" s="2713">
        <v>0.919728278199757</v>
      </c>
      <c r="N407" s="2711"/>
    </row>
    <row r="408" s="2870" customFormat="1" ht="13.2" customHeight="1" spans="1:14">
      <c r="A408" s="730" t="s">
        <v>19</v>
      </c>
      <c r="B408" s="2711"/>
      <c r="C408" s="2711">
        <v>6.837</v>
      </c>
      <c r="D408" s="2711" t="s">
        <v>809</v>
      </c>
      <c r="E408" s="2712" t="s">
        <v>810</v>
      </c>
      <c r="F408" s="2713">
        <v>0.34053837057228</v>
      </c>
      <c r="G408" s="2713">
        <v>0.408646044686736</v>
      </c>
      <c r="H408" s="2713">
        <v>0.44951064915541</v>
      </c>
      <c r="I408" s="2713">
        <v>0.942869784051336</v>
      </c>
      <c r="J408" s="2713">
        <f t="shared" si="18"/>
        <v>0.990013273253903</v>
      </c>
      <c r="K408" s="2714">
        <v>0.2</v>
      </c>
      <c r="L408" s="2714">
        <f t="shared" si="19"/>
        <v>1.63952392240931</v>
      </c>
      <c r="M408" s="2713">
        <v>0.857154349137578</v>
      </c>
      <c r="N408" s="2711"/>
    </row>
    <row r="409" s="2870" customFormat="1" ht="13.2" customHeight="1" spans="1:14">
      <c r="A409" s="730" t="s">
        <v>19</v>
      </c>
      <c r="B409" s="2711"/>
      <c r="C409" s="2711">
        <v>6.837</v>
      </c>
      <c r="D409" s="2712" t="s">
        <v>811</v>
      </c>
      <c r="E409" s="2712" t="s">
        <v>811</v>
      </c>
      <c r="F409" s="2713">
        <v>0.379026270755289</v>
      </c>
      <c r="G409" s="2713">
        <v>0.454831524906347</v>
      </c>
      <c r="H409" s="2713">
        <v>0.500314677396982</v>
      </c>
      <c r="I409" s="2713">
        <v>0.664863766077733</v>
      </c>
      <c r="J409" s="2713">
        <f t="shared" si="18"/>
        <v>0.69810695438162</v>
      </c>
      <c r="K409" s="2714">
        <v>0.2</v>
      </c>
      <c r="L409" s="2714">
        <f t="shared" si="19"/>
        <v>1.3984216317786</v>
      </c>
      <c r="M409" s="2713">
        <v>0.604421605525212</v>
      </c>
      <c r="N409" s="2711"/>
    </row>
    <row r="410" s="2870" customFormat="1" ht="13.2" customHeight="1" spans="1:14">
      <c r="A410" s="730" t="s">
        <v>812</v>
      </c>
      <c r="B410" s="2711">
        <v>20250425</v>
      </c>
      <c r="C410" s="2711">
        <v>6.837</v>
      </c>
      <c r="D410" s="2711" t="s">
        <v>813</v>
      </c>
      <c r="E410" s="2711" t="s">
        <v>814</v>
      </c>
      <c r="F410" s="2713">
        <v>0.546665554288208</v>
      </c>
      <c r="G410" s="2713">
        <v>0.655998665145849</v>
      </c>
      <c r="H410" s="2713">
        <v>0.721598531660434</v>
      </c>
      <c r="I410" s="2713">
        <v>0.8875517938859</v>
      </c>
      <c r="J410" s="2713">
        <f t="shared" si="18"/>
        <v>0.931929383580195</v>
      </c>
      <c r="K410" s="2714">
        <v>0.2</v>
      </c>
      <c r="L410" s="2714">
        <f t="shared" si="19"/>
        <v>1.85352791524063</v>
      </c>
      <c r="M410" s="2713">
        <v>0.806865267169</v>
      </c>
      <c r="N410" s="2712" t="s">
        <v>435</v>
      </c>
    </row>
    <row r="411" s="2870" customFormat="1" ht="13.2" customHeight="1" spans="1:14">
      <c r="A411" s="730" t="s">
        <v>812</v>
      </c>
      <c r="B411" s="2711">
        <v>20250425</v>
      </c>
      <c r="C411" s="2711">
        <v>6.837</v>
      </c>
      <c r="D411" s="2711" t="s">
        <v>815</v>
      </c>
      <c r="E411" s="2711" t="s">
        <v>816</v>
      </c>
      <c r="F411" s="2713">
        <v>0.546665554288208</v>
      </c>
      <c r="G411" s="2713">
        <v>0.655998665145849</v>
      </c>
      <c r="H411" s="2713">
        <v>0.721598531660434</v>
      </c>
      <c r="I411" s="2713">
        <v>0.637211925209442</v>
      </c>
      <c r="J411" s="2713">
        <f t="shared" si="18"/>
        <v>0.669072521469914</v>
      </c>
      <c r="K411" s="2714">
        <v>0.2</v>
      </c>
      <c r="L411" s="2714">
        <f t="shared" si="19"/>
        <v>1.59067105313035</v>
      </c>
      <c r="M411" s="2713">
        <v>0.57928356837222</v>
      </c>
      <c r="N411" s="2712" t="s">
        <v>435</v>
      </c>
    </row>
    <row r="412" s="2870" customFormat="1" ht="13.2" customHeight="1" spans="1:14">
      <c r="A412" s="730" t="s">
        <v>817</v>
      </c>
      <c r="B412" s="2711">
        <v>20241022</v>
      </c>
      <c r="C412" s="2711">
        <v>6.837</v>
      </c>
      <c r="D412" s="2711" t="s">
        <v>818</v>
      </c>
      <c r="E412" s="2712" t="s">
        <v>819</v>
      </c>
      <c r="F412" s="2713">
        <v>0.359915517145226</v>
      </c>
      <c r="G412" s="2713">
        <v>0.431898620574271</v>
      </c>
      <c r="H412" s="2713">
        <v>0.475088482631698</v>
      </c>
      <c r="I412" s="2713">
        <v>3.13639236204133</v>
      </c>
      <c r="J412" s="2713">
        <f t="shared" si="18"/>
        <v>3.2932119801434</v>
      </c>
      <c r="K412" s="2714">
        <v>0.4</v>
      </c>
      <c r="L412" s="2714">
        <f t="shared" si="19"/>
        <v>4.1683004627751</v>
      </c>
      <c r="M412" s="2713">
        <v>2.85126578367394</v>
      </c>
      <c r="N412" s="2712"/>
    </row>
    <row r="413" s="2870" customFormat="1" ht="13.2" customHeight="1" spans="1:14">
      <c r="A413" s="2891" t="s">
        <v>820</v>
      </c>
      <c r="B413" s="2908">
        <v>46083</v>
      </c>
      <c r="C413" s="2886">
        <v>6.837</v>
      </c>
      <c r="D413" s="2909" t="s">
        <v>821</v>
      </c>
      <c r="E413" s="2909" t="s">
        <v>822</v>
      </c>
      <c r="F413" s="2888">
        <f>3.08/C413/1.13</f>
        <v>0.398663699987445</v>
      </c>
      <c r="G413" s="2713">
        <v>0.478396439984934</v>
      </c>
      <c r="H413" s="2713">
        <v>0.526236083983427</v>
      </c>
      <c r="I413" s="2713">
        <v>0.994649904425783</v>
      </c>
      <c r="J413" s="2713">
        <f t="shared" si="18"/>
        <v>1.04438239964707</v>
      </c>
      <c r="K413" s="2889">
        <f>1.82/C413/1.13</f>
        <v>0.235574004538036</v>
      </c>
      <c r="L413" s="2714">
        <f t="shared" si="19"/>
        <v>1.80619248816853</v>
      </c>
      <c r="M413" s="2888">
        <v>0.904227185841621</v>
      </c>
      <c r="N413" s="2910" t="s">
        <v>484</v>
      </c>
    </row>
    <row r="414" s="2870" customFormat="1" ht="13.2" customHeight="1" spans="1:14">
      <c r="A414" s="2891"/>
      <c r="B414" s="2731">
        <v>20240724</v>
      </c>
      <c r="C414" s="2711">
        <v>6.837</v>
      </c>
      <c r="D414" s="2731" t="s">
        <v>823</v>
      </c>
      <c r="E414" s="2731" t="s">
        <v>824</v>
      </c>
      <c r="F414" s="2713">
        <v>0.279653486182399</v>
      </c>
      <c r="G414" s="2713">
        <v>0.335584183418879</v>
      </c>
      <c r="H414" s="2713">
        <v>0.369142601760767</v>
      </c>
      <c r="I414" s="2713">
        <v>1.34724802925591</v>
      </c>
      <c r="J414" s="2713">
        <f t="shared" si="18"/>
        <v>1.41461043071871</v>
      </c>
      <c r="K414" s="2714">
        <v>0.2</v>
      </c>
      <c r="L414" s="2714">
        <f t="shared" si="19"/>
        <v>1.98375303247948</v>
      </c>
      <c r="M414" s="2713">
        <v>1.22477093568719</v>
      </c>
      <c r="N414" s="2731"/>
    </row>
    <row r="415" s="2870" customFormat="1" ht="13.2" customHeight="1" spans="1:14">
      <c r="A415" s="2891"/>
      <c r="B415" s="2731">
        <v>20240724</v>
      </c>
      <c r="C415" s="2711">
        <v>6.837</v>
      </c>
      <c r="D415" s="2731" t="s">
        <v>825</v>
      </c>
      <c r="E415" s="2731" t="s">
        <v>826</v>
      </c>
      <c r="F415" s="2713">
        <v>0.279653486182399</v>
      </c>
      <c r="G415" s="2713">
        <v>0.335584183418879</v>
      </c>
      <c r="H415" s="2713">
        <v>0.369142601760767</v>
      </c>
      <c r="I415" s="2713">
        <v>1.0852743521836</v>
      </c>
      <c r="J415" s="2713">
        <f t="shared" si="18"/>
        <v>1.13953806979278</v>
      </c>
      <c r="K415" s="2714">
        <v>0.2</v>
      </c>
      <c r="L415" s="2714">
        <f t="shared" si="19"/>
        <v>1.70868067155355</v>
      </c>
      <c r="M415" s="2713">
        <v>0.986613047439634</v>
      </c>
      <c r="N415" s="2731"/>
    </row>
    <row r="416" s="2870" customFormat="1" ht="13.2" customHeight="1" spans="1:14">
      <c r="A416" s="730" t="s">
        <v>768</v>
      </c>
      <c r="B416" s="2711"/>
      <c r="C416" s="2711">
        <v>6.837</v>
      </c>
      <c r="D416" s="2711" t="s">
        <v>827</v>
      </c>
      <c r="E416" s="2712" t="s">
        <v>828</v>
      </c>
      <c r="F416" s="2713">
        <v>0.237449467323873</v>
      </c>
      <c r="G416" s="2713">
        <v>0.284939360788648</v>
      </c>
      <c r="H416" s="2713">
        <v>0.313433296867513</v>
      </c>
      <c r="I416" s="2713">
        <v>0.745611451175517</v>
      </c>
      <c r="J416" s="2713">
        <f t="shared" si="18"/>
        <v>0.782892023734293</v>
      </c>
      <c r="K416" s="2714">
        <v>0.2</v>
      </c>
      <c r="L416" s="2714">
        <f t="shared" si="19"/>
        <v>1.29632532060181</v>
      </c>
      <c r="M416" s="2713">
        <v>0.677828591977743</v>
      </c>
      <c r="N416" s="2711"/>
    </row>
    <row r="417" s="2870" customFormat="1" ht="13.2" customHeight="1" spans="1:14">
      <c r="A417" s="730" t="s">
        <v>829</v>
      </c>
      <c r="B417" s="2711"/>
      <c r="C417" s="2711">
        <v>6.837</v>
      </c>
      <c r="D417" s="2711" t="s">
        <v>830</v>
      </c>
      <c r="E417" s="2712" t="s">
        <v>831</v>
      </c>
      <c r="F417" s="2713">
        <v>0.173273935614719</v>
      </c>
      <c r="G417" s="2713">
        <v>0.207928722737663</v>
      </c>
      <c r="H417" s="2713">
        <v>0.228721595011429</v>
      </c>
      <c r="I417" s="2713">
        <v>1.43434748368562</v>
      </c>
      <c r="J417" s="2713">
        <f t="shared" si="18"/>
        <v>1.5060648578699</v>
      </c>
      <c r="K417" s="2713">
        <v>0.4</v>
      </c>
      <c r="L417" s="2714">
        <f t="shared" si="19"/>
        <v>2.13478645288133</v>
      </c>
      <c r="M417" s="2713">
        <v>1.30395225789602</v>
      </c>
      <c r="N417" s="2712" t="s">
        <v>581</v>
      </c>
    </row>
    <row r="418" s="2870" customFormat="1" ht="13.2" customHeight="1" spans="1:14">
      <c r="A418" s="730" t="s">
        <v>829</v>
      </c>
      <c r="B418" s="2711"/>
      <c r="C418" s="2711">
        <v>6.837</v>
      </c>
      <c r="D418" s="2711" t="s">
        <v>832</v>
      </c>
      <c r="E418" s="2712" t="s">
        <v>833</v>
      </c>
      <c r="F418" s="2713">
        <v>0.173273935614719</v>
      </c>
      <c r="G418" s="2713">
        <v>0.207928722737663</v>
      </c>
      <c r="H418" s="2713">
        <v>0.228721595011429</v>
      </c>
      <c r="I418" s="2713">
        <v>1.43434748368562</v>
      </c>
      <c r="J418" s="2713">
        <f t="shared" si="18"/>
        <v>1.5060648578699</v>
      </c>
      <c r="K418" s="2713">
        <v>0.4</v>
      </c>
      <c r="L418" s="2714">
        <f t="shared" si="19"/>
        <v>2.13478645288133</v>
      </c>
      <c r="M418" s="2713">
        <v>1.30395225789602</v>
      </c>
      <c r="N418" s="2712" t="s">
        <v>25</v>
      </c>
    </row>
    <row r="419" s="2870" customFormat="1" ht="13.2" customHeight="1" spans="1:14">
      <c r="A419" s="730" t="s">
        <v>829</v>
      </c>
      <c r="B419" s="2711"/>
      <c r="C419" s="2711">
        <v>6.837</v>
      </c>
      <c r="D419" s="2711" t="s">
        <v>834</v>
      </c>
      <c r="E419" s="2712" t="s">
        <v>835</v>
      </c>
      <c r="F419" s="2713">
        <v>0.528036274902929</v>
      </c>
      <c r="G419" s="2713">
        <v>0.633643529883515</v>
      </c>
      <c r="H419" s="2713">
        <v>0.697007882871867</v>
      </c>
      <c r="I419" s="2713">
        <v>1.74048951170064</v>
      </c>
      <c r="J419" s="2713">
        <f t="shared" si="18"/>
        <v>1.82751398728567</v>
      </c>
      <c r="K419" s="2713">
        <v>0.2</v>
      </c>
      <c r="L419" s="2714">
        <f t="shared" si="19"/>
        <v>2.72452187015754</v>
      </c>
      <c r="M419" s="2713">
        <v>1.58226319245513</v>
      </c>
      <c r="N419" s="2712"/>
    </row>
    <row r="420" s="2870" customFormat="1" ht="13.2" customHeight="1" spans="1:14">
      <c r="A420" s="730" t="s">
        <v>829</v>
      </c>
      <c r="B420" s="2711"/>
      <c r="C420" s="2711">
        <v>6.837</v>
      </c>
      <c r="D420" s="2711" t="s">
        <v>836</v>
      </c>
      <c r="E420" s="2712" t="s">
        <v>837</v>
      </c>
      <c r="F420" s="2713">
        <v>0.528036274902929</v>
      </c>
      <c r="G420" s="2713">
        <v>0.633643529883515</v>
      </c>
      <c r="H420" s="2713">
        <v>0.697007882871867</v>
      </c>
      <c r="I420" s="2713">
        <v>1.92385131931522</v>
      </c>
      <c r="J420" s="2713">
        <f t="shared" si="18"/>
        <v>2.02004388528098</v>
      </c>
      <c r="K420" s="2713">
        <v>0.2</v>
      </c>
      <c r="L420" s="2714">
        <f t="shared" si="19"/>
        <v>2.91705176815285</v>
      </c>
      <c r="M420" s="2713">
        <v>1.74895574483202</v>
      </c>
      <c r="N420" s="2712"/>
    </row>
    <row r="421" s="2870" customFormat="1" ht="13.2" customHeight="1" spans="1:14">
      <c r="A421" s="730" t="s">
        <v>829</v>
      </c>
      <c r="B421" s="2711"/>
      <c r="C421" s="2711">
        <v>6.837</v>
      </c>
      <c r="D421" s="2711" t="s">
        <v>838</v>
      </c>
      <c r="E421" s="2712" t="s">
        <v>839</v>
      </c>
      <c r="F421" s="2713">
        <v>0.474898934647749</v>
      </c>
      <c r="G421" s="2713">
        <v>0.569878721577299</v>
      </c>
      <c r="H421" s="2713">
        <v>0.626866593735029</v>
      </c>
      <c r="I421" s="2713">
        <v>5.02092802564832</v>
      </c>
      <c r="J421" s="2713">
        <f t="shared" si="18"/>
        <v>5.27197442693074</v>
      </c>
      <c r="K421" s="2713">
        <v>0.4</v>
      </c>
      <c r="L421" s="2714">
        <f t="shared" si="19"/>
        <v>6.29884102066577</v>
      </c>
      <c r="M421" s="2713">
        <v>4.56448002331665</v>
      </c>
      <c r="N421" s="2712" t="s">
        <v>840</v>
      </c>
    </row>
    <row r="422" s="2870" customFormat="1" ht="13.2" customHeight="1" spans="1:14">
      <c r="A422" s="730" t="s">
        <v>829</v>
      </c>
      <c r="B422" s="2711"/>
      <c r="C422" s="2711">
        <v>6.837</v>
      </c>
      <c r="D422" s="2711" t="s">
        <v>841</v>
      </c>
      <c r="E422" s="2712" t="s">
        <v>842</v>
      </c>
      <c r="F422" s="2713">
        <v>0.528036274902929</v>
      </c>
      <c r="G422" s="2713">
        <v>0.633643529883515</v>
      </c>
      <c r="H422" s="2713">
        <v>0.697007882871867</v>
      </c>
      <c r="I422" s="2713">
        <v>5.37346801160111</v>
      </c>
      <c r="J422" s="2713">
        <f t="shared" si="18"/>
        <v>5.64214141218117</v>
      </c>
      <c r="K422" s="2713">
        <v>0.4</v>
      </c>
      <c r="L422" s="2714">
        <f t="shared" si="19"/>
        <v>6.73914929505304</v>
      </c>
      <c r="M422" s="2713">
        <v>4.88497091963737</v>
      </c>
      <c r="N422" s="2712" t="s">
        <v>840</v>
      </c>
    </row>
    <row r="423" s="2870" customFormat="1" ht="13.2" customHeight="1" spans="1:14">
      <c r="A423" s="730" t="s">
        <v>829</v>
      </c>
      <c r="B423" s="2711"/>
      <c r="C423" s="2711">
        <v>6.837</v>
      </c>
      <c r="D423" s="2711" t="s">
        <v>843</v>
      </c>
      <c r="E423" s="2712" t="s">
        <v>844</v>
      </c>
      <c r="F423" s="2713">
        <v>0.528036274902929</v>
      </c>
      <c r="G423" s="2713">
        <v>0.633643529883515</v>
      </c>
      <c r="H423" s="2713">
        <v>0.697007882871867</v>
      </c>
      <c r="I423" s="2713">
        <v>1.74048951170064</v>
      </c>
      <c r="J423" s="2713">
        <f t="shared" si="18"/>
        <v>1.82751398728567</v>
      </c>
      <c r="K423" s="2713">
        <v>0.2</v>
      </c>
      <c r="L423" s="2714">
        <f t="shared" si="19"/>
        <v>2.72452187015754</v>
      </c>
      <c r="M423" s="2713">
        <v>1.58226319245513</v>
      </c>
      <c r="N423" s="2712"/>
    </row>
    <row r="424" s="2870" customFormat="1" ht="13.2" customHeight="1" spans="1:14">
      <c r="A424" s="730" t="s">
        <v>829</v>
      </c>
      <c r="B424" s="2711"/>
      <c r="C424" s="2711">
        <v>6.837</v>
      </c>
      <c r="D424" s="2711" t="s">
        <v>845</v>
      </c>
      <c r="E424" s="2712" t="s">
        <v>846</v>
      </c>
      <c r="F424" s="2713">
        <v>0.386377773229407</v>
      </c>
      <c r="G424" s="2713">
        <v>0.463653327875288</v>
      </c>
      <c r="H424" s="2713">
        <v>0.510018660662817</v>
      </c>
      <c r="I424" s="2713">
        <v>1.0501561118122</v>
      </c>
      <c r="J424" s="2713">
        <f t="shared" si="18"/>
        <v>1.10266391740281</v>
      </c>
      <c r="K424" s="2713">
        <v>0.2</v>
      </c>
      <c r="L424" s="2714">
        <f t="shared" si="19"/>
        <v>1.81268257806563</v>
      </c>
      <c r="M424" s="2713">
        <v>0.954687374374726</v>
      </c>
      <c r="N424" s="2712"/>
    </row>
    <row r="425" s="2870" customFormat="1" ht="13.2" customHeight="1" spans="1:14">
      <c r="A425" s="730" t="s">
        <v>829</v>
      </c>
      <c r="B425" s="2711"/>
      <c r="C425" s="2711">
        <v>6.837</v>
      </c>
      <c r="D425" s="2711" t="s">
        <v>847</v>
      </c>
      <c r="E425" s="2712" t="s">
        <v>848</v>
      </c>
      <c r="F425" s="2713">
        <v>0.544349167593272</v>
      </c>
      <c r="G425" s="2713">
        <v>0.653219001111926</v>
      </c>
      <c r="H425" s="2713">
        <v>0.718540901223119</v>
      </c>
      <c r="I425" s="2713">
        <v>0.695516379834716</v>
      </c>
      <c r="J425" s="2713">
        <f t="shared" si="18"/>
        <v>0.730292198826452</v>
      </c>
      <c r="K425" s="2713">
        <v>0.2</v>
      </c>
      <c r="L425" s="2714">
        <f t="shared" si="19"/>
        <v>1.64883310004957</v>
      </c>
      <c r="M425" s="2713">
        <v>0.63228761803156</v>
      </c>
      <c r="N425" s="2712"/>
    </row>
    <row r="426" s="2870" customFormat="1" ht="13.2" customHeight="1" spans="1:14">
      <c r="A426" s="730" t="s">
        <v>829</v>
      </c>
      <c r="B426" s="2711"/>
      <c r="C426" s="2711">
        <v>6.837</v>
      </c>
      <c r="D426" s="2711" t="s">
        <v>849</v>
      </c>
      <c r="E426" s="2712" t="s">
        <v>850</v>
      </c>
      <c r="F426" s="2713">
        <v>0.173273935614719</v>
      </c>
      <c r="G426" s="2713">
        <v>0.207928722737663</v>
      </c>
      <c r="H426" s="2713">
        <v>0.228721595011429</v>
      </c>
      <c r="I426" s="2713">
        <v>1.63916228140156</v>
      </c>
      <c r="J426" s="2713">
        <f t="shared" si="18"/>
        <v>1.72112039547164</v>
      </c>
      <c r="K426" s="2713">
        <v>0.4</v>
      </c>
      <c r="L426" s="2714">
        <f t="shared" si="19"/>
        <v>2.34984199048307</v>
      </c>
      <c r="M426" s="2713">
        <v>1.49014752854687</v>
      </c>
      <c r="N426" s="2712" t="s">
        <v>840</v>
      </c>
    </row>
    <row r="427" s="2870" customFormat="1" ht="13.2" customHeight="1" spans="1:14">
      <c r="A427" s="730" t="s">
        <v>829</v>
      </c>
      <c r="B427" s="2711"/>
      <c r="C427" s="2711">
        <v>6.837</v>
      </c>
      <c r="D427" s="2711" t="s">
        <v>851</v>
      </c>
      <c r="E427" s="2712" t="s">
        <v>852</v>
      </c>
      <c r="F427" s="2713">
        <v>0.602373391107167</v>
      </c>
      <c r="G427" s="2713">
        <v>0.7228480693286</v>
      </c>
      <c r="H427" s="2713">
        <v>0.79513287626146</v>
      </c>
      <c r="I427" s="2713">
        <v>4.72817784331993</v>
      </c>
      <c r="J427" s="2713">
        <f t="shared" si="18"/>
        <v>4.96458673548593</v>
      </c>
      <c r="K427" s="2713">
        <v>0.4</v>
      </c>
      <c r="L427" s="2714">
        <f t="shared" si="19"/>
        <v>6.15971961174739</v>
      </c>
      <c r="M427" s="2713">
        <v>4.29834349392721</v>
      </c>
      <c r="N427" s="2712" t="s">
        <v>840</v>
      </c>
    </row>
    <row r="428" s="2870" customFormat="1" ht="13.2" customHeight="1" spans="1:14">
      <c r="A428" s="730" t="s">
        <v>829</v>
      </c>
      <c r="B428" s="2711"/>
      <c r="C428" s="2711">
        <v>6.837</v>
      </c>
      <c r="D428" s="2711" t="s">
        <v>853</v>
      </c>
      <c r="E428" s="2712" t="s">
        <v>854</v>
      </c>
      <c r="F428" s="2713">
        <v>0.436732195459468</v>
      </c>
      <c r="G428" s="2713">
        <v>0.524078634551362</v>
      </c>
      <c r="H428" s="2713">
        <v>0.576486498006498</v>
      </c>
      <c r="I428" s="2713">
        <v>3.18178556044588</v>
      </c>
      <c r="J428" s="2713">
        <f t="shared" si="18"/>
        <v>3.34087483846817</v>
      </c>
      <c r="K428" s="2713">
        <v>0.4</v>
      </c>
      <c r="L428" s="2714">
        <f t="shared" si="19"/>
        <v>4.31736133647467</v>
      </c>
      <c r="M428" s="2713">
        <v>2.89253232767807</v>
      </c>
      <c r="N428" s="2712" t="s">
        <v>25</v>
      </c>
    </row>
    <row r="429" s="2870" customFormat="1" ht="13.2" customHeight="1" spans="1:14">
      <c r="A429" s="730" t="s">
        <v>829</v>
      </c>
      <c r="B429" s="2711"/>
      <c r="C429" s="2711">
        <v>6.837</v>
      </c>
      <c r="D429" s="2711" t="s">
        <v>855</v>
      </c>
      <c r="E429" s="2712" t="s">
        <v>856</v>
      </c>
      <c r="F429" s="2713">
        <v>0.67336247495618</v>
      </c>
      <c r="G429" s="2713">
        <v>0.808034969947416</v>
      </c>
      <c r="H429" s="2713">
        <v>0.888838466942158</v>
      </c>
      <c r="I429" s="2713">
        <v>1.37965670689477</v>
      </c>
      <c r="J429" s="2713">
        <f t="shared" si="18"/>
        <v>1.44863954223951</v>
      </c>
      <c r="K429" s="2713">
        <v>0.4</v>
      </c>
      <c r="L429" s="2714">
        <f t="shared" si="19"/>
        <v>2.73747800918167</v>
      </c>
      <c r="M429" s="2713">
        <v>1.25423336990434</v>
      </c>
      <c r="N429" s="2712"/>
    </row>
    <row r="430" s="2870" customFormat="1" ht="13.2" customHeight="1" spans="1:14">
      <c r="A430" s="730" t="s">
        <v>829</v>
      </c>
      <c r="B430" s="2711"/>
      <c r="C430" s="2711">
        <v>6.837</v>
      </c>
      <c r="D430" s="2711" t="s">
        <v>857</v>
      </c>
      <c r="E430" s="2712" t="s">
        <v>858</v>
      </c>
      <c r="F430" s="2713">
        <v>0.460395223409138</v>
      </c>
      <c r="G430" s="2713">
        <v>0.552474268090966</v>
      </c>
      <c r="H430" s="2713">
        <v>0.607721694900063</v>
      </c>
      <c r="I430" s="2713">
        <v>1.12874844018008</v>
      </c>
      <c r="J430" s="2713">
        <f t="shared" si="18"/>
        <v>1.18518586218908</v>
      </c>
      <c r="K430" s="2713">
        <v>0.2</v>
      </c>
      <c r="L430" s="2714">
        <f t="shared" si="19"/>
        <v>1.99290755708914</v>
      </c>
      <c r="M430" s="2713">
        <v>1.02613494561825</v>
      </c>
      <c r="N430" s="2712"/>
    </row>
    <row r="431" s="2870" customFormat="1" ht="13.2" customHeight="1" spans="1:14">
      <c r="A431" s="730" t="s">
        <v>829</v>
      </c>
      <c r="B431" s="2711"/>
      <c r="C431" s="2711">
        <v>6.837</v>
      </c>
      <c r="D431" s="2711" t="s">
        <v>859</v>
      </c>
      <c r="E431" s="2712" t="s">
        <v>860</v>
      </c>
      <c r="F431" s="2713">
        <v>0.271090999811768</v>
      </c>
      <c r="G431" s="2713">
        <v>0.325309199774122</v>
      </c>
      <c r="H431" s="2713">
        <v>0.357840119751534</v>
      </c>
      <c r="I431" s="2713">
        <v>3.06803672665994</v>
      </c>
      <c r="J431" s="2713">
        <f t="shared" si="18"/>
        <v>3.22143856299294</v>
      </c>
      <c r="K431" s="2713">
        <v>0.4</v>
      </c>
      <c r="L431" s="2714">
        <f t="shared" si="19"/>
        <v>3.97927868274447</v>
      </c>
      <c r="M431" s="2713">
        <v>2.78912429696358</v>
      </c>
      <c r="N431" s="2712" t="s">
        <v>25</v>
      </c>
    </row>
    <row r="432" s="2870" customFormat="1" ht="13.2" customHeight="1" spans="1:14">
      <c r="A432" s="730" t="s">
        <v>829</v>
      </c>
      <c r="B432" s="2711"/>
      <c r="C432" s="2711">
        <v>6.837</v>
      </c>
      <c r="D432" s="2711" t="s">
        <v>861</v>
      </c>
      <c r="E432" s="2712" t="s">
        <v>862</v>
      </c>
      <c r="F432" s="2713">
        <v>0.241225042205387</v>
      </c>
      <c r="G432" s="2713">
        <v>0.289470050646464</v>
      </c>
      <c r="H432" s="2713">
        <v>0.31841705571111</v>
      </c>
      <c r="I432" s="2713">
        <v>3.03077312269241</v>
      </c>
      <c r="J432" s="2713">
        <f t="shared" si="18"/>
        <v>3.18231177882703</v>
      </c>
      <c r="K432" s="2713">
        <v>0.4</v>
      </c>
      <c r="L432" s="2714">
        <f t="shared" si="19"/>
        <v>3.90072883453814</v>
      </c>
      <c r="M432" s="2713">
        <v>2.75524829335674</v>
      </c>
      <c r="N432" s="2712" t="s">
        <v>25</v>
      </c>
    </row>
    <row r="433" s="2870" customFormat="1" ht="13.2" customHeight="1" spans="1:14">
      <c r="A433" s="730" t="s">
        <v>829</v>
      </c>
      <c r="B433" s="2711"/>
      <c r="C433" s="2711">
        <v>6.837</v>
      </c>
      <c r="D433" s="2711" t="s">
        <v>863</v>
      </c>
      <c r="E433" s="2712" t="s">
        <v>864</v>
      </c>
      <c r="F433" s="2713">
        <v>0.686609038002407</v>
      </c>
      <c r="G433" s="2713">
        <v>0.823930845602888</v>
      </c>
      <c r="H433" s="2713">
        <v>0.906323930163177</v>
      </c>
      <c r="I433" s="2713">
        <v>0.786600803750944</v>
      </c>
      <c r="J433" s="2713">
        <f t="shared" si="18"/>
        <v>0.825930843938491</v>
      </c>
      <c r="K433" s="2713">
        <v>0.2</v>
      </c>
      <c r="L433" s="2714">
        <f t="shared" si="19"/>
        <v>1.93225477410167</v>
      </c>
      <c r="M433" s="2713">
        <v>0.715091639773585</v>
      </c>
      <c r="N433" s="2712"/>
    </row>
    <row r="434" s="2870" customFormat="1" ht="13.2" customHeight="1" spans="1:14">
      <c r="A434" s="730" t="s">
        <v>865</v>
      </c>
      <c r="B434" s="2711"/>
      <c r="C434" s="2711">
        <v>6.837</v>
      </c>
      <c r="D434" s="2711" t="s">
        <v>866</v>
      </c>
      <c r="E434" s="2712" t="s">
        <v>867</v>
      </c>
      <c r="F434" s="2713">
        <v>0.370379439122852</v>
      </c>
      <c r="G434" s="2713">
        <v>0.444455326947422</v>
      </c>
      <c r="H434" s="2713">
        <v>0.488900859642164</v>
      </c>
      <c r="I434" s="2713">
        <v>0.667507460233401</v>
      </c>
      <c r="J434" s="2713">
        <f t="shared" si="18"/>
        <v>0.700882833245071</v>
      </c>
      <c r="K434" s="2713">
        <v>0.2</v>
      </c>
      <c r="L434" s="2714">
        <f t="shared" si="19"/>
        <v>1.38978369288723</v>
      </c>
      <c r="M434" s="2713">
        <v>0.606824963848546</v>
      </c>
      <c r="N434" s="2712"/>
    </row>
    <row r="435" s="2870" customFormat="1" ht="13.2" customHeight="1" spans="1:14">
      <c r="A435" s="2733" t="s">
        <v>506</v>
      </c>
      <c r="B435" s="2883">
        <v>46057</v>
      </c>
      <c r="C435" s="2899">
        <v>6.837</v>
      </c>
      <c r="D435" s="2764" t="s">
        <v>868</v>
      </c>
      <c r="E435" s="2712" t="s">
        <v>869</v>
      </c>
      <c r="F435" s="2713">
        <f>3.234/C435/1.13</f>
        <v>0.418596884986817</v>
      </c>
      <c r="G435" s="2713">
        <f>4.58/6.78/1.13*1.3</f>
        <v>0.777142558801264</v>
      </c>
      <c r="H435" s="2713">
        <v>0.854856814681391</v>
      </c>
      <c r="I435" s="2713">
        <v>1.99007545941202</v>
      </c>
      <c r="J435" s="2713">
        <f t="shared" si="18"/>
        <v>2.08957923238262</v>
      </c>
      <c r="K435" s="2714">
        <v>0.3</v>
      </c>
      <c r="L435" s="2714">
        <f t="shared" si="19"/>
        <v>3.24443604706401</v>
      </c>
      <c r="M435" s="2713">
        <v>1.80915950855638</v>
      </c>
      <c r="N435" s="2712" t="s">
        <v>870</v>
      </c>
    </row>
    <row r="436" s="2870" customFormat="1" ht="13.2" customHeight="1" spans="1:14">
      <c r="A436" s="2733"/>
      <c r="B436" s="2772">
        <v>20250318</v>
      </c>
      <c r="C436" s="2711">
        <v>6.837</v>
      </c>
      <c r="D436" s="2764" t="s">
        <v>871</v>
      </c>
      <c r="E436" s="2712" t="s">
        <v>872</v>
      </c>
      <c r="F436" s="2713">
        <v>0.428618377886366</v>
      </c>
      <c r="G436" s="2713">
        <f>4.58/6.78/1.13*1.1</f>
        <v>0.657582165139531</v>
      </c>
      <c r="H436" s="2713">
        <v>0.723340381653484</v>
      </c>
      <c r="I436" s="2713">
        <v>0.752317894728772</v>
      </c>
      <c r="J436" s="2713">
        <f t="shared" si="18"/>
        <v>0.789933789465211</v>
      </c>
      <c r="K436" s="2714">
        <v>0.2</v>
      </c>
      <c r="L436" s="2714">
        <f t="shared" si="19"/>
        <v>1.71327417111869</v>
      </c>
      <c r="M436" s="2713">
        <v>0.683925358844338</v>
      </c>
      <c r="N436" s="228" t="s">
        <v>531</v>
      </c>
    </row>
    <row r="437" s="2870" customFormat="1" ht="13.2" customHeight="1" spans="1:14">
      <c r="A437" s="2733"/>
      <c r="B437" s="2772">
        <v>20250318</v>
      </c>
      <c r="C437" s="2711">
        <v>6.837</v>
      </c>
      <c r="D437" s="2764" t="s">
        <v>873</v>
      </c>
      <c r="E437" s="2712" t="s">
        <v>874</v>
      </c>
      <c r="F437" s="2713">
        <v>0.420301656193492</v>
      </c>
      <c r="G437" s="2713">
        <f>4.5/6.78/1.13</f>
        <v>0.587360012530347</v>
      </c>
      <c r="H437" s="2713">
        <v>0.646096013783382</v>
      </c>
      <c r="I437" s="2713">
        <v>2.07282883485642</v>
      </c>
      <c r="J437" s="2713">
        <f t="shared" si="18"/>
        <v>2.17647027659924</v>
      </c>
      <c r="K437" s="2714">
        <v>0.4</v>
      </c>
      <c r="L437" s="2714">
        <f t="shared" si="19"/>
        <v>3.22256629038262</v>
      </c>
      <c r="M437" s="2713">
        <v>1.88438984986947</v>
      </c>
      <c r="N437" s="226" t="s">
        <v>171</v>
      </c>
    </row>
    <row r="438" s="2870" customFormat="1" ht="13.2" customHeight="1" spans="1:14">
      <c r="A438" s="2733"/>
      <c r="B438" s="2711">
        <v>20241210</v>
      </c>
      <c r="C438" s="2711">
        <v>6.837</v>
      </c>
      <c r="D438" s="2764" t="s">
        <v>875</v>
      </c>
      <c r="E438" s="2712" t="s">
        <v>876</v>
      </c>
      <c r="F438" s="2713">
        <v>0.0257094664091948</v>
      </c>
      <c r="G438" s="2713">
        <v>0.0308513596910338</v>
      </c>
      <c r="H438" s="2713">
        <v>0.0339364956601372</v>
      </c>
      <c r="I438" s="2713">
        <v>0.0408069985981748</v>
      </c>
      <c r="J438" s="2713">
        <f t="shared" si="18"/>
        <v>0.0428473485280835</v>
      </c>
      <c r="K438" s="2714">
        <v>0.2</v>
      </c>
      <c r="L438" s="2714">
        <f t="shared" si="19"/>
        <v>0.276783844188221</v>
      </c>
      <c r="M438" s="2713">
        <v>0.0370972714528862</v>
      </c>
      <c r="N438" s="2711"/>
    </row>
    <row r="439" s="2870" customFormat="1" ht="13.2" customHeight="1" spans="1:14">
      <c r="A439" s="2733"/>
      <c r="B439" s="2711">
        <v>20250625</v>
      </c>
      <c r="C439" s="2711">
        <v>6.72</v>
      </c>
      <c r="D439" s="2764" t="s">
        <v>877</v>
      </c>
      <c r="E439" s="2764" t="s">
        <v>878</v>
      </c>
      <c r="F439" s="2713">
        <v>0.415722071836682</v>
      </c>
      <c r="G439" s="2713">
        <v>0.498866486204018</v>
      </c>
      <c r="H439" s="2713">
        <f>5/C439/1.13</f>
        <v>0.658449220396123</v>
      </c>
      <c r="I439" s="2713">
        <v>2.6426942036648</v>
      </c>
      <c r="J439" s="2713">
        <v>2.6</v>
      </c>
      <c r="K439" s="2714">
        <f>2.5/C439</f>
        <v>0.37202380952381</v>
      </c>
      <c r="L439" s="2714">
        <f t="shared" si="19"/>
        <v>3.63047302991993</v>
      </c>
      <c r="M439" s="2713">
        <v>2.40244927605891</v>
      </c>
      <c r="N439" s="226" t="s">
        <v>171</v>
      </c>
    </row>
    <row r="440" s="2870" customFormat="1" ht="13.2" customHeight="1" spans="1:14">
      <c r="A440" s="2733"/>
      <c r="B440" s="2764"/>
      <c r="C440" s="2711">
        <v>6.837</v>
      </c>
      <c r="D440" s="2764" t="s">
        <v>879</v>
      </c>
      <c r="E440" s="2712" t="s">
        <v>880</v>
      </c>
      <c r="F440" s="2713">
        <f>3.54/C440/1.13*1.2</f>
        <v>0.549845258943722</v>
      </c>
      <c r="G440" s="2713">
        <v>0.659814310732466</v>
      </c>
      <c r="H440" s="2713">
        <v>0.725795741805713</v>
      </c>
      <c r="I440" s="2713">
        <v>2.1123153429867</v>
      </c>
      <c r="J440" s="2713">
        <f t="shared" si="18"/>
        <v>2.21793111013603</v>
      </c>
      <c r="K440" s="2714">
        <v>0.4</v>
      </c>
      <c r="L440" s="2714">
        <f t="shared" si="19"/>
        <v>3.34372685194174</v>
      </c>
      <c r="M440" s="2713">
        <v>1.92028667544245</v>
      </c>
      <c r="N440" s="2712" t="s">
        <v>25</v>
      </c>
    </row>
    <row r="441" s="2870" customFormat="1" ht="13.2" customHeight="1" spans="1:14">
      <c r="A441" s="2733"/>
      <c r="B441" s="2911">
        <v>46057</v>
      </c>
      <c r="C441" s="2899">
        <v>6.837</v>
      </c>
      <c r="D441" s="2764" t="s">
        <v>881</v>
      </c>
      <c r="E441" s="2712" t="s">
        <v>882</v>
      </c>
      <c r="F441" s="2713">
        <f>0.5/C441/1.13</f>
        <v>0.0647181331148449</v>
      </c>
      <c r="G441" s="2713">
        <v>0.15</v>
      </c>
      <c r="H441" s="2713">
        <v>0.165</v>
      </c>
      <c r="I441" s="2713">
        <v>0.1</v>
      </c>
      <c r="J441" s="2713">
        <f t="shared" si="18"/>
        <v>0.105</v>
      </c>
      <c r="K441" s="2714">
        <v>0.2</v>
      </c>
      <c r="L441" s="2714">
        <f t="shared" si="19"/>
        <v>0.47</v>
      </c>
      <c r="M441" s="2713">
        <v>0.040831358783092</v>
      </c>
      <c r="N441" s="2712"/>
    </row>
    <row r="442" s="2870" customFormat="1" ht="13.2" customHeight="1" spans="1:14">
      <c r="A442" s="2733"/>
      <c r="B442" s="2764"/>
      <c r="C442" s="2711">
        <v>6.837</v>
      </c>
      <c r="D442" s="2764" t="s">
        <v>883</v>
      </c>
      <c r="E442" s="2712" t="s">
        <v>509</v>
      </c>
      <c r="F442" s="2713">
        <v>0.648164018464991</v>
      </c>
      <c r="G442" s="2713">
        <v>0.777796822157989</v>
      </c>
      <c r="H442" s="2713">
        <v>0.855576504373788</v>
      </c>
      <c r="I442" s="2713">
        <v>3.42653829586479</v>
      </c>
      <c r="J442" s="2713">
        <f t="shared" si="18"/>
        <v>3.59786521065803</v>
      </c>
      <c r="K442" s="2713">
        <v>0.4</v>
      </c>
      <c r="L442" s="2714">
        <f t="shared" si="19"/>
        <v>4.85344171503182</v>
      </c>
      <c r="M442" s="2713">
        <v>3.11503481442254</v>
      </c>
      <c r="N442" s="2711" t="s">
        <v>25</v>
      </c>
    </row>
    <row r="443" s="2870" customFormat="1" ht="13.2" customHeight="1" spans="1:14">
      <c r="A443" s="2733"/>
      <c r="B443" s="2764"/>
      <c r="C443" s="2711">
        <v>6.837</v>
      </c>
      <c r="D443" s="2764" t="s">
        <v>884</v>
      </c>
      <c r="E443" s="2712" t="s">
        <v>508</v>
      </c>
      <c r="F443" s="2713">
        <v>0.0308649532602375</v>
      </c>
      <c r="G443" s="2713">
        <v>0.037037943912285</v>
      </c>
      <c r="H443" s="2713">
        <v>0.0407417383035135</v>
      </c>
      <c r="I443" s="2713">
        <v>0.0556256216861168</v>
      </c>
      <c r="J443" s="2713">
        <f t="shared" si="18"/>
        <v>0.0584069027704226</v>
      </c>
      <c r="K443" s="2713">
        <v>0.4</v>
      </c>
      <c r="L443" s="2714">
        <f t="shared" si="19"/>
        <v>0.499148641073936</v>
      </c>
      <c r="M443" s="2713">
        <v>0.0505687469873789</v>
      </c>
      <c r="N443" s="2711"/>
    </row>
    <row r="444" s="2870" customFormat="1" ht="13.2" customHeight="1" spans="1:14">
      <c r="A444" s="2733"/>
      <c r="B444" s="2764"/>
      <c r="C444" s="2711">
        <v>6.837</v>
      </c>
      <c r="D444" s="2764" t="s">
        <v>885</v>
      </c>
      <c r="E444" s="2712" t="s">
        <v>886</v>
      </c>
      <c r="F444" s="2713">
        <v>0.146196995275992</v>
      </c>
      <c r="G444" s="2713">
        <v>0.17543639433119</v>
      </c>
      <c r="H444" s="2713">
        <v>0.192980033764309</v>
      </c>
      <c r="I444" s="2713">
        <v>0.869484092575691</v>
      </c>
      <c r="J444" s="2713">
        <f t="shared" si="18"/>
        <v>0.912958297204476</v>
      </c>
      <c r="K444" s="2713">
        <v>0.4</v>
      </c>
      <c r="L444" s="2714">
        <f t="shared" si="19"/>
        <v>1.50593833096878</v>
      </c>
      <c r="M444" s="2713">
        <v>0.790440084159719</v>
      </c>
      <c r="N444" s="2712"/>
    </row>
    <row r="445" s="2870" customFormat="1" ht="13.2" customHeight="1" spans="1:14">
      <c r="A445" s="2733"/>
      <c r="B445" s="2764"/>
      <c r="C445" s="2711">
        <v>6.837</v>
      </c>
      <c r="D445" s="2764" t="s">
        <v>393</v>
      </c>
      <c r="E445" s="2712" t="s">
        <v>394</v>
      </c>
      <c r="F445" s="2713">
        <v>0.379067923465608</v>
      </c>
      <c r="G445" s="2713">
        <v>0.45488150815873</v>
      </c>
      <c r="H445" s="2713">
        <v>0.500369658974603</v>
      </c>
      <c r="I445" s="2713">
        <v>1.2308281310487</v>
      </c>
      <c r="J445" s="2713">
        <f t="shared" si="18"/>
        <v>1.29236953760114</v>
      </c>
      <c r="K445" s="2713">
        <v>0.2</v>
      </c>
      <c r="L445" s="2714">
        <f t="shared" si="19"/>
        <v>1.99273919657574</v>
      </c>
      <c r="M445" s="2713">
        <v>1.11893466458973</v>
      </c>
      <c r="N445" s="2712"/>
    </row>
    <row r="446" s="2870" customFormat="1" ht="13.2" customHeight="1" spans="1:14">
      <c r="A446" s="2733" t="s">
        <v>887</v>
      </c>
      <c r="B446" s="2711"/>
      <c r="C446" s="2711">
        <v>6.837</v>
      </c>
      <c r="D446" s="2711" t="s">
        <v>888</v>
      </c>
      <c r="E446" s="2712" t="s">
        <v>889</v>
      </c>
      <c r="F446" s="2713">
        <v>0.113171495287537</v>
      </c>
      <c r="G446" s="2713">
        <v>0.135805794345044</v>
      </c>
      <c r="H446" s="2713">
        <v>0.149386373779548</v>
      </c>
      <c r="I446" s="2713">
        <v>0.689757708907848</v>
      </c>
      <c r="J446" s="2713">
        <f t="shared" si="18"/>
        <v>0.72424559435324</v>
      </c>
      <c r="K446" s="2713">
        <v>0.4</v>
      </c>
      <c r="L446" s="2714">
        <f t="shared" si="19"/>
        <v>1.27363196813279</v>
      </c>
      <c r="M446" s="2713">
        <v>0.627052462643498</v>
      </c>
      <c r="N446" s="2712"/>
    </row>
    <row r="447" s="2870" customFormat="1" ht="13.2" customHeight="1" spans="1:14">
      <c r="A447" s="2733"/>
      <c r="B447" s="2764"/>
      <c r="C447" s="2711">
        <v>6.837</v>
      </c>
      <c r="D447" s="2764"/>
      <c r="E447" s="243" t="s">
        <v>890</v>
      </c>
      <c r="F447" s="2713">
        <v>4.62974298903564</v>
      </c>
      <c r="G447" s="2713">
        <v>5.55569158684277</v>
      </c>
      <c r="H447" s="2713">
        <v>6.11126074552705</v>
      </c>
      <c r="I447" s="2713">
        <v>17.4108195877546</v>
      </c>
      <c r="J447" s="2713">
        <f t="shared" si="18"/>
        <v>18.2813605671423</v>
      </c>
      <c r="K447" s="2713">
        <f>3.54861111111111*1.019</f>
        <v>3.61603472222222</v>
      </c>
      <c r="L447" s="2714">
        <f t="shared" si="19"/>
        <v>28.0086560348916</v>
      </c>
      <c r="M447" s="2713">
        <v>15.8280178070496</v>
      </c>
      <c r="N447" s="2711" t="s">
        <v>891</v>
      </c>
    </row>
    <row r="448" s="2870" customFormat="1" ht="13.2" customHeight="1" spans="1:14">
      <c r="A448" s="2733"/>
      <c r="B448" s="2764"/>
      <c r="C448" s="2711">
        <v>6.837</v>
      </c>
      <c r="D448" s="2764"/>
      <c r="E448" s="243" t="s">
        <v>892</v>
      </c>
      <c r="F448" s="2713">
        <v>0.36009112136944</v>
      </c>
      <c r="G448" s="2713">
        <v>0.432109345643328</v>
      </c>
      <c r="H448" s="2713">
        <v>0.475320280207661</v>
      </c>
      <c r="I448" s="2713">
        <v>0.756508454931188</v>
      </c>
      <c r="J448" s="2713">
        <f t="shared" si="18"/>
        <v>0.794333877677747</v>
      </c>
      <c r="K448" s="2713">
        <f>3.54861111111111*1.019</f>
        <v>3.61603472222222</v>
      </c>
      <c r="L448" s="2714">
        <f t="shared" si="19"/>
        <v>4.88568888010763</v>
      </c>
      <c r="M448" s="2713">
        <v>0.687734959028353</v>
      </c>
      <c r="N448" s="2711"/>
    </row>
    <row r="449" s="2870" customFormat="1" ht="13.2" customHeight="1" spans="1:14">
      <c r="A449" s="2733"/>
      <c r="B449" s="2764"/>
      <c r="C449" s="2711">
        <v>6.837</v>
      </c>
      <c r="D449" s="2764"/>
      <c r="E449" s="243" t="s">
        <v>893</v>
      </c>
      <c r="F449" s="2713">
        <v>0.36009112136944</v>
      </c>
      <c r="G449" s="2713">
        <v>0.432109345643328</v>
      </c>
      <c r="H449" s="2713">
        <v>0.475320280207661</v>
      </c>
      <c r="I449" s="2713">
        <v>0.600756714210061</v>
      </c>
      <c r="J449" s="2713">
        <f t="shared" si="18"/>
        <v>0.630794549920564</v>
      </c>
      <c r="K449" s="2713">
        <v>0.2</v>
      </c>
      <c r="L449" s="2714">
        <f t="shared" si="19"/>
        <v>1.30611483012823</v>
      </c>
      <c r="M449" s="2713">
        <v>0.546142467463692</v>
      </c>
      <c r="N449" s="2711"/>
    </row>
    <row r="450" s="2870" customFormat="1" ht="13.2" customHeight="1" spans="1:14">
      <c r="A450" s="2733" t="s">
        <v>894</v>
      </c>
      <c r="B450" s="2711"/>
      <c r="C450" s="2711">
        <v>6.837</v>
      </c>
      <c r="D450" s="2711" t="s">
        <v>393</v>
      </c>
      <c r="E450" s="2712" t="s">
        <v>394</v>
      </c>
      <c r="F450" s="2713">
        <v>0.379067923465608</v>
      </c>
      <c r="G450" s="2713">
        <v>0.45488150815873</v>
      </c>
      <c r="H450" s="2713">
        <v>0.500369658974603</v>
      </c>
      <c r="I450" s="2713">
        <v>1.2308281310487</v>
      </c>
      <c r="J450" s="2713">
        <f t="shared" si="18"/>
        <v>1.29236953760114</v>
      </c>
      <c r="K450" s="2713">
        <v>0.2</v>
      </c>
      <c r="L450" s="2714">
        <f t="shared" si="19"/>
        <v>1.99273919657574</v>
      </c>
      <c r="M450" s="2713">
        <v>1.11893466458973</v>
      </c>
      <c r="N450" s="2712"/>
    </row>
    <row r="451" s="2870" customFormat="1" ht="13.2" customHeight="1" spans="1:14">
      <c r="A451" s="2733" t="s">
        <v>887</v>
      </c>
      <c r="B451" s="2711"/>
      <c r="C451" s="2711">
        <v>6.837</v>
      </c>
      <c r="D451" s="2711" t="s">
        <v>885</v>
      </c>
      <c r="E451" s="2712" t="s">
        <v>886</v>
      </c>
      <c r="F451" s="2713">
        <v>0.146196995275992</v>
      </c>
      <c r="G451" s="2713">
        <v>0.17543639433119</v>
      </c>
      <c r="H451" s="2713">
        <v>0.192980033764309</v>
      </c>
      <c r="I451" s="2713">
        <v>0.869484092575691</v>
      </c>
      <c r="J451" s="2713">
        <f t="shared" si="18"/>
        <v>0.912958297204476</v>
      </c>
      <c r="K451" s="2713">
        <v>0.4</v>
      </c>
      <c r="L451" s="2714">
        <f t="shared" si="19"/>
        <v>1.50593833096878</v>
      </c>
      <c r="M451" s="2713">
        <v>0.790440084159719</v>
      </c>
      <c r="N451" s="2712"/>
    </row>
    <row r="452" s="2870" customFormat="1" ht="13.2" customHeight="1" spans="1:14">
      <c r="A452" s="730" t="s">
        <v>895</v>
      </c>
      <c r="B452" s="2711"/>
      <c r="C452" s="2711">
        <v>6.837</v>
      </c>
      <c r="D452" s="2711" t="s">
        <v>896</v>
      </c>
      <c r="E452" s="2712" t="s">
        <v>897</v>
      </c>
      <c r="F452" s="2713">
        <v>0.156639637795705</v>
      </c>
      <c r="G452" s="2713">
        <v>0.187967565354846</v>
      </c>
      <c r="H452" s="2713">
        <v>0.206764321890331</v>
      </c>
      <c r="I452" s="2713">
        <v>1.11790811902589</v>
      </c>
      <c r="J452" s="2713">
        <f t="shared" si="18"/>
        <v>1.17380352497718</v>
      </c>
      <c r="K452" s="2713">
        <v>0.4</v>
      </c>
      <c r="L452" s="2714">
        <f t="shared" si="19"/>
        <v>1.78056784686751</v>
      </c>
      <c r="M452" s="2713">
        <v>1.01628010820535</v>
      </c>
      <c r="N452" s="2712"/>
    </row>
    <row r="453" s="2870" customFormat="1" ht="13.2" customHeight="1" spans="1:14">
      <c r="A453" s="730" t="s">
        <v>898</v>
      </c>
      <c r="B453" s="2711"/>
      <c r="C453" s="2711">
        <v>6.837</v>
      </c>
      <c r="D453" s="2711" t="s">
        <v>899</v>
      </c>
      <c r="E453" s="2736" t="s">
        <v>900</v>
      </c>
      <c r="F453" s="2713">
        <v>0.534992523177453</v>
      </c>
      <c r="G453" s="2713">
        <v>0.641991027812944</v>
      </c>
      <c r="H453" s="2713">
        <v>0.706190130594239</v>
      </c>
      <c r="I453" s="2713">
        <v>4.53905072958714</v>
      </c>
      <c r="J453" s="2713">
        <f t="shared" si="18"/>
        <v>4.7660032660665</v>
      </c>
      <c r="K453" s="2713">
        <v>0.4</v>
      </c>
      <c r="L453" s="2714">
        <f t="shared" si="19"/>
        <v>5.87219339666074</v>
      </c>
      <c r="M453" s="2713">
        <v>4.12640975417013</v>
      </c>
      <c r="N453" s="2712" t="s">
        <v>840</v>
      </c>
    </row>
    <row r="454" s="2870" customFormat="1" ht="13.2" customHeight="1" spans="1:14">
      <c r="A454" s="730" t="s">
        <v>537</v>
      </c>
      <c r="B454" s="2764"/>
      <c r="C454" s="2711">
        <v>6.837</v>
      </c>
      <c r="D454" s="2764" t="s">
        <v>901</v>
      </c>
      <c r="E454" s="2712" t="s">
        <v>580</v>
      </c>
      <c r="F454" s="2713">
        <v>0.596722429697928</v>
      </c>
      <c r="G454" s="2713">
        <v>0.716066915637514</v>
      </c>
      <c r="H454" s="2713">
        <v>0.787673607201265</v>
      </c>
      <c r="I454" s="2713">
        <v>3.13728506309699</v>
      </c>
      <c r="J454" s="2713">
        <f t="shared" ref="J454:J517" si="20">I454*1.05</f>
        <v>3.29414931625184</v>
      </c>
      <c r="K454" s="2713">
        <v>0.4</v>
      </c>
      <c r="L454" s="2714">
        <f t="shared" ref="L454:L517" si="21">SUBTOTAL(109,H454,J454,K454)</f>
        <v>4.48182292345311</v>
      </c>
      <c r="M454" s="2713">
        <v>2.85207733008817</v>
      </c>
      <c r="N454" s="2711" t="s">
        <v>581</v>
      </c>
    </row>
    <row r="455" s="2870" customFormat="1" ht="13.2" customHeight="1" spans="1:14">
      <c r="A455" s="730" t="s">
        <v>902</v>
      </c>
      <c r="B455" s="2711"/>
      <c r="C455" s="2711">
        <v>6.837</v>
      </c>
      <c r="D455" s="2711" t="s">
        <v>903</v>
      </c>
      <c r="E455" s="2712" t="s">
        <v>904</v>
      </c>
      <c r="F455" s="2713">
        <v>0.146196995275992</v>
      </c>
      <c r="G455" s="2713">
        <v>0.17543639433119</v>
      </c>
      <c r="H455" s="2713">
        <v>0.192980033764309</v>
      </c>
      <c r="I455" s="2713">
        <v>0.869484092575691</v>
      </c>
      <c r="J455" s="2713">
        <f t="shared" si="20"/>
        <v>0.912958297204476</v>
      </c>
      <c r="K455" s="2713">
        <v>0.4</v>
      </c>
      <c r="L455" s="2714">
        <f t="shared" si="21"/>
        <v>1.50593833096878</v>
      </c>
      <c r="M455" s="2713">
        <v>0.790440084159719</v>
      </c>
      <c r="N455" s="2712"/>
    </row>
    <row r="456" s="2870" customFormat="1" ht="13.2" customHeight="1" spans="1:14">
      <c r="A456" s="730" t="s">
        <v>905</v>
      </c>
      <c r="B456" s="2711"/>
      <c r="C456" s="2711">
        <v>6.837</v>
      </c>
      <c r="D456" s="2711" t="s">
        <v>906</v>
      </c>
      <c r="E456" s="2736" t="s">
        <v>907</v>
      </c>
      <c r="F456" s="2713">
        <v>0.379067923465608</v>
      </c>
      <c r="G456" s="2713">
        <v>0.45488150815873</v>
      </c>
      <c r="H456" s="2713">
        <v>0.500369658974603</v>
      </c>
      <c r="I456" s="2713">
        <v>1.35504014427381</v>
      </c>
      <c r="J456" s="2713">
        <f t="shared" si="20"/>
        <v>1.4227921514875</v>
      </c>
      <c r="K456" s="2713">
        <v>0.2</v>
      </c>
      <c r="L456" s="2714">
        <f t="shared" si="21"/>
        <v>2.1231618104621</v>
      </c>
      <c r="M456" s="2713">
        <v>1.23185467661255</v>
      </c>
      <c r="N456" s="2712"/>
    </row>
    <row r="457" s="2870" customFormat="1" ht="13.2" customHeight="1" spans="1:14">
      <c r="A457" s="730"/>
      <c r="B457" s="2711"/>
      <c r="C457" s="2711">
        <v>6.837</v>
      </c>
      <c r="D457" s="2711" t="s">
        <v>908</v>
      </c>
      <c r="E457" s="2711" t="s">
        <v>909</v>
      </c>
      <c r="F457" s="2713">
        <v>0.386377773229407</v>
      </c>
      <c r="G457" s="2713">
        <v>0.463653327875288</v>
      </c>
      <c r="H457" s="2713">
        <v>0.510018660662817</v>
      </c>
      <c r="I457" s="2713">
        <v>0.846900090171127</v>
      </c>
      <c r="J457" s="2713">
        <f t="shared" si="20"/>
        <v>0.889245094679683</v>
      </c>
      <c r="K457" s="2713">
        <v>0.2</v>
      </c>
      <c r="L457" s="2714">
        <f t="shared" si="21"/>
        <v>1.5992637553425</v>
      </c>
      <c r="M457" s="2713">
        <v>0.769909172882843</v>
      </c>
      <c r="N457" s="2712"/>
    </row>
    <row r="458" s="2870" customFormat="1" ht="13.2" customHeight="1" spans="1:14">
      <c r="A458" s="730"/>
      <c r="B458" s="2711"/>
      <c r="C458" s="2711">
        <v>6.837</v>
      </c>
      <c r="D458" s="2711" t="s">
        <v>910</v>
      </c>
      <c r="E458" s="2711" t="s">
        <v>911</v>
      </c>
      <c r="F458" s="2713">
        <v>0.308649532602375</v>
      </c>
      <c r="G458" s="2713">
        <v>0.37037943912285</v>
      </c>
      <c r="H458" s="2713">
        <v>0.407417383035135</v>
      </c>
      <c r="I458" s="2713">
        <v>0.745383330593966</v>
      </c>
      <c r="J458" s="2713">
        <f t="shared" si="20"/>
        <v>0.782652497123664</v>
      </c>
      <c r="K458" s="2713">
        <v>0.4</v>
      </c>
      <c r="L458" s="2714">
        <f t="shared" si="21"/>
        <v>1.5900698801588</v>
      </c>
      <c r="M458" s="2713">
        <v>0.677621209630878</v>
      </c>
      <c r="N458" s="2712"/>
    </row>
    <row r="459" s="2870" customFormat="1" ht="13.2" customHeight="1" spans="1:14">
      <c r="A459" s="730"/>
      <c r="B459" s="2711"/>
      <c r="C459" s="2711">
        <v>6.837</v>
      </c>
      <c r="D459" s="2711" t="s">
        <v>912</v>
      </c>
      <c r="E459" s="2711" t="s">
        <v>913</v>
      </c>
      <c r="F459" s="2713">
        <v>0.482450084410775</v>
      </c>
      <c r="G459" s="2713">
        <v>0.57894010129293</v>
      </c>
      <c r="H459" s="2713">
        <v>0.636834111422223</v>
      </c>
      <c r="I459" s="2713">
        <v>0.81906</v>
      </c>
      <c r="J459" s="2713">
        <f t="shared" si="20"/>
        <v>0.860013</v>
      </c>
      <c r="K459" s="2713">
        <v>0.4</v>
      </c>
      <c r="L459" s="2714">
        <f t="shared" si="21"/>
        <v>1.89684711142222</v>
      </c>
      <c r="M459" s="2713">
        <v>0.7446</v>
      </c>
      <c r="N459" s="2712"/>
    </row>
    <row r="460" s="2870" customFormat="1" ht="13.2" customHeight="1" spans="1:14">
      <c r="A460" s="730"/>
      <c r="B460" s="2711"/>
      <c r="C460" s="2711">
        <v>6.837</v>
      </c>
      <c r="D460" s="2711" t="s">
        <v>914</v>
      </c>
      <c r="E460" s="2711" t="s">
        <v>915</v>
      </c>
      <c r="F460" s="2713">
        <v>0.379067923465608</v>
      </c>
      <c r="G460" s="2713">
        <v>0.45488150815873</v>
      </c>
      <c r="H460" s="2713">
        <v>0.500369658974603</v>
      </c>
      <c r="I460" s="2713">
        <v>0.824316087766565</v>
      </c>
      <c r="J460" s="2713">
        <f t="shared" si="20"/>
        <v>0.865531892154893</v>
      </c>
      <c r="K460" s="2713">
        <v>0.2</v>
      </c>
      <c r="L460" s="2714">
        <f t="shared" si="21"/>
        <v>1.5659015511295</v>
      </c>
      <c r="M460" s="2713">
        <v>0.749378261605968</v>
      </c>
      <c r="N460" s="2711"/>
    </row>
    <row r="461" s="2870" customFormat="1" ht="13.2" customHeight="1" spans="1:14">
      <c r="A461" s="730"/>
      <c r="B461" s="2711"/>
      <c r="C461" s="2711">
        <v>6.837</v>
      </c>
      <c r="D461" s="2711" t="s">
        <v>916</v>
      </c>
      <c r="E461" s="2736" t="s">
        <v>417</v>
      </c>
      <c r="F461" s="2713">
        <v>0.824968759057385</v>
      </c>
      <c r="G461" s="2713">
        <v>0.989962510868862</v>
      </c>
      <c r="H461" s="2713">
        <v>1.08895876195575</v>
      </c>
      <c r="I461" s="2713">
        <v>5.81538061917508</v>
      </c>
      <c r="J461" s="2713">
        <f t="shared" si="20"/>
        <v>6.10614965013383</v>
      </c>
      <c r="K461" s="2713">
        <v>0.4</v>
      </c>
      <c r="L461" s="2714">
        <f t="shared" si="21"/>
        <v>7.59510841208958</v>
      </c>
      <c r="M461" s="2713">
        <v>5.28670965379553</v>
      </c>
      <c r="N461" s="2712" t="s">
        <v>840</v>
      </c>
    </row>
    <row r="462" s="2870" customFormat="1" ht="13.2" customHeight="1" spans="1:14">
      <c r="A462" s="730"/>
      <c r="B462" s="2711"/>
      <c r="C462" s="2711">
        <v>6.837</v>
      </c>
      <c r="D462" s="2711" t="s">
        <v>917</v>
      </c>
      <c r="E462" s="2736" t="s">
        <v>918</v>
      </c>
      <c r="F462" s="2713">
        <v>0.33416456063084</v>
      </c>
      <c r="G462" s="2713">
        <v>0.400997472757008</v>
      </c>
      <c r="H462" s="2713">
        <v>0.441097220032709</v>
      </c>
      <c r="I462" s="2713">
        <v>0.316176033663888</v>
      </c>
      <c r="J462" s="2713">
        <f t="shared" si="20"/>
        <v>0.331984835347082</v>
      </c>
      <c r="K462" s="2714">
        <v>0.2</v>
      </c>
      <c r="L462" s="2714">
        <f t="shared" si="21"/>
        <v>0.973082055379791</v>
      </c>
      <c r="M462" s="2713">
        <v>0.287432757876262</v>
      </c>
      <c r="N462" s="2736"/>
    </row>
    <row r="463" s="2870" customFormat="1" ht="13.2" customHeight="1" spans="1:14">
      <c r="A463" s="730"/>
      <c r="B463" s="2764"/>
      <c r="C463" s="2711">
        <v>6.837</v>
      </c>
      <c r="D463" s="2764" t="s">
        <v>919</v>
      </c>
      <c r="E463" s="2712" t="s">
        <v>920</v>
      </c>
      <c r="F463" s="2713">
        <v>0.123459813040951</v>
      </c>
      <c r="G463" s="2713">
        <v>0.148151775649141</v>
      </c>
      <c r="H463" s="2713">
        <v>0.162966953214055</v>
      </c>
      <c r="I463" s="2713">
        <v>0.222502486744467</v>
      </c>
      <c r="J463" s="2713">
        <f t="shared" si="20"/>
        <v>0.23362761108169</v>
      </c>
      <c r="K463" s="2714">
        <v>0.2</v>
      </c>
      <c r="L463" s="2714">
        <f t="shared" si="21"/>
        <v>0.596594564295745</v>
      </c>
      <c r="M463" s="2713">
        <v>0.202274987949515</v>
      </c>
      <c r="N463" s="2712"/>
    </row>
    <row r="464" s="2870" customFormat="1" ht="13.2" customHeight="1" spans="1:14">
      <c r="A464" s="2733"/>
      <c r="B464" s="2764"/>
      <c r="C464" s="2711">
        <v>6.837</v>
      </c>
      <c r="D464" s="2764" t="s">
        <v>921</v>
      </c>
      <c r="E464" s="2712" t="s">
        <v>922</v>
      </c>
      <c r="F464" s="2713">
        <v>0.346547871229439</v>
      </c>
      <c r="G464" s="2713">
        <v>0.415857445475327</v>
      </c>
      <c r="H464" s="2713">
        <v>0.45744319002286</v>
      </c>
      <c r="I464" s="2713">
        <v>0.659371067693737</v>
      </c>
      <c r="J464" s="2713">
        <f t="shared" si="20"/>
        <v>0.692339621078424</v>
      </c>
      <c r="K464" s="2713">
        <v>0.2</v>
      </c>
      <c r="L464" s="2714">
        <f t="shared" si="21"/>
        <v>1.34978281110128</v>
      </c>
      <c r="M464" s="2713">
        <v>0.599428243357943</v>
      </c>
      <c r="N464" s="2712"/>
    </row>
    <row r="465" s="2870" customFormat="1" ht="13.2" customHeight="1" spans="1:14">
      <c r="A465" s="2733"/>
      <c r="B465" s="2764"/>
      <c r="C465" s="2899">
        <v>6.837</v>
      </c>
      <c r="D465" s="2764" t="s">
        <v>923</v>
      </c>
      <c r="E465" s="2712" t="s">
        <v>924</v>
      </c>
      <c r="F465" s="2713">
        <v>0.432109345643327</v>
      </c>
      <c r="G465" s="2713">
        <v>0.518531214771992</v>
      </c>
      <c r="H465" s="2713">
        <v>0.570384336249191</v>
      </c>
      <c r="I465" s="2713">
        <v>0.745383330593966</v>
      </c>
      <c r="J465" s="2713">
        <f t="shared" si="20"/>
        <v>0.782652497123664</v>
      </c>
      <c r="K465" s="2713">
        <v>0.2</v>
      </c>
      <c r="L465" s="2714">
        <f t="shared" si="21"/>
        <v>1.55303683337286</v>
      </c>
      <c r="M465" s="2713">
        <v>0.677621209630878</v>
      </c>
      <c r="N465" s="2712"/>
    </row>
    <row r="466" s="2870" customFormat="1" ht="13.2" customHeight="1" spans="1:14">
      <c r="A466" s="2733"/>
      <c r="B466" s="2764">
        <v>20241127</v>
      </c>
      <c r="C466" s="2711">
        <v>6.837</v>
      </c>
      <c r="D466" s="2764" t="s">
        <v>925</v>
      </c>
      <c r="E466" s="2712" t="s">
        <v>926</v>
      </c>
      <c r="F466" s="2713">
        <v>0.385641996137924</v>
      </c>
      <c r="G466" s="2713">
        <v>0.462770395365509</v>
      </c>
      <c r="H466" s="2713">
        <v>0.50904743490206</v>
      </c>
      <c r="I466" s="2713">
        <v>1.07354589859293</v>
      </c>
      <c r="J466" s="2713">
        <f t="shared" si="20"/>
        <v>1.12722319352258</v>
      </c>
      <c r="K466" s="2713">
        <v>0.2</v>
      </c>
      <c r="L466" s="2714">
        <f t="shared" si="21"/>
        <v>1.83627062842464</v>
      </c>
      <c r="M466" s="2713">
        <v>0.975950816902668</v>
      </c>
      <c r="N466" s="2712"/>
    </row>
    <row r="467" s="2870" customFormat="1" ht="13.2" customHeight="1" spans="1:14">
      <c r="A467" s="2733"/>
      <c r="B467" s="2764"/>
      <c r="C467" s="2711">
        <v>6.837</v>
      </c>
      <c r="D467" s="2764" t="s">
        <v>927</v>
      </c>
      <c r="E467" s="2712" t="s">
        <v>928</v>
      </c>
      <c r="F467" s="2713">
        <v>0.421821027889914</v>
      </c>
      <c r="G467" s="2713">
        <v>0.506185233467897</v>
      </c>
      <c r="H467" s="2713">
        <v>0.556803756814687</v>
      </c>
      <c r="I467" s="2713">
        <v>0.856634573966197</v>
      </c>
      <c r="J467" s="2713">
        <f t="shared" si="20"/>
        <v>0.899466302664507</v>
      </c>
      <c r="K467" s="2713">
        <v>0.2</v>
      </c>
      <c r="L467" s="2714">
        <f t="shared" si="21"/>
        <v>1.65627005947919</v>
      </c>
      <c r="M467" s="2713">
        <v>0.778758703605634</v>
      </c>
      <c r="N467" s="2712"/>
    </row>
    <row r="468" s="2870" customFormat="1" ht="13.2" customHeight="1" spans="1:14">
      <c r="A468" s="2733"/>
      <c r="B468" s="2764"/>
      <c r="C468" s="2711">
        <v>6.837</v>
      </c>
      <c r="D468" s="2764" t="s">
        <v>929</v>
      </c>
      <c r="E468" s="2712" t="s">
        <v>930</v>
      </c>
      <c r="F468" s="2713">
        <v>0.0102883177534125</v>
      </c>
      <c r="G468" s="2713">
        <v>0.012345981304095</v>
      </c>
      <c r="H468" s="2713">
        <v>0.0135805794345045</v>
      </c>
      <c r="I468" s="2713">
        <v>0.0778758703605635</v>
      </c>
      <c r="J468" s="2713">
        <f t="shared" si="20"/>
        <v>0.0817696638785917</v>
      </c>
      <c r="K468" s="2713">
        <v>0.4</v>
      </c>
      <c r="L468" s="2714">
        <f t="shared" si="21"/>
        <v>0.495350243313096</v>
      </c>
      <c r="M468" s="2713">
        <v>0.0707962457823304</v>
      </c>
      <c r="N468" s="2712"/>
    </row>
    <row r="469" s="2870" customFormat="1" ht="13.2" customHeight="1" spans="1:14">
      <c r="A469" s="2733"/>
      <c r="B469" s="2764"/>
      <c r="C469" s="2711">
        <v>6.837</v>
      </c>
      <c r="D469" s="2764" t="s">
        <v>805</v>
      </c>
      <c r="E469" s="2712" t="s">
        <v>806</v>
      </c>
      <c r="F469" s="2713">
        <v>0.293171532442374</v>
      </c>
      <c r="G469" s="2713">
        <v>0.351805838930849</v>
      </c>
      <c r="H469" s="2713">
        <v>0.386986422823934</v>
      </c>
      <c r="I469" s="2713">
        <v>1.01008856050292</v>
      </c>
      <c r="J469" s="2713">
        <f t="shared" si="20"/>
        <v>1.06059298852807</v>
      </c>
      <c r="K469" s="2713">
        <v>0.2</v>
      </c>
      <c r="L469" s="2714">
        <f t="shared" si="21"/>
        <v>1.647579411352</v>
      </c>
      <c r="M469" s="2713">
        <v>0.918262327729931</v>
      </c>
      <c r="N469" s="2712"/>
    </row>
    <row r="470" s="2870" customFormat="1" ht="13.2" customHeight="1" spans="1:14">
      <c r="A470" s="2733"/>
      <c r="B470" s="2764"/>
      <c r="C470" s="2711">
        <v>6.837</v>
      </c>
      <c r="D470" s="2764" t="s">
        <v>931</v>
      </c>
      <c r="E470" s="2712" t="s">
        <v>932</v>
      </c>
      <c r="F470" s="2713">
        <v>0.349802803616026</v>
      </c>
      <c r="G470" s="2713">
        <v>0.419763364339231</v>
      </c>
      <c r="H470" s="2713">
        <v>0.461739700773154</v>
      </c>
      <c r="I470" s="2713">
        <v>0.967885817338432</v>
      </c>
      <c r="J470" s="2713">
        <f t="shared" si="20"/>
        <v>1.01628010820535</v>
      </c>
      <c r="K470" s="2713">
        <v>0.2</v>
      </c>
      <c r="L470" s="2714">
        <f t="shared" si="21"/>
        <v>1.6780198089785</v>
      </c>
      <c r="M470" s="2713">
        <v>0.879896197580393</v>
      </c>
      <c r="N470" s="2711"/>
    </row>
    <row r="471" s="2870" customFormat="1" ht="13.2" customHeight="1" spans="1:14">
      <c r="A471" s="2733"/>
      <c r="B471" s="2764"/>
      <c r="C471" s="2711">
        <v>6.837</v>
      </c>
      <c r="D471" s="2764" t="s">
        <v>933</v>
      </c>
      <c r="E471" s="2712" t="s">
        <v>934</v>
      </c>
      <c r="F471" s="2713">
        <v>0.267496261588726</v>
      </c>
      <c r="G471" s="2713">
        <v>0.320995513906471</v>
      </c>
      <c r="H471" s="2713">
        <v>0.353095065297118</v>
      </c>
      <c r="I471" s="2713">
        <v>0.923385319989539</v>
      </c>
      <c r="J471" s="2713">
        <f t="shared" si="20"/>
        <v>0.969554585989016</v>
      </c>
      <c r="K471" s="2713">
        <v>0.2</v>
      </c>
      <c r="L471" s="2714">
        <f t="shared" si="21"/>
        <v>1.52264965128613</v>
      </c>
      <c r="M471" s="2713">
        <v>0.83944119999049</v>
      </c>
      <c r="N471" s="2711"/>
    </row>
    <row r="472" s="2870" customFormat="1" ht="13.2" customHeight="1" spans="1:14">
      <c r="A472" s="2891" t="s">
        <v>935</v>
      </c>
      <c r="B472" s="2912">
        <v>46049</v>
      </c>
      <c r="C472" s="2711">
        <v>6.837</v>
      </c>
      <c r="D472" s="2731" t="s">
        <v>936</v>
      </c>
      <c r="E472" s="2731" t="s">
        <v>937</v>
      </c>
      <c r="F472" s="2713">
        <v>0.346795684962775</v>
      </c>
      <c r="G472" s="2713">
        <v>0.41615482195533</v>
      </c>
      <c r="H472" s="2713">
        <v>0.457770304150863</v>
      </c>
      <c r="I472" s="2713">
        <v>0.956173366973818</v>
      </c>
      <c r="J472" s="2713">
        <f t="shared" si="20"/>
        <v>1.00398203532251</v>
      </c>
      <c r="K472" s="2714">
        <v>0.2</v>
      </c>
      <c r="L472" s="2714">
        <f t="shared" si="21"/>
        <v>1.66175233947337</v>
      </c>
      <c r="M472" s="2713">
        <v>0.869248515430744</v>
      </c>
      <c r="N472" s="2731"/>
    </row>
    <row r="473" s="2870" customFormat="1" ht="13.2" customHeight="1" spans="1:14">
      <c r="A473" s="2891"/>
      <c r="B473" s="2731">
        <v>20240219</v>
      </c>
      <c r="C473" s="2711">
        <v>6.837</v>
      </c>
      <c r="D473" s="2731" t="s">
        <v>938</v>
      </c>
      <c r="E473" s="2731" t="s">
        <v>939</v>
      </c>
      <c r="F473" s="2713">
        <v>0.306304464886822</v>
      </c>
      <c r="G473" s="2713">
        <v>0.367565357864186</v>
      </c>
      <c r="H473" s="2713">
        <v>0.404321893650605</v>
      </c>
      <c r="I473" s="2713">
        <v>0.966425809023309</v>
      </c>
      <c r="J473" s="2713">
        <f t="shared" si="20"/>
        <v>1.01474709947447</v>
      </c>
      <c r="K473" s="2714">
        <v>0.2</v>
      </c>
      <c r="L473" s="2714">
        <f t="shared" si="21"/>
        <v>1.61906899312508</v>
      </c>
      <c r="M473" s="2713">
        <v>0.878568917293917</v>
      </c>
      <c r="N473" s="2731"/>
    </row>
    <row r="474" s="2870" customFormat="1" ht="13.2" customHeight="1" spans="1:14">
      <c r="A474" s="2891"/>
      <c r="B474" s="2731">
        <v>20240219</v>
      </c>
      <c r="C474" s="2711">
        <v>6.837</v>
      </c>
      <c r="D474" s="2731" t="s">
        <v>940</v>
      </c>
      <c r="E474" s="2731" t="s">
        <v>941</v>
      </c>
      <c r="F474" s="2713">
        <v>0.306304464886822</v>
      </c>
      <c r="G474" s="2713">
        <v>0.367565357864186</v>
      </c>
      <c r="H474" s="2713">
        <v>0.404321893650605</v>
      </c>
      <c r="I474" s="2713">
        <v>1.15292824919324</v>
      </c>
      <c r="J474" s="2713">
        <f t="shared" si="20"/>
        <v>1.2105746616529</v>
      </c>
      <c r="K474" s="2714">
        <v>0.2</v>
      </c>
      <c r="L474" s="2714">
        <f t="shared" si="21"/>
        <v>1.81489655530351</v>
      </c>
      <c r="M474" s="2713">
        <v>1.04811659017567</v>
      </c>
      <c r="N474" s="2731"/>
    </row>
    <row r="475" s="2870" customFormat="1" ht="13.2" customHeight="1" spans="1:14">
      <c r="A475" s="730" t="s">
        <v>942</v>
      </c>
      <c r="B475" s="2711"/>
      <c r="C475" s="2711">
        <v>6.837</v>
      </c>
      <c r="D475" s="2711" t="s">
        <v>943</v>
      </c>
      <c r="E475" s="2712" t="s">
        <v>944</v>
      </c>
      <c r="F475" s="2713">
        <v>0.473262616656976</v>
      </c>
      <c r="G475" s="2713">
        <v>0.567915139988371</v>
      </c>
      <c r="H475" s="2713">
        <v>0.624706653987208</v>
      </c>
      <c r="I475" s="2713">
        <v>0.634132087221731</v>
      </c>
      <c r="J475" s="2713">
        <f t="shared" si="20"/>
        <v>0.665838691582818</v>
      </c>
      <c r="K475" s="2713">
        <v>0.2</v>
      </c>
      <c r="L475" s="2714">
        <f t="shared" si="21"/>
        <v>1.49054534557003</v>
      </c>
      <c r="M475" s="2713">
        <v>0.576483715656119</v>
      </c>
      <c r="N475" s="2711"/>
    </row>
    <row r="476" s="2870" customFormat="1" ht="13.2" customHeight="1" spans="1:14">
      <c r="A476" s="730"/>
      <c r="B476" s="2711"/>
      <c r="C476" s="2711">
        <v>6.837</v>
      </c>
      <c r="D476" s="2711" t="s">
        <v>945</v>
      </c>
      <c r="E476" s="2712" t="s">
        <v>946</v>
      </c>
      <c r="F476" s="2713">
        <v>0.0411532710136502</v>
      </c>
      <c r="G476" s="2713">
        <v>0.0493839252163802</v>
      </c>
      <c r="H476" s="2713">
        <v>0.0543223177380182</v>
      </c>
      <c r="I476" s="2713">
        <v>0.0667507460233401</v>
      </c>
      <c r="J476" s="2713">
        <f t="shared" si="20"/>
        <v>0.0700882833245071</v>
      </c>
      <c r="K476" s="2713">
        <v>0.2</v>
      </c>
      <c r="L476" s="2714">
        <f t="shared" si="21"/>
        <v>0.324410601062525</v>
      </c>
      <c r="M476" s="2713">
        <v>0.0606824963848546</v>
      </c>
      <c r="N476" s="2711"/>
    </row>
    <row r="477" s="2870" customFormat="1" ht="13.2" customHeight="1" spans="1:14">
      <c r="A477" s="2733" t="s">
        <v>768</v>
      </c>
      <c r="B477" s="2764"/>
      <c r="C477" s="2711">
        <v>6.837</v>
      </c>
      <c r="D477" s="2764" t="s">
        <v>947</v>
      </c>
      <c r="E477" s="2712" t="s">
        <v>948</v>
      </c>
      <c r="F477" s="2713">
        <v>0.380667756876264</v>
      </c>
      <c r="G477" s="2713">
        <v>0.456801308251517</v>
      </c>
      <c r="H477" s="2713">
        <v>0.502481439076669</v>
      </c>
      <c r="I477" s="2713">
        <v>2.24727511611912</v>
      </c>
      <c r="J477" s="2713">
        <f t="shared" si="20"/>
        <v>2.35963887192508</v>
      </c>
      <c r="K477" s="2713">
        <v>0.2</v>
      </c>
      <c r="L477" s="2714">
        <f t="shared" si="21"/>
        <v>3.06212031100175</v>
      </c>
      <c r="M477" s="2713">
        <v>2.04297737829011</v>
      </c>
      <c r="N477" s="2711"/>
    </row>
    <row r="478" s="2870" customFormat="1" ht="13.2" customHeight="1" spans="1:14">
      <c r="A478" s="2733"/>
      <c r="B478" s="2764"/>
      <c r="C478" s="2711">
        <v>6.837</v>
      </c>
      <c r="D478" s="2764" t="s">
        <v>949</v>
      </c>
      <c r="E478" s="2712" t="s">
        <v>950</v>
      </c>
      <c r="F478" s="2713">
        <v>0.401244392383088</v>
      </c>
      <c r="G478" s="2713">
        <v>0.481493270859706</v>
      </c>
      <c r="H478" s="2713">
        <v>0.529642597945677</v>
      </c>
      <c r="I478" s="2713">
        <v>2.9036574520153</v>
      </c>
      <c r="J478" s="2713">
        <f t="shared" si="20"/>
        <v>3.04884032461606</v>
      </c>
      <c r="K478" s="2713">
        <v>0.2</v>
      </c>
      <c r="L478" s="2714">
        <f t="shared" si="21"/>
        <v>3.77848292256174</v>
      </c>
      <c r="M478" s="2713">
        <v>2.63968859274118</v>
      </c>
      <c r="N478" s="2711"/>
    </row>
    <row r="479" s="2870" customFormat="1" ht="13.2" customHeight="1" spans="1:14">
      <c r="A479" s="2733"/>
      <c r="B479" s="2764"/>
      <c r="C479" s="2711">
        <v>6.837</v>
      </c>
      <c r="D479" s="2764" t="s">
        <v>951</v>
      </c>
      <c r="E479" s="2712" t="s">
        <v>952</v>
      </c>
      <c r="F479" s="2713">
        <v>0.473262616656976</v>
      </c>
      <c r="G479" s="2713">
        <v>0.567915139988371</v>
      </c>
      <c r="H479" s="2713">
        <v>0.624706653987208</v>
      </c>
      <c r="I479" s="2713">
        <v>4.18304675079598</v>
      </c>
      <c r="J479" s="2713">
        <f t="shared" si="20"/>
        <v>4.39219908833578</v>
      </c>
      <c r="K479" s="2713">
        <v>0.2</v>
      </c>
      <c r="L479" s="2714">
        <f t="shared" si="21"/>
        <v>5.21690574232299</v>
      </c>
      <c r="M479" s="2713">
        <v>3.80276977345089</v>
      </c>
      <c r="N479" s="226" t="s">
        <v>953</v>
      </c>
    </row>
    <row r="480" s="2870" customFormat="1" ht="13.2" customHeight="1" spans="1:14">
      <c r="A480" s="2733"/>
      <c r="B480" s="2764"/>
      <c r="C480" s="2711">
        <v>6.837</v>
      </c>
      <c r="D480" s="2764" t="s">
        <v>827</v>
      </c>
      <c r="E480" s="2712" t="s">
        <v>954</v>
      </c>
      <c r="F480" s="2713">
        <v>0.239492237769826</v>
      </c>
      <c r="G480" s="2713">
        <v>0.287390685323791</v>
      </c>
      <c r="H480" s="2713">
        <v>0.31612975385617</v>
      </c>
      <c r="I480" s="2713">
        <v>0.751557981460076</v>
      </c>
      <c r="J480" s="2713">
        <f t="shared" si="20"/>
        <v>0.78913588053308</v>
      </c>
      <c r="K480" s="2713">
        <v>0.2</v>
      </c>
      <c r="L480" s="2714">
        <f t="shared" si="21"/>
        <v>1.30526563438925</v>
      </c>
      <c r="M480" s="2713">
        <v>0.683234528600069</v>
      </c>
      <c r="N480" s="2711"/>
    </row>
    <row r="481" s="2870" customFormat="1" ht="13.2" customHeight="1" spans="1:14">
      <c r="A481" s="2733"/>
      <c r="B481" s="2764">
        <v>20241009</v>
      </c>
      <c r="C481" s="2711">
        <v>6.837</v>
      </c>
      <c r="D481" s="2764" t="s">
        <v>955</v>
      </c>
      <c r="E481" s="2712" t="s">
        <v>956</v>
      </c>
      <c r="F481" s="2713">
        <v>0.0740861834414551</v>
      </c>
      <c r="G481" s="2713">
        <v>0.0889034201297461</v>
      </c>
      <c r="H481" s="2713">
        <v>0.0977937621427207</v>
      </c>
      <c r="I481" s="2713">
        <v>0.000313952088929886</v>
      </c>
      <c r="J481" s="2713">
        <f t="shared" si="20"/>
        <v>0.00032964969337638</v>
      </c>
      <c r="K481" s="2713">
        <v>0.2</v>
      </c>
      <c r="L481" s="2714">
        <f t="shared" si="21"/>
        <v>0.298123411836097</v>
      </c>
      <c r="M481" s="2713">
        <v>0.00028541098993626</v>
      </c>
      <c r="N481" s="226" t="s">
        <v>957</v>
      </c>
    </row>
    <row r="482" s="2870" customFormat="1" ht="13.2" customHeight="1" spans="1:14">
      <c r="A482" s="2733"/>
      <c r="B482" s="2764">
        <v>20241009</v>
      </c>
      <c r="C482" s="2711">
        <v>6.837</v>
      </c>
      <c r="D482" s="2764" t="s">
        <v>958</v>
      </c>
      <c r="E482" s="2712" t="s">
        <v>959</v>
      </c>
      <c r="F482" s="2713">
        <v>0.296878530137743</v>
      </c>
      <c r="G482" s="2713">
        <v>0.356254236165292</v>
      </c>
      <c r="H482" s="2713">
        <v>0.391879659781821</v>
      </c>
      <c r="I482" s="2713">
        <v>0.137939131436196</v>
      </c>
      <c r="J482" s="2713">
        <f t="shared" si="20"/>
        <v>0.144836088008006</v>
      </c>
      <c r="K482" s="2713">
        <v>0.2</v>
      </c>
      <c r="L482" s="2714">
        <f t="shared" si="21"/>
        <v>0.736715747789827</v>
      </c>
      <c r="M482" s="2713">
        <v>0.125399210396542</v>
      </c>
      <c r="N482" s="2711"/>
    </row>
    <row r="483" s="2870" customFormat="1" ht="13.2" customHeight="1" spans="1:14">
      <c r="A483" s="2733"/>
      <c r="B483" s="2764">
        <v>20241009</v>
      </c>
      <c r="C483" s="2711">
        <v>6.837</v>
      </c>
      <c r="D483" s="2764" t="s">
        <v>960</v>
      </c>
      <c r="E483" s="2712" t="s">
        <v>961</v>
      </c>
      <c r="F483" s="2713">
        <v>0.159042069716649</v>
      </c>
      <c r="G483" s="2713">
        <v>0.190850483659979</v>
      </c>
      <c r="H483" s="2713">
        <v>0.209935532025977</v>
      </c>
      <c r="I483" s="2713">
        <v>5.0446392471234</v>
      </c>
      <c r="J483" s="2713">
        <f t="shared" si="20"/>
        <v>5.29687120947957</v>
      </c>
      <c r="K483" s="2713">
        <f>1.47679324894515*1.019</f>
        <v>1.50485232067511</v>
      </c>
      <c r="L483" s="2714">
        <f t="shared" si="21"/>
        <v>7.01165906218066</v>
      </c>
      <c r="M483" s="2713">
        <v>4.58603567920309</v>
      </c>
      <c r="N483" s="2711" t="s">
        <v>962</v>
      </c>
    </row>
    <row r="484" s="2870" customFormat="1" ht="13.2" customHeight="1" spans="1:14">
      <c r="A484" s="730" t="s">
        <v>963</v>
      </c>
      <c r="B484" s="2711">
        <v>20250212</v>
      </c>
      <c r="C484" s="2711">
        <v>6.837</v>
      </c>
      <c r="D484" s="2711" t="s">
        <v>964</v>
      </c>
      <c r="E484" s="2711" t="s">
        <v>965</v>
      </c>
      <c r="F484" s="2713">
        <v>1.85696940869087</v>
      </c>
      <c r="G484" s="2713">
        <v>2.22836329042904</v>
      </c>
      <c r="H484" s="2713">
        <v>2.45119961947194</v>
      </c>
      <c r="I484" s="2713">
        <v>9.87225199300957</v>
      </c>
      <c r="J484" s="2713">
        <f t="shared" si="20"/>
        <v>10.36586459266</v>
      </c>
      <c r="K484" s="2714">
        <v>2</v>
      </c>
      <c r="L484" s="2714">
        <f t="shared" si="21"/>
        <v>14.8170642121319</v>
      </c>
      <c r="M484" s="2713">
        <v>8.97477453909961</v>
      </c>
      <c r="N484" s="2711" t="s">
        <v>966</v>
      </c>
    </row>
    <row r="485" s="2870" customFormat="1" ht="13.2" customHeight="1" spans="1:14">
      <c r="A485" s="730" t="s">
        <v>963</v>
      </c>
      <c r="B485" s="2711">
        <v>20240829</v>
      </c>
      <c r="C485" s="2711">
        <v>6.837</v>
      </c>
      <c r="D485" s="2711" t="s">
        <v>967</v>
      </c>
      <c r="E485" s="2712" t="s">
        <v>968</v>
      </c>
      <c r="F485" s="2713">
        <v>1.94279654169704</v>
      </c>
      <c r="G485" s="2713">
        <v>2.33135585003645</v>
      </c>
      <c r="H485" s="2713">
        <v>2.5644914350401</v>
      </c>
      <c r="I485" s="2713">
        <v>8.60996706753085</v>
      </c>
      <c r="J485" s="2713">
        <f t="shared" si="20"/>
        <v>9.04046542090739</v>
      </c>
      <c r="K485" s="2714">
        <v>2</v>
      </c>
      <c r="L485" s="2714">
        <f t="shared" si="21"/>
        <v>13.6049568559475</v>
      </c>
      <c r="M485" s="2713">
        <v>7.82724278866441</v>
      </c>
      <c r="N485" s="226" t="s">
        <v>969</v>
      </c>
    </row>
    <row r="486" s="2870" customFormat="1" ht="13.2" customHeight="1" spans="1:14">
      <c r="A486" s="730" t="s">
        <v>963</v>
      </c>
      <c r="B486" s="2711">
        <v>20240813</v>
      </c>
      <c r="C486" s="2711">
        <v>6.837</v>
      </c>
      <c r="D486" s="2711" t="s">
        <v>970</v>
      </c>
      <c r="E486" s="2712" t="s">
        <v>971</v>
      </c>
      <c r="F486" s="2713">
        <v>1.92652755642635</v>
      </c>
      <c r="G486" s="2713">
        <v>2.31183306771162</v>
      </c>
      <c r="H486" s="2713">
        <v>2.54301637448278</v>
      </c>
      <c r="I486" s="2713">
        <v>8.53819569245057</v>
      </c>
      <c r="J486" s="2713">
        <f t="shared" si="20"/>
        <v>8.9651054770731</v>
      </c>
      <c r="K486" s="2714">
        <f>4</f>
        <v>4</v>
      </c>
      <c r="L486" s="2714">
        <f t="shared" si="21"/>
        <v>15.5081218515559</v>
      </c>
      <c r="M486" s="2713">
        <v>7.76199608404597</v>
      </c>
      <c r="N486" s="226" t="s">
        <v>972</v>
      </c>
    </row>
    <row r="487" s="2870" customFormat="1" ht="13.2" customHeight="1" spans="1:14">
      <c r="A487" s="730" t="s">
        <v>973</v>
      </c>
      <c r="B487" s="2711">
        <v>20240906</v>
      </c>
      <c r="C487" s="2711">
        <v>6.837</v>
      </c>
      <c r="D487" s="2711" t="s">
        <v>974</v>
      </c>
      <c r="E487" s="2712" t="s">
        <v>975</v>
      </c>
      <c r="F487" s="2713">
        <v>0.172295575526367</v>
      </c>
      <c r="G487" s="2713">
        <v>0.20675469063164</v>
      </c>
      <c r="H487" s="2713">
        <v>0.227430159694804</v>
      </c>
      <c r="I487" s="2713">
        <v>3.82839657723991</v>
      </c>
      <c r="J487" s="2713">
        <f t="shared" si="20"/>
        <v>4.01981640610191</v>
      </c>
      <c r="K487" s="2714">
        <v>0.2</v>
      </c>
      <c r="L487" s="2714">
        <f t="shared" si="21"/>
        <v>4.44724656579671</v>
      </c>
      <c r="M487" s="2713">
        <v>3.48036052476355</v>
      </c>
      <c r="N487" s="226" t="s">
        <v>976</v>
      </c>
    </row>
    <row r="488" s="2870" customFormat="1" ht="13.2" customHeight="1" spans="1:14">
      <c r="A488" s="730"/>
      <c r="B488" s="2711">
        <v>20251011</v>
      </c>
      <c r="C488" s="2711">
        <v>6.837</v>
      </c>
      <c r="D488" s="2711" t="s">
        <v>977</v>
      </c>
      <c r="E488" s="2712" t="s">
        <v>978</v>
      </c>
      <c r="F488" s="2713">
        <v>0.115692598841377</v>
      </c>
      <c r="G488" s="2713">
        <v>0.138831118609652</v>
      </c>
      <c r="H488" s="2713">
        <v>0.152714230470617</v>
      </c>
      <c r="I488" s="2713">
        <v>0.23150606655088</v>
      </c>
      <c r="J488" s="2713">
        <f t="shared" si="20"/>
        <v>0.243081369878424</v>
      </c>
      <c r="K488" s="2714">
        <v>0.2</v>
      </c>
      <c r="L488" s="2714">
        <f t="shared" si="21"/>
        <v>0.595795600349041</v>
      </c>
      <c r="M488" s="2713">
        <v>0.2104600605008</v>
      </c>
      <c r="N488" s="2711"/>
    </row>
    <row r="489" s="2870" customFormat="1" ht="13.2" customHeight="1" spans="1:14">
      <c r="A489" s="2733" t="s">
        <v>979</v>
      </c>
      <c r="B489" s="2764">
        <v>20240904</v>
      </c>
      <c r="C489" s="2899">
        <v>6.837</v>
      </c>
      <c r="D489" s="2764" t="s">
        <v>980</v>
      </c>
      <c r="E489" s="2711" t="s">
        <v>981</v>
      </c>
      <c r="F489" s="2713">
        <f>0.56/C489/1.13</f>
        <v>0.0724843090886263</v>
      </c>
      <c r="G489" s="2713">
        <v>0.0869811709063516</v>
      </c>
      <c r="H489" s="2713">
        <v>0.0956792879969868</v>
      </c>
      <c r="I489" s="2713">
        <v>0.208802960466282</v>
      </c>
      <c r="J489" s="2713">
        <f t="shared" si="20"/>
        <v>0.219243108489596</v>
      </c>
      <c r="K489" s="2714">
        <f>0.56/C489/1.13</f>
        <v>0.0724843090886263</v>
      </c>
      <c r="L489" s="2714">
        <f t="shared" si="21"/>
        <v>0.387406705575209</v>
      </c>
      <c r="M489" s="2713">
        <v>0.189820873151165</v>
      </c>
      <c r="N489" s="2711"/>
    </row>
    <row r="490" s="2870" customFormat="1" ht="13.2" customHeight="1" spans="1:14">
      <c r="A490" s="2733"/>
      <c r="B490" s="2764"/>
      <c r="C490" s="2764">
        <v>6.837</v>
      </c>
      <c r="D490" s="2764" t="s">
        <v>982</v>
      </c>
      <c r="E490" s="2711" t="s">
        <v>983</v>
      </c>
      <c r="F490" s="2713">
        <v>0.0329141357149422</v>
      </c>
      <c r="G490" s="2713">
        <v>0.0394969628579306</v>
      </c>
      <c r="H490" s="2713">
        <v>0.0434466591437237</v>
      </c>
      <c r="I490" s="2713">
        <v>0.204990588881321</v>
      </c>
      <c r="J490" s="2713">
        <f t="shared" si="20"/>
        <v>0.215240118325387</v>
      </c>
      <c r="K490" s="2714">
        <v>0.2</v>
      </c>
      <c r="L490" s="2714">
        <f t="shared" si="21"/>
        <v>0.458686777469111</v>
      </c>
      <c r="M490" s="2713">
        <v>0.186355080801201</v>
      </c>
      <c r="N490" s="2711"/>
    </row>
    <row r="491" s="2870" customFormat="1" ht="13.2" customHeight="1" spans="1:14">
      <c r="A491" s="730" t="s">
        <v>984</v>
      </c>
      <c r="B491" s="2711"/>
      <c r="C491" s="2711">
        <v>6.837</v>
      </c>
      <c r="D491" s="2711" t="s">
        <v>985</v>
      </c>
      <c r="E491" s="2712" t="s">
        <v>986</v>
      </c>
      <c r="F491" s="2713">
        <v>0.361465931971886</v>
      </c>
      <c r="G491" s="2713">
        <v>0.433759118366263</v>
      </c>
      <c r="H491" s="2713">
        <v>0.477135030202889</v>
      </c>
      <c r="I491" s="2713">
        <v>1.59501212224973</v>
      </c>
      <c r="J491" s="2713">
        <f t="shared" si="20"/>
        <v>1.67476272836222</v>
      </c>
      <c r="K491" s="2714">
        <v>0.2</v>
      </c>
      <c r="L491" s="2714">
        <f t="shared" si="21"/>
        <v>2.35189775856511</v>
      </c>
      <c r="M491" s="2713">
        <v>1.45001102022703</v>
      </c>
      <c r="N491" s="2712"/>
    </row>
    <row r="492" s="2870" customFormat="1" ht="13.2" customHeight="1" spans="1:14">
      <c r="A492" s="730" t="s">
        <v>984</v>
      </c>
      <c r="B492" s="2711">
        <v>20250219</v>
      </c>
      <c r="C492" s="2711">
        <v>6.837</v>
      </c>
      <c r="D492" s="2711" t="s">
        <v>987</v>
      </c>
      <c r="E492" s="2712" t="s">
        <v>988</v>
      </c>
      <c r="F492" s="2713">
        <v>0.369741486094502</v>
      </c>
      <c r="G492" s="2713">
        <v>0.443689783313402</v>
      </c>
      <c r="H492" s="2713">
        <v>0.488058761644742</v>
      </c>
      <c r="I492" s="2713">
        <v>1.24868639925151</v>
      </c>
      <c r="J492" s="2713">
        <f t="shared" si="20"/>
        <v>1.31112071921409</v>
      </c>
      <c r="K492" s="2714">
        <v>0.2</v>
      </c>
      <c r="L492" s="2714">
        <f t="shared" si="21"/>
        <v>1.99917948085883</v>
      </c>
      <c r="M492" s="2713">
        <v>1.13516945386501</v>
      </c>
      <c r="N492" s="2712"/>
    </row>
    <row r="493" s="2870" customFormat="1" ht="13.2" customHeight="1" spans="1:14">
      <c r="A493" s="730" t="s">
        <v>942</v>
      </c>
      <c r="B493" s="2711"/>
      <c r="C493" s="2711">
        <v>6.837</v>
      </c>
      <c r="D493" s="2711" t="s">
        <v>943</v>
      </c>
      <c r="E493" s="2712" t="s">
        <v>944</v>
      </c>
      <c r="F493" s="2713">
        <v>0.473262616656976</v>
      </c>
      <c r="G493" s="2713">
        <v>0.567915139988371</v>
      </c>
      <c r="H493" s="2713">
        <v>0.624706653987208</v>
      </c>
      <c r="I493" s="2713">
        <v>0.639380076909083</v>
      </c>
      <c r="J493" s="2713">
        <f t="shared" si="20"/>
        <v>0.671349080754537</v>
      </c>
      <c r="K493" s="2714">
        <v>0.4</v>
      </c>
      <c r="L493" s="2714">
        <f t="shared" si="21"/>
        <v>1.69605573474175</v>
      </c>
      <c r="M493" s="2713">
        <v>0.581254615371894</v>
      </c>
      <c r="N493" s="2711"/>
    </row>
    <row r="494" s="2870" customFormat="1" ht="13.2" customHeight="1" spans="1:14">
      <c r="A494" s="730" t="s">
        <v>942</v>
      </c>
      <c r="B494" s="2711">
        <v>20250219</v>
      </c>
      <c r="C494" s="2711">
        <v>6.837</v>
      </c>
      <c r="D494" s="2711" t="s">
        <v>945</v>
      </c>
      <c r="E494" s="2712" t="s">
        <v>946</v>
      </c>
      <c r="F494" s="2713">
        <v>0.0632964148364269</v>
      </c>
      <c r="G494" s="2713">
        <v>0.0759556978037123</v>
      </c>
      <c r="H494" s="2713">
        <v>0.0835512675840835</v>
      </c>
      <c r="I494" s="2713">
        <v>0.0662021097546551</v>
      </c>
      <c r="J494" s="2713">
        <f t="shared" si="20"/>
        <v>0.0695122152423879</v>
      </c>
      <c r="K494" s="2714">
        <v>0.2</v>
      </c>
      <c r="L494" s="2714">
        <f t="shared" si="21"/>
        <v>0.353063482826471</v>
      </c>
      <c r="M494" s="2713">
        <v>0.0601837361405955</v>
      </c>
      <c r="N494" s="2711"/>
    </row>
    <row r="495" s="2870" customFormat="1" ht="13.2" customHeight="1" spans="1:14">
      <c r="A495" s="730" t="s">
        <v>989</v>
      </c>
      <c r="B495" s="2711">
        <v>20250415</v>
      </c>
      <c r="C495" s="2711">
        <v>6.837</v>
      </c>
      <c r="D495" s="2711" t="s">
        <v>990</v>
      </c>
      <c r="E495" s="2711" t="s">
        <v>991</v>
      </c>
      <c r="F495" s="2713">
        <v>1.93223934227664</v>
      </c>
      <c r="G495" s="2713">
        <v>2.31868721073197</v>
      </c>
      <c r="H495" s="2713">
        <v>2.55055593180517</v>
      </c>
      <c r="I495" s="2713">
        <v>2.44924596578809</v>
      </c>
      <c r="J495" s="2713">
        <f t="shared" si="20"/>
        <v>2.57170826407749</v>
      </c>
      <c r="K495" s="2714">
        <v>0.4</v>
      </c>
      <c r="L495" s="2714">
        <f t="shared" si="21"/>
        <v>5.52226419588266</v>
      </c>
      <c r="M495" s="2713">
        <v>2.22658724162554</v>
      </c>
      <c r="N495" s="2712"/>
    </row>
    <row r="496" s="2870" customFormat="1" ht="13.2" customHeight="1" spans="1:14">
      <c r="A496" s="2913" t="s">
        <v>236</v>
      </c>
      <c r="B496" s="2772">
        <v>20250903</v>
      </c>
      <c r="C496" s="2772">
        <v>6.837</v>
      </c>
      <c r="D496" s="176" t="s">
        <v>992</v>
      </c>
      <c r="E496" s="176" t="s">
        <v>993</v>
      </c>
      <c r="F496" s="2713">
        <v>0.668446126639067</v>
      </c>
      <c r="G496" s="2713">
        <v>0.80213535196688</v>
      </c>
      <c r="H496" s="2713">
        <v>0.882348887163568</v>
      </c>
      <c r="I496" s="2713">
        <v>2.27480485336428</v>
      </c>
      <c r="J496" s="2713">
        <f t="shared" si="20"/>
        <v>2.38854509603249</v>
      </c>
      <c r="K496" s="2714">
        <v>0.2</v>
      </c>
      <c r="L496" s="2714">
        <f t="shared" si="21"/>
        <v>3.47089398319606</v>
      </c>
      <c r="M496" s="2713">
        <v>2.06800441214935</v>
      </c>
      <c r="N496" s="176" t="s">
        <v>63</v>
      </c>
    </row>
    <row r="497" s="2870" customFormat="1" ht="13.2" customHeight="1" spans="1:14">
      <c r="A497" s="2913" t="s">
        <v>236</v>
      </c>
      <c r="B497" s="2907">
        <v>46122</v>
      </c>
      <c r="C497" s="2902">
        <v>6.837</v>
      </c>
      <c r="D497" s="2772" t="s">
        <v>994</v>
      </c>
      <c r="E497" s="176" t="s">
        <v>995</v>
      </c>
      <c r="F497" s="2713">
        <v>0.67423343571742</v>
      </c>
      <c r="G497" s="2713">
        <v>0.809080122860904</v>
      </c>
      <c r="H497" s="2713">
        <v>0.889988135146994</v>
      </c>
      <c r="I497" s="2713">
        <v>3.30933896621325</v>
      </c>
      <c r="J497" s="2713">
        <f t="shared" si="20"/>
        <v>3.47480591452391</v>
      </c>
      <c r="K497" s="2714">
        <v>0.4</v>
      </c>
      <c r="L497" s="2714">
        <f t="shared" si="21"/>
        <v>4.7647940496709</v>
      </c>
      <c r="M497" s="2713">
        <v>3.00848996928477</v>
      </c>
      <c r="N497" s="176" t="s">
        <v>996</v>
      </c>
    </row>
    <row r="498" s="2870" customFormat="1" ht="13.2" customHeight="1" spans="1:14">
      <c r="A498" s="2913" t="s">
        <v>41</v>
      </c>
      <c r="B498" s="2772">
        <v>20250909</v>
      </c>
      <c r="C498" s="2902">
        <v>6.837</v>
      </c>
      <c r="D498" s="2772" t="s">
        <v>997</v>
      </c>
      <c r="E498" s="2772" t="s">
        <v>998</v>
      </c>
      <c r="F498" s="2713">
        <f>2.57/C498/1.13</f>
        <v>0.332651204210303</v>
      </c>
      <c r="G498" s="2713">
        <v>0.399181445052364</v>
      </c>
      <c r="H498" s="2713">
        <v>0.4390995895576</v>
      </c>
      <c r="I498" s="2713">
        <v>2.61071389828</v>
      </c>
      <c r="J498" s="2713">
        <f t="shared" si="20"/>
        <v>2.741249593194</v>
      </c>
      <c r="K498" s="2714">
        <v>0.2</v>
      </c>
      <c r="L498" s="2714">
        <f t="shared" si="21"/>
        <v>3.3803491827516</v>
      </c>
      <c r="M498" s="2713">
        <v>2.37337627116364</v>
      </c>
      <c r="N498" s="176" t="s">
        <v>213</v>
      </c>
    </row>
    <row r="499" s="2870" customFormat="1" ht="13.2" customHeight="1" spans="1:14">
      <c r="A499" s="2913" t="s">
        <v>491</v>
      </c>
      <c r="B499" s="2772">
        <v>20250912</v>
      </c>
      <c r="C499" s="2772">
        <v>6.837</v>
      </c>
      <c r="D499" s="2772" t="s">
        <v>999</v>
      </c>
      <c r="E499" s="2772" t="s">
        <v>1000</v>
      </c>
      <c r="F499" s="2713">
        <v>0.39849672934252</v>
      </c>
      <c r="G499" s="2713">
        <v>0.478196075211024</v>
      </c>
      <c r="H499" s="2713">
        <v>0.526015682732126</v>
      </c>
      <c r="I499" s="2713">
        <v>0.965263880467586</v>
      </c>
      <c r="J499" s="2713">
        <f t="shared" si="20"/>
        <v>1.01352707449097</v>
      </c>
      <c r="K499" s="2714">
        <v>0.2</v>
      </c>
      <c r="L499" s="2714">
        <f t="shared" si="21"/>
        <v>1.7395427572231</v>
      </c>
      <c r="M499" s="2713">
        <v>0.877512618606896</v>
      </c>
      <c r="N499" s="176"/>
    </row>
    <row r="500" s="2870" customFormat="1" ht="13.2" customHeight="1" spans="1:14">
      <c r="A500" s="2913" t="s">
        <v>1001</v>
      </c>
      <c r="B500" s="23">
        <v>20250221</v>
      </c>
      <c r="C500" s="23">
        <v>6.837</v>
      </c>
      <c r="D500" s="23" t="s">
        <v>1002</v>
      </c>
      <c r="E500" s="20" t="s">
        <v>1003</v>
      </c>
      <c r="F500" s="2713">
        <v>0.639293789847913</v>
      </c>
      <c r="G500" s="2713">
        <v>0.767152547817496</v>
      </c>
      <c r="H500" s="2713">
        <v>0.843867802599246</v>
      </c>
      <c r="I500" s="2713">
        <v>2.01479071197107</v>
      </c>
      <c r="J500" s="2713">
        <f t="shared" si="20"/>
        <v>2.11553024756962</v>
      </c>
      <c r="K500" s="37">
        <v>0.2</v>
      </c>
      <c r="L500" s="2714">
        <f t="shared" si="21"/>
        <v>3.15939805016887</v>
      </c>
      <c r="M500" s="2713">
        <v>1.8316279199737</v>
      </c>
      <c r="N500" s="750" t="s">
        <v>1004</v>
      </c>
    </row>
    <row r="501" s="2870" customFormat="1" ht="13.2" customHeight="1" spans="1:14">
      <c r="A501" s="2913" t="s">
        <v>1001</v>
      </c>
      <c r="B501" s="23">
        <v>20240813</v>
      </c>
      <c r="C501" s="23">
        <v>6.837</v>
      </c>
      <c r="D501" s="23" t="s">
        <v>1005</v>
      </c>
      <c r="E501" s="20" t="s">
        <v>1006</v>
      </c>
      <c r="F501" s="2713">
        <v>0.661834296595447</v>
      </c>
      <c r="G501" s="2713">
        <v>0.794201155914536</v>
      </c>
      <c r="H501" s="2713">
        <v>0.87362127150599</v>
      </c>
      <c r="I501" s="2713">
        <v>2.11850898901038</v>
      </c>
      <c r="J501" s="2713">
        <f t="shared" si="20"/>
        <v>2.2244344384609</v>
      </c>
      <c r="K501" s="37">
        <v>0.4</v>
      </c>
      <c r="L501" s="2714">
        <f t="shared" si="21"/>
        <v>3.49805570996689</v>
      </c>
      <c r="M501" s="2713">
        <v>1.92591726273671</v>
      </c>
      <c r="N501" s="23"/>
    </row>
    <row r="502" s="2870" customFormat="1" ht="13.2" customHeight="1" spans="1:14">
      <c r="A502" s="2913" t="s">
        <v>1007</v>
      </c>
      <c r="B502" s="23">
        <v>20250610</v>
      </c>
      <c r="C502" s="23">
        <v>6.837</v>
      </c>
      <c r="D502" s="729" t="s">
        <v>1008</v>
      </c>
      <c r="E502" s="875" t="s">
        <v>1009</v>
      </c>
      <c r="F502" s="2713">
        <v>0.677444439882285</v>
      </c>
      <c r="G502" s="2713">
        <v>0.812933327858742</v>
      </c>
      <c r="H502" s="2713">
        <v>0.894226660644616</v>
      </c>
      <c r="I502" s="2713">
        <v>3.72201729197572</v>
      </c>
      <c r="J502" s="2713">
        <f t="shared" si="20"/>
        <v>3.90811815657451</v>
      </c>
      <c r="K502" s="37">
        <v>0.2</v>
      </c>
      <c r="L502" s="2714">
        <f t="shared" si="21"/>
        <v>5.00234481721913</v>
      </c>
      <c r="M502" s="2713">
        <v>3.38365208361429</v>
      </c>
      <c r="N502" s="167" t="s">
        <v>1010</v>
      </c>
    </row>
    <row r="503" s="2870" customFormat="1" ht="13.2" customHeight="1" spans="1:14">
      <c r="A503" s="2914" t="s">
        <v>1007</v>
      </c>
      <c r="B503" s="2915">
        <v>46056</v>
      </c>
      <c r="C503" s="2916">
        <v>6.837</v>
      </c>
      <c r="D503" s="814" t="s">
        <v>1011</v>
      </c>
      <c r="E503" s="1820" t="s">
        <v>1012</v>
      </c>
      <c r="F503" s="2888">
        <f>6.98/C503/1.13</f>
        <v>0.903465138283235</v>
      </c>
      <c r="G503" s="2713">
        <f>12.6/6.78/1.13</f>
        <v>1.64460803508497</v>
      </c>
      <c r="H503" s="2713">
        <v>1.64</v>
      </c>
      <c r="I503" s="2713">
        <v>4.488</v>
      </c>
      <c r="J503" s="2713">
        <f t="shared" si="20"/>
        <v>4.7124</v>
      </c>
      <c r="K503" s="709">
        <f>2.21/C503/1.13</f>
        <v>0.286054148367615</v>
      </c>
      <c r="L503" s="2714">
        <f t="shared" si="21"/>
        <v>6.63845414836761</v>
      </c>
      <c r="M503" s="2888">
        <v>4.08</v>
      </c>
      <c r="N503" s="1820" t="s">
        <v>1013</v>
      </c>
    </row>
    <row r="504" s="2870" customFormat="1" ht="13.2" customHeight="1" spans="1:14">
      <c r="A504" s="2913" t="s">
        <v>1014</v>
      </c>
      <c r="B504" s="23"/>
      <c r="C504" s="23">
        <v>6.837</v>
      </c>
      <c r="D504" s="23" t="s">
        <v>1015</v>
      </c>
      <c r="E504" s="20" t="s">
        <v>1016</v>
      </c>
      <c r="F504" s="2713">
        <v>0.327078889699693</v>
      </c>
      <c r="G504" s="2713">
        <v>0.392494667639632</v>
      </c>
      <c r="H504" s="2713">
        <v>0.431744134403595</v>
      </c>
      <c r="I504" s="2713">
        <v>1.22217137469529</v>
      </c>
      <c r="J504" s="2713">
        <f t="shared" si="20"/>
        <v>1.28327994343005</v>
      </c>
      <c r="K504" s="37">
        <v>0.2</v>
      </c>
      <c r="L504" s="2714">
        <f t="shared" si="21"/>
        <v>1.91502407783364</v>
      </c>
      <c r="M504" s="2713">
        <v>1.11106488608663</v>
      </c>
      <c r="N504" s="20"/>
    </row>
    <row r="505" s="2870" customFormat="1" ht="13.2" customHeight="1" spans="1:14">
      <c r="A505" s="2913" t="s">
        <v>989</v>
      </c>
      <c r="B505" s="23">
        <v>20250305</v>
      </c>
      <c r="C505" s="23">
        <v>6.837</v>
      </c>
      <c r="D505" s="23" t="s">
        <v>1017</v>
      </c>
      <c r="E505" s="20" t="s">
        <v>1018</v>
      </c>
      <c r="F505" s="2713">
        <v>1.95391944709881</v>
      </c>
      <c r="G505" s="2713">
        <v>2.34470333651857</v>
      </c>
      <c r="H505" s="2713">
        <v>2.57917367017043</v>
      </c>
      <c r="I505" s="2713">
        <v>3.13417213286545</v>
      </c>
      <c r="J505" s="2713">
        <f t="shared" si="20"/>
        <v>3.29088073950872</v>
      </c>
      <c r="K505" s="37">
        <v>0.4</v>
      </c>
      <c r="L505" s="2714">
        <f t="shared" si="21"/>
        <v>6.27005440967915</v>
      </c>
      <c r="M505" s="2713">
        <v>2.84924739351405</v>
      </c>
      <c r="N505" s="139" t="s">
        <v>1019</v>
      </c>
    </row>
    <row r="506" s="2870" customFormat="1" ht="13.2" customHeight="1" spans="1:14">
      <c r="A506" s="2913" t="s">
        <v>989</v>
      </c>
      <c r="B506" s="23">
        <v>20250415</v>
      </c>
      <c r="C506" s="23">
        <v>6.837</v>
      </c>
      <c r="D506" s="23" t="s">
        <v>990</v>
      </c>
      <c r="E506" s="23" t="s">
        <v>991</v>
      </c>
      <c r="F506" s="2713">
        <v>1.94301892019728</v>
      </c>
      <c r="G506" s="2713">
        <v>2.33162270423674</v>
      </c>
      <c r="H506" s="2713">
        <v>2.56478497466041</v>
      </c>
      <c r="I506" s="2713">
        <v>2.45720044111007</v>
      </c>
      <c r="J506" s="2713">
        <f t="shared" si="20"/>
        <v>2.58006046316557</v>
      </c>
      <c r="K506" s="37">
        <v>0.4</v>
      </c>
      <c r="L506" s="2714">
        <f t="shared" si="21"/>
        <v>5.54484543782598</v>
      </c>
      <c r="M506" s="2713">
        <v>2.23381858282734</v>
      </c>
      <c r="N506" s="20"/>
    </row>
    <row r="507" s="2870" customFormat="1" ht="13.2" customHeight="1" spans="1:14">
      <c r="A507" s="2913" t="s">
        <v>1020</v>
      </c>
      <c r="B507" s="19"/>
      <c r="C507" s="19">
        <v>6.837</v>
      </c>
      <c r="D507" s="19" t="s">
        <v>1021</v>
      </c>
      <c r="E507" s="20" t="s">
        <v>1022</v>
      </c>
      <c r="F507" s="2713">
        <v>0.257207943835314</v>
      </c>
      <c r="G507" s="2713">
        <v>0.308649532602377</v>
      </c>
      <c r="H507" s="2713">
        <v>0.339514485862615</v>
      </c>
      <c r="I507" s="2713">
        <v>1.75201892419531</v>
      </c>
      <c r="J507" s="2713">
        <f t="shared" si="20"/>
        <v>1.83961987040508</v>
      </c>
      <c r="K507" s="37">
        <v>0.2</v>
      </c>
      <c r="L507" s="2714">
        <f t="shared" si="21"/>
        <v>2.37913435626769</v>
      </c>
      <c r="M507" s="2713">
        <v>1.59274447654119</v>
      </c>
      <c r="N507" s="23" t="s">
        <v>1023</v>
      </c>
    </row>
    <row r="508" s="2870" customFormat="1" ht="13.2" customHeight="1" spans="1:14">
      <c r="A508" s="2913" t="s">
        <v>1024</v>
      </c>
      <c r="B508" s="19"/>
      <c r="C508" s="23">
        <v>6.837</v>
      </c>
      <c r="D508" s="19" t="s">
        <v>1025</v>
      </c>
      <c r="E508" s="20" t="s">
        <v>1026</v>
      </c>
      <c r="F508" s="2713">
        <v>0.336736926929791</v>
      </c>
      <c r="G508" s="2713">
        <v>0.404084312315749</v>
      </c>
      <c r="H508" s="2713">
        <v>0.444492743547324</v>
      </c>
      <c r="I508" s="2713">
        <v>0.974702955865651</v>
      </c>
      <c r="J508" s="2713">
        <f t="shared" si="20"/>
        <v>1.02343810365893</v>
      </c>
      <c r="K508" s="37">
        <v>0.2</v>
      </c>
      <c r="L508" s="2714">
        <f t="shared" si="21"/>
        <v>1.66793084720625</v>
      </c>
      <c r="M508" s="2713">
        <v>0.886093596241501</v>
      </c>
      <c r="N508" s="20"/>
    </row>
    <row r="509" s="2870" customFormat="1" ht="13.2" customHeight="1" spans="1:14">
      <c r="A509" s="2913" t="s">
        <v>1027</v>
      </c>
      <c r="B509" s="23"/>
      <c r="C509" s="23">
        <v>6.837</v>
      </c>
      <c r="D509" s="23" t="s">
        <v>1028</v>
      </c>
      <c r="E509" s="20" t="s">
        <v>652</v>
      </c>
      <c r="F509" s="2713">
        <v>0.164613084054601</v>
      </c>
      <c r="G509" s="2713">
        <v>0.197535700865521</v>
      </c>
      <c r="H509" s="2713">
        <v>0.217289270952073</v>
      </c>
      <c r="I509" s="2713">
        <v>0.830072380548636</v>
      </c>
      <c r="J509" s="2713">
        <f t="shared" si="20"/>
        <v>0.871575999576068</v>
      </c>
      <c r="K509" s="774">
        <v>0.2</v>
      </c>
      <c r="L509" s="2714">
        <f t="shared" si="21"/>
        <v>1.28886527052814</v>
      </c>
      <c r="M509" s="2713">
        <v>0.754611255044214</v>
      </c>
      <c r="N509" s="39"/>
    </row>
    <row r="510" s="2870" customFormat="1" ht="13.2" customHeight="1" spans="1:14">
      <c r="A510" s="2913" t="s">
        <v>1027</v>
      </c>
      <c r="B510" s="23"/>
      <c r="C510" s="23">
        <v>6.837</v>
      </c>
      <c r="D510" s="23" t="s">
        <v>1029</v>
      </c>
      <c r="E510" s="20" t="s">
        <v>1030</v>
      </c>
      <c r="F510" s="2713">
        <v>0.329226168109202</v>
      </c>
      <c r="G510" s="2713">
        <v>0.395071401731042</v>
      </c>
      <c r="H510" s="2713">
        <v>0.434578541904146</v>
      </c>
      <c r="I510" s="2713">
        <v>1.32362893114511</v>
      </c>
      <c r="J510" s="2713">
        <f t="shared" si="20"/>
        <v>1.38981037770237</v>
      </c>
      <c r="K510" s="37">
        <v>0.4</v>
      </c>
      <c r="L510" s="2714">
        <f t="shared" si="21"/>
        <v>2.22438891960652</v>
      </c>
      <c r="M510" s="2713">
        <v>1.20329902831374</v>
      </c>
      <c r="N510" s="20"/>
    </row>
    <row r="511" s="2870" customFormat="1" ht="13.2" customHeight="1" spans="1:14">
      <c r="A511" s="2913" t="s">
        <v>1031</v>
      </c>
      <c r="B511" s="19"/>
      <c r="C511" s="19">
        <v>6.837</v>
      </c>
      <c r="D511" s="19" t="s">
        <v>1032</v>
      </c>
      <c r="E511" s="20" t="s">
        <v>1033</v>
      </c>
      <c r="F511" s="2713">
        <v>0.113171495287537</v>
      </c>
      <c r="G511" s="2713">
        <v>0.135805794345044</v>
      </c>
      <c r="H511" s="2713">
        <v>0.149386373779548</v>
      </c>
      <c r="I511" s="2713">
        <v>0.347733024283888</v>
      </c>
      <c r="J511" s="2713">
        <f t="shared" si="20"/>
        <v>0.365119675498082</v>
      </c>
      <c r="K511" s="37">
        <v>0.2</v>
      </c>
      <c r="L511" s="2714">
        <f t="shared" si="21"/>
        <v>0.71450604927763</v>
      </c>
      <c r="M511" s="2713">
        <v>0.316120931167171</v>
      </c>
      <c r="N511" s="20"/>
    </row>
    <row r="512" s="2870" customFormat="1" ht="13.2" customHeight="1" spans="1:14">
      <c r="A512" s="2913" t="s">
        <v>1031</v>
      </c>
      <c r="B512" s="19"/>
      <c r="C512" s="19">
        <v>6.837</v>
      </c>
      <c r="D512" s="19" t="s">
        <v>919</v>
      </c>
      <c r="E512" s="20" t="s">
        <v>920</v>
      </c>
      <c r="F512" s="2713">
        <v>0.123459813040951</v>
      </c>
      <c r="G512" s="2713">
        <v>0.148151775649141</v>
      </c>
      <c r="H512" s="2713">
        <v>0.162966953214055</v>
      </c>
      <c r="I512" s="2713">
        <v>0.224343886634765</v>
      </c>
      <c r="J512" s="2713">
        <f t="shared" si="20"/>
        <v>0.235561080966503</v>
      </c>
      <c r="K512" s="37">
        <v>0.2</v>
      </c>
      <c r="L512" s="2714">
        <f t="shared" si="21"/>
        <v>0.598528034180558</v>
      </c>
      <c r="M512" s="2713">
        <v>0.203948987849786</v>
      </c>
      <c r="N512" s="20"/>
    </row>
    <row r="513" s="2870" customFormat="1" ht="13.2" customHeight="1" spans="1:14">
      <c r="A513" s="2913" t="s">
        <v>1034</v>
      </c>
      <c r="B513" s="19">
        <v>20241121</v>
      </c>
      <c r="C513" s="23">
        <v>6.837</v>
      </c>
      <c r="D513" s="19" t="s">
        <v>1035</v>
      </c>
      <c r="E513" s="20" t="s">
        <v>1036</v>
      </c>
      <c r="F513" s="2713">
        <v>1.33119661955033</v>
      </c>
      <c r="G513" s="2713">
        <v>1.5974359434604</v>
      </c>
      <c r="H513" s="2713">
        <v>1.75717953780644</v>
      </c>
      <c r="I513" s="2713">
        <v>4.42301766763537</v>
      </c>
      <c r="J513" s="2713">
        <f t="shared" si="20"/>
        <v>4.64416855101714</v>
      </c>
      <c r="K513" s="37">
        <v>0.5</v>
      </c>
      <c r="L513" s="2714">
        <f t="shared" si="21"/>
        <v>6.90134808882358</v>
      </c>
      <c r="M513" s="2713">
        <v>4.02092515239579</v>
      </c>
      <c r="N513" s="139" t="s">
        <v>1037</v>
      </c>
    </row>
    <row r="514" s="2870" customFormat="1" ht="13.2" customHeight="1" spans="1:14">
      <c r="A514" s="2913" t="s">
        <v>1034</v>
      </c>
      <c r="B514" s="1128">
        <v>46092</v>
      </c>
      <c r="C514" s="23">
        <v>6.837</v>
      </c>
      <c r="D514" s="19" t="s">
        <v>1038</v>
      </c>
      <c r="E514" s="20" t="s">
        <v>1039</v>
      </c>
      <c r="F514" s="2713">
        <f>5.6/C514/1.13</f>
        <v>0.724843090886263</v>
      </c>
      <c r="G514" s="2713">
        <v>0.869811709063516</v>
      </c>
      <c r="H514" s="2713">
        <v>0.956792879969868</v>
      </c>
      <c r="I514" s="2713">
        <v>4.83976754716981</v>
      </c>
      <c r="J514" s="2713">
        <f t="shared" si="20"/>
        <v>5.0817559245283</v>
      </c>
      <c r="K514" s="37">
        <v>0.4</v>
      </c>
      <c r="L514" s="2714">
        <f t="shared" si="21"/>
        <v>6.43854880449817</v>
      </c>
      <c r="M514" s="2713">
        <v>4.39978867924528</v>
      </c>
      <c r="N514" s="139" t="s">
        <v>1040</v>
      </c>
    </row>
    <row r="515" s="2870" customFormat="1" ht="13.2" customHeight="1" spans="1:14">
      <c r="A515" s="2913" t="s">
        <v>1034</v>
      </c>
      <c r="B515" s="19"/>
      <c r="C515" s="23">
        <v>6.837</v>
      </c>
      <c r="D515" s="19" t="s">
        <v>1041</v>
      </c>
      <c r="E515" s="20" t="s">
        <v>1042</v>
      </c>
      <c r="F515" s="2713">
        <v>1.10169496230023</v>
      </c>
      <c r="G515" s="2713">
        <v>1.32203395476028</v>
      </c>
      <c r="H515" s="2713">
        <v>1.45423735023631</v>
      </c>
      <c r="I515" s="2713">
        <v>9.08330667247977</v>
      </c>
      <c r="J515" s="2713">
        <f t="shared" si="20"/>
        <v>9.53747200610376</v>
      </c>
      <c r="K515" s="37">
        <v>0.4</v>
      </c>
      <c r="L515" s="2714">
        <f t="shared" si="21"/>
        <v>11.3917093563401</v>
      </c>
      <c r="M515" s="2713">
        <v>8.25755152043615</v>
      </c>
      <c r="N515" s="759" t="s">
        <v>1043</v>
      </c>
    </row>
    <row r="516" s="2870" customFormat="1" ht="13.2" customHeight="1" spans="1:14">
      <c r="A516" s="2913" t="s">
        <v>1034</v>
      </c>
      <c r="B516" s="19"/>
      <c r="C516" s="23">
        <v>6.837</v>
      </c>
      <c r="D516" s="19" t="s">
        <v>1044</v>
      </c>
      <c r="E516" s="20" t="s">
        <v>1045</v>
      </c>
      <c r="F516" s="2713">
        <v>0.0881355969840178</v>
      </c>
      <c r="G516" s="2713">
        <v>0.105762716380821</v>
      </c>
      <c r="H516" s="2713">
        <v>0.116338988018903</v>
      </c>
      <c r="I516" s="2713">
        <v>0.138331358268177</v>
      </c>
      <c r="J516" s="2713">
        <f t="shared" si="20"/>
        <v>0.145247926181586</v>
      </c>
      <c r="K516" s="37">
        <v>0.2</v>
      </c>
      <c r="L516" s="2714">
        <f t="shared" si="21"/>
        <v>0.461586914200489</v>
      </c>
      <c r="M516" s="2713">
        <v>0.125755780243797</v>
      </c>
      <c r="N516" s="20"/>
    </row>
    <row r="517" s="2870" customFormat="1" ht="13.2" customHeight="1" spans="1:14">
      <c r="A517" s="2913" t="s">
        <v>1034</v>
      </c>
      <c r="B517" s="19"/>
      <c r="C517" s="23">
        <v>6.837</v>
      </c>
      <c r="D517" s="19" t="s">
        <v>1046</v>
      </c>
      <c r="E517" s="20" t="s">
        <v>1047</v>
      </c>
      <c r="F517" s="2713">
        <v>0.0881355969840178</v>
      </c>
      <c r="G517" s="2713">
        <v>0.105762716380821</v>
      </c>
      <c r="H517" s="2713">
        <v>0.116338988018903</v>
      </c>
      <c r="I517" s="2713">
        <v>0.204304775288384</v>
      </c>
      <c r="J517" s="2713">
        <f t="shared" si="20"/>
        <v>0.214520014052803</v>
      </c>
      <c r="K517" s="37">
        <v>0.2</v>
      </c>
      <c r="L517" s="2714">
        <f t="shared" si="21"/>
        <v>0.530859002071706</v>
      </c>
      <c r="M517" s="2713">
        <v>0.185731613898531</v>
      </c>
      <c r="N517" s="20"/>
    </row>
    <row r="518" s="2870" customFormat="1" ht="13.2" customHeight="1" spans="1:14">
      <c r="A518" s="2913" t="s">
        <v>1034</v>
      </c>
      <c r="B518" s="19"/>
      <c r="C518" s="23">
        <v>6.837</v>
      </c>
      <c r="D518" s="19" t="s">
        <v>1048</v>
      </c>
      <c r="E518" s="20" t="s">
        <v>1049</v>
      </c>
      <c r="F518" s="2713">
        <v>0.44067798492009</v>
      </c>
      <c r="G518" s="2713">
        <v>0.528813581904108</v>
      </c>
      <c r="H518" s="2713">
        <v>0.581694940094519</v>
      </c>
      <c r="I518" s="2713">
        <v>4.649183657141</v>
      </c>
      <c r="J518" s="2713">
        <f t="shared" ref="J518:J581" si="22">I518*1.05</f>
        <v>4.88164283999805</v>
      </c>
      <c r="K518" s="37">
        <v>0.4</v>
      </c>
      <c r="L518" s="2714">
        <f t="shared" ref="L518:L581" si="23">SUBTOTAL(109,H518,J518,K518)</f>
        <v>5.86333778009257</v>
      </c>
      <c r="M518" s="2713">
        <v>4.22653059740091</v>
      </c>
      <c r="N518" s="20"/>
    </row>
    <row r="519" s="2870" customFormat="1" ht="13.2" customHeight="1" spans="1:14">
      <c r="A519" s="2913" t="s">
        <v>1034</v>
      </c>
      <c r="B519" s="1128">
        <v>46030</v>
      </c>
      <c r="C519" s="973">
        <v>6.837</v>
      </c>
      <c r="D519" s="19" t="s">
        <v>1050</v>
      </c>
      <c r="E519" s="2917" t="s">
        <v>1051</v>
      </c>
      <c r="F519" s="2713">
        <f>0.57/C519/1.13</f>
        <v>0.0737786717509232</v>
      </c>
      <c r="G519" s="2713">
        <v>0.0885344061011078</v>
      </c>
      <c r="H519" s="2713">
        <v>0.0973878467112186</v>
      </c>
      <c r="I519" s="2713">
        <v>0.135028180781044</v>
      </c>
      <c r="J519" s="2713">
        <f t="shared" si="22"/>
        <v>0.141779589820096</v>
      </c>
      <c r="K519" s="37">
        <f>0.9/C519</f>
        <v>0.131636682755595</v>
      </c>
      <c r="L519" s="2714">
        <f t="shared" si="23"/>
        <v>0.37080411928691</v>
      </c>
      <c r="M519" s="2713">
        <v>0.122752891619131</v>
      </c>
      <c r="N519" s="20"/>
    </row>
    <row r="520" s="2870" customFormat="1" ht="13.2" customHeight="1" spans="1:14">
      <c r="A520" s="2913" t="s">
        <v>1034</v>
      </c>
      <c r="B520" s="1128">
        <v>46030</v>
      </c>
      <c r="C520" s="973">
        <v>6.837</v>
      </c>
      <c r="D520" s="19" t="s">
        <v>1052</v>
      </c>
      <c r="E520" s="20" t="s">
        <v>1053</v>
      </c>
      <c r="F520" s="2713">
        <f>0.57/C520/1.13</f>
        <v>0.0737786717509232</v>
      </c>
      <c r="G520" s="2713">
        <v>0.0885344061011078</v>
      </c>
      <c r="H520" s="2713">
        <v>0.0973878467112186</v>
      </c>
      <c r="I520" s="2713">
        <v>0.202594920579202</v>
      </c>
      <c r="J520" s="2713">
        <f t="shared" si="22"/>
        <v>0.212724666608162</v>
      </c>
      <c r="K520" s="37">
        <f>0.9/C520</f>
        <v>0.131636682755595</v>
      </c>
      <c r="L520" s="2714">
        <f t="shared" si="23"/>
        <v>0.441749196074976</v>
      </c>
      <c r="M520" s="2713">
        <v>0.184177200526547</v>
      </c>
      <c r="N520" s="20"/>
    </row>
    <row r="521" s="2870" customFormat="1" ht="13.2" customHeight="1" spans="1:14">
      <c r="A521" s="2913" t="s">
        <v>1034</v>
      </c>
      <c r="B521" s="1128">
        <v>46030</v>
      </c>
      <c r="C521" s="973">
        <v>6.837</v>
      </c>
      <c r="D521" s="19" t="s">
        <v>1054</v>
      </c>
      <c r="E521" s="19" t="s">
        <v>1055</v>
      </c>
      <c r="F521" s="2713">
        <f>19.55/C521/1.13</f>
        <v>2.53047900479044</v>
      </c>
      <c r="G521" s="2713">
        <v>3.03657480574853</v>
      </c>
      <c r="H521" s="2713">
        <v>3.34023228632338</v>
      </c>
      <c r="I521" s="2713">
        <v>9.2630899798157</v>
      </c>
      <c r="J521" s="2713">
        <f t="shared" si="22"/>
        <v>9.72624447880649</v>
      </c>
      <c r="K521" s="37">
        <f>7/C521/1.13</f>
        <v>0.906053863607829</v>
      </c>
      <c r="L521" s="2714">
        <f t="shared" si="23"/>
        <v>13.9725306287377</v>
      </c>
      <c r="M521" s="2713">
        <v>8.42099089074155</v>
      </c>
      <c r="N521" s="139" t="s">
        <v>1056</v>
      </c>
    </row>
    <row r="522" s="2870" customFormat="1" ht="13.2" customHeight="1" spans="1:14">
      <c r="A522" s="2913" t="s">
        <v>1057</v>
      </c>
      <c r="B522" s="19"/>
      <c r="C522" s="19">
        <v>6.837</v>
      </c>
      <c r="D522" s="19" t="s">
        <v>1058</v>
      </c>
      <c r="E522" s="20" t="s">
        <v>1059</v>
      </c>
      <c r="F522" s="2713">
        <v>0.459476270867403</v>
      </c>
      <c r="G522" s="2713">
        <v>0.551371525040884</v>
      </c>
      <c r="H522" s="2713">
        <v>0.606508677544973</v>
      </c>
      <c r="I522" s="2713">
        <v>1.30932700837215</v>
      </c>
      <c r="J522" s="2713">
        <f t="shared" si="22"/>
        <v>1.37479335879076</v>
      </c>
      <c r="K522" s="37">
        <v>0.4</v>
      </c>
      <c r="L522" s="2714">
        <f t="shared" si="23"/>
        <v>2.38130203633573</v>
      </c>
      <c r="M522" s="2713">
        <v>1.19029728033832</v>
      </c>
      <c r="N522" s="20"/>
    </row>
    <row r="523" s="2870" customFormat="1" ht="13.2" customHeight="1" spans="1:14">
      <c r="A523" s="2913" t="s">
        <v>1057</v>
      </c>
      <c r="B523" s="19"/>
      <c r="C523" s="19">
        <v>6.837</v>
      </c>
      <c r="D523" s="19" t="s">
        <v>1060</v>
      </c>
      <c r="E523" s="20" t="s">
        <v>1061</v>
      </c>
      <c r="F523" s="2713">
        <v>0.483550934410389</v>
      </c>
      <c r="G523" s="2713">
        <v>0.580261121292467</v>
      </c>
      <c r="H523" s="2713">
        <v>0.638287233421714</v>
      </c>
      <c r="I523" s="2713">
        <v>1.61527598377032</v>
      </c>
      <c r="J523" s="2713">
        <f t="shared" si="22"/>
        <v>1.69603978295884</v>
      </c>
      <c r="K523" s="37">
        <v>0.4</v>
      </c>
      <c r="L523" s="2714">
        <f t="shared" si="23"/>
        <v>2.73432701638055</v>
      </c>
      <c r="M523" s="2713">
        <v>1.46843271251847</v>
      </c>
      <c r="N523" s="20"/>
    </row>
    <row r="524" s="2870" customFormat="1" ht="13.2" customHeight="1" spans="1:14">
      <c r="A524" s="2913" t="s">
        <v>1062</v>
      </c>
      <c r="B524" s="1727">
        <v>20251219</v>
      </c>
      <c r="C524" s="1727">
        <v>6.837</v>
      </c>
      <c r="D524" s="19" t="s">
        <v>1063</v>
      </c>
      <c r="E524" s="20" t="s">
        <v>1064</v>
      </c>
      <c r="F524" s="2713">
        <v>1.58942985081176</v>
      </c>
      <c r="G524" s="2713">
        <v>1.90731582097411</v>
      </c>
      <c r="H524" s="2713">
        <v>2.09804740307152</v>
      </c>
      <c r="I524" s="2713">
        <v>6.18616315270302</v>
      </c>
      <c r="J524" s="2713">
        <f t="shared" si="22"/>
        <v>6.49547131033817</v>
      </c>
      <c r="K524" s="37">
        <v>0.4</v>
      </c>
      <c r="L524" s="2714">
        <f t="shared" si="23"/>
        <v>8.99351871340969</v>
      </c>
      <c r="M524" s="2713">
        <v>5.62378468427547</v>
      </c>
      <c r="N524" s="759" t="s">
        <v>1065</v>
      </c>
    </row>
    <row r="525" s="2870" customFormat="1" ht="13.2" customHeight="1" spans="1:14">
      <c r="A525" s="2913" t="s">
        <v>1062</v>
      </c>
      <c r="B525" s="1727"/>
      <c r="C525" s="1727">
        <v>6.837</v>
      </c>
      <c r="D525" s="19"/>
      <c r="E525" s="20" t="s">
        <v>1066</v>
      </c>
      <c r="F525" s="2713">
        <v>0.23395636876249</v>
      </c>
      <c r="G525" s="2713">
        <v>0.280747642514988</v>
      </c>
      <c r="H525" s="2713">
        <v>0.308822406766487</v>
      </c>
      <c r="I525" s="2713">
        <v>3.81257701160875</v>
      </c>
      <c r="J525" s="2713">
        <f t="shared" si="22"/>
        <v>4.00320586218919</v>
      </c>
      <c r="K525" s="37">
        <v>0.4</v>
      </c>
      <c r="L525" s="2714">
        <f t="shared" si="23"/>
        <v>4.71202826895568</v>
      </c>
      <c r="M525" s="2713">
        <v>3.4659791014625</v>
      </c>
      <c r="N525" s="759" t="s">
        <v>1065</v>
      </c>
    </row>
    <row r="526" s="2870" customFormat="1" ht="13.2" customHeight="1" spans="1:14">
      <c r="A526" s="2913" t="s">
        <v>1067</v>
      </c>
      <c r="B526" s="19">
        <v>20250701</v>
      </c>
      <c r="C526" s="23">
        <v>6.837</v>
      </c>
      <c r="D526" s="19" t="s">
        <v>1068</v>
      </c>
      <c r="E526" s="20" t="s">
        <v>1069</v>
      </c>
      <c r="F526" s="2713">
        <v>0.337786366126605</v>
      </c>
      <c r="G526" s="2713">
        <v>0.405343639351926</v>
      </c>
      <c r="H526" s="2713">
        <v>0.445878003287119</v>
      </c>
      <c r="I526" s="2713">
        <v>3.89528264142634</v>
      </c>
      <c r="J526" s="2713">
        <f t="shared" si="22"/>
        <v>4.09004677349766</v>
      </c>
      <c r="K526" s="37">
        <v>0.4</v>
      </c>
      <c r="L526" s="2714">
        <f t="shared" si="23"/>
        <v>4.93592477678478</v>
      </c>
      <c r="M526" s="2713">
        <v>3.54116603766031</v>
      </c>
      <c r="N526" s="139"/>
    </row>
    <row r="527" s="2870" customFormat="1" ht="13.2" customHeight="1" spans="1:14">
      <c r="A527" s="2913" t="s">
        <v>1067</v>
      </c>
      <c r="B527" s="19">
        <v>20250730</v>
      </c>
      <c r="C527" s="23">
        <v>6.837</v>
      </c>
      <c r="D527" s="19" t="s">
        <v>1070</v>
      </c>
      <c r="E527" s="19" t="s">
        <v>1071</v>
      </c>
      <c r="F527" s="2713">
        <v>0.189188684334999</v>
      </c>
      <c r="G527" s="2713">
        <v>0.227026421201999</v>
      </c>
      <c r="H527" s="2713">
        <v>0.249729063322199</v>
      </c>
      <c r="I527" s="2713">
        <v>4.93037903591499</v>
      </c>
      <c r="J527" s="2713">
        <f t="shared" si="22"/>
        <v>5.17689798771074</v>
      </c>
      <c r="K527" s="37">
        <v>0.4</v>
      </c>
      <c r="L527" s="2714">
        <f t="shared" si="23"/>
        <v>5.82662705103294</v>
      </c>
      <c r="M527" s="2713">
        <v>4.48216275992272</v>
      </c>
      <c r="N527" s="139" t="s">
        <v>1072</v>
      </c>
    </row>
    <row r="528" s="2870" customFormat="1" ht="13.2" customHeight="1" spans="1:14">
      <c r="A528" s="2913" t="s">
        <v>1067</v>
      </c>
      <c r="B528" s="19">
        <v>20250730</v>
      </c>
      <c r="C528" s="23">
        <v>6.837</v>
      </c>
      <c r="D528" s="19" t="s">
        <v>1073</v>
      </c>
      <c r="E528" s="19" t="s">
        <v>1074</v>
      </c>
      <c r="F528" s="2713">
        <v>0.24287736502466</v>
      </c>
      <c r="G528" s="2713">
        <v>0.291452838029592</v>
      </c>
      <c r="H528" s="2713">
        <v>0.320598121832551</v>
      </c>
      <c r="I528" s="2713">
        <v>0.294972654397399</v>
      </c>
      <c r="J528" s="2713">
        <f t="shared" si="22"/>
        <v>0.309721287117269</v>
      </c>
      <c r="K528" s="37">
        <v>0.2</v>
      </c>
      <c r="L528" s="2714">
        <f t="shared" si="23"/>
        <v>0.83031940894982</v>
      </c>
      <c r="M528" s="2713">
        <v>0.26815695854309</v>
      </c>
      <c r="N528" s="139"/>
    </row>
    <row r="529" s="2870" customFormat="1" ht="13.2" customHeight="1" spans="1:14">
      <c r="A529" s="2913" t="s">
        <v>1067</v>
      </c>
      <c r="B529" s="19">
        <v>20250730</v>
      </c>
      <c r="C529" s="23">
        <v>6.837</v>
      </c>
      <c r="D529" s="19" t="s">
        <v>1075</v>
      </c>
      <c r="E529" s="19" t="s">
        <v>1076</v>
      </c>
      <c r="F529" s="2713">
        <v>0.24287736502466</v>
      </c>
      <c r="G529" s="2713">
        <v>0.291452838029592</v>
      </c>
      <c r="H529" s="2713">
        <v>0.320598121832551</v>
      </c>
      <c r="I529" s="2713">
        <v>3.22534291237224</v>
      </c>
      <c r="J529" s="2713">
        <f t="shared" si="22"/>
        <v>3.38661005799085</v>
      </c>
      <c r="K529" s="37">
        <v>0.4</v>
      </c>
      <c r="L529" s="2714">
        <f t="shared" si="23"/>
        <v>4.1072081798234</v>
      </c>
      <c r="M529" s="2713">
        <v>2.9321299203384</v>
      </c>
      <c r="N529" s="139"/>
    </row>
    <row r="530" s="2870" customFormat="1" ht="13.2" customHeight="1" spans="1:14">
      <c r="A530" s="2913" t="s">
        <v>1067</v>
      </c>
      <c r="B530" s="19">
        <v>20250701</v>
      </c>
      <c r="C530" s="23">
        <v>6.837</v>
      </c>
      <c r="D530" s="19" t="s">
        <v>1077</v>
      </c>
      <c r="E530" s="20" t="s">
        <v>1078</v>
      </c>
      <c r="F530" s="2713">
        <v>0.246967931172443</v>
      </c>
      <c r="G530" s="2713">
        <v>0.296361517406932</v>
      </c>
      <c r="H530" s="2713">
        <v>0.325997669147625</v>
      </c>
      <c r="I530" s="2713">
        <v>0.312092939909642</v>
      </c>
      <c r="J530" s="2713">
        <f t="shared" si="22"/>
        <v>0.327697586905124</v>
      </c>
      <c r="K530" s="37">
        <v>0.2</v>
      </c>
      <c r="L530" s="2714">
        <f t="shared" si="23"/>
        <v>0.853695256052749</v>
      </c>
      <c r="M530" s="2713">
        <v>0.283720854463311</v>
      </c>
      <c r="N530" s="139"/>
    </row>
    <row r="531" s="2870" customFormat="1" ht="13.2" customHeight="1" spans="1:14">
      <c r="A531" s="2913" t="s">
        <v>1067</v>
      </c>
      <c r="B531" s="19">
        <v>20250701</v>
      </c>
      <c r="C531" s="23">
        <v>6.837</v>
      </c>
      <c r="D531" s="19" t="s">
        <v>1079</v>
      </c>
      <c r="E531" s="20" t="s">
        <v>1080</v>
      </c>
      <c r="F531" s="2713">
        <v>0.20580660931037</v>
      </c>
      <c r="G531" s="2713">
        <v>0.246967931172444</v>
      </c>
      <c r="H531" s="2713">
        <v>0.271664724289688</v>
      </c>
      <c r="I531" s="2713">
        <v>0.457567091336654</v>
      </c>
      <c r="J531" s="2713">
        <f t="shared" si="22"/>
        <v>0.480445445903487</v>
      </c>
      <c r="K531" s="37">
        <v>0.2</v>
      </c>
      <c r="L531" s="2714">
        <f t="shared" si="23"/>
        <v>0.952110170193175</v>
      </c>
      <c r="M531" s="2713">
        <v>0.415970083033322</v>
      </c>
      <c r="N531" s="139"/>
    </row>
    <row r="532" s="2870" customFormat="1" ht="13.2" customHeight="1" spans="1:14">
      <c r="A532" s="2913" t="s">
        <v>1081</v>
      </c>
      <c r="B532" s="19">
        <v>20250626</v>
      </c>
      <c r="C532" s="23">
        <v>6.837</v>
      </c>
      <c r="D532" s="19" t="s">
        <v>1082</v>
      </c>
      <c r="E532" s="19" t="s">
        <v>1083</v>
      </c>
      <c r="F532" s="2713">
        <f>3.31/C532/1.13*1.2</f>
        <v>0.514120849464328</v>
      </c>
      <c r="G532" s="2713">
        <f>0.616945019357194*1.2</f>
        <v>0.740334023228633</v>
      </c>
      <c r="H532" s="2713">
        <v>0.814367425551496</v>
      </c>
      <c r="I532" s="2713">
        <v>1.32</v>
      </c>
      <c r="J532" s="2713">
        <f t="shared" si="22"/>
        <v>1.386</v>
      </c>
      <c r="K532" s="37">
        <v>0.2</v>
      </c>
      <c r="L532" s="2714">
        <f t="shared" si="23"/>
        <v>2.4003674255515</v>
      </c>
      <c r="M532" s="2713">
        <v>1.2</v>
      </c>
      <c r="N532" s="139" t="s">
        <v>435</v>
      </c>
    </row>
    <row r="533" s="2870" customFormat="1" ht="13.2" customHeight="1" spans="1:14">
      <c r="A533" s="2913" t="s">
        <v>1084</v>
      </c>
      <c r="B533" s="23">
        <v>20240103</v>
      </c>
      <c r="C533" s="23">
        <v>6.837</v>
      </c>
      <c r="D533" s="23" t="s">
        <v>1085</v>
      </c>
      <c r="E533" s="759" t="s">
        <v>1086</v>
      </c>
      <c r="F533" s="2713">
        <v>0.514189328183898</v>
      </c>
      <c r="G533" s="2713">
        <v>0.617027193820677</v>
      </c>
      <c r="H533" s="2713">
        <v>0.678729913202745</v>
      </c>
      <c r="I533" s="2713">
        <v>2.38068326299676</v>
      </c>
      <c r="J533" s="2713">
        <f t="shared" si="22"/>
        <v>2.4997174261466</v>
      </c>
      <c r="K533" s="37">
        <v>0.4</v>
      </c>
      <c r="L533" s="2714">
        <f t="shared" si="23"/>
        <v>3.57844733934935</v>
      </c>
      <c r="M533" s="2713">
        <v>2.16425751181524</v>
      </c>
      <c r="N533" s="1129" t="s">
        <v>1087</v>
      </c>
    </row>
    <row r="534" s="2870" customFormat="1" ht="13.2" customHeight="1" spans="1:14">
      <c r="A534" s="2913" t="s">
        <v>1088</v>
      </c>
      <c r="B534" s="2772"/>
      <c r="C534" s="2772">
        <v>6.837</v>
      </c>
      <c r="D534" s="23" t="s">
        <v>1089</v>
      </c>
      <c r="E534" s="23" t="s">
        <v>1090</v>
      </c>
      <c r="F534" s="2713">
        <v>0.308649532602375</v>
      </c>
      <c r="G534" s="2713">
        <v>0.37037943912285</v>
      </c>
      <c r="H534" s="2713">
        <v>0.407417383035135</v>
      </c>
      <c r="I534" s="2713">
        <v>0.592450795912386</v>
      </c>
      <c r="J534" s="2713">
        <f t="shared" si="22"/>
        <v>0.622073335708005</v>
      </c>
      <c r="K534" s="22">
        <v>0.4</v>
      </c>
      <c r="L534" s="2714">
        <f t="shared" si="23"/>
        <v>1.42949071874314</v>
      </c>
      <c r="M534" s="2713">
        <v>0.538591632647624</v>
      </c>
      <c r="N534" s="38"/>
    </row>
    <row r="535" s="2870" customFormat="1" ht="13.2" customHeight="1" spans="1:14">
      <c r="A535" s="2913" t="s">
        <v>1091</v>
      </c>
      <c r="B535" s="777">
        <v>20250811</v>
      </c>
      <c r="C535" s="777">
        <v>6.837</v>
      </c>
      <c r="D535" s="777" t="s">
        <v>1092</v>
      </c>
      <c r="E535" s="777" t="s">
        <v>1093</v>
      </c>
      <c r="F535" s="2713">
        <v>3.4964874316505</v>
      </c>
      <c r="G535" s="2713">
        <v>4.1957849179806</v>
      </c>
      <c r="H535" s="2713">
        <v>4.61536340977866</v>
      </c>
      <c r="I535" s="2713">
        <v>13.2587545914459</v>
      </c>
      <c r="J535" s="2713">
        <f t="shared" si="22"/>
        <v>13.9216923210182</v>
      </c>
      <c r="K535" s="37">
        <v>3</v>
      </c>
      <c r="L535" s="2714">
        <f t="shared" si="23"/>
        <v>21.5370557307969</v>
      </c>
      <c r="M535" s="2713">
        <v>12.0534132649508</v>
      </c>
      <c r="N535" s="710" t="s">
        <v>1094</v>
      </c>
    </row>
    <row r="536" s="2870" customFormat="1" ht="13.2" customHeight="1" spans="1:14">
      <c r="A536" s="2913" t="s">
        <v>1091</v>
      </c>
      <c r="B536" s="777">
        <v>20250521</v>
      </c>
      <c r="C536" s="973">
        <v>6.837</v>
      </c>
      <c r="D536" s="777" t="s">
        <v>1095</v>
      </c>
      <c r="E536" s="777" t="s">
        <v>1096</v>
      </c>
      <c r="F536" s="2713">
        <v>0.070701032625286</v>
      </c>
      <c r="G536" s="2713">
        <v>0.0848412391503432</v>
      </c>
      <c r="H536" s="2713">
        <v>0.0933253630653775</v>
      </c>
      <c r="I536" s="2713">
        <v>0.0548783774251316</v>
      </c>
      <c r="J536" s="2713">
        <f t="shared" si="22"/>
        <v>0.0576222962963882</v>
      </c>
      <c r="K536" s="37">
        <v>0.2</v>
      </c>
      <c r="L536" s="2714">
        <f t="shared" si="23"/>
        <v>0.350947659361766</v>
      </c>
      <c r="M536" s="2713">
        <v>0.0498894340228469</v>
      </c>
      <c r="N536" s="710"/>
    </row>
    <row r="537" s="2870" customFormat="1" ht="13.2" customHeight="1" spans="1:14">
      <c r="A537" s="2913" t="s">
        <v>1097</v>
      </c>
      <c r="B537" s="1188">
        <v>46084</v>
      </c>
      <c r="C537" s="23">
        <v>6.837</v>
      </c>
      <c r="D537" s="23" t="s">
        <v>1098</v>
      </c>
      <c r="E537" s="20" t="s">
        <v>1099</v>
      </c>
      <c r="F537" s="2713">
        <f>6.4/C537/1.13</f>
        <v>0.828392103870015</v>
      </c>
      <c r="G537" s="2713">
        <v>0.994070524644018</v>
      </c>
      <c r="H537" s="2713">
        <v>1.09347757710842</v>
      </c>
      <c r="I537" s="2713">
        <v>6.98525002193945</v>
      </c>
      <c r="J537" s="2713">
        <f t="shared" si="22"/>
        <v>7.33451252303642</v>
      </c>
      <c r="K537" s="37">
        <f>3.3/C537</f>
        <v>0.482667836770513</v>
      </c>
      <c r="L537" s="2714">
        <f t="shared" si="23"/>
        <v>8.91065793691535</v>
      </c>
      <c r="M537" s="2713">
        <v>6.35022729267223</v>
      </c>
      <c r="N537" s="20"/>
    </row>
    <row r="538" s="2870" customFormat="1" ht="13.2" customHeight="1" spans="1:14">
      <c r="A538" s="2913" t="s">
        <v>1097</v>
      </c>
      <c r="B538" s="2907">
        <v>46127</v>
      </c>
      <c r="C538" s="2772">
        <v>6.837</v>
      </c>
      <c r="D538" s="176"/>
      <c r="E538" s="176" t="s">
        <v>1100</v>
      </c>
      <c r="F538" s="2713">
        <f>7.1/C538/1.1</f>
        <v>0.944061058146183</v>
      </c>
      <c r="G538" s="2713">
        <v>1.13287326977542</v>
      </c>
      <c r="H538" s="2713">
        <v>1.24616059675296</v>
      </c>
      <c r="I538" s="2713">
        <v>8.58</v>
      </c>
      <c r="J538" s="2713">
        <f t="shared" si="22"/>
        <v>9.009</v>
      </c>
      <c r="K538" s="2714">
        <f>5/C538</f>
        <v>0.731314904197748</v>
      </c>
      <c r="L538" s="2714">
        <f t="shared" si="23"/>
        <v>10.9864755009507</v>
      </c>
      <c r="M538" s="2713">
        <v>7.8</v>
      </c>
      <c r="N538" s="2918" t="s">
        <v>1101</v>
      </c>
    </row>
    <row r="539" s="2870" customFormat="1" ht="13.2" customHeight="1" spans="1:14">
      <c r="A539" s="2913" t="s">
        <v>1102</v>
      </c>
      <c r="B539" s="2772">
        <v>20250929</v>
      </c>
      <c r="C539" s="2772">
        <v>6.837</v>
      </c>
      <c r="D539" s="176" t="s">
        <v>1103</v>
      </c>
      <c r="E539" s="176" t="s">
        <v>1103</v>
      </c>
      <c r="F539" s="2713">
        <v>0.560466367720449</v>
      </c>
      <c r="G539" s="2713">
        <v>0.672559641264539</v>
      </c>
      <c r="H539" s="2713">
        <v>0.739815605390993</v>
      </c>
      <c r="I539" s="2713">
        <v>3.65642985372888</v>
      </c>
      <c r="J539" s="2713">
        <f t="shared" si="22"/>
        <v>3.83925134641532</v>
      </c>
      <c r="K539" s="2714">
        <v>0.4</v>
      </c>
      <c r="L539" s="2714">
        <f t="shared" si="23"/>
        <v>4.97906695180631</v>
      </c>
      <c r="M539" s="2713">
        <v>3.32402713975353</v>
      </c>
      <c r="N539" s="176"/>
    </row>
    <row r="540" s="2870" customFormat="1" ht="13.2" customHeight="1" spans="1:14">
      <c r="A540" s="2913" t="s">
        <v>1104</v>
      </c>
      <c r="B540" s="23">
        <v>20240724</v>
      </c>
      <c r="C540" s="23">
        <v>6.837</v>
      </c>
      <c r="D540" s="23" t="s">
        <v>1105</v>
      </c>
      <c r="E540" s="20" t="s">
        <v>1106</v>
      </c>
      <c r="F540" s="2713">
        <v>0.379214629535625</v>
      </c>
      <c r="G540" s="2713">
        <v>0.45505755544275</v>
      </c>
      <c r="H540" s="2713">
        <v>0.500563310987025</v>
      </c>
      <c r="I540" s="2713">
        <v>0.991093204037306</v>
      </c>
      <c r="J540" s="2713">
        <f t="shared" si="22"/>
        <v>1.04064786423917</v>
      </c>
      <c r="K540" s="37">
        <v>0.2</v>
      </c>
      <c r="L540" s="2714">
        <f t="shared" si="23"/>
        <v>1.74121117522619</v>
      </c>
      <c r="M540" s="2713">
        <v>0.900993821852096</v>
      </c>
      <c r="N540" s="23"/>
    </row>
    <row r="541" s="2870" customFormat="1" ht="13.2" customHeight="1" spans="1:14">
      <c r="A541" s="2913" t="s">
        <v>1097</v>
      </c>
      <c r="B541" s="23">
        <v>20251011</v>
      </c>
      <c r="C541" s="23">
        <v>6.837</v>
      </c>
      <c r="D541" s="23" t="s">
        <v>1107</v>
      </c>
      <c r="E541" s="20" t="s">
        <v>1108</v>
      </c>
      <c r="F541" s="2713">
        <v>0.952841189467512</v>
      </c>
      <c r="G541" s="2713">
        <v>1.14340942736101</v>
      </c>
      <c r="H541" s="2713">
        <v>1.25775037009711</v>
      </c>
      <c r="I541" s="2713">
        <v>8.61012959346386</v>
      </c>
      <c r="J541" s="2713">
        <f t="shared" si="22"/>
        <v>9.04063607313705</v>
      </c>
      <c r="K541" s="37">
        <v>2</v>
      </c>
      <c r="L541" s="2714">
        <f t="shared" si="23"/>
        <v>12.2983864432342</v>
      </c>
      <c r="M541" s="2713">
        <v>7.8273905395126</v>
      </c>
      <c r="N541" s="20"/>
    </row>
    <row r="542" s="2870" customFormat="1" ht="13.2" customHeight="1" spans="1:14">
      <c r="A542" s="2913" t="s">
        <v>1109</v>
      </c>
      <c r="B542" s="23">
        <v>20251011</v>
      </c>
      <c r="C542" s="23">
        <v>6.837</v>
      </c>
      <c r="D542" s="20" t="s">
        <v>1110</v>
      </c>
      <c r="E542" s="20" t="s">
        <v>1110</v>
      </c>
      <c r="F542" s="2713">
        <v>0.0437060928956313</v>
      </c>
      <c r="G542" s="2713">
        <v>0.0524473114747576</v>
      </c>
      <c r="H542" s="2713">
        <v>0.0576920426222334</v>
      </c>
      <c r="I542" s="2713">
        <v>0.145861061475078</v>
      </c>
      <c r="J542" s="2713">
        <f t="shared" si="22"/>
        <v>0.153154114548832</v>
      </c>
      <c r="K542" s="37">
        <v>0.2</v>
      </c>
      <c r="L542" s="2714">
        <f t="shared" si="23"/>
        <v>0.410846157171065</v>
      </c>
      <c r="M542" s="2713">
        <v>0.132600964977344</v>
      </c>
      <c r="N542" s="22"/>
    </row>
    <row r="543" s="2870" customFormat="1" ht="13.2" customHeight="1" spans="1:14">
      <c r="A543" s="2913" t="s">
        <v>537</v>
      </c>
      <c r="B543" s="2772">
        <v>20251022</v>
      </c>
      <c r="C543" s="2772">
        <v>6.7853</v>
      </c>
      <c r="D543" s="2772" t="s">
        <v>1111</v>
      </c>
      <c r="E543" s="176" t="s">
        <v>1112</v>
      </c>
      <c r="F543" s="2713">
        <f>2.73/C543/1.13</f>
        <v>0.356053410098275</v>
      </c>
      <c r="G543" s="2713">
        <v>0.42726409211793</v>
      </c>
      <c r="H543" s="2713">
        <v>0.469990501329723</v>
      </c>
      <c r="I543" s="2713">
        <v>1.595</v>
      </c>
      <c r="J543" s="2713">
        <f t="shared" si="22"/>
        <v>1.67475</v>
      </c>
      <c r="K543" s="2714">
        <f>2/C543/1.13</f>
        <v>0.260844989082985</v>
      </c>
      <c r="L543" s="2714">
        <f t="shared" si="23"/>
        <v>2.40558549041271</v>
      </c>
      <c r="M543" s="2713">
        <v>1.45</v>
      </c>
      <c r="N543" s="176"/>
    </row>
    <row r="544" s="2870" customFormat="1" ht="13.2" customHeight="1" spans="1:14">
      <c r="A544" s="2913" t="s">
        <v>537</v>
      </c>
      <c r="B544" s="23">
        <v>20250307</v>
      </c>
      <c r="C544" s="23">
        <v>6.837</v>
      </c>
      <c r="D544" s="23" t="s">
        <v>1113</v>
      </c>
      <c r="E544" s="20" t="s">
        <v>1114</v>
      </c>
      <c r="F544" s="2713">
        <v>0.0964104990344807</v>
      </c>
      <c r="G544" s="2713">
        <v>0.115692598841377</v>
      </c>
      <c r="H544" s="2713">
        <v>0.127261858725515</v>
      </c>
      <c r="I544" s="2713">
        <v>0.504799733952143</v>
      </c>
      <c r="J544" s="2713">
        <f t="shared" si="22"/>
        <v>0.53003972064975</v>
      </c>
      <c r="K544" s="37">
        <v>0.2</v>
      </c>
      <c r="L544" s="2714">
        <f t="shared" si="23"/>
        <v>0.857301579375265</v>
      </c>
      <c r="M544" s="2713">
        <v>0.458908849047403</v>
      </c>
      <c r="N544" s="20" t="s">
        <v>1115</v>
      </c>
    </row>
    <row r="545" s="2870" customFormat="1" ht="13.2" customHeight="1" spans="1:14">
      <c r="A545" s="2913" t="s">
        <v>537</v>
      </c>
      <c r="B545" s="23">
        <v>20250307</v>
      </c>
      <c r="C545" s="23">
        <v>6.837</v>
      </c>
      <c r="D545" s="23" t="s">
        <v>1116</v>
      </c>
      <c r="E545" s="20" t="s">
        <v>1117</v>
      </c>
      <c r="F545" s="2713">
        <v>0.386927469458382</v>
      </c>
      <c r="G545" s="2713">
        <v>0.464312963350058</v>
      </c>
      <c r="H545" s="2713">
        <v>0.510744259685064</v>
      </c>
      <c r="I545" s="2713">
        <v>0.908760061509731</v>
      </c>
      <c r="J545" s="2713">
        <f t="shared" si="22"/>
        <v>0.954198064585218</v>
      </c>
      <c r="K545" s="37">
        <v>0.2</v>
      </c>
      <c r="L545" s="2714">
        <f t="shared" si="23"/>
        <v>1.66494232427028</v>
      </c>
      <c r="M545" s="2713">
        <v>0.826145510463392</v>
      </c>
      <c r="N545" s="20" t="s">
        <v>1118</v>
      </c>
    </row>
    <row r="546" s="2870" customFormat="1" ht="13.2" customHeight="1" spans="1:14">
      <c r="A546" s="2913" t="s">
        <v>1119</v>
      </c>
      <c r="B546" s="2772">
        <v>20251104</v>
      </c>
      <c r="C546" s="2772">
        <v>6.837</v>
      </c>
      <c r="D546" s="2772" t="s">
        <v>1120</v>
      </c>
      <c r="E546" s="176" t="s">
        <v>1121</v>
      </c>
      <c r="F546" s="2713">
        <v>0.339364956601372</v>
      </c>
      <c r="G546" s="2713">
        <v>0.407237947921646</v>
      </c>
      <c r="H546" s="2713">
        <v>0.447961742713811</v>
      </c>
      <c r="I546" s="2713">
        <v>2.20898424723736</v>
      </c>
      <c r="J546" s="2713">
        <f t="shared" si="22"/>
        <v>2.31943345959923</v>
      </c>
      <c r="K546" s="2714">
        <v>0.2</v>
      </c>
      <c r="L546" s="2714">
        <f t="shared" si="23"/>
        <v>2.96739520231304</v>
      </c>
      <c r="M546" s="2713">
        <v>2.00816749748851</v>
      </c>
      <c r="N546" s="176" t="s">
        <v>63</v>
      </c>
    </row>
    <row r="547" s="2870" customFormat="1" ht="13.2" customHeight="1" spans="1:14">
      <c r="A547" s="2913" t="s">
        <v>1122</v>
      </c>
      <c r="B547" s="23">
        <v>20250714</v>
      </c>
      <c r="C547" s="2772">
        <v>6.837</v>
      </c>
      <c r="D547" s="23" t="s">
        <v>1123</v>
      </c>
      <c r="E547" s="23" t="s">
        <v>1124</v>
      </c>
      <c r="F547" s="2713">
        <v>0.333636801428612</v>
      </c>
      <c r="G547" s="2713">
        <v>0.400364161714334</v>
      </c>
      <c r="H547" s="2713">
        <v>0.440400577885767</v>
      </c>
      <c r="I547" s="2713">
        <v>1.70046916002252</v>
      </c>
      <c r="J547" s="2713">
        <f t="shared" si="22"/>
        <v>1.78549261802365</v>
      </c>
      <c r="K547" s="709">
        <v>0.2</v>
      </c>
      <c r="L547" s="2714">
        <f t="shared" si="23"/>
        <v>2.42589319590942</v>
      </c>
      <c r="M547" s="2713">
        <v>1.54588105456593</v>
      </c>
      <c r="N547" s="176"/>
    </row>
    <row r="548" s="2870" customFormat="1" ht="13.2" customHeight="1" spans="1:14">
      <c r="A548" s="2913" t="s">
        <v>1122</v>
      </c>
      <c r="B548" s="23">
        <v>20250714</v>
      </c>
      <c r="C548" s="2772">
        <v>6.837</v>
      </c>
      <c r="D548" s="23" t="s">
        <v>1125</v>
      </c>
      <c r="E548" s="23" t="s">
        <v>1126</v>
      </c>
      <c r="F548" s="2713">
        <f>0.23776415733993*1.2</f>
        <v>0.285316988807916</v>
      </c>
      <c r="G548" s="2713">
        <v>0.342380386569499</v>
      </c>
      <c r="H548" s="2713">
        <v>0.52</v>
      </c>
      <c r="I548" s="2713">
        <v>0.99</v>
      </c>
      <c r="J548" s="2713">
        <f t="shared" si="22"/>
        <v>1.0395</v>
      </c>
      <c r="K548" s="709">
        <v>0.4</v>
      </c>
      <c r="L548" s="2714">
        <f t="shared" si="23"/>
        <v>1.9595</v>
      </c>
      <c r="M548" s="2713">
        <v>0.9</v>
      </c>
      <c r="N548" s="176"/>
    </row>
    <row r="549" s="2870" customFormat="1" ht="13.2" customHeight="1" spans="1:14">
      <c r="A549" s="2913" t="s">
        <v>1122</v>
      </c>
      <c r="B549" s="23">
        <v>20251105</v>
      </c>
      <c r="C549" s="2772">
        <v>6.8215</v>
      </c>
      <c r="D549" s="23" t="s">
        <v>1127</v>
      </c>
      <c r="E549" s="23" t="s">
        <v>1128</v>
      </c>
      <c r="F549" s="2713">
        <v>0.393354836060682</v>
      </c>
      <c r="G549" s="2713">
        <v>0.472025803272818</v>
      </c>
      <c r="H549" s="2713">
        <v>0.5192283836001</v>
      </c>
      <c r="I549" s="2713">
        <v>5.687</v>
      </c>
      <c r="J549" s="2713">
        <f t="shared" si="22"/>
        <v>5.97135</v>
      </c>
      <c r="K549" s="709">
        <v>0.4</v>
      </c>
      <c r="L549" s="2714">
        <f t="shared" si="23"/>
        <v>6.8905783836001</v>
      </c>
      <c r="M549" s="2713">
        <v>5.17</v>
      </c>
      <c r="N549" s="176" t="s">
        <v>1129</v>
      </c>
    </row>
    <row r="550" s="2870" customFormat="1" ht="13.2" customHeight="1" spans="1:14">
      <c r="A550" s="2733" t="s">
        <v>682</v>
      </c>
      <c r="B550" s="2883">
        <v>46080</v>
      </c>
      <c r="C550" s="2899">
        <v>6.837</v>
      </c>
      <c r="D550" s="2711" t="s">
        <v>1130</v>
      </c>
      <c r="E550" s="2712" t="s">
        <v>1131</v>
      </c>
      <c r="F550" s="2713">
        <f>4.35/C550/1.13</f>
        <v>0.563047758099151</v>
      </c>
      <c r="G550" s="2713">
        <v>0.675657309718981</v>
      </c>
      <c r="H550" s="2713">
        <v>0.743223040690879</v>
      </c>
      <c r="I550" s="2713">
        <v>3.1</v>
      </c>
      <c r="J550" s="2713">
        <f t="shared" si="22"/>
        <v>3.255</v>
      </c>
      <c r="K550" s="2714">
        <f>3.32/C550/1.13</f>
        <v>0.42972840388257</v>
      </c>
      <c r="L550" s="2714">
        <f t="shared" si="23"/>
        <v>4.42795144457345</v>
      </c>
      <c r="M550" s="2713">
        <v>3.13</v>
      </c>
      <c r="N550" s="2919"/>
    </row>
    <row r="551" s="2870" customFormat="1" ht="13.2" customHeight="1" spans="1:14">
      <c r="A551" s="2913" t="s">
        <v>1132</v>
      </c>
      <c r="B551" s="1188">
        <v>46081</v>
      </c>
      <c r="C551" s="2772">
        <v>6.837</v>
      </c>
      <c r="D551" s="23" t="s">
        <v>1133</v>
      </c>
      <c r="E551" s="23" t="s">
        <v>1133</v>
      </c>
      <c r="F551" s="2713">
        <f>2.05/C551/1.13</f>
        <v>0.265344345770864</v>
      </c>
      <c r="G551" s="2713">
        <v>0.318413214925037</v>
      </c>
      <c r="H551" s="2713">
        <v>0.350254536417541</v>
      </c>
      <c r="I551" s="2713">
        <v>0.664150943396226</v>
      </c>
      <c r="J551" s="2713">
        <f t="shared" si="22"/>
        <v>0.697358490566037</v>
      </c>
      <c r="K551" s="709">
        <f>1.6/C551/1.13</f>
        <v>0.207098025967504</v>
      </c>
      <c r="L551" s="2714">
        <f t="shared" si="23"/>
        <v>1.25471105295108</v>
      </c>
      <c r="M551" s="2713">
        <v>0.60377358490566</v>
      </c>
      <c r="N551" s="2918"/>
    </row>
    <row r="552" s="2870" customFormat="1" ht="13.2" customHeight="1" spans="1:14">
      <c r="A552" s="2913" t="s">
        <v>1122</v>
      </c>
      <c r="B552" s="23">
        <v>20250714</v>
      </c>
      <c r="C552" s="2772">
        <v>6.837</v>
      </c>
      <c r="D552" s="23" t="s">
        <v>1125</v>
      </c>
      <c r="E552" s="23" t="s">
        <v>1126</v>
      </c>
      <c r="F552" s="2713">
        <v>9.95341992031979</v>
      </c>
      <c r="G552" s="2713">
        <v>11.9441039043837</v>
      </c>
      <c r="H552" s="2713">
        <v>13.1385142948221</v>
      </c>
      <c r="I552" s="2713">
        <v>0.99</v>
      </c>
      <c r="J552" s="2713">
        <f t="shared" si="22"/>
        <v>1.0395</v>
      </c>
      <c r="K552" s="709">
        <v>0.4</v>
      </c>
      <c r="L552" s="2714">
        <f t="shared" si="23"/>
        <v>14.5780142948221</v>
      </c>
      <c r="M552" s="2713">
        <v>0.9</v>
      </c>
      <c r="N552" s="2918" t="s">
        <v>1134</v>
      </c>
    </row>
    <row r="553" s="2870" customFormat="1" ht="13.2" customHeight="1" spans="1:14">
      <c r="A553" s="2913" t="s">
        <v>1122</v>
      </c>
      <c r="B553" s="23">
        <v>20251105</v>
      </c>
      <c r="C553" s="2772">
        <v>6.837</v>
      </c>
      <c r="D553" s="23" t="s">
        <v>1127</v>
      </c>
      <c r="E553" s="23" t="s">
        <v>1128</v>
      </c>
      <c r="F553" s="2713">
        <v>9.95341992031979</v>
      </c>
      <c r="G553" s="2713">
        <v>11.9441039043837</v>
      </c>
      <c r="H553" s="2713">
        <v>13.1385142948221</v>
      </c>
      <c r="I553" s="2713">
        <v>5.68869771240933</v>
      </c>
      <c r="J553" s="2713">
        <f t="shared" si="22"/>
        <v>5.9731325980298</v>
      </c>
      <c r="K553" s="709">
        <v>0.4</v>
      </c>
      <c r="L553" s="2714">
        <f t="shared" si="23"/>
        <v>19.5116468928519</v>
      </c>
      <c r="M553" s="2713">
        <v>5.17154337491757</v>
      </c>
      <c r="N553" s="2918" t="s">
        <v>1134</v>
      </c>
    </row>
    <row r="554" s="2870" customFormat="1" ht="13.2" customHeight="1" spans="1:14">
      <c r="A554" s="2913" t="s">
        <v>1135</v>
      </c>
      <c r="B554" s="2772">
        <v>20251113</v>
      </c>
      <c r="C554" s="23">
        <v>6.837</v>
      </c>
      <c r="D554" s="21"/>
      <c r="E554" s="20" t="s">
        <v>1136</v>
      </c>
      <c r="F554" s="2713">
        <v>0.179966264864364</v>
      </c>
      <c r="G554" s="2713">
        <v>0.215959517837237</v>
      </c>
      <c r="H554" s="2713">
        <v>0.237555469620961</v>
      </c>
      <c r="I554" s="2713">
        <v>2.76487776293756</v>
      </c>
      <c r="J554" s="2713">
        <f t="shared" si="22"/>
        <v>2.90312165108444</v>
      </c>
      <c r="K554" s="37">
        <v>0.5</v>
      </c>
      <c r="L554" s="2714">
        <f t="shared" si="23"/>
        <v>3.6406771207054</v>
      </c>
      <c r="M554" s="2713">
        <v>2.51352523903415</v>
      </c>
      <c r="N554" s="23"/>
    </row>
    <row r="555" s="2870" customFormat="1" ht="13.2" customHeight="1" spans="1:14">
      <c r="A555" s="2913" t="s">
        <v>1137</v>
      </c>
      <c r="B555" s="2772">
        <v>20251118</v>
      </c>
      <c r="C555" s="23">
        <v>6.837</v>
      </c>
      <c r="D555" s="21" t="s">
        <v>1138</v>
      </c>
      <c r="E555" s="20" t="s">
        <v>1139</v>
      </c>
      <c r="F555" s="2713">
        <v>0.434489982315394</v>
      </c>
      <c r="G555" s="2713">
        <v>0.521387978778473</v>
      </c>
      <c r="H555" s="2713">
        <v>0.57352677665632</v>
      </c>
      <c r="I555" s="2713">
        <v>3.09925872799957</v>
      </c>
      <c r="J555" s="2713">
        <f t="shared" si="22"/>
        <v>3.25422166439955</v>
      </c>
      <c r="K555" s="37">
        <v>0.5</v>
      </c>
      <c r="L555" s="2714">
        <f t="shared" si="23"/>
        <v>4.32774844105587</v>
      </c>
      <c r="M555" s="2713">
        <v>2.81750793454506</v>
      </c>
      <c r="N555" s="2918" t="s">
        <v>1140</v>
      </c>
    </row>
    <row r="556" s="2870" customFormat="1" ht="13.2" customHeight="1" spans="1:14">
      <c r="A556" s="2913" t="s">
        <v>1067</v>
      </c>
      <c r="B556" s="2772">
        <v>20251119</v>
      </c>
      <c r="C556" s="2772">
        <v>6.837</v>
      </c>
      <c r="D556" s="917" t="s">
        <v>1141</v>
      </c>
      <c r="E556" s="917" t="s">
        <v>1142</v>
      </c>
      <c r="F556" s="2713">
        <f>0.243983777879829*1.15</f>
        <v>0.280581344561803</v>
      </c>
      <c r="G556" s="2713">
        <f>0.336697613474164*1.3</f>
        <v>0.437706897516413</v>
      </c>
      <c r="H556" s="2713">
        <v>0.481477587268054</v>
      </c>
      <c r="I556" s="2713">
        <v>0.442780166739798</v>
      </c>
      <c r="J556" s="2713">
        <f t="shared" si="22"/>
        <v>0.464919175076788</v>
      </c>
      <c r="K556" s="37">
        <v>0.2</v>
      </c>
      <c r="L556" s="2714">
        <f t="shared" si="23"/>
        <v>1.14639676234484</v>
      </c>
      <c r="M556" s="2713">
        <v>0.402527424308907</v>
      </c>
      <c r="N556" s="176"/>
    </row>
    <row r="557" s="2870" customFormat="1" ht="13.2" customHeight="1" spans="1:14">
      <c r="A557" s="2913" t="s">
        <v>1067</v>
      </c>
      <c r="B557" s="2772">
        <v>20251119</v>
      </c>
      <c r="C557" s="2772">
        <v>6.837</v>
      </c>
      <c r="D557" s="917" t="s">
        <v>1143</v>
      </c>
      <c r="E557" s="917" t="s">
        <v>1144</v>
      </c>
      <c r="F557" s="2713">
        <v>0.199248364671261</v>
      </c>
      <c r="G557" s="2713">
        <v>0.239098037605513</v>
      </c>
      <c r="H557" s="2713">
        <v>0.263007841366064</v>
      </c>
      <c r="I557" s="2713">
        <v>5.04564426068548</v>
      </c>
      <c r="J557" s="2713">
        <f t="shared" si="22"/>
        <v>5.29792647371975</v>
      </c>
      <c r="K557" s="2714">
        <v>0.5</v>
      </c>
      <c r="L557" s="2714">
        <f t="shared" si="23"/>
        <v>6.06093431508581</v>
      </c>
      <c r="M557" s="2713">
        <v>4.58694932789589</v>
      </c>
      <c r="N557" s="176" t="s">
        <v>1145</v>
      </c>
    </row>
    <row r="558" s="2870" customFormat="1" ht="13.2" customHeight="1" spans="1:14">
      <c r="A558" s="2913" t="s">
        <v>236</v>
      </c>
      <c r="B558" s="2772">
        <v>20251121</v>
      </c>
      <c r="C558" s="2772">
        <v>6.837</v>
      </c>
      <c r="D558" s="917" t="s">
        <v>1146</v>
      </c>
      <c r="E558" s="917" t="s">
        <v>1147</v>
      </c>
      <c r="F558" s="2713">
        <f>3.65/C558/1.13</f>
        <v>0.472442371738368</v>
      </c>
      <c r="G558" s="2713">
        <v>0.566930846086042</v>
      </c>
      <c r="H558" s="2713">
        <f>6/6.7/1.13</f>
        <v>0.792497688548409</v>
      </c>
      <c r="I558" s="2713">
        <v>3.32683466509063</v>
      </c>
      <c r="J558" s="2713">
        <v>3.3</v>
      </c>
      <c r="K558" s="2714">
        <v>0.4</v>
      </c>
      <c r="L558" s="2714">
        <f t="shared" si="23"/>
        <v>4.49249768854841</v>
      </c>
      <c r="M558" s="2713">
        <v>3.02439515008239</v>
      </c>
      <c r="N558" s="176"/>
    </row>
    <row r="559" s="2870" customFormat="1" ht="13.2" customHeight="1" spans="1:14">
      <c r="A559" s="2913" t="s">
        <v>41</v>
      </c>
      <c r="B559" s="2772">
        <v>20251124</v>
      </c>
      <c r="C559" s="2772">
        <v>6.78</v>
      </c>
      <c r="D559" s="176" t="s">
        <v>1148</v>
      </c>
      <c r="E559" s="2845" t="s">
        <v>1149</v>
      </c>
      <c r="F559" s="2713">
        <v>0.398889613441873</v>
      </c>
      <c r="G559" s="2713">
        <v>0.478667536130248</v>
      </c>
      <c r="H559" s="2713">
        <f>5.42/C559/1.13</f>
        <v>0.707442503980996</v>
      </c>
      <c r="I559" s="2713">
        <v>2.79473318879499</v>
      </c>
      <c r="J559" s="2713">
        <f t="shared" si="22"/>
        <v>2.93446984823474</v>
      </c>
      <c r="K559" s="2713">
        <v>0.4</v>
      </c>
      <c r="L559" s="2714">
        <f t="shared" si="23"/>
        <v>4.04191235221574</v>
      </c>
      <c r="M559" s="2713">
        <v>2.54066653526817</v>
      </c>
      <c r="N559" s="176"/>
    </row>
    <row r="560" s="2870" customFormat="1" ht="13.2" customHeight="1" spans="1:14">
      <c r="A560" s="2913" t="s">
        <v>41</v>
      </c>
      <c r="B560" s="2772">
        <v>20251124</v>
      </c>
      <c r="C560" s="2772">
        <v>6.837</v>
      </c>
      <c r="D560" s="176" t="s">
        <v>1150</v>
      </c>
      <c r="E560" s="2845" t="s">
        <v>1151</v>
      </c>
      <c r="F560" s="2713">
        <v>0.398889613441873</v>
      </c>
      <c r="G560" s="2713">
        <v>0.478667536130248</v>
      </c>
      <c r="H560" s="2713">
        <v>0.526534289743273</v>
      </c>
      <c r="I560" s="2713">
        <v>2.83656807078275</v>
      </c>
      <c r="J560" s="2713">
        <f t="shared" si="22"/>
        <v>2.97839647432189</v>
      </c>
      <c r="K560" s="2713">
        <v>0.4</v>
      </c>
      <c r="L560" s="2714">
        <f t="shared" si="23"/>
        <v>3.90493076406516</v>
      </c>
      <c r="M560" s="2713">
        <v>2.57869824616614</v>
      </c>
      <c r="N560" s="176"/>
    </row>
    <row r="561" s="2870" customFormat="1" ht="13.2" customHeight="1" spans="1:15">
      <c r="A561" s="2914" t="s">
        <v>1152</v>
      </c>
      <c r="B561" s="2847">
        <v>20251124</v>
      </c>
      <c r="C561" s="2772">
        <v>6.837</v>
      </c>
      <c r="D561" s="1820" t="s">
        <v>1153</v>
      </c>
      <c r="E561" s="1820" t="s">
        <v>1154</v>
      </c>
      <c r="F561" s="2713">
        <v>0.493125670986393</v>
      </c>
      <c r="G561" s="2713">
        <v>0.591750805183672</v>
      </c>
      <c r="H561" s="2888">
        <v>0.650925885702039</v>
      </c>
      <c r="I561" s="2888">
        <v>2.2574071051431</v>
      </c>
      <c r="J561" s="2713">
        <f t="shared" si="22"/>
        <v>2.37027746040026</v>
      </c>
      <c r="K561" s="794">
        <v>0.4</v>
      </c>
      <c r="L561" s="2714">
        <f t="shared" si="23"/>
        <v>3.4212033461023</v>
      </c>
      <c r="M561" s="2713">
        <v>2.05218827740282</v>
      </c>
      <c r="N561" s="2901"/>
    </row>
    <row r="562" s="2870" customFormat="1" ht="13.2" customHeight="1" spans="1:15">
      <c r="A562" s="2914" t="s">
        <v>1152</v>
      </c>
      <c r="B562" s="2920">
        <v>46056</v>
      </c>
      <c r="C562" s="2772">
        <v>6.837</v>
      </c>
      <c r="D562" s="1820" t="s">
        <v>1153</v>
      </c>
      <c r="E562" s="1820" t="s">
        <v>1155</v>
      </c>
      <c r="F562" s="2713">
        <v>0.503159280386134</v>
      </c>
      <c r="G562" s="2713">
        <v>0.603791136463361</v>
      </c>
      <c r="H562" s="2713">
        <v>0.664170250109697</v>
      </c>
      <c r="I562" s="2713">
        <v>0.894415936814392</v>
      </c>
      <c r="J562" s="2713">
        <f t="shared" si="22"/>
        <v>0.939136733655112</v>
      </c>
      <c r="K562" s="794">
        <v>0.4</v>
      </c>
      <c r="L562" s="2714">
        <f t="shared" si="23"/>
        <v>2.00330698376481</v>
      </c>
      <c r="M562" s="2713">
        <v>0.813105397103993</v>
      </c>
      <c r="N562" s="2918" t="s">
        <v>1156</v>
      </c>
    </row>
    <row r="563" s="2870" customFormat="1" ht="13.2" customHeight="1" spans="1:15">
      <c r="A563" s="2913" t="s">
        <v>1152</v>
      </c>
      <c r="B563" s="23">
        <v>20240927</v>
      </c>
      <c r="C563" s="23">
        <v>6.837</v>
      </c>
      <c r="D563" s="23" t="s">
        <v>1157</v>
      </c>
      <c r="E563" s="20" t="s">
        <v>1158</v>
      </c>
      <c r="F563" s="2713">
        <v>0.502128376744478</v>
      </c>
      <c r="G563" s="2713">
        <v>0.602554052093374</v>
      </c>
      <c r="H563" s="2713">
        <v>0.662809457302711</v>
      </c>
      <c r="I563" s="2713">
        <v>1.91690377142737</v>
      </c>
      <c r="J563" s="2713">
        <v>1.63</v>
      </c>
      <c r="K563" s="774">
        <v>0.4</v>
      </c>
      <c r="L563" s="2714">
        <f t="shared" si="23"/>
        <v>2.69280945730271</v>
      </c>
      <c r="M563" s="2713">
        <v>1.7426397922067</v>
      </c>
      <c r="N563" s="176"/>
    </row>
    <row r="564" s="2870" customFormat="1" ht="13.2" customHeight="1" spans="1:15">
      <c r="A564" s="2913" t="s">
        <v>1152</v>
      </c>
      <c r="B564" s="23">
        <v>20240927</v>
      </c>
      <c r="C564" s="23">
        <v>6.837</v>
      </c>
      <c r="D564" s="23" t="s">
        <v>1159</v>
      </c>
      <c r="E564" s="20" t="s">
        <v>1160</v>
      </c>
      <c r="F564" s="2713">
        <v>0.502128376744478</v>
      </c>
      <c r="G564" s="2713">
        <v>0.602554052093374</v>
      </c>
      <c r="H564" s="2713">
        <v>0.662809457302711</v>
      </c>
      <c r="I564" s="2713">
        <v>3.16762901173083</v>
      </c>
      <c r="J564" s="2713">
        <f t="shared" si="22"/>
        <v>3.32601046231737</v>
      </c>
      <c r="K564" s="774">
        <v>0.4</v>
      </c>
      <c r="L564" s="2714">
        <f t="shared" si="23"/>
        <v>4.38881991962008</v>
      </c>
      <c r="M564" s="2713">
        <v>2.87966273793712</v>
      </c>
      <c r="N564" s="176"/>
    </row>
    <row r="565" s="2870" customFormat="1" ht="13.2" customHeight="1" spans="1:15">
      <c r="A565" s="2913" t="s">
        <v>41</v>
      </c>
      <c r="B565" s="2907">
        <v>46055</v>
      </c>
      <c r="C565" s="2772">
        <v>6.837</v>
      </c>
      <c r="D565" s="1758" t="s">
        <v>1161</v>
      </c>
      <c r="E565" s="2845" t="s">
        <v>1162</v>
      </c>
      <c r="F565" s="2713">
        <v>0.39145202496749</v>
      </c>
      <c r="G565" s="2713">
        <v>0.469742429960988</v>
      </c>
      <c r="H565" s="2713">
        <v>0.516716672957087</v>
      </c>
      <c r="I565" s="2713">
        <v>2.78620738375051</v>
      </c>
      <c r="J565" s="2713">
        <f t="shared" si="22"/>
        <v>2.92551775293804</v>
      </c>
      <c r="K565" s="2713">
        <f>2.77/C565</f>
        <v>0.405148456925552</v>
      </c>
      <c r="L565" s="2714">
        <f t="shared" si="23"/>
        <v>3.84738288282068</v>
      </c>
      <c r="M565" s="2713">
        <v>2.53291580340955</v>
      </c>
      <c r="N565" s="176"/>
    </row>
    <row r="566" s="2870" customFormat="1" ht="13.2" customHeight="1" spans="1:15">
      <c r="A566" s="2913" t="s">
        <v>1122</v>
      </c>
      <c r="B566" s="2772">
        <v>20251126</v>
      </c>
      <c r="C566" s="2772">
        <v>6.837</v>
      </c>
      <c r="D566" s="1758" t="s">
        <v>1163</v>
      </c>
      <c r="E566" s="2845" t="s">
        <v>1164</v>
      </c>
      <c r="F566" s="2713">
        <f>4.3/C566/1.13</f>
        <v>0.556575944787666</v>
      </c>
      <c r="G566" s="2713">
        <v>0.667891133745199</v>
      </c>
      <c r="H566" s="2713">
        <v>0.734680247119719</v>
      </c>
      <c r="I566" s="2713">
        <v>5.8900427900545</v>
      </c>
      <c r="J566" s="2713">
        <f t="shared" si="22"/>
        <v>6.18454492955723</v>
      </c>
      <c r="K566" s="2713">
        <f>3/C566</f>
        <v>0.438788942518649</v>
      </c>
      <c r="L566" s="2714">
        <f t="shared" si="23"/>
        <v>7.3580141191956</v>
      </c>
      <c r="M566" s="2713">
        <v>5.354584354595</v>
      </c>
      <c r="N566" s="2918" t="s">
        <v>1165</v>
      </c>
    </row>
    <row r="567" s="2870" customFormat="1" ht="13.2" customHeight="1" spans="1:15">
      <c r="A567" s="2913" t="s">
        <v>1122</v>
      </c>
      <c r="B567" s="2772">
        <v>20251126</v>
      </c>
      <c r="C567" s="2772">
        <v>6.837</v>
      </c>
      <c r="D567" s="1758" t="s">
        <v>1166</v>
      </c>
      <c r="E567" s="2845" t="s">
        <v>1167</v>
      </c>
      <c r="F567" s="2713">
        <v>0.241720619362379</v>
      </c>
      <c r="G567" s="2713">
        <v>0.290064743234855</v>
      </c>
      <c r="H567" s="2713">
        <v>0.319071217558341</v>
      </c>
      <c r="I567" s="2713">
        <v>0.924938306274682</v>
      </c>
      <c r="J567" s="2713">
        <f t="shared" si="22"/>
        <v>0.971185221588416</v>
      </c>
      <c r="K567" s="2713">
        <f>1.2/C567</f>
        <v>0.175515577007459</v>
      </c>
      <c r="L567" s="2714">
        <f t="shared" si="23"/>
        <v>1.46577201615422</v>
      </c>
      <c r="M567" s="2713">
        <v>0.840853005704256</v>
      </c>
      <c r="N567" s="176"/>
    </row>
    <row r="568" s="2870" customFormat="1" ht="13.2" customHeight="1" spans="1:15">
      <c r="A568" s="2913" t="s">
        <v>1122</v>
      </c>
      <c r="B568" s="2772">
        <v>20251126</v>
      </c>
      <c r="C568" s="2772">
        <v>6.837</v>
      </c>
      <c r="D568" s="1758" t="s">
        <v>1163</v>
      </c>
      <c r="E568" s="2845" t="s">
        <v>1164</v>
      </c>
      <c r="F568" s="2713">
        <v>9.99547662420847</v>
      </c>
      <c r="G568" s="2713">
        <v>11.9945719490502</v>
      </c>
      <c r="H568" s="2713">
        <v>13.1940291439552</v>
      </c>
      <c r="I568" s="2713">
        <v>5.85075542910213</v>
      </c>
      <c r="J568" s="2713">
        <f t="shared" si="22"/>
        <v>6.14329320055724</v>
      </c>
      <c r="K568" s="2713">
        <v>0.4</v>
      </c>
      <c r="L568" s="2714">
        <f t="shared" si="23"/>
        <v>19.7373223445124</v>
      </c>
      <c r="M568" s="2713">
        <v>5.31886857191103</v>
      </c>
      <c r="N568" s="2921" t="s">
        <v>1168</v>
      </c>
    </row>
    <row r="569" s="2870" customFormat="1" ht="13.2" customHeight="1" spans="1:15">
      <c r="A569" s="2913" t="s">
        <v>1122</v>
      </c>
      <c r="B569" s="2772">
        <v>20251126</v>
      </c>
      <c r="C569" s="2772">
        <v>6.837</v>
      </c>
      <c r="D569" s="1758" t="s">
        <v>1166</v>
      </c>
      <c r="E569" s="2845" t="s">
        <v>1167</v>
      </c>
      <c r="F569" s="2713">
        <v>9.99547662420847</v>
      </c>
      <c r="G569" s="2713">
        <v>11.9945719490502</v>
      </c>
      <c r="H569" s="2713">
        <v>13.1940291439552</v>
      </c>
      <c r="I569" s="2713">
        <v>0.909799010256632</v>
      </c>
      <c r="J569" s="2713">
        <f t="shared" si="22"/>
        <v>0.955288960769464</v>
      </c>
      <c r="K569" s="2713">
        <v>0.4</v>
      </c>
      <c r="L569" s="2714">
        <f t="shared" si="23"/>
        <v>14.5493181047247</v>
      </c>
      <c r="M569" s="2713">
        <v>0.827090009324211</v>
      </c>
      <c r="N569" s="2921" t="s">
        <v>1169</v>
      </c>
    </row>
    <row r="570" s="2870" customFormat="1" ht="13.2" customHeight="1" spans="1:15">
      <c r="A570" s="2913" t="s">
        <v>236</v>
      </c>
      <c r="B570" s="2772">
        <v>20251128</v>
      </c>
      <c r="C570" s="2772">
        <v>6.837</v>
      </c>
      <c r="D570" s="917" t="s">
        <v>1170</v>
      </c>
      <c r="E570" s="917" t="s">
        <v>1171</v>
      </c>
      <c r="F570" s="2713">
        <v>0.547343676696938</v>
      </c>
      <c r="G570" s="2713">
        <f>0.656812412036326+4/6.78/1.13</f>
        <v>1.17891020095219</v>
      </c>
      <c r="H570" s="2713">
        <v>1.29680122104741</v>
      </c>
      <c r="I570" s="2713">
        <v>3.40400950626327</v>
      </c>
      <c r="J570" s="2713">
        <f t="shared" si="22"/>
        <v>3.57420998157643</v>
      </c>
      <c r="K570" s="2714">
        <v>0.4</v>
      </c>
      <c r="L570" s="2714">
        <f t="shared" si="23"/>
        <v>5.27101120262384</v>
      </c>
      <c r="M570" s="2713">
        <v>3.09455409660297</v>
      </c>
      <c r="N570" s="176"/>
    </row>
    <row r="571" s="2870" customFormat="1" ht="13.2" customHeight="1" spans="1:15">
      <c r="A571" s="730" t="s">
        <v>768</v>
      </c>
      <c r="B571" s="2772">
        <v>20251202</v>
      </c>
      <c r="C571" s="2772">
        <v>6.837</v>
      </c>
      <c r="D571" s="2772" t="s">
        <v>1172</v>
      </c>
      <c r="E571" s="176" t="s">
        <v>1173</v>
      </c>
      <c r="F571" s="2713">
        <v>0.176853971008209</v>
      </c>
      <c r="G571" s="2713">
        <v>0.212224765209851</v>
      </c>
      <c r="H571" s="2713">
        <v>0.233447241730836</v>
      </c>
      <c r="I571" s="2713">
        <v>0.339619286565022</v>
      </c>
      <c r="J571" s="2713">
        <f t="shared" si="22"/>
        <v>0.356600250893273</v>
      </c>
      <c r="K571" s="2714">
        <v>0.2</v>
      </c>
      <c r="L571" s="2714">
        <f t="shared" si="23"/>
        <v>0.790047492624109</v>
      </c>
      <c r="M571" s="2713">
        <v>0.308744805968202</v>
      </c>
      <c r="N571" s="176"/>
    </row>
    <row r="572" s="2870" customFormat="1" ht="13.2" customHeight="1" spans="1:15">
      <c r="A572" s="730" t="s">
        <v>41</v>
      </c>
      <c r="B572" s="2772">
        <v>20251204</v>
      </c>
      <c r="C572" s="2772">
        <v>6.7739</v>
      </c>
      <c r="D572" s="2772" t="s">
        <v>1174</v>
      </c>
      <c r="E572" s="176" t="s">
        <v>1175</v>
      </c>
      <c r="F572" s="2713">
        <f>8.38/C572/1.13</f>
        <v>1.09477984669685</v>
      </c>
      <c r="G572" s="2713">
        <v>1.31373581603622</v>
      </c>
      <c r="H572" s="2713">
        <v>1.44510939763984</v>
      </c>
      <c r="I572" s="2713">
        <v>1.91401273619133</v>
      </c>
      <c r="J572" s="2713">
        <f t="shared" si="22"/>
        <v>2.0097133730009</v>
      </c>
      <c r="K572" s="2714">
        <v>0.4</v>
      </c>
      <c r="L572" s="2714">
        <f t="shared" si="23"/>
        <v>3.85482277064074</v>
      </c>
      <c r="M572" s="2713">
        <f>1.58182870759614*1.1</f>
        <v>1.74001157835575</v>
      </c>
      <c r="N572" s="2901" t="s">
        <v>1176</v>
      </c>
    </row>
    <row r="573" s="2870" customFormat="1" ht="13.2" customHeight="1" spans="1:15">
      <c r="A573" s="2776" t="s">
        <v>41</v>
      </c>
      <c r="B573" s="2866">
        <v>46286</v>
      </c>
      <c r="C573" s="2774">
        <v>6.7</v>
      </c>
      <c r="D573" s="2774" t="s">
        <v>1174</v>
      </c>
      <c r="E573" s="2816" t="s">
        <v>1175</v>
      </c>
      <c r="F573" s="2713">
        <f>8.38/C573/1.13</f>
        <v>1.10685510500594</v>
      </c>
      <c r="G573" s="2713">
        <v>1.31373581603622</v>
      </c>
      <c r="H573" s="2818">
        <f>18.54/C573/1.13</f>
        <v>2.44881785761458</v>
      </c>
      <c r="I573" s="2713"/>
      <c r="J573" s="2818">
        <v>1.63</v>
      </c>
      <c r="K573" s="2735">
        <v>0.4</v>
      </c>
      <c r="L573" s="2735">
        <f t="shared" si="23"/>
        <v>4.47881785761458</v>
      </c>
      <c r="M573" s="2713">
        <f>1.58182870759614*1.1</f>
        <v>1.74001157835575</v>
      </c>
      <c r="N573" s="2922" t="s">
        <v>1177</v>
      </c>
    </row>
    <row r="574" s="2870" customFormat="1" ht="13.2" customHeight="1" spans="1:15">
      <c r="A574" s="2913" t="s">
        <v>236</v>
      </c>
      <c r="B574" s="2711">
        <v>20251208</v>
      </c>
      <c r="C574" s="2711">
        <v>6.837</v>
      </c>
      <c r="D574" s="2772" t="s">
        <v>1178</v>
      </c>
      <c r="E574" s="926" t="s">
        <v>1179</v>
      </c>
      <c r="F574" s="2713">
        <f>2.85/C574/1.13</f>
        <v>0.368893358754616</v>
      </c>
      <c r="G574" s="2713">
        <v>0.442672030505539</v>
      </c>
      <c r="H574" s="2713">
        <v>0.486939233556093</v>
      </c>
      <c r="I574" s="2713">
        <v>1.80323861818345</v>
      </c>
      <c r="J574" s="2713">
        <f t="shared" ref="J574:J582" si="24">I574*1.05</f>
        <v>1.89340054909262</v>
      </c>
      <c r="K574" s="2714">
        <v>0.2</v>
      </c>
      <c r="L574" s="2714">
        <f t="shared" si="23"/>
        <v>2.58033978264871</v>
      </c>
      <c r="M574" s="2713">
        <v>1.63930783471223</v>
      </c>
      <c r="N574" s="176" t="s">
        <v>1180</v>
      </c>
      <c r="O574" s="2870">
        <f>2.89*1.5/6.75/1.13</f>
        <v>0.568338249754179</v>
      </c>
    </row>
    <row r="575" s="2870" customFormat="1" ht="13.2" customHeight="1" spans="1:15">
      <c r="A575" s="2884" t="s">
        <v>1181</v>
      </c>
      <c r="B575" s="2886" t="s">
        <v>1182</v>
      </c>
      <c r="C575" s="2886">
        <v>6.75</v>
      </c>
      <c r="D575" s="2886" t="s">
        <v>1183</v>
      </c>
      <c r="E575" s="2886" t="s">
        <v>1184</v>
      </c>
      <c r="F575" s="2888">
        <f>2.89/C575/1.13</f>
        <v>0.378892166502786</v>
      </c>
      <c r="G575" s="2888">
        <v>0.448884971284565</v>
      </c>
      <c r="H575" s="2888">
        <f>5/C575/1.13</f>
        <v>0.655522779416585</v>
      </c>
      <c r="I575" s="2888">
        <v>1.64602505615594</v>
      </c>
      <c r="J575" s="2713">
        <f t="shared" si="24"/>
        <v>1.72832630896374</v>
      </c>
      <c r="K575" s="2889">
        <v>0.3</v>
      </c>
      <c r="L575" s="2714">
        <f t="shared" si="23"/>
        <v>2.68384908838032</v>
      </c>
      <c r="M575" s="2888">
        <v>1.49638641468722</v>
      </c>
      <c r="N575" s="2886"/>
    </row>
    <row r="576" s="2870" customFormat="1" ht="13.2" customHeight="1" spans="1:15">
      <c r="A576" s="2913" t="s">
        <v>1137</v>
      </c>
      <c r="B576" s="2711">
        <v>20251210</v>
      </c>
      <c r="C576" s="2711">
        <v>6.837</v>
      </c>
      <c r="D576" s="2772" t="s">
        <v>1185</v>
      </c>
      <c r="E576" s="176" t="s">
        <v>1186</v>
      </c>
      <c r="F576" s="2713">
        <f>3.38/C576/1.13</f>
        <v>0.437494579856352</v>
      </c>
      <c r="G576" s="2713">
        <v>0.524993495827622</v>
      </c>
      <c r="H576" s="2713">
        <v>0.577492845410384</v>
      </c>
      <c r="I576" s="2713">
        <v>3.11708543426122</v>
      </c>
      <c r="J576" s="2713">
        <f t="shared" si="24"/>
        <v>3.27293970597428</v>
      </c>
      <c r="K576" s="2714">
        <v>0.4</v>
      </c>
      <c r="L576" s="2714">
        <f t="shared" si="23"/>
        <v>4.25043255138466</v>
      </c>
      <c r="M576" s="2713">
        <v>2.83371403114656</v>
      </c>
      <c r="N576" s="176"/>
    </row>
    <row r="577" s="2870" customFormat="1" ht="13.2" customHeight="1" spans="1:14">
      <c r="A577" s="730" t="s">
        <v>1187</v>
      </c>
      <c r="B577" s="2711">
        <v>20251218</v>
      </c>
      <c r="C577" s="2711">
        <v>6.837</v>
      </c>
      <c r="D577" s="2711" t="s">
        <v>1188</v>
      </c>
      <c r="E577" s="2711" t="s">
        <v>1189</v>
      </c>
      <c r="F577" s="2713">
        <f>3.0623/C577/1.13</f>
        <v>0.396372678075179</v>
      </c>
      <c r="G577" s="2713">
        <v>0.475647213690215</v>
      </c>
      <c r="H577" s="2713">
        <v>0.523211935059237</v>
      </c>
      <c r="I577" s="2713">
        <v>0.0553178826671262</v>
      </c>
      <c r="J577" s="2713">
        <f t="shared" si="24"/>
        <v>0.0580837768004825</v>
      </c>
      <c r="K577" s="2714">
        <v>0.4</v>
      </c>
      <c r="L577" s="2714">
        <f t="shared" si="23"/>
        <v>0.98129571185972</v>
      </c>
      <c r="M577" s="2713">
        <v>0.050288984242842</v>
      </c>
      <c r="N577" s="2923" t="s">
        <v>1190</v>
      </c>
    </row>
    <row r="578" s="2870" customFormat="1" ht="13.2" customHeight="1" spans="1:14">
      <c r="A578" s="2913" t="s">
        <v>491</v>
      </c>
      <c r="B578" s="2711">
        <v>20251229</v>
      </c>
      <c r="C578" s="2902">
        <v>6.837</v>
      </c>
      <c r="D578" s="176" t="s">
        <v>1191</v>
      </c>
      <c r="E578" s="176" t="s">
        <v>1192</v>
      </c>
      <c r="F578" s="2713">
        <f>3.03/C578/1.13</f>
        <v>0.39219188667596</v>
      </c>
      <c r="G578" s="2713">
        <v>0.470630264011152</v>
      </c>
      <c r="H578" s="2713">
        <v>0.517693290412267</v>
      </c>
      <c r="I578" s="2713">
        <v>2.66889801837735</v>
      </c>
      <c r="J578" s="2713">
        <f t="shared" si="24"/>
        <v>2.80234291929622</v>
      </c>
      <c r="K578" s="2714">
        <v>0.4</v>
      </c>
      <c r="L578" s="2714">
        <f t="shared" si="23"/>
        <v>3.72003620970849</v>
      </c>
      <c r="M578" s="2713">
        <v>2.42627092579759</v>
      </c>
      <c r="N578" s="176"/>
    </row>
    <row r="579" s="2870" customFormat="1" ht="13.2" customHeight="1" spans="1:14">
      <c r="A579" s="2913" t="s">
        <v>39</v>
      </c>
      <c r="B579" s="2711">
        <v>20251230</v>
      </c>
      <c r="C579" s="2902">
        <v>6.837</v>
      </c>
      <c r="D579" s="176" t="s">
        <v>1193</v>
      </c>
      <c r="E579" s="176" t="s">
        <v>1194</v>
      </c>
      <c r="F579" s="2713">
        <f>9.1/C579/1.13</f>
        <v>1.17787002269018</v>
      </c>
      <c r="G579" s="2713">
        <v>1.41344402722822</v>
      </c>
      <c r="H579" s="2713">
        <v>1.55478842995104</v>
      </c>
      <c r="I579" s="2713">
        <v>10.7837911592301</v>
      </c>
      <c r="J579" s="2713">
        <f t="shared" si="24"/>
        <v>11.3229807171916</v>
      </c>
      <c r="K579" s="2714">
        <v>2</v>
      </c>
      <c r="L579" s="2714">
        <f t="shared" si="23"/>
        <v>14.8777691471426</v>
      </c>
      <c r="M579" s="2713">
        <v>9.80344650839099</v>
      </c>
      <c r="N579" s="176"/>
    </row>
    <row r="580" s="2870" customFormat="1" ht="13.2" customHeight="1" spans="1:14">
      <c r="A580" s="2913" t="s">
        <v>1195</v>
      </c>
      <c r="B580" s="2883">
        <v>46056</v>
      </c>
      <c r="C580" s="2902">
        <v>6.837</v>
      </c>
      <c r="D580" s="176" t="s">
        <v>1196</v>
      </c>
      <c r="E580" s="176" t="s">
        <v>1197</v>
      </c>
      <c r="F580" s="2713">
        <f>3.99/C580/1.13</f>
        <v>0.516450702256463</v>
      </c>
      <c r="G580" s="2713">
        <v>0.619740842707756</v>
      </c>
      <c r="H580" s="2713">
        <v>0.681714926978532</v>
      </c>
      <c r="I580" s="2713">
        <v>3.35405976305397</v>
      </c>
      <c r="J580" s="2713">
        <f t="shared" si="24"/>
        <v>3.52176275120667</v>
      </c>
      <c r="K580" s="2714">
        <v>0.4</v>
      </c>
      <c r="L580" s="2714">
        <f t="shared" si="23"/>
        <v>4.6034776781852</v>
      </c>
      <c r="M580" s="2713">
        <v>3.04914523913997</v>
      </c>
      <c r="N580" s="176"/>
    </row>
    <row r="581" s="2870" customFormat="1" ht="13.2" customHeight="1" spans="1:14">
      <c r="A581" s="2913" t="s">
        <v>1198</v>
      </c>
      <c r="B581" s="2907">
        <v>46035</v>
      </c>
      <c r="C581" s="2902">
        <v>6.837</v>
      </c>
      <c r="D581" s="2772" t="s">
        <v>1199</v>
      </c>
      <c r="E581" s="176" t="s">
        <v>1200</v>
      </c>
      <c r="F581" s="2713">
        <f>3.75/C581/1.13</f>
        <v>0.485385998361337</v>
      </c>
      <c r="G581" s="2713">
        <v>0.582463198033604</v>
      </c>
      <c r="H581" s="2713">
        <v>0.640709517836965</v>
      </c>
      <c r="I581" s="2713">
        <v>3.93543012198333</v>
      </c>
      <c r="J581" s="2713">
        <f t="shared" si="24"/>
        <v>4.1322016280825</v>
      </c>
      <c r="K581" s="2714">
        <v>0.2</v>
      </c>
      <c r="L581" s="2714">
        <f t="shared" si="23"/>
        <v>4.97291114591946</v>
      </c>
      <c r="M581" s="2713">
        <v>3.57766374725757</v>
      </c>
      <c r="N581" s="176" t="s">
        <v>484</v>
      </c>
    </row>
    <row r="582" s="2870" customFormat="1" ht="13.2" customHeight="1" spans="1:14">
      <c r="A582" s="2913" t="s">
        <v>1198</v>
      </c>
      <c r="B582" s="2907">
        <v>46035</v>
      </c>
      <c r="C582" s="2902">
        <v>6.837</v>
      </c>
      <c r="D582" s="2772" t="s">
        <v>1201</v>
      </c>
      <c r="E582" s="176" t="s">
        <v>1202</v>
      </c>
      <c r="F582" s="2713">
        <f>2.06/C582/1.13</f>
        <v>0.266638708433161</v>
      </c>
      <c r="G582" s="2713">
        <v>0.319966450119793</v>
      </c>
      <c r="H582" s="2713">
        <v>0.351963095131772</v>
      </c>
      <c r="I582" s="2713">
        <v>2.01243585783238</v>
      </c>
      <c r="J582" s="2713">
        <f t="shared" si="24"/>
        <v>2.113057650724</v>
      </c>
      <c r="K582" s="2714">
        <v>0.4</v>
      </c>
      <c r="L582" s="2714">
        <f t="shared" ref="L582:L596" si="25">SUBTOTAL(109,H582,J582,K582)</f>
        <v>2.86502074585577</v>
      </c>
      <c r="M582" s="2713">
        <v>1.82948714348398</v>
      </c>
      <c r="N582" s="176" t="s">
        <v>1203</v>
      </c>
    </row>
    <row r="583" s="2870" customFormat="1" ht="13.2" customHeight="1" spans="1:14">
      <c r="A583" s="2913" t="s">
        <v>1204</v>
      </c>
      <c r="B583" s="2907">
        <v>46049</v>
      </c>
      <c r="C583" s="2902">
        <v>6.837</v>
      </c>
      <c r="D583" s="2772" t="s">
        <v>1205</v>
      </c>
      <c r="E583" s="176" t="s">
        <v>1206</v>
      </c>
      <c r="F583" s="2713">
        <f>7/C583/1.13</f>
        <v>0.906053863607829</v>
      </c>
      <c r="G583" s="2713">
        <v>1.08726463632939</v>
      </c>
      <c r="H583" s="2713">
        <v>1.19599109996233</v>
      </c>
      <c r="I583" s="2713">
        <v>11.5379655849057</v>
      </c>
      <c r="J583" s="2713">
        <f t="shared" ref="J583:J595" si="26">I583*1.05</f>
        <v>12.114863864151</v>
      </c>
      <c r="K583" s="2714">
        <f>6/C583</f>
        <v>0.877577885037297</v>
      </c>
      <c r="L583" s="2714">
        <f t="shared" si="25"/>
        <v>14.1884328491506</v>
      </c>
      <c r="M583" s="2713">
        <v>10.4890596226415</v>
      </c>
      <c r="N583" s="176" t="s">
        <v>1207</v>
      </c>
    </row>
    <row r="584" s="2870" customFormat="1" ht="13.2" customHeight="1" spans="1:14">
      <c r="A584" s="2913" t="s">
        <v>1208</v>
      </c>
      <c r="B584" s="2907">
        <v>46085</v>
      </c>
      <c r="C584" s="2772">
        <v>6.837</v>
      </c>
      <c r="D584" s="2772" t="s">
        <v>1209</v>
      </c>
      <c r="E584" s="176" t="s">
        <v>1210</v>
      </c>
      <c r="F584" s="2713">
        <f>20.52/C584/1.13</f>
        <v>2.65603218303324</v>
      </c>
      <c r="G584" s="2713">
        <v>3.18723861963989</v>
      </c>
      <c r="H584" s="2713">
        <v>3.50596248160388</v>
      </c>
      <c r="I584" s="2713">
        <v>0.55</v>
      </c>
      <c r="J584" s="2713">
        <f t="shared" si="26"/>
        <v>0.5775</v>
      </c>
      <c r="K584" s="2714">
        <v>0.2</v>
      </c>
      <c r="L584" s="2714">
        <f t="shared" si="25"/>
        <v>4.28346248160388</v>
      </c>
      <c r="M584" s="2713">
        <v>0.5</v>
      </c>
      <c r="N584" s="176" t="s">
        <v>1211</v>
      </c>
    </row>
    <row r="585" s="2870" customFormat="1" ht="13.2" customHeight="1" spans="1:14">
      <c r="A585" s="2913" t="s">
        <v>1208</v>
      </c>
      <c r="B585" s="2907">
        <v>46085</v>
      </c>
      <c r="C585" s="2772">
        <v>6.837</v>
      </c>
      <c r="D585" s="2772" t="s">
        <v>1212</v>
      </c>
      <c r="E585" s="176" t="s">
        <v>1213</v>
      </c>
      <c r="F585" s="2713">
        <f>23.34/C585/1.13</f>
        <v>3.02104245380096</v>
      </c>
      <c r="G585" s="2713">
        <v>3.62525094456115</v>
      </c>
      <c r="H585" s="2713">
        <v>3.98777603901726</v>
      </c>
      <c r="I585" s="2713">
        <v>3.685</v>
      </c>
      <c r="J585" s="2713">
        <f t="shared" si="26"/>
        <v>3.86925</v>
      </c>
      <c r="K585" s="2714">
        <f>2.2/C585</f>
        <v>0.321778557847009</v>
      </c>
      <c r="L585" s="2714">
        <f t="shared" si="25"/>
        <v>8.17880459686427</v>
      </c>
      <c r="M585" s="2713">
        <v>3.35</v>
      </c>
      <c r="N585" s="176" t="s">
        <v>1214</v>
      </c>
    </row>
    <row r="586" s="2870" customFormat="1" ht="13.2" customHeight="1" spans="1:14">
      <c r="A586" s="2913" t="s">
        <v>1215</v>
      </c>
      <c r="B586" s="2907">
        <v>46086</v>
      </c>
      <c r="C586" s="2772">
        <v>6.837</v>
      </c>
      <c r="D586" s="2772" t="s">
        <v>1216</v>
      </c>
      <c r="E586" s="176" t="s">
        <v>1217</v>
      </c>
      <c r="F586" s="2713">
        <f>3.93/C586/1.13</f>
        <v>0.508684526282681</v>
      </c>
      <c r="G586" s="2713">
        <v>0.610421431539217</v>
      </c>
      <c r="H586" s="2713">
        <v>0.671463574693139</v>
      </c>
      <c r="I586" s="2713">
        <v>3.17694769635805</v>
      </c>
      <c r="J586" s="2713">
        <f t="shared" si="26"/>
        <v>3.33579508117595</v>
      </c>
      <c r="K586" s="2714">
        <v>0.4</v>
      </c>
      <c r="L586" s="2714">
        <f t="shared" si="25"/>
        <v>4.40725865586909</v>
      </c>
      <c r="M586" s="2713">
        <v>2.88813426941641</v>
      </c>
      <c r="N586" s="176" t="s">
        <v>1218</v>
      </c>
    </row>
    <row r="587" s="2870" customFormat="1" ht="13.2" customHeight="1" spans="1:14">
      <c r="A587" s="2913" t="s">
        <v>1219</v>
      </c>
      <c r="B587" s="2907">
        <v>46087</v>
      </c>
      <c r="C587" s="2772">
        <v>6.837</v>
      </c>
      <c r="D587" s="2772" t="s">
        <v>1220</v>
      </c>
      <c r="E587" s="2772" t="s">
        <v>1221</v>
      </c>
      <c r="F587" s="2713">
        <f>2.3/C587/1.13</f>
        <v>0.297703412328287</v>
      </c>
      <c r="G587" s="2713">
        <v>0.357244094793944</v>
      </c>
      <c r="H587" s="2713">
        <v>0.392968504273338</v>
      </c>
      <c r="I587" s="2713">
        <v>2.94448810881965</v>
      </c>
      <c r="J587" s="2713">
        <f t="shared" si="26"/>
        <v>3.09171251426063</v>
      </c>
      <c r="K587" s="2714">
        <f>2.3/C587</f>
        <v>0.336404855930964</v>
      </c>
      <c r="L587" s="2714">
        <f t="shared" si="25"/>
        <v>3.82108587446493</v>
      </c>
      <c r="M587" s="2713">
        <v>2.67680737165423</v>
      </c>
      <c r="N587" s="176" t="s">
        <v>870</v>
      </c>
    </row>
    <row r="588" s="2870" customFormat="1" ht="13.2" customHeight="1" spans="1:14">
      <c r="A588" s="2913" t="s">
        <v>1219</v>
      </c>
      <c r="B588" s="2907">
        <v>46087</v>
      </c>
      <c r="C588" s="2772">
        <v>6.837</v>
      </c>
      <c r="D588" s="2772" t="s">
        <v>1222</v>
      </c>
      <c r="E588" s="176" t="s">
        <v>1223</v>
      </c>
      <c r="F588" s="2713">
        <f>5.01/C588/1.13</f>
        <v>0.648475693810746</v>
      </c>
      <c r="G588" s="2713">
        <v>0.778170832572895</v>
      </c>
      <c r="H588" s="2713">
        <v>0.855987915830185</v>
      </c>
      <c r="I588" s="2713">
        <v>0.918768845985081</v>
      </c>
      <c r="J588" s="2713">
        <f t="shared" si="26"/>
        <v>0.964707288284335</v>
      </c>
      <c r="K588" s="2714">
        <f>1/C588</f>
        <v>0.14626298083955</v>
      </c>
      <c r="L588" s="2714">
        <f t="shared" si="25"/>
        <v>1.96695818495407</v>
      </c>
      <c r="M588" s="2713">
        <v>0.835244405440983</v>
      </c>
      <c r="N588" s="176"/>
    </row>
    <row r="589" s="2870" customFormat="1" ht="13.2" customHeight="1" spans="1:14">
      <c r="A589" s="2913" t="s">
        <v>768</v>
      </c>
      <c r="B589" s="2907">
        <v>46093</v>
      </c>
      <c r="C589" s="2772">
        <v>6.837</v>
      </c>
      <c r="D589" s="2772" t="s">
        <v>1224</v>
      </c>
      <c r="E589" s="176" t="s">
        <v>1225</v>
      </c>
      <c r="F589" s="2713">
        <f>4.05/C589/1.13*1.03</f>
        <v>0.539943384577151</v>
      </c>
      <c r="G589" s="2713">
        <v>0.647932061492581</v>
      </c>
      <c r="H589" s="2713">
        <v>0.712725267641839</v>
      </c>
      <c r="I589" s="2713">
        <v>2.11732865291795</v>
      </c>
      <c r="J589" s="2713">
        <f t="shared" si="26"/>
        <v>2.22319508556385</v>
      </c>
      <c r="K589" s="2714">
        <f>2.3/C589/1.13</f>
        <v>0.297703412328287</v>
      </c>
      <c r="L589" s="2714">
        <f t="shared" si="25"/>
        <v>3.23362376553398</v>
      </c>
      <c r="M589" s="2713">
        <v>1.92484422992541</v>
      </c>
      <c r="N589" s="2918" t="s">
        <v>1226</v>
      </c>
    </row>
    <row r="590" s="2870" customFormat="1" ht="13.2" customHeight="1" spans="1:14">
      <c r="A590" s="2913" t="s">
        <v>1227</v>
      </c>
      <c r="B590" s="2907">
        <v>46099</v>
      </c>
      <c r="C590" s="2772">
        <v>6.837</v>
      </c>
      <c r="D590" s="2772" t="s">
        <v>1228</v>
      </c>
      <c r="E590" s="176" t="s">
        <v>1229</v>
      </c>
      <c r="F590" s="2713">
        <f>3.18/C590/1.13*1.15</f>
        <v>0.473348425601976</v>
      </c>
      <c r="G590" s="2713">
        <f>4.58/6.78/1.13*1.1</f>
        <v>0.657582165139531</v>
      </c>
      <c r="H590" s="2713">
        <v>0.723340381653484</v>
      </c>
      <c r="I590" s="2713">
        <v>1.9</v>
      </c>
      <c r="J590" s="2713">
        <f t="shared" si="26"/>
        <v>1.995</v>
      </c>
      <c r="K590" s="2714">
        <f>2.38/C590/1.13</f>
        <v>0.308058313626662</v>
      </c>
      <c r="L590" s="2714">
        <f t="shared" si="25"/>
        <v>3.02639869528015</v>
      </c>
      <c r="M590" s="2713">
        <v>1.66544537077666</v>
      </c>
      <c r="N590" s="2918" t="s">
        <v>1230</v>
      </c>
    </row>
    <row r="591" s="2870" customFormat="1" ht="13.2" customHeight="1" spans="1:14">
      <c r="A591" s="2913" t="s">
        <v>1231</v>
      </c>
      <c r="B591" s="2907">
        <v>46106</v>
      </c>
      <c r="C591" s="2772">
        <v>6.837</v>
      </c>
      <c r="D591" s="2772" t="s">
        <v>1232</v>
      </c>
      <c r="E591" s="2772" t="s">
        <v>1232</v>
      </c>
      <c r="F591" s="2713">
        <f t="shared" ref="F591:F593" si="27">2.24/C591/1.13</f>
        <v>0.289937236354505</v>
      </c>
      <c r="G591" s="2713">
        <v>0.347924683625406</v>
      </c>
      <c r="H591" s="2713">
        <v>0.382717151987947</v>
      </c>
      <c r="I591" s="2713">
        <v>0.0566989907854322</v>
      </c>
      <c r="J591" s="2713">
        <f t="shared" si="26"/>
        <v>0.0595339403247038</v>
      </c>
      <c r="K591" s="2714">
        <f t="shared" ref="K591:K593" si="28">1.5/6.91</f>
        <v>0.217076700434153</v>
      </c>
      <c r="L591" s="2714">
        <f t="shared" si="25"/>
        <v>0.659327792746804</v>
      </c>
      <c r="M591" s="2713">
        <v>0.0515445370776656</v>
      </c>
      <c r="N591" s="2918" t="s">
        <v>1233</v>
      </c>
    </row>
    <row r="592" s="2870" customFormat="1" ht="13.2" customHeight="1" spans="1:14">
      <c r="A592" s="2913" t="s">
        <v>1231</v>
      </c>
      <c r="B592" s="2907">
        <v>46106</v>
      </c>
      <c r="C592" s="2772">
        <v>6.837</v>
      </c>
      <c r="D592" s="2772" t="s">
        <v>1234</v>
      </c>
      <c r="E592" s="2772" t="s">
        <v>1234</v>
      </c>
      <c r="F592" s="2713">
        <f t="shared" si="27"/>
        <v>0.289937236354505</v>
      </c>
      <c r="G592" s="2713">
        <v>0.347924683625406</v>
      </c>
      <c r="H592" s="2713">
        <v>0.382717151987947</v>
      </c>
      <c r="I592" s="2713">
        <v>0.0566989907854322</v>
      </c>
      <c r="J592" s="2713">
        <f t="shared" si="26"/>
        <v>0.0595339403247038</v>
      </c>
      <c r="K592" s="2714">
        <f t="shared" si="28"/>
        <v>0.217076700434153</v>
      </c>
      <c r="L592" s="2714">
        <f t="shared" si="25"/>
        <v>0.659327792746804</v>
      </c>
      <c r="M592" s="2713">
        <v>0.0515445370776656</v>
      </c>
      <c r="N592" s="176" t="s">
        <v>1235</v>
      </c>
    </row>
    <row r="593" s="2870" customFormat="1" ht="13.2" customHeight="1" spans="1:14">
      <c r="A593" s="2913" t="s">
        <v>1231</v>
      </c>
      <c r="B593" s="2907">
        <v>46106</v>
      </c>
      <c r="C593" s="2772">
        <v>6.837</v>
      </c>
      <c r="D593" s="2772" t="s">
        <v>1236</v>
      </c>
      <c r="E593" s="2772" t="s">
        <v>1236</v>
      </c>
      <c r="F593" s="2713">
        <f t="shared" si="27"/>
        <v>0.289937236354505</v>
      </c>
      <c r="G593" s="2713">
        <v>0.347924683625406</v>
      </c>
      <c r="H593" s="2713">
        <v>0.382717151987947</v>
      </c>
      <c r="I593" s="2713">
        <v>0.0566989907854322</v>
      </c>
      <c r="J593" s="2713">
        <f t="shared" si="26"/>
        <v>0.0595339403247038</v>
      </c>
      <c r="K593" s="2714">
        <f t="shared" si="28"/>
        <v>0.217076700434153</v>
      </c>
      <c r="L593" s="2714">
        <f t="shared" si="25"/>
        <v>0.659327792746804</v>
      </c>
      <c r="M593" s="2713">
        <v>0.0515445370776656</v>
      </c>
      <c r="N593" s="176" t="s">
        <v>1237</v>
      </c>
    </row>
    <row r="594" s="2870" customFormat="1" ht="13.2" customHeight="1" spans="1:14">
      <c r="A594" s="2913" t="s">
        <v>465</v>
      </c>
      <c r="B594" s="2907">
        <v>46108</v>
      </c>
      <c r="C594" s="2772">
        <v>6.837</v>
      </c>
      <c r="D594" s="2772" t="s">
        <v>1238</v>
      </c>
      <c r="E594" s="176" t="s">
        <v>1239</v>
      </c>
      <c r="F594" s="2713">
        <f>3.2/C594/1.13</f>
        <v>0.414196051935008</v>
      </c>
      <c r="G594" s="2713">
        <v>0.49703526232201</v>
      </c>
      <c r="H594" s="2713">
        <v>0.546738788554211</v>
      </c>
      <c r="I594" s="2713">
        <v>2.926</v>
      </c>
      <c r="J594" s="2713">
        <f t="shared" si="26"/>
        <v>3.0723</v>
      </c>
      <c r="K594" s="2714">
        <f>2.9/C594</f>
        <v>0.424162644434694</v>
      </c>
      <c r="L594" s="2714">
        <f t="shared" si="25"/>
        <v>4.0432014329889</v>
      </c>
      <c r="M594" s="2713">
        <v>2.66</v>
      </c>
      <c r="N594" s="2918" t="s">
        <v>1240</v>
      </c>
    </row>
    <row r="595" s="2870" customFormat="1" ht="13.2" customHeight="1" spans="1:14">
      <c r="A595" s="2913" t="s">
        <v>313</v>
      </c>
      <c r="B595" s="2907">
        <v>46108</v>
      </c>
      <c r="C595" s="2772">
        <v>6.837</v>
      </c>
      <c r="D595" s="2772" t="s">
        <v>1241</v>
      </c>
      <c r="E595" s="2772" t="s">
        <v>1242</v>
      </c>
      <c r="F595" s="2713">
        <f>4.5/C595/1.13</f>
        <v>0.582463198033604</v>
      </c>
      <c r="G595" s="2713">
        <v>0.698955837640325</v>
      </c>
      <c r="H595" s="2713">
        <v>0.768851421404358</v>
      </c>
      <c r="I595" s="2713">
        <v>4.33580517770952</v>
      </c>
      <c r="J595" s="2713">
        <f t="shared" si="26"/>
        <v>4.552595436595</v>
      </c>
      <c r="K595" s="2714">
        <f>2.7/C595</f>
        <v>0.394910048266784</v>
      </c>
      <c r="L595" s="2714">
        <f t="shared" si="25"/>
        <v>5.71635690626614</v>
      </c>
      <c r="M595" s="2713">
        <v>3.94164107064502</v>
      </c>
      <c r="N595" s="2918" t="s">
        <v>1243</v>
      </c>
    </row>
    <row r="596" s="2870" customFormat="1" ht="13.2" customHeight="1" spans="1:14">
      <c r="A596" s="2913" t="s">
        <v>1244</v>
      </c>
      <c r="B596" s="2907">
        <v>46115</v>
      </c>
      <c r="C596" s="2772">
        <v>6.75</v>
      </c>
      <c r="D596" s="2772" t="s">
        <v>1245</v>
      </c>
      <c r="E596" s="176" t="s">
        <v>1246</v>
      </c>
      <c r="F596" s="2713">
        <f>10.83/C596/1.13</f>
        <v>1.41986234021632</v>
      </c>
      <c r="G596" s="2713">
        <v>1.68215371592105</v>
      </c>
      <c r="H596" s="2713">
        <f>16.25/C596/1.13*1.1+600/500/6.7/1.13</f>
        <v>2.50199347412397</v>
      </c>
      <c r="I596" s="2713">
        <v>5.3</v>
      </c>
      <c r="J596" s="2713">
        <v>5.96</v>
      </c>
      <c r="K596" s="2714">
        <v>0.4</v>
      </c>
      <c r="L596" s="2714">
        <f t="shared" si="25"/>
        <v>8.86199347412397</v>
      </c>
      <c r="M596" s="2713">
        <v>4.14120725464385</v>
      </c>
      <c r="N596" s="176"/>
    </row>
    <row r="597" s="2870" customFormat="1" ht="13.2" customHeight="1" spans="1:14">
      <c r="A597" s="2913" t="s">
        <v>1247</v>
      </c>
      <c r="B597" s="2907">
        <v>46115</v>
      </c>
      <c r="C597" s="2772">
        <v>6.837</v>
      </c>
      <c r="D597" s="2772" t="s">
        <v>1248</v>
      </c>
      <c r="E597" s="176" t="s">
        <v>1249</v>
      </c>
      <c r="F597" s="2713">
        <f>3.57/C597/1.13</f>
        <v>0.462087470439993</v>
      </c>
      <c r="G597" s="2713">
        <v>0.554504964527992</v>
      </c>
      <c r="H597" s="2713">
        <v>0.609955460980791</v>
      </c>
      <c r="I597" s="2713">
        <v>3.94275331285651</v>
      </c>
      <c r="J597" s="2713">
        <f>I597*1.05</f>
        <v>4.13989097849934</v>
      </c>
      <c r="K597" s="2714">
        <f>2.7/C597</f>
        <v>0.394910048266784</v>
      </c>
      <c r="L597" s="2714">
        <f t="shared" ref="L597:L607" si="29">SUBTOTAL(109,H597,J597,K597)</f>
        <v>5.14475648774691</v>
      </c>
      <c r="M597" s="2713">
        <v>3.58432119350592</v>
      </c>
      <c r="N597" s="176" t="s">
        <v>1250</v>
      </c>
    </row>
    <row r="598" s="2870" customFormat="1" ht="13.2" customHeight="1" spans="1:14">
      <c r="A598" s="2913" t="s">
        <v>1251</v>
      </c>
      <c r="B598" s="2907">
        <v>46119</v>
      </c>
      <c r="C598" s="2772">
        <v>6.837</v>
      </c>
      <c r="D598" s="2772" t="s">
        <v>1252</v>
      </c>
      <c r="E598" s="176" t="s">
        <v>1253</v>
      </c>
      <c r="F598" s="2713">
        <f>2.95/C598/1.13</f>
        <v>0.381836985377585</v>
      </c>
      <c r="G598" s="2713">
        <v>0.458204382453102</v>
      </c>
      <c r="H598" s="2713">
        <v>0.504024820698412</v>
      </c>
      <c r="I598" s="2713">
        <v>2.43589264297206</v>
      </c>
      <c r="J598" s="2713">
        <f>I598*1.05</f>
        <v>2.55768727512066</v>
      </c>
      <c r="K598" s="2714">
        <f>2.7/C598</f>
        <v>0.394910048266784</v>
      </c>
      <c r="L598" s="2714">
        <f t="shared" si="29"/>
        <v>3.45662214408586</v>
      </c>
      <c r="M598" s="2713">
        <v>2.21444785724733</v>
      </c>
      <c r="N598" s="176" t="s">
        <v>1254</v>
      </c>
    </row>
    <row r="599" s="2870" customFormat="1" ht="13.2" customHeight="1" spans="1:14">
      <c r="A599" s="2890" t="s">
        <v>782</v>
      </c>
      <c r="B599" s="2907">
        <v>46121</v>
      </c>
      <c r="C599" s="2772">
        <v>6.837</v>
      </c>
      <c r="D599" s="2772" t="s">
        <v>1255</v>
      </c>
      <c r="E599" s="2688" t="s">
        <v>1255</v>
      </c>
      <c r="F599" s="2713">
        <f>2.6/C599/1.13</f>
        <v>0.336534292197194</v>
      </c>
      <c r="G599" s="2713">
        <v>0.403841150636633</v>
      </c>
      <c r="H599" s="2713">
        <v>0.444225265700296</v>
      </c>
      <c r="I599" s="2713">
        <v>1.15151288576861</v>
      </c>
      <c r="J599" s="2713">
        <f>I599*1.05</f>
        <v>1.20908853005704</v>
      </c>
      <c r="K599" s="2714">
        <v>0.3</v>
      </c>
      <c r="L599" s="2714">
        <f t="shared" si="29"/>
        <v>1.95331379575734</v>
      </c>
      <c r="M599" s="2713">
        <v>1.04682989615328</v>
      </c>
      <c r="N599" s="2688" t="s">
        <v>63</v>
      </c>
    </row>
    <row r="600" s="2870" customFormat="1" spans="1:14">
      <c r="A600" s="2913" t="s">
        <v>1256</v>
      </c>
      <c r="B600" s="2907">
        <v>46122</v>
      </c>
      <c r="C600" s="2772">
        <v>6.837</v>
      </c>
      <c r="D600" s="2772" t="s">
        <v>1257</v>
      </c>
      <c r="E600" s="176" t="s">
        <v>1258</v>
      </c>
      <c r="F600" s="2713">
        <f>3.57/C600/1.1</f>
        <v>0.474689855997447</v>
      </c>
      <c r="G600" s="2713">
        <v>0.569627827196936</v>
      </c>
      <c r="H600" s="2713">
        <v>0.62659060991663</v>
      </c>
      <c r="I600" s="2713">
        <v>3.19987715372239</v>
      </c>
      <c r="J600" s="2713">
        <f>I600*1.05</f>
        <v>3.35987101140851</v>
      </c>
      <c r="K600" s="2714">
        <f>2.5/C600/1.13</f>
        <v>0.323590665574225</v>
      </c>
      <c r="L600" s="2714">
        <f t="shared" si="29"/>
        <v>4.31005228689937</v>
      </c>
      <c r="M600" s="2713">
        <v>2.90897923065672</v>
      </c>
      <c r="N600" s="176" t="s">
        <v>1259</v>
      </c>
    </row>
    <row r="601" s="2870" customFormat="1" spans="1:14">
      <c r="A601" s="2913" t="s">
        <v>1260</v>
      </c>
      <c r="B601" s="2907">
        <v>46128</v>
      </c>
      <c r="C601" s="2772">
        <v>6.8216</v>
      </c>
      <c r="D601" s="2772" t="s">
        <v>1261</v>
      </c>
      <c r="E601" s="176" t="s">
        <v>1262</v>
      </c>
      <c r="F601" s="2713">
        <f>1.8/C601/1.13</f>
        <v>0.23351125160993</v>
      </c>
      <c r="G601" s="2713">
        <v>0.280213501931916</v>
      </c>
      <c r="H601" s="2713">
        <v>0.308234852125108</v>
      </c>
      <c r="I601" s="2713">
        <v>1.815</v>
      </c>
      <c r="J601" s="2713">
        <f>I601*1.05</f>
        <v>1.90575</v>
      </c>
      <c r="K601" s="2714">
        <f t="shared" ref="K601:K604" si="30">2.5/C601</f>
        <v>0.366482936554474</v>
      </c>
      <c r="L601" s="2714">
        <f t="shared" si="29"/>
        <v>2.58046778867958</v>
      </c>
      <c r="M601" s="2713">
        <v>1.65</v>
      </c>
      <c r="N601" s="2918" t="s">
        <v>1263</v>
      </c>
    </row>
    <row r="602" s="2870" customFormat="1" spans="1:14">
      <c r="A602" s="2913" t="s">
        <v>1260</v>
      </c>
      <c r="B602" s="2924" t="s">
        <v>1264</v>
      </c>
      <c r="C602" s="2772">
        <v>6.75</v>
      </c>
      <c r="D602" s="2772"/>
      <c r="E602" s="176" t="s">
        <v>1262</v>
      </c>
      <c r="F602" s="2713"/>
      <c r="G602" s="2713"/>
      <c r="H602" s="2713">
        <f>1.7/6.75/1.13</f>
        <v>0.222877745001639</v>
      </c>
      <c r="I602" s="2713"/>
      <c r="J602" s="2713">
        <v>1.6</v>
      </c>
      <c r="K602" s="2714">
        <f t="shared" si="30"/>
        <v>0.37037037037037</v>
      </c>
      <c r="L602" s="2714">
        <f t="shared" si="29"/>
        <v>2.19324811537201</v>
      </c>
      <c r="M602" s="2713"/>
      <c r="N602" s="176"/>
    </row>
    <row r="603" s="2870" customFormat="1" spans="1:14">
      <c r="A603" s="2913" t="s">
        <v>1260</v>
      </c>
      <c r="B603" s="2924" t="s">
        <v>1265</v>
      </c>
      <c r="C603" s="2772">
        <v>6.75</v>
      </c>
      <c r="D603" s="2772"/>
      <c r="E603" s="176" t="s">
        <v>1262</v>
      </c>
      <c r="F603" s="2713"/>
      <c r="G603" s="2713"/>
      <c r="H603" s="2713">
        <f>2/6.75/1.13</f>
        <v>0.262209111766634</v>
      </c>
      <c r="I603" s="2713"/>
      <c r="J603" s="2713">
        <v>1.68</v>
      </c>
      <c r="K603" s="2714">
        <f t="shared" si="30"/>
        <v>0.37037037037037</v>
      </c>
      <c r="L603" s="2714">
        <f t="shared" si="29"/>
        <v>2.312579482137</v>
      </c>
      <c r="M603" s="2713"/>
      <c r="N603" s="176"/>
    </row>
    <row r="604" s="2870" customFormat="1" spans="1:14">
      <c r="A604" s="2913" t="s">
        <v>1260</v>
      </c>
      <c r="B604" s="2924" t="s">
        <v>1266</v>
      </c>
      <c r="C604" s="2772">
        <v>6.75</v>
      </c>
      <c r="D604" s="2772"/>
      <c r="E604" s="176"/>
      <c r="F604" s="2713"/>
      <c r="G604" s="2713"/>
      <c r="H604" s="2713">
        <f>3/6.75/1.13</f>
        <v>0.393313667649951</v>
      </c>
      <c r="I604" s="2713"/>
      <c r="J604" s="2713">
        <v>1.68</v>
      </c>
      <c r="K604" s="2714">
        <f t="shared" si="30"/>
        <v>0.37037037037037</v>
      </c>
      <c r="L604" s="2714">
        <f t="shared" si="29"/>
        <v>2.44368403802032</v>
      </c>
      <c r="M604" s="2713"/>
      <c r="N604" s="176"/>
    </row>
    <row r="605" s="2870" customFormat="1" spans="1:14">
      <c r="A605" s="2913" t="s">
        <v>41</v>
      </c>
      <c r="B605" s="2907">
        <v>46133</v>
      </c>
      <c r="C605" s="2772">
        <v>6.8225</v>
      </c>
      <c r="D605" s="2772" t="s">
        <v>1267</v>
      </c>
      <c r="E605" s="176" t="s">
        <v>1267</v>
      </c>
      <c r="F605" s="2713">
        <f>3.76/C605/1.13</f>
        <v>0.487714712835263</v>
      </c>
      <c r="G605" s="2713">
        <f>0.585257655402316*1.05</f>
        <v>0.614520538172432</v>
      </c>
      <c r="H605" s="2713">
        <v>0.675972591989675</v>
      </c>
      <c r="I605" s="2713">
        <v>1.54</v>
      </c>
      <c r="J605" s="2713">
        <f t="shared" ref="J605:J616" si="31">I605*1.05</f>
        <v>1.617</v>
      </c>
      <c r="K605" s="2714">
        <f>2.75/C605</f>
        <v>0.403078050567974</v>
      </c>
      <c r="L605" s="2714">
        <f t="shared" si="29"/>
        <v>2.69605064255765</v>
      </c>
      <c r="M605" s="2713">
        <v>1.4</v>
      </c>
      <c r="N605" s="176" t="s">
        <v>1268</v>
      </c>
    </row>
    <row r="606" s="2870" customFormat="1" spans="1:14">
      <c r="A606" s="2913" t="s">
        <v>785</v>
      </c>
      <c r="B606" s="2907">
        <v>46135</v>
      </c>
      <c r="C606" s="2772">
        <v>6.76</v>
      </c>
      <c r="D606" s="2772" t="s">
        <v>1269</v>
      </c>
      <c r="E606" s="176" t="s">
        <v>1269</v>
      </c>
      <c r="F606" s="2713">
        <f>7.92/C606/1.13</f>
        <v>1.03681206472221</v>
      </c>
      <c r="G606" s="2713">
        <v>1.24417447766665</v>
      </c>
      <c r="H606" s="2713">
        <v>1.36859192543331</v>
      </c>
      <c r="I606" s="2713">
        <v>8.69</v>
      </c>
      <c r="J606" s="2713">
        <f t="shared" si="31"/>
        <v>9.1245</v>
      </c>
      <c r="K606" s="2714">
        <v>0.3</v>
      </c>
      <c r="L606" s="2714">
        <f t="shared" si="29"/>
        <v>10.7930919254333</v>
      </c>
      <c r="M606" s="2713">
        <v>7.9</v>
      </c>
      <c r="N606" s="176" t="s">
        <v>1270</v>
      </c>
    </row>
    <row r="607" s="2870" customFormat="1" spans="1:14">
      <c r="A607" s="2913" t="s">
        <v>1271</v>
      </c>
      <c r="B607" s="2907">
        <v>46135</v>
      </c>
      <c r="C607" s="2772">
        <v>6.76</v>
      </c>
      <c r="D607" s="2772" t="s">
        <v>1272</v>
      </c>
      <c r="E607" s="176" t="s">
        <v>1273</v>
      </c>
      <c r="F607" s="2713">
        <f>0.72/C606/1.13</f>
        <v>0.0942556422474734</v>
      </c>
      <c r="G607" s="2713">
        <v>0.113106770696968</v>
      </c>
      <c r="H607" s="2713">
        <v>0.124417447766665</v>
      </c>
      <c r="I607" s="2713">
        <v>0.308</v>
      </c>
      <c r="J607" s="2713">
        <f t="shared" si="31"/>
        <v>0.3234</v>
      </c>
      <c r="K607" s="2714">
        <v>0.3</v>
      </c>
      <c r="L607" s="2714">
        <f t="shared" si="29"/>
        <v>0.747817447766665</v>
      </c>
      <c r="M607" s="2713">
        <v>0.28</v>
      </c>
      <c r="N607" s="176" t="s">
        <v>1270</v>
      </c>
    </row>
    <row r="608" s="2870" customFormat="1" spans="1:14">
      <c r="A608" s="2913" t="s">
        <v>41</v>
      </c>
      <c r="B608" s="2907">
        <v>46135</v>
      </c>
      <c r="C608" s="2772">
        <v>6.8225</v>
      </c>
      <c r="D608" s="2772" t="s">
        <v>1274</v>
      </c>
      <c r="E608" s="176" t="s">
        <v>1274</v>
      </c>
      <c r="F608" s="2713">
        <f>3.02/C608/1.13</f>
        <v>0.39172830658577</v>
      </c>
      <c r="G608" s="2713">
        <v>0.470073967902924</v>
      </c>
      <c r="H608" s="2713">
        <v>0.517081364693216</v>
      </c>
      <c r="I608" s="2713">
        <v>1.133</v>
      </c>
      <c r="J608" s="2713">
        <f t="shared" si="31"/>
        <v>1.18965</v>
      </c>
      <c r="K608" s="2714">
        <f>2.8/C608</f>
        <v>0.410406742396482</v>
      </c>
      <c r="L608" s="2714">
        <f t="shared" ref="L608:L613" si="32">SUBTOTAL(109,H608,J608,K608)</f>
        <v>2.1171381070897</v>
      </c>
      <c r="M608" s="2714">
        <v>1.03</v>
      </c>
      <c r="N608" s="176" t="s">
        <v>1275</v>
      </c>
    </row>
    <row r="609" s="2870" customFormat="1" spans="1:14">
      <c r="A609" s="2913" t="s">
        <v>1276</v>
      </c>
      <c r="B609" s="2907">
        <v>46136</v>
      </c>
      <c r="C609" s="2772">
        <v>6.8225</v>
      </c>
      <c r="D609" s="2772" t="s">
        <v>1277</v>
      </c>
      <c r="E609" s="176" t="s">
        <v>1277</v>
      </c>
      <c r="F609" s="2713">
        <f>2.24/C609/1.13</f>
        <v>0.290553445944412</v>
      </c>
      <c r="G609" s="2713">
        <v>0.348664135133294</v>
      </c>
      <c r="H609" s="2713">
        <v>0.383530548646623</v>
      </c>
      <c r="I609" s="2713">
        <v>0.0572</v>
      </c>
      <c r="J609" s="2713">
        <f t="shared" si="31"/>
        <v>0.06006</v>
      </c>
      <c r="K609" s="2714">
        <f>1.5/6.91</f>
        <v>0.217076700434153</v>
      </c>
      <c r="L609" s="2714">
        <f t="shared" si="32"/>
        <v>0.660667249080776</v>
      </c>
      <c r="M609" s="2713">
        <v>0.052</v>
      </c>
      <c r="N609" s="176" t="s">
        <v>1278</v>
      </c>
    </row>
    <row r="610" s="2870" customFormat="1" spans="1:14">
      <c r="A610" s="2913" t="s">
        <v>41</v>
      </c>
      <c r="B610" s="2907">
        <v>46141</v>
      </c>
      <c r="C610" s="2772">
        <v>6.8225</v>
      </c>
      <c r="D610" s="2772" t="s">
        <v>218</v>
      </c>
      <c r="E610" s="176" t="s">
        <v>219</v>
      </c>
      <c r="F610" s="2713">
        <v>0.4</v>
      </c>
      <c r="G610" s="2713">
        <v>0.48</v>
      </c>
      <c r="H610" s="2713">
        <v>0.56</v>
      </c>
      <c r="I610" s="2713">
        <v>1.6712161779377</v>
      </c>
      <c r="J610" s="2713">
        <f t="shared" si="31"/>
        <v>1.75477698683459</v>
      </c>
      <c r="K610" s="2714">
        <v>0.22</v>
      </c>
      <c r="L610" s="2714">
        <f t="shared" si="32"/>
        <v>2.53477698683458</v>
      </c>
      <c r="M610" s="2713">
        <f>1.50424498464239*1.01</f>
        <v>1.51928743448881</v>
      </c>
      <c r="N610" s="176" t="s">
        <v>63</v>
      </c>
    </row>
    <row r="611" s="2870" customFormat="1" spans="1:14">
      <c r="A611" s="2913" t="s">
        <v>1279</v>
      </c>
      <c r="B611" s="2907">
        <v>46150</v>
      </c>
      <c r="C611" s="2772">
        <v>6.8216</v>
      </c>
      <c r="D611" s="176" t="s">
        <v>1280</v>
      </c>
      <c r="E611" s="176" t="s">
        <v>1280</v>
      </c>
      <c r="F611" s="2713">
        <v>2.75</v>
      </c>
      <c r="G611" s="2713">
        <v>3.3</v>
      </c>
      <c r="H611" s="2713">
        <v>3.63</v>
      </c>
      <c r="I611" s="2713">
        <v>19.14</v>
      </c>
      <c r="J611" s="2713">
        <f t="shared" si="31"/>
        <v>20.097</v>
      </c>
      <c r="K611" s="2714">
        <f>2.2*1.13</f>
        <v>2.486</v>
      </c>
      <c r="L611" s="2714">
        <f t="shared" si="32"/>
        <v>26.213</v>
      </c>
      <c r="M611" s="2713">
        <v>17.4</v>
      </c>
      <c r="N611" s="2918" t="s">
        <v>1281</v>
      </c>
    </row>
    <row r="612" s="2870" customFormat="1" spans="1:14">
      <c r="A612" s="2913" t="s">
        <v>85</v>
      </c>
      <c r="B612" s="2907">
        <v>46151</v>
      </c>
      <c r="C612" s="2772">
        <v>6.7</v>
      </c>
      <c r="D612" s="2772" t="s">
        <v>1282</v>
      </c>
      <c r="E612" s="176" t="s">
        <v>1283</v>
      </c>
      <c r="F612" s="2713">
        <f>3.91/C612/1.13</f>
        <v>0.51644432703738</v>
      </c>
      <c r="G612" s="2713">
        <v>0.610619469026549</v>
      </c>
      <c r="H612" s="2713">
        <f>6.2/C612/1.13</f>
        <v>0.818914278166689</v>
      </c>
      <c r="I612" s="2713">
        <v>3.52</v>
      </c>
      <c r="J612" s="2713">
        <f t="shared" si="31"/>
        <v>3.696</v>
      </c>
      <c r="K612" s="2714">
        <f>3.5/C612</f>
        <v>0.522388059701492</v>
      </c>
      <c r="L612" s="2714">
        <f t="shared" si="32"/>
        <v>5.03730233786818</v>
      </c>
      <c r="M612" s="2713">
        <v>3.2</v>
      </c>
      <c r="N612" s="176"/>
    </row>
    <row r="613" s="2870" customFormat="1" spans="1:14">
      <c r="A613" s="2913" t="s">
        <v>85</v>
      </c>
      <c r="B613" s="2907">
        <v>46294</v>
      </c>
      <c r="C613" s="2772">
        <v>6.7</v>
      </c>
      <c r="D613" s="2772" t="s">
        <v>1282</v>
      </c>
      <c r="E613" s="176" t="s">
        <v>1283</v>
      </c>
      <c r="F613" s="2713">
        <f>3.91/C613/1.13</f>
        <v>0.51644432703738</v>
      </c>
      <c r="G613" s="2713">
        <v>0.610619469026549</v>
      </c>
      <c r="H613" s="2713">
        <f>6.2/C613/1.13+2000/1000/6.7/1.13</f>
        <v>1.08308017434949</v>
      </c>
      <c r="I613" s="2713">
        <v>3.52</v>
      </c>
      <c r="J613" s="2713">
        <f t="shared" si="31"/>
        <v>3.696</v>
      </c>
      <c r="K613" s="2714">
        <f>3.5/C613</f>
        <v>0.522388059701492</v>
      </c>
      <c r="L613" s="2714">
        <f>K613+J613+H613</f>
        <v>5.30146823405098</v>
      </c>
      <c r="M613" s="2713">
        <v>3.2</v>
      </c>
      <c r="N613" s="2918" t="s">
        <v>1284</v>
      </c>
    </row>
    <row r="614" s="2870" customFormat="1" spans="1:14">
      <c r="A614" s="2913" t="s">
        <v>1195</v>
      </c>
      <c r="B614" s="2907">
        <v>46161</v>
      </c>
      <c r="C614" s="2772">
        <v>6.8</v>
      </c>
      <c r="D614" s="2772" t="s">
        <v>1285</v>
      </c>
      <c r="E614" s="176" t="s">
        <v>1286</v>
      </c>
      <c r="F614" s="2713">
        <f>3.99/C614/1.13</f>
        <v>0.519260801665799</v>
      </c>
      <c r="G614" s="2713">
        <v>0.623112961998959</v>
      </c>
      <c r="H614" s="2713">
        <v>0.685424258198855</v>
      </c>
      <c r="I614" s="2713">
        <v>5.236</v>
      </c>
      <c r="J614" s="2713">
        <f t="shared" si="31"/>
        <v>5.4978</v>
      </c>
      <c r="K614" s="2714">
        <f>3.3/C614</f>
        <v>0.485294117647059</v>
      </c>
      <c r="L614" s="2714">
        <f t="shared" ref="L614:L646" si="33">SUBTOTAL(109,H614,J614,K614)</f>
        <v>6.66851837584591</v>
      </c>
      <c r="M614" s="2713">
        <v>4.76</v>
      </c>
      <c r="N614" s="176" t="s">
        <v>1287</v>
      </c>
    </row>
    <row r="615" s="2870" customFormat="1" spans="1:14">
      <c r="A615" s="2913" t="s">
        <v>1260</v>
      </c>
      <c r="B615" s="2907">
        <v>46162</v>
      </c>
      <c r="C615" s="2772">
        <v>6.8191</v>
      </c>
      <c r="D615" s="2772" t="s">
        <v>1288</v>
      </c>
      <c r="E615" s="176" t="s">
        <v>1288</v>
      </c>
      <c r="F615" s="2713">
        <f>2.02/C615/1.13</f>
        <v>0.262147588313564</v>
      </c>
      <c r="G615" s="2713">
        <v>0.314577105976277</v>
      </c>
      <c r="H615" s="2713">
        <v>0.346034816573905</v>
      </c>
      <c r="I615" s="2713">
        <v>1.76</v>
      </c>
      <c r="J615" s="2713">
        <f t="shared" si="31"/>
        <v>1.848</v>
      </c>
      <c r="K615" s="2714">
        <f>2.5/C615</f>
        <v>0.366617295537534</v>
      </c>
      <c r="L615" s="2714">
        <f t="shared" si="33"/>
        <v>2.56065211211144</v>
      </c>
      <c r="M615" s="2713">
        <v>1.6</v>
      </c>
      <c r="N615" s="2918" t="s">
        <v>1289</v>
      </c>
    </row>
    <row r="616" s="2870" customFormat="1" spans="1:14">
      <c r="A616" s="2913" t="s">
        <v>1260</v>
      </c>
      <c r="B616" s="2907">
        <v>46174</v>
      </c>
      <c r="C616" s="2772">
        <v>6.7693</v>
      </c>
      <c r="D616" s="176" t="s">
        <v>1290</v>
      </c>
      <c r="E616" s="176" t="s">
        <v>1290</v>
      </c>
      <c r="F616" s="2713">
        <f>2.02/C616/1.13*1.15</f>
        <v>0.303687561843822</v>
      </c>
      <c r="G616" s="2713">
        <v>0.31</v>
      </c>
      <c r="H616" s="2713">
        <v>0.36</v>
      </c>
      <c r="I616" s="2713">
        <v>1.76</v>
      </c>
      <c r="J616" s="2713">
        <f t="shared" si="31"/>
        <v>1.848</v>
      </c>
      <c r="K616" s="2714">
        <f>2.5/C616</f>
        <v>0.369314404739042</v>
      </c>
      <c r="L616" s="2714">
        <f t="shared" si="33"/>
        <v>2.57731440473904</v>
      </c>
      <c r="M616" s="2713">
        <v>1.6</v>
      </c>
      <c r="N616" s="2918" t="s">
        <v>1291</v>
      </c>
    </row>
    <row r="617" s="2870" customFormat="1" spans="1:14">
      <c r="A617" s="2913" t="s">
        <v>1260</v>
      </c>
      <c r="B617" s="2907">
        <v>46174</v>
      </c>
      <c r="C617" s="2772">
        <v>6.7693</v>
      </c>
      <c r="D617" s="2772" t="s">
        <v>1290</v>
      </c>
      <c r="E617" s="2772" t="s">
        <v>1290</v>
      </c>
      <c r="F617" s="2713">
        <v>0.303687561843822</v>
      </c>
      <c r="G617" s="2713">
        <v>0.31</v>
      </c>
      <c r="H617" s="2713">
        <f>2/6.73/1.13</f>
        <v>0.262988336467278</v>
      </c>
      <c r="I617" s="2713">
        <v>1.76</v>
      </c>
      <c r="J617" s="2713">
        <v>1.848</v>
      </c>
      <c r="K617" s="2714">
        <v>0.369314404739042</v>
      </c>
      <c r="L617" s="2714">
        <v>2.57731440473904</v>
      </c>
      <c r="M617" s="2713">
        <v>1.6</v>
      </c>
      <c r="N617" s="2918" t="s">
        <v>1292</v>
      </c>
    </row>
    <row r="618" s="2870" customFormat="1" spans="1:14">
      <c r="A618" s="2925" t="s">
        <v>41</v>
      </c>
      <c r="B618" s="2907">
        <v>46175</v>
      </c>
      <c r="C618" s="2772">
        <v>6.7693</v>
      </c>
      <c r="D618" s="2772" t="s">
        <v>1293</v>
      </c>
      <c r="E618" s="2774" t="s">
        <v>1293</v>
      </c>
      <c r="F618" s="2713">
        <f>3.52/C618/1.13*1.1</f>
        <v>0.506189513327282</v>
      </c>
      <c r="G618" s="2713">
        <v>0.607427415992738</v>
      </c>
      <c r="H618" s="2818">
        <f>5.48/6.7/1.13</f>
        <v>0.72381455554088</v>
      </c>
      <c r="I618" s="2713">
        <v>1.42</v>
      </c>
      <c r="J618" s="2818">
        <v>1.3</v>
      </c>
      <c r="K618" s="2735">
        <f t="shared" ref="K618:K620" si="34">2.1/C618</f>
        <v>0.310224099980796</v>
      </c>
      <c r="L618" s="2735">
        <f t="shared" ref="L618:L620" si="35">SUBTOTAL(109,H618,J618,K618)</f>
        <v>2.33403865552168</v>
      </c>
      <c r="M618" s="2713">
        <v>1.16</v>
      </c>
      <c r="N618" s="2926" t="s">
        <v>1289</v>
      </c>
    </row>
    <row r="619" s="2870" customFormat="1" spans="1:14">
      <c r="A619" s="2913" t="s">
        <v>41</v>
      </c>
      <c r="B619" s="2907">
        <v>46175</v>
      </c>
      <c r="C619" s="2772">
        <v>6.7693</v>
      </c>
      <c r="D619" s="2772" t="s">
        <v>1294</v>
      </c>
      <c r="E619" s="2901" t="s">
        <v>1294</v>
      </c>
      <c r="F619" s="2888">
        <f>4.12/C619/1.13*1.1</f>
        <v>0.592471816735342</v>
      </c>
      <c r="G619" s="2888">
        <v>0.71096618008241</v>
      </c>
      <c r="H619" s="2888">
        <f>5.48/6.75/1.13</f>
        <v>0.718452966240577</v>
      </c>
      <c r="I619" s="2888">
        <v>1.2</v>
      </c>
      <c r="J619" s="2713">
        <v>1.2</v>
      </c>
      <c r="K619" s="2889">
        <f t="shared" si="34"/>
        <v>0.310224099980796</v>
      </c>
      <c r="L619" s="2714">
        <f t="shared" si="35"/>
        <v>2.22867706622137</v>
      </c>
      <c r="M619" s="2713">
        <v>1.16</v>
      </c>
      <c r="N619" s="2918" t="s">
        <v>1270</v>
      </c>
    </row>
    <row r="620" s="2870" customFormat="1" spans="1:14">
      <c r="A620" s="2913" t="s">
        <v>41</v>
      </c>
      <c r="B620" s="2907">
        <v>46175</v>
      </c>
      <c r="C620" s="2772">
        <v>6.73</v>
      </c>
      <c r="D620" s="2772" t="s">
        <v>1294</v>
      </c>
      <c r="E620" s="2901" t="s">
        <v>1294</v>
      </c>
      <c r="F620" s="2888">
        <f>4.12/C620/1.13*1.1</f>
        <v>0.595931570434851</v>
      </c>
      <c r="G620" s="2888">
        <v>0.71096618008241</v>
      </c>
      <c r="H620" s="2888">
        <f>3.52/6.75/1.13</f>
        <v>0.461488036709276</v>
      </c>
      <c r="I620" s="2888">
        <v>1.2</v>
      </c>
      <c r="J620" s="2713">
        <v>1.13</v>
      </c>
      <c r="K620" s="2889">
        <f t="shared" si="34"/>
        <v>0.312035661218425</v>
      </c>
      <c r="L620" s="2714">
        <f t="shared" si="35"/>
        <v>1.9035236979277</v>
      </c>
      <c r="M620" s="2713">
        <v>1.16</v>
      </c>
      <c r="N620" s="2918" t="s">
        <v>1295</v>
      </c>
    </row>
    <row r="621" s="2870" customFormat="1" spans="1:14">
      <c r="A621" s="2913" t="s">
        <v>39</v>
      </c>
      <c r="B621" s="2907">
        <v>46175</v>
      </c>
      <c r="C621" s="2772">
        <v>6.75</v>
      </c>
      <c r="D621" s="176" t="s">
        <v>1296</v>
      </c>
      <c r="E621" s="176" t="s">
        <v>1297</v>
      </c>
      <c r="F621" s="2713">
        <f>9.26/C621/1.13</f>
        <v>1.21402818747952</v>
      </c>
      <c r="G621" s="2713">
        <f>9.26/6.78/1.13*1.1</f>
        <v>1.32952201947425</v>
      </c>
      <c r="H621" s="2713">
        <f>12.85/C621/1.13*1.05</f>
        <v>1.76892822025565</v>
      </c>
      <c r="I621" s="2713">
        <f>10.31*1.05</f>
        <v>10.8255</v>
      </c>
      <c r="J621" s="2713">
        <v>10.4</v>
      </c>
      <c r="K621" s="2714">
        <f>6/C621</f>
        <v>0.888888888888889</v>
      </c>
      <c r="L621" s="2714">
        <f t="shared" ref="L621:L648" si="36">SUBTOTAL(109,H621,J621,K621)</f>
        <v>13.0578171091445</v>
      </c>
      <c r="M621" s="2713">
        <v>10.1</v>
      </c>
      <c r="N621" s="176"/>
    </row>
    <row r="622" s="2870" customFormat="1" spans="1:14">
      <c r="A622" s="2913" t="s">
        <v>1298</v>
      </c>
      <c r="B622" s="2907">
        <v>46176</v>
      </c>
      <c r="C622" s="2772">
        <v>6.7693</v>
      </c>
      <c r="D622" s="2772" t="s">
        <v>1299</v>
      </c>
      <c r="E622" s="176" t="s">
        <v>1299</v>
      </c>
      <c r="F622" s="2713">
        <f>8/C622/1.13</f>
        <v>1.04584610191587</v>
      </c>
      <c r="G622" s="2713">
        <v>1.25501532229904</v>
      </c>
      <c r="H622" s="2713">
        <v>1.38051685452894</v>
      </c>
      <c r="I622" s="2713">
        <v>2.31</v>
      </c>
      <c r="J622" s="2713">
        <f>I622*1.05</f>
        <v>2.4255</v>
      </c>
      <c r="K622" s="2714">
        <v>0.4</v>
      </c>
      <c r="L622" s="2714">
        <f t="shared" si="36"/>
        <v>4.20601685452894</v>
      </c>
      <c r="M622" s="2713">
        <v>2.1</v>
      </c>
      <c r="N622" s="176" t="s">
        <v>1300</v>
      </c>
    </row>
    <row r="623" s="2870" customFormat="1" spans="1:14">
      <c r="A623" s="2913" t="s">
        <v>1301</v>
      </c>
      <c r="B623" s="2907">
        <v>46176</v>
      </c>
      <c r="C623" s="2772">
        <v>6.7693</v>
      </c>
      <c r="D623" s="2772" t="s">
        <v>1302</v>
      </c>
      <c r="E623" s="176" t="s">
        <v>1302</v>
      </c>
      <c r="F623" s="2713">
        <f>3.4/C623/1.13*1.2</f>
        <v>0.533381511977095</v>
      </c>
      <c r="G623" s="2713">
        <v>0.640057814372514</v>
      </c>
      <c r="H623" s="2713">
        <f>4.33/6.7/1.13*1.05</f>
        <v>0.600515123497556</v>
      </c>
      <c r="I623" s="2713">
        <v>1.43</v>
      </c>
      <c r="J623" s="2713">
        <v>1.4</v>
      </c>
      <c r="K623" s="2714">
        <f>2.5/C623</f>
        <v>0.369314404739042</v>
      </c>
      <c r="L623" s="2714">
        <f t="shared" si="36"/>
        <v>2.3698295282366</v>
      </c>
      <c r="M623" s="2713">
        <v>1.3</v>
      </c>
      <c r="N623" s="2918" t="s">
        <v>1303</v>
      </c>
    </row>
    <row r="624" s="2870" customFormat="1" spans="1:14">
      <c r="A624" s="2913" t="s">
        <v>1304</v>
      </c>
      <c r="B624" s="2907">
        <v>46176</v>
      </c>
      <c r="C624" s="2772">
        <v>6.7693</v>
      </c>
      <c r="D624" s="176" t="s">
        <v>1305</v>
      </c>
      <c r="E624" s="176" t="s">
        <v>1305</v>
      </c>
      <c r="F624" s="2713">
        <f>3.13*1.4/C624/1.13</f>
        <v>0.572862202324419</v>
      </c>
      <c r="G624" s="2713">
        <v>0.687434642789303</v>
      </c>
      <c r="H624" s="2713">
        <v>0.756178107068233</v>
      </c>
      <c r="I624" s="2713">
        <v>3.41</v>
      </c>
      <c r="J624" s="2713">
        <f>I624*1.05</f>
        <v>3.5805</v>
      </c>
      <c r="K624" s="2714">
        <f t="shared" ref="K624:K626" si="37">3.3/C624</f>
        <v>0.487495014255536</v>
      </c>
      <c r="L624" s="2714">
        <f t="shared" si="36"/>
        <v>4.82417312132377</v>
      </c>
      <c r="M624" s="2713">
        <v>3.1</v>
      </c>
      <c r="N624" s="176"/>
    </row>
    <row r="625" s="2870" customFormat="1" ht="30" customHeight="1" spans="1:14">
      <c r="A625" s="730" t="s">
        <v>104</v>
      </c>
      <c r="B625" s="2927">
        <v>46285</v>
      </c>
      <c r="C625" s="2799">
        <v>6.7</v>
      </c>
      <c r="D625" s="2799" t="s">
        <v>1306</v>
      </c>
      <c r="E625" s="2712" t="s">
        <v>1306</v>
      </c>
      <c r="F625" s="2713">
        <f>3.13/C625/1.13*1.3</f>
        <v>0.537445515783912</v>
      </c>
      <c r="G625" s="2713">
        <v>0.636845727683108</v>
      </c>
      <c r="H625" s="2713">
        <f>4.27/C625/1.13</f>
        <v>0.563994188350284</v>
      </c>
      <c r="I625" s="2713">
        <f>3.41*1.05</f>
        <v>3.5805</v>
      </c>
      <c r="J625" s="2713">
        <v>3.36</v>
      </c>
      <c r="K625" s="2714">
        <f>3.06/C625/1.13</f>
        <v>0.404173821159688</v>
      </c>
      <c r="L625" s="2714">
        <f t="shared" si="36"/>
        <v>4.32816800950997</v>
      </c>
      <c r="M625" s="2713">
        <v>3.1</v>
      </c>
      <c r="N625" s="2928" t="s">
        <v>1307</v>
      </c>
    </row>
    <row r="626" s="2870" customFormat="1" spans="1:14">
      <c r="A626" s="2913" t="s">
        <v>1308</v>
      </c>
      <c r="B626" s="2772"/>
      <c r="C626" s="2772">
        <v>6.76</v>
      </c>
      <c r="D626" s="176" t="s">
        <v>1309</v>
      </c>
      <c r="E626" s="176" t="s">
        <v>1309</v>
      </c>
      <c r="F626" s="2713">
        <f>3.47/6.76/1.13*1.2</f>
        <v>0.545111797664555</v>
      </c>
      <c r="G626" s="2713">
        <v>0.654134157197466</v>
      </c>
      <c r="H626" s="2713">
        <v>0.719547572917213</v>
      </c>
      <c r="I626" s="2713">
        <v>3.41</v>
      </c>
      <c r="J626" s="2713">
        <f t="shared" ref="J626:J636" si="38">I626*1.05</f>
        <v>3.5805</v>
      </c>
      <c r="K626" s="2714">
        <f t="shared" si="37"/>
        <v>0.488165680473373</v>
      </c>
      <c r="L626" s="2714">
        <f t="shared" si="36"/>
        <v>4.78821325339059</v>
      </c>
      <c r="M626" s="2713">
        <v>3.1</v>
      </c>
      <c r="N626" s="2918" t="s">
        <v>1310</v>
      </c>
    </row>
    <row r="627" s="2870" customFormat="1" spans="1:14">
      <c r="A627" s="2913" t="s">
        <v>1231</v>
      </c>
      <c r="B627" s="2772"/>
      <c r="C627" s="2772">
        <v>6.77</v>
      </c>
      <c r="D627" s="2772" t="s">
        <v>1311</v>
      </c>
      <c r="E627" s="176" t="s">
        <v>1311</v>
      </c>
      <c r="F627" s="2713">
        <f>3.01/6.76/1.13*1.2</f>
        <v>0.472849138608158</v>
      </c>
      <c r="G627" s="2713">
        <v>0.56741896632979</v>
      </c>
      <c r="H627" s="2713">
        <v>0.624160862962769</v>
      </c>
      <c r="I627" s="2713">
        <v>0.165</v>
      </c>
      <c r="J627" s="2713">
        <f t="shared" si="38"/>
        <v>0.17325</v>
      </c>
      <c r="K627" s="2714">
        <v>0.22</v>
      </c>
      <c r="L627" s="2714">
        <f t="shared" si="36"/>
        <v>1.01741086296277</v>
      </c>
      <c r="M627" s="2713">
        <v>0.15</v>
      </c>
      <c r="N627" s="176"/>
    </row>
    <row r="628" s="2870" customFormat="1" spans="1:14">
      <c r="A628" s="2913" t="s">
        <v>236</v>
      </c>
      <c r="B628" s="2907">
        <v>46197</v>
      </c>
      <c r="C628" s="2772">
        <v>6.7739</v>
      </c>
      <c r="D628" s="2772" t="s">
        <v>1312</v>
      </c>
      <c r="E628" s="176" t="s">
        <v>1312</v>
      </c>
      <c r="F628" s="2713">
        <f>4.7/C628/1.13*1.1</f>
        <v>0.675419070098179</v>
      </c>
      <c r="G628" s="2713">
        <v>0.810502884117815</v>
      </c>
      <c r="H628" s="2713">
        <v>0.891553172529597</v>
      </c>
      <c r="I628" s="2713">
        <v>4.84</v>
      </c>
      <c r="J628" s="2713">
        <f t="shared" si="38"/>
        <v>5.082</v>
      </c>
      <c r="K628" s="2714">
        <v>0.4</v>
      </c>
      <c r="L628" s="2714">
        <f t="shared" si="36"/>
        <v>6.3735531725296</v>
      </c>
      <c r="M628" s="2713">
        <v>4.4</v>
      </c>
      <c r="N628" s="176" t="s">
        <v>1313</v>
      </c>
    </row>
    <row r="629" s="2870" customFormat="1" spans="1:14">
      <c r="A629" s="2913" t="s">
        <v>1314</v>
      </c>
      <c r="B629" s="2907">
        <v>46197</v>
      </c>
      <c r="C629" s="2772">
        <v>6.7739</v>
      </c>
      <c r="D629" s="2772" t="s">
        <v>1315</v>
      </c>
      <c r="E629" s="176" t="s">
        <v>1315</v>
      </c>
      <c r="F629" s="2713">
        <f>3.75/C629/1.13*1.2</f>
        <v>0.587888939157022</v>
      </c>
      <c r="G629" s="2713">
        <v>0.705466726988426</v>
      </c>
      <c r="H629" s="2713">
        <v>0.776013399687269</v>
      </c>
      <c r="I629" s="2713">
        <v>1.21</v>
      </c>
      <c r="J629" s="2713">
        <f t="shared" si="38"/>
        <v>1.2705</v>
      </c>
      <c r="K629" s="2714">
        <v>0.31</v>
      </c>
      <c r="L629" s="2714">
        <f t="shared" si="36"/>
        <v>2.35651339968727</v>
      </c>
      <c r="M629" s="2713">
        <v>1.1</v>
      </c>
      <c r="N629" s="176"/>
    </row>
    <row r="630" s="2870" customFormat="1" spans="1:14">
      <c r="A630" s="2913" t="s">
        <v>1316</v>
      </c>
      <c r="B630" s="2907">
        <v>46198</v>
      </c>
      <c r="C630" s="2772">
        <v>6.7739</v>
      </c>
      <c r="D630" s="2772" t="s">
        <v>1317</v>
      </c>
      <c r="E630" s="176" t="s">
        <v>1317</v>
      </c>
      <c r="F630" s="2713">
        <f>6.47/C630/1.13</f>
        <v>0.845253652521318</v>
      </c>
      <c r="G630" s="2713">
        <v>1.01430438302558</v>
      </c>
      <c r="H630" s="2713">
        <v>1.11573482132814</v>
      </c>
      <c r="I630" s="2713">
        <f>M630*1.1</f>
        <v>4.2735</v>
      </c>
      <c r="J630" s="2713">
        <f t="shared" si="38"/>
        <v>4.487175</v>
      </c>
      <c r="K630" s="2714">
        <v>0.3</v>
      </c>
      <c r="L630" s="2714">
        <f t="shared" si="36"/>
        <v>5.90290982132814</v>
      </c>
      <c r="M630" s="2713">
        <f>3.7*1.05</f>
        <v>3.885</v>
      </c>
      <c r="N630" s="176" t="s">
        <v>1270</v>
      </c>
    </row>
    <row r="631" s="2870" customFormat="1" spans="1:14">
      <c r="A631" s="2913" t="s">
        <v>768</v>
      </c>
      <c r="B631" s="2907">
        <v>46199</v>
      </c>
      <c r="C631" s="2772">
        <v>6.7739</v>
      </c>
      <c r="D631" s="2772" t="s">
        <v>1318</v>
      </c>
      <c r="E631" s="2772" t="s">
        <v>1318</v>
      </c>
      <c r="F631" s="2713">
        <f>42.86/C631/1.13</f>
        <v>5.59931554050444</v>
      </c>
      <c r="G631" s="2713">
        <v>6.71917864860533</v>
      </c>
      <c r="H631" s="2713">
        <v>7.39109651346586</v>
      </c>
      <c r="I631" s="2713">
        <f>3.3</f>
        <v>3.3</v>
      </c>
      <c r="J631" s="2713">
        <f t="shared" si="38"/>
        <v>3.465</v>
      </c>
      <c r="K631" s="2714">
        <v>0.4</v>
      </c>
      <c r="L631" s="2714">
        <f t="shared" si="36"/>
        <v>11.2560965134659</v>
      </c>
      <c r="M631" s="2713"/>
      <c r="N631" s="176" t="s">
        <v>1319</v>
      </c>
    </row>
    <row r="632" s="2870" customFormat="1" spans="1:14">
      <c r="A632" s="2913" t="s">
        <v>1215</v>
      </c>
      <c r="B632" s="2907">
        <v>46202</v>
      </c>
      <c r="C632" s="2772">
        <v>6.8</v>
      </c>
      <c r="D632" s="2772" t="s">
        <v>1320</v>
      </c>
      <c r="E632" s="2772" t="s">
        <v>1320</v>
      </c>
      <c r="F632" s="2713">
        <f>4/C632/1.13</f>
        <v>0.520562207183759</v>
      </c>
      <c r="G632" s="2713">
        <v>0.624674648620511</v>
      </c>
      <c r="H632" s="2713">
        <v>0.687142113482562</v>
      </c>
      <c r="I632" s="2713">
        <v>1.95</v>
      </c>
      <c r="J632" s="2713">
        <f t="shared" si="38"/>
        <v>2.0475</v>
      </c>
      <c r="K632" s="2714">
        <f>2.2/C632</f>
        <v>0.323529411764706</v>
      </c>
      <c r="L632" s="2714">
        <f t="shared" si="36"/>
        <v>3.05817152524727</v>
      </c>
      <c r="M632" s="2713"/>
      <c r="N632" s="176" t="s">
        <v>1321</v>
      </c>
    </row>
    <row r="633" s="2870" customFormat="1" spans="1:14">
      <c r="A633" s="2913" t="s">
        <v>1322</v>
      </c>
      <c r="B633" s="2772"/>
      <c r="C633" s="2772">
        <v>6.78</v>
      </c>
      <c r="D633" s="2772" t="s">
        <v>1323</v>
      </c>
      <c r="E633" s="176" t="s">
        <v>1323</v>
      </c>
      <c r="F633" s="2713">
        <f>1.63*1.2/C633/1.13</f>
        <v>0.255305818779857</v>
      </c>
      <c r="G633" s="2713">
        <v>0.306366982535828</v>
      </c>
      <c r="H633" s="2713">
        <v>0.337003680789411</v>
      </c>
      <c r="I633" s="2713">
        <v>0.4</v>
      </c>
      <c r="J633" s="2713">
        <f t="shared" si="38"/>
        <v>0.42</v>
      </c>
      <c r="K633" s="2714">
        <v>0.2</v>
      </c>
      <c r="L633" s="2714">
        <f t="shared" si="36"/>
        <v>0.957003680789411</v>
      </c>
      <c r="M633" s="2713"/>
      <c r="N633" s="176"/>
    </row>
    <row r="634" s="2870" customFormat="1" spans="1:14">
      <c r="A634" s="2913" t="s">
        <v>1324</v>
      </c>
      <c r="B634" s="2772"/>
      <c r="C634" s="2772">
        <v>6.78</v>
      </c>
      <c r="D634" s="2772" t="s">
        <v>1325</v>
      </c>
      <c r="E634" s="176"/>
      <c r="F634" s="2713">
        <f>3.3/C634/1.13*1.2</f>
        <v>0.516876811026705</v>
      </c>
      <c r="G634" s="2713">
        <v>0.620252173232046</v>
      </c>
      <c r="H634" s="2713">
        <v>0.682277390555251</v>
      </c>
      <c r="I634" s="2713">
        <v>1.84</v>
      </c>
      <c r="J634" s="2713">
        <f t="shared" si="38"/>
        <v>1.932</v>
      </c>
      <c r="K634" s="2714">
        <v>0.4</v>
      </c>
      <c r="L634" s="2714">
        <f t="shared" si="36"/>
        <v>3.01427739055525</v>
      </c>
      <c r="M634" s="2713"/>
      <c r="N634" s="176"/>
    </row>
    <row r="635" s="2870" customFormat="1" spans="1:14">
      <c r="A635" s="2913" t="s">
        <v>41</v>
      </c>
      <c r="B635" s="2907">
        <v>46285</v>
      </c>
      <c r="C635" s="2772">
        <v>6.7</v>
      </c>
      <c r="D635" s="2772" t="s">
        <v>1326</v>
      </c>
      <c r="E635" s="176" t="s">
        <v>1326</v>
      </c>
      <c r="F635" s="2713">
        <f>4.45/C635/1.13*1.1</f>
        <v>0.64654603090741</v>
      </c>
      <c r="G635" s="2713">
        <v>0.766700603022946</v>
      </c>
      <c r="H635" s="2713">
        <f>4.59/C635/1.13</f>
        <v>0.606260731739532</v>
      </c>
      <c r="I635" s="2713">
        <v>1.6</v>
      </c>
      <c r="J635" s="2713">
        <f t="shared" si="38"/>
        <v>1.68</v>
      </c>
      <c r="K635" s="2714">
        <v>0.4</v>
      </c>
      <c r="L635" s="2714">
        <f t="shared" si="36"/>
        <v>2.68626073173953</v>
      </c>
      <c r="M635" s="2713"/>
      <c r="N635" s="176"/>
    </row>
    <row r="636" s="2870" customFormat="1" spans="1:14">
      <c r="A636" s="2913" t="s">
        <v>39</v>
      </c>
      <c r="B636" s="2772"/>
      <c r="C636" s="2772">
        <v>6.78</v>
      </c>
      <c r="D636" s="2772" t="s">
        <v>1327</v>
      </c>
      <c r="E636" s="176" t="s">
        <v>1327</v>
      </c>
      <c r="F636" s="2713"/>
      <c r="G636" s="2713">
        <f>14.19/C636/1.13</f>
        <v>1.85214190617903</v>
      </c>
      <c r="H636" s="2713">
        <f>12.85/6.75/1.13</f>
        <v>1.68469354310062</v>
      </c>
      <c r="I636" s="2713">
        <v>11.4</v>
      </c>
      <c r="J636" s="2713">
        <f t="shared" si="38"/>
        <v>11.97</v>
      </c>
      <c r="K636" s="2714">
        <f>6/C636</f>
        <v>0.884955752212389</v>
      </c>
      <c r="L636" s="2714">
        <f t="shared" si="36"/>
        <v>14.539649295313</v>
      </c>
      <c r="M636" s="2713"/>
      <c r="N636" s="176"/>
    </row>
    <row r="637" s="2870" customFormat="1" spans="1:14">
      <c r="A637" s="2913" t="s">
        <v>39</v>
      </c>
      <c r="B637" s="2772"/>
      <c r="C637" s="2772">
        <v>6.73</v>
      </c>
      <c r="D637" s="2772" t="s">
        <v>1327</v>
      </c>
      <c r="E637" s="2772" t="s">
        <v>1327</v>
      </c>
      <c r="F637" s="2713"/>
      <c r="G637" s="2713">
        <v>1.85214190617903</v>
      </c>
      <c r="H637" s="2713">
        <f>9.38/C637/1.13</f>
        <v>1.23341529803153</v>
      </c>
      <c r="I637" s="2713">
        <v>11.4</v>
      </c>
      <c r="J637" s="2713">
        <v>11.97</v>
      </c>
      <c r="K637" s="2714">
        <v>0.884955752212389</v>
      </c>
      <c r="L637" s="2714">
        <v>14.539649295313</v>
      </c>
      <c r="M637" s="2713"/>
      <c r="N637" s="176" t="s">
        <v>1328</v>
      </c>
    </row>
    <row r="638" s="2870" customFormat="1" spans="1:14">
      <c r="A638" s="2913" t="s">
        <v>1329</v>
      </c>
      <c r="B638" s="2772"/>
      <c r="C638" s="2772">
        <v>6.78</v>
      </c>
      <c r="D638" s="2772" t="s">
        <v>1330</v>
      </c>
      <c r="E638" s="2772" t="s">
        <v>1330</v>
      </c>
      <c r="F638" s="2713"/>
      <c r="G638" s="2713">
        <f>5.51/C638/1.13</f>
        <v>0.719189704231603</v>
      </c>
      <c r="H638" s="2713">
        <v>0.791108674654763</v>
      </c>
      <c r="I638" s="2713">
        <f>2.12*1.05</f>
        <v>2.226</v>
      </c>
      <c r="J638" s="2713">
        <f t="shared" ref="J638:J649" si="39">I638*1.05</f>
        <v>2.3373</v>
      </c>
      <c r="K638" s="2714">
        <v>0.4</v>
      </c>
      <c r="L638" s="2714">
        <f t="shared" ref="L638:L649" si="40">SUBTOTAL(109,H638,J638,K638)</f>
        <v>3.52840867465476</v>
      </c>
      <c r="M638" s="2713"/>
      <c r="N638" s="176" t="s">
        <v>1331</v>
      </c>
    </row>
    <row r="639" s="2870" customFormat="1" spans="1:14">
      <c r="A639" s="2913" t="s">
        <v>1097</v>
      </c>
      <c r="B639" s="2772"/>
      <c r="C639" s="2772">
        <v>6.78</v>
      </c>
      <c r="D639" s="2772"/>
      <c r="E639" s="2901" t="s">
        <v>1332</v>
      </c>
      <c r="F639" s="2713"/>
      <c r="G639" s="2888">
        <f>5000/50/6.78/1.13</f>
        <v>13.0524447228966</v>
      </c>
      <c r="H639" s="2713">
        <v>14.3576891951863</v>
      </c>
      <c r="I639" s="2888">
        <v>7</v>
      </c>
      <c r="J639" s="2713">
        <f t="shared" si="39"/>
        <v>7.35</v>
      </c>
      <c r="K639" s="2889">
        <f>3000/50/6.78/1.13</f>
        <v>7.83146683373796</v>
      </c>
      <c r="L639" s="2714">
        <f t="shared" si="40"/>
        <v>29.5391560289243</v>
      </c>
      <c r="M639" s="2713"/>
      <c r="N639" s="176"/>
    </row>
    <row r="640" s="2870" customFormat="1" spans="1:14">
      <c r="A640" s="2913" t="s">
        <v>1333</v>
      </c>
      <c r="B640" s="2907">
        <v>46233</v>
      </c>
      <c r="C640" s="2772">
        <v>6.78</v>
      </c>
      <c r="D640" s="2772" t="s">
        <v>1334</v>
      </c>
      <c r="E640" s="2772" t="s">
        <v>1334</v>
      </c>
      <c r="F640" s="2713"/>
      <c r="G640" s="2713">
        <v>1</v>
      </c>
      <c r="H640" s="2713">
        <v>1.1</v>
      </c>
      <c r="I640" s="2713">
        <v>2.15</v>
      </c>
      <c r="J640" s="2713">
        <f t="shared" si="39"/>
        <v>2.2575</v>
      </c>
      <c r="K640" s="2714">
        <v>0.4</v>
      </c>
      <c r="L640" s="2714">
        <f t="shared" si="40"/>
        <v>3.7575</v>
      </c>
      <c r="M640" s="2713"/>
      <c r="N640" s="176"/>
    </row>
    <row r="641" s="2870" customFormat="1" spans="1:16">
      <c r="A641" s="2913" t="s">
        <v>1097</v>
      </c>
      <c r="B641" s="2772"/>
      <c r="C641" s="2772">
        <v>6.78</v>
      </c>
      <c r="D641" s="2772" t="s">
        <v>1335</v>
      </c>
      <c r="E641" s="2772" t="s">
        <v>1335</v>
      </c>
      <c r="F641" s="2713"/>
      <c r="G641" s="2713">
        <f>7.1*1.5/6.78/1.13</f>
        <v>1.39008536298849</v>
      </c>
      <c r="H641" s="2713">
        <v>1.52909389928734</v>
      </c>
      <c r="I641" s="2713">
        <v>6.65</v>
      </c>
      <c r="J641" s="2713">
        <f t="shared" si="39"/>
        <v>6.9825</v>
      </c>
      <c r="K641" s="2714">
        <f>4/6.78</f>
        <v>0.589970501474926</v>
      </c>
      <c r="L641" s="2714">
        <f t="shared" si="40"/>
        <v>9.10156440076227</v>
      </c>
      <c r="M641" s="2713"/>
      <c r="N641" s="176"/>
    </row>
    <row r="642" s="2870" customFormat="1" spans="1:16">
      <c r="A642" s="2913" t="s">
        <v>491</v>
      </c>
      <c r="B642" s="2772"/>
      <c r="C642" s="2772">
        <v>6.78</v>
      </c>
      <c r="D642" s="2772" t="s">
        <v>1336</v>
      </c>
      <c r="E642" s="2772" t="s">
        <v>1336</v>
      </c>
      <c r="F642" s="2713"/>
      <c r="G642" s="2713"/>
      <c r="H642" s="2713">
        <f>10/C642/1.13</f>
        <v>1.30524447228966</v>
      </c>
      <c r="I642" s="2713">
        <v>1.1</v>
      </c>
      <c r="J642" s="2713">
        <f t="shared" si="39"/>
        <v>1.155</v>
      </c>
      <c r="K642" s="2714">
        <v>0.2</v>
      </c>
      <c r="L642" s="2714">
        <f t="shared" si="40"/>
        <v>2.66024447228966</v>
      </c>
      <c r="M642" s="2713"/>
      <c r="N642" s="176"/>
    </row>
    <row r="643" s="2870" customFormat="1" ht="13.2" spans="1:16">
      <c r="A643" s="2913" t="s">
        <v>1337</v>
      </c>
      <c r="B643" s="2907">
        <v>46244</v>
      </c>
      <c r="C643" s="2772">
        <v>6.75</v>
      </c>
      <c r="D643" s="2772" t="s">
        <v>1338</v>
      </c>
      <c r="E643" s="176" t="s">
        <v>1339</v>
      </c>
      <c r="F643" s="2713"/>
      <c r="G643" s="2713"/>
      <c r="H643" s="2713">
        <f>52.5/C643/1.13</f>
        <v>6.88298918387414</v>
      </c>
      <c r="I643" s="2713">
        <v>0.77</v>
      </c>
      <c r="J643" s="2713">
        <f t="shared" si="39"/>
        <v>0.8085</v>
      </c>
      <c r="K643" s="2714">
        <v>0.25</v>
      </c>
      <c r="L643" s="2714">
        <f t="shared" si="40"/>
        <v>7.94148918387414</v>
      </c>
      <c r="M643" s="2713"/>
      <c r="N643" s="2929" t="s">
        <v>1340</v>
      </c>
    </row>
    <row r="644" s="2870" customFormat="1" ht="13.2" spans="1:16">
      <c r="A644" s="2913" t="s">
        <v>1337</v>
      </c>
      <c r="B644" s="2907">
        <v>46244</v>
      </c>
      <c r="C644" s="2772">
        <v>6.75</v>
      </c>
      <c r="D644" s="2772" t="s">
        <v>1341</v>
      </c>
      <c r="E644" s="2772" t="s">
        <v>1342</v>
      </c>
      <c r="F644" s="2713"/>
      <c r="G644" s="2713"/>
      <c r="H644" s="2713">
        <f>52.5/C643/1.13</f>
        <v>6.88298918387414</v>
      </c>
      <c r="I644" s="2713">
        <v>0.35</v>
      </c>
      <c r="J644" s="2713">
        <f t="shared" si="39"/>
        <v>0.3675</v>
      </c>
      <c r="K644" s="2930">
        <v>0.2</v>
      </c>
      <c r="L644" s="2714">
        <f t="shared" si="40"/>
        <v>7.45048918387414</v>
      </c>
      <c r="M644" s="2713"/>
      <c r="N644" s="2929" t="s">
        <v>1340</v>
      </c>
    </row>
    <row r="645" s="2870" customFormat="1" ht="13.2" spans="1:16">
      <c r="A645" s="2913" t="s">
        <v>1337</v>
      </c>
      <c r="B645" s="2907">
        <v>46244</v>
      </c>
      <c r="C645" s="2772">
        <v>6.75</v>
      </c>
      <c r="D645" s="2772" t="s">
        <v>1343</v>
      </c>
      <c r="E645" s="176" t="s">
        <v>1344</v>
      </c>
      <c r="F645" s="2713"/>
      <c r="G645" s="2713"/>
      <c r="H645" s="2713">
        <f>48.07/C645/1.13</f>
        <v>6.30219600131105</v>
      </c>
      <c r="I645" s="2713">
        <v>5.77</v>
      </c>
      <c r="J645" s="2713">
        <f t="shared" si="39"/>
        <v>6.0585</v>
      </c>
      <c r="K645" s="2714">
        <f>7/C645</f>
        <v>1.03703703703704</v>
      </c>
      <c r="L645" s="2714">
        <f t="shared" si="40"/>
        <v>13.3977330383481</v>
      </c>
      <c r="M645" s="2713"/>
      <c r="N645" s="2929" t="s">
        <v>1340</v>
      </c>
    </row>
    <row r="646" s="2870" customFormat="1" spans="1:16">
      <c r="A646" s="2913" t="s">
        <v>19</v>
      </c>
      <c r="B646" s="2907">
        <v>46246</v>
      </c>
      <c r="C646" s="2772">
        <v>6.75</v>
      </c>
      <c r="D646" s="2772" t="s">
        <v>1345</v>
      </c>
      <c r="E646" s="176" t="s">
        <v>1346</v>
      </c>
      <c r="F646" s="2713"/>
      <c r="G646" s="2713"/>
      <c r="H646" s="2713">
        <f>5/C646/1.13</f>
        <v>0.655522779416585</v>
      </c>
      <c r="I646" s="2713">
        <v>2.73</v>
      </c>
      <c r="J646" s="2713">
        <f t="shared" si="39"/>
        <v>2.8665</v>
      </c>
      <c r="K646" s="2714">
        <v>0.5</v>
      </c>
      <c r="L646" s="2714">
        <f t="shared" si="40"/>
        <v>4.02202277941658</v>
      </c>
      <c r="M646" s="2713"/>
      <c r="N646" s="176"/>
    </row>
    <row r="647" s="2870" customFormat="1" spans="1:16">
      <c r="A647" s="2913" t="s">
        <v>1260</v>
      </c>
      <c r="B647" s="2907">
        <v>46269</v>
      </c>
      <c r="C647" s="2772">
        <v>6.73</v>
      </c>
      <c r="D647" s="2772"/>
      <c r="E647" s="176" t="s">
        <v>1347</v>
      </c>
      <c r="F647" s="2713"/>
      <c r="G647" s="2713"/>
      <c r="H647" s="2713">
        <v>0.35</v>
      </c>
      <c r="I647" s="2713"/>
      <c r="J647" s="2713">
        <v>1.67</v>
      </c>
      <c r="K647" s="2714">
        <v>0.369314404739042</v>
      </c>
      <c r="L647" s="2714">
        <v>2.57731440473904</v>
      </c>
      <c r="M647" s="2713"/>
      <c r="N647" s="176"/>
    </row>
    <row r="648" s="2870" customFormat="1" spans="1:16">
      <c r="A648" s="2913" t="s">
        <v>1260</v>
      </c>
      <c r="B648" s="2907">
        <v>46248</v>
      </c>
      <c r="C648" s="2772">
        <v>6.72</v>
      </c>
      <c r="D648" s="2772" t="s">
        <v>1260</v>
      </c>
      <c r="E648" s="176" t="s">
        <v>1348</v>
      </c>
      <c r="F648" s="2713"/>
      <c r="G648" s="2713"/>
      <c r="H648" s="2713">
        <f>2.2/6.72/1.13</f>
        <v>0.289717656974294</v>
      </c>
      <c r="I648" s="2713">
        <v>1.76</v>
      </c>
      <c r="J648" s="2713">
        <v>1.7</v>
      </c>
      <c r="K648" s="2714">
        <f>2.5/C648</f>
        <v>0.37202380952381</v>
      </c>
      <c r="L648" s="2714">
        <f>SUBTOTAL(109,H648,J648,K648)</f>
        <v>2.3617414664981</v>
      </c>
      <c r="M648" s="2713"/>
      <c r="N648" s="176"/>
    </row>
    <row r="649" s="2870" customFormat="1" spans="1:16">
      <c r="A649" s="2913" t="s">
        <v>1349</v>
      </c>
      <c r="B649" s="2907">
        <v>46251</v>
      </c>
      <c r="C649" s="2772">
        <v>6.75</v>
      </c>
      <c r="D649" s="2772" t="s">
        <v>1349</v>
      </c>
      <c r="E649" s="176" t="s">
        <v>1350</v>
      </c>
      <c r="F649" s="2713"/>
      <c r="G649" s="2713"/>
      <c r="H649" s="2713">
        <f>1.96/C649/1.13*1.1</f>
        <v>0.282661422484431</v>
      </c>
      <c r="I649" s="2713">
        <v>2.92</v>
      </c>
      <c r="J649" s="2713">
        <f>I649*1.05</f>
        <v>3.066</v>
      </c>
      <c r="K649" s="2714">
        <v>0.3</v>
      </c>
      <c r="L649" s="2714">
        <f>SUBTOTAL(109,H649,J649,K649)</f>
        <v>3.64866142248443</v>
      </c>
      <c r="M649" s="2713"/>
      <c r="N649" s="176"/>
    </row>
    <row r="650" s="2870" customFormat="1" spans="1:16">
      <c r="A650" s="2913" t="s">
        <v>1351</v>
      </c>
      <c r="B650" s="2907">
        <v>46253</v>
      </c>
      <c r="C650" s="2772">
        <v>6.75</v>
      </c>
      <c r="D650" s="2772" t="s">
        <v>1351</v>
      </c>
      <c r="E650" s="176" t="s">
        <v>1352</v>
      </c>
      <c r="F650" s="2713"/>
      <c r="G650" s="2713"/>
      <c r="H650" s="2713">
        <f>4.68/C650/1.13*1.05</f>
        <v>0.64424778761062</v>
      </c>
      <c r="I650" s="2713">
        <v>2.1</v>
      </c>
      <c r="J650" s="2713">
        <f>I650*1.05</f>
        <v>2.205</v>
      </c>
      <c r="K650" s="2714">
        <v>0.4</v>
      </c>
      <c r="L650" s="2714">
        <f>SUBTOTAL(109,H650,J650,K650)</f>
        <v>3.24924778761062</v>
      </c>
      <c r="M650" s="2713"/>
      <c r="N650" s="176"/>
    </row>
    <row r="651" s="2870" customFormat="1" spans="1:16">
      <c r="A651" s="2913" t="s">
        <v>1353</v>
      </c>
      <c r="B651" s="2907">
        <v>46266</v>
      </c>
      <c r="C651" s="2772">
        <v>6.73</v>
      </c>
      <c r="D651" s="2772" t="s">
        <v>1353</v>
      </c>
      <c r="E651" s="176" t="s">
        <v>1354</v>
      </c>
      <c r="F651" s="2713"/>
      <c r="G651" s="2713"/>
      <c r="H651" s="2713">
        <f>6.14*1.2/C651/1.13</f>
        <v>0.968849031545451</v>
      </c>
      <c r="I651" s="2713"/>
      <c r="J651" s="2713">
        <v>10.53</v>
      </c>
      <c r="K651" s="2714">
        <f>6/C651</f>
        <v>0.891530460624071</v>
      </c>
      <c r="L651" s="2931">
        <f t="shared" ref="L651:L656" si="41">H651+J651+K651</f>
        <v>12.3903794921695</v>
      </c>
      <c r="M651" s="2713"/>
      <c r="N651" s="176"/>
    </row>
    <row r="652" s="2870" customFormat="1" spans="1:16">
      <c r="A652" s="2913" t="s">
        <v>1355</v>
      </c>
      <c r="B652" s="2907">
        <v>46266</v>
      </c>
      <c r="C652" s="2772">
        <v>6.73</v>
      </c>
      <c r="D652" s="2772" t="s">
        <v>1353</v>
      </c>
      <c r="E652" s="176" t="s">
        <v>1356</v>
      </c>
      <c r="F652" s="2713"/>
      <c r="G652" s="2713"/>
      <c r="H652" s="2713">
        <f>3.6/C652/1.13</f>
        <v>0.4733790056411</v>
      </c>
      <c r="I652" s="2713"/>
      <c r="J652" s="2713">
        <v>2.5</v>
      </c>
      <c r="K652" s="2714">
        <f>2.75/C652</f>
        <v>0.408618127786033</v>
      </c>
      <c r="L652" s="2931">
        <f t="shared" si="41"/>
        <v>3.38199713342713</v>
      </c>
      <c r="M652" s="2713"/>
      <c r="N652" s="176" t="s">
        <v>1357</v>
      </c>
      <c r="P652" s="2870">
        <f>O653/P653</f>
        <v>0</v>
      </c>
    </row>
    <row r="653" s="2870" customFormat="1" spans="1:16">
      <c r="A653" s="2913" t="s">
        <v>1355</v>
      </c>
      <c r="B653" s="2907">
        <v>46266</v>
      </c>
      <c r="C653" s="2772">
        <v>6.73</v>
      </c>
      <c r="D653" s="2772" t="s">
        <v>1355</v>
      </c>
      <c r="E653" s="176" t="s">
        <v>1358</v>
      </c>
      <c r="F653" s="2713"/>
      <c r="G653" s="2713"/>
      <c r="H653" s="2713">
        <f>7.76/C653/1.13</f>
        <v>1.02039474549304</v>
      </c>
      <c r="I653" s="2713"/>
      <c r="J653" s="2713">
        <v>8.53</v>
      </c>
      <c r="K653" s="2714">
        <f>4/6.73</f>
        <v>0.594353640416048</v>
      </c>
      <c r="L653" s="2931">
        <f t="shared" si="41"/>
        <v>10.1447483859091</v>
      </c>
      <c r="M653" s="2713"/>
      <c r="N653" s="176" t="s">
        <v>1359</v>
      </c>
      <c r="P653" s="2870">
        <v>150</v>
      </c>
    </row>
    <row r="654" s="2870" customFormat="1" spans="1:16">
      <c r="A654" s="2913" t="s">
        <v>1355</v>
      </c>
      <c r="B654" s="2907">
        <v>46266</v>
      </c>
      <c r="C654" s="2772">
        <v>6.73</v>
      </c>
      <c r="D654" s="2772" t="s">
        <v>1355</v>
      </c>
      <c r="E654" s="176" t="s">
        <v>1360</v>
      </c>
      <c r="F654" s="2713"/>
      <c r="G654" s="2713"/>
      <c r="H654" s="2713">
        <f>3.06/C654/1.13*1.1</f>
        <v>0.442609370274428</v>
      </c>
      <c r="I654" s="2713"/>
      <c r="J654" s="2713">
        <v>2.08</v>
      </c>
      <c r="K654" s="2714">
        <v>0.4</v>
      </c>
      <c r="L654" s="2931">
        <f t="shared" si="41"/>
        <v>2.92260937027443</v>
      </c>
      <c r="M654" s="2713"/>
      <c r="N654" s="176"/>
    </row>
    <row r="655" s="2870" customFormat="1" spans="1:16">
      <c r="A655" s="2913" t="s">
        <v>1355</v>
      </c>
      <c r="B655" s="2907">
        <v>46266</v>
      </c>
      <c r="C655" s="2772">
        <v>6.73</v>
      </c>
      <c r="D655" s="2772" t="s">
        <v>1355</v>
      </c>
      <c r="E655" s="176" t="s">
        <v>1361</v>
      </c>
      <c r="F655" s="2713"/>
      <c r="G655" s="2713"/>
      <c r="H655" s="2713">
        <f>3.06/C655/1.13*1.1</f>
        <v>0.442609370274428</v>
      </c>
      <c r="I655" s="2713"/>
      <c r="J655" s="2713">
        <v>2.01</v>
      </c>
      <c r="K655" s="2714">
        <v>0.4</v>
      </c>
      <c r="L655" s="2931">
        <f t="shared" si="41"/>
        <v>2.85260937027443</v>
      </c>
      <c r="M655" s="2713"/>
      <c r="N655" s="176"/>
    </row>
    <row r="656" s="2870" customFormat="1" spans="1:16">
      <c r="A656" s="2925" t="s">
        <v>1362</v>
      </c>
      <c r="B656" s="2907">
        <v>46286</v>
      </c>
      <c r="C656" s="2772">
        <v>6.7</v>
      </c>
      <c r="D656" s="2772"/>
      <c r="E656" s="2816" t="s">
        <v>1363</v>
      </c>
      <c r="F656" s="2713"/>
      <c r="G656" s="2713"/>
      <c r="H656" s="2818">
        <f>14.9/6.73/1.13</f>
        <v>1.95926310668122</v>
      </c>
      <c r="I656" s="2713"/>
      <c r="J656" s="2818">
        <v>11.96</v>
      </c>
      <c r="K656" s="2735">
        <f>5.5/6.73</f>
        <v>0.817236255572065</v>
      </c>
      <c r="L656" s="2932">
        <f t="shared" si="41"/>
        <v>14.7364993622533</v>
      </c>
      <c r="M656" s="2713"/>
      <c r="N656" s="176"/>
    </row>
    <row r="657" s="2870" customFormat="1" ht="14.4" spans="1:14">
      <c r="A657" s="2913" t="s">
        <v>236</v>
      </c>
      <c r="B657" s="2772">
        <v>20251128</v>
      </c>
      <c r="C657" s="2772">
        <v>6.837</v>
      </c>
      <c r="D657" s="917" t="s">
        <v>1170</v>
      </c>
      <c r="E657" s="917" t="s">
        <v>1171</v>
      </c>
      <c r="F657" s="2713">
        <v>0.547343676696938</v>
      </c>
      <c r="G657" s="2713">
        <f>0.656812412036326+4/6.78/1.13</f>
        <v>1.17891020095219</v>
      </c>
      <c r="H657" s="2713">
        <f>11.29/6.73/1.13</f>
        <v>1.48456915935778</v>
      </c>
      <c r="I657" s="2713">
        <v>3.40400950626327</v>
      </c>
      <c r="J657" s="2713">
        <f>I657*1.05</f>
        <v>3.57420998157643</v>
      </c>
      <c r="K657" s="2714">
        <v>0.4</v>
      </c>
      <c r="L657" s="2714">
        <f t="shared" ref="L657:L668" si="42">SUBTOTAL(109,H657,J657,K657)</f>
        <v>5.45877914093421</v>
      </c>
      <c r="M657" s="2713"/>
      <c r="N657" s="176" t="s">
        <v>1364</v>
      </c>
    </row>
    <row r="658" s="2870" customFormat="1" ht="14.4" spans="1:14">
      <c r="A658" s="2913" t="s">
        <v>236</v>
      </c>
      <c r="B658" s="2933">
        <v>46275</v>
      </c>
      <c r="C658" s="2713">
        <v>6.72</v>
      </c>
      <c r="D658" s="2713">
        <v>3.57420998157643</v>
      </c>
      <c r="E658" s="917" t="s">
        <v>1171</v>
      </c>
      <c r="F658" s="2713">
        <v>0.547343676696938</v>
      </c>
      <c r="G658" s="2713">
        <f>0.656812412036326+4/6.78/1.13</f>
        <v>1.17891020095219</v>
      </c>
      <c r="H658" s="2713">
        <f>7/C658/1.13+600/700/6.73/1.13</f>
        <v>1.03453819561198</v>
      </c>
      <c r="I658" s="2713">
        <v>3.40400950626327</v>
      </c>
      <c r="J658" s="2713">
        <f>I658*1.05</f>
        <v>3.57420998157643</v>
      </c>
      <c r="K658" s="2714">
        <v>0.4</v>
      </c>
      <c r="L658" s="2714">
        <f>K658+J658+H658</f>
        <v>5.00874817718841</v>
      </c>
      <c r="M658" s="2713"/>
      <c r="N658" s="2918" t="s">
        <v>1365</v>
      </c>
    </row>
    <row r="659" s="2870" customFormat="1" spans="1:14">
      <c r="A659" s="2913" t="s">
        <v>1366</v>
      </c>
      <c r="B659" s="2772"/>
      <c r="C659" s="2772"/>
      <c r="D659" s="2772"/>
      <c r="E659" s="176" t="s">
        <v>1367</v>
      </c>
      <c r="F659" s="2713"/>
      <c r="G659" s="2713"/>
      <c r="H659" s="2713">
        <v>2.92</v>
      </c>
      <c r="I659" s="2713"/>
      <c r="J659" s="2713">
        <v>9.82</v>
      </c>
      <c r="K659" s="2714">
        <v>0.76</v>
      </c>
      <c r="L659" s="2714">
        <f t="shared" si="42"/>
        <v>13.5</v>
      </c>
      <c r="M659" s="2713"/>
      <c r="N659" s="176" t="s">
        <v>1368</v>
      </c>
    </row>
    <row r="660" spans="1:14">
      <c r="A660" s="2913" t="s">
        <v>41</v>
      </c>
      <c r="B660" s="2907">
        <v>46273</v>
      </c>
      <c r="C660" s="2772">
        <v>6.72</v>
      </c>
      <c r="D660" s="2772"/>
      <c r="E660" s="176" t="s">
        <v>1369</v>
      </c>
      <c r="F660" s="2713"/>
      <c r="G660" s="2713"/>
      <c r="H660" s="2713">
        <f>0.675972591989675+2/6.73/1.13</f>
        <v>0.938960928456953</v>
      </c>
      <c r="I660" s="2713"/>
      <c r="J660" s="2713">
        <v>1.62</v>
      </c>
      <c r="K660" s="2714">
        <f>2.75/C660</f>
        <v>0.40922619047619</v>
      </c>
      <c r="L660" s="2931">
        <f>K660+J660+H660</f>
        <v>2.96818711893314</v>
      </c>
      <c r="M660" s="2713"/>
      <c r="N660" s="2918" t="s">
        <v>1370</v>
      </c>
    </row>
    <row r="661" spans="1:14">
      <c r="A661" s="2913" t="s">
        <v>1260</v>
      </c>
      <c r="B661" s="2934">
        <v>46275</v>
      </c>
      <c r="C661" s="2872">
        <v>6.72</v>
      </c>
      <c r="E661" s="176" t="s">
        <v>1371</v>
      </c>
      <c r="H661" s="2713">
        <f>3.75/C661/1.13</f>
        <v>0.493836915297092</v>
      </c>
      <c r="J661" s="2713">
        <v>1.1</v>
      </c>
      <c r="K661" s="2714">
        <f>2.5/C661</f>
        <v>0.37202380952381</v>
      </c>
      <c r="L661" s="2714">
        <f t="shared" si="42"/>
        <v>1.9658607248209</v>
      </c>
    </row>
    <row r="662" spans="1:14">
      <c r="A662" s="2913" t="s">
        <v>1372</v>
      </c>
      <c r="B662" s="2934">
        <v>46275</v>
      </c>
      <c r="C662" s="2872">
        <v>6.72</v>
      </c>
      <c r="E662" s="176" t="s">
        <v>1373</v>
      </c>
      <c r="H662" s="2713">
        <f>1000/40/C662/1.13</f>
        <v>3.29224610198062</v>
      </c>
      <c r="J662" s="2713">
        <v>0.06</v>
      </c>
      <c r="K662" s="2714">
        <v>0.2</v>
      </c>
      <c r="L662" s="2714">
        <f t="shared" si="42"/>
        <v>3.55224610198062</v>
      </c>
      <c r="N662" s="176" t="s">
        <v>1374</v>
      </c>
    </row>
    <row r="663" spans="1:14">
      <c r="A663" s="2913" t="s">
        <v>1375</v>
      </c>
      <c r="B663" s="2934">
        <v>46275</v>
      </c>
      <c r="C663" s="2872">
        <v>6.72</v>
      </c>
      <c r="E663" s="176" t="s">
        <v>1376</v>
      </c>
      <c r="H663" s="2713">
        <f>2500/40/C663/1.13</f>
        <v>8.23061525495154</v>
      </c>
      <c r="J663" s="2713">
        <v>12</v>
      </c>
      <c r="K663" s="2714">
        <f>5/C663</f>
        <v>0.744047619047619</v>
      </c>
      <c r="L663" s="2714">
        <f t="shared" si="42"/>
        <v>20.9746628739992</v>
      </c>
      <c r="N663" s="176" t="s">
        <v>1377</v>
      </c>
    </row>
    <row r="664" spans="1:14">
      <c r="A664" s="2913" t="s">
        <v>1378</v>
      </c>
      <c r="B664" s="2934">
        <v>46275</v>
      </c>
      <c r="C664" s="2872">
        <v>6.72</v>
      </c>
      <c r="E664" s="176" t="s">
        <v>1379</v>
      </c>
      <c r="H664" s="2713">
        <f>(65*7.7+40*37.5)/105/C664/1.13</f>
        <v>2.50900507695704</v>
      </c>
      <c r="J664" s="2713">
        <v>0.37</v>
      </c>
      <c r="K664" s="2714">
        <v>0.2</v>
      </c>
      <c r="L664" s="2714">
        <f t="shared" si="42"/>
        <v>3.07900507695704</v>
      </c>
      <c r="N664" s="176" t="s">
        <v>1380</v>
      </c>
    </row>
    <row r="665" spans="1:14">
      <c r="A665" s="2913" t="s">
        <v>1381</v>
      </c>
      <c r="B665" s="2934">
        <v>46275</v>
      </c>
      <c r="C665" s="2872">
        <v>6.72</v>
      </c>
      <c r="E665" s="176" t="s">
        <v>1382</v>
      </c>
      <c r="H665" s="2713">
        <f>42.28/C665/1.13</f>
        <v>5.56784660766962</v>
      </c>
      <c r="J665" s="2713">
        <v>5.6</v>
      </c>
      <c r="K665" s="2714">
        <f>5/C665</f>
        <v>0.744047619047619</v>
      </c>
      <c r="L665" s="2714">
        <f t="shared" si="42"/>
        <v>11.9118942267172</v>
      </c>
      <c r="N665" s="176" t="s">
        <v>1383</v>
      </c>
    </row>
    <row r="666" spans="1:14">
      <c r="A666" s="2871" t="s">
        <v>1384</v>
      </c>
      <c r="E666" s="2870" t="s">
        <v>1385</v>
      </c>
      <c r="H666" s="2873">
        <f>3.4/6.7/1.13</f>
        <v>0.449082023510765</v>
      </c>
      <c r="J666" s="2873">
        <v>1.95</v>
      </c>
      <c r="K666" s="2874">
        <v>0.4</v>
      </c>
      <c r="L666" s="2739">
        <f t="shared" si="42"/>
        <v>2.79908202351076</v>
      </c>
    </row>
    <row r="667" spans="1:14">
      <c r="A667" s="2913" t="s">
        <v>41</v>
      </c>
      <c r="B667" s="2934">
        <v>46281</v>
      </c>
      <c r="C667" s="2872">
        <v>6.7</v>
      </c>
      <c r="E667" s="176" t="s">
        <v>1386</v>
      </c>
      <c r="H667" s="2713">
        <f>3/6.7/1.13</f>
        <v>0.396248844274204</v>
      </c>
      <c r="J667" s="2713">
        <v>1.6</v>
      </c>
      <c r="K667" s="2714">
        <v>0.3</v>
      </c>
      <c r="L667" s="2714">
        <f t="shared" si="42"/>
        <v>2.2962488442742</v>
      </c>
    </row>
    <row r="668" spans="1:14">
      <c r="A668" s="2935" t="s">
        <v>455</v>
      </c>
      <c r="E668" s="2936" t="s">
        <v>1387</v>
      </c>
      <c r="H668" s="2794">
        <f>10/6.7/1.13</f>
        <v>1.32082948091401</v>
      </c>
      <c r="J668" s="2794">
        <v>4.1</v>
      </c>
      <c r="K668" s="2739">
        <f>4/6.7/1.13</f>
        <v>0.528331792365606</v>
      </c>
      <c r="L668" s="2739">
        <f t="shared" si="42"/>
        <v>5.94916127327962</v>
      </c>
    </row>
    <row r="669" spans="1:14">
      <c r="A669" s="2913" t="s">
        <v>1260</v>
      </c>
      <c r="B669" s="2907">
        <v>46282</v>
      </c>
      <c r="C669" s="2772">
        <v>6.7</v>
      </c>
      <c r="D669" s="2772"/>
      <c r="E669" s="176" t="s">
        <v>1388</v>
      </c>
      <c r="F669" s="2713"/>
      <c r="G669" s="2713"/>
      <c r="H669" s="2713">
        <f>3.75/6.7/1.13</f>
        <v>0.495311055342755</v>
      </c>
      <c r="I669" s="2713"/>
      <c r="J669" s="2713">
        <v>1.42</v>
      </c>
      <c r="K669" s="2714">
        <f t="shared" ref="K669:K674" si="43">2.5/C669</f>
        <v>0.373134328358209</v>
      </c>
      <c r="L669" s="2931">
        <f t="shared" ref="L669:L674" si="44">K669+H669+J669</f>
        <v>2.28844538370096</v>
      </c>
      <c r="N669" s="2870" t="s">
        <v>1389</v>
      </c>
    </row>
    <row r="670" spans="1:14">
      <c r="A670" s="2913" t="s">
        <v>1260</v>
      </c>
      <c r="B670" s="2907">
        <v>46282</v>
      </c>
      <c r="C670" s="2772">
        <v>6.7</v>
      </c>
      <c r="D670" s="2772"/>
      <c r="E670" s="176" t="s">
        <v>1390</v>
      </c>
      <c r="F670" s="2713"/>
      <c r="G670" s="2713"/>
      <c r="H670" s="2713">
        <f>3.75/6.7/1.13</f>
        <v>0.495311055342755</v>
      </c>
      <c r="I670" s="2713"/>
      <c r="J670" s="2713">
        <v>1.52</v>
      </c>
      <c r="K670" s="2714">
        <f t="shared" si="43"/>
        <v>0.373134328358209</v>
      </c>
      <c r="L670" s="2931">
        <f t="shared" si="44"/>
        <v>2.38844538370096</v>
      </c>
      <c r="N670" s="2870" t="s">
        <v>1389</v>
      </c>
    </row>
    <row r="671" spans="1:14">
      <c r="A671" s="2871" t="s">
        <v>1391</v>
      </c>
      <c r="B671" s="2934">
        <v>46285</v>
      </c>
      <c r="C671" s="2872">
        <v>6.7</v>
      </c>
      <c r="E671" s="2870" t="s">
        <v>1392</v>
      </c>
      <c r="H671" s="2873">
        <f>22/C671/1.13</f>
        <v>2.90582485801083</v>
      </c>
      <c r="J671" s="2873">
        <v>0.23</v>
      </c>
      <c r="K671" s="2874">
        <v>0.2</v>
      </c>
      <c r="L671" s="2937">
        <f t="shared" si="44"/>
        <v>3.33582485801083</v>
      </c>
      <c r="N671" s="2870" t="s">
        <v>1393</v>
      </c>
    </row>
    <row r="672" spans="1:14">
      <c r="A672" s="2925" t="s">
        <v>1394</v>
      </c>
      <c r="B672" s="2934">
        <v>46286</v>
      </c>
      <c r="C672" s="2872">
        <v>6.7</v>
      </c>
      <c r="D672" s="2872" t="s">
        <v>1395</v>
      </c>
      <c r="E672" s="2816" t="s">
        <v>1396</v>
      </c>
      <c r="H672" s="2818">
        <f>10.1/C672/1.13*1.05</f>
        <v>1.40073966450931</v>
      </c>
      <c r="J672" s="2818">
        <v>8.66</v>
      </c>
      <c r="K672" s="2735">
        <f>4.5/C673</f>
        <v>0.671641791044776</v>
      </c>
      <c r="L672" s="2932">
        <f t="shared" si="44"/>
        <v>10.7323814555541</v>
      </c>
    </row>
    <row r="673" spans="1:14">
      <c r="A673" s="2925" t="s">
        <v>1394</v>
      </c>
      <c r="B673" s="2934">
        <v>46286</v>
      </c>
      <c r="C673" s="2872">
        <v>6.7</v>
      </c>
      <c r="D673" s="2872" t="s">
        <v>1397</v>
      </c>
      <c r="E673" s="2816" t="s">
        <v>1398</v>
      </c>
      <c r="H673" s="2818">
        <f>3.31/C673/1.13*1.05</f>
        <v>0.459054286091666</v>
      </c>
      <c r="J673" s="2818">
        <v>2</v>
      </c>
      <c r="K673" s="2735">
        <f>2/C673</f>
        <v>0.298507462686567</v>
      </c>
      <c r="L673" s="2932">
        <f t="shared" si="44"/>
        <v>2.75756174877823</v>
      </c>
    </row>
    <row r="674" spans="1:14">
      <c r="A674" s="2938" t="s">
        <v>1260</v>
      </c>
      <c r="B674" s="2934">
        <v>46287</v>
      </c>
      <c r="C674" s="2872">
        <v>6.7</v>
      </c>
      <c r="E674" s="2939" t="s">
        <v>1399</v>
      </c>
      <c r="H674" s="2940">
        <f>3.75/C674/1.13</f>
        <v>0.495311055342755</v>
      </c>
      <c r="J674" s="2940">
        <v>1.74</v>
      </c>
      <c r="K674" s="2941">
        <f t="shared" si="43"/>
        <v>0.373134328358209</v>
      </c>
      <c r="L674" s="2941">
        <f t="shared" si="44"/>
        <v>2.60844538370096</v>
      </c>
      <c r="N674" s="2939" t="s">
        <v>1400</v>
      </c>
    </row>
  </sheetData>
  <mergeCells count="12">
    <mergeCell ref="A22:A23"/>
    <mergeCell ref="A413:A415"/>
    <mergeCell ref="A435:A445"/>
    <mergeCell ref="A457:A460"/>
    <mergeCell ref="A462:A463"/>
    <mergeCell ref="A464:A471"/>
    <mergeCell ref="A472:A474"/>
    <mergeCell ref="A475:A476"/>
    <mergeCell ref="A477:A480"/>
    <mergeCell ref="A481:A483"/>
    <mergeCell ref="A487:A488"/>
    <mergeCell ref="A489:A490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0000"/>
  </sheetPr>
  <dimension ref="A1:V820"/>
  <sheetViews>
    <sheetView zoomScale="70" zoomScaleNormal="70" workbookViewId="0">
      <pane ySplit="2" topLeftCell="A507" activePane="bottomLeft" state="frozen"/>
      <selection/>
      <selection pane="bottomLeft" activeCell="C668" sqref="C668"/>
    </sheetView>
  </sheetViews>
  <sheetFormatPr defaultColWidth="9" defaultRowHeight="11.4"/>
  <cols>
    <col min="1" max="1" width="5.5" style="2692" customWidth="1"/>
    <col min="2" max="2" width="16.9074074074074" style="2695" customWidth="1"/>
    <col min="3" max="3" width="13.3703703703704" style="2696" hidden="1" customWidth="1"/>
    <col min="4" max="5" width="5.66666666666667" style="2696" hidden="1" customWidth="1"/>
    <col min="6" max="6" width="21.1759259259259" style="2696" customWidth="1"/>
    <col min="7" max="7" width="37.1851851851852" style="2692" customWidth="1"/>
    <col min="8" max="8" width="6.75" style="2697" customWidth="1"/>
    <col min="9" max="9" width="10" style="2698" customWidth="1"/>
    <col min="10" max="10" width="6.91666666666667" style="2699" customWidth="1"/>
    <col min="11" max="11" width="11.8611111111111" style="2700" customWidth="1"/>
    <col min="12" max="12" width="84.6759259259259" style="2692" customWidth="1"/>
    <col min="13" max="15" width="9" style="2692"/>
    <col min="16" max="16" width="11.3333333333333" style="2692"/>
    <col min="17" max="17" width="9" style="2692"/>
    <col min="18" max="18" width="12.6944444444444" style="2692" customWidth="1"/>
    <col min="19" max="16372" width="9" style="2692"/>
    <col min="16373" max="16384" width="9" style="2701"/>
  </cols>
  <sheetData>
    <row r="1" s="74" customFormat="1" ht="14" customHeight="1" spans="1:13">
      <c r="A1" s="2702"/>
      <c r="B1" s="195" t="s">
        <v>1401</v>
      </c>
      <c r="C1" s="2703"/>
      <c r="D1" s="2703"/>
      <c r="E1" s="2703"/>
      <c r="F1" s="2703"/>
      <c r="G1" s="2704"/>
      <c r="H1" s="2705"/>
      <c r="I1" s="62"/>
      <c r="J1" s="63"/>
      <c r="K1" s="2706"/>
      <c r="L1" s="79"/>
      <c r="M1" s="74" t="s">
        <v>1402</v>
      </c>
    </row>
    <row r="2" s="2676" customFormat="1" ht="26" customHeight="1" spans="1:13">
      <c r="A2" s="2707" t="s">
        <v>1403</v>
      </c>
      <c r="B2" s="2708"/>
      <c r="C2" s="205" t="s">
        <v>2</v>
      </c>
      <c r="D2" s="224" t="s">
        <v>3</v>
      </c>
      <c r="E2" s="224" t="s">
        <v>1404</v>
      </c>
      <c r="F2" s="206" t="s">
        <v>4</v>
      </c>
      <c r="G2" s="52" t="s">
        <v>5</v>
      </c>
      <c r="H2" s="52" t="s">
        <v>6</v>
      </c>
      <c r="I2" s="52" t="s">
        <v>7</v>
      </c>
      <c r="J2" s="52" t="s">
        <v>8</v>
      </c>
      <c r="K2" s="52" t="s">
        <v>9</v>
      </c>
      <c r="L2" s="75" t="s">
        <v>10</v>
      </c>
    </row>
    <row r="3" s="2677" customFormat="1" ht="13.2" spans="1:13">
      <c r="A3" s="2709"/>
      <c r="B3" s="730"/>
      <c r="C3" s="2710">
        <v>20250113</v>
      </c>
      <c r="D3" s="2711">
        <v>7.3</v>
      </c>
      <c r="E3" s="2711">
        <v>7.17</v>
      </c>
      <c r="F3" s="2711" t="s">
        <v>12</v>
      </c>
      <c r="G3" s="2712" t="s">
        <v>13</v>
      </c>
      <c r="H3" s="2713">
        <v>0.69307483111278</v>
      </c>
      <c r="I3" s="2713">
        <v>2.951152937859</v>
      </c>
      <c r="J3" s="2714">
        <v>0.4</v>
      </c>
      <c r="K3" s="2714">
        <f>SUM(H3:J3)+1</f>
        <v>5.04422776897178</v>
      </c>
      <c r="L3" s="226" t="s">
        <v>14</v>
      </c>
      <c r="M3" s="2715"/>
    </row>
    <row r="4" s="2677" customFormat="1" ht="13.2" spans="1:13">
      <c r="A4" s="2709"/>
      <c r="B4" s="730"/>
      <c r="C4" s="2710">
        <v>20250114</v>
      </c>
      <c r="D4" s="2711">
        <v>7.3</v>
      </c>
      <c r="E4" s="2711">
        <v>7.17</v>
      </c>
      <c r="F4" s="2711" t="s">
        <v>16</v>
      </c>
      <c r="G4" s="2712" t="s">
        <v>17</v>
      </c>
      <c r="H4" s="2713">
        <v>0.414007921168037</v>
      </c>
      <c r="I4" s="2713">
        <v>2.33947988475782</v>
      </c>
      <c r="J4" s="2714">
        <v>0.4</v>
      </c>
      <c r="K4" s="2714">
        <f>SUM(H4:J4)+1</f>
        <v>4.15348780592586</v>
      </c>
      <c r="L4" s="226" t="s">
        <v>18</v>
      </c>
      <c r="M4" s="2715"/>
    </row>
    <row r="5" s="2677" customFormat="1" ht="13.2" spans="1:13">
      <c r="A5" s="2709"/>
      <c r="B5" s="730" t="s">
        <v>19</v>
      </c>
      <c r="C5" s="2710">
        <v>20241113</v>
      </c>
      <c r="D5" s="2711">
        <v>7.2</v>
      </c>
      <c r="E5" s="2711">
        <v>7.17</v>
      </c>
      <c r="F5" s="2711" t="s">
        <v>1405</v>
      </c>
      <c r="G5" s="2712" t="s">
        <v>21</v>
      </c>
      <c r="H5" s="2713">
        <v>0.426218520771017</v>
      </c>
      <c r="I5" s="2713">
        <v>2.39746850381661</v>
      </c>
      <c r="J5" s="2714">
        <v>0.4</v>
      </c>
      <c r="K5" s="2714">
        <f t="shared" ref="K5:K25" si="0">SUM(H5:J5)</f>
        <v>3.22368702458763</v>
      </c>
      <c r="L5" s="226" t="s">
        <v>171</v>
      </c>
      <c r="M5" s="2715" t="s">
        <v>1406</v>
      </c>
    </row>
    <row r="6" s="2677" customFormat="1" spans="1:13">
      <c r="A6" s="2709"/>
      <c r="B6" s="730"/>
      <c r="C6" s="2710">
        <v>20240105</v>
      </c>
      <c r="D6" s="2711">
        <v>7.2</v>
      </c>
      <c r="E6" s="2711">
        <v>7.17</v>
      </c>
      <c r="F6" s="2711" t="s">
        <v>23</v>
      </c>
      <c r="G6" s="2712" t="s">
        <v>24</v>
      </c>
      <c r="H6" s="2713">
        <v>0.717296250684182</v>
      </c>
      <c r="I6" s="2713">
        <v>2.95855799428327</v>
      </c>
      <c r="J6" s="2716">
        <v>0.4</v>
      </c>
      <c r="K6" s="2714">
        <f t="shared" si="0"/>
        <v>4.07585424496745</v>
      </c>
      <c r="L6" s="2711" t="s">
        <v>25</v>
      </c>
      <c r="M6" s="2715" t="s">
        <v>1406</v>
      </c>
    </row>
    <row r="7" s="2677" customFormat="1" ht="12" customHeight="1" spans="1:13">
      <c r="A7" s="2709"/>
      <c r="B7" s="2712"/>
      <c r="C7" s="2710">
        <v>20241105</v>
      </c>
      <c r="D7" s="2711">
        <v>7.11</v>
      </c>
      <c r="E7" s="2711">
        <v>7.17</v>
      </c>
      <c r="F7" s="2711" t="s">
        <v>26</v>
      </c>
      <c r="G7" s="2717" t="s">
        <v>27</v>
      </c>
      <c r="H7" s="2713">
        <v>0.173051554119939</v>
      </c>
      <c r="I7" s="2713">
        <v>1.52552593144633</v>
      </c>
      <c r="J7" s="2718">
        <v>0.2</v>
      </c>
      <c r="K7" s="2714">
        <f t="shared" si="0"/>
        <v>1.89857748556627</v>
      </c>
      <c r="L7" s="226" t="s">
        <v>28</v>
      </c>
      <c r="M7" s="2690"/>
    </row>
    <row r="8" s="2677" customFormat="1" ht="12" customHeight="1" spans="1:13">
      <c r="A8" s="2709"/>
      <c r="B8" s="2712"/>
      <c r="C8" s="2710">
        <v>20240411</v>
      </c>
      <c r="D8" s="2711">
        <v>7.23</v>
      </c>
      <c r="E8" s="2711">
        <v>7.17</v>
      </c>
      <c r="F8" s="2711" t="s">
        <v>29</v>
      </c>
      <c r="G8" s="2719" t="s">
        <v>30</v>
      </c>
      <c r="H8" s="2713">
        <v>0.156240537978554</v>
      </c>
      <c r="I8" s="2713">
        <v>0.585931191986535</v>
      </c>
      <c r="J8" s="2718">
        <v>0.2</v>
      </c>
      <c r="K8" s="2714">
        <f t="shared" si="0"/>
        <v>0.942171729965089</v>
      </c>
      <c r="L8" s="2711"/>
      <c r="M8" s="2690"/>
    </row>
    <row r="9" s="2677" customFormat="1" ht="12" customHeight="1" spans="1:13">
      <c r="A9" s="2709"/>
      <c r="B9" s="2712"/>
      <c r="C9" s="2710">
        <v>20240411</v>
      </c>
      <c r="D9" s="2711">
        <v>7.23</v>
      </c>
      <c r="E9" s="2711" t="s">
        <v>1407</v>
      </c>
      <c r="F9" s="2711" t="s">
        <v>31</v>
      </c>
      <c r="G9" s="2719" t="s">
        <v>32</v>
      </c>
      <c r="H9" s="2713">
        <v>0.325230303856157</v>
      </c>
      <c r="I9" s="2713">
        <v>2.40741144670597</v>
      </c>
      <c r="J9" s="2718">
        <v>0.3</v>
      </c>
      <c r="K9" s="2714">
        <f t="shared" si="0"/>
        <v>3.03264175056213</v>
      </c>
      <c r="L9" s="226" t="s">
        <v>33</v>
      </c>
      <c r="M9" s="2690"/>
    </row>
    <row r="10" s="2677" customFormat="1" ht="12" customHeight="1" spans="1:13">
      <c r="A10" s="2709"/>
      <c r="B10" s="2712"/>
      <c r="C10" s="2710">
        <v>20240411</v>
      </c>
      <c r="D10" s="2711">
        <v>7.23</v>
      </c>
      <c r="E10" s="2711" t="s">
        <v>1408</v>
      </c>
      <c r="F10" s="2711" t="s">
        <v>34</v>
      </c>
      <c r="G10" s="2719" t="s">
        <v>35</v>
      </c>
      <c r="H10" s="2713">
        <v>0.325230303856157</v>
      </c>
      <c r="I10" s="2713">
        <v>2.88697625878988</v>
      </c>
      <c r="J10" s="2718">
        <v>0.3</v>
      </c>
      <c r="K10" s="2714">
        <f t="shared" si="0"/>
        <v>3.51220656264604</v>
      </c>
      <c r="L10" s="226" t="s">
        <v>33</v>
      </c>
      <c r="M10" s="2690"/>
    </row>
    <row r="11" s="2677" customFormat="1" spans="1:13">
      <c r="A11" s="2709"/>
      <c r="B11" s="2712"/>
      <c r="C11" s="2710">
        <v>20241105</v>
      </c>
      <c r="D11" s="2711">
        <v>7.11</v>
      </c>
      <c r="E11" s="2711">
        <v>7.17</v>
      </c>
      <c r="F11" s="2711" t="s">
        <v>36</v>
      </c>
      <c r="G11" s="2717" t="s">
        <v>37</v>
      </c>
      <c r="H11" s="2713">
        <v>0.33630118532054</v>
      </c>
      <c r="I11" s="2713">
        <v>3.04761129394351</v>
      </c>
      <c r="J11" s="2716">
        <v>0.4</v>
      </c>
      <c r="K11" s="2714">
        <f t="shared" si="0"/>
        <v>3.78391247926405</v>
      </c>
      <c r="L11" s="2711"/>
      <c r="M11" s="2690" t="s">
        <v>1406</v>
      </c>
    </row>
    <row r="12" s="2677" customFormat="1" spans="1:13">
      <c r="A12" s="2709"/>
      <c r="B12" s="2712"/>
      <c r="C12" s="2710"/>
      <c r="D12" s="2711"/>
      <c r="E12" s="2711"/>
      <c r="F12" s="2711"/>
      <c r="G12" s="2719" t="s">
        <v>1409</v>
      </c>
      <c r="H12" s="2713">
        <v>0.153940101031414</v>
      </c>
      <c r="I12" s="2713">
        <v>1.4743057621502</v>
      </c>
      <c r="J12" s="2718">
        <v>0.2</v>
      </c>
      <c r="K12" s="2714">
        <f t="shared" si="0"/>
        <v>1.82824586318161</v>
      </c>
      <c r="L12" s="2710"/>
      <c r="M12" s="2690" t="s">
        <v>1406</v>
      </c>
    </row>
    <row r="13" s="2677" customFormat="1" spans="1:13">
      <c r="A13" s="2709"/>
      <c r="B13" s="2712"/>
      <c r="C13" s="2710"/>
      <c r="D13" s="2711"/>
      <c r="E13" s="2711"/>
      <c r="F13" s="2711"/>
      <c r="G13" s="2719" t="s">
        <v>38</v>
      </c>
      <c r="H13" s="2713">
        <v>0.413682681924809</v>
      </c>
      <c r="I13" s="2713">
        <v>3.170738723836</v>
      </c>
      <c r="J13" s="2718">
        <v>0.4</v>
      </c>
      <c r="K13" s="2714">
        <f t="shared" si="0"/>
        <v>3.98442140576081</v>
      </c>
      <c r="L13" s="2710"/>
      <c r="M13" s="2690" t="s">
        <v>1406</v>
      </c>
    </row>
    <row r="14" s="2677" customFormat="1" spans="1:13">
      <c r="A14" s="2709"/>
      <c r="B14" s="2712"/>
      <c r="C14" s="2710"/>
      <c r="D14" s="2711"/>
      <c r="E14" s="2711"/>
      <c r="F14" s="2711"/>
      <c r="G14" s="2719" t="s">
        <v>40</v>
      </c>
      <c r="H14" s="2713">
        <v>0.153940101031414</v>
      </c>
      <c r="I14" s="2713">
        <v>1.51320133613027</v>
      </c>
      <c r="J14" s="2716">
        <v>0.2</v>
      </c>
      <c r="K14" s="2714">
        <f t="shared" si="0"/>
        <v>1.86714143716168</v>
      </c>
      <c r="L14" s="2711"/>
      <c r="M14" s="2690" t="s">
        <v>1406</v>
      </c>
    </row>
    <row r="15" s="2677" customFormat="1" ht="13.2" spans="1:13">
      <c r="A15" s="2709"/>
      <c r="B15" s="2712"/>
      <c r="C15" s="2710">
        <v>20240914</v>
      </c>
      <c r="D15" s="2711">
        <v>7.11</v>
      </c>
      <c r="E15" s="2711">
        <v>7.17</v>
      </c>
      <c r="F15" s="2711" t="s">
        <v>42</v>
      </c>
      <c r="G15" s="2719" t="s">
        <v>43</v>
      </c>
      <c r="H15" s="2713">
        <v>0.442881648404688</v>
      </c>
      <c r="I15" s="2713">
        <v>1.34488922579167</v>
      </c>
      <c r="J15" s="2714">
        <v>0.2</v>
      </c>
      <c r="K15" s="2714">
        <f t="shared" si="0"/>
        <v>1.98777087419636</v>
      </c>
      <c r="L15" s="254" t="s">
        <v>1410</v>
      </c>
      <c r="M15" s="2690"/>
    </row>
    <row r="16" s="2678" customFormat="1" ht="13.2" spans="1:13">
      <c r="A16" s="2709"/>
      <c r="B16" s="2712"/>
      <c r="C16" s="2710">
        <v>20250114</v>
      </c>
      <c r="D16" s="2711">
        <v>7.3</v>
      </c>
      <c r="E16" s="2711">
        <v>7.17</v>
      </c>
      <c r="F16" s="2711" t="s">
        <v>45</v>
      </c>
      <c r="G16" s="2719" t="s">
        <v>46</v>
      </c>
      <c r="H16" s="2713">
        <v>0.582157712198072</v>
      </c>
      <c r="I16" s="2713">
        <v>3.5789940762806</v>
      </c>
      <c r="J16" s="2714">
        <v>0.4</v>
      </c>
      <c r="K16" s="2714">
        <f t="shared" si="0"/>
        <v>4.56115178847867</v>
      </c>
      <c r="L16" s="254" t="s">
        <v>47</v>
      </c>
    </row>
    <row r="17" s="2678" customFormat="1" ht="13.2" spans="1:17">
      <c r="A17" s="2709"/>
      <c r="B17" s="2712"/>
      <c r="C17" s="2720"/>
      <c r="D17" s="2688"/>
      <c r="E17" s="2688"/>
      <c r="F17" s="2711"/>
      <c r="G17" s="2719" t="s">
        <v>48</v>
      </c>
      <c r="H17" s="2713">
        <v>0.522838760568936</v>
      </c>
      <c r="I17" s="2713">
        <v>3.65823370276338</v>
      </c>
      <c r="J17" s="2714">
        <v>0.4</v>
      </c>
      <c r="K17" s="2714">
        <f t="shared" si="0"/>
        <v>4.58107246333232</v>
      </c>
      <c r="L17" s="254" t="s">
        <v>49</v>
      </c>
    </row>
    <row r="18" s="2678" customFormat="1" spans="1:17">
      <c r="A18" s="2709"/>
      <c r="B18" s="2712" t="s">
        <v>50</v>
      </c>
      <c r="C18" s="2710">
        <v>20240625</v>
      </c>
      <c r="D18" s="2711">
        <v>7.26</v>
      </c>
      <c r="E18" s="2711">
        <v>7.17</v>
      </c>
      <c r="F18" s="2711" t="s">
        <v>51</v>
      </c>
      <c r="G18" s="2719" t="s">
        <v>52</v>
      </c>
      <c r="H18" s="2713">
        <v>0.377562011415402</v>
      </c>
      <c r="I18" s="2713">
        <v>2.7131334564462</v>
      </c>
      <c r="J18" s="2714">
        <v>0.2</v>
      </c>
      <c r="K18" s="2714">
        <f t="shared" si="0"/>
        <v>3.2906954678616</v>
      </c>
      <c r="L18" s="2710"/>
    </row>
    <row r="19" s="2678" customFormat="1" ht="13.2" spans="1:17">
      <c r="A19" s="2709"/>
      <c r="B19" s="2712"/>
      <c r="C19" s="2710">
        <v>20241030</v>
      </c>
      <c r="D19" s="2711">
        <v>7.11</v>
      </c>
      <c r="E19" s="2711">
        <v>7.17</v>
      </c>
      <c r="F19" s="2711" t="s">
        <v>53</v>
      </c>
      <c r="G19" s="2711" t="s">
        <v>54</v>
      </c>
      <c r="H19" s="2713">
        <v>0.581612349708851</v>
      </c>
      <c r="I19" s="2713">
        <v>6.97149985542438</v>
      </c>
      <c r="J19" s="2714">
        <v>0.4</v>
      </c>
      <c r="K19" s="2714">
        <f t="shared" si="0"/>
        <v>7.95311220513323</v>
      </c>
      <c r="L19" s="254" t="s">
        <v>55</v>
      </c>
    </row>
    <row r="20" s="2678" customFormat="1" ht="13.2" spans="1:17">
      <c r="A20" s="2709"/>
      <c r="B20" s="2712"/>
      <c r="C20" s="2710">
        <v>20241030</v>
      </c>
      <c r="D20" s="2711">
        <v>7.11</v>
      </c>
      <c r="E20" s="2711">
        <v>7.17</v>
      </c>
      <c r="F20" s="2711" t="s">
        <v>57</v>
      </c>
      <c r="G20" s="2711" t="s">
        <v>58</v>
      </c>
      <c r="H20" s="2713">
        <v>0.581612349708851</v>
      </c>
      <c r="I20" s="2713">
        <v>4.96770941787165</v>
      </c>
      <c r="J20" s="2714">
        <v>0.4</v>
      </c>
      <c r="K20" s="2714">
        <f t="shared" si="0"/>
        <v>5.9493217675805</v>
      </c>
      <c r="L20" s="254" t="s">
        <v>59</v>
      </c>
    </row>
    <row r="21" s="2677" customFormat="1" spans="1:17">
      <c r="A21" s="2709"/>
      <c r="B21" s="2712" t="s">
        <v>50</v>
      </c>
      <c r="C21" s="2710" t="s">
        <v>60</v>
      </c>
      <c r="D21" s="2711">
        <v>7.25</v>
      </c>
      <c r="E21" s="2711">
        <v>7.17</v>
      </c>
      <c r="F21" s="2711" t="s">
        <v>61</v>
      </c>
      <c r="G21" s="2710" t="s">
        <v>62</v>
      </c>
      <c r="H21" s="2713">
        <v>0.379126492902466</v>
      </c>
      <c r="I21" s="2713">
        <v>3.00041565047343</v>
      </c>
      <c r="J21" s="2714">
        <v>0.2</v>
      </c>
      <c r="K21" s="2714">
        <f t="shared" si="0"/>
        <v>3.5795421433759</v>
      </c>
      <c r="L21" s="2710" t="s">
        <v>63</v>
      </c>
    </row>
    <row r="22" s="2678" customFormat="1" spans="1:17">
      <c r="A22" s="2709"/>
      <c r="B22" s="2712"/>
      <c r="C22" s="2710"/>
      <c r="D22" s="2711"/>
      <c r="E22" s="2711"/>
      <c r="F22" s="2711"/>
      <c r="G22" s="2719" t="s">
        <v>64</v>
      </c>
      <c r="H22" s="2713">
        <v>0.422074729596854</v>
      </c>
      <c r="I22" s="2713">
        <v>2.88269442616962</v>
      </c>
      <c r="J22" s="2714">
        <v>0.4</v>
      </c>
      <c r="K22" s="2714">
        <f t="shared" si="0"/>
        <v>3.70476915576647</v>
      </c>
      <c r="L22" s="2710"/>
    </row>
    <row r="23" s="2678" customFormat="1" ht="13.2" spans="1:17">
      <c r="A23" s="2709"/>
      <c r="B23" s="2712"/>
      <c r="C23" s="2710"/>
      <c r="D23" s="2711"/>
      <c r="E23" s="2711"/>
      <c r="F23" s="2711"/>
      <c r="G23" s="2719" t="s">
        <v>65</v>
      </c>
      <c r="H23" s="2713">
        <v>0.7575</v>
      </c>
      <c r="I23" s="2713">
        <v>4.1309</v>
      </c>
      <c r="J23" s="2714">
        <v>0.8</v>
      </c>
      <c r="K23" s="2714">
        <f t="shared" si="0"/>
        <v>5.6884</v>
      </c>
      <c r="L23" s="2710" t="s">
        <v>66</v>
      </c>
    </row>
    <row r="24" s="2678" customFormat="1" spans="1:17">
      <c r="A24" s="2709"/>
      <c r="B24" s="2712"/>
      <c r="C24" s="2710"/>
      <c r="D24" s="2711"/>
      <c r="E24" s="2711"/>
      <c r="F24" s="2711"/>
      <c r="G24" s="2719" t="s">
        <v>67</v>
      </c>
      <c r="H24" s="2713">
        <v>0.547290640394089</v>
      </c>
      <c r="I24" s="2713">
        <v>3.6663</v>
      </c>
      <c r="J24" s="2714">
        <v>0.4</v>
      </c>
      <c r="K24" s="2714">
        <f t="shared" si="0"/>
        <v>4.61359064039409</v>
      </c>
      <c r="L24" s="2710"/>
    </row>
    <row r="25" s="2678" customFormat="1" ht="13.2" spans="1:17">
      <c r="A25" s="2709"/>
      <c r="B25" s="2712"/>
      <c r="C25" s="2710"/>
      <c r="D25" s="2711"/>
      <c r="E25" s="2711"/>
      <c r="F25" s="2711"/>
      <c r="G25" s="2719" t="s">
        <v>65</v>
      </c>
      <c r="H25" s="2713">
        <v>0.7575</v>
      </c>
      <c r="I25" s="2713">
        <v>4.1309</v>
      </c>
      <c r="J25" s="2714">
        <v>0.4</v>
      </c>
      <c r="K25" s="2714">
        <f t="shared" si="0"/>
        <v>5.2884</v>
      </c>
      <c r="L25" s="2710" t="s">
        <v>66</v>
      </c>
    </row>
    <row r="26" s="2678" customFormat="1" ht="13.2" spans="1:17">
      <c r="A26" s="2709"/>
      <c r="B26" s="2712"/>
      <c r="C26" s="2721">
        <v>46105</v>
      </c>
      <c r="D26" s="2711">
        <v>6.91</v>
      </c>
      <c r="E26" s="2711"/>
      <c r="F26" s="2711"/>
      <c r="G26" s="2719"/>
      <c r="H26" s="2713"/>
      <c r="I26" s="2713"/>
      <c r="J26" s="2716"/>
      <c r="K26" s="2714"/>
      <c r="L26" s="254"/>
    </row>
    <row r="27" s="2678" customFormat="1" ht="13.2" spans="1:17">
      <c r="A27" s="2709"/>
      <c r="B27" s="2712"/>
      <c r="C27" s="2721">
        <v>46105</v>
      </c>
      <c r="D27" s="2711">
        <v>6.91</v>
      </c>
      <c r="E27" s="2711"/>
      <c r="F27" s="2711"/>
      <c r="G27" s="2719"/>
      <c r="H27" s="2713"/>
      <c r="I27" s="2713"/>
      <c r="J27" s="2716"/>
      <c r="K27" s="2714"/>
      <c r="L27" s="254"/>
    </row>
    <row r="28" s="2678" customFormat="1" ht="13.2" spans="1:17">
      <c r="A28" s="2709"/>
      <c r="B28" s="2712"/>
      <c r="C28" s="2710">
        <v>20240312</v>
      </c>
      <c r="D28" s="2711">
        <v>7.2</v>
      </c>
      <c r="E28" s="2711" t="s">
        <v>1411</v>
      </c>
      <c r="F28" s="2711" t="s">
        <v>310</v>
      </c>
      <c r="G28" s="2719" t="s">
        <v>311</v>
      </c>
      <c r="H28" s="2713">
        <v>0.567162917895772</v>
      </c>
      <c r="I28" s="2713">
        <v>4.01521395874611</v>
      </c>
      <c r="J28" s="2716">
        <v>0.4</v>
      </c>
      <c r="K28" s="2714">
        <f t="shared" ref="K28:K70" si="1">SUM(H28:J28)</f>
        <v>4.98237687664188</v>
      </c>
      <c r="L28" s="226" t="s">
        <v>1412</v>
      </c>
      <c r="P28" s="2678">
        <f>42.7/D28/1.13</f>
        <v>5.24827925270403</v>
      </c>
      <c r="Q28" s="2678">
        <v>28.5</v>
      </c>
    </row>
    <row r="29" s="2678" customFormat="1" ht="16" customHeight="1" spans="1:17">
      <c r="A29" s="2709"/>
      <c r="B29" s="2722"/>
      <c r="C29" s="2710">
        <v>20241115</v>
      </c>
      <c r="D29" s="2711">
        <v>7.2</v>
      </c>
      <c r="E29" s="2711">
        <v>7.17</v>
      </c>
      <c r="F29" s="2711" t="s">
        <v>68</v>
      </c>
      <c r="G29" s="2723" t="s">
        <v>69</v>
      </c>
      <c r="H29" s="2713">
        <v>0.441126713918933</v>
      </c>
      <c r="I29" s="2713">
        <v>2.27782840740274</v>
      </c>
      <c r="J29" s="2714">
        <v>0.2</v>
      </c>
      <c r="K29" s="2714">
        <f t="shared" si="1"/>
        <v>2.91895512132167</v>
      </c>
      <c r="L29" s="2711" t="s">
        <v>70</v>
      </c>
    </row>
    <row r="30" s="2678" customFormat="1" ht="12" spans="1:17">
      <c r="A30" s="2709"/>
      <c r="B30" s="2724" t="s">
        <v>682</v>
      </c>
      <c r="C30" s="2710"/>
      <c r="D30" s="2711"/>
      <c r="E30" s="2711"/>
      <c r="F30" s="2711"/>
      <c r="G30" s="2723" t="s">
        <v>1131</v>
      </c>
      <c r="H30" s="2713">
        <v>0.425446423152093</v>
      </c>
      <c r="I30" s="2713">
        <v>3.06635030319631</v>
      </c>
      <c r="J30" s="2714">
        <v>0.4</v>
      </c>
      <c r="K30" s="2714">
        <f t="shared" si="1"/>
        <v>3.8917967263484</v>
      </c>
      <c r="L30" s="60"/>
    </row>
    <row r="31" s="2678" customFormat="1" ht="13.2" spans="1:17">
      <c r="A31" s="2709"/>
      <c r="B31" s="730"/>
      <c r="C31" s="2710">
        <v>20250715</v>
      </c>
      <c r="D31" s="2711"/>
      <c r="E31" s="2711">
        <v>7.17</v>
      </c>
      <c r="F31" s="2711" t="s">
        <v>71</v>
      </c>
      <c r="G31" s="2719" t="s">
        <v>72</v>
      </c>
      <c r="H31" s="2713">
        <v>6.86497327853273</v>
      </c>
      <c r="I31" s="2713">
        <v>1.6074608863939</v>
      </c>
      <c r="J31" s="2725">
        <v>0.2</v>
      </c>
      <c r="K31" s="2714">
        <f t="shared" si="1"/>
        <v>8.67243416492663</v>
      </c>
      <c r="L31" s="254" t="s">
        <v>73</v>
      </c>
      <c r="M31" s="2715"/>
    </row>
    <row r="32" s="2678" customFormat="1" ht="13.2" spans="1:17">
      <c r="A32" s="2709"/>
      <c r="B32" s="730"/>
      <c r="C32" s="2710">
        <v>20250218</v>
      </c>
      <c r="D32" s="2711">
        <v>7.3</v>
      </c>
      <c r="E32" s="2711">
        <v>7.17</v>
      </c>
      <c r="F32" s="2711" t="s">
        <v>74</v>
      </c>
      <c r="G32" s="2719" t="s">
        <v>75</v>
      </c>
      <c r="H32" s="2713">
        <v>0.339730029429066</v>
      </c>
      <c r="I32" s="2713">
        <v>1.62718651110046</v>
      </c>
      <c r="J32" s="2725">
        <v>0.2</v>
      </c>
      <c r="K32" s="2714">
        <f t="shared" si="1"/>
        <v>2.16691654052953</v>
      </c>
      <c r="L32" s="2710" t="s">
        <v>76</v>
      </c>
      <c r="M32" s="2715"/>
    </row>
    <row r="33" s="2677" customFormat="1" ht="13.2" spans="1:22">
      <c r="A33" s="2709"/>
      <c r="B33" s="2712"/>
      <c r="C33" s="2710">
        <v>20250807</v>
      </c>
      <c r="D33" s="2711">
        <v>7.17</v>
      </c>
      <c r="E33" s="2711">
        <v>7.17</v>
      </c>
      <c r="F33" s="2726" t="s">
        <v>77</v>
      </c>
      <c r="G33" s="2711" t="s">
        <v>78</v>
      </c>
      <c r="H33" s="2713">
        <v>0.481433208674295</v>
      </c>
      <c r="I33" s="2713">
        <v>2.93146224375466</v>
      </c>
      <c r="J33" s="2714">
        <v>0.4</v>
      </c>
      <c r="K33" s="2714">
        <f t="shared" si="1"/>
        <v>3.81289545242895</v>
      </c>
      <c r="L33" s="226" t="s">
        <v>79</v>
      </c>
    </row>
    <row r="34" s="2678" customFormat="1" ht="13" customHeight="1" spans="1:22">
      <c r="A34" s="2709"/>
      <c r="B34" s="2712"/>
      <c r="C34" s="2710">
        <v>20240829</v>
      </c>
      <c r="D34" s="2711">
        <v>7.12</v>
      </c>
      <c r="E34" s="2711">
        <v>7.17</v>
      </c>
      <c r="F34" s="2711" t="s">
        <v>80</v>
      </c>
      <c r="G34" s="2711" t="s">
        <v>81</v>
      </c>
      <c r="H34" s="2713">
        <v>0.487182993733472</v>
      </c>
      <c r="I34" s="2713">
        <v>2.76281052906085</v>
      </c>
      <c r="J34" s="2714">
        <v>0.4</v>
      </c>
      <c r="K34" s="2714">
        <f t="shared" si="1"/>
        <v>3.64999352279432</v>
      </c>
      <c r="L34" s="226" t="s">
        <v>82</v>
      </c>
    </row>
    <row r="35" s="2678" customFormat="1" ht="13.2" spans="1:22">
      <c r="A35" s="2709"/>
      <c r="B35" s="2712" t="s">
        <v>83</v>
      </c>
      <c r="C35" s="2710">
        <v>20250516</v>
      </c>
      <c r="D35" s="2711">
        <v>7.19</v>
      </c>
      <c r="E35" s="2711"/>
      <c r="F35" s="2711"/>
      <c r="G35" s="2712" t="s">
        <v>84</v>
      </c>
      <c r="H35" s="2713">
        <v>0.438754359617223</v>
      </c>
      <c r="I35" s="2713">
        <v>3.29508533522319</v>
      </c>
      <c r="J35" s="2714">
        <v>0.4</v>
      </c>
      <c r="K35" s="2714">
        <f t="shared" si="1"/>
        <v>4.13383969484041</v>
      </c>
      <c r="L35" s="226" t="s">
        <v>79</v>
      </c>
    </row>
    <row r="36" s="2678" customFormat="1" ht="13.2" spans="1:22">
      <c r="A36" s="2727"/>
      <c r="B36" s="2712"/>
      <c r="C36" s="2710">
        <v>20240802</v>
      </c>
      <c r="D36" s="2711">
        <v>7.26</v>
      </c>
      <c r="E36" s="2711">
        <v>7.17</v>
      </c>
      <c r="F36" s="2711" t="s">
        <v>89</v>
      </c>
      <c r="G36" s="2719" t="s">
        <v>90</v>
      </c>
      <c r="H36" s="2713">
        <v>0.591720135923155</v>
      </c>
      <c r="I36" s="2713">
        <v>0.642719274340178</v>
      </c>
      <c r="J36" s="2714">
        <v>0.2</v>
      </c>
      <c r="K36" s="2714">
        <f t="shared" si="1"/>
        <v>1.43443941026333</v>
      </c>
      <c r="L36" s="2710"/>
      <c r="Q36" s="2678">
        <v>16</v>
      </c>
      <c r="V36" s="1916" t="s">
        <v>1413</v>
      </c>
    </row>
    <row r="37" s="2678" customFormat="1" spans="1:22">
      <c r="A37" s="2727"/>
      <c r="B37" s="2712"/>
      <c r="C37" s="2710"/>
      <c r="D37" s="2711"/>
      <c r="E37" s="2711"/>
      <c r="F37" s="2711"/>
      <c r="G37" s="2719" t="s">
        <v>91</v>
      </c>
      <c r="H37" s="2713">
        <v>0.25139813257271</v>
      </c>
      <c r="I37" s="2713">
        <v>0.974606010651467</v>
      </c>
      <c r="J37" s="2714">
        <v>0.2</v>
      </c>
      <c r="K37" s="2714">
        <f t="shared" si="1"/>
        <v>1.42600414322418</v>
      </c>
      <c r="L37" s="2710"/>
    </row>
    <row r="38" s="2678" customFormat="1" spans="1:22">
      <c r="A38" s="2727"/>
      <c r="B38" s="2712"/>
      <c r="C38" s="2710"/>
      <c r="D38" s="2711"/>
      <c r="E38" s="2711"/>
      <c r="F38" s="2711"/>
      <c r="G38" s="2719" t="s">
        <v>92</v>
      </c>
      <c r="H38" s="2713">
        <v>0.360505618668997</v>
      </c>
      <c r="I38" s="2713">
        <v>1.40354689096213</v>
      </c>
      <c r="J38" s="2714">
        <v>0.2</v>
      </c>
      <c r="K38" s="2714">
        <f t="shared" si="1"/>
        <v>1.96405250963113</v>
      </c>
      <c r="L38" s="2710"/>
    </row>
    <row r="39" s="2678" customFormat="1" spans="1:22">
      <c r="A39" s="2727"/>
      <c r="B39" s="2712"/>
      <c r="C39" s="2710"/>
      <c r="D39" s="2711"/>
      <c r="E39" s="2711"/>
      <c r="F39" s="2711"/>
      <c r="G39" s="2719" t="s">
        <v>93</v>
      </c>
      <c r="H39" s="2713">
        <v>1.59408012505357</v>
      </c>
      <c r="I39" s="2713">
        <v>2.02003137867786</v>
      </c>
      <c r="J39" s="2714">
        <v>0.2</v>
      </c>
      <c r="K39" s="2714">
        <f t="shared" si="1"/>
        <v>3.81411150373143</v>
      </c>
      <c r="L39" s="2710"/>
    </row>
    <row r="40" s="2678" customFormat="1" spans="1:22">
      <c r="A40" s="2727"/>
      <c r="B40" s="2712"/>
      <c r="C40" s="2710"/>
      <c r="D40" s="2711"/>
      <c r="E40" s="2711"/>
      <c r="F40" s="2711"/>
      <c r="G40" s="2719" t="s">
        <v>94</v>
      </c>
      <c r="H40" s="2713">
        <v>0.165807361805822</v>
      </c>
      <c r="I40" s="2713">
        <v>0.86483016722778</v>
      </c>
      <c r="J40" s="2725">
        <v>0.2</v>
      </c>
      <c r="K40" s="2714">
        <f t="shared" si="1"/>
        <v>1.2306375290336</v>
      </c>
      <c r="L40" s="2728"/>
    </row>
    <row r="41" s="2678" customFormat="1" spans="1:22">
      <c r="A41" s="2727"/>
      <c r="B41" s="2712"/>
      <c r="C41" s="2710"/>
      <c r="D41" s="2711"/>
      <c r="E41" s="2711"/>
      <c r="F41" s="2711"/>
      <c r="G41" s="2719" t="s">
        <v>95</v>
      </c>
      <c r="H41" s="2713">
        <v>0.0829036809029114</v>
      </c>
      <c r="I41" s="2713">
        <v>3.63435178706233</v>
      </c>
      <c r="J41" s="2725">
        <v>0.2</v>
      </c>
      <c r="K41" s="2714">
        <f t="shared" si="1"/>
        <v>3.91725546796524</v>
      </c>
      <c r="L41" s="2728"/>
    </row>
    <row r="42" s="2678" customFormat="1" spans="1:22">
      <c r="A42" s="2709"/>
      <c r="B42" s="2729"/>
      <c r="C42" s="2730">
        <v>20250425</v>
      </c>
      <c r="D42" s="2731">
        <v>7.31</v>
      </c>
      <c r="E42" s="2711">
        <v>7.17</v>
      </c>
      <c r="F42" s="2731" t="s">
        <v>96</v>
      </c>
      <c r="G42" s="2732" t="s">
        <v>97</v>
      </c>
      <c r="H42" s="2713">
        <v>0.199302688764331</v>
      </c>
      <c r="I42" s="2713">
        <v>0.97499733614931</v>
      </c>
      <c r="J42" s="2725">
        <v>0.2</v>
      </c>
      <c r="K42" s="2714">
        <f t="shared" si="1"/>
        <v>1.37430002491364</v>
      </c>
      <c r="L42" s="2711" t="s">
        <v>63</v>
      </c>
    </row>
    <row r="43" s="2678" customFormat="1" ht="34.2" spans="1:22">
      <c r="A43" s="2709"/>
      <c r="B43" s="2729"/>
      <c r="C43" s="2730">
        <v>20240814</v>
      </c>
      <c r="D43" s="2731"/>
      <c r="E43" s="2731" t="s">
        <v>1414</v>
      </c>
      <c r="F43" s="2731"/>
      <c r="G43" s="2732" t="s">
        <v>98</v>
      </c>
      <c r="H43" s="2713">
        <v>0.18672812877462</v>
      </c>
      <c r="I43" s="2713">
        <v>1.07848683713825</v>
      </c>
      <c r="J43" s="2714">
        <v>0.2</v>
      </c>
      <c r="K43" s="2714">
        <f t="shared" si="1"/>
        <v>1.46521496591287</v>
      </c>
      <c r="L43" s="226" t="s">
        <v>33</v>
      </c>
    </row>
    <row r="44" s="2678" customFormat="1" spans="1:22">
      <c r="A44" s="2709"/>
      <c r="B44" s="2729"/>
      <c r="C44" s="2730"/>
      <c r="D44" s="2731"/>
      <c r="E44" s="2731"/>
      <c r="F44" s="2731"/>
      <c r="G44" s="2732" t="s">
        <v>99</v>
      </c>
      <c r="H44" s="2713">
        <v>0.322763028515241</v>
      </c>
      <c r="I44" s="2713">
        <v>1.07473501023324</v>
      </c>
      <c r="J44" s="2714">
        <v>0.2</v>
      </c>
      <c r="K44" s="2714">
        <f t="shared" si="1"/>
        <v>1.59749803874848</v>
      </c>
      <c r="L44" s="2711"/>
    </row>
    <row r="45" s="2678" customFormat="1" ht="16" customHeight="1" spans="1:22">
      <c r="A45" s="2709"/>
      <c r="B45" s="2733" t="s">
        <v>100</v>
      </c>
      <c r="C45" s="2710">
        <v>20250619</v>
      </c>
      <c r="D45" s="2711">
        <v>6.91</v>
      </c>
      <c r="E45" s="2711" t="s">
        <v>1415</v>
      </c>
      <c r="F45" s="2711" t="s">
        <v>101</v>
      </c>
      <c r="G45" s="2711" t="s">
        <v>102</v>
      </c>
      <c r="H45" s="2713">
        <v>0.354505059557148</v>
      </c>
      <c r="I45" s="2713">
        <v>1.68081919331047</v>
      </c>
      <c r="J45" s="2714">
        <v>0.2</v>
      </c>
      <c r="K45" s="2714">
        <f t="shared" si="1"/>
        <v>2.23532425286762</v>
      </c>
      <c r="L45" s="2711"/>
    </row>
    <row r="46" s="2678" customFormat="1" ht="16" customHeight="1" spans="1:22">
      <c r="A46" s="2709"/>
      <c r="B46" s="2733" t="s">
        <v>107</v>
      </c>
      <c r="C46" s="2710">
        <v>20250619</v>
      </c>
      <c r="D46" s="2711">
        <v>7.19</v>
      </c>
      <c r="E46" s="2711">
        <v>7.07</v>
      </c>
      <c r="F46" s="2711" t="s">
        <v>105</v>
      </c>
      <c r="G46" s="2711" t="s">
        <v>106</v>
      </c>
      <c r="H46" s="2713">
        <v>0.408343868520859</v>
      </c>
      <c r="I46" s="2713">
        <v>3.05020836040834</v>
      </c>
      <c r="J46" s="2714">
        <v>0.4</v>
      </c>
      <c r="K46" s="2714">
        <f t="shared" si="1"/>
        <v>3.8585522289292</v>
      </c>
      <c r="L46" s="2710" t="s">
        <v>118</v>
      </c>
      <c r="M46" s="2715"/>
    </row>
    <row r="47" s="2678" customFormat="1" ht="16" customHeight="1" spans="1:22">
      <c r="A47" s="2709"/>
      <c r="B47" s="2733"/>
      <c r="C47" s="2710">
        <v>20250627</v>
      </c>
      <c r="D47" s="2711">
        <v>7.19</v>
      </c>
      <c r="E47" s="2711">
        <v>7.17</v>
      </c>
      <c r="F47" s="2711" t="s">
        <v>108</v>
      </c>
      <c r="G47" s="2711" t="s">
        <v>109</v>
      </c>
      <c r="H47" s="2713">
        <v>0.377909338190949</v>
      </c>
      <c r="I47" s="2713">
        <v>3.0077307726281</v>
      </c>
      <c r="J47" s="2714">
        <v>0.4</v>
      </c>
      <c r="K47" s="2714">
        <f t="shared" si="1"/>
        <v>3.78564011081905</v>
      </c>
      <c r="L47" s="2710" t="s">
        <v>110</v>
      </c>
      <c r="M47" s="2715"/>
    </row>
    <row r="48" s="2678" customFormat="1" ht="16" customHeight="1" spans="1:22">
      <c r="A48" s="2709"/>
      <c r="B48" s="2733"/>
      <c r="C48" s="2710">
        <v>20250430</v>
      </c>
      <c r="D48" s="2711">
        <v>7.31</v>
      </c>
      <c r="E48" s="2711">
        <v>7.24</v>
      </c>
      <c r="F48" s="2711" t="s">
        <v>111</v>
      </c>
      <c r="G48" s="2711" t="s">
        <v>112</v>
      </c>
      <c r="H48" s="2713">
        <v>0.358255753422999</v>
      </c>
      <c r="I48" s="2713">
        <v>2.90750491948362</v>
      </c>
      <c r="J48" s="2714">
        <v>0.4</v>
      </c>
      <c r="K48" s="2714">
        <f t="shared" si="1"/>
        <v>3.66576067290662</v>
      </c>
      <c r="L48" s="2710" t="s">
        <v>113</v>
      </c>
      <c r="M48" s="2715"/>
    </row>
    <row r="49" s="2678" customFormat="1" ht="16" customHeight="1" spans="1:18">
      <c r="A49" s="2709"/>
      <c r="B49" s="2733"/>
      <c r="C49" s="2710">
        <v>20250506</v>
      </c>
      <c r="D49" s="2711">
        <v>7.24</v>
      </c>
      <c r="E49" s="2711"/>
      <c r="F49" s="2711" t="s">
        <v>114</v>
      </c>
      <c r="G49" s="2711" t="s">
        <v>115</v>
      </c>
      <c r="H49" s="2713">
        <v>0.354312325820173</v>
      </c>
      <c r="I49" s="2713">
        <v>1.49312863483696</v>
      </c>
      <c r="J49" s="2714">
        <v>0.2</v>
      </c>
      <c r="K49" s="2714">
        <f t="shared" si="1"/>
        <v>2.04744096065713</v>
      </c>
      <c r="L49" s="2710" t="s">
        <v>103</v>
      </c>
      <c r="M49" s="2715"/>
      <c r="P49" s="2678">
        <f>31.73/7.13/1.13</f>
        <v>3.93823927316958</v>
      </c>
      <c r="R49" s="2678">
        <f>23.5/6.91</f>
        <v>3.40086830680174</v>
      </c>
    </row>
    <row r="50" s="2678" customFormat="1" ht="16" customHeight="1" spans="1:18">
      <c r="A50" s="2709"/>
      <c r="B50" s="2733"/>
      <c r="C50" s="2734">
        <v>20250605</v>
      </c>
      <c r="D50" s="2711">
        <v>7.31</v>
      </c>
      <c r="E50" s="2711">
        <v>7.2</v>
      </c>
      <c r="F50" s="2711" t="s">
        <v>116</v>
      </c>
      <c r="G50" s="2711" t="s">
        <v>117</v>
      </c>
      <c r="H50" s="2713">
        <v>0.400970993117011</v>
      </c>
      <c r="I50" s="2713">
        <v>2.96598480991425</v>
      </c>
      <c r="J50" s="2735">
        <v>0.4</v>
      </c>
      <c r="K50" s="2714">
        <f t="shared" si="1"/>
        <v>3.76695580303126</v>
      </c>
      <c r="L50" s="2710" t="s">
        <v>118</v>
      </c>
      <c r="M50" s="2715"/>
      <c r="R50" s="2678">
        <f>23.5/6.91</f>
        <v>3.40086830680174</v>
      </c>
    </row>
    <row r="51" s="2679" customFormat="1" ht="15" customHeight="1" spans="1:18">
      <c r="A51" s="2709"/>
      <c r="B51" s="2712" t="s">
        <v>19</v>
      </c>
      <c r="C51" s="2710"/>
      <c r="D51" s="2711"/>
      <c r="E51" s="2711"/>
      <c r="F51" s="2711"/>
      <c r="G51" s="2710" t="s">
        <v>120</v>
      </c>
      <c r="H51" s="2713">
        <v>1.01468779008602</v>
      </c>
      <c r="I51" s="2713">
        <v>1.49447216721331</v>
      </c>
      <c r="J51" s="2714">
        <v>0.2</v>
      </c>
      <c r="K51" s="2714">
        <f t="shared" si="1"/>
        <v>2.70915995729933</v>
      </c>
      <c r="L51" s="2711"/>
      <c r="M51" s="2715" t="s">
        <v>1406</v>
      </c>
      <c r="P51" s="2679" t="e">
        <f>31.73/D51/1.13</f>
        <v>#DIV/0!</v>
      </c>
      <c r="R51" s="2679">
        <f>23.5/6.91</f>
        <v>3.40086830680174</v>
      </c>
    </row>
    <row r="52" s="2679" customFormat="1" ht="15" customHeight="1" spans="1:18">
      <c r="A52" s="2709"/>
      <c r="B52" s="2712" t="s">
        <v>19</v>
      </c>
      <c r="C52" s="2710"/>
      <c r="D52" s="2711"/>
      <c r="E52" s="2711"/>
      <c r="F52" s="2711"/>
      <c r="G52" s="2710" t="s">
        <v>121</v>
      </c>
      <c r="H52" s="2713">
        <v>0.287731846284399</v>
      </c>
      <c r="I52" s="2713">
        <v>1.42983717432689</v>
      </c>
      <c r="J52" s="2714">
        <v>0.2</v>
      </c>
      <c r="K52" s="2714">
        <f t="shared" si="1"/>
        <v>1.91756902061129</v>
      </c>
      <c r="L52" s="2711"/>
      <c r="M52" s="2715" t="s">
        <v>1406</v>
      </c>
      <c r="P52" s="2679" t="e">
        <f>31.73/D52/1.13</f>
        <v>#DIV/0!</v>
      </c>
      <c r="R52" s="2679">
        <f>23.5/6.91</f>
        <v>3.40086830680174</v>
      </c>
    </row>
    <row r="53" s="2679" customFormat="1" ht="15" customHeight="1" spans="1:18">
      <c r="A53" s="2709"/>
      <c r="B53" s="2712" t="s">
        <v>19</v>
      </c>
      <c r="C53" s="2710"/>
      <c r="D53" s="2711"/>
      <c r="E53" s="2711"/>
      <c r="F53" s="2711"/>
      <c r="G53" s="2710" t="s">
        <v>122</v>
      </c>
      <c r="H53" s="2713">
        <v>0.416863930466028</v>
      </c>
      <c r="I53" s="2713">
        <v>2.69582760887096</v>
      </c>
      <c r="J53" s="2714">
        <v>0.4</v>
      </c>
      <c r="K53" s="2714">
        <f t="shared" si="1"/>
        <v>3.51269153933699</v>
      </c>
      <c r="L53" s="2711" t="s">
        <v>25</v>
      </c>
      <c r="M53" s="2715" t="s">
        <v>1406</v>
      </c>
    </row>
    <row r="54" s="2679" customFormat="1" ht="15" customHeight="1" spans="1:18">
      <c r="A54" s="2709"/>
      <c r="B54" s="2712" t="s">
        <v>19</v>
      </c>
      <c r="C54" s="2710"/>
      <c r="D54" s="2711"/>
      <c r="E54" s="2711"/>
      <c r="F54" s="2711"/>
      <c r="G54" s="2710" t="s">
        <v>123</v>
      </c>
      <c r="H54" s="2713">
        <v>0.473044592895704</v>
      </c>
      <c r="I54" s="2713">
        <v>4.5456055460079</v>
      </c>
      <c r="J54" s="2714">
        <v>0.4</v>
      </c>
      <c r="K54" s="2714">
        <f t="shared" si="1"/>
        <v>5.4186501389036</v>
      </c>
      <c r="L54" s="2711" t="s">
        <v>124</v>
      </c>
      <c r="M54" s="2715" t="s">
        <v>1406</v>
      </c>
    </row>
    <row r="55" s="2679" customFormat="1" ht="15" customHeight="1" spans="1:18">
      <c r="A55" s="2709"/>
      <c r="B55" s="2712" t="s">
        <v>19</v>
      </c>
      <c r="C55" s="2710"/>
      <c r="D55" s="2711"/>
      <c r="E55" s="2711"/>
      <c r="F55" s="2711"/>
      <c r="G55" s="2710" t="s">
        <v>125</v>
      </c>
      <c r="H55" s="2713">
        <v>0.320112856716715</v>
      </c>
      <c r="I55" s="2713">
        <v>1.43414632457487</v>
      </c>
      <c r="J55" s="2714">
        <v>0.2</v>
      </c>
      <c r="K55" s="2714">
        <f t="shared" si="1"/>
        <v>1.95425918129159</v>
      </c>
      <c r="L55" s="2711"/>
      <c r="M55" s="2715" t="s">
        <v>1406</v>
      </c>
    </row>
    <row r="56" s="2679" customFormat="1" spans="1:18">
      <c r="A56" s="2709"/>
      <c r="B56" s="2712" t="s">
        <v>19</v>
      </c>
      <c r="C56" s="2710">
        <v>20240301</v>
      </c>
      <c r="D56" s="2711">
        <v>7.2</v>
      </c>
      <c r="E56" s="2711">
        <v>7.17</v>
      </c>
      <c r="F56" s="2711" t="s">
        <v>126</v>
      </c>
      <c r="G56" s="2710" t="s">
        <v>127</v>
      </c>
      <c r="H56" s="2713">
        <v>0.236317882456572</v>
      </c>
      <c r="I56" s="2713">
        <v>0.0401051545941222</v>
      </c>
      <c r="J56" s="2714">
        <v>0.2</v>
      </c>
      <c r="K56" s="2714">
        <f t="shared" si="1"/>
        <v>0.476423037050694</v>
      </c>
      <c r="L56" s="2711"/>
      <c r="M56" s="2715" t="s">
        <v>1406</v>
      </c>
    </row>
    <row r="57" s="2679" customFormat="1" ht="13.2" spans="1:18">
      <c r="A57" s="2709"/>
      <c r="B57" s="2712" t="s">
        <v>19</v>
      </c>
      <c r="C57" s="2710">
        <v>20240301</v>
      </c>
      <c r="D57" s="2711">
        <v>7.2</v>
      </c>
      <c r="E57" s="2711">
        <v>7.17</v>
      </c>
      <c r="F57" s="2711" t="s">
        <v>128</v>
      </c>
      <c r="G57" s="2710" t="s">
        <v>129</v>
      </c>
      <c r="H57" s="2713">
        <v>0.620098123566043</v>
      </c>
      <c r="I57" s="2713">
        <v>4.55007198152878</v>
      </c>
      <c r="J57" s="2714">
        <v>0.4</v>
      </c>
      <c r="K57" s="2714">
        <f t="shared" si="1"/>
        <v>5.57017010509482</v>
      </c>
      <c r="L57" s="2736" t="s">
        <v>130</v>
      </c>
      <c r="M57" s="2715" t="s">
        <v>1406</v>
      </c>
    </row>
    <row r="58" s="2679" customFormat="1" ht="13.2" spans="1:18">
      <c r="A58" s="2709"/>
      <c r="B58" s="2712" t="s">
        <v>19</v>
      </c>
      <c r="C58" s="2710">
        <v>20250326</v>
      </c>
      <c r="D58" s="2711">
        <v>7.25</v>
      </c>
      <c r="E58" s="2711">
        <v>7.17</v>
      </c>
      <c r="F58" s="2711" t="s">
        <v>1416</v>
      </c>
      <c r="G58" s="2710" t="s">
        <v>1417</v>
      </c>
      <c r="H58" s="2713">
        <v>0.426218520771017</v>
      </c>
      <c r="I58" s="2713">
        <v>1.15621134968192</v>
      </c>
      <c r="J58" s="2714">
        <v>0.2</v>
      </c>
      <c r="K58" s="2714">
        <f t="shared" si="1"/>
        <v>1.78242987045294</v>
      </c>
      <c r="L58" s="2736" t="s">
        <v>1418</v>
      </c>
      <c r="M58" s="2715" t="s">
        <v>1406</v>
      </c>
    </row>
    <row r="59" s="2677" customFormat="1" ht="13.2" spans="1:18">
      <c r="A59" s="2709"/>
      <c r="B59" s="2712" t="s">
        <v>19</v>
      </c>
      <c r="C59" s="2710">
        <v>20241010</v>
      </c>
      <c r="D59" s="2711">
        <v>7.11</v>
      </c>
      <c r="E59" s="2711" t="s">
        <v>1419</v>
      </c>
      <c r="F59" s="2711" t="s">
        <v>131</v>
      </c>
      <c r="G59" s="2710" t="s">
        <v>132</v>
      </c>
      <c r="H59" s="2713">
        <v>0.482245103217493</v>
      </c>
      <c r="I59" s="2713">
        <v>4.46649258490265</v>
      </c>
      <c r="J59" s="2714">
        <v>0.4</v>
      </c>
      <c r="K59" s="2714">
        <f t="shared" si="1"/>
        <v>5.34873768812014</v>
      </c>
      <c r="L59" s="260" t="s">
        <v>133</v>
      </c>
      <c r="M59" s="2715"/>
    </row>
    <row r="60" s="2679" customFormat="1" ht="13.2" spans="1:18">
      <c r="A60" s="2709"/>
      <c r="B60" s="2712" t="s">
        <v>19</v>
      </c>
      <c r="C60" s="2710">
        <v>20241011</v>
      </c>
      <c r="D60" s="2711">
        <v>6.9264</v>
      </c>
      <c r="E60" s="2711" t="s">
        <v>1420</v>
      </c>
      <c r="F60" s="2711" t="s">
        <v>134</v>
      </c>
      <c r="G60" s="2712" t="s">
        <v>135</v>
      </c>
      <c r="H60" s="2713">
        <v>0.581612349708851</v>
      </c>
      <c r="I60" s="2713">
        <v>2.91499425512168</v>
      </c>
      <c r="J60" s="2714">
        <v>0.4</v>
      </c>
      <c r="K60" s="2714">
        <f t="shared" si="1"/>
        <v>3.89660660483053</v>
      </c>
      <c r="L60" s="260" t="s">
        <v>136</v>
      </c>
      <c r="M60" s="2715"/>
      <c r="Q60" s="2679">
        <v>21.9</v>
      </c>
    </row>
    <row r="61" s="2679" customFormat="1" ht="13.2" spans="1:18">
      <c r="A61" s="2709"/>
      <c r="B61" s="2712" t="s">
        <v>19</v>
      </c>
      <c r="C61" s="2710">
        <v>20241011</v>
      </c>
      <c r="D61" s="2711">
        <v>7.11</v>
      </c>
      <c r="E61" s="2711">
        <v>7.17</v>
      </c>
      <c r="F61" s="2711" t="s">
        <v>137</v>
      </c>
      <c r="G61" s="2711" t="s">
        <v>138</v>
      </c>
      <c r="H61" s="2713">
        <v>0.439440442002244</v>
      </c>
      <c r="I61" s="2713">
        <v>2.56217598119178</v>
      </c>
      <c r="J61" s="2714">
        <v>0.4</v>
      </c>
      <c r="K61" s="2714">
        <f t="shared" si="1"/>
        <v>3.40161642319402</v>
      </c>
      <c r="L61" s="260" t="s">
        <v>82</v>
      </c>
      <c r="M61" s="2715"/>
    </row>
    <row r="62" s="2679" customFormat="1" ht="13.2" spans="1:18">
      <c r="A62" s="2709"/>
      <c r="B62" s="2712" t="s">
        <v>19</v>
      </c>
      <c r="C62" s="2710">
        <v>20241025</v>
      </c>
      <c r="D62" s="2711">
        <v>7.11</v>
      </c>
      <c r="E62" s="2711">
        <v>7.17</v>
      </c>
      <c r="F62" s="2711" t="s">
        <v>139</v>
      </c>
      <c r="G62" s="2710" t="s">
        <v>140</v>
      </c>
      <c r="H62" s="2713">
        <v>0.60099942803248</v>
      </c>
      <c r="I62" s="2713">
        <v>2.7960579463804</v>
      </c>
      <c r="J62" s="2714">
        <v>0.4</v>
      </c>
      <c r="K62" s="2714">
        <f t="shared" si="1"/>
        <v>3.79705737441288</v>
      </c>
      <c r="L62" s="260" t="s">
        <v>82</v>
      </c>
      <c r="M62" s="2715"/>
    </row>
    <row r="63" s="2679" customFormat="1" ht="13.2" spans="1:18">
      <c r="A63" s="2709"/>
      <c r="B63" s="2712" t="s">
        <v>19</v>
      </c>
      <c r="C63" s="2710"/>
      <c r="D63" s="2711"/>
      <c r="E63" s="2711"/>
      <c r="F63" s="2711"/>
      <c r="G63" s="2710" t="s">
        <v>129</v>
      </c>
      <c r="H63" s="2713">
        <v>0.610766961651917</v>
      </c>
      <c r="I63" s="2713">
        <v>4.52493346229381</v>
      </c>
      <c r="J63" s="2714">
        <v>0.4</v>
      </c>
      <c r="K63" s="2714">
        <f t="shared" si="1"/>
        <v>5.53570042394573</v>
      </c>
      <c r="L63" s="2736" t="s">
        <v>130</v>
      </c>
      <c r="M63" s="2715" t="s">
        <v>1406</v>
      </c>
    </row>
    <row r="64" s="2679" customFormat="1" spans="1:18">
      <c r="A64" s="2709"/>
      <c r="B64" s="2712" t="s">
        <v>19</v>
      </c>
      <c r="C64" s="2710">
        <v>20241213</v>
      </c>
      <c r="D64" s="2711">
        <v>7.3</v>
      </c>
      <c r="E64" s="2711">
        <v>7.17</v>
      </c>
      <c r="F64" s="2711" t="s">
        <v>141</v>
      </c>
      <c r="G64" s="2710" t="s">
        <v>142</v>
      </c>
      <c r="H64" s="2713">
        <v>0.658199725996964</v>
      </c>
      <c r="I64" s="2713">
        <v>3.08654960576099</v>
      </c>
      <c r="J64" s="2714">
        <v>0.4</v>
      </c>
      <c r="K64" s="2714">
        <f t="shared" si="1"/>
        <v>4.14474933175795</v>
      </c>
      <c r="L64" s="2736" t="s">
        <v>143</v>
      </c>
      <c r="M64" s="2715"/>
    </row>
    <row r="65" s="2679" customFormat="1" spans="1:13">
      <c r="A65" s="2709"/>
      <c r="B65" s="2712" t="s">
        <v>19</v>
      </c>
      <c r="C65" s="2710">
        <v>20251126</v>
      </c>
      <c r="D65" s="2711">
        <v>7.3</v>
      </c>
      <c r="E65" s="2711">
        <v>7.1</v>
      </c>
      <c r="F65" s="2711" t="s">
        <v>144</v>
      </c>
      <c r="G65" s="2711" t="s">
        <v>145</v>
      </c>
      <c r="H65" s="2713">
        <v>0.428019444098217</v>
      </c>
      <c r="I65" s="2713">
        <v>1.12994680614982</v>
      </c>
      <c r="J65" s="2714">
        <v>0.4</v>
      </c>
      <c r="K65" s="2714">
        <f t="shared" si="1"/>
        <v>1.95796625024804</v>
      </c>
      <c r="L65" s="2736" t="s">
        <v>146</v>
      </c>
      <c r="M65" s="2715"/>
    </row>
    <row r="66" s="2679" customFormat="1" spans="1:13">
      <c r="A66" s="2709"/>
      <c r="B66" s="2712" t="s">
        <v>19</v>
      </c>
      <c r="C66" s="2710">
        <v>20250103</v>
      </c>
      <c r="D66" s="2711">
        <v>7.3</v>
      </c>
      <c r="E66" s="2711">
        <v>7.17</v>
      </c>
      <c r="F66" s="2711" t="s">
        <v>147</v>
      </c>
      <c r="G66" s="2710" t="s">
        <v>148</v>
      </c>
      <c r="H66" s="2713">
        <v>0.0243534071275315</v>
      </c>
      <c r="I66" s="2713">
        <v>0.037794724408272</v>
      </c>
      <c r="J66" s="2714">
        <v>0.2</v>
      </c>
      <c r="K66" s="2714">
        <f t="shared" si="1"/>
        <v>0.262148131535804</v>
      </c>
      <c r="L66" s="2736" t="s">
        <v>149</v>
      </c>
      <c r="M66" s="2715"/>
    </row>
    <row r="67" s="2679" customFormat="1" spans="1:13">
      <c r="A67" s="2709"/>
      <c r="B67" s="2712" t="s">
        <v>19</v>
      </c>
      <c r="C67" s="2710">
        <v>20250507</v>
      </c>
      <c r="D67" s="2711">
        <v>7.24</v>
      </c>
      <c r="E67" s="2711"/>
      <c r="F67" s="2711" t="s">
        <v>150</v>
      </c>
      <c r="G67" s="2710" t="s">
        <v>151</v>
      </c>
      <c r="H67" s="2713">
        <v>0.665909646506625</v>
      </c>
      <c r="I67" s="2713">
        <v>2.74263690079961</v>
      </c>
      <c r="J67" s="2714">
        <v>0.4</v>
      </c>
      <c r="K67" s="2714">
        <f t="shared" si="1"/>
        <v>3.80854654730623</v>
      </c>
      <c r="L67" s="2736" t="s">
        <v>152</v>
      </c>
      <c r="M67" s="2715"/>
    </row>
    <row r="68" s="2677" customFormat="1" spans="1:13">
      <c r="A68" s="2709"/>
      <c r="B68" s="2712" t="s">
        <v>19</v>
      </c>
      <c r="C68" s="2710">
        <v>20250227</v>
      </c>
      <c r="D68" s="2711">
        <v>7.25</v>
      </c>
      <c r="E68" s="2711">
        <v>7.17</v>
      </c>
      <c r="F68" s="2711" t="s">
        <v>153</v>
      </c>
      <c r="G68" s="2710" t="s">
        <v>154</v>
      </c>
      <c r="H68" s="2713">
        <v>0.606602388643945</v>
      </c>
      <c r="I68" s="2713">
        <v>3.4443704726476</v>
      </c>
      <c r="J68" s="2714">
        <v>0.4</v>
      </c>
      <c r="K68" s="2714">
        <f t="shared" si="1"/>
        <v>4.45097286129154</v>
      </c>
      <c r="L68" s="2736" t="s">
        <v>155</v>
      </c>
      <c r="M68" s="2715"/>
    </row>
    <row r="69" s="2679" customFormat="1" spans="1:13">
      <c r="A69" s="2709"/>
      <c r="B69" s="2712" t="s">
        <v>19</v>
      </c>
      <c r="C69" s="2710">
        <v>20250108</v>
      </c>
      <c r="D69" s="2711">
        <v>7.3</v>
      </c>
      <c r="E69" s="2711">
        <v>7.17</v>
      </c>
      <c r="F69" s="2711" t="s">
        <v>156</v>
      </c>
      <c r="G69" s="2710" t="s">
        <v>157</v>
      </c>
      <c r="H69" s="2713">
        <v>0.595440804268148</v>
      </c>
      <c r="I69" s="2713">
        <v>2.70981746465791</v>
      </c>
      <c r="J69" s="2714">
        <v>0.4</v>
      </c>
      <c r="K69" s="2714">
        <f t="shared" si="1"/>
        <v>3.70525826892606</v>
      </c>
      <c r="L69" s="2736" t="s">
        <v>158</v>
      </c>
      <c r="M69" s="2715"/>
    </row>
    <row r="70" s="2677" customFormat="1" ht="13.2" spans="1:13">
      <c r="A70" s="2709"/>
      <c r="B70" s="2712" t="s">
        <v>19</v>
      </c>
      <c r="C70" s="2710">
        <v>20241202</v>
      </c>
      <c r="D70" s="2711">
        <v>7.2</v>
      </c>
      <c r="E70" s="2711">
        <v>7.17</v>
      </c>
      <c r="F70" s="2711" t="s">
        <v>159</v>
      </c>
      <c r="G70" s="2710" t="s">
        <v>160</v>
      </c>
      <c r="H70" s="2713">
        <v>0.563251449496491</v>
      </c>
      <c r="I70" s="2713">
        <v>3.35585094736415</v>
      </c>
      <c r="J70" s="2714">
        <v>0.4</v>
      </c>
      <c r="K70" s="2714">
        <f t="shared" si="1"/>
        <v>4.31910239686064</v>
      </c>
      <c r="L70" s="2736" t="s">
        <v>130</v>
      </c>
      <c r="M70" s="2715"/>
    </row>
    <row r="71" s="2677" customFormat="1" spans="1:13">
      <c r="A71" s="2709"/>
      <c r="B71" s="2712" t="s">
        <v>19</v>
      </c>
      <c r="C71" s="2710">
        <v>20240511</v>
      </c>
      <c r="D71" s="2711">
        <v>7.22</v>
      </c>
      <c r="E71" s="2711">
        <v>7.17</v>
      </c>
      <c r="F71" s="2711" t="s">
        <v>161</v>
      </c>
      <c r="G71" s="2710" t="s">
        <v>162</v>
      </c>
      <c r="H71" s="2713">
        <v>0.037601672874053</v>
      </c>
      <c r="I71" s="2713">
        <v>0.0394461961476737</v>
      </c>
      <c r="J71" s="2714">
        <v>0.2</v>
      </c>
      <c r="K71" s="2714">
        <f t="shared" ref="K71:K134" si="2">SUM(H71:J71)</f>
        <v>0.277047869021727</v>
      </c>
      <c r="L71" s="2736"/>
      <c r="M71" s="2715"/>
    </row>
    <row r="72" s="2679" customFormat="1" ht="13.2" spans="1:13">
      <c r="A72" s="2709"/>
      <c r="B72" s="2712" t="s">
        <v>19</v>
      </c>
      <c r="C72" s="2737">
        <v>20240605</v>
      </c>
      <c r="D72" s="2738">
        <v>7.25</v>
      </c>
      <c r="E72" s="2711">
        <v>7.17</v>
      </c>
      <c r="F72" s="2738" t="s">
        <v>163</v>
      </c>
      <c r="G72" s="2737" t="s">
        <v>164</v>
      </c>
      <c r="H72" s="2713">
        <v>0.420146736396831</v>
      </c>
      <c r="I72" s="2713">
        <v>5.9354763986435</v>
      </c>
      <c r="J72" s="2739">
        <v>0.4</v>
      </c>
      <c r="K72" s="2739">
        <f t="shared" si="2"/>
        <v>6.75562313504033</v>
      </c>
      <c r="L72" s="2740" t="s">
        <v>165</v>
      </c>
      <c r="M72" s="2715"/>
    </row>
    <row r="73" s="2679" customFormat="1" spans="1:13">
      <c r="A73" s="2709"/>
      <c r="B73" s="2712" t="s">
        <v>19</v>
      </c>
      <c r="C73" s="2710">
        <v>20250618</v>
      </c>
      <c r="D73" s="2711">
        <v>7.19</v>
      </c>
      <c r="E73" s="2711"/>
      <c r="F73" s="2711" t="s">
        <v>166</v>
      </c>
      <c r="G73" s="2711" t="s">
        <v>167</v>
      </c>
      <c r="H73" s="2713">
        <v>0.678745061356112</v>
      </c>
      <c r="I73" s="2713">
        <v>2.74687325762913</v>
      </c>
      <c r="J73" s="2714">
        <v>0.4</v>
      </c>
      <c r="K73" s="2714">
        <f t="shared" si="2"/>
        <v>3.82561831898524</v>
      </c>
      <c r="L73" s="2736" t="s">
        <v>168</v>
      </c>
      <c r="M73" s="2715"/>
    </row>
    <row r="74" s="2679" customFormat="1" ht="13.2" spans="1:13">
      <c r="A74" s="2709"/>
      <c r="B74" s="2712" t="s">
        <v>19</v>
      </c>
      <c r="C74" s="2737">
        <v>20241023</v>
      </c>
      <c r="D74" s="2738">
        <v>7.11</v>
      </c>
      <c r="E74" s="2711">
        <v>7.17</v>
      </c>
      <c r="F74" s="2738" t="s">
        <v>169</v>
      </c>
      <c r="G74" s="2737" t="s">
        <v>170</v>
      </c>
      <c r="H74" s="2713">
        <v>0.632018753350286</v>
      </c>
      <c r="I74" s="2713">
        <v>2.91498350232137</v>
      </c>
      <c r="J74" s="2739">
        <v>0.4</v>
      </c>
      <c r="K74" s="2739">
        <f t="shared" si="2"/>
        <v>3.94700225567166</v>
      </c>
      <c r="L74" s="499" t="s">
        <v>171</v>
      </c>
      <c r="M74" s="2715"/>
    </row>
    <row r="75" s="2677" customFormat="1" ht="13.2" spans="1:13">
      <c r="A75" s="2741"/>
      <c r="B75" s="2712" t="s">
        <v>19</v>
      </c>
      <c r="C75" s="2710">
        <v>20241016</v>
      </c>
      <c r="D75" s="2711">
        <v>7.1</v>
      </c>
      <c r="E75" s="2711">
        <v>7.17</v>
      </c>
      <c r="F75" s="2711" t="s">
        <v>172</v>
      </c>
      <c r="G75" s="2711" t="s">
        <v>173</v>
      </c>
      <c r="H75" s="2713">
        <v>0.486043206766462</v>
      </c>
      <c r="I75" s="2713">
        <v>4.02907052511725</v>
      </c>
      <c r="J75" s="2714">
        <v>0.4</v>
      </c>
      <c r="K75" s="2714">
        <f t="shared" si="2"/>
        <v>4.91511373188371</v>
      </c>
      <c r="L75" s="260" t="s">
        <v>174</v>
      </c>
      <c r="M75" s="2715"/>
    </row>
    <row r="76" s="2680" customFormat="1" ht="13.2" spans="1:13">
      <c r="A76" s="2742"/>
      <c r="B76" s="2712" t="s">
        <v>19</v>
      </c>
      <c r="C76" s="2743">
        <v>20241111</v>
      </c>
      <c r="D76" s="2744">
        <v>7.2</v>
      </c>
      <c r="E76" s="2744">
        <v>7.17</v>
      </c>
      <c r="F76" s="2745" t="s">
        <v>175</v>
      </c>
      <c r="G76" s="2744" t="s">
        <v>176</v>
      </c>
      <c r="H76" s="2713">
        <v>0.426569973045636</v>
      </c>
      <c r="I76" s="2713">
        <v>2.17256593213543</v>
      </c>
      <c r="J76" s="2746">
        <v>0.4</v>
      </c>
      <c r="K76" s="2746">
        <f t="shared" si="2"/>
        <v>2.99913590518107</v>
      </c>
      <c r="L76" s="2747" t="s">
        <v>171</v>
      </c>
      <c r="M76" s="2748"/>
    </row>
    <row r="77" s="2679" customFormat="1" ht="15" customHeight="1" spans="1:13">
      <c r="A77" s="2709"/>
      <c r="B77" s="2712" t="s">
        <v>41</v>
      </c>
      <c r="C77" s="2710"/>
      <c r="D77" s="2711"/>
      <c r="E77" s="2711"/>
      <c r="F77" s="2711"/>
      <c r="G77" s="2711" t="s">
        <v>178</v>
      </c>
      <c r="H77" s="2713">
        <v>1.6362</v>
      </c>
      <c r="I77" s="2713">
        <v>3.14542857142857</v>
      </c>
      <c r="J77" s="2714">
        <v>0.4</v>
      </c>
      <c r="K77" s="2714">
        <f t="shared" si="2"/>
        <v>5.18162857142857</v>
      </c>
      <c r="L77" s="2711"/>
      <c r="M77" s="2715" t="s">
        <v>1406</v>
      </c>
    </row>
    <row r="78" s="2679" customFormat="1" ht="15" customHeight="1" spans="1:13">
      <c r="A78" s="2709"/>
      <c r="B78" s="2712" t="s">
        <v>41</v>
      </c>
      <c r="C78" s="2710"/>
      <c r="D78" s="2711"/>
      <c r="E78" s="2711"/>
      <c r="F78" s="2711"/>
      <c r="G78" s="2711" t="s">
        <v>179</v>
      </c>
      <c r="H78" s="2713">
        <v>1.8988</v>
      </c>
      <c r="I78" s="2713">
        <v>9.26314285714286</v>
      </c>
      <c r="J78" s="2714">
        <v>0.4</v>
      </c>
      <c r="K78" s="2714">
        <f t="shared" si="2"/>
        <v>11.5619428571429</v>
      </c>
      <c r="L78" s="226" t="s">
        <v>180</v>
      </c>
      <c r="M78" s="2715" t="s">
        <v>1406</v>
      </c>
    </row>
    <row r="79" s="2679" customFormat="1" ht="15" customHeight="1" spans="1:13">
      <c r="A79" s="2686"/>
      <c r="B79" s="2749" t="s">
        <v>41</v>
      </c>
      <c r="C79" s="2710">
        <v>20250818</v>
      </c>
      <c r="D79" s="2711">
        <v>7.25</v>
      </c>
      <c r="E79" s="2711">
        <v>7.07</v>
      </c>
      <c r="F79" s="2711" t="s">
        <v>181</v>
      </c>
      <c r="G79" s="2711" t="s">
        <v>182</v>
      </c>
      <c r="H79" s="2713">
        <v>0.362285742655364</v>
      </c>
      <c r="I79" s="2713">
        <v>1.46740123124911</v>
      </c>
      <c r="J79" s="2714">
        <v>0.4</v>
      </c>
      <c r="K79" s="2714">
        <f t="shared" si="2"/>
        <v>2.22968697390447</v>
      </c>
      <c r="L79" s="254" t="s">
        <v>183</v>
      </c>
      <c r="M79" s="2715"/>
    </row>
    <row r="80" s="2679" customFormat="1" ht="15" customHeight="1" spans="1:13">
      <c r="A80" s="2686"/>
      <c r="B80" s="2712" t="s">
        <v>41</v>
      </c>
      <c r="C80" s="2710">
        <v>20241113</v>
      </c>
      <c r="D80" s="2711">
        <v>7.2</v>
      </c>
      <c r="E80" s="2711">
        <v>7.17</v>
      </c>
      <c r="F80" s="2711" t="s">
        <v>184</v>
      </c>
      <c r="G80" s="2711" t="s">
        <v>185</v>
      </c>
      <c r="H80" s="2713">
        <v>0.437345627799628</v>
      </c>
      <c r="I80" s="2713">
        <v>1.40845761649405</v>
      </c>
      <c r="J80" s="2714">
        <v>0.2</v>
      </c>
      <c r="K80" s="2714">
        <f t="shared" si="2"/>
        <v>2.04580324429368</v>
      </c>
      <c r="L80" s="2711" t="s">
        <v>186</v>
      </c>
      <c r="M80" s="2715"/>
    </row>
    <row r="81" s="2677" customFormat="1" ht="15" customHeight="1" spans="1:18">
      <c r="A81" s="2686"/>
      <c r="B81" s="2712" t="s">
        <v>41</v>
      </c>
      <c r="C81" s="2710">
        <v>20241023</v>
      </c>
      <c r="D81" s="2711">
        <v>7.11</v>
      </c>
      <c r="E81" s="2711">
        <v>7.17</v>
      </c>
      <c r="F81" s="2711" t="s">
        <v>187</v>
      </c>
      <c r="G81" s="2711" t="s">
        <v>188</v>
      </c>
      <c r="H81" s="2713">
        <v>0.448487745219936</v>
      </c>
      <c r="I81" s="2713">
        <v>1.4342</v>
      </c>
      <c r="J81" s="2714">
        <v>0.2</v>
      </c>
      <c r="K81" s="2714">
        <f t="shared" si="2"/>
        <v>2.08268774521994</v>
      </c>
      <c r="L81" s="254" t="s">
        <v>189</v>
      </c>
      <c r="M81" s="2715"/>
    </row>
    <row r="82" s="2679" customFormat="1" ht="15" customHeight="1" spans="1:18">
      <c r="A82" s="2686"/>
      <c r="B82" s="2712" t="s">
        <v>41</v>
      </c>
      <c r="C82" s="2710">
        <v>20250123</v>
      </c>
      <c r="D82" s="2711">
        <v>7.3</v>
      </c>
      <c r="E82" s="2711">
        <v>7.17</v>
      </c>
      <c r="F82" s="2711" t="s">
        <v>190</v>
      </c>
      <c r="G82" s="2711" t="s">
        <v>191</v>
      </c>
      <c r="H82" s="2713">
        <v>0.333641677647184</v>
      </c>
      <c r="I82" s="2713">
        <v>1.25784504895688</v>
      </c>
      <c r="J82" s="2714">
        <v>0.2</v>
      </c>
      <c r="K82" s="2714">
        <f t="shared" si="2"/>
        <v>1.79148672660406</v>
      </c>
      <c r="L82" s="2710" t="s">
        <v>63</v>
      </c>
      <c r="M82" s="2715"/>
    </row>
    <row r="83" s="2679" customFormat="1" ht="15" customHeight="1" spans="1:18">
      <c r="A83" s="2686"/>
      <c r="B83" s="2712" t="s">
        <v>41</v>
      </c>
      <c r="C83" s="2710">
        <v>20240409</v>
      </c>
      <c r="D83" s="2711">
        <v>7.23</v>
      </c>
      <c r="E83" s="2711">
        <v>7.17</v>
      </c>
      <c r="F83" s="2711" t="s">
        <v>192</v>
      </c>
      <c r="G83" s="2711" t="s">
        <v>193</v>
      </c>
      <c r="H83" s="2713">
        <v>0.203737661524033</v>
      </c>
      <c r="I83" s="2713">
        <v>2.70465069930486</v>
      </c>
      <c r="J83" s="2714">
        <v>0.4</v>
      </c>
      <c r="K83" s="2714">
        <f t="shared" si="2"/>
        <v>3.30838836082889</v>
      </c>
      <c r="L83" s="254" t="s">
        <v>194</v>
      </c>
      <c r="M83" s="2715" t="s">
        <v>1406</v>
      </c>
    </row>
    <row r="84" s="2677" customFormat="1" ht="15" customHeight="1" spans="1:18">
      <c r="A84" s="2686"/>
      <c r="B84" s="2712" t="s">
        <v>41</v>
      </c>
      <c r="C84" s="2710">
        <v>20250224</v>
      </c>
      <c r="D84" s="2711">
        <v>7.25</v>
      </c>
      <c r="E84" s="2711">
        <v>7.17</v>
      </c>
      <c r="F84" s="2711" t="s">
        <v>195</v>
      </c>
      <c r="G84" s="2711" t="s">
        <v>196</v>
      </c>
      <c r="H84" s="2713">
        <v>0.340592324771395</v>
      </c>
      <c r="I84" s="2713">
        <v>1.12072407397217</v>
      </c>
      <c r="J84" s="2714">
        <v>0.2</v>
      </c>
      <c r="K84" s="2714">
        <f t="shared" si="2"/>
        <v>1.66131639874356</v>
      </c>
      <c r="L84" s="2710" t="s">
        <v>197</v>
      </c>
      <c r="M84" s="2715"/>
    </row>
    <row r="85" s="2679" customFormat="1" ht="15" customHeight="1" spans="1:18">
      <c r="A85" s="2686"/>
      <c r="B85" s="2712" t="s">
        <v>41</v>
      </c>
      <c r="C85" s="2710">
        <v>20240416</v>
      </c>
      <c r="D85" s="2711">
        <v>7.24</v>
      </c>
      <c r="E85" s="2711">
        <v>7.17</v>
      </c>
      <c r="F85" s="2711" t="s">
        <v>198</v>
      </c>
      <c r="G85" s="2711" t="s">
        <v>199</v>
      </c>
      <c r="H85" s="2713">
        <v>0.168273970939437</v>
      </c>
      <c r="I85" s="2713">
        <v>1.27613783948479</v>
      </c>
      <c r="J85" s="2714">
        <v>0.2</v>
      </c>
      <c r="K85" s="2714">
        <f t="shared" si="2"/>
        <v>1.64441181042423</v>
      </c>
      <c r="L85" s="254" t="s">
        <v>28</v>
      </c>
      <c r="M85" s="2715"/>
    </row>
    <row r="86" s="2679" customFormat="1" ht="15" customHeight="1" spans="1:18">
      <c r="A86" s="2686"/>
      <c r="B86" s="2712" t="s">
        <v>41</v>
      </c>
      <c r="C86" s="2710">
        <v>20240925</v>
      </c>
      <c r="D86" s="2711">
        <v>7.11</v>
      </c>
      <c r="E86" s="2711">
        <v>7.17</v>
      </c>
      <c r="F86" s="2711" t="s">
        <v>200</v>
      </c>
      <c r="G86" s="2711" t="s">
        <v>201</v>
      </c>
      <c r="H86" s="2713">
        <v>0.448487745219936</v>
      </c>
      <c r="I86" s="2713">
        <v>1.36534698754592</v>
      </c>
      <c r="J86" s="2714">
        <v>0.2</v>
      </c>
      <c r="K86" s="2714">
        <f t="shared" si="2"/>
        <v>2.01383473276586</v>
      </c>
      <c r="L86" s="2710"/>
      <c r="M86" s="2715"/>
    </row>
    <row r="87" s="2677" customFormat="1" ht="15" customHeight="1" spans="1:18">
      <c r="A87" s="2686"/>
      <c r="B87" s="2712" t="s">
        <v>41</v>
      </c>
      <c r="C87" s="2710">
        <v>20240925</v>
      </c>
      <c r="D87" s="2711">
        <v>7.11</v>
      </c>
      <c r="E87" s="2711">
        <v>7.17</v>
      </c>
      <c r="F87" s="2711" t="s">
        <v>202</v>
      </c>
      <c r="G87" s="2711" t="s">
        <v>203</v>
      </c>
      <c r="H87" s="2713">
        <v>0.378694263254873</v>
      </c>
      <c r="I87" s="2713">
        <v>1.239655466668</v>
      </c>
      <c r="J87" s="2714">
        <v>0.2</v>
      </c>
      <c r="K87" s="2714">
        <f t="shared" si="2"/>
        <v>1.81834972992287</v>
      </c>
      <c r="L87" s="2710"/>
      <c r="M87" s="2715"/>
      <c r="P87" s="2679">
        <f>55.2/D87/1.13</f>
        <v>6.87054254882193</v>
      </c>
      <c r="R87" s="2677">
        <f>22.36/D87</f>
        <v>3.14486638537271</v>
      </c>
    </row>
    <row r="88" s="2679" customFormat="1" ht="15" customHeight="1" spans="1:18">
      <c r="A88" s="2686"/>
      <c r="B88" s="2712" t="s">
        <v>41</v>
      </c>
      <c r="C88" s="2710">
        <v>20250401</v>
      </c>
      <c r="D88" s="2711">
        <v>7.25</v>
      </c>
      <c r="E88" s="2711">
        <v>7.17</v>
      </c>
      <c r="F88" s="2711" t="s">
        <v>204</v>
      </c>
      <c r="G88" s="2711" t="s">
        <v>205</v>
      </c>
      <c r="H88" s="2713">
        <v>0.417660661033536</v>
      </c>
      <c r="I88" s="2713">
        <v>1.38474609102589</v>
      </c>
      <c r="J88" s="2714">
        <v>0.2</v>
      </c>
      <c r="K88" s="2714">
        <f t="shared" si="2"/>
        <v>2.00240675205943</v>
      </c>
      <c r="L88" s="2710" t="s">
        <v>63</v>
      </c>
      <c r="M88" s="2715"/>
      <c r="P88" s="2679">
        <f>55.2/D88/1.13</f>
        <v>6.73787000305157</v>
      </c>
      <c r="R88" s="2679">
        <f>22.36/D88</f>
        <v>3.08413793103448</v>
      </c>
    </row>
    <row r="89" s="2679" customFormat="1" ht="15" customHeight="1" spans="1:18">
      <c r="A89" s="2686"/>
      <c r="B89" s="2712" t="s">
        <v>41</v>
      </c>
      <c r="C89" s="2710">
        <v>20250513</v>
      </c>
      <c r="D89" s="2711">
        <v>7.24</v>
      </c>
      <c r="E89" s="2711">
        <v>7.1</v>
      </c>
      <c r="F89" s="2711" t="s">
        <v>206</v>
      </c>
      <c r="G89" s="2711" t="s">
        <v>207</v>
      </c>
      <c r="H89" s="2713">
        <v>0.0818272466658358</v>
      </c>
      <c r="I89" s="2713">
        <v>0.627432127173751</v>
      </c>
      <c r="J89" s="2714">
        <v>0.2</v>
      </c>
      <c r="K89" s="2714">
        <f t="shared" si="2"/>
        <v>0.909259373839587</v>
      </c>
      <c r="L89" s="2710" t="s">
        <v>208</v>
      </c>
      <c r="M89" s="2715"/>
    </row>
    <row r="90" s="2679" customFormat="1" ht="15" customHeight="1" spans="1:18">
      <c r="A90" s="2686"/>
      <c r="B90" s="2712" t="s">
        <v>41</v>
      </c>
      <c r="C90" s="2710">
        <v>20250428</v>
      </c>
      <c r="D90" s="2711">
        <v>7.31</v>
      </c>
      <c r="E90" s="2711">
        <v>7.17</v>
      </c>
      <c r="F90" s="2711" t="s">
        <v>209</v>
      </c>
      <c r="G90" s="2711" t="s">
        <v>210</v>
      </c>
      <c r="H90" s="2713">
        <v>0.342360446957132</v>
      </c>
      <c r="I90" s="2713">
        <v>2.73640587798221</v>
      </c>
      <c r="J90" s="2714">
        <v>0.2</v>
      </c>
      <c r="K90" s="2714">
        <f t="shared" si="2"/>
        <v>3.27876632493934</v>
      </c>
      <c r="L90" s="2710" t="s">
        <v>63</v>
      </c>
      <c r="M90" s="2715"/>
    </row>
    <row r="91" s="2677" customFormat="1" ht="15" customHeight="1" spans="1:18">
      <c r="A91" s="2686"/>
      <c r="B91" s="2712" t="s">
        <v>41</v>
      </c>
      <c r="C91" s="2710">
        <v>20250402</v>
      </c>
      <c r="D91" s="2711">
        <v>7.25</v>
      </c>
      <c r="E91" s="2711">
        <v>7.17</v>
      </c>
      <c r="F91" s="2711" t="s">
        <v>1421</v>
      </c>
      <c r="G91" s="2711" t="s">
        <v>1422</v>
      </c>
      <c r="H91" s="2713">
        <v>0.319460684183389</v>
      </c>
      <c r="I91" s="2713">
        <v>1.46398983260721</v>
      </c>
      <c r="J91" s="2714">
        <v>0.2</v>
      </c>
      <c r="K91" s="2714">
        <f t="shared" si="2"/>
        <v>1.9834505167906</v>
      </c>
      <c r="L91" s="2710" t="s">
        <v>63</v>
      </c>
      <c r="M91" s="2715"/>
    </row>
    <row r="92" s="2677" customFormat="1" ht="15" customHeight="1" spans="1:18">
      <c r="A92" s="2686"/>
      <c r="B92" s="2712" t="s">
        <v>41</v>
      </c>
      <c r="C92" s="2710">
        <v>20250618</v>
      </c>
      <c r="D92" s="2711">
        <v>7.19</v>
      </c>
      <c r="E92" s="2711">
        <v>7.17</v>
      </c>
      <c r="F92" s="2711" t="s">
        <v>211</v>
      </c>
      <c r="G92" s="2711" t="s">
        <v>212</v>
      </c>
      <c r="H92" s="2713">
        <v>0.360139963713111</v>
      </c>
      <c r="I92" s="2713">
        <v>2.87805792198387</v>
      </c>
      <c r="J92" s="2714">
        <v>0.2</v>
      </c>
      <c r="K92" s="2714">
        <f t="shared" si="2"/>
        <v>3.43819788569698</v>
      </c>
      <c r="L92" s="2711" t="s">
        <v>213</v>
      </c>
      <c r="M92" s="2715"/>
    </row>
    <row r="93" s="2681" customFormat="1" ht="15" customHeight="1" spans="1:18">
      <c r="A93" s="2750"/>
      <c r="B93" s="2751" t="s">
        <v>41</v>
      </c>
      <c r="C93" s="2710">
        <v>20250618</v>
      </c>
      <c r="D93" s="2711">
        <v>7.19</v>
      </c>
      <c r="E93" s="2711">
        <v>7.13</v>
      </c>
      <c r="F93" s="2711" t="s">
        <v>214</v>
      </c>
      <c r="G93" s="2752" t="s">
        <v>215</v>
      </c>
      <c r="H93" s="2713">
        <v>0.362285742655364</v>
      </c>
      <c r="I93" s="2713">
        <v>1.41383501410342</v>
      </c>
      <c r="J93" s="2753">
        <v>0.2</v>
      </c>
      <c r="K93" s="2753">
        <f t="shared" si="2"/>
        <v>1.97612075675878</v>
      </c>
      <c r="L93" s="2752" t="s">
        <v>63</v>
      </c>
      <c r="M93" s="2754"/>
    </row>
    <row r="94" s="2679" customFormat="1" ht="15" customHeight="1" spans="1:18">
      <c r="A94" s="2686"/>
      <c r="B94" s="2712" t="s">
        <v>41</v>
      </c>
      <c r="C94" s="2710">
        <v>20250106</v>
      </c>
      <c r="D94" s="2711">
        <v>7.3</v>
      </c>
      <c r="E94" s="2711">
        <v>7.17</v>
      </c>
      <c r="F94" s="2711" t="s">
        <v>216</v>
      </c>
      <c r="G94" s="2711" t="s">
        <v>217</v>
      </c>
      <c r="H94" s="2713">
        <v>0.416443261880791</v>
      </c>
      <c r="I94" s="2713">
        <v>1.37163491684941</v>
      </c>
      <c r="J94" s="2714">
        <v>0.2</v>
      </c>
      <c r="K94" s="2714">
        <f t="shared" si="2"/>
        <v>1.9880781787302</v>
      </c>
      <c r="L94" s="2710" t="s">
        <v>63</v>
      </c>
      <c r="M94" s="2715"/>
    </row>
    <row r="95" s="2682" customFormat="1" ht="15" customHeight="1" spans="1:18">
      <c r="A95" s="2750"/>
      <c r="B95" s="2751" t="s">
        <v>41</v>
      </c>
      <c r="C95" s="2734">
        <v>20250826</v>
      </c>
      <c r="D95" s="2755">
        <v>7.17</v>
      </c>
      <c r="E95" s="2711">
        <v>7.13</v>
      </c>
      <c r="F95" s="2755" t="s">
        <v>221</v>
      </c>
      <c r="G95" s="2752" t="s">
        <v>222</v>
      </c>
      <c r="H95" s="2713">
        <v>0.434993607963361</v>
      </c>
      <c r="I95" s="2713">
        <v>1.46477357736581</v>
      </c>
      <c r="J95" s="2753">
        <v>0.2</v>
      </c>
      <c r="K95" s="2753">
        <f t="shared" si="2"/>
        <v>2.09976718532917</v>
      </c>
      <c r="L95" s="2756" t="s">
        <v>63</v>
      </c>
      <c r="M95" s="2754"/>
    </row>
    <row r="96" s="2679" customFormat="1" ht="15" customHeight="1" spans="1:18">
      <c r="A96" s="2686"/>
      <c r="B96" s="2712" t="s">
        <v>41</v>
      </c>
      <c r="C96" s="2710">
        <v>20240919</v>
      </c>
      <c r="D96" s="2711">
        <v>7.11</v>
      </c>
      <c r="E96" s="2711">
        <v>7.17</v>
      </c>
      <c r="F96" s="2711" t="s">
        <v>223</v>
      </c>
      <c r="G96" s="2711" t="s">
        <v>224</v>
      </c>
      <c r="H96" s="2713">
        <v>0.448487745219936</v>
      </c>
      <c r="I96" s="2713">
        <v>1.55242112344237</v>
      </c>
      <c r="J96" s="2714">
        <v>0.2</v>
      </c>
      <c r="K96" s="2714">
        <f t="shared" si="2"/>
        <v>2.20090886866231</v>
      </c>
      <c r="L96" s="254" t="s">
        <v>183</v>
      </c>
      <c r="M96" s="2715"/>
      <c r="P96" s="2679">
        <f>25.54/D96/1.13</f>
        <v>3.17887059233536</v>
      </c>
    </row>
    <row r="97" s="2677" customFormat="1" spans="2:20">
      <c r="B97" s="2712" t="s">
        <v>225</v>
      </c>
      <c r="C97" s="2732"/>
      <c r="D97" s="2757"/>
      <c r="E97" s="2757"/>
      <c r="F97" s="2711" t="s">
        <v>226</v>
      </c>
      <c r="G97" s="2758" t="s">
        <v>227</v>
      </c>
      <c r="H97" s="2713">
        <v>4.54697468614941</v>
      </c>
      <c r="I97" s="2713">
        <v>3.58030205145225</v>
      </c>
      <c r="J97" s="2714">
        <v>0.4</v>
      </c>
      <c r="K97" s="2714">
        <f t="shared" si="2"/>
        <v>8.52727673760166</v>
      </c>
      <c r="L97" s="2759" t="s">
        <v>25</v>
      </c>
      <c r="M97" s="2715" t="s">
        <v>1406</v>
      </c>
    </row>
    <row r="98" s="2677" customFormat="1" spans="2:20">
      <c r="B98" s="2712" t="s">
        <v>225</v>
      </c>
      <c r="C98" s="2710"/>
      <c r="D98" s="2711">
        <v>6.901</v>
      </c>
      <c r="E98" s="2711"/>
      <c r="F98" s="2711" t="s">
        <v>228</v>
      </c>
      <c r="G98" s="2759" t="s">
        <v>229</v>
      </c>
      <c r="H98" s="2713">
        <v>0.761293476023873</v>
      </c>
      <c r="I98" s="2713">
        <v>5.88110552137662</v>
      </c>
      <c r="J98" s="2714">
        <v>0.4</v>
      </c>
      <c r="K98" s="2714">
        <f t="shared" si="2"/>
        <v>7.04239899740049</v>
      </c>
      <c r="L98" s="2759"/>
      <c r="M98" s="2715" t="s">
        <v>1406</v>
      </c>
      <c r="T98" s="2677" t="s">
        <v>1423</v>
      </c>
    </row>
    <row r="99" s="2677" customFormat="1" spans="2:20">
      <c r="B99" s="2712" t="s">
        <v>225</v>
      </c>
      <c r="C99" s="2710">
        <v>20250617</v>
      </c>
      <c r="D99" s="2711">
        <v>7.19</v>
      </c>
      <c r="E99" s="2711" t="s">
        <v>1424</v>
      </c>
      <c r="F99" s="2711" t="s">
        <v>230</v>
      </c>
      <c r="G99" s="2711" t="s">
        <v>231</v>
      </c>
      <c r="H99" s="2713">
        <v>0.625788375853174</v>
      </c>
      <c r="I99" s="2713">
        <v>3.41432321741766</v>
      </c>
      <c r="J99" s="2714">
        <v>0.4</v>
      </c>
      <c r="K99" s="2714">
        <f t="shared" si="2"/>
        <v>4.44011159327083</v>
      </c>
      <c r="L99" s="2736" t="s">
        <v>232</v>
      </c>
      <c r="M99" s="2715"/>
      <c r="R99" s="2677">
        <f>24.03/6.91/1.13</f>
        <v>3.07749446102225</v>
      </c>
      <c r="T99" s="2677" t="s">
        <v>1425</v>
      </c>
    </row>
    <row r="100" s="2677" customFormat="1" spans="2:20">
      <c r="B100" s="2712" t="s">
        <v>225</v>
      </c>
      <c r="C100" s="2710">
        <v>20250716</v>
      </c>
      <c r="D100" s="2711"/>
      <c r="E100" s="2711">
        <v>7.17</v>
      </c>
      <c r="F100" s="2711" t="s">
        <v>233</v>
      </c>
      <c r="G100" s="2759" t="s">
        <v>234</v>
      </c>
      <c r="H100" s="2713">
        <v>0.582157712198072</v>
      </c>
      <c r="I100" s="2713">
        <v>3.46374297703553</v>
      </c>
      <c r="J100" s="2714">
        <v>0.4</v>
      </c>
      <c r="K100" s="2714">
        <f t="shared" si="2"/>
        <v>4.4459006892336</v>
      </c>
      <c r="L100" s="2759" t="s">
        <v>235</v>
      </c>
      <c r="M100" s="2715" t="s">
        <v>1406</v>
      </c>
    </row>
    <row r="101" s="2677" customFormat="1" ht="13.2" spans="2:20">
      <c r="B101" s="2712" t="s">
        <v>236</v>
      </c>
      <c r="C101" s="2710">
        <v>20240627</v>
      </c>
      <c r="D101" s="2711">
        <v>7.26</v>
      </c>
      <c r="E101" s="2711">
        <v>7.17</v>
      </c>
      <c r="F101" s="2711" t="s">
        <v>237</v>
      </c>
      <c r="G101" s="2759" t="s">
        <v>238</v>
      </c>
      <c r="H101" s="2713">
        <v>0.398908924846644</v>
      </c>
      <c r="I101" s="2713">
        <v>1.74266858823513</v>
      </c>
      <c r="J101" s="2714">
        <v>0.2</v>
      </c>
      <c r="K101" s="2714">
        <f t="shared" si="2"/>
        <v>2.34157751308177</v>
      </c>
      <c r="L101" s="260" t="s">
        <v>239</v>
      </c>
      <c r="M101" s="2715"/>
    </row>
    <row r="102" s="2677" customFormat="1" ht="13.2" spans="2:20">
      <c r="B102" s="2712" t="s">
        <v>236</v>
      </c>
      <c r="C102" s="2710">
        <v>20250326</v>
      </c>
      <c r="D102" s="2711">
        <v>7.25</v>
      </c>
      <c r="E102" s="2711">
        <v>7.17</v>
      </c>
      <c r="F102" s="2711" t="s">
        <v>240</v>
      </c>
      <c r="G102" s="2759" t="s">
        <v>241</v>
      </c>
      <c r="H102" s="2713">
        <v>0.354265739269517</v>
      </c>
      <c r="I102" s="2713">
        <v>1.40378588630174</v>
      </c>
      <c r="J102" s="2714">
        <v>0.2</v>
      </c>
      <c r="K102" s="2714">
        <f t="shared" si="2"/>
        <v>1.95805162557126</v>
      </c>
      <c r="L102" s="260" t="s">
        <v>239</v>
      </c>
      <c r="M102" s="2715"/>
    </row>
    <row r="103" s="2677" customFormat="1" spans="2:20">
      <c r="B103" s="2712" t="s">
        <v>236</v>
      </c>
      <c r="C103" s="2710">
        <v>20241129</v>
      </c>
      <c r="D103" s="2711">
        <v>7.25</v>
      </c>
      <c r="E103" s="2711">
        <v>7.17</v>
      </c>
      <c r="F103" s="2711" t="s">
        <v>242</v>
      </c>
      <c r="G103" s="2759" t="s">
        <v>243</v>
      </c>
      <c r="H103" s="2713">
        <v>0.403987246535414</v>
      </c>
      <c r="I103" s="2713">
        <v>3.73949427944818</v>
      </c>
      <c r="J103" s="2714">
        <v>0.2</v>
      </c>
      <c r="K103" s="2714">
        <f t="shared" si="2"/>
        <v>4.34348152598359</v>
      </c>
      <c r="L103" s="2736" t="s">
        <v>244</v>
      </c>
      <c r="M103" s="2715"/>
    </row>
    <row r="104" s="2677" customFormat="1" ht="13.2" spans="2:20">
      <c r="B104" s="2712" t="s">
        <v>236</v>
      </c>
      <c r="C104" s="2710">
        <v>20241018</v>
      </c>
      <c r="D104" s="2711">
        <v>7.1</v>
      </c>
      <c r="E104" s="2711">
        <v>7.17</v>
      </c>
      <c r="F104" s="2711" t="s">
        <v>245</v>
      </c>
      <c r="G104" s="2736" t="s">
        <v>246</v>
      </c>
      <c r="H104" s="2713">
        <v>0.475376178521961</v>
      </c>
      <c r="I104" s="2713">
        <v>4.66801148309439</v>
      </c>
      <c r="J104" s="2714">
        <v>0.2</v>
      </c>
      <c r="K104" s="2714">
        <f t="shared" si="2"/>
        <v>5.34338766161635</v>
      </c>
      <c r="L104" s="260" t="s">
        <v>247</v>
      </c>
      <c r="M104" s="2715"/>
    </row>
    <row r="105" s="2677" customFormat="1" ht="13.2" spans="2:20">
      <c r="B105" s="2712" t="s">
        <v>236</v>
      </c>
      <c r="C105" s="2710">
        <v>20241018</v>
      </c>
      <c r="D105" s="2711">
        <v>7.1</v>
      </c>
      <c r="E105" s="2711">
        <v>7.17</v>
      </c>
      <c r="F105" s="2711" t="s">
        <v>248</v>
      </c>
      <c r="G105" s="2711" t="s">
        <v>249</v>
      </c>
      <c r="H105" s="2713">
        <v>0.489931552420593</v>
      </c>
      <c r="I105" s="2713">
        <v>2.21864579088263</v>
      </c>
      <c r="J105" s="2714">
        <v>0.2</v>
      </c>
      <c r="K105" s="2714">
        <f t="shared" si="2"/>
        <v>2.90857734330322</v>
      </c>
      <c r="L105" s="260" t="s">
        <v>239</v>
      </c>
      <c r="M105" s="2715"/>
    </row>
    <row r="106" s="2677" customFormat="1" ht="13.2" spans="2:20">
      <c r="B106" s="2712" t="s">
        <v>236</v>
      </c>
      <c r="C106" s="2710">
        <v>20241018</v>
      </c>
      <c r="D106" s="2711">
        <v>7.1</v>
      </c>
      <c r="E106" s="2711">
        <v>7.17</v>
      </c>
      <c r="F106" s="2711" t="s">
        <v>250</v>
      </c>
      <c r="G106" s="2711" t="s">
        <v>251</v>
      </c>
      <c r="H106" s="2713">
        <v>0.418645215428179</v>
      </c>
      <c r="I106" s="2713">
        <v>3.16934781265978</v>
      </c>
      <c r="J106" s="2714">
        <v>0.4</v>
      </c>
      <c r="K106" s="2714">
        <f t="shared" si="2"/>
        <v>3.98799302808796</v>
      </c>
      <c r="L106" s="260" t="s">
        <v>252</v>
      </c>
      <c r="M106" s="2715"/>
    </row>
    <row r="107" s="2677" customFormat="1" ht="13.2" spans="2:20">
      <c r="B107" s="2712" t="s">
        <v>236</v>
      </c>
      <c r="C107" s="2710">
        <v>20241018</v>
      </c>
      <c r="D107" s="2711">
        <v>7.1</v>
      </c>
      <c r="E107" s="2711">
        <v>7.17</v>
      </c>
      <c r="F107" s="176" t="s">
        <v>253</v>
      </c>
      <c r="G107" s="176" t="s">
        <v>254</v>
      </c>
      <c r="H107" s="2713">
        <v>0.489931552420593</v>
      </c>
      <c r="I107" s="2713">
        <v>2.172321764739</v>
      </c>
      <c r="J107" s="2714">
        <v>0.2</v>
      </c>
      <c r="K107" s="2714">
        <f t="shared" si="2"/>
        <v>2.86225331715959</v>
      </c>
      <c r="L107" s="260" t="s">
        <v>239</v>
      </c>
      <c r="M107" s="2715"/>
    </row>
    <row r="108" s="2677" customFormat="1" spans="2:20">
      <c r="B108" s="2712" t="s">
        <v>236</v>
      </c>
      <c r="C108" s="2710">
        <v>20241203</v>
      </c>
      <c r="D108" s="2711">
        <v>7.25</v>
      </c>
      <c r="E108" s="2711">
        <v>7.17</v>
      </c>
      <c r="F108" s="176" t="s">
        <v>255</v>
      </c>
      <c r="G108" s="176" t="s">
        <v>256</v>
      </c>
      <c r="H108" s="2713">
        <v>0.471111281344376</v>
      </c>
      <c r="I108" s="2713">
        <v>2.64549095472375</v>
      </c>
      <c r="J108" s="2714">
        <v>0.2</v>
      </c>
      <c r="K108" s="2714">
        <f t="shared" si="2"/>
        <v>3.31660223606813</v>
      </c>
      <c r="L108" s="2736" t="s">
        <v>257</v>
      </c>
      <c r="M108" s="2715"/>
    </row>
    <row r="109" s="2683" customFormat="1" spans="2:20">
      <c r="B109" s="2712" t="s">
        <v>236</v>
      </c>
      <c r="C109" s="2743">
        <v>20250220</v>
      </c>
      <c r="D109" s="2744">
        <v>7.3</v>
      </c>
      <c r="E109" s="2744">
        <v>7.17</v>
      </c>
      <c r="F109" s="2760" t="s">
        <v>258</v>
      </c>
      <c r="G109" s="2761" t="s">
        <v>259</v>
      </c>
      <c r="H109" s="2713">
        <v>0.521490896002184</v>
      </c>
      <c r="I109" s="2713">
        <v>2.91379549781311</v>
      </c>
      <c r="J109" s="2746">
        <v>0.4</v>
      </c>
      <c r="K109" s="2746">
        <f t="shared" si="2"/>
        <v>3.83528639381529</v>
      </c>
      <c r="L109" s="2762" t="s">
        <v>260</v>
      </c>
      <c r="M109" s="2748"/>
    </row>
    <row r="110" s="2677" customFormat="1" spans="2:20">
      <c r="B110" s="2749" t="s">
        <v>236</v>
      </c>
      <c r="C110" s="2710">
        <v>20250312</v>
      </c>
      <c r="D110" s="2711">
        <v>7.25</v>
      </c>
      <c r="E110" s="2711">
        <v>7.17</v>
      </c>
      <c r="F110" s="176" t="s">
        <v>261</v>
      </c>
      <c r="G110" s="176" t="s">
        <v>262</v>
      </c>
      <c r="H110" s="2713">
        <v>0.477615460040463</v>
      </c>
      <c r="I110" s="2713">
        <v>2.75729258493097</v>
      </c>
      <c r="J110" s="2714">
        <v>0.4</v>
      </c>
      <c r="K110" s="2714">
        <f t="shared" si="2"/>
        <v>3.63490804497143</v>
      </c>
      <c r="L110" s="2736" t="s">
        <v>260</v>
      </c>
      <c r="M110" s="2715"/>
    </row>
    <row r="111" s="2677" customFormat="1" spans="2:20">
      <c r="B111" s="2712" t="s">
        <v>236</v>
      </c>
      <c r="C111" s="2710">
        <v>20250312</v>
      </c>
      <c r="D111" s="2711">
        <v>7.25</v>
      </c>
      <c r="E111" s="2711">
        <v>7.17</v>
      </c>
      <c r="F111" s="176" t="s">
        <v>263</v>
      </c>
      <c r="G111" s="176" t="s">
        <v>264</v>
      </c>
      <c r="H111" s="2713">
        <v>0.514617600202036</v>
      </c>
      <c r="I111" s="2713">
        <v>2.02465956639184</v>
      </c>
      <c r="J111" s="2714">
        <v>0.4</v>
      </c>
      <c r="K111" s="2714">
        <f t="shared" si="2"/>
        <v>2.93927716659388</v>
      </c>
      <c r="L111" s="2736" t="s">
        <v>63</v>
      </c>
      <c r="M111" s="2715"/>
    </row>
    <row r="112" s="2677" customFormat="1" spans="2:20">
      <c r="B112" s="2712" t="s">
        <v>236</v>
      </c>
      <c r="C112" s="2710">
        <v>20250312</v>
      </c>
      <c r="D112" s="2711">
        <v>7.25</v>
      </c>
      <c r="E112" s="2711">
        <v>7.17</v>
      </c>
      <c r="F112" s="176" t="s">
        <v>265</v>
      </c>
      <c r="G112" s="176" t="s">
        <v>266</v>
      </c>
      <c r="H112" s="2713">
        <v>0.469868243662728</v>
      </c>
      <c r="I112" s="2713">
        <v>2.15498108777988</v>
      </c>
      <c r="J112" s="2714">
        <v>0.4</v>
      </c>
      <c r="K112" s="2714">
        <f t="shared" si="2"/>
        <v>3.02484933144261</v>
      </c>
      <c r="L112" s="2736" t="s">
        <v>63</v>
      </c>
      <c r="M112" s="2715"/>
    </row>
    <row r="113" s="2677" customFormat="1" spans="2:13">
      <c r="B113" s="2712" t="s">
        <v>236</v>
      </c>
      <c r="C113" s="2710">
        <v>20250410</v>
      </c>
      <c r="D113" s="2711">
        <v>7.31</v>
      </c>
      <c r="E113" s="2711">
        <v>7.17</v>
      </c>
      <c r="F113" s="176" t="s">
        <v>267</v>
      </c>
      <c r="G113" s="176" t="s">
        <v>268</v>
      </c>
      <c r="H113" s="2713">
        <v>0.348474026367082</v>
      </c>
      <c r="I113" s="2713">
        <v>1.37304289126381</v>
      </c>
      <c r="J113" s="2714">
        <v>0.2</v>
      </c>
      <c r="K113" s="2714">
        <f t="shared" si="2"/>
        <v>1.92151691763089</v>
      </c>
      <c r="L113" s="2736" t="s">
        <v>197</v>
      </c>
      <c r="M113" s="2715"/>
    </row>
    <row r="114" s="2677" customFormat="1" spans="2:13">
      <c r="B114" s="2712" t="s">
        <v>236</v>
      </c>
      <c r="C114" s="2710">
        <v>20250220</v>
      </c>
      <c r="D114" s="2711">
        <v>7.25</v>
      </c>
      <c r="E114" s="2711">
        <v>7.17</v>
      </c>
      <c r="F114" s="176" t="s">
        <v>269</v>
      </c>
      <c r="G114" s="176" t="s">
        <v>270</v>
      </c>
      <c r="H114" s="2713">
        <v>0.47297197640118</v>
      </c>
      <c r="I114" s="2713">
        <v>2.61100559029144</v>
      </c>
      <c r="J114" s="2714">
        <v>0.4</v>
      </c>
      <c r="K114" s="2714">
        <f t="shared" si="2"/>
        <v>3.48397756669262</v>
      </c>
      <c r="L114" s="2736" t="s">
        <v>271</v>
      </c>
      <c r="M114" s="2715"/>
    </row>
    <row r="115" s="2677" customFormat="1" spans="2:13">
      <c r="B115" s="2712" t="s">
        <v>236</v>
      </c>
      <c r="C115" s="2710">
        <v>20250603</v>
      </c>
      <c r="D115" s="2711">
        <v>7.2</v>
      </c>
      <c r="E115" s="2711"/>
      <c r="F115" s="176" t="s">
        <v>273</v>
      </c>
      <c r="G115" s="176" t="s">
        <v>274</v>
      </c>
      <c r="H115" s="2713">
        <v>0.455592428711897</v>
      </c>
      <c r="I115" s="2713">
        <v>3.2841784073935</v>
      </c>
      <c r="J115" s="2714">
        <v>0.4</v>
      </c>
      <c r="K115" s="2714">
        <f t="shared" si="2"/>
        <v>4.1397708361054</v>
      </c>
      <c r="L115" s="2736" t="s">
        <v>275</v>
      </c>
      <c r="M115" s="2715"/>
    </row>
    <row r="116" s="2677" customFormat="1" spans="2:13">
      <c r="B116" s="2712" t="s">
        <v>236</v>
      </c>
      <c r="C116" s="2710">
        <v>20250603</v>
      </c>
      <c r="D116" s="2711">
        <v>7.2</v>
      </c>
      <c r="E116" s="2711"/>
      <c r="F116" s="176" t="s">
        <v>276</v>
      </c>
      <c r="G116" s="176" t="s">
        <v>277</v>
      </c>
      <c r="H116" s="2713">
        <v>0.535041789577188</v>
      </c>
      <c r="I116" s="2713">
        <v>1.90553035449872</v>
      </c>
      <c r="J116" s="2714">
        <v>0.2</v>
      </c>
      <c r="K116" s="2714">
        <f t="shared" si="2"/>
        <v>2.64057214407591</v>
      </c>
      <c r="L116" s="2736" t="s">
        <v>278</v>
      </c>
      <c r="M116" s="2715"/>
    </row>
    <row r="117" s="2677" customFormat="1" spans="2:13">
      <c r="B117" s="2712" t="s">
        <v>236</v>
      </c>
      <c r="C117" s="2710">
        <v>20250603</v>
      </c>
      <c r="D117" s="2711">
        <v>7.2</v>
      </c>
      <c r="E117" s="2711"/>
      <c r="F117" s="176" t="s">
        <v>279</v>
      </c>
      <c r="G117" s="176" t="s">
        <v>280</v>
      </c>
      <c r="H117" s="2713">
        <v>0.742354965585054</v>
      </c>
      <c r="I117" s="2713">
        <v>2.7753195749766</v>
      </c>
      <c r="J117" s="2714">
        <v>0.4</v>
      </c>
      <c r="K117" s="2714">
        <f t="shared" si="2"/>
        <v>3.91767454056165</v>
      </c>
      <c r="L117" s="2736" t="s">
        <v>281</v>
      </c>
      <c r="M117" s="2715"/>
    </row>
    <row r="118" s="2683" customFormat="1" spans="2:13">
      <c r="B118" s="2712" t="s">
        <v>236</v>
      </c>
      <c r="C118" s="2743">
        <v>20250604</v>
      </c>
      <c r="D118" s="2744">
        <v>7.2</v>
      </c>
      <c r="E118" s="2744"/>
      <c r="F118" s="2760" t="s">
        <v>282</v>
      </c>
      <c r="G118" s="2761" t="s">
        <v>283</v>
      </c>
      <c r="H118" s="2713">
        <v>0.651863620002731</v>
      </c>
      <c r="I118" s="2713">
        <v>2.83067875198622</v>
      </c>
      <c r="J118" s="2746">
        <v>0.4</v>
      </c>
      <c r="K118" s="2746">
        <f t="shared" si="2"/>
        <v>3.88254237198895</v>
      </c>
      <c r="L118" s="2762" t="s">
        <v>281</v>
      </c>
      <c r="M118" s="2748"/>
    </row>
    <row r="119" s="2677" customFormat="1" spans="2:13">
      <c r="B119" s="2712" t="s">
        <v>236</v>
      </c>
      <c r="C119" s="2710">
        <v>20250725</v>
      </c>
      <c r="D119" s="2711">
        <v>7.17</v>
      </c>
      <c r="E119" s="2711">
        <v>7.17</v>
      </c>
      <c r="F119" s="176" t="s">
        <v>284</v>
      </c>
      <c r="G119" s="176" t="s">
        <v>285</v>
      </c>
      <c r="H119" s="2713">
        <v>0.457498673183496</v>
      </c>
      <c r="I119" s="2713">
        <v>3.38493764198516</v>
      </c>
      <c r="J119" s="2714">
        <v>0.4</v>
      </c>
      <c r="K119" s="2714">
        <f t="shared" si="2"/>
        <v>4.24243631516866</v>
      </c>
      <c r="L119" s="2736" t="s">
        <v>286</v>
      </c>
      <c r="M119" s="2715"/>
    </row>
    <row r="120" s="2677" customFormat="1" spans="2:13">
      <c r="B120" s="2712" t="s">
        <v>236</v>
      </c>
      <c r="C120" s="2710">
        <v>20250725</v>
      </c>
      <c r="D120" s="2711">
        <v>7.17</v>
      </c>
      <c r="E120" s="2711">
        <v>7.17</v>
      </c>
      <c r="F120" s="176" t="s">
        <v>287</v>
      </c>
      <c r="G120" s="176" t="s">
        <v>288</v>
      </c>
      <c r="H120" s="2713">
        <v>0.457498673183496</v>
      </c>
      <c r="I120" s="2713">
        <v>3.38493764198516</v>
      </c>
      <c r="J120" s="2714">
        <v>0.4</v>
      </c>
      <c r="K120" s="2714">
        <f t="shared" si="2"/>
        <v>4.24243631516866</v>
      </c>
      <c r="L120" s="2736" t="s">
        <v>286</v>
      </c>
      <c r="M120" s="2715"/>
    </row>
    <row r="121" s="2677" customFormat="1" spans="2:13">
      <c r="B121" s="2712" t="s">
        <v>236</v>
      </c>
      <c r="C121" s="2710">
        <v>20250327</v>
      </c>
      <c r="D121" s="2711">
        <v>7.25</v>
      </c>
      <c r="E121" s="2711">
        <v>7.17</v>
      </c>
      <c r="F121" s="176" t="s">
        <v>289</v>
      </c>
      <c r="G121" s="176" t="s">
        <v>290</v>
      </c>
      <c r="H121" s="2713">
        <v>0.445007490029779</v>
      </c>
      <c r="I121" s="2713">
        <v>2.64308151730328</v>
      </c>
      <c r="J121" s="2714">
        <v>0.4</v>
      </c>
      <c r="K121" s="2714">
        <f t="shared" si="2"/>
        <v>3.48808900733306</v>
      </c>
      <c r="L121" s="2736" t="s">
        <v>271</v>
      </c>
      <c r="M121" s="2715"/>
    </row>
    <row r="122" s="2677" customFormat="1" spans="2:13">
      <c r="B122" s="2712" t="s">
        <v>236</v>
      </c>
      <c r="C122" s="2710">
        <v>20241203</v>
      </c>
      <c r="D122" s="2711">
        <v>7.25</v>
      </c>
      <c r="E122" s="2711">
        <v>7.17</v>
      </c>
      <c r="F122" s="2711" t="s">
        <v>291</v>
      </c>
      <c r="G122" s="2711" t="s">
        <v>292</v>
      </c>
      <c r="H122" s="2713">
        <v>0.471111281344376</v>
      </c>
      <c r="I122" s="2713">
        <v>2.04043491752553</v>
      </c>
      <c r="J122" s="2714">
        <v>0.2</v>
      </c>
      <c r="K122" s="2714">
        <f t="shared" si="2"/>
        <v>2.71154619886991</v>
      </c>
      <c r="L122" s="2736" t="s">
        <v>257</v>
      </c>
      <c r="M122" s="2715"/>
    </row>
    <row r="123" s="2677" customFormat="1" spans="2:13">
      <c r="B123" s="2712" t="s">
        <v>293</v>
      </c>
      <c r="C123" s="2710">
        <v>20250703</v>
      </c>
      <c r="D123" s="2711">
        <v>7.17</v>
      </c>
      <c r="E123" s="2711">
        <v>7.17</v>
      </c>
      <c r="F123" s="2711" t="s">
        <v>294</v>
      </c>
      <c r="G123" s="2711" t="s">
        <v>295</v>
      </c>
      <c r="H123" s="2713">
        <v>0.471585144592143</v>
      </c>
      <c r="I123" s="2713">
        <v>2.66251204888323</v>
      </c>
      <c r="J123" s="2714">
        <v>0.4</v>
      </c>
      <c r="K123" s="2714">
        <f t="shared" si="2"/>
        <v>3.53409719347537</v>
      </c>
      <c r="L123" s="2736" t="s">
        <v>271</v>
      </c>
      <c r="M123" s="2715"/>
    </row>
    <row r="124" s="2677" customFormat="1" spans="2:13">
      <c r="B124" s="2712" t="s">
        <v>293</v>
      </c>
      <c r="C124" s="2710">
        <v>20250703</v>
      </c>
      <c r="D124" s="2711">
        <v>7.17</v>
      </c>
      <c r="E124" s="2711">
        <v>7.17</v>
      </c>
      <c r="F124" s="2711" t="s">
        <v>296</v>
      </c>
      <c r="G124" s="2711" t="s">
        <v>297</v>
      </c>
      <c r="H124" s="2713">
        <v>0.471585144592143</v>
      </c>
      <c r="I124" s="2713">
        <v>2.66251204888323</v>
      </c>
      <c r="J124" s="2714">
        <v>0.4</v>
      </c>
      <c r="K124" s="2714">
        <f t="shared" si="2"/>
        <v>3.53409719347537</v>
      </c>
      <c r="L124" s="2736" t="s">
        <v>271</v>
      </c>
      <c r="M124" s="2715"/>
    </row>
    <row r="125" s="2677" customFormat="1" spans="2:13">
      <c r="B125" s="2712" t="s">
        <v>298</v>
      </c>
      <c r="C125" s="2710">
        <v>20250506</v>
      </c>
      <c r="D125" s="2711">
        <v>7.24</v>
      </c>
      <c r="E125" s="2711"/>
      <c r="F125" s="2711" t="s">
        <v>299</v>
      </c>
      <c r="G125" s="2710" t="s">
        <v>300</v>
      </c>
      <c r="H125" s="2713">
        <v>0.33949787317264</v>
      </c>
      <c r="I125" s="2713">
        <v>2.79294861275318</v>
      </c>
      <c r="J125" s="2714">
        <v>0.4</v>
      </c>
      <c r="K125" s="2714">
        <f t="shared" si="2"/>
        <v>3.53244648592582</v>
      </c>
      <c r="L125" s="2736" t="s">
        <v>260</v>
      </c>
      <c r="M125" s="2715"/>
    </row>
    <row r="126" s="2677" customFormat="1" spans="2:13">
      <c r="B126" s="2712" t="s">
        <v>298</v>
      </c>
      <c r="C126" s="2710">
        <v>20250514</v>
      </c>
      <c r="D126" s="2711">
        <v>7.24</v>
      </c>
      <c r="E126" s="2711"/>
      <c r="F126" s="2711" t="s">
        <v>301</v>
      </c>
      <c r="G126" s="2711" t="s">
        <v>302</v>
      </c>
      <c r="H126" s="2713">
        <v>0.344735568270674</v>
      </c>
      <c r="I126" s="2713">
        <v>2.87926461363475</v>
      </c>
      <c r="J126" s="2714">
        <v>0.4</v>
      </c>
      <c r="K126" s="2714">
        <f t="shared" si="2"/>
        <v>3.62400018190542</v>
      </c>
      <c r="L126" s="2736" t="s">
        <v>260</v>
      </c>
      <c r="M126" s="2715"/>
    </row>
    <row r="127" s="2677" customFormat="1" spans="2:13">
      <c r="B127" s="2712" t="s">
        <v>298</v>
      </c>
      <c r="C127" s="2710">
        <v>20251202</v>
      </c>
      <c r="D127" s="2711">
        <v>7.24</v>
      </c>
      <c r="E127" s="2711">
        <v>7.1</v>
      </c>
      <c r="F127" s="2711" t="s">
        <v>303</v>
      </c>
      <c r="G127" s="2710" t="s">
        <v>304</v>
      </c>
      <c r="H127" s="2713">
        <v>0.332344509535087</v>
      </c>
      <c r="I127" s="2713">
        <v>2.00583707181665</v>
      </c>
      <c r="J127" s="2714">
        <v>0.2</v>
      </c>
      <c r="K127" s="2714">
        <f t="shared" si="2"/>
        <v>2.53818158135174</v>
      </c>
      <c r="L127" s="2736" t="s">
        <v>305</v>
      </c>
      <c r="M127" s="2715"/>
    </row>
    <row r="128" s="2677" customFormat="1" spans="2:13">
      <c r="B128" s="2712" t="s">
        <v>298</v>
      </c>
      <c r="C128" s="2710">
        <v>20250506</v>
      </c>
      <c r="D128" s="2711">
        <v>7.24</v>
      </c>
      <c r="E128" s="2711"/>
      <c r="F128" s="2711" t="s">
        <v>306</v>
      </c>
      <c r="G128" s="2711" t="s">
        <v>307</v>
      </c>
      <c r="H128" s="2713">
        <v>0.325917958245735</v>
      </c>
      <c r="I128" s="2713">
        <v>1.92592369210831</v>
      </c>
      <c r="J128" s="2714">
        <v>0.2</v>
      </c>
      <c r="K128" s="2714">
        <f t="shared" si="2"/>
        <v>2.45184165035405</v>
      </c>
      <c r="L128" s="2736" t="s">
        <v>308</v>
      </c>
      <c r="M128" s="2715"/>
    </row>
    <row r="129" s="2678" customFormat="1" ht="13.2" spans="1:13">
      <c r="A129" s="2709"/>
      <c r="B129" s="2712" t="s">
        <v>309</v>
      </c>
      <c r="C129" s="2710">
        <v>20241114</v>
      </c>
      <c r="D129" s="2711">
        <v>7.2</v>
      </c>
      <c r="E129" s="2711">
        <v>7.17</v>
      </c>
      <c r="F129" s="2711" t="s">
        <v>310</v>
      </c>
      <c r="G129" s="2712" t="s">
        <v>311</v>
      </c>
      <c r="H129" s="2713">
        <v>0.567162917895772</v>
      </c>
      <c r="I129" s="2713">
        <v>4.03774343039091</v>
      </c>
      <c r="J129" s="2716">
        <v>0.4</v>
      </c>
      <c r="K129" s="2714">
        <f t="shared" si="2"/>
        <v>5.00490634828668</v>
      </c>
      <c r="L129" s="226" t="s">
        <v>312</v>
      </c>
      <c r="M129" s="2715" t="s">
        <v>1406</v>
      </c>
    </row>
    <row r="130" s="2678" customFormat="1" ht="13.2" spans="1:13">
      <c r="A130" s="2709"/>
      <c r="B130" s="2712" t="s">
        <v>313</v>
      </c>
      <c r="C130" s="2710">
        <v>20241114</v>
      </c>
      <c r="D130" s="2711">
        <v>7.25</v>
      </c>
      <c r="E130" s="2711">
        <v>7.17</v>
      </c>
      <c r="F130" s="2711" t="s">
        <v>314</v>
      </c>
      <c r="G130" s="2712" t="s">
        <v>315</v>
      </c>
      <c r="H130" s="2713">
        <v>0.563251449496491</v>
      </c>
      <c r="I130" s="2713">
        <v>5.05662096639642</v>
      </c>
      <c r="J130" s="2714">
        <v>0.2</v>
      </c>
      <c r="K130" s="2714">
        <f t="shared" si="2"/>
        <v>5.81987241589291</v>
      </c>
      <c r="L130" s="226" t="s">
        <v>316</v>
      </c>
      <c r="M130" s="2715" t="s">
        <v>1406</v>
      </c>
    </row>
    <row r="131" s="2678" customFormat="1" ht="13.2" spans="1:13">
      <c r="A131" s="2709"/>
      <c r="B131" s="2712" t="s">
        <v>313</v>
      </c>
      <c r="C131" s="2710">
        <v>20241220</v>
      </c>
      <c r="D131" s="2711">
        <v>7.3</v>
      </c>
      <c r="E131" s="2711">
        <v>7.17</v>
      </c>
      <c r="F131" s="2711" t="s">
        <v>317</v>
      </c>
      <c r="G131" s="2712" t="s">
        <v>318</v>
      </c>
      <c r="H131" s="2713">
        <v>0.551730637337527</v>
      </c>
      <c r="I131" s="2713">
        <v>5.6495802739726</v>
      </c>
      <c r="J131" s="2714">
        <v>0.4</v>
      </c>
      <c r="K131" s="2714">
        <f t="shared" si="2"/>
        <v>6.60131091131013</v>
      </c>
      <c r="L131" s="2711" t="s">
        <v>319</v>
      </c>
      <c r="M131" s="2715" t="s">
        <v>1406</v>
      </c>
    </row>
    <row r="132" s="2678" customFormat="1" ht="13.2" spans="1:13">
      <c r="A132" s="2709"/>
      <c r="B132" s="2712" t="s">
        <v>50</v>
      </c>
      <c r="C132" s="2710"/>
      <c r="D132" s="2711"/>
      <c r="E132" s="2711"/>
      <c r="F132" s="2711"/>
      <c r="G132" s="2712" t="s">
        <v>65</v>
      </c>
      <c r="H132" s="2713">
        <v>0.763768965517241</v>
      </c>
      <c r="I132" s="2713">
        <v>4.1309</v>
      </c>
      <c r="J132" s="2714">
        <v>0.4</v>
      </c>
      <c r="K132" s="2714">
        <f t="shared" si="2"/>
        <v>5.29466896551724</v>
      </c>
      <c r="L132" s="2711" t="s">
        <v>66</v>
      </c>
      <c r="M132" s="2715" t="s">
        <v>1406</v>
      </c>
    </row>
    <row r="133" s="2678" customFormat="1" ht="13.2" spans="1:13">
      <c r="A133" s="2709"/>
      <c r="B133" s="2712" t="s">
        <v>225</v>
      </c>
      <c r="C133" s="2710"/>
      <c r="D133" s="2711"/>
      <c r="E133" s="2711"/>
      <c r="F133" s="2711"/>
      <c r="G133" s="2712" t="s">
        <v>229</v>
      </c>
      <c r="H133" s="2713">
        <v>0.763768965517241</v>
      </c>
      <c r="I133" s="2713">
        <v>5.7873</v>
      </c>
      <c r="J133" s="2714">
        <v>0.4</v>
      </c>
      <c r="K133" s="2714">
        <f t="shared" si="2"/>
        <v>6.95106896551724</v>
      </c>
      <c r="L133" s="2711" t="s">
        <v>320</v>
      </c>
      <c r="M133" s="2715" t="s">
        <v>1406</v>
      </c>
    </row>
    <row r="134" s="2678" customFormat="1" ht="13.2" spans="1:13">
      <c r="A134" s="2709"/>
      <c r="B134" s="2712" t="s">
        <v>313</v>
      </c>
      <c r="C134" s="2710"/>
      <c r="D134" s="2711"/>
      <c r="E134" s="2711"/>
      <c r="F134" s="2711"/>
      <c r="G134" s="2712" t="s">
        <v>321</v>
      </c>
      <c r="H134" s="2713">
        <v>0.763768965517241</v>
      </c>
      <c r="I134" s="2713">
        <v>8.4537</v>
      </c>
      <c r="J134" s="2714">
        <v>0.4</v>
      </c>
      <c r="K134" s="2714">
        <f t="shared" si="2"/>
        <v>9.61746896551724</v>
      </c>
      <c r="L134" s="2711" t="s">
        <v>322</v>
      </c>
      <c r="M134" s="2715" t="s">
        <v>1406</v>
      </c>
    </row>
    <row r="135" s="2678" customFormat="1" ht="13.2" spans="1:13">
      <c r="A135" s="2709"/>
      <c r="B135" s="2712" t="s">
        <v>313</v>
      </c>
      <c r="C135" s="2710"/>
      <c r="D135" s="2711"/>
      <c r="E135" s="2711"/>
      <c r="F135" s="2711"/>
      <c r="G135" s="2712" t="s">
        <v>323</v>
      </c>
      <c r="H135" s="2713">
        <v>0.824870482758621</v>
      </c>
      <c r="I135" s="2713">
        <v>5.7368</v>
      </c>
      <c r="J135" s="2714">
        <v>0.4</v>
      </c>
      <c r="K135" s="2714">
        <f t="shared" ref="K135:K198" si="3">SUM(H135:J135)</f>
        <v>6.96167048275862</v>
      </c>
      <c r="L135" s="2711" t="s">
        <v>319</v>
      </c>
      <c r="M135" s="2715" t="s">
        <v>1406</v>
      </c>
    </row>
    <row r="136" s="2678" customFormat="1" ht="13.2" spans="1:13">
      <c r="A136" s="2709"/>
      <c r="B136" s="2712" t="s">
        <v>313</v>
      </c>
      <c r="C136" s="2710"/>
      <c r="D136" s="2711"/>
      <c r="E136" s="2711"/>
      <c r="F136" s="2711"/>
      <c r="G136" s="2712" t="s">
        <v>324</v>
      </c>
      <c r="H136" s="2713">
        <v>0.824870482758621</v>
      </c>
      <c r="I136" s="2713">
        <v>4.2925</v>
      </c>
      <c r="J136" s="2714">
        <v>0.4</v>
      </c>
      <c r="K136" s="2714">
        <f t="shared" si="3"/>
        <v>5.51737048275862</v>
      </c>
      <c r="L136" s="2711" t="s">
        <v>66</v>
      </c>
      <c r="M136" s="2715" t="s">
        <v>1406</v>
      </c>
    </row>
    <row r="137" s="2678" customFormat="1" ht="13.2" spans="1:13">
      <c r="A137" s="2709"/>
      <c r="B137" s="2712" t="s">
        <v>313</v>
      </c>
      <c r="C137" s="2710"/>
      <c r="D137" s="2711"/>
      <c r="E137" s="2711"/>
      <c r="F137" s="2711"/>
      <c r="G137" s="2712" t="s">
        <v>325</v>
      </c>
      <c r="H137" s="2713">
        <v>0.824870482758621</v>
      </c>
      <c r="I137" s="2713">
        <v>8.4537</v>
      </c>
      <c r="J137" s="2714">
        <v>0.4</v>
      </c>
      <c r="K137" s="2714">
        <f t="shared" si="3"/>
        <v>9.67857048275862</v>
      </c>
      <c r="L137" s="2711" t="s">
        <v>322</v>
      </c>
      <c r="M137" s="2715" t="s">
        <v>1406</v>
      </c>
    </row>
    <row r="138" s="2678" customFormat="1" ht="13.2" spans="1:13">
      <c r="A138" s="2709"/>
      <c r="B138" s="2712" t="s">
        <v>313</v>
      </c>
      <c r="C138" s="2710"/>
      <c r="D138" s="2711"/>
      <c r="E138" s="2711"/>
      <c r="F138" s="2711"/>
      <c r="G138" s="2712" t="s">
        <v>326</v>
      </c>
      <c r="H138" s="2713">
        <v>0.824870482758621</v>
      </c>
      <c r="I138" s="2713">
        <v>5.7974</v>
      </c>
      <c r="J138" s="2714">
        <v>0.4</v>
      </c>
      <c r="K138" s="2714">
        <f t="shared" si="3"/>
        <v>7.02227048275862</v>
      </c>
      <c r="L138" s="2711" t="s">
        <v>320</v>
      </c>
      <c r="M138" s="2715" t="s">
        <v>1406</v>
      </c>
    </row>
    <row r="139" s="2678" customFormat="1" ht="13.2" spans="1:13">
      <c r="A139" s="2709"/>
      <c r="B139" s="2712" t="s">
        <v>313</v>
      </c>
      <c r="C139" s="2710"/>
      <c r="D139" s="2711"/>
      <c r="E139" s="2711"/>
      <c r="F139" s="2711"/>
      <c r="G139" s="2712" t="s">
        <v>327</v>
      </c>
      <c r="H139" s="2713">
        <v>0.824870482758621</v>
      </c>
      <c r="I139" s="2713">
        <v>5.7065</v>
      </c>
      <c r="J139" s="2714">
        <v>0.4</v>
      </c>
      <c r="K139" s="2714">
        <f t="shared" si="3"/>
        <v>6.93137048275862</v>
      </c>
      <c r="L139" s="2711" t="s">
        <v>328</v>
      </c>
      <c r="M139" s="2715" t="s">
        <v>1406</v>
      </c>
    </row>
    <row r="140" s="2678" customFormat="1" ht="13.2" spans="1:13">
      <c r="A140" s="2709"/>
      <c r="B140" s="2712" t="s">
        <v>313</v>
      </c>
      <c r="C140" s="2710"/>
      <c r="D140" s="2711"/>
      <c r="E140" s="2711"/>
      <c r="F140" s="2711"/>
      <c r="G140" s="2712" t="s">
        <v>329</v>
      </c>
      <c r="H140" s="2713">
        <v>0.824870482758621</v>
      </c>
      <c r="I140" s="2713">
        <v>4.3127</v>
      </c>
      <c r="J140" s="2714">
        <v>0.4</v>
      </c>
      <c r="K140" s="2714">
        <f t="shared" si="3"/>
        <v>5.53757048275862</v>
      </c>
      <c r="L140" s="2711" t="s">
        <v>330</v>
      </c>
      <c r="M140" s="2715" t="s">
        <v>1406</v>
      </c>
    </row>
    <row r="141" s="2678" customFormat="1" ht="13.2" spans="1:13">
      <c r="A141" s="2709"/>
      <c r="B141" s="2712" t="s">
        <v>313</v>
      </c>
      <c r="C141" s="2710"/>
      <c r="D141" s="2711"/>
      <c r="E141" s="2711"/>
      <c r="F141" s="2711"/>
      <c r="G141" s="2712" t="s">
        <v>331</v>
      </c>
      <c r="H141" s="2713">
        <v>0.824870482758621</v>
      </c>
      <c r="I141" s="2713">
        <v>5.7469</v>
      </c>
      <c r="J141" s="2714">
        <v>0.4</v>
      </c>
      <c r="K141" s="2714">
        <f t="shared" si="3"/>
        <v>6.97177048275862</v>
      </c>
      <c r="L141" s="2711" t="s">
        <v>328</v>
      </c>
      <c r="M141" s="2715" t="s">
        <v>1406</v>
      </c>
    </row>
    <row r="142" s="2678" customFormat="1" ht="13.2" spans="1:13">
      <c r="A142" s="2709"/>
      <c r="B142" s="2712" t="s">
        <v>313</v>
      </c>
      <c r="C142" s="2710"/>
      <c r="D142" s="2711"/>
      <c r="E142" s="2711"/>
      <c r="F142" s="2711"/>
      <c r="G142" s="2712" t="s">
        <v>332</v>
      </c>
      <c r="H142" s="2713">
        <v>0.824870482758621</v>
      </c>
      <c r="I142" s="2713">
        <v>6.3832</v>
      </c>
      <c r="J142" s="2714">
        <v>0.4</v>
      </c>
      <c r="K142" s="2714">
        <f t="shared" si="3"/>
        <v>7.60807048275862</v>
      </c>
      <c r="L142" s="2711" t="s">
        <v>333</v>
      </c>
      <c r="M142" s="2715" t="s">
        <v>1406</v>
      </c>
    </row>
    <row r="143" s="2678" customFormat="1" ht="13.2" spans="1:13">
      <c r="A143" s="2709"/>
      <c r="B143" s="2712" t="s">
        <v>313</v>
      </c>
      <c r="C143" s="2710"/>
      <c r="D143" s="2711"/>
      <c r="E143" s="2711"/>
      <c r="F143" s="2711"/>
      <c r="G143" s="2712" t="s">
        <v>334</v>
      </c>
      <c r="H143" s="2713">
        <v>0.824870482758621</v>
      </c>
      <c r="I143" s="2713">
        <v>5.7166</v>
      </c>
      <c r="J143" s="2714">
        <v>0.4</v>
      </c>
      <c r="K143" s="2714">
        <f t="shared" si="3"/>
        <v>6.94147048275862</v>
      </c>
      <c r="L143" s="2711" t="s">
        <v>335</v>
      </c>
      <c r="M143" s="2715" t="s">
        <v>1406</v>
      </c>
    </row>
    <row r="144" s="2678" customFormat="1" ht="13.2" spans="1:13">
      <c r="A144" s="2709"/>
      <c r="B144" s="2712" t="s">
        <v>313</v>
      </c>
      <c r="C144" s="2710"/>
      <c r="D144" s="2711"/>
      <c r="E144" s="2711"/>
      <c r="F144" s="2711"/>
      <c r="G144" s="2712" t="s">
        <v>336</v>
      </c>
      <c r="H144" s="2713">
        <v>0.824870482758621</v>
      </c>
      <c r="I144" s="2713">
        <v>8.3729</v>
      </c>
      <c r="J144" s="2714">
        <v>0.4</v>
      </c>
      <c r="K144" s="2714">
        <f t="shared" si="3"/>
        <v>9.59777048275862</v>
      </c>
      <c r="L144" s="2711" t="s">
        <v>337</v>
      </c>
      <c r="M144" s="2715" t="s">
        <v>1406</v>
      </c>
    </row>
    <row r="145" s="2678" customFormat="1" ht="13.2" spans="1:13">
      <c r="A145" s="2709"/>
      <c r="B145" s="2712" t="s">
        <v>313</v>
      </c>
      <c r="C145" s="2710"/>
      <c r="D145" s="2711"/>
      <c r="E145" s="2711"/>
      <c r="F145" s="2711"/>
      <c r="G145" s="2712" t="s">
        <v>338</v>
      </c>
      <c r="H145" s="2713">
        <v>0.824870482758621</v>
      </c>
      <c r="I145" s="2713">
        <v>8.9991</v>
      </c>
      <c r="J145" s="2714">
        <v>0.4</v>
      </c>
      <c r="K145" s="2714">
        <f t="shared" si="3"/>
        <v>10.2239704827586</v>
      </c>
      <c r="L145" s="2711" t="s">
        <v>339</v>
      </c>
      <c r="M145" s="2715" t="s">
        <v>1406</v>
      </c>
    </row>
    <row r="146" s="2678" customFormat="1" ht="13.2" spans="1:13">
      <c r="A146" s="2709"/>
      <c r="B146" s="2712" t="s">
        <v>313</v>
      </c>
      <c r="C146" s="2710"/>
      <c r="D146" s="2711"/>
      <c r="E146" s="2711"/>
      <c r="F146" s="2711"/>
      <c r="G146" s="2712" t="s">
        <v>340</v>
      </c>
      <c r="H146" s="2713">
        <v>0.824870482758621</v>
      </c>
      <c r="I146" s="2713">
        <v>4.9288</v>
      </c>
      <c r="J146" s="2714">
        <v>0.4</v>
      </c>
      <c r="K146" s="2714">
        <f t="shared" si="3"/>
        <v>6.15367048275862</v>
      </c>
      <c r="L146" s="2711" t="s">
        <v>341</v>
      </c>
      <c r="M146" s="2715" t="s">
        <v>1406</v>
      </c>
    </row>
    <row r="147" s="2678" customFormat="1" ht="13.2" spans="1:13">
      <c r="A147" s="2709"/>
      <c r="B147" s="2712" t="s">
        <v>313</v>
      </c>
      <c r="C147" s="2710"/>
      <c r="D147" s="2711"/>
      <c r="E147" s="2711"/>
      <c r="F147" s="2711"/>
      <c r="G147" s="2712" t="s">
        <v>342</v>
      </c>
      <c r="H147" s="2713">
        <v>0.824870482758621</v>
      </c>
      <c r="I147" s="2713">
        <v>6.3226</v>
      </c>
      <c r="J147" s="2714">
        <v>0.4</v>
      </c>
      <c r="K147" s="2714">
        <f t="shared" si="3"/>
        <v>7.54747048275862</v>
      </c>
      <c r="L147" s="2711" t="s">
        <v>343</v>
      </c>
      <c r="M147" s="2715" t="s">
        <v>1406</v>
      </c>
    </row>
    <row r="148" s="2678" customFormat="1" ht="13.2" spans="1:13">
      <c r="A148" s="2709"/>
      <c r="B148" s="2712" t="s">
        <v>313</v>
      </c>
      <c r="C148" s="2710"/>
      <c r="D148" s="2711"/>
      <c r="E148" s="2711"/>
      <c r="F148" s="2711"/>
      <c r="G148" s="2712" t="s">
        <v>344</v>
      </c>
      <c r="H148" s="2713">
        <v>0.824870482758621</v>
      </c>
      <c r="I148" s="2713">
        <v>6.2923</v>
      </c>
      <c r="J148" s="2714">
        <v>0.4</v>
      </c>
      <c r="K148" s="2714">
        <f t="shared" si="3"/>
        <v>7.51717048275862</v>
      </c>
      <c r="L148" s="2711" t="s">
        <v>343</v>
      </c>
      <c r="M148" s="2715" t="s">
        <v>1406</v>
      </c>
    </row>
    <row r="149" s="2678" customFormat="1" spans="1:13">
      <c r="A149" s="2709"/>
      <c r="B149" s="2712" t="s">
        <v>313</v>
      </c>
      <c r="C149" s="2710"/>
      <c r="D149" s="2711"/>
      <c r="E149" s="2711"/>
      <c r="F149" s="2711"/>
      <c r="G149" s="2712" t="s">
        <v>345</v>
      </c>
      <c r="H149" s="2713">
        <v>0.539730068965518</v>
      </c>
      <c r="I149" s="2713">
        <v>4.3632</v>
      </c>
      <c r="J149" s="2714">
        <v>0.4</v>
      </c>
      <c r="K149" s="2714">
        <f t="shared" si="3"/>
        <v>5.30293006896552</v>
      </c>
      <c r="L149" s="2711" t="s">
        <v>346</v>
      </c>
      <c r="M149" s="2715" t="s">
        <v>1406</v>
      </c>
    </row>
    <row r="150" s="2677" customFormat="1" ht="15" customHeight="1" spans="1:13">
      <c r="A150" s="2709"/>
      <c r="B150" s="2712" t="s">
        <v>350</v>
      </c>
      <c r="C150" s="2710">
        <v>20250522</v>
      </c>
      <c r="D150" s="2711">
        <v>7.21</v>
      </c>
      <c r="E150" s="2711">
        <v>7.17</v>
      </c>
      <c r="F150" s="2711" t="s">
        <v>351</v>
      </c>
      <c r="G150" s="2763" t="s">
        <v>352</v>
      </c>
      <c r="H150" s="2713">
        <v>0.623295195072882</v>
      </c>
      <c r="I150" s="2713">
        <v>3.50974192630151</v>
      </c>
      <c r="J150" s="2714">
        <v>0.4</v>
      </c>
      <c r="K150" s="2714">
        <f t="shared" si="3"/>
        <v>4.53303712137439</v>
      </c>
      <c r="L150" s="2710" t="s">
        <v>353</v>
      </c>
      <c r="M150" s="2715"/>
    </row>
    <row r="151" s="2678" customFormat="1" ht="15" customHeight="1" spans="1:13">
      <c r="A151" s="2709"/>
      <c r="B151" s="2712" t="s">
        <v>350</v>
      </c>
      <c r="C151" s="2730">
        <v>20241009</v>
      </c>
      <c r="D151" s="2731">
        <v>7.11</v>
      </c>
      <c r="E151" s="2711">
        <v>7.17</v>
      </c>
      <c r="F151" s="2711" t="s">
        <v>354</v>
      </c>
      <c r="G151" s="2711" t="s">
        <v>355</v>
      </c>
      <c r="H151" s="2713">
        <v>0.948578889250034</v>
      </c>
      <c r="I151" s="2713">
        <v>4.24346718096588</v>
      </c>
      <c r="J151" s="2714">
        <v>0.4</v>
      </c>
      <c r="K151" s="2714">
        <f t="shared" si="3"/>
        <v>5.59204607021591</v>
      </c>
      <c r="L151" s="254" t="s">
        <v>356</v>
      </c>
      <c r="M151" s="2715"/>
    </row>
    <row r="152" s="2678" customFormat="1" ht="15" customHeight="1" spans="1:13">
      <c r="A152" s="2709"/>
      <c r="B152" s="2712" t="s">
        <v>350</v>
      </c>
      <c r="C152" s="2730">
        <v>20241009</v>
      </c>
      <c r="D152" s="2731">
        <v>7.11</v>
      </c>
      <c r="E152" s="2711">
        <v>7.13</v>
      </c>
      <c r="F152" s="2711" t="s">
        <v>357</v>
      </c>
      <c r="G152" s="2711" t="s">
        <v>358</v>
      </c>
      <c r="H152" s="2713">
        <v>0.92765207461927</v>
      </c>
      <c r="I152" s="2713">
        <v>5.19149357639783</v>
      </c>
      <c r="J152" s="2714">
        <v>0.4</v>
      </c>
      <c r="K152" s="2714">
        <f t="shared" si="3"/>
        <v>6.5191456510171</v>
      </c>
      <c r="L152" s="2711" t="s">
        <v>359</v>
      </c>
      <c r="M152" s="2715"/>
    </row>
    <row r="153" s="2678" customFormat="1" ht="15" customHeight="1" spans="1:13">
      <c r="A153" s="2709"/>
      <c r="B153" s="2712" t="s">
        <v>350</v>
      </c>
      <c r="C153" s="2710">
        <v>20241028</v>
      </c>
      <c r="D153" s="2711">
        <v>7.11</v>
      </c>
      <c r="E153" s="2711">
        <v>7.17</v>
      </c>
      <c r="F153" s="2711" t="s">
        <v>360</v>
      </c>
      <c r="G153" s="2711" t="s">
        <v>361</v>
      </c>
      <c r="H153" s="2713">
        <v>0.948578889250034</v>
      </c>
      <c r="I153" s="2713">
        <v>4.45451138558561</v>
      </c>
      <c r="J153" s="2714">
        <v>0.4</v>
      </c>
      <c r="K153" s="2714">
        <f t="shared" si="3"/>
        <v>5.80309027483564</v>
      </c>
      <c r="L153" s="254" t="s">
        <v>362</v>
      </c>
      <c r="M153" s="2715"/>
    </row>
    <row r="154" s="2678" customFormat="1" ht="15" customHeight="1" spans="1:13">
      <c r="A154" s="2709"/>
      <c r="B154" s="2712" t="s">
        <v>350</v>
      </c>
      <c r="C154" s="2710">
        <v>20241028</v>
      </c>
      <c r="D154" s="2711">
        <v>7.11</v>
      </c>
      <c r="E154" s="2711">
        <v>7.17</v>
      </c>
      <c r="F154" s="2711" t="s">
        <v>363</v>
      </c>
      <c r="G154" s="2711" t="s">
        <v>364</v>
      </c>
      <c r="H154" s="2713">
        <v>0.948578889250034</v>
      </c>
      <c r="I154" s="2713">
        <v>7.1685986853304</v>
      </c>
      <c r="J154" s="2714">
        <v>0.4</v>
      </c>
      <c r="K154" s="2714">
        <f t="shared" si="3"/>
        <v>8.51717757458043</v>
      </c>
      <c r="L154" s="254" t="s">
        <v>365</v>
      </c>
      <c r="M154" s="2715"/>
    </row>
    <row r="155" s="2678" customFormat="1" ht="15" customHeight="1" spans="1:13">
      <c r="A155" s="2709"/>
      <c r="B155" s="2712" t="s">
        <v>350</v>
      </c>
      <c r="C155" s="2710">
        <v>20241028</v>
      </c>
      <c r="D155" s="2711">
        <v>7.11</v>
      </c>
      <c r="E155" s="2711">
        <v>7.17</v>
      </c>
      <c r="F155" s="2711" t="s">
        <v>366</v>
      </c>
      <c r="G155" s="2711" t="s">
        <v>367</v>
      </c>
      <c r="H155" s="2713">
        <v>0.948578889250034</v>
      </c>
      <c r="I155" s="2713">
        <v>5.16427060776155</v>
      </c>
      <c r="J155" s="2714">
        <v>0.4</v>
      </c>
      <c r="K155" s="2714">
        <f t="shared" si="3"/>
        <v>6.51284949701158</v>
      </c>
      <c r="L155" s="254" t="s">
        <v>368</v>
      </c>
      <c r="M155" s="2715"/>
    </row>
    <row r="156" s="2678" customFormat="1" ht="15" customHeight="1" spans="1:13">
      <c r="A156" s="2709"/>
      <c r="B156" s="2712" t="s">
        <v>350</v>
      </c>
      <c r="C156" s="2710">
        <v>20241028</v>
      </c>
      <c r="D156" s="2711">
        <v>7.11</v>
      </c>
      <c r="E156" s="2711">
        <v>7.17</v>
      </c>
      <c r="F156" s="2711" t="s">
        <v>369</v>
      </c>
      <c r="G156" s="2711" t="s">
        <v>370</v>
      </c>
      <c r="H156" s="2713">
        <v>0.948578889250034</v>
      </c>
      <c r="I156" s="2713">
        <v>4.76275952157744</v>
      </c>
      <c r="J156" s="2714">
        <v>0.4</v>
      </c>
      <c r="K156" s="2714">
        <f t="shared" si="3"/>
        <v>6.11133841082747</v>
      </c>
      <c r="L156" s="254" t="s">
        <v>362</v>
      </c>
      <c r="M156" s="2715"/>
    </row>
    <row r="157" s="2678" customFormat="1" ht="15" customHeight="1" spans="1:13">
      <c r="A157" s="2709"/>
      <c r="B157" s="2712" t="s">
        <v>350</v>
      </c>
      <c r="C157" s="2710">
        <v>20250206</v>
      </c>
      <c r="D157" s="2711">
        <v>7.3</v>
      </c>
      <c r="E157" s="2711">
        <v>7.17</v>
      </c>
      <c r="F157" s="2711" t="s">
        <v>1426</v>
      </c>
      <c r="G157" s="2711" t="s">
        <v>1427</v>
      </c>
      <c r="H157" s="2713" t="s">
        <v>1428</v>
      </c>
      <c r="I157" s="2713">
        <v>0.68645242285869</v>
      </c>
      <c r="J157" s="2714">
        <v>0.2</v>
      </c>
      <c r="K157" s="2714">
        <f t="shared" si="3"/>
        <v>0.88645242285869</v>
      </c>
      <c r="L157" s="2710" t="s">
        <v>1429</v>
      </c>
      <c r="M157" s="2715"/>
    </row>
    <row r="158" s="2678" customFormat="1" ht="15" customHeight="1" spans="1:13">
      <c r="A158" s="2709"/>
      <c r="B158" s="2712" t="s">
        <v>350</v>
      </c>
      <c r="C158" s="2710">
        <v>20240731</v>
      </c>
      <c r="D158" s="2711">
        <v>7.26</v>
      </c>
      <c r="E158" s="2711">
        <v>7.17</v>
      </c>
      <c r="F158" s="2711" t="s">
        <v>371</v>
      </c>
      <c r="G158" s="2711" t="s">
        <v>372</v>
      </c>
      <c r="H158" s="2713">
        <v>0.89252329952316</v>
      </c>
      <c r="I158" s="2713">
        <v>6.65424999984708</v>
      </c>
      <c r="J158" s="2714">
        <v>0.4</v>
      </c>
      <c r="K158" s="2714">
        <f t="shared" si="3"/>
        <v>7.94677329937024</v>
      </c>
      <c r="L158" s="254" t="s">
        <v>373</v>
      </c>
      <c r="M158" s="2715" t="s">
        <v>1406</v>
      </c>
    </row>
    <row r="159" s="2678" customFormat="1" ht="15" customHeight="1" spans="1:13">
      <c r="A159" s="2709"/>
      <c r="B159" s="2712" t="s">
        <v>350</v>
      </c>
      <c r="C159" s="2710">
        <v>20240621</v>
      </c>
      <c r="D159" s="2711">
        <v>7.26</v>
      </c>
      <c r="E159" s="2711">
        <v>7.17</v>
      </c>
      <c r="F159" s="2711" t="s">
        <v>374</v>
      </c>
      <c r="G159" s="2711" t="s">
        <v>375</v>
      </c>
      <c r="H159" s="2713">
        <v>0.89252329952316</v>
      </c>
      <c r="I159" s="2713">
        <v>5.38071125141361</v>
      </c>
      <c r="J159" s="2714">
        <v>0.4</v>
      </c>
      <c r="K159" s="2714">
        <f t="shared" si="3"/>
        <v>6.67323455093677</v>
      </c>
      <c r="L159" s="254" t="s">
        <v>376</v>
      </c>
      <c r="M159" s="2715" t="s">
        <v>1406</v>
      </c>
    </row>
    <row r="160" s="2678" customFormat="1" ht="15" customHeight="1" spans="1:13">
      <c r="A160" s="2709"/>
      <c r="B160" s="2712" t="s">
        <v>350</v>
      </c>
      <c r="C160" s="2710">
        <v>20240715</v>
      </c>
      <c r="D160" s="2711">
        <v>7.27</v>
      </c>
      <c r="E160" s="2711">
        <v>7.17</v>
      </c>
      <c r="F160" s="2711" t="s">
        <v>377</v>
      </c>
      <c r="G160" s="2711" t="s">
        <v>378</v>
      </c>
      <c r="H160" s="2713">
        <v>0.890069628382679</v>
      </c>
      <c r="I160" s="2713">
        <v>4.13377830805054</v>
      </c>
      <c r="J160" s="2714">
        <v>0.4</v>
      </c>
      <c r="K160" s="2714">
        <f t="shared" si="3"/>
        <v>5.42384793643322</v>
      </c>
      <c r="L160" s="254" t="s">
        <v>312</v>
      </c>
      <c r="M160" s="2715"/>
    </row>
    <row r="161" s="2678" customFormat="1" spans="1:13">
      <c r="A161" s="2709"/>
      <c r="B161" s="2712" t="s">
        <v>379</v>
      </c>
      <c r="C161" s="2710">
        <v>20250211</v>
      </c>
      <c r="D161" s="2711">
        <v>7.25</v>
      </c>
      <c r="E161" s="2711">
        <v>7.17</v>
      </c>
      <c r="F161" s="2711" t="s">
        <v>380</v>
      </c>
      <c r="G161" s="2711" t="s">
        <v>381</v>
      </c>
      <c r="H161" s="2713">
        <v>0.323216021651995</v>
      </c>
      <c r="I161" s="2713">
        <v>1.0136775462927</v>
      </c>
      <c r="J161" s="2714">
        <v>0.2</v>
      </c>
      <c r="K161" s="2714">
        <f t="shared" si="3"/>
        <v>1.53689356794469</v>
      </c>
      <c r="L161" s="2711" t="s">
        <v>382</v>
      </c>
      <c r="M161" s="2715"/>
    </row>
    <row r="162" s="2678" customFormat="1" spans="1:13">
      <c r="A162" s="2709"/>
      <c r="B162" s="2712" t="s">
        <v>379</v>
      </c>
      <c r="C162" s="2710"/>
      <c r="D162" s="2711"/>
      <c r="E162" s="2711"/>
      <c r="F162" s="2711" t="s">
        <v>383</v>
      </c>
      <c r="G162" s="2712" t="s">
        <v>384</v>
      </c>
      <c r="H162" s="2713">
        <v>0.5151</v>
      </c>
      <c r="I162" s="2713">
        <v>2.7068</v>
      </c>
      <c r="J162" s="2714">
        <v>0.4</v>
      </c>
      <c r="K162" s="2714">
        <f t="shared" si="3"/>
        <v>3.6219</v>
      </c>
      <c r="L162" s="2712" t="s">
        <v>25</v>
      </c>
      <c r="M162" s="2715" t="s">
        <v>1406</v>
      </c>
    </row>
    <row r="163" s="2678" customFormat="1" ht="12" customHeight="1" spans="1:13">
      <c r="A163" s="2709"/>
      <c r="B163" s="2712" t="s">
        <v>379</v>
      </c>
      <c r="C163" s="2710"/>
      <c r="D163" s="2711"/>
      <c r="E163" s="2711"/>
      <c r="F163" s="2711" t="s">
        <v>385</v>
      </c>
      <c r="G163" s="2712" t="s">
        <v>386</v>
      </c>
      <c r="H163" s="2713">
        <v>0.616945812807882</v>
      </c>
      <c r="I163" s="2713">
        <v>2.20906403940887</v>
      </c>
      <c r="J163" s="2714">
        <v>0.2</v>
      </c>
      <c r="K163" s="2714">
        <f t="shared" si="3"/>
        <v>3.02600985221675</v>
      </c>
      <c r="L163" s="2712"/>
      <c r="M163" s="2715" t="s">
        <v>1406</v>
      </c>
    </row>
    <row r="164" s="2678" customFormat="1" spans="1:13">
      <c r="A164" s="2709"/>
      <c r="B164" s="2712" t="s">
        <v>379</v>
      </c>
      <c r="C164" s="2710"/>
      <c r="D164" s="2711"/>
      <c r="E164" s="2711"/>
      <c r="F164" s="2711" t="s">
        <v>387</v>
      </c>
      <c r="G164" s="2712" t="s">
        <v>388</v>
      </c>
      <c r="H164" s="2713">
        <v>0.358226600985222</v>
      </c>
      <c r="I164" s="2713">
        <v>1.09931972789116</v>
      </c>
      <c r="J164" s="2714">
        <v>0.2</v>
      </c>
      <c r="K164" s="2714">
        <f t="shared" si="3"/>
        <v>1.65754632887638</v>
      </c>
      <c r="L164" s="2712"/>
      <c r="M164" s="2715" t="s">
        <v>1406</v>
      </c>
    </row>
    <row r="165" s="2678" customFormat="1" spans="1:13">
      <c r="A165" s="2709"/>
      <c r="B165" s="2712" t="s">
        <v>379</v>
      </c>
      <c r="C165" s="2710"/>
      <c r="D165" s="2711"/>
      <c r="E165" s="2711"/>
      <c r="F165" s="2711" t="s">
        <v>389</v>
      </c>
      <c r="G165" s="2712" t="s">
        <v>390</v>
      </c>
      <c r="H165" s="2713">
        <v>0.6161</v>
      </c>
      <c r="I165" s="2713">
        <v>5.28085714285714</v>
      </c>
      <c r="J165" s="2714">
        <v>0.4</v>
      </c>
      <c r="K165" s="2714">
        <f t="shared" si="3"/>
        <v>6.29695714285714</v>
      </c>
      <c r="L165" s="2712"/>
      <c r="M165" s="2715" t="s">
        <v>1406</v>
      </c>
    </row>
    <row r="166" s="2678" customFormat="1" spans="1:13">
      <c r="A166" s="2709"/>
      <c r="B166" s="2712" t="s">
        <v>379</v>
      </c>
      <c r="C166" s="2710"/>
      <c r="D166" s="2711"/>
      <c r="E166" s="2711"/>
      <c r="F166" s="2711" t="s">
        <v>391</v>
      </c>
      <c r="G166" s="2712" t="s">
        <v>392</v>
      </c>
      <c r="H166" s="2713">
        <v>0.82214</v>
      </c>
      <c r="I166" s="2713">
        <v>5.11733333333334</v>
      </c>
      <c r="J166" s="2714">
        <v>0.4</v>
      </c>
      <c r="K166" s="2714">
        <f t="shared" si="3"/>
        <v>6.33947333333334</v>
      </c>
      <c r="L166" s="2712"/>
      <c r="M166" s="2715" t="s">
        <v>1406</v>
      </c>
    </row>
    <row r="167" s="2678" customFormat="1" spans="1:13">
      <c r="A167" s="2709"/>
      <c r="B167" s="2712" t="s">
        <v>379</v>
      </c>
      <c r="C167" s="2710"/>
      <c r="D167" s="2711"/>
      <c r="E167" s="2711"/>
      <c r="F167" s="2711" t="s">
        <v>393</v>
      </c>
      <c r="G167" s="2712" t="s">
        <v>394</v>
      </c>
      <c r="H167" s="2713">
        <v>0.36663</v>
      </c>
      <c r="I167" s="2713">
        <v>1.04847619047619</v>
      </c>
      <c r="J167" s="2714">
        <v>0.2</v>
      </c>
      <c r="K167" s="2714">
        <f t="shared" si="3"/>
        <v>1.61510619047619</v>
      </c>
      <c r="L167" s="2712"/>
      <c r="M167" s="2715" t="s">
        <v>1406</v>
      </c>
    </row>
    <row r="168" s="2678" customFormat="1" ht="15" customHeight="1" spans="1:13">
      <c r="A168" s="2709"/>
      <c r="B168" s="2712" t="s">
        <v>379</v>
      </c>
      <c r="C168" s="2710"/>
      <c r="D168" s="2711"/>
      <c r="E168" s="2711"/>
      <c r="F168" s="2711" t="s">
        <v>395</v>
      </c>
      <c r="G168" s="2711" t="s">
        <v>396</v>
      </c>
      <c r="H168" s="2713">
        <v>0.407980295566502</v>
      </c>
      <c r="I168" s="2713">
        <v>2.18916256157635</v>
      </c>
      <c r="J168" s="2714">
        <v>0.2</v>
      </c>
      <c r="K168" s="2714">
        <f t="shared" si="3"/>
        <v>2.79714285714285</v>
      </c>
      <c r="L168" s="2712"/>
      <c r="M168" s="2715" t="s">
        <v>1406</v>
      </c>
    </row>
    <row r="169" s="2678" customFormat="1" spans="1:13">
      <c r="A169" s="2709"/>
      <c r="B169" s="2712" t="s">
        <v>379</v>
      </c>
      <c r="C169" s="2710"/>
      <c r="D169" s="2711"/>
      <c r="E169" s="2711"/>
      <c r="F169" s="2711" t="s">
        <v>397</v>
      </c>
      <c r="G169" s="2712" t="s">
        <v>398</v>
      </c>
      <c r="H169" s="2713">
        <v>0.4681754</v>
      </c>
      <c r="I169" s="2713">
        <v>3.46285714285714</v>
      </c>
      <c r="J169" s="2714">
        <v>0.4</v>
      </c>
      <c r="K169" s="2714">
        <f t="shared" si="3"/>
        <v>4.33103254285714</v>
      </c>
      <c r="L169" s="2712"/>
      <c r="M169" s="2715" t="s">
        <v>1406</v>
      </c>
    </row>
    <row r="170" s="2678" customFormat="1" spans="1:13">
      <c r="A170" s="2709"/>
      <c r="B170" s="2712" t="s">
        <v>379</v>
      </c>
      <c r="C170" s="2710"/>
      <c r="D170" s="2711"/>
      <c r="E170" s="2711"/>
      <c r="F170" s="2711" t="s">
        <v>399</v>
      </c>
      <c r="G170" s="2712" t="s">
        <v>400</v>
      </c>
      <c r="H170" s="2713">
        <v>0.3939</v>
      </c>
      <c r="I170" s="2713">
        <v>2.7977</v>
      </c>
      <c r="J170" s="2714">
        <v>0.4</v>
      </c>
      <c r="K170" s="2714">
        <f t="shared" si="3"/>
        <v>3.5916</v>
      </c>
      <c r="L170" s="2712"/>
      <c r="M170" s="2715" t="s">
        <v>1406</v>
      </c>
    </row>
    <row r="171" s="2678" customFormat="1" spans="1:13">
      <c r="A171" s="2709"/>
      <c r="B171" s="2712" t="s">
        <v>379</v>
      </c>
      <c r="C171" s="2710"/>
      <c r="D171" s="2711"/>
      <c r="E171" s="2711"/>
      <c r="F171" s="2711" t="s">
        <v>401</v>
      </c>
      <c r="G171" s="2712" t="s">
        <v>402</v>
      </c>
      <c r="H171" s="2713">
        <v>0.36663</v>
      </c>
      <c r="I171" s="2713">
        <v>1.40438095238095</v>
      </c>
      <c r="J171" s="2714">
        <v>0.2</v>
      </c>
      <c r="K171" s="2714">
        <f t="shared" si="3"/>
        <v>1.97101095238095</v>
      </c>
      <c r="L171" s="2712"/>
      <c r="M171" s="2715" t="s">
        <v>1406</v>
      </c>
    </row>
    <row r="172" s="2678" customFormat="1" spans="1:13">
      <c r="A172" s="2709"/>
      <c r="B172" s="2712" t="s">
        <v>379</v>
      </c>
      <c r="C172" s="2710"/>
      <c r="D172" s="2711"/>
      <c r="E172" s="2711"/>
      <c r="F172" s="2711" t="s">
        <v>403</v>
      </c>
      <c r="G172" s="2712" t="s">
        <v>404</v>
      </c>
      <c r="H172" s="2713">
        <v>0.3636</v>
      </c>
      <c r="I172" s="2713">
        <v>1.3938</v>
      </c>
      <c r="J172" s="2714">
        <v>0.3</v>
      </c>
      <c r="K172" s="2714">
        <f t="shared" si="3"/>
        <v>2.0574</v>
      </c>
      <c r="L172" s="2712"/>
      <c r="M172" s="2715" t="s">
        <v>1406</v>
      </c>
    </row>
    <row r="173" s="2678" customFormat="1" spans="1:13">
      <c r="A173" s="2709"/>
      <c r="B173" s="2712" t="s">
        <v>379</v>
      </c>
      <c r="C173" s="2710"/>
      <c r="D173" s="2711"/>
      <c r="E173" s="2711"/>
      <c r="F173" s="2711" t="s">
        <v>405</v>
      </c>
      <c r="G173" s="2712" t="s">
        <v>406</v>
      </c>
      <c r="H173" s="2713">
        <v>0.3333</v>
      </c>
      <c r="I173" s="2713">
        <v>1.7978</v>
      </c>
      <c r="J173" s="2714">
        <v>0.2</v>
      </c>
      <c r="K173" s="2714">
        <f t="shared" si="3"/>
        <v>2.3311</v>
      </c>
      <c r="L173" s="2712"/>
      <c r="M173" s="2715" t="s">
        <v>1406</v>
      </c>
    </row>
    <row r="174" s="2677" customFormat="1" spans="1:13">
      <c r="A174" s="2709"/>
      <c r="B174" s="2712" t="s">
        <v>407</v>
      </c>
      <c r="C174" s="2710">
        <v>20240125</v>
      </c>
      <c r="D174" s="2711">
        <v>7.2</v>
      </c>
      <c r="E174" s="2711">
        <v>7.17</v>
      </c>
      <c r="F174" s="2711" t="s">
        <v>408</v>
      </c>
      <c r="G174" s="2736" t="s">
        <v>409</v>
      </c>
      <c r="H174" s="2713">
        <v>0.27686625</v>
      </c>
      <c r="I174" s="2713">
        <v>0.657358776333705</v>
      </c>
      <c r="J174" s="2714">
        <v>0.2</v>
      </c>
      <c r="K174" s="2714">
        <f t="shared" si="3"/>
        <v>1.13422502633371</v>
      </c>
      <c r="L174" s="2736"/>
      <c r="M174" s="2715" t="s">
        <v>1406</v>
      </c>
    </row>
    <row r="175" s="2677" customFormat="1" spans="1:13">
      <c r="A175" s="2709"/>
      <c r="B175" s="2712" t="s">
        <v>407</v>
      </c>
      <c r="C175" s="2710"/>
      <c r="D175" s="2711"/>
      <c r="E175" s="2711"/>
      <c r="F175" s="2711"/>
      <c r="G175" s="2736" t="s">
        <v>410</v>
      </c>
      <c r="H175" s="2713">
        <v>0.621777606771835</v>
      </c>
      <c r="I175" s="2713">
        <v>2.11234294359215</v>
      </c>
      <c r="J175" s="2714">
        <v>0.4</v>
      </c>
      <c r="K175" s="2714">
        <f t="shared" si="3"/>
        <v>3.13412055036399</v>
      </c>
      <c r="L175" s="2736"/>
      <c r="M175" s="2715" t="s">
        <v>1406</v>
      </c>
    </row>
    <row r="176" s="2677" customFormat="1" spans="1:13">
      <c r="A176" s="2709"/>
      <c r="B176" s="2712" t="s">
        <v>407</v>
      </c>
      <c r="C176" s="2710"/>
      <c r="D176" s="2711"/>
      <c r="E176" s="2711"/>
      <c r="F176" s="2711"/>
      <c r="G176" s="2736" t="s">
        <v>411</v>
      </c>
      <c r="H176" s="2713">
        <v>0.7676</v>
      </c>
      <c r="I176" s="2713">
        <v>2.98190476190477</v>
      </c>
      <c r="J176" s="2714">
        <v>0.2</v>
      </c>
      <c r="K176" s="2714">
        <f t="shared" si="3"/>
        <v>3.94950476190477</v>
      </c>
      <c r="L176" s="2736"/>
      <c r="M176" s="2715" t="s">
        <v>1406</v>
      </c>
    </row>
    <row r="177" s="2677" customFormat="1" ht="13.2" spans="1:13">
      <c r="A177" s="2709"/>
      <c r="B177" s="2712" t="s">
        <v>407</v>
      </c>
      <c r="C177" s="2710"/>
      <c r="D177" s="2711"/>
      <c r="E177" s="2711"/>
      <c r="F177" s="2711"/>
      <c r="G177" s="2736" t="s">
        <v>412</v>
      </c>
      <c r="H177" s="2713">
        <v>0.808</v>
      </c>
      <c r="I177" s="2713">
        <v>4.93746188130424</v>
      </c>
      <c r="J177" s="2714">
        <v>0.4</v>
      </c>
      <c r="K177" s="2714">
        <f t="shared" si="3"/>
        <v>6.14546188130424</v>
      </c>
      <c r="L177" s="2736" t="s">
        <v>413</v>
      </c>
      <c r="M177" s="2715" t="s">
        <v>1406</v>
      </c>
    </row>
    <row r="178" s="2677" customFormat="1" ht="13.2" spans="1:13">
      <c r="A178" s="2709"/>
      <c r="B178" s="2712" t="s">
        <v>407</v>
      </c>
      <c r="C178" s="2710"/>
      <c r="D178" s="2711"/>
      <c r="E178" s="2711"/>
      <c r="F178" s="2711"/>
      <c r="G178" s="2736" t="s">
        <v>414</v>
      </c>
      <c r="H178" s="2713">
        <v>0.8383</v>
      </c>
      <c r="I178" s="2713">
        <v>5.3544452263664</v>
      </c>
      <c r="J178" s="2714">
        <v>0.4</v>
      </c>
      <c r="K178" s="2714">
        <f t="shared" si="3"/>
        <v>6.5927452263664</v>
      </c>
      <c r="L178" s="2736" t="s">
        <v>415</v>
      </c>
      <c r="M178" s="2715" t="s">
        <v>1406</v>
      </c>
    </row>
    <row r="179" s="2677" customFormat="1" spans="1:13">
      <c r="A179" s="2709"/>
      <c r="B179" s="2712" t="s">
        <v>407</v>
      </c>
      <c r="C179" s="2710"/>
      <c r="D179" s="2711"/>
      <c r="E179" s="2711"/>
      <c r="F179" s="2711"/>
      <c r="G179" s="2736" t="s">
        <v>416</v>
      </c>
      <c r="H179" s="2713">
        <v>0.2727</v>
      </c>
      <c r="I179" s="2713">
        <v>0.480952380952381</v>
      </c>
      <c r="J179" s="2714">
        <v>0.2</v>
      </c>
      <c r="K179" s="2714">
        <f t="shared" si="3"/>
        <v>0.953652380952381</v>
      </c>
      <c r="L179" s="2736"/>
      <c r="M179" s="2715" t="s">
        <v>1406</v>
      </c>
    </row>
    <row r="180" s="2677" customFormat="1" spans="1:13">
      <c r="A180" s="2709"/>
      <c r="B180" s="2712" t="s">
        <v>407</v>
      </c>
      <c r="C180" s="2710"/>
      <c r="D180" s="2711"/>
      <c r="E180" s="2711"/>
      <c r="F180" s="2711"/>
      <c r="G180" s="2736" t="s">
        <v>417</v>
      </c>
      <c r="H180" s="2713">
        <v>0.7979</v>
      </c>
      <c r="I180" s="2713">
        <v>4.95380952380952</v>
      </c>
      <c r="J180" s="2714">
        <v>0.4</v>
      </c>
      <c r="K180" s="2714">
        <f t="shared" si="3"/>
        <v>6.15170952380952</v>
      </c>
      <c r="L180" s="2736" t="s">
        <v>346</v>
      </c>
      <c r="M180" s="2715" t="s">
        <v>1406</v>
      </c>
    </row>
    <row r="181" s="2677" customFormat="1" spans="1:13">
      <c r="A181" s="2709"/>
      <c r="B181" s="2712" t="s">
        <v>407</v>
      </c>
      <c r="C181" s="2710"/>
      <c r="D181" s="2711"/>
      <c r="E181" s="2711"/>
      <c r="F181" s="2711"/>
      <c r="G181" s="2736" t="s">
        <v>418</v>
      </c>
      <c r="H181" s="2713">
        <v>0.7373</v>
      </c>
      <c r="I181" s="2713">
        <v>4.11297208538588</v>
      </c>
      <c r="J181" s="2714">
        <v>0.4</v>
      </c>
      <c r="K181" s="2714">
        <f t="shared" si="3"/>
        <v>5.25027208538588</v>
      </c>
      <c r="L181" s="2736" t="s">
        <v>346</v>
      </c>
      <c r="M181" s="2715" t="s">
        <v>1406</v>
      </c>
    </row>
    <row r="182" s="2677" customFormat="1" spans="1:13">
      <c r="A182" s="2709"/>
      <c r="B182" s="2712" t="s">
        <v>407</v>
      </c>
      <c r="C182" s="2710"/>
      <c r="D182" s="2711"/>
      <c r="E182" s="2711"/>
      <c r="F182" s="2711"/>
      <c r="G182" s="2736" t="s">
        <v>419</v>
      </c>
      <c r="H182" s="2713">
        <v>0.5858</v>
      </c>
      <c r="I182" s="2713">
        <v>3.68651184611775</v>
      </c>
      <c r="J182" s="2714">
        <v>0.3</v>
      </c>
      <c r="K182" s="2714">
        <f t="shared" si="3"/>
        <v>4.57231184611775</v>
      </c>
      <c r="L182" s="2736" t="s">
        <v>346</v>
      </c>
      <c r="M182" s="2715" t="s">
        <v>1406</v>
      </c>
    </row>
    <row r="183" s="2677" customFormat="1" spans="1:13">
      <c r="A183" s="2709"/>
      <c r="B183" s="2712" t="s">
        <v>407</v>
      </c>
      <c r="C183" s="2710"/>
      <c r="D183" s="2711"/>
      <c r="E183" s="2711"/>
      <c r="F183" s="2711"/>
      <c r="G183" s="2736" t="s">
        <v>420</v>
      </c>
      <c r="H183" s="2713">
        <v>0.3535</v>
      </c>
      <c r="I183" s="2713">
        <v>1.09657142857143</v>
      </c>
      <c r="J183" s="2714">
        <v>0.2</v>
      </c>
      <c r="K183" s="2714">
        <f t="shared" si="3"/>
        <v>1.65007142857143</v>
      </c>
      <c r="L183" s="2736"/>
      <c r="M183" s="2715" t="s">
        <v>1406</v>
      </c>
    </row>
    <row r="184" s="2677" customFormat="1" ht="13.2" spans="1:13">
      <c r="A184" s="2709"/>
      <c r="B184" s="2712" t="s">
        <v>407</v>
      </c>
      <c r="C184" s="2710"/>
      <c r="D184" s="2711"/>
      <c r="E184" s="2711"/>
      <c r="F184" s="2711"/>
      <c r="G184" s="2736" t="s">
        <v>421</v>
      </c>
      <c r="H184" s="2713">
        <v>0.909</v>
      </c>
      <c r="I184" s="2713">
        <v>3.6552380952381</v>
      </c>
      <c r="J184" s="2714">
        <v>0.4</v>
      </c>
      <c r="K184" s="2714">
        <f t="shared" si="3"/>
        <v>4.9642380952381</v>
      </c>
      <c r="L184" s="2736" t="s">
        <v>422</v>
      </c>
      <c r="M184" s="2715" t="s">
        <v>1406</v>
      </c>
    </row>
    <row r="185" s="2677" customFormat="1" ht="13.2" spans="1:13">
      <c r="A185" s="2709"/>
      <c r="B185" s="2712" t="s">
        <v>407</v>
      </c>
      <c r="C185" s="2710"/>
      <c r="D185" s="2711"/>
      <c r="E185" s="2711"/>
      <c r="F185" s="2711"/>
      <c r="G185" s="2736" t="s">
        <v>423</v>
      </c>
      <c r="H185" s="2713">
        <v>0.8686</v>
      </c>
      <c r="I185" s="2713">
        <v>3.36666666666666</v>
      </c>
      <c r="J185" s="2714">
        <v>0.4</v>
      </c>
      <c r="K185" s="2714">
        <f t="shared" si="3"/>
        <v>4.63526666666666</v>
      </c>
      <c r="L185" s="2736" t="s">
        <v>422</v>
      </c>
      <c r="M185" s="2715" t="s">
        <v>1406</v>
      </c>
    </row>
    <row r="186" s="2677" customFormat="1" spans="1:13">
      <c r="A186" s="2709"/>
      <c r="B186" s="2712" t="s">
        <v>407</v>
      </c>
      <c r="C186" s="2710"/>
      <c r="D186" s="2711"/>
      <c r="E186" s="2711"/>
      <c r="F186" s="2711"/>
      <c r="G186" s="2736" t="s">
        <v>424</v>
      </c>
      <c r="H186" s="2713">
        <v>0.4338455</v>
      </c>
      <c r="I186" s="2713">
        <v>1.03341276190477</v>
      </c>
      <c r="J186" s="2714">
        <v>0.2</v>
      </c>
      <c r="K186" s="2714">
        <f t="shared" si="3"/>
        <v>1.66725826190477</v>
      </c>
      <c r="L186" s="2736"/>
      <c r="M186" s="2715" t="s">
        <v>1406</v>
      </c>
    </row>
    <row r="187" s="2677" customFormat="1" ht="13.2" spans="1:13">
      <c r="A187" s="2709"/>
      <c r="B187" s="2712" t="s">
        <v>407</v>
      </c>
      <c r="C187" s="2710"/>
      <c r="D187" s="2711"/>
      <c r="E187" s="2711"/>
      <c r="F187" s="2711"/>
      <c r="G187" s="2736" t="s">
        <v>425</v>
      </c>
      <c r="H187" s="2713">
        <v>0.4681754</v>
      </c>
      <c r="I187" s="2713">
        <v>3.90448041285479</v>
      </c>
      <c r="J187" s="2714">
        <v>0.4</v>
      </c>
      <c r="K187" s="2714">
        <f t="shared" si="3"/>
        <v>4.77265581285479</v>
      </c>
      <c r="L187" s="2736" t="s">
        <v>426</v>
      </c>
      <c r="M187" s="2715" t="s">
        <v>1406</v>
      </c>
    </row>
    <row r="188" s="2677" customFormat="1" spans="1:13">
      <c r="A188" s="2709"/>
      <c r="B188" s="2712" t="s">
        <v>407</v>
      </c>
      <c r="C188" s="2710"/>
      <c r="D188" s="2711"/>
      <c r="E188" s="2711"/>
      <c r="F188" s="2711"/>
      <c r="G188" s="2736" t="s">
        <v>427</v>
      </c>
      <c r="H188" s="2713">
        <v>0.4681754</v>
      </c>
      <c r="I188" s="2713">
        <v>3.46854327938073</v>
      </c>
      <c r="J188" s="2714">
        <v>0.4</v>
      </c>
      <c r="K188" s="2714">
        <f t="shared" si="3"/>
        <v>4.33671867938073</v>
      </c>
      <c r="L188" s="2736" t="s">
        <v>25</v>
      </c>
      <c r="M188" s="2715" t="s">
        <v>1406</v>
      </c>
    </row>
    <row r="189" s="2677" customFormat="1" spans="1:13">
      <c r="A189" s="2709"/>
      <c r="B189" s="2712" t="s">
        <v>407</v>
      </c>
      <c r="C189" s="2710"/>
      <c r="D189" s="2711"/>
      <c r="E189" s="2711"/>
      <c r="F189" s="2711"/>
      <c r="G189" s="2736" t="s">
        <v>428</v>
      </c>
      <c r="H189" s="2713">
        <v>0.3995156</v>
      </c>
      <c r="I189" s="2713">
        <v>3.27900539526154</v>
      </c>
      <c r="J189" s="2714">
        <v>0.4</v>
      </c>
      <c r="K189" s="2714">
        <f t="shared" si="3"/>
        <v>4.07852099526154</v>
      </c>
      <c r="L189" s="2736" t="s">
        <v>25</v>
      </c>
      <c r="M189" s="2715" t="s">
        <v>1406</v>
      </c>
    </row>
    <row r="190" s="2677" customFormat="1" spans="1:13">
      <c r="A190" s="2709"/>
      <c r="B190" s="2712" t="s">
        <v>407</v>
      </c>
      <c r="C190" s="2710"/>
      <c r="D190" s="2711"/>
      <c r="E190" s="2711"/>
      <c r="F190" s="2711"/>
      <c r="G190" s="2736" t="s">
        <v>429</v>
      </c>
      <c r="H190" s="2713">
        <v>0.38885</v>
      </c>
      <c r="I190" s="2713">
        <v>3.32638986629134</v>
      </c>
      <c r="J190" s="2714">
        <v>0.4</v>
      </c>
      <c r="K190" s="2714">
        <f t="shared" si="3"/>
        <v>4.11523986629134</v>
      </c>
      <c r="L190" s="2736" t="s">
        <v>25</v>
      </c>
      <c r="M190" s="2715" t="s">
        <v>1406</v>
      </c>
    </row>
    <row r="191" s="2677" customFormat="1" ht="15" customHeight="1" spans="1:13">
      <c r="A191" s="2709"/>
      <c r="B191" s="2712" t="s">
        <v>407</v>
      </c>
      <c r="C191" s="2710"/>
      <c r="D191" s="2711"/>
      <c r="E191" s="2711"/>
      <c r="F191" s="2711"/>
      <c r="G191" s="2736" t="s">
        <v>430</v>
      </c>
      <c r="H191" s="2713">
        <v>0.9716806</v>
      </c>
      <c r="I191" s="2713">
        <v>4.38780201735866</v>
      </c>
      <c r="J191" s="2714">
        <v>0.4</v>
      </c>
      <c r="K191" s="2714">
        <f t="shared" si="3"/>
        <v>5.75948261735866</v>
      </c>
      <c r="L191" s="2736" t="s">
        <v>426</v>
      </c>
      <c r="M191" s="2715" t="s">
        <v>1406</v>
      </c>
    </row>
    <row r="192" s="2677" customFormat="1" spans="1:13">
      <c r="A192" s="2709"/>
      <c r="B192" s="2712" t="s">
        <v>407</v>
      </c>
      <c r="C192" s="2710"/>
      <c r="D192" s="2711"/>
      <c r="E192" s="2711"/>
      <c r="F192" s="2711"/>
      <c r="G192" s="2736" t="s">
        <v>431</v>
      </c>
      <c r="H192" s="2713">
        <v>0.3995156</v>
      </c>
      <c r="I192" s="2713">
        <v>0.884952380952381</v>
      </c>
      <c r="J192" s="2714">
        <v>0.4</v>
      </c>
      <c r="K192" s="2714">
        <f t="shared" si="3"/>
        <v>1.68446798095238</v>
      </c>
      <c r="L192" s="2736"/>
      <c r="M192" s="2715" t="s">
        <v>1406</v>
      </c>
    </row>
    <row r="193" s="2677" customFormat="1" spans="1:13">
      <c r="A193" s="2709"/>
      <c r="B193" s="2712" t="s">
        <v>432</v>
      </c>
      <c r="C193" s="2710">
        <v>20250609</v>
      </c>
      <c r="D193" s="2711">
        <v>7.19</v>
      </c>
      <c r="E193" s="2711"/>
      <c r="F193" s="2711" t="s">
        <v>433</v>
      </c>
      <c r="G193" s="2711" t="s">
        <v>434</v>
      </c>
      <c r="H193" s="2713">
        <v>0.289647617758194</v>
      </c>
      <c r="I193" s="2713">
        <v>0.833072050842951</v>
      </c>
      <c r="J193" s="2714">
        <v>0.2</v>
      </c>
      <c r="K193" s="2713">
        <f t="shared" si="3"/>
        <v>1.32271966860114</v>
      </c>
      <c r="L193" s="2711" t="s">
        <v>435</v>
      </c>
      <c r="M193" s="2715"/>
    </row>
    <row r="194" s="2677" customFormat="1" spans="1:13">
      <c r="A194" s="2709"/>
      <c r="B194" s="2712" t="s">
        <v>432</v>
      </c>
      <c r="C194" s="2710">
        <v>20250508</v>
      </c>
      <c r="D194" s="2711">
        <v>7.24</v>
      </c>
      <c r="E194" s="176"/>
      <c r="F194" s="2711" t="s">
        <v>436</v>
      </c>
      <c r="G194" s="2711" t="s">
        <v>437</v>
      </c>
      <c r="H194" s="2713">
        <v>0.274067373979367</v>
      </c>
      <c r="I194" s="2713">
        <v>0.814210111482834</v>
      </c>
      <c r="J194" s="2714">
        <v>0.2</v>
      </c>
      <c r="K194" s="2713">
        <f t="shared" si="3"/>
        <v>1.2882774854622</v>
      </c>
      <c r="L194" s="2711" t="s">
        <v>438</v>
      </c>
      <c r="M194" s="2715"/>
    </row>
    <row r="195" s="2677" customFormat="1" spans="1:13">
      <c r="A195" s="2709"/>
      <c r="B195" s="2712" t="s">
        <v>432</v>
      </c>
      <c r="C195" s="2710">
        <v>20250304</v>
      </c>
      <c r="D195" s="2711">
        <v>7.25</v>
      </c>
      <c r="E195" s="2711">
        <v>7.17</v>
      </c>
      <c r="F195" s="2711" t="s">
        <v>439</v>
      </c>
      <c r="G195" s="2711" t="s">
        <v>440</v>
      </c>
      <c r="H195" s="2713">
        <v>0.289627779823851</v>
      </c>
      <c r="I195" s="2713">
        <v>0.568754681275478</v>
      </c>
      <c r="J195" s="2714">
        <v>0.2</v>
      </c>
      <c r="K195" s="2714">
        <f t="shared" si="3"/>
        <v>1.05838246109933</v>
      </c>
      <c r="L195" s="2711" t="s">
        <v>435</v>
      </c>
      <c r="M195" s="2715"/>
    </row>
    <row r="196" s="2677" customFormat="1" ht="13.2" spans="1:13">
      <c r="A196" s="2709"/>
      <c r="B196" s="2712" t="s">
        <v>441</v>
      </c>
      <c r="C196" s="2728">
        <v>20240724</v>
      </c>
      <c r="D196" s="2764">
        <v>7.27</v>
      </c>
      <c r="E196" s="2711">
        <v>7.17</v>
      </c>
      <c r="F196" s="2764" t="s">
        <v>442</v>
      </c>
      <c r="G196" s="2712" t="s">
        <v>443</v>
      </c>
      <c r="H196" s="2713">
        <v>0.419154369930327</v>
      </c>
      <c r="I196" s="2713">
        <v>2.49773122904609</v>
      </c>
      <c r="J196" s="2714">
        <v>0.4</v>
      </c>
      <c r="K196" s="2714">
        <f t="shared" si="3"/>
        <v>3.31688559897642</v>
      </c>
      <c r="L196" s="226" t="s">
        <v>444</v>
      </c>
      <c r="M196" s="2715"/>
    </row>
    <row r="197" s="2678" customFormat="1" spans="1:13">
      <c r="A197" s="2709"/>
      <c r="B197" s="2712" t="s">
        <v>445</v>
      </c>
      <c r="C197" s="2710">
        <v>20240820</v>
      </c>
      <c r="D197" s="2711">
        <v>7.15</v>
      </c>
      <c r="E197" s="2711">
        <v>7.17</v>
      </c>
      <c r="F197" s="2711" t="s">
        <v>446</v>
      </c>
      <c r="G197" s="2712" t="s">
        <v>447</v>
      </c>
      <c r="H197" s="2713">
        <v>0.511220446117407</v>
      </c>
      <c r="I197" s="2713">
        <v>2.76705155376644</v>
      </c>
      <c r="J197" s="2716">
        <v>0.4</v>
      </c>
      <c r="K197" s="2714">
        <f t="shared" si="3"/>
        <v>3.67827199988385</v>
      </c>
      <c r="L197" s="2711"/>
    </row>
    <row r="198" s="2678" customFormat="1" ht="13.2" spans="1:13">
      <c r="A198" s="2709"/>
      <c r="B198" s="2712" t="s">
        <v>445</v>
      </c>
      <c r="C198" s="2710">
        <v>20251110</v>
      </c>
      <c r="D198" s="2711">
        <v>7.26</v>
      </c>
      <c r="E198" s="2711">
        <v>7.13</v>
      </c>
      <c r="F198" s="2711" t="s">
        <v>448</v>
      </c>
      <c r="G198" s="2719" t="s">
        <v>449</v>
      </c>
      <c r="H198" s="2713">
        <v>0.445022279040326</v>
      </c>
      <c r="I198" s="2713">
        <v>1.71582570483884</v>
      </c>
      <c r="J198" s="2716">
        <v>0.2</v>
      </c>
      <c r="K198" s="2714">
        <f t="shared" si="3"/>
        <v>2.36084798387917</v>
      </c>
      <c r="L198" s="393" t="s">
        <v>239</v>
      </c>
    </row>
    <row r="199" s="2678" customFormat="1" spans="1:13">
      <c r="A199" s="2709"/>
      <c r="B199" s="2712" t="s">
        <v>451</v>
      </c>
      <c r="C199" s="2710">
        <v>20250923</v>
      </c>
      <c r="D199" s="2711"/>
      <c r="E199" s="2711">
        <v>7.13</v>
      </c>
      <c r="F199" s="2719" t="s">
        <v>452</v>
      </c>
      <c r="G199" s="2719" t="s">
        <v>453</v>
      </c>
      <c r="H199" s="2713">
        <v>0.376075165386191</v>
      </c>
      <c r="I199" s="2713">
        <v>2.95743085916792</v>
      </c>
      <c r="J199" s="2716">
        <v>0.4</v>
      </c>
      <c r="K199" s="2714">
        <f t="shared" ref="K199:K262" si="4">SUM(H199:J199)</f>
        <v>3.73350602455411</v>
      </c>
      <c r="L199" s="2737"/>
    </row>
    <row r="200" s="2678" customFormat="1" spans="1:13">
      <c r="A200" s="2709"/>
      <c r="B200" s="2712" t="s">
        <v>445</v>
      </c>
      <c r="C200" s="2710"/>
      <c r="D200" s="2711"/>
      <c r="E200" s="2711"/>
      <c r="F200" s="2711"/>
      <c r="G200" s="2719" t="s">
        <v>454</v>
      </c>
      <c r="H200" s="2713">
        <v>1.13757039420757</v>
      </c>
      <c r="I200" s="2713">
        <v>1.76878907039421</v>
      </c>
      <c r="J200" s="2716">
        <v>0.4</v>
      </c>
      <c r="K200" s="2714">
        <f t="shared" si="4"/>
        <v>3.30635946460178</v>
      </c>
      <c r="L200" s="2711"/>
    </row>
    <row r="201" s="2678" customFormat="1" ht="13.2" spans="1:13">
      <c r="A201" s="2709"/>
      <c r="B201" s="2712" t="s">
        <v>455</v>
      </c>
      <c r="C201" s="2710">
        <v>20250324</v>
      </c>
      <c r="D201" s="2711">
        <v>7.31</v>
      </c>
      <c r="E201" s="2711">
        <v>7.17</v>
      </c>
      <c r="F201" s="2723" t="s">
        <v>456</v>
      </c>
      <c r="G201" s="2723" t="s">
        <v>457</v>
      </c>
      <c r="H201" s="2713">
        <v>0.361007715630932</v>
      </c>
      <c r="I201" s="2713">
        <v>2.16619883445966</v>
      </c>
      <c r="J201" s="2714">
        <v>0.4</v>
      </c>
      <c r="K201" s="2714">
        <f t="shared" si="4"/>
        <v>2.92720655009059</v>
      </c>
      <c r="L201" s="226" t="s">
        <v>82</v>
      </c>
    </row>
    <row r="202" s="2678" customFormat="1" ht="13.2" spans="1:13">
      <c r="A202" s="2709"/>
      <c r="B202" s="2712" t="s">
        <v>455</v>
      </c>
      <c r="C202" s="2710">
        <v>20250418</v>
      </c>
      <c r="D202" s="2711">
        <v>7.21</v>
      </c>
      <c r="E202" s="2711"/>
      <c r="F202" s="2711" t="s">
        <v>458</v>
      </c>
      <c r="G202" s="2723" t="s">
        <v>459</v>
      </c>
      <c r="H202" s="2713">
        <v>0.357029669177698</v>
      </c>
      <c r="I202" s="2713">
        <v>2.23584783776906</v>
      </c>
      <c r="J202" s="2714">
        <v>0.4</v>
      </c>
      <c r="K202" s="2714">
        <f t="shared" si="4"/>
        <v>2.99287750694676</v>
      </c>
      <c r="L202" s="226" t="s">
        <v>82</v>
      </c>
    </row>
    <row r="203" s="2678" customFormat="1" ht="13.2" spans="1:13">
      <c r="A203" s="2709"/>
      <c r="B203" s="2712" t="s">
        <v>455</v>
      </c>
      <c r="C203" s="2710">
        <v>20250418</v>
      </c>
      <c r="D203" s="2711">
        <v>7.31</v>
      </c>
      <c r="E203" s="2711">
        <v>7.17</v>
      </c>
      <c r="F203" s="2711" t="s">
        <v>460</v>
      </c>
      <c r="G203" s="2723" t="s">
        <v>461</v>
      </c>
      <c r="H203" s="2713">
        <v>0.356280727630286</v>
      </c>
      <c r="I203" s="2713">
        <v>2.25818576741135</v>
      </c>
      <c r="J203" s="2714">
        <v>0.4</v>
      </c>
      <c r="K203" s="2714">
        <f t="shared" si="4"/>
        <v>3.01446649504164</v>
      </c>
      <c r="L203" s="226" t="s">
        <v>82</v>
      </c>
    </row>
    <row r="204" s="2677" customFormat="1" ht="13.2" spans="1:13">
      <c r="A204" s="2709"/>
      <c r="B204" s="2712" t="s">
        <v>455</v>
      </c>
      <c r="C204" s="2710">
        <v>20250731</v>
      </c>
      <c r="D204" s="2711">
        <v>7.17</v>
      </c>
      <c r="E204" s="2711">
        <v>7.17</v>
      </c>
      <c r="F204" s="2711" t="s">
        <v>462</v>
      </c>
      <c r="G204" s="2711" t="s">
        <v>463</v>
      </c>
      <c r="H204" s="2713">
        <v>0.370237345873292</v>
      </c>
      <c r="I204" s="2713">
        <v>2.25818576741135</v>
      </c>
      <c r="J204" s="2714">
        <v>0.4</v>
      </c>
      <c r="K204" s="2714">
        <f t="shared" si="4"/>
        <v>3.02842311328464</v>
      </c>
      <c r="L204" s="226" t="s">
        <v>82</v>
      </c>
    </row>
    <row r="205" s="2678" customFormat="1" ht="13.2" spans="1:13">
      <c r="A205" s="2709"/>
      <c r="B205" s="2712" t="s">
        <v>455</v>
      </c>
      <c r="C205" s="2710"/>
      <c r="D205" s="2711"/>
      <c r="E205" s="2711"/>
      <c r="F205" s="2711"/>
      <c r="G205" s="2723" t="s">
        <v>464</v>
      </c>
      <c r="H205" s="2713">
        <v>0.314073254670599</v>
      </c>
      <c r="I205" s="2713">
        <v>2.08780617827021</v>
      </c>
      <c r="J205" s="2714">
        <v>0.4</v>
      </c>
      <c r="K205" s="2714">
        <f t="shared" si="4"/>
        <v>2.80187943294081</v>
      </c>
      <c r="L205" s="226" t="s">
        <v>82</v>
      </c>
    </row>
    <row r="206" s="2678" customFormat="1" ht="13.2" spans="1:13">
      <c r="A206" s="2709"/>
      <c r="B206" s="2712" t="s">
        <v>469</v>
      </c>
      <c r="C206" s="2710"/>
      <c r="D206" s="2711"/>
      <c r="E206" s="2711"/>
      <c r="F206" s="2711"/>
      <c r="G206" s="2719" t="s">
        <v>470</v>
      </c>
      <c r="H206" s="2713">
        <v>0.5555</v>
      </c>
      <c r="I206" s="2713">
        <v>8.65714285714285</v>
      </c>
      <c r="J206" s="2714">
        <v>0.4</v>
      </c>
      <c r="K206" s="2714">
        <f t="shared" si="4"/>
        <v>9.61264285714285</v>
      </c>
      <c r="L206" s="2719"/>
      <c r="M206" s="2715" t="s">
        <v>1406</v>
      </c>
    </row>
    <row r="207" s="2678" customFormat="1" spans="1:13">
      <c r="A207" s="2709"/>
      <c r="B207" s="2712" t="s">
        <v>469</v>
      </c>
      <c r="C207" s="2710"/>
      <c r="D207" s="2711"/>
      <c r="E207" s="2711"/>
      <c r="F207" s="2711"/>
      <c r="G207" s="2710" t="s">
        <v>471</v>
      </c>
      <c r="H207" s="2713">
        <v>0.681940347427073</v>
      </c>
      <c r="I207" s="2713">
        <v>1.57835381132891</v>
      </c>
      <c r="J207" s="2714">
        <v>0.2</v>
      </c>
      <c r="K207" s="2714">
        <f t="shared" si="4"/>
        <v>2.46029415875598</v>
      </c>
      <c r="L207" s="2719"/>
      <c r="M207" s="2715"/>
    </row>
    <row r="208" s="2678" customFormat="1" spans="1:13">
      <c r="A208" s="2709"/>
      <c r="B208" s="2712" t="s">
        <v>469</v>
      </c>
      <c r="C208" s="2710">
        <v>20241018</v>
      </c>
      <c r="D208" s="2711">
        <v>7.1</v>
      </c>
      <c r="E208" s="2711">
        <v>7.17</v>
      </c>
      <c r="F208" s="2711" t="s">
        <v>472</v>
      </c>
      <c r="G208" s="2719" t="s">
        <v>473</v>
      </c>
      <c r="H208" s="2713">
        <v>0.434198598044706</v>
      </c>
      <c r="I208" s="2713">
        <v>2.30589956751445</v>
      </c>
      <c r="J208" s="2714">
        <v>0.4</v>
      </c>
      <c r="K208" s="2714">
        <f t="shared" si="4"/>
        <v>3.14009816555916</v>
      </c>
      <c r="L208" s="2712" t="s">
        <v>25</v>
      </c>
      <c r="M208" s="2715"/>
    </row>
    <row r="209" s="2678" customFormat="1" spans="1:13">
      <c r="A209" s="2709"/>
      <c r="B209" s="2712" t="s">
        <v>469</v>
      </c>
      <c r="C209" s="2710"/>
      <c r="D209" s="2711"/>
      <c r="E209" s="2711"/>
      <c r="F209" s="2711"/>
      <c r="G209" s="2719" t="s">
        <v>474</v>
      </c>
      <c r="H209" s="2713">
        <v>0.417931034482759</v>
      </c>
      <c r="I209" s="2713">
        <v>1.0198943288317</v>
      </c>
      <c r="J209" s="2714">
        <v>0.4</v>
      </c>
      <c r="K209" s="2714">
        <f t="shared" si="4"/>
        <v>1.83782536331446</v>
      </c>
      <c r="L209" s="2712"/>
      <c r="M209" s="2715"/>
    </row>
    <row r="210" s="2678" customFormat="1" spans="1:13">
      <c r="A210" s="2709"/>
      <c r="B210" s="2712" t="s">
        <v>379</v>
      </c>
      <c r="C210" s="2710"/>
      <c r="D210" s="2711"/>
      <c r="E210" s="2711"/>
      <c r="F210" s="2711"/>
      <c r="G210" s="2710" t="s">
        <v>396</v>
      </c>
      <c r="H210" s="2713">
        <v>0.407980295566502</v>
      </c>
      <c r="I210" s="2713">
        <v>2.18916256157635</v>
      </c>
      <c r="J210" s="2714">
        <v>0.2</v>
      </c>
      <c r="K210" s="2714">
        <f t="shared" si="4"/>
        <v>2.79714285714285</v>
      </c>
      <c r="L210" s="2712"/>
      <c r="M210" s="2715"/>
    </row>
    <row r="211" s="2678" customFormat="1" spans="1:13">
      <c r="A211" s="2709"/>
      <c r="B211" s="2712" t="s">
        <v>469</v>
      </c>
      <c r="C211" s="2710"/>
      <c r="D211" s="2711"/>
      <c r="E211" s="2711"/>
      <c r="F211" s="2711"/>
      <c r="G211" s="2719" t="s">
        <v>475</v>
      </c>
      <c r="H211" s="2713">
        <v>0.806009852216748</v>
      </c>
      <c r="I211" s="2713">
        <v>6.14102744546095</v>
      </c>
      <c r="J211" s="2714">
        <v>0.4</v>
      </c>
      <c r="K211" s="2714">
        <f t="shared" si="4"/>
        <v>7.3470372976777</v>
      </c>
      <c r="L211" s="2711" t="s">
        <v>476</v>
      </c>
      <c r="M211" s="2715"/>
    </row>
    <row r="212" s="2678" customFormat="1" spans="1:13">
      <c r="A212" s="2709"/>
      <c r="B212" s="2712" t="s">
        <v>379</v>
      </c>
      <c r="C212" s="2710"/>
      <c r="D212" s="2711"/>
      <c r="E212" s="2711"/>
      <c r="F212" s="2711"/>
      <c r="G212" s="2719" t="s">
        <v>402</v>
      </c>
      <c r="H212" s="2713">
        <v>0.36663</v>
      </c>
      <c r="I212" s="2713">
        <v>1.40438095238095</v>
      </c>
      <c r="J212" s="2714">
        <v>0.2</v>
      </c>
      <c r="K212" s="2714">
        <f t="shared" si="4"/>
        <v>1.97101095238095</v>
      </c>
      <c r="L212" s="2712"/>
      <c r="M212" s="2715"/>
    </row>
    <row r="213" s="2678" customFormat="1" spans="1:13">
      <c r="A213" s="2709"/>
      <c r="B213" s="2712" t="s">
        <v>469</v>
      </c>
      <c r="C213" s="2710"/>
      <c r="D213" s="2711"/>
      <c r="E213" s="2711"/>
      <c r="F213" s="2711"/>
      <c r="G213" s="2719" t="s">
        <v>477</v>
      </c>
      <c r="H213" s="2713">
        <v>0.2393094</v>
      </c>
      <c r="I213" s="2713">
        <v>1.47536952380952</v>
      </c>
      <c r="J213" s="2714">
        <v>0.2</v>
      </c>
      <c r="K213" s="2714">
        <f t="shared" si="4"/>
        <v>1.91467892380952</v>
      </c>
      <c r="L213" s="2712"/>
      <c r="M213" s="2715"/>
    </row>
    <row r="214" s="2677" customFormat="1" ht="13.2" spans="1:13">
      <c r="A214" s="2709"/>
      <c r="B214" s="2712" t="s">
        <v>478</v>
      </c>
      <c r="C214" s="2710"/>
      <c r="D214" s="2711"/>
      <c r="E214" s="2711"/>
      <c r="F214" s="2711"/>
      <c r="G214" s="2719" t="s">
        <v>479</v>
      </c>
      <c r="H214" s="2713">
        <v>0.303</v>
      </c>
      <c r="I214" s="2713">
        <v>0.875333333333334</v>
      </c>
      <c r="J214" s="2714">
        <v>0.2</v>
      </c>
      <c r="K214" s="2714">
        <f t="shared" si="4"/>
        <v>1.37833333333333</v>
      </c>
      <c r="L214" s="2712"/>
      <c r="M214" s="2715" t="s">
        <v>1406</v>
      </c>
    </row>
    <row r="215" s="2677" customFormat="1" spans="1:13">
      <c r="A215" s="2709"/>
      <c r="B215" s="2712" t="s">
        <v>478</v>
      </c>
      <c r="C215" s="2710"/>
      <c r="D215" s="2711"/>
      <c r="E215" s="2711"/>
      <c r="F215" s="2711"/>
      <c r="G215" s="2719" t="s">
        <v>480</v>
      </c>
      <c r="H215" s="2713">
        <v>0.302229277563554</v>
      </c>
      <c r="I215" s="2713">
        <v>0.784479535374852</v>
      </c>
      <c r="J215" s="2714">
        <v>0.2</v>
      </c>
      <c r="K215" s="2714">
        <f t="shared" si="4"/>
        <v>1.28670881293841</v>
      </c>
      <c r="L215" s="2712"/>
      <c r="M215" s="2715" t="s">
        <v>1406</v>
      </c>
    </row>
    <row r="216" s="2677" customFormat="1" spans="1:13">
      <c r="A216" s="2709"/>
      <c r="B216" s="2712" t="s">
        <v>478</v>
      </c>
      <c r="C216" s="2710"/>
      <c r="D216" s="2711"/>
      <c r="E216" s="2711"/>
      <c r="F216" s="2711"/>
      <c r="G216" s="2719" t="s">
        <v>481</v>
      </c>
      <c r="H216" s="2713">
        <v>0.0404</v>
      </c>
      <c r="I216" s="2713">
        <v>0.0707</v>
      </c>
      <c r="J216" s="2714">
        <v>0.07</v>
      </c>
      <c r="K216" s="2714">
        <f t="shared" si="4"/>
        <v>0.1811</v>
      </c>
      <c r="L216" s="2736"/>
      <c r="M216" s="2715" t="s">
        <v>1406</v>
      </c>
    </row>
    <row r="217" s="2677" customFormat="1" spans="1:13">
      <c r="A217" s="2709"/>
      <c r="B217" s="2712" t="s">
        <v>478</v>
      </c>
      <c r="C217" s="2710">
        <v>20241114</v>
      </c>
      <c r="D217" s="2711">
        <v>7.2</v>
      </c>
      <c r="E217" s="2711">
        <v>7.17</v>
      </c>
      <c r="F217" s="2711" t="s">
        <v>482</v>
      </c>
      <c r="G217" s="2711" t="s">
        <v>483</v>
      </c>
      <c r="H217" s="2713">
        <v>0.42852309352125</v>
      </c>
      <c r="I217" s="2713">
        <v>0.681276362576166</v>
      </c>
      <c r="J217" s="2714">
        <v>0.2</v>
      </c>
      <c r="K217" s="2714">
        <f t="shared" si="4"/>
        <v>1.30979945609742</v>
      </c>
      <c r="L217" s="2736" t="s">
        <v>484</v>
      </c>
      <c r="M217" s="2715"/>
    </row>
    <row r="218" s="2677" customFormat="1" spans="1:13">
      <c r="A218" s="2709"/>
      <c r="B218" s="2712" t="s">
        <v>478</v>
      </c>
      <c r="C218" s="2710">
        <v>20240510</v>
      </c>
      <c r="D218" s="2711">
        <v>7.22</v>
      </c>
      <c r="E218" s="2711">
        <v>7.17</v>
      </c>
      <c r="F218" s="2711" t="s">
        <v>485</v>
      </c>
      <c r="G218" s="2719" t="s">
        <v>486</v>
      </c>
      <c r="H218" s="2713">
        <v>0.426152292572602</v>
      </c>
      <c r="I218" s="2713">
        <v>0.680011571416583</v>
      </c>
      <c r="J218" s="2714">
        <v>0.2</v>
      </c>
      <c r="K218" s="2714">
        <f t="shared" si="4"/>
        <v>1.30616386398919</v>
      </c>
      <c r="L218" s="2736"/>
      <c r="M218" s="2715"/>
    </row>
    <row r="219" s="2678" customFormat="1" ht="15" customHeight="1" spans="1:13">
      <c r="A219" s="2709"/>
      <c r="B219" s="2712" t="s">
        <v>478</v>
      </c>
      <c r="C219" s="2710"/>
      <c r="D219" s="2711"/>
      <c r="E219" s="2711"/>
      <c r="F219" s="2711"/>
      <c r="G219" s="2719" t="s">
        <v>487</v>
      </c>
      <c r="H219" s="2713">
        <v>0.378007702616234</v>
      </c>
      <c r="I219" s="2713">
        <v>0.65575614510256</v>
      </c>
      <c r="J219" s="2725">
        <v>0.2</v>
      </c>
      <c r="K219" s="2714">
        <f t="shared" si="4"/>
        <v>1.23376384771879</v>
      </c>
      <c r="L219" s="2710"/>
      <c r="M219" s="2715" t="s">
        <v>1406</v>
      </c>
    </row>
    <row r="220" s="2678" customFormat="1" ht="15" customHeight="1" spans="1:13">
      <c r="A220" s="2709"/>
      <c r="B220" s="2712" t="s">
        <v>478</v>
      </c>
      <c r="C220" s="2710">
        <v>20250418</v>
      </c>
      <c r="D220" s="2711">
        <v>7.31</v>
      </c>
      <c r="E220" s="2711">
        <v>7.17</v>
      </c>
      <c r="F220" s="2711"/>
      <c r="G220" s="2719" t="s">
        <v>488</v>
      </c>
      <c r="H220" s="2713">
        <v>0.487586206896552</v>
      </c>
      <c r="I220" s="2713">
        <v>2.09137386697699</v>
      </c>
      <c r="J220" s="2714">
        <v>0.4</v>
      </c>
      <c r="K220" s="2714">
        <f t="shared" si="4"/>
        <v>2.97896007387354</v>
      </c>
      <c r="L220" s="2710" t="s">
        <v>25</v>
      </c>
      <c r="M220" s="2715" t="s">
        <v>1406</v>
      </c>
    </row>
    <row r="221" s="2677" customFormat="1" spans="1:13">
      <c r="A221" s="2709"/>
      <c r="B221" s="2712" t="s">
        <v>478</v>
      </c>
      <c r="C221" s="2710">
        <v>20240606</v>
      </c>
      <c r="D221" s="2711">
        <v>7.25</v>
      </c>
      <c r="E221" s="2711">
        <v>7.17</v>
      </c>
      <c r="F221" s="2711" t="s">
        <v>489</v>
      </c>
      <c r="G221" s="2719" t="s">
        <v>490</v>
      </c>
      <c r="H221" s="2713">
        <v>0.521615902349711</v>
      </c>
      <c r="I221" s="2713">
        <v>0.847443832967818</v>
      </c>
      <c r="J221" s="2714">
        <v>0.2</v>
      </c>
      <c r="K221" s="2714">
        <f t="shared" si="4"/>
        <v>1.56905973531753</v>
      </c>
      <c r="L221" s="2736" t="s">
        <v>435</v>
      </c>
      <c r="M221" s="2715"/>
    </row>
    <row r="222" s="2677" customFormat="1" spans="1:13">
      <c r="A222" s="2709"/>
      <c r="B222" s="2712" t="s">
        <v>491</v>
      </c>
      <c r="C222" s="2710">
        <v>20240513</v>
      </c>
      <c r="D222" s="2711">
        <v>7.24</v>
      </c>
      <c r="E222" s="2711">
        <v>7.17</v>
      </c>
      <c r="F222" s="2711" t="s">
        <v>492</v>
      </c>
      <c r="G222" s="2719" t="s">
        <v>493</v>
      </c>
      <c r="H222" s="2713">
        <v>0.357737997478656</v>
      </c>
      <c r="I222" s="2713">
        <v>2.30911365296144</v>
      </c>
      <c r="J222" s="2714">
        <v>0.4</v>
      </c>
      <c r="K222" s="2714">
        <f t="shared" si="4"/>
        <v>3.0668516504401</v>
      </c>
      <c r="L222" s="2736"/>
      <c r="M222" s="2715"/>
    </row>
    <row r="223" s="2677" customFormat="1" spans="1:13">
      <c r="A223" s="2709"/>
      <c r="B223" s="2712" t="s">
        <v>491</v>
      </c>
      <c r="C223" s="2765">
        <v>20250822</v>
      </c>
      <c r="D223" s="2711">
        <v>7.17</v>
      </c>
      <c r="E223" s="2711">
        <v>7.17</v>
      </c>
      <c r="F223" s="2711" t="s">
        <v>494</v>
      </c>
      <c r="G223" s="2719" t="s">
        <v>495</v>
      </c>
      <c r="H223" s="2713">
        <v>0.386443020945187</v>
      </c>
      <c r="I223" s="2713">
        <v>2.29331341966362</v>
      </c>
      <c r="J223" s="2714">
        <v>0.4</v>
      </c>
      <c r="K223" s="2714">
        <f t="shared" si="4"/>
        <v>3.07975644060881</v>
      </c>
      <c r="L223" s="2736" t="s">
        <v>496</v>
      </c>
      <c r="M223" s="2715"/>
    </row>
    <row r="224" s="2677" customFormat="1" spans="1:13">
      <c r="A224" s="2709"/>
      <c r="B224" s="2712" t="s">
        <v>497</v>
      </c>
      <c r="C224" s="2710"/>
      <c r="D224" s="2711"/>
      <c r="E224" s="2711"/>
      <c r="F224" s="2711"/>
      <c r="G224" s="2719" t="s">
        <v>498</v>
      </c>
      <c r="H224" s="2713">
        <v>0.8383</v>
      </c>
      <c r="I224" s="2713">
        <v>4.7066</v>
      </c>
      <c r="J224" s="2714">
        <v>0.4</v>
      </c>
      <c r="K224" s="2714">
        <f t="shared" si="4"/>
        <v>5.9449</v>
      </c>
      <c r="L224" s="2712" t="s">
        <v>499</v>
      </c>
      <c r="M224" s="2715" t="s">
        <v>1406</v>
      </c>
    </row>
    <row r="225" s="2677" customFormat="1" spans="1:14">
      <c r="A225" s="2709"/>
      <c r="B225" s="2712" t="s">
        <v>497</v>
      </c>
      <c r="C225" s="2710"/>
      <c r="D225" s="2711"/>
      <c r="E225" s="2711"/>
      <c r="F225" s="2711"/>
      <c r="G225" s="2719" t="s">
        <v>500</v>
      </c>
      <c r="H225" s="2713">
        <v>0.8383</v>
      </c>
      <c r="I225" s="2713">
        <v>4.6965</v>
      </c>
      <c r="J225" s="2714">
        <v>0.4</v>
      </c>
      <c r="K225" s="2714">
        <f t="shared" si="4"/>
        <v>5.9348</v>
      </c>
      <c r="L225" s="2712" t="s">
        <v>499</v>
      </c>
      <c r="M225" s="2715" t="s">
        <v>1406</v>
      </c>
    </row>
    <row r="226" s="2677" customFormat="1" spans="1:14">
      <c r="A226" s="2709"/>
      <c r="B226" s="2712" t="s">
        <v>497</v>
      </c>
      <c r="C226" s="2710"/>
      <c r="D226" s="2711"/>
      <c r="E226" s="2711"/>
      <c r="F226" s="2711"/>
      <c r="G226" s="2719" t="s">
        <v>501</v>
      </c>
      <c r="H226" s="2713">
        <v>0.407980295566502</v>
      </c>
      <c r="I226" s="2713">
        <v>1.25379310344828</v>
      </c>
      <c r="J226" s="2714">
        <v>0.2</v>
      </c>
      <c r="K226" s="2714">
        <f t="shared" si="4"/>
        <v>1.86177339901478</v>
      </c>
      <c r="L226" s="2712"/>
      <c r="M226" s="2715" t="s">
        <v>1406</v>
      </c>
    </row>
    <row r="227" s="2677" customFormat="1" spans="1:14">
      <c r="A227" s="2709"/>
      <c r="B227" s="2712" t="s">
        <v>497</v>
      </c>
      <c r="C227" s="2710"/>
      <c r="D227" s="2711"/>
      <c r="E227" s="2711"/>
      <c r="F227" s="2711"/>
      <c r="G227" s="2719" t="s">
        <v>502</v>
      </c>
      <c r="H227" s="2713">
        <v>0.497536945812808</v>
      </c>
      <c r="I227" s="2713">
        <v>5.25399014778325</v>
      </c>
      <c r="J227" s="2714">
        <v>0.4</v>
      </c>
      <c r="K227" s="2714">
        <f t="shared" si="4"/>
        <v>6.15152709359606</v>
      </c>
      <c r="L227" s="2712"/>
      <c r="M227" s="2715" t="s">
        <v>1406</v>
      </c>
    </row>
    <row r="228" s="2677" customFormat="1" spans="1:14">
      <c r="A228" s="2709"/>
      <c r="B228" s="2712" t="s">
        <v>497</v>
      </c>
      <c r="C228" s="2710"/>
      <c r="D228" s="2711"/>
      <c r="E228" s="2711"/>
      <c r="F228" s="2711"/>
      <c r="G228" s="2719" t="s">
        <v>503</v>
      </c>
      <c r="H228" s="2713">
        <v>0.417931034482759</v>
      </c>
      <c r="I228" s="2713">
        <v>1.21399014778325</v>
      </c>
      <c r="J228" s="2714">
        <v>0.4</v>
      </c>
      <c r="K228" s="2714">
        <f t="shared" si="4"/>
        <v>2.03192118226601</v>
      </c>
      <c r="L228" s="2712"/>
      <c r="M228" s="2715" t="s">
        <v>1406</v>
      </c>
    </row>
    <row r="229" s="2677" customFormat="1" spans="1:14">
      <c r="A229" s="2709"/>
      <c r="B229" s="2712" t="s">
        <v>497</v>
      </c>
      <c r="C229" s="2710">
        <v>20250528</v>
      </c>
      <c r="D229" s="2711"/>
      <c r="E229" s="2711">
        <v>7.17</v>
      </c>
      <c r="F229" s="2711" t="s">
        <v>504</v>
      </c>
      <c r="G229" s="2719" t="s">
        <v>505</v>
      </c>
      <c r="H229" s="2713">
        <v>0.543513410103553</v>
      </c>
      <c r="I229" s="2713">
        <v>0.578844392748843</v>
      </c>
      <c r="J229" s="2714">
        <v>0.2</v>
      </c>
      <c r="K229" s="2714">
        <f t="shared" si="4"/>
        <v>1.3223578028524</v>
      </c>
      <c r="L229" s="2766"/>
      <c r="M229" s="2701"/>
      <c r="N229" s="2715" t="s">
        <v>1406</v>
      </c>
    </row>
    <row r="230" s="2677" customFormat="1" spans="1:14">
      <c r="A230" s="2709"/>
      <c r="B230" s="2712" t="s">
        <v>506</v>
      </c>
      <c r="C230" s="2710"/>
      <c r="D230" s="2711"/>
      <c r="E230" s="2711"/>
      <c r="F230" s="2711"/>
      <c r="G230" s="2719" t="s">
        <v>507</v>
      </c>
      <c r="H230" s="2713">
        <v>0.5252</v>
      </c>
      <c r="I230" s="2713">
        <v>2.9593</v>
      </c>
      <c r="J230" s="2714">
        <v>0.4</v>
      </c>
      <c r="K230" s="2714">
        <f t="shared" si="4"/>
        <v>3.8845</v>
      </c>
      <c r="L230" s="2712" t="s">
        <v>25</v>
      </c>
      <c r="M230" s="2715" t="s">
        <v>1406</v>
      </c>
    </row>
    <row r="231" s="2677" customFormat="1" spans="1:14">
      <c r="A231" s="2709"/>
      <c r="B231" s="2712" t="s">
        <v>506</v>
      </c>
      <c r="C231" s="2710"/>
      <c r="D231" s="2711"/>
      <c r="E231" s="2711"/>
      <c r="F231" s="2711"/>
      <c r="G231" s="2719" t="s">
        <v>508</v>
      </c>
      <c r="H231" s="2713">
        <v>0.0298522167487685</v>
      </c>
      <c r="I231" s="2713">
        <v>0.0497536945812808</v>
      </c>
      <c r="J231" s="2714">
        <v>0.4</v>
      </c>
      <c r="K231" s="2714">
        <f t="shared" si="4"/>
        <v>0.479605911330049</v>
      </c>
      <c r="L231" s="2712"/>
      <c r="M231" s="2715" t="s">
        <v>1406</v>
      </c>
    </row>
    <row r="232" s="2677" customFormat="1" spans="1:14">
      <c r="A232" s="2709"/>
      <c r="B232" s="2712" t="s">
        <v>506</v>
      </c>
      <c r="C232" s="2710"/>
      <c r="D232" s="2711"/>
      <c r="E232" s="2711"/>
      <c r="F232" s="2711"/>
      <c r="G232" s="2719" t="s">
        <v>509</v>
      </c>
      <c r="H232" s="2713">
        <v>0.626896551724138</v>
      </c>
      <c r="I232" s="2713">
        <v>3.0648275862069</v>
      </c>
      <c r="J232" s="2714">
        <v>0.4</v>
      </c>
      <c r="K232" s="2714">
        <f t="shared" si="4"/>
        <v>4.09172413793104</v>
      </c>
      <c r="L232" s="2712" t="s">
        <v>25</v>
      </c>
      <c r="M232" s="2715" t="s">
        <v>1406</v>
      </c>
    </row>
    <row r="233" s="2677" customFormat="1" spans="1:14">
      <c r="A233" s="2709"/>
      <c r="B233" s="2712" t="s">
        <v>506</v>
      </c>
      <c r="C233" s="2710"/>
      <c r="D233" s="2711"/>
      <c r="E233" s="2711"/>
      <c r="F233" s="2711"/>
      <c r="G233" s="2719" t="s">
        <v>510</v>
      </c>
      <c r="H233" s="2713">
        <v>0.507487684729064</v>
      </c>
      <c r="I233" s="2713">
        <v>2.20906403940887</v>
      </c>
      <c r="J233" s="2714">
        <v>0.4</v>
      </c>
      <c r="K233" s="2714">
        <f t="shared" si="4"/>
        <v>3.11655172413793</v>
      </c>
      <c r="L233" s="2712" t="s">
        <v>25</v>
      </c>
      <c r="M233" s="2715" t="s">
        <v>1406</v>
      </c>
    </row>
    <row r="234" s="2677" customFormat="1" spans="1:14">
      <c r="A234" s="2709"/>
      <c r="B234" s="2712" t="s">
        <v>506</v>
      </c>
      <c r="C234" s="2710"/>
      <c r="D234" s="2711"/>
      <c r="E234" s="2711"/>
      <c r="F234" s="2711"/>
      <c r="G234" s="2719" t="s">
        <v>511</v>
      </c>
      <c r="H234" s="2713">
        <v>0.417931034482759</v>
      </c>
      <c r="I234" s="2713">
        <v>0.786108374384237</v>
      </c>
      <c r="J234" s="2714">
        <v>0.2</v>
      </c>
      <c r="K234" s="2714">
        <f t="shared" si="4"/>
        <v>1.404039408867</v>
      </c>
      <c r="L234" s="2712"/>
      <c r="M234" s="2715" t="s">
        <v>1406</v>
      </c>
    </row>
    <row r="235" s="2677" customFormat="1" spans="1:14">
      <c r="A235" s="2709"/>
      <c r="B235" s="2712" t="s">
        <v>506</v>
      </c>
      <c r="C235" s="2710"/>
      <c r="D235" s="2711"/>
      <c r="E235" s="2711"/>
      <c r="F235" s="2711"/>
      <c r="G235" s="2719" t="s">
        <v>512</v>
      </c>
      <c r="H235" s="2713">
        <v>0.417931034482759</v>
      </c>
      <c r="I235" s="2713">
        <v>1.27938071780437</v>
      </c>
      <c r="J235" s="2714">
        <v>0.2</v>
      </c>
      <c r="K235" s="2714">
        <f t="shared" si="4"/>
        <v>1.89731175228713</v>
      </c>
      <c r="L235" s="2712"/>
      <c r="M235" s="2715" t="s">
        <v>1406</v>
      </c>
    </row>
    <row r="236" s="2677" customFormat="1" spans="1:14">
      <c r="A236" s="2709"/>
      <c r="B236" s="2712" t="s">
        <v>506</v>
      </c>
      <c r="C236" s="2710"/>
      <c r="D236" s="2711"/>
      <c r="E236" s="2711"/>
      <c r="F236" s="2711"/>
      <c r="G236" s="2719" t="s">
        <v>513</v>
      </c>
      <c r="H236" s="2713">
        <v>0.398029556650246</v>
      </c>
      <c r="I236" s="2713">
        <v>0.91925873797795</v>
      </c>
      <c r="J236" s="2714">
        <v>0.4</v>
      </c>
      <c r="K236" s="2714">
        <f t="shared" si="4"/>
        <v>1.7172882946282</v>
      </c>
      <c r="L236" s="2712"/>
      <c r="M236" s="2715" t="s">
        <v>1406</v>
      </c>
    </row>
    <row r="237" s="2677" customFormat="1" spans="1:14">
      <c r="A237" s="2709"/>
      <c r="B237" s="2712" t="s">
        <v>506</v>
      </c>
      <c r="C237" s="2710"/>
      <c r="D237" s="2711"/>
      <c r="E237" s="2711"/>
      <c r="F237" s="2711"/>
      <c r="G237" s="2719" t="s">
        <v>514</v>
      </c>
      <c r="H237" s="2713">
        <v>0.4242</v>
      </c>
      <c r="I237" s="2713">
        <v>0.884952380952381</v>
      </c>
      <c r="J237" s="2714">
        <v>0.2</v>
      </c>
      <c r="K237" s="2714">
        <f t="shared" si="4"/>
        <v>1.50915238095238</v>
      </c>
      <c r="L237" s="2712"/>
      <c r="M237" s="2715" t="s">
        <v>1406</v>
      </c>
    </row>
    <row r="238" s="2677" customFormat="1" spans="1:14">
      <c r="A238" s="2709"/>
      <c r="B238" s="2712" t="s">
        <v>506</v>
      </c>
      <c r="C238" s="2710"/>
      <c r="D238" s="2711"/>
      <c r="E238" s="2711"/>
      <c r="F238" s="2711"/>
      <c r="G238" s="2719" t="s">
        <v>515</v>
      </c>
      <c r="H238" s="2713">
        <v>0.4848</v>
      </c>
      <c r="I238" s="2713">
        <v>0.961904761904762</v>
      </c>
      <c r="J238" s="2714">
        <v>0.2</v>
      </c>
      <c r="K238" s="2714">
        <f t="shared" si="4"/>
        <v>1.64670476190476</v>
      </c>
      <c r="L238" s="2712"/>
      <c r="M238" s="2715" t="s">
        <v>1406</v>
      </c>
    </row>
    <row r="239" s="2677" customFormat="1" spans="1:14">
      <c r="A239" s="2709"/>
      <c r="B239" s="2712" t="s">
        <v>506</v>
      </c>
      <c r="C239" s="2710"/>
      <c r="D239" s="2711"/>
      <c r="E239" s="2711"/>
      <c r="F239" s="2711"/>
      <c r="G239" s="2719" t="s">
        <v>516</v>
      </c>
      <c r="H239" s="2713">
        <v>0.3939</v>
      </c>
      <c r="I239" s="2713">
        <v>0.961904761904762</v>
      </c>
      <c r="J239" s="2714">
        <v>0.2</v>
      </c>
      <c r="K239" s="2714">
        <f t="shared" si="4"/>
        <v>1.55580476190476</v>
      </c>
      <c r="L239" s="2712"/>
      <c r="M239" s="2715" t="s">
        <v>1406</v>
      </c>
    </row>
    <row r="240" s="2677" customFormat="1" spans="1:14">
      <c r="A240" s="2709"/>
      <c r="B240" s="2712" t="s">
        <v>506</v>
      </c>
      <c r="C240" s="2710"/>
      <c r="D240" s="2711"/>
      <c r="E240" s="2711"/>
      <c r="F240" s="2711"/>
      <c r="G240" s="2719" t="s">
        <v>517</v>
      </c>
      <c r="H240" s="2713">
        <v>0.4848</v>
      </c>
      <c r="I240" s="2713">
        <v>1.07733333333334</v>
      </c>
      <c r="J240" s="2714">
        <v>0.2</v>
      </c>
      <c r="K240" s="2714">
        <f t="shared" si="4"/>
        <v>1.76213333333334</v>
      </c>
      <c r="L240" s="2712"/>
      <c r="M240" s="2715" t="s">
        <v>1406</v>
      </c>
    </row>
    <row r="241" s="2677" customFormat="1" spans="1:13">
      <c r="A241" s="2709"/>
      <c r="B241" s="2712" t="s">
        <v>506</v>
      </c>
      <c r="C241" s="2710"/>
      <c r="D241" s="2711"/>
      <c r="E241" s="2711"/>
      <c r="F241" s="2711"/>
      <c r="G241" s="2719" t="s">
        <v>518</v>
      </c>
      <c r="H241" s="2713">
        <v>0.0258325234027316</v>
      </c>
      <c r="I241" s="2713">
        <v>2.787726347835</v>
      </c>
      <c r="J241" s="2714">
        <v>0.4</v>
      </c>
      <c r="K241" s="2714">
        <f t="shared" si="4"/>
        <v>3.21355887123773</v>
      </c>
      <c r="L241" s="2712" t="s">
        <v>25</v>
      </c>
      <c r="M241" s="2715" t="s">
        <v>1406</v>
      </c>
    </row>
    <row r="242" s="2677" customFormat="1" spans="1:13">
      <c r="A242" s="2709"/>
      <c r="B242" s="2712" t="s">
        <v>506</v>
      </c>
      <c r="C242" s="2710">
        <v>20240829</v>
      </c>
      <c r="D242" s="2711">
        <v>7.12</v>
      </c>
      <c r="E242" s="2711">
        <v>7.17</v>
      </c>
      <c r="F242" s="2711" t="s">
        <v>519</v>
      </c>
      <c r="G242" s="2719" t="s">
        <v>520</v>
      </c>
      <c r="H242" s="2713">
        <v>0.399541608617397</v>
      </c>
      <c r="I242" s="2713">
        <v>0.634564204984268</v>
      </c>
      <c r="J242" s="2714">
        <v>0.2</v>
      </c>
      <c r="K242" s="2714">
        <f t="shared" si="4"/>
        <v>1.23410581360166</v>
      </c>
      <c r="L242" s="2712"/>
      <c r="M242" s="2715"/>
    </row>
    <row r="243" s="2677" customFormat="1" spans="1:13">
      <c r="A243" s="2709"/>
      <c r="B243" s="2712" t="s">
        <v>506</v>
      </c>
      <c r="C243" s="2710">
        <v>20240829</v>
      </c>
      <c r="D243" s="2711">
        <v>7.12</v>
      </c>
      <c r="E243" s="2711">
        <v>7.17</v>
      </c>
      <c r="F243" s="2711" t="s">
        <v>521</v>
      </c>
      <c r="G243" s="2719" t="s">
        <v>522</v>
      </c>
      <c r="H243" s="2713">
        <v>0.532292530190275</v>
      </c>
      <c r="I243" s="2713">
        <v>2.49605076156623</v>
      </c>
      <c r="J243" s="2714">
        <v>0.2</v>
      </c>
      <c r="K243" s="2714">
        <f t="shared" si="4"/>
        <v>3.2283432917565</v>
      </c>
      <c r="L243" s="2712" t="s">
        <v>25</v>
      </c>
      <c r="M243" s="2715"/>
    </row>
    <row r="244" s="2677" customFormat="1" spans="1:13">
      <c r="A244" s="2709"/>
      <c r="B244" s="2712" t="s">
        <v>506</v>
      </c>
      <c r="C244" s="2710">
        <v>20240829</v>
      </c>
      <c r="D244" s="2711">
        <v>7.25</v>
      </c>
      <c r="E244" s="2711">
        <v>7.17</v>
      </c>
      <c r="F244" s="2711" t="s">
        <v>523</v>
      </c>
      <c r="G244" s="2719" t="s">
        <v>524</v>
      </c>
      <c r="H244" s="2713">
        <v>0.0476872242543344</v>
      </c>
      <c r="I244" s="2713">
        <v>0.042293065202503</v>
      </c>
      <c r="J244" s="2714">
        <v>0.2</v>
      </c>
      <c r="K244" s="2714">
        <f t="shared" si="4"/>
        <v>0.289980289456837</v>
      </c>
      <c r="L244" s="2712"/>
      <c r="M244" s="2715"/>
    </row>
    <row r="245" s="2677" customFormat="1" spans="1:13">
      <c r="A245" s="2709"/>
      <c r="B245" s="2712" t="s">
        <v>506</v>
      </c>
      <c r="C245" s="2710">
        <v>20240906</v>
      </c>
      <c r="D245" s="2711">
        <v>7.25</v>
      </c>
      <c r="E245" s="2711">
        <v>7.17</v>
      </c>
      <c r="F245" s="2711" t="s">
        <v>525</v>
      </c>
      <c r="G245" s="2712" t="s">
        <v>526</v>
      </c>
      <c r="H245" s="2713">
        <v>0.0248607536329485</v>
      </c>
      <c r="I245" s="2713">
        <v>0.0358457105889534</v>
      </c>
      <c r="J245" s="2714">
        <v>0.2</v>
      </c>
      <c r="K245" s="2714">
        <f t="shared" si="4"/>
        <v>0.260706464221902</v>
      </c>
      <c r="L245" s="2767"/>
      <c r="M245" s="2715"/>
    </row>
    <row r="246" s="2677" customFormat="1" ht="13.2" spans="1:13">
      <c r="A246" s="2709"/>
      <c r="B246" s="2712" t="s">
        <v>506</v>
      </c>
      <c r="C246" s="2710">
        <v>20240906</v>
      </c>
      <c r="D246" s="2711">
        <v>7.11</v>
      </c>
      <c r="E246" s="2711">
        <v>7.17</v>
      </c>
      <c r="F246" s="2711" t="s">
        <v>527</v>
      </c>
      <c r="G246" s="2719" t="s">
        <v>528</v>
      </c>
      <c r="H246" s="2713">
        <v>0.457793542815278</v>
      </c>
      <c r="I246" s="2713">
        <v>1.86799624242251</v>
      </c>
      <c r="J246" s="2714">
        <v>0.4</v>
      </c>
      <c r="K246" s="2714">
        <f t="shared" si="4"/>
        <v>2.72578978523779</v>
      </c>
      <c r="L246" s="228" t="s">
        <v>444</v>
      </c>
      <c r="M246" s="2715"/>
    </row>
    <row r="247" s="2677" customFormat="1" ht="13.2" spans="1:13">
      <c r="A247" s="2709"/>
      <c r="B247" s="2712" t="s">
        <v>506</v>
      </c>
      <c r="C247" s="2710">
        <v>20241127</v>
      </c>
      <c r="D247" s="2711">
        <v>7.25</v>
      </c>
      <c r="E247" s="2711">
        <v>7.17</v>
      </c>
      <c r="F247" s="2711" t="s">
        <v>529</v>
      </c>
      <c r="G247" s="2719" t="s">
        <v>530</v>
      </c>
      <c r="H247" s="2713">
        <v>0.499400441297592</v>
      </c>
      <c r="I247" s="2713">
        <v>0.810589832495083</v>
      </c>
      <c r="J247" s="2714">
        <v>0.2</v>
      </c>
      <c r="K247" s="2714">
        <f t="shared" si="4"/>
        <v>1.50999027379267</v>
      </c>
      <c r="L247" s="228" t="s">
        <v>531</v>
      </c>
      <c r="M247" s="2715"/>
    </row>
    <row r="248" s="2677" customFormat="1" ht="13.2" spans="1:13">
      <c r="A248" s="2709"/>
      <c r="B248" s="2712" t="s">
        <v>506</v>
      </c>
      <c r="C248" s="2710">
        <v>20240929</v>
      </c>
      <c r="D248" s="2711">
        <v>7.25</v>
      </c>
      <c r="E248" s="2711">
        <v>7.17</v>
      </c>
      <c r="F248" s="2711" t="s">
        <v>532</v>
      </c>
      <c r="G248" s="2719" t="s">
        <v>533</v>
      </c>
      <c r="H248" s="2713">
        <v>0.507941452079063</v>
      </c>
      <c r="I248" s="2713">
        <v>2.10200662619384</v>
      </c>
      <c r="J248" s="2714">
        <v>0.4</v>
      </c>
      <c r="K248" s="2714">
        <f t="shared" si="4"/>
        <v>3.0099480782729</v>
      </c>
      <c r="L248" s="228" t="s">
        <v>534</v>
      </c>
      <c r="M248" s="2715"/>
    </row>
    <row r="249" s="2677" customFormat="1" spans="1:13">
      <c r="A249" s="2709"/>
      <c r="B249" s="2712" t="s">
        <v>535</v>
      </c>
      <c r="C249" s="2710"/>
      <c r="D249" s="2711"/>
      <c r="E249" s="2711"/>
      <c r="F249" s="2711"/>
      <c r="G249" s="2719" t="s">
        <v>536</v>
      </c>
      <c r="H249" s="2713">
        <v>0.348275862068966</v>
      </c>
      <c r="I249" s="2713">
        <v>0.726858657156226</v>
      </c>
      <c r="J249" s="2714">
        <v>0.3</v>
      </c>
      <c r="K249" s="2714">
        <f t="shared" si="4"/>
        <v>1.37513451922519</v>
      </c>
      <c r="L249" s="2712"/>
      <c r="M249" s="2715" t="s">
        <v>1406</v>
      </c>
    </row>
    <row r="250" s="2677" customFormat="1" ht="13.2" spans="1:13">
      <c r="A250" s="2709"/>
      <c r="B250" s="2712" t="s">
        <v>537</v>
      </c>
      <c r="C250" s="2710"/>
      <c r="D250" s="2711"/>
      <c r="E250" s="2711"/>
      <c r="F250" s="2711"/>
      <c r="G250" s="2719" t="s">
        <v>538</v>
      </c>
      <c r="H250" s="2713">
        <v>0.5555</v>
      </c>
      <c r="I250" s="2713">
        <v>5.8075</v>
      </c>
      <c r="J250" s="2714">
        <v>0.4</v>
      </c>
      <c r="K250" s="2714">
        <f t="shared" si="4"/>
        <v>6.763</v>
      </c>
      <c r="L250" s="2712" t="s">
        <v>539</v>
      </c>
      <c r="M250" s="2715" t="s">
        <v>1406</v>
      </c>
    </row>
    <row r="251" s="2677" customFormat="1" spans="1:13">
      <c r="A251" s="2709"/>
      <c r="B251" s="2712" t="s">
        <v>537</v>
      </c>
      <c r="C251" s="2710">
        <v>20241028</v>
      </c>
      <c r="D251" s="2711">
        <v>7.11</v>
      </c>
      <c r="E251" s="2711">
        <v>7.17</v>
      </c>
      <c r="F251" s="2711" t="s">
        <v>540</v>
      </c>
      <c r="G251" s="2719" t="s">
        <v>541</v>
      </c>
      <c r="H251" s="2713">
        <v>0.400666285354987</v>
      </c>
      <c r="I251" s="2713">
        <v>2.1496849776258</v>
      </c>
      <c r="J251" s="2714">
        <v>0.4</v>
      </c>
      <c r="K251" s="2714">
        <f t="shared" si="4"/>
        <v>2.95035126298079</v>
      </c>
      <c r="L251" s="2712" t="s">
        <v>25</v>
      </c>
      <c r="M251" s="2715" t="s">
        <v>1406</v>
      </c>
    </row>
    <row r="252" s="2677" customFormat="1" spans="1:13">
      <c r="A252" s="2709"/>
      <c r="B252" s="2712" t="s">
        <v>537</v>
      </c>
      <c r="C252" s="2710"/>
      <c r="D252" s="2711"/>
      <c r="E252" s="2711"/>
      <c r="F252" s="2711"/>
      <c r="G252" s="2719" t="s">
        <v>542</v>
      </c>
      <c r="H252" s="2713">
        <v>0.5151</v>
      </c>
      <c r="I252" s="2713">
        <v>2.4644</v>
      </c>
      <c r="J252" s="2714">
        <v>0.4</v>
      </c>
      <c r="K252" s="2714">
        <f t="shared" si="4"/>
        <v>3.3795</v>
      </c>
      <c r="L252" s="2712" t="s">
        <v>25</v>
      </c>
      <c r="M252" s="2715" t="s">
        <v>1406</v>
      </c>
    </row>
    <row r="253" s="2677" customFormat="1" spans="1:13">
      <c r="A253" s="2709"/>
      <c r="B253" s="2712" t="s">
        <v>537</v>
      </c>
      <c r="C253" s="2710"/>
      <c r="D253" s="2711"/>
      <c r="E253" s="2711"/>
      <c r="F253" s="2711"/>
      <c r="G253" s="2719" t="s">
        <v>543</v>
      </c>
      <c r="H253" s="2713">
        <v>0.507487684729064</v>
      </c>
      <c r="I253" s="2713">
        <v>2.2422</v>
      </c>
      <c r="J253" s="2714">
        <v>0.4</v>
      </c>
      <c r="K253" s="2714">
        <f t="shared" si="4"/>
        <v>3.14968768472906</v>
      </c>
      <c r="L253" s="2712" t="s">
        <v>25</v>
      </c>
      <c r="M253" s="2715" t="s">
        <v>1406</v>
      </c>
    </row>
    <row r="254" s="2677" customFormat="1" spans="1:13">
      <c r="A254" s="2709"/>
      <c r="B254" s="2712" t="s">
        <v>537</v>
      </c>
      <c r="C254" s="2710"/>
      <c r="D254" s="2711"/>
      <c r="E254" s="2711"/>
      <c r="F254" s="2711"/>
      <c r="G254" s="2719" t="s">
        <v>544</v>
      </c>
      <c r="H254" s="2713">
        <v>0.38807881773399</v>
      </c>
      <c r="I254" s="2713">
        <v>1.76128078817734</v>
      </c>
      <c r="J254" s="2714">
        <v>0.2</v>
      </c>
      <c r="K254" s="2714">
        <f t="shared" si="4"/>
        <v>2.34935960591133</v>
      </c>
      <c r="L254" s="2712"/>
      <c r="M254" s="2715" t="s">
        <v>1406</v>
      </c>
    </row>
    <row r="255" s="2677" customFormat="1" spans="1:13">
      <c r="A255" s="2709"/>
      <c r="B255" s="2712" t="s">
        <v>537</v>
      </c>
      <c r="C255" s="2710"/>
      <c r="D255" s="2711"/>
      <c r="E255" s="2711"/>
      <c r="F255" s="2711"/>
      <c r="G255" s="2719" t="s">
        <v>545</v>
      </c>
      <c r="H255" s="2713">
        <v>0.676650246305419</v>
      </c>
      <c r="I255" s="2713">
        <v>2.92551724137931</v>
      </c>
      <c r="J255" s="2714">
        <v>0.4</v>
      </c>
      <c r="K255" s="2714">
        <f t="shared" si="4"/>
        <v>4.00216748768473</v>
      </c>
      <c r="L255" s="2712" t="s">
        <v>25</v>
      </c>
      <c r="M255" s="2715" t="s">
        <v>1406</v>
      </c>
    </row>
    <row r="256" s="2677" customFormat="1" spans="1:13">
      <c r="A256" s="2709"/>
      <c r="B256" s="2712" t="s">
        <v>537</v>
      </c>
      <c r="C256" s="2710"/>
      <c r="D256" s="2711"/>
      <c r="E256" s="2711"/>
      <c r="F256" s="2711"/>
      <c r="G256" s="2719" t="s">
        <v>546</v>
      </c>
      <c r="H256" s="2713">
        <v>0.676650246305419</v>
      </c>
      <c r="I256" s="2713">
        <v>2.90561576354679</v>
      </c>
      <c r="J256" s="2714">
        <v>0.4</v>
      </c>
      <c r="K256" s="2714">
        <f t="shared" si="4"/>
        <v>3.98226600985221</v>
      </c>
      <c r="L256" s="2712" t="s">
        <v>25</v>
      </c>
      <c r="M256" s="2715" t="s">
        <v>1406</v>
      </c>
    </row>
    <row r="257" s="2677" customFormat="1" spans="1:13">
      <c r="A257" s="2709"/>
      <c r="B257" s="2712" t="s">
        <v>537</v>
      </c>
      <c r="C257" s="2710"/>
      <c r="D257" s="2711"/>
      <c r="E257" s="2711"/>
      <c r="F257" s="2711"/>
      <c r="G257" s="2719" t="s">
        <v>547</v>
      </c>
      <c r="H257" s="2713">
        <v>0.845812807881773</v>
      </c>
      <c r="I257" s="2713">
        <v>2.80610837438424</v>
      </c>
      <c r="J257" s="2714">
        <v>0.2</v>
      </c>
      <c r="K257" s="2714">
        <f t="shared" si="4"/>
        <v>3.85192118226601</v>
      </c>
      <c r="L257" s="2712"/>
      <c r="M257" s="2715" t="s">
        <v>1406</v>
      </c>
    </row>
    <row r="258" s="2677" customFormat="1" spans="1:13">
      <c r="A258" s="2709"/>
      <c r="B258" s="2712" t="s">
        <v>537</v>
      </c>
      <c r="C258" s="2710"/>
      <c r="D258" s="2711"/>
      <c r="E258" s="2711"/>
      <c r="F258" s="2711"/>
      <c r="G258" s="2719" t="s">
        <v>548</v>
      </c>
      <c r="H258" s="2713">
        <v>0.706502463054188</v>
      </c>
      <c r="I258" s="2713">
        <v>3.41310344827587</v>
      </c>
      <c r="J258" s="2714">
        <v>0.4</v>
      </c>
      <c r="K258" s="2714">
        <f t="shared" si="4"/>
        <v>4.51960591133006</v>
      </c>
      <c r="L258" s="2712" t="s">
        <v>25</v>
      </c>
      <c r="M258" s="2715" t="s">
        <v>1406</v>
      </c>
    </row>
    <row r="259" s="2677" customFormat="1" spans="1:13">
      <c r="A259" s="2709"/>
      <c r="B259" s="2712" t="s">
        <v>537</v>
      </c>
      <c r="C259" s="2710"/>
      <c r="D259" s="2711"/>
      <c r="E259" s="2711"/>
      <c r="F259" s="2711"/>
      <c r="G259" s="2719" t="s">
        <v>549</v>
      </c>
      <c r="H259" s="2713">
        <v>0.517438423645321</v>
      </c>
      <c r="I259" s="2713">
        <v>3.97034482758621</v>
      </c>
      <c r="J259" s="2714">
        <v>0.4</v>
      </c>
      <c r="K259" s="2714">
        <f t="shared" si="4"/>
        <v>4.88778325123153</v>
      </c>
      <c r="L259" s="2712" t="s">
        <v>550</v>
      </c>
      <c r="M259" s="2715" t="s">
        <v>1406</v>
      </c>
    </row>
    <row r="260" s="2677" customFormat="1" spans="1:13">
      <c r="A260" s="2709"/>
      <c r="B260" s="2712" t="s">
        <v>537</v>
      </c>
      <c r="C260" s="2710"/>
      <c r="D260" s="2711"/>
      <c r="E260" s="2711"/>
      <c r="F260" s="2711"/>
      <c r="G260" s="2719" t="s">
        <v>551</v>
      </c>
      <c r="H260" s="2713">
        <v>0.547290640394089</v>
      </c>
      <c r="I260" s="2713">
        <v>2.85586206896552</v>
      </c>
      <c r="J260" s="2714">
        <v>0.4</v>
      </c>
      <c r="K260" s="2714">
        <f t="shared" si="4"/>
        <v>3.80315270935961</v>
      </c>
      <c r="L260" s="2712" t="s">
        <v>25</v>
      </c>
      <c r="M260" s="2715" t="s">
        <v>1406</v>
      </c>
    </row>
    <row r="261" s="2677" customFormat="1" spans="1:13">
      <c r="A261" s="2709"/>
      <c r="B261" s="2712" t="s">
        <v>537</v>
      </c>
      <c r="C261" s="2710"/>
      <c r="D261" s="2711"/>
      <c r="E261" s="2711"/>
      <c r="F261" s="2711"/>
      <c r="G261" s="2719" t="s">
        <v>552</v>
      </c>
      <c r="H261" s="2713">
        <v>0.457733990147783</v>
      </c>
      <c r="I261" s="2713">
        <v>2.69665024630542</v>
      </c>
      <c r="J261" s="2714">
        <v>0.2</v>
      </c>
      <c r="K261" s="2714">
        <f t="shared" si="4"/>
        <v>3.3543842364532</v>
      </c>
      <c r="L261" s="2712"/>
      <c r="M261" s="2715" t="s">
        <v>1406</v>
      </c>
    </row>
    <row r="262" s="2678" customFormat="1" spans="1:13">
      <c r="A262" s="2709"/>
      <c r="B262" s="2712" t="s">
        <v>379</v>
      </c>
      <c r="C262" s="2710"/>
      <c r="D262" s="2711"/>
      <c r="E262" s="2711"/>
      <c r="F262" s="2711"/>
      <c r="G262" s="2719" t="s">
        <v>386</v>
      </c>
      <c r="H262" s="2713">
        <v>0.616945812807882</v>
      </c>
      <c r="I262" s="2713">
        <v>2.20906403940887</v>
      </c>
      <c r="J262" s="2714">
        <v>0.2</v>
      </c>
      <c r="K262" s="2714">
        <f t="shared" si="4"/>
        <v>3.02600985221675</v>
      </c>
      <c r="L262" s="2712"/>
      <c r="M262" s="2715" t="s">
        <v>1406</v>
      </c>
    </row>
    <row r="263" s="2677" customFormat="1" spans="1:13">
      <c r="A263" s="2709"/>
      <c r="B263" s="2712" t="s">
        <v>537</v>
      </c>
      <c r="C263" s="2710"/>
      <c r="D263" s="2711"/>
      <c r="E263" s="2711"/>
      <c r="F263" s="2711"/>
      <c r="G263" s="2719" t="s">
        <v>553</v>
      </c>
      <c r="H263" s="2713">
        <v>0.636847290640394</v>
      </c>
      <c r="I263" s="2713">
        <v>2.21901477832512</v>
      </c>
      <c r="J263" s="2714">
        <v>0.4</v>
      </c>
      <c r="K263" s="2714">
        <f t="shared" ref="K263:K326" si="5">SUM(H263:J263)</f>
        <v>3.25586206896551</v>
      </c>
      <c r="L263" s="2712" t="s">
        <v>25</v>
      </c>
      <c r="M263" s="2715" t="s">
        <v>1406</v>
      </c>
    </row>
    <row r="264" s="2677" customFormat="1" spans="1:13">
      <c r="A264" s="2709"/>
      <c r="B264" s="2712" t="s">
        <v>537</v>
      </c>
      <c r="C264" s="2710"/>
      <c r="D264" s="2711"/>
      <c r="E264" s="2711"/>
      <c r="F264" s="2711"/>
      <c r="G264" s="2719" t="s">
        <v>554</v>
      </c>
      <c r="H264" s="2713">
        <v>0.676650246305419</v>
      </c>
      <c r="I264" s="2713">
        <v>2.95536945812808</v>
      </c>
      <c r="J264" s="2714">
        <v>0.4</v>
      </c>
      <c r="K264" s="2714">
        <f t="shared" si="5"/>
        <v>4.0320197044335</v>
      </c>
      <c r="L264" s="2712" t="s">
        <v>25</v>
      </c>
      <c r="M264" s="2715" t="s">
        <v>1406</v>
      </c>
    </row>
    <row r="265" s="2677" customFormat="1" spans="1:13">
      <c r="A265" s="2709"/>
      <c r="B265" s="2712" t="s">
        <v>537</v>
      </c>
      <c r="C265" s="2710"/>
      <c r="D265" s="2711"/>
      <c r="E265" s="2711"/>
      <c r="F265" s="2711"/>
      <c r="G265" s="2719" t="s">
        <v>555</v>
      </c>
      <c r="H265" s="2713">
        <v>0.676650246305419</v>
      </c>
      <c r="I265" s="2713">
        <v>2.91556650246305</v>
      </c>
      <c r="J265" s="2714">
        <v>0.4</v>
      </c>
      <c r="K265" s="2714">
        <f t="shared" si="5"/>
        <v>3.99221674876847</v>
      </c>
      <c r="L265" s="2712" t="s">
        <v>25</v>
      </c>
      <c r="M265" s="2715" t="s">
        <v>1406</v>
      </c>
    </row>
    <row r="266" s="2677" customFormat="1" spans="1:13">
      <c r="A266" s="2709"/>
      <c r="B266" s="2712" t="s">
        <v>537</v>
      </c>
      <c r="C266" s="2710"/>
      <c r="D266" s="2711"/>
      <c r="E266" s="2711"/>
      <c r="F266" s="2711"/>
      <c r="G266" s="2719" t="s">
        <v>556</v>
      </c>
      <c r="H266" s="2713">
        <v>0.537339901477833</v>
      </c>
      <c r="I266" s="2713">
        <v>2.89566502463055</v>
      </c>
      <c r="J266" s="2714">
        <v>0.4</v>
      </c>
      <c r="K266" s="2714">
        <f t="shared" si="5"/>
        <v>3.83300492610838</v>
      </c>
      <c r="L266" s="2712" t="s">
        <v>25</v>
      </c>
      <c r="M266" s="2715" t="s">
        <v>1406</v>
      </c>
    </row>
    <row r="267" s="2677" customFormat="1" spans="1:13">
      <c r="A267" s="2709"/>
      <c r="B267" s="2712" t="s">
        <v>469</v>
      </c>
      <c r="C267" s="2768"/>
      <c r="D267" s="176"/>
      <c r="E267" s="176"/>
      <c r="F267" s="176"/>
      <c r="G267" s="2719" t="s">
        <v>473</v>
      </c>
      <c r="H267" s="2713">
        <v>0.5151</v>
      </c>
      <c r="I267" s="2713">
        <v>3.1916</v>
      </c>
      <c r="J267" s="2714">
        <v>0.4</v>
      </c>
      <c r="K267" s="2714">
        <f t="shared" si="5"/>
        <v>4.1067</v>
      </c>
      <c r="L267" s="2712" t="s">
        <v>25</v>
      </c>
      <c r="M267" s="2715" t="s">
        <v>1406</v>
      </c>
    </row>
    <row r="268" s="2677" customFormat="1" spans="1:13">
      <c r="A268" s="2709"/>
      <c r="B268" s="2712" t="s">
        <v>537</v>
      </c>
      <c r="C268" s="2710"/>
      <c r="D268" s="2711"/>
      <c r="E268" s="2711"/>
      <c r="F268" s="2711"/>
      <c r="G268" s="2719" t="s">
        <v>557</v>
      </c>
      <c r="H268" s="2713">
        <v>0.587093596059113</v>
      </c>
      <c r="I268" s="2713">
        <v>4.82610837438424</v>
      </c>
      <c r="J268" s="2714">
        <v>0.4</v>
      </c>
      <c r="K268" s="2714">
        <f t="shared" si="5"/>
        <v>5.81320197044335</v>
      </c>
      <c r="L268" s="2712" t="s">
        <v>558</v>
      </c>
      <c r="M268" s="2715" t="s">
        <v>1406</v>
      </c>
    </row>
    <row r="269" s="2677" customFormat="1" spans="1:13">
      <c r="A269" s="2709"/>
      <c r="B269" s="2712" t="s">
        <v>537</v>
      </c>
      <c r="C269" s="2710"/>
      <c r="D269" s="2711"/>
      <c r="E269" s="2711"/>
      <c r="F269" s="2711"/>
      <c r="G269" s="2719" t="s">
        <v>559</v>
      </c>
      <c r="H269" s="2713">
        <v>0.666699507389163</v>
      </c>
      <c r="I269" s="2713">
        <v>2.92551724137931</v>
      </c>
      <c r="J269" s="2714">
        <v>0.4</v>
      </c>
      <c r="K269" s="2714">
        <f t="shared" si="5"/>
        <v>3.99221674876847</v>
      </c>
      <c r="L269" s="2712" t="s">
        <v>25</v>
      </c>
      <c r="M269" s="2715" t="s">
        <v>1406</v>
      </c>
    </row>
    <row r="270" s="2677" customFormat="1" spans="1:13">
      <c r="A270" s="2709"/>
      <c r="B270" s="2712" t="s">
        <v>537</v>
      </c>
      <c r="C270" s="2710"/>
      <c r="D270" s="2711"/>
      <c r="E270" s="2711"/>
      <c r="F270" s="2711"/>
      <c r="G270" s="2719" t="s">
        <v>560</v>
      </c>
      <c r="H270" s="2713">
        <v>0.706502463054188</v>
      </c>
      <c r="I270" s="2713">
        <v>5.11467980295567</v>
      </c>
      <c r="J270" s="2714">
        <v>0.45</v>
      </c>
      <c r="K270" s="2714">
        <f t="shared" si="5"/>
        <v>6.27118226600986</v>
      </c>
      <c r="L270" s="2712" t="s">
        <v>25</v>
      </c>
      <c r="M270" s="2715" t="s">
        <v>1406</v>
      </c>
    </row>
    <row r="271" s="2678" customFormat="1" ht="15" customHeight="1" spans="1:13">
      <c r="A271" s="2709"/>
      <c r="B271" s="2712" t="s">
        <v>537</v>
      </c>
      <c r="C271" s="2710">
        <v>20241009</v>
      </c>
      <c r="D271" s="2711">
        <v>7.11</v>
      </c>
      <c r="E271" s="2711">
        <v>7.17</v>
      </c>
      <c r="F271" s="2755" t="s">
        <v>561</v>
      </c>
      <c r="G271" s="2719" t="s">
        <v>562</v>
      </c>
      <c r="H271" s="2713">
        <v>0.316655612619263</v>
      </c>
      <c r="I271" s="2713">
        <v>1.32799416926994</v>
      </c>
      <c r="J271" s="2714">
        <v>0.2</v>
      </c>
      <c r="K271" s="2713">
        <f t="shared" si="5"/>
        <v>1.8446497818892</v>
      </c>
      <c r="L271" s="2710"/>
      <c r="M271" s="2715" t="s">
        <v>1406</v>
      </c>
    </row>
    <row r="272" s="2678" customFormat="1" ht="15" customHeight="1" spans="1:13">
      <c r="A272" s="2709"/>
      <c r="B272" s="2712" t="s">
        <v>537</v>
      </c>
      <c r="C272" s="2710"/>
      <c r="D272" s="2711"/>
      <c r="E272" s="2711"/>
      <c r="F272" s="2711"/>
      <c r="G272" s="2719" t="s">
        <v>563</v>
      </c>
      <c r="H272" s="2713">
        <v>0.875665024630542</v>
      </c>
      <c r="I272" s="2713">
        <v>5.64206896551724</v>
      </c>
      <c r="J272" s="2714">
        <v>0.4</v>
      </c>
      <c r="K272" s="2714">
        <f t="shared" si="5"/>
        <v>6.91773399014778</v>
      </c>
      <c r="L272" s="2711" t="s">
        <v>564</v>
      </c>
      <c r="M272" s="2715" t="s">
        <v>1406</v>
      </c>
    </row>
    <row r="273" s="2677" customFormat="1" spans="1:13">
      <c r="A273" s="2709"/>
      <c r="B273" s="2712" t="s">
        <v>537</v>
      </c>
      <c r="C273" s="2710"/>
      <c r="D273" s="2711"/>
      <c r="E273" s="2711"/>
      <c r="F273" s="2711"/>
      <c r="G273" s="2719" t="s">
        <v>565</v>
      </c>
      <c r="H273" s="2713">
        <v>0.716453201970443</v>
      </c>
      <c r="I273" s="2713">
        <v>4.2887684729064</v>
      </c>
      <c r="J273" s="2714">
        <v>0.4</v>
      </c>
      <c r="K273" s="2714">
        <f t="shared" si="5"/>
        <v>5.40522167487684</v>
      </c>
      <c r="L273" s="2712" t="s">
        <v>25</v>
      </c>
      <c r="M273" s="2715" t="s">
        <v>1406</v>
      </c>
    </row>
    <row r="274" s="2677" customFormat="1" spans="1:13">
      <c r="A274" s="2709"/>
      <c r="B274" s="2712" t="s">
        <v>537</v>
      </c>
      <c r="C274" s="2710"/>
      <c r="D274" s="2711"/>
      <c r="E274" s="2711"/>
      <c r="F274" s="2711"/>
      <c r="G274" s="2719" t="s">
        <v>566</v>
      </c>
      <c r="H274" s="2713">
        <v>0.5858</v>
      </c>
      <c r="I274" s="2713">
        <v>3.2017</v>
      </c>
      <c r="J274" s="2714">
        <v>0.4</v>
      </c>
      <c r="K274" s="2714">
        <f t="shared" si="5"/>
        <v>4.1875</v>
      </c>
      <c r="L274" s="2711" t="s">
        <v>567</v>
      </c>
      <c r="M274" s="2715" t="s">
        <v>1406</v>
      </c>
    </row>
    <row r="275" s="2677" customFormat="1" spans="1:13">
      <c r="A275" s="2709"/>
      <c r="B275" s="2712" t="s">
        <v>469</v>
      </c>
      <c r="C275" s="2710"/>
      <c r="D275" s="2711"/>
      <c r="E275" s="2711"/>
      <c r="F275" s="2711"/>
      <c r="G275" s="2719" t="s">
        <v>474</v>
      </c>
      <c r="H275" s="2713">
        <v>0.417931034482759</v>
      </c>
      <c r="I275" s="2713">
        <v>1.0198943288317</v>
      </c>
      <c r="J275" s="2714">
        <v>0.4</v>
      </c>
      <c r="K275" s="2714">
        <f t="shared" si="5"/>
        <v>1.83782536331446</v>
      </c>
      <c r="L275" s="2712"/>
      <c r="M275" s="2715" t="s">
        <v>1406</v>
      </c>
    </row>
    <row r="276" s="2677" customFormat="1" spans="1:13">
      <c r="A276" s="2709"/>
      <c r="B276" s="2712" t="s">
        <v>537</v>
      </c>
      <c r="C276" s="2710"/>
      <c r="D276" s="2711"/>
      <c r="E276" s="2711"/>
      <c r="F276" s="2711"/>
      <c r="G276" s="2719" t="s">
        <v>568</v>
      </c>
      <c r="H276" s="2713">
        <v>0.626896551724138</v>
      </c>
      <c r="I276" s="2713">
        <v>3.75465522826536</v>
      </c>
      <c r="J276" s="2714">
        <v>0.4</v>
      </c>
      <c r="K276" s="2714">
        <f t="shared" si="5"/>
        <v>4.7815517799895</v>
      </c>
      <c r="L276" s="2711" t="s">
        <v>567</v>
      </c>
      <c r="M276" s="2715" t="s">
        <v>1406</v>
      </c>
    </row>
    <row r="277" s="2677" customFormat="1" spans="1:13">
      <c r="A277" s="2709"/>
      <c r="B277" s="2712" t="s">
        <v>537</v>
      </c>
      <c r="C277" s="2710"/>
      <c r="D277" s="2711"/>
      <c r="E277" s="2711"/>
      <c r="F277" s="2711"/>
      <c r="G277" s="2719" t="s">
        <v>569</v>
      </c>
      <c r="H277" s="2713">
        <v>0.8383</v>
      </c>
      <c r="I277" s="2713">
        <v>6.6256</v>
      </c>
      <c r="J277" s="2714">
        <v>0.4</v>
      </c>
      <c r="K277" s="2714">
        <f t="shared" si="5"/>
        <v>7.8639</v>
      </c>
      <c r="L277" s="2712" t="s">
        <v>499</v>
      </c>
      <c r="M277" s="2715" t="s">
        <v>1406</v>
      </c>
    </row>
    <row r="278" s="2677" customFormat="1" spans="1:13">
      <c r="A278" s="2709"/>
      <c r="B278" s="2712" t="s">
        <v>537</v>
      </c>
      <c r="C278" s="2710"/>
      <c r="D278" s="2711"/>
      <c r="E278" s="2711"/>
      <c r="F278" s="2711"/>
      <c r="G278" s="2719" t="s">
        <v>570</v>
      </c>
      <c r="H278" s="2713">
        <v>0.7264039408867</v>
      </c>
      <c r="I278" s="2713">
        <v>2.09394233884031</v>
      </c>
      <c r="J278" s="2714">
        <v>0.2</v>
      </c>
      <c r="K278" s="2714">
        <f t="shared" si="5"/>
        <v>3.02034627972701</v>
      </c>
      <c r="L278" s="2712"/>
      <c r="M278" s="2715" t="s">
        <v>1406</v>
      </c>
    </row>
    <row r="279" s="2677" customFormat="1" spans="1:13">
      <c r="A279" s="2709"/>
      <c r="B279" s="2712" t="s">
        <v>537</v>
      </c>
      <c r="C279" s="2710"/>
      <c r="D279" s="2711"/>
      <c r="E279" s="2711"/>
      <c r="F279" s="2711"/>
      <c r="G279" s="2719" t="s">
        <v>571</v>
      </c>
      <c r="H279" s="2713">
        <v>0.574589127686473</v>
      </c>
      <c r="I279" s="2713">
        <v>4.17650333230088</v>
      </c>
      <c r="J279" s="2714">
        <v>0.4</v>
      </c>
      <c r="K279" s="2714">
        <f t="shared" si="5"/>
        <v>5.15109245998735</v>
      </c>
      <c r="L279" s="2711" t="s">
        <v>572</v>
      </c>
      <c r="M279" s="2715" t="s">
        <v>1406</v>
      </c>
    </row>
    <row r="280" s="2677" customFormat="1" spans="1:13">
      <c r="A280" s="2709"/>
      <c r="B280" s="2712" t="s">
        <v>469</v>
      </c>
      <c r="C280" s="2710"/>
      <c r="D280" s="2711"/>
      <c r="E280" s="2711"/>
      <c r="F280" s="2711"/>
      <c r="G280" s="2719" t="s">
        <v>471</v>
      </c>
      <c r="H280" s="2713">
        <v>0.681940347427073</v>
      </c>
      <c r="I280" s="2713">
        <v>1.57835381132891</v>
      </c>
      <c r="J280" s="2714">
        <v>0.2</v>
      </c>
      <c r="K280" s="2714">
        <f t="shared" si="5"/>
        <v>2.46029415875598</v>
      </c>
      <c r="L280" s="2712"/>
      <c r="M280" s="2715" t="s">
        <v>1406</v>
      </c>
    </row>
    <row r="281" s="2677" customFormat="1" spans="1:13">
      <c r="A281" s="2709"/>
      <c r="B281" s="2712" t="s">
        <v>537</v>
      </c>
      <c r="C281" s="2710"/>
      <c r="D281" s="2711"/>
      <c r="E281" s="2711"/>
      <c r="F281" s="2711"/>
      <c r="G281" s="2719" t="s">
        <v>573</v>
      </c>
      <c r="H281" s="2713">
        <v>0.487586206896552</v>
      </c>
      <c r="I281" s="2713">
        <v>3.65537347944104</v>
      </c>
      <c r="J281" s="2714">
        <v>0.4</v>
      </c>
      <c r="K281" s="2714">
        <f t="shared" si="5"/>
        <v>4.54295968633759</v>
      </c>
      <c r="L281" s="2711" t="s">
        <v>567</v>
      </c>
      <c r="M281" s="2715" t="s">
        <v>1406</v>
      </c>
    </row>
    <row r="282" s="2677" customFormat="1" spans="1:13">
      <c r="A282" s="2709"/>
      <c r="B282" s="2712" t="s">
        <v>537</v>
      </c>
      <c r="C282" s="2710"/>
      <c r="D282" s="2711"/>
      <c r="E282" s="2711"/>
      <c r="F282" s="2711"/>
      <c r="G282" s="2719" t="s">
        <v>574</v>
      </c>
      <c r="H282" s="2713">
        <v>0.696551724137931</v>
      </c>
      <c r="I282" s="2713">
        <v>4.9256157635468</v>
      </c>
      <c r="J282" s="2714">
        <v>0.4</v>
      </c>
      <c r="K282" s="2714">
        <f t="shared" si="5"/>
        <v>6.02216748768473</v>
      </c>
      <c r="L282" s="2711" t="s">
        <v>476</v>
      </c>
      <c r="M282" s="2715" t="s">
        <v>1406</v>
      </c>
    </row>
    <row r="283" s="2677" customFormat="1" spans="1:13">
      <c r="A283" s="2709"/>
      <c r="B283" s="2712" t="s">
        <v>537</v>
      </c>
      <c r="C283" s="2710"/>
      <c r="D283" s="2711"/>
      <c r="E283" s="2711"/>
      <c r="F283" s="2711"/>
      <c r="G283" s="2719" t="s">
        <v>575</v>
      </c>
      <c r="H283" s="2713">
        <v>0.8181</v>
      </c>
      <c r="I283" s="2713">
        <v>6.767</v>
      </c>
      <c r="J283" s="2714">
        <v>0.4</v>
      </c>
      <c r="K283" s="2714">
        <f t="shared" si="5"/>
        <v>7.9851</v>
      </c>
      <c r="L283" s="2711" t="s">
        <v>572</v>
      </c>
      <c r="M283" s="2715" t="s">
        <v>1406</v>
      </c>
    </row>
    <row r="284" s="2677" customFormat="1" spans="1:13">
      <c r="A284" s="2709"/>
      <c r="B284" s="2712" t="s">
        <v>537</v>
      </c>
      <c r="C284" s="2710">
        <v>20250218</v>
      </c>
      <c r="D284" s="2711">
        <v>7.3</v>
      </c>
      <c r="E284" s="2711">
        <v>7.17</v>
      </c>
      <c r="F284" s="2711" t="s">
        <v>576</v>
      </c>
      <c r="G284" s="2719" t="s">
        <v>577</v>
      </c>
      <c r="H284" s="2713">
        <v>0.69272846687934</v>
      </c>
      <c r="I284" s="2713">
        <v>4.70450892808863</v>
      </c>
      <c r="J284" s="2714">
        <v>0.4</v>
      </c>
      <c r="K284" s="2714">
        <f t="shared" si="5"/>
        <v>5.79723739496797</v>
      </c>
      <c r="L284" s="2711" t="s">
        <v>476</v>
      </c>
      <c r="M284" s="2715" t="s">
        <v>1406</v>
      </c>
    </row>
    <row r="285" s="2677" customFormat="1" spans="1:13">
      <c r="A285" s="2709"/>
      <c r="B285" s="2712" t="s">
        <v>537</v>
      </c>
      <c r="C285" s="2710"/>
      <c r="D285" s="2711"/>
      <c r="E285" s="2711"/>
      <c r="F285" s="2711"/>
      <c r="G285" s="2719" t="s">
        <v>578</v>
      </c>
      <c r="H285" s="2713">
        <v>0.417931034482759</v>
      </c>
      <c r="I285" s="2713">
        <v>2.18947845804989</v>
      </c>
      <c r="J285" s="2714">
        <v>0.2</v>
      </c>
      <c r="K285" s="2714">
        <f t="shared" si="5"/>
        <v>2.80740949253265</v>
      </c>
      <c r="L285" s="2711"/>
      <c r="M285" s="2715" t="s">
        <v>1406</v>
      </c>
    </row>
    <row r="286" s="2677" customFormat="1" spans="1:13">
      <c r="A286" s="2709"/>
      <c r="B286" s="2712" t="s">
        <v>469</v>
      </c>
      <c r="C286" s="2710"/>
      <c r="D286" s="2711"/>
      <c r="E286" s="2711"/>
      <c r="F286" s="2711"/>
      <c r="G286" s="2719" t="s">
        <v>475</v>
      </c>
      <c r="H286" s="2713">
        <v>0.7474</v>
      </c>
      <c r="I286" s="2713">
        <v>5.5449</v>
      </c>
      <c r="J286" s="2714">
        <v>0.4</v>
      </c>
      <c r="K286" s="2714">
        <f t="shared" si="5"/>
        <v>6.6923</v>
      </c>
      <c r="L286" s="2711" t="s">
        <v>476</v>
      </c>
      <c r="M286" s="2715" t="s">
        <v>1406</v>
      </c>
    </row>
    <row r="287" s="2677" customFormat="1" spans="1:13">
      <c r="A287" s="2709"/>
      <c r="B287" s="2712" t="s">
        <v>537</v>
      </c>
      <c r="C287" s="2710"/>
      <c r="D287" s="2711"/>
      <c r="E287" s="2711"/>
      <c r="F287" s="2711"/>
      <c r="G287" s="2719" t="s">
        <v>579</v>
      </c>
      <c r="H287" s="2713">
        <v>0.5959</v>
      </c>
      <c r="I287" s="2713">
        <v>5.11752287121745</v>
      </c>
      <c r="J287" s="2714">
        <v>0.4</v>
      </c>
      <c r="K287" s="2714">
        <f t="shared" si="5"/>
        <v>6.11342287121745</v>
      </c>
      <c r="L287" s="2711" t="s">
        <v>476</v>
      </c>
      <c r="M287" s="2715" t="s">
        <v>1406</v>
      </c>
    </row>
    <row r="288" s="2677" customFormat="1" spans="1:13">
      <c r="A288" s="2709"/>
      <c r="B288" s="2712" t="s">
        <v>537</v>
      </c>
      <c r="C288" s="2710"/>
      <c r="D288" s="2711"/>
      <c r="E288" s="2711"/>
      <c r="F288" s="2711"/>
      <c r="G288" s="2719" t="s">
        <v>580</v>
      </c>
      <c r="H288" s="2713">
        <v>0.577142857142857</v>
      </c>
      <c r="I288" s="2713">
        <v>2.80610837438424</v>
      </c>
      <c r="J288" s="2714">
        <v>0.4</v>
      </c>
      <c r="K288" s="2714">
        <f t="shared" si="5"/>
        <v>3.7832512315271</v>
      </c>
      <c r="L288" s="2711" t="s">
        <v>581</v>
      </c>
      <c r="M288" s="2715" t="s">
        <v>1406</v>
      </c>
    </row>
    <row r="289" s="2679" customFormat="1" ht="15" customHeight="1" spans="1:13">
      <c r="A289" s="2709"/>
      <c r="B289" s="2712" t="s">
        <v>537</v>
      </c>
      <c r="C289" s="2710"/>
      <c r="D289" s="2711"/>
      <c r="E289" s="2711"/>
      <c r="F289" s="2711"/>
      <c r="G289" s="2710" t="s">
        <v>582</v>
      </c>
      <c r="H289" s="2713">
        <v>0.577142857142857</v>
      </c>
      <c r="I289" s="2713">
        <v>4.63704433497537</v>
      </c>
      <c r="J289" s="2714">
        <v>0.4</v>
      </c>
      <c r="K289" s="2714">
        <f t="shared" si="5"/>
        <v>5.61418719211823</v>
      </c>
      <c r="L289" s="2711" t="s">
        <v>476</v>
      </c>
      <c r="M289" s="2715" t="s">
        <v>1406</v>
      </c>
    </row>
    <row r="290" s="2679" customFormat="1" ht="15" customHeight="1" spans="1:13">
      <c r="A290" s="2709"/>
      <c r="B290" s="2712" t="s">
        <v>537</v>
      </c>
      <c r="C290" s="2710">
        <v>20241120</v>
      </c>
      <c r="D290" s="730">
        <v>7.2</v>
      </c>
      <c r="E290" s="2711">
        <v>7.17</v>
      </c>
      <c r="F290" s="2711" t="s">
        <v>583</v>
      </c>
      <c r="G290" s="2710" t="s">
        <v>584</v>
      </c>
      <c r="H290" s="2713">
        <v>0.536914228941331</v>
      </c>
      <c r="I290" s="2713">
        <v>2.24896880834083</v>
      </c>
      <c r="J290" s="2714">
        <v>0.4</v>
      </c>
      <c r="K290" s="2714">
        <f t="shared" si="5"/>
        <v>3.18588303728216</v>
      </c>
      <c r="L290" s="2711" t="s">
        <v>585</v>
      </c>
      <c r="M290" s="2715"/>
    </row>
    <row r="291" s="2679" customFormat="1" ht="15" customHeight="1" spans="1:13">
      <c r="A291" s="2709"/>
      <c r="B291" s="2712" t="s">
        <v>537</v>
      </c>
      <c r="C291" s="2710">
        <v>20240305</v>
      </c>
      <c r="D291" s="2711">
        <v>7.2</v>
      </c>
      <c r="E291" s="2711">
        <v>7.17</v>
      </c>
      <c r="F291" s="2711" t="s">
        <v>586</v>
      </c>
      <c r="G291" s="2710" t="s">
        <v>587</v>
      </c>
      <c r="H291" s="2713">
        <v>0.384410422129356</v>
      </c>
      <c r="I291" s="2713">
        <v>0.899424102001557</v>
      </c>
      <c r="J291" s="2714">
        <v>0.2</v>
      </c>
      <c r="K291" s="2714">
        <f t="shared" si="5"/>
        <v>1.48383452413091</v>
      </c>
      <c r="L291" s="2711"/>
      <c r="M291" s="2715" t="s">
        <v>1406</v>
      </c>
    </row>
    <row r="292" s="2679" customFormat="1" ht="15" customHeight="1" spans="1:13">
      <c r="A292" s="2709"/>
      <c r="B292" s="2712" t="s">
        <v>537</v>
      </c>
      <c r="C292" s="2710">
        <v>20241028</v>
      </c>
      <c r="D292" s="2711">
        <v>7.11</v>
      </c>
      <c r="E292" s="2711">
        <v>7.17</v>
      </c>
      <c r="F292" s="2711" t="s">
        <v>588</v>
      </c>
      <c r="G292" s="2710" t="s">
        <v>589</v>
      </c>
      <c r="H292" s="2713">
        <v>0.400666285354987</v>
      </c>
      <c r="I292" s="2713">
        <v>2.34702049185525</v>
      </c>
      <c r="J292" s="2725">
        <v>0.4</v>
      </c>
      <c r="K292" s="2714">
        <f t="shared" si="5"/>
        <v>3.14768677721024</v>
      </c>
      <c r="L292" s="226" t="s">
        <v>444</v>
      </c>
      <c r="M292" s="2715" t="s">
        <v>1406</v>
      </c>
    </row>
    <row r="293" s="2679" customFormat="1" ht="15" customHeight="1" spans="1:13">
      <c r="A293" s="2709"/>
      <c r="B293" s="2712" t="s">
        <v>537</v>
      </c>
      <c r="C293" s="2710"/>
      <c r="D293" s="2711"/>
      <c r="E293" s="2711"/>
      <c r="F293" s="2711"/>
      <c r="G293" s="2710" t="s">
        <v>590</v>
      </c>
      <c r="H293" s="2713">
        <v>0.41493626580943</v>
      </c>
      <c r="I293" s="2713">
        <v>2.52881225753271</v>
      </c>
      <c r="J293" s="2714">
        <v>0.4</v>
      </c>
      <c r="K293" s="2714">
        <f t="shared" si="5"/>
        <v>3.34374852334214</v>
      </c>
      <c r="L293" s="226" t="s">
        <v>444</v>
      </c>
      <c r="M293" s="2715" t="s">
        <v>1406</v>
      </c>
    </row>
    <row r="294" s="2679" customFormat="1" ht="15" customHeight="1" spans="1:13">
      <c r="A294" s="2709"/>
      <c r="B294" s="2712" t="s">
        <v>537</v>
      </c>
      <c r="C294" s="2710">
        <v>20240930</v>
      </c>
      <c r="D294" s="2711">
        <v>7.25</v>
      </c>
      <c r="E294" s="2711">
        <v>7.17</v>
      </c>
      <c r="F294" s="2711" t="s">
        <v>591</v>
      </c>
      <c r="G294" s="2710" t="s">
        <v>592</v>
      </c>
      <c r="H294" s="2713">
        <v>0.394196795034393</v>
      </c>
      <c r="I294" s="2713">
        <v>2.16271833187801</v>
      </c>
      <c r="J294" s="2714">
        <v>0.4</v>
      </c>
      <c r="K294" s="2714">
        <f t="shared" si="5"/>
        <v>2.9569151269124</v>
      </c>
      <c r="L294" s="226" t="s">
        <v>444</v>
      </c>
      <c r="M294" s="2715" t="s">
        <v>1406</v>
      </c>
    </row>
    <row r="295" s="2679" customFormat="1" ht="15" customHeight="1" spans="1:13">
      <c r="A295" s="2709"/>
      <c r="B295" s="2712" t="s">
        <v>537</v>
      </c>
      <c r="C295" s="2710">
        <v>20240125</v>
      </c>
      <c r="D295" s="2711">
        <v>7.2</v>
      </c>
      <c r="E295" s="2711">
        <v>7.17</v>
      </c>
      <c r="F295" s="2711" t="s">
        <v>593</v>
      </c>
      <c r="G295" s="2710" t="s">
        <v>594</v>
      </c>
      <c r="H295" s="2713">
        <v>0.315090509942096</v>
      </c>
      <c r="I295" s="2713">
        <v>1.34253948599879</v>
      </c>
      <c r="J295" s="2714">
        <v>0.2</v>
      </c>
      <c r="K295" s="2714">
        <f t="shared" si="5"/>
        <v>1.85762999594089</v>
      </c>
      <c r="L295" s="2711"/>
      <c r="M295" s="2715" t="s">
        <v>1406</v>
      </c>
    </row>
    <row r="296" s="2679" customFormat="1" ht="15" customHeight="1" spans="1:13">
      <c r="A296" s="2709"/>
      <c r="B296" s="2712" t="s">
        <v>537</v>
      </c>
      <c r="C296" s="2710">
        <v>20240125</v>
      </c>
      <c r="D296" s="2711">
        <v>7.2</v>
      </c>
      <c r="E296" s="2711">
        <v>7.17</v>
      </c>
      <c r="F296" s="2711" t="s">
        <v>595</v>
      </c>
      <c r="G296" s="2710" t="s">
        <v>596</v>
      </c>
      <c r="H296" s="2713">
        <v>0.583547624412762</v>
      </c>
      <c r="I296" s="2713">
        <v>2.62379084624528</v>
      </c>
      <c r="J296" s="2714">
        <v>0.2</v>
      </c>
      <c r="K296" s="2714">
        <f t="shared" si="5"/>
        <v>3.40733847065804</v>
      </c>
      <c r="L296" s="226" t="s">
        <v>444</v>
      </c>
      <c r="M296" s="2715" t="s">
        <v>1406</v>
      </c>
    </row>
    <row r="297" s="2679" customFormat="1" ht="15" customHeight="1" spans="1:13">
      <c r="A297" s="2709"/>
      <c r="B297" s="2712" t="s">
        <v>537</v>
      </c>
      <c r="C297" s="2710"/>
      <c r="D297" s="2711"/>
      <c r="E297" s="2711"/>
      <c r="F297" s="2711"/>
      <c r="G297" s="2710" t="s">
        <v>597</v>
      </c>
      <c r="H297" s="2713">
        <v>0.558784578253604</v>
      </c>
      <c r="I297" s="2713">
        <v>2.91649584568558</v>
      </c>
      <c r="J297" s="2714">
        <v>0.2</v>
      </c>
      <c r="K297" s="2714">
        <f t="shared" si="5"/>
        <v>3.67528042393918</v>
      </c>
      <c r="L297" s="226" t="s">
        <v>444</v>
      </c>
      <c r="M297" s="2715" t="s">
        <v>1406</v>
      </c>
    </row>
    <row r="298" s="2679" customFormat="1" ht="15" customHeight="1" spans="1:13">
      <c r="A298" s="2709"/>
      <c r="B298" s="2712" t="s">
        <v>537</v>
      </c>
      <c r="C298" s="2710">
        <v>20250102</v>
      </c>
      <c r="D298" s="2711">
        <v>7.3</v>
      </c>
      <c r="E298" s="2711">
        <v>7.17</v>
      </c>
      <c r="F298" s="2711" t="s">
        <v>598</v>
      </c>
      <c r="G298" s="2710" t="s">
        <v>599</v>
      </c>
      <c r="H298" s="2713">
        <v>0.406701899029778</v>
      </c>
      <c r="I298" s="2713">
        <v>2.11171602404809</v>
      </c>
      <c r="J298" s="2714">
        <v>0.4</v>
      </c>
      <c r="K298" s="2714">
        <f t="shared" si="5"/>
        <v>2.91841792307787</v>
      </c>
      <c r="L298" s="226" t="s">
        <v>600</v>
      </c>
      <c r="M298" s="2715"/>
    </row>
    <row r="299" s="2679" customFormat="1" ht="15" customHeight="1" spans="1:13">
      <c r="A299" s="2709"/>
      <c r="B299" s="2712" t="s">
        <v>537</v>
      </c>
      <c r="C299" s="2710">
        <v>20240517</v>
      </c>
      <c r="D299" s="2711">
        <v>7.24</v>
      </c>
      <c r="E299" s="2711">
        <v>7.17</v>
      </c>
      <c r="F299" s="2711" t="s">
        <v>601</v>
      </c>
      <c r="G299" s="2710" t="s">
        <v>602</v>
      </c>
      <c r="H299" s="2713">
        <v>0.417568742701566</v>
      </c>
      <c r="I299" s="2713">
        <v>3.28722455387219</v>
      </c>
      <c r="J299" s="2714">
        <v>0.4</v>
      </c>
      <c r="K299" s="2714">
        <f t="shared" si="5"/>
        <v>4.10479329657376</v>
      </c>
      <c r="L299" s="226" t="s">
        <v>603</v>
      </c>
      <c r="M299" s="2715"/>
    </row>
    <row r="300" s="2679" customFormat="1" ht="15" customHeight="1" spans="1:13">
      <c r="A300" s="2709"/>
      <c r="B300" s="2712" t="s">
        <v>537</v>
      </c>
      <c r="C300" s="2710">
        <v>20250328</v>
      </c>
      <c r="D300" s="2711">
        <v>7.25</v>
      </c>
      <c r="E300" s="2711">
        <v>7.17</v>
      </c>
      <c r="F300" s="2711" t="s">
        <v>604</v>
      </c>
      <c r="G300" s="2711" t="s">
        <v>605</v>
      </c>
      <c r="H300" s="2713">
        <v>0.417660661033536</v>
      </c>
      <c r="I300" s="2713">
        <v>1.04786542993334</v>
      </c>
      <c r="J300" s="2714">
        <v>0.3</v>
      </c>
      <c r="K300" s="2714">
        <f t="shared" si="5"/>
        <v>1.76552609096688</v>
      </c>
      <c r="L300" s="2711" t="s">
        <v>606</v>
      </c>
      <c r="M300" s="2715"/>
    </row>
    <row r="301" s="2679" customFormat="1" ht="15" customHeight="1" spans="1:13">
      <c r="A301" s="2709"/>
      <c r="B301" s="2712" t="s">
        <v>537</v>
      </c>
      <c r="C301" s="2710">
        <v>20250113</v>
      </c>
      <c r="D301" s="2711">
        <v>7.3</v>
      </c>
      <c r="E301" s="2711">
        <v>7.17</v>
      </c>
      <c r="F301" s="2711" t="s">
        <v>607</v>
      </c>
      <c r="G301" s="2710" t="s">
        <v>608</v>
      </c>
      <c r="H301" s="2713">
        <v>0.409137239742531</v>
      </c>
      <c r="I301" s="2713">
        <v>1.68070172435802</v>
      </c>
      <c r="J301" s="2714">
        <v>0.2</v>
      </c>
      <c r="K301" s="2714">
        <f t="shared" si="5"/>
        <v>2.28983896410055</v>
      </c>
      <c r="L301" s="2711" t="s">
        <v>609</v>
      </c>
      <c r="M301" s="2715"/>
    </row>
    <row r="302" s="2679" customFormat="1" ht="15" customHeight="1" spans="1:13">
      <c r="A302" s="2709"/>
      <c r="B302" s="2712" t="s">
        <v>537</v>
      </c>
      <c r="C302" s="2710">
        <v>20240516</v>
      </c>
      <c r="D302" s="2711">
        <v>7.24</v>
      </c>
      <c r="E302" s="2711">
        <v>7.17</v>
      </c>
      <c r="F302" s="2711" t="s">
        <v>610</v>
      </c>
      <c r="G302" s="2710" t="s">
        <v>611</v>
      </c>
      <c r="H302" s="2713">
        <v>0.413829321125135</v>
      </c>
      <c r="I302" s="2713">
        <v>2.0229893342702</v>
      </c>
      <c r="J302" s="2714">
        <v>0.4</v>
      </c>
      <c r="K302" s="2714">
        <f t="shared" si="5"/>
        <v>2.83681865539533</v>
      </c>
      <c r="L302" s="2711"/>
      <c r="M302" s="2715"/>
    </row>
    <row r="303" s="2679" customFormat="1" ht="15" customHeight="1" spans="1:13">
      <c r="A303" s="2709"/>
      <c r="B303" s="2712" t="s">
        <v>537</v>
      </c>
      <c r="C303" s="2710">
        <v>20240920</v>
      </c>
      <c r="D303" s="2711">
        <v>7.11</v>
      </c>
      <c r="E303" s="2711">
        <v>7.17</v>
      </c>
      <c r="F303" s="2711" t="s">
        <v>612</v>
      </c>
      <c r="G303" s="2710" t="s">
        <v>613</v>
      </c>
      <c r="H303" s="2713">
        <v>0.364477072484213</v>
      </c>
      <c r="I303" s="2713">
        <v>1.86323500341311</v>
      </c>
      <c r="J303" s="2714">
        <v>0.2</v>
      </c>
      <c r="K303" s="2714">
        <f t="shared" si="5"/>
        <v>2.42771207589732</v>
      </c>
      <c r="L303" s="226" t="s">
        <v>614</v>
      </c>
      <c r="M303" s="2715"/>
    </row>
    <row r="304" s="2679" customFormat="1" ht="15" customHeight="1" spans="1:13">
      <c r="A304" s="2709"/>
      <c r="B304" s="2712" t="s">
        <v>615</v>
      </c>
      <c r="C304" s="2710">
        <v>20241219</v>
      </c>
      <c r="D304" s="2711">
        <v>7.3</v>
      </c>
      <c r="E304" s="2711">
        <v>7.17</v>
      </c>
      <c r="F304" s="2711" t="s">
        <v>616</v>
      </c>
      <c r="G304" s="2710" t="s">
        <v>617</v>
      </c>
      <c r="H304" s="2713">
        <v>0.280064181966613</v>
      </c>
      <c r="I304" s="2713">
        <v>1.51606347529388</v>
      </c>
      <c r="J304" s="2714">
        <v>0.2</v>
      </c>
      <c r="K304" s="2714">
        <f t="shared" si="5"/>
        <v>1.99612765726049</v>
      </c>
      <c r="L304" s="2711" t="s">
        <v>606</v>
      </c>
      <c r="M304" s="2715"/>
    </row>
    <row r="305" s="2679" customFormat="1" ht="15" customHeight="1" spans="1:13">
      <c r="A305" s="2709"/>
      <c r="B305" s="2712" t="s">
        <v>615</v>
      </c>
      <c r="C305" s="2710">
        <v>20241219</v>
      </c>
      <c r="D305" s="2711">
        <v>7.3</v>
      </c>
      <c r="E305" s="2711">
        <v>7.17</v>
      </c>
      <c r="F305" s="2711" t="s">
        <v>618</v>
      </c>
      <c r="G305" s="2710" t="s">
        <v>619</v>
      </c>
      <c r="H305" s="2713">
        <v>0.280064181966613</v>
      </c>
      <c r="I305" s="2713">
        <v>1.32432971452629</v>
      </c>
      <c r="J305" s="2714">
        <v>0.2</v>
      </c>
      <c r="K305" s="2714">
        <f t="shared" si="5"/>
        <v>1.8043938964929</v>
      </c>
      <c r="L305" s="2711" t="s">
        <v>606</v>
      </c>
      <c r="M305" s="2715"/>
    </row>
    <row r="306" s="2679" customFormat="1" ht="15" customHeight="1" spans="1:13">
      <c r="A306" s="2709"/>
      <c r="B306" s="2712" t="s">
        <v>615</v>
      </c>
      <c r="C306" s="2710">
        <v>20250819</v>
      </c>
      <c r="D306" s="2711">
        <v>7.17</v>
      </c>
      <c r="E306" s="2711">
        <v>7.17</v>
      </c>
      <c r="F306" s="2711" t="s">
        <v>620</v>
      </c>
      <c r="G306" s="2710" t="s">
        <v>621</v>
      </c>
      <c r="H306" s="2713">
        <v>0.366497574702855</v>
      </c>
      <c r="I306" s="2713">
        <v>1.41940538476009</v>
      </c>
      <c r="J306" s="2714">
        <v>0.2</v>
      </c>
      <c r="K306" s="2714">
        <f t="shared" si="5"/>
        <v>1.98590295946294</v>
      </c>
      <c r="L306" s="2711" t="s">
        <v>606</v>
      </c>
      <c r="M306" s="2715"/>
    </row>
    <row r="307" s="2679" customFormat="1" ht="15" customHeight="1" spans="1:13">
      <c r="A307" s="2709"/>
      <c r="B307" s="2712" t="s">
        <v>615</v>
      </c>
      <c r="C307" s="2710">
        <v>20250819</v>
      </c>
      <c r="D307" s="2711">
        <v>7.17</v>
      </c>
      <c r="E307" s="2711">
        <v>7.17</v>
      </c>
      <c r="F307" s="2711" t="s">
        <v>622</v>
      </c>
      <c r="G307" s="2710" t="s">
        <v>623</v>
      </c>
      <c r="H307" s="2713">
        <v>0.0249318078029153</v>
      </c>
      <c r="I307" s="2713">
        <v>0.291284</v>
      </c>
      <c r="J307" s="2714">
        <v>0.2</v>
      </c>
      <c r="K307" s="2714">
        <f t="shared" si="5"/>
        <v>0.516215807802915</v>
      </c>
      <c r="L307" s="2711"/>
      <c r="M307" s="2715"/>
    </row>
    <row r="308" s="2679" customFormat="1" ht="15" customHeight="1" spans="1:13">
      <c r="A308" s="2709"/>
      <c r="B308" s="2712" t="s">
        <v>615</v>
      </c>
      <c r="C308" s="2710">
        <v>20250114</v>
      </c>
      <c r="D308" s="2711">
        <v>7.3</v>
      </c>
      <c r="E308" s="2711">
        <v>7.17</v>
      </c>
      <c r="F308" s="2711" t="s">
        <v>624</v>
      </c>
      <c r="G308" s="2711" t="s">
        <v>625</v>
      </c>
      <c r="H308" s="2713">
        <v>0.100248365099771</v>
      </c>
      <c r="I308" s="2713">
        <v>0.323547224627976</v>
      </c>
      <c r="J308" s="2714">
        <v>0.2</v>
      </c>
      <c r="K308" s="2714">
        <f t="shared" si="5"/>
        <v>0.623795589727747</v>
      </c>
      <c r="L308" s="226" t="s">
        <v>626</v>
      </c>
      <c r="M308" s="2715"/>
    </row>
    <row r="309" s="2679" customFormat="1" ht="15" customHeight="1" spans="1:13">
      <c r="A309" s="2709"/>
      <c r="B309" s="2712" t="s">
        <v>615</v>
      </c>
      <c r="C309" s="2710">
        <v>20240930</v>
      </c>
      <c r="D309" s="2711">
        <v>7.11</v>
      </c>
      <c r="E309" s="2711">
        <v>7.17</v>
      </c>
      <c r="F309" s="2711" t="s">
        <v>627</v>
      </c>
      <c r="G309" s="2710" t="s">
        <v>628</v>
      </c>
      <c r="H309" s="2713">
        <v>0.274036580872011</v>
      </c>
      <c r="I309" s="2713">
        <v>1.60440843881857</v>
      </c>
      <c r="J309" s="2714">
        <v>0.2</v>
      </c>
      <c r="K309" s="2714">
        <f t="shared" si="5"/>
        <v>2.07844501969058</v>
      </c>
      <c r="L309" s="226" t="s">
        <v>629</v>
      </c>
      <c r="M309" s="2715"/>
    </row>
    <row r="310" s="2679" customFormat="1" ht="15" customHeight="1" spans="1:13">
      <c r="A310" s="2709"/>
      <c r="B310" s="2712" t="s">
        <v>630</v>
      </c>
      <c r="C310" s="2710"/>
      <c r="D310" s="2711"/>
      <c r="E310" s="2711"/>
      <c r="F310" s="2711"/>
      <c r="G310" s="2710" t="s">
        <v>631</v>
      </c>
      <c r="H310" s="2713">
        <v>0.302229277563554</v>
      </c>
      <c r="I310" s="2713">
        <v>0.710175523019361</v>
      </c>
      <c r="J310" s="2714">
        <v>0.2</v>
      </c>
      <c r="K310" s="2714">
        <f t="shared" si="5"/>
        <v>1.21240480058292</v>
      </c>
      <c r="L310" s="2711"/>
      <c r="M310" s="2715" t="s">
        <v>1406</v>
      </c>
    </row>
    <row r="311" s="2679" customFormat="1" ht="15" customHeight="1" spans="1:13">
      <c r="A311" s="2709"/>
      <c r="B311" s="2712" t="s">
        <v>632</v>
      </c>
      <c r="C311" s="2710"/>
      <c r="D311" s="2711"/>
      <c r="E311" s="2711"/>
      <c r="F311" s="2711"/>
      <c r="G311" s="2710" t="s">
        <v>633</v>
      </c>
      <c r="H311" s="2713">
        <v>0.0993117010816126</v>
      </c>
      <c r="I311" s="2713">
        <v>0.632513431047198</v>
      </c>
      <c r="J311" s="2714">
        <v>0.2</v>
      </c>
      <c r="K311" s="2714">
        <f t="shared" si="5"/>
        <v>0.931825132128811</v>
      </c>
      <c r="L311" s="2711"/>
      <c r="M311" s="2715" t="s">
        <v>1406</v>
      </c>
    </row>
    <row r="312" s="2678" customFormat="1" ht="15" customHeight="1" spans="1:13">
      <c r="A312" s="2709"/>
      <c r="B312" s="2712" t="s">
        <v>634</v>
      </c>
      <c r="C312" s="2710"/>
      <c r="D312" s="2711"/>
      <c r="E312" s="2711"/>
      <c r="F312" s="2711"/>
      <c r="G312" s="2719" t="s">
        <v>635</v>
      </c>
      <c r="H312" s="2713">
        <v>0.5656</v>
      </c>
      <c r="I312" s="2713">
        <v>3.60943310657597</v>
      </c>
      <c r="J312" s="2714">
        <v>0.4</v>
      </c>
      <c r="K312" s="2714">
        <f t="shared" si="5"/>
        <v>4.57503310657597</v>
      </c>
      <c r="L312" s="2712" t="s">
        <v>346</v>
      </c>
      <c r="M312" s="2715" t="s">
        <v>1406</v>
      </c>
    </row>
    <row r="313" s="2678" customFormat="1" ht="15" customHeight="1" spans="1:13">
      <c r="A313" s="2709"/>
      <c r="B313" s="2712" t="s">
        <v>634</v>
      </c>
      <c r="C313" s="2710"/>
      <c r="D313" s="2711"/>
      <c r="E313" s="2711"/>
      <c r="F313" s="2711"/>
      <c r="G313" s="2719" t="s">
        <v>636</v>
      </c>
      <c r="H313" s="2713">
        <v>0.5353</v>
      </c>
      <c r="I313" s="2713">
        <v>2.70768405884521</v>
      </c>
      <c r="J313" s="2714">
        <v>0.4</v>
      </c>
      <c r="K313" s="2714">
        <f t="shared" si="5"/>
        <v>3.64298405884521</v>
      </c>
      <c r="L313" s="2736" t="s">
        <v>25</v>
      </c>
      <c r="M313" s="2715" t="s">
        <v>1406</v>
      </c>
    </row>
    <row r="314" s="2678" customFormat="1" ht="15" customHeight="1" spans="1:13">
      <c r="A314" s="2709"/>
      <c r="B314" s="2712" t="s">
        <v>637</v>
      </c>
      <c r="C314" s="2710"/>
      <c r="D314" s="2711"/>
      <c r="E314" s="2711"/>
      <c r="F314" s="2711"/>
      <c r="G314" s="2712" t="s">
        <v>638</v>
      </c>
      <c r="H314" s="2713">
        <v>0.2828</v>
      </c>
      <c r="I314" s="2713">
        <v>1.0908</v>
      </c>
      <c r="J314" s="2714">
        <v>0.2</v>
      </c>
      <c r="K314" s="2714">
        <f t="shared" si="5"/>
        <v>1.5736</v>
      </c>
      <c r="L314" s="2736"/>
      <c r="M314" s="2715" t="s">
        <v>1406</v>
      </c>
    </row>
    <row r="315" s="2678" customFormat="1" ht="15" customHeight="1" spans="1:13">
      <c r="A315" s="2709"/>
      <c r="B315" s="2712" t="s">
        <v>637</v>
      </c>
      <c r="C315" s="2710"/>
      <c r="D315" s="2711"/>
      <c r="E315" s="2711"/>
      <c r="F315" s="2711"/>
      <c r="G315" s="2712" t="s">
        <v>639</v>
      </c>
      <c r="H315" s="2713">
        <v>0.1919</v>
      </c>
      <c r="I315" s="2713">
        <v>0.5151</v>
      </c>
      <c r="J315" s="2714">
        <v>0.2</v>
      </c>
      <c r="K315" s="2714">
        <f t="shared" si="5"/>
        <v>0.907</v>
      </c>
      <c r="L315" s="2736"/>
      <c r="M315" s="2715" t="s">
        <v>1406</v>
      </c>
    </row>
    <row r="316" s="2678" customFormat="1" ht="15" customHeight="1" spans="1:13">
      <c r="A316" s="2709"/>
      <c r="B316" s="2712" t="s">
        <v>637</v>
      </c>
      <c r="C316" s="2710"/>
      <c r="D316" s="2711"/>
      <c r="E316" s="2711"/>
      <c r="F316" s="2711"/>
      <c r="G316" s="2712" t="s">
        <v>640</v>
      </c>
      <c r="H316" s="2713">
        <v>0.0597044334975369</v>
      </c>
      <c r="I316" s="2713">
        <v>0.308472906403941</v>
      </c>
      <c r="J316" s="2714">
        <v>0.4</v>
      </c>
      <c r="K316" s="2714">
        <f t="shared" si="5"/>
        <v>0.768177339901478</v>
      </c>
      <c r="L316" s="2736"/>
      <c r="M316" s="2715" t="s">
        <v>1406</v>
      </c>
    </row>
    <row r="317" s="2678" customFormat="1" ht="15" customHeight="1" spans="1:13">
      <c r="A317" s="2709"/>
      <c r="B317" s="2712" t="s">
        <v>637</v>
      </c>
      <c r="C317" s="2710"/>
      <c r="D317" s="2711"/>
      <c r="E317" s="2711"/>
      <c r="F317" s="2711"/>
      <c r="G317" s="2712" t="s">
        <v>641</v>
      </c>
      <c r="H317" s="2713">
        <v>0.228866995073892</v>
      </c>
      <c r="I317" s="2713">
        <v>0.427881773399014</v>
      </c>
      <c r="J317" s="2714">
        <v>0.2</v>
      </c>
      <c r="K317" s="2714">
        <f t="shared" si="5"/>
        <v>0.856748768472906</v>
      </c>
      <c r="L317" s="2736"/>
      <c r="M317" s="2715" t="s">
        <v>1406</v>
      </c>
    </row>
    <row r="318" s="2678" customFormat="1" ht="15" customHeight="1" spans="1:13">
      <c r="A318" s="2709"/>
      <c r="B318" s="2712" t="s">
        <v>637</v>
      </c>
      <c r="C318" s="2710"/>
      <c r="D318" s="2711"/>
      <c r="E318" s="2711"/>
      <c r="F318" s="2711"/>
      <c r="G318" s="2712" t="s">
        <v>642</v>
      </c>
      <c r="H318" s="2713">
        <v>0.517438423645321</v>
      </c>
      <c r="I318" s="2713">
        <v>2.72650246305419</v>
      </c>
      <c r="J318" s="2714">
        <v>0.4</v>
      </c>
      <c r="K318" s="2714">
        <f t="shared" si="5"/>
        <v>3.64394088669951</v>
      </c>
      <c r="L318" s="2736"/>
      <c r="M318" s="2715" t="s">
        <v>1406</v>
      </c>
    </row>
    <row r="319" s="2678" customFormat="1" ht="15" customHeight="1" spans="1:13">
      <c r="A319" s="2709"/>
      <c r="B319" s="2712" t="s">
        <v>637</v>
      </c>
      <c r="C319" s="2710"/>
      <c r="D319" s="2711"/>
      <c r="E319" s="2711"/>
      <c r="F319" s="2711"/>
      <c r="G319" s="2712" t="s">
        <v>643</v>
      </c>
      <c r="H319" s="2713">
        <v>0.328374384236454</v>
      </c>
      <c r="I319" s="2713">
        <v>0.447783251231527</v>
      </c>
      <c r="J319" s="2714">
        <v>0.2</v>
      </c>
      <c r="K319" s="2714">
        <f t="shared" si="5"/>
        <v>0.976157635467981</v>
      </c>
      <c r="L319" s="2736"/>
      <c r="M319" s="2715" t="s">
        <v>1406</v>
      </c>
    </row>
    <row r="320" s="2678" customFormat="1" ht="15" customHeight="1" spans="1:13">
      <c r="A320" s="2709"/>
      <c r="B320" s="2712" t="s">
        <v>637</v>
      </c>
      <c r="C320" s="2710"/>
      <c r="D320" s="2711"/>
      <c r="E320" s="2711"/>
      <c r="F320" s="2711"/>
      <c r="G320" s="2712" t="s">
        <v>644</v>
      </c>
      <c r="H320" s="2713">
        <v>0.199014778325123</v>
      </c>
      <c r="I320" s="2713">
        <v>0.218916256157635</v>
      </c>
      <c r="J320" s="2714">
        <v>0.2</v>
      </c>
      <c r="K320" s="2714">
        <f t="shared" si="5"/>
        <v>0.617931034482758</v>
      </c>
      <c r="L320" s="2736"/>
      <c r="M320" s="2715" t="s">
        <v>1406</v>
      </c>
    </row>
    <row r="321" s="2678" customFormat="1" ht="15" customHeight="1" spans="1:13">
      <c r="A321" s="2709"/>
      <c r="B321" s="2712" t="s">
        <v>637</v>
      </c>
      <c r="C321" s="2710"/>
      <c r="D321" s="2711"/>
      <c r="E321" s="2711"/>
      <c r="F321" s="2711"/>
      <c r="G321" s="2712" t="s">
        <v>645</v>
      </c>
      <c r="H321" s="2713">
        <v>0.318423645320197</v>
      </c>
      <c r="I321" s="2713">
        <v>1.34334975369458</v>
      </c>
      <c r="J321" s="2714">
        <v>0.4</v>
      </c>
      <c r="K321" s="2714">
        <f t="shared" si="5"/>
        <v>2.06177339901478</v>
      </c>
      <c r="L321" s="2736"/>
      <c r="M321" s="2715" t="s">
        <v>1406</v>
      </c>
    </row>
    <row r="322" s="2678" customFormat="1" ht="15" customHeight="1" spans="1:13">
      <c r="A322" s="2709"/>
      <c r="B322" s="2712" t="s">
        <v>637</v>
      </c>
      <c r="C322" s="2710"/>
      <c r="D322" s="2711"/>
      <c r="E322" s="2711"/>
      <c r="F322" s="2711"/>
      <c r="G322" s="2712" t="s">
        <v>646</v>
      </c>
      <c r="H322" s="2713">
        <v>0.221882548477595</v>
      </c>
      <c r="I322" s="2713">
        <v>0.378128078817734</v>
      </c>
      <c r="J322" s="2714">
        <v>0.2</v>
      </c>
      <c r="K322" s="2714">
        <f t="shared" si="5"/>
        <v>0.800010627295329</v>
      </c>
      <c r="L322" s="2736"/>
      <c r="M322" s="2715" t="s">
        <v>1406</v>
      </c>
    </row>
    <row r="323" s="2678" customFormat="1" ht="15" customHeight="1" spans="1:13">
      <c r="A323" s="2709"/>
      <c r="B323" s="2712" t="s">
        <v>637</v>
      </c>
      <c r="C323" s="2710"/>
      <c r="D323" s="2711"/>
      <c r="E323" s="2711"/>
      <c r="F323" s="2711"/>
      <c r="G323" s="2712" t="s">
        <v>647</v>
      </c>
      <c r="H323" s="2713">
        <v>0.582441689753688</v>
      </c>
      <c r="I323" s="2713">
        <v>3.39320197044335</v>
      </c>
      <c r="J323" s="2714">
        <v>0.4</v>
      </c>
      <c r="K323" s="2714">
        <f t="shared" si="5"/>
        <v>4.37564366019704</v>
      </c>
      <c r="L323" s="2736"/>
      <c r="M323" s="2715" t="s">
        <v>1406</v>
      </c>
    </row>
    <row r="324" s="2678" customFormat="1" ht="15" customHeight="1" spans="1:13">
      <c r="A324" s="2709"/>
      <c r="B324" s="2712" t="s">
        <v>637</v>
      </c>
      <c r="C324" s="2710"/>
      <c r="D324" s="2711"/>
      <c r="E324" s="2711"/>
      <c r="F324" s="2711"/>
      <c r="G324" s="2712" t="s">
        <v>648</v>
      </c>
      <c r="H324" s="2713">
        <v>0.666699507389163</v>
      </c>
      <c r="I324" s="2713">
        <v>3.26005160684964</v>
      </c>
      <c r="J324" s="2714">
        <v>0.4</v>
      </c>
      <c r="K324" s="2714">
        <f t="shared" si="5"/>
        <v>4.3267511142388</v>
      </c>
      <c r="L324" s="2736"/>
      <c r="M324" s="2715" t="s">
        <v>1406</v>
      </c>
    </row>
    <row r="325" s="2678" customFormat="1" ht="15" customHeight="1" spans="1:13">
      <c r="A325" s="2709"/>
      <c r="B325" s="2712" t="s">
        <v>637</v>
      </c>
      <c r="C325" s="2710"/>
      <c r="D325" s="2711"/>
      <c r="E325" s="2711"/>
      <c r="F325" s="2711"/>
      <c r="G325" s="2712" t="s">
        <v>649</v>
      </c>
      <c r="H325" s="2713">
        <v>0.268669950738916</v>
      </c>
      <c r="I325" s="2713">
        <v>0.871874266948158</v>
      </c>
      <c r="J325" s="2714">
        <v>0.4</v>
      </c>
      <c r="K325" s="2714">
        <f t="shared" si="5"/>
        <v>1.54054421768707</v>
      </c>
      <c r="L325" s="2736"/>
      <c r="M325" s="2715" t="s">
        <v>1406</v>
      </c>
    </row>
    <row r="326" s="2678" customFormat="1" ht="15" customHeight="1" spans="1:13">
      <c r="A326" s="2709"/>
      <c r="B326" s="2712" t="s">
        <v>637</v>
      </c>
      <c r="C326" s="2710"/>
      <c r="D326" s="2711"/>
      <c r="E326" s="2711"/>
      <c r="F326" s="2711"/>
      <c r="G326" s="2712" t="s">
        <v>650</v>
      </c>
      <c r="H326" s="2713">
        <v>0.666699507389163</v>
      </c>
      <c r="I326" s="2713">
        <v>3.61069669247009</v>
      </c>
      <c r="J326" s="2714">
        <v>0.4</v>
      </c>
      <c r="K326" s="2714">
        <f t="shared" si="5"/>
        <v>4.67739619985925</v>
      </c>
      <c r="L326" s="2736"/>
      <c r="M326" s="2715" t="s">
        <v>1406</v>
      </c>
    </row>
    <row r="327" s="2678" customFormat="1" ht="15" customHeight="1" spans="1:13">
      <c r="A327" s="2709"/>
      <c r="B327" s="2712" t="s">
        <v>637</v>
      </c>
      <c r="C327" s="2710"/>
      <c r="D327" s="2711"/>
      <c r="E327" s="2711"/>
      <c r="F327" s="2711"/>
      <c r="G327" s="2712" t="s">
        <v>651</v>
      </c>
      <c r="H327" s="2713">
        <v>0.666699507389163</v>
      </c>
      <c r="I327" s="2713">
        <v>3.58226600985222</v>
      </c>
      <c r="J327" s="2714">
        <v>0.4</v>
      </c>
      <c r="K327" s="2714">
        <f t="shared" ref="K327:K390" si="6">SUM(H327:J327)</f>
        <v>4.64896551724138</v>
      </c>
      <c r="L327" s="2736"/>
      <c r="M327" s="2715" t="s">
        <v>1406</v>
      </c>
    </row>
    <row r="328" s="2678" customFormat="1" ht="15" customHeight="1" spans="1:13">
      <c r="A328" s="2709"/>
      <c r="B328" s="2712" t="s">
        <v>637</v>
      </c>
      <c r="C328" s="2710"/>
      <c r="D328" s="2711"/>
      <c r="E328" s="2711"/>
      <c r="F328" s="2711"/>
      <c r="G328" s="2712" t="s">
        <v>652</v>
      </c>
      <c r="H328" s="2713">
        <v>0.159211822660099</v>
      </c>
      <c r="I328" s="2713">
        <v>0.70129017124091</v>
      </c>
      <c r="J328" s="2714">
        <v>0.2</v>
      </c>
      <c r="K328" s="2714">
        <f t="shared" si="6"/>
        <v>1.06050199390101</v>
      </c>
      <c r="L328" s="2736"/>
      <c r="M328" s="2715" t="s">
        <v>1406</v>
      </c>
    </row>
    <row r="329" s="2679" customFormat="1" ht="15" customHeight="1" spans="1:13">
      <c r="A329" s="2709"/>
      <c r="B329" s="2712" t="s">
        <v>637</v>
      </c>
      <c r="C329" s="2710"/>
      <c r="D329" s="2711"/>
      <c r="E329" s="2711"/>
      <c r="F329" s="2711"/>
      <c r="G329" s="2711" t="s">
        <v>653</v>
      </c>
      <c r="H329" s="2713">
        <v>0.666699507389163</v>
      </c>
      <c r="I329" s="2713">
        <v>3.66755805770585</v>
      </c>
      <c r="J329" s="2714">
        <v>0.4</v>
      </c>
      <c r="K329" s="2714">
        <f t="shared" si="6"/>
        <v>4.73425756509501</v>
      </c>
      <c r="L329" s="2711"/>
      <c r="M329" s="2715" t="s">
        <v>1406</v>
      </c>
    </row>
    <row r="330" s="2679" customFormat="1" ht="15" customHeight="1" spans="1:13">
      <c r="A330" s="2709"/>
      <c r="B330" s="2712" t="s">
        <v>637</v>
      </c>
      <c r="C330" s="2710"/>
      <c r="D330" s="2711"/>
      <c r="E330" s="2711"/>
      <c r="F330" s="2711"/>
      <c r="G330" s="2711" t="s">
        <v>654</v>
      </c>
      <c r="H330" s="2713">
        <v>0.0696551724137931</v>
      </c>
      <c r="I330" s="2713">
        <v>0.151630307295332</v>
      </c>
      <c r="J330" s="2714">
        <v>0.4</v>
      </c>
      <c r="K330" s="2714">
        <f t="shared" si="6"/>
        <v>0.621285479709125</v>
      </c>
      <c r="L330" s="2711"/>
      <c r="M330" s="2715" t="s">
        <v>1406</v>
      </c>
    </row>
    <row r="331" s="2679" customFormat="1" ht="15" customHeight="1" spans="1:13">
      <c r="A331" s="2709"/>
      <c r="B331" s="2712" t="s">
        <v>637</v>
      </c>
      <c r="C331" s="2710"/>
      <c r="D331" s="2711"/>
      <c r="E331" s="2711"/>
      <c r="F331" s="2711"/>
      <c r="G331" s="2711" t="s">
        <v>655</v>
      </c>
      <c r="H331" s="2713">
        <v>0.318423645320197</v>
      </c>
      <c r="I331" s="2713">
        <v>1.75322542810227</v>
      </c>
      <c r="J331" s="2714">
        <v>0.2</v>
      </c>
      <c r="K331" s="2714">
        <f t="shared" si="6"/>
        <v>2.27164907342247</v>
      </c>
      <c r="L331" s="2711"/>
      <c r="M331" s="2715" t="s">
        <v>1406</v>
      </c>
    </row>
    <row r="332" s="2679" customFormat="1" ht="15" customHeight="1" spans="1:13">
      <c r="A332" s="2709"/>
      <c r="B332" s="2712" t="s">
        <v>637</v>
      </c>
      <c r="C332" s="2710"/>
      <c r="D332" s="2711"/>
      <c r="E332" s="2711"/>
      <c r="F332" s="2711"/>
      <c r="G332" s="2711" t="s">
        <v>656</v>
      </c>
      <c r="H332" s="2713">
        <v>0.0796059113300493</v>
      </c>
      <c r="I332" s="2713">
        <v>0.303260614590664</v>
      </c>
      <c r="J332" s="2714">
        <v>0.2</v>
      </c>
      <c r="K332" s="2714">
        <f t="shared" si="6"/>
        <v>0.582866525920713</v>
      </c>
      <c r="L332" s="2711"/>
      <c r="M332" s="2715" t="s">
        <v>1406</v>
      </c>
    </row>
    <row r="333" s="2679" customFormat="1" ht="15" customHeight="1" spans="1:13">
      <c r="A333" s="2709"/>
      <c r="B333" s="2712" t="s">
        <v>637</v>
      </c>
      <c r="C333" s="2710"/>
      <c r="D333" s="2711"/>
      <c r="E333" s="2711"/>
      <c r="F333" s="2711"/>
      <c r="G333" s="2711" t="s">
        <v>657</v>
      </c>
      <c r="H333" s="2713">
        <v>0.0995073891625615</v>
      </c>
      <c r="I333" s="2713">
        <v>0.312737508796621</v>
      </c>
      <c r="J333" s="2714">
        <v>0.2</v>
      </c>
      <c r="K333" s="2714">
        <f t="shared" si="6"/>
        <v>0.612244897959183</v>
      </c>
      <c r="L333" s="2711"/>
      <c r="M333" s="2715" t="s">
        <v>1406</v>
      </c>
    </row>
    <row r="334" s="2679" customFormat="1" ht="15" customHeight="1" spans="1:13">
      <c r="A334" s="2709"/>
      <c r="B334" s="2712" t="s">
        <v>637</v>
      </c>
      <c r="C334" s="2710"/>
      <c r="D334" s="2711"/>
      <c r="E334" s="2711"/>
      <c r="F334" s="2711"/>
      <c r="G334" s="2711" t="s">
        <v>658</v>
      </c>
      <c r="H334" s="2713">
        <v>0.38807881773399</v>
      </c>
      <c r="I334" s="2713">
        <v>2.63457658925639</v>
      </c>
      <c r="J334" s="2714">
        <v>0.4</v>
      </c>
      <c r="K334" s="2714">
        <f t="shared" si="6"/>
        <v>3.42265540699038</v>
      </c>
      <c r="L334" s="2711"/>
      <c r="M334" s="2715" t="s">
        <v>1406</v>
      </c>
    </row>
    <row r="335" s="2679" customFormat="1" ht="15" customHeight="1" spans="1:13">
      <c r="A335" s="2709"/>
      <c r="B335" s="2712" t="s">
        <v>637</v>
      </c>
      <c r="C335" s="2710"/>
      <c r="D335" s="2711"/>
      <c r="E335" s="2711"/>
      <c r="F335" s="2711"/>
      <c r="G335" s="2711" t="s">
        <v>659</v>
      </c>
      <c r="H335" s="2713">
        <v>0.2626</v>
      </c>
      <c r="I335" s="2713">
        <v>1.07733333333334</v>
      </c>
      <c r="J335" s="2714">
        <v>0.4</v>
      </c>
      <c r="K335" s="2714">
        <f t="shared" si="6"/>
        <v>1.73993333333334</v>
      </c>
      <c r="L335" s="2711"/>
      <c r="M335" s="2715" t="s">
        <v>1406</v>
      </c>
    </row>
    <row r="336" s="2679" customFormat="1" ht="15" customHeight="1" spans="1:13">
      <c r="A336" s="2709"/>
      <c r="B336" s="2712" t="s">
        <v>637</v>
      </c>
      <c r="C336" s="2710"/>
      <c r="D336" s="2711"/>
      <c r="E336" s="2711"/>
      <c r="F336" s="2711"/>
      <c r="G336" s="2711" t="s">
        <v>660</v>
      </c>
      <c r="H336" s="2713">
        <v>0.2121</v>
      </c>
      <c r="I336" s="2713">
        <v>0.740666666666666</v>
      </c>
      <c r="J336" s="2714">
        <v>0.4</v>
      </c>
      <c r="K336" s="2714">
        <f t="shared" si="6"/>
        <v>1.35276666666667</v>
      </c>
      <c r="L336" s="2711"/>
      <c r="M336" s="2715" t="s">
        <v>1406</v>
      </c>
    </row>
    <row r="337" s="2679" customFormat="1" ht="15" customHeight="1" spans="1:13">
      <c r="A337" s="2709"/>
      <c r="B337" s="2712" t="s">
        <v>637</v>
      </c>
      <c r="C337" s="2710"/>
      <c r="D337" s="2711"/>
      <c r="E337" s="2711"/>
      <c r="F337" s="2711"/>
      <c r="G337" s="2711" t="s">
        <v>661</v>
      </c>
      <c r="H337" s="2713">
        <v>0.2626</v>
      </c>
      <c r="I337" s="2713">
        <v>1.17352380952381</v>
      </c>
      <c r="J337" s="2714">
        <v>0.2</v>
      </c>
      <c r="K337" s="2714">
        <f t="shared" si="6"/>
        <v>1.63612380952381</v>
      </c>
      <c r="L337" s="2711"/>
      <c r="M337" s="2715" t="s">
        <v>1406</v>
      </c>
    </row>
    <row r="338" s="2679" customFormat="1" ht="15" customHeight="1" spans="1:13">
      <c r="A338" s="2709"/>
      <c r="B338" s="2712" t="s">
        <v>637</v>
      </c>
      <c r="C338" s="2710"/>
      <c r="D338" s="2711"/>
      <c r="E338" s="2711"/>
      <c r="F338" s="2711"/>
      <c r="G338" s="2711" t="s">
        <v>662</v>
      </c>
      <c r="H338" s="2713">
        <v>0.2222</v>
      </c>
      <c r="I338" s="2713">
        <v>2.21238095238095</v>
      </c>
      <c r="J338" s="2714">
        <v>0.4</v>
      </c>
      <c r="K338" s="2714">
        <f t="shared" si="6"/>
        <v>2.83458095238095</v>
      </c>
      <c r="L338" s="2711"/>
      <c r="M338" s="2715" t="s">
        <v>1406</v>
      </c>
    </row>
    <row r="339" s="2679" customFormat="1" ht="15" customHeight="1" spans="1:13">
      <c r="A339" s="2709"/>
      <c r="B339" s="2712" t="s">
        <v>637</v>
      </c>
      <c r="C339" s="2710"/>
      <c r="D339" s="2711"/>
      <c r="E339" s="2711"/>
      <c r="F339" s="2711"/>
      <c r="G339" s="2711" t="s">
        <v>663</v>
      </c>
      <c r="H339" s="2713">
        <v>0.3535</v>
      </c>
      <c r="I339" s="2713">
        <v>1.46209523809523</v>
      </c>
      <c r="J339" s="2714">
        <v>0.4</v>
      </c>
      <c r="K339" s="2714">
        <f t="shared" si="6"/>
        <v>2.21559523809523</v>
      </c>
      <c r="L339" s="2711"/>
      <c r="M339" s="2715" t="s">
        <v>1406</v>
      </c>
    </row>
    <row r="340" s="2679" customFormat="1" ht="15" customHeight="1" spans="1:13">
      <c r="A340" s="2709"/>
      <c r="B340" s="2712" t="s">
        <v>637</v>
      </c>
      <c r="C340" s="2710"/>
      <c r="D340" s="2711"/>
      <c r="E340" s="2711"/>
      <c r="F340" s="2711"/>
      <c r="G340" s="2711" t="s">
        <v>664</v>
      </c>
      <c r="H340" s="2713">
        <v>0.4646</v>
      </c>
      <c r="I340" s="2713">
        <v>1.90457142857143</v>
      </c>
      <c r="J340" s="2714">
        <v>0.2</v>
      </c>
      <c r="K340" s="2714">
        <f t="shared" si="6"/>
        <v>2.56917142857143</v>
      </c>
      <c r="L340" s="2711"/>
      <c r="M340" s="2715" t="s">
        <v>1406</v>
      </c>
    </row>
    <row r="341" s="2678" customFormat="1" ht="15" customHeight="1" spans="1:13">
      <c r="A341" s="2709"/>
      <c r="B341" s="2712" t="s">
        <v>637</v>
      </c>
      <c r="C341" s="2710"/>
      <c r="D341" s="2711"/>
      <c r="E341" s="2711"/>
      <c r="F341" s="2711"/>
      <c r="G341" s="2712" t="s">
        <v>665</v>
      </c>
      <c r="H341" s="2713">
        <v>0.38807881773399</v>
      </c>
      <c r="I341" s="2713">
        <v>0.348275862068966</v>
      </c>
      <c r="J341" s="2714">
        <v>0.4</v>
      </c>
      <c r="K341" s="2714">
        <f t="shared" si="6"/>
        <v>1.13635467980296</v>
      </c>
      <c r="L341" s="2712"/>
      <c r="M341" s="2715" t="s">
        <v>1406</v>
      </c>
    </row>
    <row r="342" s="2678" customFormat="1" ht="15" customHeight="1" spans="1:13">
      <c r="A342" s="2709"/>
      <c r="B342" s="2712" t="s">
        <v>637</v>
      </c>
      <c r="C342" s="2710"/>
      <c r="D342" s="2711"/>
      <c r="E342" s="2711"/>
      <c r="F342" s="2711"/>
      <c r="G342" s="2712" t="s">
        <v>666</v>
      </c>
      <c r="H342" s="2713">
        <v>0.218916256157635</v>
      </c>
      <c r="I342" s="2713">
        <v>0.417931034482759</v>
      </c>
      <c r="J342" s="2714">
        <v>0.2</v>
      </c>
      <c r="K342" s="2714">
        <f t="shared" si="6"/>
        <v>0.836847290640394</v>
      </c>
      <c r="L342" s="2712"/>
      <c r="M342" s="2715" t="s">
        <v>1406</v>
      </c>
    </row>
    <row r="343" s="2679" customFormat="1" ht="15" customHeight="1" spans="1:13">
      <c r="A343" s="2709"/>
      <c r="B343" s="2712" t="s">
        <v>637</v>
      </c>
      <c r="C343" s="2710"/>
      <c r="D343" s="2711"/>
      <c r="E343" s="2711"/>
      <c r="F343" s="2711"/>
      <c r="G343" s="2711" t="s">
        <v>668</v>
      </c>
      <c r="H343" s="2713">
        <v>0.318423645320197</v>
      </c>
      <c r="I343" s="2713">
        <v>1.18413793103448</v>
      </c>
      <c r="J343" s="2714">
        <v>0.2</v>
      </c>
      <c r="K343" s="2714">
        <f t="shared" si="6"/>
        <v>1.70256157635468</v>
      </c>
      <c r="L343" s="2711"/>
      <c r="M343" s="2715" t="s">
        <v>1406</v>
      </c>
    </row>
    <row r="344" s="2679" customFormat="1" ht="15" customHeight="1" spans="1:13">
      <c r="A344" s="2709"/>
      <c r="B344" s="2712" t="s">
        <v>637</v>
      </c>
      <c r="C344" s="2710"/>
      <c r="D344" s="2711"/>
      <c r="E344" s="2711"/>
      <c r="F344" s="2711"/>
      <c r="G344" s="2711" t="s">
        <v>669</v>
      </c>
      <c r="H344" s="2713">
        <v>0.159211822660099</v>
      </c>
      <c r="I344" s="2713">
        <v>0.427881773399014</v>
      </c>
      <c r="J344" s="2714">
        <v>0.2</v>
      </c>
      <c r="K344" s="2714">
        <f t="shared" si="6"/>
        <v>0.787093596059113</v>
      </c>
      <c r="L344" s="2711"/>
      <c r="M344" s="2715" t="s">
        <v>1406</v>
      </c>
    </row>
    <row r="345" s="2678" customFormat="1" ht="15" customHeight="1" spans="1:13">
      <c r="A345" s="2709"/>
      <c r="B345" s="2712" t="s">
        <v>637</v>
      </c>
      <c r="C345" s="2710"/>
      <c r="D345" s="2711"/>
      <c r="E345" s="2711"/>
      <c r="F345" s="2711"/>
      <c r="G345" s="2712" t="s">
        <v>670</v>
      </c>
      <c r="H345" s="2713">
        <v>0.38807881773399</v>
      </c>
      <c r="I345" s="2713">
        <v>1.24384236453202</v>
      </c>
      <c r="J345" s="2714">
        <v>0.4</v>
      </c>
      <c r="K345" s="2714">
        <f t="shared" si="6"/>
        <v>2.03192118226601</v>
      </c>
      <c r="L345" s="2712"/>
      <c r="M345" s="2715" t="s">
        <v>1406</v>
      </c>
    </row>
    <row r="346" s="2678" customFormat="1" ht="15" customHeight="1" spans="1:13">
      <c r="A346" s="2709"/>
      <c r="B346" s="2712" t="s">
        <v>637</v>
      </c>
      <c r="C346" s="2710"/>
      <c r="D346" s="2711"/>
      <c r="E346" s="2711"/>
      <c r="F346" s="2711"/>
      <c r="G346" s="2712" t="s">
        <v>671</v>
      </c>
      <c r="H346" s="2713">
        <v>0.2121</v>
      </c>
      <c r="I346" s="2713">
        <v>0.597044334975369</v>
      </c>
      <c r="J346" s="2714">
        <v>0.4</v>
      </c>
      <c r="K346" s="2714">
        <f t="shared" si="6"/>
        <v>1.20914433497537</v>
      </c>
      <c r="L346" s="2712"/>
      <c r="M346" s="2715" t="s">
        <v>1406</v>
      </c>
    </row>
    <row r="347" s="2678" customFormat="1" ht="15" customHeight="1" spans="1:13">
      <c r="A347" s="2709"/>
      <c r="B347" s="2712" t="s">
        <v>637</v>
      </c>
      <c r="C347" s="2710"/>
      <c r="D347" s="2711"/>
      <c r="E347" s="2711"/>
      <c r="F347" s="2711"/>
      <c r="G347" s="2712" t="s">
        <v>672</v>
      </c>
      <c r="H347" s="2713">
        <v>0.318423645320197</v>
      </c>
      <c r="I347" s="2713">
        <v>1.17418719211823</v>
      </c>
      <c r="J347" s="2714">
        <v>0.2</v>
      </c>
      <c r="K347" s="2714">
        <f t="shared" si="6"/>
        <v>1.69261083743843</v>
      </c>
      <c r="L347" s="2712"/>
      <c r="M347" s="2715" t="s">
        <v>1406</v>
      </c>
    </row>
    <row r="348" s="2679" customFormat="1" ht="15" customHeight="1" spans="1:13">
      <c r="A348" s="2686"/>
      <c r="B348" s="2712" t="s">
        <v>1430</v>
      </c>
      <c r="C348" s="2710"/>
      <c r="D348" s="2711"/>
      <c r="E348" s="2711"/>
      <c r="F348" s="2711"/>
      <c r="G348" s="2710" t="s">
        <v>674</v>
      </c>
      <c r="H348" s="2713">
        <v>0.487586206896552</v>
      </c>
      <c r="I348" s="2713">
        <v>3.29795918367347</v>
      </c>
      <c r="J348" s="2714">
        <v>0.4</v>
      </c>
      <c r="K348" s="2714">
        <f t="shared" si="6"/>
        <v>4.18554539057002</v>
      </c>
      <c r="L348" s="2710"/>
      <c r="M348" s="2715" t="s">
        <v>1406</v>
      </c>
    </row>
    <row r="349" s="2679" customFormat="1" ht="15" customHeight="1" spans="1:13">
      <c r="A349" s="2686"/>
      <c r="B349" s="2712" t="s">
        <v>673</v>
      </c>
      <c r="C349" s="2710"/>
      <c r="D349" s="2711"/>
      <c r="E349" s="2711"/>
      <c r="F349" s="2711"/>
      <c r="G349" s="2710" t="s">
        <v>675</v>
      </c>
      <c r="H349" s="2713">
        <v>0.361352718078381</v>
      </c>
      <c r="I349" s="2713">
        <v>2.19754485882743</v>
      </c>
      <c r="J349" s="2714">
        <v>0.4</v>
      </c>
      <c r="K349" s="2714">
        <f t="shared" si="6"/>
        <v>2.95889757690581</v>
      </c>
      <c r="L349" s="2710"/>
      <c r="M349" s="2715" t="s">
        <v>1406</v>
      </c>
    </row>
    <row r="350" s="2678" customFormat="1" ht="15" customHeight="1" spans="1:13">
      <c r="A350" s="2709"/>
      <c r="B350" s="2712" t="s">
        <v>673</v>
      </c>
      <c r="C350" s="2710"/>
      <c r="D350" s="2711"/>
      <c r="E350" s="2711"/>
      <c r="F350" s="2711"/>
      <c r="G350" s="2719" t="s">
        <v>676</v>
      </c>
      <c r="H350" s="2713">
        <v>0.507487684729064</v>
      </c>
      <c r="I350" s="2713">
        <v>2.24886699507389</v>
      </c>
      <c r="J350" s="2714">
        <v>0.2</v>
      </c>
      <c r="K350" s="2714">
        <f t="shared" si="6"/>
        <v>2.95635467980295</v>
      </c>
      <c r="L350" s="2712"/>
      <c r="M350" s="2715" t="s">
        <v>1406</v>
      </c>
    </row>
    <row r="351" s="2678" customFormat="1" ht="15" customHeight="1" spans="1:13">
      <c r="A351" s="2709"/>
      <c r="B351" s="2712" t="s">
        <v>673</v>
      </c>
      <c r="C351" s="2710"/>
      <c r="D351" s="2711"/>
      <c r="E351" s="2711"/>
      <c r="F351" s="2711"/>
      <c r="G351" s="2719" t="s">
        <v>677</v>
      </c>
      <c r="H351" s="2713">
        <v>0.85576354679803</v>
      </c>
      <c r="I351" s="2713">
        <v>5.7415763546798</v>
      </c>
      <c r="J351" s="2714">
        <v>0.4</v>
      </c>
      <c r="K351" s="2714">
        <f t="shared" si="6"/>
        <v>6.99733990147783</v>
      </c>
      <c r="L351" s="2712" t="s">
        <v>346</v>
      </c>
      <c r="M351" s="2715" t="s">
        <v>1406</v>
      </c>
    </row>
    <row r="352" s="2679" customFormat="1" ht="15" customHeight="1" spans="1:13">
      <c r="A352" s="2686"/>
      <c r="B352" s="2712" t="s">
        <v>673</v>
      </c>
      <c r="C352" s="2710"/>
      <c r="D352" s="2711"/>
      <c r="E352" s="2711"/>
      <c r="F352" s="2711"/>
      <c r="G352" s="2710" t="s">
        <v>678</v>
      </c>
      <c r="H352" s="2713">
        <v>0.369472044815221</v>
      </c>
      <c r="I352" s="2713">
        <v>1.95723560172606</v>
      </c>
      <c r="J352" s="2714">
        <v>0.2</v>
      </c>
      <c r="K352" s="2714">
        <f t="shared" si="6"/>
        <v>2.52670764654128</v>
      </c>
      <c r="L352" s="2710"/>
      <c r="M352" s="2715" t="s">
        <v>1406</v>
      </c>
    </row>
    <row r="353" s="2679" customFormat="1" ht="15" customHeight="1" spans="1:13">
      <c r="A353" s="2686"/>
      <c r="B353" s="2712" t="s">
        <v>673</v>
      </c>
      <c r="C353" s="2710">
        <v>20240312</v>
      </c>
      <c r="D353" s="2711">
        <v>7.2</v>
      </c>
      <c r="E353" s="2711">
        <v>7.17</v>
      </c>
      <c r="F353" s="2711" t="s">
        <v>679</v>
      </c>
      <c r="G353" s="2710" t="s">
        <v>680</v>
      </c>
      <c r="H353" s="2713">
        <v>0.414659111083798</v>
      </c>
      <c r="I353" s="2713">
        <v>1.86495310991552</v>
      </c>
      <c r="J353" s="2714">
        <v>0.2</v>
      </c>
      <c r="K353" s="2714">
        <f t="shared" si="6"/>
        <v>2.47961222099932</v>
      </c>
      <c r="L353" s="2710" t="s">
        <v>63</v>
      </c>
      <c r="M353" s="2715" t="s">
        <v>1406</v>
      </c>
    </row>
    <row r="354" s="2679" customFormat="1" ht="15" customHeight="1" spans="1:13">
      <c r="A354" s="2686"/>
      <c r="B354" s="2712" t="s">
        <v>682</v>
      </c>
      <c r="C354" s="2710"/>
      <c r="D354" s="2711"/>
      <c r="E354" s="2711"/>
      <c r="F354" s="2711"/>
      <c r="G354" s="2710" t="s">
        <v>683</v>
      </c>
      <c r="H354" s="2713">
        <v>0.409660766961652</v>
      </c>
      <c r="I354" s="2713">
        <v>2.35860662982743</v>
      </c>
      <c r="J354" s="2714">
        <v>0.2</v>
      </c>
      <c r="K354" s="2714">
        <f t="shared" si="6"/>
        <v>2.96826739678908</v>
      </c>
      <c r="L354" s="2710"/>
      <c r="M354" s="2715" t="s">
        <v>1406</v>
      </c>
    </row>
    <row r="355" s="2679" customFormat="1" ht="15" customHeight="1" spans="1:13">
      <c r="A355" s="2686"/>
      <c r="B355" s="2712" t="s">
        <v>682</v>
      </c>
      <c r="C355" s="2710">
        <v>20241122</v>
      </c>
      <c r="D355" s="2711">
        <v>7.2</v>
      </c>
      <c r="E355" s="2711">
        <v>7.17</v>
      </c>
      <c r="F355" s="2711" t="s">
        <v>684</v>
      </c>
      <c r="G355" s="2711" t="s">
        <v>685</v>
      </c>
      <c r="H355" s="2713">
        <v>0.437345627799628</v>
      </c>
      <c r="I355" s="2713">
        <v>2.74097971217549</v>
      </c>
      <c r="J355" s="2714">
        <v>0.4</v>
      </c>
      <c r="K355" s="2714">
        <f t="shared" si="6"/>
        <v>3.57832533997512</v>
      </c>
      <c r="L355" s="2710" t="s">
        <v>686</v>
      </c>
      <c r="M355" s="2715"/>
    </row>
    <row r="356" s="2679" customFormat="1" ht="15" customHeight="1" spans="1:13">
      <c r="A356" s="2686"/>
      <c r="B356" s="2712" t="s">
        <v>682</v>
      </c>
      <c r="C356" s="2710"/>
      <c r="D356" s="2711"/>
      <c r="E356" s="2711"/>
      <c r="F356" s="2711"/>
      <c r="G356" s="2710" t="s">
        <v>687</v>
      </c>
      <c r="H356" s="2713">
        <v>0.418741665656443</v>
      </c>
      <c r="I356" s="2713">
        <v>3.08123564330737</v>
      </c>
      <c r="J356" s="2714">
        <v>0.2</v>
      </c>
      <c r="K356" s="2714">
        <f t="shared" si="6"/>
        <v>3.69997730896381</v>
      </c>
      <c r="L356" s="2710"/>
      <c r="M356" s="2715" t="s">
        <v>1406</v>
      </c>
    </row>
    <row r="357" s="2679" customFormat="1" ht="15" customHeight="1" spans="1:13">
      <c r="A357" s="2686"/>
      <c r="B357" s="2712" t="s">
        <v>688</v>
      </c>
      <c r="C357" s="2710"/>
      <c r="D357" s="2711"/>
      <c r="E357" s="2711"/>
      <c r="F357" s="2711"/>
      <c r="G357" s="2710" t="s">
        <v>689</v>
      </c>
      <c r="H357" s="2713">
        <v>0.0606</v>
      </c>
      <c r="I357" s="2713">
        <v>0.303</v>
      </c>
      <c r="J357" s="2714">
        <v>0.4</v>
      </c>
      <c r="K357" s="2714">
        <f t="shared" si="6"/>
        <v>0.7636</v>
      </c>
      <c r="L357" s="2710"/>
      <c r="M357" s="2715" t="s">
        <v>1406</v>
      </c>
    </row>
    <row r="358" s="2679" customFormat="1" ht="15" customHeight="1" spans="1:13">
      <c r="A358" s="2686"/>
      <c r="B358" s="2712" t="s">
        <v>688</v>
      </c>
      <c r="C358" s="2710"/>
      <c r="D358" s="2711"/>
      <c r="E358" s="2711"/>
      <c r="F358" s="2711"/>
      <c r="G358" s="2710" t="s">
        <v>690</v>
      </c>
      <c r="H358" s="2713">
        <v>1.1615</v>
      </c>
      <c r="I358" s="2713">
        <v>7.1912</v>
      </c>
      <c r="J358" s="2714">
        <v>0.4</v>
      </c>
      <c r="K358" s="2714">
        <f t="shared" si="6"/>
        <v>8.7527</v>
      </c>
      <c r="L358" s="2710" t="s">
        <v>691</v>
      </c>
      <c r="M358" s="2715" t="s">
        <v>1406</v>
      </c>
    </row>
    <row r="359" s="2679" customFormat="1" ht="15" customHeight="1" spans="1:13">
      <c r="A359" s="2686"/>
      <c r="B359" s="2712" t="s">
        <v>688</v>
      </c>
      <c r="C359" s="2710"/>
      <c r="D359" s="2711"/>
      <c r="E359" s="2711"/>
      <c r="F359" s="2711"/>
      <c r="G359" s="2710" t="s">
        <v>692</v>
      </c>
      <c r="H359" s="2713">
        <v>1.204039408867</v>
      </c>
      <c r="I359" s="2713">
        <v>5.2639408866995</v>
      </c>
      <c r="J359" s="2714">
        <v>0.4</v>
      </c>
      <c r="K359" s="2714">
        <f t="shared" si="6"/>
        <v>6.8679802955665</v>
      </c>
      <c r="L359" s="2710" t="s">
        <v>25</v>
      </c>
      <c r="M359" s="2715" t="s">
        <v>1406</v>
      </c>
    </row>
    <row r="360" s="2679" customFormat="1" ht="15" customHeight="1" spans="1:13">
      <c r="A360" s="2686"/>
      <c r="B360" s="2712" t="s">
        <v>688</v>
      </c>
      <c r="C360" s="2710"/>
      <c r="D360" s="2711"/>
      <c r="E360" s="2711"/>
      <c r="F360" s="2711" t="s">
        <v>693</v>
      </c>
      <c r="G360" s="2710" t="s">
        <v>694</v>
      </c>
      <c r="H360" s="2713">
        <v>1.204039408867</v>
      </c>
      <c r="I360" s="2713">
        <v>5.2639408866995</v>
      </c>
      <c r="J360" s="2714">
        <v>0.4</v>
      </c>
      <c r="K360" s="2714">
        <f t="shared" si="6"/>
        <v>6.8679802955665</v>
      </c>
      <c r="L360" s="2710" t="s">
        <v>25</v>
      </c>
      <c r="M360" s="2715" t="s">
        <v>1406</v>
      </c>
    </row>
    <row r="361" s="2679" customFormat="1" ht="15" customHeight="1" spans="1:13">
      <c r="A361" s="2686"/>
      <c r="B361" s="2712" t="s">
        <v>688</v>
      </c>
      <c r="C361" s="2710"/>
      <c r="D361" s="2711"/>
      <c r="E361" s="2711"/>
      <c r="F361" s="2711" t="s">
        <v>695</v>
      </c>
      <c r="G361" s="2710" t="s">
        <v>696</v>
      </c>
      <c r="H361" s="2713">
        <v>1.204039408867</v>
      </c>
      <c r="I361" s="2713">
        <v>5.25399014778325</v>
      </c>
      <c r="J361" s="2714">
        <v>0.4</v>
      </c>
      <c r="K361" s="2714">
        <f t="shared" si="6"/>
        <v>6.85802955665025</v>
      </c>
      <c r="L361" s="2710" t="s">
        <v>25</v>
      </c>
      <c r="M361" s="2715" t="s">
        <v>1406</v>
      </c>
    </row>
    <row r="362" s="2679" customFormat="1" ht="15" customHeight="1" spans="1:13">
      <c r="A362" s="2686"/>
      <c r="B362" s="2712" t="s">
        <v>688</v>
      </c>
      <c r="C362" s="2710"/>
      <c r="D362" s="2711"/>
      <c r="E362" s="2711"/>
      <c r="F362" s="2711" t="s">
        <v>697</v>
      </c>
      <c r="G362" s="2710" t="s">
        <v>698</v>
      </c>
      <c r="H362" s="2713">
        <v>1.0448275862069</v>
      </c>
      <c r="I362" s="2713">
        <v>5.15448275862069</v>
      </c>
      <c r="J362" s="2714">
        <v>0.4</v>
      </c>
      <c r="K362" s="2714">
        <f t="shared" si="6"/>
        <v>6.59931034482759</v>
      </c>
      <c r="L362" s="2710" t="s">
        <v>699</v>
      </c>
      <c r="M362" s="2715" t="s">
        <v>1406</v>
      </c>
    </row>
    <row r="363" s="2679" customFormat="1" ht="15" customHeight="1" spans="1:13">
      <c r="A363" s="2686"/>
      <c r="B363" s="2712" t="s">
        <v>688</v>
      </c>
      <c r="C363" s="2710"/>
      <c r="D363" s="2711"/>
      <c r="E363" s="2711"/>
      <c r="F363" s="2711" t="s">
        <v>700</v>
      </c>
      <c r="G363" s="2710" t="s">
        <v>701</v>
      </c>
      <c r="H363" s="2713">
        <v>0.348275862068966</v>
      </c>
      <c r="I363" s="2713">
        <v>2.50190007037297</v>
      </c>
      <c r="J363" s="2714">
        <v>0.4</v>
      </c>
      <c r="K363" s="2714">
        <f t="shared" si="6"/>
        <v>3.25017593244194</v>
      </c>
      <c r="L363" s="2710"/>
      <c r="M363" s="2715" t="s">
        <v>1406</v>
      </c>
    </row>
    <row r="364" s="2679" customFormat="1" ht="15" customHeight="1" spans="1:13">
      <c r="A364" s="2686"/>
      <c r="B364" s="2712" t="s">
        <v>688</v>
      </c>
      <c r="C364" s="2710"/>
      <c r="D364" s="2711"/>
      <c r="E364" s="2711"/>
      <c r="F364" s="2711" t="s">
        <v>702</v>
      </c>
      <c r="G364" s="2710" t="s">
        <v>703</v>
      </c>
      <c r="H364" s="2713">
        <v>1.204039408867</v>
      </c>
      <c r="I364" s="2713">
        <v>5.7415763546798</v>
      </c>
      <c r="J364" s="2714">
        <v>0.4</v>
      </c>
      <c r="K364" s="2714">
        <f t="shared" si="6"/>
        <v>7.3456157635468</v>
      </c>
      <c r="L364" s="2759" t="s">
        <v>704</v>
      </c>
      <c r="M364" s="2715" t="s">
        <v>1406</v>
      </c>
    </row>
    <row r="365" s="2679" customFormat="1" ht="15" customHeight="1" spans="1:13">
      <c r="A365" s="2686"/>
      <c r="B365" s="2712" t="s">
        <v>688</v>
      </c>
      <c r="C365" s="2710"/>
      <c r="D365" s="2711"/>
      <c r="E365" s="2711"/>
      <c r="F365" s="2711" t="s">
        <v>705</v>
      </c>
      <c r="G365" s="2710" t="s">
        <v>706</v>
      </c>
      <c r="H365" s="2713">
        <v>0.0696551724137931</v>
      </c>
      <c r="I365" s="2713">
        <v>0.159211822660099</v>
      </c>
      <c r="J365" s="2714">
        <v>0.4</v>
      </c>
      <c r="K365" s="2714">
        <f t="shared" si="6"/>
        <v>0.628866995073892</v>
      </c>
      <c r="L365" s="254" t="s">
        <v>707</v>
      </c>
      <c r="M365" s="2715" t="s">
        <v>1406</v>
      </c>
    </row>
    <row r="366" s="2677" customFormat="1" ht="13.2" spans="1:13">
      <c r="B366" s="2712" t="s">
        <v>688</v>
      </c>
      <c r="C366" s="2710"/>
      <c r="D366" s="2711"/>
      <c r="E366" s="2711"/>
      <c r="F366" s="2711" t="s">
        <v>708</v>
      </c>
      <c r="G366" s="2759" t="s">
        <v>709</v>
      </c>
      <c r="H366" s="2713">
        <v>1.1615</v>
      </c>
      <c r="I366" s="2713">
        <v>5.87093596059113</v>
      </c>
      <c r="J366" s="2714">
        <v>0.4</v>
      </c>
      <c r="K366" s="2714">
        <f t="shared" si="6"/>
        <v>7.43243596059113</v>
      </c>
      <c r="L366" s="2759" t="s">
        <v>704</v>
      </c>
      <c r="M366" s="2715" t="s">
        <v>1406</v>
      </c>
    </row>
    <row r="367" s="2677" customFormat="1" ht="13.2" spans="1:13">
      <c r="B367" s="2712" t="s">
        <v>688</v>
      </c>
      <c r="C367" s="2710"/>
      <c r="D367" s="2711"/>
      <c r="E367" s="2711"/>
      <c r="F367" s="2711" t="s">
        <v>710</v>
      </c>
      <c r="G367" s="2759" t="s">
        <v>711</v>
      </c>
      <c r="H367" s="2713">
        <v>1.1615</v>
      </c>
      <c r="I367" s="2713">
        <v>5.5247</v>
      </c>
      <c r="J367" s="2714">
        <v>0.4</v>
      </c>
      <c r="K367" s="2714">
        <f t="shared" si="6"/>
        <v>7.0862</v>
      </c>
      <c r="L367" s="2759" t="s">
        <v>704</v>
      </c>
      <c r="M367" s="2715" t="s">
        <v>1406</v>
      </c>
    </row>
    <row r="368" s="2677" customFormat="1" spans="1:13">
      <c r="B368" s="2712" t="s">
        <v>688</v>
      </c>
      <c r="C368" s="2710"/>
      <c r="D368" s="2711"/>
      <c r="E368" s="2711"/>
      <c r="F368" s="2711" t="s">
        <v>713</v>
      </c>
      <c r="G368" s="2759" t="s">
        <v>714</v>
      </c>
      <c r="H368" s="2713">
        <v>0.843212556353315</v>
      </c>
      <c r="I368" s="2713">
        <v>4.64956236166629</v>
      </c>
      <c r="J368" s="2714">
        <v>0.4</v>
      </c>
      <c r="K368" s="2714">
        <f t="shared" si="6"/>
        <v>5.89277491801961</v>
      </c>
      <c r="L368" s="2759"/>
      <c r="M368" s="2715" t="s">
        <v>1406</v>
      </c>
    </row>
    <row r="369" s="2677" customFormat="1" spans="2:13">
      <c r="B369" s="2712" t="s">
        <v>688</v>
      </c>
      <c r="C369" s="2710"/>
      <c r="D369" s="2711"/>
      <c r="E369" s="2711"/>
      <c r="F369" s="2711" t="s">
        <v>716</v>
      </c>
      <c r="G369" s="2769" t="s">
        <v>717</v>
      </c>
      <c r="H369" s="2713">
        <v>0.891258855860626</v>
      </c>
      <c r="I369" s="2713">
        <v>5.6223030840205</v>
      </c>
      <c r="J369" s="2714">
        <v>0.4</v>
      </c>
      <c r="K369" s="2714">
        <f t="shared" si="6"/>
        <v>6.91356193988113</v>
      </c>
      <c r="L369" s="2759"/>
      <c r="M369" s="2715" t="s">
        <v>1406</v>
      </c>
    </row>
    <row r="370" s="2677" customFormat="1" ht="13.2" spans="2:13">
      <c r="B370" s="2712" t="s">
        <v>688</v>
      </c>
      <c r="C370" s="2710">
        <v>20240801</v>
      </c>
      <c r="D370" s="2711">
        <v>7.26</v>
      </c>
      <c r="E370" s="2711">
        <v>7.17</v>
      </c>
      <c r="F370" s="2711" t="s">
        <v>718</v>
      </c>
      <c r="G370" s="2769" t="s">
        <v>719</v>
      </c>
      <c r="H370" s="2713">
        <v>0.372610378478805</v>
      </c>
      <c r="I370" s="2713">
        <v>3.13399179089721</v>
      </c>
      <c r="J370" s="2714">
        <v>0.4</v>
      </c>
      <c r="K370" s="2714">
        <f t="shared" si="6"/>
        <v>3.90660216937601</v>
      </c>
      <c r="L370" s="279" t="s">
        <v>720</v>
      </c>
      <c r="M370" s="2715"/>
    </row>
    <row r="371" s="2677" customFormat="1" spans="2:13">
      <c r="B371" s="2712" t="s">
        <v>688</v>
      </c>
      <c r="C371" s="2710"/>
      <c r="D371" s="2711"/>
      <c r="E371" s="2711"/>
      <c r="F371" s="2711"/>
      <c r="G371" s="2759" t="s">
        <v>721</v>
      </c>
      <c r="H371" s="2713">
        <v>0.0612195417626379</v>
      </c>
      <c r="I371" s="2713">
        <v>0.283605649169596</v>
      </c>
      <c r="J371" s="2714">
        <v>0.2</v>
      </c>
      <c r="K371" s="2714">
        <f t="shared" si="6"/>
        <v>0.544825190932234</v>
      </c>
      <c r="L371" s="2759"/>
      <c r="M371" s="2715" t="s">
        <v>1406</v>
      </c>
    </row>
    <row r="372" s="2677" customFormat="1" spans="2:13">
      <c r="B372" s="2712" t="s">
        <v>722</v>
      </c>
      <c r="C372" s="2710"/>
      <c r="D372" s="2711"/>
      <c r="E372" s="2711"/>
      <c r="F372" s="2736" t="s">
        <v>723</v>
      </c>
      <c r="G372" s="2759" t="s">
        <v>724</v>
      </c>
      <c r="H372" s="2713">
        <v>0.424557522123894</v>
      </c>
      <c r="I372" s="2713">
        <v>3.78732058348083</v>
      </c>
      <c r="J372" s="2714">
        <v>0.4</v>
      </c>
      <c r="K372" s="2714">
        <f t="shared" si="6"/>
        <v>4.61187810560472</v>
      </c>
      <c r="L372" s="2710" t="s">
        <v>25</v>
      </c>
      <c r="M372" s="2715" t="s">
        <v>1406</v>
      </c>
    </row>
    <row r="373" s="2677" customFormat="1" spans="2:13">
      <c r="B373" s="2712" t="s">
        <v>722</v>
      </c>
      <c r="C373" s="2710"/>
      <c r="D373" s="2711"/>
      <c r="E373" s="2711"/>
      <c r="F373" s="2711" t="s">
        <v>725</v>
      </c>
      <c r="G373" s="2758" t="s">
        <v>726</v>
      </c>
      <c r="H373" s="2713">
        <v>0.330133288137234</v>
      </c>
      <c r="I373" s="2713">
        <v>1.72616819714234</v>
      </c>
      <c r="J373" s="2714">
        <v>0.2</v>
      </c>
      <c r="K373" s="2714">
        <f t="shared" si="6"/>
        <v>2.25630148527957</v>
      </c>
      <c r="L373" s="2710"/>
      <c r="M373" s="2715" t="s">
        <v>1406</v>
      </c>
    </row>
    <row r="374" s="2677" customFormat="1" spans="2:13">
      <c r="B374" s="2712" t="s">
        <v>722</v>
      </c>
      <c r="C374" s="2710">
        <v>20240724</v>
      </c>
      <c r="D374" s="2711">
        <v>7.27</v>
      </c>
      <c r="E374" s="2711">
        <v>7.17</v>
      </c>
      <c r="F374" s="2711" t="s">
        <v>727</v>
      </c>
      <c r="G374" s="2758" t="s">
        <v>728</v>
      </c>
      <c r="H374" s="2713">
        <v>0.406826300226494</v>
      </c>
      <c r="I374" s="2713">
        <v>2.13399824589834</v>
      </c>
      <c r="J374" s="2714">
        <v>0.2</v>
      </c>
      <c r="K374" s="2714">
        <f t="shared" si="6"/>
        <v>2.74082454612483</v>
      </c>
      <c r="L374" s="2710"/>
      <c r="M374" s="2715" t="s">
        <v>1406</v>
      </c>
    </row>
    <row r="375" s="2677" customFormat="1" ht="13.2" spans="2:13">
      <c r="B375" s="2712" t="s">
        <v>722</v>
      </c>
      <c r="C375" s="2710">
        <v>20240521</v>
      </c>
      <c r="D375" s="2711">
        <v>7.24</v>
      </c>
      <c r="E375" s="2711">
        <v>7.17</v>
      </c>
      <c r="F375" s="2711" t="s">
        <v>729</v>
      </c>
      <c r="G375" s="2758" t="s">
        <v>730</v>
      </c>
      <c r="H375" s="2713">
        <v>0.461045750896882</v>
      </c>
      <c r="I375" s="2713">
        <v>1.60709717001588</v>
      </c>
      <c r="J375" s="2714">
        <v>0.2</v>
      </c>
      <c r="K375" s="2714">
        <f t="shared" si="6"/>
        <v>2.26814292091276</v>
      </c>
      <c r="L375" s="254" t="s">
        <v>33</v>
      </c>
      <c r="M375" s="2715"/>
    </row>
    <row r="376" s="2677" customFormat="1" ht="13.2" spans="2:13">
      <c r="B376" s="2712" t="s">
        <v>722</v>
      </c>
      <c r="C376" s="2732">
        <v>20240606</v>
      </c>
      <c r="D376" s="2711">
        <v>7.25</v>
      </c>
      <c r="E376" s="2711">
        <v>7.17</v>
      </c>
      <c r="F376" s="2711" t="s">
        <v>731</v>
      </c>
      <c r="G376" s="2758" t="s">
        <v>732</v>
      </c>
      <c r="H376" s="2713">
        <v>0.410202434943651</v>
      </c>
      <c r="I376" s="2713">
        <v>2.14491968815101</v>
      </c>
      <c r="J376" s="2714">
        <v>0.2</v>
      </c>
      <c r="K376" s="2714">
        <f t="shared" si="6"/>
        <v>2.75512212309466</v>
      </c>
      <c r="L376" s="254" t="s">
        <v>733</v>
      </c>
      <c r="M376" s="2715"/>
    </row>
    <row r="377" s="2677" customFormat="1" spans="2:13">
      <c r="B377" s="2712" t="s">
        <v>722</v>
      </c>
      <c r="C377" s="2770">
        <v>20250811</v>
      </c>
      <c r="D377" s="2755">
        <v>7.17</v>
      </c>
      <c r="E377" s="2755">
        <v>7.17</v>
      </c>
      <c r="F377" s="2711" t="s">
        <v>734</v>
      </c>
      <c r="G377" s="2758" t="s">
        <v>735</v>
      </c>
      <c r="H377" s="2713">
        <v>0.340319176509794</v>
      </c>
      <c r="I377" s="2713">
        <v>2.22912083896787</v>
      </c>
      <c r="J377" s="2714">
        <v>0.2</v>
      </c>
      <c r="K377" s="2714">
        <f t="shared" si="6"/>
        <v>2.76944001547766</v>
      </c>
      <c r="L377" s="2710" t="s">
        <v>736</v>
      </c>
      <c r="M377" s="2715"/>
    </row>
    <row r="378" s="2677" customFormat="1" spans="2:13">
      <c r="B378" s="2712" t="s">
        <v>722</v>
      </c>
      <c r="C378" s="2732">
        <v>20241118</v>
      </c>
      <c r="D378" s="2711">
        <v>7.2</v>
      </c>
      <c r="E378" s="2711">
        <v>7.17</v>
      </c>
      <c r="F378" s="2711" t="s">
        <v>737</v>
      </c>
      <c r="G378" s="2710" t="s">
        <v>738</v>
      </c>
      <c r="H378" s="2713">
        <v>0.364244629493062</v>
      </c>
      <c r="I378" s="2713">
        <v>1.54352421233227</v>
      </c>
      <c r="J378" s="2714">
        <v>0.2</v>
      </c>
      <c r="K378" s="2714">
        <f t="shared" si="6"/>
        <v>2.10776884182533</v>
      </c>
      <c r="L378" s="2710"/>
      <c r="M378" s="2715"/>
    </row>
    <row r="379" s="2677" customFormat="1" spans="2:13">
      <c r="B379" s="2712" t="s">
        <v>722</v>
      </c>
      <c r="C379" s="2732">
        <v>20250529</v>
      </c>
      <c r="D379" s="2711">
        <v>7.26</v>
      </c>
      <c r="E379" s="2711">
        <v>7.17</v>
      </c>
      <c r="F379" s="2711" t="s">
        <v>739</v>
      </c>
      <c r="G379" s="2710" t="s">
        <v>740</v>
      </c>
      <c r="H379" s="2713">
        <v>0.361511213142272</v>
      </c>
      <c r="I379" s="2713">
        <v>2.90745062549916</v>
      </c>
      <c r="J379" s="2714">
        <v>0.4</v>
      </c>
      <c r="K379" s="2714">
        <f t="shared" si="6"/>
        <v>3.66896183864143</v>
      </c>
      <c r="L379" s="2710" t="s">
        <v>741</v>
      </c>
      <c r="M379" s="2715"/>
    </row>
    <row r="380" s="2677" customFormat="1" spans="2:13">
      <c r="B380" s="2712" t="s">
        <v>722</v>
      </c>
      <c r="C380" s="2732"/>
      <c r="D380" s="2757"/>
      <c r="E380" s="2757"/>
      <c r="F380" s="2711"/>
      <c r="G380" s="2732" t="s">
        <v>742</v>
      </c>
      <c r="H380" s="2713">
        <v>0.388504096115689</v>
      </c>
      <c r="I380" s="2713">
        <v>2.12289350443984</v>
      </c>
      <c r="J380" s="2714">
        <v>0.2</v>
      </c>
      <c r="K380" s="2714">
        <f t="shared" si="6"/>
        <v>2.71139760055553</v>
      </c>
      <c r="L380" s="2710"/>
      <c r="M380" s="2715"/>
    </row>
    <row r="381" s="2677" customFormat="1" ht="13.2" spans="2:13">
      <c r="B381" s="2712" t="s">
        <v>722</v>
      </c>
      <c r="C381" s="2732"/>
      <c r="D381" s="2757"/>
      <c r="E381" s="2757"/>
      <c r="F381" s="2711"/>
      <c r="G381" s="2732" t="s">
        <v>743</v>
      </c>
      <c r="H381" s="2713">
        <v>0.414263696927514</v>
      </c>
      <c r="I381" s="2713">
        <v>1.59571843334804</v>
      </c>
      <c r="J381" s="2714">
        <v>0.2</v>
      </c>
      <c r="K381" s="2714">
        <f t="shared" si="6"/>
        <v>2.20998213027555</v>
      </c>
      <c r="L381" s="254" t="s">
        <v>183</v>
      </c>
      <c r="M381" s="2715"/>
    </row>
    <row r="382" s="2677" customFormat="1" spans="2:13">
      <c r="B382" s="2712" t="s">
        <v>744</v>
      </c>
      <c r="C382" s="2710"/>
      <c r="D382" s="2711"/>
      <c r="E382" s="2711"/>
      <c r="F382" s="2711" t="s">
        <v>745</v>
      </c>
      <c r="G382" s="2759" t="s">
        <v>746</v>
      </c>
      <c r="H382" s="2713">
        <v>0.924450063211125</v>
      </c>
      <c r="I382" s="2713">
        <v>8.03679068142478</v>
      </c>
      <c r="J382" s="2714">
        <v>0.4</v>
      </c>
      <c r="K382" s="2714">
        <f t="shared" si="6"/>
        <v>9.36124074463591</v>
      </c>
      <c r="L382" s="2736"/>
      <c r="M382" s="2715" t="s">
        <v>1406</v>
      </c>
    </row>
    <row r="383" s="2677" customFormat="1" spans="2:13">
      <c r="B383" s="2712" t="s">
        <v>744</v>
      </c>
      <c r="C383" s="2710"/>
      <c r="D383" s="2711"/>
      <c r="E383" s="2711"/>
      <c r="F383" s="2711" t="s">
        <v>747</v>
      </c>
      <c r="G383" s="2759" t="s">
        <v>748</v>
      </c>
      <c r="H383" s="2713">
        <v>0.9696522655164</v>
      </c>
      <c r="I383" s="2713">
        <v>9.14148170203984</v>
      </c>
      <c r="J383" s="2714">
        <v>0.4</v>
      </c>
      <c r="K383" s="2714">
        <f t="shared" si="6"/>
        <v>10.5111339675562</v>
      </c>
      <c r="L383" s="2736"/>
      <c r="M383" s="2715" t="s">
        <v>1406</v>
      </c>
    </row>
    <row r="384" s="2677" customFormat="1" spans="2:13">
      <c r="B384" s="2712" t="s">
        <v>744</v>
      </c>
      <c r="C384" s="2710"/>
      <c r="D384" s="2711"/>
      <c r="E384" s="2711"/>
      <c r="F384" s="2711" t="s">
        <v>749</v>
      </c>
      <c r="G384" s="2759" t="s">
        <v>750</v>
      </c>
      <c r="H384" s="2713">
        <v>0.924450063211125</v>
      </c>
      <c r="I384" s="2713">
        <v>8.07492041593806</v>
      </c>
      <c r="J384" s="2714">
        <v>0.4</v>
      </c>
      <c r="K384" s="2714">
        <f t="shared" si="6"/>
        <v>9.39937047914919</v>
      </c>
      <c r="L384" s="2736"/>
      <c r="M384" s="2715" t="s">
        <v>1406</v>
      </c>
    </row>
    <row r="385" s="2677" customFormat="1" spans="2:13">
      <c r="B385" s="2712" t="s">
        <v>744</v>
      </c>
      <c r="C385" s="2710"/>
      <c r="D385" s="2711"/>
      <c r="E385" s="2711"/>
      <c r="F385" s="2711" t="s">
        <v>751</v>
      </c>
      <c r="G385" s="2759" t="s">
        <v>752</v>
      </c>
      <c r="H385" s="2713">
        <v>0.775872664700098</v>
      </c>
      <c r="I385" s="2713">
        <v>7.23054206775368</v>
      </c>
      <c r="J385" s="2714">
        <v>0.4</v>
      </c>
      <c r="K385" s="2714">
        <f t="shared" si="6"/>
        <v>8.40641473245378</v>
      </c>
      <c r="L385" s="2736"/>
      <c r="M385" s="2715" t="s">
        <v>1406</v>
      </c>
    </row>
    <row r="386" s="2677" customFormat="1" spans="2:13">
      <c r="B386" s="2712" t="s">
        <v>744</v>
      </c>
      <c r="C386" s="2710"/>
      <c r="D386" s="2711"/>
      <c r="E386" s="2711"/>
      <c r="F386" s="2711" t="s">
        <v>753</v>
      </c>
      <c r="G386" s="2759" t="s">
        <v>754</v>
      </c>
      <c r="H386" s="2713">
        <v>0.811771123772578</v>
      </c>
      <c r="I386" s="2713">
        <v>6.79115905836859</v>
      </c>
      <c r="J386" s="2714">
        <v>0.4</v>
      </c>
      <c r="K386" s="2714">
        <f t="shared" si="6"/>
        <v>8.00293018214117</v>
      </c>
      <c r="L386" s="2736" t="s">
        <v>25</v>
      </c>
      <c r="M386" s="2715" t="s">
        <v>1406</v>
      </c>
    </row>
    <row r="387" s="2677" customFormat="1" spans="2:13">
      <c r="B387" s="2712" t="s">
        <v>744</v>
      </c>
      <c r="C387" s="2710"/>
      <c r="D387" s="2711"/>
      <c r="E387" s="2711"/>
      <c r="F387" s="2711" t="s">
        <v>755</v>
      </c>
      <c r="G387" s="2759" t="s">
        <v>1431</v>
      </c>
      <c r="H387" s="2713">
        <v>0.756201440968174</v>
      </c>
      <c r="I387" s="2713">
        <v>6.89506840459976</v>
      </c>
      <c r="J387" s="2714">
        <v>0.4</v>
      </c>
      <c r="K387" s="2714">
        <f t="shared" si="6"/>
        <v>8.05126984556793</v>
      </c>
      <c r="L387" s="2736" t="s">
        <v>757</v>
      </c>
      <c r="M387" s="2715" t="s">
        <v>1406</v>
      </c>
    </row>
    <row r="388" s="2677" customFormat="1" spans="2:13">
      <c r="B388" s="2712" t="s">
        <v>758</v>
      </c>
      <c r="C388" s="2710"/>
      <c r="D388" s="2711"/>
      <c r="E388" s="2711"/>
      <c r="F388" s="2711"/>
      <c r="G388" s="2759" t="s">
        <v>759</v>
      </c>
      <c r="H388" s="2713">
        <v>0.0607064299964193</v>
      </c>
      <c r="I388" s="2713">
        <v>0.0998660038876669</v>
      </c>
      <c r="J388" s="2714">
        <v>0.2</v>
      </c>
      <c r="K388" s="2714">
        <f t="shared" si="6"/>
        <v>0.360572433884086</v>
      </c>
      <c r="L388" s="2736"/>
      <c r="M388" s="2715" t="s">
        <v>1406</v>
      </c>
    </row>
    <row r="389" s="2677" customFormat="1" spans="2:13">
      <c r="B389" s="2712" t="s">
        <v>758</v>
      </c>
      <c r="C389" s="2710">
        <v>20250724</v>
      </c>
      <c r="D389" s="2711">
        <v>7.17</v>
      </c>
      <c r="E389" s="2711">
        <v>7.17</v>
      </c>
      <c r="F389" s="2711" t="s">
        <v>760</v>
      </c>
      <c r="G389" s="2711" t="s">
        <v>761</v>
      </c>
      <c r="H389" s="2713">
        <v>0.632021327803903</v>
      </c>
      <c r="I389" s="2713">
        <v>2.70496243777758</v>
      </c>
      <c r="J389" s="2714">
        <v>0.4</v>
      </c>
      <c r="K389" s="2714">
        <f t="shared" si="6"/>
        <v>3.73698376558148</v>
      </c>
      <c r="L389" s="2736" t="s">
        <v>762</v>
      </c>
      <c r="M389" s="2715"/>
    </row>
    <row r="390" s="2677" customFormat="1" spans="2:13">
      <c r="B390" s="2712" t="s">
        <v>758</v>
      </c>
      <c r="C390" s="2710">
        <v>20240517</v>
      </c>
      <c r="D390" s="2711">
        <v>7.24</v>
      </c>
      <c r="E390" s="2711">
        <v>7.17</v>
      </c>
      <c r="F390" s="2711"/>
      <c r="G390" s="2759" t="s">
        <v>763</v>
      </c>
      <c r="H390" s="2713">
        <v>0.0420100961479122</v>
      </c>
      <c r="I390" s="2713">
        <v>0.102754451315091</v>
      </c>
      <c r="J390" s="2714">
        <v>0.2</v>
      </c>
      <c r="K390" s="2714">
        <f t="shared" si="6"/>
        <v>0.344764547463003</v>
      </c>
      <c r="L390" s="2736"/>
      <c r="M390" s="2715"/>
    </row>
    <row r="391" s="2677" customFormat="1" spans="2:13">
      <c r="B391" s="2712" t="s">
        <v>764</v>
      </c>
      <c r="C391" s="2710" t="s">
        <v>765</v>
      </c>
      <c r="D391" s="2711">
        <v>7.25</v>
      </c>
      <c r="E391" s="2711">
        <v>7.17</v>
      </c>
      <c r="F391" s="2711" t="s">
        <v>766</v>
      </c>
      <c r="G391" s="2736" t="s">
        <v>767</v>
      </c>
      <c r="H391" s="2713">
        <v>0.0618103908599083</v>
      </c>
      <c r="I391" s="2713">
        <v>0.171298745955949</v>
      </c>
      <c r="J391" s="2714">
        <v>0.2</v>
      </c>
      <c r="K391" s="2714">
        <f t="shared" ref="K391:K454" si="7">SUM(H391:J391)</f>
        <v>0.433109136815857</v>
      </c>
      <c r="L391" s="2736"/>
      <c r="M391" s="2715" t="s">
        <v>1406</v>
      </c>
    </row>
    <row r="392" s="2677" customFormat="1" ht="15" customHeight="1" spans="2:13">
      <c r="B392" s="2712" t="s">
        <v>768</v>
      </c>
      <c r="C392" s="2771">
        <v>20250801</v>
      </c>
      <c r="D392" s="2772">
        <v>7.15</v>
      </c>
      <c r="E392" s="2711">
        <v>7.17</v>
      </c>
      <c r="F392" s="2772" t="s">
        <v>769</v>
      </c>
      <c r="G392" s="2736" t="s">
        <v>770</v>
      </c>
      <c r="H392" s="2713">
        <v>0.17950901618099</v>
      </c>
      <c r="I392" s="2713">
        <v>0.2929</v>
      </c>
      <c r="J392" s="2714">
        <v>0.2</v>
      </c>
      <c r="K392" s="2714">
        <f t="shared" si="7"/>
        <v>0.67240901618099</v>
      </c>
      <c r="L392" s="2736"/>
    </row>
    <row r="393" s="2677" customFormat="1" ht="15" customHeight="1" spans="2:13">
      <c r="B393" s="2712" t="s">
        <v>768</v>
      </c>
      <c r="C393" s="2771">
        <v>20240829</v>
      </c>
      <c r="D393" s="2772">
        <v>7.12</v>
      </c>
      <c r="E393" s="2711">
        <v>7.17</v>
      </c>
      <c r="F393" s="2772" t="s">
        <v>771</v>
      </c>
      <c r="G393" s="2736" t="s">
        <v>772</v>
      </c>
      <c r="H393" s="2713">
        <v>0.286123345526007</v>
      </c>
      <c r="I393" s="2713">
        <v>1.15240096716053</v>
      </c>
      <c r="J393" s="2714">
        <v>0.2</v>
      </c>
      <c r="K393" s="2714">
        <f t="shared" si="7"/>
        <v>1.63852431268654</v>
      </c>
      <c r="L393" s="2736"/>
    </row>
    <row r="394" s="2677" customFormat="1" ht="15" customHeight="1" spans="2:13">
      <c r="B394" s="2712" t="s">
        <v>768</v>
      </c>
      <c r="C394" s="2771">
        <v>20240829</v>
      </c>
      <c r="D394" s="2772">
        <v>7.12</v>
      </c>
      <c r="E394" s="2711">
        <v>7.17</v>
      </c>
      <c r="F394" s="2772" t="s">
        <v>773</v>
      </c>
      <c r="G394" s="2736" t="s">
        <v>774</v>
      </c>
      <c r="H394" s="2713">
        <v>0.166260862940789</v>
      </c>
      <c r="I394" s="2713">
        <v>0.341674139298694</v>
      </c>
      <c r="J394" s="2714">
        <v>0.2</v>
      </c>
      <c r="K394" s="2714">
        <f t="shared" si="7"/>
        <v>0.707935002239483</v>
      </c>
      <c r="L394" s="2736"/>
    </row>
    <row r="395" s="2677" customFormat="1" ht="15" customHeight="1" spans="2:13">
      <c r="B395" s="2712" t="s">
        <v>768</v>
      </c>
      <c r="C395" s="2772">
        <v>20250723</v>
      </c>
      <c r="D395" s="2772">
        <v>7.3</v>
      </c>
      <c r="E395" s="2711">
        <v>7.17</v>
      </c>
      <c r="F395" s="2772" t="s">
        <v>775</v>
      </c>
      <c r="G395" s="2772" t="s">
        <v>776</v>
      </c>
      <c r="H395" s="2713">
        <v>0.13344135610121</v>
      </c>
      <c r="I395" s="2713">
        <v>0.260330741617848</v>
      </c>
      <c r="J395" s="2714">
        <v>0.2</v>
      </c>
      <c r="K395" s="2714">
        <f t="shared" si="7"/>
        <v>0.593772097719058</v>
      </c>
      <c r="L395" s="2736"/>
    </row>
    <row r="396" s="2677" customFormat="1" ht="15" customHeight="1" spans="2:13">
      <c r="B396" s="2712" t="s">
        <v>768</v>
      </c>
      <c r="C396" s="2771">
        <v>20250723</v>
      </c>
      <c r="D396" s="2772">
        <v>7.25</v>
      </c>
      <c r="E396" s="2711">
        <v>7.17</v>
      </c>
      <c r="F396" s="2772" t="s">
        <v>778</v>
      </c>
      <c r="G396" s="2771" t="s">
        <v>779</v>
      </c>
      <c r="H396" s="2713">
        <v>0.123370310357722</v>
      </c>
      <c r="I396" s="2713">
        <v>0.27788193069924</v>
      </c>
      <c r="J396" s="2714">
        <v>0.2</v>
      </c>
      <c r="K396" s="2714">
        <f t="shared" si="7"/>
        <v>0.601252241056962</v>
      </c>
      <c r="L396" s="2736"/>
    </row>
    <row r="397" s="2677" customFormat="1" ht="15" customHeight="1" spans="2:13">
      <c r="B397" s="2712" t="s">
        <v>768</v>
      </c>
      <c r="C397" s="2771">
        <v>20240914</v>
      </c>
      <c r="D397" s="2772">
        <v>7.11</v>
      </c>
      <c r="E397" s="2711">
        <v>7.17</v>
      </c>
      <c r="F397" s="2772" t="s">
        <v>780</v>
      </c>
      <c r="G397" s="2759" t="s">
        <v>781</v>
      </c>
      <c r="H397" s="2713">
        <v>0.137002020153641</v>
      </c>
      <c r="I397" s="2713">
        <v>1.95254407220276</v>
      </c>
      <c r="J397" s="2714">
        <v>0.2</v>
      </c>
      <c r="K397" s="2714">
        <f t="shared" si="7"/>
        <v>2.2895460923564</v>
      </c>
      <c r="L397" s="2736"/>
    </row>
    <row r="398" s="2677" customFormat="1" ht="15" customHeight="1" spans="2:13">
      <c r="B398" s="2712" t="s">
        <v>782</v>
      </c>
      <c r="C398" s="2771">
        <v>20240910</v>
      </c>
      <c r="D398" s="2772">
        <v>7.11</v>
      </c>
      <c r="E398" s="2711">
        <v>7.17</v>
      </c>
      <c r="F398" s="2772" t="s">
        <v>783</v>
      </c>
      <c r="G398" s="2759" t="s">
        <v>784</v>
      </c>
      <c r="H398" s="2713">
        <v>0.208087974006945</v>
      </c>
      <c r="I398" s="2713">
        <v>1.09597201811789</v>
      </c>
      <c r="J398" s="2714">
        <v>0.3</v>
      </c>
      <c r="K398" s="2714">
        <f t="shared" si="7"/>
        <v>1.60405999212484</v>
      </c>
      <c r="L398" s="260" t="s">
        <v>183</v>
      </c>
    </row>
    <row r="399" s="2677" customFormat="1" ht="15" customHeight="1" spans="2:13">
      <c r="B399" s="2712" t="s">
        <v>782</v>
      </c>
      <c r="C399" s="2773">
        <v>46043</v>
      </c>
      <c r="D399" s="2774"/>
      <c r="E399" s="2711">
        <v>6.9667</v>
      </c>
      <c r="F399" s="2772" t="s">
        <v>1432</v>
      </c>
      <c r="G399" s="2759" t="s">
        <v>1433</v>
      </c>
      <c r="H399" s="2713">
        <v>0.226879451006529</v>
      </c>
      <c r="I399" s="2713">
        <v>1.1</v>
      </c>
      <c r="J399" s="2714">
        <v>0.3</v>
      </c>
      <c r="K399" s="2714">
        <f t="shared" si="7"/>
        <v>1.62687945100653</v>
      </c>
      <c r="L399" s="2736" t="s">
        <v>1434</v>
      </c>
    </row>
    <row r="400" s="2677" customFormat="1" ht="15" customHeight="1" spans="2:13">
      <c r="B400" s="2712" t="s">
        <v>785</v>
      </c>
      <c r="C400" s="2771">
        <v>20240827</v>
      </c>
      <c r="D400" s="2772">
        <v>7.12</v>
      </c>
      <c r="E400" s="2711">
        <v>7.17</v>
      </c>
      <c r="F400" s="2772" t="s">
        <v>786</v>
      </c>
      <c r="G400" s="2759" t="s">
        <v>787</v>
      </c>
      <c r="H400" s="2713">
        <v>0.850636973185427</v>
      </c>
      <c r="I400" s="2713">
        <v>6.17436438180557</v>
      </c>
      <c r="J400" s="2714">
        <v>0.4</v>
      </c>
      <c r="K400" s="2714">
        <f t="shared" si="7"/>
        <v>7.425001354991</v>
      </c>
      <c r="L400" s="260" t="s">
        <v>788</v>
      </c>
      <c r="M400" s="176"/>
    </row>
    <row r="401" s="2678" customFormat="1" ht="13.2" spans="1:13">
      <c r="A401" s="2775"/>
      <c r="B401" s="2712" t="s">
        <v>19</v>
      </c>
      <c r="C401" s="2711">
        <v>20250423</v>
      </c>
      <c r="D401" s="2711">
        <v>7.11</v>
      </c>
      <c r="E401" s="2776">
        <v>7.17</v>
      </c>
      <c r="F401" s="2711" t="s">
        <v>789</v>
      </c>
      <c r="G401" s="2712" t="s">
        <v>790</v>
      </c>
      <c r="H401" s="2713">
        <v>0.437678691123468</v>
      </c>
      <c r="I401" s="2713">
        <v>1.05367837540552</v>
      </c>
      <c r="J401" s="2714">
        <v>0.2</v>
      </c>
      <c r="K401" s="2713">
        <f t="shared" si="7"/>
        <v>1.69135706652899</v>
      </c>
      <c r="L401" s="2711"/>
      <c r="M401" s="2715" t="s">
        <v>1406</v>
      </c>
    </row>
    <row r="402" s="2678" customFormat="1" ht="12" spans="1:13">
      <c r="A402" s="2775"/>
      <c r="B402" s="2712"/>
      <c r="C402" s="2711"/>
      <c r="D402" s="730"/>
      <c r="E402" s="730"/>
      <c r="F402" s="2711" t="s">
        <v>791</v>
      </c>
      <c r="G402" s="2712" t="s">
        <v>562</v>
      </c>
      <c r="H402" s="2713">
        <v>0.383528918024967</v>
      </c>
      <c r="I402" s="2713">
        <v>1.6133115509942</v>
      </c>
      <c r="J402" s="2714">
        <v>0.2</v>
      </c>
      <c r="K402" s="2713">
        <f t="shared" si="7"/>
        <v>2.19684046901917</v>
      </c>
      <c r="L402" s="2711"/>
      <c r="M402" s="2715" t="s">
        <v>1406</v>
      </c>
    </row>
    <row r="403" s="2678" customFormat="1" ht="18" customHeight="1" spans="1:13">
      <c r="A403" s="2775"/>
      <c r="B403" s="2777"/>
      <c r="C403" s="2711">
        <v>20250411</v>
      </c>
      <c r="D403" s="730">
        <v>7.25</v>
      </c>
      <c r="E403" s="2776">
        <v>7.17</v>
      </c>
      <c r="F403" s="2711" t="s">
        <v>793</v>
      </c>
      <c r="G403" s="2712" t="s">
        <v>794</v>
      </c>
      <c r="H403" s="2713">
        <v>0.273468289962434</v>
      </c>
      <c r="I403" s="2713">
        <v>0.538085111402694</v>
      </c>
      <c r="J403" s="2714">
        <v>0.2</v>
      </c>
      <c r="K403" s="2713">
        <f t="shared" si="7"/>
        <v>1.01155340136513</v>
      </c>
      <c r="L403" s="2711" t="s">
        <v>795</v>
      </c>
      <c r="M403" s="2715"/>
    </row>
    <row r="404" s="2678" customFormat="1" ht="12" spans="1:13">
      <c r="A404" s="2775"/>
      <c r="B404" s="2777"/>
      <c r="C404" s="2711">
        <v>20241202</v>
      </c>
      <c r="D404" s="730">
        <v>7.25</v>
      </c>
      <c r="E404" s="2776">
        <v>7.17</v>
      </c>
      <c r="F404" s="2711" t="s">
        <v>796</v>
      </c>
      <c r="G404" s="2712" t="s">
        <v>797</v>
      </c>
      <c r="H404" s="2713">
        <v>0.289627779823851</v>
      </c>
      <c r="I404" s="2713">
        <v>0.5619644373774</v>
      </c>
      <c r="J404" s="2714">
        <v>0.2</v>
      </c>
      <c r="K404" s="2713">
        <f t="shared" si="7"/>
        <v>1.05159221720125</v>
      </c>
      <c r="L404" s="2711" t="s">
        <v>484</v>
      </c>
      <c r="M404" s="2715"/>
    </row>
    <row r="405" s="2678" customFormat="1" ht="12" spans="1:13">
      <c r="A405" s="2775"/>
      <c r="B405" s="2777"/>
      <c r="C405" s="2711">
        <v>20250328</v>
      </c>
      <c r="D405" s="730">
        <v>7.25</v>
      </c>
      <c r="E405" s="2776">
        <v>7.17</v>
      </c>
      <c r="F405" s="2711" t="s">
        <v>798</v>
      </c>
      <c r="G405" s="2712" t="s">
        <v>799</v>
      </c>
      <c r="H405" s="2713">
        <v>0.290870817505498</v>
      </c>
      <c r="I405" s="2713">
        <v>0.812702555898476</v>
      </c>
      <c r="J405" s="2714">
        <v>0.2</v>
      </c>
      <c r="K405" s="2713">
        <f t="shared" si="7"/>
        <v>1.30357337340397</v>
      </c>
      <c r="L405" s="2711" t="s">
        <v>800</v>
      </c>
      <c r="M405" s="2715"/>
    </row>
    <row r="406" s="2678" customFormat="1" ht="12" spans="1:13">
      <c r="A406" s="2775"/>
      <c r="B406" s="2777"/>
      <c r="C406" s="2711">
        <v>20250328</v>
      </c>
      <c r="D406" s="730">
        <v>7.25</v>
      </c>
      <c r="E406" s="2776">
        <v>7.17</v>
      </c>
      <c r="F406" s="2711" t="s">
        <v>801</v>
      </c>
      <c r="G406" s="2712" t="s">
        <v>802</v>
      </c>
      <c r="H406" s="2713">
        <v>0.245127030820873</v>
      </c>
      <c r="I406" s="2713">
        <v>0.784736581932523</v>
      </c>
      <c r="J406" s="2714">
        <v>0.2</v>
      </c>
      <c r="K406" s="2713">
        <f t="shared" si="7"/>
        <v>1.2298636127534</v>
      </c>
      <c r="L406" s="2711" t="s">
        <v>803</v>
      </c>
      <c r="M406" s="2715"/>
    </row>
    <row r="407" s="2678" customFormat="1" ht="12" spans="1:13">
      <c r="A407" s="2775"/>
      <c r="B407" s="2757"/>
      <c r="C407" s="2711"/>
      <c r="D407" s="730">
        <v>7.12</v>
      </c>
      <c r="E407" s="2776">
        <v>7.17</v>
      </c>
      <c r="F407" s="2711" t="s">
        <v>805</v>
      </c>
      <c r="G407" s="2712" t="s">
        <v>806</v>
      </c>
      <c r="H407" s="2713">
        <v>0.291118726706051</v>
      </c>
      <c r="I407" s="2713">
        <v>0.912396540110315</v>
      </c>
      <c r="J407" s="2713">
        <v>0.2</v>
      </c>
      <c r="K407" s="2713">
        <f t="shared" si="7"/>
        <v>1.40351526681637</v>
      </c>
      <c r="L407" s="2712"/>
      <c r="M407" s="2715" t="s">
        <v>1406</v>
      </c>
    </row>
    <row r="408" s="2678" customFormat="1" ht="12" spans="1:13">
      <c r="A408" s="2775"/>
      <c r="B408" s="2778"/>
      <c r="C408" s="2711">
        <v>20240821</v>
      </c>
      <c r="D408" s="2711">
        <v>7.15</v>
      </c>
      <c r="E408" s="2776">
        <v>7.17</v>
      </c>
      <c r="F408" s="2711" t="s">
        <v>807</v>
      </c>
      <c r="G408" s="2719" t="s">
        <v>808</v>
      </c>
      <c r="H408" s="2713">
        <v>0.371358248594721</v>
      </c>
      <c r="I408" s="2713">
        <v>0.904904364403945</v>
      </c>
      <c r="J408" s="2714">
        <v>0.2</v>
      </c>
      <c r="K408" s="2713">
        <f t="shared" si="7"/>
        <v>1.47626261299867</v>
      </c>
      <c r="L408" s="2711"/>
      <c r="M408" s="2715" t="s">
        <v>1406</v>
      </c>
    </row>
    <row r="409" s="2678" customFormat="1" ht="12" spans="1:13">
      <c r="A409" s="2775"/>
      <c r="B409" s="2778"/>
      <c r="C409" s="2711"/>
      <c r="D409" s="730"/>
      <c r="E409" s="730"/>
      <c r="F409" s="2711" t="s">
        <v>809</v>
      </c>
      <c r="G409" s="2719" t="s">
        <v>810</v>
      </c>
      <c r="H409" s="2713">
        <v>0.33209044999215</v>
      </c>
      <c r="I409" s="2713">
        <v>0.843338983792726</v>
      </c>
      <c r="J409" s="2714">
        <v>0.2</v>
      </c>
      <c r="K409" s="2713">
        <f t="shared" si="7"/>
        <v>1.37542943378488</v>
      </c>
      <c r="L409" s="2711"/>
      <c r="M409" s="2715" t="s">
        <v>1406</v>
      </c>
    </row>
    <row r="410" s="2678" customFormat="1" ht="12" spans="1:13">
      <c r="A410" s="2775"/>
      <c r="B410" s="2779"/>
      <c r="C410" s="2711"/>
      <c r="D410" s="730"/>
      <c r="E410" s="2780"/>
      <c r="F410" s="2719" t="s">
        <v>811</v>
      </c>
      <c r="G410" s="2719" t="s">
        <v>811</v>
      </c>
      <c r="H410" s="2713">
        <v>0.369623559901465</v>
      </c>
      <c r="I410" s="2713">
        <v>0.594679713284853</v>
      </c>
      <c r="J410" s="2714">
        <v>0.2</v>
      </c>
      <c r="K410" s="2713">
        <f t="shared" si="7"/>
        <v>1.16430327318632</v>
      </c>
      <c r="L410" s="2711"/>
      <c r="M410" s="2715" t="s">
        <v>1406</v>
      </c>
    </row>
    <row r="411" s="2678" customFormat="1" ht="12" spans="1:13">
      <c r="A411" s="2775"/>
      <c r="B411" s="2777"/>
      <c r="C411" s="2711">
        <v>20250425</v>
      </c>
      <c r="D411" s="730">
        <v>7.31</v>
      </c>
      <c r="E411" s="2776">
        <v>7.17</v>
      </c>
      <c r="F411" s="2711" t="s">
        <v>813</v>
      </c>
      <c r="G411" s="2711" t="s">
        <v>814</v>
      </c>
      <c r="H411" s="2713">
        <v>0.533104124547535</v>
      </c>
      <c r="I411" s="2713">
        <v>0.793860446670537</v>
      </c>
      <c r="J411" s="2714">
        <v>0.2</v>
      </c>
      <c r="K411" s="2713">
        <f t="shared" si="7"/>
        <v>1.52696457121807</v>
      </c>
      <c r="L411" s="2712" t="s">
        <v>435</v>
      </c>
      <c r="M411" s="2715"/>
    </row>
    <row r="412" s="2678" customFormat="1" ht="12" spans="1:13">
      <c r="A412" s="2775"/>
      <c r="B412" s="2777"/>
      <c r="C412" s="2711">
        <v>20250425</v>
      </c>
      <c r="D412" s="730">
        <v>7.31</v>
      </c>
      <c r="E412" s="2776">
        <v>7.17</v>
      </c>
      <c r="F412" s="2711" t="s">
        <v>815</v>
      </c>
      <c r="G412" s="2711" t="s">
        <v>816</v>
      </c>
      <c r="H412" s="2713">
        <v>0.533104124547535</v>
      </c>
      <c r="I412" s="2713">
        <v>0.569946843728188</v>
      </c>
      <c r="J412" s="2714">
        <v>0.2</v>
      </c>
      <c r="K412" s="2713">
        <f t="shared" si="7"/>
        <v>1.30305096827572</v>
      </c>
      <c r="L412" s="2712" t="s">
        <v>435</v>
      </c>
      <c r="M412" s="2715"/>
    </row>
    <row r="413" s="2678" customFormat="1" ht="12" spans="1:13">
      <c r="A413" s="2775"/>
      <c r="B413" s="2757"/>
      <c r="C413" s="2711">
        <v>20241022</v>
      </c>
      <c r="D413" s="730">
        <v>7.11</v>
      </c>
      <c r="E413" s="2776">
        <v>7.17</v>
      </c>
      <c r="F413" s="2711" t="s">
        <v>818</v>
      </c>
      <c r="G413" s="2712" t="s">
        <v>819</v>
      </c>
      <c r="H413" s="2713">
        <v>0.350986897150688</v>
      </c>
      <c r="I413" s="2713">
        <v>2.80530990823988</v>
      </c>
      <c r="J413" s="2714">
        <v>0.4</v>
      </c>
      <c r="K413" s="2713">
        <f t="shared" si="7"/>
        <v>3.55629680539057</v>
      </c>
      <c r="L413" s="2712"/>
      <c r="M413" s="2715" t="s">
        <v>1406</v>
      </c>
    </row>
    <row r="414" s="2678" customFormat="1" ht="12" spans="1:13">
      <c r="A414" s="2775"/>
      <c r="B414" s="2731" t="s">
        <v>820</v>
      </c>
      <c r="C414" s="2731">
        <v>20250714</v>
      </c>
      <c r="D414" s="730"/>
      <c r="E414" s="730">
        <v>7.17</v>
      </c>
      <c r="F414" s="2781" t="s">
        <v>821</v>
      </c>
      <c r="G414" s="2781" t="s">
        <v>822</v>
      </c>
      <c r="H414" s="2713">
        <v>0.390644753476612</v>
      </c>
      <c r="I414" s="2713">
        <v>0.889653114159294</v>
      </c>
      <c r="J414" s="2714">
        <v>0.2</v>
      </c>
      <c r="K414" s="2713">
        <f t="shared" si="7"/>
        <v>1.48029786763591</v>
      </c>
      <c r="L414" s="2731" t="s">
        <v>484</v>
      </c>
      <c r="M414" s="2715"/>
    </row>
    <row r="415" s="2678" customFormat="1" ht="18" customHeight="1" spans="1:13">
      <c r="A415" s="2775"/>
      <c r="B415" s="2782"/>
      <c r="C415" s="2731">
        <v>20240724</v>
      </c>
      <c r="D415" s="730">
        <v>7.27</v>
      </c>
      <c r="E415" s="2776">
        <v>7.17</v>
      </c>
      <c r="F415" s="2731" t="s">
        <v>823</v>
      </c>
      <c r="G415" s="2730" t="s">
        <v>824</v>
      </c>
      <c r="H415" s="2713">
        <v>0.272715970045069</v>
      </c>
      <c r="I415" s="2713">
        <v>1.20503043275758</v>
      </c>
      <c r="J415" s="2714">
        <v>0.2</v>
      </c>
      <c r="K415" s="2713">
        <f t="shared" si="7"/>
        <v>1.67774640280265</v>
      </c>
      <c r="L415" s="2731"/>
      <c r="M415" s="2715"/>
    </row>
    <row r="416" s="2678" customFormat="1" ht="18" customHeight="1" spans="1:13">
      <c r="A416" s="2775"/>
      <c r="B416" s="2782"/>
      <c r="C416" s="2731">
        <v>20240724</v>
      </c>
      <c r="D416" s="730">
        <v>7.27</v>
      </c>
      <c r="E416" s="2776">
        <v>7.17</v>
      </c>
      <c r="F416" s="2731" t="s">
        <v>825</v>
      </c>
      <c r="G416" s="2730" t="s">
        <v>826</v>
      </c>
      <c r="H416" s="2713">
        <v>0.272715970045069</v>
      </c>
      <c r="I416" s="2713">
        <v>0.970711104320416</v>
      </c>
      <c r="J416" s="2714">
        <v>0.2</v>
      </c>
      <c r="K416" s="2713">
        <f t="shared" si="7"/>
        <v>1.44342707436548</v>
      </c>
      <c r="L416" s="2731"/>
      <c r="M416" s="2715"/>
    </row>
    <row r="417" s="2678" customFormat="1" ht="13.2" spans="1:13">
      <c r="A417" s="2775"/>
      <c r="B417" s="2778"/>
      <c r="C417" s="2711"/>
      <c r="D417" s="730"/>
      <c r="E417" s="2776">
        <v>7.17</v>
      </c>
      <c r="F417" s="2711"/>
      <c r="G417" s="255" t="s">
        <v>1435</v>
      </c>
      <c r="H417" s="2713">
        <v>3.80066892799173</v>
      </c>
      <c r="I417" s="2713">
        <v>14.5420817499752</v>
      </c>
      <c r="J417" s="2714" t="e">
        <f>#REF!/E417/1.13</f>
        <v>#REF!</v>
      </c>
      <c r="K417" s="2714" t="e">
        <f t="shared" si="7"/>
        <v>#REF!</v>
      </c>
      <c r="L417" s="2737" t="s">
        <v>1436</v>
      </c>
      <c r="M417" s="2715"/>
    </row>
    <row r="418" s="2678" customFormat="1" ht="12" spans="1:13">
      <c r="A418" s="2775"/>
      <c r="B418" s="2779"/>
      <c r="C418" s="2711"/>
      <c r="D418" s="730"/>
      <c r="E418" s="730"/>
      <c r="F418" s="2711" t="s">
        <v>827</v>
      </c>
      <c r="G418" s="2719" t="s">
        <v>828</v>
      </c>
      <c r="H418" s="2713">
        <v>0.231558929237446</v>
      </c>
      <c r="I418" s="2713">
        <v>0.666903547207473</v>
      </c>
      <c r="J418" s="2714">
        <v>0.2</v>
      </c>
      <c r="K418" s="2714">
        <f t="shared" si="7"/>
        <v>1.09846247644492</v>
      </c>
      <c r="L418" s="2711"/>
      <c r="M418" s="2715"/>
    </row>
    <row r="419" s="2678" customFormat="1" ht="12" spans="1:13">
      <c r="A419" s="2775"/>
      <c r="B419" s="2711"/>
      <c r="C419" s="2711"/>
      <c r="D419" s="730"/>
      <c r="E419" s="730"/>
      <c r="F419" s="2711" t="s">
        <v>830</v>
      </c>
      <c r="G419" s="2712" t="s">
        <v>831</v>
      </c>
      <c r="H419" s="2713">
        <v>0.168975434848947</v>
      </c>
      <c r="I419" s="2713">
        <v>1.28293553336653</v>
      </c>
      <c r="J419" s="2713">
        <v>0.4</v>
      </c>
      <c r="K419" s="2713">
        <f t="shared" si="7"/>
        <v>1.85191096821548</v>
      </c>
      <c r="L419" s="2712" t="s">
        <v>581</v>
      </c>
      <c r="M419" s="2715" t="s">
        <v>1406</v>
      </c>
    </row>
    <row r="420" s="2678" customFormat="1" ht="12" spans="1:13">
      <c r="A420" s="2775"/>
      <c r="B420" s="2711"/>
      <c r="C420" s="2711"/>
      <c r="D420" s="730"/>
      <c r="E420" s="730"/>
      <c r="F420" s="2711" t="s">
        <v>832</v>
      </c>
      <c r="G420" s="2712" t="s">
        <v>833</v>
      </c>
      <c r="H420" s="2713">
        <v>0.168975434848947</v>
      </c>
      <c r="I420" s="2713">
        <v>1.28293553336653</v>
      </c>
      <c r="J420" s="2713">
        <v>0.4</v>
      </c>
      <c r="K420" s="2713">
        <f t="shared" si="7"/>
        <v>1.85191096821548</v>
      </c>
      <c r="L420" s="2712" t="s">
        <v>25</v>
      </c>
      <c r="M420" s="2715" t="s">
        <v>1406</v>
      </c>
    </row>
    <row r="421" s="2678" customFormat="1" ht="12" spans="1:13">
      <c r="A421" s="2775"/>
      <c r="B421" s="2711"/>
      <c r="C421" s="2711"/>
      <c r="D421" s="730"/>
      <c r="E421" s="730"/>
      <c r="F421" s="2711" t="s">
        <v>834</v>
      </c>
      <c r="G421" s="2712" t="s">
        <v>835</v>
      </c>
      <c r="H421" s="2713">
        <v>0.51493699182857</v>
      </c>
      <c r="I421" s="2713">
        <v>1.55676073295355</v>
      </c>
      <c r="J421" s="2713">
        <v>0.2</v>
      </c>
      <c r="K421" s="2713">
        <f t="shared" si="7"/>
        <v>2.27169772478212</v>
      </c>
      <c r="L421" s="2712"/>
      <c r="M421" s="2715" t="s">
        <v>1406</v>
      </c>
    </row>
    <row r="422" s="2678" customFormat="1" ht="12" spans="1:13">
      <c r="A422" s="2775"/>
      <c r="B422" s="2711"/>
      <c r="C422" s="2711"/>
      <c r="D422" s="730"/>
      <c r="E422" s="730"/>
      <c r="F422" s="2711" t="s">
        <v>836</v>
      </c>
      <c r="G422" s="2712" t="s">
        <v>837</v>
      </c>
      <c r="H422" s="2713">
        <v>0.51493699182857</v>
      </c>
      <c r="I422" s="2713">
        <v>1.72076658308869</v>
      </c>
      <c r="J422" s="2713">
        <v>0.2</v>
      </c>
      <c r="K422" s="2713">
        <f t="shared" si="7"/>
        <v>2.43570357491726</v>
      </c>
      <c r="L422" s="2712"/>
      <c r="M422" s="2715" t="s">
        <v>1406</v>
      </c>
    </row>
    <row r="423" s="2678" customFormat="1" ht="12" spans="1:13">
      <c r="A423" s="2775"/>
      <c r="B423" s="2711"/>
      <c r="C423" s="2711"/>
      <c r="D423" s="730"/>
      <c r="E423" s="730"/>
      <c r="F423" s="2711" t="s">
        <v>838</v>
      </c>
      <c r="G423" s="2712" t="s">
        <v>839</v>
      </c>
      <c r="H423" s="2713">
        <v>0.463117858474893</v>
      </c>
      <c r="I423" s="2713">
        <v>4.49091105735988</v>
      </c>
      <c r="J423" s="2713">
        <v>0.4</v>
      </c>
      <c r="K423" s="2713">
        <f t="shared" si="7"/>
        <v>5.35402891583477</v>
      </c>
      <c r="L423" s="2712" t="s">
        <v>840</v>
      </c>
      <c r="M423" s="2715" t="s">
        <v>1406</v>
      </c>
    </row>
    <row r="424" s="2678" customFormat="1" ht="12" spans="1:13">
      <c r="A424" s="2775"/>
      <c r="B424" s="2711"/>
      <c r="C424" s="2711"/>
      <c r="D424" s="730"/>
      <c r="E424" s="730"/>
      <c r="F424" s="2711" t="s">
        <v>841</v>
      </c>
      <c r="G424" s="2712" t="s">
        <v>842</v>
      </c>
      <c r="H424" s="2713">
        <v>0.51493699182857</v>
      </c>
      <c r="I424" s="2713">
        <v>4.80623637431112</v>
      </c>
      <c r="J424" s="2713">
        <v>0.4</v>
      </c>
      <c r="K424" s="2713">
        <f t="shared" si="7"/>
        <v>5.72117336613969</v>
      </c>
      <c r="L424" s="2712" t="s">
        <v>840</v>
      </c>
      <c r="M424" s="2715" t="s">
        <v>1406</v>
      </c>
    </row>
    <row r="425" s="2678" customFormat="1" ht="12" spans="1:13">
      <c r="A425" s="2775"/>
      <c r="B425" s="2711"/>
      <c r="C425" s="2711"/>
      <c r="D425" s="730"/>
      <c r="E425" s="730"/>
      <c r="F425" s="2711" t="s">
        <v>843</v>
      </c>
      <c r="G425" s="2712" t="s">
        <v>844</v>
      </c>
      <c r="H425" s="2713">
        <v>0.51493699182857</v>
      </c>
      <c r="I425" s="2713">
        <v>1.55676073295355</v>
      </c>
      <c r="J425" s="2713">
        <v>0.2</v>
      </c>
      <c r="K425" s="2713">
        <f t="shared" si="7"/>
        <v>2.27169772478212</v>
      </c>
      <c r="L425" s="2712"/>
      <c r="M425" s="2715" t="s">
        <v>1406</v>
      </c>
    </row>
    <row r="426" s="2678" customFormat="1" ht="12" spans="1:13">
      <c r="A426" s="2775"/>
      <c r="B426" s="2711"/>
      <c r="C426" s="2711"/>
      <c r="D426" s="730"/>
      <c r="E426" s="730"/>
      <c r="F426" s="2711" t="s">
        <v>845</v>
      </c>
      <c r="G426" s="2712" t="s">
        <v>846</v>
      </c>
      <c r="H426" s="2713">
        <v>0.376792689655172</v>
      </c>
      <c r="I426" s="2713">
        <v>0.9393</v>
      </c>
      <c r="J426" s="2713">
        <v>0.2</v>
      </c>
      <c r="K426" s="2713">
        <f t="shared" si="7"/>
        <v>1.51609268965517</v>
      </c>
      <c r="L426" s="2712"/>
      <c r="M426" s="2715" t="s">
        <v>1406</v>
      </c>
    </row>
    <row r="427" s="2678" customFormat="1" ht="12" spans="1:13">
      <c r="A427" s="2775"/>
      <c r="B427" s="2711"/>
      <c r="C427" s="2711"/>
      <c r="D427" s="730"/>
      <c r="E427" s="730"/>
      <c r="F427" s="2711" t="s">
        <v>847</v>
      </c>
      <c r="G427" s="2712" t="s">
        <v>848</v>
      </c>
      <c r="H427" s="2713">
        <v>0.53084520171724</v>
      </c>
      <c r="I427" s="2713">
        <v>0.622096589478859</v>
      </c>
      <c r="J427" s="2713">
        <v>0.2</v>
      </c>
      <c r="K427" s="2713">
        <f t="shared" si="7"/>
        <v>1.3529417911961</v>
      </c>
      <c r="L427" s="2712"/>
      <c r="M427" s="2715" t="s">
        <v>1406</v>
      </c>
    </row>
    <row r="428" s="2678" customFormat="1" ht="12" spans="1:13">
      <c r="A428" s="2775"/>
      <c r="B428" s="2711"/>
      <c r="C428" s="2711"/>
      <c r="D428" s="730"/>
      <c r="E428" s="730"/>
      <c r="F428" s="2711" t="s">
        <v>849</v>
      </c>
      <c r="G428" s="2712" t="s">
        <v>850</v>
      </c>
      <c r="H428" s="2713">
        <v>0.168975434848947</v>
      </c>
      <c r="I428" s="2713">
        <v>1.46612976261554</v>
      </c>
      <c r="J428" s="2713">
        <v>0.4</v>
      </c>
      <c r="K428" s="2713">
        <f t="shared" si="7"/>
        <v>2.03510519746449</v>
      </c>
      <c r="L428" s="2712" t="s">
        <v>840</v>
      </c>
      <c r="M428" s="2715" t="s">
        <v>1406</v>
      </c>
    </row>
    <row r="429" s="2678" customFormat="1" ht="12" spans="1:13">
      <c r="A429" s="2775"/>
      <c r="B429" s="2711"/>
      <c r="C429" s="2711"/>
      <c r="D429" s="730"/>
      <c r="E429" s="730"/>
      <c r="F429" s="2711" t="s">
        <v>851</v>
      </c>
      <c r="G429" s="2712" t="s">
        <v>852</v>
      </c>
      <c r="H429" s="2713">
        <v>0.587429986758621</v>
      </c>
      <c r="I429" s="2713">
        <v>4.22906403940887</v>
      </c>
      <c r="J429" s="2713">
        <v>0.4</v>
      </c>
      <c r="K429" s="2713">
        <f t="shared" si="7"/>
        <v>5.21649402616749</v>
      </c>
      <c r="L429" s="2712" t="s">
        <v>840</v>
      </c>
      <c r="M429" s="2715" t="s">
        <v>1406</v>
      </c>
    </row>
    <row r="430" s="2678" customFormat="1" ht="12" spans="1:13">
      <c r="A430" s="2775"/>
      <c r="B430" s="2711"/>
      <c r="C430" s="2711"/>
      <c r="D430" s="730"/>
      <c r="E430" s="730"/>
      <c r="F430" s="2711" t="s">
        <v>853</v>
      </c>
      <c r="G430" s="2712" t="s">
        <v>854</v>
      </c>
      <c r="H430" s="2713">
        <v>0.425897942344828</v>
      </c>
      <c r="I430" s="2713">
        <v>2.84591133004926</v>
      </c>
      <c r="J430" s="2713">
        <v>0.4</v>
      </c>
      <c r="K430" s="2713">
        <f t="shared" si="7"/>
        <v>3.67180927239409</v>
      </c>
      <c r="L430" s="2712" t="s">
        <v>25</v>
      </c>
      <c r="M430" s="2715" t="s">
        <v>1406</v>
      </c>
    </row>
    <row r="431" s="2678" customFormat="1" ht="12" spans="1:13">
      <c r="A431" s="2775"/>
      <c r="B431" s="2711"/>
      <c r="C431" s="2711"/>
      <c r="D431" s="730"/>
      <c r="E431" s="730"/>
      <c r="F431" s="2711" t="s">
        <v>855</v>
      </c>
      <c r="G431" s="2712" t="s">
        <v>856</v>
      </c>
      <c r="H431" s="2713">
        <v>0.656658005793103</v>
      </c>
      <c r="I431" s="2713">
        <v>1.234018</v>
      </c>
      <c r="J431" s="2713">
        <v>0.4</v>
      </c>
      <c r="K431" s="2713">
        <f t="shared" si="7"/>
        <v>2.2906760057931</v>
      </c>
      <c r="L431" s="2712"/>
      <c r="M431" s="2715" t="s">
        <v>1406</v>
      </c>
    </row>
    <row r="432" s="2678" customFormat="1" ht="13.2" spans="1:13">
      <c r="A432" s="2775"/>
      <c r="B432" s="2711"/>
      <c r="C432" s="2711"/>
      <c r="D432" s="730"/>
      <c r="E432" s="730"/>
      <c r="F432" s="2711" t="s">
        <v>857</v>
      </c>
      <c r="G432" s="2712" t="s">
        <v>858</v>
      </c>
      <c r="H432" s="2713">
        <v>0.448973948689655</v>
      </c>
      <c r="I432" s="2713">
        <v>1.009596</v>
      </c>
      <c r="J432" s="2713">
        <v>0.2</v>
      </c>
      <c r="K432" s="2713">
        <f t="shared" si="7"/>
        <v>1.65856994868966</v>
      </c>
      <c r="L432" s="2712"/>
      <c r="M432" s="2715" t="s">
        <v>1406</v>
      </c>
    </row>
    <row r="433" s="2678" customFormat="1" ht="12" spans="1:13">
      <c r="A433" s="2775"/>
      <c r="B433" s="2711"/>
      <c r="C433" s="2711"/>
      <c r="D433" s="730"/>
      <c r="E433" s="730"/>
      <c r="F433" s="2711" t="s">
        <v>859</v>
      </c>
      <c r="G433" s="2712" t="s">
        <v>860</v>
      </c>
      <c r="H433" s="2713">
        <v>0.264365897931034</v>
      </c>
      <c r="I433" s="2713">
        <v>2.74417</v>
      </c>
      <c r="J433" s="2713">
        <v>0.4</v>
      </c>
      <c r="K433" s="2713">
        <f t="shared" si="7"/>
        <v>3.40853589793103</v>
      </c>
      <c r="L433" s="2712" t="s">
        <v>25</v>
      </c>
      <c r="M433" s="2715" t="s">
        <v>1406</v>
      </c>
    </row>
    <row r="434" s="2678" customFormat="1" ht="12" spans="1:13">
      <c r="A434" s="2775"/>
      <c r="B434" s="2711"/>
      <c r="C434" s="2711"/>
      <c r="D434" s="730"/>
      <c r="E434" s="730"/>
      <c r="F434" s="2711" t="s">
        <v>861</v>
      </c>
      <c r="G434" s="2712" t="s">
        <v>862</v>
      </c>
      <c r="H434" s="2713">
        <v>0.23524084137931</v>
      </c>
      <c r="I434" s="2713">
        <v>2.71084</v>
      </c>
      <c r="J434" s="2713">
        <v>0.4</v>
      </c>
      <c r="K434" s="2713">
        <f t="shared" si="7"/>
        <v>3.34608084137931</v>
      </c>
      <c r="L434" s="2712" t="s">
        <v>25</v>
      </c>
      <c r="M434" s="2715" t="s">
        <v>1406</v>
      </c>
    </row>
    <row r="435" s="2678" customFormat="1" ht="12" spans="1:13">
      <c r="A435" s="2775"/>
      <c r="B435" s="2711"/>
      <c r="C435" s="2711"/>
      <c r="D435" s="730"/>
      <c r="E435" s="730"/>
      <c r="F435" s="2711" t="s">
        <v>863</v>
      </c>
      <c r="G435" s="2712" t="s">
        <v>864</v>
      </c>
      <c r="H435" s="2713">
        <v>0.669575954144938</v>
      </c>
      <c r="I435" s="2713">
        <v>0.703566</v>
      </c>
      <c r="J435" s="2713">
        <v>0.2</v>
      </c>
      <c r="K435" s="2713">
        <f t="shared" si="7"/>
        <v>1.57314195414494</v>
      </c>
      <c r="L435" s="2712"/>
      <c r="M435" s="2715" t="s">
        <v>1406</v>
      </c>
    </row>
    <row r="436" s="2678" customFormat="1" ht="12" spans="1:13">
      <c r="A436" s="2775"/>
      <c r="B436" s="2711"/>
      <c r="C436" s="2711"/>
      <c r="D436" s="730"/>
      <c r="E436" s="730"/>
      <c r="F436" s="2711" t="s">
        <v>866</v>
      </c>
      <c r="G436" s="2712" t="s">
        <v>867</v>
      </c>
      <c r="H436" s="2713">
        <v>0.36119123492441</v>
      </c>
      <c r="I436" s="2713">
        <v>0.597044334975369</v>
      </c>
      <c r="J436" s="2713">
        <v>0.2</v>
      </c>
      <c r="K436" s="2713">
        <f t="shared" si="7"/>
        <v>1.15823556989978</v>
      </c>
      <c r="L436" s="2712"/>
      <c r="M436" s="2715" t="s">
        <v>1406</v>
      </c>
    </row>
    <row r="437" s="2684" customFormat="1" ht="14" customHeight="1" spans="1:13">
      <c r="A437" s="2783"/>
      <c r="B437" s="2784" t="s">
        <v>506</v>
      </c>
      <c r="C437" s="2710">
        <v>20250217</v>
      </c>
      <c r="D437" s="730">
        <v>7.3</v>
      </c>
      <c r="E437" s="2776">
        <v>7.17</v>
      </c>
      <c r="F437" s="2764" t="s">
        <v>868</v>
      </c>
      <c r="G437" s="2712" t="s">
        <v>869</v>
      </c>
      <c r="H437" s="2713">
        <v>0.396510418033236</v>
      </c>
      <c r="I437" s="2713">
        <v>1.67158138553383</v>
      </c>
      <c r="J437" s="2714">
        <v>0.2</v>
      </c>
      <c r="K437" s="2713">
        <f t="shared" si="7"/>
        <v>2.26809180356707</v>
      </c>
      <c r="L437" s="2712" t="s">
        <v>870</v>
      </c>
    </row>
    <row r="438" s="2678" customFormat="1" ht="13.2" spans="1:13">
      <c r="A438" s="2775"/>
      <c r="B438" s="2784"/>
      <c r="C438" s="2771">
        <v>20250318</v>
      </c>
      <c r="D438" s="2772">
        <v>7.25</v>
      </c>
      <c r="E438" s="2776">
        <v>7.17</v>
      </c>
      <c r="F438" s="2764" t="s">
        <v>871</v>
      </c>
      <c r="G438" s="2712" t="s">
        <v>872</v>
      </c>
      <c r="H438" s="2713">
        <v>0.417985408657428</v>
      </c>
      <c r="I438" s="2713">
        <v>0.67290204815292</v>
      </c>
      <c r="J438" s="2714">
        <v>0.2</v>
      </c>
      <c r="K438" s="2713">
        <f t="shared" si="7"/>
        <v>1.29088745681035</v>
      </c>
      <c r="L438" s="228" t="s">
        <v>531</v>
      </c>
      <c r="M438" s="2715"/>
    </row>
    <row r="439" s="2678" customFormat="1" ht="13.2" spans="1:13">
      <c r="A439" s="2775"/>
      <c r="B439" s="2784"/>
      <c r="C439" s="2771">
        <v>20250318</v>
      </c>
      <c r="D439" s="2772">
        <v>7.25</v>
      </c>
      <c r="E439" s="2776">
        <v>7.17</v>
      </c>
      <c r="F439" s="2764" t="s">
        <v>873</v>
      </c>
      <c r="G439" s="2712" t="s">
        <v>874</v>
      </c>
      <c r="H439" s="2713">
        <v>0.409875004403115</v>
      </c>
      <c r="I439" s="2713">
        <v>1.85401780047805</v>
      </c>
      <c r="J439" s="2714">
        <v>0.4</v>
      </c>
      <c r="K439" s="2713">
        <f t="shared" si="7"/>
        <v>2.66389280488116</v>
      </c>
      <c r="L439" s="226" t="s">
        <v>171</v>
      </c>
      <c r="M439" s="2715" t="s">
        <v>1406</v>
      </c>
    </row>
    <row r="440" s="2685" customFormat="1" ht="12" spans="1:13">
      <c r="A440" s="2785"/>
      <c r="B440" s="2786"/>
      <c r="C440" s="2710">
        <v>20241210</v>
      </c>
      <c r="D440" s="730">
        <v>7.25</v>
      </c>
      <c r="E440" s="2776">
        <v>7.17</v>
      </c>
      <c r="F440" s="2764" t="s">
        <v>875</v>
      </c>
      <c r="G440" s="2787" t="s">
        <v>876</v>
      </c>
      <c r="H440" s="2713">
        <v>0.0250716776924127</v>
      </c>
      <c r="I440" s="2713">
        <v>0.0364993483846145</v>
      </c>
      <c r="J440" s="2746">
        <v>0.2</v>
      </c>
      <c r="K440" s="2788">
        <f t="shared" si="7"/>
        <v>0.261571026077027</v>
      </c>
      <c r="L440" s="2744"/>
      <c r="M440" s="2748" t="s">
        <v>1406</v>
      </c>
    </row>
    <row r="441" s="2685" customFormat="1" ht="22.8" spans="1:13">
      <c r="A441" s="2785"/>
      <c r="B441" s="2786"/>
      <c r="C441" s="2734">
        <v>20250625</v>
      </c>
      <c r="D441" s="2776">
        <v>7.19</v>
      </c>
      <c r="E441" s="2776">
        <v>7.17</v>
      </c>
      <c r="F441" s="2764" t="s">
        <v>877</v>
      </c>
      <c r="G441" s="2789" t="s">
        <v>878</v>
      </c>
      <c r="H441" s="2713">
        <v>0.405409028286314</v>
      </c>
      <c r="I441" s="2713">
        <v>2.36372729500074</v>
      </c>
      <c r="J441" s="2746">
        <v>0.2</v>
      </c>
      <c r="K441" s="2788">
        <f t="shared" si="7"/>
        <v>2.96913632328705</v>
      </c>
      <c r="L441" s="658" t="s">
        <v>171</v>
      </c>
      <c r="M441" s="2748"/>
    </row>
    <row r="442" s="2678" customFormat="1" ht="12" spans="1:13">
      <c r="A442" s="2775"/>
      <c r="B442" s="2784"/>
      <c r="C442" s="2790"/>
      <c r="D442" s="2791"/>
      <c r="E442" s="2791"/>
      <c r="F442" s="2792" t="s">
        <v>879</v>
      </c>
      <c r="G442" s="2793" t="s">
        <v>880</v>
      </c>
      <c r="H442" s="2713">
        <v>1.20740182996856</v>
      </c>
      <c r="I442" s="2713">
        <v>2.71424587771344</v>
      </c>
      <c r="J442" s="2739">
        <v>0.4</v>
      </c>
      <c r="K442" s="2794">
        <f t="shared" si="7"/>
        <v>4.321647707682</v>
      </c>
      <c r="L442" s="2793" t="s">
        <v>25</v>
      </c>
      <c r="M442" s="2715"/>
    </row>
    <row r="443" s="2678" customFormat="1" ht="12" spans="1:13">
      <c r="A443" s="2775"/>
      <c r="B443" s="2764"/>
      <c r="C443" s="2764">
        <v>20250320</v>
      </c>
      <c r="D443" s="730">
        <v>7.25</v>
      </c>
      <c r="E443" s="2776">
        <v>7.17</v>
      </c>
      <c r="F443" s="2764" t="s">
        <v>881</v>
      </c>
      <c r="G443" s="2712" t="s">
        <v>882</v>
      </c>
      <c r="H443" s="2713">
        <v>0.0261597189896774</v>
      </c>
      <c r="I443" s="2713">
        <v>0.040689624409767</v>
      </c>
      <c r="J443" s="2714">
        <v>0.2</v>
      </c>
      <c r="K443" s="2713">
        <f t="shared" si="7"/>
        <v>0.266849343399444</v>
      </c>
      <c r="L443" s="2712"/>
      <c r="M443" s="2715"/>
    </row>
    <row r="444" s="2678" customFormat="1" ht="12" spans="1:13">
      <c r="A444" s="2775"/>
      <c r="B444" s="2784"/>
      <c r="C444" s="2795"/>
      <c r="D444" s="411"/>
      <c r="E444" s="411"/>
      <c r="F444" s="2796" t="s">
        <v>883</v>
      </c>
      <c r="G444" s="2797" t="s">
        <v>509</v>
      </c>
      <c r="H444" s="2713">
        <v>0.632084661117718</v>
      </c>
      <c r="I444" s="2713">
        <v>3.0648275862069</v>
      </c>
      <c r="J444" s="2798">
        <v>0.4</v>
      </c>
      <c r="K444" s="2798">
        <f t="shared" si="7"/>
        <v>4.09691224732462</v>
      </c>
      <c r="L444" s="2757" t="s">
        <v>25</v>
      </c>
      <c r="M444" s="2715" t="s">
        <v>1406</v>
      </c>
    </row>
    <row r="445" s="2678" customFormat="1" ht="12" spans="1:13">
      <c r="A445" s="2775"/>
      <c r="B445" s="2784"/>
      <c r="C445" s="2728"/>
      <c r="D445" s="730"/>
      <c r="E445" s="730"/>
      <c r="F445" s="2764" t="s">
        <v>884</v>
      </c>
      <c r="G445" s="2712" t="s">
        <v>508</v>
      </c>
      <c r="H445" s="2713">
        <v>0.0300992695770341</v>
      </c>
      <c r="I445" s="2713">
        <v>0.0497536945812808</v>
      </c>
      <c r="J445" s="2713">
        <v>0.4</v>
      </c>
      <c r="K445" s="2713">
        <f t="shared" si="7"/>
        <v>0.479852964158315</v>
      </c>
      <c r="L445" s="2711"/>
      <c r="M445" s="2715" t="s">
        <v>1406</v>
      </c>
    </row>
    <row r="446" s="2677" customFormat="1" ht="12" spans="1:13">
      <c r="A446" s="2775"/>
      <c r="B446" s="2784"/>
      <c r="C446" s="2728"/>
      <c r="D446" s="730"/>
      <c r="E446" s="730"/>
      <c r="F446" s="2764" t="s">
        <v>885</v>
      </c>
      <c r="G446" s="2712" t="s">
        <v>886</v>
      </c>
      <c r="H446" s="2713">
        <v>0.142570206896552</v>
      </c>
      <c r="I446" s="2713">
        <v>0.7777</v>
      </c>
      <c r="J446" s="2713">
        <v>0.4</v>
      </c>
      <c r="K446" s="2713">
        <f t="shared" si="7"/>
        <v>1.32027020689655</v>
      </c>
      <c r="L446" s="2712"/>
      <c r="M446" s="2715" t="s">
        <v>1406</v>
      </c>
    </row>
    <row r="447" s="2678" customFormat="1" ht="12" spans="1:13">
      <c r="A447" s="2775"/>
      <c r="B447" s="2796"/>
      <c r="C447" s="2728"/>
      <c r="D447" s="730"/>
      <c r="E447" s="730"/>
      <c r="F447" s="2764" t="s">
        <v>393</v>
      </c>
      <c r="G447" s="2712" t="s">
        <v>394</v>
      </c>
      <c r="H447" s="2713">
        <v>0.369664179310344</v>
      </c>
      <c r="I447" s="2713">
        <v>1.1009</v>
      </c>
      <c r="J447" s="2713">
        <v>0.2</v>
      </c>
      <c r="K447" s="2713">
        <f t="shared" si="7"/>
        <v>1.67056417931034</v>
      </c>
      <c r="L447" s="2712"/>
      <c r="M447" s="2715" t="s">
        <v>1406</v>
      </c>
    </row>
    <row r="448" s="2677" customFormat="1" ht="12" spans="1:13">
      <c r="A448" s="2775"/>
      <c r="B448" s="2764"/>
      <c r="C448" s="2764"/>
      <c r="D448" s="730"/>
      <c r="E448" s="2776">
        <v>7.17</v>
      </c>
      <c r="F448" s="2764" t="s">
        <v>791</v>
      </c>
      <c r="G448" s="2799" t="s">
        <v>562</v>
      </c>
      <c r="H448" s="2713">
        <v>0.383528918024967</v>
      </c>
      <c r="I448" s="2713">
        <v>1.6133115509942</v>
      </c>
      <c r="J448" s="2714" t="e">
        <f>#REF!/E448/1.13</f>
        <v>#REF!</v>
      </c>
      <c r="K448" s="2713" t="e">
        <f t="shared" si="7"/>
        <v>#REF!</v>
      </c>
      <c r="L448" s="2711"/>
      <c r="M448" s="2715" t="s">
        <v>1406</v>
      </c>
    </row>
    <row r="449" s="2677" customFormat="1" ht="12" spans="1:13">
      <c r="A449" s="2775"/>
      <c r="B449" s="2711"/>
      <c r="C449" s="2711"/>
      <c r="D449" s="730"/>
      <c r="E449" s="730"/>
      <c r="F449" s="2711" t="s">
        <v>888</v>
      </c>
      <c r="G449" s="2712" t="s">
        <v>889</v>
      </c>
      <c r="H449" s="2713">
        <v>0.110363988449125</v>
      </c>
      <c r="I449" s="2713">
        <v>0.616945812807882</v>
      </c>
      <c r="J449" s="2713">
        <v>0.4</v>
      </c>
      <c r="K449" s="2713">
        <f t="shared" si="7"/>
        <v>1.12730980125701</v>
      </c>
      <c r="L449" s="2712"/>
      <c r="M449" s="2715" t="s">
        <v>1406</v>
      </c>
    </row>
    <row r="450" s="2677" customFormat="1" ht="13.2" spans="1:13">
      <c r="A450" s="2775"/>
      <c r="B450" s="2764"/>
      <c r="C450" s="2764"/>
      <c r="D450" s="730"/>
      <c r="E450" s="730"/>
      <c r="F450" s="2764"/>
      <c r="G450" s="243" t="s">
        <v>890</v>
      </c>
      <c r="H450" s="2713">
        <v>4.51489043655512</v>
      </c>
      <c r="I450" s="2713">
        <v>15.5729064039409</v>
      </c>
      <c r="J450" s="2713">
        <v>3.54861111111111</v>
      </c>
      <c r="K450" s="2713">
        <f t="shared" si="7"/>
        <v>23.6364079516071</v>
      </c>
      <c r="L450" s="2711" t="s">
        <v>1437</v>
      </c>
      <c r="M450" s="2715" t="s">
        <v>1406</v>
      </c>
    </row>
    <row r="451" s="2677" customFormat="1" ht="13.2" spans="1:13">
      <c r="A451" s="2775"/>
      <c r="B451" s="2764"/>
      <c r="C451" s="2764"/>
      <c r="D451" s="730"/>
      <c r="E451" s="730"/>
      <c r="F451" s="2764"/>
      <c r="G451" s="243" t="s">
        <v>892</v>
      </c>
      <c r="H451" s="2713">
        <v>0.351158145065399</v>
      </c>
      <c r="I451" s="2713">
        <v>0.676650246305419</v>
      </c>
      <c r="J451" s="2713">
        <v>3.54861111111111</v>
      </c>
      <c r="K451" s="2713">
        <f t="shared" si="7"/>
        <v>4.57641950248193</v>
      </c>
      <c r="L451" s="2711" t="s">
        <v>1438</v>
      </c>
      <c r="M451" s="2715" t="s">
        <v>1406</v>
      </c>
    </row>
    <row r="452" s="2677" customFormat="1" ht="13.2" spans="1:13">
      <c r="A452" s="2775"/>
      <c r="B452" s="2764"/>
      <c r="C452" s="2764"/>
      <c r="D452" s="730"/>
      <c r="E452" s="730"/>
      <c r="F452" s="2764"/>
      <c r="G452" s="243" t="s">
        <v>893</v>
      </c>
      <c r="H452" s="2713">
        <v>0.351158145065399</v>
      </c>
      <c r="I452" s="2713">
        <v>0.537339901477833</v>
      </c>
      <c r="J452" s="2713">
        <v>0.2</v>
      </c>
      <c r="K452" s="2713">
        <f t="shared" si="7"/>
        <v>1.08849804654323</v>
      </c>
      <c r="L452" s="2711"/>
      <c r="M452" s="2715" t="s">
        <v>1406</v>
      </c>
    </row>
    <row r="453" s="2678" customFormat="1" ht="12" spans="1:13">
      <c r="A453" s="2775"/>
      <c r="B453" s="2711"/>
      <c r="C453" s="2711"/>
      <c r="D453" s="730"/>
      <c r="E453" s="730"/>
      <c r="F453" s="2711" t="s">
        <v>393</v>
      </c>
      <c r="G453" s="2712" t="s">
        <v>394</v>
      </c>
      <c r="H453" s="2713">
        <v>0.369664179310344</v>
      </c>
      <c r="I453" s="2713">
        <v>1.1009</v>
      </c>
      <c r="J453" s="2713">
        <v>0.2</v>
      </c>
      <c r="K453" s="2713">
        <f t="shared" si="7"/>
        <v>1.67056417931034</v>
      </c>
      <c r="L453" s="2712"/>
      <c r="M453" s="2715" t="s">
        <v>1406</v>
      </c>
    </row>
    <row r="454" s="2677" customFormat="1" ht="12" spans="1:13">
      <c r="A454" s="2775"/>
      <c r="B454" s="2711"/>
      <c r="C454" s="2711"/>
      <c r="D454" s="730"/>
      <c r="E454" s="2776">
        <v>7.17</v>
      </c>
      <c r="F454" s="2711" t="s">
        <v>885</v>
      </c>
      <c r="G454" s="2712" t="s">
        <v>886</v>
      </c>
      <c r="H454" s="2713">
        <v>0.142570206896552</v>
      </c>
      <c r="I454" s="2713">
        <v>0.7777</v>
      </c>
      <c r="J454" s="2713">
        <v>0.4</v>
      </c>
      <c r="K454" s="2713">
        <f t="shared" si="7"/>
        <v>1.32027020689655</v>
      </c>
      <c r="L454" s="2712"/>
      <c r="M454" s="2715" t="s">
        <v>1406</v>
      </c>
    </row>
    <row r="455" s="2677" customFormat="1" ht="12" spans="1:13">
      <c r="A455" s="2775"/>
      <c r="B455" s="2711"/>
      <c r="C455" s="2711"/>
      <c r="D455" s="730"/>
      <c r="E455" s="730"/>
      <c r="F455" s="2711" t="s">
        <v>896</v>
      </c>
      <c r="G455" s="2712" t="s">
        <v>897</v>
      </c>
      <c r="H455" s="2713">
        <v>0.152753793103448</v>
      </c>
      <c r="I455" s="2713">
        <v>0.9999</v>
      </c>
      <c r="J455" s="2713">
        <v>0.4</v>
      </c>
      <c r="K455" s="2713">
        <f t="shared" ref="K455:K502" si="8">SUM(H455:J455)</f>
        <v>1.55265379310345</v>
      </c>
      <c r="L455" s="2712"/>
      <c r="M455" s="2715" t="s">
        <v>1406</v>
      </c>
    </row>
    <row r="456" s="2677" customFormat="1" ht="12" spans="1:13">
      <c r="A456" s="2775"/>
      <c r="B456" s="2711"/>
      <c r="C456" s="2711"/>
      <c r="D456" s="730"/>
      <c r="E456" s="730"/>
      <c r="F456" s="2711" t="s">
        <v>899</v>
      </c>
      <c r="G456" s="2736" t="s">
        <v>900</v>
      </c>
      <c r="H456" s="2713">
        <v>0.521720672668593</v>
      </c>
      <c r="I456" s="2713">
        <v>4.05990147783252</v>
      </c>
      <c r="J456" s="2713">
        <v>0.4</v>
      </c>
      <c r="K456" s="2713">
        <f t="shared" si="8"/>
        <v>4.98162215050111</v>
      </c>
      <c r="L456" s="2712" t="s">
        <v>840</v>
      </c>
      <c r="M456" s="2715" t="s">
        <v>1406</v>
      </c>
    </row>
    <row r="457" s="2677" customFormat="1" ht="12" spans="1:13">
      <c r="A457" s="2775"/>
      <c r="B457" s="2764"/>
      <c r="C457" s="2764"/>
      <c r="D457" s="730"/>
      <c r="E457" s="730"/>
      <c r="F457" s="2764" t="s">
        <v>901</v>
      </c>
      <c r="G457" s="2712" t="s">
        <v>580</v>
      </c>
      <c r="H457" s="2713">
        <v>0.58191921182266</v>
      </c>
      <c r="I457" s="2713">
        <v>2.80610837438424</v>
      </c>
      <c r="J457" s="2713">
        <v>0.4</v>
      </c>
      <c r="K457" s="2713">
        <f t="shared" si="8"/>
        <v>3.7880275862069</v>
      </c>
      <c r="L457" s="2711" t="s">
        <v>581</v>
      </c>
      <c r="M457" s="2715" t="s">
        <v>1406</v>
      </c>
    </row>
    <row r="458" s="2677" customFormat="1" ht="12" spans="1:13">
      <c r="A458" s="2775"/>
      <c r="B458" s="2711"/>
      <c r="C458" s="2711"/>
      <c r="D458" s="730"/>
      <c r="E458" s="730"/>
      <c r="F458" s="2711" t="s">
        <v>903</v>
      </c>
      <c r="G458" s="2712" t="s">
        <v>904</v>
      </c>
      <c r="H458" s="2713">
        <v>0.142570206896552</v>
      </c>
      <c r="I458" s="2713">
        <v>0.7777</v>
      </c>
      <c r="J458" s="2713">
        <v>0.4</v>
      </c>
      <c r="K458" s="2713">
        <f t="shared" si="8"/>
        <v>1.32027020689655</v>
      </c>
      <c r="L458" s="2712"/>
      <c r="M458" s="2715" t="s">
        <v>1406</v>
      </c>
    </row>
    <row r="459" s="2678" customFormat="1" ht="12" spans="1:13">
      <c r="A459" s="2775"/>
      <c r="B459" s="2711"/>
      <c r="C459" s="2711"/>
      <c r="D459" s="730"/>
      <c r="E459" s="730"/>
      <c r="F459" s="2711" t="s">
        <v>906</v>
      </c>
      <c r="G459" s="2736" t="s">
        <v>907</v>
      </c>
      <c r="H459" s="2713">
        <v>0.369664179310344</v>
      </c>
      <c r="I459" s="2713">
        <v>1.212</v>
      </c>
      <c r="J459" s="2713">
        <v>0.2</v>
      </c>
      <c r="K459" s="2713">
        <f t="shared" si="8"/>
        <v>1.78166417931034</v>
      </c>
      <c r="L459" s="2712"/>
      <c r="M459" s="2715" t="s">
        <v>1406</v>
      </c>
    </row>
    <row r="460" s="2679" customFormat="1" ht="13.2" spans="1:13">
      <c r="A460" s="2775"/>
      <c r="B460" s="2711"/>
      <c r="C460" s="2711"/>
      <c r="D460" s="730"/>
      <c r="E460" s="2776">
        <v>7.17</v>
      </c>
      <c r="F460" s="2711" t="s">
        <v>908</v>
      </c>
      <c r="G460" s="2711" t="s">
        <v>909</v>
      </c>
      <c r="H460" s="2713">
        <v>0.376792689655172</v>
      </c>
      <c r="I460" s="2713">
        <v>0.7575</v>
      </c>
      <c r="J460" s="2713">
        <v>0.2</v>
      </c>
      <c r="K460" s="2713">
        <f t="shared" si="8"/>
        <v>1.33429268965517</v>
      </c>
      <c r="L460" s="2712"/>
      <c r="M460" s="2715" t="s">
        <v>1406</v>
      </c>
    </row>
    <row r="461" s="2679" customFormat="1" ht="13.2" spans="1:13">
      <c r="A461" s="2775"/>
      <c r="B461" s="2711"/>
      <c r="C461" s="2711"/>
      <c r="D461" s="730"/>
      <c r="E461" s="730"/>
      <c r="F461" s="2711" t="s">
        <v>910</v>
      </c>
      <c r="G461" s="2711" t="s">
        <v>911</v>
      </c>
      <c r="H461" s="2713">
        <v>0.300992695770341</v>
      </c>
      <c r="I461" s="2713">
        <v>0.666699507389163</v>
      </c>
      <c r="J461" s="2713">
        <v>0.4</v>
      </c>
      <c r="K461" s="2713">
        <f t="shared" si="8"/>
        <v>1.3676922031595</v>
      </c>
      <c r="L461" s="2712"/>
      <c r="M461" s="2715" t="s">
        <v>1406</v>
      </c>
    </row>
    <row r="462" s="2679" customFormat="1" ht="12" spans="1:13">
      <c r="A462" s="2775"/>
      <c r="B462" s="2711"/>
      <c r="C462" s="2711"/>
      <c r="D462" s="730"/>
      <c r="E462" s="730"/>
      <c r="F462" s="2711" t="s">
        <v>912</v>
      </c>
      <c r="G462" s="2711" t="s">
        <v>913</v>
      </c>
      <c r="H462" s="2713">
        <v>0.470481682758621</v>
      </c>
      <c r="I462" s="2713">
        <v>0.7373</v>
      </c>
      <c r="J462" s="2713">
        <v>0.4</v>
      </c>
      <c r="K462" s="2713">
        <f t="shared" si="8"/>
        <v>1.60778168275862</v>
      </c>
      <c r="L462" s="2712"/>
      <c r="M462" s="2715" t="s">
        <v>1406</v>
      </c>
    </row>
    <row r="463" s="2679" customFormat="1" ht="12" spans="1:13">
      <c r="A463" s="2775"/>
      <c r="B463" s="2711"/>
      <c r="C463" s="2711"/>
      <c r="D463" s="730"/>
      <c r="E463" s="730"/>
      <c r="F463" s="2711" t="s">
        <v>914</v>
      </c>
      <c r="G463" s="2711" t="s">
        <v>915</v>
      </c>
      <c r="H463" s="2713">
        <v>0.369664179310344</v>
      </c>
      <c r="I463" s="2713">
        <v>0.7373</v>
      </c>
      <c r="J463" s="2713">
        <v>0.2</v>
      </c>
      <c r="K463" s="2713">
        <f t="shared" si="8"/>
        <v>1.30696417931034</v>
      </c>
      <c r="L463" s="2711"/>
      <c r="M463" s="2715" t="s">
        <v>1406</v>
      </c>
    </row>
    <row r="464" s="2677" customFormat="1" ht="12" spans="1:13">
      <c r="A464" s="2775"/>
      <c r="B464" s="2711"/>
      <c r="C464" s="2711"/>
      <c r="D464" s="730"/>
      <c r="E464" s="730"/>
      <c r="F464" s="2711" t="s">
        <v>916</v>
      </c>
      <c r="G464" s="2736" t="s">
        <v>417</v>
      </c>
      <c r="H464" s="2713">
        <v>0.804503310344828</v>
      </c>
      <c r="I464" s="2713">
        <v>5.2015</v>
      </c>
      <c r="J464" s="2713">
        <v>0.4</v>
      </c>
      <c r="K464" s="2800">
        <f t="shared" si="8"/>
        <v>6.40600331034483</v>
      </c>
      <c r="L464" s="2712" t="s">
        <v>840</v>
      </c>
      <c r="M464" s="2715" t="s">
        <v>1406</v>
      </c>
    </row>
    <row r="465" s="2677" customFormat="1" ht="12" spans="1:13">
      <c r="A465" s="2775"/>
      <c r="B465" s="2778"/>
      <c r="C465" s="2711"/>
      <c r="D465" s="730"/>
      <c r="E465" s="2776">
        <v>7.17</v>
      </c>
      <c r="F465" s="2711" t="s">
        <v>917</v>
      </c>
      <c r="G465" s="2759" t="s">
        <v>918</v>
      </c>
      <c r="H465" s="2713">
        <v>0.32587475862069</v>
      </c>
      <c r="I465" s="2713">
        <v>0.2828</v>
      </c>
      <c r="J465" s="2714">
        <v>0.2</v>
      </c>
      <c r="K465" s="2713">
        <f t="shared" si="8"/>
        <v>0.80867475862069</v>
      </c>
      <c r="L465" s="2736"/>
      <c r="M465" s="2715"/>
    </row>
    <row r="466" s="2677" customFormat="1" ht="12" spans="1:13">
      <c r="A466" s="2775"/>
      <c r="B466" s="2779"/>
      <c r="C466" s="2764"/>
      <c r="D466" s="730"/>
      <c r="E466" s="730"/>
      <c r="F466" s="2764" t="s">
        <v>919</v>
      </c>
      <c r="G466" s="2719" t="s">
        <v>920</v>
      </c>
      <c r="H466" s="2713">
        <v>0.120397078308137</v>
      </c>
      <c r="I466" s="2713">
        <v>0.199014778325123</v>
      </c>
      <c r="J466" s="2714">
        <v>0.2</v>
      </c>
      <c r="K466" s="2713">
        <f t="shared" si="8"/>
        <v>0.51941185663326</v>
      </c>
      <c r="L466" s="2712"/>
      <c r="M466" s="2715"/>
    </row>
    <row r="467" s="2677" customFormat="1" ht="12" spans="1:13">
      <c r="A467" s="2775"/>
      <c r="B467" s="2784"/>
      <c r="C467" s="2764"/>
      <c r="D467" s="730"/>
      <c r="E467" s="2776">
        <v>7.17</v>
      </c>
      <c r="F467" s="2764" t="s">
        <v>921</v>
      </c>
      <c r="G467" s="2712" t="s">
        <v>922</v>
      </c>
      <c r="H467" s="2713">
        <v>0.337950869697895</v>
      </c>
      <c r="I467" s="2713">
        <v>0.589766832681622</v>
      </c>
      <c r="J467" s="2713">
        <v>0.2</v>
      </c>
      <c r="K467" s="2713">
        <f t="shared" si="8"/>
        <v>1.12771770237952</v>
      </c>
      <c r="L467" s="2712"/>
      <c r="M467" s="2715" t="s">
        <v>1406</v>
      </c>
    </row>
    <row r="468" s="2677" customFormat="1" ht="12" spans="1:13">
      <c r="A468" s="2775"/>
      <c r="B468" s="2784"/>
      <c r="C468" s="2764"/>
      <c r="D468" s="730"/>
      <c r="E468" s="2776"/>
      <c r="F468" s="2764" t="s">
        <v>923</v>
      </c>
      <c r="G468" s="2712" t="s">
        <v>924</v>
      </c>
      <c r="H468" s="2713">
        <v>0.421389774078478</v>
      </c>
      <c r="I468" s="2713">
        <v>0.666699507389163</v>
      </c>
      <c r="J468" s="2713">
        <v>0.2</v>
      </c>
      <c r="K468" s="2713">
        <f t="shared" si="8"/>
        <v>1.28808928146764</v>
      </c>
      <c r="L468" s="2712"/>
      <c r="M468" s="2715" t="s">
        <v>1406</v>
      </c>
    </row>
    <row r="469" s="2677" customFormat="1" ht="12" spans="1:13">
      <c r="A469" s="2775"/>
      <c r="B469" s="2784"/>
      <c r="C469" s="2764">
        <v>20241127</v>
      </c>
      <c r="D469" s="730">
        <v>7.25</v>
      </c>
      <c r="E469" s="2776">
        <v>7.17</v>
      </c>
      <c r="F469" s="2764" t="s">
        <v>925</v>
      </c>
      <c r="G469" s="2712" t="s">
        <v>926</v>
      </c>
      <c r="H469" s="2713">
        <v>0.376075165386191</v>
      </c>
      <c r="I469" s="2713">
        <v>0.960220724524693</v>
      </c>
      <c r="J469" s="2713">
        <v>0.2</v>
      </c>
      <c r="K469" s="2713">
        <f t="shared" si="8"/>
        <v>1.53629588991088</v>
      </c>
      <c r="L469" s="2712"/>
      <c r="M469" s="2715" t="s">
        <v>1406</v>
      </c>
    </row>
    <row r="470" s="2677" customFormat="1" ht="12" spans="1:13">
      <c r="A470" s="2775"/>
      <c r="B470" s="2784"/>
      <c r="C470" s="2764"/>
      <c r="D470" s="730"/>
      <c r="E470" s="730"/>
      <c r="F470" s="2764" t="s">
        <v>927</v>
      </c>
      <c r="G470" s="2712" t="s">
        <v>928</v>
      </c>
      <c r="H470" s="2713">
        <v>0.411356684219466</v>
      </c>
      <c r="I470" s="2713">
        <v>0.766206896551724</v>
      </c>
      <c r="J470" s="2713">
        <v>0.2</v>
      </c>
      <c r="K470" s="2713">
        <f t="shared" si="8"/>
        <v>1.37756358077119</v>
      </c>
      <c r="L470" s="2712"/>
      <c r="M470" s="2715" t="s">
        <v>1406</v>
      </c>
    </row>
    <row r="471" s="2677" customFormat="1" ht="12" spans="1:13">
      <c r="A471" s="2775"/>
      <c r="B471" s="2784"/>
      <c r="C471" s="2764"/>
      <c r="D471" s="730"/>
      <c r="E471" s="730"/>
      <c r="F471" s="2764" t="s">
        <v>929</v>
      </c>
      <c r="G471" s="2712" t="s">
        <v>930</v>
      </c>
      <c r="H471" s="2713">
        <v>0.0100330898590114</v>
      </c>
      <c r="I471" s="2713">
        <v>0.0696551724137931</v>
      </c>
      <c r="J471" s="2713">
        <v>0.4</v>
      </c>
      <c r="K471" s="2713">
        <f t="shared" si="8"/>
        <v>0.479688262272805</v>
      </c>
      <c r="L471" s="2712"/>
      <c r="M471" s="2715" t="s">
        <v>1406</v>
      </c>
    </row>
    <row r="472" s="2677" customFormat="1" ht="12" spans="1:13">
      <c r="A472" s="2775"/>
      <c r="B472" s="2784"/>
      <c r="C472" s="2764"/>
      <c r="D472" s="730"/>
      <c r="E472" s="730"/>
      <c r="F472" s="2764" t="s">
        <v>805</v>
      </c>
      <c r="G472" s="2712" t="s">
        <v>806</v>
      </c>
      <c r="H472" s="2713">
        <v>0.285898666778908</v>
      </c>
      <c r="I472" s="2713">
        <v>0.903462041698871</v>
      </c>
      <c r="J472" s="2713">
        <v>0.2</v>
      </c>
      <c r="K472" s="2713">
        <f t="shared" si="8"/>
        <v>1.38936070847778</v>
      </c>
      <c r="L472" s="2712"/>
      <c r="M472" s="2715" t="s">
        <v>1406</v>
      </c>
    </row>
    <row r="473" s="2677" customFormat="1" ht="12" spans="1:13">
      <c r="A473" s="2775"/>
      <c r="B473" s="2784"/>
      <c r="C473" s="2764"/>
      <c r="D473" s="730"/>
      <c r="E473" s="730"/>
      <c r="F473" s="2764" t="s">
        <v>931</v>
      </c>
      <c r="G473" s="2712" t="s">
        <v>932</v>
      </c>
      <c r="H473" s="2713">
        <v>0.341125055206387</v>
      </c>
      <c r="I473" s="2713">
        <v>0.865714285714286</v>
      </c>
      <c r="J473" s="2713">
        <v>0.2</v>
      </c>
      <c r="K473" s="2713">
        <f t="shared" si="8"/>
        <v>1.40683934092067</v>
      </c>
      <c r="L473" s="2711"/>
      <c r="M473" s="2715" t="s">
        <v>1406</v>
      </c>
    </row>
    <row r="474" s="2677" customFormat="1" ht="12" spans="1:13">
      <c r="A474" s="2775"/>
      <c r="B474" s="2796"/>
      <c r="C474" s="2764"/>
      <c r="D474" s="730"/>
      <c r="E474" s="730"/>
      <c r="F474" s="2764" t="s">
        <v>933</v>
      </c>
      <c r="G474" s="2712" t="s">
        <v>934</v>
      </c>
      <c r="H474" s="2713">
        <v>0.260860336334295</v>
      </c>
      <c r="I474" s="2713">
        <v>0.825911330049261</v>
      </c>
      <c r="J474" s="2713">
        <v>0.2</v>
      </c>
      <c r="K474" s="2713">
        <f t="shared" si="8"/>
        <v>1.28677166638356</v>
      </c>
      <c r="L474" s="2711"/>
      <c r="M474" s="2715" t="s">
        <v>1406</v>
      </c>
    </row>
    <row r="475" s="2677" customFormat="1" ht="15" customHeight="1" spans="1:13">
      <c r="A475" s="2775"/>
      <c r="B475" s="2731" t="s">
        <v>935</v>
      </c>
      <c r="C475" s="2731">
        <v>20250912</v>
      </c>
      <c r="D475" s="730">
        <v>7.25</v>
      </c>
      <c r="E475" s="2776">
        <v>7.13</v>
      </c>
      <c r="F475" s="2731" t="s">
        <v>936</v>
      </c>
      <c r="G475" s="2731" t="s">
        <v>937</v>
      </c>
      <c r="H475" s="2713">
        <v>0.336121151688895</v>
      </c>
      <c r="I475" s="2713">
        <v>0.819508311432756</v>
      </c>
      <c r="J475" s="2714">
        <v>0.2</v>
      </c>
      <c r="K475" s="2713">
        <f t="shared" si="8"/>
        <v>1.35562946312165</v>
      </c>
      <c r="L475" s="2731"/>
      <c r="M475" s="2715"/>
    </row>
    <row r="476" s="2677" customFormat="1" ht="15" customHeight="1" spans="1:13">
      <c r="A476" s="2775"/>
      <c r="B476" s="2801"/>
      <c r="C476" s="2731">
        <v>20240219</v>
      </c>
      <c r="D476" s="730">
        <v>7.2</v>
      </c>
      <c r="E476" s="2776">
        <v>7.17</v>
      </c>
      <c r="F476" s="2731" t="s">
        <v>938</v>
      </c>
      <c r="G476" s="2731" t="s">
        <v>939</v>
      </c>
      <c r="H476" s="2713">
        <v>0.298705803425107</v>
      </c>
      <c r="I476" s="2713">
        <v>0.864408398146743</v>
      </c>
      <c r="J476" s="2714">
        <v>0.2</v>
      </c>
      <c r="K476" s="2713">
        <f t="shared" si="8"/>
        <v>1.36311420157185</v>
      </c>
      <c r="L476" s="2731"/>
      <c r="M476" s="2715"/>
    </row>
    <row r="477" s="2677" customFormat="1" ht="15" customHeight="1" spans="1:13">
      <c r="A477" s="2775"/>
      <c r="B477" s="2802"/>
      <c r="C477" s="2731">
        <v>20240219</v>
      </c>
      <c r="D477" s="730">
        <v>7.2</v>
      </c>
      <c r="E477" s="2776">
        <v>7.17</v>
      </c>
      <c r="F477" s="2731" t="s">
        <v>940</v>
      </c>
      <c r="G477" s="2731" t="s">
        <v>941</v>
      </c>
      <c r="H477" s="2713">
        <v>0.298705803425107</v>
      </c>
      <c r="I477" s="2713">
        <v>1.03122335078203</v>
      </c>
      <c r="J477" s="2714">
        <v>0.2</v>
      </c>
      <c r="K477" s="2713">
        <f t="shared" si="8"/>
        <v>1.52992915420714</v>
      </c>
      <c r="L477" s="2731"/>
      <c r="M477" s="2715"/>
    </row>
    <row r="478" s="2679" customFormat="1" ht="12" spans="1:13">
      <c r="A478" s="2775"/>
      <c r="B478" s="2711" t="s">
        <v>942</v>
      </c>
      <c r="C478" s="2711"/>
      <c r="D478" s="730"/>
      <c r="E478" s="730"/>
      <c r="F478" s="2711" t="s">
        <v>943</v>
      </c>
      <c r="G478" s="2712" t="s">
        <v>944</v>
      </c>
      <c r="H478" s="2713">
        <v>0.461522133514523</v>
      </c>
      <c r="I478" s="2713">
        <v>0.567192118226601</v>
      </c>
      <c r="J478" s="2713">
        <v>0.2</v>
      </c>
      <c r="K478" s="2713">
        <f t="shared" si="8"/>
        <v>1.22871425174112</v>
      </c>
      <c r="L478" s="2711"/>
      <c r="M478" s="2715" t="s">
        <v>1406</v>
      </c>
    </row>
    <row r="479" s="2679" customFormat="1" ht="12" spans="1:13">
      <c r="A479" s="2775"/>
      <c r="B479" s="2711"/>
      <c r="C479" s="2711"/>
      <c r="D479" s="730"/>
      <c r="E479" s="730"/>
      <c r="F479" s="2711" t="s">
        <v>945</v>
      </c>
      <c r="G479" s="2712" t="s">
        <v>946</v>
      </c>
      <c r="H479" s="2713">
        <v>0.0401323594360455</v>
      </c>
      <c r="I479" s="2713">
        <v>0.0597044334975369</v>
      </c>
      <c r="J479" s="2713">
        <v>0.2</v>
      </c>
      <c r="K479" s="2713">
        <f t="shared" si="8"/>
        <v>0.299836792933582</v>
      </c>
      <c r="L479" s="2711"/>
      <c r="M479" s="2715" t="s">
        <v>1406</v>
      </c>
    </row>
    <row r="480" s="2679" customFormat="1" ht="12" spans="1:13">
      <c r="A480" s="2775"/>
      <c r="B480" s="2764" t="s">
        <v>768</v>
      </c>
      <c r="C480" s="2764"/>
      <c r="D480" s="730"/>
      <c r="E480" s="730"/>
      <c r="F480" s="2764" t="s">
        <v>947</v>
      </c>
      <c r="G480" s="2712" t="s">
        <v>948</v>
      </c>
      <c r="H480" s="2713">
        <v>0.371224324783421</v>
      </c>
      <c r="I480" s="2713">
        <v>2.01004926108374</v>
      </c>
      <c r="J480" s="2713">
        <v>0.2</v>
      </c>
      <c r="K480" s="2713">
        <f t="shared" si="8"/>
        <v>2.58127358586716</v>
      </c>
      <c r="L480" s="2711"/>
      <c r="M480" s="2715" t="s">
        <v>1406</v>
      </c>
    </row>
    <row r="481" s="2679" customFormat="1" ht="12" spans="1:13">
      <c r="A481" s="2775"/>
      <c r="B481" s="2764"/>
      <c r="C481" s="2764"/>
      <c r="D481" s="730"/>
      <c r="E481" s="730"/>
      <c r="F481" s="2764" t="s">
        <v>949</v>
      </c>
      <c r="G481" s="2712" t="s">
        <v>950</v>
      </c>
      <c r="H481" s="2713">
        <v>0.391290504501443</v>
      </c>
      <c r="I481" s="2713">
        <v>2.59714285714286</v>
      </c>
      <c r="J481" s="2713">
        <v>0.2</v>
      </c>
      <c r="K481" s="2713">
        <f t="shared" si="8"/>
        <v>3.1884333616443</v>
      </c>
      <c r="L481" s="2711"/>
      <c r="M481" s="2715" t="s">
        <v>1406</v>
      </c>
    </row>
    <row r="482" s="2677" customFormat="1" ht="13.2" spans="1:13">
      <c r="A482" s="2775"/>
      <c r="B482" s="2764"/>
      <c r="C482" s="2764"/>
      <c r="D482" s="730"/>
      <c r="E482" s="730"/>
      <c r="F482" s="2764" t="s">
        <v>951</v>
      </c>
      <c r="G482" s="2712" t="s">
        <v>952</v>
      </c>
      <c r="H482" s="2713">
        <v>0.461522133514523</v>
      </c>
      <c r="I482" s="2713">
        <v>3.74147783251232</v>
      </c>
      <c r="J482" s="2713">
        <v>0.2</v>
      </c>
      <c r="K482" s="2713">
        <f t="shared" si="8"/>
        <v>4.40299996602684</v>
      </c>
      <c r="L482" s="226" t="s">
        <v>953</v>
      </c>
      <c r="M482" s="2715" t="s">
        <v>1406</v>
      </c>
    </row>
    <row r="483" s="2677" customFormat="1" ht="12" spans="1:13">
      <c r="A483" s="2803"/>
      <c r="B483" s="2764"/>
      <c r="C483" s="2764"/>
      <c r="D483" s="730"/>
      <c r="E483" s="730"/>
      <c r="F483" s="2764" t="s">
        <v>827</v>
      </c>
      <c r="G483" s="2712" t="s">
        <v>954</v>
      </c>
      <c r="H483" s="2713">
        <v>0.233551023565868</v>
      </c>
      <c r="I483" s="2713">
        <v>0.672222352510284</v>
      </c>
      <c r="J483" s="2713">
        <v>0.2</v>
      </c>
      <c r="K483" s="2713">
        <f t="shared" si="8"/>
        <v>1.10577337607615</v>
      </c>
      <c r="L483" s="2711"/>
      <c r="M483" s="2715" t="s">
        <v>1406</v>
      </c>
    </row>
    <row r="484" s="2679" customFormat="1" ht="13.2" spans="1:13">
      <c r="A484" s="2775"/>
      <c r="B484" s="2764"/>
      <c r="C484" s="2764">
        <v>20241009</v>
      </c>
      <c r="D484" s="730">
        <v>7.25</v>
      </c>
      <c r="E484" s="2776">
        <v>7.17</v>
      </c>
      <c r="F484" s="2764" t="s">
        <v>955</v>
      </c>
      <c r="G484" s="2712" t="s">
        <v>956</v>
      </c>
      <c r="H484" s="2713">
        <v>0.0722482871927988</v>
      </c>
      <c r="I484" s="2713">
        <v>0.000280810818329626</v>
      </c>
      <c r="J484" s="2713">
        <v>0.2</v>
      </c>
      <c r="K484" s="2713">
        <f t="shared" si="8"/>
        <v>0.272529098011128</v>
      </c>
      <c r="L484" s="226" t="s">
        <v>957</v>
      </c>
      <c r="M484" s="2715" t="s">
        <v>1406</v>
      </c>
    </row>
    <row r="485" s="2679" customFormat="1" ht="12" spans="1:13">
      <c r="A485" s="2775"/>
      <c r="B485" s="2764"/>
      <c r="C485" s="2764">
        <v>20241009</v>
      </c>
      <c r="D485" s="730">
        <v>7.11</v>
      </c>
      <c r="E485" s="2776">
        <v>7.17</v>
      </c>
      <c r="F485" s="2764" t="s">
        <v>958</v>
      </c>
      <c r="G485" s="2712" t="s">
        <v>959</v>
      </c>
      <c r="H485" s="2713">
        <v>0.289513702966184</v>
      </c>
      <c r="I485" s="2713">
        <v>0.123378062271554</v>
      </c>
      <c r="J485" s="2713">
        <v>0.2</v>
      </c>
      <c r="K485" s="2713">
        <f t="shared" si="8"/>
        <v>0.612891765237738</v>
      </c>
      <c r="L485" s="2711"/>
      <c r="M485" s="2715" t="s">
        <v>1406</v>
      </c>
    </row>
    <row r="486" s="2679" customFormat="1" ht="13.2" spans="1:13">
      <c r="A486" s="2775"/>
      <c r="B486" s="2764"/>
      <c r="C486" s="2764">
        <v>20241009</v>
      </c>
      <c r="D486" s="730">
        <v>7.11</v>
      </c>
      <c r="E486" s="2776">
        <v>7.17</v>
      </c>
      <c r="F486" s="2764" t="s">
        <v>960</v>
      </c>
      <c r="G486" s="2712" t="s">
        <v>961</v>
      </c>
      <c r="H486" s="2713">
        <v>0.155096626589028</v>
      </c>
      <c r="I486" s="2713">
        <v>4.51211928543286</v>
      </c>
      <c r="J486" s="2713">
        <v>1.47679324894515</v>
      </c>
      <c r="K486" s="2713">
        <f t="shared" si="8"/>
        <v>6.14400916096704</v>
      </c>
      <c r="L486" s="2711" t="s">
        <v>962</v>
      </c>
      <c r="M486" s="2715" t="s">
        <v>1406</v>
      </c>
    </row>
    <row r="487" s="2686" customFormat="1" ht="17" customHeight="1" spans="1:13">
      <c r="A487" s="2804"/>
      <c r="B487" s="2805"/>
      <c r="C487" s="2710">
        <v>20250212</v>
      </c>
      <c r="D487" s="730">
        <v>7.3</v>
      </c>
      <c r="E487" s="2776">
        <v>7.17</v>
      </c>
      <c r="F487" s="2711" t="s">
        <v>964</v>
      </c>
      <c r="G487" s="2711" t="s">
        <v>965</v>
      </c>
      <c r="H487" s="2713">
        <v>1.81090255855006</v>
      </c>
      <c r="I487" s="2713">
        <v>8.83012172450433</v>
      </c>
      <c r="J487" s="2714">
        <v>2</v>
      </c>
      <c r="K487" s="2713">
        <f t="shared" si="8"/>
        <v>12.6410242830544</v>
      </c>
      <c r="L487" s="2711" t="s">
        <v>966</v>
      </c>
    </row>
    <row r="488" s="2686" customFormat="1" ht="17" customHeight="1" spans="1:13">
      <c r="A488" s="2804"/>
      <c r="B488" s="2805"/>
      <c r="C488" s="2710">
        <v>20240829</v>
      </c>
      <c r="D488" s="730">
        <v>7.12</v>
      </c>
      <c r="E488" s="2776">
        <v>7.17</v>
      </c>
      <c r="F488" s="2711" t="s">
        <v>967</v>
      </c>
      <c r="G488" s="2712" t="s">
        <v>968</v>
      </c>
      <c r="H488" s="2713">
        <v>1.89460053118573</v>
      </c>
      <c r="I488" s="2713">
        <v>7.70108555819938</v>
      </c>
      <c r="J488" s="2714">
        <v>2</v>
      </c>
      <c r="K488" s="2713">
        <f t="shared" si="8"/>
        <v>11.5956860893851</v>
      </c>
      <c r="L488" s="226" t="s">
        <v>969</v>
      </c>
    </row>
    <row r="489" s="2686" customFormat="1" ht="17" customHeight="1" spans="1:13">
      <c r="A489" s="2804"/>
      <c r="B489" s="2732"/>
      <c r="C489" s="2710">
        <v>20240813</v>
      </c>
      <c r="D489" s="730">
        <v>7.15</v>
      </c>
      <c r="E489" s="2776">
        <v>7.17</v>
      </c>
      <c r="F489" s="2711" t="s">
        <v>970</v>
      </c>
      <c r="G489" s="2712" t="s">
        <v>971</v>
      </c>
      <c r="H489" s="2713">
        <v>1.87873513948147</v>
      </c>
      <c r="I489" s="2713">
        <v>7.63689048105358</v>
      </c>
      <c r="J489" s="2714">
        <f>4</f>
        <v>4</v>
      </c>
      <c r="K489" s="2713">
        <f t="shared" si="8"/>
        <v>13.5156256205351</v>
      </c>
      <c r="L489" s="226" t="s">
        <v>972</v>
      </c>
    </row>
    <row r="490" s="2678" customFormat="1" ht="13.2" spans="1:13">
      <c r="A490" s="2804"/>
      <c r="B490" s="2711" t="s">
        <v>973</v>
      </c>
      <c r="C490" s="2711">
        <v>20240906</v>
      </c>
      <c r="D490" s="2711">
        <v>7.11</v>
      </c>
      <c r="E490" s="2776">
        <v>7.17</v>
      </c>
      <c r="F490" s="2711" t="s">
        <v>974</v>
      </c>
      <c r="G490" s="2712" t="s">
        <v>975</v>
      </c>
      <c r="H490" s="2713">
        <v>0.168021345471445</v>
      </c>
      <c r="I490" s="2713">
        <v>3.42426508264185</v>
      </c>
      <c r="J490" s="2714">
        <v>0.2</v>
      </c>
      <c r="K490" s="2713">
        <f t="shared" si="8"/>
        <v>3.7922864281133</v>
      </c>
      <c r="L490" s="226" t="s">
        <v>976</v>
      </c>
    </row>
    <row r="491" s="2687" customFormat="1" ht="12" spans="1:13">
      <c r="A491" s="2806"/>
      <c r="B491" s="2807"/>
      <c r="C491" s="2807">
        <v>20251011</v>
      </c>
      <c r="D491" s="2807"/>
      <c r="E491" s="2807">
        <v>7.13</v>
      </c>
      <c r="F491" s="2807" t="s">
        <v>977</v>
      </c>
      <c r="G491" s="2808" t="s">
        <v>978</v>
      </c>
      <c r="H491" s="2713">
        <v>0.112822549615858</v>
      </c>
      <c r="I491" s="2713">
        <v>0.20706792624955</v>
      </c>
      <c r="J491" s="2809">
        <v>0.2</v>
      </c>
      <c r="K491" s="2810">
        <f t="shared" si="8"/>
        <v>0.519890475865408</v>
      </c>
      <c r="L491" s="2807"/>
    </row>
    <row r="492" s="2678" customFormat="1" ht="16" customHeight="1" spans="1:13">
      <c r="A492" s="2804"/>
      <c r="B492" s="2764" t="s">
        <v>979</v>
      </c>
      <c r="C492" s="2764">
        <v>20240904</v>
      </c>
      <c r="D492" s="2764">
        <v>7.11</v>
      </c>
      <c r="E492" s="2776">
        <v>7.17</v>
      </c>
      <c r="F492" s="2764" t="s">
        <v>980</v>
      </c>
      <c r="G492" s="2711" t="s">
        <v>981</v>
      </c>
      <c r="H492" s="2713">
        <v>0.116322469941771</v>
      </c>
      <c r="I492" s="2713">
        <v>0.170108574003167</v>
      </c>
      <c r="J492" s="2714">
        <v>0.2</v>
      </c>
      <c r="K492" s="2713">
        <f t="shared" si="8"/>
        <v>0.486431043944938</v>
      </c>
      <c r="L492" s="2737"/>
    </row>
    <row r="493" s="2678" customFormat="1" ht="16" customHeight="1" spans="1:13">
      <c r="A493" s="2804"/>
      <c r="B493" s="2764"/>
      <c r="C493" s="2764"/>
      <c r="D493" s="2764"/>
      <c r="E493" s="2764"/>
      <c r="F493" s="2764" t="s">
        <v>982</v>
      </c>
      <c r="G493" s="2711" t="s">
        <v>983</v>
      </c>
      <c r="H493" s="2713">
        <v>0.0320976168480193</v>
      </c>
      <c r="I493" s="2713">
        <v>0.183351463625685</v>
      </c>
      <c r="J493" s="2714">
        <v>0.2</v>
      </c>
      <c r="K493" s="2713">
        <f t="shared" si="8"/>
        <v>0.415449080473704</v>
      </c>
      <c r="L493" s="2711"/>
    </row>
    <row r="494" s="2678" customFormat="1" ht="15" customHeight="1" spans="1:13">
      <c r="A494" s="2804"/>
      <c r="B494" s="2712"/>
      <c r="C494" s="2711"/>
      <c r="D494" s="730"/>
      <c r="E494" s="730"/>
      <c r="F494" s="2711" t="s">
        <v>985</v>
      </c>
      <c r="G494" s="2712" t="s">
        <v>986</v>
      </c>
      <c r="H494" s="2713">
        <v>0.352498849993461</v>
      </c>
      <c r="I494" s="2713">
        <v>1.42664016290284</v>
      </c>
      <c r="J494" s="2714">
        <v>0.2</v>
      </c>
      <c r="K494" s="2794">
        <f t="shared" si="8"/>
        <v>1.9791390128963</v>
      </c>
      <c r="L494" s="2793"/>
    </row>
    <row r="495" s="2688" customFormat="1" ht="15" customHeight="1" spans="1:13">
      <c r="A495" s="2804"/>
      <c r="B495" s="2712"/>
      <c r="C495" s="2711">
        <v>20250219</v>
      </c>
      <c r="D495" s="730">
        <v>7.3</v>
      </c>
      <c r="E495" s="2776">
        <v>7.17</v>
      </c>
      <c r="F495" s="2711" t="s">
        <v>987</v>
      </c>
      <c r="G495" s="2712" t="s">
        <v>988</v>
      </c>
      <c r="H495" s="2713">
        <v>0.360569107943821</v>
      </c>
      <c r="I495" s="2713">
        <v>1.11687312164755</v>
      </c>
      <c r="J495" s="2714">
        <v>0.2</v>
      </c>
      <c r="K495" s="2713">
        <f t="shared" si="8"/>
        <v>1.67744222959137</v>
      </c>
      <c r="L495" s="2712"/>
    </row>
    <row r="496" s="2679" customFormat="1" ht="15" customHeight="1" spans="1:13">
      <c r="A496" s="2804"/>
      <c r="B496" s="2712"/>
      <c r="C496" s="2711"/>
      <c r="D496" s="730"/>
      <c r="E496" s="730"/>
      <c r="F496" s="2711" t="s">
        <v>943</v>
      </c>
      <c r="G496" s="2712" t="s">
        <v>944</v>
      </c>
      <c r="H496" s="2713">
        <v>0.461522133514523</v>
      </c>
      <c r="I496" s="2713">
        <v>0.571886121963649</v>
      </c>
      <c r="J496" s="2714">
        <v>0.4</v>
      </c>
      <c r="K496" s="2811">
        <f t="shared" si="8"/>
        <v>1.43340825547817</v>
      </c>
      <c r="L496" s="2777"/>
    </row>
    <row r="497" s="2689" customFormat="1" ht="15" customHeight="1" spans="1:12">
      <c r="A497" s="2804"/>
      <c r="B497" s="2712"/>
      <c r="C497" s="2711">
        <v>20250219</v>
      </c>
      <c r="D497" s="730">
        <v>7.3</v>
      </c>
      <c r="E497" s="2776">
        <v>7.17</v>
      </c>
      <c r="F497" s="2711" t="s">
        <v>945</v>
      </c>
      <c r="G497" s="2712" t="s">
        <v>946</v>
      </c>
      <c r="H497" s="2713">
        <v>0.0617261862461907</v>
      </c>
      <c r="I497" s="2713">
        <v>0.0592137121263243</v>
      </c>
      <c r="J497" s="2714">
        <v>0.2</v>
      </c>
      <c r="K497" s="2713">
        <f t="shared" si="8"/>
        <v>0.320939898372515</v>
      </c>
      <c r="L497" s="2711"/>
    </row>
    <row r="498" s="2678" customFormat="1" ht="12" spans="1:12">
      <c r="A498" s="2804"/>
      <c r="B498" s="2711"/>
      <c r="C498" s="2711">
        <v>20250415</v>
      </c>
      <c r="D498" s="2711">
        <v>7.21</v>
      </c>
      <c r="E498" s="2776">
        <v>7.17</v>
      </c>
      <c r="F498" s="2711" t="s">
        <v>990</v>
      </c>
      <c r="G498" s="2711" t="s">
        <v>991</v>
      </c>
      <c r="H498" s="2713">
        <v>1.88430522995348</v>
      </c>
      <c r="I498" s="2713">
        <v>2.19069975386305</v>
      </c>
      <c r="J498" s="2714">
        <v>0.4</v>
      </c>
      <c r="K498" s="2713">
        <f t="shared" si="8"/>
        <v>4.47500498381653</v>
      </c>
      <c r="L498" s="2712"/>
    </row>
    <row r="499" spans="1:12">
      <c r="B499" s="2695" t="s">
        <v>236</v>
      </c>
      <c r="C499" s="2772">
        <v>20250903</v>
      </c>
      <c r="D499" s="2772"/>
      <c r="E499" s="2772">
        <v>7.13</v>
      </c>
      <c r="F499" s="2695" t="s">
        <v>992</v>
      </c>
      <c r="G499" s="2695" t="s">
        <v>993</v>
      </c>
      <c r="H499" s="2713">
        <v>0.651863620002731</v>
      </c>
      <c r="I499" s="2713">
        <v>2.03467291646557</v>
      </c>
      <c r="J499" s="2714">
        <v>0.2</v>
      </c>
      <c r="K499" s="2713">
        <f t="shared" si="8"/>
        <v>2.8865365364683</v>
      </c>
      <c r="L499" s="2695" t="s">
        <v>63</v>
      </c>
    </row>
    <row r="500" ht="13.2" spans="1:12">
      <c r="B500" s="2695" t="s">
        <v>236</v>
      </c>
      <c r="C500" s="2772">
        <v>20250903</v>
      </c>
      <c r="D500" s="2772"/>
      <c r="E500" s="2772">
        <v>7.13</v>
      </c>
      <c r="F500" s="2772" t="s">
        <v>994</v>
      </c>
      <c r="G500" s="2695" t="s">
        <v>995</v>
      </c>
      <c r="H500" s="2713">
        <v>0.648102868348869</v>
      </c>
      <c r="I500" s="2713">
        <v>2.83908919318768</v>
      </c>
      <c r="J500" s="2714">
        <v>0.4</v>
      </c>
      <c r="K500" s="2713">
        <f t="shared" si="8"/>
        <v>3.88719206153655</v>
      </c>
      <c r="L500" s="2695" t="s">
        <v>1439</v>
      </c>
    </row>
    <row r="501" spans="1:12">
      <c r="B501" s="2812" t="s">
        <v>41</v>
      </c>
      <c r="C501" s="2772">
        <v>20250909</v>
      </c>
      <c r="D501" s="2772"/>
      <c r="E501" s="2772">
        <v>7.13</v>
      </c>
      <c r="F501" s="2772" t="s">
        <v>997</v>
      </c>
      <c r="G501" s="2772" t="s">
        <v>998</v>
      </c>
      <c r="H501" s="2713">
        <v>0.328438977770607</v>
      </c>
      <c r="I501" s="2713">
        <v>2.34987749620162</v>
      </c>
      <c r="J501" s="2714">
        <v>0.2</v>
      </c>
      <c r="K501" s="2713">
        <f t="shared" si="8"/>
        <v>2.87831647397223</v>
      </c>
      <c r="L501" s="2695" t="s">
        <v>213</v>
      </c>
    </row>
    <row r="502" spans="1:12">
      <c r="B502" s="2695" t="s">
        <v>491</v>
      </c>
      <c r="C502" s="2772">
        <v>20250912</v>
      </c>
      <c r="D502" s="2772"/>
      <c r="E502" s="2772">
        <v>7.13</v>
      </c>
      <c r="F502" s="2772" t="s">
        <v>999</v>
      </c>
      <c r="G502" s="2772" t="s">
        <v>1000</v>
      </c>
      <c r="H502" s="2713">
        <v>0.388611004232397</v>
      </c>
      <c r="I502" s="2713">
        <v>0.86336912457578</v>
      </c>
      <c r="J502" s="2714">
        <v>0.2</v>
      </c>
      <c r="K502" s="2713">
        <f t="shared" si="8"/>
        <v>1.45198012880818</v>
      </c>
      <c r="L502" s="2695"/>
    </row>
    <row r="503" ht="13.2" spans="1:12">
      <c r="B503" s="2695" t="s">
        <v>1001</v>
      </c>
      <c r="C503" s="23">
        <v>20250221</v>
      </c>
      <c r="D503" s="21">
        <v>7.3</v>
      </c>
      <c r="E503" s="21">
        <v>7.24</v>
      </c>
      <c r="F503" s="23" t="s">
        <v>1002</v>
      </c>
      <c r="G503" s="20" t="s">
        <v>1003</v>
      </c>
      <c r="H503" s="2713">
        <v>0.623434481086527</v>
      </c>
      <c r="I503" s="2713">
        <v>1.80210627207478</v>
      </c>
      <c r="J503" s="37">
        <v>0.2</v>
      </c>
      <c r="K503" s="22">
        <v>2.60152549817951</v>
      </c>
      <c r="L503" s="750" t="s">
        <v>1004</v>
      </c>
    </row>
    <row r="504" ht="13.2" spans="1:12">
      <c r="B504" s="2695" t="s">
        <v>1001</v>
      </c>
      <c r="C504" s="23">
        <v>20240813</v>
      </c>
      <c r="D504" s="21">
        <v>7.15</v>
      </c>
      <c r="E504" s="21">
        <v>7.24</v>
      </c>
      <c r="F504" s="23" t="s">
        <v>1005</v>
      </c>
      <c r="G504" s="20" t="s">
        <v>1006</v>
      </c>
      <c r="H504" s="2713">
        <v>0.645415813223226</v>
      </c>
      <c r="I504" s="2713">
        <v>1.89487588654182</v>
      </c>
      <c r="J504" s="37">
        <v>0.4</v>
      </c>
      <c r="K504" s="22">
        <v>2.91514029679708</v>
      </c>
      <c r="L504" s="23"/>
    </row>
    <row r="505" ht="15" spans="1:12">
      <c r="B505" s="2695" t="s">
        <v>1007</v>
      </c>
      <c r="C505" s="23">
        <v>20250623</v>
      </c>
      <c r="D505" s="23">
        <v>7.19</v>
      </c>
      <c r="E505" s="21"/>
      <c r="F505" s="729" t="s">
        <v>1440</v>
      </c>
      <c r="G505" s="729" t="s">
        <v>1012</v>
      </c>
      <c r="H505" s="2713">
        <v>0.660638707195075</v>
      </c>
      <c r="I505" s="2713">
        <v>3.22970792427895</v>
      </c>
      <c r="J505" s="37">
        <v>0.2</v>
      </c>
      <c r="K505" s="22">
        <f t="shared" ref="K505:K507" si="9">SUBTOTAL(9,H505:J505)</f>
        <v>4.09034663147403</v>
      </c>
      <c r="L505" s="167" t="s">
        <v>1441</v>
      </c>
    </row>
    <row r="506" ht="15" spans="1:12">
      <c r="B506" s="2695" t="s">
        <v>1007</v>
      </c>
      <c r="C506" s="23">
        <v>20250610</v>
      </c>
      <c r="D506" s="23">
        <v>7.31</v>
      </c>
      <c r="E506" s="21">
        <v>7.19</v>
      </c>
      <c r="F506" s="729" t="s">
        <v>1008</v>
      </c>
      <c r="G506" s="875" t="s">
        <v>1009</v>
      </c>
      <c r="H506" s="2713">
        <v>0.660638707195075</v>
      </c>
      <c r="I506" s="2713">
        <v>3.32911536011515</v>
      </c>
      <c r="J506" s="37">
        <v>0.2</v>
      </c>
      <c r="K506" s="22">
        <f t="shared" si="9"/>
        <v>4.18975406731022</v>
      </c>
      <c r="L506" s="167" t="s">
        <v>1010</v>
      </c>
    </row>
    <row r="507" ht="13.2" spans="1:12">
      <c r="B507" s="2695" t="s">
        <v>1014</v>
      </c>
      <c r="C507" s="23"/>
      <c r="D507" s="21"/>
      <c r="E507" s="21">
        <v>7.13</v>
      </c>
      <c r="F507" s="23" t="s">
        <v>1015</v>
      </c>
      <c r="G507" s="20" t="s">
        <v>1016</v>
      </c>
      <c r="H507" s="2713">
        <v>0.318964865782282</v>
      </c>
      <c r="I507" s="2713">
        <v>1.09315706430568</v>
      </c>
      <c r="J507" s="37">
        <v>0.2</v>
      </c>
      <c r="K507" s="22">
        <f t="shared" si="9"/>
        <v>1.61212193008796</v>
      </c>
      <c r="L507" s="20"/>
    </row>
    <row r="508" s="2690" customFormat="1" ht="15" spans="1:12">
      <c r="B508" s="2813" t="s">
        <v>1442</v>
      </c>
      <c r="C508" s="23">
        <v>20241028</v>
      </c>
      <c r="D508" s="21">
        <v>7.11</v>
      </c>
      <c r="E508" s="21">
        <v>7.24</v>
      </c>
      <c r="F508" s="23" t="s">
        <v>1443</v>
      </c>
      <c r="G508" s="1232" t="s">
        <v>1444</v>
      </c>
      <c r="H508" s="2814">
        <v>0.613924146914898</v>
      </c>
      <c r="I508" s="2814">
        <v>2.49181558351421</v>
      </c>
      <c r="J508" s="1239">
        <v>0.4</v>
      </c>
      <c r="K508" s="1238">
        <v>3.47498983210803</v>
      </c>
      <c r="L508" s="2815" t="s">
        <v>1445</v>
      </c>
    </row>
    <row r="509" s="2690" customFormat="1" ht="15" spans="1:12">
      <c r="B509" s="2813" t="s">
        <v>1442</v>
      </c>
      <c r="C509" s="23">
        <v>20241028</v>
      </c>
      <c r="D509" s="21">
        <v>7.11</v>
      </c>
      <c r="E509" s="21">
        <v>7.24</v>
      </c>
      <c r="F509" s="23" t="s">
        <v>1446</v>
      </c>
      <c r="G509" s="1232" t="s">
        <v>1447</v>
      </c>
      <c r="H509" s="2814">
        <v>0.563517743273465</v>
      </c>
      <c r="I509" s="2814">
        <v>2.25614587051272</v>
      </c>
      <c r="J509" s="1239">
        <v>0.4</v>
      </c>
      <c r="K509" s="1238">
        <v>3.19174615226355</v>
      </c>
      <c r="L509" s="2815" t="s">
        <v>1448</v>
      </c>
    </row>
    <row r="510" ht="13.2" spans="1:12">
      <c r="B510" s="2695" t="s">
        <v>989</v>
      </c>
      <c r="C510" s="23">
        <v>20250305</v>
      </c>
      <c r="D510" s="23">
        <v>7.25</v>
      </c>
      <c r="E510" s="21">
        <v>7.13</v>
      </c>
      <c r="F510" s="23" t="s">
        <v>1017</v>
      </c>
      <c r="G510" s="20" t="s">
        <v>1018</v>
      </c>
      <c r="H510" s="2713">
        <v>1.90544750462337</v>
      </c>
      <c r="I510" s="2713">
        <v>2.80332404990753</v>
      </c>
      <c r="J510" s="37">
        <v>0.4</v>
      </c>
      <c r="K510" s="22">
        <f t="shared" ref="K510:K573" si="10">SUBTOTAL(9,H510:J510)</f>
        <v>5.1087715545309</v>
      </c>
      <c r="L510" s="139" t="s">
        <v>1019</v>
      </c>
    </row>
    <row r="511" ht="13.2" spans="1:12">
      <c r="B511" s="2695" t="s">
        <v>989</v>
      </c>
      <c r="C511" s="23">
        <v>20250415</v>
      </c>
      <c r="D511" s="23">
        <v>7.31</v>
      </c>
      <c r="E511" s="21">
        <v>7.24</v>
      </c>
      <c r="F511" s="23" t="s">
        <v>990</v>
      </c>
      <c r="G511" s="23" t="s">
        <v>991</v>
      </c>
      <c r="H511" s="2713">
        <v>1.89481739302156</v>
      </c>
      <c r="I511" s="2713">
        <v>2.19781454240343</v>
      </c>
      <c r="J511" s="37">
        <v>0.4</v>
      </c>
      <c r="K511" s="22">
        <f t="shared" si="10"/>
        <v>4.49263193542499</v>
      </c>
      <c r="L511" s="20"/>
    </row>
    <row r="512" ht="15" spans="1:12">
      <c r="B512" s="2695" t="s">
        <v>1020</v>
      </c>
      <c r="C512" s="19"/>
      <c r="D512" s="19"/>
      <c r="E512" s="19"/>
      <c r="F512" s="19" t="s">
        <v>1021</v>
      </c>
      <c r="G512" s="20" t="s">
        <v>1022</v>
      </c>
      <c r="H512" s="2713">
        <v>0.250827246475285</v>
      </c>
      <c r="I512" s="2713">
        <v>1.56707308274082</v>
      </c>
      <c r="J512" s="37">
        <v>0.2</v>
      </c>
      <c r="K512" s="22">
        <f t="shared" si="10"/>
        <v>2.0179003292161</v>
      </c>
      <c r="L512" s="23" t="s">
        <v>1023</v>
      </c>
    </row>
    <row r="513" ht="13.2" spans="2:12">
      <c r="B513" s="2695" t="s">
        <v>1024</v>
      </c>
      <c r="C513" s="19"/>
      <c r="D513" s="21"/>
      <c r="E513" s="21"/>
      <c r="F513" s="19" t="s">
        <v>1025</v>
      </c>
      <c r="G513" s="20" t="s">
        <v>1026</v>
      </c>
      <c r="H513" s="2713">
        <v>0.328383310829734</v>
      </c>
      <c r="I513" s="2713">
        <v>0.871811796500151</v>
      </c>
      <c r="J513" s="37">
        <v>0.2</v>
      </c>
      <c r="K513" s="22">
        <f t="shared" si="10"/>
        <v>1.40019510732988</v>
      </c>
      <c r="L513" s="20"/>
    </row>
    <row r="514" ht="13.2" spans="2:12">
      <c r="B514" s="2695" t="s">
        <v>1027</v>
      </c>
      <c r="C514" s="23"/>
      <c r="D514" s="23"/>
      <c r="E514" s="23"/>
      <c r="F514" s="23" t="s">
        <v>1028</v>
      </c>
      <c r="G514" s="20" t="s">
        <v>652</v>
      </c>
      <c r="H514" s="2713">
        <v>0.160529437744183</v>
      </c>
      <c r="I514" s="2713">
        <v>0.742448649566843</v>
      </c>
      <c r="J514" s="774">
        <v>0.2</v>
      </c>
      <c r="K514" s="22">
        <f t="shared" si="10"/>
        <v>1.10297808731103</v>
      </c>
      <c r="L514" s="39"/>
    </row>
    <row r="515" ht="13.2" spans="2:12">
      <c r="B515" s="2695" t="s">
        <v>1027</v>
      </c>
      <c r="C515" s="23"/>
      <c r="D515" s="23"/>
      <c r="E515" s="23"/>
      <c r="F515" s="23" t="s">
        <v>1029</v>
      </c>
      <c r="G515" s="20" t="s">
        <v>1030</v>
      </c>
      <c r="H515" s="2713">
        <v>0.321058875488365</v>
      </c>
      <c r="I515" s="2713">
        <v>1.18390460336334</v>
      </c>
      <c r="J515" s="37">
        <v>0.4</v>
      </c>
      <c r="K515" s="22">
        <f t="shared" si="10"/>
        <v>1.9049634788517</v>
      </c>
      <c r="L515" s="20"/>
    </row>
    <row r="516" ht="13.2" spans="2:12">
      <c r="B516" s="2695" t="s">
        <v>1031</v>
      </c>
      <c r="C516" s="19"/>
      <c r="D516" s="19"/>
      <c r="E516" s="19"/>
      <c r="F516" s="19" t="s">
        <v>1032</v>
      </c>
      <c r="G516" s="20" t="s">
        <v>1033</v>
      </c>
      <c r="H516" s="2713">
        <v>0.110363988449125</v>
      </c>
      <c r="I516" s="2713">
        <v>0.311025785629353</v>
      </c>
      <c r="J516" s="37">
        <v>0.2</v>
      </c>
      <c r="K516" s="22">
        <f t="shared" si="10"/>
        <v>0.621389774078478</v>
      </c>
      <c r="L516" s="20"/>
    </row>
    <row r="517" ht="13.2" spans="2:12">
      <c r="B517" s="2695" t="s">
        <v>1031</v>
      </c>
      <c r="C517" s="19"/>
      <c r="D517" s="19"/>
      <c r="E517" s="19"/>
      <c r="F517" s="19" t="s">
        <v>919</v>
      </c>
      <c r="G517" s="20" t="s">
        <v>920</v>
      </c>
      <c r="H517" s="2713">
        <v>0.120397078308137</v>
      </c>
      <c r="I517" s="2713">
        <v>0.200661797180227</v>
      </c>
      <c r="J517" s="37">
        <v>0.2</v>
      </c>
      <c r="K517" s="22">
        <f t="shared" si="10"/>
        <v>0.521058875488364</v>
      </c>
      <c r="L517" s="20"/>
    </row>
    <row r="518" ht="13.2" spans="2:12">
      <c r="B518" s="2695" t="s">
        <v>1034</v>
      </c>
      <c r="C518" s="19">
        <v>20241121</v>
      </c>
      <c r="D518" s="19">
        <v>7.2</v>
      </c>
      <c r="E518" s="21">
        <v>7.24</v>
      </c>
      <c r="F518" s="19" t="s">
        <v>1035</v>
      </c>
      <c r="G518" s="20" t="s">
        <v>1036</v>
      </c>
      <c r="H518" s="2713">
        <v>1.29817290096144</v>
      </c>
      <c r="I518" s="2713">
        <v>3.95611704629384</v>
      </c>
      <c r="J518" s="37">
        <v>0.5</v>
      </c>
      <c r="K518" s="22">
        <f t="shared" si="10"/>
        <v>5.75428994725528</v>
      </c>
      <c r="L518" s="139" t="s">
        <v>1037</v>
      </c>
    </row>
    <row r="519" ht="13.2" spans="2:12">
      <c r="B519" s="2695" t="s">
        <v>1034</v>
      </c>
      <c r="C519" s="19">
        <v>20250507</v>
      </c>
      <c r="D519" s="21">
        <v>7.24</v>
      </c>
      <c r="E519" s="21"/>
      <c r="F519" s="19" t="s">
        <v>1449</v>
      </c>
      <c r="G519" s="20" t="s">
        <v>1039</v>
      </c>
      <c r="H519" s="2713">
        <v>0.564183738326896</v>
      </c>
      <c r="I519" s="2713">
        <v>3.92743074414056</v>
      </c>
      <c r="J519" s="37">
        <v>0.2</v>
      </c>
      <c r="K519" s="22">
        <f t="shared" si="10"/>
        <v>4.69161448246746</v>
      </c>
      <c r="L519" s="139" t="s">
        <v>1040</v>
      </c>
    </row>
    <row r="520" ht="15" spans="2:12">
      <c r="B520" s="2695" t="s">
        <v>1034</v>
      </c>
      <c r="C520" s="19"/>
      <c r="D520" s="21"/>
      <c r="E520" s="21"/>
      <c r="F520" s="19" t="s">
        <v>1041</v>
      </c>
      <c r="G520" s="20" t="s">
        <v>1042</v>
      </c>
      <c r="H520" s="2713">
        <v>1.07436461615039</v>
      </c>
      <c r="I520" s="2713">
        <v>8.12445869856161</v>
      </c>
      <c r="J520" s="37">
        <v>0.4</v>
      </c>
      <c r="K520" s="22">
        <f t="shared" si="10"/>
        <v>9.598823314712</v>
      </c>
      <c r="L520" s="759" t="s">
        <v>1043</v>
      </c>
    </row>
    <row r="521" ht="13.2" spans="2:12">
      <c r="B521" s="2695" t="s">
        <v>1034</v>
      </c>
      <c r="C521" s="19"/>
      <c r="D521" s="21"/>
      <c r="E521" s="21"/>
      <c r="F521" s="19" t="s">
        <v>1044</v>
      </c>
      <c r="G521" s="20" t="s">
        <v>1045</v>
      </c>
      <c r="H521" s="2713">
        <v>0.085949169292031</v>
      </c>
      <c r="I521" s="2713">
        <v>0.123728885029366</v>
      </c>
      <c r="J521" s="37">
        <v>0.2</v>
      </c>
      <c r="K521" s="22">
        <f t="shared" si="10"/>
        <v>0.409678054321397</v>
      </c>
      <c r="L521" s="20"/>
    </row>
    <row r="522" ht="13.2" spans="2:12">
      <c r="B522" s="2695" t="s">
        <v>1034</v>
      </c>
      <c r="C522" s="19"/>
      <c r="D522" s="21"/>
      <c r="E522" s="21"/>
      <c r="F522" s="19" t="s">
        <v>1046</v>
      </c>
      <c r="G522" s="20" t="s">
        <v>1047</v>
      </c>
      <c r="H522" s="2713">
        <v>0.085949169292031</v>
      </c>
      <c r="I522" s="2713">
        <v>0.182738045581834</v>
      </c>
      <c r="J522" s="37">
        <v>0.2</v>
      </c>
      <c r="K522" s="22">
        <f t="shared" si="10"/>
        <v>0.468687214873865</v>
      </c>
      <c r="L522" s="20"/>
    </row>
    <row r="523" ht="13.2" spans="2:12">
      <c r="B523" s="2695" t="s">
        <v>1034</v>
      </c>
      <c r="C523" s="19"/>
      <c r="D523" s="21"/>
      <c r="E523" s="21"/>
      <c r="F523" s="19" t="s">
        <v>1048</v>
      </c>
      <c r="G523" s="20" t="s">
        <v>1049</v>
      </c>
      <c r="H523" s="2713">
        <v>0.429745846460156</v>
      </c>
      <c r="I523" s="2713">
        <v>4.15840860233312</v>
      </c>
      <c r="J523" s="37">
        <v>0.4</v>
      </c>
      <c r="K523" s="22">
        <f t="shared" si="10"/>
        <v>4.98815444879328</v>
      </c>
      <c r="L523" s="20"/>
    </row>
    <row r="524" ht="15.6" spans="2:12">
      <c r="B524" s="2816" t="s">
        <v>1034</v>
      </c>
      <c r="C524" s="1831">
        <v>46030</v>
      </c>
      <c r="D524" s="725"/>
      <c r="E524" s="153">
        <v>6.9857</v>
      </c>
      <c r="F524" s="725" t="s">
        <v>1050</v>
      </c>
      <c r="G524" s="2817" t="s">
        <v>1051</v>
      </c>
      <c r="H524" s="2818">
        <f>5/E524/1.13</f>
        <v>0.633405207933628</v>
      </c>
      <c r="I524" s="2818">
        <v>0.12</v>
      </c>
      <c r="J524" s="154">
        <f>0.9/E524</f>
        <v>0.1288346192937</v>
      </c>
      <c r="K524" s="727">
        <f t="shared" si="10"/>
        <v>0.882239827227328</v>
      </c>
      <c r="L524" s="149" t="s">
        <v>1450</v>
      </c>
    </row>
    <row r="525" ht="13.2" spans="2:12">
      <c r="B525" s="2816" t="s">
        <v>1034</v>
      </c>
      <c r="C525" s="1831">
        <v>46030</v>
      </c>
      <c r="D525" s="725"/>
      <c r="E525" s="153">
        <v>6.9857</v>
      </c>
      <c r="F525" s="725" t="s">
        <v>1052</v>
      </c>
      <c r="G525" s="149" t="s">
        <v>1053</v>
      </c>
      <c r="H525" s="2818">
        <f>5/E525/1.13</f>
        <v>0.633405207933628</v>
      </c>
      <c r="I525" s="2818">
        <v>0.18</v>
      </c>
      <c r="J525" s="154">
        <f>0.9/E525</f>
        <v>0.1288346192937</v>
      </c>
      <c r="K525" s="727">
        <f t="shared" si="10"/>
        <v>0.942239827227328</v>
      </c>
      <c r="L525" s="149" t="s">
        <v>1450</v>
      </c>
    </row>
    <row r="526" ht="13.2" spans="2:12">
      <c r="B526" s="2816" t="s">
        <v>1034</v>
      </c>
      <c r="C526" s="1831">
        <v>46030</v>
      </c>
      <c r="D526" s="725"/>
      <c r="E526" s="153">
        <v>6.9857</v>
      </c>
      <c r="F526" s="725" t="s">
        <v>1054</v>
      </c>
      <c r="G526" s="725" t="s">
        <v>1055</v>
      </c>
      <c r="H526" s="2818">
        <f>(19.55+1.14)/E526/1.13</f>
        <v>2.62103075042935</v>
      </c>
      <c r="I526" s="2818">
        <v>8.23</v>
      </c>
      <c r="J526" s="154">
        <f>7/E526/1.13</f>
        <v>0.88676729110708</v>
      </c>
      <c r="K526" s="727">
        <f t="shared" si="10"/>
        <v>11.7377980415364</v>
      </c>
      <c r="L526" s="149" t="s">
        <v>1451</v>
      </c>
    </row>
    <row r="527" ht="13.2" spans="2:12">
      <c r="B527" s="2695" t="s">
        <v>1057</v>
      </c>
      <c r="C527" s="19"/>
      <c r="D527" s="19"/>
      <c r="E527" s="19"/>
      <c r="F527" s="19" t="s">
        <v>1058</v>
      </c>
      <c r="G527" s="20" t="s">
        <v>1059</v>
      </c>
      <c r="H527" s="2713">
        <v>0.448077793103448</v>
      </c>
      <c r="I527" s="2713">
        <v>1.1711124137931</v>
      </c>
      <c r="J527" s="37">
        <v>0.4</v>
      </c>
      <c r="K527" s="22">
        <f t="shared" si="10"/>
        <v>2.01919020689655</v>
      </c>
      <c r="L527" s="20"/>
    </row>
    <row r="528" ht="13.2" spans="2:12">
      <c r="B528" s="2695" t="s">
        <v>1057</v>
      </c>
      <c r="C528" s="19"/>
      <c r="D528" s="19"/>
      <c r="E528" s="19"/>
      <c r="F528" s="19" t="s">
        <v>1060</v>
      </c>
      <c r="G528" s="20" t="s">
        <v>1061</v>
      </c>
      <c r="H528" s="2713">
        <v>0.471555223373535</v>
      </c>
      <c r="I528" s="2713">
        <v>1.44476493969764</v>
      </c>
      <c r="J528" s="37">
        <v>0.4</v>
      </c>
      <c r="K528" s="22">
        <f t="shared" si="10"/>
        <v>2.31632016307117</v>
      </c>
      <c r="L528" s="20"/>
    </row>
    <row r="529" ht="15" spans="2:12">
      <c r="B529" s="2695" t="s">
        <v>1062</v>
      </c>
      <c r="C529" s="1727">
        <v>20251219</v>
      </c>
      <c r="D529" s="1727"/>
      <c r="E529" s="1727">
        <v>7.05</v>
      </c>
      <c r="F529" s="19" t="s">
        <v>1452</v>
      </c>
      <c r="G529" s="20" t="s">
        <v>1064</v>
      </c>
      <c r="H529" s="2713">
        <v>1.55</v>
      </c>
      <c r="I529" s="2713">
        <v>5.53314215284316</v>
      </c>
      <c r="J529" s="37">
        <v>0.4</v>
      </c>
      <c r="K529" s="22">
        <f t="shared" si="10"/>
        <v>7.48314215284316</v>
      </c>
      <c r="L529" s="1127" t="s">
        <v>1065</v>
      </c>
    </row>
    <row r="530" ht="15" spans="2:12">
      <c r="B530" s="2695" t="s">
        <v>1062</v>
      </c>
      <c r="C530" s="1727"/>
      <c r="D530" s="1727"/>
      <c r="E530" s="1727"/>
      <c r="F530" s="19"/>
      <c r="G530" s="20" t="s">
        <v>1066</v>
      </c>
      <c r="H530" s="2713">
        <v>0.228152485871996</v>
      </c>
      <c r="I530" s="2713">
        <v>3.41011545495297</v>
      </c>
      <c r="J530" s="37">
        <v>0.4</v>
      </c>
      <c r="K530" s="22">
        <f t="shared" si="10"/>
        <v>4.03826794082497</v>
      </c>
      <c r="L530" s="1127" t="s">
        <v>1065</v>
      </c>
    </row>
    <row r="531" ht="13.2" spans="2:12">
      <c r="B531" s="2695" t="s">
        <v>1067</v>
      </c>
      <c r="C531" s="19">
        <v>20250701</v>
      </c>
      <c r="D531" s="19">
        <v>7.25</v>
      </c>
      <c r="E531" s="21">
        <v>7.17</v>
      </c>
      <c r="F531" s="19" t="s">
        <v>1068</v>
      </c>
      <c r="G531" s="20" t="s">
        <v>1069</v>
      </c>
      <c r="H531" s="2713">
        <v>0.329406716017595</v>
      </c>
      <c r="I531" s="2713">
        <v>3.48409054990681</v>
      </c>
      <c r="J531" s="37">
        <v>0.4</v>
      </c>
      <c r="K531" s="22">
        <f t="shared" si="10"/>
        <v>4.21349726592441</v>
      </c>
      <c r="L531" s="139"/>
    </row>
    <row r="532" ht="13.2" spans="2:12">
      <c r="B532" s="2695" t="s">
        <v>1067</v>
      </c>
      <c r="C532" s="19">
        <v>20250730</v>
      </c>
      <c r="D532" s="19"/>
      <c r="E532" s="21">
        <v>7.17</v>
      </c>
      <c r="F532" s="19" t="s">
        <v>1070</v>
      </c>
      <c r="G532" s="19" t="s">
        <v>1071</v>
      </c>
      <c r="H532" s="2713">
        <v>0.184495377741573</v>
      </c>
      <c r="I532" s="2713">
        <v>4.40992055975687</v>
      </c>
      <c r="J532" s="37">
        <v>0.4</v>
      </c>
      <c r="K532" s="22">
        <f t="shared" si="10"/>
        <v>4.99441593749844</v>
      </c>
      <c r="L532" s="139" t="s">
        <v>1072</v>
      </c>
    </row>
    <row r="533" ht="13.2" spans="2:12">
      <c r="B533" s="2695" t="s">
        <v>1067</v>
      </c>
      <c r="C533" s="19">
        <v>20250730</v>
      </c>
      <c r="D533" s="19"/>
      <c r="E533" s="21">
        <v>7.17</v>
      </c>
      <c r="F533" s="19" t="s">
        <v>1073</v>
      </c>
      <c r="G533" s="19" t="s">
        <v>1074</v>
      </c>
      <c r="H533" s="2713">
        <v>0.236852174127695</v>
      </c>
      <c r="I533" s="2713">
        <v>0.263834882413202</v>
      </c>
      <c r="J533" s="37">
        <v>0.2</v>
      </c>
      <c r="K533" s="22">
        <f t="shared" si="10"/>
        <v>0.700687056540897</v>
      </c>
      <c r="L533" s="139"/>
    </row>
    <row r="534" ht="13.2" spans="2:12">
      <c r="B534" s="2695" t="s">
        <v>1067</v>
      </c>
      <c r="C534" s="19">
        <v>20250730</v>
      </c>
      <c r="D534" s="19"/>
      <c r="E534" s="21">
        <v>7.17</v>
      </c>
      <c r="F534" s="19" t="s">
        <v>1075</v>
      </c>
      <c r="G534" s="19" t="s">
        <v>1076</v>
      </c>
      <c r="H534" s="2713">
        <v>0.236852174127695</v>
      </c>
      <c r="I534" s="2713">
        <v>2.88487070018884</v>
      </c>
      <c r="J534" s="37">
        <v>0.4</v>
      </c>
      <c r="K534" s="22">
        <f t="shared" si="10"/>
        <v>3.52172287431653</v>
      </c>
      <c r="L534" s="139"/>
    </row>
    <row r="535" ht="13.2" spans="2:12">
      <c r="B535" s="2695" t="s">
        <v>1067</v>
      </c>
      <c r="C535" s="19">
        <v>20250701</v>
      </c>
      <c r="D535" s="19">
        <v>7.25</v>
      </c>
      <c r="E535" s="21">
        <v>7.17</v>
      </c>
      <c r="F535" s="19" t="s">
        <v>1077</v>
      </c>
      <c r="G535" s="20" t="s">
        <v>1078</v>
      </c>
      <c r="H535" s="2713">
        <v>0.240841263376161</v>
      </c>
      <c r="I535" s="2713">
        <v>0.279147923970328</v>
      </c>
      <c r="J535" s="37">
        <v>0.2</v>
      </c>
      <c r="K535" s="22">
        <f t="shared" si="10"/>
        <v>0.719989187346489</v>
      </c>
      <c r="L535" s="139"/>
    </row>
    <row r="536" ht="13.2" spans="2:12">
      <c r="B536" s="2695" t="s">
        <v>1067</v>
      </c>
      <c r="C536" s="19">
        <v>20250701</v>
      </c>
      <c r="D536" s="19">
        <v>7.25</v>
      </c>
      <c r="E536" s="21">
        <v>7.17</v>
      </c>
      <c r="F536" s="19" t="s">
        <v>1079</v>
      </c>
      <c r="G536" s="20" t="s">
        <v>1080</v>
      </c>
      <c r="H536" s="2713">
        <v>0.200701052813468</v>
      </c>
      <c r="I536" s="2713">
        <v>0.409265597807976</v>
      </c>
      <c r="J536" s="37">
        <v>0.2</v>
      </c>
      <c r="K536" s="22">
        <f t="shared" si="10"/>
        <v>0.809966650621444</v>
      </c>
      <c r="L536" s="139"/>
    </row>
    <row r="537" ht="13.2" spans="2:12">
      <c r="B537" s="2695" t="s">
        <v>1081</v>
      </c>
      <c r="C537" s="19">
        <v>20250626</v>
      </c>
      <c r="D537" s="19">
        <v>7.19</v>
      </c>
      <c r="E537" s="21">
        <v>7.17</v>
      </c>
      <c r="F537" s="19" t="s">
        <v>1082</v>
      </c>
      <c r="G537" s="19" t="s">
        <v>1083</v>
      </c>
      <c r="H537" s="2713">
        <v>0.359402499720736</v>
      </c>
      <c r="I537" s="2713">
        <v>1.0635345064874</v>
      </c>
      <c r="J537" s="37">
        <v>0.2</v>
      </c>
      <c r="K537" s="22">
        <f t="shared" si="10"/>
        <v>1.62293700620814</v>
      </c>
      <c r="L537" s="139" t="s">
        <v>435</v>
      </c>
    </row>
    <row r="538" ht="15" spans="2:12">
      <c r="B538" s="2695" t="s">
        <v>1084</v>
      </c>
      <c r="C538" s="23">
        <v>20240103</v>
      </c>
      <c r="D538" s="23">
        <v>7.3</v>
      </c>
      <c r="E538" s="23">
        <v>7.13</v>
      </c>
      <c r="F538" s="23" t="s">
        <v>1085</v>
      </c>
      <c r="G538" s="759" t="s">
        <v>1086</v>
      </c>
      <c r="H538" s="2713">
        <v>0.501433553848254</v>
      </c>
      <c r="I538" s="2713">
        <v>2.12937463657095</v>
      </c>
      <c r="J538" s="37">
        <v>0.4</v>
      </c>
      <c r="K538" s="22">
        <f t="shared" si="10"/>
        <v>3.0308081904192</v>
      </c>
      <c r="L538" s="1129" t="s">
        <v>1087</v>
      </c>
    </row>
    <row r="539" ht="15" spans="2:12">
      <c r="B539" s="2695" t="s">
        <v>1088</v>
      </c>
      <c r="F539" s="23" t="s">
        <v>1089</v>
      </c>
      <c r="G539" s="23" t="s">
        <v>1090</v>
      </c>
      <c r="H539" s="2713">
        <v>0.300992695770341</v>
      </c>
      <c r="I539" s="2713">
        <v>0.529910768828647</v>
      </c>
      <c r="J539" s="22">
        <v>0.4</v>
      </c>
      <c r="K539" s="22">
        <f t="shared" si="10"/>
        <v>1.23090346459899</v>
      </c>
      <c r="L539" s="38"/>
    </row>
    <row r="540" ht="15" customHeight="1" spans="2:12">
      <c r="B540" s="2695" t="s">
        <v>1091</v>
      </c>
      <c r="C540" s="777">
        <v>20250811</v>
      </c>
      <c r="D540" s="777">
        <v>7.17</v>
      </c>
      <c r="E540" s="777">
        <v>7.17</v>
      </c>
      <c r="F540" s="777" t="s">
        <v>1092</v>
      </c>
      <c r="G540" s="777" t="s">
        <v>1093</v>
      </c>
      <c r="H540" s="2713">
        <v>3.40974816616813</v>
      </c>
      <c r="I540" s="2713">
        <v>11.8591398437457</v>
      </c>
      <c r="J540" s="66">
        <v>3</v>
      </c>
      <c r="K540" s="22">
        <f t="shared" si="10"/>
        <v>18.2688880099138</v>
      </c>
      <c r="L540" s="710" t="s">
        <v>1094</v>
      </c>
    </row>
    <row r="541" ht="13.2" spans="2:12">
      <c r="B541" s="2695" t="s">
        <v>1091</v>
      </c>
      <c r="C541" s="777">
        <v>20250521</v>
      </c>
      <c r="D541" s="777">
        <v>7.21</v>
      </c>
      <c r="E541" s="23"/>
      <c r="F541" s="777" t="s">
        <v>1095</v>
      </c>
      <c r="G541" s="777" t="s">
        <v>1096</v>
      </c>
      <c r="H541" s="2713">
        <v>0.068947113654135</v>
      </c>
      <c r="I541" s="2713">
        <v>0.0490853305862056</v>
      </c>
      <c r="J541" s="37">
        <v>0.2</v>
      </c>
      <c r="K541" s="22">
        <f t="shared" si="10"/>
        <v>0.318032444240341</v>
      </c>
      <c r="L541" s="710"/>
    </row>
    <row r="542" ht="13.2" spans="2:12">
      <c r="B542" s="2695" t="s">
        <v>1097</v>
      </c>
      <c r="C542" s="23">
        <v>20150928</v>
      </c>
      <c r="D542" s="21"/>
      <c r="E542" s="21">
        <v>7.07</v>
      </c>
      <c r="F542" s="23" t="s">
        <v>1098</v>
      </c>
      <c r="G542" s="20" t="s">
        <v>1099</v>
      </c>
      <c r="H542" s="2713">
        <v>0.929203539823009</v>
      </c>
      <c r="I542" s="2713">
        <v>6.20886049309355</v>
      </c>
      <c r="J542" s="37">
        <v>0.4</v>
      </c>
      <c r="K542" s="22">
        <f t="shared" si="10"/>
        <v>7.53806403291656</v>
      </c>
      <c r="L542" s="20"/>
    </row>
    <row r="543" ht="13.2" spans="2:12">
      <c r="B543" s="2819" t="s">
        <v>1102</v>
      </c>
      <c r="C543" s="2696">
        <v>20250929</v>
      </c>
      <c r="D543" s="2696">
        <v>7.13</v>
      </c>
      <c r="F543" s="2819" t="s">
        <v>1103</v>
      </c>
      <c r="G543" s="2819" t="s">
        <v>1103</v>
      </c>
      <c r="H543" s="2713">
        <v>0.546562573694598</v>
      </c>
      <c r="I543" s="2713">
        <v>3.27045143381666</v>
      </c>
      <c r="J543" s="2739">
        <v>0.4</v>
      </c>
      <c r="K543" s="22">
        <f t="shared" si="10"/>
        <v>4.21701400751126</v>
      </c>
      <c r="L543" s="2819"/>
    </row>
    <row r="544" s="2690" customFormat="1" ht="13.2" spans="2:12">
      <c r="B544" s="2813" t="s">
        <v>1453</v>
      </c>
      <c r="C544" s="2820">
        <v>20250929</v>
      </c>
      <c r="D544" s="2820">
        <v>7.13</v>
      </c>
      <c r="E544" s="2820"/>
      <c r="F544" s="2821" t="s">
        <v>1454</v>
      </c>
      <c r="G544" s="2822" t="s">
        <v>1455</v>
      </c>
      <c r="H544" s="2814">
        <v>0.463826037309636</v>
      </c>
      <c r="I544" s="2814">
        <v>2.96187936307544</v>
      </c>
      <c r="J544" s="2823">
        <v>0.4</v>
      </c>
      <c r="K544" s="1238">
        <f t="shared" si="10"/>
        <v>3.82570540038508</v>
      </c>
      <c r="L544" s="2822" t="s">
        <v>1456</v>
      </c>
    </row>
    <row r="545" ht="13.2" spans="1:13">
      <c r="B545" s="2812" t="s">
        <v>1104</v>
      </c>
      <c r="C545" s="23">
        <v>20240724</v>
      </c>
      <c r="D545" s="23"/>
      <c r="E545" s="23">
        <v>7.24</v>
      </c>
      <c r="F545" s="23" t="s">
        <v>1105</v>
      </c>
      <c r="G545" s="20" t="s">
        <v>1106</v>
      </c>
      <c r="H545" s="2713">
        <v>0.369807245963088</v>
      </c>
      <c r="I545" s="2713">
        <v>0.88647186459333</v>
      </c>
      <c r="J545" s="37">
        <v>0.2</v>
      </c>
      <c r="K545" s="22">
        <f t="shared" si="10"/>
        <v>1.45627911055642</v>
      </c>
      <c r="L545" s="23"/>
      <c r="M545" s="35"/>
    </row>
    <row r="546" ht="13.2" spans="1:13">
      <c r="B546" s="2695" t="s">
        <v>1097</v>
      </c>
      <c r="C546" s="23">
        <v>20251011</v>
      </c>
      <c r="D546" s="21"/>
      <c r="E546" s="21">
        <v>7.07</v>
      </c>
      <c r="F546" s="23" t="s">
        <v>1107</v>
      </c>
      <c r="G546" s="20" t="s">
        <v>1108</v>
      </c>
      <c r="H546" s="2713">
        <v>0.929203539823009</v>
      </c>
      <c r="I546" s="2713">
        <v>7.70123092764222</v>
      </c>
      <c r="J546" s="37">
        <v>2</v>
      </c>
      <c r="K546" s="22">
        <f t="shared" si="10"/>
        <v>10.6304344674652</v>
      </c>
      <c r="L546" s="20"/>
    </row>
    <row r="547" s="2687" customFormat="1" ht="13.2" spans="1:13">
      <c r="B547" s="2824" t="s">
        <v>1109</v>
      </c>
      <c r="C547" s="2825">
        <v>20251011</v>
      </c>
      <c r="D547" s="2826"/>
      <c r="E547" s="736">
        <v>7.13</v>
      </c>
      <c r="F547" s="2827" t="s">
        <v>1110</v>
      </c>
      <c r="G547" s="2827" t="s">
        <v>1110</v>
      </c>
      <c r="H547" s="2713">
        <v>0.0426218520771016</v>
      </c>
      <c r="I547" s="2713">
        <v>0.130463741059522</v>
      </c>
      <c r="J547" s="2828">
        <v>0.2</v>
      </c>
      <c r="K547" s="22">
        <f t="shared" si="10"/>
        <v>0.373085593136624</v>
      </c>
      <c r="L547" s="2829"/>
    </row>
    <row r="548" ht="13.2" spans="1:13">
      <c r="B548" s="2695" t="s">
        <v>537</v>
      </c>
      <c r="C548" s="2772">
        <v>20251022</v>
      </c>
      <c r="D548" s="2772"/>
      <c r="E548" s="2772">
        <v>7.13</v>
      </c>
      <c r="F548" s="2772" t="s">
        <v>1111</v>
      </c>
      <c r="G548" s="2695" t="s">
        <v>1112</v>
      </c>
      <c r="H548" s="2713">
        <v>0.342228400501434</v>
      </c>
      <c r="I548" s="2713">
        <v>1.27146442179435</v>
      </c>
      <c r="J548" s="2714">
        <v>0.2</v>
      </c>
      <c r="K548" s="22">
        <f t="shared" si="10"/>
        <v>1.81369282229578</v>
      </c>
      <c r="L548" s="2695"/>
    </row>
    <row r="549" ht="13.2" spans="1:13">
      <c r="B549" s="2695" t="s">
        <v>537</v>
      </c>
      <c r="C549" s="23">
        <v>20250307</v>
      </c>
      <c r="E549" s="23">
        <v>7.17</v>
      </c>
      <c r="F549" s="23" t="s">
        <v>1113</v>
      </c>
      <c r="G549" s="2830" t="s">
        <v>1114</v>
      </c>
      <c r="H549" s="2713">
        <v>0.0940187913465476</v>
      </c>
      <c r="I549" s="2713">
        <v>0.451512289237662</v>
      </c>
      <c r="J549" s="37">
        <v>0.2</v>
      </c>
      <c r="K549" s="22">
        <f t="shared" si="10"/>
        <v>0.74553108058421</v>
      </c>
      <c r="L549" s="20" t="s">
        <v>1115</v>
      </c>
    </row>
    <row r="550" ht="13.2" spans="1:13">
      <c r="B550" s="2695" t="s">
        <v>537</v>
      </c>
      <c r="C550" s="23">
        <v>20250307</v>
      </c>
      <c r="E550" s="23">
        <v>7.17</v>
      </c>
      <c r="F550" s="23" t="s">
        <v>1116</v>
      </c>
      <c r="G550" s="2830" t="s">
        <v>1117</v>
      </c>
      <c r="H550" s="2713">
        <v>0.377328749270811</v>
      </c>
      <c r="I550" s="2713">
        <v>0.812829936592076</v>
      </c>
      <c r="J550" s="37">
        <v>0.2</v>
      </c>
      <c r="K550" s="22">
        <f t="shared" si="10"/>
        <v>1.39015868586289</v>
      </c>
      <c r="L550" s="20" t="s">
        <v>1118</v>
      </c>
    </row>
    <row r="551" ht="13.2" spans="1:13">
      <c r="B551" s="2695" t="s">
        <v>1119</v>
      </c>
      <c r="C551" s="2772">
        <v>20251104</v>
      </c>
      <c r="D551" s="2772"/>
      <c r="E551" s="2772">
        <v>7.13</v>
      </c>
      <c r="F551" s="2772" t="s">
        <v>1120</v>
      </c>
      <c r="G551" s="2695" t="s">
        <v>1121</v>
      </c>
      <c r="H551" s="2713">
        <v>0.330946145539847</v>
      </c>
      <c r="I551" s="2713">
        <v>1.97580043585092</v>
      </c>
      <c r="J551" s="2714">
        <v>0.2</v>
      </c>
      <c r="K551" s="22">
        <f t="shared" si="10"/>
        <v>2.50674658139077</v>
      </c>
      <c r="L551" s="2695" t="s">
        <v>63</v>
      </c>
    </row>
    <row r="552" ht="13.2" spans="1:13">
      <c r="B552" s="2695" t="s">
        <v>1122</v>
      </c>
      <c r="C552" s="23">
        <v>20250714</v>
      </c>
      <c r="E552" s="2772">
        <v>7.13</v>
      </c>
      <c r="F552" s="23" t="s">
        <v>1123</v>
      </c>
      <c r="G552" s="23" t="s">
        <v>1124</v>
      </c>
      <c r="H552" s="2713">
        <v>0.325360091828044</v>
      </c>
      <c r="I552" s="2713">
        <v>1.52096499181714</v>
      </c>
      <c r="J552" s="709">
        <v>0.2</v>
      </c>
      <c r="K552" s="22">
        <f t="shared" si="10"/>
        <v>2.04632508364518</v>
      </c>
    </row>
    <row r="553" ht="13.2" spans="1:13">
      <c r="B553" s="2695" t="s">
        <v>1122</v>
      </c>
      <c r="C553" s="23">
        <v>20250714</v>
      </c>
      <c r="E553" s="2772">
        <v>7.13</v>
      </c>
      <c r="F553" s="23" t="s">
        <v>1125</v>
      </c>
      <c r="G553" s="23" t="s">
        <v>1126</v>
      </c>
      <c r="H553" s="2713">
        <v>0.231865812567112</v>
      </c>
      <c r="I553" s="2713">
        <v>0.763050323759711</v>
      </c>
      <c r="J553" s="709">
        <v>0.2</v>
      </c>
      <c r="K553" s="22">
        <f t="shared" si="10"/>
        <v>1.19491613632682</v>
      </c>
      <c r="L553" s="2695"/>
    </row>
    <row r="554" ht="13.2" spans="1:13">
      <c r="B554" s="2695" t="s">
        <v>1122</v>
      </c>
      <c r="C554" s="23">
        <v>20251105</v>
      </c>
      <c r="E554" s="2772">
        <v>7.13</v>
      </c>
      <c r="F554" s="23" t="s">
        <v>1127</v>
      </c>
      <c r="G554" s="23" t="s">
        <v>1128</v>
      </c>
      <c r="H554" s="2713">
        <v>0.383596668693915</v>
      </c>
      <c r="I554" s="2713">
        <v>5.08818993782293</v>
      </c>
      <c r="J554" s="709">
        <v>0.4</v>
      </c>
      <c r="K554" s="22">
        <f t="shared" si="10"/>
        <v>5.87178660651685</v>
      </c>
      <c r="L554" s="2695" t="s">
        <v>1129</v>
      </c>
    </row>
    <row r="555" s="2691" customFormat="1" ht="15" customHeight="1" spans="1:13">
      <c r="A555" s="2831"/>
      <c r="B555" s="2832" t="s">
        <v>41</v>
      </c>
      <c r="C555" s="2833">
        <v>20250818</v>
      </c>
      <c r="D555" s="2834">
        <v>7.25</v>
      </c>
      <c r="E555" s="2834">
        <v>7.13</v>
      </c>
      <c r="F555" s="2834" t="s">
        <v>181</v>
      </c>
      <c r="G555" s="2834" t="s">
        <v>182</v>
      </c>
      <c r="H555" s="2814">
        <v>0.438754359617223</v>
      </c>
      <c r="I555" s="2814">
        <v>1.46740123124911</v>
      </c>
      <c r="J555" s="2823">
        <v>0.4</v>
      </c>
      <c r="K555" s="1238">
        <f t="shared" si="10"/>
        <v>2.30615559086633</v>
      </c>
      <c r="L555" s="2835" t="s">
        <v>1457</v>
      </c>
      <c r="M555" s="2715"/>
    </row>
    <row r="556" s="2691" customFormat="1" ht="15" customHeight="1" spans="1:13">
      <c r="A556" s="2831"/>
      <c r="B556" s="2832" t="s">
        <v>1091</v>
      </c>
      <c r="C556" s="2833">
        <v>20251107</v>
      </c>
      <c r="D556" s="2834"/>
      <c r="E556" s="2834">
        <v>7.13</v>
      </c>
      <c r="F556" s="2834" t="s">
        <v>181</v>
      </c>
      <c r="G556" s="2834" t="s">
        <v>182</v>
      </c>
      <c r="H556" s="2814">
        <v>5.01433553848254</v>
      </c>
      <c r="I556" s="2814">
        <v>12.9660561444383</v>
      </c>
      <c r="J556" s="2823">
        <v>3</v>
      </c>
      <c r="K556" s="1238">
        <f t="shared" si="10"/>
        <v>20.9803916829208</v>
      </c>
      <c r="L556" s="2835" t="s">
        <v>1458</v>
      </c>
      <c r="M556" s="2715"/>
    </row>
    <row r="557" s="2691" customFormat="1" ht="13.2" spans="1:13">
      <c r="A557" s="2836"/>
      <c r="B557" s="2837" t="s">
        <v>682</v>
      </c>
      <c r="C557" s="2833"/>
      <c r="D557" s="2834"/>
      <c r="E557" s="2834"/>
      <c r="F557" s="2834"/>
      <c r="G557" s="2838" t="s">
        <v>1131</v>
      </c>
      <c r="H557" s="2814">
        <v>0.534514342938971</v>
      </c>
      <c r="I557" s="2814">
        <v>3.06635030319631</v>
      </c>
      <c r="J557" s="2823">
        <v>0.4</v>
      </c>
      <c r="K557" s="1238">
        <f t="shared" si="10"/>
        <v>4.00086464613528</v>
      </c>
      <c r="L557" s="2839" t="s">
        <v>1459</v>
      </c>
    </row>
    <row r="558" s="2678" customFormat="1" ht="13.2" spans="1:13">
      <c r="A558" s="2692"/>
      <c r="B558" s="2695" t="s">
        <v>1122</v>
      </c>
      <c r="C558" s="23">
        <v>20250714</v>
      </c>
      <c r="D558" s="2696"/>
      <c r="E558" s="2772">
        <v>7.13</v>
      </c>
      <c r="F558" s="23" t="s">
        <v>1125</v>
      </c>
      <c r="G558" s="23" t="s">
        <v>1126</v>
      </c>
      <c r="H558" s="2713">
        <v>9.70650001861758</v>
      </c>
      <c r="I558" s="2713">
        <v>0.763050323759711</v>
      </c>
      <c r="J558" s="709">
        <v>0.2</v>
      </c>
      <c r="K558" s="22">
        <f t="shared" si="10"/>
        <v>10.6695503423773</v>
      </c>
      <c r="L558" s="2840" t="s">
        <v>1134</v>
      </c>
      <c r="M558" s="2692"/>
    </row>
    <row r="559" ht="13.2" spans="1:13">
      <c r="B559" s="2695" t="s">
        <v>1122</v>
      </c>
      <c r="C559" s="23">
        <v>20251105</v>
      </c>
      <c r="E559" s="2772">
        <v>7.13</v>
      </c>
      <c r="F559" s="23" t="s">
        <v>1127</v>
      </c>
      <c r="G559" s="23" t="s">
        <v>1128</v>
      </c>
      <c r="H559" s="2713">
        <v>9.70650001861758</v>
      </c>
      <c r="I559" s="2713">
        <v>5.08818993782293</v>
      </c>
      <c r="J559" s="709">
        <v>0.4</v>
      </c>
      <c r="K559" s="22">
        <f t="shared" si="10"/>
        <v>15.1946899564405</v>
      </c>
      <c r="L559" s="2840" t="s">
        <v>1134</v>
      </c>
    </row>
    <row r="560" ht="13.2" spans="1:13">
      <c r="B560" s="2695" t="s">
        <v>1135</v>
      </c>
      <c r="C560" s="2696">
        <v>20251113</v>
      </c>
      <c r="D560" s="20"/>
      <c r="E560" s="21">
        <v>7.13</v>
      </c>
      <c r="F560" s="21"/>
      <c r="G560" s="20" t="s">
        <v>1136</v>
      </c>
      <c r="H560" s="2713">
        <v>0.175501743846889</v>
      </c>
      <c r="I560" s="2713">
        <v>2.4730129678012</v>
      </c>
      <c r="J560" s="66">
        <v>0.5</v>
      </c>
      <c r="K560" s="22">
        <f t="shared" si="10"/>
        <v>3.14851471164809</v>
      </c>
      <c r="L560" s="23"/>
      <c r="M560" s="35"/>
    </row>
    <row r="561" ht="13.2" spans="2:12">
      <c r="B561" s="2695" t="s">
        <v>1137</v>
      </c>
      <c r="C561" s="2696">
        <v>20251118</v>
      </c>
      <c r="E561" s="701">
        <v>7.13</v>
      </c>
      <c r="F561" s="701" t="s">
        <v>1138</v>
      </c>
      <c r="G561" s="937" t="s">
        <v>1139</v>
      </c>
      <c r="H561" s="2713">
        <v>0.423711353001775</v>
      </c>
      <c r="I561" s="2713">
        <v>2.77209615833822</v>
      </c>
      <c r="J561" s="2841">
        <v>0.5</v>
      </c>
      <c r="K561" s="22">
        <f t="shared" si="10"/>
        <v>3.69580751133999</v>
      </c>
      <c r="L561" s="2842" t="s">
        <v>1140</v>
      </c>
    </row>
    <row r="562" ht="14.4" spans="2:12">
      <c r="B562" s="2695" t="s">
        <v>1067</v>
      </c>
      <c r="C562" s="2772">
        <v>20251119</v>
      </c>
      <c r="D562" s="2772"/>
      <c r="E562" s="2772">
        <v>7.13</v>
      </c>
      <c r="F562" s="2843" t="s">
        <v>1141</v>
      </c>
      <c r="G562" s="2843" t="s">
        <v>1142</v>
      </c>
      <c r="H562" s="2713">
        <v>0.239434521962541</v>
      </c>
      <c r="I562" s="2713">
        <v>0.313533865382467</v>
      </c>
      <c r="J562" s="37">
        <v>0.2</v>
      </c>
      <c r="K562" s="22">
        <f t="shared" si="10"/>
        <v>0.752968387345008</v>
      </c>
      <c r="L562" s="2695"/>
    </row>
    <row r="563" ht="14.4" spans="2:12">
      <c r="B563" s="2695" t="s">
        <v>1067</v>
      </c>
      <c r="C563" s="2772">
        <v>20251119</v>
      </c>
      <c r="D563" s="2772"/>
      <c r="E563" s="2772">
        <v>7.13</v>
      </c>
      <c r="F563" s="2843" t="s">
        <v>1143</v>
      </c>
      <c r="G563" s="2843" t="s">
        <v>1144</v>
      </c>
      <c r="H563" s="2713">
        <v>0.194305502116199</v>
      </c>
      <c r="I563" s="2713">
        <v>4.51301820820086</v>
      </c>
      <c r="J563" s="2844">
        <v>0.5</v>
      </c>
      <c r="K563" s="22">
        <f t="shared" si="10"/>
        <v>5.20732371031706</v>
      </c>
      <c r="L563" s="2695" t="s">
        <v>1145</v>
      </c>
    </row>
    <row r="564" ht="14.4" spans="2:12">
      <c r="B564" s="2695" t="s">
        <v>236</v>
      </c>
      <c r="C564" s="2772">
        <v>20251121</v>
      </c>
      <c r="D564" s="2772"/>
      <c r="E564" s="2772">
        <v>7.13</v>
      </c>
      <c r="F564" s="2843" t="s">
        <v>1146</v>
      </c>
      <c r="G564" s="2843" t="s">
        <v>1147</v>
      </c>
      <c r="H564" s="2713">
        <v>0.457558117886532</v>
      </c>
      <c r="I564" s="2713">
        <v>2.96668005370341</v>
      </c>
      <c r="J564" s="2844">
        <v>0.4</v>
      </c>
      <c r="K564" s="22">
        <f t="shared" si="10"/>
        <v>3.82423817158994</v>
      </c>
      <c r="L564" s="2695"/>
    </row>
    <row r="565" s="2692" customFormat="1" ht="13.2" spans="2:12">
      <c r="B565" s="2695" t="s">
        <v>41</v>
      </c>
      <c r="C565" s="2772">
        <v>20251124</v>
      </c>
      <c r="D565" s="2772"/>
      <c r="E565" s="2772">
        <v>7.1</v>
      </c>
      <c r="F565" s="2695" t="s">
        <v>1148</v>
      </c>
      <c r="G565" s="2845" t="s">
        <v>1149</v>
      </c>
      <c r="H565" s="2713">
        <v>0.388994141842204</v>
      </c>
      <c r="I565" s="2713">
        <v>2.49971680848969</v>
      </c>
      <c r="J565" s="2713">
        <v>0.4</v>
      </c>
      <c r="K565" s="22">
        <f t="shared" si="10"/>
        <v>3.28871095033189</v>
      </c>
      <c r="L565" s="2695"/>
    </row>
    <row r="566" s="2692" customFormat="1" ht="13.2" spans="2:12">
      <c r="B566" s="2695" t="s">
        <v>41</v>
      </c>
      <c r="C566" s="2772">
        <v>20251124</v>
      </c>
      <c r="D566" s="2772"/>
      <c r="E566" s="2772">
        <v>7.1</v>
      </c>
      <c r="F566" s="2695" t="s">
        <v>1150</v>
      </c>
      <c r="G566" s="2845" t="s">
        <v>1151</v>
      </c>
      <c r="H566" s="2713">
        <v>0.388994141842204</v>
      </c>
      <c r="I566" s="2713">
        <v>2.53713553529527</v>
      </c>
      <c r="J566" s="2713">
        <v>0.4</v>
      </c>
      <c r="K566" s="22">
        <f t="shared" si="10"/>
        <v>3.32612967713747</v>
      </c>
      <c r="L566" s="2695"/>
    </row>
    <row r="567" s="2693" customFormat="1" ht="13.2" spans="2:12">
      <c r="B567" s="2846" t="s">
        <v>1152</v>
      </c>
      <c r="C567" s="2847">
        <v>20251124</v>
      </c>
      <c r="D567" s="1820">
        <v>7.2</v>
      </c>
      <c r="E567" s="2772">
        <v>7.1</v>
      </c>
      <c r="F567" s="1820" t="s">
        <v>1153</v>
      </c>
      <c r="G567" s="1820" t="s">
        <v>1154</v>
      </c>
      <c r="H567" s="2713">
        <v>0.480892434251527</v>
      </c>
      <c r="I567" s="2713">
        <v>2.01911170159443</v>
      </c>
      <c r="J567" s="794">
        <v>0.4</v>
      </c>
      <c r="K567" s="22">
        <f t="shared" si="10"/>
        <v>2.90000413584596</v>
      </c>
      <c r="L567" s="2848"/>
    </row>
    <row r="568" ht="13.2" spans="2:12">
      <c r="B568" s="2812" t="s">
        <v>1152</v>
      </c>
      <c r="C568" s="23">
        <v>20240927</v>
      </c>
      <c r="D568" s="20">
        <v>7.11</v>
      </c>
      <c r="E568" s="23">
        <v>7.24</v>
      </c>
      <c r="F568" s="23" t="s">
        <v>1157</v>
      </c>
      <c r="G568" s="20" t="s">
        <v>1158</v>
      </c>
      <c r="H568" s="2713">
        <v>0.489671804991234</v>
      </c>
      <c r="I568" s="2713">
        <v>1.71455242915705</v>
      </c>
      <c r="J568" s="774">
        <v>0.4</v>
      </c>
      <c r="K568" s="22">
        <f t="shared" si="10"/>
        <v>2.60422423414828</v>
      </c>
      <c r="L568" s="2695"/>
    </row>
    <row r="569" ht="13.2" spans="2:12">
      <c r="B569" s="2812" t="s">
        <v>1152</v>
      </c>
      <c r="C569" s="23">
        <v>20240927</v>
      </c>
      <c r="D569" s="20">
        <v>7.11</v>
      </c>
      <c r="E569" s="23">
        <v>7.24</v>
      </c>
      <c r="F569" s="23" t="s">
        <v>1159</v>
      </c>
      <c r="G569" s="20" t="s">
        <v>1160</v>
      </c>
      <c r="H569" s="2713">
        <v>0.489671804991234</v>
      </c>
      <c r="I569" s="2713">
        <v>2.83324916862538</v>
      </c>
      <c r="J569" s="774">
        <v>0.4</v>
      </c>
      <c r="K569" s="22">
        <f t="shared" si="10"/>
        <v>3.72292097361661</v>
      </c>
      <c r="L569" s="2695"/>
    </row>
    <row r="570" s="2692" customFormat="1" ht="14.4" spans="2:12">
      <c r="B570" s="2695" t="s">
        <v>41</v>
      </c>
      <c r="C570" s="2772">
        <v>20251126</v>
      </c>
      <c r="D570" s="2772"/>
      <c r="E570" s="2772">
        <v>7.1</v>
      </c>
      <c r="F570" s="1758" t="s">
        <v>1161</v>
      </c>
      <c r="G570" s="2845" t="s">
        <v>1162</v>
      </c>
      <c r="H570" s="2713">
        <v>0.388994141842204</v>
      </c>
      <c r="I570" s="2713">
        <v>2.49209100068054</v>
      </c>
      <c r="J570" s="2713">
        <v>0.3</v>
      </c>
      <c r="K570" s="22">
        <f t="shared" si="10"/>
        <v>3.18108514252274</v>
      </c>
      <c r="L570" s="2695"/>
    </row>
    <row r="571" ht="14.4" spans="2:12">
      <c r="B571" s="2695" t="s">
        <v>1122</v>
      </c>
      <c r="C571" s="2772">
        <v>20251126</v>
      </c>
      <c r="D571" s="2772"/>
      <c r="E571" s="2772">
        <v>7.1</v>
      </c>
      <c r="F571" s="1758" t="s">
        <v>1163</v>
      </c>
      <c r="G571" s="2845" t="s">
        <v>1164</v>
      </c>
      <c r="H571" s="2713">
        <v>0.541318708712452</v>
      </c>
      <c r="I571" s="2713">
        <v>5.23314058999489</v>
      </c>
      <c r="J571" s="2713">
        <v>0.4</v>
      </c>
      <c r="K571" s="22">
        <f t="shared" si="10"/>
        <v>6.17445929870734</v>
      </c>
      <c r="L571" s="2840" t="s">
        <v>1165</v>
      </c>
    </row>
    <row r="572" ht="14.4" spans="2:12">
      <c r="B572" s="2695" t="s">
        <v>1122</v>
      </c>
      <c r="C572" s="2772">
        <v>20251126</v>
      </c>
      <c r="D572" s="2772"/>
      <c r="E572" s="2772">
        <v>7.1</v>
      </c>
      <c r="F572" s="1758" t="s">
        <v>1166</v>
      </c>
      <c r="G572" s="2845" t="s">
        <v>1167</v>
      </c>
      <c r="H572" s="2713">
        <v>0.234151813536084</v>
      </c>
      <c r="I572" s="2713">
        <v>0.813759212294029</v>
      </c>
      <c r="J572" s="2713">
        <v>0.4</v>
      </c>
      <c r="K572" s="22">
        <f t="shared" si="10"/>
        <v>1.44791102583011</v>
      </c>
      <c r="L572" s="2695"/>
    </row>
    <row r="573" ht="14.4" spans="2:12">
      <c r="B573" s="2695" t="s">
        <v>1122</v>
      </c>
      <c r="C573" s="2772">
        <v>20251126</v>
      </c>
      <c r="D573" s="2772"/>
      <c r="E573" s="2772">
        <v>7.1</v>
      </c>
      <c r="F573" s="1758" t="s">
        <v>1163</v>
      </c>
      <c r="G573" s="2845" t="s">
        <v>1164</v>
      </c>
      <c r="H573" s="2713">
        <v>9.74751339897794</v>
      </c>
      <c r="I573" s="2713">
        <v>5.23314058999489</v>
      </c>
      <c r="J573" s="2713">
        <v>0.4</v>
      </c>
      <c r="K573" s="22">
        <f t="shared" si="10"/>
        <v>15.3806539889728</v>
      </c>
      <c r="L573" s="2849" t="s">
        <v>1168</v>
      </c>
    </row>
    <row r="574" ht="14.4" spans="2:12">
      <c r="B574" s="2695" t="s">
        <v>1122</v>
      </c>
      <c r="C574" s="2772">
        <v>20251126</v>
      </c>
      <c r="D574" s="2772"/>
      <c r="E574" s="2772">
        <v>7.1</v>
      </c>
      <c r="F574" s="1758" t="s">
        <v>1166</v>
      </c>
      <c r="G574" s="2845" t="s">
        <v>1167</v>
      </c>
      <c r="H574" s="2713">
        <v>9.74751339897794</v>
      </c>
      <c r="I574" s="2713">
        <v>0.813759212294029</v>
      </c>
      <c r="J574" s="2713">
        <v>0.4</v>
      </c>
      <c r="K574" s="22">
        <f>SUBTOTAL(9,H574:J574)</f>
        <v>10.961272611272</v>
      </c>
      <c r="L574" s="2849" t="s">
        <v>1169</v>
      </c>
    </row>
    <row r="575" ht="14.4" spans="2:12">
      <c r="B575" s="2695" t="s">
        <v>236</v>
      </c>
      <c r="C575" s="2772">
        <v>20251128</v>
      </c>
      <c r="D575" s="2772"/>
      <c r="E575" s="2772">
        <v>7.1</v>
      </c>
      <c r="F575" s="917" t="s">
        <v>1170</v>
      </c>
      <c r="G575" s="917" t="s">
        <v>1171</v>
      </c>
      <c r="H575" s="2713">
        <v>0.533765424404836</v>
      </c>
      <c r="I575" s="2713">
        <v>3.0446769706606</v>
      </c>
      <c r="J575" s="2844">
        <v>0.4</v>
      </c>
      <c r="K575" s="2714">
        <f t="shared" ref="K575:K586" si="11">SUM(H575:J575)</f>
        <v>3.97844239506544</v>
      </c>
      <c r="L575" s="2695"/>
    </row>
    <row r="576" spans="2:12">
      <c r="B576" s="2712" t="s">
        <v>768</v>
      </c>
      <c r="C576" s="2696">
        <v>20251202</v>
      </c>
      <c r="E576" s="2696">
        <v>7.1</v>
      </c>
      <c r="F576" s="2696" t="s">
        <v>1172</v>
      </c>
      <c r="G576" s="2695" t="s">
        <v>1173</v>
      </c>
      <c r="H576" s="2713">
        <v>0.172466658357223</v>
      </c>
      <c r="I576" s="2713">
        <v>0.3037685466783</v>
      </c>
      <c r="J576" s="2714">
        <v>0.2</v>
      </c>
      <c r="K576" s="2714">
        <f t="shared" si="11"/>
        <v>0.676235205035523</v>
      </c>
      <c r="L576" s="2695"/>
    </row>
    <row r="577" spans="1:13">
      <c r="B577" s="2793" t="s">
        <v>41</v>
      </c>
      <c r="C577" s="2696">
        <v>20251204</v>
      </c>
      <c r="E577" s="2696">
        <v>7.07</v>
      </c>
      <c r="F577" s="2696" t="s">
        <v>1174</v>
      </c>
      <c r="G577" s="2819" t="s">
        <v>1175</v>
      </c>
      <c r="H577" s="2794">
        <v>0.505689001264222</v>
      </c>
      <c r="I577" s="2794">
        <v>1.55633325099558</v>
      </c>
      <c r="J577" s="2739">
        <v>0.4</v>
      </c>
      <c r="K577" s="2739">
        <f t="shared" si="11"/>
        <v>2.4620222522598</v>
      </c>
      <c r="L577" s="2850" t="s">
        <v>1176</v>
      </c>
    </row>
    <row r="578" ht="14.4" spans="1:13">
      <c r="B578" s="2695" t="s">
        <v>236</v>
      </c>
      <c r="C578" s="2711">
        <v>20251208</v>
      </c>
      <c r="D578" s="2772"/>
      <c r="E578" s="2711">
        <v>7.07</v>
      </c>
      <c r="F578" s="2772" t="s">
        <v>1178</v>
      </c>
      <c r="G578" s="926" t="s">
        <v>1179</v>
      </c>
      <c r="H578" s="2713">
        <f>2.85/E578/1.13</f>
        <v>0.356736052872038</v>
      </c>
      <c r="I578" s="2851">
        <v>1.6128859462017</v>
      </c>
      <c r="J578" s="2714">
        <v>0.2</v>
      </c>
      <c r="K578" s="2714">
        <f t="shared" si="11"/>
        <v>2.16962199907374</v>
      </c>
      <c r="L578" s="2695" t="s">
        <v>1180</v>
      </c>
    </row>
    <row r="579" s="2677" customFormat="1" spans="1:13">
      <c r="B579" s="2712" t="s">
        <v>1181</v>
      </c>
      <c r="C579" s="2732" t="s">
        <v>1182</v>
      </c>
      <c r="D579" s="2711"/>
      <c r="E579" s="2711">
        <v>7.07</v>
      </c>
      <c r="F579" s="2711" t="s">
        <v>1183</v>
      </c>
      <c r="G579" s="2710" t="s">
        <v>1184</v>
      </c>
      <c r="H579" s="2713">
        <f>2.89/E579/1.13</f>
        <v>0.361742874666733</v>
      </c>
      <c r="I579" s="2713">
        <v>1.47226809219749</v>
      </c>
      <c r="J579" s="2714">
        <v>0.3</v>
      </c>
      <c r="K579" s="2714">
        <f t="shared" si="11"/>
        <v>2.13401096686422</v>
      </c>
      <c r="L579" s="2710"/>
      <c r="M579" s="2715"/>
    </row>
    <row r="580" s="2691" customFormat="1" ht="68" customHeight="1" spans="1:13">
      <c r="A580" s="2852"/>
      <c r="B580" s="2853" t="s">
        <v>41</v>
      </c>
      <c r="C580" s="2834">
        <v>20251210</v>
      </c>
      <c r="D580" s="2834"/>
      <c r="E580" s="2834">
        <v>7.07</v>
      </c>
      <c r="F580" s="2834" t="s">
        <v>1311</v>
      </c>
      <c r="G580" s="2853" t="s">
        <v>1460</v>
      </c>
      <c r="H580" s="2854">
        <v>0.625</v>
      </c>
      <c r="I580" s="2854">
        <f>60+0.0945500744764742</f>
        <v>60.0945500744765</v>
      </c>
      <c r="J580" s="2855">
        <v>0.3</v>
      </c>
      <c r="K580" s="2855">
        <f t="shared" si="11"/>
        <v>61.0195500744765</v>
      </c>
      <c r="L580" s="2856" t="s">
        <v>1461</v>
      </c>
      <c r="M580" s="2857"/>
    </row>
    <row r="581" spans="1:13">
      <c r="B581" s="2695" t="s">
        <v>1137</v>
      </c>
      <c r="C581" s="2711">
        <v>20251210</v>
      </c>
      <c r="D581" s="2772"/>
      <c r="E581" s="2711">
        <v>7.07</v>
      </c>
      <c r="F581" s="2772" t="s">
        <v>1185</v>
      </c>
      <c r="G581" s="2695" t="s">
        <v>1186</v>
      </c>
      <c r="H581" s="2713">
        <f>3.38/E581/1.13</f>
        <v>0.423076441651751</v>
      </c>
      <c r="I581" s="2851">
        <v>2.78804104977219</v>
      </c>
      <c r="J581" s="2844">
        <v>0.4</v>
      </c>
      <c r="K581" s="2714">
        <f t="shared" si="11"/>
        <v>3.61111749142394</v>
      </c>
      <c r="L581" s="2695"/>
    </row>
    <row r="582" s="2694" customFormat="1" ht="15" customHeight="1" spans="1:13">
      <c r="A582" s="2858"/>
      <c r="B582" s="2859"/>
      <c r="C582" s="2860">
        <v>20251218</v>
      </c>
      <c r="D582" s="2861"/>
      <c r="E582" s="2861">
        <v>7.05</v>
      </c>
      <c r="F582" s="2861" t="s">
        <v>1188</v>
      </c>
      <c r="G582" s="2861" t="s">
        <v>1189</v>
      </c>
      <c r="H582" s="2862">
        <f>3.0623/E582/1.13</f>
        <v>0.384397163120567</v>
      </c>
      <c r="I582" s="2862">
        <v>0.0494784409715684</v>
      </c>
      <c r="J582" s="2863">
        <v>0.4</v>
      </c>
      <c r="K582" s="2863">
        <f t="shared" si="11"/>
        <v>0.833875604092136</v>
      </c>
      <c r="L582" s="2864" t="s">
        <v>1190</v>
      </c>
      <c r="M582" s="2865"/>
    </row>
    <row r="583" s="2677" customFormat="1" spans="1:13">
      <c r="B583" s="176" t="s">
        <v>491</v>
      </c>
      <c r="C583" s="2860">
        <v>20251229</v>
      </c>
      <c r="D583" s="2861"/>
      <c r="E583" s="2772">
        <v>7.01</v>
      </c>
      <c r="F583" s="2695" t="s">
        <v>1191</v>
      </c>
      <c r="G583" s="176" t="s">
        <v>1192</v>
      </c>
      <c r="H583" s="2713">
        <f>3.03/E583/1.13</f>
        <v>0.382512971355712</v>
      </c>
      <c r="I583" s="2713">
        <v>2.38716499429387</v>
      </c>
      <c r="J583" s="2714">
        <v>0.4</v>
      </c>
      <c r="K583" s="2714">
        <f t="shared" si="11"/>
        <v>3.16967796564958</v>
      </c>
      <c r="L583" s="176"/>
    </row>
    <row r="584" s="2677" customFormat="1" spans="1:13">
      <c r="B584" s="176" t="s">
        <v>39</v>
      </c>
      <c r="C584" s="2860">
        <v>20251230</v>
      </c>
      <c r="D584" s="2861"/>
      <c r="E584" s="2772">
        <v>7.01</v>
      </c>
      <c r="F584" s="2695" t="s">
        <v>1193</v>
      </c>
      <c r="G584" s="176" t="s">
        <v>1194</v>
      </c>
      <c r="H584" s="2713">
        <f>9.1/E584/1.13</f>
        <v>1.14880133311451</v>
      </c>
      <c r="I584" s="2713">
        <v>9.64543739919332</v>
      </c>
      <c r="J584" s="2714">
        <v>2</v>
      </c>
      <c r="K584" s="2714">
        <f t="shared" si="11"/>
        <v>12.7942387323078</v>
      </c>
      <c r="L584" s="176"/>
    </row>
    <row r="585" s="2677" customFormat="1" spans="1:13">
      <c r="B585" s="176" t="s">
        <v>1195</v>
      </c>
      <c r="C585" s="2860">
        <v>20251230</v>
      </c>
      <c r="D585" s="2861"/>
      <c r="E585" s="2772">
        <v>7.01</v>
      </c>
      <c r="F585" s="2695" t="s">
        <v>1196</v>
      </c>
      <c r="G585" s="176" t="s">
        <v>1197</v>
      </c>
      <c r="H585" s="2713">
        <f>4/E585/1.13</f>
        <v>0.504967618951435</v>
      </c>
      <c r="I585" s="2713">
        <v>3.25736269299862</v>
      </c>
      <c r="J585" s="2714">
        <v>0.4</v>
      </c>
      <c r="K585" s="2714">
        <f t="shared" si="11"/>
        <v>4.16233031195005</v>
      </c>
      <c r="L585" s="176"/>
    </row>
    <row r="586" ht="12" spans="1:13">
      <c r="B586" s="2749" t="s">
        <v>298</v>
      </c>
      <c r="C586" s="2866">
        <v>46030</v>
      </c>
      <c r="D586" s="2774"/>
      <c r="E586" s="2867">
        <v>6.9857</v>
      </c>
      <c r="F586" s="2774" t="s">
        <v>1462</v>
      </c>
      <c r="G586" s="2816" t="s">
        <v>1463</v>
      </c>
      <c r="H586" s="2818">
        <f>2.64/E586/1.13</f>
        <v>0.334437949788956</v>
      </c>
      <c r="I586" s="2818">
        <v>1.93560747025745</v>
      </c>
      <c r="J586" s="2735">
        <v>0.4</v>
      </c>
      <c r="K586" s="2735">
        <f t="shared" si="11"/>
        <v>2.67004542004641</v>
      </c>
      <c r="L586" s="2868" t="s">
        <v>308</v>
      </c>
    </row>
    <row r="587" spans="1:13">
      <c r="B587" s="2812"/>
    </row>
    <row r="594" spans="2:7">
      <c r="G594" s="2691"/>
    </row>
    <row r="602" spans="2:7">
      <c r="B602" s="2695" t="s">
        <v>313</v>
      </c>
      <c r="F602" s="2696" t="s">
        <v>1241</v>
      </c>
      <c r="G602" s="2692" t="s">
        <v>1242</v>
      </c>
    </row>
    <row r="820" spans="16:16">
      <c r="P820" s="2692" t="e">
        <f>36.32/D820/1.13</f>
        <v>#DIV/0!</v>
      </c>
    </row>
  </sheetData>
  <mergeCells count="21">
    <mergeCell ref="B1:G1"/>
    <mergeCell ref="B403:B407"/>
    <mergeCell ref="B408:B410"/>
    <mergeCell ref="B411:B412"/>
    <mergeCell ref="B414:B416"/>
    <mergeCell ref="B417:B418"/>
    <mergeCell ref="B419:B436"/>
    <mergeCell ref="B437:B447"/>
    <mergeCell ref="B448:B453"/>
    <mergeCell ref="B454:B457"/>
    <mergeCell ref="B458:B459"/>
    <mergeCell ref="B460:B463"/>
    <mergeCell ref="B465:B466"/>
    <mergeCell ref="B467:B474"/>
    <mergeCell ref="B475:B477"/>
    <mergeCell ref="B478:B479"/>
    <mergeCell ref="B480:B483"/>
    <mergeCell ref="B484:B486"/>
    <mergeCell ref="B487:B489"/>
    <mergeCell ref="B490:B491"/>
    <mergeCell ref="B492:B49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autoPageBreaks="0"/>
  </sheetPr>
  <dimension ref="A1:AI653"/>
  <sheetViews>
    <sheetView topLeftCell="C1" workbookViewId="0">
      <selection activeCell="J24" sqref="J24"/>
    </sheetView>
  </sheetViews>
  <sheetFormatPr defaultColWidth="9" defaultRowHeight="14.4"/>
  <cols>
    <col min="1" max="1" width="4.22222222222222" hidden="1" customWidth="1"/>
    <col min="2" max="2" width="4.77777777777778" hidden="1" customWidth="1"/>
    <col min="3" max="3" width="23.3055555555556" style="2599" customWidth="1"/>
    <col min="4" max="4" width="18.25" style="2600" hidden="1" customWidth="1"/>
    <col min="5" max="5" width="11.2314814814815" style="2601" hidden="1" customWidth="1"/>
    <col min="6" max="6" width="10.9074074074074" style="2601" hidden="1" customWidth="1"/>
    <col min="7" max="7" width="15.7777777777778" style="2602" hidden="1" customWidth="1"/>
    <col min="8" max="8" width="12.7314814814815" style="2599" hidden="1" customWidth="1"/>
    <col min="9" max="9" width="31.7777777777778" style="2599" hidden="1" customWidth="1"/>
    <col min="10" max="10" width="11.3703703703704" style="2603" customWidth="1"/>
    <col min="11" max="11" width="13.8425925925926" style="2603" customWidth="1"/>
    <col min="12" max="12" width="5.77777777777778" style="2604" customWidth="1"/>
    <col min="13" max="13" width="8.63888888888889" style="2605" customWidth="1"/>
    <col min="14" max="14" width="11.8981481481481" style="2486" hidden="1" customWidth="1"/>
    <col min="15" max="16" width="11.8981481481481" style="2486" customWidth="1"/>
    <col min="17" max="17" width="12.6944444444444" style="2606" customWidth="1"/>
    <col min="18" max="18" width="13.6388888888889" style="2607" customWidth="1"/>
    <col min="19" max="19" width="11.8981481481481" style="2486" hidden="1" customWidth="1"/>
    <col min="20" max="20" width="18.4444444444444" style="2608" customWidth="1"/>
    <col min="21" max="21" width="101.222222222222" style="2599" customWidth="1"/>
    <col min="22" max="22" width="39.7777777777778" style="2599" customWidth="1"/>
    <col min="23" max="23" width="9" style="2597"/>
    <col min="24" max="24" width="12.8888888888889" style="2597" customWidth="1"/>
    <col min="25" max="25" width="20.4907407407407" style="2597" customWidth="1"/>
    <col min="26" max="26" width="12.7314814814815" style="2609" customWidth="1"/>
    <col min="27" max="27" width="1.97222222222222" style="2597" customWidth="1"/>
    <col min="28" max="28" width="9" style="2597"/>
    <col min="29" max="29" width="13.2222222222222" style="2597" customWidth="1"/>
    <col min="30" max="30" width="12.8888888888889" style="2597" customWidth="1"/>
    <col min="31" max="31" width="11" style="2609" customWidth="1"/>
    <col min="32" max="32" width="1.69444444444444" style="2609" customWidth="1"/>
    <col min="33" max="33" width="18.2222222222222" style="2597" customWidth="1"/>
    <col min="34" max="34" width="10.8518518518519" style="2597" customWidth="1"/>
    <col min="35" max="16366" width="9" style="2597"/>
    <col min="16367" max="16384" width="9" style="2610"/>
  </cols>
  <sheetData>
    <row r="1" s="188" customFormat="1" ht="14" customHeight="1" spans="1:35">
      <c r="C1" s="2611" t="s">
        <v>1464</v>
      </c>
      <c r="D1" s="1941"/>
      <c r="E1" s="1466"/>
      <c r="F1" s="1466"/>
      <c r="G1" s="1466"/>
      <c r="H1" s="1466"/>
      <c r="I1" s="1466"/>
      <c r="J1" s="1466"/>
      <c r="K1" s="1466"/>
      <c r="L1" s="1466"/>
      <c r="M1" s="1466"/>
      <c r="N1" s="1466"/>
      <c r="O1" s="1466"/>
      <c r="P1" s="1466"/>
      <c r="Q1" s="1467"/>
      <c r="R1" s="1700"/>
      <c r="S1" s="1466"/>
      <c r="T1" s="1462"/>
      <c r="U1" s="2612" t="s">
        <v>1465</v>
      </c>
      <c r="V1" s="2612"/>
      <c r="W1" s="1882" t="s">
        <v>1428</v>
      </c>
      <c r="X1" s="1883" t="s">
        <v>1466</v>
      </c>
      <c r="Y1" s="1883" t="s">
        <v>1467</v>
      </c>
      <c r="Z1" s="2613" t="s">
        <v>1468</v>
      </c>
      <c r="AA1" s="840"/>
      <c r="AB1" s="1882" t="s">
        <v>1428</v>
      </c>
      <c r="AC1" s="1883" t="s">
        <v>1466</v>
      </c>
      <c r="AD1" s="1883" t="s">
        <v>1467</v>
      </c>
      <c r="AE1" s="2613" t="s">
        <v>1468</v>
      </c>
      <c r="AF1" s="2613"/>
      <c r="AG1" s="1883" t="s">
        <v>1466</v>
      </c>
      <c r="AH1" s="1883" t="s">
        <v>1467</v>
      </c>
      <c r="AI1" s="2613" t="s">
        <v>1468</v>
      </c>
    </row>
    <row r="2" s="188" customFormat="1" ht="14" customHeight="1" spans="1:35">
      <c r="C2" s="98"/>
      <c r="D2" s="97"/>
      <c r="E2" s="1466"/>
      <c r="F2" s="1466"/>
      <c r="G2" s="1466"/>
      <c r="H2" s="1466"/>
      <c r="I2" s="1466"/>
      <c r="J2" s="1466"/>
      <c r="K2" s="1466"/>
      <c r="L2" s="1466"/>
      <c r="M2" s="1466"/>
      <c r="N2" s="1466"/>
      <c r="O2" s="1466"/>
      <c r="P2" s="1466"/>
      <c r="Q2" s="1467"/>
      <c r="R2" s="1700"/>
      <c r="S2" s="1466"/>
      <c r="T2" s="1462"/>
      <c r="U2" s="2612"/>
      <c r="V2" s="2612"/>
      <c r="W2" s="1887" t="s">
        <v>1428</v>
      </c>
      <c r="X2" s="1776" t="s">
        <v>1469</v>
      </c>
      <c r="Y2" s="1889" t="s">
        <v>1470</v>
      </c>
      <c r="Z2" s="1890">
        <v>0.64</v>
      </c>
      <c r="AA2" s="1891"/>
      <c r="AB2" s="1887" t="s">
        <v>1428</v>
      </c>
      <c r="AC2" s="1703" t="s">
        <v>1471</v>
      </c>
      <c r="AD2" s="1891">
        <v>9672</v>
      </c>
      <c r="AE2" s="1890">
        <v>1.05</v>
      </c>
      <c r="AF2" s="1890"/>
      <c r="AG2" s="1703" t="s">
        <v>1472</v>
      </c>
      <c r="AH2" s="1883" t="s">
        <v>1473</v>
      </c>
      <c r="AI2" s="1890">
        <v>0.71</v>
      </c>
    </row>
    <row r="3" s="188" customFormat="1" ht="14" customHeight="1" spans="1:35">
      <c r="C3" s="98"/>
      <c r="D3" s="97"/>
      <c r="E3" s="1466"/>
      <c r="F3" s="1466"/>
      <c r="G3" s="1466"/>
      <c r="H3" s="1466"/>
      <c r="I3" s="953"/>
      <c r="J3" s="1943"/>
      <c r="K3" s="1466"/>
      <c r="L3" s="1466"/>
      <c r="M3" s="1466"/>
      <c r="N3" s="1466"/>
      <c r="O3" s="1466"/>
      <c r="P3" s="1466"/>
      <c r="Q3" s="1467"/>
      <c r="R3" s="1700"/>
      <c r="S3" s="1466"/>
      <c r="T3" s="1462"/>
      <c r="U3" s="2612"/>
      <c r="V3" s="2612"/>
      <c r="W3" s="1887" t="s">
        <v>1428</v>
      </c>
      <c r="X3" s="1779"/>
      <c r="Y3" s="1889" t="s">
        <v>1474</v>
      </c>
      <c r="Z3" s="1890">
        <v>1.7769148</v>
      </c>
      <c r="AA3" s="1891"/>
      <c r="AB3" s="1882" t="s">
        <v>1428</v>
      </c>
      <c r="AC3" s="1703"/>
      <c r="AD3" s="1891"/>
      <c r="AE3" s="1890"/>
      <c r="AF3" s="1890"/>
      <c r="AG3" s="1703"/>
      <c r="AH3" s="1883"/>
      <c r="AI3" s="1890">
        <f>0.48*1.05</f>
        <v>0.504</v>
      </c>
    </row>
    <row r="4" s="188" customFormat="1" ht="14" customHeight="1" spans="1:35">
      <c r="C4" s="98"/>
      <c r="D4" s="97"/>
      <c r="E4" s="1466"/>
      <c r="F4" s="1466"/>
      <c r="G4" s="953"/>
      <c r="H4" s="1466"/>
      <c r="I4" s="953"/>
      <c r="J4" s="1943"/>
      <c r="K4" s="1466"/>
      <c r="L4" s="1466"/>
      <c r="M4" s="1466"/>
      <c r="N4" s="1466"/>
      <c r="O4" s="1466"/>
      <c r="P4" s="1466"/>
      <c r="Q4" s="1467"/>
      <c r="R4" s="1700"/>
      <c r="S4" s="1466"/>
      <c r="T4" s="1462"/>
      <c r="U4" s="2612"/>
      <c r="V4" s="2612"/>
      <c r="W4" s="1887"/>
      <c r="X4" s="1779"/>
      <c r="Y4" s="1889"/>
      <c r="Z4" s="1890"/>
      <c r="AA4" s="1891"/>
      <c r="AB4" s="1882"/>
      <c r="AC4" s="1703"/>
      <c r="AD4" s="1891"/>
      <c r="AE4" s="1890"/>
      <c r="AF4" s="1890"/>
      <c r="AG4" s="1703" t="s">
        <v>1475</v>
      </c>
      <c r="AH4" s="1883" t="s">
        <v>1476</v>
      </c>
      <c r="AI4" s="1890">
        <v>0.94</v>
      </c>
    </row>
    <row r="5" s="188" customFormat="1" ht="14" customHeight="1" spans="1:35">
      <c r="C5" s="98"/>
      <c r="D5" s="97"/>
      <c r="E5" s="1466"/>
      <c r="F5" s="1466"/>
      <c r="H5" s="1466"/>
      <c r="I5" s="2614" t="s">
        <v>1477</v>
      </c>
      <c r="J5" s="1466"/>
      <c r="K5" s="1466"/>
      <c r="L5" s="1466"/>
      <c r="M5" s="1466"/>
      <c r="N5" s="1466"/>
      <c r="O5" s="1466"/>
      <c r="P5" s="1466"/>
      <c r="Q5" s="1467"/>
      <c r="R5" s="1700"/>
      <c r="S5" s="1466"/>
      <c r="T5" s="1462"/>
      <c r="U5" s="2612"/>
      <c r="V5" s="2612"/>
      <c r="W5" s="1887" t="s">
        <v>1428</v>
      </c>
      <c r="X5" s="1779"/>
      <c r="Y5" s="1889" t="s">
        <v>1478</v>
      </c>
      <c r="Z5" s="1890">
        <v>1.8079</v>
      </c>
      <c r="AA5" s="1891"/>
      <c r="AB5" s="1882" t="s">
        <v>1428</v>
      </c>
      <c r="AC5" s="1703" t="s">
        <v>1479</v>
      </c>
      <c r="AD5" s="1891" t="s">
        <v>1480</v>
      </c>
      <c r="AE5" s="1890">
        <v>0.23</v>
      </c>
      <c r="AF5" s="1890"/>
      <c r="AG5" s="1703" t="s">
        <v>1481</v>
      </c>
      <c r="AH5" s="1891" t="s">
        <v>1482</v>
      </c>
      <c r="AI5" s="1890">
        <v>0.37</v>
      </c>
    </row>
    <row r="6" s="188" customFormat="1" ht="14" customHeight="1" spans="1:35">
      <c r="C6" s="98"/>
      <c r="D6" s="97"/>
      <c r="E6" s="1466"/>
      <c r="F6" s="1466"/>
      <c r="G6" s="1466"/>
      <c r="H6" s="1466"/>
      <c r="I6" s="1466"/>
      <c r="J6" s="1466"/>
      <c r="K6" s="1466"/>
      <c r="L6" s="1466"/>
      <c r="M6" s="1466"/>
      <c r="N6" s="1466"/>
      <c r="O6" s="1466"/>
      <c r="P6" s="1466"/>
      <c r="Q6" s="1467"/>
      <c r="R6" s="1700"/>
      <c r="S6" s="1466"/>
      <c r="T6" s="1462"/>
      <c r="U6" s="2612"/>
      <c r="V6" s="2612"/>
      <c r="W6" s="1887"/>
      <c r="X6" s="1779"/>
      <c r="Y6" s="1889" t="s">
        <v>1483</v>
      </c>
      <c r="Z6" s="1890">
        <v>0.99</v>
      </c>
      <c r="AA6" s="1891"/>
      <c r="AB6" s="1882"/>
      <c r="AC6" s="2615"/>
      <c r="AD6" s="1891"/>
      <c r="AE6" s="1890"/>
      <c r="AF6" s="1890"/>
      <c r="AG6" s="1703"/>
      <c r="AH6" s="1891" t="s">
        <v>1484</v>
      </c>
      <c r="AI6" s="1890">
        <f>0.9*1.05</f>
        <v>0.945</v>
      </c>
    </row>
    <row r="7" s="188" customFormat="1" ht="14" customHeight="1" spans="1:35">
      <c r="C7" s="98"/>
      <c r="D7" s="97"/>
      <c r="E7" s="1466"/>
      <c r="F7" s="1466"/>
      <c r="G7" s="1466"/>
      <c r="H7" s="1466"/>
      <c r="I7" s="1466"/>
      <c r="J7" s="1466"/>
      <c r="K7" s="1466"/>
      <c r="L7" s="1466"/>
      <c r="M7" s="1466"/>
      <c r="N7" s="1466"/>
      <c r="O7" s="1466"/>
      <c r="P7" s="1466"/>
      <c r="Q7" s="1467"/>
      <c r="R7" s="1700"/>
      <c r="S7" s="1466"/>
      <c r="T7" s="1462"/>
      <c r="U7" s="2612"/>
      <c r="V7" s="2612"/>
      <c r="W7" s="1887" t="s">
        <v>1428</v>
      </c>
      <c r="X7" s="1779"/>
      <c r="Y7" s="1889" t="s">
        <v>1485</v>
      </c>
      <c r="Z7" s="1890">
        <v>0.52</v>
      </c>
      <c r="AA7" s="1891"/>
      <c r="AB7" s="1882" t="s">
        <v>1428</v>
      </c>
      <c r="AC7" s="2616" t="s">
        <v>1486</v>
      </c>
      <c r="AD7" s="1891">
        <v>8040</v>
      </c>
      <c r="AE7" s="1890">
        <v>2.948</v>
      </c>
      <c r="AF7" s="1890"/>
      <c r="AG7" s="1703" t="s">
        <v>1487</v>
      </c>
      <c r="AH7" s="1891" t="s">
        <v>1488</v>
      </c>
      <c r="AI7" s="1890">
        <v>2.36</v>
      </c>
    </row>
    <row r="8" s="2596" customFormat="1" ht="10" customHeight="1" spans="1:35">
      <c r="C8" s="98"/>
      <c r="D8" s="97"/>
      <c r="E8" s="1466"/>
      <c r="F8" s="1466"/>
      <c r="G8" s="1466"/>
      <c r="H8" s="1466"/>
      <c r="I8" s="1466"/>
      <c r="J8" s="1466"/>
      <c r="K8" s="1466"/>
      <c r="L8" s="1466"/>
      <c r="M8" s="1466"/>
      <c r="N8" s="1466"/>
      <c r="O8" s="1466"/>
      <c r="P8" s="1466"/>
      <c r="Q8" s="1467"/>
      <c r="R8" s="1700"/>
      <c r="S8" s="1466"/>
      <c r="T8" s="1462"/>
      <c r="U8" s="2612"/>
      <c r="V8" s="2612"/>
      <c r="W8" s="1882"/>
      <c r="X8" s="1779"/>
      <c r="Y8" s="1891" t="s">
        <v>1489</v>
      </c>
      <c r="Z8" s="1890">
        <v>0.93</v>
      </c>
      <c r="AA8" s="1891"/>
      <c r="AB8" s="1882"/>
      <c r="AC8" s="1711"/>
      <c r="AD8" s="1891">
        <v>9040</v>
      </c>
      <c r="AE8" s="1890">
        <v>3.054</v>
      </c>
      <c r="AF8" s="1890"/>
      <c r="AG8" s="1703"/>
      <c r="AH8" s="131"/>
      <c r="AI8" s="131"/>
    </row>
    <row r="9" s="1601" customFormat="1" ht="30" customHeight="1" spans="1:35">
      <c r="C9" s="132" t="s">
        <v>1490</v>
      </c>
      <c r="D9" s="132" t="s">
        <v>1491</v>
      </c>
      <c r="E9" s="17" t="s">
        <v>1492</v>
      </c>
      <c r="F9" s="17" t="s">
        <v>1493</v>
      </c>
      <c r="G9" s="18" t="s">
        <v>1494</v>
      </c>
      <c r="H9" s="18" t="s">
        <v>5</v>
      </c>
      <c r="I9" s="18" t="s">
        <v>1495</v>
      </c>
      <c r="J9" s="18" t="s">
        <v>1496</v>
      </c>
      <c r="K9" s="18" t="s">
        <v>1497</v>
      </c>
      <c r="L9" s="18" t="s">
        <v>1498</v>
      </c>
      <c r="M9" s="134" t="s">
        <v>1497</v>
      </c>
      <c r="N9" s="134" t="s">
        <v>6</v>
      </c>
      <c r="O9" s="134" t="s">
        <v>6</v>
      </c>
      <c r="P9" s="18" t="s">
        <v>7</v>
      </c>
      <c r="Q9" s="18" t="s">
        <v>8</v>
      </c>
      <c r="R9" s="18" t="s">
        <v>9</v>
      </c>
      <c r="S9" s="18"/>
      <c r="T9" s="18" t="s">
        <v>1499</v>
      </c>
      <c r="U9" s="1713" t="s">
        <v>1500</v>
      </c>
      <c r="V9" s="1713" t="s">
        <v>10</v>
      </c>
      <c r="W9" s="1702"/>
      <c r="X9" s="1780"/>
      <c r="Y9" s="1891" t="s">
        <v>1501</v>
      </c>
      <c r="Z9" s="1890">
        <v>1</v>
      </c>
      <c r="AA9" s="1709"/>
      <c r="AB9" s="1702"/>
      <c r="AC9" s="1621"/>
      <c r="AD9" s="1709"/>
      <c r="AE9" s="1708"/>
      <c r="AF9" s="1708"/>
      <c r="AG9" s="1703"/>
      <c r="AH9" s="1891"/>
      <c r="AI9" s="1890"/>
    </row>
    <row r="10" s="2597" customFormat="1" ht="13.2" spans="1:35">
      <c r="A10" s="2597">
        <v>3</v>
      </c>
      <c r="B10" s="2617">
        <v>46246</v>
      </c>
      <c r="C10" s="1988" t="s">
        <v>1502</v>
      </c>
      <c r="D10" s="2104" t="s">
        <v>1503</v>
      </c>
      <c r="E10" s="2033">
        <v>20240919</v>
      </c>
      <c r="F10" s="2033">
        <v>6.75</v>
      </c>
      <c r="G10" s="1988" t="s">
        <v>1407</v>
      </c>
      <c r="H10" s="2105" t="s">
        <v>1504</v>
      </c>
      <c r="I10" s="2105" t="s">
        <v>1505</v>
      </c>
      <c r="J10" s="2033" t="s">
        <v>1506</v>
      </c>
      <c r="K10" s="2033" t="s">
        <v>1507</v>
      </c>
      <c r="L10" s="2033" t="s">
        <v>712</v>
      </c>
      <c r="M10" s="2104" t="s">
        <v>1507</v>
      </c>
      <c r="N10" s="1987">
        <v>4.77</v>
      </c>
      <c r="O10" s="1987">
        <f>45.18/F10/1.13*1.05</f>
        <v>6.21946902654867</v>
      </c>
      <c r="P10" s="1987">
        <v>18.53</v>
      </c>
      <c r="Q10" s="1987">
        <f>24.03/F10/1.13</f>
        <v>3.15044247787611</v>
      </c>
      <c r="R10" s="1987">
        <f>SUBTOTAL(109,O10:Q10)</f>
        <v>27.8999115044248</v>
      </c>
      <c r="S10" s="1987">
        <v>16.4</v>
      </c>
      <c r="T10" s="2266" t="s">
        <v>1508</v>
      </c>
      <c r="U10" s="1988" t="s">
        <v>1509</v>
      </c>
      <c r="V10" s="1990"/>
      <c r="W10" s="1991"/>
      <c r="X10" s="1991"/>
      <c r="Y10" s="1991"/>
      <c r="Z10" s="1991"/>
      <c r="AA10" s="1991"/>
      <c r="AB10" s="1991"/>
      <c r="AC10" s="1991"/>
      <c r="AD10" s="1991"/>
      <c r="AE10" s="2618"/>
      <c r="AF10" s="2618"/>
      <c r="AG10" s="1991"/>
      <c r="AH10" s="1991"/>
      <c r="AI10" s="1991"/>
    </row>
    <row r="11" s="2597" customFormat="1" ht="13.2" spans="1:35">
      <c r="A11" s="2597">
        <v>2</v>
      </c>
      <c r="B11" s="2617">
        <v>46246</v>
      </c>
      <c r="C11" s="1988"/>
      <c r="D11" s="2104" t="s">
        <v>1503</v>
      </c>
      <c r="E11" s="2033">
        <v>20240919</v>
      </c>
      <c r="F11" s="2033">
        <v>6.75</v>
      </c>
      <c r="G11" s="1988" t="s">
        <v>1408</v>
      </c>
      <c r="H11" s="2105" t="s">
        <v>1510</v>
      </c>
      <c r="I11" s="2105" t="s">
        <v>1505</v>
      </c>
      <c r="J11" s="2033" t="s">
        <v>1511</v>
      </c>
      <c r="K11" s="2033" t="s">
        <v>1507</v>
      </c>
      <c r="L11" s="2033" t="s">
        <v>712</v>
      </c>
      <c r="M11" s="2104" t="s">
        <v>1507</v>
      </c>
      <c r="N11" s="1987">
        <v>4.77</v>
      </c>
      <c r="O11" s="1987">
        <f>45.18/F11/1.13*1.05</f>
        <v>6.21946902654867</v>
      </c>
      <c r="P11" s="1987">
        <v>20.2</v>
      </c>
      <c r="Q11" s="1987">
        <f>24.03/F11/1.13</f>
        <v>3.15044247787611</v>
      </c>
      <c r="R11" s="1987">
        <f t="shared" ref="R11:R42" si="0">SUBTOTAL(109,O11:Q11)</f>
        <v>29.5699115044248</v>
      </c>
      <c r="S11" s="1987">
        <v>18</v>
      </c>
      <c r="T11" s="2266" t="s">
        <v>1508</v>
      </c>
      <c r="U11" s="1988" t="s">
        <v>1509</v>
      </c>
      <c r="V11" s="1990"/>
      <c r="W11" s="2619"/>
      <c r="X11" s="2597"/>
      <c r="Y11" s="2597"/>
      <c r="Z11" s="2609"/>
      <c r="AA11" s="2597"/>
      <c r="AB11" s="2597"/>
      <c r="AC11" s="2597"/>
      <c r="AD11" s="2597"/>
      <c r="AE11" s="2609"/>
      <c r="AF11" s="2609"/>
    </row>
    <row r="12" s="2597" customFormat="1" ht="13.2" spans="1:35">
      <c r="A12" s="2597">
        <v>3</v>
      </c>
      <c r="C12" s="1988" t="s">
        <v>1512</v>
      </c>
      <c r="D12" s="2620" t="s">
        <v>1513</v>
      </c>
      <c r="E12" s="2621">
        <v>20250827</v>
      </c>
      <c r="F12" s="2033">
        <v>6.75</v>
      </c>
      <c r="G12" s="1991" t="s">
        <v>1514</v>
      </c>
      <c r="H12" s="2622" t="s">
        <v>1515</v>
      </c>
      <c r="I12" s="2623" t="s">
        <v>1516</v>
      </c>
      <c r="J12" s="2033" t="s">
        <v>1506</v>
      </c>
      <c r="K12" s="2033" t="s">
        <v>1507</v>
      </c>
      <c r="L12" s="2033" t="s">
        <v>712</v>
      </c>
      <c r="M12" s="2104" t="s">
        <v>1507</v>
      </c>
      <c r="N12" s="1987">
        <v>4.94554919312858</v>
      </c>
      <c r="O12" s="1987">
        <v>5.44010411244144</v>
      </c>
      <c r="P12" s="1987">
        <v>27.4</v>
      </c>
      <c r="Q12" s="1987">
        <v>3.11673287748814</v>
      </c>
      <c r="R12" s="1987">
        <f t="shared" si="0"/>
        <v>35.9568369899296</v>
      </c>
      <c r="S12" s="1987">
        <v>24.3</v>
      </c>
      <c r="T12" s="2266" t="s">
        <v>1517</v>
      </c>
      <c r="U12" s="1988" t="s">
        <v>1518</v>
      </c>
      <c r="V12" s="1990"/>
      <c r="W12" s="2619"/>
      <c r="X12" s="2597"/>
      <c r="Y12" s="2597"/>
      <c r="Z12" s="2609"/>
      <c r="AA12" s="2597"/>
      <c r="AB12" s="2597"/>
      <c r="AC12" s="2610"/>
      <c r="AD12" s="2610"/>
      <c r="AE12" s="2624"/>
      <c r="AF12" s="2624"/>
    </row>
    <row r="13" s="2597" customFormat="1" ht="13.2" spans="1:35">
      <c r="A13" s="2597">
        <v>3</v>
      </c>
      <c r="C13" s="1988"/>
      <c r="D13" s="2620" t="s">
        <v>1513</v>
      </c>
      <c r="E13" s="2621">
        <v>20250827</v>
      </c>
      <c r="F13" s="2033">
        <v>6.75</v>
      </c>
      <c r="G13" s="1991" t="s">
        <v>1519</v>
      </c>
      <c r="H13" s="2622" t="s">
        <v>1520</v>
      </c>
      <c r="I13" s="2623" t="s">
        <v>1516</v>
      </c>
      <c r="J13" s="2033" t="s">
        <v>1511</v>
      </c>
      <c r="K13" s="2033" t="s">
        <v>1507</v>
      </c>
      <c r="L13" s="2033" t="s">
        <v>712</v>
      </c>
      <c r="M13" s="2104" t="s">
        <v>1507</v>
      </c>
      <c r="N13" s="1987">
        <v>4.94554919312858</v>
      </c>
      <c r="O13" s="1987">
        <v>5.44010411244144</v>
      </c>
      <c r="P13" s="1987">
        <v>29.2</v>
      </c>
      <c r="Q13" s="1987">
        <v>3.11673287748814</v>
      </c>
      <c r="R13" s="1987">
        <f t="shared" si="0"/>
        <v>37.7568369899296</v>
      </c>
      <c r="S13" s="1987">
        <v>25.95</v>
      </c>
      <c r="T13" s="2266" t="s">
        <v>1517</v>
      </c>
      <c r="U13" s="1988" t="s">
        <v>1521</v>
      </c>
      <c r="V13" s="1990"/>
      <c r="W13" s="2619"/>
      <c r="X13" s="2597"/>
      <c r="Y13" s="2597"/>
      <c r="Z13" s="2609"/>
      <c r="AA13" s="2597"/>
      <c r="AB13" s="2597"/>
      <c r="AC13" s="2610"/>
      <c r="AD13" s="2610"/>
      <c r="AE13" s="2624"/>
      <c r="AF13" s="2624"/>
    </row>
    <row r="14" s="2597" customFormat="1" ht="13.2" spans="1:35">
      <c r="A14" s="2597">
        <v>3</v>
      </c>
      <c r="C14" s="1988" t="s">
        <v>1522</v>
      </c>
      <c r="D14" s="2104" t="s">
        <v>1523</v>
      </c>
      <c r="E14" s="2621">
        <v>20250827</v>
      </c>
      <c r="F14" s="2033">
        <v>6.7</v>
      </c>
      <c r="G14" s="2622" t="s">
        <v>1524</v>
      </c>
      <c r="H14" s="2105" t="s">
        <v>1525</v>
      </c>
      <c r="I14" s="2105" t="s">
        <v>1516</v>
      </c>
      <c r="J14" s="2033" t="s">
        <v>1506</v>
      </c>
      <c r="K14" s="2033" t="s">
        <v>1507</v>
      </c>
      <c r="L14" s="2033" t="s">
        <v>712</v>
      </c>
      <c r="M14" s="2104" t="s">
        <v>1507</v>
      </c>
      <c r="N14" s="1987">
        <v>6.15429463820927</v>
      </c>
      <c r="O14" s="1987">
        <f>56.43/F14/1.13*1.05</f>
        <v>7.82611279883767</v>
      </c>
      <c r="P14" s="1987">
        <v>24.4</v>
      </c>
      <c r="Q14" s="1987">
        <f>24.1707/F14/1.13</f>
        <v>3.19253731343284</v>
      </c>
      <c r="R14" s="1987">
        <f t="shared" si="0"/>
        <v>35.4186501122705</v>
      </c>
      <c r="S14" s="1987">
        <v>21.9</v>
      </c>
      <c r="T14" s="2625" t="s">
        <v>1526</v>
      </c>
      <c r="U14" s="1988" t="s">
        <v>1527</v>
      </c>
      <c r="V14" s="1990"/>
      <c r="W14" s="2619"/>
      <c r="X14" s="2597"/>
      <c r="Y14" s="2597"/>
      <c r="Z14" s="2609"/>
      <c r="AA14" s="2597"/>
      <c r="AB14" s="2597"/>
      <c r="AC14" s="2610"/>
      <c r="AD14" s="2610"/>
      <c r="AE14" s="2624"/>
      <c r="AF14" s="2624"/>
    </row>
    <row r="15" s="2597" customFormat="1" ht="13.2" spans="1:35">
      <c r="A15" s="2597">
        <v>3</v>
      </c>
      <c r="C15" s="1988"/>
      <c r="D15" s="2104" t="s">
        <v>1523</v>
      </c>
      <c r="E15" s="2621">
        <v>20250827</v>
      </c>
      <c r="F15" s="2033">
        <v>6.7</v>
      </c>
      <c r="G15" s="2622" t="s">
        <v>1528</v>
      </c>
      <c r="H15" s="2105" t="s">
        <v>1529</v>
      </c>
      <c r="I15" s="2105" t="s">
        <v>1516</v>
      </c>
      <c r="J15" s="2033" t="s">
        <v>1530</v>
      </c>
      <c r="K15" s="2033" t="s">
        <v>1507</v>
      </c>
      <c r="L15" s="2033" t="s">
        <v>712</v>
      </c>
      <c r="M15" s="2104" t="s">
        <v>1507</v>
      </c>
      <c r="N15" s="1987">
        <v>6.15429463820927</v>
      </c>
      <c r="O15" s="1987">
        <f>56.43/F15/1.13*1.05</f>
        <v>7.82611279883767</v>
      </c>
      <c r="P15" s="1987">
        <v>26.1</v>
      </c>
      <c r="Q15" s="1987">
        <f>24.1707/F15/1.13</f>
        <v>3.19253731343284</v>
      </c>
      <c r="R15" s="1987">
        <f t="shared" si="0"/>
        <v>37.1186501122705</v>
      </c>
      <c r="S15" s="1987">
        <v>23.5</v>
      </c>
      <c r="T15" s="2625" t="s">
        <v>1526</v>
      </c>
      <c r="U15" s="1988" t="s">
        <v>1531</v>
      </c>
      <c r="V15" s="1990"/>
      <c r="W15" s="2619"/>
      <c r="X15" s="2597"/>
      <c r="Y15" s="2597"/>
      <c r="Z15" s="2609"/>
      <c r="AA15" s="2597"/>
      <c r="AB15" s="2597"/>
      <c r="AC15" s="2597"/>
      <c r="AD15" s="2597"/>
      <c r="AE15" s="2609"/>
      <c r="AF15" s="2609"/>
    </row>
    <row r="16" s="2597" customFormat="1" ht="13.2" spans="1:35">
      <c r="A16" s="2597">
        <v>3</v>
      </c>
      <c r="C16" s="2626" t="s">
        <v>1532</v>
      </c>
      <c r="D16" s="2104" t="s">
        <v>1533</v>
      </c>
      <c r="E16" s="2621">
        <v>20250829</v>
      </c>
      <c r="F16" s="2033">
        <v>6.75</v>
      </c>
      <c r="G16" s="2622" t="s">
        <v>1534</v>
      </c>
      <c r="H16" s="2105" t="s">
        <v>1515</v>
      </c>
      <c r="I16" s="2105" t="s">
        <v>1535</v>
      </c>
      <c r="J16" s="2033" t="s">
        <v>1506</v>
      </c>
      <c r="K16" s="2033" t="s">
        <v>1507</v>
      </c>
      <c r="L16" s="2033" t="s">
        <v>712</v>
      </c>
      <c r="M16" s="2104" t="s">
        <v>1507</v>
      </c>
      <c r="N16" s="1987">
        <f>30.8/6.78/1.13*1.4</f>
        <v>5.62821416451301</v>
      </c>
      <c r="O16" s="1987">
        <f>39.2/F16/1.13*1.05</f>
        <v>5.39626352015733</v>
      </c>
      <c r="P16" s="1987">
        <v>24.5</v>
      </c>
      <c r="Q16" s="1987">
        <f>23.91/F16/1.13</f>
        <v>3.13470993117011</v>
      </c>
      <c r="R16" s="1987">
        <f t="shared" si="0"/>
        <v>33.0309734513274</v>
      </c>
      <c r="S16" s="1987">
        <v>21.95</v>
      </c>
      <c r="T16" s="2266" t="s">
        <v>1536</v>
      </c>
      <c r="U16" s="1988" t="s">
        <v>1537</v>
      </c>
      <c r="V16" s="1990"/>
      <c r="W16" s="2619"/>
      <c r="X16" s="2597"/>
      <c r="Y16" s="2597"/>
      <c r="Z16" s="2609"/>
      <c r="AA16" s="2597"/>
      <c r="AB16" s="2597"/>
      <c r="AC16" s="2610"/>
      <c r="AD16" s="2610"/>
      <c r="AE16" s="2624"/>
      <c r="AF16" s="2624"/>
    </row>
    <row r="17" s="2597" customFormat="1" ht="13.2" spans="1:32">
      <c r="A17" s="2597">
        <v>3</v>
      </c>
      <c r="C17" s="2622"/>
      <c r="D17" s="2104" t="s">
        <v>1533</v>
      </c>
      <c r="E17" s="2621">
        <v>20250829</v>
      </c>
      <c r="F17" s="2033">
        <v>6.75</v>
      </c>
      <c r="G17" s="2622" t="s">
        <v>1538</v>
      </c>
      <c r="H17" s="2105" t="s">
        <v>1520</v>
      </c>
      <c r="I17" s="2105" t="s">
        <v>1535</v>
      </c>
      <c r="J17" s="2033" t="s">
        <v>1511</v>
      </c>
      <c r="K17" s="2033" t="s">
        <v>1507</v>
      </c>
      <c r="L17" s="2033" t="s">
        <v>712</v>
      </c>
      <c r="M17" s="2104" t="s">
        <v>1507</v>
      </c>
      <c r="N17" s="1987">
        <f>30.8/6.78/1.13*1.4</f>
        <v>5.62821416451301</v>
      </c>
      <c r="O17" s="1987">
        <f>39.2/F17/1.13*1.05</f>
        <v>5.39626352015733</v>
      </c>
      <c r="P17" s="1987">
        <v>26.1</v>
      </c>
      <c r="Q17" s="1987">
        <f>23.91/F17/1.13</f>
        <v>3.13470993117011</v>
      </c>
      <c r="R17" s="1987">
        <f t="shared" si="0"/>
        <v>34.6309734513274</v>
      </c>
      <c r="S17" s="1987">
        <v>23.4</v>
      </c>
      <c r="T17" s="2266" t="s">
        <v>1536</v>
      </c>
      <c r="U17" s="1988" t="s">
        <v>1539</v>
      </c>
      <c r="V17" s="1990"/>
      <c r="W17" s="2619"/>
      <c r="X17" s="2619"/>
      <c r="Y17" s="2619"/>
      <c r="Z17" s="2619"/>
      <c r="AA17" s="2597"/>
      <c r="AB17" s="2597"/>
      <c r="AC17" s="2610"/>
      <c r="AD17" s="2610"/>
      <c r="AE17" s="2624"/>
      <c r="AF17" s="2624"/>
    </row>
    <row r="18" s="2597" customFormat="1" ht="13.2" spans="1:32">
      <c r="A18" s="2597">
        <v>3</v>
      </c>
      <c r="C18" s="658" t="s">
        <v>1540</v>
      </c>
      <c r="D18" s="2104" t="s">
        <v>1541</v>
      </c>
      <c r="E18" s="2621">
        <v>20250904</v>
      </c>
      <c r="F18" s="2033">
        <v>6.75</v>
      </c>
      <c r="G18" s="2622" t="s">
        <v>1542</v>
      </c>
      <c r="H18" s="2105"/>
      <c r="I18" s="2105" t="s">
        <v>1543</v>
      </c>
      <c r="J18" s="2033" t="s">
        <v>1506</v>
      </c>
      <c r="K18" s="2033" t="s">
        <v>1544</v>
      </c>
      <c r="L18" s="2033" t="s">
        <v>712</v>
      </c>
      <c r="M18" s="2104" t="s">
        <v>712</v>
      </c>
      <c r="N18" s="1987">
        <v>4.80562250473755</v>
      </c>
      <c r="O18" s="1987">
        <v>5.28618475521131</v>
      </c>
      <c r="P18" s="1987">
        <v>30.4</v>
      </c>
      <c r="Q18" s="1987">
        <f>24.86/F18/1.13</f>
        <v>3.25925925925926</v>
      </c>
      <c r="R18" s="1987">
        <f t="shared" si="0"/>
        <v>38.9454440144706</v>
      </c>
      <c r="S18" s="1987">
        <v>27.4</v>
      </c>
      <c r="T18" s="2266" t="s">
        <v>1517</v>
      </c>
      <c r="U18" s="1988" t="s">
        <v>1545</v>
      </c>
      <c r="V18" s="1990"/>
      <c r="W18" s="2619"/>
      <c r="X18" s="2619"/>
      <c r="Y18" s="2619"/>
      <c r="Z18" s="2619"/>
      <c r="AA18" s="2597"/>
      <c r="AB18" s="2597"/>
      <c r="AC18" s="2610"/>
      <c r="AD18" s="2610"/>
      <c r="AE18" s="2624"/>
      <c r="AF18" s="2624"/>
    </row>
    <row r="19" s="2597" customFormat="1" ht="13.2" spans="1:32">
      <c r="A19" s="2597">
        <v>3</v>
      </c>
      <c r="C19" s="658"/>
      <c r="D19" s="2104" t="s">
        <v>1546</v>
      </c>
      <c r="E19" s="2621">
        <v>20250904</v>
      </c>
      <c r="F19" s="2033">
        <v>6.75</v>
      </c>
      <c r="G19" s="2622" t="s">
        <v>1547</v>
      </c>
      <c r="H19" s="2105"/>
      <c r="I19" s="2105" t="s">
        <v>1548</v>
      </c>
      <c r="J19" s="2033" t="s">
        <v>1511</v>
      </c>
      <c r="K19" s="2033" t="s">
        <v>1544</v>
      </c>
      <c r="L19" s="2033" t="s">
        <v>712</v>
      </c>
      <c r="M19" s="2104" t="s">
        <v>712</v>
      </c>
      <c r="N19" s="1987">
        <v>4.80562250473755</v>
      </c>
      <c r="O19" s="1987">
        <v>5.28618475521131</v>
      </c>
      <c r="P19" s="1987">
        <v>32.25</v>
      </c>
      <c r="Q19" s="1987">
        <f>24.86/F19/1.13</f>
        <v>3.25925925925926</v>
      </c>
      <c r="R19" s="1987">
        <f t="shared" si="0"/>
        <v>40.7954440144706</v>
      </c>
      <c r="S19" s="1987">
        <v>29.3</v>
      </c>
      <c r="T19" s="2266" t="s">
        <v>1517</v>
      </c>
      <c r="U19" s="1988" t="s">
        <v>1549</v>
      </c>
      <c r="V19" s="1990"/>
      <c r="W19" s="2619"/>
      <c r="X19" s="2619"/>
      <c r="Y19" s="2619"/>
      <c r="Z19" s="2619"/>
      <c r="AA19" s="2597"/>
      <c r="AB19" s="2597"/>
      <c r="AC19" s="2610"/>
      <c r="AD19" s="2610"/>
      <c r="AE19" s="2624"/>
      <c r="AF19" s="2624"/>
    </row>
    <row r="20" s="2597" customFormat="1" ht="13.2" spans="1:32">
      <c r="A20" s="2597">
        <v>3</v>
      </c>
      <c r="C20" s="1988" t="s">
        <v>1550</v>
      </c>
      <c r="D20" s="2104" t="s">
        <v>1513</v>
      </c>
      <c r="E20" s="2627">
        <v>46080</v>
      </c>
      <c r="F20" s="2033">
        <v>6.72</v>
      </c>
      <c r="G20" s="2622" t="s">
        <v>1551</v>
      </c>
      <c r="H20" s="2105" t="s">
        <v>1515</v>
      </c>
      <c r="I20" s="2105" t="s">
        <v>1535</v>
      </c>
      <c r="J20" s="2033" t="s">
        <v>1506</v>
      </c>
      <c r="K20" s="2033" t="s">
        <v>1552</v>
      </c>
      <c r="L20" s="2033" t="s">
        <v>712</v>
      </c>
      <c r="M20" s="2104" t="s">
        <v>1428</v>
      </c>
      <c r="N20" s="1987">
        <v>4.01041124414368</v>
      </c>
      <c r="O20" s="1987">
        <f>39.2/F20/1.13*1.05</f>
        <v>5.42035398230089</v>
      </c>
      <c r="P20" s="1987">
        <v>26.3</v>
      </c>
      <c r="Q20" s="1987">
        <f>23.3/F20/1.13</f>
        <v>3.06837336704593</v>
      </c>
      <c r="R20" s="1987">
        <f t="shared" si="0"/>
        <v>34.7887273493468</v>
      </c>
      <c r="S20" s="1987">
        <v>21.5</v>
      </c>
      <c r="T20" s="2266" t="s">
        <v>1517</v>
      </c>
      <c r="U20" s="1988" t="s">
        <v>1553</v>
      </c>
      <c r="V20" s="1990"/>
      <c r="W20" s="2619"/>
      <c r="X20" s="2619"/>
      <c r="Y20" s="2619"/>
      <c r="Z20" s="2619"/>
      <c r="AA20" s="2597"/>
      <c r="AB20" s="2597"/>
      <c r="AC20" s="2610"/>
      <c r="AD20" s="2610"/>
      <c r="AE20" s="2624"/>
      <c r="AF20" s="2624"/>
    </row>
    <row r="21" s="2597" customFormat="1" ht="13.2" spans="1:32">
      <c r="A21" s="2597">
        <v>3</v>
      </c>
      <c r="C21" s="1988"/>
      <c r="D21" s="2104" t="s">
        <v>1513</v>
      </c>
      <c r="E21" s="2627">
        <v>46080</v>
      </c>
      <c r="F21" s="2033">
        <v>6.72</v>
      </c>
      <c r="G21" s="2622" t="s">
        <v>1554</v>
      </c>
      <c r="H21" s="2105" t="s">
        <v>1520</v>
      </c>
      <c r="I21" s="2105" t="s">
        <v>1535</v>
      </c>
      <c r="J21" s="2033" t="s">
        <v>1511</v>
      </c>
      <c r="K21" s="2033" t="s">
        <v>1552</v>
      </c>
      <c r="L21" s="2033" t="s">
        <v>712</v>
      </c>
      <c r="M21" s="2104" t="s">
        <v>1428</v>
      </c>
      <c r="N21" s="1987">
        <v>4.01041124414368</v>
      </c>
      <c r="O21" s="1987">
        <f>39.2/F21/1.13*1.05</f>
        <v>5.42035398230089</v>
      </c>
      <c r="P21" s="1987">
        <v>28.3</v>
      </c>
      <c r="Q21" s="1987">
        <f>23.3/F21/1.13</f>
        <v>3.06837336704593</v>
      </c>
      <c r="R21" s="1987">
        <f t="shared" si="0"/>
        <v>36.7887273493468</v>
      </c>
      <c r="S21" s="1987">
        <v>23.2</v>
      </c>
      <c r="T21" s="2266" t="s">
        <v>1517</v>
      </c>
      <c r="U21" s="1988" t="s">
        <v>1553</v>
      </c>
      <c r="V21" s="1990"/>
      <c r="W21" s="2619"/>
      <c r="X21" s="2597"/>
      <c r="Y21" s="2597"/>
      <c r="Z21" s="2609"/>
      <c r="AA21" s="2597"/>
      <c r="AB21" s="2597"/>
      <c r="AC21" s="2597"/>
      <c r="AD21" s="2597"/>
      <c r="AE21" s="2609"/>
      <c r="AF21" s="2609"/>
    </row>
    <row r="22" s="2597" customFormat="1" ht="13.2" spans="1:32">
      <c r="A22" s="2597">
        <v>3</v>
      </c>
      <c r="C22" s="1988" t="s">
        <v>1555</v>
      </c>
      <c r="D22" s="2104" t="s">
        <v>1556</v>
      </c>
      <c r="E22" s="2621">
        <v>20250901</v>
      </c>
      <c r="F22" s="2033">
        <v>6.75</v>
      </c>
      <c r="G22" s="2622" t="s">
        <v>1557</v>
      </c>
      <c r="H22" s="2105" t="s">
        <v>1558</v>
      </c>
      <c r="I22" s="2105" t="s">
        <v>1559</v>
      </c>
      <c r="J22" s="2033" t="s">
        <v>1506</v>
      </c>
      <c r="K22" s="2033" t="s">
        <v>1507</v>
      </c>
      <c r="L22" s="2033" t="s">
        <v>712</v>
      </c>
      <c r="M22" s="2104" t="s">
        <v>1507</v>
      </c>
      <c r="N22" s="1987">
        <v>4.94336283185841</v>
      </c>
      <c r="O22" s="1987">
        <v>5.43769911504425</v>
      </c>
      <c r="P22" s="1987">
        <v>18.2</v>
      </c>
      <c r="Q22" s="1987">
        <f>22.95/F22/1.13</f>
        <v>3.00884955752212</v>
      </c>
      <c r="R22" s="1987">
        <f t="shared" si="0"/>
        <v>26.6465486725664</v>
      </c>
      <c r="S22" s="1987">
        <v>15.55</v>
      </c>
      <c r="T22" s="1988" t="s">
        <v>1560</v>
      </c>
      <c r="U22" s="1988" t="s">
        <v>1561</v>
      </c>
      <c r="V22" s="1990"/>
      <c r="W22" s="2619"/>
      <c r="X22" s="2597"/>
      <c r="Y22" s="2597"/>
      <c r="Z22" s="2609"/>
      <c r="AA22" s="2597"/>
      <c r="AB22" s="2597"/>
      <c r="AC22" s="2597"/>
      <c r="AD22" s="2597"/>
      <c r="AE22" s="2609"/>
      <c r="AF22" s="2609"/>
    </row>
    <row r="23" s="2597" customFormat="1" ht="15" customHeight="1" spans="1:32">
      <c r="A23" s="2597">
        <v>3</v>
      </c>
      <c r="C23" s="2626" t="s">
        <v>1562</v>
      </c>
      <c r="D23" s="2104" t="s">
        <v>1563</v>
      </c>
      <c r="E23" s="2033">
        <v>20250805</v>
      </c>
      <c r="F23" s="2033">
        <v>6.75</v>
      </c>
      <c r="G23" s="2628" t="s">
        <v>1564</v>
      </c>
      <c r="H23" s="1988" t="s">
        <v>1565</v>
      </c>
      <c r="I23" s="2266" t="s">
        <v>1566</v>
      </c>
      <c r="J23" s="2033" t="s">
        <v>1506</v>
      </c>
      <c r="K23" s="2032" t="s">
        <v>1567</v>
      </c>
      <c r="L23" s="2033" t="s">
        <v>712</v>
      </c>
      <c r="M23" s="2104" t="s">
        <v>1428</v>
      </c>
      <c r="N23" s="1987">
        <v>4.94336283185841</v>
      </c>
      <c r="O23" s="1987">
        <v>5.43769911504425</v>
      </c>
      <c r="P23" s="1987">
        <v>18.1</v>
      </c>
      <c r="Q23" s="1987">
        <v>4.17968778832821</v>
      </c>
      <c r="R23" s="1987">
        <f t="shared" si="0"/>
        <v>27.7173869033725</v>
      </c>
      <c r="S23" s="1987">
        <v>15.6</v>
      </c>
      <c r="T23" s="2489" t="s">
        <v>1568</v>
      </c>
      <c r="U23" s="1988" t="s">
        <v>1569</v>
      </c>
      <c r="V23" s="1990"/>
      <c r="W23" s="2597"/>
      <c r="X23" s="2597"/>
      <c r="Y23" s="2597"/>
      <c r="Z23" s="2609"/>
      <c r="AA23" s="2597"/>
      <c r="AB23" s="2597"/>
      <c r="AC23" s="2597"/>
      <c r="AD23" s="2597"/>
      <c r="AE23" s="2609"/>
      <c r="AF23" s="2609"/>
    </row>
    <row r="24" s="2597" customFormat="1" ht="13.2" spans="1:32">
      <c r="A24" s="2597">
        <v>2</v>
      </c>
      <c r="C24" s="2622"/>
      <c r="D24" s="2104" t="s">
        <v>1563</v>
      </c>
      <c r="E24" s="2033">
        <v>20250805</v>
      </c>
      <c r="F24" s="2033">
        <v>6.75</v>
      </c>
      <c r="G24" s="2628" t="s">
        <v>1570</v>
      </c>
      <c r="H24" s="1988" t="s">
        <v>1571</v>
      </c>
      <c r="I24" s="2266" t="s">
        <v>1566</v>
      </c>
      <c r="J24" s="2033" t="s">
        <v>1506</v>
      </c>
      <c r="K24" s="2032" t="s">
        <v>1507</v>
      </c>
      <c r="L24" s="2033" t="s">
        <v>712</v>
      </c>
      <c r="M24" s="2104" t="s">
        <v>1507</v>
      </c>
      <c r="N24" s="1987">
        <v>4.94336283185841</v>
      </c>
      <c r="O24" s="1987">
        <v>5.43769911504425</v>
      </c>
      <c r="P24" s="1987">
        <v>18.3</v>
      </c>
      <c r="Q24" s="1987">
        <v>4.17968778832821</v>
      </c>
      <c r="R24" s="1987">
        <f t="shared" si="0"/>
        <v>27.9173869033725</v>
      </c>
      <c r="S24" s="1987">
        <v>15.9</v>
      </c>
      <c r="T24" s="2489" t="s">
        <v>1568</v>
      </c>
      <c r="U24" s="1988" t="s">
        <v>1569</v>
      </c>
      <c r="V24" s="1990"/>
      <c r="W24" s="2619"/>
      <c r="X24" s="2597"/>
      <c r="Y24" s="2597"/>
      <c r="Z24" s="2609"/>
      <c r="AA24" s="2597"/>
      <c r="AB24" s="2597"/>
      <c r="AC24" s="2597"/>
      <c r="AD24" s="2597"/>
      <c r="AE24" s="2609"/>
      <c r="AF24" s="2609"/>
    </row>
    <row r="25" s="2597" customFormat="1" ht="13.2" spans="1:32">
      <c r="A25" s="2597">
        <v>3</v>
      </c>
      <c r="B25" s="2629">
        <v>46251</v>
      </c>
      <c r="C25" s="2626" t="s">
        <v>1572</v>
      </c>
      <c r="D25" s="2104" t="s">
        <v>1573</v>
      </c>
      <c r="E25" s="2627">
        <v>46157</v>
      </c>
      <c r="F25" s="2033">
        <v>6.75</v>
      </c>
      <c r="G25" s="2622" t="s">
        <v>1574</v>
      </c>
      <c r="H25" s="2105" t="s">
        <v>1571</v>
      </c>
      <c r="I25" s="2105" t="s">
        <v>1575</v>
      </c>
      <c r="J25" s="2033" t="s">
        <v>1511</v>
      </c>
      <c r="K25" s="2033" t="s">
        <v>1507</v>
      </c>
      <c r="L25" s="2033" t="s">
        <v>712</v>
      </c>
      <c r="M25" s="2104" t="s">
        <v>1507</v>
      </c>
      <c r="N25" s="1987">
        <v>4.87714731910463</v>
      </c>
      <c r="O25" s="1987">
        <f>40.125/F25/1.13*1.05</f>
        <v>5.523598820059</v>
      </c>
      <c r="P25" s="1987">
        <v>17.34</v>
      </c>
      <c r="Q25" s="2104">
        <f>22.56/F25/1.13</f>
        <v>2.95771878072763</v>
      </c>
      <c r="R25" s="1987">
        <f t="shared" si="0"/>
        <v>25.8213176007866</v>
      </c>
      <c r="S25" s="1987">
        <v>15.5</v>
      </c>
      <c r="T25" s="2106" t="s">
        <v>1526</v>
      </c>
      <c r="U25" s="1988" t="s">
        <v>1576</v>
      </c>
      <c r="V25" s="1990"/>
      <c r="W25" s="2619"/>
      <c r="X25" s="2597"/>
      <c r="Y25" s="2597"/>
      <c r="Z25" s="2609"/>
      <c r="AA25" s="2597"/>
      <c r="AB25" s="2597"/>
      <c r="AC25" s="2597"/>
      <c r="AD25" s="2597"/>
      <c r="AE25" s="2609"/>
      <c r="AF25" s="2609"/>
    </row>
    <row r="26" s="2597" customFormat="1" ht="13.2" spans="1:32">
      <c r="A26" s="2597">
        <v>3</v>
      </c>
      <c r="B26" s="2629">
        <v>46251</v>
      </c>
      <c r="C26" s="1988"/>
      <c r="D26" s="2104" t="s">
        <v>1573</v>
      </c>
      <c r="E26" s="2621">
        <v>20250903</v>
      </c>
      <c r="F26" s="2033">
        <v>6.75</v>
      </c>
      <c r="G26" s="2622" t="s">
        <v>1577</v>
      </c>
      <c r="H26" s="2105" t="s">
        <v>1558</v>
      </c>
      <c r="I26" s="2105" t="s">
        <v>1575</v>
      </c>
      <c r="J26" s="2033" t="s">
        <v>1506</v>
      </c>
      <c r="K26" s="2033" t="s">
        <v>1507</v>
      </c>
      <c r="L26" s="2033" t="s">
        <v>712</v>
      </c>
      <c r="M26" s="2104" t="s">
        <v>1507</v>
      </c>
      <c r="N26" s="1987">
        <v>4.87714731910463</v>
      </c>
      <c r="O26" s="1987">
        <f>40.125/F26/1.13*1.05</f>
        <v>5.523598820059</v>
      </c>
      <c r="P26" s="1987">
        <v>15.74</v>
      </c>
      <c r="Q26" s="2104">
        <f>22.56/F26/1.13</f>
        <v>2.95771878072763</v>
      </c>
      <c r="R26" s="1987">
        <f t="shared" si="0"/>
        <v>24.2213176007866</v>
      </c>
      <c r="S26" s="1987">
        <v>13.5</v>
      </c>
      <c r="T26" s="2106" t="s">
        <v>1526</v>
      </c>
      <c r="U26" s="1988" t="s">
        <v>1578</v>
      </c>
      <c r="V26" s="1990"/>
      <c r="W26" s="2619"/>
      <c r="X26" s="2597"/>
      <c r="Y26" s="2597"/>
      <c r="Z26" s="2609"/>
      <c r="AA26" s="2597"/>
      <c r="AB26" s="2597"/>
      <c r="AC26" s="2597"/>
      <c r="AD26" s="2597"/>
      <c r="AE26" s="2609"/>
      <c r="AF26" s="2609"/>
    </row>
    <row r="27" s="2597" customFormat="1" ht="13.2" spans="1:32">
      <c r="A27" s="2597">
        <v>3</v>
      </c>
      <c r="B27" s="2629">
        <v>46252</v>
      </c>
      <c r="C27" s="1988" t="s">
        <v>1579</v>
      </c>
      <c r="D27" s="1988" t="s">
        <v>1580</v>
      </c>
      <c r="E27" s="2621">
        <v>20260106</v>
      </c>
      <c r="F27" s="2033">
        <v>6.75</v>
      </c>
      <c r="G27" s="2622" t="s">
        <v>1411</v>
      </c>
      <c r="H27" s="2105" t="s">
        <v>1581</v>
      </c>
      <c r="I27" s="2105" t="s">
        <v>1582</v>
      </c>
      <c r="J27" s="2033" t="s">
        <v>1583</v>
      </c>
      <c r="K27" s="2033" t="s">
        <v>1507</v>
      </c>
      <c r="L27" s="2033" t="s">
        <v>712</v>
      </c>
      <c r="M27" s="2033" t="s">
        <v>1507</v>
      </c>
      <c r="N27" s="1987">
        <v>7.22280062467465</v>
      </c>
      <c r="O27" s="1987">
        <f>63.81/F27/1.13*1.05</f>
        <v>8.78407079646018</v>
      </c>
      <c r="P27" s="1987">
        <v>32.1</v>
      </c>
      <c r="Q27" s="2528">
        <f>24.12/F27</f>
        <v>3.57333333333333</v>
      </c>
      <c r="R27" s="1987">
        <f t="shared" si="0"/>
        <v>44.4574041297935</v>
      </c>
      <c r="S27" s="1987">
        <v>29.4</v>
      </c>
      <c r="T27" s="2266" t="s">
        <v>1526</v>
      </c>
      <c r="U27" s="1988" t="s">
        <v>1584</v>
      </c>
      <c r="V27" s="1990"/>
      <c r="W27" s="2619"/>
      <c r="X27" s="2597"/>
      <c r="Y27" s="2597"/>
      <c r="Z27" s="2609"/>
      <c r="AA27" s="2597"/>
      <c r="AB27" s="2597"/>
      <c r="AC27" s="2597"/>
      <c r="AD27" s="2597"/>
      <c r="AE27" s="2609"/>
      <c r="AF27" s="2609"/>
    </row>
    <row r="28" s="2597" customFormat="1" ht="13.2" spans="1:32">
      <c r="A28" s="2597">
        <v>3</v>
      </c>
      <c r="C28" s="1988" t="s">
        <v>1585</v>
      </c>
      <c r="D28" s="2104" t="s">
        <v>1523</v>
      </c>
      <c r="E28" s="2110">
        <v>46151</v>
      </c>
      <c r="F28" s="2033">
        <v>6.7</v>
      </c>
      <c r="G28" s="1988" t="s">
        <v>1586</v>
      </c>
      <c r="H28" s="2105" t="s">
        <v>1587</v>
      </c>
      <c r="I28" s="2105" t="s">
        <v>1588</v>
      </c>
      <c r="J28" s="2033" t="s">
        <v>1506</v>
      </c>
      <c r="K28" s="2033" t="s">
        <v>1507</v>
      </c>
      <c r="L28" s="2033" t="s">
        <v>712</v>
      </c>
      <c r="M28" s="2104" t="s">
        <v>1507</v>
      </c>
      <c r="N28" s="1987">
        <v>6.17178552837064</v>
      </c>
      <c r="O28" s="1987">
        <f t="shared" ref="O28:O32" si="1">56.43/F28/1.13*1.05</f>
        <v>7.82611279883767</v>
      </c>
      <c r="P28" s="1987">
        <v>25.4</v>
      </c>
      <c r="Q28" s="2528">
        <v>3.65722681478719</v>
      </c>
      <c r="R28" s="1987">
        <f t="shared" si="0"/>
        <v>36.8833396136249</v>
      </c>
      <c r="S28" s="1987">
        <v>22</v>
      </c>
      <c r="T28" s="2625" t="s">
        <v>1526</v>
      </c>
      <c r="U28" s="1988" t="s">
        <v>1589</v>
      </c>
      <c r="V28" s="1990"/>
      <c r="W28" s="2619"/>
      <c r="X28" s="2597"/>
      <c r="Y28" s="2597"/>
      <c r="Z28" s="2609"/>
      <c r="AA28" s="2597"/>
      <c r="AB28" s="2597"/>
      <c r="AC28" s="2597"/>
      <c r="AD28" s="2597"/>
      <c r="AE28" s="2609"/>
      <c r="AF28" s="2609"/>
    </row>
    <row r="29" s="2597" customFormat="1" ht="13.2" spans="1:32">
      <c r="A29" s="2597">
        <v>3</v>
      </c>
      <c r="C29" s="1988"/>
      <c r="D29" s="2104" t="s">
        <v>1523</v>
      </c>
      <c r="E29" s="2110">
        <v>46151</v>
      </c>
      <c r="F29" s="2033">
        <v>6.7</v>
      </c>
      <c r="G29" s="1988" t="s">
        <v>1590</v>
      </c>
      <c r="H29" s="2105" t="s">
        <v>1591</v>
      </c>
      <c r="I29" s="2105" t="s">
        <v>1588</v>
      </c>
      <c r="J29" s="2033" t="s">
        <v>1511</v>
      </c>
      <c r="K29" s="2033" t="s">
        <v>1507</v>
      </c>
      <c r="L29" s="2033" t="s">
        <v>712</v>
      </c>
      <c r="M29" s="2104" t="s">
        <v>1507</v>
      </c>
      <c r="N29" s="1987">
        <v>6.17178552837064</v>
      </c>
      <c r="O29" s="1987">
        <f t="shared" si="1"/>
        <v>7.82611279883767</v>
      </c>
      <c r="P29" s="1987">
        <v>29.4</v>
      </c>
      <c r="Q29" s="2528">
        <v>3.65722681478719</v>
      </c>
      <c r="R29" s="1987">
        <f t="shared" si="0"/>
        <v>40.8833396136249</v>
      </c>
      <c r="S29" s="1987">
        <v>24.3</v>
      </c>
      <c r="T29" s="2625" t="s">
        <v>1526</v>
      </c>
      <c r="U29" s="1988" t="s">
        <v>1589</v>
      </c>
      <c r="V29" s="1990"/>
      <c r="W29" s="2619"/>
      <c r="X29" s="2597"/>
      <c r="Y29" s="2597"/>
      <c r="Z29" s="2609"/>
      <c r="AA29" s="2597"/>
      <c r="AB29" s="2597"/>
      <c r="AC29" s="2597"/>
      <c r="AD29" s="2597"/>
      <c r="AE29" s="2609"/>
      <c r="AF29" s="2609"/>
    </row>
    <row r="30" s="2597" customFormat="1" ht="13.2" spans="1:32">
      <c r="A30" s="2597">
        <v>3</v>
      </c>
      <c r="C30" s="1988"/>
      <c r="D30" s="2104" t="s">
        <v>1523</v>
      </c>
      <c r="E30" s="2110">
        <v>46151</v>
      </c>
      <c r="F30" s="2033">
        <v>6.7</v>
      </c>
      <c r="G30" s="1988" t="s">
        <v>1592</v>
      </c>
      <c r="H30" s="2105" t="s">
        <v>1593</v>
      </c>
      <c r="I30" s="2105" t="s">
        <v>1588</v>
      </c>
      <c r="J30" s="2033" t="s">
        <v>1594</v>
      </c>
      <c r="K30" s="2033" t="s">
        <v>1507</v>
      </c>
      <c r="L30" s="2033" t="s">
        <v>712</v>
      </c>
      <c r="M30" s="2104" t="s">
        <v>1507</v>
      </c>
      <c r="N30" s="1987">
        <v>6.17178552837064</v>
      </c>
      <c r="O30" s="1987">
        <f t="shared" si="1"/>
        <v>7.82611279883767</v>
      </c>
      <c r="P30" s="1987">
        <v>30.1</v>
      </c>
      <c r="Q30" s="2528">
        <v>3.65722681478719</v>
      </c>
      <c r="R30" s="1987">
        <f t="shared" si="0"/>
        <v>41.5833396136249</v>
      </c>
      <c r="S30" s="1987">
        <v>25</v>
      </c>
      <c r="T30" s="2625" t="s">
        <v>1526</v>
      </c>
      <c r="U30" s="1988" t="s">
        <v>1589</v>
      </c>
      <c r="V30" s="1990"/>
      <c r="W30" s="2619"/>
      <c r="X30" s="2597"/>
      <c r="Y30" s="2597"/>
      <c r="Z30" s="2609"/>
      <c r="AA30" s="2597"/>
      <c r="AB30" s="2597"/>
      <c r="AC30" s="2597"/>
      <c r="AD30" s="2597"/>
      <c r="AE30" s="2609"/>
      <c r="AF30" s="2609"/>
    </row>
    <row r="31" s="2597" customFormat="1" ht="13.2" spans="1:32">
      <c r="A31" s="2597">
        <v>3</v>
      </c>
      <c r="C31" s="1988" t="s">
        <v>1595</v>
      </c>
      <c r="D31" s="2104" t="s">
        <v>1523</v>
      </c>
      <c r="E31" s="2033">
        <v>20250908</v>
      </c>
      <c r="F31" s="2033">
        <v>6.7</v>
      </c>
      <c r="G31" s="1988" t="s">
        <v>1551</v>
      </c>
      <c r="H31" s="2105" t="s">
        <v>1596</v>
      </c>
      <c r="I31" s="2105" t="s">
        <v>1597</v>
      </c>
      <c r="J31" s="2033" t="s">
        <v>1506</v>
      </c>
      <c r="K31" s="2033" t="s">
        <v>1507</v>
      </c>
      <c r="L31" s="2033" t="s">
        <v>712</v>
      </c>
      <c r="M31" s="2104" t="s">
        <v>1507</v>
      </c>
      <c r="N31" s="1987">
        <v>6.33290469776498</v>
      </c>
      <c r="O31" s="1987">
        <f t="shared" si="1"/>
        <v>7.82611279883767</v>
      </c>
      <c r="P31" s="1987">
        <v>22.3</v>
      </c>
      <c r="Q31" s="1987">
        <v>3.28766386499398</v>
      </c>
      <c r="R31" s="1987">
        <f t="shared" si="0"/>
        <v>33.4137766638316</v>
      </c>
      <c r="S31" s="1987">
        <v>19.6</v>
      </c>
      <c r="T31" s="2625" t="s">
        <v>1526</v>
      </c>
      <c r="U31" s="2298" t="s">
        <v>1598</v>
      </c>
      <c r="V31" s="1990"/>
      <c r="W31" s="2619"/>
      <c r="X31" s="2597"/>
      <c r="Y31" s="2597"/>
      <c r="Z31" s="2609"/>
      <c r="AA31" s="2597"/>
      <c r="AB31" s="2597"/>
      <c r="AC31" s="2597"/>
      <c r="AD31" s="2597"/>
      <c r="AE31" s="2609"/>
      <c r="AF31" s="2609"/>
    </row>
    <row r="32" s="2597" customFormat="1" ht="13.2" spans="1:32">
      <c r="A32" s="2597">
        <v>3</v>
      </c>
      <c r="C32" s="1988"/>
      <c r="D32" s="2104" t="s">
        <v>1523</v>
      </c>
      <c r="E32" s="2033">
        <v>20250908</v>
      </c>
      <c r="F32" s="2033">
        <v>6.7</v>
      </c>
      <c r="G32" s="1988" t="s">
        <v>1551</v>
      </c>
      <c r="H32" s="2105" t="s">
        <v>1599</v>
      </c>
      <c r="I32" s="2105" t="s">
        <v>1597</v>
      </c>
      <c r="J32" s="2032" t="s">
        <v>1600</v>
      </c>
      <c r="K32" s="2033" t="s">
        <v>1507</v>
      </c>
      <c r="L32" s="2033" t="s">
        <v>712</v>
      </c>
      <c r="M32" s="2104" t="s">
        <v>1507</v>
      </c>
      <c r="N32" s="1987">
        <v>6.33290469776498</v>
      </c>
      <c r="O32" s="1987">
        <f t="shared" si="1"/>
        <v>7.82611279883767</v>
      </c>
      <c r="P32" s="1987">
        <v>24.2</v>
      </c>
      <c r="Q32" s="1987">
        <v>3.28766386499398</v>
      </c>
      <c r="R32" s="1987">
        <f t="shared" si="0"/>
        <v>35.3137766638317</v>
      </c>
      <c r="S32" s="1987">
        <v>21.4</v>
      </c>
      <c r="T32" s="2625" t="s">
        <v>1526</v>
      </c>
      <c r="U32" s="2298" t="s">
        <v>1598</v>
      </c>
      <c r="V32" s="1990"/>
      <c r="W32" s="2619"/>
      <c r="X32" s="2597"/>
      <c r="Y32" s="2597"/>
      <c r="Z32" s="2609"/>
      <c r="AA32" s="2597"/>
      <c r="AB32" s="2597"/>
      <c r="AC32" s="2597"/>
      <c r="AD32" s="2597"/>
      <c r="AE32" s="2609"/>
      <c r="AF32" s="2609"/>
    </row>
    <row r="33" s="2597" customFormat="1" ht="13.2" spans="1:32">
      <c r="A33" s="2597">
        <v>3</v>
      </c>
      <c r="C33" s="1988" t="s">
        <v>1601</v>
      </c>
      <c r="D33" s="2104" t="s">
        <v>1602</v>
      </c>
      <c r="E33" s="2033">
        <v>202509090</v>
      </c>
      <c r="F33" s="2033">
        <v>6.75</v>
      </c>
      <c r="G33" s="1988" t="s">
        <v>1603</v>
      </c>
      <c r="H33" s="2105" t="s">
        <v>1604</v>
      </c>
      <c r="I33" s="2105" t="s">
        <v>1605</v>
      </c>
      <c r="J33" s="2032" t="s">
        <v>1606</v>
      </c>
      <c r="K33" s="2033" t="s">
        <v>1507</v>
      </c>
      <c r="L33" s="2033" t="s">
        <v>712</v>
      </c>
      <c r="M33" s="2104" t="s">
        <v>1507</v>
      </c>
      <c r="N33" s="1987">
        <v>6.77303487766788</v>
      </c>
      <c r="O33" s="1987">
        <v>7.45033836543467</v>
      </c>
      <c r="P33" s="1987">
        <v>31.08</v>
      </c>
      <c r="Q33" s="1987">
        <f>25.99/F33/1.13</f>
        <v>3.40740740740741</v>
      </c>
      <c r="R33" s="1987">
        <f t="shared" si="0"/>
        <v>41.9377457728421</v>
      </c>
      <c r="S33" s="1987">
        <v>27.9</v>
      </c>
      <c r="T33" s="1988" t="s">
        <v>1526</v>
      </c>
      <c r="U33" s="1988" t="s">
        <v>1607</v>
      </c>
      <c r="V33" s="1990"/>
      <c r="W33" s="2619"/>
      <c r="X33" s="2597"/>
      <c r="Y33" s="2597"/>
      <c r="Z33" s="2609"/>
      <c r="AA33" s="2597"/>
      <c r="AB33" s="2597"/>
      <c r="AC33" s="2597"/>
      <c r="AD33" s="2597"/>
      <c r="AE33" s="2609"/>
      <c r="AF33" s="2609"/>
    </row>
    <row r="34" s="2597" customFormat="1" ht="13.2" spans="1:32">
      <c r="A34" s="2597">
        <v>3</v>
      </c>
      <c r="C34" s="1988" t="s">
        <v>1601</v>
      </c>
      <c r="D34" s="2104" t="s">
        <v>1602</v>
      </c>
      <c r="E34" s="2110">
        <v>46112</v>
      </c>
      <c r="F34" s="2033">
        <v>6.75</v>
      </c>
      <c r="G34" s="1988" t="s">
        <v>1608</v>
      </c>
      <c r="H34" s="2105" t="s">
        <v>1558</v>
      </c>
      <c r="I34" s="2105" t="s">
        <v>1605</v>
      </c>
      <c r="J34" s="2032" t="s">
        <v>1506</v>
      </c>
      <c r="K34" s="2033" t="s">
        <v>1507</v>
      </c>
      <c r="L34" s="2033" t="s">
        <v>712</v>
      </c>
      <c r="M34" s="2104" t="s">
        <v>1507</v>
      </c>
      <c r="N34" s="1987">
        <v>6.70744403956273</v>
      </c>
      <c r="O34" s="1987">
        <v>7.378188443519</v>
      </c>
      <c r="P34" s="1987">
        <v>32.35</v>
      </c>
      <c r="Q34" s="1987">
        <f>25.99/F34/1.13</f>
        <v>3.40740740740741</v>
      </c>
      <c r="R34" s="1987">
        <f t="shared" si="0"/>
        <v>43.1355958509264</v>
      </c>
      <c r="S34" s="1987">
        <v>25.53</v>
      </c>
      <c r="T34" s="1988" t="s">
        <v>1526</v>
      </c>
      <c r="U34" s="2630" t="s">
        <v>1609</v>
      </c>
      <c r="V34" s="1990"/>
      <c r="W34" s="2619"/>
      <c r="X34" s="2597"/>
      <c r="Y34" s="2597"/>
      <c r="Z34" s="2609"/>
      <c r="AA34" s="2597"/>
      <c r="AB34" s="2597"/>
      <c r="AC34" s="2597"/>
      <c r="AD34" s="2597"/>
      <c r="AE34" s="2609"/>
      <c r="AF34" s="2609"/>
    </row>
    <row r="35" s="2597" customFormat="1" ht="15" customHeight="1" spans="1:32">
      <c r="A35" s="2597">
        <v>3</v>
      </c>
      <c r="C35" s="2626" t="s">
        <v>1610</v>
      </c>
      <c r="D35" s="2104" t="s">
        <v>1611</v>
      </c>
      <c r="E35" s="2295">
        <v>20250915</v>
      </c>
      <c r="F35" s="2033">
        <v>6.75</v>
      </c>
      <c r="G35" s="2628" t="s">
        <v>1612</v>
      </c>
      <c r="H35" s="1988" t="s">
        <v>1565</v>
      </c>
      <c r="I35" s="2266" t="s">
        <v>1613</v>
      </c>
      <c r="J35" s="2033" t="s">
        <v>1506</v>
      </c>
      <c r="K35" s="2032" t="s">
        <v>1614</v>
      </c>
      <c r="L35" s="2033" t="s">
        <v>712</v>
      </c>
      <c r="M35" s="2104" t="s">
        <v>1428</v>
      </c>
      <c r="N35" s="1987">
        <f>40.94/6.78/1.13*1.05</f>
        <v>5.61085441303156</v>
      </c>
      <c r="O35" s="1987">
        <f>51.63/6.73/1.13*1.05</f>
        <v>7.12849610119791</v>
      </c>
      <c r="P35" s="1987">
        <v>15.2</v>
      </c>
      <c r="Q35" s="1987">
        <f>21.2/F35/1.13</f>
        <v>2.77941658472632</v>
      </c>
      <c r="R35" s="1987">
        <f t="shared" si="0"/>
        <v>25.1079126859242</v>
      </c>
      <c r="S35" s="1987">
        <v>13.03</v>
      </c>
      <c r="T35" s="1988" t="s">
        <v>1526</v>
      </c>
      <c r="U35" s="2630" t="s">
        <v>1615</v>
      </c>
      <c r="V35" s="1990"/>
      <c r="W35" s="2597"/>
      <c r="X35" s="2597"/>
      <c r="Y35" s="2597"/>
      <c r="Z35" s="2609"/>
      <c r="AA35" s="2597"/>
      <c r="AB35" s="2597"/>
      <c r="AC35" s="2597"/>
      <c r="AD35" s="2597"/>
      <c r="AE35" s="2609"/>
      <c r="AF35" s="2609"/>
    </row>
    <row r="36" s="2597" customFormat="1" ht="15" customHeight="1" spans="1:32">
      <c r="A36" s="2597">
        <v>3</v>
      </c>
      <c r="C36" s="2631"/>
      <c r="D36" s="2104" t="s">
        <v>1611</v>
      </c>
      <c r="E36" s="2295">
        <v>20250915</v>
      </c>
      <c r="F36" s="2033">
        <v>6.75</v>
      </c>
      <c r="G36" s="2628" t="s">
        <v>1616</v>
      </c>
      <c r="H36" s="1988" t="s">
        <v>1617</v>
      </c>
      <c r="I36" s="2266" t="s">
        <v>1618</v>
      </c>
      <c r="J36" s="2033" t="s">
        <v>1594</v>
      </c>
      <c r="K36" s="2032" t="s">
        <v>1619</v>
      </c>
      <c r="L36" s="2033" t="s">
        <v>712</v>
      </c>
      <c r="M36" s="2104" t="s">
        <v>1428</v>
      </c>
      <c r="N36" s="1987">
        <f>40.94/6.78/1.13*1.05</f>
        <v>5.61085441303156</v>
      </c>
      <c r="O36" s="1987">
        <f>51.63/6.73/1.13*1.05</f>
        <v>7.12849610119791</v>
      </c>
      <c r="P36" s="1987">
        <v>19.2</v>
      </c>
      <c r="Q36" s="1987">
        <f>21.2/F36/1.13</f>
        <v>2.77941658472632</v>
      </c>
      <c r="R36" s="1987">
        <f t="shared" si="0"/>
        <v>29.1079126859242</v>
      </c>
      <c r="S36" s="1987">
        <v>16.77</v>
      </c>
      <c r="T36" s="2489" t="s">
        <v>1526</v>
      </c>
      <c r="U36" s="2630" t="s">
        <v>1615</v>
      </c>
      <c r="V36" s="1990"/>
      <c r="W36" s="2597"/>
      <c r="X36" s="2597"/>
      <c r="Y36" s="2597"/>
      <c r="Z36" s="2609"/>
      <c r="AA36" s="2597"/>
      <c r="AB36" s="2597"/>
      <c r="AC36" s="2597"/>
      <c r="AD36" s="2597"/>
      <c r="AE36" s="2609"/>
      <c r="AF36" s="2609"/>
    </row>
    <row r="37" s="2597" customFormat="1" ht="15" customHeight="1" spans="1:32">
      <c r="A37" s="2597">
        <v>3</v>
      </c>
      <c r="C37" s="2626" t="s">
        <v>1620</v>
      </c>
      <c r="D37" s="2104" t="s">
        <v>1621</v>
      </c>
      <c r="E37" s="2033">
        <v>20250825</v>
      </c>
      <c r="F37" s="2033">
        <v>6.75</v>
      </c>
      <c r="G37" s="2628" t="s">
        <v>1622</v>
      </c>
      <c r="H37" s="1988" t="s">
        <v>1565</v>
      </c>
      <c r="I37" s="2266" t="s">
        <v>1623</v>
      </c>
      <c r="J37" s="2033" t="s">
        <v>1506</v>
      </c>
      <c r="K37" s="2032" t="s">
        <v>1624</v>
      </c>
      <c r="L37" s="2033" t="s">
        <v>712</v>
      </c>
      <c r="M37" s="2104" t="s">
        <v>1428</v>
      </c>
      <c r="N37" s="1987">
        <v>5.9968766267569</v>
      </c>
      <c r="O37" s="1987">
        <f t="shared" ref="O37:O42" si="2">55.99/6.73/1.13*1.05</f>
        <v>7.73047640337151</v>
      </c>
      <c r="P37" s="1987">
        <v>15</v>
      </c>
      <c r="Q37" s="1987">
        <f t="shared" ref="Q37:Q39" si="3">21.95/F37/1.13</f>
        <v>2.87774500163881</v>
      </c>
      <c r="R37" s="1987">
        <f t="shared" si="0"/>
        <v>25.6082214050103</v>
      </c>
      <c r="S37" s="1987">
        <v>12.76</v>
      </c>
      <c r="T37" s="2489" t="s">
        <v>1526</v>
      </c>
      <c r="U37" s="2630" t="s">
        <v>1615</v>
      </c>
      <c r="V37" s="1990"/>
      <c r="W37" s="2597"/>
      <c r="X37" s="2597"/>
      <c r="Y37" s="2597"/>
      <c r="Z37" s="2609"/>
      <c r="AA37" s="2597"/>
      <c r="AB37" s="2597"/>
      <c r="AC37" s="2597"/>
      <c r="AD37" s="2597"/>
      <c r="AE37" s="2609"/>
      <c r="AF37" s="2609"/>
    </row>
    <row r="38" s="2597" customFormat="1" ht="15" customHeight="1" spans="1:32">
      <c r="A38" s="2597">
        <v>3</v>
      </c>
      <c r="C38" s="2631"/>
      <c r="D38" s="2104" t="s">
        <v>1621</v>
      </c>
      <c r="E38" s="2033">
        <v>20250825</v>
      </c>
      <c r="F38" s="2033">
        <v>6.75</v>
      </c>
      <c r="G38" s="2628" t="s">
        <v>1625</v>
      </c>
      <c r="H38" s="1988" t="s">
        <v>1617</v>
      </c>
      <c r="I38" s="2266" t="s">
        <v>1626</v>
      </c>
      <c r="J38" s="2033" t="s">
        <v>1511</v>
      </c>
      <c r="K38" s="2032" t="s">
        <v>1627</v>
      </c>
      <c r="L38" s="2033" t="s">
        <v>712</v>
      </c>
      <c r="M38" s="2104" t="s">
        <v>1428</v>
      </c>
      <c r="N38" s="1987">
        <v>5.9968766267569</v>
      </c>
      <c r="O38" s="1987">
        <f t="shared" si="2"/>
        <v>7.73047640337151</v>
      </c>
      <c r="P38" s="1987">
        <v>17.1</v>
      </c>
      <c r="Q38" s="1987">
        <f t="shared" si="3"/>
        <v>2.87774500163881</v>
      </c>
      <c r="R38" s="1987">
        <f t="shared" si="0"/>
        <v>27.7082214050103</v>
      </c>
      <c r="S38" s="1987">
        <v>14.73</v>
      </c>
      <c r="T38" s="2489" t="s">
        <v>1526</v>
      </c>
      <c r="U38" s="2630" t="s">
        <v>1615</v>
      </c>
      <c r="V38" s="1990"/>
      <c r="W38" s="2597"/>
      <c r="X38" s="2597"/>
      <c r="Y38" s="2597"/>
      <c r="Z38" s="2609"/>
      <c r="AA38" s="2597"/>
      <c r="AB38" s="2597"/>
      <c r="AC38" s="2597"/>
      <c r="AD38" s="2597"/>
      <c r="AE38" s="2609"/>
      <c r="AF38" s="2609"/>
    </row>
    <row r="39" s="2597" customFormat="1" ht="15" customHeight="1" spans="1:32">
      <c r="A39" s="2597">
        <v>3</v>
      </c>
      <c r="C39" s="2622"/>
      <c r="D39" s="2104" t="s">
        <v>1621</v>
      </c>
      <c r="E39" s="2033">
        <v>20250825</v>
      </c>
      <c r="F39" s="2033">
        <v>6.75</v>
      </c>
      <c r="G39" s="2628" t="s">
        <v>1628</v>
      </c>
      <c r="H39" s="1988" t="s">
        <v>1629</v>
      </c>
      <c r="I39" s="2266" t="s">
        <v>1623</v>
      </c>
      <c r="J39" s="2033" t="s">
        <v>1594</v>
      </c>
      <c r="K39" s="2032" t="s">
        <v>1614</v>
      </c>
      <c r="L39" s="2033" t="s">
        <v>712</v>
      </c>
      <c r="M39" s="2104" t="s">
        <v>1428</v>
      </c>
      <c r="N39" s="1987">
        <v>5.9968766267569</v>
      </c>
      <c r="O39" s="1987">
        <f t="shared" si="2"/>
        <v>7.73047640337151</v>
      </c>
      <c r="P39" s="1987">
        <v>17.3</v>
      </c>
      <c r="Q39" s="1987">
        <f t="shared" si="3"/>
        <v>2.87774500163881</v>
      </c>
      <c r="R39" s="1987">
        <f t="shared" si="0"/>
        <v>27.9082214050103</v>
      </c>
      <c r="S39" s="1987">
        <v>14.94</v>
      </c>
      <c r="T39" s="2489" t="s">
        <v>1526</v>
      </c>
      <c r="U39" s="2630" t="s">
        <v>1615</v>
      </c>
      <c r="V39" s="1990"/>
      <c r="W39" s="2597"/>
      <c r="X39" s="2597"/>
      <c r="Y39" s="2597"/>
      <c r="Z39" s="2609"/>
      <c r="AA39" s="2597"/>
      <c r="AB39" s="2597"/>
      <c r="AC39" s="2597"/>
      <c r="AD39" s="2597"/>
      <c r="AE39" s="2609"/>
      <c r="AF39" s="2609"/>
    </row>
    <row r="40" s="2597" customFormat="1" ht="15" customHeight="1" spans="1:32">
      <c r="A40" s="2597">
        <v>3</v>
      </c>
      <c r="B40" s="2629">
        <v>46246</v>
      </c>
      <c r="C40" s="1988" t="s">
        <v>1630</v>
      </c>
      <c r="D40" s="2104" t="s">
        <v>1621</v>
      </c>
      <c r="E40" s="2110">
        <v>46058</v>
      </c>
      <c r="F40" s="2033">
        <v>6.75</v>
      </c>
      <c r="G40" s="2628" t="s">
        <v>1631</v>
      </c>
      <c r="H40" s="1988" t="s">
        <v>1565</v>
      </c>
      <c r="I40" s="2266" t="s">
        <v>1632</v>
      </c>
      <c r="J40" s="2033" t="s">
        <v>1506</v>
      </c>
      <c r="K40" s="2032" t="s">
        <v>1633</v>
      </c>
      <c r="L40" s="2033" t="s">
        <v>712</v>
      </c>
      <c r="M40" s="2104" t="s">
        <v>1428</v>
      </c>
      <c r="N40" s="1987">
        <v>5.57834461218116</v>
      </c>
      <c r="O40" s="1987">
        <f t="shared" si="2"/>
        <v>7.73047640337151</v>
      </c>
      <c r="P40" s="1987">
        <v>15.5</v>
      </c>
      <c r="Q40" s="1987">
        <f>19.63/F40</f>
        <v>2.90814814814815</v>
      </c>
      <c r="R40" s="1987">
        <f t="shared" si="0"/>
        <v>26.1386245515197</v>
      </c>
      <c r="S40" s="1987">
        <v>13.55</v>
      </c>
      <c r="T40" s="2489" t="s">
        <v>1526</v>
      </c>
      <c r="U40" s="2630" t="s">
        <v>1615</v>
      </c>
      <c r="V40" s="1990"/>
      <c r="W40" s="2597"/>
      <c r="X40" s="2597"/>
      <c r="Y40" s="2597"/>
      <c r="Z40" s="2609"/>
      <c r="AA40" s="2597"/>
      <c r="AB40" s="2597"/>
      <c r="AC40" s="2597"/>
      <c r="AD40" s="2597"/>
      <c r="AE40" s="2609"/>
      <c r="AF40" s="2609"/>
    </row>
    <row r="41" s="2597" customFormat="1" ht="15" customHeight="1" spans="1:32">
      <c r="A41" s="2597">
        <v>3</v>
      </c>
      <c r="B41" s="2629">
        <v>46246</v>
      </c>
      <c r="C41" s="1988"/>
      <c r="D41" s="2104" t="s">
        <v>1621</v>
      </c>
      <c r="E41" s="2033">
        <v>20250613</v>
      </c>
      <c r="F41" s="2033">
        <v>6.75</v>
      </c>
      <c r="G41" s="2628" t="s">
        <v>1634</v>
      </c>
      <c r="H41" s="1988" t="s">
        <v>1617</v>
      </c>
      <c r="I41" s="2266" t="s">
        <v>1618</v>
      </c>
      <c r="J41" s="2033" t="s">
        <v>1594</v>
      </c>
      <c r="K41" s="2032" t="s">
        <v>1635</v>
      </c>
      <c r="L41" s="2033" t="s">
        <v>712</v>
      </c>
      <c r="M41" s="2104" t="s">
        <v>1428</v>
      </c>
      <c r="N41" s="1987">
        <v>5.57834461218116</v>
      </c>
      <c r="O41" s="1987">
        <f t="shared" si="2"/>
        <v>7.73047640337151</v>
      </c>
      <c r="P41" s="1987">
        <v>19.2</v>
      </c>
      <c r="Q41" s="1987">
        <f>19.63/F41</f>
        <v>2.90814814814815</v>
      </c>
      <c r="R41" s="1987">
        <f t="shared" si="0"/>
        <v>29.8386245515197</v>
      </c>
      <c r="S41" s="1987">
        <v>17.05</v>
      </c>
      <c r="T41" s="2489" t="s">
        <v>1526</v>
      </c>
      <c r="U41" s="1988" t="s">
        <v>1553</v>
      </c>
      <c r="V41" s="1990"/>
      <c r="W41" s="2597"/>
      <c r="X41" s="2597"/>
      <c r="Y41" s="2597"/>
      <c r="Z41" s="2609"/>
      <c r="AA41" s="2597"/>
      <c r="AB41" s="2597"/>
      <c r="AC41" s="2597"/>
      <c r="AD41" s="2597"/>
      <c r="AE41" s="2609"/>
      <c r="AF41" s="2609"/>
    </row>
    <row r="42" s="2597" customFormat="1" ht="15" customHeight="1" spans="1:32">
      <c r="A42" s="2597">
        <v>2</v>
      </c>
      <c r="B42" s="2629">
        <v>46246</v>
      </c>
      <c r="C42" s="1988"/>
      <c r="D42" s="2104" t="s">
        <v>1621</v>
      </c>
      <c r="E42" s="2110">
        <v>46057</v>
      </c>
      <c r="F42" s="2033">
        <v>6.75</v>
      </c>
      <c r="G42" s="2628" t="s">
        <v>1636</v>
      </c>
      <c r="H42" s="1988" t="s">
        <v>1629</v>
      </c>
      <c r="I42" s="2266" t="s">
        <v>1618</v>
      </c>
      <c r="J42" s="2033" t="s">
        <v>1511</v>
      </c>
      <c r="K42" s="2032" t="s">
        <v>1637</v>
      </c>
      <c r="L42" s="2033" t="s">
        <v>712</v>
      </c>
      <c r="M42" s="2527" t="s">
        <v>1428</v>
      </c>
      <c r="N42" s="1987">
        <v>5.57834461218116</v>
      </c>
      <c r="O42" s="1987">
        <f t="shared" si="2"/>
        <v>7.73047640337151</v>
      </c>
      <c r="P42" s="1987">
        <v>18.7</v>
      </c>
      <c r="Q42" s="1987">
        <f>19.63/F42</f>
        <v>2.90814814814815</v>
      </c>
      <c r="R42" s="1987">
        <f t="shared" si="0"/>
        <v>29.3386245515197</v>
      </c>
      <c r="S42" s="1987">
        <v>16.57</v>
      </c>
      <c r="T42" s="2489" t="s">
        <v>1526</v>
      </c>
      <c r="U42" s="1988" t="s">
        <v>1638</v>
      </c>
      <c r="V42" s="1990"/>
      <c r="W42" s="2597"/>
      <c r="X42" s="2597"/>
      <c r="Y42" s="2597"/>
      <c r="Z42" s="2609"/>
      <c r="AA42" s="2597"/>
      <c r="AB42" s="2597"/>
      <c r="AC42" s="2597"/>
      <c r="AD42" s="2597"/>
      <c r="AE42" s="2609"/>
      <c r="AF42" s="2609"/>
    </row>
    <row r="43" s="2597" customFormat="1" ht="15" customHeight="1" spans="1:32">
      <c r="A43" s="2597">
        <v>3</v>
      </c>
      <c r="C43" s="1988" t="s">
        <v>1639</v>
      </c>
      <c r="D43" s="2104" t="s">
        <v>1640</v>
      </c>
      <c r="E43" s="2033">
        <v>20250910</v>
      </c>
      <c r="F43" s="2033">
        <v>6.7</v>
      </c>
      <c r="G43" s="1988"/>
      <c r="H43" s="1988" t="s">
        <v>1551</v>
      </c>
      <c r="I43" s="2266" t="s">
        <v>1618</v>
      </c>
      <c r="J43" s="2033" t="s">
        <v>1506</v>
      </c>
      <c r="K43" s="2033" t="s">
        <v>1507</v>
      </c>
      <c r="L43" s="2033" t="s">
        <v>712</v>
      </c>
      <c r="M43" s="2104" t="s">
        <v>1507</v>
      </c>
      <c r="N43" s="1987">
        <v>4.78344612181156</v>
      </c>
      <c r="O43" s="1987">
        <v>5.26179073399272</v>
      </c>
      <c r="P43" s="1987">
        <v>20.7</v>
      </c>
      <c r="Q43" s="1987">
        <v>3.29743952445249</v>
      </c>
      <c r="R43" s="1987">
        <f t="shared" ref="R43:R74" si="4">SUBTOTAL(109,O43:Q43)</f>
        <v>29.2592302584452</v>
      </c>
      <c r="S43" s="1987">
        <v>18</v>
      </c>
      <c r="T43" s="2489" t="s">
        <v>1526</v>
      </c>
      <c r="U43" s="1988" t="s">
        <v>1641</v>
      </c>
      <c r="V43" s="1990"/>
      <c r="W43" s="2597"/>
      <c r="X43" s="2597"/>
      <c r="Y43" s="2597"/>
      <c r="Z43" s="2609"/>
      <c r="AA43" s="2597"/>
      <c r="AB43" s="2597"/>
      <c r="AC43" s="2597"/>
      <c r="AD43" s="2597"/>
      <c r="AE43" s="2609"/>
      <c r="AF43" s="2609"/>
    </row>
    <row r="44" s="2597" customFormat="1" ht="15" customHeight="1" spans="1:32">
      <c r="A44" s="2597">
        <v>2</v>
      </c>
      <c r="C44" s="1988" t="s">
        <v>1639</v>
      </c>
      <c r="D44" s="2104" t="s">
        <v>1640</v>
      </c>
      <c r="E44" s="2033">
        <v>20250910</v>
      </c>
      <c r="F44" s="2033">
        <v>6.7</v>
      </c>
      <c r="G44" s="2628"/>
      <c r="H44" s="1988" t="s">
        <v>1551</v>
      </c>
      <c r="I44" s="2266" t="s">
        <v>1618</v>
      </c>
      <c r="J44" s="2033" t="s">
        <v>1511</v>
      </c>
      <c r="K44" s="2033" t="s">
        <v>1507</v>
      </c>
      <c r="L44" s="2033" t="s">
        <v>712</v>
      </c>
      <c r="M44" s="2104" t="s">
        <v>1507</v>
      </c>
      <c r="N44" s="1987">
        <v>4.78344612181156</v>
      </c>
      <c r="O44" s="1987">
        <v>5.26179073399272</v>
      </c>
      <c r="P44" s="1987">
        <v>21.5</v>
      </c>
      <c r="Q44" s="1987">
        <v>3.31172162349447</v>
      </c>
      <c r="R44" s="1987">
        <f t="shared" si="4"/>
        <v>30.0735123574872</v>
      </c>
      <c r="S44" s="1987">
        <v>18.8</v>
      </c>
      <c r="T44" s="2489" t="s">
        <v>1526</v>
      </c>
      <c r="U44" s="1988" t="s">
        <v>1641</v>
      </c>
      <c r="V44" s="1990"/>
      <c r="W44" s="2597"/>
      <c r="X44" s="2597"/>
      <c r="Y44" s="2597"/>
      <c r="Z44" s="2609"/>
      <c r="AA44" s="2597"/>
      <c r="AB44" s="2597"/>
      <c r="AC44" s="2597"/>
      <c r="AD44" s="2597"/>
      <c r="AE44" s="2609"/>
      <c r="AF44" s="2609"/>
    </row>
    <row r="45" s="2597" customFormat="1" ht="15" customHeight="1" spans="1:32">
      <c r="A45" s="2597">
        <v>3</v>
      </c>
      <c r="B45" s="2629">
        <v>46246</v>
      </c>
      <c r="C45" s="2294" t="s">
        <v>1642</v>
      </c>
      <c r="D45" s="2104" t="s">
        <v>1643</v>
      </c>
      <c r="E45" s="2488">
        <v>46126</v>
      </c>
      <c r="F45" s="2033">
        <v>6.75</v>
      </c>
      <c r="G45" s="2628" t="s">
        <v>1644</v>
      </c>
      <c r="H45" s="1988" t="s">
        <v>1645</v>
      </c>
      <c r="I45" s="2266" t="s">
        <v>1618</v>
      </c>
      <c r="J45" s="2033" t="s">
        <v>1506</v>
      </c>
      <c r="K45" s="2033" t="s">
        <v>1646</v>
      </c>
      <c r="L45" s="2033" t="s">
        <v>712</v>
      </c>
      <c r="M45" s="2104" t="s">
        <v>1428</v>
      </c>
      <c r="N45" s="1987">
        <f>41.71/6.78/1.13*1.05</f>
        <v>5.71638342861618</v>
      </c>
      <c r="O45" s="1987">
        <f t="shared" ref="O45:O48" si="5">55.99/6.73/1.13*1.05</f>
        <v>7.73047640337151</v>
      </c>
      <c r="P45" s="1987">
        <v>19.1</v>
      </c>
      <c r="Q45" s="1987">
        <f>21.6/F45</f>
        <v>3.2</v>
      </c>
      <c r="R45" s="1987">
        <f t="shared" si="4"/>
        <v>30.0304764033715</v>
      </c>
      <c r="S45" s="1987">
        <v>16.3</v>
      </c>
      <c r="T45" s="2489" t="s">
        <v>1526</v>
      </c>
      <c r="U45" s="1988" t="s">
        <v>1647</v>
      </c>
      <c r="V45" s="1990"/>
      <c r="W45" s="2597"/>
      <c r="X45" s="2597"/>
      <c r="Y45" s="2597"/>
      <c r="Z45" s="2609"/>
      <c r="AA45" s="2597"/>
      <c r="AB45" s="2597"/>
      <c r="AC45" s="2597"/>
      <c r="AD45" s="2597"/>
      <c r="AE45" s="2609"/>
      <c r="AF45" s="2609"/>
    </row>
    <row r="46" s="2597" customFormat="1" ht="13.2" spans="1:32">
      <c r="A46" s="2597">
        <v>3</v>
      </c>
      <c r="B46" s="2629">
        <v>46246</v>
      </c>
      <c r="C46" s="2294"/>
      <c r="D46" s="2104" t="s">
        <v>1643</v>
      </c>
      <c r="E46" s="2488">
        <v>46126</v>
      </c>
      <c r="F46" s="2033">
        <v>6.75</v>
      </c>
      <c r="G46" s="2628" t="s">
        <v>1648</v>
      </c>
      <c r="H46" s="1988" t="s">
        <v>1604</v>
      </c>
      <c r="I46" s="2266" t="s">
        <v>1618</v>
      </c>
      <c r="J46" s="2033" t="s">
        <v>1511</v>
      </c>
      <c r="K46" s="2033" t="s">
        <v>1635</v>
      </c>
      <c r="L46" s="2033" t="s">
        <v>712</v>
      </c>
      <c r="M46" s="2104" t="s">
        <v>1428</v>
      </c>
      <c r="N46" s="1987">
        <f>41.71/6.78/1.13*1.05</f>
        <v>5.71638342861618</v>
      </c>
      <c r="O46" s="1987">
        <f t="shared" si="5"/>
        <v>7.73047640337151</v>
      </c>
      <c r="P46" s="1987">
        <v>21.3</v>
      </c>
      <c r="Q46" s="1987">
        <f>21.6/F46</f>
        <v>3.2</v>
      </c>
      <c r="R46" s="1987">
        <f t="shared" si="4"/>
        <v>32.2304764033715</v>
      </c>
      <c r="S46" s="1987">
        <v>18.4</v>
      </c>
      <c r="T46" s="2489" t="s">
        <v>1526</v>
      </c>
      <c r="U46" s="1988" t="s">
        <v>1647</v>
      </c>
      <c r="V46" s="1990"/>
      <c r="W46" s="2597"/>
      <c r="X46" s="2597"/>
      <c r="Y46" s="2597"/>
      <c r="Z46" s="2609"/>
      <c r="AA46" s="2597"/>
      <c r="AB46" s="2597"/>
      <c r="AC46" s="2597"/>
      <c r="AD46" s="2597"/>
      <c r="AE46" s="2609"/>
      <c r="AF46" s="2609"/>
    </row>
    <row r="47" s="2597" customFormat="1" ht="16" customHeight="1" spans="1:32">
      <c r="A47" s="2597">
        <v>3</v>
      </c>
      <c r="B47" s="2629">
        <v>46246</v>
      </c>
      <c r="C47" s="2294"/>
      <c r="D47" s="2104" t="s">
        <v>1643</v>
      </c>
      <c r="E47" s="2488">
        <v>46126</v>
      </c>
      <c r="F47" s="2033">
        <v>6.75</v>
      </c>
      <c r="G47" s="2628" t="s">
        <v>1649</v>
      </c>
      <c r="H47" s="1988" t="s">
        <v>1571</v>
      </c>
      <c r="I47" s="2266" t="s">
        <v>1618</v>
      </c>
      <c r="J47" s="2033" t="s">
        <v>1594</v>
      </c>
      <c r="K47" s="2033" t="s">
        <v>1637</v>
      </c>
      <c r="L47" s="2033" t="s">
        <v>712</v>
      </c>
      <c r="M47" s="2527" t="s">
        <v>1428</v>
      </c>
      <c r="N47" s="1987">
        <v>5.54867256637168</v>
      </c>
      <c r="O47" s="1987">
        <f t="shared" si="5"/>
        <v>7.73047640337151</v>
      </c>
      <c r="P47" s="1987">
        <v>23.4</v>
      </c>
      <c r="Q47" s="1987">
        <f>21.6/F47</f>
        <v>3.2</v>
      </c>
      <c r="R47" s="1987">
        <f t="shared" si="4"/>
        <v>34.3304764033715</v>
      </c>
      <c r="S47" s="1987">
        <v>20.2</v>
      </c>
      <c r="T47" s="2489" t="s">
        <v>1526</v>
      </c>
      <c r="U47" s="1988" t="s">
        <v>1650</v>
      </c>
      <c r="V47" s="1990"/>
      <c r="W47" s="2597"/>
      <c r="X47" s="2597"/>
      <c r="Y47" s="2597"/>
      <c r="Z47" s="2609"/>
      <c r="AA47" s="2597"/>
      <c r="AB47" s="2597"/>
      <c r="AC47" s="2597"/>
      <c r="AD47" s="2597"/>
      <c r="AE47" s="2609"/>
      <c r="AF47" s="2609"/>
    </row>
    <row r="48" s="2597" customFormat="1" ht="13.2" spans="1:32">
      <c r="A48" s="2597">
        <v>3</v>
      </c>
      <c r="C48" s="2105" t="s">
        <v>1651</v>
      </c>
      <c r="D48" s="2033" t="s">
        <v>1621</v>
      </c>
      <c r="E48" s="2488">
        <v>46083</v>
      </c>
      <c r="F48" s="2033">
        <v>6.75</v>
      </c>
      <c r="G48" s="1988" t="s">
        <v>1652</v>
      </c>
      <c r="H48" s="2296" t="s">
        <v>1565</v>
      </c>
      <c r="I48" s="2266" t="s">
        <v>1618</v>
      </c>
      <c r="J48" s="2033" t="s">
        <v>1653</v>
      </c>
      <c r="K48" s="2033" t="s">
        <v>1654</v>
      </c>
      <c r="L48" s="2033" t="s">
        <v>712</v>
      </c>
      <c r="M48" s="2104" t="s">
        <v>1428</v>
      </c>
      <c r="N48" s="1987">
        <v>6.27189117402475</v>
      </c>
      <c r="O48" s="1987">
        <f t="shared" si="5"/>
        <v>7.73047640337151</v>
      </c>
      <c r="P48" s="1987">
        <v>24.5</v>
      </c>
      <c r="Q48" s="2297">
        <f>21.54/6.91</f>
        <v>3.11722141823444</v>
      </c>
      <c r="R48" s="1987">
        <f t="shared" si="4"/>
        <v>35.347697821606</v>
      </c>
      <c r="S48" s="1987">
        <v>21.3</v>
      </c>
      <c r="T48" s="2489" t="s">
        <v>1526</v>
      </c>
      <c r="U48" s="1988" t="s">
        <v>1655</v>
      </c>
      <c r="V48" s="1990"/>
      <c r="W48" s="2597"/>
      <c r="X48" s="2597"/>
      <c r="Y48" s="2597"/>
      <c r="Z48" s="2609"/>
      <c r="AA48" s="2597"/>
      <c r="AB48" s="2597"/>
      <c r="AC48" s="2597"/>
      <c r="AD48" s="2597"/>
      <c r="AE48" s="2609"/>
      <c r="AF48" s="2609"/>
    </row>
    <row r="49" s="2597" customFormat="1" ht="13.2" spans="1:32">
      <c r="A49" s="2597">
        <v>3</v>
      </c>
      <c r="C49" s="2294" t="s">
        <v>1656</v>
      </c>
      <c r="D49" s="2033" t="s">
        <v>1657</v>
      </c>
      <c r="E49" s="2295">
        <v>20250916</v>
      </c>
      <c r="F49" s="2033">
        <v>6.75</v>
      </c>
      <c r="G49" s="1988" t="s">
        <v>1658</v>
      </c>
      <c r="H49" s="2296" t="s">
        <v>1565</v>
      </c>
      <c r="I49" s="2266" t="s">
        <v>1659</v>
      </c>
      <c r="J49" s="2033" t="s">
        <v>1506</v>
      </c>
      <c r="K49" s="2033" t="s">
        <v>1507</v>
      </c>
      <c r="L49" s="2033" t="s">
        <v>712</v>
      </c>
      <c r="M49" s="2033" t="s">
        <v>1507</v>
      </c>
      <c r="N49" s="1987">
        <v>5.16605934409162</v>
      </c>
      <c r="O49" s="1987">
        <v>5.68266527850078</v>
      </c>
      <c r="P49" s="1987">
        <v>29.7</v>
      </c>
      <c r="Q49" s="2297">
        <f>23.5/F49</f>
        <v>3.48148148148148</v>
      </c>
      <c r="R49" s="1987">
        <f t="shared" si="4"/>
        <v>38.8641467599823</v>
      </c>
      <c r="S49" s="1987">
        <v>26.7</v>
      </c>
      <c r="T49" s="2489" t="s">
        <v>1526</v>
      </c>
      <c r="U49" s="1988" t="s">
        <v>1660</v>
      </c>
      <c r="V49" s="1990"/>
      <c r="W49" s="2597"/>
      <c r="X49" s="2597"/>
      <c r="Y49" s="2597"/>
      <c r="Z49" s="2609"/>
      <c r="AA49" s="2597"/>
      <c r="AB49" s="2597"/>
      <c r="AC49" s="2597"/>
      <c r="AD49" s="2597"/>
      <c r="AE49" s="2609"/>
      <c r="AF49" s="2609"/>
    </row>
    <row r="50" s="2597" customFormat="1" ht="13.2" spans="1:32">
      <c r="A50" s="2597">
        <v>3</v>
      </c>
      <c r="C50" s="2294" t="s">
        <v>1656</v>
      </c>
      <c r="D50" s="2033" t="s">
        <v>1657</v>
      </c>
      <c r="E50" s="2295">
        <v>20250916</v>
      </c>
      <c r="F50" s="2033">
        <v>6.75</v>
      </c>
      <c r="G50" s="1988" t="s">
        <v>1661</v>
      </c>
      <c r="H50" s="2105" t="s">
        <v>1617</v>
      </c>
      <c r="I50" s="2266" t="s">
        <v>1659</v>
      </c>
      <c r="J50" s="2033" t="s">
        <v>1511</v>
      </c>
      <c r="K50" s="2033" t="s">
        <v>1507</v>
      </c>
      <c r="L50" s="2033" t="s">
        <v>712</v>
      </c>
      <c r="M50" s="2033" t="s">
        <v>1507</v>
      </c>
      <c r="N50" s="1987">
        <v>5.16605934409162</v>
      </c>
      <c r="O50" s="1987">
        <v>5.68266527850078</v>
      </c>
      <c r="P50" s="1987">
        <v>31.4</v>
      </c>
      <c r="Q50" s="2297">
        <f t="shared" ref="Q50:Q52" si="6">23.5/6.91</f>
        <v>3.40086830680174</v>
      </c>
      <c r="R50" s="1987">
        <f t="shared" si="4"/>
        <v>40.4835335853025</v>
      </c>
      <c r="S50" s="1987">
        <v>28.4</v>
      </c>
      <c r="T50" s="2489" t="s">
        <v>1526</v>
      </c>
      <c r="U50" s="1988" t="s">
        <v>1660</v>
      </c>
      <c r="V50" s="1990"/>
      <c r="W50" s="2597"/>
      <c r="X50" s="2597"/>
      <c r="Y50" s="2597"/>
      <c r="Z50" s="2609"/>
      <c r="AA50" s="2597"/>
      <c r="AB50" s="2597"/>
      <c r="AC50" s="2597"/>
      <c r="AD50" s="2597"/>
      <c r="AE50" s="2609"/>
      <c r="AF50" s="2609"/>
    </row>
    <row r="51" s="2597" customFormat="1" ht="14" customHeight="1" spans="1:32">
      <c r="A51" s="2597">
        <v>3</v>
      </c>
      <c r="B51" s="2629">
        <v>46255</v>
      </c>
      <c r="C51" s="2294" t="s">
        <v>1662</v>
      </c>
      <c r="D51" s="2632" t="s">
        <v>1657</v>
      </c>
      <c r="E51" s="2488">
        <v>46081</v>
      </c>
      <c r="F51" s="2033">
        <v>6.75</v>
      </c>
      <c r="G51" s="1988" t="s">
        <v>1663</v>
      </c>
      <c r="H51" s="2105"/>
      <c r="I51" s="2266" t="s">
        <v>1664</v>
      </c>
      <c r="J51" s="2033" t="s">
        <v>1506</v>
      </c>
      <c r="K51" s="2033" t="s">
        <v>1507</v>
      </c>
      <c r="L51" s="2033" t="s">
        <v>712</v>
      </c>
      <c r="M51" s="2033" t="s">
        <v>1507</v>
      </c>
      <c r="N51" s="1987">
        <v>4.9552316501822</v>
      </c>
      <c r="O51" s="1987">
        <f>47.5/F51/1.13</f>
        <v>6.22746640445756</v>
      </c>
      <c r="P51" s="1987">
        <v>22.8</v>
      </c>
      <c r="Q51" s="2297">
        <f t="shared" si="6"/>
        <v>3.40086830680174</v>
      </c>
      <c r="R51" s="1987">
        <f t="shared" si="4"/>
        <v>32.4283347112593</v>
      </c>
      <c r="S51" s="1987">
        <v>20.45</v>
      </c>
      <c r="T51" s="2489" t="s">
        <v>1526</v>
      </c>
      <c r="U51" s="1988" t="s">
        <v>1665</v>
      </c>
      <c r="V51" s="1990"/>
      <c r="W51" s="2597"/>
      <c r="X51" s="2597"/>
      <c r="Y51" s="2597"/>
      <c r="Z51" s="2609"/>
      <c r="AA51" s="2597"/>
      <c r="AB51" s="2597"/>
      <c r="AC51" s="2597"/>
      <c r="AD51" s="2597"/>
      <c r="AE51" s="2609"/>
      <c r="AF51" s="2609"/>
    </row>
    <row r="52" s="2597" customFormat="1" ht="14" customHeight="1" spans="1:32">
      <c r="A52" s="2597">
        <v>3</v>
      </c>
      <c r="B52" s="2629">
        <v>46255</v>
      </c>
      <c r="C52" s="2294" t="s">
        <v>1662</v>
      </c>
      <c r="D52" s="2633"/>
      <c r="E52" s="2488">
        <v>46081</v>
      </c>
      <c r="F52" s="2033">
        <v>6.75</v>
      </c>
      <c r="G52" s="1988" t="s">
        <v>1666</v>
      </c>
      <c r="H52" s="2105" t="s">
        <v>1667</v>
      </c>
      <c r="I52" s="2266" t="s">
        <v>1664</v>
      </c>
      <c r="J52" s="2033" t="s">
        <v>1511</v>
      </c>
      <c r="K52" s="2033" t="s">
        <v>1507</v>
      </c>
      <c r="L52" s="2033" t="s">
        <v>712</v>
      </c>
      <c r="M52" s="2033" t="s">
        <v>1507</v>
      </c>
      <c r="N52" s="1987">
        <v>5.3300364393545</v>
      </c>
      <c r="O52" s="1987">
        <f>47.5/F52/1.13</f>
        <v>6.22746640445756</v>
      </c>
      <c r="P52" s="1987">
        <v>23.7</v>
      </c>
      <c r="Q52" s="2297">
        <f t="shared" si="6"/>
        <v>3.40086830680174</v>
      </c>
      <c r="R52" s="1987">
        <f t="shared" si="4"/>
        <v>33.3283347112593</v>
      </c>
      <c r="S52" s="1987">
        <v>21.4</v>
      </c>
      <c r="T52" s="2489" t="s">
        <v>1526</v>
      </c>
      <c r="U52" s="1988" t="s">
        <v>1665</v>
      </c>
      <c r="V52" s="1990"/>
      <c r="W52" s="2597"/>
      <c r="X52" s="2597"/>
      <c r="Y52" s="2597"/>
      <c r="Z52" s="2609"/>
      <c r="AA52" s="2597"/>
      <c r="AB52" s="2597"/>
      <c r="AC52" s="2597"/>
      <c r="AD52" s="2597"/>
      <c r="AE52" s="2609"/>
      <c r="AF52" s="2609"/>
    </row>
    <row r="53" s="2597" customFormat="1" ht="13.2" spans="1:32">
      <c r="A53" s="2597">
        <v>3</v>
      </c>
      <c r="B53" s="2629">
        <v>46254</v>
      </c>
      <c r="C53" s="1988" t="s">
        <v>1668</v>
      </c>
      <c r="D53" s="2033" t="s">
        <v>1523</v>
      </c>
      <c r="E53" s="2295">
        <v>20250917</v>
      </c>
      <c r="F53" s="2033">
        <v>6.7</v>
      </c>
      <c r="G53" s="2525"/>
      <c r="H53" s="1989" t="s">
        <v>1669</v>
      </c>
      <c r="I53" s="2266" t="s">
        <v>1659</v>
      </c>
      <c r="J53" s="2033" t="s">
        <v>1506</v>
      </c>
      <c r="K53" s="2033" t="s">
        <v>1428</v>
      </c>
      <c r="L53" s="2033" t="s">
        <v>712</v>
      </c>
      <c r="M53" s="2033" t="s">
        <v>1428</v>
      </c>
      <c r="N53" s="1987">
        <v>6.78896408120771</v>
      </c>
      <c r="O53" s="1987">
        <f t="shared" ref="O53:O55" si="7">56.43/F53/1.13*1.05</f>
        <v>7.82611279883767</v>
      </c>
      <c r="P53" s="1987">
        <v>34.12</v>
      </c>
      <c r="Q53" s="1987">
        <v>3.65722681478719</v>
      </c>
      <c r="R53" s="1987">
        <f t="shared" si="4"/>
        <v>45.6033396136249</v>
      </c>
      <c r="S53" s="1987">
        <v>30.4</v>
      </c>
      <c r="T53" s="2489" t="s">
        <v>1526</v>
      </c>
      <c r="U53" s="1988" t="s">
        <v>1670</v>
      </c>
      <c r="V53" s="1990"/>
      <c r="W53" s="2597"/>
      <c r="X53" s="2597"/>
      <c r="Y53" s="2597"/>
      <c r="Z53" s="2609"/>
      <c r="AA53" s="2597"/>
      <c r="AB53" s="2597"/>
      <c r="AC53" s="2597"/>
      <c r="AD53" s="2597"/>
      <c r="AE53" s="2609"/>
      <c r="AF53" s="2609"/>
    </row>
    <row r="54" s="2597" customFormat="1" ht="13.2" spans="1:32">
      <c r="A54" s="2597">
        <v>3</v>
      </c>
      <c r="B54" s="2629">
        <v>46254</v>
      </c>
      <c r="C54" s="1988"/>
      <c r="D54" s="2033" t="s">
        <v>1523</v>
      </c>
      <c r="E54" s="2295">
        <v>20250917</v>
      </c>
      <c r="F54" s="2033">
        <v>6.7</v>
      </c>
      <c r="G54" s="2525"/>
      <c r="H54" s="1989" t="s">
        <v>1671</v>
      </c>
      <c r="I54" s="2266" t="s">
        <v>1659</v>
      </c>
      <c r="J54" s="2033" t="s">
        <v>1511</v>
      </c>
      <c r="K54" s="2033" t="s">
        <v>1428</v>
      </c>
      <c r="L54" s="2033" t="s">
        <v>712</v>
      </c>
      <c r="M54" s="2033" t="s">
        <v>1428</v>
      </c>
      <c r="N54" s="1987">
        <v>6.78896408120771</v>
      </c>
      <c r="O54" s="1987">
        <f t="shared" si="7"/>
        <v>7.82611279883767</v>
      </c>
      <c r="P54" s="1987">
        <v>32.8</v>
      </c>
      <c r="Q54" s="1987">
        <v>3.65722681478719</v>
      </c>
      <c r="R54" s="1987">
        <f t="shared" si="4"/>
        <v>44.2833396136249</v>
      </c>
      <c r="S54" s="1987">
        <v>29</v>
      </c>
      <c r="T54" s="2489" t="s">
        <v>1526</v>
      </c>
      <c r="U54" s="1988" t="s">
        <v>1670</v>
      </c>
      <c r="V54" s="1990"/>
      <c r="W54" s="2597"/>
      <c r="X54" s="2597"/>
      <c r="Y54" s="2597"/>
      <c r="Z54" s="2609"/>
      <c r="AA54" s="2597"/>
      <c r="AB54" s="2597"/>
      <c r="AC54" s="2597"/>
      <c r="AD54" s="2597"/>
      <c r="AE54" s="2609"/>
      <c r="AF54" s="2609"/>
    </row>
    <row r="55" s="2597" customFormat="1" ht="13.2" spans="1:32">
      <c r="A55" s="2597">
        <v>3</v>
      </c>
      <c r="B55" s="2629">
        <v>46254</v>
      </c>
      <c r="C55" s="1988"/>
      <c r="D55" s="2033" t="s">
        <v>1523</v>
      </c>
      <c r="E55" s="2295">
        <v>20250917</v>
      </c>
      <c r="F55" s="2033">
        <v>6.7</v>
      </c>
      <c r="G55" s="2525"/>
      <c r="H55" s="1989" t="s">
        <v>1672</v>
      </c>
      <c r="I55" s="2266" t="s">
        <v>1659</v>
      </c>
      <c r="J55" s="2033" t="s">
        <v>1594</v>
      </c>
      <c r="K55" s="2033" t="s">
        <v>1428</v>
      </c>
      <c r="L55" s="2033" t="s">
        <v>712</v>
      </c>
      <c r="M55" s="2033" t="s">
        <v>1428</v>
      </c>
      <c r="N55" s="1987">
        <v>6.78896408120771</v>
      </c>
      <c r="O55" s="1987">
        <f t="shared" si="7"/>
        <v>7.82611279883767</v>
      </c>
      <c r="P55" s="1987">
        <v>35.2</v>
      </c>
      <c r="Q55" s="1987">
        <v>3.65722681478719</v>
      </c>
      <c r="R55" s="1987">
        <f t="shared" si="4"/>
        <v>46.6833396136249</v>
      </c>
      <c r="S55" s="1987">
        <v>31.3</v>
      </c>
      <c r="T55" s="2489" t="s">
        <v>1526</v>
      </c>
      <c r="U55" s="1988" t="s">
        <v>1670</v>
      </c>
      <c r="V55" s="1990"/>
      <c r="W55" s="2597"/>
      <c r="X55" s="2597"/>
      <c r="Y55" s="2597"/>
      <c r="Z55" s="2609"/>
      <c r="AA55" s="2597"/>
      <c r="AB55" s="2597"/>
      <c r="AC55" s="2597"/>
      <c r="AD55" s="2597"/>
      <c r="AE55" s="2609"/>
      <c r="AF55" s="2609"/>
    </row>
    <row r="56" s="2597" customFormat="1" ht="13.2" spans="1:32">
      <c r="A56" s="2597">
        <v>3</v>
      </c>
      <c r="C56" s="1989" t="s">
        <v>1673</v>
      </c>
      <c r="D56" s="2033"/>
      <c r="E56" s="2295">
        <v>20250918</v>
      </c>
      <c r="F56" s="2033">
        <v>6.75</v>
      </c>
      <c r="G56" s="2525" t="s">
        <v>1674</v>
      </c>
      <c r="H56" s="1989" t="s">
        <v>1571</v>
      </c>
      <c r="I56" s="1989" t="s">
        <v>1675</v>
      </c>
      <c r="J56" s="2033" t="s">
        <v>1676</v>
      </c>
      <c r="K56" s="2509" t="s">
        <v>1567</v>
      </c>
      <c r="L56" s="2033" t="s">
        <v>712</v>
      </c>
      <c r="M56" s="2033" t="s">
        <v>1507</v>
      </c>
      <c r="N56" s="1987">
        <v>5.94534096824571</v>
      </c>
      <c r="O56" s="1987">
        <f>65.32/6.73/1.13</f>
        <v>8.58919906902129</v>
      </c>
      <c r="P56" s="1987">
        <v>24.1</v>
      </c>
      <c r="Q56" s="1987">
        <v>4.17968778832821</v>
      </c>
      <c r="R56" s="1987">
        <f t="shared" si="4"/>
        <v>36.8688868573495</v>
      </c>
      <c r="S56" s="1987">
        <v>22.5</v>
      </c>
      <c r="T56" s="2625" t="s">
        <v>1526</v>
      </c>
      <c r="U56" s="2529" t="s">
        <v>1677</v>
      </c>
      <c r="V56" s="2634"/>
      <c r="W56" s="2597"/>
      <c r="X56" s="2597"/>
      <c r="Y56" s="2597"/>
      <c r="Z56" s="2609"/>
      <c r="AA56" s="2597"/>
      <c r="AB56" s="2597"/>
      <c r="AC56" s="2597"/>
      <c r="AD56" s="2597"/>
      <c r="AE56" s="2609"/>
      <c r="AF56" s="2609"/>
    </row>
    <row r="57" s="2597" customFormat="1" ht="13.2" spans="1:32">
      <c r="A57" s="2597">
        <v>3</v>
      </c>
      <c r="C57" s="1989" t="s">
        <v>1673</v>
      </c>
      <c r="D57" s="2033"/>
      <c r="E57" s="2295">
        <v>20251009</v>
      </c>
      <c r="F57" s="2033">
        <v>6.75</v>
      </c>
      <c r="G57" s="2525" t="s">
        <v>1678</v>
      </c>
      <c r="H57" s="1989" t="s">
        <v>1645</v>
      </c>
      <c r="I57" s="1989" t="s">
        <v>1675</v>
      </c>
      <c r="J57" s="2033" t="s">
        <v>1679</v>
      </c>
      <c r="K57" s="2509" t="s">
        <v>1567</v>
      </c>
      <c r="L57" s="2033" t="s">
        <v>712</v>
      </c>
      <c r="M57" s="2033" t="s">
        <v>1507</v>
      </c>
      <c r="N57" s="1987">
        <v>5.94534096824571</v>
      </c>
      <c r="O57" s="1987">
        <f>65.32/6.73/1.13</f>
        <v>8.58919906902129</v>
      </c>
      <c r="P57" s="1987">
        <v>21.9</v>
      </c>
      <c r="Q57" s="1987">
        <v>4.17968778832821</v>
      </c>
      <c r="R57" s="1987">
        <f t="shared" si="4"/>
        <v>34.6688868573495</v>
      </c>
      <c r="S57" s="1987">
        <v>20.3</v>
      </c>
      <c r="T57" s="2625" t="s">
        <v>1526</v>
      </c>
      <c r="U57" s="2529" t="s">
        <v>1680</v>
      </c>
      <c r="V57" s="2634"/>
      <c r="W57" s="2597"/>
      <c r="X57" s="2597"/>
      <c r="Y57" s="2597"/>
      <c r="Z57" s="2609"/>
      <c r="AA57" s="2597"/>
      <c r="AB57" s="2597"/>
      <c r="AC57" s="2597"/>
      <c r="AD57" s="2597"/>
      <c r="AE57" s="2609"/>
      <c r="AF57" s="2609"/>
    </row>
    <row r="58" s="2597" customFormat="1" ht="13.2" spans="1:32">
      <c r="A58" s="2597">
        <v>3</v>
      </c>
      <c r="C58" s="1989" t="s">
        <v>1681</v>
      </c>
      <c r="D58" s="2033"/>
      <c r="E58" s="2295">
        <v>20250918</v>
      </c>
      <c r="F58" s="2033">
        <v>6.75</v>
      </c>
      <c r="G58" s="2525" t="s">
        <v>1419</v>
      </c>
      <c r="H58" s="1989" t="s">
        <v>1629</v>
      </c>
      <c r="I58" s="1988" t="s">
        <v>1682</v>
      </c>
      <c r="J58" s="2033" t="s">
        <v>1594</v>
      </c>
      <c r="K58" s="2033" t="s">
        <v>1507</v>
      </c>
      <c r="L58" s="2033" t="s">
        <v>712</v>
      </c>
      <c r="M58" s="2033" t="s">
        <v>1507</v>
      </c>
      <c r="N58" s="1987">
        <v>3.88079125455492</v>
      </c>
      <c r="O58" s="1987">
        <f>36.63/6.75/1.13*1.05</f>
        <v>5.0424778761062</v>
      </c>
      <c r="P58" s="1987">
        <v>25.54</v>
      </c>
      <c r="Q58" s="2528">
        <v>3.4</v>
      </c>
      <c r="R58" s="1987">
        <f t="shared" si="4"/>
        <v>33.9824778761062</v>
      </c>
      <c r="S58" s="1987">
        <v>22.5</v>
      </c>
      <c r="T58" s="2635" t="s">
        <v>1683</v>
      </c>
      <c r="U58" s="2529" t="s">
        <v>1684</v>
      </c>
      <c r="V58" s="2634"/>
      <c r="W58" s="2597"/>
      <c r="X58" s="2597"/>
      <c r="Y58" s="2597"/>
      <c r="Z58" s="2609"/>
      <c r="AA58" s="2597"/>
      <c r="AB58" s="2597"/>
      <c r="AC58" s="2597"/>
      <c r="AD58" s="2597"/>
      <c r="AE58" s="2609"/>
      <c r="AF58" s="2609"/>
    </row>
    <row r="59" s="2597" customFormat="1" ht="13.2" spans="1:32">
      <c r="A59" s="2597">
        <v>3</v>
      </c>
      <c r="C59" s="2281" t="s">
        <v>1681</v>
      </c>
      <c r="D59" s="2636"/>
      <c r="E59" s="2637">
        <v>46085</v>
      </c>
      <c r="F59" s="2033">
        <v>6.75</v>
      </c>
      <c r="G59" s="2638" t="s">
        <v>1420</v>
      </c>
      <c r="H59" s="2639" t="s">
        <v>1685</v>
      </c>
      <c r="I59" s="1988" t="s">
        <v>1682</v>
      </c>
      <c r="J59" s="2033" t="s">
        <v>1594</v>
      </c>
      <c r="K59" s="2033" t="s">
        <v>1507</v>
      </c>
      <c r="L59" s="2033" t="s">
        <v>712</v>
      </c>
      <c r="M59" s="2033" t="s">
        <v>1507</v>
      </c>
      <c r="N59" s="1987">
        <v>3.88079125455492</v>
      </c>
      <c r="O59" s="1987">
        <f>36.63/6.75/1.13*1.05</f>
        <v>5.0424778761062</v>
      </c>
      <c r="P59" s="1987">
        <v>27.38</v>
      </c>
      <c r="Q59" s="2033">
        <v>3.4</v>
      </c>
      <c r="R59" s="1987">
        <f t="shared" si="4"/>
        <v>35.8224778761062</v>
      </c>
      <c r="S59" s="2033">
        <v>23.7</v>
      </c>
      <c r="T59" s="2640" t="s">
        <v>1686</v>
      </c>
      <c r="U59" s="2529" t="s">
        <v>1687</v>
      </c>
      <c r="V59" s="2634"/>
      <c r="W59" s="2598"/>
      <c r="X59" s="2598"/>
      <c r="Y59" s="2598"/>
      <c r="Z59" s="2641"/>
      <c r="AA59" s="2598"/>
      <c r="AB59" s="2598"/>
      <c r="AC59" s="2598"/>
      <c r="AD59" s="2598"/>
      <c r="AE59" s="2641"/>
      <c r="AF59" s="2641"/>
    </row>
    <row r="60" s="2597" customFormat="1" ht="13.2" spans="1:32">
      <c r="A60" s="2597">
        <v>3</v>
      </c>
      <c r="C60" s="1989" t="s">
        <v>1688</v>
      </c>
      <c r="D60" s="2033" t="s">
        <v>1689</v>
      </c>
      <c r="E60" s="2295">
        <v>20250922</v>
      </c>
      <c r="F60" s="2033">
        <v>6.75</v>
      </c>
      <c r="G60" s="2525" t="s">
        <v>1690</v>
      </c>
      <c r="H60" s="1989" t="s">
        <v>1551</v>
      </c>
      <c r="I60" s="1988" t="s">
        <v>1691</v>
      </c>
      <c r="J60" s="2033" t="s">
        <v>1506</v>
      </c>
      <c r="K60" s="2033" t="s">
        <v>1692</v>
      </c>
      <c r="L60" s="2033" t="s">
        <v>712</v>
      </c>
      <c r="M60" s="2104" t="s">
        <v>1428</v>
      </c>
      <c r="N60" s="1987">
        <v>4.82717334721499</v>
      </c>
      <c r="O60" s="1987">
        <v>5.30989068193649</v>
      </c>
      <c r="P60" s="1987">
        <v>23.6</v>
      </c>
      <c r="Q60" s="2528">
        <v>5.22460973541027</v>
      </c>
      <c r="R60" s="1987">
        <f t="shared" si="4"/>
        <v>34.1345004173468</v>
      </c>
      <c r="S60" s="1987">
        <v>20.7</v>
      </c>
      <c r="T60" s="2529" t="s">
        <v>1526</v>
      </c>
      <c r="U60" s="2529" t="s">
        <v>1693</v>
      </c>
      <c r="V60" s="2634"/>
      <c r="W60" s="2597"/>
      <c r="X60" s="2597"/>
      <c r="Y60" s="2597"/>
      <c r="Z60" s="2609"/>
      <c r="AA60" s="2597"/>
      <c r="AB60" s="2597"/>
      <c r="AC60" s="2597"/>
      <c r="AD60" s="2597"/>
      <c r="AE60" s="2609"/>
      <c r="AF60" s="2609"/>
    </row>
    <row r="61" s="2597" customFormat="1" ht="13.2" spans="1:32">
      <c r="A61" s="2597">
        <v>3</v>
      </c>
      <c r="C61" s="1989" t="s">
        <v>1688</v>
      </c>
      <c r="D61" s="2033" t="s">
        <v>1689</v>
      </c>
      <c r="E61" s="2295">
        <v>20250922</v>
      </c>
      <c r="F61" s="2033">
        <v>6.75</v>
      </c>
      <c r="G61" s="2525" t="s">
        <v>1694</v>
      </c>
      <c r="H61" s="1989" t="s">
        <v>1551</v>
      </c>
      <c r="I61" s="1988" t="s">
        <v>1691</v>
      </c>
      <c r="J61" s="2033" t="s">
        <v>1511</v>
      </c>
      <c r="K61" s="2509" t="s">
        <v>1692</v>
      </c>
      <c r="L61" s="2033" t="s">
        <v>712</v>
      </c>
      <c r="M61" s="2104" t="s">
        <v>1428</v>
      </c>
      <c r="N61" s="1987">
        <v>4.82717334721499</v>
      </c>
      <c r="O61" s="1987">
        <v>5.30989068193649</v>
      </c>
      <c r="P61" s="1987">
        <v>26.74</v>
      </c>
      <c r="Q61" s="2528">
        <v>5.22460973541027</v>
      </c>
      <c r="R61" s="1987">
        <f t="shared" si="4"/>
        <v>37.2745004173468</v>
      </c>
      <c r="S61" s="1987">
        <v>22.6</v>
      </c>
      <c r="T61" s="2529" t="s">
        <v>1526</v>
      </c>
      <c r="U61" s="2529" t="s">
        <v>1693</v>
      </c>
      <c r="V61" s="2634"/>
      <c r="W61" s="2597"/>
      <c r="X61" s="2597"/>
      <c r="Y61" s="2597"/>
      <c r="Z61" s="2609"/>
      <c r="AA61" s="2597"/>
      <c r="AB61" s="2597"/>
      <c r="AC61" s="2597"/>
      <c r="AD61" s="2597"/>
      <c r="AE61" s="2609"/>
      <c r="AF61" s="2609"/>
    </row>
    <row r="62" s="2597" customFormat="1" ht="13.2" spans="1:32">
      <c r="A62" s="2597">
        <v>3</v>
      </c>
      <c r="B62" s="2629">
        <v>46251</v>
      </c>
      <c r="C62" s="1989" t="s">
        <v>1695</v>
      </c>
      <c r="D62" s="2033"/>
      <c r="E62" s="2295">
        <v>20250922</v>
      </c>
      <c r="F62" s="2033">
        <v>6.75</v>
      </c>
      <c r="G62" s="2642" t="s">
        <v>1696</v>
      </c>
      <c r="H62" s="2643" t="s">
        <v>667</v>
      </c>
      <c r="I62" s="2266" t="s">
        <v>1697</v>
      </c>
      <c r="J62" s="2032" t="s">
        <v>1506</v>
      </c>
      <c r="K62" s="2033" t="s">
        <v>1507</v>
      </c>
      <c r="L62" s="2033" t="s">
        <v>712</v>
      </c>
      <c r="M62" s="2033" t="s">
        <v>1507</v>
      </c>
      <c r="N62" s="1987">
        <f>59.28/6.78/1.13</f>
        <v>7.7374892317331</v>
      </c>
      <c r="O62" s="1987">
        <f>65.23/F62/1.13</f>
        <v>8.55195018026877</v>
      </c>
      <c r="P62" s="1987">
        <v>15.3</v>
      </c>
      <c r="Q62" s="1987">
        <f>22.42/F62/1.13</f>
        <v>2.93936414290397</v>
      </c>
      <c r="R62" s="1987">
        <f t="shared" si="4"/>
        <v>26.7913143231727</v>
      </c>
      <c r="S62" s="1987">
        <v>12.7</v>
      </c>
      <c r="T62" s="2489" t="s">
        <v>1526</v>
      </c>
      <c r="U62" s="1988" t="s">
        <v>1698</v>
      </c>
      <c r="V62" s="1990"/>
      <c r="W62" s="2597"/>
      <c r="X62" s="2597"/>
      <c r="Y62" s="2597"/>
      <c r="Z62" s="2609"/>
      <c r="AA62" s="2597"/>
      <c r="AB62" s="2597"/>
      <c r="AC62" s="2597"/>
      <c r="AD62" s="2597"/>
      <c r="AE62" s="2609"/>
      <c r="AF62" s="2609"/>
    </row>
    <row r="63" s="2597" customFormat="1" ht="13.2" spans="1:32">
      <c r="A63" s="2597">
        <v>3</v>
      </c>
      <c r="B63" s="2629">
        <v>46251</v>
      </c>
      <c r="C63" s="1989" t="s">
        <v>1695</v>
      </c>
      <c r="D63" s="2033"/>
      <c r="E63" s="2295">
        <v>20250922</v>
      </c>
      <c r="F63" s="2033">
        <v>6.75</v>
      </c>
      <c r="G63" s="2642" t="s">
        <v>1699</v>
      </c>
      <c r="H63" s="2643" t="s">
        <v>1525</v>
      </c>
      <c r="I63" s="2266" t="s">
        <v>1697</v>
      </c>
      <c r="J63" s="2032" t="s">
        <v>1700</v>
      </c>
      <c r="K63" s="2033" t="s">
        <v>1507</v>
      </c>
      <c r="L63" s="2033" t="s">
        <v>712</v>
      </c>
      <c r="M63" s="2033" t="s">
        <v>1507</v>
      </c>
      <c r="N63" s="1987">
        <f>59.28/6.78/1.13</f>
        <v>7.7374892317331</v>
      </c>
      <c r="O63" s="1987">
        <f>65.23/F63/1.13</f>
        <v>8.55195018026877</v>
      </c>
      <c r="P63" s="1987">
        <v>18.2</v>
      </c>
      <c r="Q63" s="1987">
        <f>22.42/F63/1.13</f>
        <v>2.93936414290397</v>
      </c>
      <c r="R63" s="1987">
        <f t="shared" si="4"/>
        <v>29.6913143231727</v>
      </c>
      <c r="S63" s="1987">
        <v>15.6</v>
      </c>
      <c r="T63" s="2489" t="s">
        <v>1526</v>
      </c>
      <c r="U63" s="1988" t="s">
        <v>1698</v>
      </c>
      <c r="V63" s="1990"/>
      <c r="W63" s="2597"/>
      <c r="X63" s="2597"/>
      <c r="Y63" s="2597"/>
      <c r="Z63" s="2609"/>
      <c r="AA63" s="2597"/>
      <c r="AB63" s="2597"/>
      <c r="AC63" s="2597"/>
      <c r="AD63" s="2597"/>
      <c r="AE63" s="2609"/>
      <c r="AF63" s="2609"/>
    </row>
    <row r="64" s="2597" customFormat="1" ht="12" customHeight="1" spans="1:32">
      <c r="A64" s="2597">
        <v>3</v>
      </c>
      <c r="C64" s="1989" t="s">
        <v>1701</v>
      </c>
      <c r="D64" s="2104"/>
      <c r="E64" s="2295">
        <v>20250923</v>
      </c>
      <c r="F64" s="2033">
        <v>6.75</v>
      </c>
      <c r="G64" s="1988" t="s">
        <v>1702</v>
      </c>
      <c r="H64" s="2105" t="s">
        <v>1617</v>
      </c>
      <c r="I64" s="2266" t="s">
        <v>1697</v>
      </c>
      <c r="J64" s="2032" t="s">
        <v>1506</v>
      </c>
      <c r="K64" s="2033" t="s">
        <v>1633</v>
      </c>
      <c r="L64" s="2033" t="s">
        <v>712</v>
      </c>
      <c r="M64" s="2104" t="s">
        <v>1428</v>
      </c>
      <c r="N64" s="1987">
        <v>6.39510671525247</v>
      </c>
      <c r="O64" s="1987">
        <v>7.03461738677772</v>
      </c>
      <c r="P64" s="1987">
        <v>16.7</v>
      </c>
      <c r="Q64" s="1987">
        <v>4</v>
      </c>
      <c r="R64" s="1987">
        <f t="shared" si="4"/>
        <v>27.7346173867777</v>
      </c>
      <c r="S64" s="1987">
        <v>14.3</v>
      </c>
      <c r="T64" s="1988" t="s">
        <v>1526</v>
      </c>
      <c r="U64" s="1988" t="s">
        <v>1703</v>
      </c>
      <c r="V64" s="1990"/>
      <c r="W64" s="2597"/>
      <c r="X64" s="2597"/>
      <c r="Y64" s="2597"/>
      <c r="Z64" s="2609"/>
      <c r="AA64" s="2597"/>
      <c r="AB64" s="2597"/>
      <c r="AC64" s="2597"/>
      <c r="AD64" s="2597"/>
      <c r="AE64" s="2609"/>
      <c r="AF64" s="2609"/>
    </row>
    <row r="65" s="2597" customFormat="1" ht="13.2" spans="1:32">
      <c r="A65" s="2597">
        <v>3</v>
      </c>
      <c r="C65" s="1989" t="s">
        <v>1704</v>
      </c>
      <c r="D65" s="2104" t="s">
        <v>1705</v>
      </c>
      <c r="E65" s="2295">
        <v>20250925</v>
      </c>
      <c r="F65" s="2033">
        <v>6.75</v>
      </c>
      <c r="G65" s="1988" t="s">
        <v>1706</v>
      </c>
      <c r="H65" s="2105" t="s">
        <v>1617</v>
      </c>
      <c r="I65" s="2525" t="s">
        <v>1707</v>
      </c>
      <c r="J65" s="2032" t="s">
        <v>1700</v>
      </c>
      <c r="K65" s="2033" t="s">
        <v>1507</v>
      </c>
      <c r="L65" s="2033" t="s">
        <v>712</v>
      </c>
      <c r="M65" s="2104" t="s">
        <v>1507</v>
      </c>
      <c r="N65" s="1987">
        <v>5.74856845393025</v>
      </c>
      <c r="O65" s="1987">
        <v>6.32342529932328</v>
      </c>
      <c r="P65" s="1987">
        <v>29.34</v>
      </c>
      <c r="Q65" s="1987">
        <v>4.17968778832821</v>
      </c>
      <c r="R65" s="1987">
        <f t="shared" si="4"/>
        <v>39.8431130876515</v>
      </c>
      <c r="S65" s="1987">
        <v>26.8</v>
      </c>
      <c r="T65" s="1988" t="s">
        <v>1526</v>
      </c>
      <c r="U65" s="1988" t="s">
        <v>1708</v>
      </c>
      <c r="V65" s="1990"/>
      <c r="W65" s="2597"/>
      <c r="X65" s="2597"/>
      <c r="Y65" s="2597"/>
      <c r="Z65" s="2609"/>
      <c r="AA65" s="2597"/>
      <c r="AB65" s="2597"/>
      <c r="AC65" s="2597"/>
      <c r="AD65" s="2597"/>
      <c r="AE65" s="2609"/>
      <c r="AF65" s="2609"/>
    </row>
    <row r="66" s="2597" customFormat="1" ht="13.2" spans="1:32">
      <c r="A66" s="2597">
        <v>3</v>
      </c>
      <c r="C66" s="1989" t="s">
        <v>1709</v>
      </c>
      <c r="D66" s="1989"/>
      <c r="E66" s="2295">
        <v>20250928</v>
      </c>
      <c r="F66" s="2033">
        <v>6.75</v>
      </c>
      <c r="G66" s="1988" t="s">
        <v>1710</v>
      </c>
      <c r="H66" s="2105" t="s">
        <v>1604</v>
      </c>
      <c r="I66" s="2266" t="s">
        <v>1711</v>
      </c>
      <c r="J66" s="2032" t="s">
        <v>1511</v>
      </c>
      <c r="K66" s="2033" t="s">
        <v>1507</v>
      </c>
      <c r="L66" s="2033" t="s">
        <v>712</v>
      </c>
      <c r="M66" s="2104" t="s">
        <v>1507</v>
      </c>
      <c r="N66" s="1987">
        <v>8.62941176470588</v>
      </c>
      <c r="O66" s="1987">
        <v>9.49235294117647</v>
      </c>
      <c r="P66" s="1987">
        <v>75</v>
      </c>
      <c r="Q66" s="1987">
        <v>5.22460973541027</v>
      </c>
      <c r="R66" s="1987">
        <f t="shared" si="4"/>
        <v>89.7169626765867</v>
      </c>
      <c r="S66" s="1987">
        <v>68</v>
      </c>
      <c r="T66" s="1988" t="s">
        <v>1712</v>
      </c>
      <c r="U66" s="1988" t="s">
        <v>1713</v>
      </c>
      <c r="V66" s="1990"/>
      <c r="W66" s="2597"/>
      <c r="X66" s="2597"/>
      <c r="Y66" s="2597"/>
      <c r="Z66" s="2609"/>
      <c r="AA66" s="2597"/>
      <c r="AB66" s="2597"/>
      <c r="AC66" s="2597"/>
      <c r="AD66" s="2597"/>
      <c r="AE66" s="2609"/>
      <c r="AF66" s="2609"/>
    </row>
    <row r="67" s="2597" customFormat="1" ht="13.2" spans="1:32">
      <c r="A67" s="2597">
        <v>2</v>
      </c>
      <c r="C67" s="1989" t="s">
        <v>1714</v>
      </c>
      <c r="D67" s="1989"/>
      <c r="E67" s="2295">
        <v>20250928</v>
      </c>
      <c r="F67" s="2033">
        <v>6.75</v>
      </c>
      <c r="G67" s="1988" t="s">
        <v>1715</v>
      </c>
      <c r="H67" s="2105" t="s">
        <v>1669</v>
      </c>
      <c r="I67" s="2266" t="s">
        <v>1632</v>
      </c>
      <c r="J67" s="2032" t="s">
        <v>1700</v>
      </c>
      <c r="K67" s="2033" t="s">
        <v>1635</v>
      </c>
      <c r="L67" s="2033" t="s">
        <v>712</v>
      </c>
      <c r="M67" s="2104" t="s">
        <v>1428</v>
      </c>
      <c r="N67" s="1987">
        <v>4.44299843831338</v>
      </c>
      <c r="O67" s="1987">
        <v>4.88729828214472</v>
      </c>
      <c r="P67" s="1987">
        <v>16.53</v>
      </c>
      <c r="Q67" s="1987">
        <f>20/F67</f>
        <v>2.96296296296296</v>
      </c>
      <c r="R67" s="1987">
        <f t="shared" si="4"/>
        <v>24.3802612451077</v>
      </c>
      <c r="S67" s="1987">
        <v>14.85</v>
      </c>
      <c r="T67" s="1988" t="s">
        <v>1526</v>
      </c>
      <c r="U67" s="1988" t="s">
        <v>1716</v>
      </c>
      <c r="V67" s="1990"/>
      <c r="W67" s="2597"/>
      <c r="X67" s="2597"/>
      <c r="Y67" s="2597"/>
      <c r="Z67" s="2609"/>
      <c r="AA67" s="2597"/>
      <c r="AB67" s="2597"/>
      <c r="AC67" s="2597"/>
      <c r="AD67" s="2597"/>
      <c r="AE67" s="2609"/>
      <c r="AF67" s="2609"/>
    </row>
    <row r="68" s="2597" customFormat="1" ht="13.2" spans="1:32">
      <c r="A68" s="2597">
        <v>3</v>
      </c>
      <c r="C68" s="2264" t="s">
        <v>1717</v>
      </c>
      <c r="D68" s="2264" t="s">
        <v>1718</v>
      </c>
      <c r="E68" s="2295">
        <v>20250928</v>
      </c>
      <c r="F68" s="2033">
        <v>6.75</v>
      </c>
      <c r="G68" s="1988" t="s">
        <v>1719</v>
      </c>
      <c r="H68" s="1988" t="s">
        <v>1591</v>
      </c>
      <c r="I68" s="2266" t="s">
        <v>1697</v>
      </c>
      <c r="J68" s="2033" t="s">
        <v>1506</v>
      </c>
      <c r="K68" s="2033" t="s">
        <v>1720</v>
      </c>
      <c r="L68" s="2033" t="s">
        <v>712</v>
      </c>
      <c r="M68" s="2104" t="s">
        <v>1428</v>
      </c>
      <c r="N68" s="1987">
        <v>4.1025507548152</v>
      </c>
      <c r="O68" s="1987">
        <v>4.51280583029672</v>
      </c>
      <c r="P68" s="1987">
        <v>14.5</v>
      </c>
      <c r="Q68" s="1987">
        <f t="shared" ref="Q68:Q70" si="8">20.64/F68/1.13</f>
        <v>2.70599803343166</v>
      </c>
      <c r="R68" s="1987">
        <f t="shared" si="4"/>
        <v>21.7188038637284</v>
      </c>
      <c r="S68" s="1987">
        <v>12.33</v>
      </c>
      <c r="T68" s="1988" t="s">
        <v>1526</v>
      </c>
      <c r="U68" s="1988" t="s">
        <v>1721</v>
      </c>
      <c r="V68" s="1990"/>
      <c r="W68" s="2597"/>
      <c r="X68" s="2597"/>
      <c r="Y68" s="2609"/>
      <c r="Z68" s="2597"/>
      <c r="AA68" s="2597"/>
      <c r="AB68" s="2597"/>
      <c r="AC68" s="2597"/>
      <c r="AD68" s="2609"/>
    </row>
    <row r="69" s="2597" customFormat="1" ht="13.2" spans="1:32">
      <c r="A69" s="2597">
        <v>3</v>
      </c>
      <c r="C69" s="2264" t="s">
        <v>1717</v>
      </c>
      <c r="D69" s="2264" t="s">
        <v>1718</v>
      </c>
      <c r="E69" s="2295">
        <v>20251010</v>
      </c>
      <c r="F69" s="2033">
        <v>6.75</v>
      </c>
      <c r="G69" s="1988" t="s">
        <v>1722</v>
      </c>
      <c r="H69" s="1988" t="s">
        <v>1723</v>
      </c>
      <c r="I69" s="2266" t="s">
        <v>1697</v>
      </c>
      <c r="J69" s="2033" t="s">
        <v>1511</v>
      </c>
      <c r="K69" s="2033" t="s">
        <v>1720</v>
      </c>
      <c r="L69" s="2033" t="s">
        <v>712</v>
      </c>
      <c r="M69" s="2104" t="s">
        <v>1428</v>
      </c>
      <c r="N69" s="1987">
        <v>4.1025507548152</v>
      </c>
      <c r="O69" s="1987">
        <v>4.51280583029672</v>
      </c>
      <c r="P69" s="1987">
        <v>15.4</v>
      </c>
      <c r="Q69" s="1987">
        <f t="shared" si="8"/>
        <v>2.70599803343166</v>
      </c>
      <c r="R69" s="1987">
        <f t="shared" si="4"/>
        <v>22.6188038637284</v>
      </c>
      <c r="S69" s="1987">
        <v>13.2</v>
      </c>
      <c r="T69" s="1988" t="s">
        <v>1526</v>
      </c>
      <c r="U69" s="1988" t="s">
        <v>1721</v>
      </c>
      <c r="V69" s="1990"/>
      <c r="W69" s="2597"/>
      <c r="X69" s="2597"/>
      <c r="Y69" s="2609"/>
      <c r="Z69" s="2597"/>
      <c r="AA69" s="2597"/>
      <c r="AB69" s="2597"/>
      <c r="AC69" s="2597"/>
      <c r="AD69" s="2609"/>
    </row>
    <row r="70" s="2597" customFormat="1" ht="13.2" spans="1:32">
      <c r="A70" s="2597">
        <v>3</v>
      </c>
      <c r="C70" s="2264" t="s">
        <v>1717</v>
      </c>
      <c r="D70" s="2264" t="s">
        <v>1718</v>
      </c>
      <c r="E70" s="2295">
        <v>20250928</v>
      </c>
      <c r="F70" s="2033">
        <v>6.75</v>
      </c>
      <c r="G70" s="1988" t="s">
        <v>1724</v>
      </c>
      <c r="H70" s="1988" t="s">
        <v>1587</v>
      </c>
      <c r="I70" s="2266" t="s">
        <v>1697</v>
      </c>
      <c r="J70" s="2033" t="s">
        <v>1594</v>
      </c>
      <c r="K70" s="2033" t="s">
        <v>1720</v>
      </c>
      <c r="L70" s="2033" t="s">
        <v>712</v>
      </c>
      <c r="M70" s="2104" t="s">
        <v>1428</v>
      </c>
      <c r="N70" s="1987">
        <v>4.1025507548152</v>
      </c>
      <c r="O70" s="1987">
        <v>4.51280583029672</v>
      </c>
      <c r="P70" s="1987">
        <v>15.8</v>
      </c>
      <c r="Q70" s="1987">
        <f t="shared" si="8"/>
        <v>2.70599803343166</v>
      </c>
      <c r="R70" s="1987">
        <f t="shared" si="4"/>
        <v>23.0188038637284</v>
      </c>
      <c r="S70" s="1987">
        <v>13.58</v>
      </c>
      <c r="T70" s="1988" t="s">
        <v>1526</v>
      </c>
      <c r="U70" s="1988" t="s">
        <v>1725</v>
      </c>
      <c r="V70" s="1990"/>
      <c r="W70" s="2597"/>
      <c r="X70" s="2597"/>
      <c r="Y70" s="2597"/>
      <c r="Z70" s="2609"/>
      <c r="AA70" s="2597"/>
      <c r="AB70" s="2597"/>
      <c r="AC70" s="2597"/>
      <c r="AD70" s="2597"/>
      <c r="AE70" s="2609"/>
      <c r="AF70" s="2609"/>
    </row>
    <row r="71" s="2597" customFormat="1" ht="13.2" spans="1:32">
      <c r="A71" s="2597">
        <v>3</v>
      </c>
      <c r="C71" s="2562" t="s">
        <v>1726</v>
      </c>
      <c r="D71" s="2570" t="s">
        <v>1727</v>
      </c>
      <c r="E71" s="2295">
        <v>20250929</v>
      </c>
      <c r="F71" s="2033">
        <v>6.75</v>
      </c>
      <c r="G71" s="2563" t="s">
        <v>1728</v>
      </c>
      <c r="H71" s="1988" t="s">
        <v>1685</v>
      </c>
      <c r="I71" s="2266" t="s">
        <v>1729</v>
      </c>
      <c r="J71" s="2509" t="s">
        <v>1730</v>
      </c>
      <c r="K71" s="2032" t="s">
        <v>1731</v>
      </c>
      <c r="L71" s="2033" t="s">
        <v>712</v>
      </c>
      <c r="M71" s="2104" t="s">
        <v>1428</v>
      </c>
      <c r="N71" s="1987">
        <v>7.69286829776158</v>
      </c>
      <c r="O71" s="1987">
        <v>8.46215512753774</v>
      </c>
      <c r="P71" s="1987">
        <v>42.7</v>
      </c>
      <c r="Q71" s="2564">
        <f>24.05/F71</f>
        <v>3.56296296296296</v>
      </c>
      <c r="R71" s="1987">
        <f t="shared" si="4"/>
        <v>54.7251180905007</v>
      </c>
      <c r="S71" s="1987">
        <v>40.58</v>
      </c>
      <c r="T71" s="1988" t="s">
        <v>1526</v>
      </c>
      <c r="U71" s="1988" t="s">
        <v>1732</v>
      </c>
      <c r="V71" s="1990"/>
      <c r="W71" s="2597"/>
      <c r="X71" s="2597"/>
      <c r="Y71" s="2609"/>
      <c r="Z71" s="2597"/>
      <c r="AA71" s="2597"/>
      <c r="AB71" s="2597"/>
      <c r="AC71" s="2597"/>
      <c r="AD71" s="2609"/>
    </row>
    <row r="72" s="2597" customFormat="1" ht="13.2" spans="1:32">
      <c r="A72" s="2597">
        <v>3</v>
      </c>
      <c r="C72" s="2644" t="s">
        <v>1733</v>
      </c>
      <c r="D72" s="2644" t="s">
        <v>1734</v>
      </c>
      <c r="E72" s="2645">
        <v>20251013</v>
      </c>
      <c r="F72" s="2033">
        <v>6.75</v>
      </c>
      <c r="G72" s="2646" t="s">
        <v>1735</v>
      </c>
      <c r="H72" s="2105" t="s">
        <v>1685</v>
      </c>
      <c r="I72" s="2266" t="s">
        <v>1736</v>
      </c>
      <c r="J72" s="2033" t="s">
        <v>1606</v>
      </c>
      <c r="K72" s="2033" t="s">
        <v>1507</v>
      </c>
      <c r="L72" s="2033" t="s">
        <v>712</v>
      </c>
      <c r="M72" s="2033" t="s">
        <v>1507</v>
      </c>
      <c r="N72" s="1987">
        <v>7.05882352941177</v>
      </c>
      <c r="O72" s="1987">
        <v>7.76470588235295</v>
      </c>
      <c r="P72" s="1987">
        <v>27.83</v>
      </c>
      <c r="Q72" s="1987">
        <f>24.78/F72/1.13</f>
        <v>3.24877089478859</v>
      </c>
      <c r="R72" s="1987">
        <f t="shared" si="4"/>
        <v>38.8434767771415</v>
      </c>
      <c r="S72" s="1987">
        <v>24.88</v>
      </c>
      <c r="T72" s="1988" t="s">
        <v>1526</v>
      </c>
      <c r="U72" s="2294" t="s">
        <v>1737</v>
      </c>
      <c r="V72" s="2647"/>
      <c r="W72" s="2597"/>
      <c r="X72" s="2597"/>
      <c r="Y72" s="2597"/>
      <c r="Z72" s="2609"/>
      <c r="AA72" s="2597"/>
      <c r="AB72" s="2597"/>
      <c r="AC72" s="2597"/>
      <c r="AD72" s="2597"/>
      <c r="AE72" s="2609"/>
      <c r="AF72" s="2609"/>
    </row>
    <row r="73" s="2597" customFormat="1" ht="13.2" spans="1:32">
      <c r="A73" s="2597">
        <v>3</v>
      </c>
      <c r="C73" s="1988" t="s">
        <v>1738</v>
      </c>
      <c r="D73" s="1988" t="s">
        <v>1739</v>
      </c>
      <c r="E73" s="2645">
        <v>20251013</v>
      </c>
      <c r="F73" s="2033">
        <v>6.75</v>
      </c>
      <c r="G73" s="1988" t="s">
        <v>1740</v>
      </c>
      <c r="H73" s="2105" t="s">
        <v>1565</v>
      </c>
      <c r="I73" s="2266" t="s">
        <v>1741</v>
      </c>
      <c r="J73" s="2033" t="s">
        <v>1506</v>
      </c>
      <c r="K73" s="2033" t="s">
        <v>1742</v>
      </c>
      <c r="L73" s="2648" t="s">
        <v>712</v>
      </c>
      <c r="M73" s="2104" t="s">
        <v>1428</v>
      </c>
      <c r="N73" s="1987">
        <v>6.39823008849558</v>
      </c>
      <c r="O73" s="1987">
        <v>7.03805309734514</v>
      </c>
      <c r="P73" s="1987">
        <v>16.4</v>
      </c>
      <c r="Q73" s="1987">
        <f>28.8941/F73/1.13</f>
        <v>3.78814814814815</v>
      </c>
      <c r="R73" s="1987">
        <f t="shared" si="4"/>
        <v>27.2262012454933</v>
      </c>
      <c r="S73" s="1987">
        <v>13.8</v>
      </c>
      <c r="T73" s="1988" t="s">
        <v>1743</v>
      </c>
      <c r="U73" s="1988" t="s">
        <v>1744</v>
      </c>
      <c r="V73" s="1990"/>
      <c r="W73" s="2597"/>
      <c r="X73" s="2597"/>
      <c r="Y73" s="2609"/>
      <c r="Z73" s="2609"/>
      <c r="AA73" s="2597"/>
      <c r="AB73" s="2597"/>
      <c r="AC73" s="2597"/>
      <c r="AD73" s="2609"/>
      <c r="AE73" s="2609"/>
      <c r="AF73" s="2609"/>
    </row>
    <row r="74" s="2597" customFormat="1" ht="13.2" spans="1:32">
      <c r="A74" s="2597">
        <v>3</v>
      </c>
      <c r="C74" s="2562" t="s">
        <v>1745</v>
      </c>
      <c r="D74" s="2562" t="s">
        <v>1746</v>
      </c>
      <c r="E74" s="2295">
        <v>20250630</v>
      </c>
      <c r="F74" s="2033">
        <v>6.72</v>
      </c>
      <c r="G74" s="2563" t="s">
        <v>1747</v>
      </c>
      <c r="H74" s="1988" t="s">
        <v>1617</v>
      </c>
      <c r="I74" s="2266" t="s">
        <v>1535</v>
      </c>
      <c r="J74" s="2509" t="s">
        <v>1506</v>
      </c>
      <c r="K74" s="2032" t="s">
        <v>1507</v>
      </c>
      <c r="L74" s="2033" t="s">
        <v>712</v>
      </c>
      <c r="M74" s="2267" t="s">
        <v>712</v>
      </c>
      <c r="N74" s="1987">
        <f>61.21/6.78/1.13*1.05</f>
        <v>8.38887148562926</v>
      </c>
      <c r="O74" s="1987">
        <f>81.78/F74/1.13</f>
        <v>10.769595448799</v>
      </c>
      <c r="P74" s="1987">
        <v>27.1</v>
      </c>
      <c r="Q74" s="2564">
        <v>4</v>
      </c>
      <c r="R74" s="1987">
        <f t="shared" si="4"/>
        <v>41.869595448799</v>
      </c>
      <c r="S74" s="1987">
        <v>24.5</v>
      </c>
      <c r="T74" s="1988" t="s">
        <v>1748</v>
      </c>
      <c r="U74" s="1988" t="s">
        <v>1749</v>
      </c>
      <c r="V74" s="1990"/>
      <c r="W74" s="2597"/>
      <c r="X74" s="2609"/>
      <c r="Y74" s="2597"/>
      <c r="Z74" s="2609"/>
      <c r="AA74" s="2597"/>
      <c r="AB74" s="2597"/>
      <c r="AC74" s="2609"/>
      <c r="AD74" s="2597"/>
      <c r="AE74" s="2609"/>
      <c r="AF74" s="2609"/>
    </row>
    <row r="75" s="2597" customFormat="1" ht="13.2" spans="1:32">
      <c r="A75" s="2597">
        <v>3</v>
      </c>
      <c r="C75" s="2562" t="s">
        <v>1750</v>
      </c>
      <c r="D75" s="2562" t="s">
        <v>1751</v>
      </c>
      <c r="E75" s="2488">
        <v>46059</v>
      </c>
      <c r="F75" s="2033">
        <v>6.75</v>
      </c>
      <c r="G75" s="2563" t="s">
        <v>1752</v>
      </c>
      <c r="H75" s="1988" t="s">
        <v>1565</v>
      </c>
      <c r="I75" s="2266" t="s">
        <v>1753</v>
      </c>
      <c r="J75" s="2033" t="s">
        <v>1594</v>
      </c>
      <c r="K75" s="2032" t="s">
        <v>1754</v>
      </c>
      <c r="L75" s="2033" t="s">
        <v>712</v>
      </c>
      <c r="M75" s="2104" t="s">
        <v>1428</v>
      </c>
      <c r="N75" s="1987">
        <v>5.51900052056221</v>
      </c>
      <c r="O75" s="1987">
        <v>6.07090057261843</v>
      </c>
      <c r="P75" s="1987">
        <v>26.9</v>
      </c>
      <c r="Q75" s="2564">
        <v>4.17968778832821</v>
      </c>
      <c r="R75" s="1987">
        <f t="shared" ref="R75:R108" si="9">SUBTOTAL(109,O75:Q75)</f>
        <v>37.1505883609466</v>
      </c>
      <c r="S75" s="1987">
        <v>23.93</v>
      </c>
      <c r="T75" s="1988" t="s">
        <v>1755</v>
      </c>
      <c r="U75" s="1988" t="s">
        <v>1756</v>
      </c>
      <c r="V75" s="1990"/>
      <c r="W75" s="2597"/>
      <c r="X75" s="2609"/>
      <c r="Y75" s="2597"/>
      <c r="Z75" s="2609"/>
      <c r="AA75" s="2597"/>
      <c r="AB75" s="2597"/>
      <c r="AC75" s="2609"/>
      <c r="AD75" s="2597"/>
      <c r="AE75" s="2609"/>
      <c r="AF75" s="2609"/>
    </row>
    <row r="76" s="2598" customFormat="1" ht="13.2" spans="1:32">
      <c r="A76" s="2649">
        <v>3</v>
      </c>
      <c r="C76" s="2562" t="s">
        <v>1750</v>
      </c>
      <c r="D76" s="2562" t="s">
        <v>1751</v>
      </c>
      <c r="E76" s="2488">
        <v>46059</v>
      </c>
      <c r="F76" s="2033">
        <v>6.75</v>
      </c>
      <c r="G76" s="2563" t="s">
        <v>1757</v>
      </c>
      <c r="H76" s="1988" t="s">
        <v>1571</v>
      </c>
      <c r="I76" s="2266" t="s">
        <v>1753</v>
      </c>
      <c r="J76" s="2033" t="s">
        <v>1594</v>
      </c>
      <c r="K76" s="2032" t="s">
        <v>1754</v>
      </c>
      <c r="L76" s="2033" t="s">
        <v>712</v>
      </c>
      <c r="M76" s="2104" t="s">
        <v>1428</v>
      </c>
      <c r="N76" s="1987">
        <v>5.51900052056221</v>
      </c>
      <c r="O76" s="1987">
        <v>6.07090057261843</v>
      </c>
      <c r="P76" s="1987">
        <v>33.6</v>
      </c>
      <c r="Q76" s="2564">
        <v>4.17968778832821</v>
      </c>
      <c r="R76" s="1987">
        <f t="shared" si="9"/>
        <v>43.8505883609466</v>
      </c>
      <c r="S76" s="1987">
        <v>30.24</v>
      </c>
      <c r="T76" s="1988" t="s">
        <v>1748</v>
      </c>
      <c r="U76" s="1988" t="s">
        <v>1758</v>
      </c>
      <c r="V76" s="1990"/>
      <c r="W76" s="2598"/>
      <c r="X76" s="2598"/>
      <c r="Y76" s="2598"/>
      <c r="Z76" s="2641"/>
      <c r="AA76" s="2598"/>
      <c r="AB76" s="2598"/>
      <c r="AC76" s="2598"/>
      <c r="AD76" s="2598"/>
      <c r="AE76" s="2641"/>
      <c r="AF76" s="2641"/>
    </row>
    <row r="77" s="2597" customFormat="1" ht="13.2" spans="1:32">
      <c r="A77" s="2597">
        <v>3</v>
      </c>
      <c r="C77" s="2294" t="s">
        <v>1759</v>
      </c>
      <c r="D77" s="2294"/>
      <c r="E77" s="2295">
        <v>20251128</v>
      </c>
      <c r="F77" s="2033">
        <v>6.75</v>
      </c>
      <c r="G77" s="1988" t="s">
        <v>1760</v>
      </c>
      <c r="H77" s="2105" t="s">
        <v>1645</v>
      </c>
      <c r="I77" s="2266" t="s">
        <v>1761</v>
      </c>
      <c r="J77" s="2033" t="s">
        <v>1506</v>
      </c>
      <c r="K77" s="2033" t="s">
        <v>1742</v>
      </c>
      <c r="L77" s="2033" t="s">
        <v>712</v>
      </c>
      <c r="M77" s="2104" t="s">
        <v>1428</v>
      </c>
      <c r="N77" s="1987">
        <v>6.71993753253514</v>
      </c>
      <c r="O77" s="1987">
        <v>7.39193128578865</v>
      </c>
      <c r="P77" s="1987">
        <v>21.9</v>
      </c>
      <c r="Q77" s="1987">
        <f>23.73/F77/1.13</f>
        <v>3.11111111111111</v>
      </c>
      <c r="R77" s="1987">
        <f t="shared" si="9"/>
        <v>32.4030423968998</v>
      </c>
      <c r="S77" s="1987">
        <v>19.3</v>
      </c>
      <c r="T77" s="2489" t="s">
        <v>1762</v>
      </c>
      <c r="U77" s="2647" t="s">
        <v>1763</v>
      </c>
      <c r="V77" s="2647"/>
      <c r="W77" s="2597"/>
      <c r="X77" s="2597"/>
      <c r="Y77" s="2609"/>
      <c r="Z77" s="2609"/>
      <c r="AA77" s="2597"/>
      <c r="AB77" s="2597"/>
      <c r="AC77" s="2597"/>
      <c r="AD77" s="2609"/>
      <c r="AE77" s="2609"/>
      <c r="AF77" s="2609"/>
    </row>
    <row r="78" s="2597" customFormat="1" ht="13.2" spans="1:32">
      <c r="A78" s="2597">
        <v>3</v>
      </c>
      <c r="C78" s="1988" t="s">
        <v>1764</v>
      </c>
      <c r="D78" s="1988" t="s">
        <v>1765</v>
      </c>
      <c r="E78" s="2488">
        <v>46084</v>
      </c>
      <c r="F78" s="2033">
        <v>6.75</v>
      </c>
      <c r="G78" s="2508" t="s">
        <v>1766</v>
      </c>
      <c r="H78" s="2105" t="s">
        <v>1767</v>
      </c>
      <c r="I78" s="2266" t="s">
        <v>1768</v>
      </c>
      <c r="J78" s="2033" t="s">
        <v>1606</v>
      </c>
      <c r="K78" s="2032" t="s">
        <v>1507</v>
      </c>
      <c r="L78" s="2033" t="s">
        <v>712</v>
      </c>
      <c r="M78" s="2267" t="s">
        <v>1507</v>
      </c>
      <c r="N78" s="1987">
        <v>6.86048932847475</v>
      </c>
      <c r="O78" s="1987">
        <v>7.54653826132223</v>
      </c>
      <c r="P78" s="1987">
        <v>29.1</v>
      </c>
      <c r="Q78" s="1987">
        <f>24.1/F78</f>
        <v>3.57037037037037</v>
      </c>
      <c r="R78" s="1987">
        <f t="shared" si="9"/>
        <v>40.2169086316926</v>
      </c>
      <c r="S78" s="1987">
        <v>25.9</v>
      </c>
      <c r="T78" s="1988" t="s">
        <v>1526</v>
      </c>
      <c r="U78" s="1988" t="s">
        <v>1769</v>
      </c>
      <c r="V78" s="1990"/>
      <c r="W78" s="2597"/>
      <c r="X78" s="2597"/>
      <c r="Y78" s="2609"/>
      <c r="Z78" s="2609"/>
      <c r="AA78" s="2597"/>
      <c r="AB78" s="2597"/>
      <c r="AC78" s="2597"/>
      <c r="AD78" s="2609"/>
      <c r="AE78" s="2609"/>
      <c r="AF78" s="2609"/>
    </row>
    <row r="79" s="2597" customFormat="1" ht="13.2" spans="1:32">
      <c r="A79" s="2597">
        <v>3</v>
      </c>
      <c r="C79" s="1988" t="s">
        <v>1764</v>
      </c>
      <c r="D79" s="1988"/>
      <c r="E79" s="2295">
        <v>20240514</v>
      </c>
      <c r="F79" s="2033">
        <v>6.75</v>
      </c>
      <c r="G79" s="2508" t="s">
        <v>1770</v>
      </c>
      <c r="H79" s="2105" t="s">
        <v>1771</v>
      </c>
      <c r="I79" s="2266" t="s">
        <v>1768</v>
      </c>
      <c r="J79" s="2509" t="s">
        <v>1506</v>
      </c>
      <c r="K79" s="2032" t="s">
        <v>1507</v>
      </c>
      <c r="L79" s="2033" t="s">
        <v>712</v>
      </c>
      <c r="M79" s="2267" t="s">
        <v>1507</v>
      </c>
      <c r="N79" s="1987">
        <v>5.5674128058303</v>
      </c>
      <c r="O79" s="1987">
        <v>6.12415408641333</v>
      </c>
      <c r="P79" s="1987">
        <v>25.9</v>
      </c>
      <c r="Q79" s="1987">
        <f>24.1/F79</f>
        <v>3.57037037037037</v>
      </c>
      <c r="R79" s="1987">
        <f t="shared" si="9"/>
        <v>35.5945244567837</v>
      </c>
      <c r="S79" s="1987">
        <v>22.9</v>
      </c>
      <c r="T79" s="1988" t="s">
        <v>1526</v>
      </c>
      <c r="U79" s="1988" t="s">
        <v>1772</v>
      </c>
      <c r="V79" s="1990"/>
      <c r="W79" s="2597"/>
      <c r="X79" s="2597"/>
      <c r="Y79" s="2609"/>
      <c r="Z79" s="2609"/>
      <c r="AA79" s="2597"/>
      <c r="AB79" s="2597"/>
      <c r="AC79" s="2597"/>
      <c r="AD79" s="2609"/>
      <c r="AE79" s="2609"/>
      <c r="AF79" s="2609"/>
    </row>
    <row r="80" s="2597" customFormat="1" ht="13.2" spans="1:32">
      <c r="A80" s="2597">
        <v>3</v>
      </c>
      <c r="C80" s="1988" t="s">
        <v>1773</v>
      </c>
      <c r="D80" s="1988" t="s">
        <v>1774</v>
      </c>
      <c r="E80" s="2295">
        <v>20251114</v>
      </c>
      <c r="F80" s="2033">
        <v>6.7</v>
      </c>
      <c r="G80" s="2508" t="s">
        <v>1775</v>
      </c>
      <c r="H80" s="2105" t="s">
        <v>1629</v>
      </c>
      <c r="I80" s="2266" t="s">
        <v>1753</v>
      </c>
      <c r="J80" s="2033" t="s">
        <v>1594</v>
      </c>
      <c r="K80" s="2032" t="s">
        <v>1507</v>
      </c>
      <c r="L80" s="2033" t="s">
        <v>712</v>
      </c>
      <c r="M80" s="2267" t="s">
        <v>1507</v>
      </c>
      <c r="N80" s="1987">
        <v>6.69495054659032</v>
      </c>
      <c r="O80" s="1987">
        <v>7.36444560124935</v>
      </c>
      <c r="P80" s="1987">
        <v>30.82</v>
      </c>
      <c r="Q80" s="1987">
        <v>5.22460973541027</v>
      </c>
      <c r="R80" s="1987">
        <f t="shared" si="9"/>
        <v>43.4090553366596</v>
      </c>
      <c r="S80" s="1987">
        <v>28.2</v>
      </c>
      <c r="T80" s="1988" t="s">
        <v>1526</v>
      </c>
      <c r="U80" s="1988" t="s">
        <v>1776</v>
      </c>
      <c r="V80" s="1990"/>
      <c r="W80" s="2597"/>
      <c r="X80" s="2597"/>
      <c r="Y80" s="2609"/>
      <c r="Z80" s="2609"/>
      <c r="AA80" s="2597"/>
      <c r="AB80" s="2597"/>
      <c r="AC80" s="2597"/>
      <c r="AD80" s="2609"/>
      <c r="AE80" s="2609"/>
      <c r="AF80" s="2609"/>
    </row>
    <row r="81" s="2597" customFormat="1" ht="13.2" spans="1:32">
      <c r="A81" s="2597">
        <v>3</v>
      </c>
      <c r="C81" s="1988" t="s">
        <v>1777</v>
      </c>
      <c r="D81" s="1988"/>
      <c r="E81" s="2295">
        <v>20251118</v>
      </c>
      <c r="F81" s="2033">
        <v>6.75</v>
      </c>
      <c r="G81" s="2508" t="s">
        <v>1778</v>
      </c>
      <c r="H81" s="2105" t="s">
        <v>1629</v>
      </c>
      <c r="I81" s="2266" t="s">
        <v>1691</v>
      </c>
      <c r="J81" s="2509" t="s">
        <v>1506</v>
      </c>
      <c r="K81" s="2032" t="s">
        <v>1507</v>
      </c>
      <c r="L81" s="2033" t="s">
        <v>712</v>
      </c>
      <c r="M81" s="2267" t="s">
        <v>1507</v>
      </c>
      <c r="N81" s="1987">
        <v>8.27693909422176</v>
      </c>
      <c r="O81" s="1987">
        <v>9.10463300364394</v>
      </c>
      <c r="P81" s="1987">
        <v>19.1</v>
      </c>
      <c r="Q81" s="1987">
        <v>4.38867217774462</v>
      </c>
      <c r="R81" s="1987">
        <f t="shared" si="9"/>
        <v>32.5933051813886</v>
      </c>
      <c r="S81" s="1987">
        <v>15.8</v>
      </c>
      <c r="T81" s="1988" t="s">
        <v>1526</v>
      </c>
      <c r="U81" s="2529" t="s">
        <v>1779</v>
      </c>
      <c r="V81" s="2634"/>
      <c r="W81" s="2597"/>
      <c r="X81" s="2597"/>
      <c r="Y81" s="2597"/>
      <c r="Z81" s="2609"/>
      <c r="AA81" s="2597"/>
      <c r="AB81" s="2597"/>
      <c r="AC81" s="2597"/>
      <c r="AD81" s="2597"/>
      <c r="AE81" s="2609"/>
      <c r="AF81" s="2609"/>
    </row>
    <row r="82" s="2597" customFormat="1" ht="15" customHeight="1" spans="1:32">
      <c r="A82" s="2597">
        <v>3</v>
      </c>
      <c r="B82" s="2629">
        <v>46246</v>
      </c>
      <c r="C82" s="1988" t="s">
        <v>1780</v>
      </c>
      <c r="D82" s="1988" t="s">
        <v>1781</v>
      </c>
      <c r="E82" s="2295">
        <v>20251118</v>
      </c>
      <c r="F82" s="2033">
        <v>6.75</v>
      </c>
      <c r="G82" s="2508" t="s">
        <v>1782</v>
      </c>
      <c r="H82" s="2105" t="s">
        <v>1565</v>
      </c>
      <c r="I82" s="2266" t="s">
        <v>1783</v>
      </c>
      <c r="J82" s="2509" t="s">
        <v>1506</v>
      </c>
      <c r="K82" s="2032" t="s">
        <v>1784</v>
      </c>
      <c r="L82" s="2033" t="s">
        <v>712</v>
      </c>
      <c r="M82" s="2104" t="s">
        <v>1428</v>
      </c>
      <c r="N82" s="1987">
        <f>86.75/6.78/1.13*1.1</f>
        <v>12.4552953768241</v>
      </c>
      <c r="O82" s="1987">
        <f>93.85/F82/1.13*1.05</f>
        <v>12.9193706981318</v>
      </c>
      <c r="P82" s="1987">
        <v>18.1</v>
      </c>
      <c r="Q82" s="1987">
        <f>22.36/F82</f>
        <v>3.31259259259259</v>
      </c>
      <c r="R82" s="1987">
        <f t="shared" si="9"/>
        <v>34.3319632907244</v>
      </c>
      <c r="S82" s="1987">
        <v>15.1458525630683</v>
      </c>
      <c r="T82" s="1988" t="s">
        <v>1785</v>
      </c>
      <c r="U82" s="1988" t="s">
        <v>1786</v>
      </c>
      <c r="V82" s="1990"/>
      <c r="W82" s="2597"/>
      <c r="X82" s="2597"/>
      <c r="Y82" s="2609"/>
      <c r="Z82" s="2609"/>
      <c r="AA82" s="2597"/>
      <c r="AB82" s="2597"/>
      <c r="AC82" s="2597"/>
      <c r="AD82" s="2609"/>
      <c r="AE82" s="2609"/>
      <c r="AF82" s="2609"/>
    </row>
    <row r="83" s="2597" customFormat="1" ht="13.2" spans="1:32">
      <c r="A83" s="2597">
        <v>3</v>
      </c>
      <c r="B83" s="2629">
        <v>46246</v>
      </c>
      <c r="C83" s="1988" t="s">
        <v>1780</v>
      </c>
      <c r="D83" s="1988" t="s">
        <v>1781</v>
      </c>
      <c r="E83" s="2295">
        <v>20251118</v>
      </c>
      <c r="F83" s="2033">
        <v>6.75</v>
      </c>
      <c r="G83" s="2508" t="s">
        <v>1787</v>
      </c>
      <c r="H83" s="2105" t="s">
        <v>1617</v>
      </c>
      <c r="I83" s="2266" t="s">
        <v>1788</v>
      </c>
      <c r="J83" s="2033" t="s">
        <v>1511</v>
      </c>
      <c r="K83" s="2032" t="s">
        <v>1784</v>
      </c>
      <c r="L83" s="2033" t="s">
        <v>712</v>
      </c>
      <c r="M83" s="2104" t="s">
        <v>1428</v>
      </c>
      <c r="N83" s="1987">
        <f>86.75/6.78/1.13*1.1</f>
        <v>12.4552953768241</v>
      </c>
      <c r="O83" s="1987">
        <f>93.85/F83/1.13*1.05</f>
        <v>12.9193706981318</v>
      </c>
      <c r="P83" s="1987">
        <v>19.9</v>
      </c>
      <c r="Q83" s="1987">
        <f>22.36/F83</f>
        <v>3.31259259259259</v>
      </c>
      <c r="R83" s="1987">
        <f t="shared" si="9"/>
        <v>36.1319632907244</v>
      </c>
      <c r="S83" s="1987">
        <v>17</v>
      </c>
      <c r="T83" s="1988" t="s">
        <v>1789</v>
      </c>
      <c r="U83" s="1988" t="s">
        <v>1786</v>
      </c>
      <c r="V83" s="1990"/>
      <c r="W83" s="2597"/>
      <c r="X83" s="2597"/>
      <c r="Y83" s="2609"/>
      <c r="Z83" s="2609"/>
      <c r="AA83" s="2597"/>
      <c r="AB83" s="2597"/>
      <c r="AC83" s="2597"/>
      <c r="AD83" s="2609"/>
      <c r="AE83" s="2609"/>
      <c r="AF83" s="2609"/>
    </row>
    <row r="84" s="2597" customFormat="1" ht="13.2" spans="1:32">
      <c r="A84" s="2597">
        <v>2</v>
      </c>
      <c r="C84" s="1988" t="s">
        <v>1790</v>
      </c>
      <c r="D84" s="1988" t="s">
        <v>1791</v>
      </c>
      <c r="E84" s="2295">
        <v>20251114</v>
      </c>
      <c r="F84" s="2033">
        <v>6.75</v>
      </c>
      <c r="G84" s="2508" t="s">
        <v>1792</v>
      </c>
      <c r="H84" s="2105" t="s">
        <v>1629</v>
      </c>
      <c r="I84" s="2266" t="s">
        <v>1793</v>
      </c>
      <c r="J84" s="2509" t="s">
        <v>1506</v>
      </c>
      <c r="K84" s="2032" t="s">
        <v>1507</v>
      </c>
      <c r="L84" s="2033" t="s">
        <v>712</v>
      </c>
      <c r="M84" s="2267" t="s">
        <v>1507</v>
      </c>
      <c r="N84" s="1987">
        <v>5.93128578865174</v>
      </c>
      <c r="O84" s="1987">
        <v>6.52441436751691</v>
      </c>
      <c r="P84" s="1987">
        <v>14.9</v>
      </c>
      <c r="Q84" s="1987">
        <f>22.6/F84/1.13</f>
        <v>2.96296296296296</v>
      </c>
      <c r="R84" s="1987">
        <f t="shared" si="9"/>
        <v>24.3873773304799</v>
      </c>
      <c r="S84" s="1987">
        <v>12.8666312356171</v>
      </c>
      <c r="T84" s="1988" t="s">
        <v>1526</v>
      </c>
      <c r="U84" s="1989" t="s">
        <v>1569</v>
      </c>
      <c r="V84" s="1991"/>
      <c r="W84" s="2597"/>
      <c r="X84" s="2609"/>
      <c r="Y84" s="2597"/>
      <c r="Z84" s="2609"/>
      <c r="AA84" s="2597"/>
      <c r="AB84" s="2597"/>
      <c r="AC84" s="2609"/>
      <c r="AD84" s="2597"/>
      <c r="AE84" s="2609"/>
      <c r="AF84" s="2609"/>
    </row>
    <row r="85" s="2597" customFormat="1" ht="13.2" spans="1:32">
      <c r="A85" s="2597">
        <v>3</v>
      </c>
      <c r="C85" s="1988" t="s">
        <v>1794</v>
      </c>
      <c r="D85" s="1988" t="s">
        <v>1795</v>
      </c>
      <c r="E85" s="2488">
        <v>46126</v>
      </c>
      <c r="F85" s="2033">
        <v>6.75</v>
      </c>
      <c r="G85" s="2508" t="s">
        <v>1796</v>
      </c>
      <c r="H85" s="2105" t="s">
        <v>1645</v>
      </c>
      <c r="I85" s="2266" t="s">
        <v>1797</v>
      </c>
      <c r="J85" s="2509"/>
      <c r="K85" s="2032" t="s">
        <v>1428</v>
      </c>
      <c r="L85" s="2033" t="s">
        <v>712</v>
      </c>
      <c r="M85" s="2104" t="s">
        <v>1428</v>
      </c>
      <c r="N85" s="1987">
        <v>10.4133263925039</v>
      </c>
      <c r="O85" s="1987">
        <v>11.4546590317543</v>
      </c>
      <c r="P85" s="1987">
        <v>19.5</v>
      </c>
      <c r="Q85" s="2297">
        <f t="shared" ref="Q85:Q90" si="10">27.12/F85/1.13</f>
        <v>3.55555555555556</v>
      </c>
      <c r="R85" s="1987">
        <f t="shared" si="9"/>
        <v>34.5102145873099</v>
      </c>
      <c r="S85" s="1987">
        <v>16.8</v>
      </c>
      <c r="T85" s="1988" t="s">
        <v>1785</v>
      </c>
      <c r="U85" s="1989" t="s">
        <v>1798</v>
      </c>
      <c r="V85" s="1991"/>
      <c r="W85" s="2597"/>
      <c r="X85" s="2609"/>
      <c r="Y85" s="2597"/>
      <c r="Z85" s="2609"/>
      <c r="AA85" s="2597"/>
      <c r="AB85" s="2597"/>
      <c r="AC85" s="2609"/>
      <c r="AD85" s="2597"/>
      <c r="AE85" s="2609"/>
      <c r="AF85" s="2609"/>
    </row>
    <row r="86" s="2597" customFormat="1" ht="13.2" spans="1:32">
      <c r="A86" s="2597">
        <v>3</v>
      </c>
      <c r="C86" s="2294" t="s">
        <v>1794</v>
      </c>
      <c r="D86" s="2529" t="s">
        <v>1795</v>
      </c>
      <c r="E86" s="2295">
        <v>20251128</v>
      </c>
      <c r="F86" s="2033">
        <v>6.75</v>
      </c>
      <c r="G86" s="1988" t="s">
        <v>1799</v>
      </c>
      <c r="H86" s="2105" t="s">
        <v>1629</v>
      </c>
      <c r="I86" s="2266" t="s">
        <v>1800</v>
      </c>
      <c r="J86" s="2033" t="s">
        <v>1511</v>
      </c>
      <c r="K86" s="2033" t="s">
        <v>1507</v>
      </c>
      <c r="L86" s="2033" t="s">
        <v>712</v>
      </c>
      <c r="M86" s="2033" t="s">
        <v>1507</v>
      </c>
      <c r="N86" s="1987">
        <v>8.55335762623634</v>
      </c>
      <c r="O86" s="1987">
        <v>9.40869338885997</v>
      </c>
      <c r="P86" s="1987">
        <v>22.4</v>
      </c>
      <c r="Q86" s="2297">
        <f t="shared" si="10"/>
        <v>3.55555555555556</v>
      </c>
      <c r="R86" s="1987">
        <f t="shared" si="9"/>
        <v>35.3642489444155</v>
      </c>
      <c r="S86" s="1987">
        <v>19.9</v>
      </c>
      <c r="T86" s="2489" t="s">
        <v>1801</v>
      </c>
      <c r="U86" s="1988" t="s">
        <v>1802</v>
      </c>
      <c r="V86" s="1990"/>
      <c r="W86" s="2597"/>
      <c r="X86" s="2597"/>
      <c r="Y86" s="2597"/>
      <c r="Z86" s="2609"/>
      <c r="AA86" s="2597"/>
      <c r="AB86" s="2597"/>
      <c r="AC86" s="2597"/>
      <c r="AD86" s="2597"/>
      <c r="AE86" s="2609"/>
      <c r="AF86" s="2609"/>
    </row>
    <row r="87" s="2597" customFormat="1" ht="13.2" spans="1:32">
      <c r="A87" s="2597">
        <v>3</v>
      </c>
      <c r="C87" s="2294" t="s">
        <v>1803</v>
      </c>
      <c r="D87" s="2529" t="s">
        <v>1746</v>
      </c>
      <c r="E87" s="2295">
        <v>20251128</v>
      </c>
      <c r="F87" s="2033">
        <v>6.75</v>
      </c>
      <c r="G87" s="1988" t="s">
        <v>1804</v>
      </c>
      <c r="H87" s="2105" t="s">
        <v>1565</v>
      </c>
      <c r="I87" s="2266" t="s">
        <v>1805</v>
      </c>
      <c r="J87" s="2033" t="s">
        <v>1806</v>
      </c>
      <c r="K87" s="2033" t="s">
        <v>1567</v>
      </c>
      <c r="L87" s="2033" t="s">
        <v>712</v>
      </c>
      <c r="M87" s="2104" t="s">
        <v>1428</v>
      </c>
      <c r="N87" s="1987">
        <v>10.7618948464341</v>
      </c>
      <c r="O87" s="1987">
        <v>11.8380843310775</v>
      </c>
      <c r="P87" s="1987">
        <v>34.2</v>
      </c>
      <c r="Q87" s="1987">
        <v>4.17968778832821</v>
      </c>
      <c r="R87" s="1987">
        <f t="shared" si="9"/>
        <v>50.2177721194057</v>
      </c>
      <c r="S87" s="1987">
        <v>31.8</v>
      </c>
      <c r="T87" s="1988" t="s">
        <v>1526</v>
      </c>
      <c r="U87" s="1989" t="s">
        <v>1807</v>
      </c>
      <c r="V87" s="1991"/>
      <c r="W87" s="2597"/>
      <c r="X87" s="2597"/>
      <c r="Y87" s="2609"/>
      <c r="Z87" s="2609"/>
      <c r="AA87" s="2597"/>
      <c r="AB87" s="2597"/>
      <c r="AC87" s="2597"/>
      <c r="AD87" s="2609"/>
      <c r="AE87" s="2609"/>
      <c r="AF87" s="2609"/>
    </row>
    <row r="88" s="2597" customFormat="1" ht="13.2" spans="1:32">
      <c r="A88" s="2597">
        <v>2</v>
      </c>
      <c r="C88" s="2294" t="s">
        <v>1808</v>
      </c>
      <c r="D88" s="2294" t="s">
        <v>1809</v>
      </c>
      <c r="E88" s="2295">
        <v>20251212</v>
      </c>
      <c r="F88" s="2033">
        <v>6.7</v>
      </c>
      <c r="G88" s="1988" t="s">
        <v>1810</v>
      </c>
      <c r="H88" s="2105" t="s">
        <v>1811</v>
      </c>
      <c r="I88" s="2266" t="s">
        <v>1800</v>
      </c>
      <c r="J88" s="2033" t="s">
        <v>1511</v>
      </c>
      <c r="K88" s="2033" t="s">
        <v>1635</v>
      </c>
      <c r="L88" s="2033" t="s">
        <v>712</v>
      </c>
      <c r="M88" s="2104" t="s">
        <v>1428</v>
      </c>
      <c r="N88" s="1987">
        <v>6.36</v>
      </c>
      <c r="O88" s="1987">
        <v>6.996</v>
      </c>
      <c r="P88" s="1987">
        <v>24.8</v>
      </c>
      <c r="Q88" s="1987">
        <v>4.17968778832821</v>
      </c>
      <c r="R88" s="1987">
        <f t="shared" si="9"/>
        <v>35.9756877883282</v>
      </c>
      <c r="S88" s="1987">
        <v>21.4</v>
      </c>
      <c r="T88" s="1988" t="s">
        <v>1812</v>
      </c>
      <c r="U88" s="1989" t="s">
        <v>1813</v>
      </c>
      <c r="V88" s="1991"/>
      <c r="W88" s="2597"/>
      <c r="X88" s="2597"/>
      <c r="Y88" s="2609"/>
      <c r="Z88" s="2609"/>
      <c r="AA88" s="2597"/>
      <c r="AB88" s="2597"/>
      <c r="AC88" s="2597"/>
      <c r="AD88" s="2609"/>
      <c r="AE88" s="2609"/>
      <c r="AF88" s="2609"/>
    </row>
    <row r="89" s="2597" customFormat="1" ht="13.2" spans="1:32">
      <c r="A89" s="2597">
        <v>3</v>
      </c>
      <c r="C89" s="2294" t="s">
        <v>1808</v>
      </c>
      <c r="D89" s="2294" t="s">
        <v>1809</v>
      </c>
      <c r="E89" s="2488">
        <v>46161</v>
      </c>
      <c r="F89" s="2033">
        <v>6.7</v>
      </c>
      <c r="G89" s="1988" t="s">
        <v>1814</v>
      </c>
      <c r="H89" s="2105" t="s">
        <v>1815</v>
      </c>
      <c r="I89" s="2266" t="s">
        <v>1800</v>
      </c>
      <c r="J89" s="2509" t="s">
        <v>1506</v>
      </c>
      <c r="K89" s="2033" t="s">
        <v>1552</v>
      </c>
      <c r="L89" s="2033" t="s">
        <v>712</v>
      </c>
      <c r="M89" s="2104" t="s">
        <v>1428</v>
      </c>
      <c r="N89" s="1987">
        <v>6.36</v>
      </c>
      <c r="O89" s="1987">
        <v>6.996</v>
      </c>
      <c r="P89" s="1987">
        <v>22.5</v>
      </c>
      <c r="Q89" s="1987">
        <v>4.17968778832821</v>
      </c>
      <c r="R89" s="1987">
        <f t="shared" si="9"/>
        <v>33.6756877883282</v>
      </c>
      <c r="S89" s="1987">
        <v>18.9</v>
      </c>
      <c r="T89" s="1988" t="s">
        <v>1816</v>
      </c>
      <c r="U89" s="1989" t="s">
        <v>1813</v>
      </c>
      <c r="V89" s="2650"/>
      <c r="W89" s="2651"/>
      <c r="X89" s="2597"/>
      <c r="Y89" s="2609"/>
      <c r="Z89" s="2609"/>
      <c r="AA89" s="2597"/>
      <c r="AB89" s="2597"/>
      <c r="AC89" s="2597"/>
      <c r="AD89" s="2609"/>
      <c r="AE89" s="2609"/>
      <c r="AF89" s="2609"/>
    </row>
    <row r="90" s="2597" customFormat="1" ht="13.2" spans="1:32">
      <c r="A90" s="2597">
        <v>3</v>
      </c>
      <c r="C90" s="2294" t="s">
        <v>1817</v>
      </c>
      <c r="D90" s="2294"/>
      <c r="E90" s="2295">
        <v>20251223</v>
      </c>
      <c r="F90" s="2033">
        <v>6.75</v>
      </c>
      <c r="G90" s="1988" t="s">
        <v>1818</v>
      </c>
      <c r="H90" s="2105" t="s">
        <v>1667</v>
      </c>
      <c r="I90" s="2266" t="s">
        <v>1736</v>
      </c>
      <c r="J90" s="2033" t="s">
        <v>1606</v>
      </c>
      <c r="K90" s="2033" t="s">
        <v>1507</v>
      </c>
      <c r="L90" s="2033" t="s">
        <v>712</v>
      </c>
      <c r="M90" s="2033" t="s">
        <v>1507</v>
      </c>
      <c r="N90" s="1987">
        <v>4.76782925559604</v>
      </c>
      <c r="O90" s="1987">
        <v>5.24461218115564</v>
      </c>
      <c r="P90" s="1987">
        <v>20.6</v>
      </c>
      <c r="Q90" s="2297">
        <f t="shared" si="10"/>
        <v>3.55555555555556</v>
      </c>
      <c r="R90" s="1987">
        <f t="shared" si="9"/>
        <v>29.4001677367112</v>
      </c>
      <c r="S90" s="1987">
        <v>18.15</v>
      </c>
      <c r="T90" s="1988" t="s">
        <v>1526</v>
      </c>
      <c r="U90" s="1989" t="s">
        <v>1819</v>
      </c>
      <c r="V90" s="2650"/>
      <c r="W90" s="2651"/>
      <c r="X90" s="2597"/>
      <c r="Y90" s="2609"/>
      <c r="Z90" s="2609"/>
      <c r="AA90" s="2597"/>
      <c r="AB90" s="2597"/>
      <c r="AC90" s="2597"/>
      <c r="AD90" s="2609"/>
      <c r="AE90" s="2609"/>
      <c r="AF90" s="2609"/>
    </row>
    <row r="91" s="2597" customFormat="1" ht="13.2" spans="1:32">
      <c r="A91" s="2597">
        <v>3</v>
      </c>
      <c r="C91" s="2294" t="s">
        <v>1820</v>
      </c>
      <c r="D91" s="2294"/>
      <c r="E91" s="2652">
        <v>46035</v>
      </c>
      <c r="F91" s="2033">
        <v>6.75</v>
      </c>
      <c r="G91" s="1988" t="s">
        <v>1821</v>
      </c>
      <c r="H91" s="2105" t="s">
        <v>1672</v>
      </c>
      <c r="I91" s="2266" t="s">
        <v>1736</v>
      </c>
      <c r="J91" s="2033" t="s">
        <v>1822</v>
      </c>
      <c r="K91" s="2033" t="s">
        <v>1507</v>
      </c>
      <c r="L91" s="2033" t="s">
        <v>712</v>
      </c>
      <c r="M91" s="2033" t="s">
        <v>1507</v>
      </c>
      <c r="N91" s="1987">
        <v>4.62727745965643</v>
      </c>
      <c r="O91" s="1987">
        <v>5.09000520562207</v>
      </c>
      <c r="P91" s="1987">
        <v>20.8</v>
      </c>
      <c r="Q91" s="1987">
        <f>19.85/F91/1.13</f>
        <v>2.60242543428384</v>
      </c>
      <c r="R91" s="1987">
        <f t="shared" si="9"/>
        <v>28.4924306399059</v>
      </c>
      <c r="S91" s="1987">
        <v>18.5</v>
      </c>
      <c r="T91" s="1988" t="s">
        <v>1823</v>
      </c>
      <c r="U91" s="1989" t="s">
        <v>1824</v>
      </c>
      <c r="V91" s="2650"/>
      <c r="W91" s="2651"/>
      <c r="X91" s="2597"/>
      <c r="Y91" s="2609"/>
      <c r="Z91" s="2609"/>
      <c r="AA91" s="2597"/>
      <c r="AB91" s="2597"/>
      <c r="AC91" s="2597"/>
      <c r="AD91" s="2609"/>
      <c r="AE91" s="2609"/>
      <c r="AF91" s="2609"/>
    </row>
    <row r="92" s="2597" customFormat="1" ht="13.2" spans="1:32">
      <c r="A92" s="2597">
        <v>2</v>
      </c>
      <c r="C92" s="2105" t="s">
        <v>1825</v>
      </c>
      <c r="D92" s="2105" t="s">
        <v>1826</v>
      </c>
      <c r="E92" s="2270">
        <v>46120</v>
      </c>
      <c r="F92" s="2033">
        <v>6.7</v>
      </c>
      <c r="G92" s="2653" t="s">
        <v>1827</v>
      </c>
      <c r="H92" s="1988" t="s">
        <v>1565</v>
      </c>
      <c r="I92" s="2266" t="s">
        <v>1828</v>
      </c>
      <c r="J92" s="2033" t="s">
        <v>1506</v>
      </c>
      <c r="K92" s="2033" t="s">
        <v>1428</v>
      </c>
      <c r="L92" s="2033" t="s">
        <v>712</v>
      </c>
      <c r="M92" s="2104" t="s">
        <v>1428</v>
      </c>
      <c r="N92" s="1987">
        <v>3.38885996876627</v>
      </c>
      <c r="O92" s="1987">
        <v>3.7277459656429</v>
      </c>
      <c r="P92" s="1987">
        <v>21.74</v>
      </c>
      <c r="Q92" s="1987">
        <f>22/F92</f>
        <v>3.28358208955224</v>
      </c>
      <c r="R92" s="1987">
        <f t="shared" si="9"/>
        <v>28.7513280551951</v>
      </c>
      <c r="S92" s="1987">
        <v>19</v>
      </c>
      <c r="T92" s="1988" t="s">
        <v>1829</v>
      </c>
      <c r="U92" s="1988" t="s">
        <v>1830</v>
      </c>
      <c r="V92" s="2382"/>
      <c r="W92" s="2651"/>
      <c r="X92" s="2609"/>
      <c r="Y92" s="2597"/>
      <c r="Z92" s="2609"/>
      <c r="AA92" s="2597"/>
      <c r="AB92" s="2597"/>
      <c r="AC92" s="2609"/>
      <c r="AD92" s="2597"/>
      <c r="AE92" s="2609"/>
      <c r="AF92" s="2609"/>
    </row>
    <row r="93" s="2597" customFormat="1" ht="13.2" spans="1:32">
      <c r="A93" s="2597">
        <v>3</v>
      </c>
      <c r="B93" s="2629">
        <v>46251</v>
      </c>
      <c r="C93" s="2294" t="s">
        <v>1831</v>
      </c>
      <c r="D93" s="2294" t="s">
        <v>1832</v>
      </c>
      <c r="E93" s="2652">
        <v>46115</v>
      </c>
      <c r="F93" s="2033">
        <v>6.75</v>
      </c>
      <c r="G93" s="1988" t="s">
        <v>1833</v>
      </c>
      <c r="H93" s="1988" t="s">
        <v>1565</v>
      </c>
      <c r="I93" s="2266" t="s">
        <v>1834</v>
      </c>
      <c r="J93" s="2033" t="s">
        <v>1506</v>
      </c>
      <c r="K93" s="2033" t="s">
        <v>1428</v>
      </c>
      <c r="L93" s="2033" t="s">
        <v>712</v>
      </c>
      <c r="M93" s="2104" t="s">
        <v>1428</v>
      </c>
      <c r="N93" s="1987">
        <v>4.93945861530453</v>
      </c>
      <c r="O93" s="1987">
        <f>38.5/F93/1.13*1.05</f>
        <v>5.29990167158309</v>
      </c>
      <c r="P93" s="1987">
        <v>24.6</v>
      </c>
      <c r="Q93" s="1987">
        <f>22/F93</f>
        <v>3.25925925925926</v>
      </c>
      <c r="R93" s="1987">
        <f t="shared" si="9"/>
        <v>33.1591609308424</v>
      </c>
      <c r="S93" s="1987">
        <v>21.67</v>
      </c>
      <c r="T93" s="1988" t="s">
        <v>1835</v>
      </c>
      <c r="U93" s="1988" t="s">
        <v>1836</v>
      </c>
      <c r="V93" s="2382"/>
      <c r="W93" s="2654"/>
      <c r="X93" s="2597"/>
      <c r="Y93" s="2609"/>
      <c r="Z93" s="2609"/>
      <c r="AA93" s="2597"/>
      <c r="AB93" s="2597"/>
      <c r="AC93" s="2597"/>
      <c r="AD93" s="2609"/>
      <c r="AE93" s="2609"/>
      <c r="AF93" s="2609"/>
    </row>
    <row r="94" s="2597" customFormat="1" ht="13.2" spans="1:32">
      <c r="A94" s="2597">
        <v>3</v>
      </c>
      <c r="C94" s="2294" t="s">
        <v>1837</v>
      </c>
      <c r="D94" s="2529" t="s">
        <v>1838</v>
      </c>
      <c r="E94" s="2488">
        <v>46106</v>
      </c>
      <c r="F94" s="2033">
        <v>6.75</v>
      </c>
      <c r="G94" s="1988" t="s">
        <v>1839</v>
      </c>
      <c r="H94" s="2105" t="s">
        <v>1565</v>
      </c>
      <c r="I94" s="2266" t="s">
        <v>1840</v>
      </c>
      <c r="J94" s="2033" t="s">
        <v>1506</v>
      </c>
      <c r="K94" s="2033" t="s">
        <v>1507</v>
      </c>
      <c r="L94" s="2033" t="s">
        <v>712</v>
      </c>
      <c r="M94" s="2033" t="s">
        <v>1507</v>
      </c>
      <c r="N94" s="1987">
        <f>72.15/6.78/1.13*1.05</f>
        <v>9.88820581094839</v>
      </c>
      <c r="O94" s="1987">
        <f>87.09/6.75/1.13</f>
        <v>11.4178957718781</v>
      </c>
      <c r="P94" s="1987">
        <v>15.2</v>
      </c>
      <c r="Q94" s="1987">
        <f>24.03/6.91/1.13</f>
        <v>3.07749446102225</v>
      </c>
      <c r="R94" s="1987">
        <f t="shared" si="9"/>
        <v>29.6953902329004</v>
      </c>
      <c r="S94" s="1987">
        <v>12.84</v>
      </c>
      <c r="T94" s="1988" t="s">
        <v>1841</v>
      </c>
      <c r="U94" s="1989" t="s">
        <v>1569</v>
      </c>
      <c r="V94" s="2650"/>
      <c r="W94" s="2651"/>
      <c r="X94" s="2597"/>
      <c r="Y94" s="2609"/>
      <c r="Z94" s="2609"/>
      <c r="AA94" s="2597"/>
      <c r="AB94" s="2597"/>
      <c r="AC94" s="2597"/>
      <c r="AD94" s="2609"/>
      <c r="AE94" s="2609"/>
      <c r="AF94" s="2609"/>
    </row>
    <row r="95" s="2597" customFormat="1" ht="13.2" spans="1:32">
      <c r="A95" s="2597">
        <v>3</v>
      </c>
      <c r="C95" s="2294" t="s">
        <v>1842</v>
      </c>
      <c r="D95" s="2294" t="s">
        <v>1843</v>
      </c>
      <c r="E95" s="2295">
        <v>20251224</v>
      </c>
      <c r="F95" s="2033">
        <v>6.75</v>
      </c>
      <c r="G95" s="1988" t="s">
        <v>1844</v>
      </c>
      <c r="H95" s="2105" t="s">
        <v>1565</v>
      </c>
      <c r="I95" s="2266" t="s">
        <v>1753</v>
      </c>
      <c r="J95" s="2033" t="s">
        <v>1506</v>
      </c>
      <c r="K95" s="2033" t="s">
        <v>1567</v>
      </c>
      <c r="L95" s="2033" t="s">
        <v>712</v>
      </c>
      <c r="M95" s="2104" t="s">
        <v>1428</v>
      </c>
      <c r="N95" s="1987">
        <v>3.35294117647059</v>
      </c>
      <c r="O95" s="1987">
        <f>33.34/F95/1.13*1.05</f>
        <v>4.58957718780728</v>
      </c>
      <c r="P95" s="1987">
        <v>23.9</v>
      </c>
      <c r="Q95" s="1987">
        <f>20.1/F95</f>
        <v>2.97777777777778</v>
      </c>
      <c r="R95" s="1987">
        <f t="shared" si="9"/>
        <v>31.4673549655851</v>
      </c>
      <c r="S95" s="1987">
        <v>21.1</v>
      </c>
      <c r="T95" s="1988" t="s">
        <v>1845</v>
      </c>
      <c r="U95" s="1988" t="s">
        <v>1846</v>
      </c>
      <c r="V95" s="2382"/>
      <c r="W95" s="2654"/>
      <c r="X95" s="2597"/>
      <c r="Y95" s="2609"/>
      <c r="Z95" s="2609"/>
      <c r="AA95" s="2597"/>
      <c r="AB95" s="2597"/>
      <c r="AC95" s="2597"/>
      <c r="AD95" s="2609"/>
      <c r="AE95" s="2609"/>
      <c r="AF95" s="2609"/>
    </row>
    <row r="96" s="2597" customFormat="1" ht="13.2" spans="1:32">
      <c r="A96" s="2597">
        <v>3</v>
      </c>
      <c r="C96" s="2294" t="s">
        <v>1847</v>
      </c>
      <c r="D96" s="2294" t="s">
        <v>1826</v>
      </c>
      <c r="E96" s="2488">
        <v>46043</v>
      </c>
      <c r="F96" s="2033">
        <v>6.7</v>
      </c>
      <c r="G96" s="1988" t="s">
        <v>1848</v>
      </c>
      <c r="H96" s="2105" t="s">
        <v>1565</v>
      </c>
      <c r="I96" s="2266" t="s">
        <v>1849</v>
      </c>
      <c r="J96" s="2033" t="s">
        <v>1594</v>
      </c>
      <c r="K96" s="2033" t="s">
        <v>712</v>
      </c>
      <c r="L96" s="2033" t="s">
        <v>712</v>
      </c>
      <c r="M96" s="2033" t="s">
        <v>712</v>
      </c>
      <c r="N96" s="1987">
        <v>5.90317542946382</v>
      </c>
      <c r="O96" s="1987">
        <v>6.4934929724102</v>
      </c>
      <c r="P96" s="1987">
        <v>27</v>
      </c>
      <c r="Q96" s="1987">
        <f>26/F96</f>
        <v>3.88059701492537</v>
      </c>
      <c r="R96" s="1987">
        <f t="shared" si="9"/>
        <v>37.3740899873356</v>
      </c>
      <c r="S96" s="1987">
        <v>24.4</v>
      </c>
      <c r="T96" s="1988" t="s">
        <v>1748</v>
      </c>
      <c r="U96" s="1989" t="s">
        <v>1850</v>
      </c>
      <c r="V96" s="2650"/>
      <c r="W96" s="2651"/>
      <c r="X96" s="2597"/>
      <c r="Y96" s="2609"/>
      <c r="Z96" s="2609"/>
      <c r="AA96" s="2597"/>
      <c r="AB96" s="2597"/>
      <c r="AC96" s="2597"/>
      <c r="AD96" s="2609"/>
      <c r="AE96" s="2609"/>
      <c r="AF96" s="2609"/>
    </row>
    <row r="97" s="2597" customFormat="1" ht="12" customHeight="1" spans="1:32">
      <c r="A97" s="2597">
        <v>3</v>
      </c>
      <c r="B97" s="2629">
        <v>46252</v>
      </c>
      <c r="C97" s="2105" t="s">
        <v>1851</v>
      </c>
      <c r="D97" s="2281" t="s">
        <v>1852</v>
      </c>
      <c r="E97" s="2655">
        <v>46049</v>
      </c>
      <c r="F97" s="2033">
        <v>6.75</v>
      </c>
      <c r="G97" s="2266" t="s">
        <v>1853</v>
      </c>
      <c r="H97" s="2281" t="s">
        <v>1604</v>
      </c>
      <c r="I97" s="2266" t="s">
        <v>1428</v>
      </c>
      <c r="J97" s="2033" t="s">
        <v>1594</v>
      </c>
      <c r="K97" s="2033" t="s">
        <v>1507</v>
      </c>
      <c r="L97" s="2033" t="s">
        <v>712</v>
      </c>
      <c r="M97" s="2033" t="s">
        <v>1507</v>
      </c>
      <c r="N97" s="1987">
        <v>4.69864376603655</v>
      </c>
      <c r="O97" s="1987">
        <f>41.68/F97/1.13*1.05</f>
        <v>5.73765978367748</v>
      </c>
      <c r="P97" s="1987">
        <v>18.8</v>
      </c>
      <c r="Q97" s="1987">
        <f>32/F97</f>
        <v>4.74074074074074</v>
      </c>
      <c r="R97" s="1987">
        <f t="shared" si="9"/>
        <v>29.2784005244182</v>
      </c>
      <c r="S97" s="2104">
        <v>16.32</v>
      </c>
      <c r="T97" s="2529" t="s">
        <v>1526</v>
      </c>
      <c r="U97" s="2281" t="s">
        <v>1854</v>
      </c>
      <c r="V97" s="2656"/>
      <c r="W97" s="2651"/>
      <c r="X97" s="2597"/>
      <c r="Y97" s="2597"/>
      <c r="Z97" s="2609"/>
      <c r="AA97" s="2597"/>
      <c r="AB97" s="2597"/>
      <c r="AC97" s="2597"/>
      <c r="AD97" s="2597"/>
      <c r="AE97" s="2609"/>
      <c r="AF97" s="2609"/>
    </row>
    <row r="98" s="2597" customFormat="1" ht="12" customHeight="1" spans="1:32">
      <c r="A98" s="2597">
        <v>3</v>
      </c>
      <c r="C98" s="2281" t="s">
        <v>1855</v>
      </c>
      <c r="D98" s="2281" t="s">
        <v>1856</v>
      </c>
      <c r="E98" s="2655">
        <v>46097</v>
      </c>
      <c r="F98" s="2033">
        <v>6.75</v>
      </c>
      <c r="G98" s="2266" t="s">
        <v>1857</v>
      </c>
      <c r="H98" s="2281" t="s">
        <v>1629</v>
      </c>
      <c r="I98" s="2266" t="s">
        <v>1858</v>
      </c>
      <c r="J98" s="2033" t="s">
        <v>1859</v>
      </c>
      <c r="K98" s="2033" t="s">
        <v>1860</v>
      </c>
      <c r="L98" s="2526" t="s">
        <v>712</v>
      </c>
      <c r="M98" s="2527" t="s">
        <v>1428</v>
      </c>
      <c r="N98" s="1987">
        <f>30.95/6.78/1.13*1.05</f>
        <v>4.24171822382332</v>
      </c>
      <c r="O98" s="2657">
        <f>36.22/6.73/1.13*1.2</f>
        <v>5.71526252810688</v>
      </c>
      <c r="P98" s="1987">
        <v>17.8</v>
      </c>
      <c r="Q98" s="1987">
        <f>22.5/F98</f>
        <v>3.33333333333333</v>
      </c>
      <c r="R98" s="1987">
        <f t="shared" si="9"/>
        <v>26.8485958614402</v>
      </c>
      <c r="S98" s="2104">
        <v>15.5</v>
      </c>
      <c r="T98" s="1988" t="s">
        <v>1526</v>
      </c>
      <c r="U98" s="2281" t="s">
        <v>1861</v>
      </c>
      <c r="V98" s="2656"/>
      <c r="W98" s="2651"/>
      <c r="X98" s="2597"/>
      <c r="Y98" s="2597"/>
      <c r="Z98" s="2609"/>
      <c r="AA98" s="2597"/>
      <c r="AB98" s="2597"/>
      <c r="AC98" s="2597"/>
      <c r="AD98" s="2597"/>
      <c r="AE98" s="2609"/>
      <c r="AF98" s="2609"/>
    </row>
    <row r="99" s="2597" customFormat="1" ht="13.2" spans="1:32">
      <c r="A99" s="2597">
        <v>3</v>
      </c>
      <c r="C99" s="1989" t="s">
        <v>1855</v>
      </c>
      <c r="D99" s="1989" t="s">
        <v>1862</v>
      </c>
      <c r="E99" s="2488">
        <v>46120</v>
      </c>
      <c r="F99" s="2033">
        <v>6.75</v>
      </c>
      <c r="G99" s="2525" t="s">
        <v>1863</v>
      </c>
      <c r="H99" s="1989" t="s">
        <v>1571</v>
      </c>
      <c r="I99" s="2266" t="s">
        <v>1858</v>
      </c>
      <c r="J99" s="2509" t="s">
        <v>1822</v>
      </c>
      <c r="K99" s="2509" t="s">
        <v>1864</v>
      </c>
      <c r="L99" s="2526" t="s">
        <v>712</v>
      </c>
      <c r="M99" s="2527" t="s">
        <v>1428</v>
      </c>
      <c r="N99" s="1987">
        <f>30.95/6.78/1.13*1.05</f>
        <v>4.24171822382332</v>
      </c>
      <c r="O99" s="2657">
        <f>36.22/6.73/1.13*1.2</f>
        <v>5.71526252810688</v>
      </c>
      <c r="P99" s="1987">
        <v>21.3</v>
      </c>
      <c r="Q99" s="1987">
        <f>22.5/F99</f>
        <v>3.33333333333333</v>
      </c>
      <c r="R99" s="1987">
        <f t="shared" si="9"/>
        <v>30.3485958614402</v>
      </c>
      <c r="S99" s="2104">
        <v>18.7</v>
      </c>
      <c r="T99" s="2529" t="s">
        <v>1865</v>
      </c>
      <c r="U99" s="1989" t="s">
        <v>1866</v>
      </c>
      <c r="V99" s="2650"/>
      <c r="W99" s="2658"/>
      <c r="X99" s="2597"/>
      <c r="Y99" s="2597"/>
      <c r="Z99" s="2609"/>
      <c r="AA99" s="2597"/>
      <c r="AB99" s="2597"/>
      <c r="AC99" s="2597"/>
      <c r="AD99" s="2597"/>
      <c r="AE99" s="2609"/>
      <c r="AF99" s="2609"/>
    </row>
    <row r="100" s="2597" customFormat="1" ht="13.2" spans="1:32">
      <c r="A100" s="2597">
        <v>3</v>
      </c>
      <c r="C100" s="1989" t="s">
        <v>1867</v>
      </c>
      <c r="D100" s="1989" t="s">
        <v>1868</v>
      </c>
      <c r="E100" s="2488">
        <v>46126</v>
      </c>
      <c r="F100" s="2033">
        <v>6.75</v>
      </c>
      <c r="G100" s="2525" t="s">
        <v>1869</v>
      </c>
      <c r="H100" s="1989" t="s">
        <v>1565</v>
      </c>
      <c r="I100" s="2266" t="s">
        <v>1870</v>
      </c>
      <c r="J100" s="2033" t="s">
        <v>1506</v>
      </c>
      <c r="K100" s="2509" t="s">
        <v>1871</v>
      </c>
      <c r="L100" s="2526" t="s">
        <v>712</v>
      </c>
      <c r="M100" s="2527" t="s">
        <v>1428</v>
      </c>
      <c r="N100" s="1987">
        <v>3.78240499739719</v>
      </c>
      <c r="O100" s="1987">
        <f>39.3/F100/1.13*1.05</f>
        <v>5.41002949852507</v>
      </c>
      <c r="P100" s="1987">
        <v>22.8</v>
      </c>
      <c r="Q100" s="1987">
        <f>22.5/F100</f>
        <v>3.33333333333333</v>
      </c>
      <c r="R100" s="1987">
        <f t="shared" si="9"/>
        <v>31.5433628318584</v>
      </c>
      <c r="S100" s="2104">
        <v>20</v>
      </c>
      <c r="T100" s="2529" t="s">
        <v>1872</v>
      </c>
      <c r="U100" s="1989" t="s">
        <v>1873</v>
      </c>
      <c r="V100" s="2650"/>
      <c r="W100" s="2658"/>
      <c r="X100" s="2597"/>
      <c r="Y100" s="2597"/>
      <c r="Z100" s="2609"/>
      <c r="AA100" s="2597"/>
      <c r="AB100" s="2597"/>
      <c r="AC100" s="2597"/>
      <c r="AD100" s="2597"/>
      <c r="AE100" s="2609"/>
      <c r="AF100" s="2609"/>
    </row>
    <row r="101" spans="1:32">
      <c r="A101">
        <v>2</v>
      </c>
      <c r="B101" s="2659">
        <v>46246</v>
      </c>
      <c r="C101" s="1989" t="s">
        <v>1874</v>
      </c>
      <c r="D101" s="2525" t="s">
        <v>1868</v>
      </c>
      <c r="E101" s="2488">
        <v>46129</v>
      </c>
      <c r="F101" s="2033">
        <v>6.75</v>
      </c>
      <c r="G101" s="2525" t="s">
        <v>1875</v>
      </c>
      <c r="H101" s="1989" t="s">
        <v>1565</v>
      </c>
      <c r="I101" s="2266" t="s">
        <v>1870</v>
      </c>
      <c r="J101" s="2033" t="s">
        <v>1506</v>
      </c>
      <c r="K101" s="2509" t="s">
        <v>1876</v>
      </c>
      <c r="L101" s="2033" t="s">
        <v>712</v>
      </c>
      <c r="M101" s="2527" t="s">
        <v>1428</v>
      </c>
      <c r="N101" s="1987">
        <f>52.97/6.78/1.13*1.05</f>
        <v>7.25957396820425</v>
      </c>
      <c r="O101" s="1987">
        <f>54.8/6.75/1.13*1.05</f>
        <v>7.54375614552606</v>
      </c>
      <c r="P101" s="1987">
        <v>25.3</v>
      </c>
      <c r="Q101" s="1987">
        <f>22.5/F101</f>
        <v>3.33333333333333</v>
      </c>
      <c r="R101" s="1987">
        <f t="shared" si="9"/>
        <v>36.1770894788594</v>
      </c>
      <c r="S101" s="2104">
        <v>22.2</v>
      </c>
      <c r="T101" s="2529" t="s">
        <v>1877</v>
      </c>
      <c r="U101" s="1989" t="s">
        <v>1878</v>
      </c>
      <c r="V101" s="2650"/>
      <c r="W101" s="2658"/>
    </row>
    <row r="102" s="2597" customFormat="1" ht="13.2" spans="1:32">
      <c r="A102" s="2597">
        <v>3</v>
      </c>
      <c r="C102" s="1989" t="s">
        <v>1879</v>
      </c>
      <c r="D102" s="2525" t="s">
        <v>1880</v>
      </c>
      <c r="E102" s="2488">
        <v>46132</v>
      </c>
      <c r="F102" s="2033">
        <v>6.75</v>
      </c>
      <c r="G102" s="2525" t="s">
        <v>1881</v>
      </c>
      <c r="H102" s="1989" t="s">
        <v>1617</v>
      </c>
      <c r="I102" s="2266" t="s">
        <v>1870</v>
      </c>
      <c r="J102" s="2509" t="s">
        <v>1822</v>
      </c>
      <c r="K102" s="2509" t="s">
        <v>1428</v>
      </c>
      <c r="L102" s="2526" t="s">
        <v>712</v>
      </c>
      <c r="M102" s="2527" t="s">
        <v>1428</v>
      </c>
      <c r="N102" s="1987">
        <v>3.50442477876106</v>
      </c>
      <c r="O102" s="1987">
        <v>3.85486725663717</v>
      </c>
      <c r="P102" s="1987">
        <v>42.3</v>
      </c>
      <c r="Q102" s="1987">
        <f>22.5/F102/1.13</f>
        <v>2.94985250737463</v>
      </c>
      <c r="R102" s="1987">
        <f t="shared" si="9"/>
        <v>49.1047197640118</v>
      </c>
      <c r="S102" s="2104">
        <v>38.4</v>
      </c>
      <c r="T102" s="2529" t="s">
        <v>1882</v>
      </c>
      <c r="U102" s="1989" t="s">
        <v>1883</v>
      </c>
      <c r="V102" s="2650"/>
      <c r="W102" s="2651"/>
      <c r="X102" s="2597"/>
      <c r="Y102" s="2597"/>
      <c r="Z102" s="2609"/>
      <c r="AA102" s="2597"/>
      <c r="AB102" s="2597"/>
      <c r="AC102" s="2597"/>
      <c r="AD102" s="2597"/>
      <c r="AE102" s="2609"/>
      <c r="AF102" s="2609"/>
    </row>
    <row r="103" spans="1:32">
      <c r="A103">
        <v>3</v>
      </c>
      <c r="B103" s="2659">
        <v>46251</v>
      </c>
      <c r="C103" s="1989" t="s">
        <v>1884</v>
      </c>
      <c r="D103" s="2525" t="s">
        <v>1541</v>
      </c>
      <c r="E103" s="2488">
        <v>46157</v>
      </c>
      <c r="F103" s="2295">
        <v>6.75</v>
      </c>
      <c r="G103" s="2525" t="s">
        <v>1885</v>
      </c>
      <c r="H103" s="1989" t="s">
        <v>1551</v>
      </c>
      <c r="I103" s="2266" t="s">
        <v>1886</v>
      </c>
      <c r="J103" s="2509" t="s">
        <v>1887</v>
      </c>
      <c r="K103" s="2509" t="s">
        <v>1871</v>
      </c>
      <c r="L103" s="2526" t="s">
        <v>712</v>
      </c>
      <c r="M103" s="2527" t="s">
        <v>1507</v>
      </c>
      <c r="N103" s="1987">
        <v>7.63040083289953</v>
      </c>
      <c r="O103" s="1987">
        <f>57.5/6.75/1.13*1.05</f>
        <v>7.91543756145526</v>
      </c>
      <c r="P103" s="1987">
        <v>23.7</v>
      </c>
      <c r="Q103" s="1987">
        <f>22/F103</f>
        <v>3.25925925925926</v>
      </c>
      <c r="R103" s="1987">
        <f t="shared" si="9"/>
        <v>34.8746968207145</v>
      </c>
      <c r="S103" s="2104">
        <v>20.9</v>
      </c>
      <c r="T103" s="2529" t="s">
        <v>1888</v>
      </c>
      <c r="U103" s="1989" t="s">
        <v>1889</v>
      </c>
      <c r="V103" s="2650"/>
      <c r="W103" s="2651"/>
    </row>
    <row r="104" s="2597" customFormat="1" ht="13.2" spans="1:32">
      <c r="A104" s="2597">
        <v>3</v>
      </c>
      <c r="C104" s="1989" t="s">
        <v>1890</v>
      </c>
      <c r="D104" s="1989" t="s">
        <v>1891</v>
      </c>
      <c r="E104" s="2488">
        <v>46164</v>
      </c>
      <c r="F104" s="2660">
        <v>6.7</v>
      </c>
      <c r="G104" s="2525" t="s">
        <v>1892</v>
      </c>
      <c r="H104" s="1989" t="s">
        <v>1565</v>
      </c>
      <c r="I104" s="2266" t="s">
        <v>1893</v>
      </c>
      <c r="J104" s="2033" t="s">
        <v>1506</v>
      </c>
      <c r="K104" s="2509" t="s">
        <v>1428</v>
      </c>
      <c r="L104" s="2526" t="s">
        <v>712</v>
      </c>
      <c r="M104" s="2527" t="s">
        <v>1428</v>
      </c>
      <c r="N104" s="1987">
        <v>4.54138469547111</v>
      </c>
      <c r="O104" s="1987">
        <v>4.99552316501822</v>
      </c>
      <c r="P104" s="1987">
        <v>23.4</v>
      </c>
      <c r="Q104" s="1987">
        <f>22/F104</f>
        <v>3.28358208955224</v>
      </c>
      <c r="R104" s="1987">
        <f t="shared" si="9"/>
        <v>31.6791052545705</v>
      </c>
      <c r="S104" s="2104">
        <v>20.71</v>
      </c>
      <c r="T104" s="2529" t="s">
        <v>1894</v>
      </c>
      <c r="U104" s="1989" t="s">
        <v>1895</v>
      </c>
      <c r="V104" s="2650"/>
      <c r="W104" s="2651"/>
      <c r="X104" s="2597"/>
      <c r="Y104" s="2597"/>
      <c r="Z104" s="2609"/>
      <c r="AA104" s="2597"/>
      <c r="AB104" s="2597"/>
      <c r="AC104" s="2597"/>
      <c r="AD104" s="2597"/>
      <c r="AE104" s="2609"/>
      <c r="AF104" s="2609"/>
    </row>
    <row r="105" spans="1:32">
      <c r="A105">
        <v>3</v>
      </c>
      <c r="B105" s="2659">
        <v>46246</v>
      </c>
      <c r="C105" s="1989" t="s">
        <v>1896</v>
      </c>
      <c r="D105" s="2525" t="s">
        <v>1832</v>
      </c>
      <c r="E105" s="2488">
        <v>46167</v>
      </c>
      <c r="F105" s="2295">
        <v>6.75</v>
      </c>
      <c r="G105" s="2525" t="s">
        <v>1551</v>
      </c>
      <c r="H105" s="1989" t="s">
        <v>1551</v>
      </c>
      <c r="I105" s="2266" t="s">
        <v>1897</v>
      </c>
      <c r="J105" s="2033" t="s">
        <v>1506</v>
      </c>
      <c r="K105" s="2509" t="s">
        <v>1428</v>
      </c>
      <c r="L105" s="2526" t="s">
        <v>712</v>
      </c>
      <c r="M105" s="2527" t="s">
        <v>1428</v>
      </c>
      <c r="N105" s="1987">
        <f>74.05/6.78/1.13*1.05</f>
        <v>10.1486020831702</v>
      </c>
      <c r="O105" s="1987">
        <f>74.1/F105/1.13*1.05</f>
        <v>10.2005899705015</v>
      </c>
      <c r="P105" s="1987">
        <v>24.8</v>
      </c>
      <c r="Q105" s="1987">
        <f>23.5/F105</f>
        <v>3.48148148148148</v>
      </c>
      <c r="R105" s="1987">
        <f t="shared" si="9"/>
        <v>38.482071451983</v>
      </c>
      <c r="S105" s="2104">
        <v>21.9</v>
      </c>
      <c r="T105" s="2529" t="s">
        <v>1898</v>
      </c>
      <c r="U105" s="1989" t="s">
        <v>1899</v>
      </c>
      <c r="V105" s="2650"/>
      <c r="W105" s="2651"/>
    </row>
    <row r="106" s="2597" customFormat="1" ht="13.2" spans="1:32">
      <c r="A106" s="2597">
        <v>3</v>
      </c>
      <c r="C106" s="1989" t="s">
        <v>1900</v>
      </c>
      <c r="D106" s="2525" t="s">
        <v>1901</v>
      </c>
      <c r="E106" s="2488">
        <v>46188</v>
      </c>
      <c r="F106" s="2295">
        <v>6.75</v>
      </c>
      <c r="G106" s="2525" t="s">
        <v>1902</v>
      </c>
      <c r="H106" s="1989" t="s">
        <v>1617</v>
      </c>
      <c r="I106" s="1989" t="s">
        <v>1428</v>
      </c>
      <c r="J106" s="2509" t="s">
        <v>1903</v>
      </c>
      <c r="K106" s="2509" t="s">
        <v>1428</v>
      </c>
      <c r="L106" s="2526" t="s">
        <v>712</v>
      </c>
      <c r="M106" s="2527" t="s">
        <v>1428</v>
      </c>
      <c r="N106" s="1987">
        <v>8.87573964497042</v>
      </c>
      <c r="O106" s="1987">
        <v>9.76331360946746</v>
      </c>
      <c r="P106" s="1987">
        <v>20.1</v>
      </c>
      <c r="Q106" s="1987">
        <f t="shared" ref="Q106:Q108" si="11">32/F106</f>
        <v>4.74074074074074</v>
      </c>
      <c r="R106" s="1987">
        <f t="shared" si="9"/>
        <v>34.6040543502082</v>
      </c>
      <c r="S106" s="2104">
        <v>17.65</v>
      </c>
      <c r="T106" s="2529"/>
      <c r="U106" s="1989" t="s">
        <v>1904</v>
      </c>
      <c r="V106" s="2650"/>
      <c r="W106" s="2651"/>
      <c r="X106" s="2597"/>
      <c r="Y106" s="2597"/>
      <c r="Z106" s="2609"/>
      <c r="AA106" s="2597"/>
      <c r="AB106" s="2597"/>
      <c r="AC106" s="2597"/>
      <c r="AD106" s="2597"/>
      <c r="AE106" s="2609"/>
      <c r="AF106" s="2609"/>
    </row>
    <row r="107" s="2597" customFormat="1" ht="13.2" spans="1:32">
      <c r="A107" s="2597">
        <v>3</v>
      </c>
      <c r="C107" s="1989" t="s">
        <v>1900</v>
      </c>
      <c r="D107" s="2525" t="s">
        <v>1901</v>
      </c>
      <c r="E107" s="2488">
        <v>46188</v>
      </c>
      <c r="F107" s="2295">
        <v>6.75</v>
      </c>
      <c r="G107" s="2525" t="s">
        <v>1905</v>
      </c>
      <c r="H107" s="1989" t="s">
        <v>1629</v>
      </c>
      <c r="I107" s="1989" t="s">
        <v>1428</v>
      </c>
      <c r="J107" s="2509" t="s">
        <v>1903</v>
      </c>
      <c r="K107" s="2509" t="s">
        <v>1428</v>
      </c>
      <c r="L107" s="2526" t="s">
        <v>712</v>
      </c>
      <c r="M107" s="2527" t="s">
        <v>1428</v>
      </c>
      <c r="N107" s="1987">
        <v>8.87573964497042</v>
      </c>
      <c r="O107" s="1987">
        <v>9.76331360946746</v>
      </c>
      <c r="P107" s="1987">
        <v>22.7</v>
      </c>
      <c r="Q107" s="1987">
        <f t="shared" si="11"/>
        <v>4.74074074074074</v>
      </c>
      <c r="R107" s="1987">
        <f t="shared" si="9"/>
        <v>37.2040543502082</v>
      </c>
      <c r="S107" s="2104">
        <v>20.1</v>
      </c>
      <c r="T107" s="2529"/>
      <c r="U107" s="1989" t="s">
        <v>1906</v>
      </c>
      <c r="V107" s="2650"/>
      <c r="W107" s="2651"/>
      <c r="X107" s="2597"/>
      <c r="Y107" s="2597"/>
      <c r="Z107" s="2609"/>
      <c r="AA107" s="2597"/>
      <c r="AB107" s="2597"/>
      <c r="AC107" s="2597"/>
      <c r="AD107" s="2597"/>
      <c r="AE107" s="2609"/>
      <c r="AF107" s="2609"/>
    </row>
    <row r="108" spans="1:32">
      <c r="A108">
        <v>3</v>
      </c>
      <c r="C108" s="1989" t="s">
        <v>1907</v>
      </c>
      <c r="D108" s="2525" t="s">
        <v>1901</v>
      </c>
      <c r="E108" s="2488">
        <v>46188</v>
      </c>
      <c r="F108" s="2295">
        <v>6.75</v>
      </c>
      <c r="G108" s="2525" t="s">
        <v>1551</v>
      </c>
      <c r="H108" s="1989"/>
      <c r="I108" s="1989" t="s">
        <v>1428</v>
      </c>
      <c r="J108" s="2509" t="s">
        <v>1903</v>
      </c>
      <c r="K108" s="2509" t="s">
        <v>1428</v>
      </c>
      <c r="L108" s="2526" t="s">
        <v>712</v>
      </c>
      <c r="M108" s="2527" t="s">
        <v>1428</v>
      </c>
      <c r="N108" s="1987">
        <v>8.87573964497042</v>
      </c>
      <c r="O108" s="1987">
        <v>9.76331360946746</v>
      </c>
      <c r="P108" s="1987">
        <v>22.53</v>
      </c>
      <c r="Q108" s="1987">
        <f t="shared" si="11"/>
        <v>4.74074074074074</v>
      </c>
      <c r="R108" s="1987">
        <f t="shared" si="9"/>
        <v>37.0340543502082</v>
      </c>
      <c r="S108" s="2104">
        <v>19.93</v>
      </c>
      <c r="T108" s="658" t="s">
        <v>1526</v>
      </c>
      <c r="U108" s="1989" t="s">
        <v>1908</v>
      </c>
      <c r="V108" s="2650"/>
      <c r="W108" s="2651"/>
    </row>
    <row r="185" spans="5:22">
      <c r="E185" s="2533"/>
      <c r="F185" s="2533">
        <v>6.8226</v>
      </c>
      <c r="G185" s="2661"/>
      <c r="H185" s="2662"/>
      <c r="I185" s="2662"/>
      <c r="J185" s="2125"/>
      <c r="K185" s="2125"/>
      <c r="L185" s="2663"/>
      <c r="M185" s="2664"/>
      <c r="N185" s="2538"/>
      <c r="O185" s="2538"/>
      <c r="P185" s="2538"/>
      <c r="Q185" s="2272"/>
      <c r="R185" s="2665"/>
      <c r="S185" s="2538">
        <v>16.17</v>
      </c>
      <c r="T185" s="2666"/>
      <c r="U185" s="2662"/>
      <c r="V185" s="2662"/>
    </row>
    <row r="191" spans="5:22">
      <c r="F191" s="2667"/>
      <c r="G191" s="2668"/>
      <c r="H191" s="2669"/>
      <c r="I191" s="2669"/>
      <c r="J191" s="2670"/>
      <c r="K191" s="2670"/>
      <c r="L191" s="2671"/>
      <c r="M191" s="2672"/>
      <c r="N191" s="2673"/>
      <c r="O191" s="2673"/>
      <c r="P191" s="2673"/>
      <c r="Q191" s="2674">
        <f>23.49+20/6.7739/1.13</f>
        <v>26.1028397295868</v>
      </c>
      <c r="R191" s="2674"/>
      <c r="S191" s="2673"/>
    </row>
    <row r="653" spans="1:14">
      <c r="A653" s="1855" t="s">
        <v>1366</v>
      </c>
      <c r="B653" s="1855"/>
      <c r="C653" s="2566"/>
      <c r="D653" s="2567"/>
      <c r="E653" s="2540" t="s">
        <v>1367</v>
      </c>
      <c r="F653" s="2540"/>
      <c r="G653" s="2567"/>
      <c r="H653" s="2566">
        <v>2.92</v>
      </c>
      <c r="I653" s="2566"/>
      <c r="J653" s="1975">
        <v>9.82</v>
      </c>
      <c r="K653" s="1975">
        <v>0.76</v>
      </c>
      <c r="L653" s="2224"/>
      <c r="M653" s="2675"/>
      <c r="N653" s="1873" t="s">
        <v>1368</v>
      </c>
    </row>
  </sheetData>
  <mergeCells count="20">
    <mergeCell ref="C1:C8"/>
    <mergeCell ref="C10:C11"/>
    <mergeCell ref="C12:C13"/>
    <mergeCell ref="C14:C15"/>
    <mergeCell ref="C16:C17"/>
    <mergeCell ref="C18:C19"/>
    <mergeCell ref="C20:C21"/>
    <mergeCell ref="C23:C24"/>
    <mergeCell ref="C25:C26"/>
    <mergeCell ref="C28:C30"/>
    <mergeCell ref="C31:C32"/>
    <mergeCell ref="C35:C36"/>
    <mergeCell ref="C37:C39"/>
    <mergeCell ref="C40:C42"/>
    <mergeCell ref="C45:C47"/>
    <mergeCell ref="C53:C55"/>
    <mergeCell ref="D51:D52"/>
    <mergeCell ref="U1:U8"/>
    <mergeCell ref="X2:X9"/>
    <mergeCell ref="AC7:AC8"/>
  </mergeCells>
  <pageMargins left="0.7" right="0.7" top="0.75" bottom="0.75" header="0.3" footer="0.3"/>
  <pageSetup paperSize="9" orientation="portrait"/>
  <headerFooter/>
  <ignoredErrors>
    <ignoredError sqref="Q49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0000"/>
  </sheetPr>
  <dimension ref="A1:J13"/>
  <sheetViews>
    <sheetView zoomScale="85" zoomScaleNormal="85" workbookViewId="0">
      <selection activeCell="G521" sqref="G521"/>
    </sheetView>
  </sheetViews>
  <sheetFormatPr defaultColWidth="8.73148148148148" defaultRowHeight="14.4"/>
  <cols>
    <col min="2" max="2" width="28.1851851851852" customWidth="1"/>
    <col min="9" max="9" width="12.8148148148148"/>
    <col min="10" max="10" width="42.5648148148148" customWidth="1"/>
  </cols>
  <sheetData>
    <row r="1" ht="15.6" spans="1:10">
      <c r="A1" s="2582"/>
      <c r="B1" s="1463" t="s">
        <v>1909</v>
      </c>
      <c r="C1" s="2583"/>
      <c r="D1" s="1466"/>
      <c r="E1" s="1466"/>
      <c r="F1" s="1466"/>
      <c r="G1" s="1467"/>
      <c r="H1" s="1700"/>
    </row>
    <row r="2" ht="15.6" spans="1:10">
      <c r="A2" s="2582"/>
      <c r="B2" s="2584" t="s">
        <v>1490</v>
      </c>
      <c r="C2" s="2585" t="s">
        <v>1496</v>
      </c>
      <c r="D2" s="2586" t="s">
        <v>1910</v>
      </c>
      <c r="E2" s="2586" t="s">
        <v>7</v>
      </c>
      <c r="F2" s="2586" t="s">
        <v>6</v>
      </c>
      <c r="G2" s="2586" t="s">
        <v>8</v>
      </c>
      <c r="H2" s="2586" t="s">
        <v>9</v>
      </c>
      <c r="I2" s="2586" t="s">
        <v>10</v>
      </c>
      <c r="J2" s="2586" t="s">
        <v>1911</v>
      </c>
    </row>
    <row r="3" s="168" customFormat="1" spans="1:10">
      <c r="A3" s="2587"/>
      <c r="B3" s="930" t="s">
        <v>1912</v>
      </c>
      <c r="C3" s="1163" t="s">
        <v>1511</v>
      </c>
      <c r="D3" s="1625" t="s">
        <v>1913</v>
      </c>
      <c r="E3" s="2588">
        <v>17.9655276699893</v>
      </c>
      <c r="F3" s="2589">
        <f>35.53/7.04/1.13</f>
        <v>4.4662610619469</v>
      </c>
      <c r="G3" s="2589">
        <v>3</v>
      </c>
      <c r="H3" s="2589">
        <f>SUM(E3:G3)</f>
        <v>25.4317887319362</v>
      </c>
      <c r="I3" s="168" t="s">
        <v>1914</v>
      </c>
      <c r="J3" s="168" t="s">
        <v>1915</v>
      </c>
    </row>
    <row r="4" s="168" customFormat="1" ht="15" spans="1:10">
      <c r="A4" s="2587"/>
      <c r="B4" s="930" t="s">
        <v>1780</v>
      </c>
      <c r="C4" s="997" t="s">
        <v>1916</v>
      </c>
      <c r="D4" s="1625" t="s">
        <v>1913</v>
      </c>
      <c r="E4" s="2588">
        <v>16.1894176457775</v>
      </c>
      <c r="F4" s="2589">
        <f>47.32/7.04/1.13</f>
        <v>5.9483105390185</v>
      </c>
      <c r="G4" s="2589">
        <v>3.2</v>
      </c>
      <c r="H4" s="2589">
        <f>SUM(E4:G4)</f>
        <v>25.337728184796</v>
      </c>
      <c r="I4" s="168" t="s">
        <v>1914</v>
      </c>
      <c r="J4" s="168" t="s">
        <v>1917</v>
      </c>
    </row>
    <row r="5" s="2581" customFormat="1" spans="1:10">
      <c r="A5" s="2590"/>
      <c r="B5" s="2591"/>
      <c r="C5" s="2592"/>
      <c r="D5" s="2593" t="s">
        <v>1918</v>
      </c>
      <c r="E5" s="2594">
        <f>E4-E3</f>
        <v>-1.7761100242118</v>
      </c>
      <c r="F5" s="2594">
        <f>F4-F3</f>
        <v>1.4820494770716</v>
      </c>
      <c r="G5" s="2594">
        <f>G4-G3</f>
        <v>0.2</v>
      </c>
      <c r="H5" s="2594">
        <f>H4-H3</f>
        <v>-0.0940605471401987</v>
      </c>
    </row>
    <row r="6" s="168" customFormat="1" spans="1:10">
      <c r="A6" s="2587"/>
      <c r="B6" s="930" t="s">
        <v>1919</v>
      </c>
      <c r="C6" s="1163" t="s">
        <v>1511</v>
      </c>
      <c r="D6" s="1625" t="s">
        <v>1913</v>
      </c>
      <c r="E6" s="2588">
        <v>20.25</v>
      </c>
      <c r="F6" s="2589">
        <f>30.43/7.04/1.13</f>
        <v>3.82517095736122</v>
      </c>
      <c r="G6" s="2589">
        <f>25.08/7.04/1.13</f>
        <v>3.15265486725664</v>
      </c>
      <c r="H6" s="2589">
        <f>SUM(E6:G6)</f>
        <v>27.2278258246179</v>
      </c>
    </row>
    <row r="7" s="168" customFormat="1" spans="1:10">
      <c r="A7" s="2587"/>
      <c r="B7" s="930" t="s">
        <v>1920</v>
      </c>
      <c r="C7" s="1163" t="s">
        <v>1511</v>
      </c>
      <c r="D7" s="1625" t="s">
        <v>1913</v>
      </c>
      <c r="E7" s="2588">
        <v>20</v>
      </c>
      <c r="F7" s="2589">
        <f>47.63/7.04/1.13</f>
        <v>5.98727876106195</v>
      </c>
      <c r="G7" s="2589">
        <f>27.12/7.04/1.13</f>
        <v>3.40909090909091</v>
      </c>
      <c r="H7" s="2589">
        <f>SUM(E7:G7)</f>
        <v>29.3963696701529</v>
      </c>
      <c r="I7" s="168" t="s">
        <v>1914</v>
      </c>
    </row>
    <row r="8" s="2581" customFormat="1" spans="1:10">
      <c r="A8" s="2590"/>
      <c r="B8" s="2591"/>
      <c r="C8" s="2592"/>
      <c r="D8" s="2593" t="s">
        <v>1918</v>
      </c>
      <c r="E8" s="2594">
        <f>E7-E6</f>
        <v>-0.25</v>
      </c>
      <c r="F8" s="2594">
        <f>F7-F6</f>
        <v>2.16210780370072</v>
      </c>
      <c r="G8" s="2594">
        <f>G7-G6</f>
        <v>0.256436041834272</v>
      </c>
      <c r="H8" s="2594">
        <f>H7-H6</f>
        <v>2.168543845535</v>
      </c>
    </row>
    <row r="9" s="168" customFormat="1" ht="15" spans="1:10">
      <c r="A9" s="2587"/>
      <c r="B9" s="930" t="s">
        <v>1921</v>
      </c>
      <c r="C9" s="1163" t="s">
        <v>1511</v>
      </c>
      <c r="D9" s="2595" t="s">
        <v>1913</v>
      </c>
      <c r="E9" s="2588">
        <v>21.2862571621297</v>
      </c>
      <c r="F9" s="2589">
        <f>37.8775/7.04/1.13</f>
        <v>4.76135106596943</v>
      </c>
      <c r="G9" s="2589">
        <v>3.5</v>
      </c>
      <c r="H9" s="2589">
        <f>SUM(E9:G9)</f>
        <v>29.5476082280991</v>
      </c>
      <c r="I9" s="168" t="s">
        <v>1914</v>
      </c>
      <c r="J9" s="168" t="s">
        <v>1922</v>
      </c>
    </row>
    <row r="10" s="168" customFormat="1" spans="1:10">
      <c r="A10" s="2587"/>
      <c r="B10" s="930" t="s">
        <v>1923</v>
      </c>
      <c r="C10" s="1163" t="s">
        <v>1511</v>
      </c>
      <c r="D10" s="1625" t="s">
        <v>1913</v>
      </c>
      <c r="E10" s="2589">
        <f>18.4933180946859</f>
        <v>18.4933180946859</v>
      </c>
      <c r="F10" s="2589">
        <f>37.8775/7.04/1.13</f>
        <v>4.76135106596943</v>
      </c>
      <c r="G10" s="2589">
        <v>4</v>
      </c>
      <c r="H10" s="2589">
        <f>SUM(E10:G10)</f>
        <v>27.2546691606553</v>
      </c>
      <c r="I10" s="168" t="s">
        <v>1914</v>
      </c>
      <c r="J10" s="168" t="s">
        <v>1924</v>
      </c>
    </row>
    <row r="11" s="2581" customFormat="1" spans="1:10">
      <c r="A11" s="2590"/>
      <c r="B11" s="2591"/>
      <c r="C11" s="2590"/>
      <c r="D11" s="2593" t="s">
        <v>1918</v>
      </c>
      <c r="E11" s="2594">
        <f>E10-E9</f>
        <v>-2.7929390674438</v>
      </c>
      <c r="F11" s="2594">
        <f>F10-F9</f>
        <v>0</v>
      </c>
      <c r="G11" s="2594">
        <f>G10-G9</f>
        <v>0.5</v>
      </c>
      <c r="H11" s="2594">
        <f>H10-H9</f>
        <v>-2.2929390674438</v>
      </c>
    </row>
    <row r="13" spans="1:10">
      <c r="E13">
        <f>0.7+1.25</f>
        <v>1.95</v>
      </c>
    </row>
  </sheetData>
  <pageMargins left="0.75" right="0.75" top="1" bottom="1" header="0.5" footer="0.5"/>
  <pageSetup paperSize="9" orientation="portrait"/>
  <headerFooter/>
  <ignoredErrors>
    <ignoredError sqref="H5 H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0000"/>
  </sheetPr>
  <dimension ref="A1:XFD1048576"/>
  <sheetViews>
    <sheetView zoomScale="85" zoomScaleNormal="85" workbookViewId="0">
      <pane ySplit="7" topLeftCell="A13" activePane="bottomLeft" state="frozen"/>
      <selection/>
      <selection pane="bottomLeft" activeCell="J24" sqref="J24"/>
    </sheetView>
  </sheetViews>
  <sheetFormatPr defaultColWidth="9" defaultRowHeight="13.8"/>
  <cols>
    <col min="1" max="1" width="5.5" style="991" customWidth="1"/>
    <col min="2" max="2" width="24.8333333333333" style="992" customWidth="1"/>
    <col min="3" max="3" width="19.4444444444444" style="992" hidden="1" customWidth="1"/>
    <col min="4" max="4" width="14.25" style="1937" hidden="1" customWidth="1"/>
    <col min="5" max="5" width="10.4722222222222" style="1937" hidden="1" customWidth="1"/>
    <col min="6" max="6" width="21.6944444444444" style="1937" customWidth="1"/>
    <col min="7" max="7" width="9.22222222222222" style="1938" hidden="1" customWidth="1"/>
    <col min="8" max="8" width="19.2222222222222" style="1938" hidden="1" customWidth="1"/>
    <col min="9" max="9" width="15.3703703703704" style="1104" hidden="1" customWidth="1"/>
    <col min="10" max="10" width="21.5555555555556" style="1104" customWidth="1"/>
    <col min="11" max="11" width="15.6759259259259" style="1939" customWidth="1"/>
    <col min="12" max="12" width="14.9166666666667" style="1939" customWidth="1"/>
    <col min="13" max="13" width="15.287037037037" style="808" customWidth="1"/>
    <col min="14" max="14" width="10" style="1207" customWidth="1"/>
    <col min="15" max="15" width="12.6944444444444" style="1457" customWidth="1"/>
    <col min="16" max="16" width="10.1481481481481" style="1745" customWidth="1"/>
    <col min="17" max="17" width="37.1203703703704" style="990" customWidth="1"/>
    <col min="18" max="18" width="84.8888888888889" style="991" customWidth="1"/>
    <col min="19" max="19" width="13" style="991" customWidth="1"/>
    <col min="20" max="20" width="12.8888888888889" style="839"/>
    <col min="21" max="22" width="12.8888888888889" style="839" customWidth="1"/>
    <col min="23" max="23" width="12.7314814814815" style="1940" customWidth="1"/>
    <col min="24" max="24" width="1.97222222222222" style="839" customWidth="1"/>
    <col min="25" max="25" width="9" style="991"/>
    <col min="26" max="26" width="13.2222222222222" style="839" customWidth="1"/>
    <col min="27" max="27" width="12.8888888888889" style="839" customWidth="1"/>
    <col min="28" max="28" width="11" style="1940" customWidth="1"/>
    <col min="29" max="16365" width="9" style="991"/>
    <col min="16366" max="16372" width="9" style="839"/>
    <col min="16373" max="16384" width="9" style="1935"/>
  </cols>
  <sheetData>
    <row r="1" s="188" customFormat="1" ht="14" customHeight="1" spans="1:28">
      <c r="A1" s="1772"/>
      <c r="B1" s="1941" t="s">
        <v>1925</v>
      </c>
      <c r="C1" s="97"/>
      <c r="D1" s="1466"/>
      <c r="E1" s="1466"/>
      <c r="F1" s="1466"/>
      <c r="G1" s="1466"/>
      <c r="H1" s="1466"/>
      <c r="I1" s="1466"/>
      <c r="J1" s="1466"/>
      <c r="K1" s="1466"/>
      <c r="L1" s="1466"/>
      <c r="M1" s="1466"/>
      <c r="N1" s="1466"/>
      <c r="O1" s="1467"/>
      <c r="P1" s="1700"/>
      <c r="Q1" s="1462"/>
      <c r="R1" s="1701" t="s">
        <v>1926</v>
      </c>
      <c r="S1" s="1942"/>
      <c r="T1" s="1702" t="s">
        <v>1428</v>
      </c>
      <c r="U1" s="1709" t="s">
        <v>1927</v>
      </c>
      <c r="V1" s="1709" t="s">
        <v>1928</v>
      </c>
      <c r="W1" s="1708" t="s">
        <v>1929</v>
      </c>
      <c r="X1" s="840"/>
      <c r="Y1" s="1702" t="s">
        <v>1428</v>
      </c>
      <c r="Z1" s="1709" t="s">
        <v>1927</v>
      </c>
      <c r="AA1" s="1709" t="s">
        <v>1928</v>
      </c>
      <c r="AB1" s="1708" t="s">
        <v>1929</v>
      </c>
    </row>
    <row r="2" s="188" customFormat="1" ht="14" customHeight="1" spans="1:28">
      <c r="A2" s="1772"/>
      <c r="B2" s="97"/>
      <c r="C2" s="97"/>
      <c r="D2" s="1466"/>
      <c r="E2" s="1466"/>
      <c r="F2" s="1466"/>
      <c r="G2" s="1466"/>
      <c r="H2" s="1466"/>
      <c r="I2" s="1466"/>
      <c r="J2" s="1466"/>
      <c r="K2" s="1466"/>
      <c r="L2" s="1466"/>
      <c r="M2" s="1466"/>
      <c r="N2" s="1466"/>
      <c r="O2" s="1467"/>
      <c r="P2" s="1700"/>
      <c r="Q2" s="1462"/>
      <c r="R2" s="1701"/>
      <c r="S2" s="1942"/>
      <c r="T2" s="1705" t="s">
        <v>1428</v>
      </c>
      <c r="U2" s="1776" t="s">
        <v>1469</v>
      </c>
      <c r="V2" s="1707" t="s">
        <v>1470</v>
      </c>
      <c r="W2" s="1708">
        <v>0.64</v>
      </c>
      <c r="X2" s="1709"/>
      <c r="Y2" s="1705" t="s">
        <v>1428</v>
      </c>
      <c r="Z2" s="1709" t="s">
        <v>1471</v>
      </c>
      <c r="AA2" s="1709">
        <v>9672</v>
      </c>
      <c r="AB2" s="1708">
        <v>1.05</v>
      </c>
    </row>
    <row r="3" s="188" customFormat="1" ht="14" customHeight="1" spans="1:28">
      <c r="A3" s="1772"/>
      <c r="B3" s="97"/>
      <c r="C3" s="97"/>
      <c r="D3" s="1466"/>
      <c r="E3" s="1466"/>
      <c r="F3" s="1466"/>
      <c r="G3" s="1466"/>
      <c r="H3" s="953"/>
      <c r="I3" s="1943"/>
      <c r="J3" s="1466"/>
      <c r="K3" s="1466"/>
      <c r="L3" s="1466"/>
      <c r="M3" s="1466"/>
      <c r="N3" s="1466"/>
      <c r="O3" s="1467"/>
      <c r="P3" s="1700"/>
      <c r="Q3" s="1462"/>
      <c r="R3" s="1701"/>
      <c r="S3" s="1942"/>
      <c r="T3" s="1705" t="s">
        <v>1428</v>
      </c>
      <c r="U3" s="1779"/>
      <c r="V3" s="1707" t="s">
        <v>1474</v>
      </c>
      <c r="W3" s="1708">
        <v>1.7769148</v>
      </c>
      <c r="X3" s="1709"/>
      <c r="Y3" s="1702" t="s">
        <v>1428</v>
      </c>
      <c r="Z3" s="1709" t="s">
        <v>1930</v>
      </c>
      <c r="AA3" s="1709" t="s">
        <v>1480</v>
      </c>
      <c r="AB3" s="1708">
        <v>0.23</v>
      </c>
    </row>
    <row r="4" s="188" customFormat="1" ht="14" customHeight="1" spans="1:28">
      <c r="A4" s="1772"/>
      <c r="B4" s="97"/>
      <c r="C4" s="97"/>
      <c r="D4" s="1466"/>
      <c r="E4" s="1466"/>
      <c r="F4" s="1466"/>
      <c r="G4" s="1466"/>
      <c r="H4" s="1466"/>
      <c r="I4" s="1466"/>
      <c r="J4" s="1466"/>
      <c r="K4" s="1466"/>
      <c r="L4" s="1466"/>
      <c r="M4" s="1466"/>
      <c r="N4" s="1466"/>
      <c r="O4" s="1467"/>
      <c r="P4" s="1700"/>
      <c r="Q4" s="1462"/>
      <c r="R4" s="1701"/>
      <c r="S4" s="1942"/>
      <c r="T4" s="1705" t="s">
        <v>1428</v>
      </c>
      <c r="U4" s="1779"/>
      <c r="V4" s="1707" t="s">
        <v>1478</v>
      </c>
      <c r="W4" s="1708">
        <v>1.8079</v>
      </c>
      <c r="X4" s="1709"/>
      <c r="Y4" s="1702" t="s">
        <v>1428</v>
      </c>
      <c r="Z4" s="1710" t="s">
        <v>1486</v>
      </c>
      <c r="AA4" s="1709">
        <v>8040</v>
      </c>
      <c r="AB4" s="1708">
        <v>2.948</v>
      </c>
    </row>
    <row r="5" s="188" customFormat="1" ht="14" customHeight="1" spans="1:28">
      <c r="A5" s="1772"/>
      <c r="B5" s="97"/>
      <c r="C5" s="97"/>
      <c r="D5" s="1466"/>
      <c r="E5" s="1466"/>
      <c r="F5" s="1466"/>
      <c r="G5" s="1466"/>
      <c r="H5" s="1466"/>
      <c r="I5" s="1466"/>
      <c r="J5" s="1466"/>
      <c r="K5" s="1466"/>
      <c r="L5" s="1466"/>
      <c r="M5" s="1466"/>
      <c r="N5" s="1466"/>
      <c r="O5" s="1467"/>
      <c r="P5" s="1700"/>
      <c r="Q5" s="1462"/>
      <c r="R5" s="1701"/>
      <c r="S5" s="1942"/>
      <c r="T5" s="1705" t="s">
        <v>1428</v>
      </c>
      <c r="U5" s="1779"/>
      <c r="V5" s="1707" t="s">
        <v>1485</v>
      </c>
      <c r="W5" s="1708">
        <v>0.52</v>
      </c>
      <c r="X5" s="1709"/>
      <c r="Y5" s="1702" t="s">
        <v>1428</v>
      </c>
      <c r="Z5" s="1711"/>
      <c r="AA5" s="1709">
        <v>9040</v>
      </c>
      <c r="AB5" s="1708">
        <v>3.054</v>
      </c>
    </row>
    <row r="6" s="188" customFormat="1" ht="21" customHeight="1" spans="1:28">
      <c r="A6" s="1772"/>
      <c r="B6" s="97"/>
      <c r="C6" s="97"/>
      <c r="D6" s="1466"/>
      <c r="E6" s="1466"/>
      <c r="F6" s="1466"/>
      <c r="G6" s="1466"/>
      <c r="H6" s="1466"/>
      <c r="I6" s="1466"/>
      <c r="J6" s="1466"/>
      <c r="K6" s="1466"/>
      <c r="L6" s="1466"/>
      <c r="M6" s="1466"/>
      <c r="N6" s="1466"/>
      <c r="O6" s="1467"/>
      <c r="P6" s="1700"/>
      <c r="Q6" s="1462"/>
      <c r="R6" s="1701"/>
      <c r="S6" s="1942"/>
      <c r="T6" s="1702"/>
      <c r="U6" s="1780"/>
      <c r="V6" s="1709" t="s">
        <v>1489</v>
      </c>
      <c r="W6" s="1708">
        <v>0.93</v>
      </c>
      <c r="X6" s="1709"/>
      <c r="Y6" s="1702"/>
      <c r="Z6" s="1709"/>
      <c r="AA6" s="1709"/>
      <c r="AB6" s="1708"/>
    </row>
    <row r="7" s="799" customFormat="1" ht="20" customHeight="1" spans="1:28">
      <c r="A7" s="1946" t="s">
        <v>1931</v>
      </c>
      <c r="B7" s="1951" t="s">
        <v>1</v>
      </c>
      <c r="C7" s="1948" t="s">
        <v>1932</v>
      </c>
      <c r="D7" s="1951" t="s">
        <v>2</v>
      </c>
      <c r="E7" s="1951" t="s">
        <v>1493</v>
      </c>
      <c r="F7" s="1948" t="s">
        <v>4</v>
      </c>
      <c r="G7" s="1949" t="s">
        <v>5</v>
      </c>
      <c r="H7" s="1950" t="s">
        <v>1933</v>
      </c>
      <c r="I7" s="1951" t="s">
        <v>1934</v>
      </c>
      <c r="J7" s="1948" t="s">
        <v>1497</v>
      </c>
      <c r="K7" s="1948" t="s">
        <v>1935</v>
      </c>
      <c r="L7" s="1948" t="s">
        <v>1497</v>
      </c>
      <c r="M7" s="1949" t="s">
        <v>6</v>
      </c>
      <c r="N7" s="1949" t="s">
        <v>7</v>
      </c>
      <c r="O7" s="1949" t="s">
        <v>8</v>
      </c>
      <c r="P7" s="1949" t="s">
        <v>9</v>
      </c>
      <c r="Q7" s="1955" t="s">
        <v>10</v>
      </c>
      <c r="R7" s="1956" t="s">
        <v>1936</v>
      </c>
      <c r="S7" s="1957"/>
      <c r="T7" s="1702"/>
      <c r="U7" s="1621"/>
      <c r="V7" s="1709"/>
      <c r="W7" s="1708"/>
      <c r="X7" s="1709"/>
      <c r="Y7" s="1702"/>
      <c r="Z7" s="1621"/>
      <c r="AA7" s="1709"/>
      <c r="AB7" s="1708"/>
    </row>
    <row r="8" s="839" customFormat="1" ht="16" customHeight="1" spans="1:28">
      <c r="A8" s="839">
        <v>1</v>
      </c>
      <c r="B8" s="1958" t="s">
        <v>1937</v>
      </c>
      <c r="C8" s="1958"/>
      <c r="D8" s="1959">
        <v>20260104</v>
      </c>
      <c r="E8" s="1959">
        <v>7.01</v>
      </c>
      <c r="F8" s="1949" t="s">
        <v>1407</v>
      </c>
      <c r="G8" s="1949"/>
      <c r="H8" s="1949"/>
      <c r="I8" s="1949"/>
      <c r="J8" s="1638" t="s">
        <v>1938</v>
      </c>
      <c r="K8" s="1638" t="s">
        <v>1507</v>
      </c>
      <c r="L8" s="1642" t="s">
        <v>1938</v>
      </c>
      <c r="M8" s="1642">
        <f>[2]深圳英众PCB单价清单!$P$1014/E8/1.13</f>
        <v>3.72413618976683</v>
      </c>
      <c r="N8" s="1643">
        <v>41.2486229704026</v>
      </c>
      <c r="O8" s="1642">
        <v>3.5</v>
      </c>
      <c r="P8" s="1642">
        <f t="shared" ref="P8:P22" si="0">SUM(K8:O8)</f>
        <v>48.4727591601694</v>
      </c>
      <c r="Q8" s="1955" t="s">
        <v>1526</v>
      </c>
      <c r="R8" s="1949" t="s">
        <v>1939</v>
      </c>
      <c r="S8" s="1960"/>
      <c r="T8" s="1961"/>
      <c r="U8" s="1601"/>
      <c r="V8" s="1962"/>
      <c r="W8" s="1963"/>
      <c r="X8" s="1962"/>
      <c r="Y8" s="1961"/>
      <c r="Z8" s="1601"/>
      <c r="AA8" s="1962"/>
      <c r="AB8" s="1963"/>
    </row>
    <row r="9" s="839" customFormat="1" ht="16" customHeight="1" spans="1:28">
      <c r="A9" s="839">
        <v>2</v>
      </c>
      <c r="B9" s="1958" t="s">
        <v>1940</v>
      </c>
      <c r="C9" s="1958"/>
      <c r="D9" s="1959"/>
      <c r="E9" s="1959"/>
      <c r="F9" s="1949" t="s">
        <v>1408</v>
      </c>
      <c r="G9" s="1949"/>
      <c r="H9" s="1949"/>
      <c r="I9" s="1949"/>
      <c r="J9" s="1638" t="s">
        <v>1938</v>
      </c>
      <c r="K9" s="1638" t="s">
        <v>1938</v>
      </c>
      <c r="L9" s="1642" t="s">
        <v>1938</v>
      </c>
      <c r="M9" s="1642">
        <v>0.6</v>
      </c>
      <c r="N9" s="1643">
        <v>0.48775694130522</v>
      </c>
      <c r="O9" s="1642">
        <v>0.5</v>
      </c>
      <c r="P9" s="1642">
        <f t="shared" si="0"/>
        <v>1.58775694130522</v>
      </c>
      <c r="Q9" s="1955" t="s">
        <v>1526</v>
      </c>
      <c r="R9" s="1949" t="s">
        <v>1941</v>
      </c>
      <c r="S9" s="1960"/>
      <c r="T9" s="1961"/>
      <c r="U9" s="1601"/>
      <c r="V9" s="1962"/>
      <c r="W9" s="1963"/>
      <c r="X9" s="1962"/>
      <c r="Y9" s="1961"/>
      <c r="Z9" s="1601"/>
      <c r="AA9" s="1962"/>
      <c r="AB9" s="1963"/>
    </row>
    <row r="10" s="839" customFormat="1" ht="16" customHeight="1" spans="1:28">
      <c r="B10" s="1958" t="s">
        <v>1942</v>
      </c>
      <c r="C10" s="1958"/>
      <c r="D10" s="1959"/>
      <c r="E10" s="1959">
        <v>6.78</v>
      </c>
      <c r="F10" s="1959" t="s">
        <v>715</v>
      </c>
      <c r="G10" s="1949"/>
      <c r="H10" s="1949"/>
      <c r="I10" s="1949"/>
      <c r="J10" s="1964" t="s">
        <v>1428</v>
      </c>
      <c r="K10" s="1964" t="s">
        <v>712</v>
      </c>
      <c r="L10" s="1964" t="s">
        <v>1428</v>
      </c>
      <c r="M10" s="1965">
        <f>27.8/E10/1.13</f>
        <v>3.62857963296525</v>
      </c>
      <c r="N10" s="1966">
        <v>14.1</v>
      </c>
      <c r="O10" s="1965">
        <f>22/E10</f>
        <v>3.24483775811209</v>
      </c>
      <c r="P10" s="1965">
        <f t="shared" si="0"/>
        <v>20.9734173910773</v>
      </c>
      <c r="Q10" s="1967" t="s">
        <v>1526</v>
      </c>
      <c r="R10" s="1958" t="s">
        <v>1943</v>
      </c>
      <c r="S10" s="1960"/>
      <c r="T10" s="1961"/>
      <c r="U10" s="1601"/>
      <c r="V10" s="1962"/>
      <c r="W10" s="1963"/>
      <c r="X10" s="1962"/>
      <c r="Y10" s="1961"/>
      <c r="Z10" s="1601"/>
      <c r="AA10" s="1962"/>
      <c r="AB10" s="1963"/>
    </row>
    <row r="11" s="839" customFormat="1" ht="16" customHeight="1" spans="1:28">
      <c r="B11" s="1968" t="s">
        <v>1944</v>
      </c>
      <c r="C11" s="1968"/>
      <c r="D11" s="1969"/>
      <c r="E11" s="1969">
        <v>6.78</v>
      </c>
      <c r="F11" s="1970" t="s">
        <v>1945</v>
      </c>
      <c r="G11" s="1949"/>
      <c r="H11" s="1949">
        <f>H9-H10</f>
        <v>0</v>
      </c>
      <c r="I11" s="1949"/>
      <c r="J11" s="1971" t="s">
        <v>1428</v>
      </c>
      <c r="K11" s="1971" t="s">
        <v>712</v>
      </c>
      <c r="L11" s="1971" t="s">
        <v>1428</v>
      </c>
      <c r="M11" s="1574">
        <f>58.17/E11/1.13*1.05</f>
        <v>7.9722374500744</v>
      </c>
      <c r="N11" s="1574">
        <f>16.4*1.05</f>
        <v>17.22</v>
      </c>
      <c r="O11" s="1574">
        <f>23/E11</f>
        <v>3.39233038348083</v>
      </c>
      <c r="P11" s="1574">
        <f t="shared" si="0"/>
        <v>28.5845678335552</v>
      </c>
      <c r="Q11" s="1972" t="s">
        <v>1946</v>
      </c>
      <c r="R11" s="1949"/>
      <c r="S11" s="1960"/>
      <c r="T11" s="1961"/>
      <c r="U11" s="1601"/>
      <c r="V11" s="1962"/>
      <c r="W11" s="1963"/>
      <c r="X11" s="1962"/>
      <c r="Y11" s="1961"/>
      <c r="Z11" s="1601"/>
      <c r="AA11" s="1962"/>
      <c r="AB11" s="1963"/>
    </row>
    <row r="12" s="839" customFormat="1" ht="16" customHeight="1" spans="1:28">
      <c r="B12" s="1968" t="s">
        <v>1944</v>
      </c>
      <c r="C12" s="1968"/>
      <c r="D12" s="1969"/>
      <c r="E12" s="1969">
        <v>6.78</v>
      </c>
      <c r="F12" s="1970" t="s">
        <v>1947</v>
      </c>
      <c r="G12" s="1949"/>
      <c r="H12" s="1949"/>
      <c r="I12" s="1949"/>
      <c r="J12" s="1971" t="s">
        <v>1428</v>
      </c>
      <c r="K12" s="1971" t="s">
        <v>712</v>
      </c>
      <c r="L12" s="1971" t="s">
        <v>1428</v>
      </c>
      <c r="M12" s="1574">
        <f>58.17/E12/1.13*1.05</f>
        <v>7.9722374500744</v>
      </c>
      <c r="N12" s="1973">
        <f>16.4*1.05</f>
        <v>17.22</v>
      </c>
      <c r="O12" s="1574">
        <f>23/E12</f>
        <v>3.39233038348083</v>
      </c>
      <c r="P12" s="1574">
        <f t="shared" si="0"/>
        <v>28.5845678335552</v>
      </c>
      <c r="Q12" s="1972" t="s">
        <v>1946</v>
      </c>
      <c r="R12" s="1949"/>
      <c r="S12" s="1960"/>
      <c r="T12" s="1961"/>
      <c r="U12" s="1601"/>
      <c r="V12" s="1962"/>
      <c r="W12" s="1963"/>
      <c r="X12" s="1962"/>
      <c r="Y12" s="1961"/>
      <c r="Z12" s="1601"/>
      <c r="AA12" s="1962"/>
      <c r="AB12" s="1963"/>
    </row>
    <row r="13" s="839" customFormat="1" ht="16" customHeight="1" spans="1:28">
      <c r="B13" s="1974" t="s">
        <v>1948</v>
      </c>
      <c r="C13" s="1958"/>
      <c r="D13" s="1959"/>
      <c r="E13" s="1959">
        <v>6.78</v>
      </c>
      <c r="F13" s="1970" t="s">
        <v>1949</v>
      </c>
      <c r="G13" s="1949"/>
      <c r="H13" s="1949"/>
      <c r="I13" s="1949"/>
      <c r="J13" s="1975" t="s">
        <v>1428</v>
      </c>
      <c r="K13" s="1975" t="s">
        <v>712</v>
      </c>
      <c r="L13" s="1975" t="s">
        <v>1428</v>
      </c>
      <c r="M13" s="1976">
        <f>62.5/E13/1.13</f>
        <v>8.15777795181037</v>
      </c>
      <c r="N13" s="1973">
        <f>13.95*1.05</f>
        <v>14.6475</v>
      </c>
      <c r="O13" s="1976">
        <f>22/E13</f>
        <v>3.24483775811209</v>
      </c>
      <c r="P13" s="1976">
        <f t="shared" si="0"/>
        <v>26.0501157099225</v>
      </c>
      <c r="Q13" s="1974" t="s">
        <v>1950</v>
      </c>
      <c r="R13" s="1949"/>
      <c r="S13" s="1960"/>
      <c r="T13" s="1961"/>
      <c r="U13" s="1601"/>
      <c r="V13" s="1962"/>
      <c r="W13" s="1963"/>
      <c r="X13" s="1962"/>
      <c r="Y13" s="1961"/>
      <c r="Z13" s="1601"/>
      <c r="AA13" s="1962"/>
      <c r="AB13" s="1963"/>
    </row>
    <row r="14" s="1930" customFormat="1" ht="16" customHeight="1" spans="1:28">
      <c r="A14" s="839"/>
      <c r="B14" s="1974" t="s">
        <v>1948</v>
      </c>
      <c r="C14" s="1958"/>
      <c r="D14" s="1959"/>
      <c r="E14" s="1959">
        <v>6.78</v>
      </c>
      <c r="F14" s="1970" t="s">
        <v>1951</v>
      </c>
      <c r="G14" s="1635"/>
      <c r="H14" s="1636"/>
      <c r="I14" s="1635"/>
      <c r="J14" s="1975" t="s">
        <v>1428</v>
      </c>
      <c r="K14" s="1975" t="s">
        <v>712</v>
      </c>
      <c r="L14" s="1975" t="s">
        <v>1428</v>
      </c>
      <c r="M14" s="1976">
        <f>62.5/E14/1.13</f>
        <v>8.15777795181037</v>
      </c>
      <c r="N14" s="1976">
        <f>15.4*1.05</f>
        <v>16.17</v>
      </c>
      <c r="O14" s="1976">
        <f>22/E14</f>
        <v>3.24483775811209</v>
      </c>
      <c r="P14" s="1976">
        <f t="shared" si="0"/>
        <v>27.5726157099225</v>
      </c>
      <c r="Q14" s="1974" t="s">
        <v>1950</v>
      </c>
      <c r="R14" s="1636"/>
      <c r="T14" s="1977"/>
      <c r="Y14" s="1977"/>
    </row>
    <row r="15" s="1930" customFormat="1" ht="16" customHeight="1" spans="1:28">
      <c r="A15" s="839"/>
      <c r="B15" s="1978" t="s">
        <v>1790</v>
      </c>
      <c r="C15" s="1978" t="s">
        <v>1791</v>
      </c>
      <c r="D15" s="1979">
        <v>46241</v>
      </c>
      <c r="E15" s="1980">
        <v>6.78</v>
      </c>
      <c r="F15" s="1981" t="s">
        <v>1952</v>
      </c>
      <c r="G15" s="1982"/>
      <c r="H15" s="1983"/>
      <c r="I15" s="1975"/>
      <c r="J15" s="1984" t="s">
        <v>1428</v>
      </c>
      <c r="K15" s="1980" t="s">
        <v>712</v>
      </c>
      <c r="L15" s="1984" t="s">
        <v>1428</v>
      </c>
      <c r="M15" s="1985">
        <f>59.12/E15/1.13</f>
        <v>7.71660532017647</v>
      </c>
      <c r="N15" s="1985">
        <v>14.2</v>
      </c>
      <c r="O15" s="1985">
        <v>2.94</v>
      </c>
      <c r="P15" s="1976">
        <f t="shared" si="0"/>
        <v>24.8566053201765</v>
      </c>
      <c r="Q15" s="1986" t="s">
        <v>1953</v>
      </c>
      <c r="R15" s="1987">
        <v>12.8666312356171</v>
      </c>
      <c r="S15" s="1988" t="s">
        <v>1526</v>
      </c>
      <c r="T15" s="1989" t="s">
        <v>1569</v>
      </c>
      <c r="Y15" s="1977"/>
    </row>
    <row r="16" s="1930" customFormat="1" ht="16" customHeight="1" spans="1:28">
      <c r="A16" s="839"/>
      <c r="B16" s="1978" t="s">
        <v>1954</v>
      </c>
      <c r="C16" s="1978" t="s">
        <v>1955</v>
      </c>
      <c r="D16" s="1979"/>
      <c r="E16" s="1980">
        <v>6.75</v>
      </c>
      <c r="F16" s="1981" t="s">
        <v>1956</v>
      </c>
      <c r="G16" s="1980" t="s">
        <v>1565</v>
      </c>
      <c r="H16" s="1983"/>
      <c r="I16" s="1975"/>
      <c r="J16" s="1984" t="s">
        <v>1428</v>
      </c>
      <c r="K16" s="1980" t="s">
        <v>712</v>
      </c>
      <c r="L16" s="1984" t="s">
        <v>1428</v>
      </c>
      <c r="M16" s="1985">
        <f t="shared" ref="M16:M18" si="1">340.5/E16/1.13</f>
        <v>44.6411012782694</v>
      </c>
      <c r="N16" s="1985">
        <v>55.6</v>
      </c>
      <c r="O16" s="1985">
        <f t="shared" ref="O16:O19" si="2">34/E16</f>
        <v>5.03703703703704</v>
      </c>
      <c r="P16" s="1574">
        <f t="shared" si="0"/>
        <v>105.278138315306</v>
      </c>
      <c r="Q16" s="1986" t="s">
        <v>1340</v>
      </c>
      <c r="R16" s="1987"/>
      <c r="S16" s="1990"/>
      <c r="T16" s="1991"/>
      <c r="Y16" s="1977"/>
    </row>
    <row r="17" s="1930" customFormat="1" ht="16" customHeight="1" spans="1:28">
      <c r="A17" s="839"/>
      <c r="B17" s="1978" t="s">
        <v>1954</v>
      </c>
      <c r="C17" s="1978" t="s">
        <v>1955</v>
      </c>
      <c r="D17" s="1979"/>
      <c r="E17" s="1980">
        <v>6.75</v>
      </c>
      <c r="F17" s="1981" t="s">
        <v>1957</v>
      </c>
      <c r="G17" s="1980" t="s">
        <v>1617</v>
      </c>
      <c r="H17" s="1983"/>
      <c r="I17" s="1975"/>
      <c r="J17" s="1984" t="s">
        <v>1428</v>
      </c>
      <c r="K17" s="1980" t="s">
        <v>712</v>
      </c>
      <c r="L17" s="1984" t="s">
        <v>1428</v>
      </c>
      <c r="M17" s="1985">
        <f t="shared" si="1"/>
        <v>44.6411012782694</v>
      </c>
      <c r="N17" s="1985">
        <v>54.9</v>
      </c>
      <c r="O17" s="1985">
        <f t="shared" si="2"/>
        <v>5.03703703703704</v>
      </c>
      <c r="P17" s="1574">
        <f t="shared" si="0"/>
        <v>104.578138315306</v>
      </c>
      <c r="Q17" s="1986" t="s">
        <v>1340</v>
      </c>
      <c r="R17" s="1987"/>
      <c r="S17" s="1990"/>
      <c r="T17" s="1991"/>
      <c r="Y17" s="1977"/>
    </row>
    <row r="18" s="1930" customFormat="1" ht="16" customHeight="1" spans="1:28">
      <c r="A18" s="839"/>
      <c r="B18" s="1978" t="s">
        <v>1954</v>
      </c>
      <c r="C18" s="1978" t="s">
        <v>1955</v>
      </c>
      <c r="D18" s="1979"/>
      <c r="E18" s="1980">
        <v>6.75</v>
      </c>
      <c r="F18" s="1981" t="s">
        <v>1958</v>
      </c>
      <c r="G18" s="1980" t="s">
        <v>1629</v>
      </c>
      <c r="H18" s="1983"/>
      <c r="I18" s="1975"/>
      <c r="J18" s="1984" t="s">
        <v>1428</v>
      </c>
      <c r="K18" s="1980" t="s">
        <v>712</v>
      </c>
      <c r="L18" s="1984" t="s">
        <v>1428</v>
      </c>
      <c r="M18" s="1985">
        <f t="shared" si="1"/>
        <v>44.6411012782694</v>
      </c>
      <c r="N18" s="1985">
        <v>54.8</v>
      </c>
      <c r="O18" s="1985">
        <f t="shared" si="2"/>
        <v>5.03703703703704</v>
      </c>
      <c r="P18" s="1574">
        <f t="shared" si="0"/>
        <v>104.478138315306</v>
      </c>
      <c r="Q18" s="1986" t="s">
        <v>1340</v>
      </c>
      <c r="R18" s="1987"/>
      <c r="S18" s="1990"/>
      <c r="T18" s="1991"/>
      <c r="Y18" s="1977"/>
    </row>
    <row r="19" s="1930" customFormat="1" ht="16" customHeight="1" spans="1:28">
      <c r="A19" s="839"/>
      <c r="B19" s="1978" t="s">
        <v>1954</v>
      </c>
      <c r="C19" s="1978" t="s">
        <v>1955</v>
      </c>
      <c r="D19" s="1992"/>
      <c r="E19" s="1993">
        <v>6.72</v>
      </c>
      <c r="F19" s="1645" t="s">
        <v>1959</v>
      </c>
      <c r="G19" s="1635"/>
      <c r="H19" s="1636"/>
      <c r="I19" s="1635"/>
      <c r="J19" s="1984" t="s">
        <v>1428</v>
      </c>
      <c r="K19" s="1980" t="s">
        <v>712</v>
      </c>
      <c r="L19" s="1984" t="s">
        <v>1428</v>
      </c>
      <c r="M19" s="1574">
        <f>73.78/E19/1.13</f>
        <v>9.71607669616519</v>
      </c>
      <c r="N19" s="1574">
        <v>57.7</v>
      </c>
      <c r="O19" s="1985">
        <f t="shared" si="2"/>
        <v>5.05952380952381</v>
      </c>
      <c r="P19" s="1574">
        <f t="shared" si="0"/>
        <v>72.475600505689</v>
      </c>
      <c r="Q19" s="1632" t="s">
        <v>1960</v>
      </c>
      <c r="R19" s="1994"/>
      <c r="T19" s="1977"/>
      <c r="Y19" s="1977"/>
    </row>
    <row r="20" s="1930" customFormat="1" ht="16" customHeight="1" spans="1:28">
      <c r="A20" s="839"/>
      <c r="B20" s="1645" t="s">
        <v>1961</v>
      </c>
      <c r="C20" s="1995" t="s">
        <v>1962</v>
      </c>
      <c r="D20" s="1992">
        <v>46275</v>
      </c>
      <c r="E20" s="1993">
        <v>6.72</v>
      </c>
      <c r="F20" s="1646" t="s">
        <v>1963</v>
      </c>
      <c r="G20" s="1635"/>
      <c r="H20" s="1636"/>
      <c r="I20" s="1635"/>
      <c r="J20" s="1984" t="s">
        <v>1428</v>
      </c>
      <c r="K20" s="1980" t="s">
        <v>712</v>
      </c>
      <c r="L20" s="1984" t="s">
        <v>1428</v>
      </c>
      <c r="M20" s="1574">
        <f t="shared" ref="M20:M22" si="3">352.5/E20/1.13</f>
        <v>46.4206700379267</v>
      </c>
      <c r="N20" s="1574">
        <v>77.1</v>
      </c>
      <c r="O20" s="1574">
        <f t="shared" ref="O20:O22" si="4">40/E20</f>
        <v>5.95238095238095</v>
      </c>
      <c r="P20" s="1574">
        <f t="shared" si="0"/>
        <v>129.473050990308</v>
      </c>
      <c r="Q20" s="1632" t="s">
        <v>1964</v>
      </c>
      <c r="R20" s="1994" t="s">
        <v>1965</v>
      </c>
      <c r="T20" s="1977"/>
      <c r="Y20" s="1977"/>
    </row>
    <row r="21" s="1930" customFormat="1" ht="16" customHeight="1" spans="1:28">
      <c r="A21" s="839"/>
      <c r="B21" s="1645" t="s">
        <v>1961</v>
      </c>
      <c r="C21" s="1995" t="s">
        <v>1962</v>
      </c>
      <c r="D21" s="1992">
        <v>46275</v>
      </c>
      <c r="E21" s="1993">
        <v>6.72</v>
      </c>
      <c r="F21" s="1646" t="s">
        <v>1966</v>
      </c>
      <c r="G21" s="1635"/>
      <c r="H21" s="1636"/>
      <c r="I21" s="1635"/>
      <c r="J21" s="1984" t="s">
        <v>1428</v>
      </c>
      <c r="K21" s="1980" t="s">
        <v>712</v>
      </c>
      <c r="L21" s="1984" t="s">
        <v>1428</v>
      </c>
      <c r="M21" s="1574">
        <f t="shared" si="3"/>
        <v>46.4206700379267</v>
      </c>
      <c r="N21" s="1574">
        <v>77.7</v>
      </c>
      <c r="O21" s="1574">
        <f t="shared" si="4"/>
        <v>5.95238095238095</v>
      </c>
      <c r="P21" s="1574">
        <f t="shared" si="0"/>
        <v>130.073050990308</v>
      </c>
      <c r="Q21" s="1632" t="s">
        <v>1964</v>
      </c>
      <c r="R21" s="1994" t="s">
        <v>1965</v>
      </c>
      <c r="T21" s="1977"/>
      <c r="Y21" s="1977"/>
    </row>
    <row r="22" s="1930" customFormat="1" ht="16" customHeight="1" spans="1:28">
      <c r="A22" s="839"/>
      <c r="B22" s="1645" t="s">
        <v>1961</v>
      </c>
      <c r="C22" s="1995" t="s">
        <v>1962</v>
      </c>
      <c r="D22" s="1992">
        <v>46275</v>
      </c>
      <c r="E22" s="1993">
        <v>6.72</v>
      </c>
      <c r="F22" s="1646" t="s">
        <v>1967</v>
      </c>
      <c r="G22" s="1635"/>
      <c r="H22" s="1636"/>
      <c r="I22" s="1635"/>
      <c r="J22" s="1984" t="s">
        <v>1428</v>
      </c>
      <c r="K22" s="1980" t="s">
        <v>712</v>
      </c>
      <c r="L22" s="1984" t="s">
        <v>1428</v>
      </c>
      <c r="M22" s="1574">
        <f t="shared" si="3"/>
        <v>46.4206700379267</v>
      </c>
      <c r="N22" s="1574">
        <v>77.7</v>
      </c>
      <c r="O22" s="1574">
        <f t="shared" si="4"/>
        <v>5.95238095238095</v>
      </c>
      <c r="P22" s="1574">
        <f t="shared" si="0"/>
        <v>130.073050990308</v>
      </c>
      <c r="Q22" s="1632" t="s">
        <v>1968</v>
      </c>
      <c r="R22" s="1994" t="s">
        <v>1965</v>
      </c>
      <c r="T22" s="1977"/>
      <c r="Y22" s="1977"/>
    </row>
    <row r="23" s="1930" customFormat="1" ht="16" customHeight="1" spans="1:28">
      <c r="A23" s="839"/>
      <c r="B23" s="1995" t="s">
        <v>1969</v>
      </c>
      <c r="C23" s="1995"/>
      <c r="D23" s="1996"/>
      <c r="E23" s="1993">
        <v>6.78</v>
      </c>
      <c r="F23" s="1635" t="s">
        <v>1951</v>
      </c>
      <c r="G23" s="1635"/>
      <c r="H23" s="1636"/>
      <c r="I23" s="1635"/>
      <c r="J23" s="1635"/>
      <c r="K23" s="1638"/>
      <c r="L23" s="1642"/>
      <c r="M23" s="1642"/>
      <c r="N23" s="1642">
        <f>16.02*1.1</f>
        <v>17.622</v>
      </c>
      <c r="O23" s="1642">
        <f>22/E23</f>
        <v>3.24483775811209</v>
      </c>
      <c r="P23" s="1643"/>
      <c r="Q23" s="1633"/>
      <c r="R23" s="1636"/>
      <c r="T23" s="1977"/>
      <c r="Y23" s="1977"/>
    </row>
    <row r="24" s="1930" customFormat="1" ht="16" customHeight="1" spans="1:28">
      <c r="A24" s="839">
        <v>3</v>
      </c>
      <c r="B24" s="1995" t="s">
        <v>1970</v>
      </c>
      <c r="C24" s="1995"/>
      <c r="D24" s="1996">
        <v>20251128</v>
      </c>
      <c r="E24" s="1993">
        <v>7.01</v>
      </c>
      <c r="F24" s="1635" t="s">
        <v>1804</v>
      </c>
      <c r="G24" s="1635" t="s">
        <v>1565</v>
      </c>
      <c r="H24" s="1636" t="s">
        <v>1971</v>
      </c>
      <c r="I24" s="1635" t="s">
        <v>1806</v>
      </c>
      <c r="J24" s="1635" t="s">
        <v>1567</v>
      </c>
      <c r="K24" s="1638" t="s">
        <v>1507</v>
      </c>
      <c r="L24" s="1642">
        <v>7.5</v>
      </c>
      <c r="M24" s="1642">
        <f>68.912/E220/1.13</f>
        <v>8.50544920452722</v>
      </c>
      <c r="N24" s="1642">
        <f>29.9075200457023+2.5</f>
        <v>32.4075200457023</v>
      </c>
      <c r="O24" s="1642">
        <v>4</v>
      </c>
      <c r="P24" s="1643">
        <f>SUM(L24:O24)</f>
        <v>52.4129692502295</v>
      </c>
      <c r="Q24" s="1633" t="s">
        <v>1526</v>
      </c>
      <c r="R24" s="1636" t="s">
        <v>1972</v>
      </c>
      <c r="S24" s="1930"/>
      <c r="T24" s="1977"/>
      <c r="U24" s="1930"/>
      <c r="V24" s="1930"/>
      <c r="W24" s="1930"/>
      <c r="X24" s="1930"/>
      <c r="Y24" s="1977"/>
    </row>
    <row r="25" s="1930" customFormat="1" ht="16" customHeight="1" spans="1:28">
      <c r="A25" s="839">
        <v>1</v>
      </c>
      <c r="B25" s="1997" t="s">
        <v>1973</v>
      </c>
      <c r="C25" s="1997"/>
      <c r="D25" s="1998">
        <v>46126</v>
      </c>
      <c r="E25" s="1996">
        <v>6.837</v>
      </c>
      <c r="F25" s="1635" t="s">
        <v>1974</v>
      </c>
      <c r="G25" s="1635"/>
      <c r="H25" s="1636"/>
      <c r="I25" s="1637"/>
      <c r="J25" s="1638"/>
      <c r="K25" s="1638"/>
      <c r="L25" s="1999">
        <v>7.5</v>
      </c>
      <c r="M25" s="1642">
        <f>68.91/E25/1.3</f>
        <v>7.75306308434874</v>
      </c>
      <c r="N25" s="1643">
        <v>30.1</v>
      </c>
      <c r="O25" s="1642">
        <v>4</v>
      </c>
      <c r="P25" s="1643">
        <f>SUBTOTAL(109,L25:O25)</f>
        <v>49.3530630843487</v>
      </c>
      <c r="Q25" s="1633"/>
      <c r="R25" s="1638"/>
      <c r="W25" s="1977"/>
    </row>
    <row r="26" s="1930" customFormat="1" ht="16" customHeight="1" spans="1:28">
      <c r="A26" s="839"/>
      <c r="B26" s="1644" t="s">
        <v>1975</v>
      </c>
      <c r="C26" s="1997"/>
      <c r="D26" s="2000">
        <v>20251229</v>
      </c>
      <c r="E26" s="1996">
        <v>7.01</v>
      </c>
      <c r="F26" s="1646" t="s">
        <v>1976</v>
      </c>
      <c r="G26" s="1646"/>
      <c r="H26" s="2001" t="s">
        <v>1977</v>
      </c>
      <c r="I26" s="2002" t="s">
        <v>1700</v>
      </c>
      <c r="J26" s="1971" t="s">
        <v>1507</v>
      </c>
      <c r="K26" s="1971" t="s">
        <v>1507</v>
      </c>
      <c r="L26" s="2003" t="s">
        <v>1507</v>
      </c>
      <c r="M26" s="1574"/>
      <c r="N26" s="1648">
        <v>28.2</v>
      </c>
      <c r="O26" s="1574">
        <v>0.3</v>
      </c>
      <c r="P26" s="1648">
        <f>SUM(M26:O26)</f>
        <v>28.5</v>
      </c>
      <c r="Q26" s="1633" t="s">
        <v>1978</v>
      </c>
      <c r="R26" s="1633"/>
      <c r="W26" s="1977"/>
    </row>
    <row r="27" s="1930" customFormat="1" ht="16" customHeight="1" spans="1:28">
      <c r="A27" s="839">
        <v>4</v>
      </c>
      <c r="B27" s="1997" t="s">
        <v>1975</v>
      </c>
      <c r="C27" s="1997"/>
      <c r="D27" s="2000">
        <v>20251229</v>
      </c>
      <c r="E27" s="1996">
        <v>7.01</v>
      </c>
      <c r="F27" s="1635" t="s">
        <v>1979</v>
      </c>
      <c r="G27" s="1635"/>
      <c r="H27" s="1636" t="s">
        <v>1977</v>
      </c>
      <c r="I27" s="1637" t="s">
        <v>1700</v>
      </c>
      <c r="J27" s="1638" t="s">
        <v>1507</v>
      </c>
      <c r="K27" s="1638" t="s">
        <v>1507</v>
      </c>
      <c r="L27" s="1999" t="s">
        <v>1507</v>
      </c>
      <c r="M27" s="1642">
        <f>60.16/E27/1.13</f>
        <v>7.59471298902958</v>
      </c>
      <c r="N27" s="1643">
        <v>29.5819336801011</v>
      </c>
      <c r="O27" s="1642">
        <v>4</v>
      </c>
      <c r="P27" s="1643">
        <f>SUM(M27:O27)</f>
        <v>41.1766466691307</v>
      </c>
      <c r="Q27" s="1633" t="s">
        <v>1526</v>
      </c>
      <c r="R27" s="1638" t="s">
        <v>1980</v>
      </c>
      <c r="W27" s="1977"/>
    </row>
    <row r="28" s="839" customFormat="1" ht="16" customHeight="1" spans="1:28">
      <c r="A28" s="839">
        <v>6</v>
      </c>
      <c r="B28" s="258" t="s">
        <v>1981</v>
      </c>
      <c r="C28" s="2004" t="s">
        <v>1843</v>
      </c>
      <c r="D28" s="2005">
        <v>46087</v>
      </c>
      <c r="E28" s="2006">
        <v>6.8226</v>
      </c>
      <c r="F28" s="2006" t="s">
        <v>1982</v>
      </c>
      <c r="G28" s="2007" t="s">
        <v>1629</v>
      </c>
      <c r="H28" s="2008" t="s">
        <v>1977</v>
      </c>
      <c r="I28" s="2009" t="s">
        <v>1859</v>
      </c>
      <c r="J28" s="2007" t="s">
        <v>1983</v>
      </c>
      <c r="K28" s="2007" t="s">
        <v>712</v>
      </c>
      <c r="L28" s="2010">
        <v>11.5</v>
      </c>
      <c r="M28" s="2011">
        <f>17.24/E28/1.13</f>
        <v>2.23619106618321</v>
      </c>
      <c r="N28" s="2011">
        <f>14.4+0.57</f>
        <v>14.97</v>
      </c>
      <c r="O28" s="2012">
        <f t="shared" ref="O28:O31" si="5">20.5/E28</f>
        <v>3.00471960836045</v>
      </c>
      <c r="P28" s="2012">
        <f t="shared" ref="P28:P35" si="6">SUM(L28:O28)</f>
        <v>31.7109106745437</v>
      </c>
      <c r="Q28" s="2013" t="s">
        <v>1984</v>
      </c>
      <c r="R28" s="2014" t="s">
        <v>1985</v>
      </c>
      <c r="V28" s="2015"/>
      <c r="W28" s="1940"/>
      <c r="AB28" s="1940"/>
    </row>
    <row r="29" s="839" customFormat="1" ht="16" customHeight="1" spans="1:28">
      <c r="A29" s="839">
        <v>1</v>
      </c>
      <c r="B29" s="2014"/>
      <c r="C29" s="258" t="s">
        <v>1843</v>
      </c>
      <c r="D29" s="2016">
        <v>46136</v>
      </c>
      <c r="E29" s="2006">
        <v>6.8225</v>
      </c>
      <c r="F29" s="2006" t="s">
        <v>1986</v>
      </c>
      <c r="G29" s="511" t="s">
        <v>1617</v>
      </c>
      <c r="H29" s="2017" t="s">
        <v>1977</v>
      </c>
      <c r="I29" s="2018" t="s">
        <v>1859</v>
      </c>
      <c r="J29" s="2006" t="s">
        <v>1987</v>
      </c>
      <c r="K29" s="2006" t="s">
        <v>712</v>
      </c>
      <c r="L29" s="2011">
        <f>12.9/E29/1.13</f>
        <v>1.6732765413763</v>
      </c>
      <c r="M29" s="2011">
        <f>17.24/E29/1.13</f>
        <v>2.2362238428936</v>
      </c>
      <c r="N29" s="2011">
        <f>15.3+0.57</f>
        <v>15.87</v>
      </c>
      <c r="O29" s="2012">
        <f t="shared" si="5"/>
        <v>3.00476364968853</v>
      </c>
      <c r="P29" s="2012">
        <f t="shared" si="6"/>
        <v>22.7842640339584</v>
      </c>
      <c r="Q29" s="2019" t="s">
        <v>1988</v>
      </c>
      <c r="R29" s="2014" t="s">
        <v>1989</v>
      </c>
      <c r="V29" s="2015"/>
      <c r="W29" s="1940"/>
      <c r="AB29" s="1940"/>
    </row>
    <row r="30" s="839" customFormat="1" ht="16" customHeight="1" spans="1:28">
      <c r="A30" s="839">
        <v>1</v>
      </c>
      <c r="B30" s="2014"/>
      <c r="C30" s="258" t="s">
        <v>1843</v>
      </c>
      <c r="D30" s="2016">
        <v>46163</v>
      </c>
      <c r="E30" s="2006">
        <v>6.8</v>
      </c>
      <c r="F30" s="2006" t="s">
        <v>1990</v>
      </c>
      <c r="G30" s="511"/>
      <c r="H30" s="2017"/>
      <c r="I30" s="2018"/>
      <c r="J30" s="2006" t="s">
        <v>1428</v>
      </c>
      <c r="K30" s="2006" t="s">
        <v>712</v>
      </c>
      <c r="L30" s="2006" t="s">
        <v>1428</v>
      </c>
      <c r="M30" s="2011">
        <f>32.32/E30/1.13</f>
        <v>4.20614263404477</v>
      </c>
      <c r="N30" s="2011">
        <v>15.2</v>
      </c>
      <c r="O30" s="2012">
        <f t="shared" si="5"/>
        <v>3.01470588235294</v>
      </c>
      <c r="P30" s="2012">
        <f t="shared" si="6"/>
        <v>22.4208485163977</v>
      </c>
      <c r="Q30" s="2019"/>
      <c r="R30" s="2014"/>
      <c r="V30" s="2015"/>
      <c r="W30" s="1940"/>
      <c r="AB30" s="1940"/>
    </row>
    <row r="31" s="839" customFormat="1" ht="16" customHeight="1" spans="1:28">
      <c r="A31" s="839">
        <v>1</v>
      </c>
      <c r="B31" s="258"/>
      <c r="C31" s="258" t="s">
        <v>1843</v>
      </c>
      <c r="D31" s="2005">
        <v>46175</v>
      </c>
      <c r="E31" s="2007">
        <v>6.8</v>
      </c>
      <c r="F31" s="2020" t="s">
        <v>1991</v>
      </c>
      <c r="G31" s="2021"/>
      <c r="H31" s="2022"/>
      <c r="I31" s="2023"/>
      <c r="J31" s="2024"/>
      <c r="K31" s="2021"/>
      <c r="L31" s="2024"/>
      <c r="M31" s="2025">
        <f>26.51/E31/1.13</f>
        <v>3.45002602811036</v>
      </c>
      <c r="N31" s="2025">
        <v>16.4</v>
      </c>
      <c r="O31" s="2026">
        <f t="shared" si="5"/>
        <v>3.01470588235294</v>
      </c>
      <c r="P31" s="2026">
        <f t="shared" si="6"/>
        <v>22.8647319104633</v>
      </c>
      <c r="Q31" s="2019"/>
      <c r="R31" s="2014" t="s">
        <v>1992</v>
      </c>
      <c r="V31" s="2015"/>
      <c r="W31" s="1940"/>
      <c r="AB31" s="1940"/>
    </row>
    <row r="32" s="839" customFormat="1" ht="16" customHeight="1" spans="1:28">
      <c r="A32" s="839">
        <v>1</v>
      </c>
      <c r="B32" s="2014"/>
      <c r="C32" s="258" t="s">
        <v>1843</v>
      </c>
      <c r="D32" s="2005">
        <v>46134</v>
      </c>
      <c r="E32" s="2007">
        <v>6.8225</v>
      </c>
      <c r="F32" s="2020" t="s">
        <v>1993</v>
      </c>
      <c r="G32" s="2006" t="s">
        <v>1604</v>
      </c>
      <c r="H32" s="2017" t="s">
        <v>1977</v>
      </c>
      <c r="I32" s="2018" t="s">
        <v>1994</v>
      </c>
      <c r="J32" s="2027" t="s">
        <v>1860</v>
      </c>
      <c r="K32" s="2006" t="s">
        <v>712</v>
      </c>
      <c r="L32" s="2027">
        <f>17.46/E32/1.13</f>
        <v>2.26476034204886</v>
      </c>
      <c r="M32" s="2011">
        <f>17.24/E32/1.13</f>
        <v>2.2362238428936</v>
      </c>
      <c r="N32" s="2011">
        <v>13.5</v>
      </c>
      <c r="O32" s="2012">
        <f>20.1/E32</f>
        <v>2.94613411506046</v>
      </c>
      <c r="P32" s="2012">
        <f t="shared" si="6"/>
        <v>20.9471183000029</v>
      </c>
      <c r="Q32" s="2019" t="s">
        <v>1526</v>
      </c>
      <c r="R32" s="258"/>
      <c r="V32" s="2015"/>
      <c r="W32" s="1940"/>
      <c r="AB32" s="1940"/>
    </row>
    <row r="33" s="839" customFormat="1" ht="16" customHeight="1" spans="1:28">
      <c r="A33" s="839">
        <v>1</v>
      </c>
      <c r="B33" s="2014"/>
      <c r="C33" s="258" t="s">
        <v>1843</v>
      </c>
      <c r="D33" s="2005">
        <v>46135</v>
      </c>
      <c r="E33" s="2007">
        <v>6.8225</v>
      </c>
      <c r="F33" s="2020" t="s">
        <v>1995</v>
      </c>
      <c r="G33" s="2007" t="s">
        <v>1672</v>
      </c>
      <c r="H33" s="2008" t="s">
        <v>1977</v>
      </c>
      <c r="I33" s="2007"/>
      <c r="J33" s="2007" t="s">
        <v>1654</v>
      </c>
      <c r="K33" s="2007" t="s">
        <v>712</v>
      </c>
      <c r="L33" s="2011">
        <f>25.72/E33/1.13</f>
        <v>3.33617617396888</v>
      </c>
      <c r="M33" s="2011">
        <f>18.89/E33/1.13</f>
        <v>2.45024758655801</v>
      </c>
      <c r="N33" s="2011">
        <f>14.4+0.57</f>
        <v>14.97</v>
      </c>
      <c r="O33" s="2012">
        <f>20.5/E33</f>
        <v>3.00476364968853</v>
      </c>
      <c r="P33" s="2012">
        <f t="shared" si="6"/>
        <v>23.7611874102154</v>
      </c>
      <c r="Q33" s="2014" t="s">
        <v>1526</v>
      </c>
      <c r="R33" s="226" t="s">
        <v>1996</v>
      </c>
      <c r="V33" s="2015"/>
      <c r="W33" s="1940"/>
      <c r="AB33" s="1940"/>
    </row>
    <row r="34" s="1931" customFormat="1" ht="16" customHeight="1" spans="1:28">
      <c r="A34" s="839">
        <v>1</v>
      </c>
      <c r="B34" s="226"/>
      <c r="C34" s="226" t="s">
        <v>1843</v>
      </c>
      <c r="D34" s="2028">
        <v>46135</v>
      </c>
      <c r="E34" s="227">
        <v>6.8225</v>
      </c>
      <c r="F34" s="2020" t="s">
        <v>1997</v>
      </c>
      <c r="G34" s="227" t="s">
        <v>1998</v>
      </c>
      <c r="H34" s="245" t="s">
        <v>1977</v>
      </c>
      <c r="I34" s="227"/>
      <c r="J34" s="226" t="s">
        <v>1428</v>
      </c>
      <c r="K34" s="227" t="s">
        <v>712</v>
      </c>
      <c r="L34" s="232" t="s">
        <v>1428</v>
      </c>
      <c r="M34" s="232">
        <f>23.2/E34/1.13*1.2</f>
        <v>3.61116425673769</v>
      </c>
      <c r="N34" s="232">
        <v>16.8</v>
      </c>
      <c r="O34" s="231">
        <f>20.1/E34+0.1</f>
        <v>3.04613411506046</v>
      </c>
      <c r="P34" s="231">
        <f t="shared" si="6"/>
        <v>23.4572983717982</v>
      </c>
      <c r="Q34" s="226" t="s">
        <v>1526</v>
      </c>
      <c r="R34" s="226" t="s">
        <v>1999</v>
      </c>
      <c r="V34" s="2015"/>
      <c r="W34" s="2029"/>
      <c r="AB34" s="2029"/>
    </row>
    <row r="35" s="839" customFormat="1" ht="16" customHeight="1" spans="1:28">
      <c r="A35" s="839">
        <v>7</v>
      </c>
      <c r="B35" s="258"/>
      <c r="C35" s="258" t="s">
        <v>1843</v>
      </c>
      <c r="D35" s="2005">
        <v>46101</v>
      </c>
      <c r="E35" s="2007">
        <v>6.8225</v>
      </c>
      <c r="F35" s="2020" t="s">
        <v>2000</v>
      </c>
      <c r="G35" s="2007" t="s">
        <v>1645</v>
      </c>
      <c r="H35" s="2008" t="s">
        <v>1977</v>
      </c>
      <c r="I35" s="2007" t="s">
        <v>1859</v>
      </c>
      <c r="J35" s="2007" t="s">
        <v>1567</v>
      </c>
      <c r="K35" s="2007" t="s">
        <v>712</v>
      </c>
      <c r="L35" s="2007">
        <v>7.5</v>
      </c>
      <c r="M35" s="2011">
        <f>17.24/E35/1.13</f>
        <v>2.2362238428936</v>
      </c>
      <c r="N35" s="2030">
        <v>14.1</v>
      </c>
      <c r="O35" s="2031">
        <f>20.1/E35</f>
        <v>2.94613411506046</v>
      </c>
      <c r="P35" s="2031">
        <f t="shared" si="6"/>
        <v>26.7823579579541</v>
      </c>
      <c r="Q35" s="258" t="s">
        <v>2001</v>
      </c>
      <c r="R35" s="226" t="s">
        <v>2002</v>
      </c>
      <c r="V35" s="2015"/>
      <c r="W35" s="1940"/>
      <c r="AB35" s="1940"/>
    </row>
    <row r="36" s="839" customFormat="1" ht="16" customHeight="1" spans="1:28">
      <c r="A36" s="839">
        <v>1</v>
      </c>
      <c r="B36" s="258"/>
      <c r="C36" s="2004" t="s">
        <v>1843</v>
      </c>
      <c r="D36" s="2032">
        <v>20251224</v>
      </c>
      <c r="E36" s="2033">
        <v>6.8225</v>
      </c>
      <c r="F36" s="2020" t="s">
        <v>1424</v>
      </c>
      <c r="G36" s="2033" t="s">
        <v>1565</v>
      </c>
      <c r="H36" s="2032" t="s">
        <v>2003</v>
      </c>
      <c r="I36" s="2033" t="s">
        <v>2004</v>
      </c>
      <c r="J36" s="2033" t="s">
        <v>1567</v>
      </c>
      <c r="K36" s="2007" t="s">
        <v>712</v>
      </c>
      <c r="L36" s="2033">
        <v>7.5</v>
      </c>
      <c r="M36" s="2011">
        <f>17.24/E36/1.13</f>
        <v>2.2362238428936</v>
      </c>
      <c r="N36" s="1987">
        <v>14.7</v>
      </c>
      <c r="O36" s="2034">
        <f>20.1/E36</f>
        <v>2.94613411506046</v>
      </c>
      <c r="P36" s="692">
        <f>SUM(M36:O36)</f>
        <v>19.8823579579541</v>
      </c>
      <c r="Q36" s="2035" t="s">
        <v>1845</v>
      </c>
      <c r="R36" s="226" t="s">
        <v>2005</v>
      </c>
      <c r="V36" s="2015"/>
      <c r="W36" s="1940"/>
      <c r="AB36" s="1940"/>
    </row>
    <row r="37" s="1931" customFormat="1" ht="16" customHeight="1" spans="1:28">
      <c r="A37" s="839">
        <v>1</v>
      </c>
      <c r="B37" s="266" t="s">
        <v>1851</v>
      </c>
      <c r="C37" s="226" t="s">
        <v>1852</v>
      </c>
      <c r="D37" s="2028">
        <v>46128</v>
      </c>
      <c r="E37" s="227">
        <v>6.7739</v>
      </c>
      <c r="F37" s="1975" t="s">
        <v>1853</v>
      </c>
      <c r="G37" s="227"/>
      <c r="H37" s="227"/>
      <c r="I37" s="227"/>
      <c r="J37" s="219" t="s">
        <v>1428</v>
      </c>
      <c r="K37" s="219" t="s">
        <v>712</v>
      </c>
      <c r="L37" s="219" t="s">
        <v>1428</v>
      </c>
      <c r="M37" s="319">
        <f>41.68/E37/1.13</f>
        <v>5.44515799645882</v>
      </c>
      <c r="N37" s="319">
        <v>18</v>
      </c>
      <c r="O37" s="320">
        <f>32/E37</f>
        <v>4.72401423109287</v>
      </c>
      <c r="P37" s="320">
        <f t="shared" ref="P37:P39" si="7">SUBTOTAL(109,M37:O37)</f>
        <v>28.1691722275517</v>
      </c>
      <c r="Q37" s="2036"/>
      <c r="R37" s="227"/>
      <c r="V37" s="2015"/>
      <c r="W37" s="2029"/>
      <c r="AB37" s="2029"/>
    </row>
    <row r="38" s="1931" customFormat="1" ht="16" customHeight="1" spans="1:28">
      <c r="A38" s="839">
        <v>1</v>
      </c>
      <c r="B38" s="226" t="s">
        <v>1851</v>
      </c>
      <c r="C38" s="226" t="s">
        <v>1852</v>
      </c>
      <c r="D38" s="2028">
        <v>46128</v>
      </c>
      <c r="E38" s="227">
        <v>6.7739</v>
      </c>
      <c r="F38" s="2020" t="s">
        <v>2006</v>
      </c>
      <c r="G38" s="227"/>
      <c r="H38" s="227"/>
      <c r="I38" s="227"/>
      <c r="J38" s="227" t="s">
        <v>1428</v>
      </c>
      <c r="K38" s="227" t="s">
        <v>712</v>
      </c>
      <c r="L38" s="227" t="s">
        <v>1428</v>
      </c>
      <c r="M38" s="232">
        <f t="shared" ref="M37:M44" si="8">32.35/E38/1.13</f>
        <v>4.22626826260659</v>
      </c>
      <c r="N38" s="232">
        <v>15.8</v>
      </c>
      <c r="O38" s="231">
        <f>32/E38</f>
        <v>4.72401423109287</v>
      </c>
      <c r="P38" s="231">
        <f t="shared" si="7"/>
        <v>24.7502824936995</v>
      </c>
      <c r="Q38" s="2036"/>
      <c r="R38" s="227"/>
      <c r="V38" s="2015"/>
      <c r="W38" s="2029"/>
      <c r="AB38" s="2029"/>
    </row>
    <row r="39" s="1931" customFormat="1" ht="16" customHeight="1" spans="1:28">
      <c r="A39" s="839">
        <v>1</v>
      </c>
      <c r="B39" s="226" t="s">
        <v>1851</v>
      </c>
      <c r="C39" s="226" t="s">
        <v>1852</v>
      </c>
      <c r="D39" s="2028">
        <v>46128</v>
      </c>
      <c r="E39" s="227">
        <v>6.7739</v>
      </c>
      <c r="F39" s="2020" t="s">
        <v>2007</v>
      </c>
      <c r="G39" s="227"/>
      <c r="H39" s="227"/>
      <c r="I39" s="227"/>
      <c r="J39" s="227" t="s">
        <v>1428</v>
      </c>
      <c r="K39" s="227" t="s">
        <v>712</v>
      </c>
      <c r="L39" s="227" t="s">
        <v>1428</v>
      </c>
      <c r="M39" s="232">
        <f t="shared" si="8"/>
        <v>4.22626826260659</v>
      </c>
      <c r="N39" s="232">
        <v>15.8</v>
      </c>
      <c r="O39" s="231">
        <f>32/E39</f>
        <v>4.72401423109287</v>
      </c>
      <c r="P39" s="231">
        <f t="shared" si="7"/>
        <v>24.7502824936995</v>
      </c>
      <c r="Q39" s="2036"/>
      <c r="R39" s="227"/>
      <c r="V39" s="2015"/>
      <c r="W39" s="2029"/>
      <c r="AB39" s="2029"/>
    </row>
    <row r="40" s="839" customFormat="1" ht="16" customHeight="1" spans="1:28">
      <c r="A40" s="839">
        <v>1</v>
      </c>
      <c r="B40" s="2014" t="s">
        <v>1851</v>
      </c>
      <c r="C40" s="2014" t="s">
        <v>1852</v>
      </c>
      <c r="D40" s="2037">
        <v>46153</v>
      </c>
      <c r="E40" s="2006">
        <v>6.7986</v>
      </c>
      <c r="F40" s="2020" t="s">
        <v>2008</v>
      </c>
      <c r="G40" s="511"/>
      <c r="H40" s="2006"/>
      <c r="I40" s="511"/>
      <c r="J40" s="511"/>
      <c r="K40" s="511"/>
      <c r="L40" s="2010"/>
      <c r="M40" s="2010">
        <f t="shared" si="8"/>
        <v>4.21091380344053</v>
      </c>
      <c r="N40" s="2011">
        <v>15.6</v>
      </c>
      <c r="O40" s="2012"/>
      <c r="P40" s="2012"/>
      <c r="Q40" s="2038"/>
      <c r="R40" s="227"/>
      <c r="V40" s="2015"/>
      <c r="W40" s="1940"/>
      <c r="AB40" s="1940"/>
    </row>
    <row r="41" s="1932" customFormat="1" ht="16" customHeight="1" spans="1:28">
      <c r="A41" s="839">
        <v>1</v>
      </c>
      <c r="B41" s="2014" t="s">
        <v>1851</v>
      </c>
      <c r="C41" s="2014" t="s">
        <v>1852</v>
      </c>
      <c r="D41" s="2037">
        <v>46153</v>
      </c>
      <c r="E41" s="2006">
        <v>6.7986</v>
      </c>
      <c r="F41" s="2020" t="s">
        <v>2009</v>
      </c>
      <c r="G41" s="511"/>
      <c r="H41" s="2017"/>
      <c r="I41" s="511"/>
      <c r="J41" s="511"/>
      <c r="K41" s="511"/>
      <c r="L41" s="2031"/>
      <c r="M41" s="2010">
        <f t="shared" si="8"/>
        <v>4.21091380344053</v>
      </c>
      <c r="N41" s="2012">
        <v>13.8</v>
      </c>
      <c r="O41" s="2012"/>
      <c r="P41" s="2011"/>
      <c r="Q41" s="258"/>
      <c r="R41" s="243"/>
      <c r="U41" s="2039"/>
      <c r="Z41" s="2039"/>
    </row>
    <row r="42" s="1932" customFormat="1" ht="16" customHeight="1" spans="1:28">
      <c r="A42" s="839">
        <v>1</v>
      </c>
      <c r="B42" s="2014" t="s">
        <v>1851</v>
      </c>
      <c r="C42" s="2014" t="s">
        <v>1852</v>
      </c>
      <c r="D42" s="2037">
        <v>46153</v>
      </c>
      <c r="E42" s="2006">
        <v>6.7986</v>
      </c>
      <c r="F42" s="2020" t="s">
        <v>2010</v>
      </c>
      <c r="G42" s="511"/>
      <c r="H42" s="2017"/>
      <c r="I42" s="511"/>
      <c r="J42" s="511"/>
      <c r="K42" s="511"/>
      <c r="L42" s="2031"/>
      <c r="M42" s="2010">
        <f t="shared" si="8"/>
        <v>4.21091380344053</v>
      </c>
      <c r="N42" s="2012">
        <v>14.5</v>
      </c>
      <c r="O42" s="2012"/>
      <c r="P42" s="2011"/>
      <c r="Q42" s="258"/>
      <c r="R42" s="243"/>
      <c r="U42" s="2039"/>
      <c r="Z42" s="2039"/>
    </row>
    <row r="43" s="1932" customFormat="1" ht="16" customHeight="1" spans="1:28">
      <c r="A43" s="839">
        <v>9</v>
      </c>
      <c r="B43" s="2004" t="s">
        <v>1851</v>
      </c>
      <c r="C43" s="2004" t="s">
        <v>1852</v>
      </c>
      <c r="D43" s="2040">
        <v>46049</v>
      </c>
      <c r="E43" s="2007">
        <v>6.8819</v>
      </c>
      <c r="F43" s="2020" t="s">
        <v>2011</v>
      </c>
      <c r="G43" s="511" t="s">
        <v>1565</v>
      </c>
      <c r="H43" s="512" t="s">
        <v>2012</v>
      </c>
      <c r="I43" s="511" t="s">
        <v>1594</v>
      </c>
      <c r="J43" s="511" t="s">
        <v>1507</v>
      </c>
      <c r="K43" s="511" t="s">
        <v>712</v>
      </c>
      <c r="L43" s="2031" t="s">
        <v>1507</v>
      </c>
      <c r="M43" s="2010">
        <f t="shared" si="8"/>
        <v>4.15994399570915</v>
      </c>
      <c r="N43" s="2031">
        <v>16.8</v>
      </c>
      <c r="O43" s="2031">
        <f>32/E43</f>
        <v>4.64987866722853</v>
      </c>
      <c r="P43" s="2010">
        <f>SUM(M43:O43)</f>
        <v>25.6098226629377</v>
      </c>
      <c r="Q43" s="258" t="s">
        <v>1526</v>
      </c>
      <c r="R43" s="243" t="s">
        <v>2013</v>
      </c>
      <c r="U43" s="2039"/>
      <c r="Z43" s="2039"/>
    </row>
    <row r="44" s="993" customFormat="1" ht="16" customHeight="1" spans="1:28">
      <c r="A44" s="839">
        <v>10</v>
      </c>
      <c r="B44" s="2004" t="s">
        <v>1851</v>
      </c>
      <c r="C44" s="2004" t="s">
        <v>1852</v>
      </c>
      <c r="D44" s="2040">
        <v>46126</v>
      </c>
      <c r="E44" s="2007">
        <v>6.837</v>
      </c>
      <c r="F44" s="2020" t="s">
        <v>2014</v>
      </c>
      <c r="G44" s="2007" t="s">
        <v>1617</v>
      </c>
      <c r="H44" s="2008" t="s">
        <v>2015</v>
      </c>
      <c r="I44" s="2007" t="s">
        <v>1594</v>
      </c>
      <c r="J44" s="2007" t="s">
        <v>1507</v>
      </c>
      <c r="K44" s="2007" t="s">
        <v>712</v>
      </c>
      <c r="L44" s="2041" t="s">
        <v>712</v>
      </c>
      <c r="M44" s="2010">
        <f t="shared" si="8"/>
        <v>4.18726321253047</v>
      </c>
      <c r="N44" s="2041">
        <v>14.58</v>
      </c>
      <c r="O44" s="2041">
        <f>32/E44</f>
        <v>4.68041538686558</v>
      </c>
      <c r="P44" s="2030">
        <f>SUM(M44:O44)</f>
        <v>23.447678599396</v>
      </c>
      <c r="Q44" s="2042" t="s">
        <v>1526</v>
      </c>
      <c r="R44" s="2043" t="s">
        <v>2013</v>
      </c>
      <c r="S44" s="993"/>
      <c r="T44" s="993"/>
      <c r="U44" s="2044"/>
      <c r="V44" s="993"/>
      <c r="W44" s="993"/>
      <c r="X44" s="993"/>
      <c r="Y44" s="993"/>
      <c r="Z44" s="2044"/>
    </row>
    <row r="45" s="1932" customFormat="1" ht="16" customHeight="1" spans="1:28">
      <c r="A45" s="839">
        <v>1</v>
      </c>
      <c r="B45" s="2014" t="s">
        <v>1907</v>
      </c>
      <c r="C45" s="2045" t="s">
        <v>1901</v>
      </c>
      <c r="D45" s="2046">
        <v>46132</v>
      </c>
      <c r="E45" s="2006">
        <v>6.76</v>
      </c>
      <c r="F45" s="2020" t="s">
        <v>2016</v>
      </c>
      <c r="G45" s="2047" t="s">
        <v>2016</v>
      </c>
      <c r="H45" s="977" t="s">
        <v>1428</v>
      </c>
      <c r="I45" s="924" t="s">
        <v>2017</v>
      </c>
      <c r="J45" s="924" t="s">
        <v>1428</v>
      </c>
      <c r="K45" s="2048" t="s">
        <v>712</v>
      </c>
      <c r="L45" s="911" t="s">
        <v>1428</v>
      </c>
      <c r="M45" s="727">
        <f t="shared" ref="M45:M48" si="9">56.5/E45/1.13</f>
        <v>7.39644970414201</v>
      </c>
      <c r="N45" s="727">
        <v>19.93</v>
      </c>
      <c r="O45" s="154">
        <f>32/E45</f>
        <v>4.73372781065089</v>
      </c>
      <c r="P45" s="1985">
        <f>SUM(K45:O45)</f>
        <v>32.0601775147929</v>
      </c>
      <c r="Q45" s="266" t="s">
        <v>1526</v>
      </c>
      <c r="R45" s="976" t="s">
        <v>2018</v>
      </c>
      <c r="U45" s="2039"/>
      <c r="Z45" s="2039"/>
    </row>
    <row r="46" s="1932" customFormat="1" ht="16" customHeight="1" spans="1:28">
      <c r="A46" s="839">
        <v>1</v>
      </c>
      <c r="B46" s="2014"/>
      <c r="C46" s="2049" t="s">
        <v>1901</v>
      </c>
      <c r="D46" s="2050">
        <v>46189</v>
      </c>
      <c r="E46" s="2051">
        <v>6.76</v>
      </c>
      <c r="F46" s="2020" t="s">
        <v>2019</v>
      </c>
      <c r="G46" s="2052"/>
      <c r="H46" s="2053" t="s">
        <v>1428</v>
      </c>
      <c r="I46" s="2054" t="s">
        <v>2017</v>
      </c>
      <c r="J46" s="2054"/>
      <c r="K46" s="2055" t="s">
        <v>712</v>
      </c>
      <c r="L46" s="911"/>
      <c r="M46" s="727">
        <f t="shared" si="9"/>
        <v>7.39644970414201</v>
      </c>
      <c r="N46" s="727">
        <v>19.9</v>
      </c>
      <c r="O46" s="154">
        <f>32/E46</f>
        <v>4.73372781065089</v>
      </c>
      <c r="P46" s="154">
        <f>SUM(K46:O46)</f>
        <v>32.0301775147929</v>
      </c>
      <c r="Q46" s="266"/>
      <c r="R46" s="976" t="s">
        <v>2020</v>
      </c>
      <c r="S46" s="2056" t="s">
        <v>2021</v>
      </c>
      <c r="U46" s="2039"/>
      <c r="Z46" s="2039"/>
    </row>
    <row r="47" s="1932" customFormat="1" ht="16" customHeight="1" spans="1:28">
      <c r="A47" s="839">
        <v>1</v>
      </c>
      <c r="B47" s="2014"/>
      <c r="C47" s="2045" t="s">
        <v>1901</v>
      </c>
      <c r="D47" s="2046">
        <v>46135</v>
      </c>
      <c r="E47" s="2006">
        <v>6.8</v>
      </c>
      <c r="F47" s="2020" t="s">
        <v>2022</v>
      </c>
      <c r="G47" s="2006" t="s">
        <v>1565</v>
      </c>
      <c r="H47" s="977" t="s">
        <v>1428</v>
      </c>
      <c r="I47" s="2017" t="s">
        <v>2017</v>
      </c>
      <c r="J47" s="2006" t="s">
        <v>1428</v>
      </c>
      <c r="K47" s="2006" t="s">
        <v>712</v>
      </c>
      <c r="L47" s="2012" t="s">
        <v>1428</v>
      </c>
      <c r="M47" s="2012"/>
      <c r="N47" s="2012">
        <v>17.4</v>
      </c>
      <c r="O47" s="2012">
        <f>30/E45</f>
        <v>4.43786982248521</v>
      </c>
      <c r="P47" s="2011">
        <f>SUM(M47:O47)</f>
        <v>21.8378698224852</v>
      </c>
      <c r="Q47" s="2014" t="s">
        <v>1526</v>
      </c>
      <c r="R47" s="219"/>
      <c r="U47" s="2039"/>
      <c r="Z47" s="2039"/>
    </row>
    <row r="48" s="1932" customFormat="1" ht="16" customHeight="1" spans="1:28">
      <c r="A48" s="839">
        <v>1</v>
      </c>
      <c r="B48" s="2014"/>
      <c r="C48" s="2045" t="s">
        <v>1901</v>
      </c>
      <c r="D48" s="2046">
        <v>46132</v>
      </c>
      <c r="E48" s="2006">
        <v>6.76</v>
      </c>
      <c r="F48" s="2020" t="s">
        <v>2023</v>
      </c>
      <c r="G48" s="2006" t="s">
        <v>1617</v>
      </c>
      <c r="H48" s="977" t="s">
        <v>1428</v>
      </c>
      <c r="I48" s="2017" t="s">
        <v>2017</v>
      </c>
      <c r="J48" s="2006" t="s">
        <v>1428</v>
      </c>
      <c r="K48" s="2006" t="s">
        <v>712</v>
      </c>
      <c r="L48" s="2012" t="s">
        <v>1428</v>
      </c>
      <c r="M48" s="727">
        <f t="shared" si="9"/>
        <v>7.39644970414201</v>
      </c>
      <c r="N48" s="2012">
        <v>17.5</v>
      </c>
      <c r="O48" s="2012">
        <f>30/E48</f>
        <v>4.43786982248521</v>
      </c>
      <c r="P48" s="2011">
        <f>SUM(M48:O48)</f>
        <v>29.3343195266272</v>
      </c>
      <c r="Q48" s="2014" t="s">
        <v>1526</v>
      </c>
      <c r="R48" s="219"/>
      <c r="U48" s="2039"/>
      <c r="Z48" s="2039"/>
    </row>
    <row r="49" s="1932" customFormat="1" ht="16" customHeight="1" spans="1:28">
      <c r="A49" s="839">
        <v>11</v>
      </c>
      <c r="B49" s="2057" t="s">
        <v>2024</v>
      </c>
      <c r="C49" s="2057"/>
      <c r="D49" s="2008">
        <v>20250928</v>
      </c>
      <c r="E49" s="2007">
        <v>7.07</v>
      </c>
      <c r="F49" s="2020" t="s">
        <v>1411</v>
      </c>
      <c r="G49" s="511" t="s">
        <v>2025</v>
      </c>
      <c r="H49" s="512" t="s">
        <v>2026</v>
      </c>
      <c r="I49" s="512" t="s">
        <v>2027</v>
      </c>
      <c r="J49" s="511" t="s">
        <v>1507</v>
      </c>
      <c r="K49" s="511" t="s">
        <v>1507</v>
      </c>
      <c r="L49" s="2031" t="s">
        <v>1507</v>
      </c>
      <c r="M49" s="2031">
        <f>42.7/E49/1.13</f>
        <v>5.3447822658372</v>
      </c>
      <c r="N49" s="2031">
        <v>20.1734424724016</v>
      </c>
      <c r="O49" s="2031" t="s">
        <v>1979</v>
      </c>
      <c r="P49" s="2010">
        <v>20.1734424724016</v>
      </c>
      <c r="Q49" s="258" t="s">
        <v>1526</v>
      </c>
      <c r="R49" s="227" t="s">
        <v>2028</v>
      </c>
      <c r="U49" s="2039"/>
      <c r="Z49" s="2039"/>
    </row>
    <row r="50" s="1932" customFormat="1" ht="16" customHeight="1" spans="1:28">
      <c r="A50" s="839">
        <v>1</v>
      </c>
      <c r="B50" s="2045" t="s">
        <v>2029</v>
      </c>
      <c r="C50" s="2057" t="s">
        <v>2030</v>
      </c>
      <c r="D50" s="2040">
        <v>46170</v>
      </c>
      <c r="E50" s="2007">
        <v>6.7963</v>
      </c>
      <c r="F50" s="2020" t="s">
        <v>2031</v>
      </c>
      <c r="G50" s="511" t="s">
        <v>1645</v>
      </c>
      <c r="H50" s="259" t="s">
        <v>2032</v>
      </c>
      <c r="I50" s="259" t="s">
        <v>1859</v>
      </c>
      <c r="J50" s="511" t="s">
        <v>1428</v>
      </c>
      <c r="K50" s="511" t="s">
        <v>712</v>
      </c>
      <c r="L50" s="511" t="s">
        <v>1428</v>
      </c>
      <c r="M50" s="2012">
        <f>49.93/E50/1.13</f>
        <v>6.50145530773577</v>
      </c>
      <c r="N50" s="2012">
        <v>70.8</v>
      </c>
      <c r="O50" s="2012">
        <f>40/E50</f>
        <v>5.88555537571914</v>
      </c>
      <c r="P50" s="2011">
        <f>SUBTOTAL(109,M50:O50)</f>
        <v>83.1870106834549</v>
      </c>
      <c r="Q50" s="258"/>
      <c r="R50" s="227" t="s">
        <v>2033</v>
      </c>
      <c r="S50" s="2056" t="s">
        <v>2034</v>
      </c>
      <c r="U50" s="2039"/>
      <c r="Z50" s="2039"/>
    </row>
    <row r="51" s="839" customFormat="1" ht="16" customHeight="1" spans="1:28">
      <c r="A51" s="839">
        <v>12</v>
      </c>
      <c r="B51" s="2058" t="s">
        <v>2029</v>
      </c>
      <c r="C51" s="2059" t="s">
        <v>2030</v>
      </c>
      <c r="D51" s="2005">
        <v>46093</v>
      </c>
      <c r="E51" s="2060">
        <v>6.9264</v>
      </c>
      <c r="F51" s="2020" t="s">
        <v>2035</v>
      </c>
      <c r="G51" s="511" t="s">
        <v>1617</v>
      </c>
      <c r="H51" s="511" t="s">
        <v>2003</v>
      </c>
      <c r="I51" s="511" t="s">
        <v>2036</v>
      </c>
      <c r="J51" s="2006" t="s">
        <v>1428</v>
      </c>
      <c r="K51" s="2006" t="s">
        <v>712</v>
      </c>
      <c r="L51" s="2011" t="s">
        <v>1428</v>
      </c>
      <c r="M51" s="2011">
        <f>49.93/6.8/1.13*1.1</f>
        <v>7.14770952628839</v>
      </c>
      <c r="N51" s="2012">
        <v>75</v>
      </c>
      <c r="O51" s="2012">
        <f>40/E51</f>
        <v>5.77500577500578</v>
      </c>
      <c r="P51" s="2012">
        <f t="shared" ref="P51:P62" si="10">SUM(K51:O51)</f>
        <v>87.9227153012942</v>
      </c>
      <c r="Q51" s="2014" t="s">
        <v>1526</v>
      </c>
      <c r="R51" s="289" t="s">
        <v>2037</v>
      </c>
      <c r="S51" s="1960"/>
      <c r="T51" s="1961"/>
      <c r="U51" s="1601"/>
      <c r="V51" s="1962"/>
      <c r="W51" s="1963"/>
      <c r="X51" s="1962"/>
      <c r="Y51" s="1961"/>
      <c r="Z51" s="1601"/>
      <c r="AA51" s="1962"/>
      <c r="AB51" s="1963"/>
    </row>
    <row r="52" s="839" customFormat="1" ht="16" customHeight="1" spans="1:28">
      <c r="A52" s="839">
        <v>13</v>
      </c>
      <c r="B52" s="2061" t="s">
        <v>2038</v>
      </c>
      <c r="C52" s="2061"/>
      <c r="D52" s="2009">
        <v>20251124</v>
      </c>
      <c r="E52" s="2009">
        <v>7.1</v>
      </c>
      <c r="F52" s="2062" t="s">
        <v>1979</v>
      </c>
      <c r="G52" s="244"/>
      <c r="H52" s="244"/>
      <c r="I52" s="244"/>
      <c r="J52" s="227" t="s">
        <v>1938</v>
      </c>
      <c r="K52" s="227" t="s">
        <v>1507</v>
      </c>
      <c r="L52" s="231" t="s">
        <v>1938</v>
      </c>
      <c r="M52" s="231">
        <f>[2]深圳英众PCB单价清单!$P$1014/E52/1.13</f>
        <v>3.67692882961486</v>
      </c>
      <c r="N52" s="232">
        <v>17.4033769518696</v>
      </c>
      <c r="O52" s="231">
        <v>3.5</v>
      </c>
      <c r="P52" s="231">
        <f t="shared" si="10"/>
        <v>24.5803057814845</v>
      </c>
      <c r="Q52" s="258" t="s">
        <v>1526</v>
      </c>
      <c r="R52" s="229" t="s">
        <v>2039</v>
      </c>
      <c r="S52" s="1960"/>
      <c r="T52" s="1961"/>
      <c r="U52" s="1601"/>
      <c r="V52" s="1962"/>
      <c r="W52" s="1963"/>
      <c r="X52" s="1962"/>
      <c r="Y52" s="1961"/>
      <c r="Z52" s="1601"/>
      <c r="AA52" s="1962"/>
      <c r="AB52" s="1963"/>
    </row>
    <row r="53" s="839" customFormat="1" ht="16" customHeight="1" spans="1:28">
      <c r="A53" s="839">
        <v>14</v>
      </c>
      <c r="B53" s="2061" t="s">
        <v>2040</v>
      </c>
      <c r="C53" s="2061"/>
      <c r="D53" s="2009">
        <v>20251128</v>
      </c>
      <c r="E53" s="2009">
        <v>7.1</v>
      </c>
      <c r="F53" s="2062" t="s">
        <v>1979</v>
      </c>
      <c r="G53" s="244"/>
      <c r="H53" s="244"/>
      <c r="I53" s="244"/>
      <c r="J53" s="227" t="s">
        <v>1938</v>
      </c>
      <c r="K53" s="227" t="s">
        <v>1507</v>
      </c>
      <c r="L53" s="231" t="s">
        <v>1938</v>
      </c>
      <c r="M53" s="231">
        <f>[2]深圳英众PCB单价清单!$P$1014/E53/1.13</f>
        <v>3.67692882961486</v>
      </c>
      <c r="N53" s="232">
        <v>19.2736224894055</v>
      </c>
      <c r="O53" s="231">
        <v>3.5</v>
      </c>
      <c r="P53" s="231">
        <f t="shared" si="10"/>
        <v>26.4505513190204</v>
      </c>
      <c r="Q53" s="258" t="s">
        <v>1526</v>
      </c>
      <c r="R53" s="229" t="s">
        <v>2039</v>
      </c>
      <c r="S53" s="1960"/>
      <c r="T53" s="1961"/>
      <c r="U53" s="1601"/>
      <c r="V53" s="1962"/>
      <c r="W53" s="1963"/>
      <c r="X53" s="1962"/>
      <c r="Y53" s="1961"/>
      <c r="Z53" s="1601"/>
      <c r="AA53" s="1962"/>
      <c r="AB53" s="1963"/>
    </row>
    <row r="54" s="839" customFormat="1" ht="16" customHeight="1" spans="1:28">
      <c r="A54" s="839">
        <v>15</v>
      </c>
      <c r="B54" s="2061" t="s">
        <v>2041</v>
      </c>
      <c r="C54" s="2061"/>
      <c r="D54" s="2009">
        <v>20251110</v>
      </c>
      <c r="E54" s="2009">
        <v>6.901</v>
      </c>
      <c r="F54" s="2062" t="s">
        <v>1979</v>
      </c>
      <c r="G54" s="244" t="s">
        <v>1565</v>
      </c>
      <c r="H54" s="227" t="s">
        <v>2042</v>
      </c>
      <c r="I54" s="244" t="s">
        <v>2043</v>
      </c>
      <c r="J54" s="244" t="s">
        <v>1635</v>
      </c>
      <c r="K54" s="227" t="s">
        <v>2044</v>
      </c>
      <c r="L54" s="231">
        <v>3.1</v>
      </c>
      <c r="M54" s="231">
        <v>2.68837890503792</v>
      </c>
      <c r="N54" s="232">
        <v>14.6687711759396</v>
      </c>
      <c r="O54" s="231">
        <f>20.1/E54</f>
        <v>2.9126213592233</v>
      </c>
      <c r="P54" s="231">
        <f t="shared" si="10"/>
        <v>23.3697714402008</v>
      </c>
      <c r="Q54" s="229" t="s">
        <v>2045</v>
      </c>
      <c r="R54" s="244"/>
      <c r="S54" s="1960"/>
      <c r="T54" s="1961"/>
      <c r="U54" s="1601"/>
      <c r="V54" s="1962"/>
      <c r="W54" s="1963"/>
      <c r="X54" s="1962"/>
      <c r="Y54" s="1961"/>
      <c r="Z54" s="1601"/>
      <c r="AA54" s="1962"/>
      <c r="AB54" s="1963"/>
    </row>
    <row r="55" s="839" customFormat="1" ht="16" customHeight="1" spans="1:28">
      <c r="A55" s="839">
        <v>16</v>
      </c>
      <c r="B55" s="2061" t="s">
        <v>2041</v>
      </c>
      <c r="C55" s="2061"/>
      <c r="D55" s="2063">
        <v>46043</v>
      </c>
      <c r="E55" s="2064">
        <v>6.9667</v>
      </c>
      <c r="F55" s="2020" t="s">
        <v>2046</v>
      </c>
      <c r="G55" s="244" t="s">
        <v>1565</v>
      </c>
      <c r="H55" s="244" t="s">
        <v>2042</v>
      </c>
      <c r="I55" s="244" t="s">
        <v>2043</v>
      </c>
      <c r="J55" s="244" t="s">
        <v>1635</v>
      </c>
      <c r="K55" s="227" t="s">
        <v>1507</v>
      </c>
      <c r="L55" s="231">
        <v>3.1</v>
      </c>
      <c r="M55" s="231">
        <v>2.76</v>
      </c>
      <c r="N55" s="232">
        <v>15.5</v>
      </c>
      <c r="O55" s="231">
        <f>4*1.01</f>
        <v>4.04</v>
      </c>
      <c r="P55" s="231">
        <f t="shared" si="10"/>
        <v>25.4</v>
      </c>
      <c r="Q55" s="229" t="s">
        <v>2045</v>
      </c>
      <c r="R55" s="229" t="s">
        <v>2047</v>
      </c>
      <c r="S55" s="1960"/>
      <c r="T55" s="1961"/>
      <c r="U55" s="1601"/>
      <c r="V55" s="1962"/>
      <c r="W55" s="1963"/>
      <c r="X55" s="1962"/>
      <c r="Y55" s="1961"/>
      <c r="Z55" s="1601"/>
      <c r="AA55" s="1962"/>
      <c r="AB55" s="1963"/>
    </row>
    <row r="56" s="839" customFormat="1" ht="16" customHeight="1" spans="1:28">
      <c r="A56" s="839">
        <v>17</v>
      </c>
      <c r="B56" s="2061" t="s">
        <v>2041</v>
      </c>
      <c r="C56" s="2061"/>
      <c r="D56" s="2063">
        <v>46099</v>
      </c>
      <c r="E56" s="2009">
        <v>6.901</v>
      </c>
      <c r="F56" s="2020" t="s">
        <v>2048</v>
      </c>
      <c r="G56" s="244" t="s">
        <v>1629</v>
      </c>
      <c r="H56" s="244" t="s">
        <v>2042</v>
      </c>
      <c r="I56" s="244"/>
      <c r="J56" s="227" t="s">
        <v>1552</v>
      </c>
      <c r="K56" s="227" t="s">
        <v>1507</v>
      </c>
      <c r="L56" s="231">
        <v>3.1</v>
      </c>
      <c r="M56" s="231">
        <f>24.24*1.1/6.901/1.13</f>
        <v>3.41928128923216</v>
      </c>
      <c r="N56" s="232">
        <v>16</v>
      </c>
      <c r="O56" s="231">
        <f>20.1/E56</f>
        <v>2.9126213592233</v>
      </c>
      <c r="P56" s="231">
        <f t="shared" si="10"/>
        <v>25.4319026484555</v>
      </c>
      <c r="Q56" s="229" t="s">
        <v>2049</v>
      </c>
      <c r="R56" s="229" t="s">
        <v>2050</v>
      </c>
      <c r="S56" s="1960"/>
      <c r="T56" s="1961"/>
      <c r="U56" s="1601"/>
      <c r="V56" s="1962"/>
      <c r="W56" s="1963"/>
      <c r="X56" s="1962"/>
      <c r="Y56" s="1961"/>
      <c r="Z56" s="1601"/>
      <c r="AA56" s="1962"/>
      <c r="AB56" s="1963"/>
    </row>
    <row r="57" s="839" customFormat="1" ht="16" customHeight="1" spans="1:28">
      <c r="A57" s="839">
        <v>1</v>
      </c>
      <c r="B57" s="258" t="s">
        <v>2051</v>
      </c>
      <c r="C57" s="2061"/>
      <c r="D57" s="2063">
        <v>46150</v>
      </c>
      <c r="E57" s="2061">
        <v>6.8215</v>
      </c>
      <c r="F57" s="2020" t="s">
        <v>2052</v>
      </c>
      <c r="G57" s="244"/>
      <c r="H57" s="244"/>
      <c r="I57" s="244"/>
      <c r="J57" s="227"/>
      <c r="K57" s="227"/>
      <c r="L57" s="231"/>
      <c r="M57" s="231">
        <f>24.85/E57/1.13</f>
        <v>3.22379981565314</v>
      </c>
      <c r="N57" s="232">
        <v>22</v>
      </c>
      <c r="O57" s="231">
        <f>23/E57</f>
        <v>3.37169244301107</v>
      </c>
      <c r="P57" s="231">
        <f t="shared" si="10"/>
        <v>28.5954922586642</v>
      </c>
      <c r="Q57" s="229"/>
      <c r="R57" s="229" t="s">
        <v>2053</v>
      </c>
      <c r="S57" s="1960"/>
      <c r="T57" s="1961"/>
      <c r="U57" s="1601"/>
      <c r="V57" s="1962"/>
      <c r="W57" s="1963"/>
      <c r="X57" s="1962"/>
      <c r="Y57" s="1961"/>
      <c r="Z57" s="1601"/>
      <c r="AA57" s="1962"/>
      <c r="AB57" s="1963"/>
    </row>
    <row r="58" s="839" customFormat="1" ht="16" customHeight="1" spans="1:28">
      <c r="A58" s="839">
        <v>1</v>
      </c>
      <c r="B58" s="258" t="s">
        <v>2051</v>
      </c>
      <c r="C58" s="258"/>
      <c r="D58" s="2065">
        <v>46150</v>
      </c>
      <c r="E58" s="226">
        <v>6.8215</v>
      </c>
      <c r="F58" s="2020" t="s">
        <v>1420</v>
      </c>
      <c r="G58" s="500"/>
      <c r="H58" s="227"/>
      <c r="I58" s="227"/>
      <c r="J58" s="227"/>
      <c r="K58" s="227"/>
      <c r="L58" s="227"/>
      <c r="M58" s="231">
        <f>24.85/E58/1.13</f>
        <v>3.22379981565314</v>
      </c>
      <c r="N58" s="231">
        <v>22.8</v>
      </c>
      <c r="O58" s="231">
        <f>23/E58</f>
        <v>3.37169244301107</v>
      </c>
      <c r="P58" s="231">
        <f t="shared" si="10"/>
        <v>29.3954922586642</v>
      </c>
      <c r="Q58" s="258"/>
      <c r="R58" s="226" t="s">
        <v>1487</v>
      </c>
      <c r="S58" s="1960"/>
      <c r="T58" s="1961"/>
      <c r="U58" s="1601"/>
      <c r="V58" s="1962"/>
      <c r="W58" s="1963"/>
      <c r="X58" s="1962"/>
      <c r="Y58" s="1961"/>
      <c r="Z58" s="1601"/>
      <c r="AA58" s="1962"/>
      <c r="AB58" s="1963"/>
    </row>
    <row r="59" s="839" customFormat="1" ht="16" customHeight="1" spans="1:28">
      <c r="A59" s="839">
        <v>19</v>
      </c>
      <c r="B59" s="258" t="s">
        <v>2051</v>
      </c>
      <c r="C59" s="258"/>
      <c r="D59" s="258">
        <v>20250918</v>
      </c>
      <c r="E59" s="226">
        <v>6.8802</v>
      </c>
      <c r="F59" s="2020" t="s">
        <v>1419</v>
      </c>
      <c r="G59" s="500" t="s">
        <v>1629</v>
      </c>
      <c r="H59" s="227" t="s">
        <v>1682</v>
      </c>
      <c r="I59" s="227" t="s">
        <v>1594</v>
      </c>
      <c r="J59" s="227" t="s">
        <v>1507</v>
      </c>
      <c r="K59" s="227" t="s">
        <v>712</v>
      </c>
      <c r="L59" s="227" t="s">
        <v>1507</v>
      </c>
      <c r="M59" s="232">
        <f t="shared" ref="M59:M61" si="11">43.6/E59/1.13</f>
        <v>5.60798680219473</v>
      </c>
      <c r="N59" s="231">
        <v>24.5067627533815</v>
      </c>
      <c r="O59" s="257">
        <f t="shared" ref="O59:O61" si="12">23/E59</f>
        <v>3.3429260777303</v>
      </c>
      <c r="P59" s="231">
        <f t="shared" si="10"/>
        <v>33.4576756333065</v>
      </c>
      <c r="Q59" s="258" t="s">
        <v>1683</v>
      </c>
      <c r="R59" s="226" t="s">
        <v>2054</v>
      </c>
      <c r="S59" s="1960"/>
      <c r="T59" s="1961"/>
      <c r="U59" s="1601"/>
      <c r="V59" s="1962"/>
      <c r="W59" s="1963"/>
      <c r="X59" s="1962"/>
      <c r="Y59" s="1961"/>
      <c r="Z59" s="1601"/>
      <c r="AA59" s="1962"/>
      <c r="AB59" s="1963"/>
    </row>
    <row r="60" s="839" customFormat="1" ht="16" customHeight="1" spans="1:28">
      <c r="A60" s="839">
        <v>20</v>
      </c>
      <c r="B60" s="258" t="s">
        <v>2051</v>
      </c>
      <c r="C60" s="258"/>
      <c r="D60" s="1650">
        <v>46085</v>
      </c>
      <c r="E60" s="2066">
        <v>6.8802</v>
      </c>
      <c r="F60" s="2020" t="s">
        <v>2055</v>
      </c>
      <c r="G60" s="229" t="s">
        <v>1571</v>
      </c>
      <c r="H60" s="227" t="s">
        <v>2056</v>
      </c>
      <c r="I60" s="244" t="s">
        <v>1859</v>
      </c>
      <c r="J60" s="227" t="s">
        <v>1507</v>
      </c>
      <c r="K60" s="227" t="s">
        <v>712</v>
      </c>
      <c r="L60" s="227" t="s">
        <v>1507</v>
      </c>
      <c r="M60" s="232">
        <f t="shared" si="11"/>
        <v>5.60798680219473</v>
      </c>
      <c r="N60" s="232">
        <v>20.33</v>
      </c>
      <c r="O60" s="231">
        <f t="shared" si="12"/>
        <v>3.3429260777303</v>
      </c>
      <c r="P60" s="231">
        <f t="shared" si="10"/>
        <v>29.280912879925</v>
      </c>
      <c r="Q60" s="258" t="s">
        <v>2057</v>
      </c>
      <c r="R60" s="226" t="s">
        <v>2058</v>
      </c>
      <c r="S60" s="1960"/>
      <c r="T60" s="1961"/>
      <c r="U60" s="1601"/>
      <c r="V60" s="1962"/>
      <c r="W60" s="1963"/>
      <c r="X60" s="1962"/>
      <c r="Y60" s="1961"/>
      <c r="Z60" s="1601"/>
      <c r="AA60" s="1962"/>
      <c r="AB60" s="1963"/>
    </row>
    <row r="61" s="839" customFormat="1" ht="16" customHeight="1" spans="1:28">
      <c r="A61" s="839">
        <v>21</v>
      </c>
      <c r="B61" s="258" t="s">
        <v>2051</v>
      </c>
      <c r="C61" s="258"/>
      <c r="D61" s="1650">
        <v>46085</v>
      </c>
      <c r="E61" s="2066">
        <v>6.8802</v>
      </c>
      <c r="F61" s="2020" t="s">
        <v>2055</v>
      </c>
      <c r="G61" s="229" t="s">
        <v>1571</v>
      </c>
      <c r="H61" s="227" t="s">
        <v>2056</v>
      </c>
      <c r="I61" s="244" t="s">
        <v>1859</v>
      </c>
      <c r="J61" s="227" t="s">
        <v>1507</v>
      </c>
      <c r="K61" s="227" t="s">
        <v>712</v>
      </c>
      <c r="L61" s="227" t="s">
        <v>1507</v>
      </c>
      <c r="M61" s="232">
        <f t="shared" si="11"/>
        <v>5.60798680219473</v>
      </c>
      <c r="N61" s="232">
        <v>20.33</v>
      </c>
      <c r="O61" s="231">
        <f t="shared" si="12"/>
        <v>3.3429260777303</v>
      </c>
      <c r="P61" s="231">
        <f t="shared" si="10"/>
        <v>29.280912879925</v>
      </c>
      <c r="Q61" s="258" t="s">
        <v>2057</v>
      </c>
      <c r="R61" s="226" t="s">
        <v>2058</v>
      </c>
      <c r="S61" s="1960"/>
      <c r="T61" s="1961"/>
      <c r="U61" s="1601"/>
      <c r="V61" s="1962"/>
      <c r="W61" s="1963"/>
      <c r="X61" s="1962"/>
      <c r="Y61" s="1961"/>
      <c r="Z61" s="1601"/>
      <c r="AA61" s="1962"/>
      <c r="AB61" s="1963"/>
    </row>
    <row r="62" s="839" customFormat="1" ht="16" customHeight="1" spans="1:28">
      <c r="A62" s="839">
        <v>22</v>
      </c>
      <c r="B62" s="2061" t="s">
        <v>2059</v>
      </c>
      <c r="C62" s="2061"/>
      <c r="D62" s="2009"/>
      <c r="E62" s="2009"/>
      <c r="F62" s="2062" t="s">
        <v>1979</v>
      </c>
      <c r="G62" s="244"/>
      <c r="H62" s="244"/>
      <c r="I62" s="244" t="s">
        <v>2060</v>
      </c>
      <c r="J62" s="227" t="s">
        <v>1507</v>
      </c>
      <c r="K62" s="227" t="s">
        <v>1507</v>
      </c>
      <c r="L62" s="231" t="s">
        <v>1507</v>
      </c>
      <c r="M62" s="231">
        <f>28.5/7.13/1.13</f>
        <v>3.53734066452358</v>
      </c>
      <c r="N62" s="232">
        <v>33.7195026313701</v>
      </c>
      <c r="O62" s="231">
        <v>4.5</v>
      </c>
      <c r="P62" s="231">
        <f t="shared" si="10"/>
        <v>41.7568432958937</v>
      </c>
      <c r="Q62" s="244" t="s">
        <v>2061</v>
      </c>
      <c r="R62" s="229" t="s">
        <v>2062</v>
      </c>
      <c r="S62" s="1960"/>
      <c r="T62" s="1961"/>
      <c r="U62" s="1601"/>
      <c r="V62" s="1962"/>
      <c r="W62" s="1963"/>
      <c r="X62" s="1962"/>
      <c r="Y62" s="1961"/>
      <c r="Z62" s="1601"/>
      <c r="AA62" s="1962"/>
      <c r="AB62" s="1963"/>
    </row>
    <row r="63" s="839" customFormat="1" ht="16" customHeight="1" spans="1:28">
      <c r="A63" s="839">
        <v>27</v>
      </c>
      <c r="B63" s="2061" t="s">
        <v>2063</v>
      </c>
      <c r="C63" s="2061"/>
      <c r="D63" s="2063">
        <v>46034</v>
      </c>
      <c r="E63" s="2064">
        <v>6.9783</v>
      </c>
      <c r="F63" s="2020" t="s">
        <v>2064</v>
      </c>
      <c r="G63" s="244" t="s">
        <v>2065</v>
      </c>
      <c r="H63" s="244" t="s">
        <v>1979</v>
      </c>
      <c r="I63" s="244"/>
      <c r="J63" s="227" t="s">
        <v>1979</v>
      </c>
      <c r="K63" s="227" t="s">
        <v>1979</v>
      </c>
      <c r="L63" s="231" t="s">
        <v>1979</v>
      </c>
      <c r="M63" s="231">
        <f>9.3/E63/1.13</f>
        <v>1.17938301528671</v>
      </c>
      <c r="N63" s="231">
        <v>0.5</v>
      </c>
      <c r="O63" s="511" t="s">
        <v>1979</v>
      </c>
      <c r="P63" s="231">
        <f>SUM(M63:N63)</f>
        <v>1.67938301528671</v>
      </c>
      <c r="Q63" s="1649" t="s">
        <v>1979</v>
      </c>
      <c r="R63" s="229" t="s">
        <v>2066</v>
      </c>
      <c r="S63" s="1960"/>
      <c r="T63" s="1961"/>
      <c r="U63" s="1601"/>
      <c r="V63" s="1962"/>
      <c r="W63" s="1963"/>
      <c r="X63" s="1962"/>
      <c r="Y63" s="1961"/>
      <c r="Z63" s="1601"/>
      <c r="AA63" s="1962"/>
      <c r="AB63" s="1963"/>
    </row>
    <row r="64" s="839" customFormat="1" ht="16" customHeight="1" spans="1:28">
      <c r="A64" s="839">
        <v>28</v>
      </c>
      <c r="B64" s="2061" t="s">
        <v>2067</v>
      </c>
      <c r="C64" s="2061"/>
      <c r="D64" s="2063">
        <v>46034</v>
      </c>
      <c r="E64" s="2064">
        <v>6.9783</v>
      </c>
      <c r="F64" s="2020" t="s">
        <v>2068</v>
      </c>
      <c r="G64" s="244" t="s">
        <v>2065</v>
      </c>
      <c r="H64" s="244" t="s">
        <v>2069</v>
      </c>
      <c r="I64" s="244"/>
      <c r="J64" s="227" t="s">
        <v>1979</v>
      </c>
      <c r="K64" s="227" t="s">
        <v>1979</v>
      </c>
      <c r="L64" s="231" t="s">
        <v>1979</v>
      </c>
      <c r="M64" s="231">
        <f>10.57/E64/1.13</f>
        <v>1.34043854533124</v>
      </c>
      <c r="N64" s="231">
        <v>3.3</v>
      </c>
      <c r="O64" s="511" t="s">
        <v>1979</v>
      </c>
      <c r="P64" s="231">
        <f>SUM(M64:N64)</f>
        <v>4.64043854533123</v>
      </c>
      <c r="Q64" s="1649" t="s">
        <v>1979</v>
      </c>
      <c r="R64" s="229" t="s">
        <v>2066</v>
      </c>
      <c r="S64" s="1960"/>
      <c r="T64" s="1961"/>
      <c r="U64" s="1601"/>
      <c r="V64" s="1962"/>
      <c r="W64" s="1963"/>
      <c r="X64" s="1962"/>
      <c r="Y64" s="1961"/>
      <c r="Z64" s="1601"/>
      <c r="AA64" s="1962"/>
      <c r="AB64" s="1963"/>
    </row>
    <row r="65" s="839" customFormat="1" ht="16" customHeight="1" spans="1:29">
      <c r="A65" s="839">
        <v>29</v>
      </c>
      <c r="B65" s="2061" t="s">
        <v>2070</v>
      </c>
      <c r="C65" s="2061"/>
      <c r="D65" s="2063">
        <v>46057</v>
      </c>
      <c r="E65" s="2009">
        <v>6.9514</v>
      </c>
      <c r="F65" s="2020" t="s">
        <v>2071</v>
      </c>
      <c r="G65" s="244" t="s">
        <v>1667</v>
      </c>
      <c r="H65" s="244"/>
      <c r="I65" s="244"/>
      <c r="J65" s="244" t="s">
        <v>1979</v>
      </c>
      <c r="K65" s="244" t="s">
        <v>1979</v>
      </c>
      <c r="L65" s="231" t="s">
        <v>1979</v>
      </c>
      <c r="M65" s="231">
        <f>36/E65/1.14</f>
        <v>4.54281833420909</v>
      </c>
      <c r="N65" s="500">
        <v>13.02</v>
      </c>
      <c r="O65" s="500">
        <f>22/6.9514</f>
        <v>3.16483010616566</v>
      </c>
      <c r="P65" s="231">
        <f>SUM(M65:N65)</f>
        <v>17.5628183342091</v>
      </c>
      <c r="Q65" s="229" t="s">
        <v>1526</v>
      </c>
      <c r="R65" s="229"/>
      <c r="S65" s="1960"/>
      <c r="T65" s="1961"/>
      <c r="U65" s="1601"/>
      <c r="V65" s="1962"/>
      <c r="W65" s="1963"/>
      <c r="X65" s="1962"/>
      <c r="Y65" s="1961"/>
      <c r="Z65" s="1601"/>
      <c r="AA65" s="1962"/>
      <c r="AB65" s="1963"/>
    </row>
    <row r="66" s="839" customFormat="1" ht="16" customHeight="1" spans="1:29">
      <c r="A66" s="839">
        <v>31</v>
      </c>
      <c r="B66" s="2061" t="s">
        <v>2072</v>
      </c>
      <c r="C66" s="2061"/>
      <c r="D66" s="2009"/>
      <c r="E66" s="2009"/>
      <c r="F66" s="2062" t="s">
        <v>1979</v>
      </c>
      <c r="G66" s="244"/>
      <c r="H66" s="244"/>
      <c r="I66" s="244" t="s">
        <v>2073</v>
      </c>
      <c r="J66" s="227" t="s">
        <v>1507</v>
      </c>
      <c r="K66" s="227" t="s">
        <v>1507</v>
      </c>
      <c r="L66" s="231" t="s">
        <v>1507</v>
      </c>
      <c r="M66" s="231">
        <f>7.5/7.13/1.13</f>
        <v>0.930879122243046</v>
      </c>
      <c r="N66" s="232">
        <v>3.40927758057069</v>
      </c>
      <c r="O66" s="231">
        <v>0.3</v>
      </c>
      <c r="P66" s="231">
        <f>SUM(K66:O66)</f>
        <v>4.64015670281374</v>
      </c>
      <c r="Q66" s="244" t="s">
        <v>2061</v>
      </c>
      <c r="R66" s="229" t="s">
        <v>2074</v>
      </c>
      <c r="S66" s="1960"/>
      <c r="T66" s="1961"/>
      <c r="U66" s="1601"/>
      <c r="V66" s="1962"/>
      <c r="W66" s="1963"/>
      <c r="X66" s="1962"/>
      <c r="Y66" s="1961"/>
      <c r="Z66" s="1601"/>
      <c r="AA66" s="1962"/>
      <c r="AB66" s="1963"/>
    </row>
    <row r="67" s="839" customFormat="1" ht="16" customHeight="1" spans="1:29">
      <c r="A67" s="839">
        <v>32</v>
      </c>
      <c r="B67" s="2061" t="s">
        <v>2075</v>
      </c>
      <c r="C67" s="2061"/>
      <c r="D67" s="2009"/>
      <c r="E67" s="2009"/>
      <c r="F67" s="2062" t="s">
        <v>1979</v>
      </c>
      <c r="G67" s="244"/>
      <c r="H67" s="244"/>
      <c r="I67" s="244" t="s">
        <v>2060</v>
      </c>
      <c r="J67" s="227" t="s">
        <v>1507</v>
      </c>
      <c r="K67" s="227" t="s">
        <v>1507</v>
      </c>
      <c r="L67" s="231" t="s">
        <v>1507</v>
      </c>
      <c r="M67" s="231">
        <f>49/7.13/1.13</f>
        <v>6.08174359865457</v>
      </c>
      <c r="N67" s="232">
        <v>48.0673686511699</v>
      </c>
      <c r="O67" s="231">
        <v>4.5</v>
      </c>
      <c r="P67" s="231">
        <f>SUM(K67:O67)</f>
        <v>58.6491122498245</v>
      </c>
      <c r="Q67" s="244" t="s">
        <v>2061</v>
      </c>
      <c r="R67" s="229" t="s">
        <v>2076</v>
      </c>
      <c r="S67" s="1960"/>
      <c r="T67" s="1961"/>
      <c r="U67" s="1601"/>
      <c r="V67" s="1962"/>
      <c r="W67" s="1963"/>
      <c r="X67" s="1962"/>
      <c r="Y67" s="1961"/>
      <c r="Z67" s="1601"/>
      <c r="AA67" s="1962"/>
      <c r="AB67" s="1963"/>
    </row>
    <row r="68" s="839" customFormat="1" ht="16" customHeight="1" spans="1:29">
      <c r="A68" s="839">
        <v>33</v>
      </c>
      <c r="B68" s="2061" t="s">
        <v>2072</v>
      </c>
      <c r="C68" s="2061"/>
      <c r="D68" s="2009"/>
      <c r="E68" s="2009"/>
      <c r="F68" s="2062" t="s">
        <v>1979</v>
      </c>
      <c r="G68" s="244"/>
      <c r="H68" s="244"/>
      <c r="I68" s="244" t="s">
        <v>2077</v>
      </c>
      <c r="J68" s="227" t="s">
        <v>1507</v>
      </c>
      <c r="K68" s="227" t="s">
        <v>1507</v>
      </c>
      <c r="L68" s="231" t="s">
        <v>1507</v>
      </c>
      <c r="M68" s="231">
        <f>11.3/7.13/1.13</f>
        <v>1.40252454417952</v>
      </c>
      <c r="N68" s="232">
        <v>8.74269477673696</v>
      </c>
      <c r="O68" s="231">
        <v>0.6</v>
      </c>
      <c r="P68" s="231">
        <f>SUM(K68:O68)</f>
        <v>10.7452193209165</v>
      </c>
      <c r="Q68" s="244" t="s">
        <v>2061</v>
      </c>
      <c r="R68" s="229" t="s">
        <v>2078</v>
      </c>
      <c r="S68" s="1960"/>
      <c r="T68" s="1961"/>
      <c r="U68" s="1601"/>
      <c r="V68" s="1962"/>
      <c r="W68" s="1963"/>
      <c r="X68" s="1962"/>
      <c r="Y68" s="1961"/>
      <c r="Z68" s="1601"/>
      <c r="AA68" s="1962"/>
      <c r="AB68" s="1963"/>
    </row>
    <row r="69" s="839" customFormat="1" ht="16" customHeight="1" spans="1:29">
      <c r="A69" s="839">
        <v>34</v>
      </c>
      <c r="B69" s="2061" t="s">
        <v>2079</v>
      </c>
      <c r="C69" s="2061"/>
      <c r="D69" s="661">
        <v>20251110</v>
      </c>
      <c r="E69" s="661">
        <v>7.13</v>
      </c>
      <c r="F69" s="2020" t="s">
        <v>2080</v>
      </c>
      <c r="G69" s="227" t="s">
        <v>2081</v>
      </c>
      <c r="H69" s="227"/>
      <c r="I69" s="227" t="s">
        <v>2082</v>
      </c>
      <c r="J69" s="227" t="s">
        <v>1507</v>
      </c>
      <c r="K69" s="227" t="s">
        <v>1507</v>
      </c>
      <c r="L69" s="231" t="s">
        <v>1507</v>
      </c>
      <c r="M69" s="231">
        <f>43.37/7.13/1.13</f>
        <v>5.38296367089079</v>
      </c>
      <c r="N69" s="232">
        <v>20.2032588153567</v>
      </c>
      <c r="O69" s="231">
        <f>24.78/7.13/1.13</f>
        <v>3.07562461989103</v>
      </c>
      <c r="P69" s="231">
        <v>128.5020082215</v>
      </c>
      <c r="Q69" s="258" t="s">
        <v>1526</v>
      </c>
      <c r="R69" s="226" t="s">
        <v>2083</v>
      </c>
      <c r="S69" s="2067"/>
      <c r="T69" s="1960"/>
      <c r="U69" s="1961"/>
      <c r="V69" s="1601"/>
      <c r="W69" s="1962"/>
      <c r="X69" s="1963"/>
      <c r="Y69" s="1962"/>
      <c r="Z69" s="1961"/>
      <c r="AA69" s="1601"/>
      <c r="AB69" s="1962"/>
      <c r="AC69" s="1963"/>
    </row>
    <row r="70" s="1930" customFormat="1" ht="16" customHeight="1" spans="1:29">
      <c r="A70" s="839">
        <v>35</v>
      </c>
      <c r="B70" s="2057" t="s">
        <v>2084</v>
      </c>
      <c r="C70" s="2057"/>
      <c r="D70" s="2008">
        <v>20250928</v>
      </c>
      <c r="E70" s="661">
        <v>7.13</v>
      </c>
      <c r="F70" s="2020" t="s">
        <v>2085</v>
      </c>
      <c r="G70" s="227" t="s">
        <v>2086</v>
      </c>
      <c r="H70" s="245" t="s">
        <v>2087</v>
      </c>
      <c r="I70" s="245" t="s">
        <v>2027</v>
      </c>
      <c r="J70" s="227" t="s">
        <v>1507</v>
      </c>
      <c r="K70" s="227" t="s">
        <v>1507</v>
      </c>
      <c r="L70" s="231" t="s">
        <v>1507</v>
      </c>
      <c r="M70" s="231">
        <f>43.88/7.13/1.13*1.03</f>
        <v>5.60965135473942</v>
      </c>
      <c r="N70" s="231">
        <v>24.9267655693047</v>
      </c>
      <c r="O70" s="231">
        <v>3.5</v>
      </c>
      <c r="P70" s="232">
        <v>33.3020898255323</v>
      </c>
      <c r="Q70" s="226" t="s">
        <v>1526</v>
      </c>
      <c r="R70" s="226" t="s">
        <v>2088</v>
      </c>
      <c r="V70" s="1977"/>
      <c r="AA70" s="1977"/>
    </row>
    <row r="71" s="839" customFormat="1" ht="16" customHeight="1" spans="1:29">
      <c r="A71" s="839">
        <v>36</v>
      </c>
      <c r="B71" s="2014" t="s">
        <v>2089</v>
      </c>
      <c r="C71" s="2014"/>
      <c r="D71" s="2017">
        <v>20250918</v>
      </c>
      <c r="E71" s="2017">
        <v>7.13</v>
      </c>
      <c r="F71" s="2020" t="s">
        <v>1674</v>
      </c>
      <c r="G71" s="2017" t="s">
        <v>1571</v>
      </c>
      <c r="H71" s="2017" t="s">
        <v>2090</v>
      </c>
      <c r="I71" s="219" t="s">
        <v>1511</v>
      </c>
      <c r="J71" s="2006" t="s">
        <v>1567</v>
      </c>
      <c r="K71" s="219" t="s">
        <v>1507</v>
      </c>
      <c r="L71" s="320">
        <v>7.5</v>
      </c>
      <c r="M71" s="320">
        <f>38.55/E71/1.13</f>
        <v>4.78471868832926</v>
      </c>
      <c r="N71" s="319">
        <v>22.8786763017911</v>
      </c>
      <c r="O71" s="320">
        <f t="shared" ref="O71:O78" si="13">23.5/6.91</f>
        <v>3.40086830680174</v>
      </c>
      <c r="P71" s="320">
        <f>SUM(K71:O71)</f>
        <v>38.5642632969221</v>
      </c>
      <c r="Q71" s="2045"/>
      <c r="R71" s="226" t="s">
        <v>2091</v>
      </c>
      <c r="V71" s="1940"/>
      <c r="AA71" s="1940"/>
    </row>
    <row r="72" s="806" customFormat="1" ht="16" customHeight="1" spans="1:29">
      <c r="A72" s="839">
        <v>37</v>
      </c>
      <c r="B72" s="2014"/>
      <c r="C72" s="2014"/>
      <c r="D72" s="2046">
        <v>46090</v>
      </c>
      <c r="E72" s="219">
        <v>6.91</v>
      </c>
      <c r="F72" s="2020" t="s">
        <v>2092</v>
      </c>
      <c r="G72" s="2017" t="s">
        <v>1591</v>
      </c>
      <c r="H72" s="2017" t="s">
        <v>2090</v>
      </c>
      <c r="I72" s="219" t="s">
        <v>2093</v>
      </c>
      <c r="J72" s="2006" t="s">
        <v>1567</v>
      </c>
      <c r="K72" s="219" t="s">
        <v>712</v>
      </c>
      <c r="L72" s="320">
        <v>7.5</v>
      </c>
      <c r="M72" s="320">
        <f>38.55/E72/1.13</f>
        <v>4.93705416031659</v>
      </c>
      <c r="N72" s="320">
        <v>19.3</v>
      </c>
      <c r="O72" s="320">
        <f t="shared" si="13"/>
        <v>3.40086830680174</v>
      </c>
      <c r="P72" s="320">
        <f>SUM(L72:O72)</f>
        <v>35.1379224671183</v>
      </c>
      <c r="Q72" s="640" t="s">
        <v>1526</v>
      </c>
      <c r="R72" s="226" t="s">
        <v>2094</v>
      </c>
      <c r="S72" s="2068"/>
      <c r="V72" s="2015"/>
    </row>
    <row r="73" s="806" customFormat="1" ht="16" customHeight="1" spans="1:29">
      <c r="A73" s="839"/>
      <c r="B73" s="2014"/>
      <c r="C73" s="2014"/>
      <c r="D73" s="2046">
        <v>46286</v>
      </c>
      <c r="E73" s="219">
        <v>6.7</v>
      </c>
      <c r="F73" s="2020" t="s">
        <v>2095</v>
      </c>
      <c r="G73" s="2017" t="s">
        <v>2096</v>
      </c>
      <c r="H73" s="2017"/>
      <c r="I73" s="219"/>
      <c r="J73" s="2006" t="s">
        <v>1428</v>
      </c>
      <c r="K73" s="219" t="s">
        <v>712</v>
      </c>
      <c r="L73" s="2006" t="s">
        <v>1428</v>
      </c>
      <c r="M73" s="320">
        <f>59.85/E73/1.13</f>
        <v>7.90516444327038</v>
      </c>
      <c r="N73" s="320">
        <v>21.1</v>
      </c>
      <c r="O73" s="320">
        <f t="shared" si="13"/>
        <v>3.40086830680174</v>
      </c>
      <c r="P73" s="320">
        <f>SUM(L73:O73)</f>
        <v>32.4060327500721</v>
      </c>
      <c r="Q73" s="640" t="s">
        <v>2097</v>
      </c>
      <c r="R73" s="226"/>
      <c r="S73" s="1801"/>
      <c r="V73" s="2015"/>
    </row>
    <row r="74" s="806" customFormat="1" ht="16" customHeight="1" spans="1:29">
      <c r="A74" s="839"/>
      <c r="B74" s="2014"/>
      <c r="C74" s="2014"/>
      <c r="D74" s="2046"/>
      <c r="E74" s="219">
        <v>6.75</v>
      </c>
      <c r="F74" s="2020" t="s">
        <v>2098</v>
      </c>
      <c r="H74" s="2017"/>
      <c r="I74" s="219"/>
      <c r="J74" s="2006" t="s">
        <v>1428</v>
      </c>
      <c r="K74" s="219" t="s">
        <v>712</v>
      </c>
      <c r="L74" s="320" t="s">
        <v>1428</v>
      </c>
      <c r="M74" s="320">
        <f>60/E74/1.13</f>
        <v>7.86627335299902</v>
      </c>
      <c r="N74" s="320">
        <v>23.7</v>
      </c>
      <c r="O74" s="320">
        <f t="shared" si="13"/>
        <v>3.40086830680174</v>
      </c>
      <c r="P74" s="320">
        <f t="shared" ref="P74:P77" si="14">SUBTOTAL(109,M74:O74)</f>
        <v>34.9671416598008</v>
      </c>
      <c r="Q74" s="640"/>
      <c r="R74" s="226" t="s">
        <v>2099</v>
      </c>
      <c r="S74" s="1801"/>
      <c r="V74" s="2015"/>
    </row>
    <row r="75" s="806" customFormat="1" ht="16" customHeight="1" spans="1:29">
      <c r="A75" s="839"/>
      <c r="B75" s="2014"/>
      <c r="C75" s="2014"/>
      <c r="D75" s="2046">
        <v>46272</v>
      </c>
      <c r="E75" s="219">
        <v>6.72</v>
      </c>
      <c r="F75" s="1975" t="s">
        <v>2100</v>
      </c>
      <c r="G75" s="2017"/>
      <c r="H75" s="2017"/>
      <c r="I75" s="219"/>
      <c r="J75" s="2006" t="s">
        <v>1428</v>
      </c>
      <c r="K75" s="219" t="s">
        <v>712</v>
      </c>
      <c r="L75" s="320" t="s">
        <v>1428</v>
      </c>
      <c r="M75" s="320">
        <f t="shared" ref="M75:M77" si="15">65.32/E75/1.13</f>
        <v>8.60198061525495</v>
      </c>
      <c r="N75" s="320">
        <v>21.9</v>
      </c>
      <c r="O75" s="320">
        <f t="shared" si="13"/>
        <v>3.40086830680174</v>
      </c>
      <c r="P75" s="320">
        <f t="shared" si="14"/>
        <v>33.9028489220567</v>
      </c>
      <c r="Q75" s="640"/>
      <c r="R75" s="266" t="s">
        <v>2101</v>
      </c>
      <c r="S75" s="1801"/>
      <c r="V75" s="2015"/>
    </row>
    <row r="76" s="806" customFormat="1" ht="16" customHeight="1" spans="1:29">
      <c r="A76" s="839"/>
      <c r="B76" s="2014"/>
      <c r="C76" s="2014"/>
      <c r="D76" s="2046"/>
      <c r="E76" s="219">
        <v>6.72</v>
      </c>
      <c r="F76" s="1975" t="s">
        <v>2102</v>
      </c>
      <c r="G76" s="2017"/>
      <c r="H76" s="2017"/>
      <c r="I76" s="219"/>
      <c r="J76" s="2006" t="s">
        <v>1428</v>
      </c>
      <c r="K76" s="219" t="s">
        <v>712</v>
      </c>
      <c r="L76" s="320" t="s">
        <v>1428</v>
      </c>
      <c r="M76" s="320">
        <f t="shared" si="15"/>
        <v>8.60198061525495</v>
      </c>
      <c r="N76" s="320">
        <v>22.3</v>
      </c>
      <c r="O76" s="320">
        <f t="shared" si="13"/>
        <v>3.40086830680174</v>
      </c>
      <c r="P76" s="320">
        <f t="shared" si="14"/>
        <v>34.3028489220567</v>
      </c>
      <c r="Q76" s="640"/>
      <c r="R76" s="226"/>
      <c r="S76" s="1801"/>
      <c r="V76" s="2015"/>
    </row>
    <row r="77" s="806" customFormat="1" ht="16" customHeight="1" spans="1:29">
      <c r="A77" s="839"/>
      <c r="B77" s="2014"/>
      <c r="C77" s="2014"/>
      <c r="D77" s="2046"/>
      <c r="E77" s="219">
        <v>6.72</v>
      </c>
      <c r="F77" s="1975" t="s">
        <v>2103</v>
      </c>
      <c r="G77" s="2017"/>
      <c r="H77" s="2017"/>
      <c r="I77" s="219"/>
      <c r="J77" s="2006" t="s">
        <v>1428</v>
      </c>
      <c r="K77" s="219" t="s">
        <v>712</v>
      </c>
      <c r="L77" s="320" t="s">
        <v>1428</v>
      </c>
      <c r="M77" s="320">
        <f t="shared" si="15"/>
        <v>8.60198061525495</v>
      </c>
      <c r="N77" s="320">
        <v>23.52</v>
      </c>
      <c r="O77" s="320">
        <f t="shared" si="13"/>
        <v>3.40086830680174</v>
      </c>
      <c r="P77" s="320">
        <f t="shared" si="14"/>
        <v>35.5228489220567</v>
      </c>
      <c r="Q77" s="640"/>
      <c r="R77" s="226"/>
      <c r="S77" s="1801"/>
      <c r="V77" s="2015"/>
    </row>
    <row r="78" s="806" customFormat="1" ht="16" customHeight="1" spans="1:29">
      <c r="A78" s="839">
        <v>1</v>
      </c>
      <c r="B78" s="2014"/>
      <c r="C78" s="2014"/>
      <c r="D78" s="2046"/>
      <c r="E78" s="219">
        <v>6.7963</v>
      </c>
      <c r="F78" s="2020" t="s">
        <v>2104</v>
      </c>
      <c r="G78" s="2017" t="s">
        <v>2081</v>
      </c>
      <c r="H78" s="2017"/>
      <c r="I78" s="219"/>
      <c r="J78" s="2006" t="s">
        <v>1871</v>
      </c>
      <c r="K78" s="219" t="s">
        <v>712</v>
      </c>
      <c r="L78" s="320"/>
      <c r="M78" s="320">
        <f>38.55/E78/1.13</f>
        <v>5.01964955163657</v>
      </c>
      <c r="N78" s="320">
        <v>21</v>
      </c>
      <c r="O78" s="320">
        <f t="shared" si="13"/>
        <v>3.40086830680174</v>
      </c>
      <c r="P78" s="320">
        <f>SUBTOTAL(109,L78:O78)</f>
        <v>29.4205178584383</v>
      </c>
      <c r="Q78" s="640"/>
      <c r="R78" s="226"/>
      <c r="S78" s="1801"/>
      <c r="V78" s="2015"/>
    </row>
    <row r="79" s="806" customFormat="1" ht="16" customHeight="1" spans="1:29">
      <c r="A79" s="839">
        <v>1</v>
      </c>
      <c r="B79" s="2014"/>
      <c r="C79" s="2014"/>
      <c r="D79" s="2046"/>
      <c r="E79" s="219">
        <v>6.7739</v>
      </c>
      <c r="F79" s="2020" t="s">
        <v>2105</v>
      </c>
      <c r="G79" s="2017" t="s">
        <v>2106</v>
      </c>
      <c r="H79" s="2017"/>
      <c r="I79" s="219"/>
      <c r="J79" s="2006" t="s">
        <v>1428</v>
      </c>
      <c r="K79" s="219" t="s">
        <v>712</v>
      </c>
      <c r="L79" s="2006" t="s">
        <v>1428</v>
      </c>
      <c r="M79" s="320">
        <f>52.17/6.7739/1.13</f>
        <v>6.81559243462708</v>
      </c>
      <c r="N79" s="320">
        <f>21.2+20/6.7739/1.13</f>
        <v>23.8128397295868</v>
      </c>
      <c r="O79" s="320">
        <f>23.5/E79</f>
        <v>3.46919795095883</v>
      </c>
      <c r="P79" s="320">
        <f>SUM(L79:O79)</f>
        <v>34.0976301151727</v>
      </c>
      <c r="Q79" s="640"/>
      <c r="R79" s="226"/>
      <c r="S79" s="1801"/>
      <c r="V79" s="2015"/>
    </row>
    <row r="80" s="806" customFormat="1" ht="16" customHeight="1" spans="1:29">
      <c r="A80" s="839">
        <v>38</v>
      </c>
      <c r="B80" s="2014"/>
      <c r="C80" s="2014"/>
      <c r="D80" s="2046">
        <v>46107</v>
      </c>
      <c r="E80" s="219">
        <v>6.91</v>
      </c>
      <c r="F80" s="2020" t="s">
        <v>2107</v>
      </c>
      <c r="G80" s="2017" t="s">
        <v>1525</v>
      </c>
      <c r="H80" s="2017" t="s">
        <v>2090</v>
      </c>
      <c r="I80" s="219"/>
      <c r="J80" s="2006" t="s">
        <v>2108</v>
      </c>
      <c r="K80" s="219" t="s">
        <v>712</v>
      </c>
      <c r="L80" s="320">
        <v>7.5</v>
      </c>
      <c r="M80" s="320">
        <f>38.55/E80/1.13</f>
        <v>4.93705416031659</v>
      </c>
      <c r="N80" s="320">
        <v>20.9</v>
      </c>
      <c r="O80" s="320">
        <f>23.5/6.91</f>
        <v>3.40086830680174</v>
      </c>
      <c r="P80" s="320">
        <f>SUM(L80:O80)</f>
        <v>36.7379224671183</v>
      </c>
      <c r="Q80" s="640" t="s">
        <v>1526</v>
      </c>
      <c r="R80" s="226"/>
      <c r="S80" s="1801"/>
      <c r="V80" s="2015"/>
    </row>
    <row r="81" s="806" customFormat="1" ht="16" customHeight="1" spans="1:28">
      <c r="A81" s="839">
        <v>1</v>
      </c>
      <c r="B81" s="2014"/>
      <c r="C81" s="2014"/>
      <c r="D81" s="2037">
        <v>46122</v>
      </c>
      <c r="E81" s="219">
        <v>6.8819</v>
      </c>
      <c r="F81" s="2020" t="s">
        <v>2109</v>
      </c>
      <c r="G81" s="2017" t="s">
        <v>2110</v>
      </c>
      <c r="H81" s="2017" t="s">
        <v>2090</v>
      </c>
      <c r="I81" s="219"/>
      <c r="J81" s="2006" t="s">
        <v>2108</v>
      </c>
      <c r="K81" s="219" t="s">
        <v>712</v>
      </c>
      <c r="L81" s="320">
        <v>7.5</v>
      </c>
      <c r="M81" s="320">
        <f>38.55/E81/1.13</f>
        <v>4.95721301497953</v>
      </c>
      <c r="N81" s="320">
        <v>21.2</v>
      </c>
      <c r="O81" s="320">
        <v>3.4</v>
      </c>
      <c r="P81" s="320">
        <f>SUM(L81:O81)</f>
        <v>37.0572130149795</v>
      </c>
      <c r="Q81" s="640"/>
      <c r="R81" s="226"/>
      <c r="V81" s="2015"/>
    </row>
    <row r="82" s="806" customFormat="1" ht="16" customHeight="1" spans="1:28">
      <c r="A82" s="839">
        <v>1</v>
      </c>
      <c r="B82" s="2069"/>
      <c r="C82" s="2069"/>
      <c r="D82" s="2070">
        <v>46182</v>
      </c>
      <c r="E82" s="2071">
        <v>6.7851</v>
      </c>
      <c r="F82" s="2020" t="s">
        <v>2111</v>
      </c>
      <c r="G82" s="2072"/>
      <c r="H82" s="2072"/>
      <c r="I82" s="2071"/>
      <c r="J82" s="2073"/>
      <c r="K82" s="2071"/>
      <c r="L82" s="2074"/>
      <c r="M82" s="2074">
        <f>38.07/E82/1.13</f>
        <v>4.96533072271973</v>
      </c>
      <c r="N82" s="2074">
        <v>22.1</v>
      </c>
      <c r="O82" s="2074">
        <v>3.4</v>
      </c>
      <c r="P82" s="2074">
        <f>SUM(L82:O82)</f>
        <v>30.4653307227197</v>
      </c>
      <c r="Q82" s="2075" t="s">
        <v>2112</v>
      </c>
      <c r="R82" s="2076"/>
      <c r="V82" s="2015"/>
    </row>
    <row r="83" s="806" customFormat="1" ht="16" customHeight="1" spans="1:28">
      <c r="A83" s="839">
        <v>39</v>
      </c>
      <c r="B83" s="2014"/>
      <c r="C83" s="2014"/>
      <c r="D83" s="2037">
        <v>46106</v>
      </c>
      <c r="E83" s="219">
        <v>6.91</v>
      </c>
      <c r="F83" s="2020" t="s">
        <v>2113</v>
      </c>
      <c r="G83" s="2017" t="s">
        <v>1593</v>
      </c>
      <c r="H83" s="2017" t="s">
        <v>2090</v>
      </c>
      <c r="I83" s="219"/>
      <c r="J83" s="2006" t="s">
        <v>1567</v>
      </c>
      <c r="K83" s="219" t="s">
        <v>712</v>
      </c>
      <c r="L83" s="320">
        <v>7.5</v>
      </c>
      <c r="M83" s="320">
        <f>38.55/E83/1.13</f>
        <v>4.93705416031659</v>
      </c>
      <c r="N83" s="320">
        <f>18.65+0.86</f>
        <v>19.51</v>
      </c>
      <c r="O83" s="320">
        <f>23.5/6.91</f>
        <v>3.40086830680174</v>
      </c>
      <c r="P83" s="320">
        <f>SUM(L83:O83)</f>
        <v>35.3479224671183</v>
      </c>
      <c r="Q83" s="640" t="s">
        <v>1526</v>
      </c>
      <c r="R83" s="226" t="s">
        <v>2094</v>
      </c>
      <c r="V83" s="2015"/>
    </row>
    <row r="84" s="806" customFormat="1" ht="16" customHeight="1" spans="1:28">
      <c r="A84" s="839">
        <v>40</v>
      </c>
      <c r="B84" s="658" t="s">
        <v>2114</v>
      </c>
      <c r="C84" s="658"/>
      <c r="D84" s="2007">
        <v>20251104</v>
      </c>
      <c r="E84" s="661">
        <v>7.13</v>
      </c>
      <c r="F84" s="2062" t="s">
        <v>1979</v>
      </c>
      <c r="G84" s="511"/>
      <c r="H84" s="227"/>
      <c r="I84" s="227"/>
      <c r="J84" s="227" t="s">
        <v>1507</v>
      </c>
      <c r="K84" s="227" t="s">
        <v>1507</v>
      </c>
      <c r="L84" s="232" t="s">
        <v>1507</v>
      </c>
      <c r="M84" s="232">
        <f>21.7/E84/1.13</f>
        <v>2.69334359368988</v>
      </c>
      <c r="N84" s="232">
        <f>11.62+0.72</f>
        <v>12.34</v>
      </c>
      <c r="O84" s="231">
        <v>3.5</v>
      </c>
      <c r="P84" s="231">
        <f t="shared" ref="P84:P90" si="16">SUM(K84:O84)</f>
        <v>18.5333435936899</v>
      </c>
      <c r="Q84" s="2036"/>
      <c r="R84" s="226" t="s">
        <v>2115</v>
      </c>
      <c r="V84" s="2015"/>
    </row>
    <row r="85" s="806" customFormat="1" ht="16" customHeight="1" spans="1:28">
      <c r="A85" s="839">
        <v>41</v>
      </c>
      <c r="B85" s="658" t="s">
        <v>2114</v>
      </c>
      <c r="C85" s="658"/>
      <c r="D85" s="2007">
        <v>20251104</v>
      </c>
      <c r="E85" s="661">
        <v>7.13</v>
      </c>
      <c r="F85" s="2062" t="s">
        <v>1979</v>
      </c>
      <c r="G85" s="511"/>
      <c r="H85" s="227"/>
      <c r="I85" s="227" t="s">
        <v>2116</v>
      </c>
      <c r="J85" s="227" t="s">
        <v>1507</v>
      </c>
      <c r="K85" s="227" t="s">
        <v>1507</v>
      </c>
      <c r="L85" s="232" t="s">
        <v>2117</v>
      </c>
      <c r="M85" s="232">
        <f>21.7/E85/1.13</f>
        <v>2.69334359368988</v>
      </c>
      <c r="N85" s="232">
        <f>11.62+0.72</f>
        <v>12.34</v>
      </c>
      <c r="O85" s="231">
        <v>3.5</v>
      </c>
      <c r="P85" s="231">
        <f t="shared" si="16"/>
        <v>18.5333435936899</v>
      </c>
      <c r="Q85" s="2036"/>
      <c r="R85" s="226" t="s">
        <v>2115</v>
      </c>
      <c r="V85" s="2015"/>
    </row>
    <row r="86" s="806" customFormat="1" ht="16" customHeight="1" spans="1:28">
      <c r="A86" s="839">
        <v>42</v>
      </c>
      <c r="B86" s="658" t="s">
        <v>2114</v>
      </c>
      <c r="C86" s="658"/>
      <c r="D86" s="2005">
        <v>46056</v>
      </c>
      <c r="E86" s="661">
        <v>6.9514</v>
      </c>
      <c r="F86" s="2020" t="s">
        <v>2118</v>
      </c>
      <c r="G86" s="227" t="s">
        <v>1565</v>
      </c>
      <c r="H86" s="245" t="s">
        <v>2119</v>
      </c>
      <c r="I86" s="227"/>
      <c r="J86" s="227" t="s">
        <v>1507</v>
      </c>
      <c r="K86" s="227" t="s">
        <v>1507</v>
      </c>
      <c r="L86" s="232" t="s">
        <v>2117</v>
      </c>
      <c r="M86" s="232">
        <f>21.7/E86/1.13</f>
        <v>2.76254277167317</v>
      </c>
      <c r="N86" s="232">
        <f>16.78+0.72</f>
        <v>17.5</v>
      </c>
      <c r="O86" s="231">
        <f t="shared" ref="O86:O90" si="17">22/E86</f>
        <v>3.16483010616566</v>
      </c>
      <c r="P86" s="231">
        <f t="shared" si="16"/>
        <v>23.4273728778388</v>
      </c>
      <c r="Q86" s="2036"/>
      <c r="R86" s="226" t="s">
        <v>2120</v>
      </c>
      <c r="V86" s="2015"/>
    </row>
    <row r="87" s="806" customFormat="1" ht="16" customHeight="1" spans="1:28">
      <c r="A87" s="839">
        <v>43</v>
      </c>
      <c r="B87" s="266" t="s">
        <v>1825</v>
      </c>
      <c r="C87" s="266"/>
      <c r="D87" s="2037">
        <v>46101</v>
      </c>
      <c r="E87" s="219">
        <v>6.902</v>
      </c>
      <c r="F87" s="2020" t="s">
        <v>2121</v>
      </c>
      <c r="G87" s="2006" t="s">
        <v>1617</v>
      </c>
      <c r="H87" s="2017" t="s">
        <v>1977</v>
      </c>
      <c r="I87" s="2006" t="s">
        <v>1859</v>
      </c>
      <c r="J87" s="219" t="s">
        <v>1507</v>
      </c>
      <c r="K87" s="219" t="s">
        <v>712</v>
      </c>
      <c r="L87" s="219" t="s">
        <v>1507</v>
      </c>
      <c r="M87" s="319">
        <f>21.7/6.91/1.13</f>
        <v>2.77909404095642</v>
      </c>
      <c r="N87" s="319">
        <f>13.32+0.72</f>
        <v>14.04</v>
      </c>
      <c r="O87" s="320">
        <f t="shared" si="17"/>
        <v>3.18748188930745</v>
      </c>
      <c r="P87" s="320">
        <f t="shared" si="16"/>
        <v>20.0065759302639</v>
      </c>
      <c r="Q87" s="2077" t="s">
        <v>1865</v>
      </c>
      <c r="R87" s="266" t="s">
        <v>2122</v>
      </c>
      <c r="V87" s="2015"/>
    </row>
    <row r="88" s="806" customFormat="1" ht="16" customHeight="1" spans="1:28">
      <c r="A88" s="839"/>
      <c r="B88" s="266" t="s">
        <v>2123</v>
      </c>
      <c r="C88" s="266"/>
      <c r="D88" s="2037">
        <v>46251</v>
      </c>
      <c r="E88" s="219">
        <v>6.75</v>
      </c>
      <c r="F88" s="1975" t="s">
        <v>2124</v>
      </c>
      <c r="G88" s="2006"/>
      <c r="H88" s="2017"/>
      <c r="I88" s="2006"/>
      <c r="J88" s="219" t="s">
        <v>1507</v>
      </c>
      <c r="K88" s="219" t="s">
        <v>712</v>
      </c>
      <c r="L88" s="219" t="s">
        <v>1507</v>
      </c>
      <c r="M88" s="1985">
        <f>38.98/E88/1.13</f>
        <v>5.11045558833169</v>
      </c>
      <c r="N88" s="319">
        <v>17.1</v>
      </c>
      <c r="O88" s="320">
        <f t="shared" si="17"/>
        <v>3.25925925925926</v>
      </c>
      <c r="P88" s="320">
        <f t="shared" si="16"/>
        <v>25.469714847591</v>
      </c>
      <c r="Q88" s="2077"/>
      <c r="R88" s="266"/>
      <c r="V88" s="2015"/>
    </row>
    <row r="89" s="806" customFormat="1" ht="16" customHeight="1" spans="1:28">
      <c r="A89" s="839">
        <v>44</v>
      </c>
      <c r="B89" s="658" t="s">
        <v>2123</v>
      </c>
      <c r="C89" s="658"/>
      <c r="D89" s="2005">
        <v>46058</v>
      </c>
      <c r="E89" s="661">
        <v>6.9514</v>
      </c>
      <c r="F89" s="2020" t="s">
        <v>1419</v>
      </c>
      <c r="G89" s="511" t="s">
        <v>1565</v>
      </c>
      <c r="H89" s="245" t="s">
        <v>2119</v>
      </c>
      <c r="I89" s="227"/>
      <c r="J89" s="227" t="s">
        <v>1507</v>
      </c>
      <c r="K89" s="227" t="s">
        <v>712</v>
      </c>
      <c r="L89" s="232" t="s">
        <v>1507</v>
      </c>
      <c r="M89" s="232">
        <f>24.33/E89/1.13</f>
        <v>3.09735786335521</v>
      </c>
      <c r="N89" s="232">
        <v>15.01</v>
      </c>
      <c r="O89" s="231">
        <f t="shared" si="17"/>
        <v>3.16483010616566</v>
      </c>
      <c r="P89" s="231">
        <f t="shared" si="16"/>
        <v>21.2721879695209</v>
      </c>
      <c r="Q89" s="2036"/>
      <c r="R89" s="226" t="s">
        <v>2125</v>
      </c>
      <c r="V89" s="2015"/>
    </row>
    <row r="90" s="806" customFormat="1" ht="16" customHeight="1" spans="1:28">
      <c r="A90" s="839">
        <v>45</v>
      </c>
      <c r="B90" s="266" t="s">
        <v>2126</v>
      </c>
      <c r="C90" s="266"/>
      <c r="D90" s="2037">
        <v>46101</v>
      </c>
      <c r="E90" s="219">
        <v>6.901</v>
      </c>
      <c r="F90" s="2020" t="s">
        <v>2127</v>
      </c>
      <c r="G90" s="2006" t="s">
        <v>1617</v>
      </c>
      <c r="H90" s="317" t="s">
        <v>2119</v>
      </c>
      <c r="I90" s="2006" t="s">
        <v>1859</v>
      </c>
      <c r="J90" s="219" t="s">
        <v>1507</v>
      </c>
      <c r="K90" s="219" t="s">
        <v>712</v>
      </c>
      <c r="L90" s="319" t="s">
        <v>1507</v>
      </c>
      <c r="M90" s="319">
        <f>24.33/E90/1.13</f>
        <v>3.11997876413961</v>
      </c>
      <c r="N90" s="319">
        <f>13.99+0.72</f>
        <v>14.71</v>
      </c>
      <c r="O90" s="320">
        <f t="shared" si="17"/>
        <v>3.18794377626431</v>
      </c>
      <c r="P90" s="320">
        <f t="shared" si="16"/>
        <v>21.0179225404039</v>
      </c>
      <c r="Q90" s="2078" t="s">
        <v>2128</v>
      </c>
      <c r="R90" s="266" t="s">
        <v>2129</v>
      </c>
      <c r="V90" s="2015"/>
    </row>
    <row r="91" s="806" customFormat="1" ht="16" customHeight="1" spans="1:28">
      <c r="A91" s="839">
        <v>46</v>
      </c>
      <c r="B91" s="266" t="s">
        <v>465</v>
      </c>
      <c r="C91" s="266"/>
      <c r="D91" s="2037">
        <v>46081</v>
      </c>
      <c r="E91" s="219">
        <v>6.9264</v>
      </c>
      <c r="F91" s="2020" t="s">
        <v>1420</v>
      </c>
      <c r="G91" s="511"/>
      <c r="H91" s="227"/>
      <c r="I91" s="227" t="s">
        <v>2130</v>
      </c>
      <c r="J91" s="227" t="s">
        <v>1507</v>
      </c>
      <c r="K91" s="227" t="s">
        <v>712</v>
      </c>
      <c r="L91" s="232" t="s">
        <v>2117</v>
      </c>
      <c r="M91" s="232" t="s">
        <v>2131</v>
      </c>
      <c r="N91" s="232">
        <v>21.9</v>
      </c>
      <c r="O91" s="231">
        <v>3.5</v>
      </c>
      <c r="P91" s="232">
        <f>N91+O91</f>
        <v>25.4</v>
      </c>
      <c r="Q91" s="2036"/>
      <c r="R91" s="226" t="s">
        <v>2132</v>
      </c>
      <c r="V91" s="2015"/>
    </row>
    <row r="92" s="1930" customFormat="1" ht="16" customHeight="1" spans="1:28">
      <c r="A92" s="839">
        <v>47</v>
      </c>
      <c r="B92" s="658" t="s">
        <v>1502</v>
      </c>
      <c r="C92" s="658"/>
      <c r="D92" s="661">
        <v>20240919</v>
      </c>
      <c r="E92" s="661">
        <v>7.13</v>
      </c>
      <c r="F92" s="2020" t="s">
        <v>1407</v>
      </c>
      <c r="G92" s="227" t="s">
        <v>1504</v>
      </c>
      <c r="H92" s="227" t="s">
        <v>2133</v>
      </c>
      <c r="I92" s="227" t="s">
        <v>1506</v>
      </c>
      <c r="J92" s="227" t="s">
        <v>1507</v>
      </c>
      <c r="K92" s="227" t="s">
        <v>712</v>
      </c>
      <c r="L92" s="231" t="s">
        <v>1507</v>
      </c>
      <c r="M92" s="231">
        <f>3.85264748791615/7.21*7.17</f>
        <v>3.83127357674879</v>
      </c>
      <c r="N92" s="232">
        <f>15.2241732953349+0.23</f>
        <v>15.4541732953349</v>
      </c>
      <c r="O92" s="231">
        <f>23.73/E113/1.13</f>
        <v>3.05223685357984</v>
      </c>
      <c r="P92" s="320">
        <f>SUM(K92:O92)</f>
        <v>22.3376837256635</v>
      </c>
      <c r="Q92" s="243" t="s">
        <v>1508</v>
      </c>
      <c r="R92" s="226" t="s">
        <v>2134</v>
      </c>
      <c r="S92" s="2079"/>
      <c r="AB92" s="1977"/>
    </row>
    <row r="93" s="1930" customFormat="1" ht="16" customHeight="1" spans="1:28">
      <c r="A93" s="839">
        <v>48</v>
      </c>
      <c r="B93" s="658"/>
      <c r="C93" s="658"/>
      <c r="D93" s="2080">
        <v>46056</v>
      </c>
      <c r="E93" s="661">
        <v>6.9514</v>
      </c>
      <c r="F93" s="2020" t="s">
        <v>2135</v>
      </c>
      <c r="G93" s="227" t="s">
        <v>2136</v>
      </c>
      <c r="H93" s="227" t="s">
        <v>2133</v>
      </c>
      <c r="I93" s="227" t="s">
        <v>1511</v>
      </c>
      <c r="J93" s="227" t="s">
        <v>1507</v>
      </c>
      <c r="K93" s="227" t="s">
        <v>712</v>
      </c>
      <c r="L93" s="231" t="s">
        <v>1507</v>
      </c>
      <c r="M93" s="231">
        <f>3.85264748791615/7.21*7.17</f>
        <v>3.83127357674879</v>
      </c>
      <c r="N93" s="232">
        <v>13.5</v>
      </c>
      <c r="O93" s="231">
        <v>3.09</v>
      </c>
      <c r="P93" s="320">
        <f>SUM(K93:O93)</f>
        <v>20.4212735767488</v>
      </c>
      <c r="Q93" s="243" t="s">
        <v>2137</v>
      </c>
      <c r="R93" s="226"/>
      <c r="S93" s="2079"/>
      <c r="AB93" s="1977"/>
    </row>
    <row r="94" s="1930" customFormat="1" ht="16" customHeight="1" spans="1:28">
      <c r="A94" s="839">
        <v>1</v>
      </c>
      <c r="B94" s="266"/>
      <c r="C94" s="266"/>
      <c r="D94" s="2081">
        <v>46176</v>
      </c>
      <c r="E94" s="219">
        <v>6.75</v>
      </c>
      <c r="F94" s="1975" t="s">
        <v>2138</v>
      </c>
      <c r="G94" s="227"/>
      <c r="H94" s="227"/>
      <c r="I94" s="227"/>
      <c r="J94" s="219" t="s">
        <v>1428</v>
      </c>
      <c r="K94" s="219" t="s">
        <v>712</v>
      </c>
      <c r="L94" s="219" t="s">
        <v>1428</v>
      </c>
      <c r="M94" s="320">
        <f>38.264/E94/1.13*1.05</f>
        <v>5.2674139626352</v>
      </c>
      <c r="N94" s="319">
        <v>12.5</v>
      </c>
      <c r="O94" s="320">
        <v>3.09</v>
      </c>
      <c r="P94" s="320">
        <f>SUBTOTAL(109,M94:O94)</f>
        <v>20.8574139626352</v>
      </c>
      <c r="Q94" s="2082" t="s">
        <v>2139</v>
      </c>
      <c r="R94" s="226"/>
      <c r="S94" s="2079"/>
      <c r="AB94" s="1977"/>
    </row>
    <row r="95" s="1930" customFormat="1" ht="16" customHeight="1" spans="1:28">
      <c r="A95" s="839"/>
      <c r="B95" s="266"/>
      <c r="C95" s="266"/>
      <c r="D95" s="2081"/>
      <c r="E95" s="219">
        <v>6.7</v>
      </c>
      <c r="F95" s="1975" t="s">
        <v>2140</v>
      </c>
      <c r="G95" s="227"/>
      <c r="H95" s="227"/>
      <c r="I95" s="227"/>
      <c r="J95" s="219" t="s">
        <v>1428</v>
      </c>
      <c r="K95" s="219" t="s">
        <v>712</v>
      </c>
      <c r="L95" s="219" t="s">
        <v>1428</v>
      </c>
      <c r="M95" s="320">
        <f>54.21/E95/1.13</f>
        <v>7.16021661603487</v>
      </c>
      <c r="N95" s="319">
        <v>14.6</v>
      </c>
      <c r="O95" s="320">
        <v>3.09</v>
      </c>
      <c r="P95" s="320">
        <f>O95+N95+M95</f>
        <v>24.8502166160349</v>
      </c>
      <c r="Q95" s="2082"/>
      <c r="R95" s="226"/>
      <c r="S95" s="2079"/>
      <c r="AB95" s="1977"/>
    </row>
    <row r="96" s="1930" customFormat="1" ht="16" customHeight="1" spans="1:28">
      <c r="A96" s="839"/>
      <c r="B96" s="266"/>
      <c r="C96" s="266"/>
      <c r="D96" s="2081">
        <v>46246</v>
      </c>
      <c r="E96" s="219">
        <v>6.75</v>
      </c>
      <c r="F96" s="1975" t="s">
        <v>1346</v>
      </c>
      <c r="G96" s="219"/>
      <c r="H96" s="219"/>
      <c r="I96" s="219"/>
      <c r="J96" s="219" t="s">
        <v>1428</v>
      </c>
      <c r="K96" s="219" t="s">
        <v>712</v>
      </c>
      <c r="L96" s="219" t="s">
        <v>1428</v>
      </c>
      <c r="M96" s="214">
        <f>38.264/E96/1.13*1.05</f>
        <v>5.2674139626352</v>
      </c>
      <c r="N96" s="319">
        <v>14.92</v>
      </c>
      <c r="O96" s="320">
        <v>3.09</v>
      </c>
      <c r="P96" s="320">
        <f>SUBTOTAL(109,M96:O96)</f>
        <v>23.2774139626352</v>
      </c>
      <c r="Q96" s="2082" t="s">
        <v>2141</v>
      </c>
      <c r="R96" s="226"/>
      <c r="S96" s="2079"/>
      <c r="AB96" s="1977"/>
    </row>
    <row r="97" s="1930" customFormat="1" ht="16" customHeight="1" spans="1:28">
      <c r="A97" s="839"/>
      <c r="B97" s="266"/>
      <c r="C97" s="266"/>
      <c r="D97" s="2081"/>
      <c r="E97" s="219"/>
      <c r="F97" s="1975" t="s">
        <v>2142</v>
      </c>
      <c r="G97" s="227"/>
      <c r="H97" s="227"/>
      <c r="I97" s="227"/>
      <c r="J97" s="219" t="s">
        <v>1507</v>
      </c>
      <c r="K97" s="219" t="s">
        <v>712</v>
      </c>
      <c r="L97" s="219" t="s">
        <v>1507</v>
      </c>
      <c r="M97" s="320">
        <f>34.78*1.4/6.78/1.13</f>
        <v>6.35549638447281</v>
      </c>
      <c r="N97" s="319">
        <v>15.5</v>
      </c>
      <c r="O97" s="320">
        <v>3.09</v>
      </c>
      <c r="P97" s="320">
        <f t="shared" ref="P97:P103" si="18">SUM(K97:O97)</f>
        <v>24.9454963844728</v>
      </c>
      <c r="Q97" s="243"/>
      <c r="R97" s="226"/>
      <c r="S97" s="2079"/>
      <c r="AB97" s="1977"/>
    </row>
    <row r="98" s="1930" customFormat="1" ht="16" customHeight="1" spans="1:28">
      <c r="A98" s="839"/>
      <c r="B98" s="266"/>
      <c r="C98" s="266"/>
      <c r="D98" s="2081"/>
      <c r="E98" s="219">
        <v>6.75</v>
      </c>
      <c r="F98" s="1975" t="s">
        <v>2143</v>
      </c>
      <c r="G98" s="227"/>
      <c r="H98" s="227"/>
      <c r="I98" s="227"/>
      <c r="J98" s="219" t="s">
        <v>1428</v>
      </c>
      <c r="K98" s="219" t="s">
        <v>712</v>
      </c>
      <c r="L98" s="219" t="s">
        <v>1428</v>
      </c>
      <c r="M98" s="214">
        <f>38.264/E98/1.13*1.05</f>
        <v>5.2674139626352</v>
      </c>
      <c r="N98" s="319">
        <v>15</v>
      </c>
      <c r="O98" s="320">
        <v>3.09</v>
      </c>
      <c r="P98" s="320">
        <f t="shared" si="18"/>
        <v>23.3574139626352</v>
      </c>
      <c r="Q98" s="243"/>
      <c r="R98" s="226"/>
      <c r="S98" s="2079"/>
      <c r="AB98" s="1977"/>
    </row>
    <row r="99" s="1930" customFormat="1" ht="16" customHeight="1" spans="1:28">
      <c r="A99" s="839"/>
      <c r="B99" s="266"/>
      <c r="C99" s="266"/>
      <c r="D99" s="2081"/>
      <c r="E99" s="219">
        <v>6.7</v>
      </c>
      <c r="F99" s="1975" t="s">
        <v>2144</v>
      </c>
      <c r="G99" s="227"/>
      <c r="H99" s="227"/>
      <c r="I99" s="227"/>
      <c r="J99" s="219" t="s">
        <v>1428</v>
      </c>
      <c r="K99" s="219" t="s">
        <v>712</v>
      </c>
      <c r="L99" s="219" t="s">
        <v>1428</v>
      </c>
      <c r="M99" s="214">
        <f>45.18/E99/1.13</f>
        <v>5.96750759476951</v>
      </c>
      <c r="N99" s="319">
        <v>15.9</v>
      </c>
      <c r="O99" s="320">
        <v>3.09</v>
      </c>
      <c r="P99" s="320">
        <f t="shared" si="18"/>
        <v>24.9575075947695</v>
      </c>
      <c r="Q99" s="243"/>
      <c r="R99" s="226"/>
      <c r="S99" s="2079"/>
      <c r="AB99" s="1977"/>
    </row>
    <row r="100" s="1930" customFormat="1" ht="16" customHeight="1" spans="1:28">
      <c r="A100" s="839"/>
      <c r="B100" s="266"/>
      <c r="C100" s="266"/>
      <c r="D100" s="2081">
        <v>46288</v>
      </c>
      <c r="E100" s="219">
        <v>6.7</v>
      </c>
      <c r="F100" s="1975" t="s">
        <v>2145</v>
      </c>
      <c r="G100" s="227"/>
      <c r="H100" s="227"/>
      <c r="I100" s="227"/>
      <c r="J100" s="219" t="s">
        <v>1428</v>
      </c>
      <c r="K100" s="219" t="s">
        <v>712</v>
      </c>
      <c r="L100" s="219" t="s">
        <v>1428</v>
      </c>
      <c r="M100" s="319">
        <f>45.18/E99/1.13*1.05</f>
        <v>6.26588297450799</v>
      </c>
      <c r="N100" s="319">
        <v>15.1</v>
      </c>
      <c r="O100" s="320">
        <v>3.09</v>
      </c>
      <c r="P100" s="320">
        <f t="shared" si="18"/>
        <v>24.455882974508</v>
      </c>
      <c r="Q100" s="243"/>
      <c r="R100" s="226"/>
      <c r="S100" s="2079"/>
      <c r="AB100" s="1977"/>
    </row>
    <row r="101" s="1930" customFormat="1" ht="16" customHeight="1" spans="1:28">
      <c r="A101" s="839"/>
      <c r="B101" s="2083"/>
      <c r="C101" s="2083"/>
      <c r="D101" s="2084"/>
      <c r="E101" s="431">
        <v>6.75</v>
      </c>
      <c r="F101" s="2085" t="s">
        <v>2146</v>
      </c>
      <c r="G101" s="247"/>
      <c r="H101" s="247"/>
      <c r="I101" s="247"/>
      <c r="J101" s="431" t="s">
        <v>1428</v>
      </c>
      <c r="K101" s="431" t="s">
        <v>712</v>
      </c>
      <c r="L101" s="431" t="s">
        <v>1428</v>
      </c>
      <c r="M101" s="214">
        <f>38.264/E101/1.13*1.05</f>
        <v>5.2674139626352</v>
      </c>
      <c r="N101" s="654">
        <v>14.8</v>
      </c>
      <c r="O101" s="214">
        <v>3.09</v>
      </c>
      <c r="P101" s="320">
        <f t="shared" si="18"/>
        <v>23.1574139626352</v>
      </c>
      <c r="Q101" s="514"/>
      <c r="R101" s="226"/>
      <c r="S101" s="2079"/>
      <c r="AB101" s="1977"/>
    </row>
    <row r="102" s="1930" customFormat="1" ht="16" customHeight="1" spans="1:28">
      <c r="A102" s="839"/>
      <c r="B102" s="266"/>
      <c r="C102" s="658"/>
      <c r="D102" s="2081"/>
      <c r="E102" s="219">
        <v>6.78</v>
      </c>
      <c r="F102" s="1975" t="s">
        <v>2147</v>
      </c>
      <c r="G102" s="219"/>
      <c r="H102" s="219"/>
      <c r="I102" s="219"/>
      <c r="J102" s="431" t="s">
        <v>1428</v>
      </c>
      <c r="K102" s="431" t="s">
        <v>712</v>
      </c>
      <c r="L102" s="214" t="s">
        <v>1428</v>
      </c>
      <c r="M102" s="320">
        <f>34.77/E102/1.13*1.05</f>
        <v>4.7652517816587</v>
      </c>
      <c r="N102" s="319">
        <f>14.3*1.05</f>
        <v>15.015</v>
      </c>
      <c r="O102" s="320">
        <v>3.09</v>
      </c>
      <c r="P102" s="320">
        <f t="shared" si="18"/>
        <v>22.8702517816587</v>
      </c>
      <c r="Q102" s="243"/>
      <c r="R102" s="226"/>
      <c r="S102" s="2079"/>
      <c r="AB102" s="1977"/>
    </row>
    <row r="103" s="1930" customFormat="1" ht="16" customHeight="1" spans="1:28">
      <c r="A103" s="839"/>
      <c r="B103" s="2083"/>
      <c r="C103" s="658"/>
      <c r="D103" s="2081"/>
      <c r="E103" s="219">
        <v>6.78</v>
      </c>
      <c r="F103" s="2085" t="s">
        <v>2148</v>
      </c>
      <c r="G103" s="431"/>
      <c r="H103" s="431"/>
      <c r="I103" s="431"/>
      <c r="J103" s="431" t="s">
        <v>1428</v>
      </c>
      <c r="K103" s="431" t="s">
        <v>712</v>
      </c>
      <c r="L103" s="214" t="s">
        <v>1428</v>
      </c>
      <c r="M103" s="214">
        <f>38.264/6.78/1.13*1.05</f>
        <v>5.24410682120761</v>
      </c>
      <c r="N103" s="654">
        <v>17.4</v>
      </c>
      <c r="O103" s="654">
        <f>24.03/E103/1.13</f>
        <v>3.13650246691205</v>
      </c>
      <c r="P103" s="320">
        <f t="shared" si="18"/>
        <v>25.7806092881197</v>
      </c>
      <c r="Q103" s="243"/>
      <c r="R103" s="226"/>
      <c r="S103" s="2079"/>
      <c r="AB103" s="1977"/>
    </row>
    <row r="104" s="1930" customFormat="1" ht="16" customHeight="1" spans="1:28">
      <c r="A104" s="839"/>
      <c r="B104" s="2083"/>
      <c r="C104" s="658"/>
      <c r="D104" s="2081"/>
      <c r="E104" s="219">
        <v>6.72</v>
      </c>
      <c r="F104" s="2085" t="s">
        <v>2149</v>
      </c>
      <c r="G104" s="431"/>
      <c r="H104" s="431"/>
      <c r="I104" s="431"/>
      <c r="J104" s="431" t="s">
        <v>1428</v>
      </c>
      <c r="K104" s="431" t="s">
        <v>712</v>
      </c>
      <c r="L104" s="214" t="s">
        <v>1428</v>
      </c>
      <c r="M104" s="214">
        <f>45.18/E104/1.13</f>
        <v>5.94974715549937</v>
      </c>
      <c r="N104" s="654">
        <v>19.3</v>
      </c>
      <c r="O104" s="654">
        <f>24.03/E104/1.13</f>
        <v>3.16450695322377</v>
      </c>
      <c r="P104" s="214">
        <f>O104+N104+M104</f>
        <v>28.4142541087231</v>
      </c>
      <c r="Q104" s="243"/>
      <c r="R104" s="226" t="s">
        <v>2150</v>
      </c>
      <c r="S104" s="2079"/>
      <c r="AB104" s="1977"/>
    </row>
    <row r="105" s="1930" customFormat="1" ht="16" customHeight="1" spans="1:28">
      <c r="A105" s="839">
        <v>1</v>
      </c>
      <c r="B105" s="658"/>
      <c r="C105" s="658"/>
      <c r="D105" s="2080">
        <v>46126</v>
      </c>
      <c r="E105" s="661">
        <v>6.837</v>
      </c>
      <c r="F105" s="2020" t="s">
        <v>2151</v>
      </c>
      <c r="G105" s="227"/>
      <c r="H105" s="227"/>
      <c r="I105" s="227"/>
      <c r="J105" s="219" t="s">
        <v>1428</v>
      </c>
      <c r="K105" s="219" t="s">
        <v>712</v>
      </c>
      <c r="L105" s="320" t="s">
        <v>1428</v>
      </c>
      <c r="M105" s="231">
        <f>32.2/E105/1.13</f>
        <v>4.16784777259601</v>
      </c>
      <c r="N105" s="232">
        <v>14.6</v>
      </c>
      <c r="O105" s="231">
        <f>24.03/E105/1.13</f>
        <v>3.11035347749945</v>
      </c>
      <c r="P105" s="320">
        <f t="shared" ref="P105:P113" si="19">SUM(K105:O105)</f>
        <v>21.8782012500955</v>
      </c>
      <c r="Q105" s="243"/>
      <c r="R105" s="226"/>
      <c r="S105" s="2079"/>
      <c r="AB105" s="1977"/>
    </row>
    <row r="106" s="1930" customFormat="1" ht="16" customHeight="1" spans="1:28">
      <c r="A106" s="839"/>
      <c r="B106" s="266"/>
      <c r="C106" s="658"/>
      <c r="D106" s="2080"/>
      <c r="E106" s="661">
        <v>6.78</v>
      </c>
      <c r="F106" s="1975" t="s">
        <v>2152</v>
      </c>
      <c r="G106" s="227"/>
      <c r="H106" s="227"/>
      <c r="I106" s="227"/>
      <c r="J106" s="219"/>
      <c r="K106" s="219"/>
      <c r="L106" s="320"/>
      <c r="M106" s="320">
        <f>34.77/E106/1.13*1.05</f>
        <v>4.7652517816587</v>
      </c>
      <c r="N106" s="319">
        <v>15.3</v>
      </c>
      <c r="O106" s="320">
        <f>24.03/E106/1.13</f>
        <v>3.13650246691205</v>
      </c>
      <c r="P106" s="320">
        <f t="shared" si="19"/>
        <v>23.2017542485708</v>
      </c>
      <c r="Q106" s="243"/>
      <c r="R106" s="226"/>
      <c r="S106" s="2079"/>
      <c r="AB106" s="1977"/>
    </row>
    <row r="107" s="1930" customFormat="1" ht="16" customHeight="1" spans="1:28">
      <c r="A107" s="839">
        <v>1</v>
      </c>
      <c r="B107" s="266"/>
      <c r="C107" s="2086"/>
      <c r="D107" s="2087">
        <v>46150</v>
      </c>
      <c r="E107" s="2088">
        <v>6.8216</v>
      </c>
      <c r="F107" s="1975" t="s">
        <v>2153</v>
      </c>
      <c r="G107" s="2088" t="s">
        <v>2154</v>
      </c>
      <c r="H107" s="2088" t="s">
        <v>2155</v>
      </c>
      <c r="I107" s="227" t="s">
        <v>2156</v>
      </c>
      <c r="J107" s="219" t="s">
        <v>1428</v>
      </c>
      <c r="K107" s="219" t="s">
        <v>712</v>
      </c>
      <c r="L107" s="320" t="s">
        <v>1428</v>
      </c>
      <c r="M107" s="320">
        <v>5.27</v>
      </c>
      <c r="N107" s="319">
        <v>14.5</v>
      </c>
      <c r="O107" s="2089">
        <f t="shared" ref="O107:O113" si="20">24.03/E107/1.13</f>
        <v>3.11737520899257</v>
      </c>
      <c r="P107" s="320">
        <f t="shared" si="19"/>
        <v>22.8873752089926</v>
      </c>
      <c r="Q107" s="2082" t="s">
        <v>2157</v>
      </c>
      <c r="R107" s="226"/>
      <c r="S107" s="2079"/>
      <c r="AB107" s="1977"/>
    </row>
    <row r="108" s="1930" customFormat="1" ht="16" customHeight="1" spans="1:28">
      <c r="A108" s="839"/>
      <c r="B108" s="266"/>
      <c r="C108" s="2086"/>
      <c r="D108" s="2087">
        <v>46216</v>
      </c>
      <c r="E108" s="2088">
        <v>6.78</v>
      </c>
      <c r="F108" s="1975" t="s">
        <v>2158</v>
      </c>
      <c r="G108" s="2088"/>
      <c r="H108" s="2088"/>
      <c r="I108" s="227"/>
      <c r="J108" s="219"/>
      <c r="K108" s="219"/>
      <c r="L108" s="320"/>
      <c r="M108" s="320">
        <f>34.78/E108/1.13</f>
        <v>4.53964027462344</v>
      </c>
      <c r="N108" s="319">
        <v>16</v>
      </c>
      <c r="O108" s="2089">
        <f t="shared" si="20"/>
        <v>3.13650246691205</v>
      </c>
      <c r="P108" s="320">
        <f t="shared" si="19"/>
        <v>23.6761427415355</v>
      </c>
      <c r="Q108" s="2090"/>
      <c r="R108" s="226"/>
      <c r="S108" s="2079"/>
      <c r="AB108" s="1977"/>
    </row>
    <row r="109" s="1930" customFormat="1" ht="16" customHeight="1" spans="1:28">
      <c r="A109" s="839">
        <v>1</v>
      </c>
      <c r="B109" s="658"/>
      <c r="C109" s="2086"/>
      <c r="D109" s="2087">
        <v>46163</v>
      </c>
      <c r="E109" s="2088">
        <v>6.8191</v>
      </c>
      <c r="F109" s="2020" t="s">
        <v>2159</v>
      </c>
      <c r="G109" s="2088"/>
      <c r="H109" s="2088"/>
      <c r="I109" s="227"/>
      <c r="J109" s="227"/>
      <c r="K109" s="227"/>
      <c r="L109" s="231"/>
      <c r="M109" s="2091">
        <f>31.13/E109/1.13</f>
        <v>4.0399279327729</v>
      </c>
      <c r="N109" s="2092">
        <v>12.1</v>
      </c>
      <c r="O109" s="2091">
        <f t="shared" si="20"/>
        <v>3.11851809266087</v>
      </c>
      <c r="P109" s="320">
        <f t="shared" si="19"/>
        <v>19.2584460254338</v>
      </c>
      <c r="Q109" s="2090"/>
      <c r="R109" s="226"/>
      <c r="S109" s="2079"/>
      <c r="AB109" s="1977"/>
    </row>
    <row r="110" s="1930" customFormat="1" ht="16" customHeight="1" spans="1:28">
      <c r="A110" s="839">
        <v>1</v>
      </c>
      <c r="B110" s="266"/>
      <c r="C110" s="266"/>
      <c r="D110" s="2081">
        <v>46163</v>
      </c>
      <c r="E110" s="219">
        <v>6.8</v>
      </c>
      <c r="F110" s="2020" t="s">
        <v>2160</v>
      </c>
      <c r="G110" s="227"/>
      <c r="H110" s="227"/>
      <c r="I110" s="227"/>
      <c r="J110" s="227"/>
      <c r="K110" s="227"/>
      <c r="L110" s="231"/>
      <c r="M110" s="320">
        <f>31.13/E110/1.13</f>
        <v>4.0512753774076</v>
      </c>
      <c r="N110" s="319">
        <v>12.1</v>
      </c>
      <c r="O110" s="320">
        <f t="shared" si="20"/>
        <v>3.12727745965643</v>
      </c>
      <c r="P110" s="320">
        <f t="shared" si="19"/>
        <v>19.278552837064</v>
      </c>
      <c r="Q110" s="243"/>
      <c r="R110" s="226"/>
      <c r="S110" s="2079"/>
      <c r="AB110" s="1977"/>
    </row>
    <row r="111" s="1930" customFormat="1" ht="16" customHeight="1" spans="1:28">
      <c r="A111" s="839">
        <v>1</v>
      </c>
      <c r="B111" s="266"/>
      <c r="C111" s="658" t="s">
        <v>1503</v>
      </c>
      <c r="D111" s="2080">
        <v>46133</v>
      </c>
      <c r="E111" s="661">
        <v>6.8225</v>
      </c>
      <c r="F111" s="1975" t="s">
        <v>2161</v>
      </c>
      <c r="G111" s="227"/>
      <c r="H111" s="227"/>
      <c r="I111" s="227" t="s">
        <v>2156</v>
      </c>
      <c r="J111" s="219" t="s">
        <v>1428</v>
      </c>
      <c r="K111" s="219" t="s">
        <v>712</v>
      </c>
      <c r="L111" s="320" t="s">
        <v>1428</v>
      </c>
      <c r="M111" s="320">
        <f>54.21/E111/1.13</f>
        <v>7.03165281457437</v>
      </c>
      <c r="N111" s="319">
        <v>15.2</v>
      </c>
      <c r="O111" s="320">
        <f t="shared" si="20"/>
        <v>3.1169639759126</v>
      </c>
      <c r="P111" s="320">
        <f t="shared" si="19"/>
        <v>25.348616790487</v>
      </c>
      <c r="Q111" s="243"/>
      <c r="R111" s="226"/>
      <c r="S111" s="2079"/>
      <c r="AB111" s="1977"/>
    </row>
    <row r="112" s="1930" customFormat="1" ht="16" customHeight="1" spans="1:28">
      <c r="A112" s="839">
        <v>1</v>
      </c>
      <c r="B112" s="651"/>
      <c r="C112" s="651"/>
      <c r="D112" s="2093">
        <v>46128</v>
      </c>
      <c r="E112" s="2094">
        <v>6.837</v>
      </c>
      <c r="F112" s="2020" t="s">
        <v>2162</v>
      </c>
      <c r="G112" s="227" t="s">
        <v>2163</v>
      </c>
      <c r="H112" s="227"/>
      <c r="I112" s="227" t="s">
        <v>2156</v>
      </c>
      <c r="J112" s="227"/>
      <c r="K112" s="227"/>
      <c r="L112" s="231"/>
      <c r="M112" s="231">
        <f>30.66/E113/1.13</f>
        <v>3.94359805860758</v>
      </c>
      <c r="N112" s="232">
        <v>13.5</v>
      </c>
      <c r="O112" s="231">
        <f t="shared" si="20"/>
        <v>3.11035347749945</v>
      </c>
      <c r="P112" s="320">
        <f t="shared" si="19"/>
        <v>20.553951536107</v>
      </c>
      <c r="Q112" s="243"/>
      <c r="R112" s="226"/>
      <c r="S112" s="2079"/>
      <c r="AB112" s="1977"/>
    </row>
    <row r="113" s="993" customFormat="1" ht="16" customHeight="1" spans="1:28">
      <c r="A113" s="839">
        <v>49</v>
      </c>
      <c r="B113" s="266"/>
      <c r="C113" s="266"/>
      <c r="D113" s="2081">
        <v>46080</v>
      </c>
      <c r="E113" s="219">
        <v>6.8802</v>
      </c>
      <c r="F113" s="2020" t="s">
        <v>2164</v>
      </c>
      <c r="G113" s="227" t="s">
        <v>2165</v>
      </c>
      <c r="H113" s="227" t="s">
        <v>2166</v>
      </c>
      <c r="I113" s="227"/>
      <c r="J113" s="227"/>
      <c r="K113" s="227" t="s">
        <v>712</v>
      </c>
      <c r="L113" s="231"/>
      <c r="M113" s="231">
        <f>28.3/E113/1.13</f>
        <v>3.64004647940621</v>
      </c>
      <c r="N113" s="232">
        <v>13.5</v>
      </c>
      <c r="O113" s="231">
        <f t="shared" si="20"/>
        <v>3.09082391873255</v>
      </c>
      <c r="P113" s="320">
        <f t="shared" si="19"/>
        <v>20.2308703981388</v>
      </c>
      <c r="Q113" s="243"/>
      <c r="R113" s="226"/>
      <c r="S113" s="1246"/>
      <c r="T113" s="978"/>
      <c r="U113" s="993"/>
      <c r="V113" s="993"/>
      <c r="W113" s="2044"/>
      <c r="X113" s="993"/>
      <c r="Y113" s="993"/>
      <c r="Z113" s="993"/>
      <c r="AA113" s="993"/>
      <c r="AB113" s="2044"/>
    </row>
    <row r="114" s="1930" customFormat="1" ht="16" customHeight="1" spans="1:28">
      <c r="A114" s="839">
        <v>50</v>
      </c>
      <c r="B114" s="658"/>
      <c r="C114" s="658"/>
      <c r="D114" s="2093">
        <v>46098</v>
      </c>
      <c r="E114" s="2094">
        <v>6.901</v>
      </c>
      <c r="F114" s="2020" t="s">
        <v>2167</v>
      </c>
      <c r="G114" s="227" t="s">
        <v>2168</v>
      </c>
      <c r="H114" s="227"/>
      <c r="I114" s="227" t="s">
        <v>2156</v>
      </c>
      <c r="J114" s="227"/>
      <c r="K114" s="227" t="s">
        <v>712</v>
      </c>
      <c r="L114" s="231"/>
      <c r="M114" s="231"/>
      <c r="N114" s="232">
        <v>11.3</v>
      </c>
      <c r="O114" s="231"/>
      <c r="P114" s="231"/>
      <c r="Q114" s="243"/>
      <c r="R114" s="226" t="s">
        <v>2169</v>
      </c>
      <c r="S114" s="2079"/>
      <c r="T114" s="1755"/>
      <c r="W114" s="1977"/>
      <c r="AB114" s="1977"/>
    </row>
    <row r="115" s="1930" customFormat="1" ht="16" customHeight="1" spans="1:28">
      <c r="A115" s="839">
        <v>51</v>
      </c>
      <c r="B115" s="658"/>
      <c r="C115" s="658"/>
      <c r="D115" s="2093">
        <v>46098</v>
      </c>
      <c r="E115" s="2094">
        <v>6.901</v>
      </c>
      <c r="F115" s="2020" t="s">
        <v>2170</v>
      </c>
      <c r="G115" s="227" t="s">
        <v>2171</v>
      </c>
      <c r="H115" s="227"/>
      <c r="I115" s="227" t="s">
        <v>2156</v>
      </c>
      <c r="J115" s="227"/>
      <c r="K115" s="227" t="s">
        <v>712</v>
      </c>
      <c r="L115" s="231"/>
      <c r="M115" s="231"/>
      <c r="N115" s="232">
        <v>11.6</v>
      </c>
      <c r="O115" s="231"/>
      <c r="P115" s="231"/>
      <c r="Q115" s="243"/>
      <c r="R115" s="226" t="s">
        <v>2169</v>
      </c>
      <c r="S115" s="2079"/>
      <c r="T115" s="1755"/>
      <c r="W115" s="1977"/>
      <c r="AB115" s="1977"/>
    </row>
    <row r="116" s="1930" customFormat="1" ht="16" customHeight="1" spans="1:28">
      <c r="A116" s="839">
        <v>52</v>
      </c>
      <c r="B116" s="658"/>
      <c r="C116" s="658"/>
      <c r="D116" s="661">
        <v>20240919</v>
      </c>
      <c r="E116" s="661">
        <v>7.13</v>
      </c>
      <c r="F116" s="2020" t="s">
        <v>1408</v>
      </c>
      <c r="G116" s="227" t="s">
        <v>1510</v>
      </c>
      <c r="H116" s="227" t="s">
        <v>2133</v>
      </c>
      <c r="I116" s="227" t="s">
        <v>1511</v>
      </c>
      <c r="J116" s="227" t="s">
        <v>1507</v>
      </c>
      <c r="K116" s="227" t="s">
        <v>712</v>
      </c>
      <c r="L116" s="231" t="s">
        <v>1507</v>
      </c>
      <c r="M116" s="231">
        <f>3.85264748791615/7.21*7.17</f>
        <v>3.83127357674879</v>
      </c>
      <c r="N116" s="232">
        <f>16.9754976606191+0.23</f>
        <v>17.2054976606191</v>
      </c>
      <c r="O116" s="231">
        <f>23.73/E116/1.13</f>
        <v>2.945301542777</v>
      </c>
      <c r="P116" s="320">
        <f t="shared" ref="P116:P125" si="21">SUM(K116:O116)</f>
        <v>23.9820727801449</v>
      </c>
      <c r="Q116" s="243" t="s">
        <v>1508</v>
      </c>
      <c r="R116" s="226" t="s">
        <v>2172</v>
      </c>
      <c r="S116" s="2079"/>
      <c r="T116" s="1755"/>
      <c r="W116" s="1977"/>
      <c r="AB116" s="1977"/>
    </row>
    <row r="117" s="1930" customFormat="1" ht="16" customHeight="1" spans="1:28">
      <c r="A117" s="839">
        <v>53</v>
      </c>
      <c r="B117" s="658" t="s">
        <v>2173</v>
      </c>
      <c r="C117" s="658"/>
      <c r="D117" s="661">
        <v>20250827</v>
      </c>
      <c r="E117" s="661">
        <v>7.13</v>
      </c>
      <c r="F117" s="2020" t="s">
        <v>1551</v>
      </c>
      <c r="G117" s="227"/>
      <c r="H117" s="227" t="s">
        <v>2174</v>
      </c>
      <c r="I117" s="227" t="s">
        <v>1506</v>
      </c>
      <c r="J117" s="227" t="s">
        <v>1507</v>
      </c>
      <c r="K117" s="227" t="s">
        <v>712</v>
      </c>
      <c r="L117" s="231" t="s">
        <v>1507</v>
      </c>
      <c r="M117" s="231">
        <f>26.3/E117/1.13</f>
        <v>3.26428278866562</v>
      </c>
      <c r="N117" s="232">
        <f>23.5410816032153+0.23</f>
        <v>23.7710816032153</v>
      </c>
      <c r="O117" s="231">
        <v>2.9827422863417</v>
      </c>
      <c r="P117" s="320">
        <f t="shared" si="21"/>
        <v>30.0181066782226</v>
      </c>
      <c r="Q117" s="243" t="s">
        <v>1517</v>
      </c>
      <c r="R117" s="226" t="s">
        <v>2175</v>
      </c>
      <c r="S117" s="2079"/>
      <c r="T117" s="1755"/>
      <c r="W117" s="1977"/>
      <c r="Z117" s="2095"/>
      <c r="AA117" s="2095"/>
      <c r="AB117" s="2096"/>
    </row>
    <row r="118" s="1930" customFormat="1" ht="16" customHeight="1" spans="1:28">
      <c r="A118" s="839">
        <v>1</v>
      </c>
      <c r="B118" s="266"/>
      <c r="C118" s="266" t="s">
        <v>1512</v>
      </c>
      <c r="D118" s="2081">
        <v>46141</v>
      </c>
      <c r="E118" s="219">
        <v>6.8225</v>
      </c>
      <c r="F118" s="2020" t="s">
        <v>2176</v>
      </c>
      <c r="G118" s="227"/>
      <c r="H118" s="227"/>
      <c r="I118" s="227"/>
      <c r="J118" s="227"/>
      <c r="K118" s="227"/>
      <c r="L118" s="231"/>
      <c r="M118" s="320">
        <f>27.63/E118/1.13</f>
        <v>3.58392487118041</v>
      </c>
      <c r="N118" s="319">
        <v>18.5</v>
      </c>
      <c r="O118" s="320">
        <v>3</v>
      </c>
      <c r="P118" s="320">
        <f t="shared" si="21"/>
        <v>25.0839248711804</v>
      </c>
      <c r="Q118" s="243"/>
      <c r="R118" s="226"/>
      <c r="S118" s="2079"/>
      <c r="T118" s="1755"/>
      <c r="W118" s="1977"/>
      <c r="Z118" s="2095"/>
      <c r="AA118" s="2095"/>
      <c r="AB118" s="2096"/>
    </row>
    <row r="119" s="1930" customFormat="1" ht="16" customHeight="1" spans="1:28">
      <c r="A119" s="839">
        <v>54</v>
      </c>
      <c r="B119" s="658"/>
      <c r="C119" s="658"/>
      <c r="D119" s="661">
        <v>20250827</v>
      </c>
      <c r="E119" s="661">
        <v>7.13</v>
      </c>
      <c r="F119" s="2020" t="s">
        <v>1551</v>
      </c>
      <c r="G119" s="227"/>
      <c r="H119" s="227" t="s">
        <v>2174</v>
      </c>
      <c r="I119" s="227" t="s">
        <v>1511</v>
      </c>
      <c r="J119" s="227" t="s">
        <v>1507</v>
      </c>
      <c r="K119" s="227" t="s">
        <v>712</v>
      </c>
      <c r="L119" s="231" t="s">
        <v>1507</v>
      </c>
      <c r="M119" s="231">
        <f>26.3/E119/1.13</f>
        <v>3.26428278866562</v>
      </c>
      <c r="N119" s="232">
        <f>23.4942787437831+0.23</f>
        <v>23.7242787437831</v>
      </c>
      <c r="O119" s="231">
        <v>2.9827422863417</v>
      </c>
      <c r="P119" s="320">
        <f t="shared" si="21"/>
        <v>29.9713038187904</v>
      </c>
      <c r="Q119" s="243" t="s">
        <v>1517</v>
      </c>
      <c r="R119" s="226" t="s">
        <v>2175</v>
      </c>
      <c r="S119" s="2079"/>
      <c r="T119" s="1755"/>
      <c r="W119" s="1977"/>
      <c r="Z119" s="2095"/>
      <c r="AA119" s="2095"/>
      <c r="AB119" s="2096"/>
    </row>
    <row r="120" s="1930" customFormat="1" ht="16" customHeight="1" spans="1:28">
      <c r="A120" s="839">
        <v>55</v>
      </c>
      <c r="B120" s="658" t="s">
        <v>2177</v>
      </c>
      <c r="C120" s="658"/>
      <c r="D120" s="661">
        <v>20250827</v>
      </c>
      <c r="E120" s="661">
        <v>7.13</v>
      </c>
      <c r="F120" s="2020" t="s">
        <v>1551</v>
      </c>
      <c r="G120" s="227"/>
      <c r="H120" s="227" t="s">
        <v>2174</v>
      </c>
      <c r="I120" s="227" t="s">
        <v>1506</v>
      </c>
      <c r="J120" s="227" t="s">
        <v>1507</v>
      </c>
      <c r="K120" s="227" t="s">
        <v>712</v>
      </c>
      <c r="L120" s="231" t="s">
        <v>1507</v>
      </c>
      <c r="M120" s="231">
        <f>39.408/E120/1.13</f>
        <v>4.89121125991386</v>
      </c>
      <c r="N120" s="232">
        <f>19.5431560335633+0.23</f>
        <v>19.7731560335633</v>
      </c>
      <c r="O120" s="231">
        <f t="shared" ref="O120:O122" si="22">24.17/E120/1.13</f>
        <v>2.99991311794859</v>
      </c>
      <c r="P120" s="231">
        <f t="shared" si="21"/>
        <v>27.6642804114258</v>
      </c>
      <c r="Q120" s="233" t="s">
        <v>1526</v>
      </c>
      <c r="R120" s="226" t="s">
        <v>2178</v>
      </c>
      <c r="S120" s="2079"/>
      <c r="T120" s="1755"/>
      <c r="W120" s="1977"/>
      <c r="Z120" s="2095"/>
      <c r="AA120" s="2095"/>
      <c r="AB120" s="2096"/>
    </row>
    <row r="121" s="1930" customFormat="1" ht="16" customHeight="1" spans="1:28">
      <c r="A121" s="839">
        <v>56</v>
      </c>
      <c r="B121" s="658"/>
      <c r="C121" s="658"/>
      <c r="D121" s="661">
        <v>20250827</v>
      </c>
      <c r="E121" s="661">
        <v>7.13</v>
      </c>
      <c r="F121" s="2020" t="s">
        <v>1551</v>
      </c>
      <c r="G121" s="227"/>
      <c r="H121" s="227" t="s">
        <v>2174</v>
      </c>
      <c r="I121" s="227" t="s">
        <v>1530</v>
      </c>
      <c r="J121" s="227" t="s">
        <v>1507</v>
      </c>
      <c r="K121" s="227" t="s">
        <v>712</v>
      </c>
      <c r="L121" s="231" t="s">
        <v>1507</v>
      </c>
      <c r="M121" s="231">
        <f>39.408/E121/1.13</f>
        <v>4.89121125991386</v>
      </c>
      <c r="N121" s="232">
        <f>21.0352391992225+0.23</f>
        <v>21.2652391992225</v>
      </c>
      <c r="O121" s="231">
        <f t="shared" si="22"/>
        <v>2.99991311794859</v>
      </c>
      <c r="P121" s="231">
        <f t="shared" si="21"/>
        <v>29.1563635770849</v>
      </c>
      <c r="Q121" s="233" t="s">
        <v>1526</v>
      </c>
      <c r="R121" s="226" t="s">
        <v>2179</v>
      </c>
      <c r="S121" s="2079"/>
      <c r="T121" s="1755"/>
      <c r="W121" s="1977"/>
      <c r="AB121" s="1977"/>
    </row>
    <row r="122" s="1930" customFormat="1" ht="16" customHeight="1" spans="1:28">
      <c r="A122" s="839"/>
      <c r="B122" s="266" t="s">
        <v>2180</v>
      </c>
      <c r="C122" s="658"/>
      <c r="D122" s="661"/>
      <c r="E122" s="661">
        <v>6.7</v>
      </c>
      <c r="F122" s="1975" t="s">
        <v>2181</v>
      </c>
      <c r="G122" s="227"/>
      <c r="H122" s="227"/>
      <c r="I122" s="227"/>
      <c r="J122" s="219" t="s">
        <v>1428</v>
      </c>
      <c r="K122" s="219" t="s">
        <v>712</v>
      </c>
      <c r="L122" s="219" t="s">
        <v>1428</v>
      </c>
      <c r="M122" s="320">
        <f>59.73/E122/1.13</f>
        <v>7.88931448949941</v>
      </c>
      <c r="N122" s="319">
        <v>19.1</v>
      </c>
      <c r="O122" s="320">
        <f t="shared" si="22"/>
        <v>3.19244485536917</v>
      </c>
      <c r="P122" s="320">
        <f t="shared" si="21"/>
        <v>30.1817593448686</v>
      </c>
      <c r="Q122" s="233"/>
      <c r="R122" s="226"/>
      <c r="S122" s="2079"/>
      <c r="T122" s="1755"/>
      <c r="W122" s="1977"/>
      <c r="AB122" s="1977"/>
    </row>
    <row r="123" s="1930" customFormat="1" ht="16" customHeight="1" spans="1:28">
      <c r="A123" s="839"/>
      <c r="B123" s="266" t="s">
        <v>2180</v>
      </c>
      <c r="C123" s="658"/>
      <c r="D123" s="661"/>
      <c r="E123" s="661"/>
      <c r="F123" s="1975" t="s">
        <v>2182</v>
      </c>
      <c r="G123" s="227"/>
      <c r="H123" s="227"/>
      <c r="I123" s="227"/>
      <c r="J123" s="219" t="s">
        <v>1428</v>
      </c>
      <c r="K123" s="667" t="s">
        <v>712</v>
      </c>
      <c r="L123" s="2048" t="s">
        <v>1428</v>
      </c>
      <c r="M123" s="320">
        <f>60.66/6.73/1.13</f>
        <v>7.97643624505253</v>
      </c>
      <c r="N123" s="319">
        <f>19.7</f>
        <v>19.7</v>
      </c>
      <c r="O123" s="320">
        <f>22/6.78</f>
        <v>3.24483775811209</v>
      </c>
      <c r="P123" s="320">
        <f t="shared" si="21"/>
        <v>30.9212740031646</v>
      </c>
      <c r="Q123" s="233" t="s">
        <v>2101</v>
      </c>
      <c r="R123" s="226"/>
      <c r="S123" s="2079"/>
      <c r="T123" s="1755"/>
      <c r="W123" s="1977"/>
      <c r="AB123" s="1977"/>
    </row>
    <row r="124" s="1930" customFormat="1" ht="16" customHeight="1" spans="1:28">
      <c r="A124" s="839">
        <v>57</v>
      </c>
      <c r="B124" s="658" t="s">
        <v>2183</v>
      </c>
      <c r="C124" s="658"/>
      <c r="D124" s="661">
        <v>20250829</v>
      </c>
      <c r="E124" s="661">
        <v>7.13</v>
      </c>
      <c r="F124" s="2020" t="s">
        <v>1551</v>
      </c>
      <c r="G124" s="227"/>
      <c r="H124" s="227" t="s">
        <v>2184</v>
      </c>
      <c r="I124" s="227" t="s">
        <v>1506</v>
      </c>
      <c r="J124" s="227" t="s">
        <v>1507</v>
      </c>
      <c r="K124" s="227" t="s">
        <v>712</v>
      </c>
      <c r="L124" s="231" t="s">
        <v>1507</v>
      </c>
      <c r="M124" s="231">
        <f>28/E124/1.13</f>
        <v>3.47528205637404</v>
      </c>
      <c r="N124" s="232">
        <f>0.23+18.713855535658</f>
        <v>18.943855535658</v>
      </c>
      <c r="O124" s="231">
        <f>23.91/E124/1.13</f>
        <v>2.96764264171083</v>
      </c>
      <c r="P124" s="231">
        <f t="shared" si="21"/>
        <v>25.3867802337429</v>
      </c>
      <c r="Q124" s="243" t="s">
        <v>1536</v>
      </c>
      <c r="R124" s="226" t="s">
        <v>2185</v>
      </c>
      <c r="S124" s="2079"/>
      <c r="T124" s="1755"/>
      <c r="W124" s="1977"/>
      <c r="Z124" s="2095"/>
      <c r="AA124" s="2095"/>
      <c r="AB124" s="2096"/>
    </row>
    <row r="125" s="1930" customFormat="1" ht="16" customHeight="1" spans="1:28">
      <c r="A125" s="839"/>
      <c r="B125" s="266"/>
      <c r="C125" s="658"/>
      <c r="D125" s="661"/>
      <c r="E125" s="661">
        <v>6.75</v>
      </c>
      <c r="F125" s="1975" t="s">
        <v>2186</v>
      </c>
      <c r="G125" s="227"/>
      <c r="H125" s="227"/>
      <c r="I125" s="227"/>
      <c r="J125" s="219" t="s">
        <v>1428</v>
      </c>
      <c r="K125" s="219" t="s">
        <v>712</v>
      </c>
      <c r="L125" s="219" t="s">
        <v>1428</v>
      </c>
      <c r="M125" s="320">
        <f>36.96/E125/1.13*1.05</f>
        <v>5.08790560471977</v>
      </c>
      <c r="N125" s="319">
        <v>18</v>
      </c>
      <c r="O125" s="320">
        <f>23.91/E125/1.13</f>
        <v>3.13470993117011</v>
      </c>
      <c r="P125" s="320">
        <f t="shared" si="21"/>
        <v>26.2226155358899</v>
      </c>
      <c r="Q125" s="243"/>
      <c r="R125" s="226"/>
      <c r="S125" s="2079"/>
      <c r="T125" s="1755"/>
      <c r="W125" s="1977"/>
      <c r="Z125" s="2095"/>
      <c r="AA125" s="2095"/>
      <c r="AB125" s="2096"/>
    </row>
    <row r="126" s="1930" customFormat="1" ht="16" customHeight="1" spans="1:28">
      <c r="A126" s="839"/>
      <c r="B126" s="658"/>
      <c r="C126" s="658"/>
      <c r="D126" s="661"/>
      <c r="E126" s="661">
        <v>6.75</v>
      </c>
      <c r="F126" s="2020"/>
      <c r="G126" s="227"/>
      <c r="H126" s="227"/>
      <c r="I126" s="227"/>
      <c r="J126" s="219" t="s">
        <v>1428</v>
      </c>
      <c r="K126" s="667" t="s">
        <v>712</v>
      </c>
      <c r="L126" s="2048" t="s">
        <v>1428</v>
      </c>
      <c r="M126" s="231"/>
      <c r="N126" s="232">
        <v>17.9</v>
      </c>
      <c r="O126" s="231">
        <f>23.91/E126/1.13</f>
        <v>3.13470993117011</v>
      </c>
      <c r="P126" s="231"/>
      <c r="Q126" s="243"/>
      <c r="R126" s="226"/>
      <c r="S126" s="2079"/>
      <c r="T126" s="1755"/>
      <c r="W126" s="1977"/>
      <c r="Z126" s="2095"/>
      <c r="AA126" s="2095"/>
      <c r="AB126" s="2096"/>
    </row>
    <row r="127" s="1930" customFormat="1" ht="16" customHeight="1" spans="1:28">
      <c r="A127" s="839">
        <v>58</v>
      </c>
      <c r="B127" s="658"/>
      <c r="C127" s="658"/>
      <c r="D127" s="661">
        <v>20250829</v>
      </c>
      <c r="E127" s="661">
        <v>7.13</v>
      </c>
      <c r="F127" s="2020" t="s">
        <v>1551</v>
      </c>
      <c r="G127" s="227"/>
      <c r="H127" s="227" t="s">
        <v>2184</v>
      </c>
      <c r="I127" s="227" t="s">
        <v>1511</v>
      </c>
      <c r="J127" s="227" t="s">
        <v>1507</v>
      </c>
      <c r="K127" s="227" t="s">
        <v>712</v>
      </c>
      <c r="L127" s="231" t="s">
        <v>1507</v>
      </c>
      <c r="M127" s="231">
        <f>28/E127/1.13</f>
        <v>3.47528205637404</v>
      </c>
      <c r="N127" s="232">
        <f>0.23+20.1765829695702</f>
        <v>20.4065829695702</v>
      </c>
      <c r="O127" s="231">
        <f>23.91/E127/1.13</f>
        <v>2.96764264171083</v>
      </c>
      <c r="P127" s="231">
        <f>SUM(K127:O127)</f>
        <v>26.8495076676551</v>
      </c>
      <c r="Q127" s="243" t="s">
        <v>1536</v>
      </c>
      <c r="R127" s="226" t="s">
        <v>2185</v>
      </c>
      <c r="S127" s="2079"/>
      <c r="T127" s="1755"/>
      <c r="W127" s="1977"/>
      <c r="Z127" s="2095"/>
      <c r="AA127" s="2095"/>
      <c r="AB127" s="2096"/>
    </row>
    <row r="128" s="1930" customFormat="1" ht="16" customHeight="1" spans="1:28">
      <c r="A128" s="839">
        <v>59</v>
      </c>
      <c r="B128" s="2097" t="s">
        <v>2187</v>
      </c>
      <c r="C128" s="2097"/>
      <c r="D128" s="2051">
        <v>20250829</v>
      </c>
      <c r="E128" s="2051">
        <v>7.13</v>
      </c>
      <c r="F128" s="2020" t="s">
        <v>1551</v>
      </c>
      <c r="G128" s="511"/>
      <c r="H128" s="511" t="s">
        <v>2184</v>
      </c>
      <c r="I128" s="511" t="s">
        <v>1506</v>
      </c>
      <c r="J128" s="511" t="s">
        <v>1507</v>
      </c>
      <c r="K128" s="511" t="s">
        <v>712</v>
      </c>
      <c r="L128" s="2031" t="s">
        <v>1507</v>
      </c>
      <c r="M128" s="2031">
        <f>25.68/E128/1.13</f>
        <v>3.18733011456019</v>
      </c>
      <c r="N128" s="2010">
        <f>17.622732205755+0.23</f>
        <v>17.852732205755</v>
      </c>
      <c r="O128" s="2031">
        <f t="shared" ref="O128:O134" si="23">23.3/E128/1.13</f>
        <v>2.8919311397684</v>
      </c>
      <c r="P128" s="2031">
        <f>SUM(K128:O128)</f>
        <v>23.9319934600836</v>
      </c>
      <c r="Q128" s="259" t="s">
        <v>1517</v>
      </c>
      <c r="R128" s="226" t="s">
        <v>2188</v>
      </c>
      <c r="S128" s="2079"/>
      <c r="T128" s="1755"/>
      <c r="W128" s="1977"/>
      <c r="Z128" s="2095"/>
      <c r="AA128" s="2095"/>
      <c r="AB128" s="2096"/>
    </row>
    <row r="129" s="1930" customFormat="1" ht="16" customHeight="1" spans="1:28">
      <c r="A129" s="839">
        <v>111</v>
      </c>
      <c r="B129" s="2014"/>
      <c r="C129" s="2014"/>
      <c r="D129" s="2098">
        <v>46122</v>
      </c>
      <c r="E129" s="2051">
        <v>6.8819</v>
      </c>
      <c r="F129" s="2062" t="s">
        <v>1979</v>
      </c>
      <c r="G129" s="511"/>
      <c r="H129" s="511"/>
      <c r="I129" s="511"/>
      <c r="J129" s="2006" t="s">
        <v>2189</v>
      </c>
      <c r="K129" s="2006"/>
      <c r="L129" s="2012">
        <v>3.1</v>
      </c>
      <c r="M129" s="2012">
        <f>25.68/E129/1.13</f>
        <v>3.30223684110698</v>
      </c>
      <c r="N129" s="2011">
        <v>14.2</v>
      </c>
      <c r="O129" s="2012">
        <f t="shared" si="23"/>
        <v>2.996188411129</v>
      </c>
      <c r="P129" s="2012">
        <f>SUBTOTAL(109,L129:O129)</f>
        <v>23.598425252236</v>
      </c>
      <c r="Q129" s="2045"/>
      <c r="R129" s="226"/>
      <c r="S129" s="2079"/>
      <c r="T129" s="1755"/>
      <c r="W129" s="1977"/>
      <c r="Z129" s="2095"/>
      <c r="AA129" s="2095"/>
      <c r="AB129" s="2096"/>
    </row>
    <row r="130" s="1930" customFormat="1" ht="16" customHeight="1" spans="1:28">
      <c r="A130" s="839"/>
      <c r="B130" s="2097"/>
      <c r="C130" s="2014"/>
      <c r="D130" s="2098">
        <v>46273</v>
      </c>
      <c r="E130" s="2051">
        <v>6.73</v>
      </c>
      <c r="F130" s="2099" t="s">
        <v>2190</v>
      </c>
      <c r="G130" s="511"/>
      <c r="H130" s="511"/>
      <c r="I130" s="511"/>
      <c r="J130" s="2051" t="s">
        <v>1428</v>
      </c>
      <c r="K130" s="2051" t="s">
        <v>712</v>
      </c>
      <c r="L130" s="2051" t="s">
        <v>1428</v>
      </c>
      <c r="M130" s="2100">
        <f>39.2/6.73/1.13*1.05</f>
        <v>5.41229996449658</v>
      </c>
      <c r="N130" s="2101">
        <v>16.5</v>
      </c>
      <c r="O130" s="2100">
        <f t="shared" si="23"/>
        <v>3.06381411984378</v>
      </c>
      <c r="P130" s="2100">
        <f>SUBTOTAL(109,L130:O130)</f>
        <v>24.9761140843404</v>
      </c>
      <c r="Q130" s="2045"/>
      <c r="R130" s="226"/>
      <c r="S130" s="2079"/>
      <c r="T130" s="1755"/>
      <c r="W130" s="1977"/>
      <c r="Z130" s="2095"/>
      <c r="AA130" s="2095"/>
      <c r="AB130" s="2096"/>
    </row>
    <row r="131" s="1930" customFormat="1" ht="16" customHeight="1" spans="1:28">
      <c r="A131" s="839"/>
      <c r="B131" s="2014"/>
      <c r="C131" s="2014"/>
      <c r="D131" s="2098"/>
      <c r="E131" s="2051">
        <v>6.8</v>
      </c>
      <c r="F131" s="2020" t="s">
        <v>2191</v>
      </c>
      <c r="G131" s="511"/>
      <c r="H131" s="511"/>
      <c r="I131" s="511"/>
      <c r="J131" s="2006"/>
      <c r="K131" s="2006"/>
      <c r="L131" s="2012"/>
      <c r="M131" s="2012">
        <f>25.68/E131/1.13*1.2</f>
        <v>4.01041124414368</v>
      </c>
      <c r="N131" s="2011">
        <f>16.5*1.1</f>
        <v>18.15</v>
      </c>
      <c r="O131" s="2012">
        <f t="shared" si="23"/>
        <v>3.03227485684539</v>
      </c>
      <c r="P131" s="2012">
        <f>SUBTOTAL(109,L131:O131)</f>
        <v>25.1926861009891</v>
      </c>
      <c r="Q131" s="2045"/>
      <c r="R131" s="226"/>
      <c r="S131" s="2079"/>
      <c r="T131" s="1755"/>
      <c r="W131" s="1977"/>
      <c r="Z131" s="2095"/>
      <c r="AA131" s="2095"/>
      <c r="AB131" s="2096"/>
    </row>
    <row r="132" s="1930" customFormat="1" ht="16" customHeight="1" spans="1:28">
      <c r="A132" s="839"/>
      <c r="B132" s="2014"/>
      <c r="C132" s="2014"/>
      <c r="D132" s="2098"/>
      <c r="E132" s="2051">
        <v>6.7</v>
      </c>
      <c r="F132" s="2020" t="s">
        <v>2192</v>
      </c>
      <c r="G132" s="511"/>
      <c r="H132" s="511"/>
      <c r="I132" s="511"/>
      <c r="J132" s="2006" t="s">
        <v>1428</v>
      </c>
      <c r="K132" s="667" t="s">
        <v>712</v>
      </c>
      <c r="L132" s="2048" t="s">
        <v>1428</v>
      </c>
      <c r="M132" s="2012">
        <f>39.2/E132/1.13</f>
        <v>5.17765156518294</v>
      </c>
      <c r="N132" s="2011">
        <v>13.7</v>
      </c>
      <c r="O132" s="2012">
        <f t="shared" si="23"/>
        <v>3.07753269052965</v>
      </c>
      <c r="P132" s="2012"/>
      <c r="Q132" s="2045"/>
      <c r="R132" s="226"/>
      <c r="S132" s="2079"/>
      <c r="T132" s="1755"/>
      <c r="W132" s="1977"/>
      <c r="Z132" s="2095"/>
      <c r="AA132" s="2095"/>
      <c r="AB132" s="2096"/>
    </row>
    <row r="133" s="1930" customFormat="1" ht="16" customHeight="1" spans="1:28">
      <c r="A133" s="839"/>
      <c r="B133" s="2014"/>
      <c r="C133" s="2014"/>
      <c r="D133" s="2098"/>
      <c r="E133" s="2051">
        <v>6.8</v>
      </c>
      <c r="F133" s="1975" t="s">
        <v>2193</v>
      </c>
      <c r="G133" s="511"/>
      <c r="H133" s="511"/>
      <c r="I133" s="511"/>
      <c r="J133" s="2006" t="s">
        <v>1428</v>
      </c>
      <c r="K133" s="2006" t="s">
        <v>712</v>
      </c>
      <c r="L133" s="2006" t="s">
        <v>1428</v>
      </c>
      <c r="M133" s="2012">
        <f>25.68/E133/1.13*1.2</f>
        <v>4.01041124414368</v>
      </c>
      <c r="N133" s="2011">
        <f>15.5*1.1</f>
        <v>17.05</v>
      </c>
      <c r="O133" s="2012">
        <f t="shared" si="23"/>
        <v>3.03227485684539</v>
      </c>
      <c r="P133" s="2012">
        <f>SUBTOTAL(109,L133:O133)</f>
        <v>24.0926861009891</v>
      </c>
      <c r="Q133" s="2045"/>
      <c r="R133" s="226"/>
      <c r="S133" s="2079"/>
      <c r="T133" s="1755"/>
      <c r="W133" s="1977"/>
      <c r="Z133" s="2095"/>
      <c r="AA133" s="2095"/>
      <c r="AB133" s="2096"/>
    </row>
    <row r="134" s="1930" customFormat="1" ht="16" customHeight="1" spans="1:28">
      <c r="A134" s="839"/>
      <c r="B134" s="2014"/>
      <c r="C134" s="2014"/>
      <c r="D134" s="2098"/>
      <c r="E134" s="2051">
        <v>6.8</v>
      </c>
      <c r="F134" s="2020" t="s">
        <v>2194</v>
      </c>
      <c r="G134" s="511"/>
      <c r="H134" s="511"/>
      <c r="I134" s="511"/>
      <c r="J134" s="2006"/>
      <c r="K134" s="2006"/>
      <c r="L134" s="2012"/>
      <c r="M134" s="2012">
        <f>25.68/E134/1.13*1.2</f>
        <v>4.01041124414368</v>
      </c>
      <c r="N134" s="2011">
        <f>13.87*1.1</f>
        <v>15.257</v>
      </c>
      <c r="O134" s="2012">
        <f t="shared" si="23"/>
        <v>3.03227485684539</v>
      </c>
      <c r="P134" s="2012">
        <f>SUBTOTAL(109,L134:O134)</f>
        <v>22.2996861009891</v>
      </c>
      <c r="Q134" s="2045"/>
      <c r="R134" s="226"/>
      <c r="S134" s="2079"/>
      <c r="T134" s="1755"/>
      <c r="W134" s="1977"/>
      <c r="Z134" s="2095"/>
      <c r="AA134" s="2095"/>
      <c r="AB134" s="2096"/>
    </row>
    <row r="135" s="993" customFormat="1" ht="16" customHeight="1" spans="1:28">
      <c r="A135" s="839">
        <v>1</v>
      </c>
      <c r="B135" s="2014"/>
      <c r="C135" s="2014"/>
      <c r="D135" s="2037">
        <v>46195</v>
      </c>
      <c r="E135" s="2006">
        <v>6.77</v>
      </c>
      <c r="F135" s="2020" t="s">
        <v>2195</v>
      </c>
      <c r="G135" s="2006"/>
      <c r="H135" s="2006"/>
      <c r="I135" s="2006"/>
      <c r="J135" s="2006"/>
      <c r="K135" s="2006"/>
      <c r="L135" s="2012"/>
      <c r="M135" s="2012">
        <f>25.68/E135/1.13*1.2</f>
        <v>4.02818263813545</v>
      </c>
      <c r="N135" s="2011">
        <v>14.73</v>
      </c>
      <c r="O135" s="2012">
        <v>3</v>
      </c>
      <c r="P135" s="2012">
        <f>SUBTOTAL(109,L135:O135)</f>
        <v>21.7581826381355</v>
      </c>
      <c r="Q135" s="2045"/>
      <c r="R135" s="266"/>
      <c r="S135" s="1246"/>
      <c r="T135" s="978"/>
      <c r="W135" s="2044"/>
      <c r="Z135" s="2102"/>
      <c r="AA135" s="2102"/>
      <c r="AB135" s="2103"/>
    </row>
    <row r="136" s="1930" customFormat="1" ht="16" customHeight="1" spans="1:28">
      <c r="A136" s="839">
        <v>60</v>
      </c>
      <c r="B136" s="2097"/>
      <c r="C136" s="2097"/>
      <c r="D136" s="2098">
        <v>46091</v>
      </c>
      <c r="E136" s="2051">
        <v>6.9264</v>
      </c>
      <c r="F136" s="2062" t="s">
        <v>1979</v>
      </c>
      <c r="G136" s="511"/>
      <c r="H136" s="511"/>
      <c r="I136" s="511"/>
      <c r="J136" s="511"/>
      <c r="K136" s="511" t="s">
        <v>712</v>
      </c>
      <c r="L136" s="2031" t="s">
        <v>2196</v>
      </c>
      <c r="M136" s="2031">
        <f>25.68/E136/1.13</f>
        <v>3.28102098013602</v>
      </c>
      <c r="N136" s="2010">
        <v>14</v>
      </c>
      <c r="O136" s="2031">
        <f>23.3/E136/1.13</f>
        <v>2.97693881764678</v>
      </c>
      <c r="P136" s="2031">
        <f>SUM(K136:O136)</f>
        <v>20.2579597977828</v>
      </c>
      <c r="Q136" s="259"/>
      <c r="R136" s="226"/>
      <c r="S136" s="2079"/>
      <c r="T136" s="1755"/>
      <c r="W136" s="1977"/>
      <c r="AB136" s="1977"/>
    </row>
    <row r="137" s="1930" customFormat="1" ht="16" customHeight="1" spans="1:28">
      <c r="A137" s="839">
        <v>1</v>
      </c>
      <c r="B137" s="2097"/>
      <c r="C137" s="2097"/>
      <c r="D137" s="2037">
        <v>46125</v>
      </c>
      <c r="E137" s="2006">
        <v>6.837</v>
      </c>
      <c r="F137" s="2020" t="s">
        <v>2197</v>
      </c>
      <c r="G137" s="2006"/>
      <c r="H137" s="2006"/>
      <c r="I137" s="2006"/>
      <c r="J137" s="2006"/>
      <c r="K137" s="2006"/>
      <c r="L137" s="2012"/>
      <c r="M137" s="2012">
        <f>25.68/E137/1.13</f>
        <v>3.32392331677844</v>
      </c>
      <c r="N137" s="2011">
        <f>14.3-1.2</f>
        <v>13.1</v>
      </c>
      <c r="O137" s="2012">
        <f>23.3/E137/1.13</f>
        <v>3.01586500315177</v>
      </c>
      <c r="P137" s="2012">
        <f t="shared" ref="P137:P142" si="24">SUM(K137:O137)</f>
        <v>19.4397883199302</v>
      </c>
      <c r="Q137" s="2045"/>
      <c r="R137" s="266" t="s">
        <v>2198</v>
      </c>
      <c r="S137" s="2079"/>
      <c r="T137" s="1755"/>
      <c r="W137" s="1977"/>
      <c r="AB137" s="1977"/>
    </row>
    <row r="138" s="1930" customFormat="1" ht="16" customHeight="1" spans="1:28">
      <c r="A138" s="839">
        <v>61</v>
      </c>
      <c r="B138" s="2097"/>
      <c r="C138" s="2097"/>
      <c r="D138" s="2051">
        <v>20250829</v>
      </c>
      <c r="E138" s="2051">
        <v>7.13</v>
      </c>
      <c r="F138" s="2020" t="s">
        <v>1551</v>
      </c>
      <c r="G138" s="511"/>
      <c r="H138" s="511" t="s">
        <v>2184</v>
      </c>
      <c r="I138" s="511" t="s">
        <v>1511</v>
      </c>
      <c r="J138" s="511" t="s">
        <v>1507</v>
      </c>
      <c r="K138" s="511" t="s">
        <v>712</v>
      </c>
      <c r="L138" s="2031" t="s">
        <v>1507</v>
      </c>
      <c r="M138" s="2031">
        <f>25.68/E138/1.13</f>
        <v>3.18733011456019</v>
      </c>
      <c r="N138" s="2010">
        <f>19.2910428112276+0.23</f>
        <v>19.5210428112276</v>
      </c>
      <c r="O138" s="2031">
        <f>23.3/E138/1.13</f>
        <v>2.8919311397684</v>
      </c>
      <c r="P138" s="2031">
        <f t="shared" si="24"/>
        <v>25.6003040655562</v>
      </c>
      <c r="Q138" s="259" t="s">
        <v>1517</v>
      </c>
      <c r="R138" s="226" t="s">
        <v>2188</v>
      </c>
      <c r="S138" s="2079"/>
      <c r="T138" s="1755"/>
      <c r="W138" s="1977"/>
      <c r="AB138" s="1977"/>
    </row>
    <row r="139" s="1930" customFormat="1" ht="16" customHeight="1" spans="1:28">
      <c r="A139" s="839">
        <v>62</v>
      </c>
      <c r="B139" s="658" t="s">
        <v>2199</v>
      </c>
      <c r="C139" s="658"/>
      <c r="D139" s="661">
        <v>20250901</v>
      </c>
      <c r="E139" s="661">
        <v>7.13</v>
      </c>
      <c r="F139" s="2020" t="s">
        <v>1557</v>
      </c>
      <c r="G139" s="227" t="s">
        <v>1558</v>
      </c>
      <c r="H139" s="227" t="s">
        <v>2200</v>
      </c>
      <c r="I139" s="227" t="s">
        <v>1506</v>
      </c>
      <c r="J139" s="227" t="s">
        <v>1507</v>
      </c>
      <c r="K139" s="227" t="s">
        <v>712</v>
      </c>
      <c r="L139" s="231" t="s">
        <v>1507</v>
      </c>
      <c r="M139" s="231">
        <f>26.1/E139/1.13</f>
        <v>3.2394593454058</v>
      </c>
      <c r="N139" s="232">
        <f>13.6609744789364+0.23+1.05</f>
        <v>14.9409744789364</v>
      </c>
      <c r="O139" s="231">
        <f>22.95/E139/1.13</f>
        <v>2.84849011406372</v>
      </c>
      <c r="P139" s="231">
        <f t="shared" si="24"/>
        <v>21.0289239384059</v>
      </c>
      <c r="Q139" s="226" t="s">
        <v>1560</v>
      </c>
      <c r="R139" s="226" t="s">
        <v>2201</v>
      </c>
      <c r="S139" s="2079"/>
      <c r="T139" s="1755"/>
      <c r="W139" s="1977"/>
      <c r="AB139" s="1977"/>
    </row>
    <row r="140" s="1933" customFormat="1" ht="16" customHeight="1" spans="1:28">
      <c r="A140" s="839">
        <v>1</v>
      </c>
      <c r="B140" s="266" t="s">
        <v>2202</v>
      </c>
      <c r="C140" s="2104" t="s">
        <v>1573</v>
      </c>
      <c r="D140" s="2033">
        <v>20250903</v>
      </c>
      <c r="E140" s="2033">
        <v>6.837</v>
      </c>
      <c r="F140" s="2020" t="s">
        <v>2203</v>
      </c>
      <c r="G140" s="2105" t="s">
        <v>1629</v>
      </c>
      <c r="H140" s="2105" t="s">
        <v>2184</v>
      </c>
      <c r="I140" s="2033" t="s">
        <v>1511</v>
      </c>
      <c r="J140" s="2033" t="s">
        <v>1507</v>
      </c>
      <c r="K140" s="2033" t="s">
        <v>712</v>
      </c>
      <c r="L140" s="2104" t="s">
        <v>1507</v>
      </c>
      <c r="M140" s="1987">
        <f>31.23/E140/1.13</f>
        <v>4.04229459435321</v>
      </c>
      <c r="N140" s="1987">
        <v>14</v>
      </c>
      <c r="O140" s="2104">
        <f t="shared" ref="O140:O143" si="25">22.56/E140/1.13</f>
        <v>2.9200821661418</v>
      </c>
      <c r="P140" s="1987">
        <f t="shared" si="24"/>
        <v>20.962376760495</v>
      </c>
      <c r="Q140" s="2106" t="s">
        <v>1526</v>
      </c>
      <c r="R140" s="1988" t="s">
        <v>1578</v>
      </c>
      <c r="S140" s="2107"/>
      <c r="T140" s="2108"/>
      <c r="W140" s="2109"/>
      <c r="AB140" s="2109"/>
    </row>
    <row r="141" s="1933" customFormat="1" ht="16" customHeight="1" spans="1:28">
      <c r="A141" s="839">
        <v>1</v>
      </c>
      <c r="B141" s="266"/>
      <c r="C141" s="2104" t="s">
        <v>1573</v>
      </c>
      <c r="D141" s="2110">
        <v>46157</v>
      </c>
      <c r="E141" s="2033">
        <v>6.7986</v>
      </c>
      <c r="F141" s="2020" t="s">
        <v>1574</v>
      </c>
      <c r="G141" s="2105" t="s">
        <v>1571</v>
      </c>
      <c r="H141" s="2105" t="s">
        <v>1575</v>
      </c>
      <c r="I141" s="2033" t="s">
        <v>1511</v>
      </c>
      <c r="J141" s="2033" t="s">
        <v>1507</v>
      </c>
      <c r="K141" s="2033" t="s">
        <v>712</v>
      </c>
      <c r="L141" s="2104" t="s">
        <v>1507</v>
      </c>
      <c r="M141" s="1987">
        <f>31.23/E141/1.13</f>
        <v>4.06512637036933</v>
      </c>
      <c r="N141" s="1987">
        <v>14.9</v>
      </c>
      <c r="O141" s="2104">
        <f t="shared" si="25"/>
        <v>2.93657543757707</v>
      </c>
      <c r="P141" s="1987">
        <f t="shared" si="24"/>
        <v>21.9017018079464</v>
      </c>
      <c r="Q141" s="2106"/>
      <c r="R141" s="1988" t="s">
        <v>1576</v>
      </c>
      <c r="S141" s="2107"/>
      <c r="T141" s="2108"/>
      <c r="W141" s="2109"/>
      <c r="AB141" s="2109"/>
    </row>
    <row r="142" s="1933" customFormat="1" ht="16" customHeight="1" spans="1:28">
      <c r="A142" s="839"/>
      <c r="B142" s="658"/>
      <c r="C142" s="2104"/>
      <c r="D142" s="2110">
        <v>46248</v>
      </c>
      <c r="E142" s="2033">
        <v>6.75</v>
      </c>
      <c r="F142" s="1975" t="s">
        <v>2204</v>
      </c>
      <c r="G142" s="2105"/>
      <c r="H142" s="2105"/>
      <c r="I142" s="2033"/>
      <c r="J142" s="1980" t="s">
        <v>1507</v>
      </c>
      <c r="K142" s="1980" t="s">
        <v>712</v>
      </c>
      <c r="L142" s="2111" t="s">
        <v>1507</v>
      </c>
      <c r="M142" s="1985">
        <f>40.125/E142/1.13</f>
        <v>5.26057030481809</v>
      </c>
      <c r="N142" s="1985">
        <v>13.8</v>
      </c>
      <c r="O142" s="2111">
        <f t="shared" si="25"/>
        <v>2.95771878072763</v>
      </c>
      <c r="P142" s="1985">
        <f t="shared" si="24"/>
        <v>22.0182890855457</v>
      </c>
      <c r="Q142" s="1986" t="s">
        <v>2205</v>
      </c>
      <c r="R142" s="1988"/>
      <c r="S142" s="2107"/>
      <c r="T142" s="2108"/>
      <c r="W142" s="2109"/>
      <c r="AB142" s="2109"/>
    </row>
    <row r="143" s="1933" customFormat="1" ht="16" customHeight="1" spans="1:28">
      <c r="A143" s="839">
        <v>1</v>
      </c>
      <c r="B143" s="266"/>
      <c r="C143" s="2104" t="s">
        <v>1573</v>
      </c>
      <c r="D143" s="2110">
        <v>46163</v>
      </c>
      <c r="E143" s="2033">
        <v>6.8</v>
      </c>
      <c r="F143" s="2020" t="s">
        <v>2206</v>
      </c>
      <c r="G143" s="2105"/>
      <c r="H143" s="2105"/>
      <c r="I143" s="2033"/>
      <c r="J143" s="2033"/>
      <c r="K143" s="2033"/>
      <c r="L143" s="2104"/>
      <c r="M143" s="1987">
        <f>33.5/E143/1.13</f>
        <v>4.35970848516398</v>
      </c>
      <c r="N143" s="1987">
        <v>12.1</v>
      </c>
      <c r="O143" s="2104">
        <f t="shared" si="25"/>
        <v>2.9359708485164</v>
      </c>
      <c r="P143" s="1987">
        <f t="shared" ref="P143:P150" si="26">SUM(K143:O143)</f>
        <v>19.3956793336804</v>
      </c>
      <c r="Q143" s="2106"/>
      <c r="R143" s="1988" t="s">
        <v>2207</v>
      </c>
      <c r="S143" s="2107"/>
      <c r="T143" s="2108"/>
      <c r="W143" s="2109"/>
      <c r="AB143" s="2109"/>
    </row>
    <row r="144" s="1933" customFormat="1" ht="16" customHeight="1" spans="1:28">
      <c r="A144" s="839">
        <v>1</v>
      </c>
      <c r="B144" s="658"/>
      <c r="C144" s="2104" t="s">
        <v>2208</v>
      </c>
      <c r="D144" s="2110">
        <v>46164</v>
      </c>
      <c r="E144" s="2033">
        <v>6.7863</v>
      </c>
      <c r="F144" s="2020" t="s">
        <v>2209</v>
      </c>
      <c r="G144" s="2105"/>
      <c r="H144" s="2105"/>
      <c r="I144" s="2033"/>
      <c r="J144" s="2033"/>
      <c r="K144" s="2033"/>
      <c r="L144" s="2104"/>
      <c r="M144" s="1987">
        <f>37.54/E144/1.13</f>
        <v>4.89533898266406</v>
      </c>
      <c r="N144" s="1987">
        <v>13.92</v>
      </c>
      <c r="O144" s="2104">
        <v>0.3</v>
      </c>
      <c r="P144" s="1987">
        <f t="shared" si="26"/>
        <v>19.1153389826641</v>
      </c>
      <c r="Q144" s="2106"/>
      <c r="R144" s="1988" t="s">
        <v>2210</v>
      </c>
      <c r="S144" s="2107"/>
      <c r="T144" s="2108"/>
      <c r="W144" s="2109"/>
      <c r="AB144" s="2109"/>
    </row>
    <row r="145" s="1933" customFormat="1" ht="16" customHeight="1" spans="1:28">
      <c r="A145" s="839">
        <v>1</v>
      </c>
      <c r="B145" s="266"/>
      <c r="C145" s="2104" t="s">
        <v>1573</v>
      </c>
      <c r="D145" s="2033">
        <v>20250903</v>
      </c>
      <c r="E145" s="2033">
        <v>6.837</v>
      </c>
      <c r="F145" s="2020" t="s">
        <v>1577</v>
      </c>
      <c r="G145" s="2105" t="s">
        <v>1558</v>
      </c>
      <c r="H145" s="2105" t="s">
        <v>2184</v>
      </c>
      <c r="I145" s="2033" t="s">
        <v>1506</v>
      </c>
      <c r="J145" s="2033" t="s">
        <v>1507</v>
      </c>
      <c r="K145" s="2033" t="s">
        <v>712</v>
      </c>
      <c r="L145" s="2104" t="s">
        <v>1507</v>
      </c>
      <c r="M145" s="1987">
        <f>31.23/E145/1.13</f>
        <v>4.04229459435321</v>
      </c>
      <c r="N145" s="1987">
        <v>12.8</v>
      </c>
      <c r="O145" s="2104">
        <f>22.56/E145/1.13</f>
        <v>2.9200821661418</v>
      </c>
      <c r="P145" s="1987">
        <f t="shared" si="26"/>
        <v>19.762376760495</v>
      </c>
      <c r="Q145" s="2106" t="s">
        <v>1526</v>
      </c>
      <c r="R145" s="1988" t="s">
        <v>1578</v>
      </c>
      <c r="S145" s="2107"/>
      <c r="T145" s="2108"/>
      <c r="W145" s="2109"/>
      <c r="AB145" s="2109"/>
    </row>
    <row r="146" s="1933" customFormat="1" ht="16" customHeight="1" spans="1:28">
      <c r="A146" s="839">
        <v>1</v>
      </c>
      <c r="B146" s="266"/>
      <c r="C146" s="266"/>
      <c r="D146" s="2081">
        <v>46150</v>
      </c>
      <c r="E146" s="219">
        <v>6.8216</v>
      </c>
      <c r="F146" s="2020" t="s">
        <v>2211</v>
      </c>
      <c r="G146" s="219" t="s">
        <v>1669</v>
      </c>
      <c r="H146" s="1978" t="s">
        <v>1575</v>
      </c>
      <c r="I146" s="219" t="s">
        <v>1511</v>
      </c>
      <c r="J146" s="219"/>
      <c r="K146" s="219"/>
      <c r="L146" s="320"/>
      <c r="M146" s="320">
        <f>31.23/E146/1.13</f>
        <v>4.05142021543229</v>
      </c>
      <c r="N146" s="319">
        <v>14</v>
      </c>
      <c r="O146" s="319">
        <v>3.05</v>
      </c>
      <c r="P146" s="320">
        <f t="shared" si="26"/>
        <v>21.1014202154323</v>
      </c>
      <c r="Q146" s="2089" t="s">
        <v>2212</v>
      </c>
      <c r="R146" s="226"/>
      <c r="S146" s="2107"/>
      <c r="T146" s="2108"/>
      <c r="W146" s="2109"/>
      <c r="AB146" s="2109"/>
    </row>
    <row r="147" s="1933" customFormat="1" ht="16" customHeight="1" spans="1:28">
      <c r="A147" s="839">
        <v>64</v>
      </c>
      <c r="B147" s="266"/>
      <c r="C147" s="266"/>
      <c r="D147" s="2081">
        <v>46081</v>
      </c>
      <c r="E147" s="219">
        <v>6.8802</v>
      </c>
      <c r="F147" s="2020" t="s">
        <v>2213</v>
      </c>
      <c r="G147" s="219" t="s">
        <v>1998</v>
      </c>
      <c r="H147" s="219" t="s">
        <v>2214</v>
      </c>
      <c r="I147" s="219" t="s">
        <v>1511</v>
      </c>
      <c r="J147" s="219"/>
      <c r="K147" s="219" t="s">
        <v>712</v>
      </c>
      <c r="L147" s="320"/>
      <c r="M147" s="320">
        <f>31.23/E147/1.13</f>
        <v>4.01691348239774</v>
      </c>
      <c r="N147" s="319">
        <f>11.3136555692276+1.05+0.23</f>
        <v>12.5936555692276</v>
      </c>
      <c r="O147" s="319">
        <f>23.73/E147/1.13</f>
        <v>3.05223685357984</v>
      </c>
      <c r="P147" s="320">
        <f t="shared" si="26"/>
        <v>19.6628059052052</v>
      </c>
      <c r="Q147" s="2089"/>
      <c r="R147" s="226"/>
      <c r="S147" s="2107"/>
      <c r="T147" s="2108"/>
      <c r="U147" s="1933"/>
      <c r="V147" s="1933"/>
      <c r="W147" s="2109"/>
      <c r="X147" s="1933"/>
      <c r="Y147" s="1933"/>
      <c r="Z147" s="1933"/>
      <c r="AA147" s="1933"/>
      <c r="AB147" s="2109"/>
    </row>
    <row r="148" s="1930" customFormat="1" ht="16" customHeight="1" spans="1:28">
      <c r="A148" s="839">
        <v>66</v>
      </c>
      <c r="B148" s="658" t="s">
        <v>1540</v>
      </c>
      <c r="C148" s="658"/>
      <c r="D148" s="661">
        <v>20250904</v>
      </c>
      <c r="E148" s="661">
        <v>6.9264</v>
      </c>
      <c r="F148" s="2020" t="s">
        <v>1551</v>
      </c>
      <c r="G148" s="227"/>
      <c r="H148" s="227" t="s">
        <v>1543</v>
      </c>
      <c r="I148" s="227" t="s">
        <v>1506</v>
      </c>
      <c r="J148" s="227" t="s">
        <v>1544</v>
      </c>
      <c r="K148" s="227" t="s">
        <v>712</v>
      </c>
      <c r="L148" s="231" t="s">
        <v>712</v>
      </c>
      <c r="M148" s="231">
        <f>26.12/E148/1.13</f>
        <v>3.33723785051219</v>
      </c>
      <c r="N148" s="232">
        <f>23.6*1.03</f>
        <v>24.308</v>
      </c>
      <c r="O148" s="257">
        <f>24.86/E148/1.13</f>
        <v>3.17625317625318</v>
      </c>
      <c r="P148" s="231">
        <f t="shared" si="26"/>
        <v>30.8214910267654</v>
      </c>
      <c r="Q148" s="243" t="s">
        <v>1517</v>
      </c>
      <c r="R148" s="226" t="s">
        <v>2215</v>
      </c>
      <c r="S148" s="2079"/>
      <c r="T148" s="1755"/>
      <c r="W148" s="1977"/>
      <c r="AB148" s="1977"/>
    </row>
    <row r="149" s="1930" customFormat="1" ht="16" customHeight="1" spans="1:28">
      <c r="A149" s="839"/>
      <c r="B149" s="266"/>
      <c r="C149" s="658"/>
      <c r="D149" s="2080">
        <v>46274</v>
      </c>
      <c r="E149" s="661">
        <v>6.72</v>
      </c>
      <c r="F149" s="1975" t="s">
        <v>2216</v>
      </c>
      <c r="G149" s="227"/>
      <c r="H149" s="227"/>
      <c r="I149" s="227"/>
      <c r="J149" s="219" t="s">
        <v>1428</v>
      </c>
      <c r="K149" s="667" t="s">
        <v>712</v>
      </c>
      <c r="L149" s="2048" t="s">
        <v>1428</v>
      </c>
      <c r="M149" s="320">
        <f>39.2/E149/1.13</f>
        <v>5.16224188790561</v>
      </c>
      <c r="N149" s="319">
        <v>24.2</v>
      </c>
      <c r="O149" s="214">
        <f>24.86/E149/1.13</f>
        <v>3.27380952380952</v>
      </c>
      <c r="P149" s="320">
        <f t="shared" si="26"/>
        <v>32.6360514117151</v>
      </c>
      <c r="Q149" s="243"/>
      <c r="R149" s="226"/>
      <c r="S149" s="2079"/>
      <c r="T149" s="1755"/>
      <c r="W149" s="1977"/>
      <c r="AB149" s="1977"/>
    </row>
    <row r="150" s="1930" customFormat="1" ht="16" customHeight="1" spans="1:28">
      <c r="A150" s="839">
        <v>67</v>
      </c>
      <c r="B150" s="658"/>
      <c r="C150" s="658"/>
      <c r="D150" s="661">
        <v>20250904</v>
      </c>
      <c r="E150" s="661">
        <v>6.9264</v>
      </c>
      <c r="F150" s="2020" t="s">
        <v>1551</v>
      </c>
      <c r="G150" s="227"/>
      <c r="H150" s="227" t="s">
        <v>1548</v>
      </c>
      <c r="I150" s="227" t="s">
        <v>1511</v>
      </c>
      <c r="J150" s="227" t="s">
        <v>1544</v>
      </c>
      <c r="K150" s="227" t="s">
        <v>712</v>
      </c>
      <c r="L150" s="231"/>
      <c r="M150" s="231">
        <f>26.12/E150/1.13</f>
        <v>3.33723785051219</v>
      </c>
      <c r="N150" s="232">
        <v>25.4509974668576</v>
      </c>
      <c r="O150" s="257">
        <f>24.86/E150/1.13</f>
        <v>3.17625317625318</v>
      </c>
      <c r="P150" s="231">
        <f t="shared" si="26"/>
        <v>31.964488493623</v>
      </c>
      <c r="Q150" s="243" t="s">
        <v>1517</v>
      </c>
      <c r="R150" s="226" t="s">
        <v>2215</v>
      </c>
      <c r="S150" s="2079"/>
      <c r="T150" s="1755"/>
      <c r="W150" s="1977"/>
      <c r="AB150" s="1977"/>
    </row>
    <row r="151" s="1930" customFormat="1" ht="16" customHeight="1" spans="1:28">
      <c r="A151" s="839">
        <v>1</v>
      </c>
      <c r="B151" s="2112" t="s">
        <v>272</v>
      </c>
      <c r="C151" s="2113" t="s">
        <v>1746</v>
      </c>
      <c r="D151" s="2081">
        <v>46128</v>
      </c>
      <c r="E151" s="219">
        <v>6.7986</v>
      </c>
      <c r="F151" s="2020" t="s">
        <v>2217</v>
      </c>
      <c r="G151" s="227" t="s">
        <v>1604</v>
      </c>
      <c r="H151" s="245" t="s">
        <v>2218</v>
      </c>
      <c r="I151" s="227" t="s">
        <v>2156</v>
      </c>
      <c r="J151" s="227" t="s">
        <v>1871</v>
      </c>
      <c r="K151" s="227" t="s">
        <v>712</v>
      </c>
      <c r="L151" s="320">
        <v>7.5</v>
      </c>
      <c r="M151" s="320">
        <f>45.4/E151/1.13</f>
        <v>5.90959773342195</v>
      </c>
      <c r="N151" s="319">
        <v>21.15</v>
      </c>
      <c r="O151" s="214">
        <v>4</v>
      </c>
      <c r="P151" s="320">
        <f t="shared" ref="P151:P156" si="27">SUBTOTAL(109,L151:O151)</f>
        <v>38.559597733422</v>
      </c>
      <c r="Q151" s="219" t="s">
        <v>2219</v>
      </c>
      <c r="R151" s="243"/>
      <c r="S151" s="2079"/>
      <c r="T151" s="1755"/>
      <c r="W151" s="1977"/>
      <c r="AB151" s="1977"/>
    </row>
    <row r="152" s="1930" customFormat="1" ht="16" customHeight="1" spans="1:28">
      <c r="A152" s="839">
        <v>1</v>
      </c>
      <c r="B152" s="2114"/>
      <c r="C152" s="2115" t="s">
        <v>1746</v>
      </c>
      <c r="D152" s="2080">
        <v>46128</v>
      </c>
      <c r="E152" s="661">
        <v>6.8225</v>
      </c>
      <c r="F152" s="2020" t="s">
        <v>2220</v>
      </c>
      <c r="G152" s="227" t="s">
        <v>1571</v>
      </c>
      <c r="H152" s="245" t="s">
        <v>2184</v>
      </c>
      <c r="I152" s="227" t="s">
        <v>2156</v>
      </c>
      <c r="J152" s="227" t="s">
        <v>1871</v>
      </c>
      <c r="K152" s="227" t="s">
        <v>712</v>
      </c>
      <c r="L152" s="231">
        <v>7.5</v>
      </c>
      <c r="M152" s="231">
        <f>45.4/E152/1.13</f>
        <v>5.88889573476621</v>
      </c>
      <c r="N152" s="232">
        <v>20.98</v>
      </c>
      <c r="O152" s="257">
        <v>4</v>
      </c>
      <c r="P152" s="231">
        <f t="shared" si="27"/>
        <v>38.3688957347662</v>
      </c>
      <c r="Q152" s="227" t="s">
        <v>2219</v>
      </c>
      <c r="R152" s="243"/>
      <c r="S152" s="2079"/>
      <c r="T152" s="1755"/>
      <c r="W152" s="1977"/>
      <c r="AB152" s="1977"/>
    </row>
    <row r="153" s="1930" customFormat="1" ht="16" customHeight="1" spans="1:28">
      <c r="A153" s="839">
        <v>1</v>
      </c>
      <c r="B153" s="2116"/>
      <c r="C153" s="2115"/>
      <c r="D153" s="2080">
        <v>46204</v>
      </c>
      <c r="E153" s="661">
        <v>6.8</v>
      </c>
      <c r="F153" s="1975" t="s">
        <v>2221</v>
      </c>
      <c r="G153" s="219"/>
      <c r="H153" s="2117"/>
      <c r="I153" s="2118"/>
      <c r="J153" s="219" t="s">
        <v>1428</v>
      </c>
      <c r="K153" s="219" t="s">
        <v>712</v>
      </c>
      <c r="L153" s="320" t="s">
        <v>1428</v>
      </c>
      <c r="M153" s="320">
        <f>67/E153/1.13</f>
        <v>8.71941697032796</v>
      </c>
      <c r="N153" s="319">
        <f>23.52*1.03</f>
        <v>24.2256</v>
      </c>
      <c r="O153" s="320">
        <v>4</v>
      </c>
      <c r="P153" s="320">
        <f t="shared" si="27"/>
        <v>36.945016970328</v>
      </c>
      <c r="Q153" s="219"/>
      <c r="R153" s="243"/>
      <c r="S153" s="2079"/>
      <c r="T153" s="1755"/>
      <c r="W153" s="1977"/>
      <c r="AB153" s="1977"/>
    </row>
    <row r="154" s="1930" customFormat="1" ht="16" customHeight="1" spans="1:28">
      <c r="A154" s="839">
        <v>1</v>
      </c>
      <c r="B154" s="2116"/>
      <c r="C154" s="2113"/>
      <c r="D154" s="2081"/>
      <c r="E154" s="219">
        <v>6.8</v>
      </c>
      <c r="F154" s="1975" t="s">
        <v>2222</v>
      </c>
      <c r="G154" s="219"/>
      <c r="H154" s="2119"/>
      <c r="I154" s="2120"/>
      <c r="J154" s="219" t="s">
        <v>1428</v>
      </c>
      <c r="K154" s="219" t="s">
        <v>712</v>
      </c>
      <c r="L154" s="320" t="s">
        <v>1428</v>
      </c>
      <c r="M154" s="320">
        <f>67/E154/1.13</f>
        <v>8.71941697032796</v>
      </c>
      <c r="N154" s="319">
        <f>23.8*1.03</f>
        <v>24.514</v>
      </c>
      <c r="O154" s="320">
        <v>4</v>
      </c>
      <c r="P154" s="320">
        <f t="shared" si="27"/>
        <v>37.233416970328</v>
      </c>
      <c r="Q154" s="2094"/>
      <c r="R154" s="243"/>
      <c r="S154" s="2079"/>
      <c r="T154" s="1755"/>
      <c r="W154" s="1977"/>
      <c r="AB154" s="1977"/>
    </row>
    <row r="155" s="1930" customFormat="1" ht="16" customHeight="1" spans="1:28">
      <c r="A155" s="839">
        <v>1</v>
      </c>
      <c r="B155" s="2112"/>
      <c r="C155" s="2113" t="s">
        <v>1746</v>
      </c>
      <c r="D155" s="2081">
        <v>46128</v>
      </c>
      <c r="E155" s="219">
        <v>6.7986</v>
      </c>
      <c r="F155" s="2020" t="s">
        <v>2223</v>
      </c>
      <c r="G155" s="227" t="s">
        <v>1685</v>
      </c>
      <c r="H155" s="245" t="s">
        <v>2184</v>
      </c>
      <c r="I155" s="227" t="s">
        <v>2156</v>
      </c>
      <c r="J155" s="227" t="s">
        <v>2224</v>
      </c>
      <c r="K155" s="227" t="s">
        <v>712</v>
      </c>
      <c r="L155" s="320">
        <v>12.5</v>
      </c>
      <c r="M155" s="320">
        <f>45.4/E155/1.13</f>
        <v>5.90959773342195</v>
      </c>
      <c r="N155" s="319">
        <v>22.82</v>
      </c>
      <c r="O155" s="214">
        <v>4</v>
      </c>
      <c r="P155" s="320">
        <f t="shared" si="27"/>
        <v>45.229597733422</v>
      </c>
      <c r="Q155" s="219" t="s">
        <v>2225</v>
      </c>
      <c r="R155" s="243" t="s">
        <v>1472</v>
      </c>
      <c r="S155" s="2079"/>
      <c r="T155" s="1755"/>
      <c r="W155" s="1977"/>
      <c r="AB155" s="1977"/>
    </row>
    <row r="156" s="1930" customFormat="1" ht="16" customHeight="1" spans="1:28">
      <c r="A156" s="839">
        <v>68</v>
      </c>
      <c r="B156" s="2114"/>
      <c r="C156" s="2115" t="s">
        <v>1746</v>
      </c>
      <c r="D156" s="2057">
        <v>20250630</v>
      </c>
      <c r="E156" s="658">
        <v>6.9667</v>
      </c>
      <c r="F156" s="2020" t="s">
        <v>1747</v>
      </c>
      <c r="G156" s="227" t="s">
        <v>1617</v>
      </c>
      <c r="H156" s="245" t="s">
        <v>2184</v>
      </c>
      <c r="I156" s="511" t="s">
        <v>1506</v>
      </c>
      <c r="J156" s="245" t="s">
        <v>1507</v>
      </c>
      <c r="K156" s="227" t="s">
        <v>712</v>
      </c>
      <c r="L156" s="232" t="s">
        <v>712</v>
      </c>
      <c r="M156" s="231">
        <f>81.71/E156/1.13</f>
        <v>10.3793380672735</v>
      </c>
      <c r="N156" s="231">
        <v>25.9</v>
      </c>
      <c r="O156" s="288">
        <v>4</v>
      </c>
      <c r="P156" s="231">
        <f t="shared" si="27"/>
        <v>40.2793380672735</v>
      </c>
      <c r="Q156" s="227" t="s">
        <v>2225</v>
      </c>
      <c r="R156" s="226" t="s">
        <v>2226</v>
      </c>
      <c r="S156" s="2079"/>
      <c r="T156" s="1755"/>
      <c r="W156" s="1977"/>
      <c r="AB156" s="1977"/>
    </row>
    <row r="157" s="1930" customFormat="1" ht="16" customHeight="1" spans="1:28">
      <c r="A157" s="839">
        <v>71</v>
      </c>
      <c r="B157" s="658"/>
      <c r="C157" s="658"/>
      <c r="D157" s="661">
        <v>20250228</v>
      </c>
      <c r="E157" s="661">
        <v>7.17</v>
      </c>
      <c r="F157" s="2020" t="s">
        <v>2227</v>
      </c>
      <c r="G157" s="227" t="s">
        <v>1581</v>
      </c>
      <c r="H157" s="227"/>
      <c r="I157" s="227" t="s">
        <v>2228</v>
      </c>
      <c r="J157" s="227" t="s">
        <v>1742</v>
      </c>
      <c r="K157" s="247" t="s">
        <v>712</v>
      </c>
      <c r="L157" s="231">
        <v>6</v>
      </c>
      <c r="M157" s="231">
        <v>3.21466774699314</v>
      </c>
      <c r="N157" s="232">
        <v>20.5091705388119</v>
      </c>
      <c r="O157" s="231">
        <v>3.83144827586207</v>
      </c>
      <c r="P157" s="231">
        <f t="shared" ref="P157:P162" si="28">SUM(K157:O157)</f>
        <v>33.5552865616671</v>
      </c>
      <c r="Q157" s="233" t="s">
        <v>1755</v>
      </c>
      <c r="R157" s="226" t="s">
        <v>2229</v>
      </c>
      <c r="S157" s="2079"/>
      <c r="T157" s="1755"/>
      <c r="W157" s="1977"/>
      <c r="AB157" s="1977"/>
    </row>
    <row r="158" s="1930" customFormat="1" ht="16" customHeight="1" spans="1:28">
      <c r="A158" s="839"/>
      <c r="B158" s="266" t="s">
        <v>2230</v>
      </c>
      <c r="C158" s="658"/>
      <c r="D158" s="2080">
        <v>46266</v>
      </c>
      <c r="E158" s="661">
        <v>6.73</v>
      </c>
      <c r="F158" s="1975" t="s">
        <v>2231</v>
      </c>
      <c r="G158" s="227"/>
      <c r="H158" s="227"/>
      <c r="I158" s="227"/>
      <c r="J158" s="219" t="s">
        <v>2196</v>
      </c>
      <c r="K158" s="219" t="s">
        <v>712</v>
      </c>
      <c r="L158" s="320" t="s">
        <v>1507</v>
      </c>
      <c r="M158" s="320">
        <f>84.73/E158/1.13</f>
        <v>11.1415008744362</v>
      </c>
      <c r="N158" s="319">
        <v>17.8</v>
      </c>
      <c r="O158" s="320">
        <v>0.3</v>
      </c>
      <c r="P158" s="320">
        <f>O158+N158+M158</f>
        <v>29.2415008744362</v>
      </c>
      <c r="Q158" s="233"/>
      <c r="R158" s="226" t="s">
        <v>2232</v>
      </c>
      <c r="S158" s="2079"/>
      <c r="T158" s="1755"/>
      <c r="W158" s="1977"/>
      <c r="AB158" s="1977"/>
    </row>
    <row r="159" s="1933" customFormat="1" ht="16" customHeight="1" spans="1:28">
      <c r="A159" s="839">
        <v>75</v>
      </c>
      <c r="B159" s="2121" t="s">
        <v>2230</v>
      </c>
      <c r="C159" s="2122"/>
      <c r="D159" s="2123">
        <v>46091</v>
      </c>
      <c r="E159" s="2124">
        <v>6.9264</v>
      </c>
      <c r="F159" s="2125" t="s">
        <v>2233</v>
      </c>
      <c r="G159" s="2124" t="s">
        <v>2234</v>
      </c>
      <c r="H159" s="2124" t="s">
        <v>2235</v>
      </c>
      <c r="I159" s="2124" t="s">
        <v>2156</v>
      </c>
      <c r="J159" s="2126" t="s">
        <v>2196</v>
      </c>
      <c r="K159" s="2126" t="s">
        <v>712</v>
      </c>
      <c r="L159" s="2127" t="s">
        <v>1507</v>
      </c>
      <c r="M159" s="2127">
        <f>63.55/E159/1.13</f>
        <v>8.11950480092073</v>
      </c>
      <c r="N159" s="2128">
        <v>17.3</v>
      </c>
      <c r="O159" s="2127">
        <f>22/6.78</f>
        <v>3.24483775811209</v>
      </c>
      <c r="P159" s="2127">
        <f t="shared" si="28"/>
        <v>28.6643425590328</v>
      </c>
      <c r="Q159" s="640" t="s">
        <v>1526</v>
      </c>
      <c r="R159" s="2129"/>
      <c r="S159" s="2107"/>
      <c r="T159" s="2108"/>
      <c r="U159" s="1933"/>
      <c r="V159" s="1933"/>
      <c r="W159" s="2109"/>
      <c r="X159" s="1933"/>
      <c r="Y159" s="1933"/>
      <c r="Z159" s="1933"/>
      <c r="AA159" s="1933"/>
      <c r="AB159" s="2109"/>
    </row>
    <row r="160" s="1930" customFormat="1" ht="16" customHeight="1" spans="1:28">
      <c r="A160" s="839">
        <v>76</v>
      </c>
      <c r="B160" s="266" t="s">
        <v>2236</v>
      </c>
      <c r="C160" s="266"/>
      <c r="D160" s="219">
        <v>20250908</v>
      </c>
      <c r="E160" s="219">
        <v>7.13</v>
      </c>
      <c r="F160" s="2125" t="s">
        <v>1551</v>
      </c>
      <c r="G160" s="227" t="s">
        <v>1551</v>
      </c>
      <c r="H160" s="227" t="s">
        <v>2237</v>
      </c>
      <c r="I160" s="227" t="s">
        <v>1506</v>
      </c>
      <c r="J160" s="227" t="s">
        <v>1507</v>
      </c>
      <c r="K160" s="227" t="s">
        <v>712</v>
      </c>
      <c r="L160" s="232" t="s">
        <v>1507</v>
      </c>
      <c r="M160" s="232">
        <f>47.89/E160/1.13</f>
        <v>5.9439734885626</v>
      </c>
      <c r="N160" s="232">
        <v>15.7657504971891</v>
      </c>
      <c r="O160" s="231">
        <v>3.14632482758621</v>
      </c>
      <c r="P160" s="231">
        <f t="shared" si="28"/>
        <v>24.8560488133379</v>
      </c>
      <c r="Q160" s="233"/>
      <c r="R160" s="226" t="s">
        <v>2201</v>
      </c>
      <c r="S160" s="2079"/>
      <c r="T160" s="1755"/>
      <c r="W160" s="1977"/>
      <c r="AB160" s="1977"/>
    </row>
    <row r="161" s="1930" customFormat="1" ht="16" customHeight="1" spans="1:28">
      <c r="A161" s="839"/>
      <c r="B161" s="266"/>
      <c r="C161" s="266"/>
      <c r="D161" s="219"/>
      <c r="E161" s="219">
        <v>6.7</v>
      </c>
      <c r="F161" s="2125" t="s">
        <v>2238</v>
      </c>
      <c r="G161" s="227"/>
      <c r="H161" s="227"/>
      <c r="I161" s="227"/>
      <c r="J161" s="219" t="s">
        <v>1428</v>
      </c>
      <c r="K161" s="219" t="s">
        <v>712</v>
      </c>
      <c r="L161" s="219" t="s">
        <v>1428</v>
      </c>
      <c r="M161" s="319">
        <f>43.6/E161/1.13</f>
        <v>5.7588165367851</v>
      </c>
      <c r="N161" s="319">
        <v>22.7</v>
      </c>
      <c r="O161" s="320">
        <v>3.14632482758621</v>
      </c>
      <c r="P161" s="320">
        <f t="shared" si="28"/>
        <v>31.6051413643713</v>
      </c>
      <c r="Q161" s="233"/>
      <c r="R161" s="226"/>
      <c r="S161" s="2079"/>
      <c r="T161" s="1755"/>
      <c r="W161" s="1977"/>
      <c r="AB161" s="1977"/>
    </row>
    <row r="162" s="1930" customFormat="1" ht="16" customHeight="1" spans="1:28">
      <c r="A162" s="839"/>
      <c r="B162" s="266"/>
      <c r="C162" s="266"/>
      <c r="D162" s="219"/>
      <c r="E162" s="219">
        <v>6.78</v>
      </c>
      <c r="F162" s="2125" t="s">
        <v>2239</v>
      </c>
      <c r="G162" s="219"/>
      <c r="H162" s="219"/>
      <c r="I162" s="219"/>
      <c r="J162" s="219" t="s">
        <v>1428</v>
      </c>
      <c r="K162" s="219" t="s">
        <v>712</v>
      </c>
      <c r="L162" s="219" t="s">
        <v>1428</v>
      </c>
      <c r="M162" s="319">
        <f>45.61/E162/1.13</f>
        <v>5.95322003811314</v>
      </c>
      <c r="N162" s="319">
        <v>19.6</v>
      </c>
      <c r="O162" s="320">
        <v>3.14632482758621</v>
      </c>
      <c r="P162" s="320">
        <f t="shared" si="28"/>
        <v>28.6995448656994</v>
      </c>
      <c r="Q162" s="233"/>
      <c r="R162" s="226"/>
      <c r="S162" s="2079"/>
      <c r="T162" s="1755"/>
      <c r="W162" s="1977"/>
      <c r="AB162" s="1977"/>
    </row>
    <row r="163" s="1930" customFormat="1" ht="16" customHeight="1" spans="1:28">
      <c r="A163" s="839">
        <v>77</v>
      </c>
      <c r="B163" s="266"/>
      <c r="C163" s="266"/>
      <c r="D163" s="219">
        <v>20250908</v>
      </c>
      <c r="E163" s="219">
        <v>7.13</v>
      </c>
      <c r="F163" s="2125" t="s">
        <v>1551</v>
      </c>
      <c r="G163" s="227" t="s">
        <v>1551</v>
      </c>
      <c r="H163" s="227" t="s">
        <v>1543</v>
      </c>
      <c r="I163" s="245" t="s">
        <v>1600</v>
      </c>
      <c r="J163" s="227" t="s">
        <v>1507</v>
      </c>
      <c r="K163" s="227" t="s">
        <v>712</v>
      </c>
      <c r="L163" s="232" t="s">
        <v>1507</v>
      </c>
      <c r="M163" s="232">
        <f>47.89/E163/1.13</f>
        <v>5.9439734885626</v>
      </c>
      <c r="N163" s="232">
        <v>17.2530273477643</v>
      </c>
      <c r="O163" s="231">
        <v>3.14632482758621</v>
      </c>
      <c r="P163" s="231">
        <f t="shared" ref="P163:P171" si="29">SUM(K163:O163)</f>
        <v>26.3433256639131</v>
      </c>
      <c r="Q163" s="233"/>
      <c r="R163" s="226" t="s">
        <v>2201</v>
      </c>
      <c r="S163" s="2079"/>
      <c r="T163" s="1755"/>
      <c r="W163" s="1977"/>
      <c r="AB163" s="1977"/>
    </row>
    <row r="164" s="1930" customFormat="1" ht="16" customHeight="1" spans="1:28">
      <c r="A164" s="839">
        <v>78</v>
      </c>
      <c r="B164" s="266"/>
      <c r="C164" s="266"/>
      <c r="D164" s="219">
        <v>20250908</v>
      </c>
      <c r="E164" s="219">
        <v>7.13</v>
      </c>
      <c r="F164" s="2125" t="s">
        <v>1551</v>
      </c>
      <c r="G164" s="227" t="s">
        <v>1551</v>
      </c>
      <c r="H164" s="227" t="s">
        <v>2237</v>
      </c>
      <c r="I164" s="245" t="s">
        <v>1594</v>
      </c>
      <c r="J164" s="227" t="s">
        <v>1507</v>
      </c>
      <c r="K164" s="227" t="s">
        <v>712</v>
      </c>
      <c r="L164" s="232" t="s">
        <v>1507</v>
      </c>
      <c r="M164" s="232">
        <f>47.89/E164/1.13</f>
        <v>5.9439734885626</v>
      </c>
      <c r="N164" s="232">
        <v>17.1302903769691</v>
      </c>
      <c r="O164" s="231">
        <v>3.14632482758621</v>
      </c>
      <c r="P164" s="231">
        <f t="shared" si="29"/>
        <v>26.2205886931179</v>
      </c>
      <c r="Q164" s="233"/>
      <c r="R164" s="226" t="s">
        <v>2201</v>
      </c>
      <c r="S164" s="2079"/>
      <c r="T164" s="1755"/>
      <c r="W164" s="1977"/>
      <c r="AB164" s="1977"/>
    </row>
    <row r="165" s="1930" customFormat="1" ht="16" customHeight="1" spans="1:28">
      <c r="A165" s="839">
        <v>79</v>
      </c>
      <c r="B165" s="658" t="s">
        <v>2240</v>
      </c>
      <c r="C165" s="658"/>
      <c r="D165" s="2040">
        <v>46052</v>
      </c>
      <c r="E165" s="2008">
        <v>6.9591</v>
      </c>
      <c r="F165" s="2130" t="s">
        <v>1979</v>
      </c>
      <c r="G165" s="512"/>
      <c r="H165" s="227" t="s">
        <v>2237</v>
      </c>
      <c r="I165" s="512"/>
      <c r="J165" s="226" t="s">
        <v>1507</v>
      </c>
      <c r="K165" s="226" t="s">
        <v>712</v>
      </c>
      <c r="L165" s="2131" t="s">
        <v>1507</v>
      </c>
      <c r="M165" s="2131">
        <f>50/E165/1.13</f>
        <v>6.35826293782522</v>
      </c>
      <c r="N165" s="259">
        <v>15.4</v>
      </c>
      <c r="O165" s="259">
        <v>3.2</v>
      </c>
      <c r="P165" s="2131">
        <f t="shared" si="29"/>
        <v>24.9582629378252</v>
      </c>
      <c r="Q165" s="259" t="s">
        <v>1526</v>
      </c>
      <c r="R165" s="243"/>
      <c r="S165" s="2079"/>
      <c r="T165" s="1755"/>
      <c r="W165" s="1977"/>
      <c r="AB165" s="1977"/>
    </row>
    <row r="166" s="1930" customFormat="1" ht="16" customHeight="1" spans="1:28">
      <c r="A166" s="839">
        <v>80</v>
      </c>
      <c r="B166" s="658" t="s">
        <v>2241</v>
      </c>
      <c r="C166" s="658"/>
      <c r="D166" s="661">
        <v>202509090</v>
      </c>
      <c r="E166" s="661">
        <v>7.13</v>
      </c>
      <c r="F166" s="2132" t="s">
        <v>1603</v>
      </c>
      <c r="G166" s="227" t="s">
        <v>1604</v>
      </c>
      <c r="H166" s="227" t="s">
        <v>2242</v>
      </c>
      <c r="I166" s="245" t="s">
        <v>1606</v>
      </c>
      <c r="J166" s="227" t="s">
        <v>1507</v>
      </c>
      <c r="K166" s="227" t="s">
        <v>712</v>
      </c>
      <c r="L166" s="232" t="s">
        <v>1507</v>
      </c>
      <c r="M166" s="232">
        <f>37.2/E166/1.13</f>
        <v>4.61716044632551</v>
      </c>
      <c r="N166" s="232">
        <f>26.5240994855125+0.23</f>
        <v>26.7540994855125</v>
      </c>
      <c r="O166" s="231">
        <f>25.99/E166/1.13</f>
        <v>3.2258064516129</v>
      </c>
      <c r="P166" s="231">
        <f t="shared" si="29"/>
        <v>34.5970663834509</v>
      </c>
      <c r="Q166" s="226" t="s">
        <v>1526</v>
      </c>
      <c r="R166" s="226" t="s">
        <v>2243</v>
      </c>
      <c r="S166" s="2079"/>
      <c r="T166" s="1755"/>
      <c r="W166" s="1977"/>
      <c r="AB166" s="1977"/>
    </row>
    <row r="167" s="1930" customFormat="1" ht="16" customHeight="1" spans="1:28">
      <c r="A167" s="839">
        <v>81</v>
      </c>
      <c r="B167" s="658"/>
      <c r="C167" s="658"/>
      <c r="D167" s="661">
        <v>202509090</v>
      </c>
      <c r="E167" s="661">
        <v>7.13</v>
      </c>
      <c r="F167" s="2132" t="s">
        <v>2244</v>
      </c>
      <c r="G167" s="227" t="s">
        <v>1672</v>
      </c>
      <c r="H167" s="227" t="s">
        <v>2242</v>
      </c>
      <c r="I167" s="245" t="s">
        <v>1506</v>
      </c>
      <c r="J167" s="227" t="s">
        <v>1507</v>
      </c>
      <c r="K167" s="227" t="s">
        <v>712</v>
      </c>
      <c r="L167" s="232" t="s">
        <v>1507</v>
      </c>
      <c r="M167" s="232">
        <f>25.54/E167/1.13</f>
        <v>3.16995370427832</v>
      </c>
      <c r="N167" s="232">
        <f>23.5520603880743+1.05+0.23</f>
        <v>24.8320603880743</v>
      </c>
      <c r="O167" s="231">
        <f>25.99/E167/1.13</f>
        <v>3.2258064516129</v>
      </c>
      <c r="P167" s="231">
        <f t="shared" si="29"/>
        <v>31.2278205439655</v>
      </c>
      <c r="Q167" s="226" t="s">
        <v>1526</v>
      </c>
      <c r="R167" s="226" t="s">
        <v>2243</v>
      </c>
      <c r="S167" s="2079"/>
      <c r="T167" s="1755"/>
      <c r="W167" s="1977"/>
      <c r="AB167" s="1977"/>
    </row>
    <row r="168" s="1744" customFormat="1" ht="16" customHeight="1" spans="1:28">
      <c r="A168" s="839">
        <v>82</v>
      </c>
      <c r="B168" s="2133" t="s">
        <v>2245</v>
      </c>
      <c r="C168" s="2133"/>
      <c r="D168" s="661">
        <v>20250805</v>
      </c>
      <c r="E168" s="661">
        <v>7.13</v>
      </c>
      <c r="F168" s="2132" t="s">
        <v>1564</v>
      </c>
      <c r="G168" s="227" t="s">
        <v>1565</v>
      </c>
      <c r="H168" s="245" t="s">
        <v>2246</v>
      </c>
      <c r="I168" s="227" t="s">
        <v>1506</v>
      </c>
      <c r="J168" s="245" t="s">
        <v>2247</v>
      </c>
      <c r="K168" s="227" t="s">
        <v>712</v>
      </c>
      <c r="L168" s="231" t="s">
        <v>1507</v>
      </c>
      <c r="M168" s="231">
        <f>26.1/E168/1.13</f>
        <v>3.2394593454058</v>
      </c>
      <c r="N168" s="231">
        <f>13.9317679638334+0.23</f>
        <v>14.1617679638334</v>
      </c>
      <c r="O168" s="231">
        <v>4</v>
      </c>
      <c r="P168" s="231">
        <f t="shared" si="29"/>
        <v>21.4012273092392</v>
      </c>
      <c r="Q168" s="281" t="s">
        <v>2248</v>
      </c>
      <c r="R168" s="226" t="s">
        <v>2249</v>
      </c>
      <c r="S168" s="1755"/>
    </row>
    <row r="169" s="1744" customFormat="1" ht="16" customHeight="1" spans="1:28">
      <c r="A169" s="839"/>
      <c r="B169" s="266"/>
      <c r="C169" s="2134"/>
      <c r="D169" s="2081">
        <v>46272</v>
      </c>
      <c r="E169" s="219">
        <v>6.72</v>
      </c>
      <c r="F169" s="1975" t="s">
        <v>1570</v>
      </c>
      <c r="G169" s="227"/>
      <c r="H169" s="245"/>
      <c r="I169" s="227"/>
      <c r="J169" s="317" t="s">
        <v>1428</v>
      </c>
      <c r="K169" s="219" t="s">
        <v>712</v>
      </c>
      <c r="L169" s="317" t="s">
        <v>1428</v>
      </c>
      <c r="M169" s="320">
        <f>39.55/E169/1.13+4000/200/E169/1.13</f>
        <v>7.84213021491782</v>
      </c>
      <c r="N169" s="320">
        <v>17.15</v>
      </c>
      <c r="O169" s="320">
        <v>4</v>
      </c>
      <c r="P169" s="320">
        <f t="shared" si="29"/>
        <v>28.9921302149178</v>
      </c>
      <c r="Q169" s="281"/>
      <c r="R169" s="266" t="s">
        <v>2250</v>
      </c>
      <c r="S169" s="1755"/>
    </row>
    <row r="170" s="1744" customFormat="1" ht="16" customHeight="1" spans="1:28">
      <c r="A170" s="839">
        <v>1</v>
      </c>
      <c r="B170" s="2134"/>
      <c r="C170" s="2135" t="s">
        <v>1556</v>
      </c>
      <c r="D170" s="2080">
        <v>46133</v>
      </c>
      <c r="E170" s="661">
        <v>6.8825</v>
      </c>
      <c r="F170" s="2132" t="s">
        <v>2251</v>
      </c>
      <c r="G170" s="227"/>
      <c r="H170" s="245"/>
      <c r="I170" s="227"/>
      <c r="J170" s="245"/>
      <c r="K170" s="227"/>
      <c r="L170" s="231"/>
      <c r="M170" s="320">
        <f>25.43/E170/1.13</f>
        <v>3.26980381819994</v>
      </c>
      <c r="N170" s="320">
        <v>14.75</v>
      </c>
      <c r="O170" s="320">
        <v>4</v>
      </c>
      <c r="P170" s="320">
        <f t="shared" si="29"/>
        <v>22.0198038181999</v>
      </c>
      <c r="Q170" s="281"/>
      <c r="R170" s="226"/>
      <c r="S170" s="1755"/>
    </row>
    <row r="171" s="1744" customFormat="1" ht="16" customHeight="1" spans="1:28">
      <c r="A171" s="839">
        <v>1</v>
      </c>
      <c r="B171" s="2121"/>
      <c r="C171" s="292"/>
      <c r="D171" s="2028">
        <v>46121</v>
      </c>
      <c r="E171" s="227">
        <v>6.8819</v>
      </c>
      <c r="F171" s="2132" t="s">
        <v>2252</v>
      </c>
      <c r="G171" s="219" t="s">
        <v>1645</v>
      </c>
      <c r="H171" s="317"/>
      <c r="I171" s="219"/>
      <c r="J171" s="317" t="s">
        <v>1871</v>
      </c>
      <c r="K171" s="219"/>
      <c r="L171" s="320">
        <v>7.5</v>
      </c>
      <c r="M171" s="231">
        <f>25.43/E171/1.13</f>
        <v>3.27008889678157</v>
      </c>
      <c r="N171" s="231">
        <v>15.05</v>
      </c>
      <c r="O171" s="231">
        <v>4</v>
      </c>
      <c r="P171" s="231">
        <f t="shared" si="29"/>
        <v>29.8200888967816</v>
      </c>
      <c r="Q171" s="281"/>
      <c r="R171" s="226"/>
      <c r="S171" s="1755"/>
    </row>
    <row r="172" s="1934" customFormat="1" ht="16" customHeight="1" spans="1:28">
      <c r="A172" s="1934">
        <v>83</v>
      </c>
      <c r="B172" s="651" t="s">
        <v>2253</v>
      </c>
      <c r="C172" s="2136"/>
      <c r="D172" s="2137">
        <v>20250825</v>
      </c>
      <c r="E172" s="2137">
        <v>6.72</v>
      </c>
      <c r="F172" s="2132" t="s">
        <v>2254</v>
      </c>
      <c r="G172" s="2137" t="s">
        <v>1565</v>
      </c>
      <c r="H172" s="2138" t="s">
        <v>2255</v>
      </c>
      <c r="I172" s="2137" t="s">
        <v>1506</v>
      </c>
      <c r="J172" s="2139" t="s">
        <v>1428</v>
      </c>
      <c r="K172" s="2094" t="s">
        <v>712</v>
      </c>
      <c r="L172" s="2140" t="s">
        <v>1428</v>
      </c>
      <c r="M172" s="2140">
        <f>51.63/E172/1.13</f>
        <v>6.79914664981037</v>
      </c>
      <c r="N172" s="2140">
        <v>14.2</v>
      </c>
      <c r="O172" s="2140">
        <f t="shared" ref="O172:O177" si="30">21.95/E172/1.13</f>
        <v>2.89059207753898</v>
      </c>
      <c r="P172" s="2140">
        <f t="shared" ref="P172:P180" si="31">SUBTOTAL(9,J172:O172)</f>
        <v>23.8897387273494</v>
      </c>
      <c r="Q172" s="2141" t="s">
        <v>1526</v>
      </c>
      <c r="R172" s="651" t="s">
        <v>2256</v>
      </c>
      <c r="S172" s="2142"/>
      <c r="W172" s="2143"/>
      <c r="AB172" s="2143"/>
    </row>
    <row r="173" s="1934" customFormat="1" ht="16" customHeight="1" spans="1:28">
      <c r="A173" s="1934">
        <v>84</v>
      </c>
      <c r="B173" s="2136"/>
      <c r="C173" s="2136"/>
      <c r="D173" s="2137">
        <v>20250825</v>
      </c>
      <c r="E173" s="2137">
        <v>7.13</v>
      </c>
      <c r="F173" s="2132" t="s">
        <v>1424</v>
      </c>
      <c r="G173" s="2137" t="s">
        <v>1617</v>
      </c>
      <c r="H173" s="2138" t="s">
        <v>2257</v>
      </c>
      <c r="I173" s="2137" t="s">
        <v>1511</v>
      </c>
      <c r="J173" s="2138" t="s">
        <v>1627</v>
      </c>
      <c r="K173" s="2137" t="s">
        <v>712</v>
      </c>
      <c r="L173" s="2144" t="s">
        <v>1507</v>
      </c>
      <c r="M173" s="320">
        <f>38.4/E173/1.13</f>
        <v>4.7661011058844</v>
      </c>
      <c r="N173" s="2144">
        <f>12.8249086039597+1.05+0.23</f>
        <v>14.1049086039597</v>
      </c>
      <c r="O173" s="2144">
        <f t="shared" si="30"/>
        <v>2.72437289776465</v>
      </c>
      <c r="P173" s="2144">
        <f t="shared" si="31"/>
        <v>21.5953826076087</v>
      </c>
      <c r="Q173" s="2141" t="s">
        <v>1526</v>
      </c>
      <c r="R173" s="2136" t="s">
        <v>2258</v>
      </c>
      <c r="S173" s="2142"/>
      <c r="W173" s="2143"/>
      <c r="AB173" s="2143"/>
    </row>
    <row r="174" s="1934" customFormat="1" ht="16" customHeight="1" spans="1:28">
      <c r="A174" s="839">
        <v>1</v>
      </c>
      <c r="B174" s="2136"/>
      <c r="C174" s="2136"/>
      <c r="D174" s="2137"/>
      <c r="E174" s="219">
        <v>6.76</v>
      </c>
      <c r="F174" s="2132" t="s">
        <v>2259</v>
      </c>
      <c r="G174" s="219" t="s">
        <v>1671</v>
      </c>
      <c r="H174" s="317"/>
      <c r="I174" s="219"/>
      <c r="J174" s="317" t="s">
        <v>1428</v>
      </c>
      <c r="K174" s="219" t="s">
        <v>712</v>
      </c>
      <c r="L174" s="317" t="s">
        <v>1428</v>
      </c>
      <c r="M174" s="320">
        <f>38.4/E174/1.13</f>
        <v>5.02696758653192</v>
      </c>
      <c r="N174" s="320">
        <v>14.3</v>
      </c>
      <c r="O174" s="320">
        <f t="shared" si="30"/>
        <v>2.87348798240561</v>
      </c>
      <c r="P174" s="320">
        <f t="shared" si="31"/>
        <v>22.2004555689375</v>
      </c>
      <c r="Q174" s="433"/>
      <c r="R174" s="266" t="s">
        <v>2260</v>
      </c>
      <c r="S174" s="2142"/>
      <c r="W174" s="2143"/>
      <c r="AB174" s="2143"/>
    </row>
    <row r="175" s="1934" customFormat="1" ht="16" customHeight="1" spans="1:28">
      <c r="A175" s="839"/>
      <c r="B175" s="266"/>
      <c r="C175" s="2136"/>
      <c r="D175" s="2137"/>
      <c r="E175" s="219">
        <v>6.75</v>
      </c>
      <c r="F175" s="2125" t="s">
        <v>2261</v>
      </c>
      <c r="G175" s="219"/>
      <c r="H175" s="317"/>
      <c r="I175" s="219"/>
      <c r="J175" s="317" t="s">
        <v>1428</v>
      </c>
      <c r="K175" s="219" t="s">
        <v>712</v>
      </c>
      <c r="L175" s="317" t="s">
        <v>1428</v>
      </c>
      <c r="M175" s="320"/>
      <c r="N175" s="320">
        <v>17.34</v>
      </c>
      <c r="O175" s="320">
        <f t="shared" si="30"/>
        <v>2.87774500163881</v>
      </c>
      <c r="P175" s="320">
        <f t="shared" si="31"/>
        <v>20.2177450016388</v>
      </c>
      <c r="Q175" s="433"/>
      <c r="R175" s="266"/>
      <c r="S175" s="2142"/>
      <c r="W175" s="2143"/>
      <c r="AB175" s="2143"/>
    </row>
    <row r="176" s="1934" customFormat="1" ht="16" customHeight="1" spans="1:28">
      <c r="A176" s="839">
        <v>1</v>
      </c>
      <c r="B176" s="2136"/>
      <c r="C176" s="2136"/>
      <c r="D176" s="2137"/>
      <c r="E176" s="219">
        <v>6.78</v>
      </c>
      <c r="F176" s="2132" t="s">
        <v>2262</v>
      </c>
      <c r="G176" s="219" t="s">
        <v>1672</v>
      </c>
      <c r="H176" s="317"/>
      <c r="I176" s="219"/>
      <c r="J176" s="317" t="s">
        <v>1428</v>
      </c>
      <c r="K176" s="219" t="s">
        <v>712</v>
      </c>
      <c r="L176" s="317" t="s">
        <v>1428</v>
      </c>
      <c r="M176" s="320">
        <f>38.4/E176/1.13</f>
        <v>5.01213877359229</v>
      </c>
      <c r="N176" s="320">
        <v>14.3</v>
      </c>
      <c r="O176" s="320">
        <f t="shared" si="30"/>
        <v>2.8650116166758</v>
      </c>
      <c r="P176" s="320">
        <f t="shared" si="31"/>
        <v>22.1771503902681</v>
      </c>
      <c r="Q176" s="433"/>
      <c r="R176" s="266"/>
      <c r="S176" s="2142"/>
      <c r="W176" s="2143"/>
      <c r="AB176" s="2143"/>
    </row>
    <row r="177" s="1934" customFormat="1" ht="16" customHeight="1" spans="1:28">
      <c r="A177" s="839"/>
      <c r="B177" s="266"/>
      <c r="C177" s="2136"/>
      <c r="D177" s="2145">
        <v>46285</v>
      </c>
      <c r="E177" s="219">
        <v>6.7</v>
      </c>
      <c r="F177" s="2125" t="s">
        <v>2262</v>
      </c>
      <c r="G177" s="2146"/>
      <c r="H177" s="2147"/>
      <c r="I177" s="2146"/>
      <c r="J177" s="317" t="s">
        <v>1428</v>
      </c>
      <c r="K177" s="219" t="s">
        <v>712</v>
      </c>
      <c r="L177" s="317" t="s">
        <v>1428</v>
      </c>
      <c r="M177" s="320">
        <f>52.73/E177/1.13</f>
        <v>6.9647338528596</v>
      </c>
      <c r="N177" s="320">
        <v>15.8</v>
      </c>
      <c r="O177" s="320">
        <f t="shared" si="30"/>
        <v>2.89922071060626</v>
      </c>
      <c r="P177" s="320">
        <f t="shared" si="31"/>
        <v>25.6639545634659</v>
      </c>
      <c r="Q177" s="433" t="s">
        <v>2101</v>
      </c>
      <c r="R177" s="266"/>
      <c r="S177" s="2142"/>
      <c r="W177" s="2143"/>
      <c r="AB177" s="2143"/>
    </row>
    <row r="178" s="1934" customFormat="1" ht="16" customHeight="1" spans="1:28">
      <c r="A178" s="839"/>
      <c r="B178" s="266"/>
      <c r="C178" s="2136"/>
      <c r="D178" s="2137"/>
      <c r="E178" s="219">
        <v>6.73</v>
      </c>
      <c r="F178" s="2125" t="s">
        <v>2263</v>
      </c>
      <c r="G178" s="219"/>
      <c r="H178" s="317"/>
      <c r="I178" s="219"/>
      <c r="J178" s="317" t="s">
        <v>1428</v>
      </c>
      <c r="K178" s="219" t="s">
        <v>712</v>
      </c>
      <c r="L178" s="317" t="s">
        <v>1428</v>
      </c>
      <c r="M178" s="320">
        <v>6.6</v>
      </c>
      <c r="N178" s="320">
        <v>14.23</v>
      </c>
      <c r="O178" s="320">
        <v>2.87</v>
      </c>
      <c r="P178" s="320">
        <f t="shared" si="31"/>
        <v>23.7</v>
      </c>
      <c r="Q178" s="433"/>
      <c r="R178" s="266"/>
      <c r="S178" s="2142"/>
      <c r="W178" s="2143"/>
      <c r="AB178" s="2143"/>
    </row>
    <row r="179" s="1934" customFormat="1" ht="16" customHeight="1" spans="1:28">
      <c r="A179" s="839">
        <v>1</v>
      </c>
      <c r="B179" s="2136"/>
      <c r="C179" s="2136"/>
      <c r="D179" s="2081">
        <v>46266</v>
      </c>
      <c r="E179" s="219">
        <v>6.73</v>
      </c>
      <c r="F179" s="2132" t="s">
        <v>2264</v>
      </c>
      <c r="G179" s="219" t="s">
        <v>1998</v>
      </c>
      <c r="H179" s="317"/>
      <c r="I179" s="219"/>
      <c r="J179" s="317" t="s">
        <v>1428</v>
      </c>
      <c r="K179" s="219" t="s">
        <v>712</v>
      </c>
      <c r="L179" s="317" t="s">
        <v>1428</v>
      </c>
      <c r="M179" s="320">
        <f>52.73/E179/1.13</f>
        <v>6.93368749095978</v>
      </c>
      <c r="N179" s="320">
        <v>16.6</v>
      </c>
      <c r="O179" s="320">
        <f>21.95/E179/1.13</f>
        <v>2.88629699272837</v>
      </c>
      <c r="P179" s="320">
        <f t="shared" si="31"/>
        <v>26.4199844836882</v>
      </c>
      <c r="Q179" s="433"/>
      <c r="R179" s="266"/>
      <c r="S179" s="2142"/>
      <c r="W179" s="2143"/>
      <c r="AB179" s="2143"/>
    </row>
    <row r="180" s="1934" customFormat="1" ht="16" customHeight="1" spans="1:28">
      <c r="A180" s="839">
        <v>1</v>
      </c>
      <c r="B180" s="651"/>
      <c r="C180" s="2136"/>
      <c r="D180" s="2081">
        <v>46151</v>
      </c>
      <c r="E180" s="219">
        <v>6.72</v>
      </c>
      <c r="F180" s="2132" t="s">
        <v>2265</v>
      </c>
      <c r="G180" s="219" t="s">
        <v>1617</v>
      </c>
      <c r="H180" s="317" t="s">
        <v>2257</v>
      </c>
      <c r="I180" s="219"/>
      <c r="J180" s="2139" t="s">
        <v>1428</v>
      </c>
      <c r="K180" s="2094" t="s">
        <v>712</v>
      </c>
      <c r="L180" s="2139" t="s">
        <v>1428</v>
      </c>
      <c r="M180" s="2140">
        <f>51.63/E180/1.13</f>
        <v>6.79914664981037</v>
      </c>
      <c r="N180" s="2140">
        <v>16.21</v>
      </c>
      <c r="O180" s="2140">
        <f>21.95/E180/1.13</f>
        <v>2.89059207753898</v>
      </c>
      <c r="P180" s="2140">
        <f t="shared" si="31"/>
        <v>25.8997387273494</v>
      </c>
      <c r="Q180" s="433" t="s">
        <v>1526</v>
      </c>
      <c r="R180" s="651"/>
      <c r="S180" s="2142"/>
      <c r="W180" s="2143"/>
      <c r="AB180" s="2143"/>
    </row>
    <row r="181" s="1934" customFormat="1" ht="16" customHeight="1" spans="1:28">
      <c r="A181" s="1934">
        <v>85</v>
      </c>
      <c r="B181" s="2136"/>
      <c r="C181" s="2136"/>
      <c r="D181" s="2137">
        <v>20250825</v>
      </c>
      <c r="E181" s="2137">
        <v>7.13</v>
      </c>
      <c r="F181" s="2132" t="s">
        <v>1628</v>
      </c>
      <c r="G181" s="2137" t="s">
        <v>1629</v>
      </c>
      <c r="H181" s="2138" t="s">
        <v>2255</v>
      </c>
      <c r="I181" s="2137" t="s">
        <v>1594</v>
      </c>
      <c r="J181" s="2138" t="s">
        <v>1614</v>
      </c>
      <c r="K181" s="2137" t="s">
        <v>712</v>
      </c>
      <c r="L181" s="2144" t="s">
        <v>1507</v>
      </c>
      <c r="M181" s="320">
        <f>38.4/E181/1.13</f>
        <v>4.7661011058844</v>
      </c>
      <c r="N181" s="2144">
        <f>13.241571938046+1.05</f>
        <v>14.291571938046</v>
      </c>
      <c r="O181" s="2144">
        <f>21.95/E181/1.13</f>
        <v>2.72437289776465</v>
      </c>
      <c r="P181" s="2149"/>
      <c r="Q181" s="2144" t="s">
        <v>1423</v>
      </c>
      <c r="R181" s="2136" t="s">
        <v>2266</v>
      </c>
      <c r="S181" s="2142"/>
      <c r="W181" s="2143"/>
      <c r="AB181" s="2143"/>
    </row>
    <row r="182" s="1934" customFormat="1" ht="16" customHeight="1" spans="1:28">
      <c r="A182" s="1934">
        <v>86</v>
      </c>
      <c r="B182" s="2136"/>
      <c r="C182" s="2136"/>
      <c r="D182" s="2150">
        <v>46079</v>
      </c>
      <c r="E182" s="2151">
        <v>6.8802</v>
      </c>
      <c r="F182" s="2132" t="s">
        <v>2267</v>
      </c>
      <c r="G182" s="2152" t="s">
        <v>1685</v>
      </c>
      <c r="H182" s="2138" t="s">
        <v>2255</v>
      </c>
      <c r="I182" s="2137" t="s">
        <v>1594</v>
      </c>
      <c r="J182" s="2151" t="s">
        <v>1552</v>
      </c>
      <c r="K182" s="2151" t="s">
        <v>712</v>
      </c>
      <c r="L182" s="2144">
        <v>3.1</v>
      </c>
      <c r="M182" s="320">
        <f>38.4/E182/1.13</f>
        <v>4.93914433954765</v>
      </c>
      <c r="N182" s="2144">
        <v>14.1</v>
      </c>
      <c r="O182" s="2144">
        <f>24.03/6.91/1.13</f>
        <v>3.07749446102225</v>
      </c>
      <c r="P182" s="2149"/>
      <c r="Q182" s="2144" t="s">
        <v>1425</v>
      </c>
      <c r="R182" s="2153" t="s">
        <v>2268</v>
      </c>
      <c r="S182" s="2142"/>
      <c r="W182" s="2143"/>
      <c r="AB182" s="2143"/>
    </row>
    <row r="183" s="1930" customFormat="1" ht="16" customHeight="1" spans="1:28">
      <c r="A183" s="1930">
        <v>87</v>
      </c>
      <c r="B183" s="658" t="s">
        <v>2269</v>
      </c>
      <c r="C183" s="658"/>
      <c r="D183" s="661">
        <v>20250613</v>
      </c>
      <c r="E183" s="661">
        <v>7.13</v>
      </c>
      <c r="F183" s="2132" t="s">
        <v>1631</v>
      </c>
      <c r="G183" s="661" t="s">
        <v>1565</v>
      </c>
      <c r="H183" s="660" t="s">
        <v>2270</v>
      </c>
      <c r="I183" s="661" t="s">
        <v>1506</v>
      </c>
      <c r="J183" s="660" t="s">
        <v>1633</v>
      </c>
      <c r="K183" s="661" t="s">
        <v>712</v>
      </c>
      <c r="L183" s="661" t="s">
        <v>1507</v>
      </c>
      <c r="M183" s="663">
        <f>35.72/E183/1.13</f>
        <v>4.43346696620288</v>
      </c>
      <c r="N183" s="663">
        <v>10.4358988894656</v>
      </c>
      <c r="O183" s="663">
        <f>22.5/E183</f>
        <v>3.15568022440393</v>
      </c>
      <c r="P183" s="663">
        <f>SUBTOTAL(9,J183:O183)</f>
        <v>18.0250460800724</v>
      </c>
      <c r="Q183" s="2154" t="s">
        <v>1526</v>
      </c>
      <c r="R183" s="658" t="s">
        <v>2271</v>
      </c>
      <c r="S183" s="1755"/>
      <c r="W183" s="1977"/>
      <c r="AB183" s="1977"/>
    </row>
    <row r="184" s="1930" customFormat="1" ht="30" customHeight="1" spans="1:28">
      <c r="B184" s="266"/>
      <c r="C184" s="266"/>
      <c r="D184" s="2081">
        <v>46246</v>
      </c>
      <c r="E184" s="219">
        <v>6.75</v>
      </c>
      <c r="F184" s="1975" t="s">
        <v>2272</v>
      </c>
      <c r="G184" s="219"/>
      <c r="H184" s="317"/>
      <c r="I184" s="219" t="s">
        <v>1822</v>
      </c>
      <c r="J184" s="219" t="s">
        <v>1428</v>
      </c>
      <c r="K184" s="219" t="s">
        <v>712</v>
      </c>
      <c r="L184" s="219">
        <v>2.6</v>
      </c>
      <c r="M184" s="320">
        <f>52.73/E184/1.13*1.05</f>
        <v>7.25880039331367</v>
      </c>
      <c r="N184" s="320">
        <v>15.4</v>
      </c>
      <c r="O184" s="320">
        <f>22.5/E184</f>
        <v>3.33333333333333</v>
      </c>
      <c r="P184" s="320">
        <f>SUBTOTAL(9,J184:O184)</f>
        <v>28.592133726647</v>
      </c>
      <c r="Q184" s="433" t="s">
        <v>2273</v>
      </c>
      <c r="R184" s="2155" t="s">
        <v>2274</v>
      </c>
      <c r="S184" s="1755"/>
      <c r="W184" s="1977"/>
      <c r="AB184" s="1977"/>
    </row>
    <row r="185" s="1930" customFormat="1" ht="16" customHeight="1" spans="1:28">
      <c r="A185" s="839">
        <v>1</v>
      </c>
      <c r="B185" s="266"/>
      <c r="C185" s="658"/>
      <c r="D185" s="2081">
        <v>46164</v>
      </c>
      <c r="E185" s="219">
        <v>6.8</v>
      </c>
      <c r="F185" s="2132" t="s">
        <v>2275</v>
      </c>
      <c r="G185" s="219"/>
      <c r="H185" s="317"/>
      <c r="I185" s="219"/>
      <c r="J185" s="317" t="s">
        <v>1552</v>
      </c>
      <c r="K185" s="219" t="s">
        <v>712</v>
      </c>
      <c r="L185" s="219">
        <v>3.1</v>
      </c>
      <c r="M185" s="320">
        <f>34.76/E185/1.13</f>
        <v>4.52368558042686</v>
      </c>
      <c r="N185" s="320">
        <v>11.2</v>
      </c>
      <c r="O185" s="320">
        <f t="shared" ref="O185:O190" si="32">22.5/E185</f>
        <v>3.30882352941176</v>
      </c>
      <c r="P185" s="320">
        <f>SUBTOTAL(9,J185:O185)</f>
        <v>22.1325091098386</v>
      </c>
      <c r="Q185" s="2154"/>
      <c r="R185" s="658"/>
      <c r="S185" s="1755"/>
      <c r="W185" s="1977"/>
      <c r="AB185" s="1977"/>
    </row>
    <row r="186" s="1930" customFormat="1" ht="16" customHeight="1" spans="1:28">
      <c r="A186" s="839">
        <v>1</v>
      </c>
      <c r="B186" s="266"/>
      <c r="C186" s="658"/>
      <c r="D186" s="2081">
        <v>46164</v>
      </c>
      <c r="E186" s="219">
        <v>6.8</v>
      </c>
      <c r="F186" s="2132" t="s">
        <v>2276</v>
      </c>
      <c r="G186" s="219"/>
      <c r="H186" s="317"/>
      <c r="I186" s="219"/>
      <c r="J186" s="317" t="s">
        <v>1552</v>
      </c>
      <c r="K186" s="219" t="s">
        <v>712</v>
      </c>
      <c r="L186" s="219">
        <v>3.1</v>
      </c>
      <c r="M186" s="320">
        <f>34.76/E186/1.13</f>
        <v>4.52368558042686</v>
      </c>
      <c r="N186" s="320">
        <v>11</v>
      </c>
      <c r="O186" s="320">
        <f t="shared" si="32"/>
        <v>3.30882352941176</v>
      </c>
      <c r="P186" s="320">
        <f t="shared" ref="P186:P197" si="33">SUBTOTAL(9,J186:O186)</f>
        <v>21.9325091098386</v>
      </c>
      <c r="Q186" s="2154"/>
      <c r="R186" s="658"/>
      <c r="S186" s="1755"/>
      <c r="W186" s="1977"/>
      <c r="AB186" s="1977"/>
    </row>
    <row r="187" s="1930" customFormat="1" ht="16" customHeight="1" spans="1:28">
      <c r="A187" s="839">
        <v>1</v>
      </c>
      <c r="B187" s="658"/>
      <c r="C187" s="658"/>
      <c r="D187" s="2080">
        <v>46136</v>
      </c>
      <c r="E187" s="661">
        <v>6.8225</v>
      </c>
      <c r="F187" s="2132" t="s">
        <v>2277</v>
      </c>
      <c r="G187" s="661" t="s">
        <v>1671</v>
      </c>
      <c r="H187" s="660" t="s">
        <v>2278</v>
      </c>
      <c r="I187" s="661" t="s">
        <v>1506</v>
      </c>
      <c r="J187" s="660" t="s">
        <v>2279</v>
      </c>
      <c r="K187" s="661"/>
      <c r="L187" s="661">
        <v>3.1</v>
      </c>
      <c r="M187" s="663">
        <f>35.72/E187/1.13</f>
        <v>4.633289771935</v>
      </c>
      <c r="N187" s="663">
        <v>11.3</v>
      </c>
      <c r="O187" s="663">
        <f t="shared" si="32"/>
        <v>3.29791132282888</v>
      </c>
      <c r="P187" s="663">
        <f t="shared" si="33"/>
        <v>22.3312010947639</v>
      </c>
      <c r="Q187" s="2154"/>
      <c r="R187" s="658"/>
      <c r="S187" s="1755"/>
      <c r="W187" s="1977"/>
      <c r="AB187" s="1977"/>
    </row>
    <row r="188" s="1930" customFormat="1" ht="16" customHeight="1" spans="1:28">
      <c r="A188" s="1930">
        <v>88</v>
      </c>
      <c r="B188" s="658"/>
      <c r="C188" s="658"/>
      <c r="D188" s="2080">
        <v>46091</v>
      </c>
      <c r="E188" s="661">
        <v>6.9264</v>
      </c>
      <c r="F188" s="2132" t="s">
        <v>2280</v>
      </c>
      <c r="G188" s="661" t="s">
        <v>1669</v>
      </c>
      <c r="H188" s="660" t="s">
        <v>2270</v>
      </c>
      <c r="I188" s="661" t="s">
        <v>1506</v>
      </c>
      <c r="J188" s="660" t="s">
        <v>1552</v>
      </c>
      <c r="K188" s="661" t="s">
        <v>712</v>
      </c>
      <c r="L188" s="661" t="s">
        <v>1507</v>
      </c>
      <c r="M188" s="663">
        <f>35.72/E188/1.13</f>
        <v>4.56378774962846</v>
      </c>
      <c r="N188" s="663">
        <v>11.1</v>
      </c>
      <c r="O188" s="663">
        <f t="shared" si="32"/>
        <v>3.24844074844075</v>
      </c>
      <c r="P188" s="663">
        <f t="shared" si="33"/>
        <v>18.9122284980692</v>
      </c>
      <c r="Q188" s="2154" t="s">
        <v>1526</v>
      </c>
      <c r="R188" s="658" t="s">
        <v>2281</v>
      </c>
      <c r="S188" s="1755"/>
      <c r="W188" s="1977"/>
      <c r="AB188" s="1977"/>
    </row>
    <row r="189" s="1930" customFormat="1" ht="16" customHeight="1" spans="1:28">
      <c r="A189" s="1930">
        <v>89</v>
      </c>
      <c r="B189" s="658"/>
      <c r="C189" s="658"/>
      <c r="D189" s="661">
        <v>20250613</v>
      </c>
      <c r="E189" s="661">
        <v>7.13</v>
      </c>
      <c r="F189" s="2132" t="s">
        <v>1634</v>
      </c>
      <c r="G189" s="661" t="s">
        <v>1617</v>
      </c>
      <c r="H189" s="660" t="s">
        <v>2282</v>
      </c>
      <c r="I189" s="661" t="s">
        <v>1594</v>
      </c>
      <c r="J189" s="660" t="s">
        <v>1635</v>
      </c>
      <c r="K189" s="661" t="s">
        <v>712</v>
      </c>
      <c r="L189" s="661" t="s">
        <v>1507</v>
      </c>
      <c r="M189" s="663">
        <f>35.72/E189/1.13</f>
        <v>4.43346696620288</v>
      </c>
      <c r="N189" s="663">
        <v>13.9714538843817</v>
      </c>
      <c r="O189" s="663">
        <f t="shared" si="32"/>
        <v>3.15568022440393</v>
      </c>
      <c r="P189" s="663">
        <f t="shared" si="33"/>
        <v>21.5606010749885</v>
      </c>
      <c r="Q189" s="2154" t="s">
        <v>1526</v>
      </c>
      <c r="R189" s="658" t="s">
        <v>2271</v>
      </c>
      <c r="S189" s="1755"/>
      <c r="W189" s="1977"/>
      <c r="AB189" s="1977"/>
    </row>
    <row r="190" s="1930" customFormat="1" ht="16" customHeight="1" spans="1:28">
      <c r="A190" s="1930">
        <v>90</v>
      </c>
      <c r="B190" s="658"/>
      <c r="C190" s="658"/>
      <c r="D190" s="661">
        <v>20250613</v>
      </c>
      <c r="E190" s="661">
        <v>7.13</v>
      </c>
      <c r="F190" s="2132" t="s">
        <v>2283</v>
      </c>
      <c r="G190" s="661" t="s">
        <v>1629</v>
      </c>
      <c r="H190" s="660" t="s">
        <v>2282</v>
      </c>
      <c r="I190" s="661" t="s">
        <v>1511</v>
      </c>
      <c r="J190" s="660" t="s">
        <v>1637</v>
      </c>
      <c r="K190" s="661" t="s">
        <v>712</v>
      </c>
      <c r="L190" s="661" t="s">
        <v>1507</v>
      </c>
      <c r="M190" s="663">
        <f>35.72/E190/1.13</f>
        <v>4.43346696620288</v>
      </c>
      <c r="N190" s="663">
        <v>13.2099553941386</v>
      </c>
      <c r="O190" s="663">
        <f t="shared" si="32"/>
        <v>3.15568022440393</v>
      </c>
      <c r="P190" s="663">
        <f t="shared" si="33"/>
        <v>20.7991025847454</v>
      </c>
      <c r="Q190" s="2154" t="s">
        <v>1526</v>
      </c>
      <c r="R190" s="658" t="s">
        <v>2271</v>
      </c>
      <c r="S190" s="1755"/>
      <c r="W190" s="1977"/>
      <c r="AB190" s="1977"/>
    </row>
    <row r="191" s="1930" customFormat="1" ht="16" customHeight="1" spans="1:28">
      <c r="B191" s="658"/>
      <c r="C191" s="658"/>
      <c r="D191" s="2080">
        <v>46283</v>
      </c>
      <c r="E191" s="661">
        <v>6.7</v>
      </c>
      <c r="F191" s="2132" t="s">
        <v>2284</v>
      </c>
      <c r="G191" s="2156" t="s">
        <v>1669</v>
      </c>
      <c r="H191" s="660"/>
      <c r="I191" s="661"/>
      <c r="J191" s="660"/>
      <c r="K191" s="661"/>
      <c r="L191" s="661"/>
      <c r="M191" s="320">
        <f>43.58/6.73/1.13</f>
        <v>5.73051585162198</v>
      </c>
      <c r="N191" s="663">
        <f>23.2+3.34</f>
        <v>26.54</v>
      </c>
      <c r="O191" s="320">
        <f t="shared" ref="O191:O193" si="34">23.5/E191</f>
        <v>3.50746268656716</v>
      </c>
      <c r="P191" s="663">
        <f t="shared" si="33"/>
        <v>35.7779785381891</v>
      </c>
      <c r="Q191" s="2154" t="s">
        <v>2285</v>
      </c>
      <c r="R191" s="658" t="s">
        <v>2286</v>
      </c>
      <c r="S191" s="1755"/>
      <c r="W191" s="1977"/>
      <c r="AB191" s="1977"/>
    </row>
    <row r="192" s="1930" customFormat="1" ht="16" customHeight="1" spans="1:28">
      <c r="B192" s="266" t="s">
        <v>1394</v>
      </c>
      <c r="C192" s="658"/>
      <c r="D192" s="2080"/>
      <c r="E192" s="661">
        <v>6.7</v>
      </c>
      <c r="F192" s="1975" t="s">
        <v>2287</v>
      </c>
      <c r="G192" s="219" t="s">
        <v>1604</v>
      </c>
      <c r="H192" s="660"/>
      <c r="I192" s="661"/>
      <c r="J192" s="219" t="s">
        <v>1428</v>
      </c>
      <c r="K192" s="219" t="s">
        <v>712</v>
      </c>
      <c r="L192" s="219" t="s">
        <v>1428</v>
      </c>
      <c r="M192" s="320">
        <f>43.98/E192/1.13</f>
        <v>5.80900805705983</v>
      </c>
      <c r="N192" s="320">
        <v>27.3</v>
      </c>
      <c r="O192" s="320">
        <f t="shared" si="34"/>
        <v>3.50746268656716</v>
      </c>
      <c r="P192" s="320">
        <f t="shared" si="33"/>
        <v>36.616470743627</v>
      </c>
      <c r="Q192" s="433" t="s">
        <v>1968</v>
      </c>
      <c r="R192" s="266" t="s">
        <v>2288</v>
      </c>
      <c r="S192" s="1755"/>
      <c r="W192" s="1977"/>
      <c r="AB192" s="1977"/>
    </row>
    <row r="193" s="1930" customFormat="1" ht="16" customHeight="1" spans="1:28">
      <c r="B193" s="2157" t="s">
        <v>1394</v>
      </c>
      <c r="C193" s="658"/>
      <c r="D193" s="2080"/>
      <c r="E193" s="661">
        <v>6.7</v>
      </c>
      <c r="F193" s="1975" t="s">
        <v>2289</v>
      </c>
      <c r="G193" s="219" t="s">
        <v>1671</v>
      </c>
      <c r="H193" s="660"/>
      <c r="I193" s="661"/>
      <c r="J193" s="219" t="s">
        <v>1428</v>
      </c>
      <c r="K193" s="219" t="s">
        <v>712</v>
      </c>
      <c r="L193" s="219" t="s">
        <v>1428</v>
      </c>
      <c r="M193" s="320">
        <f>43.98/E193/1.13</f>
        <v>5.80900805705983</v>
      </c>
      <c r="N193" s="320">
        <f>28.62+3.34</f>
        <v>31.96</v>
      </c>
      <c r="O193" s="320">
        <f>24/E193</f>
        <v>3.58208955223881</v>
      </c>
      <c r="P193" s="320">
        <f t="shared" si="33"/>
        <v>41.3510976092986</v>
      </c>
      <c r="Q193" s="433" t="s">
        <v>2290</v>
      </c>
      <c r="R193" s="266" t="s">
        <v>2291</v>
      </c>
      <c r="S193" s="1755"/>
      <c r="W193" s="1977"/>
      <c r="AB193" s="1977"/>
    </row>
    <row r="194" s="1744" customFormat="1" ht="16" customHeight="1" spans="1:28">
      <c r="A194" s="839">
        <v>91</v>
      </c>
      <c r="B194" s="266" t="s">
        <v>1394</v>
      </c>
      <c r="C194" s="2158"/>
      <c r="D194" s="2159">
        <v>20250910</v>
      </c>
      <c r="E194" s="661">
        <v>6.72</v>
      </c>
      <c r="F194" s="1975" t="s">
        <v>2292</v>
      </c>
      <c r="G194" s="2160" t="s">
        <v>1551</v>
      </c>
      <c r="H194" s="2161" t="s">
        <v>2282</v>
      </c>
      <c r="I194" s="219"/>
      <c r="J194" s="219" t="s">
        <v>1428</v>
      </c>
      <c r="K194" s="219" t="s">
        <v>712</v>
      </c>
      <c r="L194" s="219" t="s">
        <v>1428</v>
      </c>
      <c r="M194" s="320">
        <f>43.58/6.73/1.13</f>
        <v>5.73051585162198</v>
      </c>
      <c r="N194" s="320">
        <v>24.72</v>
      </c>
      <c r="O194" s="320">
        <f>22/E194</f>
        <v>3.27380952380952</v>
      </c>
      <c r="P194" s="320">
        <f t="shared" si="33"/>
        <v>33.7243253754315</v>
      </c>
      <c r="Q194" s="281" t="s">
        <v>1526</v>
      </c>
      <c r="R194" s="266"/>
      <c r="S194" s="1755"/>
    </row>
    <row r="195" s="1744" customFormat="1" ht="16" customHeight="1" spans="1:28">
      <c r="A195" s="839"/>
      <c r="B195" s="2157" t="s">
        <v>1394</v>
      </c>
      <c r="C195" s="266"/>
      <c r="D195" s="2081"/>
      <c r="E195" s="219">
        <v>6.78</v>
      </c>
      <c r="F195" s="2132" t="s">
        <v>2293</v>
      </c>
      <c r="G195" s="227"/>
      <c r="H195" s="245"/>
      <c r="I195" s="219"/>
      <c r="J195" s="219"/>
      <c r="K195" s="219"/>
      <c r="L195" s="219"/>
      <c r="M195" s="320"/>
      <c r="N195" s="320">
        <v>23.5</v>
      </c>
      <c r="O195" s="320">
        <f>22/E195</f>
        <v>3.24483775811209</v>
      </c>
      <c r="P195" s="320">
        <f t="shared" si="33"/>
        <v>26.7448377581121</v>
      </c>
      <c r="Q195" s="281"/>
      <c r="R195" s="266"/>
      <c r="S195" s="1755"/>
    </row>
    <row r="196" s="1744" customFormat="1" ht="16" customHeight="1" spans="1:28">
      <c r="A196" s="839"/>
      <c r="B196" s="266" t="s">
        <v>1355</v>
      </c>
      <c r="C196" s="266"/>
      <c r="D196" s="2081"/>
      <c r="E196" s="219">
        <v>6.78</v>
      </c>
      <c r="F196" s="2132" t="s">
        <v>2294</v>
      </c>
      <c r="G196" s="227"/>
      <c r="H196" s="245"/>
      <c r="I196" s="219"/>
      <c r="J196" s="219"/>
      <c r="K196" s="219"/>
      <c r="L196" s="219"/>
      <c r="M196" s="320"/>
      <c r="N196" s="320">
        <v>8.2</v>
      </c>
      <c r="O196" s="320">
        <f>6/E196</f>
        <v>0.884955752212389</v>
      </c>
      <c r="P196" s="320">
        <f t="shared" si="33"/>
        <v>9.08495575221239</v>
      </c>
      <c r="Q196" s="281"/>
      <c r="R196" s="266"/>
      <c r="S196" s="1755"/>
    </row>
    <row r="197" s="1744" customFormat="1" ht="16" customHeight="1" spans="1:28">
      <c r="A197" s="839"/>
      <c r="B197" s="266" t="s">
        <v>1355</v>
      </c>
      <c r="C197" s="266"/>
      <c r="D197" s="2081"/>
      <c r="E197" s="219">
        <v>6.78</v>
      </c>
      <c r="F197" s="2132" t="s">
        <v>2295</v>
      </c>
      <c r="G197" s="227"/>
      <c r="H197" s="245"/>
      <c r="I197" s="219"/>
      <c r="J197" s="219"/>
      <c r="K197" s="219"/>
      <c r="L197" s="219"/>
      <c r="M197" s="320"/>
      <c r="N197" s="320">
        <v>1.9</v>
      </c>
      <c r="O197" s="320">
        <v>0.3</v>
      </c>
      <c r="P197" s="320">
        <f t="shared" si="33"/>
        <v>2.2</v>
      </c>
      <c r="Q197" s="281"/>
      <c r="R197" s="266"/>
      <c r="S197" s="1755"/>
    </row>
    <row r="198" s="1744" customFormat="1" ht="16" customHeight="1" spans="1:28">
      <c r="A198" s="839"/>
      <c r="B198" s="266"/>
      <c r="C198" s="266"/>
      <c r="D198" s="2081"/>
      <c r="E198" s="219"/>
      <c r="F198" s="2130" t="s">
        <v>1979</v>
      </c>
      <c r="G198" s="227"/>
      <c r="H198" s="245"/>
      <c r="I198" s="227"/>
      <c r="J198" s="227"/>
      <c r="K198" s="227"/>
      <c r="L198" s="227"/>
      <c r="M198" s="320"/>
      <c r="N198" s="320"/>
      <c r="O198" s="320"/>
      <c r="P198" s="320"/>
      <c r="Q198" s="281"/>
      <c r="R198" s="266"/>
      <c r="S198" s="1755"/>
    </row>
    <row r="199" s="1744" customFormat="1" ht="16" customHeight="1" spans="1:28">
      <c r="A199" s="839">
        <v>92</v>
      </c>
      <c r="B199" s="266" t="s">
        <v>2296</v>
      </c>
      <c r="C199" s="266" t="s">
        <v>2297</v>
      </c>
      <c r="D199" s="2081">
        <v>46080</v>
      </c>
      <c r="E199" s="219">
        <v>6.7851</v>
      </c>
      <c r="F199" s="2132" t="s">
        <v>2298</v>
      </c>
      <c r="G199" s="227" t="s">
        <v>1645</v>
      </c>
      <c r="H199" s="245" t="s">
        <v>2282</v>
      </c>
      <c r="I199" s="227" t="s">
        <v>1594</v>
      </c>
      <c r="J199" s="227" t="s">
        <v>1507</v>
      </c>
      <c r="K199" s="227" t="s">
        <v>712</v>
      </c>
      <c r="L199" s="227"/>
      <c r="M199" s="320">
        <f>35.99/E199/1.13</f>
        <v>4.6940439377642</v>
      </c>
      <c r="N199" s="320">
        <v>13.16</v>
      </c>
      <c r="O199" s="320">
        <f>20.1/E199</f>
        <v>2.96237343591104</v>
      </c>
      <c r="P199" s="320">
        <f>SUBTOTAL(9,J199:O199)</f>
        <v>20.8164173736752</v>
      </c>
      <c r="Q199" s="281" t="s">
        <v>1526</v>
      </c>
      <c r="R199" s="266" t="s">
        <v>2299</v>
      </c>
      <c r="S199" s="1755"/>
    </row>
    <row r="200" s="1744" customFormat="1" ht="16" customHeight="1" spans="1:28">
      <c r="A200" s="839">
        <v>93</v>
      </c>
      <c r="B200" s="658" t="s">
        <v>2296</v>
      </c>
      <c r="C200" s="658"/>
      <c r="D200" s="661">
        <v>20250910</v>
      </c>
      <c r="E200" s="661">
        <v>7.13</v>
      </c>
      <c r="F200" s="2132" t="s">
        <v>1979</v>
      </c>
      <c r="G200" s="227" t="s">
        <v>1551</v>
      </c>
      <c r="H200" s="245" t="s">
        <v>2282</v>
      </c>
      <c r="I200" s="227" t="s">
        <v>1511</v>
      </c>
      <c r="J200" s="227" t="s">
        <v>1507</v>
      </c>
      <c r="K200" s="227" t="s">
        <v>712</v>
      </c>
      <c r="L200" s="227" t="s">
        <v>1507</v>
      </c>
      <c r="M200" s="231">
        <f>30.63/E200/1.13</f>
        <v>3.8017103352406</v>
      </c>
      <c r="N200" s="231">
        <v>15.157360578232</v>
      </c>
      <c r="O200" s="231">
        <v>5</v>
      </c>
      <c r="P200" s="231">
        <f>SUBTOTAL(9,J200:O200)</f>
        <v>23.9590709134726</v>
      </c>
      <c r="Q200" s="281" t="s">
        <v>1526</v>
      </c>
      <c r="R200" s="226" t="s">
        <v>2300</v>
      </c>
      <c r="S200" s="1755"/>
    </row>
    <row r="201" s="42" customFormat="1" ht="16" customHeight="1" spans="1:28">
      <c r="A201" s="839">
        <v>94</v>
      </c>
      <c r="B201" s="226" t="s">
        <v>2301</v>
      </c>
      <c r="C201" s="226"/>
      <c r="D201" s="227"/>
      <c r="E201" s="227">
        <v>7.17</v>
      </c>
      <c r="F201" s="2132" t="s">
        <v>1979</v>
      </c>
      <c r="G201" s="227" t="s">
        <v>1604</v>
      </c>
      <c r="H201" s="227"/>
      <c r="I201" s="227" t="s">
        <v>2082</v>
      </c>
      <c r="J201" s="227" t="s">
        <v>1428</v>
      </c>
      <c r="K201" s="2162" t="s">
        <v>712</v>
      </c>
      <c r="L201" s="256" t="s">
        <v>1428</v>
      </c>
      <c r="M201" s="231">
        <v>4.5365199504328</v>
      </c>
      <c r="N201" s="232">
        <v>25.2545024000151</v>
      </c>
      <c r="O201" s="231">
        <f t="shared" ref="O201:O230" si="35">27.23/E201/1.13</f>
        <v>3.36085706174942</v>
      </c>
      <c r="P201" s="231">
        <f t="shared" ref="P201:P256" si="36">SUM(K201:O201)</f>
        <v>33.1518794121973</v>
      </c>
      <c r="Q201" s="226" t="s">
        <v>1526</v>
      </c>
      <c r="R201" s="226" t="s">
        <v>2302</v>
      </c>
      <c r="S201" s="804"/>
      <c r="T201" s="1170" t="s">
        <v>1406</v>
      </c>
      <c r="W201" s="2163"/>
      <c r="Z201" s="839"/>
      <c r="AA201" s="839"/>
      <c r="AB201" s="1940"/>
    </row>
    <row r="202" s="42" customFormat="1" ht="16" customHeight="1" spans="1:28">
      <c r="A202" s="839">
        <v>95</v>
      </c>
      <c r="B202" s="226"/>
      <c r="C202" s="226"/>
      <c r="D202" s="227"/>
      <c r="E202" s="227">
        <v>7.17</v>
      </c>
      <c r="F202" s="2132" t="s">
        <v>1979</v>
      </c>
      <c r="G202" s="227" t="s">
        <v>1685</v>
      </c>
      <c r="H202" s="227"/>
      <c r="I202" s="245" t="s">
        <v>2303</v>
      </c>
      <c r="J202" s="227" t="s">
        <v>1428</v>
      </c>
      <c r="K202" s="507" t="s">
        <v>712</v>
      </c>
      <c r="L202" s="256" t="s">
        <v>1428</v>
      </c>
      <c r="M202" s="231">
        <v>4.5365199504328</v>
      </c>
      <c r="N202" s="232">
        <v>28.66</v>
      </c>
      <c r="O202" s="231">
        <f t="shared" si="35"/>
        <v>3.36085706174942</v>
      </c>
      <c r="P202" s="231">
        <f t="shared" si="36"/>
        <v>36.5573770121822</v>
      </c>
      <c r="Q202" s="226" t="s">
        <v>1526</v>
      </c>
      <c r="R202" s="226" t="s">
        <v>2302</v>
      </c>
      <c r="S202" s="804"/>
      <c r="T202" s="1170" t="s">
        <v>1406</v>
      </c>
      <c r="W202" s="2163"/>
      <c r="Z202" s="839"/>
      <c r="AA202" s="839"/>
      <c r="AB202" s="1940"/>
    </row>
    <row r="203" s="42" customFormat="1" ht="16" customHeight="1" spans="1:28">
      <c r="A203" s="839">
        <v>96</v>
      </c>
      <c r="B203" s="226"/>
      <c r="C203" s="226"/>
      <c r="D203" s="227"/>
      <c r="E203" s="227">
        <v>7.17</v>
      </c>
      <c r="F203" s="2132" t="s">
        <v>1979</v>
      </c>
      <c r="G203" s="227" t="s">
        <v>1998</v>
      </c>
      <c r="H203" s="227"/>
      <c r="I203" s="227" t="s">
        <v>2304</v>
      </c>
      <c r="J203" s="227" t="s">
        <v>1428</v>
      </c>
      <c r="K203" s="256" t="s">
        <v>712</v>
      </c>
      <c r="L203" s="256" t="s">
        <v>1428</v>
      </c>
      <c r="M203" s="231">
        <v>4.5365199504328</v>
      </c>
      <c r="N203" s="232">
        <v>28.5004530974009</v>
      </c>
      <c r="O203" s="231">
        <f t="shared" si="35"/>
        <v>3.36085706174942</v>
      </c>
      <c r="P203" s="231">
        <f t="shared" si="36"/>
        <v>36.3978301095831</v>
      </c>
      <c r="Q203" s="226" t="s">
        <v>1526</v>
      </c>
      <c r="R203" s="226" t="s">
        <v>2305</v>
      </c>
      <c r="S203" s="804"/>
      <c r="T203" s="1170" t="s">
        <v>1406</v>
      </c>
      <c r="W203" s="2163"/>
      <c r="Z203" s="839"/>
      <c r="AA203" s="839"/>
      <c r="AB203" s="1940"/>
    </row>
    <row r="204" s="42" customFormat="1" ht="16" customHeight="1" spans="1:28">
      <c r="A204" s="839">
        <v>97</v>
      </c>
      <c r="B204" s="226"/>
      <c r="C204" s="226"/>
      <c r="D204" s="227"/>
      <c r="E204" s="227">
        <v>7.17</v>
      </c>
      <c r="F204" s="2132" t="s">
        <v>1979</v>
      </c>
      <c r="G204" s="227" t="s">
        <v>2306</v>
      </c>
      <c r="H204" s="227"/>
      <c r="I204" s="227" t="s">
        <v>2307</v>
      </c>
      <c r="J204" s="227" t="s">
        <v>1428</v>
      </c>
      <c r="K204" s="256" t="s">
        <v>712</v>
      </c>
      <c r="L204" s="256" t="s">
        <v>1428</v>
      </c>
      <c r="M204" s="231">
        <v>4.5365199504328</v>
      </c>
      <c r="N204" s="232">
        <v>26.8075099312216</v>
      </c>
      <c r="O204" s="231">
        <f t="shared" si="35"/>
        <v>3.36085706174942</v>
      </c>
      <c r="P204" s="231">
        <f t="shared" si="36"/>
        <v>34.7048869434038</v>
      </c>
      <c r="Q204" s="226" t="s">
        <v>1526</v>
      </c>
      <c r="R204" s="226" t="s">
        <v>2305</v>
      </c>
      <c r="S204" s="804"/>
      <c r="T204" s="1170" t="s">
        <v>1406</v>
      </c>
      <c r="W204" s="2163"/>
      <c r="Z204" s="839"/>
      <c r="AA204" s="839"/>
      <c r="AB204" s="1940"/>
    </row>
    <row r="205" s="42" customFormat="1" ht="16" customHeight="1" spans="1:28">
      <c r="A205" s="839">
        <v>98</v>
      </c>
      <c r="B205" s="226"/>
      <c r="C205" s="226"/>
      <c r="D205" s="227">
        <v>20240125</v>
      </c>
      <c r="E205" s="227">
        <v>7.17</v>
      </c>
      <c r="F205" s="2132" t="s">
        <v>2308</v>
      </c>
      <c r="G205" s="227" t="s">
        <v>1667</v>
      </c>
      <c r="H205" s="227"/>
      <c r="I205" s="227" t="s">
        <v>2082</v>
      </c>
      <c r="J205" s="227" t="s">
        <v>1428</v>
      </c>
      <c r="K205" s="2162" t="s">
        <v>712</v>
      </c>
      <c r="L205" s="256" t="s">
        <v>1428</v>
      </c>
      <c r="M205" s="232">
        <v>4.5365199504328</v>
      </c>
      <c r="N205" s="232">
        <v>23.516403337578</v>
      </c>
      <c r="O205" s="231">
        <f t="shared" si="35"/>
        <v>3.36085706174942</v>
      </c>
      <c r="P205" s="231">
        <f t="shared" si="36"/>
        <v>31.4137803497602</v>
      </c>
      <c r="Q205" s="226" t="s">
        <v>1526</v>
      </c>
      <c r="R205" s="226" t="s">
        <v>2309</v>
      </c>
      <c r="S205" s="804"/>
      <c r="T205" s="1170"/>
      <c r="W205" s="2163"/>
      <c r="Z205" s="839"/>
      <c r="AA205" s="839"/>
      <c r="AB205" s="1940"/>
    </row>
    <row r="206" s="42" customFormat="1" ht="16" customHeight="1" spans="1:28">
      <c r="A206" s="839">
        <v>99</v>
      </c>
      <c r="B206" s="226"/>
      <c r="C206" s="226"/>
      <c r="D206" s="227">
        <v>20240625</v>
      </c>
      <c r="E206" s="227">
        <v>7.17</v>
      </c>
      <c r="F206" s="2132" t="s">
        <v>2310</v>
      </c>
      <c r="G206" s="227" t="s">
        <v>2311</v>
      </c>
      <c r="H206" s="227"/>
      <c r="I206" s="227" t="s">
        <v>2303</v>
      </c>
      <c r="J206" s="227" t="s">
        <v>1428</v>
      </c>
      <c r="K206" s="507" t="s">
        <v>712</v>
      </c>
      <c r="L206" s="227" t="s">
        <v>1428</v>
      </c>
      <c r="M206" s="232">
        <v>4.5365199504328</v>
      </c>
      <c r="N206" s="232">
        <v>25.8864653063622</v>
      </c>
      <c r="O206" s="231">
        <f t="shared" si="35"/>
        <v>3.36085706174942</v>
      </c>
      <c r="P206" s="231">
        <f t="shared" si="36"/>
        <v>33.7838423185444</v>
      </c>
      <c r="Q206" s="226" t="s">
        <v>1526</v>
      </c>
      <c r="R206" s="226" t="s">
        <v>2312</v>
      </c>
      <c r="S206" s="804"/>
      <c r="T206" s="120" t="s">
        <v>1406</v>
      </c>
      <c r="W206" s="2163"/>
      <c r="Z206" s="839"/>
      <c r="AA206" s="839"/>
      <c r="AB206" s="1940"/>
    </row>
    <row r="207" s="42" customFormat="1" ht="16" customHeight="1" spans="1:28">
      <c r="A207" s="839">
        <v>100</v>
      </c>
      <c r="B207" s="226"/>
      <c r="C207" s="226"/>
      <c r="D207" s="227">
        <v>20240625</v>
      </c>
      <c r="E207" s="227">
        <v>7.17</v>
      </c>
      <c r="F207" s="2132" t="s">
        <v>2313</v>
      </c>
      <c r="G207" s="227" t="s">
        <v>2314</v>
      </c>
      <c r="H207" s="227"/>
      <c r="I207" s="227" t="s">
        <v>2315</v>
      </c>
      <c r="J207" s="227" t="s">
        <v>1428</v>
      </c>
      <c r="K207" s="509" t="s">
        <v>712</v>
      </c>
      <c r="L207" s="227" t="s">
        <v>1428</v>
      </c>
      <c r="M207" s="232">
        <v>4.5365199504328</v>
      </c>
      <c r="N207" s="232">
        <v>25.8697831661163</v>
      </c>
      <c r="O207" s="231">
        <f t="shared" si="35"/>
        <v>3.36085706174942</v>
      </c>
      <c r="P207" s="231">
        <f t="shared" si="36"/>
        <v>33.7671601782985</v>
      </c>
      <c r="Q207" s="226" t="s">
        <v>1526</v>
      </c>
      <c r="R207" s="226" t="s">
        <v>2312</v>
      </c>
      <c r="S207" s="804"/>
      <c r="T207" s="120" t="s">
        <v>1406</v>
      </c>
      <c r="W207" s="2163"/>
      <c r="Z207" s="839"/>
      <c r="AA207" s="839"/>
      <c r="AB207" s="1940"/>
    </row>
    <row r="208" s="42" customFormat="1" ht="16" customHeight="1" spans="1:28">
      <c r="A208" s="839">
        <v>101</v>
      </c>
      <c r="B208" s="226"/>
      <c r="C208" s="226"/>
      <c r="D208" s="227"/>
      <c r="E208" s="227">
        <v>7.17</v>
      </c>
      <c r="F208" s="2132" t="s">
        <v>1979</v>
      </c>
      <c r="G208" s="227" t="s">
        <v>1723</v>
      </c>
      <c r="H208" s="227"/>
      <c r="I208" s="227" t="s">
        <v>2082</v>
      </c>
      <c r="J208" s="227" t="s">
        <v>1428</v>
      </c>
      <c r="K208" s="2162" t="s">
        <v>712</v>
      </c>
      <c r="L208" s="256" t="s">
        <v>1428</v>
      </c>
      <c r="M208" s="232">
        <v>4.5365199504328</v>
      </c>
      <c r="N208" s="232">
        <v>24.4462712053334</v>
      </c>
      <c r="O208" s="231">
        <f t="shared" si="35"/>
        <v>3.36085706174942</v>
      </c>
      <c r="P208" s="231">
        <f t="shared" si="36"/>
        <v>32.3436482175156</v>
      </c>
      <c r="Q208" s="226" t="s">
        <v>1526</v>
      </c>
      <c r="R208" s="226" t="s">
        <v>2316</v>
      </c>
      <c r="S208" s="804"/>
      <c r="T208" s="120" t="s">
        <v>1406</v>
      </c>
      <c r="W208" s="2163"/>
      <c r="Z208" s="839"/>
      <c r="AA208" s="839"/>
      <c r="AB208" s="1940"/>
    </row>
    <row r="209" s="42" customFormat="1" ht="16" customHeight="1" spans="1:28">
      <c r="A209" s="839">
        <v>102</v>
      </c>
      <c r="B209" s="226"/>
      <c r="C209" s="226"/>
      <c r="D209" s="227"/>
      <c r="E209" s="227">
        <v>7.17</v>
      </c>
      <c r="F209" s="2132" t="s">
        <v>1979</v>
      </c>
      <c r="G209" s="227" t="s">
        <v>1593</v>
      </c>
      <c r="H209" s="227"/>
      <c r="I209" s="227" t="s">
        <v>2315</v>
      </c>
      <c r="J209" s="227" t="s">
        <v>1428</v>
      </c>
      <c r="K209" s="509" t="s">
        <v>712</v>
      </c>
      <c r="L209" s="256" t="s">
        <v>1428</v>
      </c>
      <c r="M209" s="231">
        <v>4.5365199504328</v>
      </c>
      <c r="N209" s="232">
        <v>27.187011684351</v>
      </c>
      <c r="O209" s="231">
        <f t="shared" si="35"/>
        <v>3.36085706174942</v>
      </c>
      <c r="P209" s="231">
        <f t="shared" si="36"/>
        <v>35.0843886965332</v>
      </c>
      <c r="Q209" s="226" t="s">
        <v>1526</v>
      </c>
      <c r="R209" s="226" t="s">
        <v>2305</v>
      </c>
      <c r="S209" s="804"/>
      <c r="W209" s="2163"/>
      <c r="Z209" s="839"/>
      <c r="AA209" s="839"/>
      <c r="AB209" s="1940"/>
    </row>
    <row r="210" s="42" customFormat="1" ht="16" customHeight="1" spans="1:28">
      <c r="A210" s="839">
        <v>103</v>
      </c>
      <c r="B210" s="226"/>
      <c r="C210" s="226"/>
      <c r="D210" s="227"/>
      <c r="E210" s="227">
        <v>7.17</v>
      </c>
      <c r="F210" s="2132" t="s">
        <v>1979</v>
      </c>
      <c r="G210" s="227" t="s">
        <v>1525</v>
      </c>
      <c r="H210" s="227"/>
      <c r="I210" s="245" t="s">
        <v>2317</v>
      </c>
      <c r="J210" s="227" t="s">
        <v>1428</v>
      </c>
      <c r="K210" s="247" t="s">
        <v>712</v>
      </c>
      <c r="L210" s="256" t="s">
        <v>1428</v>
      </c>
      <c r="M210" s="231">
        <v>4.5365199504328</v>
      </c>
      <c r="N210" s="232">
        <v>25.0662026976254</v>
      </c>
      <c r="O210" s="231">
        <f t="shared" si="35"/>
        <v>3.36085706174942</v>
      </c>
      <c r="P210" s="231">
        <f t="shared" si="36"/>
        <v>32.9635797098076</v>
      </c>
      <c r="Q210" s="226" t="s">
        <v>1526</v>
      </c>
      <c r="R210" s="226" t="s">
        <v>2305</v>
      </c>
      <c r="S210" s="804"/>
      <c r="W210" s="2163"/>
      <c r="Z210" s="839"/>
      <c r="AA210" s="839"/>
      <c r="AB210" s="1940"/>
    </row>
    <row r="211" s="42" customFormat="1" ht="16" customHeight="1" spans="1:28">
      <c r="A211" s="839">
        <v>104</v>
      </c>
      <c r="B211" s="226"/>
      <c r="C211" s="226"/>
      <c r="D211" s="227"/>
      <c r="E211" s="227">
        <v>7.17</v>
      </c>
      <c r="F211" s="2132" t="s">
        <v>1979</v>
      </c>
      <c r="G211" s="227" t="s">
        <v>667</v>
      </c>
      <c r="H211" s="227"/>
      <c r="I211" s="227" t="s">
        <v>2304</v>
      </c>
      <c r="J211" s="227" t="s">
        <v>1428</v>
      </c>
      <c r="K211" s="256" t="s">
        <v>712</v>
      </c>
      <c r="L211" s="256" t="s">
        <v>1428</v>
      </c>
      <c r="M211" s="231">
        <v>4.5365199504328</v>
      </c>
      <c r="N211" s="232">
        <v>26.1196676300144</v>
      </c>
      <c r="O211" s="231">
        <f t="shared" si="35"/>
        <v>3.36085706174942</v>
      </c>
      <c r="P211" s="231">
        <f t="shared" si="36"/>
        <v>34.0170446421966</v>
      </c>
      <c r="Q211" s="226" t="s">
        <v>1526</v>
      </c>
      <c r="R211" s="226" t="s">
        <v>2318</v>
      </c>
      <c r="S211" s="804"/>
      <c r="W211" s="2163"/>
      <c r="Z211" s="839"/>
      <c r="AA211" s="839"/>
      <c r="AB211" s="1940"/>
    </row>
    <row r="212" s="42" customFormat="1" ht="16" customHeight="1" spans="1:28">
      <c r="A212" s="839">
        <v>105</v>
      </c>
      <c r="B212" s="226"/>
      <c r="C212" s="226"/>
      <c r="D212" s="227">
        <v>20241220</v>
      </c>
      <c r="E212" s="227">
        <v>7.17</v>
      </c>
      <c r="F212" s="2132" t="s">
        <v>2319</v>
      </c>
      <c r="G212" s="227" t="s">
        <v>2320</v>
      </c>
      <c r="H212" s="227"/>
      <c r="I212" s="227" t="s">
        <v>2307</v>
      </c>
      <c r="J212" s="227"/>
      <c r="K212" s="256" t="s">
        <v>712</v>
      </c>
      <c r="L212" s="256"/>
      <c r="M212" s="232">
        <v>4.5365199504328</v>
      </c>
      <c r="N212" s="232">
        <v>21.5696314198929</v>
      </c>
      <c r="O212" s="231">
        <f t="shared" si="35"/>
        <v>3.36085706174942</v>
      </c>
      <c r="P212" s="231">
        <f t="shared" si="36"/>
        <v>29.4670084320751</v>
      </c>
      <c r="Q212" s="226" t="s">
        <v>1526</v>
      </c>
      <c r="R212" s="226" t="s">
        <v>2321</v>
      </c>
      <c r="S212" s="804"/>
      <c r="W212" s="2163"/>
      <c r="Z212" s="839"/>
      <c r="AA212" s="839"/>
      <c r="AB212" s="1940"/>
    </row>
    <row r="213" s="42" customFormat="1" ht="16" customHeight="1" spans="1:28">
      <c r="A213" s="839">
        <v>106</v>
      </c>
      <c r="B213" s="226"/>
      <c r="C213" s="226"/>
      <c r="D213" s="227"/>
      <c r="E213" s="227">
        <v>7.17</v>
      </c>
      <c r="F213" s="2132" t="s">
        <v>1979</v>
      </c>
      <c r="G213" s="227" t="s">
        <v>2106</v>
      </c>
      <c r="H213" s="227"/>
      <c r="I213" s="227" t="s">
        <v>2082</v>
      </c>
      <c r="J213" s="227" t="s">
        <v>1428</v>
      </c>
      <c r="K213" s="2162" t="s">
        <v>712</v>
      </c>
      <c r="L213" s="256" t="s">
        <v>1428</v>
      </c>
      <c r="M213" s="231">
        <v>4.5365199504328</v>
      </c>
      <c r="N213" s="232">
        <v>23.6759020591595</v>
      </c>
      <c r="O213" s="231">
        <f t="shared" si="35"/>
        <v>3.36085706174942</v>
      </c>
      <c r="P213" s="231">
        <f t="shared" si="36"/>
        <v>31.5732790713417</v>
      </c>
      <c r="Q213" s="226" t="s">
        <v>1526</v>
      </c>
      <c r="R213" s="226" t="s">
        <v>2318</v>
      </c>
      <c r="S213" s="804"/>
      <c r="W213" s="2163"/>
      <c r="Z213" s="839"/>
      <c r="AA213" s="839"/>
      <c r="AB213" s="1940"/>
    </row>
    <row r="214" s="42" customFormat="1" ht="16" customHeight="1" spans="1:28">
      <c r="A214" s="839">
        <v>107</v>
      </c>
      <c r="B214" s="226"/>
      <c r="C214" s="226"/>
      <c r="D214" s="227"/>
      <c r="E214" s="227">
        <v>7.17</v>
      </c>
      <c r="F214" s="2132" t="s">
        <v>1979</v>
      </c>
      <c r="G214" s="227" t="s">
        <v>2322</v>
      </c>
      <c r="H214" s="227"/>
      <c r="I214" s="227" t="s">
        <v>2323</v>
      </c>
      <c r="J214" s="227" t="s">
        <v>1428</v>
      </c>
      <c r="K214" s="256" t="s">
        <v>712</v>
      </c>
      <c r="L214" s="256" t="s">
        <v>1428</v>
      </c>
      <c r="M214" s="231">
        <v>4.5365199504328</v>
      </c>
      <c r="N214" s="232">
        <v>23.6267227087112</v>
      </c>
      <c r="O214" s="231">
        <f t="shared" si="35"/>
        <v>3.36085706174942</v>
      </c>
      <c r="P214" s="231">
        <f t="shared" si="36"/>
        <v>31.5240997208934</v>
      </c>
      <c r="Q214" s="226" t="s">
        <v>1526</v>
      </c>
      <c r="R214" s="226" t="s">
        <v>2318</v>
      </c>
      <c r="S214" s="804"/>
      <c r="W214" s="2163"/>
      <c r="Z214" s="839"/>
      <c r="AA214" s="839"/>
      <c r="AB214" s="1940"/>
    </row>
    <row r="215" s="42" customFormat="1" ht="16" customHeight="1" spans="1:28">
      <c r="A215" s="839">
        <v>108</v>
      </c>
      <c r="B215" s="226"/>
      <c r="C215" s="226"/>
      <c r="D215" s="227">
        <v>20240109</v>
      </c>
      <c r="E215" s="227">
        <v>7.17</v>
      </c>
      <c r="F215" s="2132" t="s">
        <v>2324</v>
      </c>
      <c r="G215" s="227" t="s">
        <v>2325</v>
      </c>
      <c r="H215" s="227"/>
      <c r="I215" s="227" t="s">
        <v>2326</v>
      </c>
      <c r="J215" s="227" t="s">
        <v>1428</v>
      </c>
      <c r="K215" s="507" t="s">
        <v>712</v>
      </c>
      <c r="L215" s="256" t="s">
        <v>1428</v>
      </c>
      <c r="M215" s="232">
        <v>4.5365199504328</v>
      </c>
      <c r="N215" s="232">
        <v>24.7615491102071</v>
      </c>
      <c r="O215" s="231">
        <f t="shared" si="35"/>
        <v>3.36085706174942</v>
      </c>
      <c r="P215" s="231">
        <f t="shared" si="36"/>
        <v>32.6589261223893</v>
      </c>
      <c r="Q215" s="226" t="s">
        <v>1526</v>
      </c>
      <c r="R215" s="226" t="s">
        <v>2327</v>
      </c>
      <c r="S215" s="804"/>
      <c r="W215" s="2163"/>
      <c r="Z215" s="839"/>
      <c r="AA215" s="839"/>
      <c r="AB215" s="1940"/>
    </row>
    <row r="216" s="42" customFormat="1" ht="16" customHeight="1" spans="1:28">
      <c r="A216" s="839">
        <v>109</v>
      </c>
      <c r="B216" s="226"/>
      <c r="C216" s="226"/>
      <c r="D216" s="227">
        <v>20240109</v>
      </c>
      <c r="E216" s="227">
        <v>7.17</v>
      </c>
      <c r="F216" s="2132" t="s">
        <v>2328</v>
      </c>
      <c r="G216" s="227" t="s">
        <v>2329</v>
      </c>
      <c r="H216" s="227"/>
      <c r="I216" s="245" t="s">
        <v>2330</v>
      </c>
      <c r="J216" s="227" t="s">
        <v>1428</v>
      </c>
      <c r="K216" s="256" t="s">
        <v>712</v>
      </c>
      <c r="L216" s="256" t="s">
        <v>1428</v>
      </c>
      <c r="M216" s="232">
        <v>4.5365199504328</v>
      </c>
      <c r="N216" s="232">
        <v>19.8466725354565</v>
      </c>
      <c r="O216" s="231">
        <f t="shared" si="35"/>
        <v>3.36085706174942</v>
      </c>
      <c r="P216" s="231">
        <f t="shared" si="36"/>
        <v>27.7440495476387</v>
      </c>
      <c r="Q216" s="226" t="s">
        <v>1526</v>
      </c>
      <c r="R216" s="226" t="s">
        <v>2331</v>
      </c>
      <c r="S216" s="804"/>
      <c r="W216" s="2163"/>
      <c r="Z216" s="839"/>
      <c r="AA216" s="839"/>
      <c r="AB216" s="1940"/>
    </row>
    <row r="217" s="42" customFormat="1" ht="16" customHeight="1" spans="1:28">
      <c r="A217" s="839">
        <v>110</v>
      </c>
      <c r="B217" s="226"/>
      <c r="C217" s="226"/>
      <c r="D217" s="227">
        <v>20240514</v>
      </c>
      <c r="E217" s="227">
        <v>7.17</v>
      </c>
      <c r="F217" s="2132" t="s">
        <v>2332</v>
      </c>
      <c r="G217" s="227" t="s">
        <v>2333</v>
      </c>
      <c r="H217" s="227"/>
      <c r="I217" s="245" t="s">
        <v>2334</v>
      </c>
      <c r="J217" s="227" t="s">
        <v>1428</v>
      </c>
      <c r="K217" s="256" t="s">
        <v>712</v>
      </c>
      <c r="L217" s="256" t="s">
        <v>1428</v>
      </c>
      <c r="M217" s="232">
        <v>4.5365199504328</v>
      </c>
      <c r="N217" s="232">
        <v>25.419243604899</v>
      </c>
      <c r="O217" s="231">
        <f t="shared" si="35"/>
        <v>3.36085706174942</v>
      </c>
      <c r="P217" s="231">
        <f t="shared" si="36"/>
        <v>33.3166206170812</v>
      </c>
      <c r="Q217" s="226" t="s">
        <v>1526</v>
      </c>
      <c r="R217" s="226" t="s">
        <v>2305</v>
      </c>
      <c r="S217" s="804"/>
      <c r="W217" s="2163"/>
      <c r="Z217" s="839"/>
      <c r="AA217" s="839"/>
      <c r="AB217" s="1940"/>
    </row>
    <row r="218" s="42" customFormat="1" ht="16" customHeight="1" spans="1:28">
      <c r="A218" s="839">
        <v>111</v>
      </c>
      <c r="B218" s="226"/>
      <c r="C218" s="226"/>
      <c r="D218" s="227">
        <v>20240514</v>
      </c>
      <c r="E218" s="227">
        <v>7.17</v>
      </c>
      <c r="F218" s="2132" t="s">
        <v>2335</v>
      </c>
      <c r="G218" s="227" t="s">
        <v>2336</v>
      </c>
      <c r="H218" s="227"/>
      <c r="I218" s="245" t="s">
        <v>2326</v>
      </c>
      <c r="J218" s="227" t="s">
        <v>1428</v>
      </c>
      <c r="K218" s="507" t="s">
        <v>712</v>
      </c>
      <c r="L218" s="256" t="s">
        <v>1428</v>
      </c>
      <c r="M218" s="232">
        <v>4.5365199504328</v>
      </c>
      <c r="N218" s="232">
        <v>23.7348068171417</v>
      </c>
      <c r="O218" s="231">
        <f t="shared" si="35"/>
        <v>3.36085706174942</v>
      </c>
      <c r="P218" s="231">
        <f t="shared" si="36"/>
        <v>31.6321838293239</v>
      </c>
      <c r="Q218" s="226" t="s">
        <v>1526</v>
      </c>
      <c r="R218" s="226" t="s">
        <v>2305</v>
      </c>
      <c r="S218" s="804"/>
      <c r="W218" s="2163"/>
      <c r="Z218" s="839"/>
      <c r="AA218" s="839"/>
      <c r="AB218" s="1940"/>
    </row>
    <row r="219" s="42" customFormat="1" ht="16" customHeight="1" spans="1:28">
      <c r="A219" s="839">
        <v>112</v>
      </c>
      <c r="B219" s="226"/>
      <c r="C219" s="226"/>
      <c r="D219" s="227">
        <v>20240514</v>
      </c>
      <c r="E219" s="227">
        <v>7.17</v>
      </c>
      <c r="F219" s="2132" t="s">
        <v>2337</v>
      </c>
      <c r="G219" s="227" t="s">
        <v>1771</v>
      </c>
      <c r="H219" s="227"/>
      <c r="I219" s="245" t="s">
        <v>2338</v>
      </c>
      <c r="J219" s="227" t="s">
        <v>1428</v>
      </c>
      <c r="K219" s="227" t="s">
        <v>712</v>
      </c>
      <c r="L219" s="256" t="s">
        <v>1428</v>
      </c>
      <c r="M219" s="232">
        <v>4.5365199504328</v>
      </c>
      <c r="N219" s="232">
        <v>23.6872685586955</v>
      </c>
      <c r="O219" s="231">
        <f t="shared" si="35"/>
        <v>3.36085706174942</v>
      </c>
      <c r="P219" s="231">
        <f t="shared" si="36"/>
        <v>31.5846455708777</v>
      </c>
      <c r="Q219" s="226" t="s">
        <v>1526</v>
      </c>
      <c r="R219" s="226" t="s">
        <v>2305</v>
      </c>
      <c r="S219" s="804"/>
      <c r="W219" s="2163"/>
      <c r="Z219" s="839"/>
      <c r="AA219" s="839"/>
      <c r="AB219" s="1940"/>
    </row>
    <row r="220" s="42" customFormat="1" ht="16" customHeight="1" spans="1:28">
      <c r="A220" s="839">
        <v>113</v>
      </c>
      <c r="B220" s="226"/>
      <c r="C220" s="226"/>
      <c r="D220" s="227">
        <v>20240514</v>
      </c>
      <c r="E220" s="227">
        <v>7.17</v>
      </c>
      <c r="F220" s="2132" t="s">
        <v>2339</v>
      </c>
      <c r="G220" s="227" t="s">
        <v>2340</v>
      </c>
      <c r="H220" s="227"/>
      <c r="I220" s="245" t="s">
        <v>2323</v>
      </c>
      <c r="J220" s="227" t="s">
        <v>1428</v>
      </c>
      <c r="K220" s="256" t="s">
        <v>712</v>
      </c>
      <c r="L220" s="256" t="s">
        <v>1428</v>
      </c>
      <c r="M220" s="232">
        <v>4.5365199504328</v>
      </c>
      <c r="N220" s="232">
        <v>21.9346429125312</v>
      </c>
      <c r="O220" s="231">
        <f t="shared" si="35"/>
        <v>3.36085706174942</v>
      </c>
      <c r="P220" s="231">
        <f t="shared" si="36"/>
        <v>29.8320199247134</v>
      </c>
      <c r="Q220" s="226" t="s">
        <v>1526</v>
      </c>
      <c r="R220" s="226" t="s">
        <v>2305</v>
      </c>
      <c r="S220" s="804"/>
      <c r="W220" s="2163"/>
      <c r="Z220" s="839"/>
      <c r="AA220" s="839"/>
      <c r="AB220" s="1940"/>
    </row>
    <row r="221" s="42" customFormat="1" ht="16" customHeight="1" spans="1:28">
      <c r="A221" s="839">
        <v>114</v>
      </c>
      <c r="B221" s="226"/>
      <c r="C221" s="226"/>
      <c r="D221" s="227">
        <v>20240514</v>
      </c>
      <c r="E221" s="227">
        <v>7.17</v>
      </c>
      <c r="F221" s="2132" t="s">
        <v>1770</v>
      </c>
      <c r="G221" s="227" t="s">
        <v>2341</v>
      </c>
      <c r="H221" s="227"/>
      <c r="I221" s="245" t="s">
        <v>2342</v>
      </c>
      <c r="J221" s="227" t="s">
        <v>1428</v>
      </c>
      <c r="K221" s="247" t="s">
        <v>712</v>
      </c>
      <c r="L221" s="256" t="s">
        <v>1428</v>
      </c>
      <c r="M221" s="232">
        <v>4.5365199504328</v>
      </c>
      <c r="N221" s="232">
        <v>22.1881670619959</v>
      </c>
      <c r="O221" s="231">
        <f t="shared" si="35"/>
        <v>3.36085706174942</v>
      </c>
      <c r="P221" s="231">
        <f t="shared" si="36"/>
        <v>30.0855440741781</v>
      </c>
      <c r="Q221" s="226" t="s">
        <v>1526</v>
      </c>
      <c r="R221" s="226" t="s">
        <v>2305</v>
      </c>
      <c r="S221" s="804"/>
      <c r="W221" s="2163"/>
      <c r="Z221" s="839"/>
      <c r="AA221" s="839"/>
      <c r="AB221" s="1940"/>
    </row>
    <row r="222" s="42" customFormat="1" ht="16" customHeight="1" spans="1:28">
      <c r="A222" s="839">
        <v>115</v>
      </c>
      <c r="B222" s="226"/>
      <c r="C222" s="226"/>
      <c r="D222" s="227">
        <v>20241113</v>
      </c>
      <c r="E222" s="227">
        <v>7.17</v>
      </c>
      <c r="F222" s="2132" t="s">
        <v>2343</v>
      </c>
      <c r="G222" s="227" t="s">
        <v>2344</v>
      </c>
      <c r="H222" s="227"/>
      <c r="I222" s="245" t="s">
        <v>2082</v>
      </c>
      <c r="J222" s="227" t="s">
        <v>1428</v>
      </c>
      <c r="K222" s="2162" t="s">
        <v>712</v>
      </c>
      <c r="L222" s="256" t="s">
        <v>1428</v>
      </c>
      <c r="M222" s="232">
        <v>4.5365199504328</v>
      </c>
      <c r="N222" s="232">
        <v>21.5947070623206</v>
      </c>
      <c r="O222" s="231">
        <f t="shared" si="35"/>
        <v>3.36085706174942</v>
      </c>
      <c r="P222" s="231">
        <f t="shared" si="36"/>
        <v>29.4920840745028</v>
      </c>
      <c r="Q222" s="226" t="s">
        <v>1526</v>
      </c>
      <c r="R222" s="226" t="s">
        <v>2305</v>
      </c>
      <c r="S222" s="804"/>
      <c r="W222" s="2163"/>
      <c r="Z222" s="839"/>
      <c r="AA222" s="839"/>
      <c r="AB222" s="1940"/>
    </row>
    <row r="223" s="42" customFormat="1" ht="16" customHeight="1" spans="1:28">
      <c r="A223" s="839">
        <v>116</v>
      </c>
      <c r="B223" s="226"/>
      <c r="C223" s="226"/>
      <c r="D223" s="227">
        <v>20240805</v>
      </c>
      <c r="E223" s="227">
        <v>7.17</v>
      </c>
      <c r="F223" s="2132" t="s">
        <v>2345</v>
      </c>
      <c r="G223" s="227" t="s">
        <v>2346</v>
      </c>
      <c r="H223" s="227"/>
      <c r="I223" s="245" t="s">
        <v>2082</v>
      </c>
      <c r="J223" s="227" t="s">
        <v>1428</v>
      </c>
      <c r="K223" s="2162" t="s">
        <v>712</v>
      </c>
      <c r="L223" s="256" t="s">
        <v>1428</v>
      </c>
      <c r="M223" s="232">
        <v>4.5365199504328</v>
      </c>
      <c r="N223" s="232">
        <v>21.8945540429818</v>
      </c>
      <c r="O223" s="231">
        <f t="shared" si="35"/>
        <v>3.36085706174942</v>
      </c>
      <c r="P223" s="231">
        <f t="shared" si="36"/>
        <v>29.791931055164</v>
      </c>
      <c r="Q223" s="226" t="s">
        <v>1526</v>
      </c>
      <c r="R223" s="226" t="s">
        <v>2305</v>
      </c>
      <c r="S223" s="804"/>
      <c r="W223" s="2163"/>
      <c r="Z223" s="839"/>
      <c r="AA223" s="839"/>
      <c r="AB223" s="1940"/>
    </row>
    <row r="224" s="42" customFormat="1" ht="16" customHeight="1" spans="1:28">
      <c r="A224" s="839">
        <v>117</v>
      </c>
      <c r="B224" s="226"/>
      <c r="C224" s="226"/>
      <c r="D224" s="227">
        <v>20240805</v>
      </c>
      <c r="E224" s="227">
        <v>7.17</v>
      </c>
      <c r="F224" s="2132" t="s">
        <v>2347</v>
      </c>
      <c r="G224" s="227" t="s">
        <v>2348</v>
      </c>
      <c r="H224" s="227"/>
      <c r="I224" s="245" t="s">
        <v>2323</v>
      </c>
      <c r="J224" s="227" t="s">
        <v>1428</v>
      </c>
      <c r="K224" s="256" t="s">
        <v>712</v>
      </c>
      <c r="L224" s="256" t="s">
        <v>1428</v>
      </c>
      <c r="M224" s="232">
        <v>4.5365199504328</v>
      </c>
      <c r="N224" s="232">
        <v>21.8673140065779</v>
      </c>
      <c r="O224" s="231">
        <f t="shared" si="35"/>
        <v>3.36085706174942</v>
      </c>
      <c r="P224" s="231">
        <f t="shared" si="36"/>
        <v>29.7646910187601</v>
      </c>
      <c r="Q224" s="226" t="s">
        <v>1526</v>
      </c>
      <c r="R224" s="226" t="s">
        <v>2305</v>
      </c>
      <c r="S224" s="804"/>
      <c r="W224" s="2163"/>
      <c r="Z224" s="839"/>
      <c r="AA224" s="839"/>
      <c r="AB224" s="1940"/>
    </row>
    <row r="225" s="42" customFormat="1" ht="16" customHeight="1" spans="1:28">
      <c r="A225" s="839">
        <v>118</v>
      </c>
      <c r="B225" s="226"/>
      <c r="C225" s="226"/>
      <c r="D225" s="227">
        <v>20240904</v>
      </c>
      <c r="E225" s="227">
        <v>7.17</v>
      </c>
      <c r="F225" s="2132" t="s">
        <v>2349</v>
      </c>
      <c r="G225" s="227" t="s">
        <v>2350</v>
      </c>
      <c r="H225" s="227"/>
      <c r="I225" s="245" t="s">
        <v>2326</v>
      </c>
      <c r="J225" s="227" t="s">
        <v>1428</v>
      </c>
      <c r="K225" s="507" t="s">
        <v>712</v>
      </c>
      <c r="L225" s="256" t="s">
        <v>1428</v>
      </c>
      <c r="M225" s="232">
        <v>4.5365199504328</v>
      </c>
      <c r="N225" s="232">
        <v>25.1598072943625</v>
      </c>
      <c r="O225" s="231">
        <f t="shared" si="35"/>
        <v>3.36085706174942</v>
      </c>
      <c r="P225" s="231">
        <f t="shared" si="36"/>
        <v>33.0571843065447</v>
      </c>
      <c r="Q225" s="226" t="s">
        <v>1526</v>
      </c>
      <c r="R225" s="226" t="s">
        <v>2351</v>
      </c>
      <c r="S225" s="804"/>
      <c r="W225" s="2163"/>
      <c r="Z225" s="839"/>
      <c r="AA225" s="839"/>
      <c r="AB225" s="1940"/>
    </row>
    <row r="226" s="42" customFormat="1" ht="16" customHeight="1" spans="1:28">
      <c r="A226" s="839">
        <v>119</v>
      </c>
      <c r="B226" s="226"/>
      <c r="C226" s="226"/>
      <c r="D226" s="227">
        <v>20241129</v>
      </c>
      <c r="E226" s="227">
        <v>7.17</v>
      </c>
      <c r="F226" s="2132" t="s">
        <v>2352</v>
      </c>
      <c r="G226" s="227" t="s">
        <v>2353</v>
      </c>
      <c r="H226" s="227"/>
      <c r="I226" s="245" t="s">
        <v>2354</v>
      </c>
      <c r="J226" s="227"/>
      <c r="K226" s="507" t="s">
        <v>712</v>
      </c>
      <c r="L226" s="256" t="s">
        <v>1428</v>
      </c>
      <c r="M226" s="231">
        <v>4.5365199504328</v>
      </c>
      <c r="N226" s="232">
        <v>22.254036572582</v>
      </c>
      <c r="O226" s="231">
        <f t="shared" si="35"/>
        <v>3.36085706174942</v>
      </c>
      <c r="P226" s="231">
        <f t="shared" si="36"/>
        <v>30.1514135847642</v>
      </c>
      <c r="Q226" s="226" t="s">
        <v>1526</v>
      </c>
      <c r="R226" s="226" t="s">
        <v>2355</v>
      </c>
      <c r="S226" s="804"/>
      <c r="W226" s="2163"/>
      <c r="Z226" s="839"/>
      <c r="AA226" s="839"/>
      <c r="AB226" s="1940"/>
    </row>
    <row r="227" s="42" customFormat="1" ht="16" customHeight="1" spans="1:28">
      <c r="A227" s="839">
        <v>120</v>
      </c>
      <c r="B227" s="226"/>
      <c r="C227" s="226"/>
      <c r="D227" s="227">
        <v>20241129</v>
      </c>
      <c r="E227" s="227">
        <v>7.17</v>
      </c>
      <c r="F227" s="2132" t="s">
        <v>2356</v>
      </c>
      <c r="G227" s="227" t="s">
        <v>2357</v>
      </c>
      <c r="H227" s="227"/>
      <c r="I227" s="245" t="s">
        <v>2358</v>
      </c>
      <c r="J227" s="227"/>
      <c r="K227" s="256" t="s">
        <v>712</v>
      </c>
      <c r="L227" s="256" t="s">
        <v>1428</v>
      </c>
      <c r="M227" s="231">
        <v>4.5365199504328</v>
      </c>
      <c r="N227" s="232">
        <v>23.8305784316904</v>
      </c>
      <c r="O227" s="231">
        <f t="shared" si="35"/>
        <v>3.36085706174942</v>
      </c>
      <c r="P227" s="231">
        <f t="shared" si="36"/>
        <v>31.7279554438726</v>
      </c>
      <c r="Q227" s="226" t="s">
        <v>1526</v>
      </c>
      <c r="R227" s="226" t="s">
        <v>2359</v>
      </c>
      <c r="S227" s="804"/>
      <c r="W227" s="2163"/>
      <c r="Z227" s="839"/>
      <c r="AA227" s="839"/>
      <c r="AB227" s="1940"/>
    </row>
    <row r="228" s="42" customFormat="1" ht="16" customHeight="1" spans="1:28">
      <c r="A228" s="839">
        <v>121</v>
      </c>
      <c r="B228" s="226"/>
      <c r="C228" s="226"/>
      <c r="D228" s="227">
        <v>20241129</v>
      </c>
      <c r="E228" s="227">
        <v>7.17</v>
      </c>
      <c r="F228" s="2132" t="s">
        <v>2360</v>
      </c>
      <c r="G228" s="227" t="s">
        <v>2361</v>
      </c>
      <c r="H228" s="227"/>
      <c r="I228" s="245" t="s">
        <v>2338</v>
      </c>
      <c r="J228" s="227"/>
      <c r="K228" s="256" t="s">
        <v>712</v>
      </c>
      <c r="L228" s="256" t="s">
        <v>1428</v>
      </c>
      <c r="M228" s="231">
        <v>4.5365199504328</v>
      </c>
      <c r="N228" s="232">
        <v>22.7277122190808</v>
      </c>
      <c r="O228" s="231">
        <f t="shared" si="35"/>
        <v>3.36085706174942</v>
      </c>
      <c r="P228" s="231">
        <f t="shared" si="36"/>
        <v>30.625089231263</v>
      </c>
      <c r="Q228" s="226" t="s">
        <v>1526</v>
      </c>
      <c r="R228" s="226" t="s">
        <v>2362</v>
      </c>
      <c r="S228" s="804"/>
      <c r="W228" s="2163"/>
      <c r="Z228" s="839"/>
      <c r="AA228" s="839"/>
      <c r="AB228" s="1940"/>
    </row>
    <row r="229" s="42" customFormat="1" ht="16" customHeight="1" spans="1:28">
      <c r="A229" s="839">
        <v>122</v>
      </c>
      <c r="B229" s="226"/>
      <c r="C229" s="226"/>
      <c r="D229" s="227">
        <v>20241129</v>
      </c>
      <c r="E229" s="227">
        <v>7.17</v>
      </c>
      <c r="F229" s="2132" t="s">
        <v>2363</v>
      </c>
      <c r="G229" s="227" t="s">
        <v>2364</v>
      </c>
      <c r="H229" s="227"/>
      <c r="I229" s="245" t="s">
        <v>2365</v>
      </c>
      <c r="J229" s="227"/>
      <c r="K229" s="507" t="s">
        <v>712</v>
      </c>
      <c r="L229" s="256" t="s">
        <v>1428</v>
      </c>
      <c r="M229" s="231">
        <v>4.5365199504328</v>
      </c>
      <c r="N229" s="232">
        <v>22.7262275440731</v>
      </c>
      <c r="O229" s="231">
        <f t="shared" si="35"/>
        <v>3.36085706174942</v>
      </c>
      <c r="P229" s="231">
        <f t="shared" si="36"/>
        <v>30.6236045562553</v>
      </c>
      <c r="Q229" s="226" t="s">
        <v>1526</v>
      </c>
      <c r="R229" s="226" t="s">
        <v>2366</v>
      </c>
      <c r="S229" s="804"/>
      <c r="W229" s="2163"/>
      <c r="Z229" s="839"/>
      <c r="AA229" s="839"/>
      <c r="AB229" s="1940"/>
    </row>
    <row r="230" s="839" customFormat="1" ht="16" customHeight="1" spans="1:28">
      <c r="A230" s="839">
        <v>123</v>
      </c>
      <c r="B230" s="226"/>
      <c r="C230" s="226"/>
      <c r="D230" s="227">
        <v>20250716</v>
      </c>
      <c r="E230" s="227">
        <v>7.17</v>
      </c>
      <c r="F230" s="2132" t="s">
        <v>2367</v>
      </c>
      <c r="G230" s="227" t="s">
        <v>2368</v>
      </c>
      <c r="H230" s="227"/>
      <c r="I230" s="245" t="s">
        <v>2369</v>
      </c>
      <c r="J230" s="227"/>
      <c r="K230" s="507" t="s">
        <v>712</v>
      </c>
      <c r="L230" s="256"/>
      <c r="M230" s="231">
        <v>4.5365199504328</v>
      </c>
      <c r="N230" s="232">
        <v>21.2393311059984</v>
      </c>
      <c r="O230" s="231">
        <f t="shared" si="35"/>
        <v>3.36085706174942</v>
      </c>
      <c r="P230" s="231">
        <f t="shared" si="36"/>
        <v>29.1367081181806</v>
      </c>
      <c r="Q230" s="226" t="s">
        <v>1526</v>
      </c>
      <c r="R230" s="226" t="s">
        <v>2370</v>
      </c>
      <c r="S230" s="804"/>
      <c r="W230" s="1940"/>
      <c r="AB230" s="1940"/>
    </row>
    <row r="231" s="42" customFormat="1" ht="16" customHeight="1" spans="1:28">
      <c r="A231" s="839">
        <v>124</v>
      </c>
      <c r="B231" s="226"/>
      <c r="C231" s="226"/>
      <c r="D231" s="227">
        <v>20250114</v>
      </c>
      <c r="E231" s="227">
        <v>7.17</v>
      </c>
      <c r="F231" s="2132" t="s">
        <v>45</v>
      </c>
      <c r="G231" s="227" t="s">
        <v>46</v>
      </c>
      <c r="H231" s="227"/>
      <c r="I231" s="245"/>
      <c r="J231" s="227"/>
      <c r="K231" s="256" t="s">
        <v>712</v>
      </c>
      <c r="L231" s="256"/>
      <c r="M231" s="232">
        <v>0.576393774453537</v>
      </c>
      <c r="N231" s="232">
        <v>3.54355849136693</v>
      </c>
      <c r="O231" s="231">
        <v>0.4</v>
      </c>
      <c r="P231" s="231">
        <f t="shared" si="36"/>
        <v>4.51995226582047</v>
      </c>
      <c r="Q231" s="226"/>
      <c r="R231" s="226" t="s">
        <v>2371</v>
      </c>
      <c r="S231" s="804"/>
      <c r="W231" s="2163"/>
      <c r="Z231" s="839"/>
      <c r="AA231" s="839"/>
      <c r="AB231" s="1940"/>
    </row>
    <row r="232" s="42" customFormat="1" ht="16" customHeight="1" spans="1:28">
      <c r="A232" s="839">
        <v>125</v>
      </c>
      <c r="B232" s="226"/>
      <c r="C232" s="226"/>
      <c r="D232" s="511"/>
      <c r="E232" s="511"/>
      <c r="F232" s="2132" t="s">
        <v>1979</v>
      </c>
      <c r="G232" s="227" t="s">
        <v>48</v>
      </c>
      <c r="H232" s="227"/>
      <c r="I232" s="245"/>
      <c r="J232" s="227"/>
      <c r="K232" s="227" t="s">
        <v>712</v>
      </c>
      <c r="L232" s="256"/>
      <c r="M232" s="231">
        <v>0.517662139177164</v>
      </c>
      <c r="N232" s="232">
        <v>3.62201356709246</v>
      </c>
      <c r="O232" s="231">
        <v>0.4</v>
      </c>
      <c r="P232" s="231">
        <f t="shared" si="36"/>
        <v>4.53967570626962</v>
      </c>
      <c r="Q232" s="226"/>
      <c r="R232" s="226" t="s">
        <v>2372</v>
      </c>
      <c r="S232" s="804"/>
      <c r="W232" s="2163"/>
      <c r="Z232" s="839"/>
      <c r="AA232" s="839"/>
      <c r="AB232" s="1940"/>
    </row>
    <row r="233" s="42" customFormat="1" ht="16" customHeight="1" spans="1:28">
      <c r="A233" s="839">
        <v>126</v>
      </c>
      <c r="B233" s="226"/>
      <c r="C233" s="226"/>
      <c r="D233" s="227">
        <v>20240625</v>
      </c>
      <c r="E233" s="227">
        <v>7.17</v>
      </c>
      <c r="F233" s="2132" t="s">
        <v>51</v>
      </c>
      <c r="G233" s="227" t="s">
        <v>52</v>
      </c>
      <c r="H233" s="227"/>
      <c r="I233" s="245"/>
      <c r="J233" s="227"/>
      <c r="K233" s="227" t="s">
        <v>712</v>
      </c>
      <c r="L233" s="256"/>
      <c r="M233" s="232">
        <v>0.373823773678616</v>
      </c>
      <c r="N233" s="232">
        <v>2.68627074895663</v>
      </c>
      <c r="O233" s="231">
        <v>0.2</v>
      </c>
      <c r="P233" s="231">
        <f t="shared" si="36"/>
        <v>3.26009452263525</v>
      </c>
      <c r="Q233" s="226"/>
      <c r="R233" s="226"/>
      <c r="S233" s="804"/>
      <c r="W233" s="2163"/>
      <c r="Z233" s="839"/>
      <c r="AA233" s="839"/>
      <c r="AB233" s="1940"/>
    </row>
    <row r="234" s="42" customFormat="1" ht="16" customHeight="1" spans="1:28">
      <c r="A234" s="839">
        <v>127</v>
      </c>
      <c r="B234" s="226"/>
      <c r="C234" s="226"/>
      <c r="D234" s="227">
        <v>20241030</v>
      </c>
      <c r="E234" s="227">
        <v>7.17</v>
      </c>
      <c r="F234" s="2132" t="s">
        <v>53</v>
      </c>
      <c r="G234" s="227" t="s">
        <v>54</v>
      </c>
      <c r="H234" s="227"/>
      <c r="I234" s="245"/>
      <c r="J234" s="227"/>
      <c r="K234" s="227" t="s">
        <v>712</v>
      </c>
      <c r="L234" s="256"/>
      <c r="M234" s="232">
        <v>0.575853811592922</v>
      </c>
      <c r="N234" s="232">
        <v>6.90247510438057</v>
      </c>
      <c r="O234" s="231">
        <v>0.4</v>
      </c>
      <c r="P234" s="231">
        <f t="shared" si="36"/>
        <v>7.87832891597349</v>
      </c>
      <c r="Q234" s="226"/>
      <c r="R234" s="226" t="s">
        <v>2373</v>
      </c>
      <c r="S234" s="804"/>
      <c r="W234" s="2163"/>
      <c r="Z234" s="839"/>
      <c r="AA234" s="839"/>
      <c r="AB234" s="1940"/>
    </row>
    <row r="235" s="42" customFormat="1" ht="16" customHeight="1" spans="1:28">
      <c r="A235" s="839">
        <v>128</v>
      </c>
      <c r="B235" s="226"/>
      <c r="C235" s="226"/>
      <c r="D235" s="227">
        <v>20241030</v>
      </c>
      <c r="E235" s="227">
        <v>7.17</v>
      </c>
      <c r="F235" s="2132" t="s">
        <v>57</v>
      </c>
      <c r="G235" s="227" t="s">
        <v>58</v>
      </c>
      <c r="H235" s="227"/>
      <c r="I235" s="245"/>
      <c r="J235" s="227"/>
      <c r="K235" s="227" t="s">
        <v>712</v>
      </c>
      <c r="L235" s="256"/>
      <c r="M235" s="232">
        <v>0.575853811592922</v>
      </c>
      <c r="N235" s="232">
        <v>4.91852417611054</v>
      </c>
      <c r="O235" s="231">
        <v>0.4</v>
      </c>
      <c r="P235" s="231">
        <f t="shared" si="36"/>
        <v>5.89437798770346</v>
      </c>
      <c r="Q235" s="226"/>
      <c r="R235" s="226" t="s">
        <v>2374</v>
      </c>
      <c r="S235" s="804"/>
      <c r="W235" s="2163"/>
      <c r="Z235" s="839"/>
      <c r="AA235" s="839"/>
      <c r="AB235" s="1940"/>
    </row>
    <row r="236" s="839" customFormat="1" ht="16" customHeight="1" spans="1:28">
      <c r="A236" s="839">
        <v>129</v>
      </c>
      <c r="B236" s="226"/>
      <c r="C236" s="226"/>
      <c r="D236" s="227" t="s">
        <v>60</v>
      </c>
      <c r="E236" s="227">
        <v>7.17</v>
      </c>
      <c r="F236" s="2132" t="s">
        <v>61</v>
      </c>
      <c r="G236" s="227" t="s">
        <v>62</v>
      </c>
      <c r="H236" s="227"/>
      <c r="I236" s="245"/>
      <c r="J236" s="227"/>
      <c r="K236" s="227" t="s">
        <v>712</v>
      </c>
      <c r="L236" s="256"/>
      <c r="M236" s="232">
        <v>0.375372765249966</v>
      </c>
      <c r="N236" s="232">
        <v>2.86283772849021</v>
      </c>
      <c r="O236" s="231">
        <v>0.2</v>
      </c>
      <c r="P236" s="231">
        <f t="shared" si="36"/>
        <v>3.43821049374018</v>
      </c>
      <c r="Q236" s="226"/>
      <c r="R236" s="226" t="s">
        <v>63</v>
      </c>
      <c r="S236" s="804"/>
      <c r="W236" s="1940"/>
      <c r="AB236" s="1940"/>
    </row>
    <row r="237" s="42" customFormat="1" ht="16" customHeight="1" spans="1:28">
      <c r="A237" s="839">
        <v>130</v>
      </c>
      <c r="B237" s="226"/>
      <c r="C237" s="226"/>
      <c r="D237" s="227"/>
      <c r="E237" s="227"/>
      <c r="F237" s="2132" t="s">
        <v>1979</v>
      </c>
      <c r="G237" s="227" t="s">
        <v>64</v>
      </c>
      <c r="H237" s="227"/>
      <c r="I237" s="227"/>
      <c r="J237" s="227"/>
      <c r="K237" s="256" t="s">
        <v>712</v>
      </c>
      <c r="L237" s="256"/>
      <c r="M237" s="231">
        <v>0.417895771878073</v>
      </c>
      <c r="N237" s="232">
        <v>2.85415289719764</v>
      </c>
      <c r="O237" s="231">
        <v>0.4</v>
      </c>
      <c r="P237" s="231">
        <f t="shared" si="36"/>
        <v>3.67204866907571</v>
      </c>
      <c r="Q237" s="226"/>
      <c r="R237" s="226"/>
      <c r="S237" s="804"/>
      <c r="W237" s="2163"/>
      <c r="Z237" s="839"/>
      <c r="AA237" s="839"/>
      <c r="AB237" s="1940"/>
    </row>
    <row r="238" s="42" customFormat="1" ht="16" customHeight="1" spans="1:28">
      <c r="A238" s="839">
        <v>131</v>
      </c>
      <c r="B238" s="226"/>
      <c r="C238" s="226"/>
      <c r="D238" s="227"/>
      <c r="E238" s="227"/>
      <c r="F238" s="2132" t="s">
        <v>1979</v>
      </c>
      <c r="G238" s="227" t="s">
        <v>65</v>
      </c>
      <c r="H238" s="227"/>
      <c r="I238" s="227"/>
      <c r="J238" s="227"/>
      <c r="K238" s="256" t="s">
        <v>712</v>
      </c>
      <c r="L238" s="256"/>
      <c r="M238" s="231">
        <v>0.75</v>
      </c>
      <c r="N238" s="232">
        <v>4.09</v>
      </c>
      <c r="O238" s="231">
        <v>0.8</v>
      </c>
      <c r="P238" s="231">
        <f t="shared" si="36"/>
        <v>5.64</v>
      </c>
      <c r="Q238" s="226"/>
      <c r="R238" s="226" t="s">
        <v>2375</v>
      </c>
      <c r="S238" s="804"/>
      <c r="W238" s="2163"/>
      <c r="Z238" s="839"/>
      <c r="AA238" s="839"/>
      <c r="AB238" s="1940"/>
    </row>
    <row r="239" s="42" customFormat="1" ht="16" customHeight="1" spans="1:28">
      <c r="A239" s="839">
        <v>132</v>
      </c>
      <c r="B239" s="226"/>
      <c r="C239" s="226"/>
      <c r="D239" s="227"/>
      <c r="E239" s="227"/>
      <c r="F239" s="2132" t="s">
        <v>1979</v>
      </c>
      <c r="G239" s="227" t="s">
        <v>67</v>
      </c>
      <c r="H239" s="227"/>
      <c r="I239" s="227"/>
      <c r="J239" s="227"/>
      <c r="K239" s="256" t="s">
        <v>712</v>
      </c>
      <c r="L239" s="256"/>
      <c r="M239" s="231">
        <v>0.541871921182266</v>
      </c>
      <c r="N239" s="232">
        <v>3.63</v>
      </c>
      <c r="O239" s="231">
        <v>0.4</v>
      </c>
      <c r="P239" s="231">
        <f t="shared" si="36"/>
        <v>4.57187192118227</v>
      </c>
      <c r="Q239" s="226"/>
      <c r="R239" s="226"/>
      <c r="S239" s="804"/>
      <c r="W239" s="2163"/>
      <c r="Z239" s="839"/>
      <c r="AA239" s="839"/>
      <c r="AB239" s="1940"/>
    </row>
    <row r="240" s="42" customFormat="1" ht="16" customHeight="1" spans="1:28">
      <c r="A240" s="839">
        <v>133</v>
      </c>
      <c r="B240" s="226" t="s">
        <v>2376</v>
      </c>
      <c r="C240" s="226"/>
      <c r="D240" s="227">
        <v>20240625</v>
      </c>
      <c r="E240" s="227">
        <v>7.17</v>
      </c>
      <c r="F240" s="2132" t="s">
        <v>2377</v>
      </c>
      <c r="G240" s="227" t="s">
        <v>2311</v>
      </c>
      <c r="H240" s="227"/>
      <c r="I240" s="227" t="s">
        <v>1428</v>
      </c>
      <c r="J240" s="227" t="s">
        <v>1428</v>
      </c>
      <c r="K240" s="227" t="s">
        <v>712</v>
      </c>
      <c r="L240" s="227" t="s">
        <v>1428</v>
      </c>
      <c r="M240" s="232">
        <f t="shared" ref="M240:M243" si="37">47.05/E240/1.13</f>
        <v>5.80713642142161</v>
      </c>
      <c r="N240" s="232">
        <v>22.1005863931895</v>
      </c>
      <c r="O240" s="231">
        <f>27.23/E240/1.13</f>
        <v>3.36085706174942</v>
      </c>
      <c r="P240" s="231">
        <f t="shared" si="36"/>
        <v>31.2685798763605</v>
      </c>
      <c r="Q240" s="226" t="s">
        <v>1526</v>
      </c>
      <c r="R240" s="226" t="s">
        <v>2378</v>
      </c>
      <c r="S240" s="804"/>
      <c r="W240" s="2163"/>
      <c r="Z240" s="839"/>
      <c r="AA240" s="839"/>
      <c r="AB240" s="1940"/>
    </row>
    <row r="241" s="42" customFormat="1" ht="16" customHeight="1" spans="1:28">
      <c r="A241" s="839">
        <v>134</v>
      </c>
      <c r="B241" s="226"/>
      <c r="C241" s="226"/>
      <c r="D241" s="227">
        <v>20240625</v>
      </c>
      <c r="E241" s="227">
        <v>7.17</v>
      </c>
      <c r="F241" s="2132" t="s">
        <v>2379</v>
      </c>
      <c r="G241" s="227" t="s">
        <v>2314</v>
      </c>
      <c r="H241" s="227"/>
      <c r="I241" s="227">
        <f>2.75/6.9514/1.13</f>
        <v>0.350091825903282</v>
      </c>
      <c r="J241" s="227" t="s">
        <v>1428</v>
      </c>
      <c r="K241" s="227" t="s">
        <v>712</v>
      </c>
      <c r="L241" s="227" t="s">
        <v>1428</v>
      </c>
      <c r="M241" s="232">
        <f t="shared" si="37"/>
        <v>5.80713642142161</v>
      </c>
      <c r="N241" s="232">
        <v>23.8042143219199</v>
      </c>
      <c r="O241" s="231">
        <f>27.23/E241/1.13</f>
        <v>3.36085706174942</v>
      </c>
      <c r="P241" s="231">
        <f t="shared" si="36"/>
        <v>32.9722078050909</v>
      </c>
      <c r="Q241" s="226" t="s">
        <v>1526</v>
      </c>
      <c r="R241" s="226" t="s">
        <v>2380</v>
      </c>
      <c r="S241" s="804"/>
      <c r="W241" s="2163"/>
      <c r="Z241" s="839"/>
      <c r="AA241" s="839"/>
      <c r="AB241" s="1940"/>
    </row>
    <row r="242" s="42" customFormat="1" ht="16" customHeight="1" spans="1:28">
      <c r="A242" s="839">
        <v>135</v>
      </c>
      <c r="B242" s="226"/>
      <c r="C242" s="226"/>
      <c r="D242" s="227"/>
      <c r="E242" s="227">
        <v>7.17</v>
      </c>
      <c r="F242" s="2132" t="s">
        <v>1979</v>
      </c>
      <c r="G242" s="227" t="s">
        <v>2381</v>
      </c>
      <c r="H242" s="227"/>
      <c r="I242" s="227" t="s">
        <v>1428</v>
      </c>
      <c r="J242" s="227" t="s">
        <v>1428</v>
      </c>
      <c r="K242" s="227" t="s">
        <v>712</v>
      </c>
      <c r="L242" s="227" t="s">
        <v>1428</v>
      </c>
      <c r="M242" s="232">
        <f t="shared" si="37"/>
        <v>5.80713642142161</v>
      </c>
      <c r="N242" s="232">
        <v>26.05</v>
      </c>
      <c r="O242" s="231">
        <f>27.23/E242/1.13</f>
        <v>3.36085706174942</v>
      </c>
      <c r="P242" s="231">
        <f t="shared" si="36"/>
        <v>35.217993483171</v>
      </c>
      <c r="Q242" s="226" t="s">
        <v>1526</v>
      </c>
      <c r="R242" s="226" t="s">
        <v>2382</v>
      </c>
      <c r="S242" s="804"/>
      <c r="W242" s="2163"/>
      <c r="Z242" s="839"/>
      <c r="AA242" s="839"/>
      <c r="AB242" s="1940"/>
    </row>
    <row r="243" s="42" customFormat="1" ht="16" customHeight="1" spans="1:28">
      <c r="A243" s="839">
        <v>136</v>
      </c>
      <c r="B243" s="226"/>
      <c r="C243" s="226"/>
      <c r="D243" s="227"/>
      <c r="E243" s="227">
        <v>7.17</v>
      </c>
      <c r="F243" s="2132" t="s">
        <v>1979</v>
      </c>
      <c r="G243" s="227" t="s">
        <v>2383</v>
      </c>
      <c r="H243" s="227"/>
      <c r="I243" s="227" t="s">
        <v>2384</v>
      </c>
      <c r="J243" s="227" t="s">
        <v>1428</v>
      </c>
      <c r="K243" s="227" t="s">
        <v>712</v>
      </c>
      <c r="L243" s="227" t="s">
        <v>1428</v>
      </c>
      <c r="M243" s="232">
        <f t="shared" si="37"/>
        <v>5.80713642142161</v>
      </c>
      <c r="N243" s="232">
        <v>22.9108175296117</v>
      </c>
      <c r="O243" s="231">
        <f>27.23/E243/1.13</f>
        <v>3.36085706174942</v>
      </c>
      <c r="P243" s="231">
        <f t="shared" si="36"/>
        <v>32.0788110127827</v>
      </c>
      <c r="Q243" s="226" t="s">
        <v>1526</v>
      </c>
      <c r="R243" s="226" t="s">
        <v>2385</v>
      </c>
      <c r="S243" s="804"/>
      <c r="W243" s="2163"/>
      <c r="Z243" s="839"/>
      <c r="AA243" s="839"/>
      <c r="AB243" s="1940"/>
    </row>
    <row r="244" s="42" customFormat="1" ht="16" customHeight="1" spans="1:28">
      <c r="A244" s="839">
        <v>1</v>
      </c>
      <c r="B244" s="226"/>
      <c r="C244" s="226"/>
      <c r="D244" s="227"/>
      <c r="E244" s="227">
        <v>6.7986</v>
      </c>
      <c r="F244" s="2132" t="s">
        <v>2386</v>
      </c>
      <c r="G244" s="227"/>
      <c r="H244" s="227"/>
      <c r="I244" s="227"/>
      <c r="J244" s="227"/>
      <c r="K244" s="227"/>
      <c r="L244" s="227"/>
      <c r="M244" s="232">
        <f t="shared" ref="M244:M257" si="38">47.05/E244/1.13</f>
        <v>6.12437386250006</v>
      </c>
      <c r="N244" s="232">
        <v>23.9</v>
      </c>
      <c r="O244" s="231">
        <v>0.3</v>
      </c>
      <c r="P244" s="231">
        <f>SUBTOTAL(109,M244:O244)</f>
        <v>30.3243738625001</v>
      </c>
      <c r="Q244" s="226" t="s">
        <v>1270</v>
      </c>
      <c r="R244" s="226"/>
      <c r="S244" s="804"/>
      <c r="W244" s="2163"/>
      <c r="Z244" s="839"/>
      <c r="AA244" s="839"/>
      <c r="AB244" s="1940"/>
    </row>
    <row r="245" s="42" customFormat="1" ht="16" customHeight="1" spans="1:28">
      <c r="A245" s="839">
        <v>137</v>
      </c>
      <c r="B245" s="226"/>
      <c r="C245" s="226"/>
      <c r="D245" s="227"/>
      <c r="E245" s="227">
        <v>7.17</v>
      </c>
      <c r="F245" s="2132" t="s">
        <v>1979</v>
      </c>
      <c r="G245" s="227" t="s">
        <v>2320</v>
      </c>
      <c r="H245" s="227"/>
      <c r="I245" s="227" t="s">
        <v>2387</v>
      </c>
      <c r="J245" s="227" t="s">
        <v>1428</v>
      </c>
      <c r="K245" s="227" t="s">
        <v>712</v>
      </c>
      <c r="L245" s="227" t="s">
        <v>1428</v>
      </c>
      <c r="M245" s="232">
        <f t="shared" si="38"/>
        <v>5.80713642142161</v>
      </c>
      <c r="N245" s="232">
        <v>27.2161597250662</v>
      </c>
      <c r="O245" s="231">
        <f t="shared" ref="O245:O256" si="39">27.23/E245/1.13</f>
        <v>3.36085706174942</v>
      </c>
      <c r="P245" s="231">
        <f t="shared" ref="P245:P256" si="40">SUM(K245:O245)</f>
        <v>36.3841532082372</v>
      </c>
      <c r="Q245" s="226" t="s">
        <v>1526</v>
      </c>
      <c r="R245" s="226" t="s">
        <v>2388</v>
      </c>
      <c r="S245" s="804"/>
      <c r="W245" s="2163"/>
      <c r="Z245" s="839"/>
      <c r="AA245" s="839"/>
      <c r="AB245" s="1940"/>
    </row>
    <row r="246" s="42" customFormat="1" ht="16" customHeight="1" spans="1:28">
      <c r="A246" s="839">
        <v>138</v>
      </c>
      <c r="B246" s="226"/>
      <c r="C246" s="226"/>
      <c r="D246" s="227"/>
      <c r="E246" s="227">
        <v>7.17</v>
      </c>
      <c r="F246" s="2132" t="s">
        <v>1979</v>
      </c>
      <c r="G246" s="227" t="s">
        <v>2389</v>
      </c>
      <c r="H246" s="227"/>
      <c r="I246" s="227" t="s">
        <v>2390</v>
      </c>
      <c r="J246" s="227" t="s">
        <v>1428</v>
      </c>
      <c r="K246" s="507" t="s">
        <v>712</v>
      </c>
      <c r="L246" s="227" t="s">
        <v>1428</v>
      </c>
      <c r="M246" s="232">
        <f t="shared" si="38"/>
        <v>5.80713642142161</v>
      </c>
      <c r="N246" s="232">
        <v>23.1580090223998</v>
      </c>
      <c r="O246" s="231">
        <f t="shared" si="39"/>
        <v>3.36085706174942</v>
      </c>
      <c r="P246" s="231">
        <f t="shared" si="40"/>
        <v>32.3260025055708</v>
      </c>
      <c r="Q246" s="226" t="s">
        <v>1526</v>
      </c>
      <c r="R246" s="226" t="s">
        <v>2385</v>
      </c>
      <c r="S246" s="804"/>
      <c r="W246" s="2163"/>
      <c r="Z246" s="839"/>
      <c r="AA246" s="839"/>
      <c r="AB246" s="1940"/>
    </row>
    <row r="247" s="42" customFormat="1" ht="16" customHeight="1" spans="1:28">
      <c r="A247" s="839">
        <v>139</v>
      </c>
      <c r="B247" s="226"/>
      <c r="C247" s="226"/>
      <c r="D247" s="227">
        <v>20250710</v>
      </c>
      <c r="E247" s="227">
        <v>7.17</v>
      </c>
      <c r="F247" s="2132" t="s">
        <v>2391</v>
      </c>
      <c r="G247" s="227" t="s">
        <v>1767</v>
      </c>
      <c r="H247" s="227"/>
      <c r="I247" s="227" t="s">
        <v>2392</v>
      </c>
      <c r="J247" s="227"/>
      <c r="K247" s="507" t="s">
        <v>712</v>
      </c>
      <c r="L247" s="227"/>
      <c r="M247" s="232">
        <f t="shared" si="38"/>
        <v>5.80713642142161</v>
      </c>
      <c r="N247" s="232">
        <v>21.8642932217314</v>
      </c>
      <c r="O247" s="231">
        <f t="shared" si="39"/>
        <v>3.36085706174942</v>
      </c>
      <c r="P247" s="231">
        <f t="shared" si="40"/>
        <v>31.0322867049024</v>
      </c>
      <c r="Q247" s="226" t="s">
        <v>1526</v>
      </c>
      <c r="R247" s="226" t="s">
        <v>2393</v>
      </c>
      <c r="S247" s="804"/>
      <c r="W247" s="2163"/>
      <c r="Z247" s="839"/>
      <c r="AA247" s="839"/>
      <c r="AB247" s="1940"/>
    </row>
    <row r="248" s="42" customFormat="1" ht="16" customHeight="1" spans="1:28">
      <c r="A248" s="839">
        <v>140</v>
      </c>
      <c r="B248" s="226"/>
      <c r="C248" s="226"/>
      <c r="D248" s="227"/>
      <c r="E248" s="227">
        <v>7.17</v>
      </c>
      <c r="F248" s="2132" t="s">
        <v>1979</v>
      </c>
      <c r="G248" s="227" t="s">
        <v>2394</v>
      </c>
      <c r="H248" s="227"/>
      <c r="I248" s="227" t="s">
        <v>2342</v>
      </c>
      <c r="J248" s="227" t="s">
        <v>1428</v>
      </c>
      <c r="K248" s="247" t="s">
        <v>712</v>
      </c>
      <c r="L248" s="227" t="s">
        <v>1428</v>
      </c>
      <c r="M248" s="232">
        <f t="shared" si="38"/>
        <v>5.80713642142161</v>
      </c>
      <c r="N248" s="232">
        <v>22.9004213937986</v>
      </c>
      <c r="O248" s="231">
        <f t="shared" si="39"/>
        <v>3.36085706174942</v>
      </c>
      <c r="P248" s="231">
        <f t="shared" si="40"/>
        <v>32.0684148769696</v>
      </c>
      <c r="Q248" s="226" t="s">
        <v>1526</v>
      </c>
      <c r="R248" s="226" t="s">
        <v>2385</v>
      </c>
      <c r="S248" s="804"/>
      <c r="W248" s="2163"/>
      <c r="Z248" s="839"/>
      <c r="AA248" s="839"/>
      <c r="AB248" s="1940"/>
    </row>
    <row r="249" s="42" customFormat="1" ht="16" customHeight="1" spans="1:28">
      <c r="A249" s="839">
        <v>141</v>
      </c>
      <c r="B249" s="226"/>
      <c r="C249" s="226"/>
      <c r="D249" s="227"/>
      <c r="E249" s="227">
        <v>7.17</v>
      </c>
      <c r="F249" s="2132" t="s">
        <v>1979</v>
      </c>
      <c r="G249" s="227" t="s">
        <v>2234</v>
      </c>
      <c r="H249" s="227"/>
      <c r="I249" s="227" t="s">
        <v>2304</v>
      </c>
      <c r="J249" s="227" t="s">
        <v>1428</v>
      </c>
      <c r="K249" s="256" t="s">
        <v>712</v>
      </c>
      <c r="L249" s="227" t="s">
        <v>1428</v>
      </c>
      <c r="M249" s="232">
        <f t="shared" si="38"/>
        <v>5.80713642142161</v>
      </c>
      <c r="N249" s="232">
        <v>25.4784622250662</v>
      </c>
      <c r="O249" s="231">
        <f t="shared" si="39"/>
        <v>3.36085706174942</v>
      </c>
      <c r="P249" s="231">
        <f t="shared" si="40"/>
        <v>34.6464557082372</v>
      </c>
      <c r="Q249" s="226" t="s">
        <v>1526</v>
      </c>
      <c r="R249" s="226" t="s">
        <v>2385</v>
      </c>
      <c r="S249" s="804"/>
      <c r="W249" s="2163"/>
      <c r="Z249" s="839"/>
      <c r="AA249" s="839"/>
      <c r="AB249" s="1940"/>
    </row>
    <row r="250" s="42" customFormat="1" ht="16" customHeight="1" spans="1:28">
      <c r="A250" s="839">
        <v>142</v>
      </c>
      <c r="B250" s="226"/>
      <c r="C250" s="226"/>
      <c r="D250" s="227"/>
      <c r="E250" s="227">
        <v>7.17</v>
      </c>
      <c r="F250" s="2132" t="s">
        <v>1979</v>
      </c>
      <c r="G250" s="227" t="s">
        <v>2395</v>
      </c>
      <c r="H250" s="227"/>
      <c r="I250" s="227" t="s">
        <v>2323</v>
      </c>
      <c r="J250" s="227" t="s">
        <v>1428</v>
      </c>
      <c r="K250" s="256" t="s">
        <v>712</v>
      </c>
      <c r="L250" s="227" t="s">
        <v>1428</v>
      </c>
      <c r="M250" s="232">
        <f t="shared" si="38"/>
        <v>5.80713642142161</v>
      </c>
      <c r="N250" s="232">
        <v>24.6259812568488</v>
      </c>
      <c r="O250" s="231">
        <f t="shared" si="39"/>
        <v>3.36085706174942</v>
      </c>
      <c r="P250" s="231">
        <f t="shared" si="40"/>
        <v>33.7939747400198</v>
      </c>
      <c r="Q250" s="226" t="s">
        <v>1526</v>
      </c>
      <c r="R250" s="226" t="s">
        <v>2388</v>
      </c>
      <c r="S250" s="804"/>
      <c r="W250" s="2163"/>
      <c r="Z250" s="839"/>
      <c r="AA250" s="839"/>
      <c r="AB250" s="1940"/>
    </row>
    <row r="251" s="42" customFormat="1" ht="16" customHeight="1" spans="1:28">
      <c r="A251" s="839">
        <v>143</v>
      </c>
      <c r="B251" s="226"/>
      <c r="C251" s="226"/>
      <c r="D251" s="227">
        <v>20241213</v>
      </c>
      <c r="E251" s="227">
        <v>7.17</v>
      </c>
      <c r="F251" s="2132" t="s">
        <v>2396</v>
      </c>
      <c r="G251" s="227" t="s">
        <v>2397</v>
      </c>
      <c r="H251" s="227"/>
      <c r="I251" s="227" t="s">
        <v>1428</v>
      </c>
      <c r="J251" s="227"/>
      <c r="K251" s="227" t="s">
        <v>712</v>
      </c>
      <c r="L251" s="227"/>
      <c r="M251" s="232">
        <f t="shared" si="38"/>
        <v>5.80713642142161</v>
      </c>
      <c r="N251" s="232">
        <v>19.6808855409265</v>
      </c>
      <c r="O251" s="231">
        <f t="shared" si="39"/>
        <v>3.36085706174942</v>
      </c>
      <c r="P251" s="231">
        <f t="shared" si="40"/>
        <v>28.8488790240975</v>
      </c>
      <c r="Q251" s="226" t="s">
        <v>1526</v>
      </c>
      <c r="R251" s="226" t="s">
        <v>2398</v>
      </c>
      <c r="S251" s="804"/>
      <c r="W251" s="2163"/>
      <c r="Z251" s="839"/>
      <c r="AA251" s="839"/>
      <c r="AB251" s="1940"/>
    </row>
    <row r="252" s="42" customFormat="1" ht="16" customHeight="1" spans="1:28">
      <c r="A252" s="839">
        <v>144</v>
      </c>
      <c r="B252" s="226"/>
      <c r="C252" s="226"/>
      <c r="D252" s="247">
        <v>20250307</v>
      </c>
      <c r="E252" s="247">
        <v>7.17</v>
      </c>
      <c r="F252" s="2132" t="s">
        <v>2399</v>
      </c>
      <c r="G252" s="247" t="s">
        <v>2325</v>
      </c>
      <c r="H252" s="247"/>
      <c r="I252" s="247" t="s">
        <v>2400</v>
      </c>
      <c r="J252" s="247" t="s">
        <v>1428</v>
      </c>
      <c r="K252" s="507" t="s">
        <v>712</v>
      </c>
      <c r="L252" s="247" t="s">
        <v>1428</v>
      </c>
      <c r="M252" s="654">
        <f>53.83/E252/1.13*1.05</f>
        <v>6.9761543303588</v>
      </c>
      <c r="N252" s="654">
        <f>23.49+20/6.7739/1.13</f>
        <v>26.1028397295868</v>
      </c>
      <c r="O252" s="214">
        <v>0.3</v>
      </c>
      <c r="P252" s="214">
        <f t="shared" si="40"/>
        <v>33.3789940599456</v>
      </c>
      <c r="Q252" s="226" t="s">
        <v>1526</v>
      </c>
      <c r="R252" s="266" t="s">
        <v>2401</v>
      </c>
      <c r="S252" s="804"/>
      <c r="W252" s="2163"/>
      <c r="Z252" s="839"/>
      <c r="AA252" s="839"/>
      <c r="AB252" s="1940"/>
    </row>
    <row r="253" s="839" customFormat="1" ht="16" customHeight="1" spans="1:28">
      <c r="A253" s="839">
        <v>145</v>
      </c>
      <c r="B253" s="226"/>
      <c r="C253" s="226"/>
      <c r="D253" s="227">
        <v>20250804</v>
      </c>
      <c r="E253" s="227">
        <v>7.17</v>
      </c>
      <c r="F253" s="2132" t="s">
        <v>2402</v>
      </c>
      <c r="G253" s="227" t="s">
        <v>2403</v>
      </c>
      <c r="H253" s="227"/>
      <c r="I253" s="227" t="s">
        <v>2392</v>
      </c>
      <c r="J253" s="227"/>
      <c r="K253" s="256" t="s">
        <v>712</v>
      </c>
      <c r="L253" s="227"/>
      <c r="M253" s="232">
        <f t="shared" si="38"/>
        <v>5.80713642142161</v>
      </c>
      <c r="N253" s="232">
        <v>20.2248263536787</v>
      </c>
      <c r="O253" s="231">
        <f t="shared" si="39"/>
        <v>3.36085706174942</v>
      </c>
      <c r="P253" s="231">
        <f t="shared" si="40"/>
        <v>29.3928198368497</v>
      </c>
      <c r="Q253" s="226" t="s">
        <v>1526</v>
      </c>
      <c r="R253" s="226" t="s">
        <v>2404</v>
      </c>
      <c r="S253" s="804"/>
      <c r="W253" s="1940"/>
      <c r="AB253" s="1940"/>
    </row>
    <row r="254" s="839" customFormat="1" ht="16" customHeight="1" spans="1:28">
      <c r="A254" s="839">
        <v>146</v>
      </c>
      <c r="B254" s="226"/>
      <c r="C254" s="226"/>
      <c r="D254" s="227">
        <v>20250804</v>
      </c>
      <c r="E254" s="227">
        <v>7.17</v>
      </c>
      <c r="F254" s="2132" t="s">
        <v>2405</v>
      </c>
      <c r="G254" s="227" t="s">
        <v>2406</v>
      </c>
      <c r="H254" s="227"/>
      <c r="I254" s="227" t="s">
        <v>2407</v>
      </c>
      <c r="J254" s="227"/>
      <c r="K254" s="256" t="s">
        <v>712</v>
      </c>
      <c r="L254" s="227"/>
      <c r="M254" s="232">
        <f t="shared" si="38"/>
        <v>5.80713642142161</v>
      </c>
      <c r="N254" s="232">
        <v>20.2248263536787</v>
      </c>
      <c r="O254" s="231">
        <f t="shared" si="39"/>
        <v>3.36085706174942</v>
      </c>
      <c r="P254" s="231">
        <f t="shared" si="40"/>
        <v>29.3928198368497</v>
      </c>
      <c r="Q254" s="226" t="s">
        <v>1526</v>
      </c>
      <c r="R254" s="226" t="s">
        <v>2404</v>
      </c>
      <c r="S254" s="804"/>
      <c r="W254" s="1940"/>
      <c r="AB254" s="1940"/>
    </row>
    <row r="255" s="839" customFormat="1" ht="16" customHeight="1" spans="1:28">
      <c r="A255" s="839">
        <v>147</v>
      </c>
      <c r="B255" s="226"/>
      <c r="C255" s="226"/>
      <c r="D255" s="227">
        <v>20250804</v>
      </c>
      <c r="E255" s="227">
        <v>7.17</v>
      </c>
      <c r="F255" s="2132" t="s">
        <v>2408</v>
      </c>
      <c r="G255" s="227" t="s">
        <v>2409</v>
      </c>
      <c r="H255" s="227"/>
      <c r="I255" s="227" t="s">
        <v>2082</v>
      </c>
      <c r="J255" s="227"/>
      <c r="K255" s="256" t="s">
        <v>712</v>
      </c>
      <c r="L255" s="227"/>
      <c r="M255" s="232">
        <f t="shared" si="38"/>
        <v>5.80713642142161</v>
      </c>
      <c r="N255" s="232">
        <v>20.2248263536787</v>
      </c>
      <c r="O255" s="231">
        <f t="shared" si="39"/>
        <v>3.36085706174942</v>
      </c>
      <c r="P255" s="231">
        <f t="shared" si="40"/>
        <v>29.3928198368497</v>
      </c>
      <c r="Q255" s="226" t="s">
        <v>1526</v>
      </c>
      <c r="R255" s="226" t="s">
        <v>2404</v>
      </c>
      <c r="S255" s="804"/>
      <c r="W255" s="1940"/>
      <c r="AB255" s="1940"/>
    </row>
    <row r="256" s="839" customFormat="1" ht="16" customHeight="1" spans="1:28">
      <c r="A256" s="839">
        <v>148</v>
      </c>
      <c r="B256" s="226"/>
      <c r="C256" s="226"/>
      <c r="D256" s="227">
        <v>20250804</v>
      </c>
      <c r="E256" s="227">
        <v>7.17</v>
      </c>
      <c r="F256" s="2132" t="s">
        <v>2410</v>
      </c>
      <c r="G256" s="227" t="s">
        <v>2411</v>
      </c>
      <c r="H256" s="227"/>
      <c r="I256" s="227" t="s">
        <v>2323</v>
      </c>
      <c r="J256" s="227"/>
      <c r="K256" s="256" t="s">
        <v>712</v>
      </c>
      <c r="L256" s="227"/>
      <c r="M256" s="232">
        <f t="shared" si="38"/>
        <v>5.80713642142161</v>
      </c>
      <c r="N256" s="232">
        <v>20.2248263536787</v>
      </c>
      <c r="O256" s="231">
        <f t="shared" si="39"/>
        <v>3.36085706174942</v>
      </c>
      <c r="P256" s="231">
        <f t="shared" si="40"/>
        <v>29.3928198368497</v>
      </c>
      <c r="Q256" s="226" t="s">
        <v>1526</v>
      </c>
      <c r="R256" s="226" t="s">
        <v>2404</v>
      </c>
      <c r="S256" s="804"/>
      <c r="W256" s="1940"/>
      <c r="AB256" s="1940"/>
    </row>
    <row r="257" s="42" customFormat="1" ht="16" customHeight="1" spans="1:28">
      <c r="A257" s="839">
        <v>149</v>
      </c>
      <c r="B257" s="226"/>
      <c r="C257" s="226"/>
      <c r="D257" s="2028">
        <v>46112</v>
      </c>
      <c r="E257" s="2164">
        <v>6.9226</v>
      </c>
      <c r="F257" s="2132" t="s">
        <v>2412</v>
      </c>
      <c r="G257" s="227" t="s">
        <v>2413</v>
      </c>
      <c r="H257" s="227"/>
      <c r="I257" s="227"/>
      <c r="J257" s="227"/>
      <c r="K257" s="227" t="s">
        <v>712</v>
      </c>
      <c r="L257" s="227" t="s">
        <v>1428</v>
      </c>
      <c r="M257" s="232">
        <f t="shared" si="38"/>
        <v>6.01467196452098</v>
      </c>
      <c r="N257" s="232">
        <v>24.53</v>
      </c>
      <c r="O257" s="231" t="e">
        <f>#REF!/E257/1.13</f>
        <v>#REF!</v>
      </c>
      <c r="P257" s="231" t="e">
        <f>SUM(M257:O257)</f>
        <v>#REF!</v>
      </c>
      <c r="Q257" s="226" t="s">
        <v>1526</v>
      </c>
      <c r="R257" s="226"/>
      <c r="S257" s="804"/>
      <c r="W257" s="2163"/>
      <c r="Z257" s="839"/>
      <c r="AA257" s="839"/>
      <c r="AB257" s="1940"/>
    </row>
    <row r="258" s="42" customFormat="1" ht="16" customHeight="1" spans="1:28">
      <c r="A258" s="839">
        <v>150</v>
      </c>
      <c r="B258" s="226"/>
      <c r="C258" s="226"/>
      <c r="D258" s="227"/>
      <c r="E258" s="227"/>
      <c r="F258" s="2132" t="s">
        <v>1979</v>
      </c>
      <c r="G258" s="227" t="s">
        <v>65</v>
      </c>
      <c r="H258" s="227"/>
      <c r="I258" s="227"/>
      <c r="J258" s="227" t="s">
        <v>1428</v>
      </c>
      <c r="K258" s="227" t="s">
        <v>712</v>
      </c>
      <c r="L258" s="227" t="s">
        <v>1428</v>
      </c>
      <c r="M258" s="231">
        <v>0.75</v>
      </c>
      <c r="N258" s="232">
        <v>4.09</v>
      </c>
      <c r="O258" s="231">
        <v>0.4</v>
      </c>
      <c r="P258" s="231">
        <f>SUM(K258:O258)</f>
        <v>5.24</v>
      </c>
      <c r="Q258" s="226"/>
      <c r="R258" s="226" t="s">
        <v>2375</v>
      </c>
      <c r="S258" s="804"/>
      <c r="W258" s="2163"/>
      <c r="Z258" s="839"/>
      <c r="AA258" s="839"/>
      <c r="AB258" s="1940"/>
    </row>
    <row r="259" s="42" customFormat="1" ht="16" customHeight="1" spans="1:28">
      <c r="A259" s="839">
        <v>151</v>
      </c>
      <c r="B259" s="2004" t="s">
        <v>2414</v>
      </c>
      <c r="C259" s="2004"/>
      <c r="D259" s="2008">
        <v>20251128</v>
      </c>
      <c r="E259" s="661">
        <v>6.9667</v>
      </c>
      <c r="F259" s="2132" t="s">
        <v>1760</v>
      </c>
      <c r="G259" s="227" t="s">
        <v>1645</v>
      </c>
      <c r="H259" s="245" t="s">
        <v>2415</v>
      </c>
      <c r="I259" s="227" t="s">
        <v>1506</v>
      </c>
      <c r="J259" s="227" t="s">
        <v>1742</v>
      </c>
      <c r="K259" s="227" t="s">
        <v>712</v>
      </c>
      <c r="L259" s="227">
        <v>6</v>
      </c>
      <c r="M259" s="231">
        <f>43.03/E259/1.13</f>
        <v>5.46595174439823</v>
      </c>
      <c r="N259" s="231">
        <v>18.0191868159106</v>
      </c>
      <c r="O259" s="231">
        <v>3.5</v>
      </c>
      <c r="Q259" s="281" t="s">
        <v>1762</v>
      </c>
      <c r="R259" s="226" t="s">
        <v>2416</v>
      </c>
      <c r="S259" s="804"/>
      <c r="W259" s="2163"/>
      <c r="Z259" s="839"/>
      <c r="AA259" s="839"/>
      <c r="AB259" s="1940"/>
    </row>
    <row r="260" s="42" customFormat="1" ht="16" customHeight="1" spans="1:28">
      <c r="A260" s="839">
        <v>152</v>
      </c>
      <c r="B260" s="2004" t="s">
        <v>2414</v>
      </c>
      <c r="C260" s="2004"/>
      <c r="D260" s="2040">
        <v>46051</v>
      </c>
      <c r="E260" s="661">
        <v>6.9591</v>
      </c>
      <c r="F260" s="2132" t="s">
        <v>2417</v>
      </c>
      <c r="G260" s="227" t="s">
        <v>1565</v>
      </c>
      <c r="H260" s="245" t="s">
        <v>2415</v>
      </c>
      <c r="I260" s="227" t="s">
        <v>1506</v>
      </c>
      <c r="J260" s="227" t="s">
        <v>1871</v>
      </c>
      <c r="K260" s="227" t="s">
        <v>712</v>
      </c>
      <c r="L260" s="227">
        <v>7.5</v>
      </c>
      <c r="M260" s="231">
        <v>5.47</v>
      </c>
      <c r="N260" s="231">
        <v>16.7</v>
      </c>
      <c r="O260" s="231">
        <v>3.5</v>
      </c>
      <c r="Q260" s="281" t="s">
        <v>1762</v>
      </c>
      <c r="R260" s="226" t="s">
        <v>2418</v>
      </c>
      <c r="S260" s="804"/>
      <c r="W260" s="2163"/>
      <c r="Z260" s="839"/>
      <c r="AA260" s="839"/>
      <c r="AB260" s="1940"/>
    </row>
    <row r="261" s="42" customFormat="1" ht="16" customHeight="1" spans="1:28">
      <c r="A261" s="839">
        <v>153</v>
      </c>
      <c r="B261" s="658" t="s">
        <v>2419</v>
      </c>
      <c r="C261" s="2154" t="s">
        <v>1611</v>
      </c>
      <c r="D261" s="2057">
        <v>20250915</v>
      </c>
      <c r="E261" s="658">
        <v>6.9667</v>
      </c>
      <c r="F261" s="2132" t="s">
        <v>1612</v>
      </c>
      <c r="G261" s="226" t="s">
        <v>1565</v>
      </c>
      <c r="H261" s="245" t="s">
        <v>2278</v>
      </c>
      <c r="I261" s="227" t="s">
        <v>1506</v>
      </c>
      <c r="J261" s="245" t="s">
        <v>1614</v>
      </c>
      <c r="K261" s="227" t="s">
        <v>712</v>
      </c>
      <c r="L261" s="232">
        <f>18.2/E261/1.13</f>
        <v>2.31188291303852</v>
      </c>
      <c r="M261" s="231">
        <f t="shared" ref="M261:M263" si="41">32.95/E261/1.13</f>
        <v>4.1855242848692</v>
      </c>
      <c r="N261" s="231">
        <v>12.6011651511325</v>
      </c>
      <c r="O261" s="231">
        <f>21.2/E261/1.13</f>
        <v>2.69296251408883</v>
      </c>
      <c r="P261" s="281" t="s">
        <v>1526</v>
      </c>
      <c r="Q261" s="226" t="s">
        <v>2420</v>
      </c>
      <c r="R261" s="226"/>
      <c r="S261" s="804"/>
      <c r="W261" s="2163"/>
      <c r="Z261" s="839"/>
      <c r="AA261" s="839"/>
      <c r="AB261" s="1940"/>
    </row>
    <row r="262" s="42" customFormat="1" ht="16" customHeight="1" spans="1:28">
      <c r="A262" s="839">
        <v>154</v>
      </c>
      <c r="B262" s="658"/>
      <c r="C262" s="658"/>
      <c r="D262" s="2165">
        <v>46080</v>
      </c>
      <c r="E262" s="266">
        <v>6.8802</v>
      </c>
      <c r="F262" s="2132" t="s">
        <v>2421</v>
      </c>
      <c r="G262" s="226" t="s">
        <v>1645</v>
      </c>
      <c r="H262" s="245"/>
      <c r="I262" s="227"/>
      <c r="J262" s="245" t="s">
        <v>1552</v>
      </c>
      <c r="K262" s="227" t="s">
        <v>712</v>
      </c>
      <c r="L262" s="232">
        <v>3.1</v>
      </c>
      <c r="M262" s="231">
        <f t="shared" si="41"/>
        <v>4.23814598927331</v>
      </c>
      <c r="N262" s="231">
        <v>15.5</v>
      </c>
      <c r="O262" s="231">
        <f>21.2/E262/1.13</f>
        <v>2.72681927079193</v>
      </c>
      <c r="P262" s="231">
        <f>SUM(K262:O262)</f>
        <v>25.5649652600652</v>
      </c>
      <c r="Q262" s="226"/>
      <c r="R262" s="226"/>
      <c r="S262" s="804"/>
      <c r="W262" s="2163"/>
      <c r="Z262" s="839"/>
      <c r="AA262" s="839"/>
      <c r="AB262" s="1940"/>
    </row>
    <row r="263" s="42" customFormat="1" ht="16" customHeight="1" spans="1:28">
      <c r="A263" s="839">
        <v>155</v>
      </c>
      <c r="B263" s="658"/>
      <c r="C263" s="2154" t="s">
        <v>1611</v>
      </c>
      <c r="D263" s="2057">
        <v>20250915</v>
      </c>
      <c r="E263" s="658">
        <v>6.9667</v>
      </c>
      <c r="F263" s="2132" t="s">
        <v>1616</v>
      </c>
      <c r="G263" s="226" t="s">
        <v>1617</v>
      </c>
      <c r="H263" s="245" t="s">
        <v>2282</v>
      </c>
      <c r="I263" s="227" t="s">
        <v>1594</v>
      </c>
      <c r="J263" s="245" t="s">
        <v>1619</v>
      </c>
      <c r="K263" s="227" t="s">
        <v>712</v>
      </c>
      <c r="L263" s="232">
        <f>29.5/E263/1.13</f>
        <v>3.74728274366134</v>
      </c>
      <c r="M263" s="231">
        <f t="shared" si="41"/>
        <v>4.1855242848692</v>
      </c>
      <c r="N263" s="231">
        <v>16.340105746272</v>
      </c>
      <c r="O263" s="231">
        <f>21.2/E263/1.13</f>
        <v>2.69296251408883</v>
      </c>
      <c r="P263" s="281" t="s">
        <v>1526</v>
      </c>
      <c r="Q263" s="226" t="s">
        <v>2188</v>
      </c>
      <c r="R263" s="226"/>
      <c r="S263" s="804"/>
      <c r="W263" s="2163"/>
      <c r="Z263" s="839"/>
      <c r="AA263" s="839"/>
      <c r="AB263" s="1940"/>
    </row>
    <row r="264" s="993" customFormat="1" ht="16" customHeight="1" spans="1:28">
      <c r="A264" s="839">
        <v>156</v>
      </c>
      <c r="B264" s="266" t="s">
        <v>2241</v>
      </c>
      <c r="C264" s="266"/>
      <c r="D264" s="2081">
        <v>46057</v>
      </c>
      <c r="E264" s="219">
        <v>6.9514</v>
      </c>
      <c r="F264" s="2132" t="s">
        <v>2422</v>
      </c>
      <c r="G264" s="219" t="s">
        <v>1671</v>
      </c>
      <c r="H264" s="219"/>
      <c r="I264" s="219" t="s">
        <v>2384</v>
      </c>
      <c r="J264" s="219" t="s">
        <v>1428</v>
      </c>
      <c r="K264" s="317" t="s">
        <v>712</v>
      </c>
      <c r="L264" s="219" t="s">
        <v>1428</v>
      </c>
      <c r="M264" s="319">
        <f>43.37/E264/1.13</f>
        <v>5.52126635979103</v>
      </c>
      <c r="N264" s="319">
        <v>25.1</v>
      </c>
      <c r="O264" s="320">
        <f t="shared" ref="O264:O270" si="42">23/E264</f>
        <v>3.30868602008229</v>
      </c>
      <c r="P264" s="320">
        <f t="shared" ref="P264:P271" si="43">SUM(K264:O264)</f>
        <v>33.9299523798733</v>
      </c>
      <c r="Q264" s="266" t="s">
        <v>1526</v>
      </c>
      <c r="R264" s="266" t="s">
        <v>2423</v>
      </c>
      <c r="S264" s="1246"/>
      <c r="W264" s="2166"/>
      <c r="AB264" s="2044"/>
    </row>
    <row r="265" s="839" customFormat="1" ht="16" customHeight="1" spans="1:28">
      <c r="A265" s="839">
        <v>157</v>
      </c>
      <c r="B265" s="226"/>
      <c r="C265" s="226"/>
      <c r="D265" s="227">
        <v>20250612</v>
      </c>
      <c r="E265" s="227">
        <v>7.17</v>
      </c>
      <c r="F265" s="2132" t="s">
        <v>2424</v>
      </c>
      <c r="G265" s="227" t="s">
        <v>1672</v>
      </c>
      <c r="H265" s="227"/>
      <c r="I265" s="227" t="s">
        <v>2400</v>
      </c>
      <c r="J265" s="227" t="s">
        <v>1428</v>
      </c>
      <c r="K265" s="507" t="s">
        <v>712</v>
      </c>
      <c r="L265" s="227" t="s">
        <v>1428</v>
      </c>
      <c r="M265" s="232">
        <v>4.59732291806354</v>
      </c>
      <c r="N265" s="232">
        <v>23.4771147149049</v>
      </c>
      <c r="O265" s="231">
        <f t="shared" si="42"/>
        <v>3.20781032078103</v>
      </c>
      <c r="P265" s="231">
        <f t="shared" si="43"/>
        <v>31.2822479537495</v>
      </c>
      <c r="Q265" s="226" t="s">
        <v>1526</v>
      </c>
      <c r="R265" s="226" t="s">
        <v>2423</v>
      </c>
      <c r="S265" s="804"/>
      <c r="W265" s="1940"/>
      <c r="AB265" s="1940"/>
    </row>
    <row r="266" s="42" customFormat="1" ht="16" customHeight="1" spans="1:28">
      <c r="A266" s="839">
        <v>158</v>
      </c>
      <c r="B266" s="226"/>
      <c r="C266" s="226"/>
      <c r="D266" s="227">
        <v>20250612</v>
      </c>
      <c r="E266" s="227">
        <v>7.17</v>
      </c>
      <c r="F266" s="2132" t="s">
        <v>2425</v>
      </c>
      <c r="G266" s="227" t="s">
        <v>1581</v>
      </c>
      <c r="H266" s="227"/>
      <c r="I266" s="227" t="s">
        <v>2400</v>
      </c>
      <c r="J266" s="227" t="s">
        <v>1428</v>
      </c>
      <c r="K266" s="507" t="s">
        <v>712</v>
      </c>
      <c r="L266" s="227" t="s">
        <v>1428</v>
      </c>
      <c r="M266" s="232">
        <v>4.59732291806354</v>
      </c>
      <c r="N266" s="232">
        <v>23.4771147149049</v>
      </c>
      <c r="O266" s="231">
        <f t="shared" si="42"/>
        <v>3.20781032078103</v>
      </c>
      <c r="P266" s="231">
        <f t="shared" si="43"/>
        <v>31.2822479537495</v>
      </c>
      <c r="Q266" s="226" t="s">
        <v>1526</v>
      </c>
      <c r="R266" s="226" t="s">
        <v>2423</v>
      </c>
      <c r="S266" s="804"/>
      <c r="W266" s="2163"/>
      <c r="Z266" s="839"/>
      <c r="AA266" s="839"/>
      <c r="AB266" s="1940"/>
    </row>
    <row r="267" s="42" customFormat="1" ht="16" customHeight="1" spans="1:28">
      <c r="A267" s="839">
        <v>159</v>
      </c>
      <c r="B267" s="226"/>
      <c r="C267" s="226"/>
      <c r="D267" s="227">
        <v>20250612</v>
      </c>
      <c r="E267" s="227">
        <v>7.17</v>
      </c>
      <c r="F267" s="2132" t="s">
        <v>2426</v>
      </c>
      <c r="G267" s="227" t="s">
        <v>2427</v>
      </c>
      <c r="H267" s="227"/>
      <c r="I267" s="227" t="s">
        <v>2384</v>
      </c>
      <c r="J267" s="227" t="s">
        <v>1428</v>
      </c>
      <c r="K267" s="245" t="s">
        <v>712</v>
      </c>
      <c r="L267" s="227" t="s">
        <v>1428</v>
      </c>
      <c r="M267" s="232">
        <v>4.59732291806354</v>
      </c>
      <c r="N267" s="232">
        <v>23.4771147149049</v>
      </c>
      <c r="O267" s="231">
        <f t="shared" si="42"/>
        <v>3.20781032078103</v>
      </c>
      <c r="P267" s="231">
        <f t="shared" si="43"/>
        <v>31.2822479537495</v>
      </c>
      <c r="Q267" s="226" t="s">
        <v>1526</v>
      </c>
      <c r="R267" s="226" t="s">
        <v>2423</v>
      </c>
      <c r="S267" s="804"/>
      <c r="W267" s="2163"/>
      <c r="Z267" s="839"/>
      <c r="AA267" s="839"/>
      <c r="AB267" s="1940"/>
    </row>
    <row r="268" s="42" customFormat="1" ht="16" customHeight="1" spans="1:28">
      <c r="A268" s="839">
        <v>160</v>
      </c>
      <c r="B268" s="226"/>
      <c r="C268" s="226"/>
      <c r="D268" s="227">
        <v>20250820</v>
      </c>
      <c r="E268" s="227">
        <v>7.17</v>
      </c>
      <c r="F268" s="2132" t="s">
        <v>2428</v>
      </c>
      <c r="G268" s="227" t="s">
        <v>2306</v>
      </c>
      <c r="H268" s="227"/>
      <c r="I268" s="227" t="s">
        <v>2392</v>
      </c>
      <c r="J268" s="227"/>
      <c r="K268" s="245" t="s">
        <v>712</v>
      </c>
      <c r="L268" s="227"/>
      <c r="M268" s="232">
        <v>4.59732291806354</v>
      </c>
      <c r="N268" s="232">
        <v>23.7421038806154</v>
      </c>
      <c r="O268" s="231">
        <f t="shared" si="42"/>
        <v>3.20781032078103</v>
      </c>
      <c r="P268" s="231">
        <f t="shared" si="43"/>
        <v>31.54723711946</v>
      </c>
      <c r="Q268" s="226" t="s">
        <v>1526</v>
      </c>
      <c r="R268" s="226" t="s">
        <v>2429</v>
      </c>
      <c r="S268" s="804"/>
      <c r="W268" s="2163"/>
      <c r="Z268" s="839"/>
      <c r="AA268" s="839"/>
      <c r="AB268" s="1940"/>
    </row>
    <row r="269" s="42" customFormat="1" ht="16" customHeight="1" spans="1:28">
      <c r="A269" s="839">
        <v>161</v>
      </c>
      <c r="B269" s="226"/>
      <c r="C269" s="226"/>
      <c r="D269" s="227">
        <v>20250820</v>
      </c>
      <c r="E269" s="227">
        <v>7.17</v>
      </c>
      <c r="F269" s="2132" t="s">
        <v>2430</v>
      </c>
      <c r="G269" s="227" t="s">
        <v>2431</v>
      </c>
      <c r="H269" s="227"/>
      <c r="I269" s="227" t="s">
        <v>2354</v>
      </c>
      <c r="J269" s="227"/>
      <c r="K269" s="245" t="s">
        <v>712</v>
      </c>
      <c r="L269" s="227"/>
      <c r="M269" s="232">
        <v>4.59732291806354</v>
      </c>
      <c r="N269" s="232">
        <v>23.3561285140364</v>
      </c>
      <c r="O269" s="231">
        <f t="shared" si="42"/>
        <v>3.20781032078103</v>
      </c>
      <c r="P269" s="231">
        <f t="shared" si="43"/>
        <v>31.161261752881</v>
      </c>
      <c r="Q269" s="226" t="s">
        <v>1526</v>
      </c>
      <c r="R269" s="226" t="s">
        <v>2432</v>
      </c>
      <c r="S269" s="804"/>
      <c r="W269" s="2163"/>
      <c r="Z269" s="839"/>
      <c r="AA269" s="839"/>
      <c r="AB269" s="1940"/>
    </row>
    <row r="270" s="42" customFormat="1" ht="16" customHeight="1" spans="1:28">
      <c r="A270" s="839">
        <v>162</v>
      </c>
      <c r="B270" s="226"/>
      <c r="C270" s="226"/>
      <c r="D270" s="227">
        <v>20250820</v>
      </c>
      <c r="E270" s="227">
        <v>7.17</v>
      </c>
      <c r="F270" s="2132" t="s">
        <v>2433</v>
      </c>
      <c r="G270" s="227" t="s">
        <v>1667</v>
      </c>
      <c r="H270" s="227"/>
      <c r="I270" s="227" t="s">
        <v>2369</v>
      </c>
      <c r="J270" s="227"/>
      <c r="K270" s="245" t="s">
        <v>712</v>
      </c>
      <c r="L270" s="227"/>
      <c r="M270" s="232">
        <v>4.59732291806354</v>
      </c>
      <c r="N270" s="232">
        <v>24.4017961657748</v>
      </c>
      <c r="O270" s="231">
        <f t="shared" si="42"/>
        <v>3.20781032078103</v>
      </c>
      <c r="P270" s="231">
        <f t="shared" si="43"/>
        <v>32.2069294046194</v>
      </c>
      <c r="Q270" s="226" t="s">
        <v>1526</v>
      </c>
      <c r="R270" s="226" t="s">
        <v>2434</v>
      </c>
      <c r="S270" s="804"/>
      <c r="W270" s="2163"/>
      <c r="Z270" s="839"/>
      <c r="AA270" s="839"/>
      <c r="AB270" s="1940"/>
    </row>
    <row r="271" s="42" customFormat="1" ht="16" customHeight="1" spans="1:28">
      <c r="A271" s="839">
        <v>163</v>
      </c>
      <c r="B271" s="226"/>
      <c r="C271" s="226"/>
      <c r="D271" s="227">
        <v>20240312</v>
      </c>
      <c r="E271" s="227">
        <v>7.17</v>
      </c>
      <c r="F271" s="2132" t="s">
        <v>310</v>
      </c>
      <c r="G271" s="227" t="s">
        <v>311</v>
      </c>
      <c r="H271" s="227"/>
      <c r="I271" s="227"/>
      <c r="J271" s="227"/>
      <c r="K271" s="245" t="s">
        <v>712</v>
      </c>
      <c r="L271" s="227"/>
      <c r="M271" s="232">
        <v>0.56154744346116</v>
      </c>
      <c r="N271" s="232">
        <v>3.97545936509516</v>
      </c>
      <c r="O271" s="288">
        <v>0.4</v>
      </c>
      <c r="P271" s="231">
        <f t="shared" si="43"/>
        <v>4.93700680855632</v>
      </c>
      <c r="Q271" s="226"/>
      <c r="R271" s="226" t="s">
        <v>2435</v>
      </c>
      <c r="S271" s="804"/>
      <c r="W271" s="2163"/>
      <c r="Z271" s="839"/>
      <c r="AA271" s="839"/>
      <c r="AB271" s="1940"/>
    </row>
    <row r="272" s="42" customFormat="1" ht="16" customHeight="1" spans="1:28">
      <c r="A272" s="839">
        <v>164</v>
      </c>
      <c r="B272" s="289" t="s">
        <v>2436</v>
      </c>
      <c r="C272" s="289"/>
      <c r="D272" s="227">
        <v>20240820</v>
      </c>
      <c r="E272" s="227">
        <v>7.17</v>
      </c>
      <c r="F272" s="2132" t="s">
        <v>2437</v>
      </c>
      <c r="G272" s="227" t="s">
        <v>1669</v>
      </c>
      <c r="H272" s="227"/>
      <c r="I272" s="245" t="s">
        <v>2438</v>
      </c>
      <c r="J272" s="227" t="s">
        <v>1428</v>
      </c>
      <c r="K272" s="247" t="s">
        <v>712</v>
      </c>
      <c r="L272" s="227" t="s">
        <v>1428</v>
      </c>
      <c r="M272" s="232">
        <v>5.90711050221548</v>
      </c>
      <c r="N272" s="232">
        <f>0.48+14.5740792775439</f>
        <v>15.0540792775439</v>
      </c>
      <c r="O272" s="231">
        <v>3.14632482758621</v>
      </c>
      <c r="P272" s="231">
        <f t="shared" ref="P272:P335" si="44">SUM(K272:O272)</f>
        <v>24.1075146073456</v>
      </c>
      <c r="Q272" s="226" t="s">
        <v>1526</v>
      </c>
      <c r="R272" s="226" t="s">
        <v>2439</v>
      </c>
      <c r="S272" s="804"/>
      <c r="W272" s="2163"/>
      <c r="Z272" s="839"/>
      <c r="AA272" s="839"/>
      <c r="AB272" s="1940"/>
    </row>
    <row r="273" s="42" customFormat="1" ht="16" customHeight="1" spans="1:28">
      <c r="A273" s="839">
        <v>165</v>
      </c>
      <c r="B273" s="289"/>
      <c r="C273" s="289"/>
      <c r="D273" s="227">
        <v>20240820</v>
      </c>
      <c r="E273" s="227">
        <v>7.17</v>
      </c>
      <c r="F273" s="2132" t="s">
        <v>2440</v>
      </c>
      <c r="G273" s="227" t="s">
        <v>1671</v>
      </c>
      <c r="H273" s="227"/>
      <c r="I273" s="245" t="s">
        <v>2438</v>
      </c>
      <c r="J273" s="227" t="s">
        <v>1428</v>
      </c>
      <c r="K273" s="247" t="s">
        <v>712</v>
      </c>
      <c r="L273" s="227" t="s">
        <v>1428</v>
      </c>
      <c r="M273" s="232">
        <v>5.90711050221548</v>
      </c>
      <c r="N273" s="232">
        <f>0.48+15.6248216616009</f>
        <v>16.1048216616009</v>
      </c>
      <c r="O273" s="231">
        <v>3.14632482758621</v>
      </c>
      <c r="P273" s="231">
        <f t="shared" si="44"/>
        <v>25.1582569914026</v>
      </c>
      <c r="Q273" s="226" t="s">
        <v>1526</v>
      </c>
      <c r="R273" s="226" t="s">
        <v>2439</v>
      </c>
      <c r="S273" s="804"/>
      <c r="W273" s="2163"/>
      <c r="Z273" s="839"/>
      <c r="AA273" s="839"/>
      <c r="AB273" s="1940"/>
    </row>
    <row r="274" s="42" customFormat="1" ht="16" customHeight="1" spans="1:28">
      <c r="A274" s="839">
        <v>166</v>
      </c>
      <c r="B274" s="289"/>
      <c r="C274" s="289"/>
      <c r="D274" s="227">
        <v>20240820</v>
      </c>
      <c r="E274" s="227">
        <v>7.17</v>
      </c>
      <c r="F274" s="2132" t="s">
        <v>2441</v>
      </c>
      <c r="G274" s="227" t="s">
        <v>1672</v>
      </c>
      <c r="H274" s="227"/>
      <c r="I274" s="245" t="s">
        <v>2438</v>
      </c>
      <c r="J274" s="227" t="s">
        <v>1428</v>
      </c>
      <c r="K274" s="247" t="s">
        <v>712</v>
      </c>
      <c r="L274" s="227" t="s">
        <v>1428</v>
      </c>
      <c r="M274" s="232">
        <v>5.90711050221548</v>
      </c>
      <c r="N274" s="232">
        <f>0.48+15.5148929813574</f>
        <v>15.9948929813574</v>
      </c>
      <c r="O274" s="231">
        <v>3.14632482758621</v>
      </c>
      <c r="P274" s="231">
        <f t="shared" si="44"/>
        <v>25.0483283111591</v>
      </c>
      <c r="Q274" s="226" t="s">
        <v>1526</v>
      </c>
      <c r="R274" s="226" t="s">
        <v>2439</v>
      </c>
      <c r="S274" s="804"/>
      <c r="W274" s="2163"/>
      <c r="Z274" s="839"/>
      <c r="AA274" s="839"/>
      <c r="AB274" s="1940"/>
    </row>
    <row r="275" s="42" customFormat="1" ht="16" customHeight="1" spans="1:28">
      <c r="A275" s="839">
        <v>167</v>
      </c>
      <c r="B275" s="289"/>
      <c r="C275" s="289"/>
      <c r="D275" s="227">
        <v>20240906</v>
      </c>
      <c r="E275" s="227">
        <v>7.17</v>
      </c>
      <c r="F275" s="2132" t="s">
        <v>2442</v>
      </c>
      <c r="G275" s="227" t="s">
        <v>1998</v>
      </c>
      <c r="H275" s="227"/>
      <c r="I275" s="245" t="s">
        <v>2438</v>
      </c>
      <c r="J275" s="227" t="s">
        <v>1428</v>
      </c>
      <c r="K275" s="247" t="s">
        <v>712</v>
      </c>
      <c r="L275" s="227" t="s">
        <v>1428</v>
      </c>
      <c r="M275" s="232">
        <v>5.90711050221548</v>
      </c>
      <c r="N275" s="232">
        <f>0.48+15.1562799370652</f>
        <v>15.6362799370652</v>
      </c>
      <c r="O275" s="231">
        <v>3.14632482758621</v>
      </c>
      <c r="P275" s="231">
        <f t="shared" si="44"/>
        <v>24.6897152668669</v>
      </c>
      <c r="Q275" s="226" t="s">
        <v>1526</v>
      </c>
      <c r="R275" s="226" t="s">
        <v>2439</v>
      </c>
      <c r="S275" s="804"/>
      <c r="W275" s="2163"/>
      <c r="Z275" s="839"/>
      <c r="AA275" s="839"/>
      <c r="AB275" s="1940"/>
    </row>
    <row r="276" s="42" customFormat="1" ht="16" customHeight="1" spans="1:28">
      <c r="A276" s="839">
        <v>168</v>
      </c>
      <c r="B276" s="289"/>
      <c r="C276" s="289"/>
      <c r="D276" s="219">
        <v>20250403</v>
      </c>
      <c r="E276" s="227">
        <v>7.17</v>
      </c>
      <c r="F276" s="2132" t="s">
        <v>2443</v>
      </c>
      <c r="G276" s="227" t="s">
        <v>1581</v>
      </c>
      <c r="H276" s="227"/>
      <c r="I276" s="245" t="s">
        <v>2444</v>
      </c>
      <c r="J276" s="227" t="s">
        <v>1428</v>
      </c>
      <c r="K276" s="247" t="s">
        <v>712</v>
      </c>
      <c r="L276" s="227" t="s">
        <v>1428</v>
      </c>
      <c r="M276" s="232">
        <v>5.90711050221548</v>
      </c>
      <c r="N276" s="232">
        <f>0.48+14.5829128870327</f>
        <v>15.0629128870327</v>
      </c>
      <c r="O276" s="231">
        <v>3.14632482758621</v>
      </c>
      <c r="P276" s="231">
        <f t="shared" si="44"/>
        <v>24.1163482168344</v>
      </c>
      <c r="Q276" s="226" t="s">
        <v>1526</v>
      </c>
      <c r="R276" s="226" t="s">
        <v>2445</v>
      </c>
      <c r="S276" s="804"/>
      <c r="W276" s="2163"/>
      <c r="Z276" s="839"/>
      <c r="AA276" s="839"/>
      <c r="AB276" s="1940"/>
    </row>
    <row r="277" s="42" customFormat="1" ht="16" customHeight="1" spans="1:28">
      <c r="A277" s="839">
        <v>169</v>
      </c>
      <c r="B277" s="289"/>
      <c r="C277" s="289"/>
      <c r="D277" s="227">
        <v>20240925</v>
      </c>
      <c r="E277" s="227">
        <v>7.17</v>
      </c>
      <c r="F277" s="2132" t="s">
        <v>2446</v>
      </c>
      <c r="G277" s="227" t="s">
        <v>2427</v>
      </c>
      <c r="H277" s="227"/>
      <c r="I277" s="245" t="s">
        <v>2384</v>
      </c>
      <c r="J277" s="227" t="s">
        <v>1428</v>
      </c>
      <c r="K277" s="252" t="s">
        <v>712</v>
      </c>
      <c r="L277" s="227" t="s">
        <v>1428</v>
      </c>
      <c r="M277" s="232">
        <v>5.90711050221548</v>
      </c>
      <c r="N277" s="232">
        <f>0.48+15.3570496165</f>
        <v>15.8370496165</v>
      </c>
      <c r="O277" s="231">
        <v>3.14632482758621</v>
      </c>
      <c r="P277" s="231">
        <f t="shared" si="44"/>
        <v>24.8904849463017</v>
      </c>
      <c r="Q277" s="226" t="s">
        <v>1526</v>
      </c>
      <c r="R277" s="226" t="s">
        <v>2447</v>
      </c>
      <c r="S277" s="804"/>
      <c r="W277" s="2163"/>
      <c r="Z277" s="839"/>
      <c r="AA277" s="839"/>
      <c r="AB277" s="1940"/>
    </row>
    <row r="278" s="42" customFormat="1" ht="16" customHeight="1" spans="1:28">
      <c r="A278" s="839">
        <v>170</v>
      </c>
      <c r="B278" s="289"/>
      <c r="C278" s="289"/>
      <c r="D278" s="227">
        <v>20240925</v>
      </c>
      <c r="E278" s="227">
        <v>7.17</v>
      </c>
      <c r="F278" s="2132" t="s">
        <v>2448</v>
      </c>
      <c r="G278" s="227" t="s">
        <v>2449</v>
      </c>
      <c r="H278" s="227"/>
      <c r="I278" s="245" t="s">
        <v>2407</v>
      </c>
      <c r="J278" s="227" t="s">
        <v>1428</v>
      </c>
      <c r="K278" s="252" t="s">
        <v>712</v>
      </c>
      <c r="L278" s="227" t="s">
        <v>1428</v>
      </c>
      <c r="M278" s="232">
        <v>5.90711050221548</v>
      </c>
      <c r="N278" s="232">
        <f>0.48+15.3635704978835</f>
        <v>15.8435704978835</v>
      </c>
      <c r="O278" s="231">
        <v>3.14632482758621</v>
      </c>
      <c r="P278" s="231">
        <f t="shared" si="44"/>
        <v>24.8970058276852</v>
      </c>
      <c r="Q278" s="226" t="s">
        <v>1526</v>
      </c>
      <c r="R278" s="226" t="s">
        <v>2447</v>
      </c>
      <c r="S278" s="804"/>
      <c r="W278" s="2163"/>
      <c r="Z278" s="839"/>
      <c r="AA278" s="839"/>
      <c r="AB278" s="1940"/>
    </row>
    <row r="279" s="42" customFormat="1" ht="16" customHeight="1" spans="1:28">
      <c r="A279" s="839">
        <v>171</v>
      </c>
      <c r="B279" s="289"/>
      <c r="C279" s="289"/>
      <c r="D279" s="227">
        <v>20241216</v>
      </c>
      <c r="E279" s="227">
        <v>7.17</v>
      </c>
      <c r="F279" s="2132" t="s">
        <v>2450</v>
      </c>
      <c r="G279" s="227" t="s">
        <v>1667</v>
      </c>
      <c r="H279" s="227"/>
      <c r="I279" s="245" t="s">
        <v>2354</v>
      </c>
      <c r="J279" s="227"/>
      <c r="K279" s="507" t="s">
        <v>712</v>
      </c>
      <c r="L279" s="227"/>
      <c r="M279" s="232">
        <v>5.90711050221548</v>
      </c>
      <c r="N279" s="232">
        <v>13.2118664504983</v>
      </c>
      <c r="O279" s="231">
        <v>3.14632482758621</v>
      </c>
      <c r="P279" s="231">
        <f t="shared" si="44"/>
        <v>22.2653017803</v>
      </c>
      <c r="Q279" s="226" t="s">
        <v>1526</v>
      </c>
      <c r="R279" s="226" t="s">
        <v>2451</v>
      </c>
      <c r="S279" s="804"/>
      <c r="W279" s="2163"/>
      <c r="Z279" s="839"/>
      <c r="AA279" s="839"/>
      <c r="AB279" s="1940"/>
    </row>
    <row r="280" s="42" customFormat="1" ht="16" customHeight="1" spans="1:28">
      <c r="A280" s="839">
        <v>172</v>
      </c>
      <c r="B280" s="314"/>
      <c r="C280" s="289"/>
      <c r="D280" s="2081">
        <v>46258</v>
      </c>
      <c r="E280" s="219">
        <v>6.73</v>
      </c>
      <c r="F280" s="2125" t="s">
        <v>2452</v>
      </c>
      <c r="G280" s="219" t="s">
        <v>1558</v>
      </c>
      <c r="H280" s="219"/>
      <c r="I280" s="317" t="s">
        <v>2444</v>
      </c>
      <c r="J280" s="219" t="s">
        <v>1428</v>
      </c>
      <c r="K280" s="513" t="s">
        <v>712</v>
      </c>
      <c r="L280" s="219" t="s">
        <v>1428</v>
      </c>
      <c r="M280" s="319">
        <f>60.16/E280/1.13</f>
        <v>7.91068916093571</v>
      </c>
      <c r="N280" s="319">
        <v>19.6</v>
      </c>
      <c r="O280" s="320">
        <v>3.14632482758621</v>
      </c>
      <c r="P280" s="320">
        <f t="shared" si="44"/>
        <v>30.6570139885219</v>
      </c>
      <c r="Q280" s="266" t="s">
        <v>1526</v>
      </c>
      <c r="R280" s="266" t="s">
        <v>2453</v>
      </c>
      <c r="S280" s="804"/>
      <c r="W280" s="2163"/>
      <c r="Z280" s="839"/>
      <c r="AA280" s="839"/>
      <c r="AB280" s="1940"/>
    </row>
    <row r="281" s="42" customFormat="1" ht="16" customHeight="1" spans="1:28">
      <c r="A281" s="839">
        <v>173</v>
      </c>
      <c r="B281" s="289"/>
      <c r="C281" s="289"/>
      <c r="D281" s="227">
        <v>20241216</v>
      </c>
      <c r="E281" s="227">
        <v>7.17</v>
      </c>
      <c r="F281" s="2132" t="s">
        <v>2454</v>
      </c>
      <c r="G281" s="227" t="s">
        <v>2311</v>
      </c>
      <c r="H281" s="227"/>
      <c r="I281" s="245" t="s">
        <v>2365</v>
      </c>
      <c r="J281" s="227"/>
      <c r="K281" s="507" t="s">
        <v>712</v>
      </c>
      <c r="L281" s="227"/>
      <c r="M281" s="232">
        <v>5.90711050221548</v>
      </c>
      <c r="N281" s="232">
        <f>0.48+15.6916575294154</f>
        <v>16.1716575294154</v>
      </c>
      <c r="O281" s="231">
        <v>3.14632482758621</v>
      </c>
      <c r="P281" s="231">
        <f t="shared" si="44"/>
        <v>25.2250928592171</v>
      </c>
      <c r="Q281" s="226" t="s">
        <v>1526</v>
      </c>
      <c r="R281" s="226" t="s">
        <v>2455</v>
      </c>
      <c r="S281" s="804"/>
      <c r="W281" s="2163"/>
      <c r="Z281" s="839"/>
      <c r="AA281" s="839"/>
      <c r="AB281" s="1940"/>
    </row>
    <row r="282" s="42" customFormat="1" ht="16" customHeight="1" spans="1:28">
      <c r="A282" s="839">
        <v>174</v>
      </c>
      <c r="B282" s="289"/>
      <c r="C282" s="289"/>
      <c r="D282" s="227">
        <v>20241216</v>
      </c>
      <c r="E282" s="227">
        <v>7.17</v>
      </c>
      <c r="F282" s="2132" t="s">
        <v>2456</v>
      </c>
      <c r="G282" s="227" t="s">
        <v>2314</v>
      </c>
      <c r="H282" s="227"/>
      <c r="I282" s="245" t="s">
        <v>2354</v>
      </c>
      <c r="J282" s="227"/>
      <c r="K282" s="507" t="s">
        <v>712</v>
      </c>
      <c r="L282" s="227"/>
      <c r="M282" s="232">
        <v>5.90711050221548</v>
      </c>
      <c r="N282" s="232">
        <f>0.48+11.6710256542252</f>
        <v>12.1510256542252</v>
      </c>
      <c r="O282" s="231">
        <v>3.14632482758621</v>
      </c>
      <c r="P282" s="231">
        <f t="shared" si="44"/>
        <v>21.2044609840269</v>
      </c>
      <c r="Q282" s="226" t="s">
        <v>1526</v>
      </c>
      <c r="R282" s="226" t="s">
        <v>2457</v>
      </c>
      <c r="S282" s="804"/>
      <c r="W282" s="2163"/>
      <c r="Z282" s="839"/>
      <c r="AA282" s="839"/>
      <c r="AB282" s="1940"/>
    </row>
    <row r="283" s="42" customFormat="1" ht="16" customHeight="1" spans="1:28">
      <c r="A283" s="839">
        <v>175</v>
      </c>
      <c r="B283" s="289"/>
      <c r="C283" s="289"/>
      <c r="D283" s="227">
        <v>20241216</v>
      </c>
      <c r="E283" s="227">
        <v>7.17</v>
      </c>
      <c r="F283" s="2132" t="s">
        <v>2458</v>
      </c>
      <c r="G283" s="227" t="s">
        <v>2459</v>
      </c>
      <c r="H283" s="227"/>
      <c r="I283" s="245" t="s">
        <v>2444</v>
      </c>
      <c r="J283" s="227"/>
      <c r="K283" s="509" t="s">
        <v>712</v>
      </c>
      <c r="L283" s="227"/>
      <c r="M283" s="232">
        <v>5.90711050221548</v>
      </c>
      <c r="N283" s="232">
        <f>0.48+15.6773748880506</f>
        <v>16.1573748880506</v>
      </c>
      <c r="O283" s="231">
        <v>3.14632482758621</v>
      </c>
      <c r="P283" s="231">
        <f t="shared" si="44"/>
        <v>25.2108102178523</v>
      </c>
      <c r="Q283" s="226" t="s">
        <v>1526</v>
      </c>
      <c r="R283" s="226" t="s">
        <v>2460</v>
      </c>
      <c r="S283" s="804"/>
      <c r="W283" s="2163"/>
      <c r="Z283" s="839"/>
      <c r="AA283" s="839"/>
      <c r="AB283" s="1940"/>
    </row>
    <row r="284" s="42" customFormat="1" ht="16" customHeight="1" spans="1:28">
      <c r="A284" s="839">
        <v>176</v>
      </c>
      <c r="B284" s="289"/>
      <c r="C284" s="289"/>
      <c r="D284" s="227">
        <v>20250304</v>
      </c>
      <c r="E284" s="227">
        <v>7.17</v>
      </c>
      <c r="F284" s="2132" t="s">
        <v>2461</v>
      </c>
      <c r="G284" s="227" t="s">
        <v>2462</v>
      </c>
      <c r="H284" s="227"/>
      <c r="I284" s="245" t="s">
        <v>2354</v>
      </c>
      <c r="J284" s="227"/>
      <c r="K284" s="507" t="s">
        <v>712</v>
      </c>
      <c r="L284" s="227"/>
      <c r="M284" s="232">
        <v>5.90711050221548</v>
      </c>
      <c r="N284" s="232">
        <f>0.48+16.9359380085596</f>
        <v>17.4159380085596</v>
      </c>
      <c r="O284" s="231">
        <v>3.14632482758621</v>
      </c>
      <c r="P284" s="231">
        <f t="shared" si="44"/>
        <v>26.4693733383613</v>
      </c>
      <c r="Q284" s="226" t="s">
        <v>1526</v>
      </c>
      <c r="R284" s="226" t="s">
        <v>2463</v>
      </c>
      <c r="S284" s="804"/>
      <c r="W284" s="2163"/>
      <c r="Z284" s="839"/>
      <c r="AA284" s="839"/>
      <c r="AB284" s="1940"/>
    </row>
    <row r="285" s="42" customFormat="1" ht="16" customHeight="1" spans="1:28">
      <c r="A285" s="839">
        <v>177</v>
      </c>
      <c r="B285" s="289"/>
      <c r="C285" s="289"/>
      <c r="D285" s="227">
        <v>20250304</v>
      </c>
      <c r="E285" s="227">
        <v>7.17</v>
      </c>
      <c r="F285" s="2132" t="s">
        <v>2464</v>
      </c>
      <c r="G285" s="227" t="s">
        <v>2465</v>
      </c>
      <c r="H285" s="227"/>
      <c r="I285" s="245" t="s">
        <v>2354</v>
      </c>
      <c r="J285" s="227"/>
      <c r="K285" s="507" t="s">
        <v>712</v>
      </c>
      <c r="L285" s="227"/>
      <c r="M285" s="232">
        <v>5.90711050221548</v>
      </c>
      <c r="N285" s="232">
        <f>0.48+13.6978874147658</f>
        <v>14.1778874147658</v>
      </c>
      <c r="O285" s="231">
        <v>3.14632482758621</v>
      </c>
      <c r="P285" s="231">
        <f t="shared" si="44"/>
        <v>23.2313227445675</v>
      </c>
      <c r="Q285" s="226" t="s">
        <v>1526</v>
      </c>
      <c r="R285" s="226" t="s">
        <v>2466</v>
      </c>
      <c r="S285" s="804"/>
      <c r="W285" s="2163"/>
      <c r="Z285" s="839"/>
      <c r="AA285" s="839"/>
      <c r="AB285" s="1940"/>
    </row>
    <row r="286" s="42" customFormat="1" ht="16" customHeight="1" spans="1:28">
      <c r="A286" s="839">
        <v>178</v>
      </c>
      <c r="B286" s="289"/>
      <c r="C286" s="289"/>
      <c r="D286" s="227">
        <v>20250304</v>
      </c>
      <c r="E286" s="227">
        <v>7.17</v>
      </c>
      <c r="F286" s="2132" t="s">
        <v>2467</v>
      </c>
      <c r="G286" s="227" t="s">
        <v>2468</v>
      </c>
      <c r="H286" s="227"/>
      <c r="I286" s="245" t="s">
        <v>2354</v>
      </c>
      <c r="J286" s="227"/>
      <c r="K286" s="507" t="s">
        <v>712</v>
      </c>
      <c r="L286" s="227"/>
      <c r="M286" s="232">
        <v>5.90711050221548</v>
      </c>
      <c r="N286" s="232">
        <f>0.48+17.3944198836372</f>
        <v>17.8744198836372</v>
      </c>
      <c r="O286" s="231">
        <v>3.14632482758621</v>
      </c>
      <c r="P286" s="231">
        <f t="shared" si="44"/>
        <v>26.9278552134389</v>
      </c>
      <c r="Q286" s="226" t="s">
        <v>1526</v>
      </c>
      <c r="R286" s="226" t="s">
        <v>2469</v>
      </c>
      <c r="S286" s="804"/>
      <c r="W286" s="2163"/>
      <c r="Z286" s="839"/>
      <c r="AA286" s="839"/>
      <c r="AB286" s="1940"/>
    </row>
    <row r="287" s="42" customFormat="1" ht="16" customHeight="1" spans="1:28">
      <c r="A287" s="839">
        <v>179</v>
      </c>
      <c r="B287" s="289"/>
      <c r="C287" s="289"/>
      <c r="D287" s="227">
        <v>20250304</v>
      </c>
      <c r="E287" s="227">
        <v>7.17</v>
      </c>
      <c r="F287" s="2132" t="s">
        <v>2470</v>
      </c>
      <c r="G287" s="227" t="s">
        <v>2471</v>
      </c>
      <c r="H287" s="227"/>
      <c r="I287" s="245" t="s">
        <v>2354</v>
      </c>
      <c r="J287" s="227"/>
      <c r="K287" s="507" t="s">
        <v>712</v>
      </c>
      <c r="L287" s="227"/>
      <c r="M287" s="232">
        <v>5.90711050221548</v>
      </c>
      <c r="N287" s="232">
        <f>0.48+14.1111250988782</f>
        <v>14.5911250988782</v>
      </c>
      <c r="O287" s="231">
        <v>3.14632482758621</v>
      </c>
      <c r="P287" s="231">
        <f t="shared" si="44"/>
        <v>23.6445604286799</v>
      </c>
      <c r="Q287" s="226" t="s">
        <v>1526</v>
      </c>
      <c r="R287" s="226" t="s">
        <v>2472</v>
      </c>
      <c r="S287" s="804"/>
      <c r="W287" s="2163"/>
      <c r="Z287" s="839"/>
      <c r="AA287" s="839"/>
      <c r="AB287" s="1940"/>
    </row>
    <row r="288" s="42" customFormat="1" ht="16" customHeight="1" spans="1:28">
      <c r="A288" s="839">
        <v>180</v>
      </c>
      <c r="B288" s="289"/>
      <c r="C288" s="289"/>
      <c r="D288" s="227">
        <v>20250312</v>
      </c>
      <c r="E288" s="227">
        <v>7.17</v>
      </c>
      <c r="F288" s="2132" t="s">
        <v>2473</v>
      </c>
      <c r="G288" s="227" t="s">
        <v>1525</v>
      </c>
      <c r="H288" s="227"/>
      <c r="I288" s="245" t="s">
        <v>2474</v>
      </c>
      <c r="J288" s="227"/>
      <c r="K288" s="509" t="s">
        <v>712</v>
      </c>
      <c r="L288" s="227"/>
      <c r="M288" s="232">
        <v>5.90711050221548</v>
      </c>
      <c r="N288" s="232">
        <f>0.48+14.3831383457259</f>
        <v>14.8631383457259</v>
      </c>
      <c r="O288" s="231">
        <v>3.14632482758621</v>
      </c>
      <c r="P288" s="231">
        <f t="shared" si="44"/>
        <v>23.9165736755276</v>
      </c>
      <c r="Q288" s="226" t="s">
        <v>1526</v>
      </c>
      <c r="R288" s="226" t="s">
        <v>2475</v>
      </c>
      <c r="S288" s="804"/>
      <c r="W288" s="2163"/>
      <c r="Z288" s="839"/>
      <c r="AA288" s="839"/>
      <c r="AB288" s="1940"/>
    </row>
    <row r="289" s="42" customFormat="1" ht="16" customHeight="1" spans="1:28">
      <c r="A289" s="839">
        <v>181</v>
      </c>
      <c r="B289" s="289"/>
      <c r="C289" s="289"/>
      <c r="D289" s="227">
        <v>20250312</v>
      </c>
      <c r="E289" s="227">
        <v>7.17</v>
      </c>
      <c r="F289" s="2132" t="s">
        <v>2476</v>
      </c>
      <c r="G289" s="227" t="s">
        <v>2081</v>
      </c>
      <c r="H289" s="227"/>
      <c r="I289" s="245" t="s">
        <v>2477</v>
      </c>
      <c r="J289" s="227"/>
      <c r="K289" s="507" t="s">
        <v>712</v>
      </c>
      <c r="L289" s="227"/>
      <c r="M289" s="232">
        <v>5.90711050221548</v>
      </c>
      <c r="N289" s="232">
        <f>0.48+14.6500483550069</f>
        <v>15.1300483550069</v>
      </c>
      <c r="O289" s="231">
        <v>3.14632482758621</v>
      </c>
      <c r="P289" s="231">
        <f t="shared" si="44"/>
        <v>24.1834836848086</v>
      </c>
      <c r="Q289" s="226" t="s">
        <v>1526</v>
      </c>
      <c r="R289" s="226" t="s">
        <v>2445</v>
      </c>
      <c r="S289" s="804"/>
      <c r="W289" s="2163"/>
      <c r="Z289" s="839"/>
      <c r="AA289" s="839"/>
      <c r="AB289" s="1940"/>
    </row>
    <row r="290" s="42" customFormat="1" ht="16" customHeight="1" spans="1:28">
      <c r="A290" s="839">
        <v>182</v>
      </c>
      <c r="B290" s="289"/>
      <c r="C290" s="289"/>
      <c r="D290" s="227">
        <v>20250312</v>
      </c>
      <c r="E290" s="227">
        <v>7.17</v>
      </c>
      <c r="F290" s="2132" t="s">
        <v>2478</v>
      </c>
      <c r="G290" s="227" t="s">
        <v>2110</v>
      </c>
      <c r="H290" s="227"/>
      <c r="I290" s="245" t="s">
        <v>2479</v>
      </c>
      <c r="J290" s="227"/>
      <c r="K290" s="509" t="s">
        <v>712</v>
      </c>
      <c r="L290" s="227"/>
      <c r="M290" s="232">
        <v>5.90711050221548</v>
      </c>
      <c r="N290" s="232">
        <f>0.48+14.5988882044966</f>
        <v>15.0788882044966</v>
      </c>
      <c r="O290" s="231">
        <v>3.14632482758621</v>
      </c>
      <c r="P290" s="231">
        <f t="shared" si="44"/>
        <v>24.1323235342983</v>
      </c>
      <c r="Q290" s="226" t="s">
        <v>1526</v>
      </c>
      <c r="R290" s="226" t="s">
        <v>2445</v>
      </c>
      <c r="S290" s="804"/>
      <c r="W290" s="2163"/>
      <c r="Z290" s="839"/>
      <c r="AA290" s="839"/>
      <c r="AB290" s="1940"/>
    </row>
    <row r="291" s="42" customFormat="1" ht="16" customHeight="1" spans="1:28">
      <c r="A291" s="839">
        <v>183</v>
      </c>
      <c r="B291" s="289"/>
      <c r="C291" s="289"/>
      <c r="D291" s="244">
        <v>20250417</v>
      </c>
      <c r="E291" s="227">
        <v>7.17</v>
      </c>
      <c r="F291" s="2132" t="s">
        <v>2480</v>
      </c>
      <c r="G291" s="227" t="s">
        <v>667</v>
      </c>
      <c r="H291" s="227"/>
      <c r="I291" s="245" t="s">
        <v>2400</v>
      </c>
      <c r="J291" s="227"/>
      <c r="K291" s="509" t="s">
        <v>712</v>
      </c>
      <c r="L291" s="227"/>
      <c r="M291" s="232">
        <v>5.90711050221548</v>
      </c>
      <c r="N291" s="232">
        <f>0.48+13.1626494078316</f>
        <v>13.6426494078316</v>
      </c>
      <c r="O291" s="231">
        <v>3.14632482758621</v>
      </c>
      <c r="P291" s="231">
        <f t="shared" si="44"/>
        <v>22.6960847376333</v>
      </c>
      <c r="Q291" s="226" t="s">
        <v>1526</v>
      </c>
      <c r="R291" s="226" t="s">
        <v>2481</v>
      </c>
      <c r="S291" s="804"/>
      <c r="W291" s="2163"/>
      <c r="Z291" s="839"/>
      <c r="AA291" s="839"/>
      <c r="AB291" s="1940"/>
    </row>
    <row r="292" s="42" customFormat="1" ht="16" customHeight="1" spans="1:28">
      <c r="A292" s="839">
        <v>184</v>
      </c>
      <c r="B292" s="289"/>
      <c r="C292" s="289"/>
      <c r="D292" s="244">
        <v>20250417</v>
      </c>
      <c r="E292" s="227">
        <v>7.17</v>
      </c>
      <c r="F292" s="2132" t="s">
        <v>2482</v>
      </c>
      <c r="G292" s="227" t="s">
        <v>2483</v>
      </c>
      <c r="H292" s="227"/>
      <c r="I292" s="245" t="s">
        <v>2484</v>
      </c>
      <c r="J292" s="227"/>
      <c r="K292" s="509" t="s">
        <v>712</v>
      </c>
      <c r="L292" s="227"/>
      <c r="M292" s="232">
        <v>5.90711050221548</v>
      </c>
      <c r="N292" s="232">
        <f>0.48+14.5110756313709</f>
        <v>14.9910756313709</v>
      </c>
      <c r="O292" s="231">
        <v>3.14632482758621</v>
      </c>
      <c r="P292" s="231">
        <f t="shared" si="44"/>
        <v>24.0445109611726</v>
      </c>
      <c r="Q292" s="226" t="s">
        <v>1526</v>
      </c>
      <c r="R292" s="226" t="s">
        <v>2445</v>
      </c>
      <c r="S292" s="804"/>
      <c r="W292" s="2163"/>
      <c r="Z292" s="839"/>
      <c r="AA292" s="839"/>
      <c r="AB292" s="1940"/>
    </row>
    <row r="293" s="42" customFormat="1" ht="16" customHeight="1" spans="1:28">
      <c r="A293" s="839">
        <v>185</v>
      </c>
      <c r="B293" s="289"/>
      <c r="C293" s="289"/>
      <c r="D293" s="244">
        <v>20250417</v>
      </c>
      <c r="E293" s="227">
        <v>7.17</v>
      </c>
      <c r="F293" s="2132" t="s">
        <v>2485</v>
      </c>
      <c r="G293" s="227" t="s">
        <v>2486</v>
      </c>
      <c r="H293" s="227"/>
      <c r="I293" s="245" t="s">
        <v>2477</v>
      </c>
      <c r="J293" s="227"/>
      <c r="K293" s="509" t="s">
        <v>712</v>
      </c>
      <c r="L293" s="227"/>
      <c r="M293" s="232">
        <v>5.90711050221548</v>
      </c>
      <c r="N293" s="232">
        <f>0.48+14.5320248577507</f>
        <v>15.0120248577507</v>
      </c>
      <c r="O293" s="231">
        <v>3.14632482758621</v>
      </c>
      <c r="P293" s="231">
        <f t="shared" si="44"/>
        <v>24.0654601875524</v>
      </c>
      <c r="Q293" s="226" t="s">
        <v>1526</v>
      </c>
      <c r="R293" s="226" t="s">
        <v>2445</v>
      </c>
      <c r="S293" s="804"/>
      <c r="W293" s="2163"/>
      <c r="Z293" s="839"/>
      <c r="AA293" s="839"/>
      <c r="AB293" s="1940"/>
    </row>
    <row r="294" s="42" customFormat="1" ht="16" customHeight="1" spans="1:28">
      <c r="A294" s="839">
        <v>186</v>
      </c>
      <c r="B294" s="289"/>
      <c r="C294" s="289"/>
      <c r="D294" s="244">
        <v>20250417</v>
      </c>
      <c r="E294" s="227">
        <v>7.17</v>
      </c>
      <c r="F294" s="2132" t="s">
        <v>2487</v>
      </c>
      <c r="G294" s="227" t="s">
        <v>2488</v>
      </c>
      <c r="H294" s="227"/>
      <c r="I294" s="245" t="s">
        <v>2489</v>
      </c>
      <c r="J294" s="227"/>
      <c r="K294" s="2162" t="s">
        <v>712</v>
      </c>
      <c r="L294" s="227"/>
      <c r="M294" s="232">
        <v>5.90711050221548</v>
      </c>
      <c r="N294" s="232">
        <f>0.48+12.9922307783067</f>
        <v>13.4722307783067</v>
      </c>
      <c r="O294" s="231">
        <v>3.14632482758621</v>
      </c>
      <c r="P294" s="231">
        <f t="shared" si="44"/>
        <v>22.5256661081084</v>
      </c>
      <c r="Q294" s="226" t="s">
        <v>1526</v>
      </c>
      <c r="R294" s="226" t="s">
        <v>2481</v>
      </c>
      <c r="S294" s="804"/>
      <c r="W294" s="2163"/>
      <c r="Z294" s="839"/>
      <c r="AA294" s="839"/>
      <c r="AB294" s="1940"/>
    </row>
    <row r="295" s="42" customFormat="1" ht="16" customHeight="1" spans="1:28">
      <c r="A295" s="839">
        <v>187</v>
      </c>
      <c r="B295" s="289"/>
      <c r="C295" s="289"/>
      <c r="D295" s="227">
        <v>20250410</v>
      </c>
      <c r="E295" s="227">
        <v>7.17</v>
      </c>
      <c r="F295" s="2132" t="s">
        <v>2490</v>
      </c>
      <c r="G295" s="227" t="s">
        <v>2383</v>
      </c>
      <c r="H295" s="227"/>
      <c r="I295" s="245" t="s">
        <v>2491</v>
      </c>
      <c r="J295" s="227"/>
      <c r="K295" s="509" t="s">
        <v>712</v>
      </c>
      <c r="L295" s="227"/>
      <c r="M295" s="232">
        <v>5.90711050221548</v>
      </c>
      <c r="N295" s="232">
        <f>0.48+15.1799316917622</f>
        <v>15.6599316917622</v>
      </c>
      <c r="O295" s="231">
        <v>3.14632482758621</v>
      </c>
      <c r="P295" s="231">
        <f t="shared" si="44"/>
        <v>24.7133670215639</v>
      </c>
      <c r="Q295" s="226" t="s">
        <v>1526</v>
      </c>
      <c r="R295" s="226" t="s">
        <v>2492</v>
      </c>
      <c r="S295" s="804"/>
      <c r="W295" s="2163"/>
      <c r="Z295" s="839"/>
      <c r="AA295" s="839"/>
      <c r="AB295" s="1940"/>
    </row>
    <row r="296" s="42" customFormat="1" ht="16" customHeight="1" spans="1:28">
      <c r="A296" s="839">
        <v>188</v>
      </c>
      <c r="B296" s="289"/>
      <c r="C296" s="289"/>
      <c r="D296" s="227">
        <v>20250427</v>
      </c>
      <c r="E296" s="227">
        <v>7.17</v>
      </c>
      <c r="F296" s="2132" t="s">
        <v>2493</v>
      </c>
      <c r="G296" s="227" t="s">
        <v>2320</v>
      </c>
      <c r="H296" s="227"/>
      <c r="I296" s="245" t="s">
        <v>2491</v>
      </c>
      <c r="J296" s="227"/>
      <c r="K296" s="509" t="s">
        <v>712</v>
      </c>
      <c r="L296" s="227"/>
      <c r="M296" s="232">
        <v>5.90711050221548</v>
      </c>
      <c r="N296" s="232">
        <f>0.48+14.9307322272706</f>
        <v>15.4107322272706</v>
      </c>
      <c r="O296" s="231">
        <v>3.14632482758621</v>
      </c>
      <c r="P296" s="231">
        <f t="shared" si="44"/>
        <v>24.4641675570723</v>
      </c>
      <c r="Q296" s="226" t="s">
        <v>1526</v>
      </c>
      <c r="R296" s="226" t="s">
        <v>2492</v>
      </c>
      <c r="S296" s="804"/>
      <c r="W296" s="2163"/>
      <c r="Z296" s="839"/>
      <c r="AA296" s="839"/>
      <c r="AB296" s="1940"/>
    </row>
    <row r="297" s="42" customFormat="1" ht="16" customHeight="1" spans="1:28">
      <c r="A297" s="839">
        <v>189</v>
      </c>
      <c r="B297" s="289"/>
      <c r="C297" s="289"/>
      <c r="D297" s="227">
        <v>20250422</v>
      </c>
      <c r="E297" s="227">
        <v>7.17</v>
      </c>
      <c r="F297" s="2132" t="s">
        <v>2494</v>
      </c>
      <c r="G297" s="227" t="s">
        <v>2495</v>
      </c>
      <c r="H297" s="227"/>
      <c r="I297" s="245" t="s">
        <v>2082</v>
      </c>
      <c r="J297" s="227"/>
      <c r="K297" s="2162" t="s">
        <v>712</v>
      </c>
      <c r="L297" s="227"/>
      <c r="M297" s="232">
        <v>5.90711050221548</v>
      </c>
      <c r="N297" s="232">
        <f>0.48+12.8642160955468</f>
        <v>13.3442160955468</v>
      </c>
      <c r="O297" s="231">
        <v>3.14632482758621</v>
      </c>
      <c r="P297" s="231">
        <f t="shared" si="44"/>
        <v>22.3976514253485</v>
      </c>
      <c r="Q297" s="226" t="s">
        <v>1526</v>
      </c>
      <c r="R297" s="226" t="s">
        <v>2496</v>
      </c>
      <c r="S297" s="804"/>
      <c r="W297" s="2163"/>
      <c r="Z297" s="839"/>
      <c r="AA297" s="839"/>
      <c r="AB297" s="1940"/>
    </row>
    <row r="298" s="42" customFormat="1" ht="16" customHeight="1" spans="1:28">
      <c r="A298" s="839">
        <v>190</v>
      </c>
      <c r="B298" s="289"/>
      <c r="C298" s="289"/>
      <c r="D298" s="227">
        <v>20250422</v>
      </c>
      <c r="E298" s="227">
        <v>7.17</v>
      </c>
      <c r="F298" s="2132" t="s">
        <v>2497</v>
      </c>
      <c r="G298" s="227" t="s">
        <v>2106</v>
      </c>
      <c r="H298" s="227"/>
      <c r="I298" s="245" t="s">
        <v>2491</v>
      </c>
      <c r="J298" s="227"/>
      <c r="K298" s="509" t="s">
        <v>712</v>
      </c>
      <c r="L298" s="227"/>
      <c r="M298" s="232">
        <v>5.90711050221548</v>
      </c>
      <c r="N298" s="232">
        <v>14.7456013321359</v>
      </c>
      <c r="O298" s="231">
        <v>3.14632482758621</v>
      </c>
      <c r="P298" s="231">
        <f t="shared" si="44"/>
        <v>23.7990366619376</v>
      </c>
      <c r="Q298" s="226" t="s">
        <v>1526</v>
      </c>
      <c r="R298" s="226" t="s">
        <v>2498</v>
      </c>
      <c r="S298" s="804"/>
      <c r="W298" s="2163"/>
      <c r="Z298" s="839"/>
      <c r="AA298" s="839"/>
      <c r="AB298" s="1940"/>
    </row>
    <row r="299" s="42" customFormat="1" ht="16" customHeight="1" spans="1:28">
      <c r="A299" s="839">
        <v>191</v>
      </c>
      <c r="B299" s="289"/>
      <c r="C299" s="289"/>
      <c r="D299" s="227">
        <v>20250422</v>
      </c>
      <c r="E299" s="227">
        <v>7.17</v>
      </c>
      <c r="F299" s="2132" t="s">
        <v>2499</v>
      </c>
      <c r="G299" s="227" t="s">
        <v>2322</v>
      </c>
      <c r="H299" s="227"/>
      <c r="I299" s="245" t="s">
        <v>2479</v>
      </c>
      <c r="J299" s="227"/>
      <c r="K299" s="509" t="s">
        <v>712</v>
      </c>
      <c r="L299" s="227"/>
      <c r="M299" s="232">
        <v>5.90711050221548</v>
      </c>
      <c r="N299" s="232">
        <v>14.720345117648</v>
      </c>
      <c r="O299" s="231">
        <v>3.14632482758621</v>
      </c>
      <c r="P299" s="231">
        <f t="shared" si="44"/>
        <v>23.7737804474497</v>
      </c>
      <c r="Q299" s="226" t="s">
        <v>1526</v>
      </c>
      <c r="R299" s="226" t="s">
        <v>2498</v>
      </c>
      <c r="S299" s="804"/>
      <c r="W299" s="2163"/>
      <c r="Z299" s="839"/>
      <c r="AA299" s="839"/>
      <c r="AB299" s="1940"/>
    </row>
    <row r="300" s="42" customFormat="1" ht="16" customHeight="1" spans="1:28">
      <c r="A300" s="839">
        <v>192</v>
      </c>
      <c r="B300" s="289"/>
      <c r="C300" s="289"/>
      <c r="D300" s="227">
        <v>20250422</v>
      </c>
      <c r="E300" s="227">
        <v>7.17</v>
      </c>
      <c r="F300" s="2132" t="s">
        <v>2500</v>
      </c>
      <c r="G300" s="227" t="s">
        <v>2501</v>
      </c>
      <c r="H300" s="227"/>
      <c r="I300" s="245" t="s">
        <v>2479</v>
      </c>
      <c r="J300" s="227"/>
      <c r="K300" s="509" t="s">
        <v>712</v>
      </c>
      <c r="L300" s="227"/>
      <c r="M300" s="232">
        <v>5.90711050221548</v>
      </c>
      <c r="N300" s="232">
        <v>15.1061062970689</v>
      </c>
      <c r="O300" s="231">
        <v>3.14632482758621</v>
      </c>
      <c r="P300" s="231">
        <f t="shared" si="44"/>
        <v>24.1595416268706</v>
      </c>
      <c r="Q300" s="226" t="s">
        <v>1526</v>
      </c>
      <c r="R300" s="226" t="s">
        <v>2502</v>
      </c>
      <c r="S300" s="804"/>
      <c r="W300" s="2163"/>
      <c r="Z300" s="839"/>
      <c r="AA300" s="839"/>
      <c r="AB300" s="1940"/>
    </row>
    <row r="301" s="42" customFormat="1" ht="16" customHeight="1" spans="1:28">
      <c r="A301" s="839">
        <v>193</v>
      </c>
      <c r="B301" s="314"/>
      <c r="C301" s="289"/>
      <c r="D301" s="2028">
        <v>46258</v>
      </c>
      <c r="E301" s="227">
        <v>6.73</v>
      </c>
      <c r="F301" s="2125" t="s">
        <v>2503</v>
      </c>
      <c r="G301" s="227" t="s">
        <v>2389</v>
      </c>
      <c r="H301" s="227"/>
      <c r="I301" s="245" t="s">
        <v>2479</v>
      </c>
      <c r="J301" s="219" t="s">
        <v>1428</v>
      </c>
      <c r="K301" s="513" t="s">
        <v>712</v>
      </c>
      <c r="L301" s="219" t="s">
        <v>1428</v>
      </c>
      <c r="M301" s="319">
        <f>60.16/E301/1.13</f>
        <v>7.91068916093571</v>
      </c>
      <c r="N301" s="319">
        <f>19.17+1.75/E301/1.13*1.05</f>
        <v>19.4116205341293</v>
      </c>
      <c r="O301" s="320">
        <v>3.14632482758621</v>
      </c>
      <c r="P301" s="320">
        <f t="shared" si="44"/>
        <v>30.4686345226512</v>
      </c>
      <c r="Q301" s="266" t="s">
        <v>2504</v>
      </c>
      <c r="R301" s="226" t="s">
        <v>2502</v>
      </c>
      <c r="S301" s="804"/>
      <c r="W301" s="2163"/>
      <c r="Z301" s="839"/>
      <c r="AA301" s="839"/>
      <c r="AB301" s="1940"/>
    </row>
    <row r="302" s="839" customFormat="1" ht="16" customHeight="1" spans="1:28">
      <c r="A302" s="839">
        <v>194</v>
      </c>
      <c r="B302" s="289"/>
      <c r="C302" s="289"/>
      <c r="D302" s="227">
        <v>20250515</v>
      </c>
      <c r="E302" s="227">
        <v>7.17</v>
      </c>
      <c r="F302" s="2132" t="s">
        <v>2505</v>
      </c>
      <c r="G302" s="227" t="s">
        <v>2506</v>
      </c>
      <c r="H302" s="227"/>
      <c r="I302" s="245" t="s">
        <v>2444</v>
      </c>
      <c r="J302" s="227"/>
      <c r="K302" s="509" t="s">
        <v>712</v>
      </c>
      <c r="L302" s="227"/>
      <c r="M302" s="232">
        <v>5.90711050221548</v>
      </c>
      <c r="N302" s="232">
        <v>15.0939024535007</v>
      </c>
      <c r="O302" s="231">
        <v>3.14632482758621</v>
      </c>
      <c r="P302" s="231">
        <f t="shared" si="44"/>
        <v>24.1473377833024</v>
      </c>
      <c r="Q302" s="226" t="s">
        <v>1526</v>
      </c>
      <c r="R302" s="226" t="s">
        <v>2507</v>
      </c>
      <c r="S302" s="804"/>
      <c r="W302" s="1940"/>
      <c r="AB302" s="1940"/>
    </row>
    <row r="303" s="839" customFormat="1" ht="16" customHeight="1" spans="1:28">
      <c r="A303" s="839">
        <v>195</v>
      </c>
      <c r="B303" s="289"/>
      <c r="C303" s="289"/>
      <c r="D303" s="227">
        <v>20250624</v>
      </c>
      <c r="E303" s="227">
        <v>7.17</v>
      </c>
      <c r="F303" s="2132" t="s">
        <v>2508</v>
      </c>
      <c r="G303" s="227" t="s">
        <v>2096</v>
      </c>
      <c r="H303" s="227"/>
      <c r="I303" s="245" t="s">
        <v>2509</v>
      </c>
      <c r="J303" s="227"/>
      <c r="K303" s="509" t="s">
        <v>712</v>
      </c>
      <c r="L303" s="227"/>
      <c r="M303" s="232">
        <v>5.90711050221548</v>
      </c>
      <c r="N303" s="232">
        <v>12.8932495085486</v>
      </c>
      <c r="O303" s="231">
        <v>0.3</v>
      </c>
      <c r="P303" s="231">
        <f t="shared" si="44"/>
        <v>19.1003600107641</v>
      </c>
      <c r="Q303" s="226" t="s">
        <v>1526</v>
      </c>
      <c r="R303" s="226" t="s">
        <v>2510</v>
      </c>
      <c r="S303" s="804"/>
      <c r="W303" s="1940"/>
      <c r="AB303" s="1940"/>
    </row>
    <row r="304" s="839" customFormat="1" ht="16" customHeight="1" spans="1:28">
      <c r="A304" s="839">
        <v>196</v>
      </c>
      <c r="B304" s="289"/>
      <c r="C304" s="289"/>
      <c r="D304" s="227">
        <v>20250624</v>
      </c>
      <c r="E304" s="227">
        <v>7.17</v>
      </c>
      <c r="F304" s="2132" t="s">
        <v>2511</v>
      </c>
      <c r="G304" s="227" t="s">
        <v>2512</v>
      </c>
      <c r="H304" s="227"/>
      <c r="I304" s="245" t="s">
        <v>1979</v>
      </c>
      <c r="J304" s="227" t="s">
        <v>2513</v>
      </c>
      <c r="K304" s="509" t="s">
        <v>712</v>
      </c>
      <c r="L304" s="227">
        <v>6</v>
      </c>
      <c r="M304" s="230">
        <v>6.54424163353724</v>
      </c>
      <c r="N304" s="232">
        <v>18.3838243938921</v>
      </c>
      <c r="O304" s="231">
        <v>0.3</v>
      </c>
      <c r="P304" s="231">
        <f t="shared" si="44"/>
        <v>31.2280660274293</v>
      </c>
      <c r="Q304" s="226" t="s">
        <v>1526</v>
      </c>
      <c r="R304" s="226" t="s">
        <v>2514</v>
      </c>
      <c r="S304" s="804"/>
      <c r="W304" s="1940"/>
      <c r="AB304" s="1940"/>
    </row>
    <row r="305" s="839" customFormat="1" ht="16" customHeight="1" spans="1:28">
      <c r="A305" s="839">
        <v>197</v>
      </c>
      <c r="B305" s="289"/>
      <c r="C305" s="289"/>
      <c r="D305" s="227">
        <v>20250624</v>
      </c>
      <c r="E305" s="227">
        <v>7.17</v>
      </c>
      <c r="F305" s="2132" t="s">
        <v>2515</v>
      </c>
      <c r="G305" s="227" t="s">
        <v>2516</v>
      </c>
      <c r="H305" s="227"/>
      <c r="I305" s="245" t="s">
        <v>1979</v>
      </c>
      <c r="J305" s="227" t="s">
        <v>2513</v>
      </c>
      <c r="K305" s="509" t="s">
        <v>712</v>
      </c>
      <c r="L305" s="227">
        <v>6</v>
      </c>
      <c r="M305" s="230">
        <v>6.54424163353724</v>
      </c>
      <c r="N305" s="232">
        <v>16.8599910392821</v>
      </c>
      <c r="O305" s="231">
        <v>0.3</v>
      </c>
      <c r="P305" s="231">
        <f t="shared" si="44"/>
        <v>29.7042326728193</v>
      </c>
      <c r="Q305" s="226" t="s">
        <v>1526</v>
      </c>
      <c r="R305" s="226" t="s">
        <v>2517</v>
      </c>
      <c r="S305" s="804"/>
      <c r="W305" s="1940"/>
      <c r="AB305" s="1940"/>
    </row>
    <row r="306" s="839" customFormat="1" ht="16" customHeight="1" spans="1:28">
      <c r="A306" s="839">
        <v>198</v>
      </c>
      <c r="B306" s="289"/>
      <c r="C306" s="289"/>
      <c r="D306" s="227">
        <v>20250624</v>
      </c>
      <c r="E306" s="227">
        <v>7.17</v>
      </c>
      <c r="F306" s="2132" t="s">
        <v>2518</v>
      </c>
      <c r="G306" s="227" t="s">
        <v>2519</v>
      </c>
      <c r="H306" s="227"/>
      <c r="I306" s="245" t="s">
        <v>1979</v>
      </c>
      <c r="J306" s="227" t="s">
        <v>2513</v>
      </c>
      <c r="K306" s="509" t="s">
        <v>712</v>
      </c>
      <c r="L306" s="227">
        <v>6</v>
      </c>
      <c r="M306" s="230">
        <v>6.54424163353724</v>
      </c>
      <c r="N306" s="232">
        <v>13.5938897063098</v>
      </c>
      <c r="O306" s="231">
        <v>0.3</v>
      </c>
      <c r="P306" s="231">
        <f t="shared" si="44"/>
        <v>26.438131339847</v>
      </c>
      <c r="Q306" s="226" t="s">
        <v>1526</v>
      </c>
      <c r="R306" s="226" t="s">
        <v>2517</v>
      </c>
      <c r="S306" s="804"/>
      <c r="W306" s="1940"/>
      <c r="AB306" s="1940"/>
    </row>
    <row r="307" s="839" customFormat="1" ht="16" customHeight="1" spans="1:28">
      <c r="A307" s="839">
        <v>199</v>
      </c>
      <c r="B307" s="289"/>
      <c r="C307" s="289"/>
      <c r="D307" s="227">
        <v>20250627</v>
      </c>
      <c r="E307" s="227">
        <v>7.17</v>
      </c>
      <c r="F307" s="2132" t="s">
        <v>2520</v>
      </c>
      <c r="G307" s="227" t="s">
        <v>2521</v>
      </c>
      <c r="H307" s="227"/>
      <c r="I307" s="245" t="s">
        <v>2522</v>
      </c>
      <c r="J307" s="227"/>
      <c r="K307" s="509" t="s">
        <v>712</v>
      </c>
      <c r="L307" s="227"/>
      <c r="M307" s="232">
        <v>5.90711050221548</v>
      </c>
      <c r="N307" s="232">
        <v>14.7456013321359</v>
      </c>
      <c r="O307" s="231">
        <v>3.14632482758621</v>
      </c>
      <c r="P307" s="231">
        <f t="shared" si="44"/>
        <v>23.7990366619376</v>
      </c>
      <c r="Q307" s="226" t="s">
        <v>1526</v>
      </c>
      <c r="R307" s="226" t="s">
        <v>2523</v>
      </c>
      <c r="S307" s="804"/>
      <c r="W307" s="1940"/>
      <c r="AB307" s="1940"/>
    </row>
    <row r="308" s="839" customFormat="1" ht="16" customHeight="1" spans="1:28">
      <c r="A308" s="839">
        <v>200</v>
      </c>
      <c r="B308" s="289"/>
      <c r="C308" s="289"/>
      <c r="D308" s="227">
        <v>20250627</v>
      </c>
      <c r="E308" s="227">
        <v>7.17</v>
      </c>
      <c r="F308" s="2132" t="s">
        <v>2524</v>
      </c>
      <c r="G308" s="227" t="s">
        <v>2525</v>
      </c>
      <c r="H308" s="227"/>
      <c r="I308" s="245" t="s">
        <v>2526</v>
      </c>
      <c r="J308" s="227"/>
      <c r="K308" s="507" t="s">
        <v>712</v>
      </c>
      <c r="L308" s="227"/>
      <c r="M308" s="232">
        <v>5.90711050221548</v>
      </c>
      <c r="N308" s="232">
        <v>14.720345117648</v>
      </c>
      <c r="O308" s="231">
        <v>3.14632482758621</v>
      </c>
      <c r="P308" s="231">
        <f t="shared" si="44"/>
        <v>23.7737804474497</v>
      </c>
      <c r="Q308" s="226" t="s">
        <v>1526</v>
      </c>
      <c r="R308" s="226" t="s">
        <v>2523</v>
      </c>
      <c r="S308" s="804"/>
      <c r="W308" s="1940"/>
      <c r="AB308" s="1940"/>
    </row>
    <row r="309" s="839" customFormat="1" ht="16" customHeight="1" spans="1:28">
      <c r="A309" s="839">
        <v>201</v>
      </c>
      <c r="B309" s="289"/>
      <c r="C309" s="289"/>
      <c r="D309" s="227">
        <v>20250730</v>
      </c>
      <c r="E309" s="227">
        <v>7.17</v>
      </c>
      <c r="F309" s="2132" t="s">
        <v>2527</v>
      </c>
      <c r="G309" s="227" t="s">
        <v>2403</v>
      </c>
      <c r="H309" s="227"/>
      <c r="I309" s="245" t="s">
        <v>2509</v>
      </c>
      <c r="J309" s="227"/>
      <c r="K309" s="509" t="s">
        <v>712</v>
      </c>
      <c r="L309" s="227"/>
      <c r="M309" s="232">
        <v>5.90711050221548</v>
      </c>
      <c r="N309" s="232">
        <v>13.0772663533547</v>
      </c>
      <c r="O309" s="231">
        <v>3.14632482758621</v>
      </c>
      <c r="P309" s="231">
        <f t="shared" si="44"/>
        <v>22.1307016831564</v>
      </c>
      <c r="Q309" s="226" t="s">
        <v>1526</v>
      </c>
      <c r="R309" s="226" t="s">
        <v>2528</v>
      </c>
      <c r="S309" s="804"/>
      <c r="W309" s="1940"/>
      <c r="AB309" s="1940"/>
    </row>
    <row r="310" s="839" customFormat="1" ht="16" customHeight="1" spans="1:28">
      <c r="A310" s="839">
        <v>202</v>
      </c>
      <c r="B310" s="289"/>
      <c r="C310" s="289"/>
      <c r="D310" s="227">
        <v>20250730</v>
      </c>
      <c r="E310" s="227">
        <v>7.17</v>
      </c>
      <c r="F310" s="2132" t="s">
        <v>2529</v>
      </c>
      <c r="G310" s="227" t="s">
        <v>2406</v>
      </c>
      <c r="H310" s="227"/>
      <c r="I310" s="245" t="s">
        <v>2509</v>
      </c>
      <c r="J310" s="227"/>
      <c r="K310" s="509" t="s">
        <v>712</v>
      </c>
      <c r="L310" s="227"/>
      <c r="M310" s="232">
        <v>5.90711050221548</v>
      </c>
      <c r="N310" s="232">
        <v>13.0823335581534</v>
      </c>
      <c r="O310" s="231">
        <v>3.14632482758621</v>
      </c>
      <c r="P310" s="231">
        <f t="shared" si="44"/>
        <v>22.1357688879551</v>
      </c>
      <c r="Q310" s="226" t="s">
        <v>1526</v>
      </c>
      <c r="R310" s="226" t="s">
        <v>2528</v>
      </c>
      <c r="S310" s="804"/>
      <c r="W310" s="1940"/>
      <c r="AB310" s="1940"/>
    </row>
    <row r="311" s="42" customFormat="1" ht="16" customHeight="1" spans="1:28">
      <c r="A311" s="839">
        <v>203</v>
      </c>
      <c r="B311" s="289"/>
      <c r="C311" s="289"/>
      <c r="D311" s="227">
        <v>20241115</v>
      </c>
      <c r="E311" s="227">
        <v>7.17</v>
      </c>
      <c r="F311" s="2132" t="s">
        <v>68</v>
      </c>
      <c r="G311" s="227" t="s">
        <v>69</v>
      </c>
      <c r="H311" s="227"/>
      <c r="I311" s="245"/>
      <c r="J311" s="227"/>
      <c r="K311" s="252" t="s">
        <v>712</v>
      </c>
      <c r="L311" s="227"/>
      <c r="M311" s="232">
        <v>0.436759122692013</v>
      </c>
      <c r="N311" s="232">
        <v>2.2552756508938</v>
      </c>
      <c r="O311" s="231">
        <v>0.2</v>
      </c>
      <c r="P311" s="231">
        <f t="shared" si="44"/>
        <v>2.89203477358581</v>
      </c>
      <c r="Q311" s="226"/>
      <c r="R311" s="226" t="s">
        <v>70</v>
      </c>
      <c r="S311" s="804"/>
      <c r="W311" s="2163"/>
      <c r="Z311" s="839"/>
      <c r="AA311" s="839"/>
      <c r="AB311" s="1940"/>
    </row>
    <row r="312" s="42" customFormat="1" ht="16" customHeight="1" spans="1:28">
      <c r="A312" s="839">
        <v>204</v>
      </c>
      <c r="B312" s="289" t="s">
        <v>2436</v>
      </c>
      <c r="C312" s="289"/>
      <c r="D312" s="227"/>
      <c r="E312" s="227"/>
      <c r="F312" s="2132" t="s">
        <v>1979</v>
      </c>
      <c r="G312" s="227" t="s">
        <v>1131</v>
      </c>
      <c r="H312" s="227"/>
      <c r="I312" s="245"/>
      <c r="J312" s="227"/>
      <c r="K312" s="244" t="s">
        <v>712</v>
      </c>
      <c r="L312" s="227"/>
      <c r="M312" s="231">
        <v>0.421234082328805</v>
      </c>
      <c r="N312" s="232">
        <v>3.03599039920427</v>
      </c>
      <c r="O312" s="231">
        <v>0.4</v>
      </c>
      <c r="P312" s="231">
        <f t="shared" si="44"/>
        <v>3.85722448153307</v>
      </c>
      <c r="Q312" s="226"/>
      <c r="R312" s="226"/>
      <c r="S312" s="2167"/>
      <c r="W312" s="2163"/>
      <c r="Z312" s="839"/>
      <c r="AA312" s="839"/>
      <c r="AB312" s="1940"/>
    </row>
    <row r="313" s="42" customFormat="1" ht="16" customHeight="1" spans="1:28">
      <c r="A313" s="839">
        <v>205</v>
      </c>
      <c r="B313" s="226" t="s">
        <v>2530</v>
      </c>
      <c r="C313" s="226"/>
      <c r="D313" s="227"/>
      <c r="E313" s="227">
        <v>7.17</v>
      </c>
      <c r="F313" s="2132" t="s">
        <v>2531</v>
      </c>
      <c r="G313" s="227" t="s">
        <v>1571</v>
      </c>
      <c r="H313" s="227"/>
      <c r="I313" s="227" t="s">
        <v>2326</v>
      </c>
      <c r="J313" s="227" t="s">
        <v>1428</v>
      </c>
      <c r="K313" s="507" t="s">
        <v>712</v>
      </c>
      <c r="L313" s="227" t="s">
        <v>1428</v>
      </c>
      <c r="M313" s="231">
        <v>5.57024288855061</v>
      </c>
      <c r="N313" s="232">
        <v>27.3199936378761</v>
      </c>
      <c r="O313" s="231">
        <f t="shared" ref="O313:O324" si="45">31.1/E313/1.13</f>
        <v>3.83851100332013</v>
      </c>
      <c r="P313" s="231">
        <f t="shared" si="44"/>
        <v>36.7287475297468</v>
      </c>
      <c r="Q313" s="281" t="s">
        <v>1755</v>
      </c>
      <c r="R313" s="226" t="s">
        <v>2532</v>
      </c>
      <c r="S313" s="804"/>
      <c r="W313" s="2163"/>
      <c r="Z313" s="839"/>
      <c r="AA313" s="839"/>
      <c r="AB313" s="1940"/>
    </row>
    <row r="314" s="42" customFormat="1" ht="16" customHeight="1" spans="1:28">
      <c r="A314" s="839">
        <v>206</v>
      </c>
      <c r="B314" s="226"/>
      <c r="C314" s="226"/>
      <c r="D314" s="227">
        <v>20241029</v>
      </c>
      <c r="E314" s="227">
        <v>7.17</v>
      </c>
      <c r="F314" s="2132" t="s">
        <v>2533</v>
      </c>
      <c r="G314" s="247" t="s">
        <v>1685</v>
      </c>
      <c r="H314" s="247"/>
      <c r="I314" s="227" t="s">
        <v>2534</v>
      </c>
      <c r="J314" s="227" t="s">
        <v>1428</v>
      </c>
      <c r="K314" s="247" t="s">
        <v>712</v>
      </c>
      <c r="L314" s="227" t="s">
        <v>1428</v>
      </c>
      <c r="M314" s="232">
        <v>5.57024288855061</v>
      </c>
      <c r="N314" s="232">
        <v>26.2519312932244</v>
      </c>
      <c r="O314" s="231">
        <f t="shared" si="45"/>
        <v>3.83851100332013</v>
      </c>
      <c r="P314" s="231">
        <f t="shared" si="44"/>
        <v>35.6606851850951</v>
      </c>
      <c r="Q314" s="281" t="s">
        <v>1755</v>
      </c>
      <c r="R314" s="226" t="s">
        <v>2535</v>
      </c>
      <c r="S314" s="804"/>
      <c r="T314" s="120" t="s">
        <v>1406</v>
      </c>
      <c r="W314" s="2163"/>
      <c r="Z314" s="839"/>
      <c r="AA314" s="839"/>
      <c r="AB314" s="1940"/>
    </row>
    <row r="315" s="42" customFormat="1" ht="16" customHeight="1" spans="1:28">
      <c r="A315" s="839">
        <v>207</v>
      </c>
      <c r="B315" s="226"/>
      <c r="C315" s="226"/>
      <c r="D315" s="227"/>
      <c r="E315" s="227">
        <v>7.17</v>
      </c>
      <c r="F315" s="2132" t="s">
        <v>2536</v>
      </c>
      <c r="G315" s="227" t="s">
        <v>1671</v>
      </c>
      <c r="H315" s="227"/>
      <c r="I315" s="227" t="s">
        <v>2474</v>
      </c>
      <c r="J315" s="227" t="s">
        <v>1428</v>
      </c>
      <c r="K315" s="247" t="s">
        <v>712</v>
      </c>
      <c r="L315" s="227" t="s">
        <v>1428</v>
      </c>
      <c r="M315" s="231">
        <v>5.57024288855061</v>
      </c>
      <c r="N315" s="232">
        <v>27.6470732838938</v>
      </c>
      <c r="O315" s="231">
        <f t="shared" si="45"/>
        <v>3.83851100332013</v>
      </c>
      <c r="P315" s="231">
        <f t="shared" si="44"/>
        <v>37.0558271757645</v>
      </c>
      <c r="Q315" s="281" t="s">
        <v>2537</v>
      </c>
      <c r="R315" s="226" t="s">
        <v>2538</v>
      </c>
      <c r="S315" s="804"/>
      <c r="T315" s="120" t="s">
        <v>1406</v>
      </c>
      <c r="W315" s="2163"/>
      <c r="Z315" s="839"/>
      <c r="AA315" s="839"/>
      <c r="AB315" s="1940"/>
    </row>
    <row r="316" s="42" customFormat="1" ht="16" customHeight="1" spans="1:28">
      <c r="A316" s="839">
        <v>208</v>
      </c>
      <c r="B316" s="226"/>
      <c r="C316" s="226"/>
      <c r="D316" s="227"/>
      <c r="E316" s="227">
        <v>7.17</v>
      </c>
      <c r="F316" s="2132" t="s">
        <v>2539</v>
      </c>
      <c r="G316" s="227" t="s">
        <v>1672</v>
      </c>
      <c r="H316" s="227"/>
      <c r="I316" s="227" t="s">
        <v>2365</v>
      </c>
      <c r="J316" s="227" t="s">
        <v>1428</v>
      </c>
      <c r="K316" s="507" t="s">
        <v>712</v>
      </c>
      <c r="L316" s="227" t="s">
        <v>1428</v>
      </c>
      <c r="M316" s="231">
        <v>5.57024288855061</v>
      </c>
      <c r="N316" s="232">
        <v>27.2371396555752</v>
      </c>
      <c r="O316" s="231">
        <f t="shared" si="45"/>
        <v>3.83851100332013</v>
      </c>
      <c r="P316" s="231">
        <f t="shared" si="44"/>
        <v>36.6458935474459</v>
      </c>
      <c r="Q316" s="281" t="s">
        <v>1755</v>
      </c>
      <c r="R316" s="226" t="s">
        <v>2540</v>
      </c>
      <c r="S316" s="804"/>
      <c r="T316" s="120" t="s">
        <v>1406</v>
      </c>
      <c r="W316" s="2163"/>
      <c r="Z316" s="839"/>
      <c r="AA316" s="839"/>
      <c r="AB316" s="1940"/>
    </row>
    <row r="317" s="42" customFormat="1" ht="16" customHeight="1" spans="1:28">
      <c r="A317" s="839">
        <v>209</v>
      </c>
      <c r="B317" s="226"/>
      <c r="C317" s="226"/>
      <c r="D317" s="227">
        <v>20241212</v>
      </c>
      <c r="E317" s="227">
        <v>7.17</v>
      </c>
      <c r="F317" s="2132" t="s">
        <v>2541</v>
      </c>
      <c r="G317" s="227" t="s">
        <v>1581</v>
      </c>
      <c r="H317" s="227"/>
      <c r="I317" s="227" t="s">
        <v>2542</v>
      </c>
      <c r="J317" s="227" t="s">
        <v>1428</v>
      </c>
      <c r="K317" s="227" t="s">
        <v>712</v>
      </c>
      <c r="L317" s="227" t="s">
        <v>1428</v>
      </c>
      <c r="M317" s="232">
        <v>5.57024288855061</v>
      </c>
      <c r="N317" s="232">
        <v>25.2593194765351</v>
      </c>
      <c r="O317" s="231">
        <f t="shared" si="45"/>
        <v>3.83851100332013</v>
      </c>
      <c r="P317" s="231">
        <f t="shared" si="44"/>
        <v>34.6680733684058</v>
      </c>
      <c r="Q317" s="281" t="s">
        <v>1755</v>
      </c>
      <c r="R317" s="226" t="s">
        <v>2543</v>
      </c>
      <c r="S317" s="804"/>
      <c r="T317" s="120" t="s">
        <v>1406</v>
      </c>
      <c r="W317" s="2163"/>
      <c r="Z317" s="839"/>
      <c r="AA317" s="839"/>
      <c r="AB317" s="1940"/>
    </row>
    <row r="318" s="42" customFormat="1" ht="16" customHeight="1" spans="1:28">
      <c r="A318" s="839">
        <v>210</v>
      </c>
      <c r="B318" s="226"/>
      <c r="C318" s="226"/>
      <c r="D318" s="227"/>
      <c r="E318" s="227">
        <v>7.17</v>
      </c>
      <c r="F318" s="2132" t="s">
        <v>2544</v>
      </c>
      <c r="G318" s="227" t="s">
        <v>2449</v>
      </c>
      <c r="H318" s="227"/>
      <c r="I318" s="227" t="s">
        <v>2534</v>
      </c>
      <c r="J318" s="227" t="s">
        <v>1428</v>
      </c>
      <c r="K318" s="247" t="s">
        <v>712</v>
      </c>
      <c r="L318" s="227" t="s">
        <v>1428</v>
      </c>
      <c r="M318" s="231">
        <v>5.57024288855061</v>
      </c>
      <c r="N318" s="232">
        <v>26.479591450708</v>
      </c>
      <c r="O318" s="231">
        <f t="shared" si="45"/>
        <v>3.83851100332013</v>
      </c>
      <c r="P318" s="231">
        <f t="shared" si="44"/>
        <v>35.8883453425787</v>
      </c>
      <c r="Q318" s="281" t="s">
        <v>1755</v>
      </c>
      <c r="R318" s="226" t="s">
        <v>2535</v>
      </c>
      <c r="S318" s="804"/>
      <c r="T318" s="120" t="s">
        <v>1406</v>
      </c>
      <c r="W318" s="2163"/>
      <c r="Z318" s="839"/>
      <c r="AA318" s="839"/>
      <c r="AB318" s="1940"/>
    </row>
    <row r="319" s="42" customFormat="1" ht="16" customHeight="1" spans="1:28">
      <c r="A319" s="839">
        <v>211</v>
      </c>
      <c r="B319" s="226"/>
      <c r="C319" s="226"/>
      <c r="D319" s="227"/>
      <c r="E319" s="227">
        <v>7.17</v>
      </c>
      <c r="F319" s="2132" t="s">
        <v>2545</v>
      </c>
      <c r="G319" s="227" t="s">
        <v>2546</v>
      </c>
      <c r="H319" s="227"/>
      <c r="I319" s="227" t="s">
        <v>2542</v>
      </c>
      <c r="J319" s="227" t="s">
        <v>1428</v>
      </c>
      <c r="K319" s="227" t="s">
        <v>712</v>
      </c>
      <c r="L319" s="227" t="s">
        <v>1428</v>
      </c>
      <c r="M319" s="231">
        <v>5.57024288855061</v>
      </c>
      <c r="N319" s="232">
        <v>26.5532133019735</v>
      </c>
      <c r="O319" s="231">
        <f t="shared" si="45"/>
        <v>3.83851100332013</v>
      </c>
      <c r="P319" s="231">
        <f t="shared" si="44"/>
        <v>35.9619671938442</v>
      </c>
      <c r="Q319" s="281" t="s">
        <v>1755</v>
      </c>
      <c r="R319" s="226" t="s">
        <v>2543</v>
      </c>
      <c r="S319" s="804"/>
      <c r="T319" s="120" t="s">
        <v>1406</v>
      </c>
      <c r="W319" s="2163"/>
      <c r="Z319" s="839"/>
      <c r="AA319" s="839"/>
      <c r="AB319" s="1940"/>
    </row>
    <row r="320" s="42" customFormat="1" ht="16" customHeight="1" spans="1:28">
      <c r="A320" s="839">
        <v>212</v>
      </c>
      <c r="B320" s="226"/>
      <c r="C320" s="226"/>
      <c r="D320" s="227">
        <v>20241029</v>
      </c>
      <c r="E320" s="227">
        <v>7.17</v>
      </c>
      <c r="F320" s="2132" t="s">
        <v>2547</v>
      </c>
      <c r="G320" s="227" t="s">
        <v>2431</v>
      </c>
      <c r="H320" s="227"/>
      <c r="I320" s="227" t="s">
        <v>2365</v>
      </c>
      <c r="J320" s="227" t="s">
        <v>1428</v>
      </c>
      <c r="K320" s="507" t="s">
        <v>712</v>
      </c>
      <c r="L320" s="227" t="s">
        <v>1428</v>
      </c>
      <c r="M320" s="232">
        <v>5.57024288855061</v>
      </c>
      <c r="N320" s="232">
        <v>26.1477418720393</v>
      </c>
      <c r="O320" s="231">
        <f t="shared" si="45"/>
        <v>3.83851100332013</v>
      </c>
      <c r="P320" s="231">
        <f t="shared" si="44"/>
        <v>35.55649576391</v>
      </c>
      <c r="Q320" s="281" t="s">
        <v>1755</v>
      </c>
      <c r="R320" s="226" t="s">
        <v>2548</v>
      </c>
      <c r="S320" s="804"/>
      <c r="T320" s="120" t="s">
        <v>1406</v>
      </c>
      <c r="W320" s="2163"/>
      <c r="Z320" s="839"/>
      <c r="AA320" s="839"/>
      <c r="AB320" s="1940"/>
    </row>
    <row r="321" s="42" customFormat="1" ht="16" customHeight="1" spans="1:28">
      <c r="A321" s="839">
        <v>213</v>
      </c>
      <c r="B321" s="226"/>
      <c r="C321" s="226"/>
      <c r="D321" s="227">
        <v>20241029</v>
      </c>
      <c r="E321" s="227">
        <v>7.17</v>
      </c>
      <c r="F321" s="2132" t="s">
        <v>2549</v>
      </c>
      <c r="G321" s="247" t="s">
        <v>1591</v>
      </c>
      <c r="H321" s="247"/>
      <c r="I321" s="227" t="s">
        <v>2365</v>
      </c>
      <c r="J321" s="227" t="s">
        <v>1428</v>
      </c>
      <c r="K321" s="507" t="s">
        <v>712</v>
      </c>
      <c r="L321" s="227" t="s">
        <v>1428</v>
      </c>
      <c r="M321" s="232">
        <v>5.57024288855061</v>
      </c>
      <c r="N321" s="232">
        <v>23.737825196153</v>
      </c>
      <c r="O321" s="231">
        <f t="shared" si="45"/>
        <v>3.83851100332013</v>
      </c>
      <c r="P321" s="231">
        <f t="shared" si="44"/>
        <v>33.1465790880237</v>
      </c>
      <c r="Q321" s="281" t="s">
        <v>1755</v>
      </c>
      <c r="R321" s="226" t="s">
        <v>2550</v>
      </c>
      <c r="S321" s="804"/>
      <c r="T321" s="120"/>
      <c r="W321" s="2163"/>
      <c r="Z321" s="839"/>
      <c r="AA321" s="839"/>
      <c r="AB321" s="1940"/>
    </row>
    <row r="322" s="42" customFormat="1" ht="16" customHeight="1" spans="1:28">
      <c r="A322" s="839">
        <v>214</v>
      </c>
      <c r="B322" s="226"/>
      <c r="C322" s="226"/>
      <c r="D322" s="227">
        <v>20241029</v>
      </c>
      <c r="E322" s="227">
        <v>7.17</v>
      </c>
      <c r="F322" s="2132" t="s">
        <v>2551</v>
      </c>
      <c r="G322" s="247" t="s">
        <v>2110</v>
      </c>
      <c r="H322" s="247"/>
      <c r="I322" s="227" t="s">
        <v>2365</v>
      </c>
      <c r="J322" s="227" t="s">
        <v>1428</v>
      </c>
      <c r="K322" s="507" t="s">
        <v>712</v>
      </c>
      <c r="L322" s="227" t="s">
        <v>1428</v>
      </c>
      <c r="M322" s="232">
        <v>5.57024288855061</v>
      </c>
      <c r="N322" s="232">
        <v>23.5971471612445</v>
      </c>
      <c r="O322" s="231">
        <f t="shared" si="45"/>
        <v>3.83851100332013</v>
      </c>
      <c r="P322" s="231">
        <f t="shared" si="44"/>
        <v>33.0059010531152</v>
      </c>
      <c r="Q322" s="281" t="s">
        <v>1755</v>
      </c>
      <c r="R322" s="226" t="s">
        <v>2540</v>
      </c>
      <c r="S322" s="804"/>
      <c r="T322" s="120"/>
      <c r="W322" s="2163"/>
      <c r="Z322" s="839"/>
      <c r="AA322" s="839"/>
      <c r="AB322" s="1940"/>
    </row>
    <row r="323" s="42" customFormat="1" ht="16" customHeight="1" spans="1:28">
      <c r="A323" s="839">
        <v>215</v>
      </c>
      <c r="B323" s="226"/>
      <c r="C323" s="226"/>
      <c r="D323" s="227">
        <v>20241212</v>
      </c>
      <c r="E323" s="227">
        <v>7.17</v>
      </c>
      <c r="F323" s="2132" t="s">
        <v>2552</v>
      </c>
      <c r="G323" s="247" t="s">
        <v>667</v>
      </c>
      <c r="H323" s="247"/>
      <c r="I323" s="227" t="s">
        <v>2444</v>
      </c>
      <c r="J323" s="227"/>
      <c r="K323" s="509" t="s">
        <v>712</v>
      </c>
      <c r="L323" s="227"/>
      <c r="M323" s="232">
        <v>5.57024288855061</v>
      </c>
      <c r="N323" s="232">
        <v>23.1862187646413</v>
      </c>
      <c r="O323" s="231">
        <f t="shared" si="45"/>
        <v>3.83851100332013</v>
      </c>
      <c r="P323" s="231">
        <f t="shared" si="44"/>
        <v>32.594972656512</v>
      </c>
      <c r="Q323" s="281" t="s">
        <v>1748</v>
      </c>
      <c r="R323" s="226" t="s">
        <v>2553</v>
      </c>
      <c r="S323" s="804"/>
      <c r="T323" s="120"/>
      <c r="W323" s="2163"/>
      <c r="Z323" s="839"/>
      <c r="AA323" s="839"/>
      <c r="AB323" s="1940"/>
    </row>
    <row r="324" s="42" customFormat="1" ht="16" customHeight="1" spans="1:28">
      <c r="A324" s="839">
        <v>216</v>
      </c>
      <c r="B324" s="226"/>
      <c r="C324" s="226"/>
      <c r="D324" s="227">
        <v>20241029</v>
      </c>
      <c r="E324" s="227">
        <v>7.17</v>
      </c>
      <c r="F324" s="2132" t="s">
        <v>2554</v>
      </c>
      <c r="G324" s="227" t="s">
        <v>2483</v>
      </c>
      <c r="H324" s="227"/>
      <c r="I324" s="227" t="s">
        <v>2474</v>
      </c>
      <c r="J324" s="227" t="s">
        <v>1428</v>
      </c>
      <c r="K324" s="227" t="s">
        <v>712</v>
      </c>
      <c r="L324" s="227" t="s">
        <v>1428</v>
      </c>
      <c r="M324" s="232">
        <v>5.57024288855061</v>
      </c>
      <c r="N324" s="232">
        <v>23.5824286004076</v>
      </c>
      <c r="O324" s="231">
        <f t="shared" si="45"/>
        <v>3.83851100332013</v>
      </c>
      <c r="P324" s="231">
        <f t="shared" si="44"/>
        <v>32.9911824922783</v>
      </c>
      <c r="Q324" s="281" t="s">
        <v>1755</v>
      </c>
      <c r="R324" s="226" t="s">
        <v>2555</v>
      </c>
      <c r="S324" s="804"/>
      <c r="T324" s="120"/>
      <c r="W324" s="2163"/>
      <c r="Z324" s="839"/>
      <c r="AA324" s="839"/>
      <c r="AB324" s="1940"/>
    </row>
    <row r="325" s="42" customFormat="1" ht="16" customHeight="1" spans="1:28">
      <c r="A325" s="839">
        <v>217</v>
      </c>
      <c r="B325" s="226"/>
      <c r="C325" s="226"/>
      <c r="D325" s="2028">
        <v>46091</v>
      </c>
      <c r="E325" s="2164">
        <v>6.9264</v>
      </c>
      <c r="F325" s="2132" t="s">
        <v>2556</v>
      </c>
      <c r="G325" s="227"/>
      <c r="H325" s="227"/>
      <c r="I325" s="227"/>
      <c r="J325" s="227"/>
      <c r="K325" s="507" t="s">
        <v>712</v>
      </c>
      <c r="L325" s="227"/>
      <c r="M325" s="232">
        <f>64.3/6.9264/1.13</f>
        <v>8.21532901178919</v>
      </c>
      <c r="N325" s="232">
        <v>23.19</v>
      </c>
      <c r="O325" s="231" t="e">
        <f>#REF!/E325/1.13</f>
        <v>#REF!</v>
      </c>
      <c r="P325" s="231" t="e">
        <f t="shared" si="44"/>
        <v>#REF!</v>
      </c>
      <c r="Q325" s="281"/>
      <c r="R325" s="226"/>
      <c r="S325" s="804"/>
      <c r="T325" s="120"/>
      <c r="W325" s="2163"/>
      <c r="Z325" s="839"/>
      <c r="AA325" s="839"/>
      <c r="AB325" s="1940"/>
    </row>
    <row r="326" s="42" customFormat="1" ht="16" customHeight="1" spans="1:28">
      <c r="A326" s="839">
        <v>218</v>
      </c>
      <c r="B326" s="226"/>
      <c r="C326" s="226"/>
      <c r="D326" s="227">
        <v>20241202</v>
      </c>
      <c r="E326" s="227">
        <v>7.17</v>
      </c>
      <c r="F326" s="2132" t="s">
        <v>2557</v>
      </c>
      <c r="G326" s="227" t="s">
        <v>2488</v>
      </c>
      <c r="H326" s="227"/>
      <c r="I326" s="227" t="s">
        <v>2558</v>
      </c>
      <c r="J326" s="227"/>
      <c r="K326" s="507" t="s">
        <v>712</v>
      </c>
      <c r="L326" s="227"/>
      <c r="M326" s="232">
        <v>5.57024288855061</v>
      </c>
      <c r="N326" s="232">
        <v>23.1830119159005</v>
      </c>
      <c r="O326" s="231">
        <f t="shared" ref="O326:O332" si="46">31.1/E326/1.13</f>
        <v>3.83851100332013</v>
      </c>
      <c r="P326" s="231">
        <f t="shared" si="44"/>
        <v>32.5917658077712</v>
      </c>
      <c r="Q326" s="281" t="s">
        <v>1748</v>
      </c>
      <c r="R326" s="226" t="s">
        <v>2559</v>
      </c>
      <c r="S326" s="804"/>
      <c r="T326" s="120"/>
      <c r="W326" s="2163"/>
      <c r="Z326" s="839"/>
      <c r="AA326" s="839"/>
      <c r="AB326" s="1940"/>
    </row>
    <row r="327" s="839" customFormat="1" ht="16" customHeight="1" spans="1:28">
      <c r="A327" s="839">
        <v>219</v>
      </c>
      <c r="B327" s="226"/>
      <c r="C327" s="226"/>
      <c r="D327" s="227">
        <v>20241202</v>
      </c>
      <c r="E327" s="227">
        <v>7.17</v>
      </c>
      <c r="F327" s="2132" t="s">
        <v>2560</v>
      </c>
      <c r="G327" s="227" t="s">
        <v>2320</v>
      </c>
      <c r="H327" s="227"/>
      <c r="I327" s="227" t="s">
        <v>2365</v>
      </c>
      <c r="J327" s="227"/>
      <c r="K327" s="507" t="s">
        <v>712</v>
      </c>
      <c r="L327" s="227"/>
      <c r="M327" s="232">
        <v>5.57024288855061</v>
      </c>
      <c r="N327" s="232">
        <v>23.1856852402205</v>
      </c>
      <c r="O327" s="231">
        <f t="shared" si="46"/>
        <v>3.83851100332013</v>
      </c>
      <c r="P327" s="231">
        <f t="shared" si="44"/>
        <v>32.5944391320912</v>
      </c>
      <c r="Q327" s="281" t="s">
        <v>1748</v>
      </c>
      <c r="R327" s="226" t="s">
        <v>2559</v>
      </c>
      <c r="S327" s="804"/>
      <c r="T327" s="120"/>
      <c r="W327" s="1940"/>
      <c r="AB327" s="1940"/>
    </row>
    <row r="328" s="42" customFormat="1" ht="16" customHeight="1" spans="1:28">
      <c r="A328" s="839">
        <v>220</v>
      </c>
      <c r="B328" s="226"/>
      <c r="C328" s="226"/>
      <c r="D328" s="227">
        <v>20240723</v>
      </c>
      <c r="E328" s="227">
        <v>7.17</v>
      </c>
      <c r="F328" s="2132" t="s">
        <v>2561</v>
      </c>
      <c r="G328" s="227" t="s">
        <v>2234</v>
      </c>
      <c r="H328" s="227"/>
      <c r="I328" s="227" t="s">
        <v>2562</v>
      </c>
      <c r="J328" s="227" t="s">
        <v>1428</v>
      </c>
      <c r="K328" s="227" t="s">
        <v>712</v>
      </c>
      <c r="L328" s="227" t="s">
        <v>1428</v>
      </c>
      <c r="M328" s="232">
        <v>5.57024288855061</v>
      </c>
      <c r="N328" s="232">
        <v>25.1501927660533</v>
      </c>
      <c r="O328" s="231">
        <f t="shared" si="46"/>
        <v>3.83851100332013</v>
      </c>
      <c r="P328" s="231">
        <f t="shared" si="44"/>
        <v>34.558946657924</v>
      </c>
      <c r="Q328" s="281" t="s">
        <v>2563</v>
      </c>
      <c r="R328" s="226" t="s">
        <v>2564</v>
      </c>
      <c r="S328" s="804"/>
      <c r="T328" s="120"/>
      <c r="W328" s="2163"/>
      <c r="Z328" s="839"/>
      <c r="AA328" s="839"/>
      <c r="AB328" s="1940"/>
    </row>
    <row r="329" s="42" customFormat="1" ht="16" customHeight="1" spans="1:28">
      <c r="A329" s="839">
        <v>221</v>
      </c>
      <c r="B329" s="226"/>
      <c r="C329" s="226"/>
      <c r="D329" s="227">
        <v>20240723</v>
      </c>
      <c r="E329" s="227">
        <v>7.17</v>
      </c>
      <c r="F329" s="2132" t="s">
        <v>2565</v>
      </c>
      <c r="G329" s="227" t="s">
        <v>1596</v>
      </c>
      <c r="H329" s="227"/>
      <c r="I329" s="227" t="s">
        <v>2566</v>
      </c>
      <c r="J329" s="227" t="s">
        <v>1428</v>
      </c>
      <c r="K329" s="509" t="s">
        <v>712</v>
      </c>
      <c r="L329" s="227" t="s">
        <v>1428</v>
      </c>
      <c r="M329" s="232">
        <v>5.57024288855061</v>
      </c>
      <c r="N329" s="232">
        <v>23.8919538828407</v>
      </c>
      <c r="O329" s="231">
        <f t="shared" si="46"/>
        <v>3.83851100332013</v>
      </c>
      <c r="P329" s="231">
        <f t="shared" si="44"/>
        <v>33.3007077747114</v>
      </c>
      <c r="Q329" s="281" t="s">
        <v>1755</v>
      </c>
      <c r="R329" s="226" t="s">
        <v>2567</v>
      </c>
      <c r="S329" s="804"/>
      <c r="T329" s="120"/>
      <c r="W329" s="2163"/>
      <c r="Z329" s="839"/>
      <c r="AA329" s="839"/>
      <c r="AB329" s="1940"/>
    </row>
    <row r="330" s="42" customFormat="1" ht="16" customHeight="1" spans="1:28">
      <c r="A330" s="839">
        <v>222</v>
      </c>
      <c r="B330" s="226"/>
      <c r="C330" s="226"/>
      <c r="D330" s="227">
        <v>20240723</v>
      </c>
      <c r="E330" s="227">
        <v>7.17</v>
      </c>
      <c r="F330" s="2132" t="s">
        <v>2568</v>
      </c>
      <c r="G330" s="227" t="s">
        <v>2569</v>
      </c>
      <c r="H330" s="227"/>
      <c r="I330" s="227" t="s">
        <v>2566</v>
      </c>
      <c r="J330" s="227" t="s">
        <v>1428</v>
      </c>
      <c r="K330" s="509" t="s">
        <v>712</v>
      </c>
      <c r="L330" s="227" t="s">
        <v>1428</v>
      </c>
      <c r="M330" s="232">
        <v>5.57024288855061</v>
      </c>
      <c r="N330" s="232">
        <v>23.837220907731</v>
      </c>
      <c r="O330" s="231">
        <f t="shared" si="46"/>
        <v>3.83851100332013</v>
      </c>
      <c r="P330" s="231">
        <f t="shared" si="44"/>
        <v>33.2459747996017</v>
      </c>
      <c r="Q330" s="281" t="s">
        <v>1755</v>
      </c>
      <c r="R330" s="226" t="s">
        <v>2567</v>
      </c>
      <c r="S330" s="804"/>
      <c r="T330" s="120"/>
      <c r="W330" s="2163"/>
      <c r="Z330" s="839"/>
      <c r="AA330" s="839"/>
      <c r="AB330" s="1940"/>
    </row>
    <row r="331" s="42" customFormat="1" ht="16" customHeight="1" spans="1:28">
      <c r="A331" s="839">
        <v>223</v>
      </c>
      <c r="B331" s="226"/>
      <c r="C331" s="226"/>
      <c r="D331" s="227">
        <v>20240923</v>
      </c>
      <c r="E331" s="227">
        <v>7.17</v>
      </c>
      <c r="F331" s="2132" t="s">
        <v>2570</v>
      </c>
      <c r="G331" s="227" t="s">
        <v>2571</v>
      </c>
      <c r="H331" s="227"/>
      <c r="I331" s="227" t="s">
        <v>2572</v>
      </c>
      <c r="J331" s="227" t="s">
        <v>1428</v>
      </c>
      <c r="K331" s="507" t="s">
        <v>712</v>
      </c>
      <c r="L331" s="227" t="s">
        <v>1428</v>
      </c>
      <c r="M331" s="232">
        <v>5.57024288855061</v>
      </c>
      <c r="N331" s="232">
        <v>20.385240411226</v>
      </c>
      <c r="O331" s="231">
        <f t="shared" si="46"/>
        <v>3.83851100332013</v>
      </c>
      <c r="P331" s="231">
        <f t="shared" si="44"/>
        <v>29.7939943030967</v>
      </c>
      <c r="Q331" s="281" t="s">
        <v>2563</v>
      </c>
      <c r="R331" s="226" t="s">
        <v>2573</v>
      </c>
      <c r="S331" s="804"/>
      <c r="T331" s="120"/>
      <c r="W331" s="2163"/>
      <c r="Z331" s="839"/>
      <c r="AA331" s="839"/>
      <c r="AB331" s="1940"/>
    </row>
    <row r="332" s="42" customFormat="1" ht="16" customHeight="1" spans="1:28">
      <c r="A332" s="839">
        <v>224</v>
      </c>
      <c r="B332" s="226"/>
      <c r="C332" s="226"/>
      <c r="D332" s="227">
        <v>20241219</v>
      </c>
      <c r="E332" s="227">
        <v>7.17</v>
      </c>
      <c r="F332" s="2132" t="s">
        <v>2574</v>
      </c>
      <c r="G332" s="227" t="s">
        <v>2575</v>
      </c>
      <c r="H332" s="227"/>
      <c r="I332" s="227" t="s">
        <v>2438</v>
      </c>
      <c r="J332" s="227" t="s">
        <v>1428</v>
      </c>
      <c r="K332" s="247" t="s">
        <v>712</v>
      </c>
      <c r="L332" s="227"/>
      <c r="M332" s="232">
        <v>5.57024288855061</v>
      </c>
      <c r="N332" s="232">
        <v>22.3724368031837</v>
      </c>
      <c r="O332" s="231">
        <f t="shared" si="46"/>
        <v>3.83851100332013</v>
      </c>
      <c r="P332" s="231">
        <f t="shared" si="44"/>
        <v>31.7811906950544</v>
      </c>
      <c r="Q332" s="281" t="s">
        <v>1755</v>
      </c>
      <c r="R332" s="226" t="s">
        <v>2576</v>
      </c>
      <c r="S332" s="804"/>
      <c r="T332" s="120"/>
      <c r="W332" s="2163"/>
      <c r="Z332" s="839"/>
      <c r="AA332" s="839"/>
      <c r="AB332" s="1940"/>
    </row>
    <row r="333" s="42" customFormat="1" ht="16" customHeight="1" spans="1:28">
      <c r="A333" s="839">
        <v>225</v>
      </c>
      <c r="B333" s="226"/>
      <c r="C333" s="226"/>
      <c r="D333" s="227">
        <v>20250715</v>
      </c>
      <c r="E333" s="227">
        <v>7.17</v>
      </c>
      <c r="F333" s="2132" t="s">
        <v>2577</v>
      </c>
      <c r="G333" s="227" t="s">
        <v>1629</v>
      </c>
      <c r="H333" s="227"/>
      <c r="I333" s="227" t="s">
        <v>2578</v>
      </c>
      <c r="J333" s="227"/>
      <c r="K333" s="247" t="s">
        <v>712</v>
      </c>
      <c r="L333" s="227"/>
      <c r="M333" s="232">
        <v>25.9500623295195</v>
      </c>
      <c r="N333" s="232">
        <v>28.8775060461362</v>
      </c>
      <c r="O333" s="231">
        <v>3.83821478382148</v>
      </c>
      <c r="P333" s="231">
        <f t="shared" si="44"/>
        <v>58.6657831594772</v>
      </c>
      <c r="Q333" s="281" t="s">
        <v>2579</v>
      </c>
      <c r="R333" s="226" t="s">
        <v>2580</v>
      </c>
      <c r="S333" s="804"/>
      <c r="T333" s="120"/>
      <c r="W333" s="2163"/>
      <c r="Z333" s="839"/>
      <c r="AA333" s="839"/>
      <c r="AB333" s="1940"/>
    </row>
    <row r="334" s="42" customFormat="1" ht="16" customHeight="1" spans="1:28">
      <c r="A334" s="839">
        <v>226</v>
      </c>
      <c r="B334" s="226"/>
      <c r="C334" s="226"/>
      <c r="D334" s="227">
        <v>20250715</v>
      </c>
      <c r="E334" s="227">
        <v>7.17</v>
      </c>
      <c r="F334" s="2132" t="s">
        <v>71</v>
      </c>
      <c r="G334" s="227" t="s">
        <v>72</v>
      </c>
      <c r="H334" s="227"/>
      <c r="I334" s="227"/>
      <c r="J334" s="227"/>
      <c r="K334" s="247" t="s">
        <v>712</v>
      </c>
      <c r="L334" s="227"/>
      <c r="M334" s="232">
        <v>6.79700324607201</v>
      </c>
      <c r="N334" s="232">
        <v>1.59154543207317</v>
      </c>
      <c r="O334" s="231">
        <v>0.2</v>
      </c>
      <c r="P334" s="231">
        <f t="shared" si="44"/>
        <v>8.58854867814518</v>
      </c>
      <c r="Q334" s="281"/>
      <c r="R334" s="226" t="s">
        <v>2581</v>
      </c>
      <c r="S334" s="804"/>
      <c r="T334" s="120"/>
      <c r="W334" s="2163"/>
      <c r="Z334" s="839"/>
      <c r="AA334" s="839"/>
      <c r="AB334" s="1940"/>
    </row>
    <row r="335" s="42" customFormat="1" ht="16" customHeight="1" spans="1:28">
      <c r="A335" s="839">
        <v>227</v>
      </c>
      <c r="B335" s="226"/>
      <c r="C335" s="226"/>
      <c r="D335" s="227">
        <v>20250218</v>
      </c>
      <c r="E335" s="227">
        <v>7.17</v>
      </c>
      <c r="F335" s="2132" t="s">
        <v>74</v>
      </c>
      <c r="G335" s="227" t="s">
        <v>75</v>
      </c>
      <c r="H335" s="227"/>
      <c r="I335" s="227"/>
      <c r="J335" s="227"/>
      <c r="K335" s="247" t="s">
        <v>712</v>
      </c>
      <c r="L335" s="227"/>
      <c r="M335" s="232">
        <v>0.336366365771353</v>
      </c>
      <c r="N335" s="232">
        <v>1.61107575356481</v>
      </c>
      <c r="O335" s="231">
        <v>0.2</v>
      </c>
      <c r="P335" s="231">
        <f t="shared" si="44"/>
        <v>2.14744211933616</v>
      </c>
      <c r="Q335" s="281"/>
      <c r="R335" s="226" t="s">
        <v>2582</v>
      </c>
      <c r="S335" s="804"/>
      <c r="T335" s="120"/>
      <c r="W335" s="2163"/>
      <c r="Z335" s="839"/>
      <c r="AA335" s="839"/>
      <c r="AB335" s="1940"/>
    </row>
    <row r="336" s="42" customFormat="1" ht="16" customHeight="1" spans="1:28">
      <c r="A336" s="839">
        <v>228</v>
      </c>
      <c r="B336" s="226"/>
      <c r="C336" s="226"/>
      <c r="D336" s="227">
        <v>20250521</v>
      </c>
      <c r="E336" s="227">
        <v>7.17</v>
      </c>
      <c r="F336" s="2132" t="s">
        <v>2583</v>
      </c>
      <c r="G336" s="227" t="s">
        <v>1131</v>
      </c>
      <c r="H336" s="227"/>
      <c r="I336" s="227"/>
      <c r="J336" s="227"/>
      <c r="K336" s="227" t="s">
        <v>712</v>
      </c>
      <c r="L336" s="227"/>
      <c r="M336" s="232">
        <v>0.418921998090089</v>
      </c>
      <c r="N336" s="232">
        <v>2.66903705934089</v>
      </c>
      <c r="O336" s="288">
        <v>0.4</v>
      </c>
      <c r="P336" s="231">
        <f t="shared" ref="P336:P342" si="47">SUM(K336:O336)</f>
        <v>3.48795905743098</v>
      </c>
      <c r="Q336" s="281"/>
      <c r="R336" s="226" t="s">
        <v>2584</v>
      </c>
      <c r="S336" s="804"/>
      <c r="W336" s="2163"/>
      <c r="Z336" s="839"/>
      <c r="AA336" s="839"/>
      <c r="AB336" s="1940"/>
    </row>
    <row r="337" s="42" customFormat="1" ht="16" customHeight="1" spans="1:28">
      <c r="A337" s="839">
        <v>229</v>
      </c>
      <c r="B337" s="226"/>
      <c r="C337" s="226"/>
      <c r="D337" s="227">
        <v>20241029</v>
      </c>
      <c r="E337" s="227">
        <v>7.17</v>
      </c>
      <c r="F337" s="2132" t="s">
        <v>2585</v>
      </c>
      <c r="G337" s="227" t="s">
        <v>453</v>
      </c>
      <c r="H337" s="227"/>
      <c r="I337" s="227"/>
      <c r="J337" s="227"/>
      <c r="K337" s="227" t="s">
        <v>712</v>
      </c>
      <c r="L337" s="227"/>
      <c r="M337" s="232">
        <v>0.376489250613855</v>
      </c>
      <c r="N337" s="232">
        <v>2.99017429652752</v>
      </c>
      <c r="O337" s="288">
        <v>0.4</v>
      </c>
      <c r="P337" s="231">
        <f t="shared" si="47"/>
        <v>3.76666354714137</v>
      </c>
      <c r="Q337" s="281"/>
      <c r="R337" s="226"/>
      <c r="S337" s="804"/>
      <c r="W337" s="2163"/>
      <c r="Z337" s="839"/>
      <c r="AA337" s="839"/>
      <c r="AB337" s="1940"/>
    </row>
    <row r="338" s="42" customFormat="1" ht="16" customHeight="1" spans="1:28">
      <c r="A338" s="839">
        <v>230</v>
      </c>
      <c r="B338" s="226" t="s">
        <v>2586</v>
      </c>
      <c r="C338" s="226"/>
      <c r="D338" s="227">
        <v>20240808</v>
      </c>
      <c r="E338" s="227">
        <v>7.17</v>
      </c>
      <c r="F338" s="2132" t="s">
        <v>2587</v>
      </c>
      <c r="G338" s="227" t="s">
        <v>1629</v>
      </c>
      <c r="H338" s="227"/>
      <c r="I338" s="227" t="s">
        <v>2326</v>
      </c>
      <c r="J338" s="227" t="s">
        <v>1635</v>
      </c>
      <c r="K338" s="507" t="s">
        <v>712</v>
      </c>
      <c r="L338" s="227">
        <v>3.1</v>
      </c>
      <c r="M338" s="232">
        <v>3.30024935217328</v>
      </c>
      <c r="N338" s="232">
        <v>14.4986914749326</v>
      </c>
      <c r="O338" s="231">
        <f t="shared" ref="O338:O345" si="48">22.36/E338/1.13</f>
        <v>2.75977832907518</v>
      </c>
      <c r="P338" s="231">
        <f t="shared" si="47"/>
        <v>23.6587191561811</v>
      </c>
      <c r="Q338" s="226" t="s">
        <v>1526</v>
      </c>
      <c r="R338" s="226" t="s">
        <v>2588</v>
      </c>
      <c r="S338" s="804"/>
      <c r="W338" s="2163"/>
      <c r="Z338" s="839"/>
      <c r="AA338" s="839"/>
      <c r="AB338" s="1940"/>
    </row>
    <row r="339" s="42" customFormat="1" ht="16" customHeight="1" spans="1:28">
      <c r="A339" s="839">
        <v>231</v>
      </c>
      <c r="B339" s="226"/>
      <c r="C339" s="226"/>
      <c r="D339" s="227">
        <v>20240808</v>
      </c>
      <c r="E339" s="227">
        <v>7.17</v>
      </c>
      <c r="F339" s="2132" t="s">
        <v>2589</v>
      </c>
      <c r="G339" s="227" t="s">
        <v>1645</v>
      </c>
      <c r="H339" s="227"/>
      <c r="I339" s="227" t="s">
        <v>2317</v>
      </c>
      <c r="J339" s="227" t="s">
        <v>1635</v>
      </c>
      <c r="K339" s="247" t="s">
        <v>712</v>
      </c>
      <c r="L339" s="227">
        <v>3.1</v>
      </c>
      <c r="M339" s="232">
        <v>3.30024935217328</v>
      </c>
      <c r="N339" s="232">
        <v>14.9870352818103</v>
      </c>
      <c r="O339" s="231">
        <f t="shared" si="48"/>
        <v>2.75977832907518</v>
      </c>
      <c r="P339" s="231">
        <f t="shared" si="47"/>
        <v>24.1470629630588</v>
      </c>
      <c r="Q339" s="226" t="s">
        <v>1526</v>
      </c>
      <c r="R339" s="226" t="s">
        <v>2588</v>
      </c>
      <c r="S339" s="804"/>
      <c r="W339" s="2163"/>
      <c r="Z339" s="839"/>
      <c r="AA339" s="839"/>
      <c r="AB339" s="1940"/>
    </row>
    <row r="340" s="42" customFormat="1" ht="16" customHeight="1" spans="1:28">
      <c r="A340" s="839">
        <v>232</v>
      </c>
      <c r="B340" s="226"/>
      <c r="C340" s="226"/>
      <c r="D340" s="227">
        <v>20240918</v>
      </c>
      <c r="E340" s="227">
        <v>7.17</v>
      </c>
      <c r="F340" s="2132" t="s">
        <v>2590</v>
      </c>
      <c r="G340" s="227" t="s">
        <v>1604</v>
      </c>
      <c r="H340" s="227"/>
      <c r="I340" s="227" t="s">
        <v>2326</v>
      </c>
      <c r="J340" s="227" t="s">
        <v>1635</v>
      </c>
      <c r="K340" s="507" t="s">
        <v>712</v>
      </c>
      <c r="L340" s="227">
        <v>3.1</v>
      </c>
      <c r="M340" s="232">
        <v>3.30024935217328</v>
      </c>
      <c r="N340" s="232">
        <v>14.4531720593031</v>
      </c>
      <c r="O340" s="231">
        <f t="shared" si="48"/>
        <v>2.75977832907518</v>
      </c>
      <c r="P340" s="231">
        <f t="shared" si="47"/>
        <v>23.6131997405516</v>
      </c>
      <c r="Q340" s="226" t="s">
        <v>1526</v>
      </c>
      <c r="R340" s="226" t="s">
        <v>2588</v>
      </c>
      <c r="S340" s="804"/>
      <c r="W340" s="2163"/>
      <c r="Z340" s="839"/>
      <c r="AA340" s="839"/>
      <c r="AB340" s="1940"/>
    </row>
    <row r="341" s="42" customFormat="1" ht="16" customHeight="1" spans="1:28">
      <c r="A341" s="839">
        <v>233</v>
      </c>
      <c r="B341" s="226"/>
      <c r="C341" s="226"/>
      <c r="D341" s="227">
        <v>20240918</v>
      </c>
      <c r="E341" s="227">
        <v>7.17</v>
      </c>
      <c r="F341" s="2132" t="s">
        <v>2591</v>
      </c>
      <c r="G341" s="227" t="s">
        <v>1571</v>
      </c>
      <c r="H341" s="227"/>
      <c r="I341" s="227" t="s">
        <v>2317</v>
      </c>
      <c r="J341" s="227" t="s">
        <v>1635</v>
      </c>
      <c r="K341" s="247" t="s">
        <v>712</v>
      </c>
      <c r="L341" s="227">
        <v>3.1</v>
      </c>
      <c r="M341" s="232">
        <v>3.30024935217328</v>
      </c>
      <c r="N341" s="232">
        <v>14.4656815052225</v>
      </c>
      <c r="O341" s="231">
        <f t="shared" si="48"/>
        <v>2.75977832907518</v>
      </c>
      <c r="P341" s="231">
        <f t="shared" si="47"/>
        <v>23.625709186471</v>
      </c>
      <c r="Q341" s="226" t="s">
        <v>1526</v>
      </c>
      <c r="R341" s="226" t="s">
        <v>2588</v>
      </c>
      <c r="S341" s="804"/>
      <c r="W341" s="2163"/>
      <c r="Z341" s="839"/>
      <c r="AA341" s="839"/>
      <c r="AB341" s="1940"/>
    </row>
    <row r="342" s="42" customFormat="1" ht="16" customHeight="1" spans="1:28">
      <c r="A342" s="839">
        <v>234</v>
      </c>
      <c r="B342" s="226"/>
      <c r="C342" s="226"/>
      <c r="D342" s="227">
        <v>20240926</v>
      </c>
      <c r="E342" s="227">
        <v>7.17</v>
      </c>
      <c r="F342" s="2132" t="s">
        <v>2592</v>
      </c>
      <c r="G342" s="227" t="s">
        <v>1685</v>
      </c>
      <c r="H342" s="227"/>
      <c r="I342" s="227" t="s">
        <v>2326</v>
      </c>
      <c r="J342" s="227" t="s">
        <v>1635</v>
      </c>
      <c r="K342" s="507" t="s">
        <v>712</v>
      </c>
      <c r="L342" s="227">
        <v>3.1</v>
      </c>
      <c r="M342" s="232">
        <v>3.30024935217328</v>
      </c>
      <c r="N342" s="232">
        <v>14.478103118862</v>
      </c>
      <c r="O342" s="231">
        <f t="shared" si="48"/>
        <v>2.75977832907518</v>
      </c>
      <c r="P342" s="231">
        <f t="shared" si="47"/>
        <v>23.6381308001105</v>
      </c>
      <c r="Q342" s="226" t="s">
        <v>1526</v>
      </c>
      <c r="R342" s="226" t="s">
        <v>2588</v>
      </c>
      <c r="S342" s="804"/>
      <c r="W342" s="2163"/>
      <c r="Z342" s="839"/>
      <c r="AA342" s="839"/>
      <c r="AB342" s="1940"/>
    </row>
    <row r="343" s="42" customFormat="1" ht="16" customHeight="1" spans="1:28">
      <c r="A343" s="839">
        <v>235</v>
      </c>
      <c r="B343" s="226"/>
      <c r="C343" s="226"/>
      <c r="D343" s="227">
        <v>20241108</v>
      </c>
      <c r="E343" s="227">
        <v>7.17</v>
      </c>
      <c r="F343" s="2132" t="s">
        <v>2593</v>
      </c>
      <c r="G343" s="227" t="s">
        <v>1669</v>
      </c>
      <c r="H343" s="227"/>
      <c r="I343" s="227" t="s">
        <v>2594</v>
      </c>
      <c r="J343" s="227" t="s">
        <v>1635</v>
      </c>
      <c r="K343" s="247" t="s">
        <v>712</v>
      </c>
      <c r="L343" s="227">
        <v>3.1</v>
      </c>
      <c r="M343" s="232">
        <v>3.30024935217328</v>
      </c>
      <c r="N343" s="232">
        <v>14.4315551890002</v>
      </c>
      <c r="O343" s="231">
        <f t="shared" si="48"/>
        <v>2.75977832907518</v>
      </c>
      <c r="P343" s="231">
        <f t="shared" ref="P343:P348" si="49">SUM(K343:O343)</f>
        <v>23.5915828702487</v>
      </c>
      <c r="Q343" s="226" t="s">
        <v>1526</v>
      </c>
      <c r="R343" s="226" t="s">
        <v>2588</v>
      </c>
      <c r="S343" s="804"/>
      <c r="W343" s="2163"/>
      <c r="Z343" s="839"/>
      <c r="AA343" s="839"/>
      <c r="AB343" s="1940"/>
    </row>
    <row r="344" s="42" customFormat="1" ht="16" customHeight="1" spans="1:28">
      <c r="A344" s="839">
        <v>236</v>
      </c>
      <c r="B344" s="226"/>
      <c r="C344" s="226"/>
      <c r="D344" s="227">
        <v>20250313</v>
      </c>
      <c r="E344" s="227">
        <v>7.17</v>
      </c>
      <c r="F344" s="2132" t="s">
        <v>2595</v>
      </c>
      <c r="G344" s="227" t="s">
        <v>1671</v>
      </c>
      <c r="H344" s="227"/>
      <c r="I344" s="227" t="s">
        <v>2596</v>
      </c>
      <c r="J344" s="227" t="s">
        <v>1635</v>
      </c>
      <c r="K344" s="256" t="s">
        <v>712</v>
      </c>
      <c r="L344" s="227">
        <v>3.1</v>
      </c>
      <c r="M344" s="232">
        <v>3.30024935217328</v>
      </c>
      <c r="N344" s="232">
        <v>13.8503332490793</v>
      </c>
      <c r="O344" s="231">
        <f t="shared" si="48"/>
        <v>2.75977832907518</v>
      </c>
      <c r="P344" s="231">
        <f t="shared" si="49"/>
        <v>23.0103609303278</v>
      </c>
      <c r="Q344" s="226" t="s">
        <v>1526</v>
      </c>
      <c r="R344" s="226" t="s">
        <v>2597</v>
      </c>
      <c r="S344" s="804"/>
      <c r="W344" s="2163"/>
      <c r="Z344" s="839"/>
      <c r="AA344" s="839"/>
      <c r="AB344" s="1940"/>
    </row>
    <row r="345" s="839" customFormat="1" ht="16" customHeight="1" spans="1:28">
      <c r="A345" s="839">
        <v>237</v>
      </c>
      <c r="B345" s="226"/>
      <c r="C345" s="226"/>
      <c r="D345" s="227">
        <v>20250515</v>
      </c>
      <c r="E345" s="227">
        <v>7.17</v>
      </c>
      <c r="F345" s="2132" t="s">
        <v>2598</v>
      </c>
      <c r="G345" s="227" t="s">
        <v>1998</v>
      </c>
      <c r="H345" s="227"/>
      <c r="I345" s="227" t="s">
        <v>2365</v>
      </c>
      <c r="J345" s="227" t="s">
        <v>1635</v>
      </c>
      <c r="K345" s="507" t="s">
        <v>712</v>
      </c>
      <c r="L345" s="227">
        <v>3.1</v>
      </c>
      <c r="M345" s="232">
        <v>3.30024935217328</v>
      </c>
      <c r="N345" s="232">
        <v>13.7832857124114</v>
      </c>
      <c r="O345" s="231">
        <f t="shared" si="48"/>
        <v>2.75977832907518</v>
      </c>
      <c r="P345" s="231">
        <f t="shared" si="49"/>
        <v>22.9433133936599</v>
      </c>
      <c r="Q345" s="226" t="s">
        <v>1526</v>
      </c>
      <c r="R345" s="226" t="s">
        <v>2599</v>
      </c>
      <c r="S345" s="804"/>
      <c r="W345" s="1940"/>
      <c r="AB345" s="1940"/>
    </row>
    <row r="346" s="42" customFormat="1" ht="16" customHeight="1" spans="1:28">
      <c r="A346" s="839">
        <v>238</v>
      </c>
      <c r="B346" s="226" t="s">
        <v>2600</v>
      </c>
      <c r="C346" s="226"/>
      <c r="D346" s="227">
        <v>20250226</v>
      </c>
      <c r="E346" s="227">
        <v>7.17</v>
      </c>
      <c r="F346" s="2132" t="s">
        <v>2601</v>
      </c>
      <c r="G346" s="227" t="s">
        <v>1581</v>
      </c>
      <c r="H346" s="227"/>
      <c r="I346" s="245" t="s">
        <v>2562</v>
      </c>
      <c r="J346" s="227" t="s">
        <v>1428</v>
      </c>
      <c r="K346" s="227" t="s">
        <v>712</v>
      </c>
      <c r="L346" s="227" t="s">
        <v>1428</v>
      </c>
      <c r="M346" s="231">
        <v>5.3640275862069</v>
      </c>
      <c r="N346" s="232">
        <v>19.8808338402645</v>
      </c>
      <c r="O346" s="231">
        <f t="shared" ref="O346:O348" si="50">24.17/E346/1.13</f>
        <v>2.98317720097259</v>
      </c>
      <c r="P346" s="231">
        <f t="shared" si="49"/>
        <v>28.228038627444</v>
      </c>
      <c r="Q346" s="226" t="s">
        <v>1526</v>
      </c>
      <c r="R346" s="226" t="s">
        <v>2602</v>
      </c>
      <c r="S346" s="804"/>
      <c r="W346" s="2163"/>
      <c r="Z346" s="839"/>
      <c r="AA346" s="839"/>
      <c r="AB346" s="1940"/>
    </row>
    <row r="347" s="42" customFormat="1" ht="16" customHeight="1" spans="1:28">
      <c r="A347" s="839">
        <v>239</v>
      </c>
      <c r="B347" s="226"/>
      <c r="C347" s="226"/>
      <c r="D347" s="227">
        <v>20240703</v>
      </c>
      <c r="E347" s="227">
        <v>7.17</v>
      </c>
      <c r="F347" s="2132" t="s">
        <v>2603</v>
      </c>
      <c r="G347" s="227" t="s">
        <v>2427</v>
      </c>
      <c r="H347" s="227"/>
      <c r="I347" s="245" t="s">
        <v>2566</v>
      </c>
      <c r="J347" s="227" t="s">
        <v>1428</v>
      </c>
      <c r="K347" s="509" t="s">
        <v>712</v>
      </c>
      <c r="L347" s="227" t="s">
        <v>1428</v>
      </c>
      <c r="M347" s="231">
        <f>5.3640275862069*1.15</f>
        <v>6.16863172413793</v>
      </c>
      <c r="N347" s="232">
        <v>24.5773947507168</v>
      </c>
      <c r="O347" s="231">
        <f t="shared" si="50"/>
        <v>2.98317720097259</v>
      </c>
      <c r="P347" s="231">
        <f t="shared" si="49"/>
        <v>33.7292036758273</v>
      </c>
      <c r="Q347" s="226" t="s">
        <v>1526</v>
      </c>
      <c r="R347" s="226" t="s">
        <v>2604</v>
      </c>
      <c r="S347" s="804"/>
      <c r="W347" s="2163"/>
      <c r="Z347" s="839"/>
      <c r="AA347" s="839"/>
      <c r="AB347" s="1940"/>
    </row>
    <row r="348" s="42" customFormat="1" ht="16" customHeight="1" spans="1:28">
      <c r="A348" s="839"/>
      <c r="B348" s="226"/>
      <c r="C348" s="226"/>
      <c r="D348" s="227"/>
      <c r="E348" s="227">
        <v>6.78</v>
      </c>
      <c r="F348" s="2132" t="s">
        <v>2142</v>
      </c>
      <c r="G348" s="227"/>
      <c r="H348" s="227"/>
      <c r="I348" s="245"/>
      <c r="J348" s="227" t="s">
        <v>1428</v>
      </c>
      <c r="K348" s="509" t="s">
        <v>712</v>
      </c>
      <c r="L348" s="227" t="s">
        <v>1428</v>
      </c>
      <c r="M348" s="231"/>
      <c r="N348" s="232">
        <v>15.5</v>
      </c>
      <c r="O348" s="231">
        <f t="shared" si="50"/>
        <v>3.15477588952411</v>
      </c>
      <c r="P348" s="231">
        <f t="shared" si="49"/>
        <v>18.6547758895241</v>
      </c>
      <c r="Q348" s="226"/>
      <c r="R348" s="226"/>
      <c r="S348" s="804"/>
      <c r="W348" s="2163"/>
      <c r="Z348" s="839"/>
      <c r="AA348" s="839"/>
      <c r="AB348" s="1940"/>
    </row>
    <row r="349" s="42" customFormat="1" ht="16" customHeight="1" spans="1:28">
      <c r="A349" s="839">
        <v>240</v>
      </c>
      <c r="B349" s="226"/>
      <c r="C349" s="226"/>
      <c r="D349" s="227">
        <v>20240924</v>
      </c>
      <c r="E349" s="227">
        <v>7.17</v>
      </c>
      <c r="F349" s="2132" t="s">
        <v>2605</v>
      </c>
      <c r="G349" s="227" t="s">
        <v>2449</v>
      </c>
      <c r="H349" s="227"/>
      <c r="I349" s="245" t="s">
        <v>2384</v>
      </c>
      <c r="J349" s="227" t="s">
        <v>1428</v>
      </c>
      <c r="K349" s="245" t="s">
        <v>712</v>
      </c>
      <c r="L349" s="227" t="s">
        <v>1428</v>
      </c>
      <c r="M349" s="231">
        <v>5.3640275862069</v>
      </c>
      <c r="N349" s="232">
        <v>19.4719614292995</v>
      </c>
      <c r="O349" s="231">
        <f t="shared" ref="O349:O359" si="51">24.17/E349/1.13</f>
        <v>2.98317720097259</v>
      </c>
      <c r="P349" s="231">
        <f t="shared" ref="P349:P401" si="52">SUM(K349:O349)</f>
        <v>27.819166216479</v>
      </c>
      <c r="Q349" s="226" t="s">
        <v>1526</v>
      </c>
      <c r="R349" s="226" t="s">
        <v>2606</v>
      </c>
      <c r="S349" s="804"/>
      <c r="W349" s="2163"/>
      <c r="Z349" s="839"/>
      <c r="AA349" s="839"/>
      <c r="AB349" s="1940"/>
    </row>
    <row r="350" s="42" customFormat="1" ht="16" customHeight="1" spans="1:28">
      <c r="A350" s="839">
        <v>241</v>
      </c>
      <c r="B350" s="226"/>
      <c r="C350" s="226"/>
      <c r="D350" s="227">
        <v>20240924</v>
      </c>
      <c r="E350" s="227">
        <v>7.17</v>
      </c>
      <c r="F350" s="2132" t="s">
        <v>2607</v>
      </c>
      <c r="G350" s="227" t="s">
        <v>2546</v>
      </c>
      <c r="H350" s="227"/>
      <c r="I350" s="245" t="s">
        <v>2407</v>
      </c>
      <c r="J350" s="227" t="s">
        <v>1428</v>
      </c>
      <c r="K350" s="245" t="s">
        <v>712</v>
      </c>
      <c r="L350" s="227" t="s">
        <v>1428</v>
      </c>
      <c r="M350" s="231">
        <v>5.3640275862069</v>
      </c>
      <c r="N350" s="232">
        <v>19.4819423701924</v>
      </c>
      <c r="O350" s="231">
        <f t="shared" si="51"/>
        <v>2.98317720097259</v>
      </c>
      <c r="P350" s="231">
        <f t="shared" si="52"/>
        <v>27.8291471573719</v>
      </c>
      <c r="Q350" s="226" t="s">
        <v>1526</v>
      </c>
      <c r="R350" s="226" t="s">
        <v>2606</v>
      </c>
      <c r="S350" s="804"/>
      <c r="W350" s="2163"/>
      <c r="Z350" s="839"/>
      <c r="AA350" s="839"/>
      <c r="AB350" s="1940"/>
    </row>
    <row r="351" s="839" customFormat="1" ht="16" customHeight="1" spans="1:28">
      <c r="A351" s="839">
        <v>242</v>
      </c>
      <c r="B351" s="226"/>
      <c r="C351" s="226"/>
      <c r="D351" s="227">
        <v>20241023</v>
      </c>
      <c r="E351" s="227">
        <v>7.17</v>
      </c>
      <c r="F351" s="2132" t="s">
        <v>2608</v>
      </c>
      <c r="G351" s="227" t="s">
        <v>2306</v>
      </c>
      <c r="H351" s="227"/>
      <c r="I351" s="245" t="s">
        <v>2342</v>
      </c>
      <c r="J351" s="227" t="s">
        <v>1428</v>
      </c>
      <c r="K351" s="247" t="s">
        <v>712</v>
      </c>
      <c r="L351" s="227" t="s">
        <v>1428</v>
      </c>
      <c r="M351" s="231">
        <v>5.3640275862069</v>
      </c>
      <c r="N351" s="232">
        <v>18.215635582469</v>
      </c>
      <c r="O351" s="231">
        <f t="shared" si="51"/>
        <v>2.98317720097259</v>
      </c>
      <c r="P351" s="231">
        <f t="shared" si="52"/>
        <v>26.5628403696485</v>
      </c>
      <c r="Q351" s="226" t="s">
        <v>1526</v>
      </c>
      <c r="R351" s="226" t="s">
        <v>2609</v>
      </c>
      <c r="S351" s="804"/>
      <c r="W351" s="1940"/>
      <c r="AB351" s="1940"/>
    </row>
    <row r="352" s="42" customFormat="1" ht="16" customHeight="1" spans="1:28">
      <c r="A352" s="839">
        <v>243</v>
      </c>
      <c r="B352" s="226"/>
      <c r="C352" s="226"/>
      <c r="D352" s="227">
        <v>20241023</v>
      </c>
      <c r="E352" s="227">
        <v>7.17</v>
      </c>
      <c r="F352" s="2132" t="s">
        <v>2610</v>
      </c>
      <c r="G352" s="227" t="s">
        <v>2431</v>
      </c>
      <c r="H352" s="227"/>
      <c r="I352" s="245" t="s">
        <v>2611</v>
      </c>
      <c r="J352" s="227" t="s">
        <v>1428</v>
      </c>
      <c r="K352" s="247" t="s">
        <v>712</v>
      </c>
      <c r="L352" s="227" t="s">
        <v>1428</v>
      </c>
      <c r="M352" s="231">
        <v>5.3640275862069</v>
      </c>
      <c r="N352" s="232">
        <v>19.4789185539213</v>
      </c>
      <c r="O352" s="231">
        <f t="shared" si="51"/>
        <v>2.98317720097259</v>
      </c>
      <c r="P352" s="231">
        <f t="shared" si="52"/>
        <v>27.8261233411008</v>
      </c>
      <c r="Q352" s="226" t="s">
        <v>1526</v>
      </c>
      <c r="R352" s="226" t="s">
        <v>2612</v>
      </c>
      <c r="S352" s="804"/>
      <c r="W352" s="2163"/>
      <c r="Z352" s="839"/>
      <c r="AA352" s="839"/>
      <c r="AB352" s="1940"/>
    </row>
    <row r="353" s="42" customFormat="1" ht="16" customHeight="1" spans="1:28">
      <c r="A353" s="839">
        <v>244</v>
      </c>
      <c r="B353" s="226"/>
      <c r="C353" s="226"/>
      <c r="D353" s="227">
        <v>20250312</v>
      </c>
      <c r="E353" s="227">
        <v>7.17</v>
      </c>
      <c r="F353" s="2132" t="s">
        <v>2613</v>
      </c>
      <c r="G353" s="227" t="s">
        <v>1667</v>
      </c>
      <c r="H353" s="227"/>
      <c r="I353" s="245" t="s">
        <v>2614</v>
      </c>
      <c r="J353" s="227"/>
      <c r="K353" s="247" t="s">
        <v>712</v>
      </c>
      <c r="L353" s="227" t="s">
        <v>1428</v>
      </c>
      <c r="M353" s="231">
        <v>5.3640275862069</v>
      </c>
      <c r="N353" s="232">
        <v>17.1151086542666</v>
      </c>
      <c r="O353" s="231">
        <f t="shared" si="51"/>
        <v>2.98317720097259</v>
      </c>
      <c r="P353" s="231">
        <f t="shared" si="52"/>
        <v>25.4623134414461</v>
      </c>
      <c r="Q353" s="226" t="s">
        <v>1526</v>
      </c>
      <c r="R353" s="226" t="s">
        <v>2615</v>
      </c>
      <c r="S353" s="804"/>
      <c r="W353" s="2163"/>
      <c r="Z353" s="839"/>
      <c r="AA353" s="839"/>
      <c r="AB353" s="1940"/>
    </row>
    <row r="354" s="42" customFormat="1" ht="16" customHeight="1" spans="1:28">
      <c r="A354" s="839">
        <v>245</v>
      </c>
      <c r="B354" s="226"/>
      <c r="C354" s="226"/>
      <c r="D354" s="227">
        <v>20250425</v>
      </c>
      <c r="E354" s="227">
        <v>7.17</v>
      </c>
      <c r="F354" s="2132" t="s">
        <v>2616</v>
      </c>
      <c r="G354" s="227" t="s">
        <v>1558</v>
      </c>
      <c r="H354" s="227"/>
      <c r="I354" s="245" t="s">
        <v>2365</v>
      </c>
      <c r="J354" s="227"/>
      <c r="K354" s="507" t="s">
        <v>712</v>
      </c>
      <c r="L354" s="227" t="s">
        <v>1428</v>
      </c>
      <c r="M354" s="231">
        <v>4.86392416780835</v>
      </c>
      <c r="N354" s="232">
        <v>18.3743796886535</v>
      </c>
      <c r="O354" s="231">
        <f t="shared" si="51"/>
        <v>2.98317720097259</v>
      </c>
      <c r="P354" s="231">
        <f t="shared" si="52"/>
        <v>26.2214810574344</v>
      </c>
      <c r="Q354" s="226" t="s">
        <v>1526</v>
      </c>
      <c r="R354" s="226" t="s">
        <v>2617</v>
      </c>
      <c r="S354" s="804"/>
      <c r="W354" s="2163"/>
      <c r="Z354" s="839"/>
      <c r="AA354" s="839"/>
      <c r="AB354" s="1940"/>
    </row>
    <row r="355" s="42" customFormat="1" ht="16" customHeight="1" spans="1:28">
      <c r="A355" s="839">
        <v>246</v>
      </c>
      <c r="B355" s="226"/>
      <c r="C355" s="226"/>
      <c r="D355" s="227">
        <v>20250425</v>
      </c>
      <c r="E355" s="227">
        <v>7.17</v>
      </c>
      <c r="F355" s="2132" t="s">
        <v>2618</v>
      </c>
      <c r="G355" s="227" t="s">
        <v>2311</v>
      </c>
      <c r="H355" s="227"/>
      <c r="I355" s="245" t="s">
        <v>2477</v>
      </c>
      <c r="J355" s="227"/>
      <c r="K355" s="507" t="s">
        <v>712</v>
      </c>
      <c r="L355" s="227" t="s">
        <v>1428</v>
      </c>
      <c r="M355" s="231">
        <v>4.86392416780835</v>
      </c>
      <c r="N355" s="232">
        <v>18.3504139751099</v>
      </c>
      <c r="O355" s="231">
        <f t="shared" si="51"/>
        <v>2.98317720097259</v>
      </c>
      <c r="P355" s="231">
        <f t="shared" si="52"/>
        <v>26.1975153438908</v>
      </c>
      <c r="Q355" s="226" t="s">
        <v>1526</v>
      </c>
      <c r="R355" s="226" t="s">
        <v>2617</v>
      </c>
      <c r="S355" s="804"/>
      <c r="W355" s="2163"/>
      <c r="Z355" s="839"/>
      <c r="AA355" s="839"/>
      <c r="AB355" s="1940"/>
    </row>
    <row r="356" s="839" customFormat="1" ht="16" customHeight="1" spans="1:28">
      <c r="A356" s="839">
        <v>247</v>
      </c>
      <c r="B356" s="226"/>
      <c r="C356" s="226"/>
      <c r="D356" s="227">
        <v>20250730</v>
      </c>
      <c r="E356" s="227">
        <v>7.17</v>
      </c>
      <c r="F356" s="2132" t="s">
        <v>2619</v>
      </c>
      <c r="G356" s="227" t="s">
        <v>2314</v>
      </c>
      <c r="H356" s="227"/>
      <c r="I356" s="245" t="s">
        <v>2620</v>
      </c>
      <c r="J356" s="227"/>
      <c r="K356" s="507" t="s">
        <v>712</v>
      </c>
      <c r="L356" s="227"/>
      <c r="M356" s="231">
        <v>4.86392416780835</v>
      </c>
      <c r="N356" s="232">
        <v>19.07901907129</v>
      </c>
      <c r="O356" s="231">
        <f t="shared" si="51"/>
        <v>2.98317720097259</v>
      </c>
      <c r="P356" s="231">
        <f t="shared" si="52"/>
        <v>26.9261204400709</v>
      </c>
      <c r="Q356" s="226" t="s">
        <v>1526</v>
      </c>
      <c r="R356" s="226" t="s">
        <v>2621</v>
      </c>
      <c r="S356" s="804"/>
      <c r="W356" s="1940"/>
      <c r="AB356" s="1940"/>
    </row>
    <row r="357" s="839" customFormat="1" ht="16" customHeight="1" spans="1:28">
      <c r="A357" s="839">
        <v>248</v>
      </c>
      <c r="B357" s="226"/>
      <c r="C357" s="226"/>
      <c r="D357" s="227">
        <v>20250730</v>
      </c>
      <c r="E357" s="227">
        <v>7.17</v>
      </c>
      <c r="F357" s="2132" t="s">
        <v>2622</v>
      </c>
      <c r="G357" s="227" t="s">
        <v>2459</v>
      </c>
      <c r="H357" s="227"/>
      <c r="I357" s="245" t="s">
        <v>2623</v>
      </c>
      <c r="J357" s="227"/>
      <c r="K357" s="507" t="s">
        <v>712</v>
      </c>
      <c r="L357" s="227"/>
      <c r="M357" s="231">
        <v>4.86392416780835</v>
      </c>
      <c r="N357" s="232">
        <v>19.1359894863676</v>
      </c>
      <c r="O357" s="231">
        <f t="shared" si="51"/>
        <v>2.98317720097259</v>
      </c>
      <c r="P357" s="231">
        <f t="shared" si="52"/>
        <v>26.9830908551485</v>
      </c>
      <c r="Q357" s="226" t="s">
        <v>1526</v>
      </c>
      <c r="R357" s="226" t="s">
        <v>2624</v>
      </c>
      <c r="S357" s="804"/>
      <c r="W357" s="1940"/>
      <c r="AB357" s="1940"/>
    </row>
    <row r="358" s="839" customFormat="1" ht="16" customHeight="1" spans="1:28">
      <c r="A358" s="839">
        <v>249</v>
      </c>
      <c r="B358" s="226"/>
      <c r="C358" s="226"/>
      <c r="D358" s="227">
        <v>20250730</v>
      </c>
      <c r="E358" s="227">
        <v>7.17</v>
      </c>
      <c r="F358" s="2132" t="s">
        <v>2625</v>
      </c>
      <c r="G358" s="227" t="s">
        <v>1723</v>
      </c>
      <c r="H358" s="227"/>
      <c r="I358" s="245" t="s">
        <v>2444</v>
      </c>
      <c r="J358" s="227"/>
      <c r="K358" s="507" t="s">
        <v>712</v>
      </c>
      <c r="L358" s="227"/>
      <c r="M358" s="231">
        <v>4.86392416780835</v>
      </c>
      <c r="N358" s="232">
        <v>19.172276374952</v>
      </c>
      <c r="O358" s="231">
        <f t="shared" si="51"/>
        <v>2.98317720097259</v>
      </c>
      <c r="P358" s="231">
        <f t="shared" si="52"/>
        <v>27.0193777437329</v>
      </c>
      <c r="Q358" s="226" t="s">
        <v>1526</v>
      </c>
      <c r="R358" s="226" t="s">
        <v>2626</v>
      </c>
      <c r="S358" s="804"/>
      <c r="W358" s="1940"/>
      <c r="AB358" s="1940"/>
    </row>
    <row r="359" s="839" customFormat="1" ht="16" customHeight="1" spans="1:28">
      <c r="A359" s="839">
        <v>250</v>
      </c>
      <c r="B359" s="226"/>
      <c r="C359" s="226"/>
      <c r="D359" s="227">
        <v>20250730</v>
      </c>
      <c r="E359" s="227">
        <v>7.17</v>
      </c>
      <c r="F359" s="2132" t="s">
        <v>2627</v>
      </c>
      <c r="G359" s="227" t="s">
        <v>1587</v>
      </c>
      <c r="H359" s="227"/>
      <c r="I359" s="245" t="s">
        <v>2365</v>
      </c>
      <c r="J359" s="227"/>
      <c r="K359" s="507" t="s">
        <v>712</v>
      </c>
      <c r="L359" s="227"/>
      <c r="M359" s="231">
        <v>4.86392416780835</v>
      </c>
      <c r="N359" s="232">
        <v>18.6059935593857</v>
      </c>
      <c r="O359" s="231">
        <f t="shared" si="51"/>
        <v>2.98317720097259</v>
      </c>
      <c r="P359" s="231">
        <f t="shared" si="52"/>
        <v>26.4530949281666</v>
      </c>
      <c r="Q359" s="226" t="s">
        <v>1526</v>
      </c>
      <c r="R359" s="226" t="s">
        <v>2624</v>
      </c>
      <c r="S359" s="804"/>
      <c r="W359" s="1940"/>
      <c r="AB359" s="1940"/>
    </row>
    <row r="360" s="839" customFormat="1" ht="16" customHeight="1" spans="1:28">
      <c r="A360" s="839">
        <v>251</v>
      </c>
      <c r="B360" s="226"/>
      <c r="C360" s="226"/>
      <c r="D360" s="227">
        <v>20250807</v>
      </c>
      <c r="E360" s="227">
        <v>7.17</v>
      </c>
      <c r="F360" s="2132" t="s">
        <v>77</v>
      </c>
      <c r="G360" s="227" t="s">
        <v>78</v>
      </c>
      <c r="H360" s="227"/>
      <c r="I360" s="245"/>
      <c r="J360" s="227"/>
      <c r="K360" s="507" t="s">
        <v>712</v>
      </c>
      <c r="L360" s="227"/>
      <c r="M360" s="231">
        <v>0.476666543241876</v>
      </c>
      <c r="N360" s="232">
        <v>2.90243786510362</v>
      </c>
      <c r="O360" s="231">
        <v>0.4</v>
      </c>
      <c r="P360" s="231">
        <f t="shared" si="52"/>
        <v>3.7791044083455</v>
      </c>
      <c r="Q360" s="226"/>
      <c r="R360" s="226" t="s">
        <v>2628</v>
      </c>
      <c r="S360" s="804"/>
      <c r="W360" s="1940"/>
      <c r="AB360" s="1940"/>
    </row>
    <row r="361" s="42" customFormat="1" ht="16" customHeight="1" spans="1:28">
      <c r="A361" s="839">
        <v>252</v>
      </c>
      <c r="B361" s="226"/>
      <c r="C361" s="226"/>
      <c r="D361" s="227">
        <v>20240829</v>
      </c>
      <c r="E361" s="227">
        <v>7.17</v>
      </c>
      <c r="F361" s="2132" t="s">
        <v>80</v>
      </c>
      <c r="G361" s="227" t="s">
        <v>81</v>
      </c>
      <c r="H361" s="227"/>
      <c r="I361" s="245"/>
      <c r="J361" s="227"/>
      <c r="K361" s="245" t="s">
        <v>712</v>
      </c>
      <c r="L361" s="227"/>
      <c r="M361" s="232">
        <v>0.482359399736111</v>
      </c>
      <c r="N361" s="232">
        <v>2.73545596936718</v>
      </c>
      <c r="O361" s="231">
        <v>0.4</v>
      </c>
      <c r="P361" s="231">
        <f t="shared" si="52"/>
        <v>3.61781536910329</v>
      </c>
      <c r="Q361" s="226"/>
      <c r="R361" s="226" t="s">
        <v>2629</v>
      </c>
      <c r="S361" s="804"/>
      <c r="W361" s="2163"/>
      <c r="Z361" s="839"/>
      <c r="AA361" s="839"/>
      <c r="AB361" s="1940"/>
    </row>
    <row r="362" s="42" customFormat="1" ht="16" customHeight="1" spans="1:28">
      <c r="A362" s="839">
        <v>253</v>
      </c>
      <c r="B362" s="226"/>
      <c r="C362" s="226"/>
      <c r="D362" s="227">
        <v>20250516</v>
      </c>
      <c r="E362" s="227"/>
      <c r="F362" s="2132" t="s">
        <v>1979</v>
      </c>
      <c r="G362" s="227" t="s">
        <v>84</v>
      </c>
      <c r="H362" s="227"/>
      <c r="I362" s="245"/>
      <c r="J362" s="227"/>
      <c r="K362" s="245" t="s">
        <v>712</v>
      </c>
      <c r="L362" s="227"/>
      <c r="M362" s="231">
        <v>0.430186823992134</v>
      </c>
      <c r="N362" s="232">
        <v>3.16456055927237</v>
      </c>
      <c r="O362" s="231">
        <v>0.4</v>
      </c>
      <c r="P362" s="231">
        <f t="shared" si="52"/>
        <v>3.9947473832645</v>
      </c>
      <c r="Q362" s="226"/>
      <c r="R362" s="226" t="s">
        <v>2628</v>
      </c>
      <c r="S362" s="804"/>
      <c r="W362" s="2163"/>
      <c r="Z362" s="839"/>
      <c r="AA362" s="839"/>
      <c r="AB362" s="1940"/>
    </row>
    <row r="363" s="42" customFormat="1" ht="16" customHeight="1" spans="1:28">
      <c r="A363" s="839">
        <v>254</v>
      </c>
      <c r="B363" s="226" t="s">
        <v>2630</v>
      </c>
      <c r="C363" s="226"/>
      <c r="D363" s="227">
        <v>20241018</v>
      </c>
      <c r="E363" s="227">
        <v>7.17</v>
      </c>
      <c r="F363" s="2132" t="s">
        <v>2631</v>
      </c>
      <c r="G363" s="227" t="s">
        <v>1667</v>
      </c>
      <c r="H363" s="227"/>
      <c r="I363" s="227" t="s">
        <v>2632</v>
      </c>
      <c r="J363" s="227" t="s">
        <v>1635</v>
      </c>
      <c r="K363" s="256" t="s">
        <v>712</v>
      </c>
      <c r="L363" s="227">
        <v>3.1</v>
      </c>
      <c r="M363" s="232">
        <v>4.61912677846771</v>
      </c>
      <c r="N363" s="232">
        <v>17.2853419926396</v>
      </c>
      <c r="O363" s="231">
        <f>25.34/E363/1.13</f>
        <v>3.12758420656373</v>
      </c>
      <c r="P363" s="231">
        <f t="shared" si="52"/>
        <v>28.132052977671</v>
      </c>
      <c r="Q363" s="226" t="s">
        <v>2633</v>
      </c>
      <c r="R363" s="226" t="s">
        <v>2634</v>
      </c>
      <c r="S363" s="804"/>
      <c r="W363" s="2163"/>
      <c r="Z363" s="839"/>
      <c r="AA363" s="839"/>
      <c r="AB363" s="1940"/>
    </row>
    <row r="364" s="839" customFormat="1" ht="16" customHeight="1" spans="1:28">
      <c r="A364" s="839">
        <v>255</v>
      </c>
      <c r="B364" s="266"/>
      <c r="C364" s="226"/>
      <c r="D364" s="227">
        <v>20250515</v>
      </c>
      <c r="E364" s="227">
        <v>7.17</v>
      </c>
      <c r="F364" s="2132" t="s">
        <v>2635</v>
      </c>
      <c r="G364" s="219" t="s">
        <v>2311</v>
      </c>
      <c r="H364" s="219"/>
      <c r="I364" s="219" t="s">
        <v>2636</v>
      </c>
      <c r="J364" s="219" t="s">
        <v>1635</v>
      </c>
      <c r="K364" s="2048" t="s">
        <v>712</v>
      </c>
      <c r="L364" s="219">
        <v>3.1</v>
      </c>
      <c r="M364" s="319">
        <f>38*1.5/7.6/1.13</f>
        <v>6.63716814159292</v>
      </c>
      <c r="N364" s="319">
        <v>18.4</v>
      </c>
      <c r="O364" s="320">
        <f>25.34/E364/1.13</f>
        <v>3.12758420656373</v>
      </c>
      <c r="P364" s="320">
        <f t="shared" si="52"/>
        <v>31.2647523481566</v>
      </c>
      <c r="Q364" s="226" t="s">
        <v>2633</v>
      </c>
      <c r="R364" s="226" t="s">
        <v>2637</v>
      </c>
      <c r="S364" s="804"/>
      <c r="W364" s="1940"/>
      <c r="AB364" s="1940"/>
    </row>
    <row r="365" s="42" customFormat="1" ht="16" customHeight="1" spans="1:28">
      <c r="A365" s="839">
        <v>256</v>
      </c>
      <c r="B365" s="226"/>
      <c r="C365" s="226"/>
      <c r="D365" s="227">
        <v>20240802</v>
      </c>
      <c r="E365" s="227">
        <v>7.17</v>
      </c>
      <c r="F365" s="2132" t="s">
        <v>89</v>
      </c>
      <c r="G365" s="227" t="s">
        <v>90</v>
      </c>
      <c r="H365" s="227"/>
      <c r="I365" s="227"/>
      <c r="J365" s="227"/>
      <c r="K365" s="227" t="s">
        <v>712</v>
      </c>
      <c r="L365" s="256"/>
      <c r="M365" s="232">
        <v>0.585861520715995</v>
      </c>
      <c r="N365" s="232">
        <v>0.636355717168493</v>
      </c>
      <c r="O365" s="231">
        <v>0.2</v>
      </c>
      <c r="P365" s="231">
        <f t="shared" si="52"/>
        <v>1.42221723788449</v>
      </c>
      <c r="Q365" s="226"/>
      <c r="R365" s="226"/>
      <c r="S365" s="804"/>
      <c r="W365" s="2163"/>
      <c r="Z365" s="839"/>
      <c r="AA365" s="839"/>
      <c r="AB365" s="1940"/>
    </row>
    <row r="366" s="42" customFormat="1" ht="16" customHeight="1" spans="1:28">
      <c r="A366" s="839">
        <v>257</v>
      </c>
      <c r="B366" s="226"/>
      <c r="C366" s="226"/>
      <c r="D366" s="227"/>
      <c r="E366" s="227"/>
      <c r="F366" s="2132" t="s">
        <v>1979</v>
      </c>
      <c r="G366" s="227" t="s">
        <v>91</v>
      </c>
      <c r="H366" s="227"/>
      <c r="I366" s="227"/>
      <c r="J366" s="227"/>
      <c r="K366" s="227" t="s">
        <v>712</v>
      </c>
      <c r="L366" s="256"/>
      <c r="M366" s="231">
        <v>0.248909042151198</v>
      </c>
      <c r="N366" s="232">
        <v>0.964956446189571</v>
      </c>
      <c r="O366" s="231">
        <v>0.2</v>
      </c>
      <c r="P366" s="231">
        <f t="shared" si="52"/>
        <v>1.41386548834077</v>
      </c>
      <c r="Q366" s="226"/>
      <c r="R366" s="226"/>
      <c r="S366" s="804"/>
      <c r="W366" s="2163"/>
      <c r="Z366" s="839"/>
      <c r="AA366" s="839"/>
      <c r="AB366" s="1940"/>
    </row>
    <row r="367" s="42" customFormat="1" ht="16" customHeight="1" spans="1:28">
      <c r="A367" s="839">
        <v>258</v>
      </c>
      <c r="B367" s="226"/>
      <c r="C367" s="226"/>
      <c r="D367" s="227"/>
      <c r="E367" s="227"/>
      <c r="F367" s="2132" t="s">
        <v>1979</v>
      </c>
      <c r="G367" s="227" t="s">
        <v>92</v>
      </c>
      <c r="H367" s="227"/>
      <c r="I367" s="227"/>
      <c r="J367" s="227"/>
      <c r="K367" s="227" t="s">
        <v>712</v>
      </c>
      <c r="L367" s="256"/>
      <c r="M367" s="231">
        <v>0.356936256107918</v>
      </c>
      <c r="N367" s="232">
        <v>1.38965038709122</v>
      </c>
      <c r="O367" s="231">
        <v>0.2</v>
      </c>
      <c r="P367" s="231">
        <f t="shared" si="52"/>
        <v>1.94658664319914</v>
      </c>
      <c r="Q367" s="226"/>
      <c r="R367" s="226"/>
      <c r="S367" s="804"/>
      <c r="W367" s="2163"/>
      <c r="Z367" s="839"/>
      <c r="AA367" s="839"/>
      <c r="AB367" s="1940"/>
    </row>
    <row r="368" s="42" customFormat="1" ht="16" customHeight="1" spans="1:28">
      <c r="A368" s="839">
        <v>259</v>
      </c>
      <c r="B368" s="226"/>
      <c r="C368" s="226"/>
      <c r="D368" s="227"/>
      <c r="E368" s="227"/>
      <c r="F368" s="2132" t="s">
        <v>1979</v>
      </c>
      <c r="G368" s="227" t="s">
        <v>93</v>
      </c>
      <c r="H368" s="227"/>
      <c r="I368" s="227"/>
      <c r="J368" s="227"/>
      <c r="K368" s="245" t="s">
        <v>712</v>
      </c>
      <c r="L368" s="227"/>
      <c r="M368" s="231">
        <v>1.57829715351839</v>
      </c>
      <c r="N368" s="232">
        <v>2.00003106799788</v>
      </c>
      <c r="O368" s="231">
        <v>0.2</v>
      </c>
      <c r="P368" s="231">
        <f t="shared" si="52"/>
        <v>3.77832822151627</v>
      </c>
      <c r="Q368" s="226"/>
      <c r="R368" s="226"/>
      <c r="S368" s="804"/>
      <c r="W368" s="2163"/>
      <c r="Z368" s="839"/>
      <c r="AA368" s="839"/>
      <c r="AB368" s="1940"/>
    </row>
    <row r="369" s="42" customFormat="1" ht="16" customHeight="1" spans="1:28">
      <c r="A369" s="839">
        <v>260</v>
      </c>
      <c r="B369" s="226"/>
      <c r="C369" s="226"/>
      <c r="D369" s="227"/>
      <c r="E369" s="227"/>
      <c r="F369" s="2132" t="s">
        <v>1979</v>
      </c>
      <c r="G369" s="227" t="s">
        <v>94</v>
      </c>
      <c r="H369" s="227"/>
      <c r="I369" s="227"/>
      <c r="J369" s="227"/>
      <c r="K369" s="256" t="s">
        <v>712</v>
      </c>
      <c r="L369" s="256"/>
      <c r="M369" s="231">
        <v>0.16416570475824</v>
      </c>
      <c r="N369" s="232">
        <v>0.856267492304733</v>
      </c>
      <c r="O369" s="231">
        <v>0.2</v>
      </c>
      <c r="P369" s="231">
        <f t="shared" si="52"/>
        <v>1.22043319706297</v>
      </c>
      <c r="Q369" s="226"/>
      <c r="R369" s="289"/>
      <c r="S369" s="803"/>
      <c r="W369" s="2163"/>
      <c r="Z369" s="839"/>
      <c r="AA369" s="839"/>
      <c r="AB369" s="1940"/>
    </row>
    <row r="370" s="42" customFormat="1" ht="16" customHeight="1" spans="1:28">
      <c r="A370" s="839">
        <v>261</v>
      </c>
      <c r="B370" s="226"/>
      <c r="C370" s="226"/>
      <c r="D370" s="227"/>
      <c r="E370" s="227"/>
      <c r="F370" s="2132" t="s">
        <v>1979</v>
      </c>
      <c r="G370" s="227" t="s">
        <v>95</v>
      </c>
      <c r="H370" s="227"/>
      <c r="I370" s="227"/>
      <c r="J370" s="227"/>
      <c r="K370" s="256" t="s">
        <v>712</v>
      </c>
      <c r="L370" s="256"/>
      <c r="M370" s="231">
        <v>0.0820828523791202</v>
      </c>
      <c r="N370" s="232">
        <v>3.59836810600231</v>
      </c>
      <c r="O370" s="231">
        <v>0.2</v>
      </c>
      <c r="P370" s="231">
        <f t="shared" si="52"/>
        <v>3.88045095838143</v>
      </c>
      <c r="Q370" s="226"/>
      <c r="R370" s="289"/>
      <c r="S370" s="803"/>
      <c r="W370" s="2163"/>
      <c r="Z370" s="839"/>
      <c r="AA370" s="839"/>
      <c r="AB370" s="1940"/>
    </row>
    <row r="371" s="42" customFormat="1" ht="16" customHeight="1" spans="1:28">
      <c r="A371" s="839">
        <v>262</v>
      </c>
      <c r="B371" s="229" t="s">
        <v>2199</v>
      </c>
      <c r="C371" s="229"/>
      <c r="D371" s="244">
        <v>20240527</v>
      </c>
      <c r="E371" s="227">
        <v>7.17</v>
      </c>
      <c r="F371" s="2132" t="s">
        <v>1979</v>
      </c>
      <c r="G371" s="227" t="s">
        <v>1685</v>
      </c>
      <c r="H371" s="227"/>
      <c r="I371" s="227" t="s">
        <v>2638</v>
      </c>
      <c r="J371" s="227" t="s">
        <v>1720</v>
      </c>
      <c r="K371" s="256" t="s">
        <v>712</v>
      </c>
      <c r="L371" s="256">
        <v>2.3</v>
      </c>
      <c r="M371" s="231">
        <v>3.30452054794521</v>
      </c>
      <c r="N371" s="232">
        <v>14.8451419944004</v>
      </c>
      <c r="O371" s="231">
        <f t="shared" ref="O371:O382" si="53">22.95/E371/1.13</f>
        <v>2.83259895582627</v>
      </c>
      <c r="P371" s="231">
        <f t="shared" si="52"/>
        <v>23.2822614981719</v>
      </c>
      <c r="Q371" s="226" t="s">
        <v>2639</v>
      </c>
      <c r="R371" s="226" t="s">
        <v>2640</v>
      </c>
      <c r="S371" s="804"/>
      <c r="W371" s="2163"/>
      <c r="Z371" s="839"/>
      <c r="AA371" s="839"/>
      <c r="AB371" s="1940"/>
    </row>
    <row r="372" s="42" customFormat="1" ht="16" customHeight="1" spans="1:28">
      <c r="A372" s="839">
        <v>263</v>
      </c>
      <c r="B372" s="229"/>
      <c r="C372" s="229"/>
      <c r="D372" s="244">
        <v>20240527</v>
      </c>
      <c r="E372" s="227">
        <v>7.17</v>
      </c>
      <c r="F372" s="2132" t="s">
        <v>1979</v>
      </c>
      <c r="G372" s="227" t="s">
        <v>1669</v>
      </c>
      <c r="H372" s="227"/>
      <c r="I372" s="227" t="s">
        <v>2641</v>
      </c>
      <c r="J372" s="227" t="s">
        <v>1635</v>
      </c>
      <c r="K372" s="2162" t="s">
        <v>712</v>
      </c>
      <c r="L372" s="227">
        <v>3.1</v>
      </c>
      <c r="M372" s="231">
        <v>3.30452054794521</v>
      </c>
      <c r="N372" s="232">
        <v>15.7406479149832</v>
      </c>
      <c r="O372" s="231">
        <f t="shared" si="53"/>
        <v>2.83259895582627</v>
      </c>
      <c r="P372" s="231">
        <f t="shared" si="52"/>
        <v>24.9777674187547</v>
      </c>
      <c r="Q372" s="226" t="s">
        <v>2633</v>
      </c>
      <c r="R372" s="226" t="s">
        <v>2640</v>
      </c>
      <c r="S372" s="804"/>
      <c r="W372" s="2163"/>
      <c r="Z372" s="839"/>
      <c r="AA372" s="839"/>
      <c r="AB372" s="1940"/>
    </row>
    <row r="373" s="42" customFormat="1" ht="16" customHeight="1" spans="1:28">
      <c r="A373" s="839">
        <v>264</v>
      </c>
      <c r="B373" s="229"/>
      <c r="C373" s="229"/>
      <c r="D373" s="244">
        <v>20240527</v>
      </c>
      <c r="E373" s="227">
        <v>7.17</v>
      </c>
      <c r="F373" s="2132" t="s">
        <v>1979</v>
      </c>
      <c r="G373" s="227" t="s">
        <v>1669</v>
      </c>
      <c r="H373" s="227"/>
      <c r="I373" s="227" t="s">
        <v>2641</v>
      </c>
      <c r="J373" s="227" t="s">
        <v>1635</v>
      </c>
      <c r="K373" s="2162" t="s">
        <v>712</v>
      </c>
      <c r="L373" s="227">
        <v>3.1</v>
      </c>
      <c r="M373" s="231">
        <v>3.30452054794521</v>
      </c>
      <c r="N373" s="232">
        <v>15.7406479149832</v>
      </c>
      <c r="O373" s="231">
        <f t="shared" si="53"/>
        <v>2.83259895582627</v>
      </c>
      <c r="P373" s="231">
        <f t="shared" si="52"/>
        <v>24.9777674187547</v>
      </c>
      <c r="Q373" s="226" t="s">
        <v>2633</v>
      </c>
      <c r="R373" s="226" t="s">
        <v>2640</v>
      </c>
      <c r="S373" s="804"/>
      <c r="W373" s="2163"/>
      <c r="Z373" s="839"/>
      <c r="AA373" s="839"/>
      <c r="AB373" s="1940"/>
    </row>
    <row r="374" s="42" customFormat="1" ht="16" customHeight="1" spans="1:28">
      <c r="A374" s="839">
        <v>265</v>
      </c>
      <c r="B374" s="229"/>
      <c r="C374" s="229"/>
      <c r="D374" s="244">
        <v>20240527</v>
      </c>
      <c r="E374" s="227">
        <v>7.17</v>
      </c>
      <c r="F374" s="2132" t="s">
        <v>1979</v>
      </c>
      <c r="G374" s="227" t="s">
        <v>1671</v>
      </c>
      <c r="H374" s="227"/>
      <c r="I374" s="227" t="s">
        <v>2641</v>
      </c>
      <c r="J374" s="227" t="s">
        <v>1635</v>
      </c>
      <c r="K374" s="2162" t="s">
        <v>712</v>
      </c>
      <c r="L374" s="227">
        <v>3.1</v>
      </c>
      <c r="M374" s="231">
        <v>3.30452054794521</v>
      </c>
      <c r="N374" s="232">
        <v>16.6935173077205</v>
      </c>
      <c r="O374" s="231">
        <f t="shared" si="53"/>
        <v>2.83259895582627</v>
      </c>
      <c r="P374" s="231">
        <f t="shared" si="52"/>
        <v>25.930636811492</v>
      </c>
      <c r="Q374" s="226" t="s">
        <v>2633</v>
      </c>
      <c r="R374" s="226" t="s">
        <v>2640</v>
      </c>
      <c r="S374" s="804"/>
      <c r="W374" s="2163"/>
      <c r="Z374" s="839"/>
      <c r="AA374" s="839"/>
      <c r="AB374" s="1940"/>
    </row>
    <row r="375" s="839" customFormat="1" ht="16" customHeight="1" spans="1:28">
      <c r="A375" s="839">
        <v>266</v>
      </c>
      <c r="B375" s="229"/>
      <c r="C375" s="229"/>
      <c r="D375" s="244">
        <v>20240814</v>
      </c>
      <c r="E375" s="227">
        <v>7.17</v>
      </c>
      <c r="F375" s="2132" t="s">
        <v>2642</v>
      </c>
      <c r="G375" s="227" t="s">
        <v>1672</v>
      </c>
      <c r="H375" s="227"/>
      <c r="I375" s="227" t="s">
        <v>2643</v>
      </c>
      <c r="J375" s="227" t="s">
        <v>1720</v>
      </c>
      <c r="K375" s="247" t="s">
        <v>712</v>
      </c>
      <c r="L375" s="256">
        <v>2.3</v>
      </c>
      <c r="M375" s="231">
        <v>3.30452054794521</v>
      </c>
      <c r="N375" s="232">
        <v>13.5872706208248</v>
      </c>
      <c r="O375" s="231">
        <f t="shared" si="53"/>
        <v>2.83259895582627</v>
      </c>
      <c r="P375" s="231">
        <f t="shared" si="52"/>
        <v>22.0243901245963</v>
      </c>
      <c r="Q375" s="226" t="s">
        <v>2639</v>
      </c>
      <c r="R375" s="226" t="s">
        <v>2644</v>
      </c>
      <c r="S375" s="804"/>
      <c r="W375" s="1940"/>
      <c r="AB375" s="1940"/>
    </row>
    <row r="376" s="42" customFormat="1" ht="16" customHeight="1" spans="1:28">
      <c r="A376" s="839">
        <v>267</v>
      </c>
      <c r="B376" s="229"/>
      <c r="C376" s="229"/>
      <c r="D376" s="244">
        <v>20240814</v>
      </c>
      <c r="E376" s="227">
        <v>7.17</v>
      </c>
      <c r="F376" s="2130" t="s">
        <v>1979</v>
      </c>
      <c r="G376" s="227" t="s">
        <v>1998</v>
      </c>
      <c r="H376" s="227"/>
      <c r="I376" s="227" t="s">
        <v>2369</v>
      </c>
      <c r="J376" s="227" t="s">
        <v>1635</v>
      </c>
      <c r="K376" s="247" t="s">
        <v>712</v>
      </c>
      <c r="L376" s="227">
        <v>3.1</v>
      </c>
      <c r="M376" s="231">
        <v>3.30452054794521</v>
      </c>
      <c r="N376" s="232">
        <v>14.4574106115796</v>
      </c>
      <c r="O376" s="231">
        <f t="shared" si="53"/>
        <v>2.83259895582627</v>
      </c>
      <c r="P376" s="231">
        <f t="shared" si="52"/>
        <v>23.6945301153511</v>
      </c>
      <c r="Q376" s="226" t="s">
        <v>2633</v>
      </c>
      <c r="R376" s="226" t="s">
        <v>2644</v>
      </c>
      <c r="S376" s="804"/>
      <c r="W376" s="2163"/>
      <c r="Z376" s="839"/>
      <c r="AA376" s="839"/>
      <c r="AB376" s="1940"/>
    </row>
    <row r="377" s="839" customFormat="1" ht="16" customHeight="1" spans="1:28">
      <c r="A377" s="839">
        <v>268</v>
      </c>
      <c r="B377" s="229"/>
      <c r="C377" s="229"/>
      <c r="D377" s="244">
        <v>20240122</v>
      </c>
      <c r="E377" s="227">
        <v>7.17</v>
      </c>
      <c r="F377" s="2132" t="s">
        <v>2645</v>
      </c>
      <c r="G377" s="227" t="s">
        <v>1581</v>
      </c>
      <c r="H377" s="227"/>
      <c r="I377" s="227" t="s">
        <v>2646</v>
      </c>
      <c r="J377" s="227" t="s">
        <v>1635</v>
      </c>
      <c r="K377" s="507" t="s">
        <v>712</v>
      </c>
      <c r="L377" s="227">
        <v>3.1</v>
      </c>
      <c r="M377" s="232">
        <v>3.30452054794521</v>
      </c>
      <c r="N377" s="232">
        <v>13.3267363731384</v>
      </c>
      <c r="O377" s="231">
        <f t="shared" si="53"/>
        <v>2.83259895582627</v>
      </c>
      <c r="P377" s="231">
        <f t="shared" si="52"/>
        <v>22.5638558769099</v>
      </c>
      <c r="Q377" s="226" t="s">
        <v>2639</v>
      </c>
      <c r="R377" s="226" t="s">
        <v>2647</v>
      </c>
      <c r="S377" s="804"/>
      <c r="W377" s="1940"/>
      <c r="AB377" s="1940"/>
    </row>
    <row r="378" s="42" customFormat="1" ht="16" customHeight="1" spans="1:28">
      <c r="A378" s="839">
        <v>269</v>
      </c>
      <c r="B378" s="229"/>
      <c r="C378" s="229"/>
      <c r="D378" s="244">
        <v>20240122</v>
      </c>
      <c r="E378" s="227">
        <v>7.17</v>
      </c>
      <c r="F378" s="2132" t="s">
        <v>2648</v>
      </c>
      <c r="G378" s="227" t="s">
        <v>2427</v>
      </c>
      <c r="H378" s="227"/>
      <c r="I378" s="227" t="s">
        <v>2649</v>
      </c>
      <c r="J378" s="227" t="s">
        <v>1635</v>
      </c>
      <c r="K378" s="247" t="s">
        <v>712</v>
      </c>
      <c r="L378" s="227">
        <v>3.1</v>
      </c>
      <c r="M378" s="232">
        <v>3.30452054794521</v>
      </c>
      <c r="N378" s="232">
        <v>13.32645126</v>
      </c>
      <c r="O378" s="231">
        <f t="shared" si="53"/>
        <v>2.83259895582627</v>
      </c>
      <c r="P378" s="231">
        <f t="shared" si="52"/>
        <v>22.5635707637715</v>
      </c>
      <c r="Q378" s="226" t="s">
        <v>2639</v>
      </c>
      <c r="R378" s="226" t="s">
        <v>2647</v>
      </c>
      <c r="S378" s="804"/>
      <c r="W378" s="2163"/>
      <c r="Z378" s="839"/>
      <c r="AA378" s="839"/>
      <c r="AB378" s="1940"/>
    </row>
    <row r="379" s="42" customFormat="1" ht="16" customHeight="1" spans="1:28">
      <c r="A379" s="839">
        <v>270</v>
      </c>
      <c r="B379" s="229"/>
      <c r="C379" s="229"/>
      <c r="D379" s="244">
        <v>20250409</v>
      </c>
      <c r="E379" s="227">
        <v>7.17</v>
      </c>
      <c r="F379" s="2132" t="s">
        <v>2650</v>
      </c>
      <c r="G379" s="227" t="s">
        <v>2449</v>
      </c>
      <c r="H379" s="227"/>
      <c r="I379" s="227" t="s">
        <v>2392</v>
      </c>
      <c r="J379" s="227" t="s">
        <v>1635</v>
      </c>
      <c r="K379" s="507" t="s">
        <v>712</v>
      </c>
      <c r="L379" s="227">
        <v>3.1</v>
      </c>
      <c r="M379" s="232">
        <v>3.3</v>
      </c>
      <c r="N379" s="232">
        <v>13.46748888</v>
      </c>
      <c r="O379" s="231">
        <f t="shared" si="53"/>
        <v>2.83259895582627</v>
      </c>
      <c r="P379" s="231">
        <f t="shared" si="52"/>
        <v>22.7000878358263</v>
      </c>
      <c r="Q379" s="226" t="s">
        <v>2639</v>
      </c>
      <c r="R379" s="226" t="s">
        <v>2651</v>
      </c>
      <c r="S379" s="804"/>
      <c r="W379" s="2163"/>
      <c r="Z379" s="839"/>
      <c r="AA379" s="839"/>
      <c r="AB379" s="1940"/>
    </row>
    <row r="380" s="839" customFormat="1" ht="16" customHeight="1" spans="1:28">
      <c r="A380" s="839">
        <v>271</v>
      </c>
      <c r="B380" s="229"/>
      <c r="C380" s="229"/>
      <c r="D380" s="244">
        <v>20250409</v>
      </c>
      <c r="E380" s="227">
        <v>7.17</v>
      </c>
      <c r="F380" s="2132" t="s">
        <v>2652</v>
      </c>
      <c r="G380" s="227" t="s">
        <v>2546</v>
      </c>
      <c r="H380" s="227"/>
      <c r="I380" s="227" t="s">
        <v>2643</v>
      </c>
      <c r="J380" s="227" t="s">
        <v>1567</v>
      </c>
      <c r="K380" s="247" t="s">
        <v>712</v>
      </c>
      <c r="L380" s="227">
        <v>7.5</v>
      </c>
      <c r="M380" s="232">
        <v>3.3</v>
      </c>
      <c r="N380" s="232">
        <v>13.1471793317973</v>
      </c>
      <c r="O380" s="231">
        <f t="shared" si="53"/>
        <v>2.83259895582627</v>
      </c>
      <c r="P380" s="231">
        <f t="shared" si="52"/>
        <v>26.7797782876236</v>
      </c>
      <c r="Q380" s="226" t="s">
        <v>2633</v>
      </c>
      <c r="R380" s="226" t="s">
        <v>2653</v>
      </c>
      <c r="S380" s="1920"/>
      <c r="W380" s="1940"/>
      <c r="AB380" s="1940"/>
    </row>
    <row r="381" s="42" customFormat="1" ht="16" customHeight="1" spans="1:28">
      <c r="A381" s="839">
        <v>272</v>
      </c>
      <c r="B381" s="229"/>
      <c r="C381" s="229"/>
      <c r="D381" s="244">
        <v>20250409</v>
      </c>
      <c r="E381" s="227">
        <v>7.17</v>
      </c>
      <c r="F381" s="2132" t="s">
        <v>2654</v>
      </c>
      <c r="G381" s="227" t="s">
        <v>2306</v>
      </c>
      <c r="H381" s="227"/>
      <c r="I381" s="227" t="s">
        <v>2392</v>
      </c>
      <c r="J381" s="227" t="s">
        <v>1635</v>
      </c>
      <c r="K381" s="507" t="s">
        <v>712</v>
      </c>
      <c r="L381" s="227">
        <v>3.1</v>
      </c>
      <c r="M381" s="232">
        <v>3.3</v>
      </c>
      <c r="N381" s="232">
        <v>13.52791951</v>
      </c>
      <c r="O381" s="231">
        <f t="shared" si="53"/>
        <v>2.83259895582627</v>
      </c>
      <c r="P381" s="231">
        <f t="shared" si="52"/>
        <v>22.7605184658263</v>
      </c>
      <c r="Q381" s="226" t="s">
        <v>2633</v>
      </c>
      <c r="R381" s="226" t="s">
        <v>2653</v>
      </c>
      <c r="S381" s="804"/>
      <c r="W381" s="2163"/>
      <c r="Z381" s="839"/>
      <c r="AA381" s="839"/>
      <c r="AB381" s="1940"/>
    </row>
    <row r="382" s="42" customFormat="1" ht="16" customHeight="1" spans="1:28">
      <c r="A382" s="839">
        <v>273</v>
      </c>
      <c r="B382" s="229"/>
      <c r="C382" s="229"/>
      <c r="D382" s="244">
        <v>20250409</v>
      </c>
      <c r="E382" s="227">
        <v>7.17</v>
      </c>
      <c r="F382" s="2132" t="s">
        <v>2655</v>
      </c>
      <c r="G382" s="227" t="s">
        <v>2431</v>
      </c>
      <c r="H382" s="227"/>
      <c r="I382" s="227" t="s">
        <v>2400</v>
      </c>
      <c r="J382" s="227" t="s">
        <v>1742</v>
      </c>
      <c r="K382" s="247" t="s">
        <v>712</v>
      </c>
      <c r="L382" s="227">
        <v>6</v>
      </c>
      <c r="M382" s="232">
        <v>3.3</v>
      </c>
      <c r="N382" s="232">
        <v>13.2233299594124</v>
      </c>
      <c r="O382" s="231">
        <f t="shared" si="53"/>
        <v>2.83259895582627</v>
      </c>
      <c r="P382" s="231">
        <f t="shared" si="52"/>
        <v>25.3559289152387</v>
      </c>
      <c r="Q382" s="226" t="s">
        <v>2639</v>
      </c>
      <c r="R382" s="226" t="s">
        <v>2653</v>
      </c>
      <c r="S382" s="804"/>
      <c r="W382" s="2163"/>
      <c r="Z382" s="839"/>
      <c r="AA382" s="839"/>
      <c r="AB382" s="1940"/>
    </row>
    <row r="383" s="42" customFormat="1" ht="16" customHeight="1" spans="1:28">
      <c r="A383" s="839">
        <v>274</v>
      </c>
      <c r="B383" s="229"/>
      <c r="C383" s="229"/>
      <c r="D383" s="244">
        <v>20250425</v>
      </c>
      <c r="E383" s="227">
        <v>7.17</v>
      </c>
      <c r="F383" s="2132" t="s">
        <v>96</v>
      </c>
      <c r="G383" s="227" t="s">
        <v>97</v>
      </c>
      <c r="H383" s="227"/>
      <c r="I383" s="227"/>
      <c r="J383" s="227"/>
      <c r="K383" s="247" t="s">
        <v>712</v>
      </c>
      <c r="L383" s="227"/>
      <c r="M383" s="232">
        <v>0.197329394816169</v>
      </c>
      <c r="N383" s="232">
        <v>0.965343897177535</v>
      </c>
      <c r="O383" s="231">
        <v>0.2</v>
      </c>
      <c r="P383" s="231">
        <f t="shared" si="52"/>
        <v>1.3626732919937</v>
      </c>
      <c r="Q383" s="226"/>
      <c r="R383" s="226" t="s">
        <v>63</v>
      </c>
      <c r="S383" s="804"/>
      <c r="W383" s="2163"/>
      <c r="Z383" s="839"/>
      <c r="AA383" s="839"/>
      <c r="AB383" s="1940"/>
    </row>
    <row r="384" s="42" customFormat="1" ht="16" customHeight="1" spans="1:28">
      <c r="A384" s="839">
        <v>275</v>
      </c>
      <c r="B384" s="229"/>
      <c r="C384" s="229"/>
      <c r="D384" s="244">
        <v>20240814</v>
      </c>
      <c r="E384" s="244"/>
      <c r="F384" s="2130" t="s">
        <v>1979</v>
      </c>
      <c r="G384" s="227" t="s">
        <v>98</v>
      </c>
      <c r="H384" s="227"/>
      <c r="I384" s="227"/>
      <c r="J384" s="227"/>
      <c r="K384" s="252" t="s">
        <v>712</v>
      </c>
      <c r="L384" s="227"/>
      <c r="M384" s="231">
        <v>0.184879335420416</v>
      </c>
      <c r="N384" s="232">
        <v>1.06780874964183</v>
      </c>
      <c r="O384" s="231">
        <v>0.2</v>
      </c>
      <c r="P384" s="231">
        <f t="shared" si="52"/>
        <v>1.45268808506225</v>
      </c>
      <c r="Q384" s="226"/>
      <c r="R384" s="226" t="s">
        <v>2656</v>
      </c>
      <c r="S384" s="804"/>
      <c r="W384" s="2163"/>
      <c r="Z384" s="839"/>
      <c r="AA384" s="839"/>
      <c r="AB384" s="1940"/>
    </row>
    <row r="385" s="42" customFormat="1" ht="16" customHeight="1" spans="1:28">
      <c r="A385" s="839">
        <v>276</v>
      </c>
      <c r="B385" s="229"/>
      <c r="C385" s="229"/>
      <c r="D385" s="244"/>
      <c r="E385" s="244"/>
      <c r="F385" s="2130" t="s">
        <v>1979</v>
      </c>
      <c r="G385" s="227" t="s">
        <v>99</v>
      </c>
      <c r="H385" s="227"/>
      <c r="I385" s="227"/>
      <c r="J385" s="227"/>
      <c r="K385" s="252" t="s">
        <v>712</v>
      </c>
      <c r="L385" s="227"/>
      <c r="M385" s="231">
        <v>0.319567354965585</v>
      </c>
      <c r="N385" s="232">
        <v>1.06409406953786</v>
      </c>
      <c r="O385" s="231">
        <v>0.2</v>
      </c>
      <c r="P385" s="231">
        <f t="shared" si="52"/>
        <v>1.58366142450345</v>
      </c>
      <c r="Q385" s="226"/>
      <c r="R385" s="226"/>
      <c r="S385" s="804"/>
      <c r="W385" s="2163"/>
      <c r="Z385" s="839"/>
      <c r="AA385" s="839"/>
      <c r="AB385" s="1940"/>
    </row>
    <row r="386" s="42" customFormat="1" ht="16" customHeight="1" spans="1:28">
      <c r="A386" s="839">
        <v>277</v>
      </c>
      <c r="B386" s="226" t="s">
        <v>2657</v>
      </c>
      <c r="C386" s="226"/>
      <c r="D386" s="227">
        <v>20240222</v>
      </c>
      <c r="E386" s="227">
        <v>7.17</v>
      </c>
      <c r="F386" s="2132" t="s">
        <v>2658</v>
      </c>
      <c r="G386" s="227" t="s">
        <v>1565</v>
      </c>
      <c r="H386" s="227"/>
      <c r="I386" s="227" t="s">
        <v>2659</v>
      </c>
      <c r="J386" s="232" t="s">
        <v>1428</v>
      </c>
      <c r="K386" s="247" t="s">
        <v>712</v>
      </c>
      <c r="L386" s="256" t="s">
        <v>1428</v>
      </c>
      <c r="M386" s="232">
        <v>6.60184403112862</v>
      </c>
      <c r="N386" s="232">
        <v>24.9379550412409</v>
      </c>
      <c r="O386" s="231">
        <v>3.83098135145519</v>
      </c>
      <c r="P386" s="231">
        <f t="shared" si="52"/>
        <v>35.3707804238247</v>
      </c>
      <c r="Q386" s="226" t="s">
        <v>1755</v>
      </c>
      <c r="R386" s="226" t="s">
        <v>2660</v>
      </c>
      <c r="S386" s="804"/>
      <c r="W386" s="2163"/>
      <c r="Z386" s="839"/>
      <c r="AA386" s="839"/>
      <c r="AB386" s="1940"/>
    </row>
    <row r="387" s="42" customFormat="1" ht="16" customHeight="1" spans="1:28">
      <c r="A387" s="839">
        <v>278</v>
      </c>
      <c r="B387" s="226"/>
      <c r="C387" s="226"/>
      <c r="D387" s="227">
        <v>20240222</v>
      </c>
      <c r="E387" s="227">
        <v>7.17</v>
      </c>
      <c r="F387" s="2132" t="s">
        <v>2661</v>
      </c>
      <c r="G387" s="227" t="s">
        <v>1629</v>
      </c>
      <c r="H387" s="227"/>
      <c r="I387" s="227" t="s">
        <v>2659</v>
      </c>
      <c r="J387" s="232" t="s">
        <v>1428</v>
      </c>
      <c r="K387" s="227" t="s">
        <v>712</v>
      </c>
      <c r="L387" s="256" t="s">
        <v>1428</v>
      </c>
      <c r="M387" s="232">
        <v>6.60184403112862</v>
      </c>
      <c r="N387" s="232">
        <v>24.4596226559967</v>
      </c>
      <c r="O387" s="231">
        <v>3.83098135145519</v>
      </c>
      <c r="P387" s="231">
        <f t="shared" si="52"/>
        <v>34.8924480385805</v>
      </c>
      <c r="Q387" s="226" t="s">
        <v>1755</v>
      </c>
      <c r="R387" s="226" t="s">
        <v>2662</v>
      </c>
      <c r="S387" s="804"/>
      <c r="T387" s="120" t="s">
        <v>1406</v>
      </c>
      <c r="W387" s="2163"/>
      <c r="Z387" s="839"/>
      <c r="AA387" s="839"/>
      <c r="AB387" s="1940"/>
    </row>
    <row r="388" s="42" customFormat="1" ht="16" customHeight="1" spans="1:28">
      <c r="A388" s="839">
        <v>279</v>
      </c>
      <c r="B388" s="226"/>
      <c r="C388" s="226"/>
      <c r="D388" s="227">
        <v>20240604</v>
      </c>
      <c r="E388" s="227">
        <v>7.17</v>
      </c>
      <c r="F388" s="2132" t="s">
        <v>2663</v>
      </c>
      <c r="G388" s="227" t="s">
        <v>1645</v>
      </c>
      <c r="H388" s="227"/>
      <c r="I388" s="227" t="s">
        <v>2664</v>
      </c>
      <c r="J388" s="232" t="s">
        <v>1428</v>
      </c>
      <c r="K388" s="247" t="s">
        <v>712</v>
      </c>
      <c r="L388" s="256" t="s">
        <v>1428</v>
      </c>
      <c r="M388" s="232">
        <v>6.60184403112862</v>
      </c>
      <c r="N388" s="232">
        <v>24.0687946693622</v>
      </c>
      <c r="O388" s="231">
        <v>3.83098135145519</v>
      </c>
      <c r="P388" s="231">
        <f t="shared" si="52"/>
        <v>34.501620051946</v>
      </c>
      <c r="Q388" s="226" t="s">
        <v>2665</v>
      </c>
      <c r="R388" s="226" t="s">
        <v>2666</v>
      </c>
      <c r="S388" s="804"/>
      <c r="T388" s="120"/>
      <c r="W388" s="2163"/>
      <c r="Z388" s="839"/>
      <c r="AA388" s="839"/>
      <c r="AB388" s="1940"/>
    </row>
    <row r="389" s="42" customFormat="1" ht="16" customHeight="1" spans="1:28">
      <c r="A389" s="839">
        <v>280</v>
      </c>
      <c r="B389" s="226"/>
      <c r="C389" s="226"/>
      <c r="D389" s="227">
        <v>20241121</v>
      </c>
      <c r="E389" s="227">
        <v>7.17</v>
      </c>
      <c r="F389" s="2132" t="s">
        <v>2667</v>
      </c>
      <c r="G389" s="227" t="s">
        <v>1669</v>
      </c>
      <c r="H389" s="227"/>
      <c r="I389" s="227" t="s">
        <v>2659</v>
      </c>
      <c r="J389" s="232" t="s">
        <v>1428</v>
      </c>
      <c r="K389" s="232" t="s">
        <v>712</v>
      </c>
      <c r="L389" s="256" t="s">
        <v>1428</v>
      </c>
      <c r="M389" s="232">
        <v>6.60184403112862</v>
      </c>
      <c r="N389" s="232">
        <v>23.8042279958415</v>
      </c>
      <c r="O389" s="231">
        <v>3.83098135145519</v>
      </c>
      <c r="P389" s="231">
        <f t="shared" si="52"/>
        <v>34.2370533784253</v>
      </c>
      <c r="Q389" s="226" t="s">
        <v>2665</v>
      </c>
      <c r="R389" s="226" t="s">
        <v>2668</v>
      </c>
      <c r="S389" s="804"/>
      <c r="T389" s="120"/>
      <c r="W389" s="2163"/>
      <c r="Z389" s="839"/>
      <c r="AA389" s="839"/>
      <c r="AB389" s="1940"/>
    </row>
    <row r="390" s="42" customFormat="1" ht="16" customHeight="1" spans="1:28">
      <c r="A390" s="839">
        <v>281</v>
      </c>
      <c r="B390" s="290"/>
      <c r="C390" s="290"/>
      <c r="D390" s="225">
        <v>20241121</v>
      </c>
      <c r="E390" s="225">
        <v>7.17</v>
      </c>
      <c r="F390" s="2132" t="s">
        <v>2669</v>
      </c>
      <c r="G390" s="225" t="s">
        <v>1671</v>
      </c>
      <c r="H390" s="225"/>
      <c r="I390" s="225" t="s">
        <v>2659</v>
      </c>
      <c r="J390" s="2168" t="s">
        <v>1428</v>
      </c>
      <c r="K390" s="2168" t="s">
        <v>712</v>
      </c>
      <c r="L390" s="2169" t="s">
        <v>1428</v>
      </c>
      <c r="M390" s="2168">
        <v>6.60184403112862</v>
      </c>
      <c r="N390" s="2168">
        <v>23.8032287435473</v>
      </c>
      <c r="O390" s="395">
        <v>3.83098135145519</v>
      </c>
      <c r="P390" s="395">
        <f t="shared" si="52"/>
        <v>34.2360541261311</v>
      </c>
      <c r="Q390" s="290" t="s">
        <v>2665</v>
      </c>
      <c r="R390" s="290" t="s">
        <v>2670</v>
      </c>
      <c r="S390" s="804"/>
      <c r="T390" s="120"/>
      <c r="W390" s="2163"/>
      <c r="Z390" s="839"/>
      <c r="AA390" s="839"/>
      <c r="AB390" s="1940"/>
    </row>
    <row r="391" s="42" customFormat="1" ht="16" customHeight="1" spans="1:28">
      <c r="A391" s="839">
        <v>282</v>
      </c>
      <c r="B391" s="266"/>
      <c r="C391" s="266"/>
      <c r="D391" s="219">
        <v>20240704</v>
      </c>
      <c r="E391" s="219">
        <v>7.17</v>
      </c>
      <c r="F391" s="1975" t="s">
        <v>2671</v>
      </c>
      <c r="G391" s="219" t="s">
        <v>1672</v>
      </c>
      <c r="H391" s="219"/>
      <c r="I391" s="219" t="s">
        <v>2664</v>
      </c>
      <c r="J391" s="319" t="s">
        <v>1428</v>
      </c>
      <c r="K391" s="2048" t="s">
        <v>1428</v>
      </c>
      <c r="L391" s="1564" t="s">
        <v>712</v>
      </c>
      <c r="M391" s="319">
        <v>6.60184403112862</v>
      </c>
      <c r="N391" s="319">
        <v>23.8052746114356</v>
      </c>
      <c r="O391" s="320">
        <v>3.8204422005571</v>
      </c>
      <c r="P391" s="320">
        <f t="shared" si="52"/>
        <v>34.2275608431213</v>
      </c>
      <c r="Q391" s="266" t="s">
        <v>2672</v>
      </c>
      <c r="R391" s="266" t="s">
        <v>2673</v>
      </c>
      <c r="S391" s="804"/>
      <c r="T391" s="120"/>
      <c r="W391" s="2163"/>
      <c r="Z391" s="839"/>
      <c r="AA391" s="839"/>
      <c r="AB391" s="1940"/>
    </row>
    <row r="392" s="42" customFormat="1" ht="16" customHeight="1" spans="1:28">
      <c r="A392" s="839">
        <v>283</v>
      </c>
      <c r="B392" s="266"/>
      <c r="C392" s="266"/>
      <c r="D392" s="219">
        <v>20240731</v>
      </c>
      <c r="E392" s="219">
        <v>7.17</v>
      </c>
      <c r="F392" s="1975" t="s">
        <v>715</v>
      </c>
      <c r="G392" s="219" t="s">
        <v>1998</v>
      </c>
      <c r="H392" s="219"/>
      <c r="I392" s="219" t="s">
        <v>2664</v>
      </c>
      <c r="J392" s="319" t="s">
        <v>1428</v>
      </c>
      <c r="K392" s="2048" t="s">
        <v>1428</v>
      </c>
      <c r="L392" s="1564" t="s">
        <v>712</v>
      </c>
      <c r="M392" s="319">
        <v>6.60184403112862</v>
      </c>
      <c r="N392" s="319">
        <v>23.8052746114356</v>
      </c>
      <c r="O392" s="320">
        <v>15.3</v>
      </c>
      <c r="P392" s="320">
        <f t="shared" si="52"/>
        <v>45.7071186425642</v>
      </c>
      <c r="Q392" s="266" t="s">
        <v>2674</v>
      </c>
      <c r="R392" s="266" t="s">
        <v>2673</v>
      </c>
      <c r="S392" s="804"/>
      <c r="T392" s="120"/>
      <c r="W392" s="2163"/>
      <c r="Z392" s="839"/>
      <c r="AA392" s="839"/>
      <c r="AB392" s="1940"/>
    </row>
    <row r="393" s="42" customFormat="1" ht="16" customHeight="1" spans="1:28">
      <c r="A393" s="839">
        <v>284</v>
      </c>
      <c r="B393" s="292"/>
      <c r="C393" s="292"/>
      <c r="D393" s="234">
        <v>20240731</v>
      </c>
      <c r="E393" s="234">
        <v>7.17</v>
      </c>
      <c r="F393" s="2132" t="s">
        <v>2675</v>
      </c>
      <c r="G393" s="234" t="s">
        <v>1581</v>
      </c>
      <c r="H393" s="234"/>
      <c r="I393" s="234" t="s">
        <v>2664</v>
      </c>
      <c r="J393" s="269" t="s">
        <v>1428</v>
      </c>
      <c r="K393" s="680" t="s">
        <v>712</v>
      </c>
      <c r="L393" s="515" t="s">
        <v>1428</v>
      </c>
      <c r="M393" s="269">
        <v>6.60184403112862</v>
      </c>
      <c r="N393" s="269">
        <v>23.8161102379375</v>
      </c>
      <c r="O393" s="270">
        <v>3.82570451763776</v>
      </c>
      <c r="P393" s="270">
        <f t="shared" si="52"/>
        <v>34.2436587867039</v>
      </c>
      <c r="Q393" s="292" t="s">
        <v>2674</v>
      </c>
      <c r="R393" s="292" t="s">
        <v>2676</v>
      </c>
      <c r="S393" s="804"/>
      <c r="T393" s="120"/>
      <c r="W393" s="2163"/>
      <c r="Z393" s="839"/>
      <c r="AA393" s="839"/>
      <c r="AB393" s="1940"/>
    </row>
    <row r="394" s="42" customFormat="1" ht="16" customHeight="1" spans="1:28">
      <c r="A394" s="839">
        <v>285</v>
      </c>
      <c r="B394" s="226"/>
      <c r="C394" s="226"/>
      <c r="D394" s="227">
        <v>20240731</v>
      </c>
      <c r="E394" s="227">
        <v>7.17</v>
      </c>
      <c r="F394" s="2132" t="s">
        <v>2677</v>
      </c>
      <c r="G394" s="227" t="s">
        <v>2427</v>
      </c>
      <c r="H394" s="227"/>
      <c r="I394" s="227" t="s">
        <v>2664</v>
      </c>
      <c r="J394" s="232" t="s">
        <v>1428</v>
      </c>
      <c r="K394" s="247" t="s">
        <v>712</v>
      </c>
      <c r="L394" s="256" t="s">
        <v>1428</v>
      </c>
      <c r="M394" s="232">
        <v>6.60184403112862</v>
      </c>
      <c r="N394" s="232">
        <v>23.6875416084836</v>
      </c>
      <c r="O394" s="231">
        <v>3.82570451763776</v>
      </c>
      <c r="P394" s="231">
        <f t="shared" si="52"/>
        <v>34.11509015725</v>
      </c>
      <c r="Q394" s="226" t="s">
        <v>2665</v>
      </c>
      <c r="R394" s="226" t="s">
        <v>2676</v>
      </c>
      <c r="S394" s="804"/>
      <c r="T394" s="120"/>
      <c r="W394" s="2163"/>
      <c r="Z394" s="839"/>
      <c r="AA394" s="839"/>
      <c r="AB394" s="1940"/>
    </row>
    <row r="395" s="42" customFormat="1" ht="16" customHeight="1" spans="1:28">
      <c r="A395" s="839">
        <v>286</v>
      </c>
      <c r="B395" s="226"/>
      <c r="C395" s="226"/>
      <c r="D395" s="227">
        <v>20240731</v>
      </c>
      <c r="E395" s="227">
        <v>7.17</v>
      </c>
      <c r="F395" s="2132" t="s">
        <v>2678</v>
      </c>
      <c r="G395" s="227" t="s">
        <v>2449</v>
      </c>
      <c r="H395" s="227"/>
      <c r="I395" s="227" t="s">
        <v>2664</v>
      </c>
      <c r="J395" s="232" t="s">
        <v>1428</v>
      </c>
      <c r="K395" s="247" t="s">
        <v>712</v>
      </c>
      <c r="L395" s="256" t="s">
        <v>1428</v>
      </c>
      <c r="M395" s="232">
        <v>6.60184403112862</v>
      </c>
      <c r="N395" s="232">
        <v>23.7500836797954</v>
      </c>
      <c r="O395" s="231">
        <v>3.82570451763776</v>
      </c>
      <c r="P395" s="231">
        <f t="shared" si="52"/>
        <v>34.1776322285618</v>
      </c>
      <c r="Q395" s="226" t="s">
        <v>2665</v>
      </c>
      <c r="R395" s="226" t="s">
        <v>2676</v>
      </c>
      <c r="S395" s="804"/>
      <c r="T395" s="120"/>
      <c r="W395" s="2163"/>
      <c r="Z395" s="839"/>
      <c r="AA395" s="839"/>
      <c r="AB395" s="1940"/>
    </row>
    <row r="396" s="42" customFormat="1" ht="16" customHeight="1" spans="1:28">
      <c r="A396" s="839">
        <v>287</v>
      </c>
      <c r="B396" s="226"/>
      <c r="C396" s="226"/>
      <c r="D396" s="227">
        <v>20240902</v>
      </c>
      <c r="E396" s="227">
        <v>7.17</v>
      </c>
      <c r="F396" s="2132" t="s">
        <v>2679</v>
      </c>
      <c r="G396" s="227" t="s">
        <v>2306</v>
      </c>
      <c r="H396" s="227"/>
      <c r="I396" s="227" t="s">
        <v>2680</v>
      </c>
      <c r="J396" s="232" t="s">
        <v>1428</v>
      </c>
      <c r="K396" s="2162" t="s">
        <v>712</v>
      </c>
      <c r="L396" s="256" t="s">
        <v>1428</v>
      </c>
      <c r="M396" s="232">
        <v>6.60184403112862</v>
      </c>
      <c r="N396" s="232">
        <v>26.0870025552489</v>
      </c>
      <c r="O396" s="231">
        <v>3.83098135145519</v>
      </c>
      <c r="P396" s="231">
        <f t="shared" si="52"/>
        <v>36.5198279378327</v>
      </c>
      <c r="Q396" s="226" t="s">
        <v>2672</v>
      </c>
      <c r="R396" s="226" t="s">
        <v>2681</v>
      </c>
      <c r="S396" s="804"/>
      <c r="T396" s="120"/>
      <c r="W396" s="2163"/>
      <c r="Z396" s="839"/>
      <c r="AA396" s="839"/>
      <c r="AB396" s="1940"/>
    </row>
    <row r="397" s="42" customFormat="1" ht="16" customHeight="1" spans="1:28">
      <c r="A397" s="839">
        <v>288</v>
      </c>
      <c r="B397" s="226"/>
      <c r="C397" s="226"/>
      <c r="D397" s="227">
        <v>20240930</v>
      </c>
      <c r="E397" s="227">
        <v>7.17</v>
      </c>
      <c r="F397" s="2132" t="s">
        <v>2682</v>
      </c>
      <c r="G397" s="227" t="s">
        <v>2431</v>
      </c>
      <c r="H397" s="227"/>
      <c r="I397" s="227" t="s">
        <v>2683</v>
      </c>
      <c r="J397" s="232" t="s">
        <v>1428</v>
      </c>
      <c r="K397" s="232" t="s">
        <v>712</v>
      </c>
      <c r="L397" s="232" t="s">
        <v>1428</v>
      </c>
      <c r="M397" s="232">
        <v>6.60184403112862</v>
      </c>
      <c r="N397" s="232">
        <v>23.9178516639901</v>
      </c>
      <c r="O397" s="231">
        <v>3.83098135145519</v>
      </c>
      <c r="P397" s="231">
        <f t="shared" si="52"/>
        <v>34.3506770465739</v>
      </c>
      <c r="Q397" s="226" t="s">
        <v>2674</v>
      </c>
      <c r="R397" s="226" t="s">
        <v>2684</v>
      </c>
      <c r="S397" s="804"/>
      <c r="T397" s="120"/>
      <c r="W397" s="2163"/>
      <c r="Z397" s="839"/>
      <c r="AA397" s="839"/>
      <c r="AB397" s="1940"/>
    </row>
    <row r="398" s="42" customFormat="1" ht="16" customHeight="1" spans="1:28">
      <c r="A398" s="839">
        <v>289</v>
      </c>
      <c r="B398" s="226"/>
      <c r="C398" s="226"/>
      <c r="D398" s="227">
        <v>20240930</v>
      </c>
      <c r="E398" s="227">
        <v>7.17</v>
      </c>
      <c r="F398" s="2132" t="s">
        <v>2685</v>
      </c>
      <c r="G398" s="227" t="s">
        <v>1667</v>
      </c>
      <c r="H398" s="227"/>
      <c r="I398" s="227" t="s">
        <v>2683</v>
      </c>
      <c r="J398" s="232" t="s">
        <v>1428</v>
      </c>
      <c r="K398" s="232" t="s">
        <v>712</v>
      </c>
      <c r="L398" s="232" t="s">
        <v>1428</v>
      </c>
      <c r="M398" s="232">
        <v>6.60184403112862</v>
      </c>
      <c r="N398" s="232">
        <v>23.7641876148599</v>
      </c>
      <c r="O398" s="231">
        <v>3.83098135145519</v>
      </c>
      <c r="P398" s="231">
        <f t="shared" si="52"/>
        <v>34.1970129974437</v>
      </c>
      <c r="Q398" s="226" t="s">
        <v>1748</v>
      </c>
      <c r="R398" s="226" t="s">
        <v>2686</v>
      </c>
      <c r="S398" s="804"/>
      <c r="T398" s="120"/>
      <c r="W398" s="2163"/>
      <c r="Z398" s="839"/>
      <c r="AA398" s="839"/>
      <c r="AB398" s="1940"/>
    </row>
    <row r="399" s="42" customFormat="1" ht="16" customHeight="1" spans="1:28">
      <c r="A399" s="839">
        <v>290</v>
      </c>
      <c r="B399" s="226" t="s">
        <v>2687</v>
      </c>
      <c r="C399" s="226"/>
      <c r="D399" s="227"/>
      <c r="E399" s="227">
        <v>7.17</v>
      </c>
      <c r="F399" s="2130" t="s">
        <v>1979</v>
      </c>
      <c r="G399" s="227" t="s">
        <v>1565</v>
      </c>
      <c r="H399" s="227"/>
      <c r="I399" s="227" t="s">
        <v>2688</v>
      </c>
      <c r="J399" s="227" t="s">
        <v>1428</v>
      </c>
      <c r="K399" s="247" t="s">
        <v>712</v>
      </c>
      <c r="L399" s="227" t="s">
        <v>1428</v>
      </c>
      <c r="M399" s="231">
        <v>3.74511253985457</v>
      </c>
      <c r="N399" s="232">
        <v>24.4654919546404</v>
      </c>
      <c r="O399" s="231">
        <f t="shared" ref="O399:O416" si="54">25.08/E399/1.13</f>
        <v>3.09549376087681</v>
      </c>
      <c r="P399" s="231">
        <f t="shared" si="52"/>
        <v>31.3060982553718</v>
      </c>
      <c r="Q399" s="233" t="s">
        <v>1526</v>
      </c>
      <c r="R399" s="226" t="s">
        <v>2689</v>
      </c>
      <c r="S399" s="804"/>
      <c r="T399" s="120"/>
      <c r="W399" s="2163"/>
      <c r="Z399" s="839"/>
      <c r="AA399" s="839"/>
      <c r="AB399" s="1940"/>
    </row>
    <row r="400" s="42" customFormat="1" ht="16" customHeight="1" spans="1:28">
      <c r="A400" s="839">
        <v>291</v>
      </c>
      <c r="B400" s="226"/>
      <c r="C400" s="226"/>
      <c r="D400" s="227"/>
      <c r="E400" s="227">
        <v>7.17</v>
      </c>
      <c r="F400" s="2130" t="s">
        <v>1979</v>
      </c>
      <c r="G400" s="227" t="s">
        <v>1617</v>
      </c>
      <c r="H400" s="227"/>
      <c r="I400" s="227" t="s">
        <v>2690</v>
      </c>
      <c r="J400" s="227" t="s">
        <v>1428</v>
      </c>
      <c r="K400" s="247" t="s">
        <v>712</v>
      </c>
      <c r="L400" s="227" t="s">
        <v>1428</v>
      </c>
      <c r="M400" s="231">
        <v>3.74511253985457</v>
      </c>
      <c r="N400" s="232">
        <v>24.6590047059679</v>
      </c>
      <c r="O400" s="231">
        <f t="shared" si="54"/>
        <v>3.09549376087681</v>
      </c>
      <c r="P400" s="231">
        <f t="shared" si="52"/>
        <v>31.4996110066993</v>
      </c>
      <c r="Q400" s="233" t="s">
        <v>1526</v>
      </c>
      <c r="R400" s="226" t="s">
        <v>2689</v>
      </c>
      <c r="S400" s="804"/>
      <c r="T400" s="120"/>
      <c r="W400" s="2163"/>
      <c r="Z400" s="839"/>
      <c r="AA400" s="839"/>
      <c r="AB400" s="1940"/>
    </row>
    <row r="401" s="42" customFormat="1" ht="16" customHeight="1" spans="1:28">
      <c r="A401" s="839">
        <v>292</v>
      </c>
      <c r="B401" s="226"/>
      <c r="C401" s="226"/>
      <c r="D401" s="227"/>
      <c r="E401" s="227">
        <v>7.17</v>
      </c>
      <c r="F401" s="2130" t="s">
        <v>1979</v>
      </c>
      <c r="G401" s="227" t="s">
        <v>1629</v>
      </c>
      <c r="H401" s="227"/>
      <c r="I401" s="227" t="s">
        <v>2688</v>
      </c>
      <c r="J401" s="227" t="s">
        <v>1428</v>
      </c>
      <c r="K401" s="247" t="s">
        <v>712</v>
      </c>
      <c r="L401" s="227" t="s">
        <v>1428</v>
      </c>
      <c r="M401" s="231">
        <v>3.74511253985457</v>
      </c>
      <c r="N401" s="232">
        <v>25.9925233861294</v>
      </c>
      <c r="O401" s="231">
        <f t="shared" si="54"/>
        <v>3.09549376087681</v>
      </c>
      <c r="P401" s="231">
        <f t="shared" si="52"/>
        <v>32.8331296868608</v>
      </c>
      <c r="Q401" s="233" t="s">
        <v>1526</v>
      </c>
      <c r="R401" s="226" t="s">
        <v>2691</v>
      </c>
      <c r="S401" s="804"/>
      <c r="T401" s="120"/>
      <c r="W401" s="2163"/>
      <c r="Z401" s="839"/>
      <c r="AA401" s="839"/>
      <c r="AB401" s="1940"/>
    </row>
    <row r="402" s="42" customFormat="1" ht="16" customHeight="1" spans="1:28">
      <c r="A402" s="839">
        <v>293</v>
      </c>
      <c r="B402" s="226"/>
      <c r="C402" s="226"/>
      <c r="D402" s="227"/>
      <c r="E402" s="227">
        <v>7.17</v>
      </c>
      <c r="F402" s="2130" t="s">
        <v>1979</v>
      </c>
      <c r="G402" s="227" t="s">
        <v>1685</v>
      </c>
      <c r="H402" s="227"/>
      <c r="I402" s="227" t="s">
        <v>2692</v>
      </c>
      <c r="J402" s="227" t="s">
        <v>1428</v>
      </c>
      <c r="K402" s="247" t="s">
        <v>712</v>
      </c>
      <c r="L402" s="227" t="s">
        <v>1428</v>
      </c>
      <c r="M402" s="231">
        <v>3.74511253985457</v>
      </c>
      <c r="N402" s="232">
        <v>17.5234157878556</v>
      </c>
      <c r="O402" s="231">
        <f t="shared" si="54"/>
        <v>3.09549376087681</v>
      </c>
      <c r="P402" s="231">
        <f t="shared" ref="P402:P410" si="55">SUM(K402:O402)</f>
        <v>24.364022088587</v>
      </c>
      <c r="Q402" s="233" t="s">
        <v>1526</v>
      </c>
      <c r="R402" s="226" t="s">
        <v>2693</v>
      </c>
      <c r="S402" s="804"/>
      <c r="T402" s="120"/>
      <c r="W402" s="2163"/>
      <c r="Z402" s="839"/>
      <c r="AA402" s="839"/>
      <c r="AB402" s="1940"/>
    </row>
    <row r="403" s="42" customFormat="1" ht="16" customHeight="1" spans="1:28">
      <c r="A403" s="839">
        <v>294</v>
      </c>
      <c r="B403" s="226"/>
      <c r="C403" s="226"/>
      <c r="D403" s="227">
        <v>20240828</v>
      </c>
      <c r="E403" s="227">
        <v>7.17</v>
      </c>
      <c r="F403" s="2132" t="s">
        <v>2694</v>
      </c>
      <c r="G403" s="227" t="s">
        <v>1669</v>
      </c>
      <c r="H403" s="227"/>
      <c r="I403" s="227" t="s">
        <v>2695</v>
      </c>
      <c r="J403" s="227" t="s">
        <v>1428</v>
      </c>
      <c r="K403" s="247" t="s">
        <v>712</v>
      </c>
      <c r="L403" s="227" t="s">
        <v>1428</v>
      </c>
      <c r="M403" s="231">
        <v>3.74511253985457</v>
      </c>
      <c r="N403" s="232">
        <v>22.2220205915285</v>
      </c>
      <c r="O403" s="231">
        <f t="shared" si="54"/>
        <v>3.09549376087681</v>
      </c>
      <c r="P403" s="231">
        <f t="shared" si="55"/>
        <v>29.0626268922599</v>
      </c>
      <c r="Q403" s="233" t="s">
        <v>1526</v>
      </c>
      <c r="R403" s="226" t="s">
        <v>2696</v>
      </c>
      <c r="S403" s="804"/>
      <c r="T403" s="120"/>
      <c r="W403" s="2163"/>
      <c r="Z403" s="839"/>
      <c r="AA403" s="839"/>
      <c r="AB403" s="1940"/>
    </row>
    <row r="404" s="42" customFormat="1" ht="16" customHeight="1" spans="1:28">
      <c r="A404" s="839">
        <v>295</v>
      </c>
      <c r="B404" s="226"/>
      <c r="C404" s="226"/>
      <c r="D404" s="227"/>
      <c r="E404" s="227">
        <v>7.17</v>
      </c>
      <c r="F404" s="2130" t="s">
        <v>1979</v>
      </c>
      <c r="G404" s="227" t="s">
        <v>1671</v>
      </c>
      <c r="H404" s="227"/>
      <c r="I404" s="227" t="s">
        <v>2697</v>
      </c>
      <c r="J404" s="227" t="s">
        <v>1428</v>
      </c>
      <c r="K404" s="227" t="s">
        <v>712</v>
      </c>
      <c r="L404" s="227" t="s">
        <v>1428</v>
      </c>
      <c r="M404" s="231">
        <v>3.74511253985457</v>
      </c>
      <c r="N404" s="232">
        <v>20.7576724212609</v>
      </c>
      <c r="O404" s="231">
        <f t="shared" si="54"/>
        <v>3.09549376087681</v>
      </c>
      <c r="P404" s="231">
        <f t="shared" si="55"/>
        <v>27.5982787219923</v>
      </c>
      <c r="Q404" s="233" t="s">
        <v>1526</v>
      </c>
      <c r="R404" s="226" t="s">
        <v>2693</v>
      </c>
      <c r="S404" s="804"/>
      <c r="T404" s="120"/>
      <c r="W404" s="2163"/>
      <c r="Z404" s="839"/>
      <c r="AA404" s="839"/>
      <c r="AB404" s="1940"/>
    </row>
    <row r="405" s="42" customFormat="1" ht="16" customHeight="1" spans="1:28">
      <c r="A405" s="839">
        <v>296</v>
      </c>
      <c r="B405" s="226"/>
      <c r="C405" s="226"/>
      <c r="D405" s="227"/>
      <c r="E405" s="227">
        <v>7.17</v>
      </c>
      <c r="F405" s="2130" t="s">
        <v>1979</v>
      </c>
      <c r="G405" s="227" t="s">
        <v>1672</v>
      </c>
      <c r="H405" s="227"/>
      <c r="I405" s="227" t="s">
        <v>2664</v>
      </c>
      <c r="J405" s="227" t="s">
        <v>1428</v>
      </c>
      <c r="K405" s="247" t="s">
        <v>712</v>
      </c>
      <c r="L405" s="227" t="s">
        <v>1428</v>
      </c>
      <c r="M405" s="231">
        <v>3.74511253985457</v>
      </c>
      <c r="N405" s="232">
        <v>20.7568744902433</v>
      </c>
      <c r="O405" s="231">
        <f t="shared" si="54"/>
        <v>3.09549376087681</v>
      </c>
      <c r="P405" s="231">
        <f t="shared" si="55"/>
        <v>27.5974807909747</v>
      </c>
      <c r="Q405" s="233" t="s">
        <v>1526</v>
      </c>
      <c r="R405" s="226" t="s">
        <v>2693</v>
      </c>
      <c r="S405" s="804"/>
      <c r="T405" s="120"/>
      <c r="W405" s="2163"/>
      <c r="Z405" s="839"/>
      <c r="AA405" s="839"/>
      <c r="AB405" s="1940"/>
    </row>
    <row r="406" s="42" customFormat="1" ht="16" customHeight="1" spans="1:28">
      <c r="A406" s="839">
        <v>297</v>
      </c>
      <c r="B406" s="226"/>
      <c r="C406" s="226"/>
      <c r="D406" s="227"/>
      <c r="E406" s="227">
        <v>7.17</v>
      </c>
      <c r="F406" s="2130" t="s">
        <v>1979</v>
      </c>
      <c r="G406" s="227" t="s">
        <v>1998</v>
      </c>
      <c r="H406" s="227"/>
      <c r="I406" s="227" t="s">
        <v>2680</v>
      </c>
      <c r="J406" s="227" t="s">
        <v>1428</v>
      </c>
      <c r="K406" s="2162" t="s">
        <v>712</v>
      </c>
      <c r="L406" s="227" t="s">
        <v>1428</v>
      </c>
      <c r="M406" s="231">
        <v>3.74511253985457</v>
      </c>
      <c r="N406" s="232">
        <v>20.7692552908708</v>
      </c>
      <c r="O406" s="231">
        <f t="shared" si="54"/>
        <v>3.09549376087681</v>
      </c>
      <c r="P406" s="231">
        <f t="shared" si="55"/>
        <v>27.6098615916022</v>
      </c>
      <c r="Q406" s="233" t="s">
        <v>1526</v>
      </c>
      <c r="R406" s="226" t="s">
        <v>2693</v>
      </c>
      <c r="S406" s="804"/>
      <c r="T406" s="120"/>
      <c r="W406" s="2163"/>
      <c r="Z406" s="839"/>
      <c r="AA406" s="839"/>
      <c r="AB406" s="1940"/>
    </row>
    <row r="407" s="42" customFormat="1" ht="16" customHeight="1" spans="1:28">
      <c r="A407" s="839">
        <v>298</v>
      </c>
      <c r="B407" s="226"/>
      <c r="C407" s="226"/>
      <c r="D407" s="227"/>
      <c r="E407" s="227">
        <v>7.17</v>
      </c>
      <c r="F407" s="2130" t="s">
        <v>1979</v>
      </c>
      <c r="G407" s="227" t="s">
        <v>1581</v>
      </c>
      <c r="H407" s="227"/>
      <c r="I407" s="227" t="s">
        <v>2698</v>
      </c>
      <c r="J407" s="227" t="s">
        <v>1428</v>
      </c>
      <c r="K407" s="2162" t="s">
        <v>712</v>
      </c>
      <c r="L407" s="227" t="s">
        <v>1428</v>
      </c>
      <c r="M407" s="231">
        <v>3.74511253985457</v>
      </c>
      <c r="N407" s="232">
        <v>20.754532176611</v>
      </c>
      <c r="O407" s="231">
        <f t="shared" si="54"/>
        <v>3.09549376087681</v>
      </c>
      <c r="P407" s="231">
        <f t="shared" si="55"/>
        <v>27.5951384773424</v>
      </c>
      <c r="Q407" s="233" t="s">
        <v>1526</v>
      </c>
      <c r="R407" s="226" t="s">
        <v>2693</v>
      </c>
      <c r="S407" s="804"/>
      <c r="T407" s="120"/>
      <c r="W407" s="2163"/>
      <c r="Z407" s="839"/>
      <c r="AA407" s="839"/>
      <c r="AB407" s="1940"/>
    </row>
    <row r="408" s="42" customFormat="1" ht="16" customHeight="1" spans="1:28">
      <c r="A408" s="839">
        <v>299</v>
      </c>
      <c r="B408" s="226"/>
      <c r="C408" s="226"/>
      <c r="D408" s="227">
        <v>20240911</v>
      </c>
      <c r="E408" s="227">
        <v>7.17</v>
      </c>
      <c r="F408" s="2132" t="s">
        <v>2699</v>
      </c>
      <c r="G408" s="227" t="s">
        <v>2427</v>
      </c>
      <c r="H408" s="227"/>
      <c r="I408" s="227" t="s">
        <v>2680</v>
      </c>
      <c r="J408" s="227" t="s">
        <v>1428</v>
      </c>
      <c r="K408" s="2162" t="s">
        <v>712</v>
      </c>
      <c r="L408" s="227" t="s">
        <v>1428</v>
      </c>
      <c r="M408" s="231">
        <v>3.74511253985457</v>
      </c>
      <c r="N408" s="232">
        <v>19.9795569537988</v>
      </c>
      <c r="O408" s="231">
        <f t="shared" si="54"/>
        <v>3.09549376087681</v>
      </c>
      <c r="P408" s="231">
        <f t="shared" si="55"/>
        <v>26.8201632545302</v>
      </c>
      <c r="Q408" s="233" t="s">
        <v>1526</v>
      </c>
      <c r="R408" s="226" t="s">
        <v>2700</v>
      </c>
      <c r="S408" s="804"/>
      <c r="T408" s="120"/>
      <c r="W408" s="2163"/>
      <c r="Z408" s="839"/>
      <c r="AA408" s="839"/>
      <c r="AB408" s="1940"/>
    </row>
    <row r="409" s="42" customFormat="1" ht="16" customHeight="1" spans="1:28">
      <c r="A409" s="839">
        <v>300</v>
      </c>
      <c r="B409" s="226"/>
      <c r="C409" s="226"/>
      <c r="D409" s="227">
        <v>20241224</v>
      </c>
      <c r="E409" s="227">
        <v>7.17</v>
      </c>
      <c r="F409" s="2132" t="s">
        <v>2701</v>
      </c>
      <c r="G409" s="227" t="s">
        <v>2431</v>
      </c>
      <c r="H409" s="227"/>
      <c r="I409" s="227" t="s">
        <v>2692</v>
      </c>
      <c r="J409" s="227" t="s">
        <v>1428</v>
      </c>
      <c r="K409" s="247" t="s">
        <v>712</v>
      </c>
      <c r="L409" s="227" t="s">
        <v>1428</v>
      </c>
      <c r="M409" s="231">
        <v>3.74511253985457</v>
      </c>
      <c r="N409" s="232">
        <v>19.0783461648658</v>
      </c>
      <c r="O409" s="231">
        <f t="shared" si="54"/>
        <v>3.09549376087681</v>
      </c>
      <c r="P409" s="231">
        <f t="shared" si="55"/>
        <v>25.9189524655972</v>
      </c>
      <c r="Q409" s="233" t="s">
        <v>1526</v>
      </c>
      <c r="R409" s="226" t="s">
        <v>2702</v>
      </c>
      <c r="S409" s="804"/>
      <c r="T409" s="120"/>
      <c r="W409" s="2163"/>
      <c r="Z409" s="839"/>
      <c r="AA409" s="839"/>
      <c r="AB409" s="1940"/>
    </row>
    <row r="410" s="42" customFormat="1" ht="16" customHeight="1" spans="1:28">
      <c r="A410" s="839">
        <v>301</v>
      </c>
      <c r="B410" s="226"/>
      <c r="C410" s="226"/>
      <c r="D410" s="227">
        <v>20241224</v>
      </c>
      <c r="E410" s="227">
        <v>7.17</v>
      </c>
      <c r="F410" s="2132" t="s">
        <v>1666</v>
      </c>
      <c r="G410" s="227" t="s">
        <v>1667</v>
      </c>
      <c r="H410" s="227"/>
      <c r="I410" s="227" t="s">
        <v>2680</v>
      </c>
      <c r="J410" s="227" t="s">
        <v>1428</v>
      </c>
      <c r="K410" s="2162" t="s">
        <v>712</v>
      </c>
      <c r="L410" s="227" t="s">
        <v>1428</v>
      </c>
      <c r="M410" s="231">
        <v>3.74511253985457</v>
      </c>
      <c r="N410" s="232">
        <v>20.5737807710264</v>
      </c>
      <c r="O410" s="231">
        <f t="shared" si="54"/>
        <v>3.09549376087681</v>
      </c>
      <c r="P410" s="231">
        <f t="shared" si="55"/>
        <v>27.4143870717578</v>
      </c>
      <c r="Q410" s="233" t="s">
        <v>1526</v>
      </c>
      <c r="R410" s="226" t="s">
        <v>2703</v>
      </c>
      <c r="S410" s="804"/>
      <c r="T410" s="120"/>
      <c r="W410" s="2163"/>
      <c r="Z410" s="839"/>
      <c r="AA410" s="839"/>
      <c r="AB410" s="1940"/>
    </row>
    <row r="411" s="42" customFormat="1" ht="16" customHeight="1" spans="1:28">
      <c r="A411" s="839">
        <v>302</v>
      </c>
      <c r="B411" s="266"/>
      <c r="C411" s="226"/>
      <c r="D411" s="2028">
        <v>46050</v>
      </c>
      <c r="E411" s="227">
        <v>6.96</v>
      </c>
      <c r="F411" s="2132" t="s">
        <v>2704</v>
      </c>
      <c r="G411" s="227" t="s">
        <v>1558</v>
      </c>
      <c r="H411" s="227"/>
      <c r="I411" s="227" t="s">
        <v>2692</v>
      </c>
      <c r="J411" s="227" t="s">
        <v>1428</v>
      </c>
      <c r="K411" s="247" t="s">
        <v>712</v>
      </c>
      <c r="L411" s="227" t="s">
        <v>1428</v>
      </c>
      <c r="M411" s="320">
        <f>34.5/E411/1.13</f>
        <v>4.38663411657003</v>
      </c>
      <c r="N411" s="319">
        <v>17</v>
      </c>
      <c r="O411" s="320">
        <f t="shared" si="54"/>
        <v>3.18889227952395</v>
      </c>
      <c r="P411" s="320">
        <f t="shared" ref="P411:P430" si="56">SUM(K411:O411)</f>
        <v>24.575526396094</v>
      </c>
      <c r="Q411" s="233" t="s">
        <v>1526</v>
      </c>
      <c r="R411" s="226" t="s">
        <v>2705</v>
      </c>
      <c r="S411" s="804"/>
      <c r="T411" s="120"/>
      <c r="W411" s="2163"/>
      <c r="Z411" s="839"/>
      <c r="AA411" s="839"/>
      <c r="AB411" s="1940"/>
    </row>
    <row r="412" s="839" customFormat="1" ht="16" customHeight="1" spans="1:28">
      <c r="A412" s="839">
        <v>303</v>
      </c>
      <c r="B412" s="226"/>
      <c r="C412" s="226"/>
      <c r="D412" s="227">
        <v>20250109</v>
      </c>
      <c r="E412" s="227">
        <v>7.17</v>
      </c>
      <c r="F412" s="2132" t="s">
        <v>2706</v>
      </c>
      <c r="G412" s="227" t="s">
        <v>2311</v>
      </c>
      <c r="H412" s="227"/>
      <c r="I412" s="227" t="s">
        <v>2680</v>
      </c>
      <c r="J412" s="227" t="s">
        <v>1428</v>
      </c>
      <c r="K412" s="2162" t="s">
        <v>712</v>
      </c>
      <c r="L412" s="227" t="s">
        <v>1428</v>
      </c>
      <c r="M412" s="231">
        <v>3.74511253985457</v>
      </c>
      <c r="N412" s="232">
        <v>19.0230102629926</v>
      </c>
      <c r="O412" s="231">
        <f t="shared" si="54"/>
        <v>3.09549376087681</v>
      </c>
      <c r="P412" s="231">
        <f t="shared" si="56"/>
        <v>25.863616563724</v>
      </c>
      <c r="Q412" s="233" t="s">
        <v>1526</v>
      </c>
      <c r="R412" s="226" t="s">
        <v>2707</v>
      </c>
      <c r="S412" s="804"/>
      <c r="T412" s="120"/>
      <c r="W412" s="1940"/>
      <c r="AB412" s="1940"/>
    </row>
    <row r="413" s="42" customFormat="1" ht="16" customHeight="1" spans="1:28">
      <c r="A413" s="839">
        <v>304</v>
      </c>
      <c r="B413" s="226"/>
      <c r="C413" s="226"/>
      <c r="D413" s="227">
        <v>20250109</v>
      </c>
      <c r="E413" s="227">
        <v>7.17</v>
      </c>
      <c r="F413" s="2132" t="s">
        <v>2708</v>
      </c>
      <c r="G413" s="227" t="s">
        <v>2314</v>
      </c>
      <c r="H413" s="227"/>
      <c r="I413" s="227" t="s">
        <v>2664</v>
      </c>
      <c r="J413" s="227" t="s">
        <v>1428</v>
      </c>
      <c r="K413" s="247" t="s">
        <v>712</v>
      </c>
      <c r="L413" s="227" t="s">
        <v>1428</v>
      </c>
      <c r="M413" s="231">
        <v>3.74511253985457</v>
      </c>
      <c r="N413" s="232">
        <v>19.7578379048657</v>
      </c>
      <c r="O413" s="231">
        <f t="shared" si="54"/>
        <v>3.09549376087681</v>
      </c>
      <c r="P413" s="231">
        <f t="shared" si="56"/>
        <v>26.5984442055971</v>
      </c>
      <c r="Q413" s="233" t="s">
        <v>1526</v>
      </c>
      <c r="R413" s="226" t="s">
        <v>2707</v>
      </c>
      <c r="S413" s="804"/>
      <c r="T413" s="120"/>
      <c r="W413" s="2163"/>
      <c r="Z413" s="839"/>
      <c r="AA413" s="839"/>
      <c r="AB413" s="1940"/>
    </row>
    <row r="414" s="42" customFormat="1" ht="16" customHeight="1" spans="1:28">
      <c r="A414" s="839">
        <v>305</v>
      </c>
      <c r="B414" s="226"/>
      <c r="C414" s="226"/>
      <c r="D414" s="2081">
        <v>46056</v>
      </c>
      <c r="E414" s="219">
        <v>6.9514</v>
      </c>
      <c r="F414" s="2132" t="s">
        <v>2709</v>
      </c>
      <c r="G414" s="227" t="s">
        <v>2459</v>
      </c>
      <c r="H414" s="227"/>
      <c r="I414" s="227" t="s">
        <v>2692</v>
      </c>
      <c r="J414" s="227"/>
      <c r="K414" s="247" t="s">
        <v>712</v>
      </c>
      <c r="L414" s="227"/>
      <c r="M414" s="231">
        <f>30.43/E414/1.13</f>
        <v>3.87392518626795</v>
      </c>
      <c r="N414" s="232">
        <v>18.6963530699544</v>
      </c>
      <c r="O414" s="231">
        <f t="shared" si="54"/>
        <v>3.19283745223793</v>
      </c>
      <c r="P414" s="231">
        <f t="shared" si="56"/>
        <v>25.7631157084603</v>
      </c>
      <c r="Q414" s="233" t="s">
        <v>1526</v>
      </c>
      <c r="R414" s="226" t="s">
        <v>2710</v>
      </c>
      <c r="S414" s="804"/>
      <c r="T414" s="120"/>
      <c r="W414" s="2163"/>
      <c r="Z414" s="839"/>
      <c r="AA414" s="839"/>
      <c r="AB414" s="1940"/>
    </row>
    <row r="415" s="42" customFormat="1" ht="16" customHeight="1" spans="1:28">
      <c r="A415" s="839">
        <v>306</v>
      </c>
      <c r="B415" s="226"/>
      <c r="C415" s="226"/>
      <c r="D415" s="227">
        <v>20250326</v>
      </c>
      <c r="E415" s="227">
        <v>7.17</v>
      </c>
      <c r="F415" s="2132" t="s">
        <v>2711</v>
      </c>
      <c r="G415" s="227" t="s">
        <v>1723</v>
      </c>
      <c r="H415" s="227"/>
      <c r="I415" s="227" t="s">
        <v>2692</v>
      </c>
      <c r="J415" s="227"/>
      <c r="K415" s="247" t="s">
        <v>712</v>
      </c>
      <c r="L415" s="227"/>
      <c r="M415" s="231">
        <v>3.74511253985457</v>
      </c>
      <c r="N415" s="232">
        <v>16.786815402021</v>
      </c>
      <c r="O415" s="231">
        <f t="shared" si="54"/>
        <v>3.09549376087681</v>
      </c>
      <c r="P415" s="231">
        <f t="shared" si="56"/>
        <v>23.6274217027524</v>
      </c>
      <c r="Q415" s="233" t="s">
        <v>1526</v>
      </c>
      <c r="R415" s="226" t="s">
        <v>2712</v>
      </c>
      <c r="S415" s="804"/>
      <c r="T415" s="120"/>
      <c r="W415" s="2163"/>
      <c r="Z415" s="839"/>
      <c r="AA415" s="839"/>
      <c r="AB415" s="1940"/>
    </row>
    <row r="416" s="42" customFormat="1" ht="16" customHeight="1" spans="1:28">
      <c r="A416" s="839">
        <v>307</v>
      </c>
      <c r="B416" s="226"/>
      <c r="C416" s="226"/>
      <c r="D416" s="227">
        <v>20250326</v>
      </c>
      <c r="E416" s="227">
        <v>7.17</v>
      </c>
      <c r="F416" s="2132" t="s">
        <v>2713</v>
      </c>
      <c r="G416" s="227" t="s">
        <v>1587</v>
      </c>
      <c r="H416" s="227"/>
      <c r="I416" s="227" t="s">
        <v>2692</v>
      </c>
      <c r="J416" s="227"/>
      <c r="K416" s="247" t="s">
        <v>712</v>
      </c>
      <c r="L416" s="227"/>
      <c r="M416" s="231">
        <v>3.74511253985457</v>
      </c>
      <c r="N416" s="232">
        <v>17.4079254605765</v>
      </c>
      <c r="O416" s="231">
        <f t="shared" si="54"/>
        <v>3.09549376087681</v>
      </c>
      <c r="P416" s="231">
        <f t="shared" si="56"/>
        <v>24.2485317613079</v>
      </c>
      <c r="Q416" s="233" t="s">
        <v>1526</v>
      </c>
      <c r="R416" s="226" t="s">
        <v>2710</v>
      </c>
      <c r="S416" s="804"/>
      <c r="T416" s="120"/>
      <c r="W416" s="2163"/>
      <c r="Z416" s="839"/>
      <c r="AA416" s="839"/>
      <c r="AB416" s="1940"/>
    </row>
    <row r="417" ht="16" customHeight="1" spans="1:28">
      <c r="A417" s="839">
        <v>308</v>
      </c>
      <c r="B417" s="266" t="s">
        <v>2714</v>
      </c>
      <c r="C417" s="266"/>
      <c r="D417" s="219">
        <v>20250620</v>
      </c>
      <c r="E417" s="219">
        <v>7.17</v>
      </c>
      <c r="F417" s="2125" t="s">
        <v>2715</v>
      </c>
      <c r="G417" s="219" t="s">
        <v>1672</v>
      </c>
      <c r="H417" s="219"/>
      <c r="I417" s="219" t="s">
        <v>2692</v>
      </c>
      <c r="J417" s="219" t="s">
        <v>1635</v>
      </c>
      <c r="K417" s="431" t="s">
        <v>712</v>
      </c>
      <c r="L417" s="219">
        <v>3.1</v>
      </c>
      <c r="M417" s="320">
        <f>28/E417/1.13</f>
        <v>3.45589415089915</v>
      </c>
      <c r="N417" s="320">
        <v>16.7290926191952</v>
      </c>
      <c r="O417" s="320">
        <v>3</v>
      </c>
      <c r="P417" s="320">
        <f t="shared" si="56"/>
        <v>26.2849867700943</v>
      </c>
      <c r="Q417" s="2170" t="s">
        <v>2563</v>
      </c>
      <c r="R417" s="226" t="s">
        <v>2716</v>
      </c>
      <c r="S417" s="804"/>
      <c r="T417" s="1935"/>
      <c r="U417" s="1935"/>
      <c r="V417" s="1935"/>
      <c r="W417" s="2171"/>
      <c r="X417" s="1935"/>
    </row>
    <row r="418" ht="16" customHeight="1" spans="1:28">
      <c r="A418" s="839">
        <v>309</v>
      </c>
      <c r="B418" s="266"/>
      <c r="C418" s="266"/>
      <c r="D418" s="219">
        <v>20250620</v>
      </c>
      <c r="E418" s="219">
        <v>7.17</v>
      </c>
      <c r="F418" s="2125" t="s">
        <v>2717</v>
      </c>
      <c r="G418" s="219" t="s">
        <v>1998</v>
      </c>
      <c r="H418" s="219"/>
      <c r="I418" s="219" t="s">
        <v>2680</v>
      </c>
      <c r="J418" s="219" t="s">
        <v>1742</v>
      </c>
      <c r="K418" s="431" t="s">
        <v>712</v>
      </c>
      <c r="L418" s="219">
        <v>6</v>
      </c>
      <c r="M418" s="320">
        <f t="shared" ref="M418:M421" si="57">33.97/E418/1.13*1.05</f>
        <v>4.40237716147665</v>
      </c>
      <c r="N418" s="320">
        <v>16.547971792676</v>
      </c>
      <c r="O418" s="320">
        <v>3</v>
      </c>
      <c r="P418" s="320">
        <f t="shared" si="56"/>
        <v>29.9503489541527</v>
      </c>
      <c r="Q418" s="2170" t="s">
        <v>1755</v>
      </c>
      <c r="R418" s="226" t="s">
        <v>2718</v>
      </c>
      <c r="S418" s="804"/>
      <c r="T418" s="1935"/>
      <c r="U418" s="1935"/>
      <c r="V418" s="1935"/>
      <c r="W418" s="2171"/>
      <c r="X418" s="1935"/>
    </row>
    <row r="419" ht="16" customHeight="1" spans="1:28">
      <c r="A419" s="839"/>
      <c r="B419" s="266"/>
      <c r="C419" s="266"/>
      <c r="D419" s="219"/>
      <c r="E419" s="219">
        <v>6.78</v>
      </c>
      <c r="F419" s="1975" t="s">
        <v>2719</v>
      </c>
      <c r="G419" s="219"/>
      <c r="H419" s="219"/>
      <c r="I419" s="219"/>
      <c r="J419" s="219"/>
      <c r="K419" s="431"/>
      <c r="L419" s="219"/>
      <c r="M419" s="320">
        <f t="shared" si="57"/>
        <v>4.65561124598637</v>
      </c>
      <c r="N419" s="320">
        <v>16.1</v>
      </c>
      <c r="O419" s="320">
        <v>3</v>
      </c>
      <c r="P419" s="320">
        <f t="shared" si="56"/>
        <v>23.7556112459864</v>
      </c>
      <c r="Q419" s="2172"/>
      <c r="R419" s="226"/>
      <c r="S419" s="804"/>
      <c r="T419" s="1935"/>
      <c r="U419" s="1935"/>
      <c r="V419" s="1935"/>
      <c r="W419" s="2171"/>
      <c r="X419" s="1935"/>
    </row>
    <row r="420" ht="16" customHeight="1" spans="1:28">
      <c r="A420" s="839">
        <v>310</v>
      </c>
      <c r="B420" s="266"/>
      <c r="C420" s="266"/>
      <c r="D420" s="219">
        <v>20250620</v>
      </c>
      <c r="E420" s="219">
        <v>7.17</v>
      </c>
      <c r="F420" s="2125" t="s">
        <v>2720</v>
      </c>
      <c r="G420" s="219" t="s">
        <v>1581</v>
      </c>
      <c r="H420" s="219"/>
      <c r="I420" s="219" t="s">
        <v>2664</v>
      </c>
      <c r="J420" s="219" t="s">
        <v>1742</v>
      </c>
      <c r="K420" s="431" t="s">
        <v>712</v>
      </c>
      <c r="L420" s="219">
        <v>6</v>
      </c>
      <c r="M420" s="320">
        <f>28/E420/1.13</f>
        <v>3.45589415089915</v>
      </c>
      <c r="N420" s="320">
        <v>16.5428411416982</v>
      </c>
      <c r="O420" s="320">
        <v>3</v>
      </c>
      <c r="P420" s="320">
        <f t="shared" si="56"/>
        <v>28.9987352925974</v>
      </c>
      <c r="Q420" s="2170" t="s">
        <v>2721</v>
      </c>
      <c r="R420" s="226" t="s">
        <v>2722</v>
      </c>
      <c r="S420" s="804"/>
      <c r="T420" s="1935"/>
      <c r="U420" s="1935"/>
      <c r="V420" s="1935"/>
      <c r="W420" s="2171"/>
      <c r="X420" s="1935"/>
    </row>
    <row r="421" customFormat="1" ht="16" customHeight="1" spans="1:28">
      <c r="A421" s="839"/>
      <c r="B421" s="266"/>
      <c r="C421" s="266"/>
      <c r="D421" s="219"/>
      <c r="E421" s="219">
        <v>6.78</v>
      </c>
      <c r="F421" s="2125" t="s">
        <v>2723</v>
      </c>
      <c r="G421" s="219"/>
      <c r="H421" s="219"/>
      <c r="I421" s="219"/>
      <c r="J421" s="219"/>
      <c r="K421" s="431"/>
      <c r="L421" s="219"/>
      <c r="M421" s="320">
        <f t="shared" si="57"/>
        <v>4.65561124598637</v>
      </c>
      <c r="N421" s="320">
        <v>17.1</v>
      </c>
      <c r="O421" s="320">
        <v>3</v>
      </c>
      <c r="P421" s="320">
        <f t="shared" si="56"/>
        <v>24.7556112459864</v>
      </c>
      <c r="Q421" s="2170"/>
      <c r="R421" s="226"/>
      <c r="S421" s="804"/>
      <c r="T421" s="1935"/>
      <c r="U421" s="1935"/>
      <c r="V421" s="1935"/>
      <c r="W421" s="2171"/>
      <c r="X421" s="1935"/>
      <c r="AB421" s="1940"/>
    </row>
    <row r="422" s="839" customFormat="1" ht="16" customHeight="1" spans="1:28">
      <c r="A422" s="839">
        <v>311</v>
      </c>
      <c r="B422" s="266"/>
      <c r="C422" s="266"/>
      <c r="D422" s="219">
        <v>20250722</v>
      </c>
      <c r="E422" s="219">
        <v>6.8819</v>
      </c>
      <c r="F422" s="2125" t="s">
        <v>2724</v>
      </c>
      <c r="G422" s="219" t="s">
        <v>2427</v>
      </c>
      <c r="H422" s="219"/>
      <c r="I422" s="219" t="s">
        <v>2695</v>
      </c>
      <c r="J422" s="219" t="s">
        <v>1567</v>
      </c>
      <c r="K422" s="431" t="s">
        <v>712</v>
      </c>
      <c r="L422" s="219">
        <v>7.5</v>
      </c>
      <c r="M422" s="320">
        <f>28/E422/1.13</f>
        <v>3.60056976444687</v>
      </c>
      <c r="N422" s="320">
        <v>14.75</v>
      </c>
      <c r="O422" s="320">
        <v>3</v>
      </c>
      <c r="P422" s="320">
        <f t="shared" si="56"/>
        <v>28.8505697644469</v>
      </c>
      <c r="Q422" s="2170" t="s">
        <v>1748</v>
      </c>
      <c r="R422" s="226" t="s">
        <v>2725</v>
      </c>
      <c r="S422" s="804"/>
      <c r="W422" s="1940"/>
      <c r="AB422" s="1940"/>
    </row>
    <row r="423" s="1935" customFormat="1" ht="16" customHeight="1" spans="1:28">
      <c r="A423" s="839">
        <v>312</v>
      </c>
      <c r="B423" s="266"/>
      <c r="C423" s="266"/>
      <c r="D423" s="219">
        <v>20250722</v>
      </c>
      <c r="E423" s="219">
        <v>7.17</v>
      </c>
      <c r="F423" s="2125" t="s">
        <v>2726</v>
      </c>
      <c r="G423" s="219" t="s">
        <v>2449</v>
      </c>
      <c r="H423" s="219"/>
      <c r="I423" s="219" t="s">
        <v>2664</v>
      </c>
      <c r="J423" s="219" t="s">
        <v>1635</v>
      </c>
      <c r="K423" s="219" t="s">
        <v>712</v>
      </c>
      <c r="L423" s="219">
        <v>3.1</v>
      </c>
      <c r="M423" s="320">
        <f>28/E423/1.13</f>
        <v>3.45589415089915</v>
      </c>
      <c r="N423" s="320">
        <v>14.6055035381401</v>
      </c>
      <c r="O423" s="320">
        <v>3</v>
      </c>
      <c r="P423" s="320">
        <f t="shared" si="56"/>
        <v>24.1613976890392</v>
      </c>
      <c r="Q423" s="2170" t="s">
        <v>1568</v>
      </c>
      <c r="R423" s="226" t="s">
        <v>2727</v>
      </c>
      <c r="S423" s="804"/>
      <c r="W423" s="2171"/>
      <c r="Z423" s="839"/>
      <c r="AA423" s="839"/>
      <c r="AB423" s="1940"/>
    </row>
    <row r="424" s="1935" customFormat="1" ht="16" customHeight="1" spans="1:28">
      <c r="A424" s="839">
        <v>1</v>
      </c>
      <c r="B424" s="266"/>
      <c r="C424" s="266"/>
      <c r="D424" s="2081">
        <v>46157</v>
      </c>
      <c r="E424" s="219">
        <v>6.7986</v>
      </c>
      <c r="F424" s="1975" t="s">
        <v>2728</v>
      </c>
      <c r="G424" s="219" t="s">
        <v>2729</v>
      </c>
      <c r="H424" s="219"/>
      <c r="I424" s="219"/>
      <c r="J424" s="219" t="s">
        <v>1428</v>
      </c>
      <c r="K424" s="219" t="s">
        <v>712</v>
      </c>
      <c r="L424" s="219" t="s">
        <v>1428</v>
      </c>
      <c r="M424" s="320">
        <f>39.2/E424/1.13*1.05</f>
        <v>5.35768816536669</v>
      </c>
      <c r="N424" s="320">
        <v>16.6</v>
      </c>
      <c r="O424" s="320">
        <v>3</v>
      </c>
      <c r="P424" s="320">
        <f t="shared" si="56"/>
        <v>24.9576881653667</v>
      </c>
      <c r="Q424" s="2170"/>
      <c r="R424" s="226"/>
      <c r="S424" s="804"/>
      <c r="W424" s="2171"/>
      <c r="Z424" s="839"/>
      <c r="AA424" s="839"/>
      <c r="AB424" s="1940"/>
    </row>
    <row r="425" s="1935" customFormat="1" ht="16" customHeight="1" spans="1:28">
      <c r="A425" s="839">
        <v>313</v>
      </c>
      <c r="B425" s="266"/>
      <c r="C425" s="266"/>
      <c r="D425" s="219">
        <v>20250722</v>
      </c>
      <c r="E425" s="219">
        <v>7.17</v>
      </c>
      <c r="F425" s="2125" t="s">
        <v>2730</v>
      </c>
      <c r="G425" s="219" t="s">
        <v>2546</v>
      </c>
      <c r="H425" s="219"/>
      <c r="I425" s="219" t="s">
        <v>2664</v>
      </c>
      <c r="J425" s="219" t="s">
        <v>1635</v>
      </c>
      <c r="K425" s="219" t="s">
        <v>712</v>
      </c>
      <c r="L425" s="219">
        <v>3.1</v>
      </c>
      <c r="M425" s="320">
        <f t="shared" ref="M425:M434" si="58">28/E425/1.13</f>
        <v>3.45589415089915</v>
      </c>
      <c r="N425" s="320">
        <v>14.3663154539712</v>
      </c>
      <c r="O425" s="320">
        <v>3</v>
      </c>
      <c r="P425" s="320">
        <f t="shared" si="56"/>
        <v>23.9222096048703</v>
      </c>
      <c r="Q425" s="2170" t="s">
        <v>2563</v>
      </c>
      <c r="R425" s="226" t="s">
        <v>2727</v>
      </c>
      <c r="S425" s="804"/>
      <c r="W425" s="2171"/>
      <c r="Z425" s="839"/>
      <c r="AA425" s="839"/>
      <c r="AB425" s="1940"/>
    </row>
    <row r="426" s="839" customFormat="1" ht="16" customHeight="1" spans="1:28">
      <c r="A426" s="839">
        <v>314</v>
      </c>
      <c r="B426" s="266"/>
      <c r="C426" s="266"/>
      <c r="D426" s="2081">
        <v>46091</v>
      </c>
      <c r="E426" s="219">
        <v>6.7986</v>
      </c>
      <c r="F426" s="2125" t="s">
        <v>2731</v>
      </c>
      <c r="G426" s="219" t="s">
        <v>2546</v>
      </c>
      <c r="H426" s="219"/>
      <c r="I426" s="219"/>
      <c r="J426" s="219"/>
      <c r="K426" s="219" t="s">
        <v>712</v>
      </c>
      <c r="L426" s="219"/>
      <c r="M426" s="320">
        <f t="shared" si="58"/>
        <v>3.64468582678006</v>
      </c>
      <c r="N426" s="320">
        <v>22.61</v>
      </c>
      <c r="O426" s="320">
        <v>3</v>
      </c>
      <c r="P426" s="320">
        <f t="shared" si="56"/>
        <v>29.2546858267801</v>
      </c>
      <c r="Q426" s="2170"/>
      <c r="R426" s="226"/>
      <c r="S426" s="804"/>
      <c r="W426" s="1940"/>
      <c r="AB426" s="1940"/>
    </row>
    <row r="427" s="839" customFormat="1" ht="16" customHeight="1" spans="1:28">
      <c r="A427" s="839">
        <v>315</v>
      </c>
      <c r="B427" s="266"/>
      <c r="C427" s="266"/>
      <c r="D427" s="219">
        <v>20250718</v>
      </c>
      <c r="E427" s="219">
        <v>7.17</v>
      </c>
      <c r="F427" s="2125" t="s">
        <v>2732</v>
      </c>
      <c r="G427" s="219" t="s">
        <v>2306</v>
      </c>
      <c r="H427" s="219"/>
      <c r="I427" s="219" t="s">
        <v>2680</v>
      </c>
      <c r="J427" s="219" t="s">
        <v>1635</v>
      </c>
      <c r="K427" s="219" t="s">
        <v>712</v>
      </c>
      <c r="L427" s="219">
        <v>3.1</v>
      </c>
      <c r="M427" s="320">
        <f t="shared" si="58"/>
        <v>3.45589415089915</v>
      </c>
      <c r="N427" s="320">
        <v>16.7432492780964</v>
      </c>
      <c r="O427" s="320">
        <v>3</v>
      </c>
      <c r="P427" s="320">
        <f t="shared" si="56"/>
        <v>26.2991434289955</v>
      </c>
      <c r="Q427" s="2170" t="s">
        <v>1568</v>
      </c>
      <c r="R427" s="226" t="s">
        <v>2733</v>
      </c>
      <c r="S427" s="804"/>
      <c r="W427" s="1940"/>
      <c r="AB427" s="1940"/>
    </row>
    <row r="428" s="1935" customFormat="1" ht="16" customHeight="1" spans="1:28">
      <c r="A428" s="839">
        <v>316</v>
      </c>
      <c r="B428" s="266"/>
      <c r="C428" s="266"/>
      <c r="D428" s="219">
        <v>20250718</v>
      </c>
      <c r="E428" s="219">
        <v>7.17</v>
      </c>
      <c r="F428" s="2125" t="s">
        <v>2734</v>
      </c>
      <c r="G428" s="219" t="s">
        <v>2431</v>
      </c>
      <c r="H428" s="219"/>
      <c r="I428" s="219" t="s">
        <v>2680</v>
      </c>
      <c r="J428" s="219" t="s">
        <v>1635</v>
      </c>
      <c r="K428" s="219" t="s">
        <v>712</v>
      </c>
      <c r="L428" s="219">
        <v>3.1</v>
      </c>
      <c r="M428" s="320">
        <f t="shared" si="58"/>
        <v>3.45589415089915</v>
      </c>
      <c r="N428" s="320">
        <v>16.7432492780964</v>
      </c>
      <c r="O428" s="320">
        <v>3</v>
      </c>
      <c r="P428" s="320">
        <f t="shared" si="56"/>
        <v>26.2991434289955</v>
      </c>
      <c r="Q428" s="2170" t="s">
        <v>1568</v>
      </c>
      <c r="R428" s="226" t="s">
        <v>2735</v>
      </c>
      <c r="S428" s="804"/>
      <c r="W428" s="2171"/>
      <c r="Z428" s="839"/>
      <c r="AA428" s="839"/>
      <c r="AB428" s="1940"/>
    </row>
    <row r="429" s="1935" customFormat="1" ht="16" customHeight="1" spans="1:28">
      <c r="A429" s="839">
        <v>317</v>
      </c>
      <c r="B429" s="266"/>
      <c r="C429" s="266"/>
      <c r="D429" s="219">
        <v>20250722</v>
      </c>
      <c r="E429" s="219">
        <v>7.17</v>
      </c>
      <c r="F429" s="2125" t="s">
        <v>2736</v>
      </c>
      <c r="G429" s="219" t="s">
        <v>1667</v>
      </c>
      <c r="H429" s="219"/>
      <c r="I429" s="219" t="s">
        <v>2737</v>
      </c>
      <c r="J429" s="219" t="s">
        <v>1635</v>
      </c>
      <c r="K429" s="219" t="s">
        <v>712</v>
      </c>
      <c r="L429" s="219">
        <v>3.1</v>
      </c>
      <c r="M429" s="320">
        <f t="shared" si="58"/>
        <v>3.45589415089915</v>
      </c>
      <c r="N429" s="320">
        <v>15.330773468573</v>
      </c>
      <c r="O429" s="320">
        <v>3</v>
      </c>
      <c r="P429" s="320">
        <f t="shared" si="56"/>
        <v>24.8866676194721</v>
      </c>
      <c r="Q429" s="2170" t="s">
        <v>1568</v>
      </c>
      <c r="R429" s="226" t="s">
        <v>2738</v>
      </c>
      <c r="S429" s="1920"/>
      <c r="W429" s="2171"/>
      <c r="Z429" s="839"/>
      <c r="AA429" s="839"/>
      <c r="AB429" s="1940"/>
    </row>
    <row r="430" s="839" customFormat="1" ht="16" customHeight="1" spans="1:28">
      <c r="A430" s="839">
        <v>318</v>
      </c>
      <c r="B430" s="266"/>
      <c r="C430" s="266"/>
      <c r="D430" s="219">
        <v>20250730</v>
      </c>
      <c r="E430" s="219">
        <v>7.17</v>
      </c>
      <c r="F430" s="2125" t="s">
        <v>2739</v>
      </c>
      <c r="G430" s="219" t="s">
        <v>1558</v>
      </c>
      <c r="H430" s="219"/>
      <c r="I430" s="219" t="s">
        <v>2680</v>
      </c>
      <c r="J430" s="219" t="s">
        <v>1742</v>
      </c>
      <c r="K430" s="219" t="s">
        <v>712</v>
      </c>
      <c r="L430" s="219">
        <v>6</v>
      </c>
      <c r="M430" s="320">
        <f t="shared" si="58"/>
        <v>3.45589415089915</v>
      </c>
      <c r="N430" s="320">
        <v>16.5306011516847</v>
      </c>
      <c r="O430" s="320">
        <v>3</v>
      </c>
      <c r="P430" s="320">
        <f t="shared" si="56"/>
        <v>28.9864953025838</v>
      </c>
      <c r="Q430" s="2170" t="s">
        <v>1755</v>
      </c>
      <c r="R430" s="226" t="s">
        <v>2740</v>
      </c>
      <c r="S430" s="804"/>
      <c r="W430" s="1940"/>
      <c r="AB430" s="1940"/>
    </row>
    <row r="431" s="839" customFormat="1" ht="16" customHeight="1" spans="1:28">
      <c r="A431" s="839">
        <v>319</v>
      </c>
      <c r="B431" s="266"/>
      <c r="C431" s="266"/>
      <c r="D431" s="219">
        <v>20250730</v>
      </c>
      <c r="E431" s="219">
        <v>7.17</v>
      </c>
      <c r="F431" s="2125" t="s">
        <v>2741</v>
      </c>
      <c r="G431" s="219" t="s">
        <v>2311</v>
      </c>
      <c r="H431" s="219"/>
      <c r="I431" s="219" t="s">
        <v>2742</v>
      </c>
      <c r="J431" s="219" t="s">
        <v>1742</v>
      </c>
      <c r="K431" s="219" t="s">
        <v>712</v>
      </c>
      <c r="L431" s="219">
        <v>6</v>
      </c>
      <c r="M431" s="320">
        <f t="shared" si="58"/>
        <v>3.45589415089915</v>
      </c>
      <c r="N431" s="320">
        <v>16.5316638391362</v>
      </c>
      <c r="O431" s="320">
        <v>3</v>
      </c>
      <c r="P431" s="320">
        <f t="shared" ref="P431:P437" si="59">SUM(K431:O431)</f>
        <v>28.9875579900353</v>
      </c>
      <c r="Q431" s="2170" t="s">
        <v>2743</v>
      </c>
      <c r="R431" s="226" t="s">
        <v>2744</v>
      </c>
      <c r="S431" s="804"/>
      <c r="W431" s="1940"/>
      <c r="AB431" s="1940"/>
    </row>
    <row r="432" s="839" customFormat="1" ht="16" customHeight="1" spans="1:28">
      <c r="A432" s="839">
        <v>320</v>
      </c>
      <c r="B432" s="266"/>
      <c r="C432" s="266"/>
      <c r="D432" s="219">
        <v>20250730</v>
      </c>
      <c r="E432" s="219">
        <v>7.17</v>
      </c>
      <c r="F432" s="2125" t="s">
        <v>2745</v>
      </c>
      <c r="G432" s="219" t="s">
        <v>2314</v>
      </c>
      <c r="H432" s="219"/>
      <c r="I432" s="219" t="s">
        <v>2680</v>
      </c>
      <c r="J432" s="219" t="s">
        <v>1742</v>
      </c>
      <c r="K432" s="219" t="s">
        <v>712</v>
      </c>
      <c r="L432" s="219">
        <v>6</v>
      </c>
      <c r="M432" s="320">
        <f>33.97/E432/1.13*1.1</f>
        <v>4.61201416916602</v>
      </c>
      <c r="N432" s="320">
        <v>19.3</v>
      </c>
      <c r="O432" s="320">
        <v>3</v>
      </c>
      <c r="P432" s="320">
        <f t="shared" si="59"/>
        <v>32.912014169166</v>
      </c>
      <c r="Q432" s="640" t="s">
        <v>1568</v>
      </c>
      <c r="R432" s="266" t="s">
        <v>2744</v>
      </c>
      <c r="S432" s="804"/>
      <c r="W432" s="1940"/>
      <c r="AB432" s="1940"/>
    </row>
    <row r="433" s="839" customFormat="1" ht="16" customHeight="1" spans="1:28">
      <c r="A433" s="839">
        <v>321</v>
      </c>
      <c r="B433" s="266"/>
      <c r="C433" s="266"/>
      <c r="D433" s="219">
        <v>20250730</v>
      </c>
      <c r="E433" s="219">
        <v>7.17</v>
      </c>
      <c r="F433" s="2125" t="s">
        <v>2746</v>
      </c>
      <c r="G433" s="219" t="s">
        <v>2459</v>
      </c>
      <c r="H433" s="219"/>
      <c r="I433" s="219" t="s">
        <v>2680</v>
      </c>
      <c r="J433" s="219" t="s">
        <v>1742</v>
      </c>
      <c r="K433" s="219" t="s">
        <v>712</v>
      </c>
      <c r="L433" s="219">
        <v>6</v>
      </c>
      <c r="M433" s="320">
        <f t="shared" si="58"/>
        <v>3.45589415089915</v>
      </c>
      <c r="N433" s="320">
        <v>16.5313657682656</v>
      </c>
      <c r="O433" s="320">
        <v>3</v>
      </c>
      <c r="P433" s="320">
        <f t="shared" si="59"/>
        <v>28.9872599191647</v>
      </c>
      <c r="Q433" s="2170" t="s">
        <v>2747</v>
      </c>
      <c r="R433" s="226" t="s">
        <v>2748</v>
      </c>
      <c r="S433" s="804"/>
      <c r="W433" s="1940"/>
      <c r="AB433" s="1940"/>
    </row>
    <row r="434" s="839" customFormat="1" ht="16" customHeight="1" spans="1:28">
      <c r="A434" s="839">
        <v>322</v>
      </c>
      <c r="B434" s="266"/>
      <c r="C434" s="266"/>
      <c r="D434" s="219">
        <v>20250730</v>
      </c>
      <c r="E434" s="219">
        <v>7.17</v>
      </c>
      <c r="F434" s="2125" t="s">
        <v>2749</v>
      </c>
      <c r="G434" s="219" t="s">
        <v>1723</v>
      </c>
      <c r="H434" s="219"/>
      <c r="I434" s="219" t="s">
        <v>2680</v>
      </c>
      <c r="J434" s="219" t="s">
        <v>1742</v>
      </c>
      <c r="K434" s="219" t="s">
        <v>712</v>
      </c>
      <c r="L434" s="219">
        <v>6</v>
      </c>
      <c r="M434" s="320">
        <f t="shared" si="58"/>
        <v>3.45589415089915</v>
      </c>
      <c r="N434" s="320">
        <v>16.5313657682656</v>
      </c>
      <c r="O434" s="320">
        <v>3</v>
      </c>
      <c r="P434" s="320">
        <f t="shared" si="59"/>
        <v>28.9872599191647</v>
      </c>
      <c r="Q434" s="2170" t="s">
        <v>1568</v>
      </c>
      <c r="R434" s="226" t="s">
        <v>2748</v>
      </c>
      <c r="S434" s="804"/>
      <c r="W434" s="1940"/>
      <c r="AB434" s="1940"/>
    </row>
    <row r="435" s="42" customFormat="1" ht="16" customHeight="1" spans="1:28">
      <c r="A435" s="839">
        <v>323</v>
      </c>
      <c r="B435" s="289" t="s">
        <v>2750</v>
      </c>
      <c r="C435" s="289"/>
      <c r="D435" s="227">
        <v>20250619</v>
      </c>
      <c r="E435" s="227">
        <v>7.13</v>
      </c>
      <c r="F435" s="2132" t="s">
        <v>2751</v>
      </c>
      <c r="G435" s="227" t="s">
        <v>2752</v>
      </c>
      <c r="H435" s="227"/>
      <c r="I435" s="227" t="s">
        <v>2753</v>
      </c>
      <c r="J435" s="227" t="s">
        <v>1646</v>
      </c>
      <c r="K435" s="247" t="s">
        <v>712</v>
      </c>
      <c r="L435" s="232">
        <v>2.26469900427093</v>
      </c>
      <c r="M435" s="231">
        <f>35.53/7.13/1.13</f>
        <v>4.40988469510606</v>
      </c>
      <c r="N435" s="231">
        <v>14.5362912955802</v>
      </c>
      <c r="O435" s="231">
        <f>21.6/E435</f>
        <v>3.02945301542777</v>
      </c>
      <c r="P435" s="231">
        <f t="shared" si="59"/>
        <v>24.240328010385</v>
      </c>
      <c r="Q435" s="233" t="s">
        <v>1526</v>
      </c>
      <c r="R435" s="226" t="s">
        <v>2754</v>
      </c>
      <c r="S435" s="804"/>
      <c r="T435" s="120"/>
      <c r="W435" s="2163"/>
      <c r="Z435" s="839"/>
      <c r="AA435" s="839"/>
      <c r="AB435" s="1940"/>
    </row>
    <row r="436" s="42" customFormat="1" ht="16" customHeight="1" spans="1:28">
      <c r="A436" s="839">
        <v>1</v>
      </c>
      <c r="B436" s="314"/>
      <c r="C436" s="992" t="s">
        <v>2755</v>
      </c>
      <c r="D436" s="2028">
        <v>46150</v>
      </c>
      <c r="E436" s="227">
        <v>6.8216</v>
      </c>
      <c r="F436" s="2132" t="s">
        <v>1649</v>
      </c>
      <c r="G436" s="227" t="s">
        <v>1571</v>
      </c>
      <c r="H436" s="2173" t="s">
        <v>2756</v>
      </c>
      <c r="I436" s="227" t="s">
        <v>2757</v>
      </c>
      <c r="J436" s="227"/>
      <c r="K436" s="247"/>
      <c r="L436" s="232"/>
      <c r="M436" s="320">
        <f>35.72/6.8216/1.13</f>
        <v>4.63390105972595</v>
      </c>
      <c r="N436" s="320">
        <v>19.3</v>
      </c>
      <c r="O436" s="320">
        <v>3.03</v>
      </c>
      <c r="P436" s="320">
        <f t="shared" si="59"/>
        <v>26.963901059726</v>
      </c>
      <c r="Q436" s="640" t="s">
        <v>2758</v>
      </c>
      <c r="R436" s="226" t="s">
        <v>2759</v>
      </c>
      <c r="S436" s="804"/>
      <c r="T436" s="120"/>
      <c r="W436" s="2163"/>
      <c r="Z436" s="839"/>
      <c r="AA436" s="839"/>
      <c r="AB436" s="1940"/>
    </row>
    <row r="437" s="42" customFormat="1" ht="16" customHeight="1" spans="1:28">
      <c r="A437" s="839"/>
      <c r="B437" s="314"/>
      <c r="C437" s="992"/>
      <c r="D437" s="2028">
        <v>46246</v>
      </c>
      <c r="E437" s="227">
        <v>6.75</v>
      </c>
      <c r="F437" s="2125" t="s">
        <v>2760</v>
      </c>
      <c r="G437" s="227"/>
      <c r="H437" s="2173"/>
      <c r="I437" s="227"/>
      <c r="J437" s="219" t="s">
        <v>1428</v>
      </c>
      <c r="K437" s="219" t="s">
        <v>712</v>
      </c>
      <c r="L437" s="219" t="s">
        <v>1428</v>
      </c>
      <c r="M437" s="320">
        <f>49.2/E437/1.13</f>
        <v>6.45034414945919</v>
      </c>
      <c r="N437" s="320">
        <v>18.1</v>
      </c>
      <c r="O437" s="320">
        <v>3.03</v>
      </c>
      <c r="P437" s="320">
        <f t="shared" si="59"/>
        <v>27.5803441494592</v>
      </c>
      <c r="Q437" s="640" t="s">
        <v>2141</v>
      </c>
      <c r="R437" s="226"/>
      <c r="S437" s="804"/>
      <c r="T437" s="120"/>
      <c r="W437" s="2163"/>
      <c r="Z437" s="839"/>
      <c r="AA437" s="839"/>
      <c r="AB437" s="1940"/>
    </row>
    <row r="438" s="42" customFormat="1" ht="16" customHeight="1" spans="1:28">
      <c r="A438" s="839">
        <v>324</v>
      </c>
      <c r="B438" s="289"/>
      <c r="C438" s="289"/>
      <c r="D438" s="227">
        <v>20250619</v>
      </c>
      <c r="E438" s="227">
        <v>7.13</v>
      </c>
      <c r="F438" s="2132" t="s">
        <v>2761</v>
      </c>
      <c r="G438" s="227" t="s">
        <v>2762</v>
      </c>
      <c r="H438" s="227"/>
      <c r="I438" s="227" t="s">
        <v>2664</v>
      </c>
      <c r="J438" s="227" t="s">
        <v>1635</v>
      </c>
      <c r="K438" s="247" t="s">
        <v>712</v>
      </c>
      <c r="L438" s="232">
        <v>3.1</v>
      </c>
      <c r="M438" s="231">
        <f>35.53/7.13/1.13</f>
        <v>4.40988469510606</v>
      </c>
      <c r="N438" s="231">
        <v>16.7729441170529</v>
      </c>
      <c r="O438" s="231">
        <f>21.6/E438</f>
        <v>3.02945301542777</v>
      </c>
      <c r="P438" s="231">
        <f t="shared" ref="P438:P456" si="60">SUM(K438:O438)</f>
        <v>27.3122818275867</v>
      </c>
      <c r="Q438" s="233" t="s">
        <v>1526</v>
      </c>
      <c r="R438" s="226" t="s">
        <v>2763</v>
      </c>
      <c r="S438" s="804"/>
      <c r="T438" s="120"/>
      <c r="W438" s="2163"/>
      <c r="Z438" s="839"/>
      <c r="AA438" s="839"/>
      <c r="AB438" s="1940"/>
    </row>
    <row r="439" s="42" customFormat="1" ht="16" customHeight="1" spans="1:28">
      <c r="A439" s="839">
        <v>325</v>
      </c>
      <c r="B439" s="289"/>
      <c r="C439" s="289"/>
      <c r="D439" s="227">
        <v>20250619</v>
      </c>
      <c r="E439" s="227">
        <v>7.13</v>
      </c>
      <c r="F439" s="2132" t="s">
        <v>2764</v>
      </c>
      <c r="G439" s="227" t="s">
        <v>2765</v>
      </c>
      <c r="H439" s="227"/>
      <c r="I439" s="227" t="s">
        <v>2742</v>
      </c>
      <c r="J439" s="227" t="s">
        <v>1637</v>
      </c>
      <c r="K439" s="247" t="s">
        <v>712</v>
      </c>
      <c r="L439" s="232">
        <v>3.17</v>
      </c>
      <c r="M439" s="231">
        <f>35.53/7.13/1.13</f>
        <v>4.40988469510606</v>
      </c>
      <c r="N439" s="231">
        <v>18.8231154105076</v>
      </c>
      <c r="O439" s="231">
        <f>21.6/E439</f>
        <v>3.02945301542777</v>
      </c>
      <c r="P439" s="231">
        <f t="shared" si="60"/>
        <v>29.4324531210414</v>
      </c>
      <c r="Q439" s="233" t="s">
        <v>1526</v>
      </c>
      <c r="R439" s="226" t="s">
        <v>2766</v>
      </c>
      <c r="S439" s="804"/>
      <c r="T439" s="120"/>
      <c r="W439" s="2163"/>
      <c r="Z439" s="839"/>
      <c r="AA439" s="839"/>
      <c r="AB439" s="1940"/>
    </row>
    <row r="440" s="42" customFormat="1" ht="16" customHeight="1" spans="1:28">
      <c r="A440" s="839">
        <v>326</v>
      </c>
      <c r="B440" s="289"/>
      <c r="C440" s="289"/>
      <c r="D440" s="227">
        <v>20250619</v>
      </c>
      <c r="E440" s="227">
        <v>7.13</v>
      </c>
      <c r="F440" s="2132" t="s">
        <v>2764</v>
      </c>
      <c r="G440" s="227" t="s">
        <v>2767</v>
      </c>
      <c r="H440" s="227"/>
      <c r="I440" s="227" t="s">
        <v>2768</v>
      </c>
      <c r="J440" s="227" t="s">
        <v>2769</v>
      </c>
      <c r="K440" s="227" t="s">
        <v>712</v>
      </c>
      <c r="L440" s="232">
        <v>2.24008271074624</v>
      </c>
      <c r="M440" s="231">
        <f>35.53/7.13/1.13</f>
        <v>4.40988469510606</v>
      </c>
      <c r="N440" s="231">
        <v>13.9964628532352</v>
      </c>
      <c r="O440" s="231">
        <f>21.6/E440</f>
        <v>3.02945301542777</v>
      </c>
      <c r="P440" s="231">
        <f t="shared" si="60"/>
        <v>23.6758832745153</v>
      </c>
      <c r="Q440" s="233" t="s">
        <v>1526</v>
      </c>
      <c r="R440" s="226" t="s">
        <v>2770</v>
      </c>
      <c r="S440" s="804"/>
      <c r="T440" s="120"/>
      <c r="W440" s="2163"/>
      <c r="Z440" s="839"/>
      <c r="AA440" s="839"/>
      <c r="AB440" s="1940"/>
    </row>
    <row r="441" s="42" customFormat="1" ht="16" customHeight="1" spans="1:28">
      <c r="A441" s="839">
        <v>327</v>
      </c>
      <c r="B441" s="289"/>
      <c r="C441" s="289"/>
      <c r="D441" s="227">
        <v>20250619</v>
      </c>
      <c r="E441" s="227">
        <v>7.13</v>
      </c>
      <c r="F441" s="2132" t="s">
        <v>101</v>
      </c>
      <c r="G441" s="227" t="s">
        <v>102</v>
      </c>
      <c r="H441" s="227"/>
      <c r="I441" s="227"/>
      <c r="J441" s="227"/>
      <c r="K441" s="227" t="s">
        <v>712</v>
      </c>
      <c r="L441" s="232"/>
      <c r="M441" s="231">
        <v>0.347089738698044</v>
      </c>
      <c r="N441" s="231">
        <v>1.61409196804756</v>
      </c>
      <c r="O441" s="231">
        <v>0.2</v>
      </c>
      <c r="P441" s="231">
        <f t="shared" si="60"/>
        <v>2.1611817067456</v>
      </c>
      <c r="Q441" s="233"/>
      <c r="R441" s="226" t="s">
        <v>103</v>
      </c>
      <c r="S441" s="804"/>
      <c r="T441" s="120"/>
      <c r="W441" s="2163"/>
      <c r="Z441" s="839"/>
      <c r="AA441" s="839"/>
      <c r="AB441" s="1940"/>
    </row>
    <row r="442" s="42" customFormat="1" ht="16" customHeight="1" spans="1:28">
      <c r="A442" s="839">
        <v>328</v>
      </c>
      <c r="B442" s="289"/>
      <c r="C442" s="289"/>
      <c r="D442" s="227">
        <v>20250619</v>
      </c>
      <c r="E442" s="227">
        <v>7.13</v>
      </c>
      <c r="F442" s="2132" t="s">
        <v>105</v>
      </c>
      <c r="G442" s="227" t="s">
        <v>106</v>
      </c>
      <c r="H442" s="227"/>
      <c r="I442" s="227"/>
      <c r="J442" s="227"/>
      <c r="K442" s="227" t="s">
        <v>712</v>
      </c>
      <c r="L442" s="227"/>
      <c r="M442" s="231">
        <v>0.397553140423646</v>
      </c>
      <c r="N442" s="231">
        <v>2.92103069926865</v>
      </c>
      <c r="O442" s="231">
        <v>0.4</v>
      </c>
      <c r="P442" s="231">
        <f t="shared" si="60"/>
        <v>3.7185838396923</v>
      </c>
      <c r="Q442" s="233"/>
      <c r="R442" s="226" t="s">
        <v>118</v>
      </c>
      <c r="S442" s="804"/>
      <c r="T442" s="120"/>
      <c r="W442" s="2163"/>
      <c r="Z442" s="839"/>
      <c r="AA442" s="839"/>
      <c r="AB442" s="1940"/>
    </row>
    <row r="443" s="42" customFormat="1" ht="16" customHeight="1" spans="1:28">
      <c r="A443" s="839">
        <v>329</v>
      </c>
      <c r="B443" s="289"/>
      <c r="C443" s="289"/>
      <c r="D443" s="227">
        <v>20250627</v>
      </c>
      <c r="E443" s="227">
        <v>7.13</v>
      </c>
      <c r="F443" s="2132" t="s">
        <v>108</v>
      </c>
      <c r="G443" s="227" t="s">
        <v>109</v>
      </c>
      <c r="H443" s="227"/>
      <c r="I443" s="227"/>
      <c r="J443" s="227"/>
      <c r="K443" s="227" t="s">
        <v>712</v>
      </c>
      <c r="L443" s="227"/>
      <c r="M443" s="231">
        <v>0.374167661575197</v>
      </c>
      <c r="N443" s="231">
        <v>2.97795126002782</v>
      </c>
      <c r="O443" s="231">
        <v>0.4</v>
      </c>
      <c r="P443" s="231">
        <f t="shared" si="60"/>
        <v>3.75211892160302</v>
      </c>
      <c r="Q443" s="233"/>
      <c r="R443" s="226" t="s">
        <v>110</v>
      </c>
      <c r="S443" s="804"/>
      <c r="T443" s="120"/>
      <c r="W443" s="2163"/>
      <c r="Z443" s="839"/>
      <c r="AA443" s="839"/>
      <c r="AB443" s="1940"/>
    </row>
    <row r="444" s="42" customFormat="1" ht="16" customHeight="1" spans="1:28">
      <c r="A444" s="839">
        <v>330</v>
      </c>
      <c r="B444" s="289"/>
      <c r="C444" s="289"/>
      <c r="D444" s="227">
        <v>20250430</v>
      </c>
      <c r="E444" s="227">
        <v>7.24</v>
      </c>
      <c r="F444" s="2132" t="s">
        <v>111</v>
      </c>
      <c r="G444" s="227" t="s">
        <v>112</v>
      </c>
      <c r="H444" s="227"/>
      <c r="I444" s="227"/>
      <c r="J444" s="227"/>
      <c r="K444" s="227" t="s">
        <v>712</v>
      </c>
      <c r="L444" s="227"/>
      <c r="M444" s="231">
        <v>0.354708666755445</v>
      </c>
      <c r="N444" s="231">
        <v>2.87871774206299</v>
      </c>
      <c r="O444" s="231">
        <v>0.4</v>
      </c>
      <c r="P444" s="231">
        <f t="shared" si="60"/>
        <v>3.63342640881843</v>
      </c>
      <c r="Q444" s="233"/>
      <c r="R444" s="226" t="s">
        <v>113</v>
      </c>
      <c r="S444" s="804"/>
      <c r="T444" s="120"/>
      <c r="W444" s="2163"/>
      <c r="Z444" s="839"/>
      <c r="AA444" s="839"/>
      <c r="AB444" s="1940"/>
    </row>
    <row r="445" s="42" customFormat="1" ht="16" customHeight="1" spans="1:28">
      <c r="A445" s="839">
        <v>331</v>
      </c>
      <c r="B445" s="289"/>
      <c r="C445" s="289"/>
      <c r="D445" s="227">
        <v>20250506</v>
      </c>
      <c r="E445" s="227"/>
      <c r="F445" s="2132" t="s">
        <v>114</v>
      </c>
      <c r="G445" s="227" t="s">
        <v>115</v>
      </c>
      <c r="H445" s="227"/>
      <c r="I445" s="227"/>
      <c r="J445" s="227"/>
      <c r="K445" s="227" t="s">
        <v>712</v>
      </c>
      <c r="L445" s="227"/>
      <c r="M445" s="231">
        <v>0.35080428299027</v>
      </c>
      <c r="N445" s="231">
        <v>1.47834518300689</v>
      </c>
      <c r="O445" s="231">
        <v>0.2</v>
      </c>
      <c r="P445" s="231">
        <f t="shared" si="60"/>
        <v>2.02914946599716</v>
      </c>
      <c r="Q445" s="233"/>
      <c r="R445" s="226" t="s">
        <v>103</v>
      </c>
      <c r="S445" s="804"/>
      <c r="T445" s="120"/>
      <c r="W445" s="2163"/>
      <c r="Z445" s="839"/>
      <c r="AA445" s="839"/>
      <c r="AB445" s="1940"/>
    </row>
    <row r="446" s="42" customFormat="1" ht="16" customHeight="1" spans="1:28">
      <c r="A446" s="839">
        <v>332</v>
      </c>
      <c r="B446" s="289"/>
      <c r="C446" s="289"/>
      <c r="D446" s="227">
        <v>20250605</v>
      </c>
      <c r="E446" s="227">
        <v>7.2</v>
      </c>
      <c r="F446" s="2132" t="s">
        <v>116</v>
      </c>
      <c r="G446" s="227" t="s">
        <v>117</v>
      </c>
      <c r="H446" s="227"/>
      <c r="I446" s="227"/>
      <c r="J446" s="227"/>
      <c r="K446" s="227" t="s">
        <v>712</v>
      </c>
      <c r="L446" s="227"/>
      <c r="M446" s="231">
        <v>0.397000983284169</v>
      </c>
      <c r="N446" s="231">
        <v>2.93661862367748</v>
      </c>
      <c r="O446" s="231">
        <v>0.4</v>
      </c>
      <c r="P446" s="231">
        <f t="shared" si="60"/>
        <v>3.73361960696165</v>
      </c>
      <c r="Q446" s="233"/>
      <c r="R446" s="226" t="s">
        <v>118</v>
      </c>
      <c r="S446" s="804"/>
      <c r="T446" s="120"/>
      <c r="W446" s="2163"/>
      <c r="Z446" s="839"/>
      <c r="AA446" s="839"/>
      <c r="AB446" s="1940"/>
    </row>
    <row r="447" s="42" customFormat="1" ht="16" customHeight="1" spans="1:28">
      <c r="A447" s="839">
        <v>1</v>
      </c>
      <c r="B447" s="2174" t="s">
        <v>2771</v>
      </c>
      <c r="C447" s="2174"/>
      <c r="D447" s="661">
        <v>20250905</v>
      </c>
      <c r="E447" s="661">
        <v>7.13</v>
      </c>
      <c r="F447" s="2132" t="s">
        <v>1551</v>
      </c>
      <c r="G447" s="227"/>
      <c r="H447" s="227" t="s">
        <v>2772</v>
      </c>
      <c r="I447" s="227" t="s">
        <v>1506</v>
      </c>
      <c r="J447" s="227" t="s">
        <v>1428</v>
      </c>
      <c r="K447" s="227" t="s">
        <v>712</v>
      </c>
      <c r="L447" s="227" t="s">
        <v>1428</v>
      </c>
      <c r="M447" s="231">
        <f>55.2/E447/1.13</f>
        <v>6.85127033970882</v>
      </c>
      <c r="N447" s="232">
        <v>19.2820702350015</v>
      </c>
      <c r="O447" s="231">
        <f>22.36/E447</f>
        <v>3.13604488078541</v>
      </c>
      <c r="P447" s="231">
        <f t="shared" si="60"/>
        <v>29.2693854554957</v>
      </c>
      <c r="Q447" s="233" t="s">
        <v>1526</v>
      </c>
      <c r="R447" s="226" t="s">
        <v>2773</v>
      </c>
      <c r="S447" s="804"/>
      <c r="T447" s="120"/>
      <c r="W447" s="2163"/>
      <c r="Z447" s="839"/>
      <c r="AA447" s="839"/>
      <c r="AB447" s="1940"/>
    </row>
    <row r="448" s="42" customFormat="1" ht="16" customHeight="1" spans="1:28">
      <c r="A448" s="839">
        <v>2</v>
      </c>
      <c r="B448" s="2134"/>
      <c r="C448" s="2134"/>
      <c r="D448" s="661">
        <v>20250905</v>
      </c>
      <c r="E448" s="661">
        <v>7.13</v>
      </c>
      <c r="F448" s="2132" t="s">
        <v>1551</v>
      </c>
      <c r="G448" s="227"/>
      <c r="H448" s="227" t="s">
        <v>2772</v>
      </c>
      <c r="I448" s="227" t="s">
        <v>1511</v>
      </c>
      <c r="J448" s="227" t="s">
        <v>1428</v>
      </c>
      <c r="K448" s="227" t="s">
        <v>712</v>
      </c>
      <c r="L448" s="227" t="s">
        <v>1428</v>
      </c>
      <c r="M448" s="231">
        <f>55.2/E448/1.13</f>
        <v>6.85127033970882</v>
      </c>
      <c r="N448" s="232">
        <v>21.1173186132239</v>
      </c>
      <c r="O448" s="231">
        <f>22.36/E448</f>
        <v>3.13604488078541</v>
      </c>
      <c r="P448" s="231">
        <f t="shared" si="60"/>
        <v>31.1046338337181</v>
      </c>
      <c r="Q448" s="233" t="s">
        <v>1526</v>
      </c>
      <c r="R448" s="226" t="s">
        <v>2773</v>
      </c>
      <c r="S448" s="804"/>
      <c r="T448" s="120"/>
      <c r="W448" s="2163"/>
      <c r="Z448" s="839"/>
      <c r="AA448" s="839"/>
      <c r="AB448" s="1940"/>
    </row>
    <row r="449" s="42" customFormat="1" ht="16" customHeight="1" spans="1:28">
      <c r="A449" s="839">
        <v>3</v>
      </c>
      <c r="B449" s="2134"/>
      <c r="C449" s="2134"/>
      <c r="D449" s="661">
        <v>20250905</v>
      </c>
      <c r="E449" s="661">
        <v>7.13</v>
      </c>
      <c r="F449" s="2132" t="s">
        <v>1551</v>
      </c>
      <c r="G449" s="227"/>
      <c r="H449" s="227" t="s">
        <v>2772</v>
      </c>
      <c r="I449" s="227" t="s">
        <v>1594</v>
      </c>
      <c r="J449" s="227" t="s">
        <v>1428</v>
      </c>
      <c r="K449" s="227" t="s">
        <v>712</v>
      </c>
      <c r="L449" s="227" t="s">
        <v>1428</v>
      </c>
      <c r="M449" s="231">
        <f>41.05/E449/1.13</f>
        <v>5.09501172907694</v>
      </c>
      <c r="N449" s="232">
        <v>21.7949280944449</v>
      </c>
      <c r="O449" s="231">
        <v>3.14632482758621</v>
      </c>
      <c r="P449" s="231">
        <f t="shared" si="60"/>
        <v>30.036264651108</v>
      </c>
      <c r="Q449" s="233" t="s">
        <v>1526</v>
      </c>
      <c r="R449" s="226" t="s">
        <v>2773</v>
      </c>
      <c r="S449" s="804"/>
      <c r="T449" s="120"/>
      <c r="W449" s="2163"/>
      <c r="Z449" s="839"/>
      <c r="AA449" s="839"/>
      <c r="AB449" s="1940"/>
    </row>
    <row r="450" s="42" customFormat="1" ht="16" customHeight="1" spans="1:28">
      <c r="A450" s="839"/>
      <c r="B450" s="2134"/>
      <c r="C450" s="2134"/>
      <c r="D450" s="2080">
        <v>46272</v>
      </c>
      <c r="E450" s="661">
        <v>6.72</v>
      </c>
      <c r="F450" s="2125" t="s">
        <v>2774</v>
      </c>
      <c r="G450" s="227"/>
      <c r="H450" s="227"/>
      <c r="I450" s="227"/>
      <c r="J450" s="219" t="s">
        <v>1428</v>
      </c>
      <c r="K450" s="219" t="s">
        <v>712</v>
      </c>
      <c r="L450" s="219" t="s">
        <v>1428</v>
      </c>
      <c r="M450" s="320">
        <f>56.43/6.72/1.13</f>
        <v>7.43125790139065</v>
      </c>
      <c r="N450" s="319">
        <v>23.64</v>
      </c>
      <c r="O450" s="320">
        <v>3.14632482758621</v>
      </c>
      <c r="P450" s="320">
        <f t="shared" si="60"/>
        <v>34.2175827289769</v>
      </c>
      <c r="Q450" s="233"/>
      <c r="R450" s="226"/>
      <c r="S450" s="804"/>
      <c r="T450" s="120"/>
      <c r="W450" s="2163"/>
      <c r="Z450" s="839"/>
      <c r="AA450" s="839"/>
      <c r="AB450" s="1940"/>
    </row>
    <row r="451" s="1931" customFormat="1" ht="16" customHeight="1" spans="1:28">
      <c r="A451" s="1931">
        <v>1</v>
      </c>
      <c r="B451" s="291"/>
      <c r="C451" s="291" t="s">
        <v>2775</v>
      </c>
      <c r="D451" s="2028">
        <v>46183</v>
      </c>
      <c r="E451" s="227">
        <v>6.7851</v>
      </c>
      <c r="F451" s="2132" t="s">
        <v>2776</v>
      </c>
      <c r="G451" s="227" t="s">
        <v>2483</v>
      </c>
      <c r="H451" s="227" t="s">
        <v>1548</v>
      </c>
      <c r="I451" s="227" t="s">
        <v>1506</v>
      </c>
      <c r="J451" s="227" t="s">
        <v>1428</v>
      </c>
      <c r="K451" s="227" t="s">
        <v>712</v>
      </c>
      <c r="L451" s="227" t="s">
        <v>1428</v>
      </c>
      <c r="M451" s="231">
        <f>39.52/E451/1.13</f>
        <v>5.15444891415508</v>
      </c>
      <c r="N451" s="232">
        <v>20.6</v>
      </c>
      <c r="O451" s="231">
        <v>3.14632482758621</v>
      </c>
      <c r="P451" s="231">
        <f t="shared" ref="P451:P457" si="61">SUM(K451:O451)</f>
        <v>28.9007737417413</v>
      </c>
      <c r="Q451" s="233"/>
      <c r="R451" s="226" t="s">
        <v>2777</v>
      </c>
      <c r="S451" s="804"/>
      <c r="T451" s="805"/>
      <c r="W451" s="2175"/>
      <c r="AB451" s="2029"/>
    </row>
    <row r="452" s="42" customFormat="1" ht="16" customHeight="1" spans="1:28">
      <c r="A452" s="839">
        <v>333</v>
      </c>
      <c r="B452" s="2134"/>
      <c r="C452" s="2134"/>
      <c r="D452" s="219">
        <v>20241111</v>
      </c>
      <c r="E452" s="219">
        <v>7.17</v>
      </c>
      <c r="F452" s="2132" t="s">
        <v>2778</v>
      </c>
      <c r="G452" s="227" t="s">
        <v>1581</v>
      </c>
      <c r="H452" s="227"/>
      <c r="I452" s="227" t="s">
        <v>2779</v>
      </c>
      <c r="J452" s="227" t="s">
        <v>1428</v>
      </c>
      <c r="K452" s="247" t="s">
        <v>712</v>
      </c>
      <c r="L452" s="227" t="s">
        <v>1428</v>
      </c>
      <c r="M452" s="232">
        <v>5.96899310344828</v>
      </c>
      <c r="N452" s="232">
        <v>19.9479335952341</v>
      </c>
      <c r="O452" s="231">
        <v>3.14632482758621</v>
      </c>
      <c r="P452" s="231">
        <f t="shared" si="61"/>
        <v>29.0632515262686</v>
      </c>
      <c r="Q452" s="233" t="s">
        <v>1526</v>
      </c>
      <c r="R452" s="226" t="s">
        <v>2780</v>
      </c>
      <c r="S452" s="804"/>
      <c r="W452" s="2163"/>
      <c r="Z452" s="839"/>
      <c r="AA452" s="839"/>
      <c r="AB452" s="1940"/>
    </row>
    <row r="453" s="42" customFormat="1" ht="16" customHeight="1" spans="1:28">
      <c r="A453" s="839">
        <v>334</v>
      </c>
      <c r="B453" s="2134"/>
      <c r="C453" s="2134"/>
      <c r="D453" s="219">
        <v>20241111</v>
      </c>
      <c r="E453" s="219">
        <v>7.17</v>
      </c>
      <c r="F453" s="2132" t="s">
        <v>2781</v>
      </c>
      <c r="G453" s="227" t="s">
        <v>2427</v>
      </c>
      <c r="H453" s="227"/>
      <c r="I453" s="227" t="s">
        <v>2692</v>
      </c>
      <c r="J453" s="227" t="s">
        <v>1428</v>
      </c>
      <c r="K453" s="247" t="s">
        <v>712</v>
      </c>
      <c r="L453" s="227" t="s">
        <v>1428</v>
      </c>
      <c r="M453" s="232">
        <v>5.96899310344828</v>
      </c>
      <c r="N453" s="232">
        <v>18.8291511048211</v>
      </c>
      <c r="O453" s="231">
        <v>3.14632482758621</v>
      </c>
      <c r="P453" s="231">
        <f t="shared" si="61"/>
        <v>27.9444690358556</v>
      </c>
      <c r="Q453" s="233" t="s">
        <v>1526</v>
      </c>
      <c r="R453" s="226" t="s">
        <v>2782</v>
      </c>
      <c r="S453" s="804"/>
      <c r="W453" s="2163"/>
      <c r="Z453" s="839"/>
      <c r="AA453" s="839"/>
      <c r="AB453" s="1940"/>
    </row>
    <row r="454" s="42" customFormat="1" ht="16" customHeight="1" spans="1:28">
      <c r="A454" s="839">
        <v>335</v>
      </c>
      <c r="B454" s="2134"/>
      <c r="C454" s="2134"/>
      <c r="D454" s="219">
        <v>20241111</v>
      </c>
      <c r="E454" s="219">
        <v>7.17</v>
      </c>
      <c r="F454" s="2132" t="s">
        <v>2783</v>
      </c>
      <c r="G454" s="227" t="s">
        <v>2449</v>
      </c>
      <c r="H454" s="227"/>
      <c r="I454" s="227" t="s">
        <v>2664</v>
      </c>
      <c r="J454" s="227" t="s">
        <v>1428</v>
      </c>
      <c r="K454" s="247" t="s">
        <v>712</v>
      </c>
      <c r="L454" s="227" t="s">
        <v>1428</v>
      </c>
      <c r="M454" s="232">
        <v>5.96899310344828</v>
      </c>
      <c r="N454" s="232">
        <v>21.7971112187592</v>
      </c>
      <c r="O454" s="231">
        <v>3.14632482758621</v>
      </c>
      <c r="P454" s="231">
        <f t="shared" si="61"/>
        <v>30.9124291497937</v>
      </c>
      <c r="Q454" s="233" t="s">
        <v>1526</v>
      </c>
      <c r="R454" s="226" t="s">
        <v>2784</v>
      </c>
      <c r="S454" s="804"/>
      <c r="T454" s="120"/>
      <c r="W454" s="2163"/>
      <c r="Z454" s="839"/>
      <c r="AA454" s="839"/>
      <c r="AB454" s="1940"/>
    </row>
    <row r="455" s="42" customFormat="1" ht="16" customHeight="1" spans="1:28">
      <c r="A455" s="839">
        <v>1</v>
      </c>
      <c r="B455" s="2134"/>
      <c r="C455" s="2134"/>
      <c r="D455" s="2081">
        <v>46142</v>
      </c>
      <c r="E455" s="219">
        <v>6.8309</v>
      </c>
      <c r="F455" s="2132" t="s">
        <v>756</v>
      </c>
      <c r="G455" s="227"/>
      <c r="H455" s="227"/>
      <c r="I455" s="227"/>
      <c r="J455" s="227"/>
      <c r="K455" s="247"/>
      <c r="L455" s="227"/>
      <c r="M455" s="319">
        <f>40.51/E455/1.13</f>
        <v>5.24814556238913</v>
      </c>
      <c r="N455" s="319">
        <v>17.8</v>
      </c>
      <c r="O455" s="320">
        <v>3.66</v>
      </c>
      <c r="P455" s="320">
        <f t="shared" si="61"/>
        <v>26.7081455623891</v>
      </c>
      <c r="Q455" s="233"/>
      <c r="R455" s="226"/>
      <c r="S455" s="804"/>
      <c r="T455" s="120"/>
      <c r="W455" s="2163"/>
      <c r="Z455" s="839"/>
      <c r="AA455" s="839"/>
      <c r="AB455" s="1940"/>
    </row>
    <row r="456" s="42" customFormat="1" ht="16" customHeight="1" spans="1:28">
      <c r="A456" s="839">
        <v>336</v>
      </c>
      <c r="B456" s="2134"/>
      <c r="C456" s="2134"/>
      <c r="D456" s="219">
        <v>20241111</v>
      </c>
      <c r="E456" s="219">
        <v>7.17</v>
      </c>
      <c r="F456" s="2132" t="s">
        <v>2785</v>
      </c>
      <c r="G456" s="227" t="s">
        <v>2546</v>
      </c>
      <c r="H456" s="227"/>
      <c r="I456" s="511" t="s">
        <v>2786</v>
      </c>
      <c r="J456" s="227" t="s">
        <v>1428</v>
      </c>
      <c r="K456" s="2162" t="s">
        <v>712</v>
      </c>
      <c r="L456" s="227" t="s">
        <v>1428</v>
      </c>
      <c r="M456" s="232">
        <v>5.96899310344828</v>
      </c>
      <c r="N456" s="232">
        <v>21.3369360712665</v>
      </c>
      <c r="O456" s="231">
        <v>3.14632482758621</v>
      </c>
      <c r="P456" s="231">
        <f t="shared" si="61"/>
        <v>30.452254002301</v>
      </c>
      <c r="Q456" s="233" t="s">
        <v>1526</v>
      </c>
      <c r="R456" s="226" t="s">
        <v>2784</v>
      </c>
      <c r="S456" s="804"/>
      <c r="T456" s="120"/>
      <c r="W456" s="2163"/>
      <c r="Z456" s="839"/>
      <c r="AA456" s="839"/>
      <c r="AB456" s="1940"/>
    </row>
    <row r="457" s="42" customFormat="1" ht="16" customHeight="1" spans="1:28">
      <c r="A457" s="839">
        <v>1</v>
      </c>
      <c r="B457" s="2134"/>
      <c r="C457" s="2134"/>
      <c r="D457" s="2081">
        <v>46142</v>
      </c>
      <c r="E457" s="219">
        <v>6.8216</v>
      </c>
      <c r="F457" s="2125" t="s">
        <v>2787</v>
      </c>
      <c r="G457" s="227"/>
      <c r="H457" s="227"/>
      <c r="I457" s="511"/>
      <c r="J457" s="219" t="s">
        <v>1428</v>
      </c>
      <c r="K457" s="2176" t="s">
        <v>712</v>
      </c>
      <c r="L457" s="219" t="s">
        <v>1428</v>
      </c>
      <c r="M457" s="319">
        <f>56.3/E457/1.13</f>
        <v>7.30371303646615</v>
      </c>
      <c r="N457" s="319">
        <v>20.7</v>
      </c>
      <c r="O457" s="320">
        <v>3.15</v>
      </c>
      <c r="P457" s="320">
        <f t="shared" si="61"/>
        <v>31.1537130364661</v>
      </c>
      <c r="Q457" s="233"/>
      <c r="R457" s="266" t="s">
        <v>2788</v>
      </c>
      <c r="S457" s="804"/>
      <c r="T457" s="120"/>
      <c r="W457" s="2163"/>
      <c r="Z457" s="839"/>
      <c r="AA457" s="839"/>
      <c r="AB457" s="1940"/>
    </row>
    <row r="458" s="42" customFormat="1" ht="16" customHeight="1" spans="1:28">
      <c r="A458" s="839">
        <v>337</v>
      </c>
      <c r="B458" s="2134"/>
      <c r="C458" s="2134"/>
      <c r="D458" s="219">
        <v>20241218</v>
      </c>
      <c r="E458" s="219">
        <v>7.17</v>
      </c>
      <c r="F458" s="2132" t="s">
        <v>2789</v>
      </c>
      <c r="G458" s="227" t="s">
        <v>2306</v>
      </c>
      <c r="H458" s="227"/>
      <c r="I458" s="511" t="s">
        <v>2779</v>
      </c>
      <c r="J458" s="227"/>
      <c r="K458" s="247" t="s">
        <v>712</v>
      </c>
      <c r="L458" s="227"/>
      <c r="M458" s="232">
        <v>5.96899310344828</v>
      </c>
      <c r="N458" s="232">
        <v>19.4551147161257</v>
      </c>
      <c r="O458" s="231">
        <v>3.14632482758621</v>
      </c>
      <c r="P458" s="231">
        <f t="shared" ref="P458:P465" si="62">SUM(K458:O458)</f>
        <v>28.5704326471602</v>
      </c>
      <c r="Q458" s="233" t="s">
        <v>1526</v>
      </c>
      <c r="R458" s="226" t="s">
        <v>2790</v>
      </c>
      <c r="S458" s="804"/>
      <c r="T458" s="120"/>
      <c r="W458" s="2163"/>
      <c r="Z458" s="839"/>
      <c r="AA458" s="839"/>
      <c r="AB458" s="1940"/>
    </row>
    <row r="459" s="42" customFormat="1" ht="16" customHeight="1" spans="1:28">
      <c r="A459" s="839">
        <v>338</v>
      </c>
      <c r="B459" s="2134"/>
      <c r="C459" s="2134"/>
      <c r="D459" s="2081">
        <v>46056</v>
      </c>
      <c r="E459" s="219">
        <v>6.7986</v>
      </c>
      <c r="F459" s="2132" t="s">
        <v>2791</v>
      </c>
      <c r="G459" s="219" t="s">
        <v>1723</v>
      </c>
      <c r="H459" s="219" t="s">
        <v>2792</v>
      </c>
      <c r="I459" s="2006" t="s">
        <v>2664</v>
      </c>
      <c r="J459" s="219" t="s">
        <v>1428</v>
      </c>
      <c r="K459" s="431" t="s">
        <v>712</v>
      </c>
      <c r="L459" s="219" t="s">
        <v>1428</v>
      </c>
      <c r="M459" s="319">
        <f>37.88/E459/1.13</f>
        <v>4.93073925422959</v>
      </c>
      <c r="N459" s="319">
        <v>21.1</v>
      </c>
      <c r="O459" s="320">
        <v>3.15</v>
      </c>
      <c r="P459" s="320">
        <f t="shared" si="62"/>
        <v>29.1807392542296</v>
      </c>
      <c r="Q459" s="640" t="s">
        <v>1526</v>
      </c>
      <c r="R459" s="266" t="s">
        <v>2793</v>
      </c>
      <c r="S459" s="804"/>
      <c r="T459" s="120"/>
      <c r="W459" s="2163"/>
      <c r="Z459" s="839"/>
      <c r="AA459" s="839"/>
      <c r="AB459" s="1940"/>
    </row>
    <row r="460" s="42" customFormat="1" ht="16" customHeight="1" spans="1:28">
      <c r="A460" s="839">
        <v>339</v>
      </c>
      <c r="B460" s="2134"/>
      <c r="C460" s="2134"/>
      <c r="D460" s="2081">
        <v>46056</v>
      </c>
      <c r="E460" s="219">
        <v>6.9514</v>
      </c>
      <c r="F460" s="2132" t="s">
        <v>2794</v>
      </c>
      <c r="G460" s="227" t="s">
        <v>2459</v>
      </c>
      <c r="H460" s="227" t="s">
        <v>2792</v>
      </c>
      <c r="I460" s="511" t="s">
        <v>2664</v>
      </c>
      <c r="J460" s="227" t="s">
        <v>1428</v>
      </c>
      <c r="K460" s="247" t="s">
        <v>712</v>
      </c>
      <c r="L460" s="227" t="s">
        <v>1428</v>
      </c>
      <c r="M460" s="232">
        <f>39.52/E460/1.13</f>
        <v>5.03113780352643</v>
      </c>
      <c r="N460" s="232">
        <v>19</v>
      </c>
      <c r="O460" s="231">
        <v>3.15</v>
      </c>
      <c r="P460" s="231">
        <f t="shared" si="62"/>
        <v>27.1811378035264</v>
      </c>
      <c r="Q460" s="233" t="s">
        <v>1526</v>
      </c>
      <c r="R460" s="226" t="s">
        <v>2793</v>
      </c>
      <c r="S460" s="804"/>
      <c r="T460" s="120"/>
      <c r="W460" s="2163"/>
      <c r="Z460" s="839"/>
      <c r="AA460" s="839"/>
      <c r="AB460" s="1940"/>
    </row>
    <row r="461" s="42" customFormat="1" ht="16" customHeight="1" spans="1:28">
      <c r="A461" s="839">
        <v>4</v>
      </c>
      <c r="B461" s="2134"/>
      <c r="C461" s="2134"/>
      <c r="D461" s="2081">
        <v>46121</v>
      </c>
      <c r="E461" s="219">
        <v>6.9819</v>
      </c>
      <c r="F461" s="2132" t="s">
        <v>2795</v>
      </c>
      <c r="G461" s="219" t="s">
        <v>667</v>
      </c>
      <c r="H461" s="219"/>
      <c r="I461" s="2006"/>
      <c r="J461" s="219"/>
      <c r="K461" s="431"/>
      <c r="L461" s="219"/>
      <c r="M461" s="319">
        <f>39.52/E461/1.13</f>
        <v>5.00915958799662</v>
      </c>
      <c r="N461" s="319">
        <v>19.29</v>
      </c>
      <c r="O461" s="320">
        <v>3.15</v>
      </c>
      <c r="P461" s="320">
        <f t="shared" si="62"/>
        <v>27.4491595879966</v>
      </c>
      <c r="Q461" s="640" t="s">
        <v>1526</v>
      </c>
      <c r="R461" s="266"/>
      <c r="S461" s="804"/>
      <c r="T461" s="120"/>
      <c r="W461" s="2163"/>
      <c r="Z461" s="839"/>
      <c r="AA461" s="839"/>
      <c r="AB461" s="1940"/>
    </row>
    <row r="462" s="42" customFormat="1" ht="16" customHeight="1" spans="1:28">
      <c r="A462" s="839">
        <v>340</v>
      </c>
      <c r="B462" s="2121"/>
      <c r="C462" s="2121"/>
      <c r="D462" s="219">
        <v>20250320</v>
      </c>
      <c r="E462" s="219">
        <v>7.17</v>
      </c>
      <c r="F462" s="2132" t="s">
        <v>2796</v>
      </c>
      <c r="G462" s="227" t="s">
        <v>2431</v>
      </c>
      <c r="H462" s="227"/>
      <c r="I462" s="511" t="s">
        <v>2695</v>
      </c>
      <c r="J462" s="227"/>
      <c r="K462" s="247" t="s">
        <v>712</v>
      </c>
      <c r="L462" s="227"/>
      <c r="M462" s="232">
        <v>5.96899310344828</v>
      </c>
      <c r="N462" s="232">
        <v>19.692130953836</v>
      </c>
      <c r="O462" s="231">
        <v>3.14632482758621</v>
      </c>
      <c r="P462" s="231">
        <f t="shared" si="62"/>
        <v>28.8074488848705</v>
      </c>
      <c r="Q462" s="233" t="s">
        <v>1526</v>
      </c>
      <c r="R462" s="226" t="s">
        <v>2797</v>
      </c>
      <c r="S462" s="804"/>
      <c r="T462" s="120"/>
      <c r="W462" s="2163"/>
      <c r="Z462" s="839"/>
      <c r="AA462" s="839"/>
      <c r="AB462" s="1940"/>
    </row>
    <row r="463" s="993" customFormat="1" ht="16" customHeight="1" spans="1:28">
      <c r="A463" s="839">
        <v>341</v>
      </c>
      <c r="B463" s="501" t="s">
        <v>2798</v>
      </c>
      <c r="C463" s="501"/>
      <c r="D463" s="2177">
        <v>46045</v>
      </c>
      <c r="E463" s="247">
        <v>6.9667</v>
      </c>
      <c r="F463" s="2132" t="s">
        <v>2799</v>
      </c>
      <c r="G463" s="247" t="s">
        <v>2800</v>
      </c>
      <c r="H463" s="247" t="s">
        <v>2801</v>
      </c>
      <c r="I463" s="247" t="s">
        <v>2802</v>
      </c>
      <c r="J463" s="247">
        <v>61851</v>
      </c>
      <c r="K463" s="507" t="s">
        <v>712</v>
      </c>
      <c r="L463" s="230">
        <f>17.55/E463/1.13</f>
        <v>2.22931566614429</v>
      </c>
      <c r="M463" s="230">
        <f>23.25/6.9514/1.13</f>
        <v>2.95986725536411</v>
      </c>
      <c r="N463" s="230">
        <v>22.3</v>
      </c>
      <c r="O463" s="257">
        <f>25/E463</f>
        <v>3.58849957655705</v>
      </c>
      <c r="P463" s="257">
        <f t="shared" si="62"/>
        <v>31.0776824980654</v>
      </c>
      <c r="Q463" s="2178" t="s">
        <v>1526</v>
      </c>
      <c r="R463" s="226" t="s">
        <v>2803</v>
      </c>
      <c r="S463" s="1246"/>
      <c r="T463" s="978"/>
      <c r="W463" s="2179"/>
      <c r="AB463" s="2044"/>
    </row>
    <row r="464" s="187" customFormat="1" ht="16" customHeight="1" spans="1:28">
      <c r="A464" s="839">
        <v>342</v>
      </c>
      <c r="B464" s="501" t="s">
        <v>2804</v>
      </c>
      <c r="C464" s="501"/>
      <c r="D464" s="2177">
        <v>46062</v>
      </c>
      <c r="E464" s="247">
        <v>6.9514</v>
      </c>
      <c r="F464" s="2132" t="s">
        <v>2805</v>
      </c>
      <c r="G464" s="247"/>
      <c r="H464" s="247" t="s">
        <v>2792</v>
      </c>
      <c r="I464" s="247"/>
      <c r="J464" s="247" t="s">
        <v>1654</v>
      </c>
      <c r="K464" s="507" t="s">
        <v>712</v>
      </c>
      <c r="L464" s="507">
        <v>3.43</v>
      </c>
      <c r="M464" s="230">
        <f t="shared" ref="M464:M466" si="63">23.32/E464/1.13</f>
        <v>2.96877868365983</v>
      </c>
      <c r="N464" s="230">
        <v>15</v>
      </c>
      <c r="O464" s="257">
        <v>3.59</v>
      </c>
      <c r="P464" s="257">
        <f t="shared" si="62"/>
        <v>24.9887786836598</v>
      </c>
      <c r="Q464" s="247" t="s">
        <v>2806</v>
      </c>
      <c r="R464" s="226" t="s">
        <v>2807</v>
      </c>
      <c r="S464" s="804"/>
      <c r="T464" s="120"/>
      <c r="W464" s="2180"/>
      <c r="Z464" s="839"/>
      <c r="AA464" s="839"/>
      <c r="AB464" s="1940"/>
    </row>
    <row r="465" s="993" customFormat="1" ht="16" customHeight="1" spans="1:28">
      <c r="A465" s="839">
        <v>1</v>
      </c>
      <c r="B465" s="2014" t="s">
        <v>2808</v>
      </c>
      <c r="C465" s="2014"/>
      <c r="D465" s="2037">
        <v>46184</v>
      </c>
      <c r="E465" s="2006">
        <v>6.7851</v>
      </c>
      <c r="F465" s="2132" t="s">
        <v>2809</v>
      </c>
      <c r="G465" s="2006"/>
      <c r="H465" s="317"/>
      <c r="I465" s="2006"/>
      <c r="J465" s="2006" t="s">
        <v>1876</v>
      </c>
      <c r="K465" s="2181"/>
      <c r="L465" s="2011">
        <f>35/E465/1.13</f>
        <v>4.56492186223248</v>
      </c>
      <c r="M465" s="2011">
        <f>23.32/E465/1.13*1.3</f>
        <v>3.95400489072686</v>
      </c>
      <c r="N465" s="2011">
        <v>18.1</v>
      </c>
      <c r="O465" s="320">
        <v>3.59</v>
      </c>
      <c r="P465" s="2012">
        <f>SUM(M465:O465)</f>
        <v>25.6440048907269</v>
      </c>
      <c r="Q465" s="2182"/>
      <c r="R465" s="266"/>
      <c r="S465" s="1246"/>
      <c r="T465" s="978"/>
      <c r="W465" s="2179"/>
      <c r="AB465" s="2044"/>
    </row>
    <row r="466" s="993" customFormat="1" ht="16" customHeight="1" spans="1:28">
      <c r="A466" s="839">
        <v>1</v>
      </c>
      <c r="B466" s="2014" t="s">
        <v>2804</v>
      </c>
      <c r="C466" s="2014"/>
      <c r="D466" s="2037">
        <v>46184</v>
      </c>
      <c r="E466" s="2006">
        <v>6.7851</v>
      </c>
      <c r="F466" s="2132" t="s">
        <v>2809</v>
      </c>
      <c r="G466" s="2006"/>
      <c r="H466" s="317"/>
      <c r="I466" s="2006"/>
      <c r="J466" s="2006" t="s">
        <v>1876</v>
      </c>
      <c r="K466" s="2181"/>
      <c r="L466" s="2011">
        <f>35/E466/1.13</f>
        <v>4.56492186223248</v>
      </c>
      <c r="M466" s="2011">
        <f>23.32/E466/1.13*1.3</f>
        <v>3.95400489072686</v>
      </c>
      <c r="N466" s="2011">
        <v>17.6</v>
      </c>
      <c r="O466" s="320">
        <v>3.59</v>
      </c>
      <c r="P466" s="2012">
        <f>SUM(M466:O466)</f>
        <v>25.1440048907269</v>
      </c>
      <c r="Q466" s="2182"/>
      <c r="R466" s="266"/>
      <c r="S466" s="1246"/>
      <c r="T466" s="978"/>
      <c r="W466" s="2179"/>
      <c r="AB466" s="2044"/>
    </row>
    <row r="467" s="993" customFormat="1" ht="16" customHeight="1" spans="1:28">
      <c r="A467" s="839">
        <v>343</v>
      </c>
      <c r="B467" s="2014" t="s">
        <v>2810</v>
      </c>
      <c r="C467" s="2014"/>
      <c r="D467" s="2037">
        <v>46101</v>
      </c>
      <c r="E467" s="2006">
        <v>6.837</v>
      </c>
      <c r="F467" s="2132" t="s">
        <v>2811</v>
      </c>
      <c r="G467" s="2006"/>
      <c r="H467" s="317" t="s">
        <v>2812</v>
      </c>
      <c r="I467" s="2006" t="s">
        <v>1859</v>
      </c>
      <c r="J467" s="2006" t="s">
        <v>1860</v>
      </c>
      <c r="K467" s="2181" t="s">
        <v>712</v>
      </c>
      <c r="L467" s="2181">
        <v>2.24</v>
      </c>
      <c r="M467" s="2011">
        <f>23.32/E467/1.13</f>
        <v>3.01845372847637</v>
      </c>
      <c r="N467" s="2011">
        <v>14.6</v>
      </c>
      <c r="O467" s="2012">
        <f>22.5/E467</f>
        <v>3.29091706888986</v>
      </c>
      <c r="P467" s="2012">
        <f>SUM(K467:O467)</f>
        <v>23.1493707973662</v>
      </c>
      <c r="Q467" s="2182" t="s">
        <v>2813</v>
      </c>
      <c r="R467" s="266" t="s">
        <v>2814</v>
      </c>
      <c r="S467" s="1246"/>
      <c r="T467" s="978"/>
      <c r="W467" s="2179"/>
      <c r="AB467" s="2044"/>
    </row>
    <row r="468" s="187" customFormat="1" ht="16" customHeight="1" spans="1:28">
      <c r="A468" s="839">
        <v>1</v>
      </c>
      <c r="B468" s="2134" t="s">
        <v>2815</v>
      </c>
      <c r="C468" s="2183" t="s">
        <v>2816</v>
      </c>
      <c r="D468" s="2081">
        <v>46126</v>
      </c>
      <c r="E468" s="219">
        <v>6.837</v>
      </c>
      <c r="F468" s="2132" t="s">
        <v>2817</v>
      </c>
      <c r="G468" s="219" t="s">
        <v>1565</v>
      </c>
      <c r="H468" s="219" t="s">
        <v>2818</v>
      </c>
      <c r="I468" s="219" t="s">
        <v>1859</v>
      </c>
      <c r="J468" s="219" t="s">
        <v>1871</v>
      </c>
      <c r="K468" s="2048" t="s">
        <v>712</v>
      </c>
      <c r="L468" s="2048">
        <v>7.5</v>
      </c>
      <c r="M468" s="319">
        <f>21.79/E468/1.13</f>
        <v>2.82041624114494</v>
      </c>
      <c r="N468" s="319">
        <v>19</v>
      </c>
      <c r="O468" s="320">
        <f t="shared" ref="O468:O475" si="64">22.36/E468</f>
        <v>3.27044025157233</v>
      </c>
      <c r="P468" s="320">
        <f t="shared" ref="P468:P472" si="65">SUM(L468:O468)</f>
        <v>32.5908564927173</v>
      </c>
      <c r="Q468" s="219" t="s">
        <v>2819</v>
      </c>
      <c r="R468" s="266" t="s">
        <v>2820</v>
      </c>
      <c r="S468" s="804"/>
      <c r="T468" s="120"/>
      <c r="W468" s="2180"/>
      <c r="Z468" s="839"/>
      <c r="AA468" s="839"/>
      <c r="AB468" s="1940"/>
    </row>
    <row r="469" s="187" customFormat="1" ht="16" customHeight="1" spans="1:28">
      <c r="A469" s="839"/>
      <c r="B469" s="2134"/>
      <c r="C469" s="2183"/>
      <c r="D469" s="2081"/>
      <c r="E469" s="219">
        <v>6.78</v>
      </c>
      <c r="F469" s="2125" t="s">
        <v>2821</v>
      </c>
      <c r="G469" s="2120"/>
      <c r="H469" s="2120"/>
      <c r="I469" s="2120"/>
      <c r="J469" s="219" t="s">
        <v>1428</v>
      </c>
      <c r="K469" s="2048" t="s">
        <v>712</v>
      </c>
      <c r="L469" s="219" t="s">
        <v>1428</v>
      </c>
      <c r="M469" s="319">
        <f>26.51/E469/1.13*1.3</f>
        <v>4.49826402485186</v>
      </c>
      <c r="N469" s="319">
        <v>22.6</v>
      </c>
      <c r="O469" s="320">
        <f t="shared" si="64"/>
        <v>3.29793510324484</v>
      </c>
      <c r="P469" s="320">
        <f t="shared" si="65"/>
        <v>30.3961991280967</v>
      </c>
      <c r="Q469" s="219"/>
      <c r="R469" s="266"/>
      <c r="S469" s="804"/>
      <c r="T469" s="120"/>
      <c r="W469" s="2180"/>
      <c r="Z469" s="839"/>
      <c r="AA469" s="839"/>
      <c r="AB469" s="1940"/>
    </row>
    <row r="470" s="187" customFormat="1" ht="16" customHeight="1" spans="1:28">
      <c r="A470" s="839"/>
      <c r="B470" s="2134"/>
      <c r="C470" s="2183"/>
      <c r="D470" s="2081">
        <v>46274</v>
      </c>
      <c r="E470" s="219">
        <v>6.72</v>
      </c>
      <c r="F470" s="2125" t="s">
        <v>2822</v>
      </c>
      <c r="G470" s="2120"/>
      <c r="H470" s="2120"/>
      <c r="I470" s="2120"/>
      <c r="J470" s="219" t="s">
        <v>1428</v>
      </c>
      <c r="K470" s="2048" t="s">
        <v>712</v>
      </c>
      <c r="L470" s="219" t="s">
        <v>1428</v>
      </c>
      <c r="M470" s="319">
        <f>39.3/E470/1.13*1.05</f>
        <v>5.4341814159292</v>
      </c>
      <c r="N470" s="319">
        <v>16.85</v>
      </c>
      <c r="O470" s="320">
        <f t="shared" si="64"/>
        <v>3.32738095238095</v>
      </c>
      <c r="P470" s="320">
        <f t="shared" si="65"/>
        <v>25.6115623683102</v>
      </c>
      <c r="Q470" s="219"/>
      <c r="R470" s="266" t="s">
        <v>2823</v>
      </c>
      <c r="S470" s="804"/>
      <c r="T470" s="120"/>
      <c r="W470" s="2180"/>
      <c r="Z470" s="839"/>
      <c r="AA470" s="839"/>
      <c r="AB470" s="1940"/>
    </row>
    <row r="471" s="187" customFormat="1" ht="16" customHeight="1" spans="1:28">
      <c r="A471" s="839"/>
      <c r="B471" s="2134"/>
      <c r="C471" s="2183"/>
      <c r="D471" s="2081"/>
      <c r="E471" s="219">
        <v>6.72</v>
      </c>
      <c r="F471" s="2125" t="s">
        <v>2824</v>
      </c>
      <c r="G471" s="219"/>
      <c r="H471" s="219"/>
      <c r="I471" s="219"/>
      <c r="J471" s="219" t="s">
        <v>1428</v>
      </c>
      <c r="K471" s="2048" t="s">
        <v>712</v>
      </c>
      <c r="L471" s="219" t="s">
        <v>1428</v>
      </c>
      <c r="M471" s="319">
        <f>39.3/E471/1.13*1.05</f>
        <v>5.4341814159292</v>
      </c>
      <c r="N471" s="319">
        <v>19.6</v>
      </c>
      <c r="O471" s="320">
        <f t="shared" si="64"/>
        <v>3.32738095238095</v>
      </c>
      <c r="P471" s="320">
        <f t="shared" si="65"/>
        <v>28.3615623683102</v>
      </c>
      <c r="Q471" s="2078"/>
      <c r="R471" s="266" t="s">
        <v>2823</v>
      </c>
      <c r="S471" s="804"/>
      <c r="T471" s="120"/>
      <c r="W471" s="2180"/>
      <c r="Z471" s="839"/>
      <c r="AA471" s="839"/>
      <c r="AB471" s="1940"/>
    </row>
    <row r="472" s="187" customFormat="1" ht="16" customHeight="1" spans="1:28">
      <c r="A472" s="839"/>
      <c r="B472" s="2134"/>
      <c r="C472" s="2183"/>
      <c r="D472" s="2081"/>
      <c r="E472" s="219">
        <v>6.78</v>
      </c>
      <c r="F472" s="2125" t="s">
        <v>2825</v>
      </c>
      <c r="G472" s="219"/>
      <c r="H472" s="219"/>
      <c r="I472" s="219"/>
      <c r="J472" s="219" t="s">
        <v>1428</v>
      </c>
      <c r="K472" s="2048" t="s">
        <v>712</v>
      </c>
      <c r="L472" s="219" t="s">
        <v>1428</v>
      </c>
      <c r="M472" s="319">
        <f>26.51/E472/1.13*1.3</f>
        <v>4.49826402485186</v>
      </c>
      <c r="N472" s="319">
        <v>18.8</v>
      </c>
      <c r="O472" s="320">
        <f t="shared" si="64"/>
        <v>3.29793510324484</v>
      </c>
      <c r="P472" s="320">
        <f t="shared" si="65"/>
        <v>26.5961991280967</v>
      </c>
      <c r="Q472" s="2078"/>
      <c r="R472" s="266"/>
      <c r="S472" s="804"/>
      <c r="T472" s="120"/>
      <c r="W472" s="2180"/>
      <c r="Z472" s="839"/>
      <c r="AA472" s="839"/>
      <c r="AB472" s="1940"/>
    </row>
    <row r="473" s="187" customFormat="1" ht="16" customHeight="1" spans="1:28">
      <c r="A473" s="839">
        <v>1</v>
      </c>
      <c r="B473" s="2134"/>
      <c r="C473" s="2183" t="s">
        <v>2816</v>
      </c>
      <c r="D473" s="2081">
        <v>46128</v>
      </c>
      <c r="E473" s="219">
        <v>6.837</v>
      </c>
      <c r="F473" s="2132" t="s">
        <v>2826</v>
      </c>
      <c r="G473" s="219"/>
      <c r="H473" s="219" t="s">
        <v>2818</v>
      </c>
      <c r="I473" s="219" t="s">
        <v>2156</v>
      </c>
      <c r="J473" s="219" t="s">
        <v>1876</v>
      </c>
      <c r="K473" s="2048" t="s">
        <v>712</v>
      </c>
      <c r="L473" s="319">
        <f>26.17/E473/1.13</f>
        <v>3.38734708723098</v>
      </c>
      <c r="M473" s="319">
        <f>24.22/E473/1.13</f>
        <v>3.13494636808309</v>
      </c>
      <c r="N473" s="319">
        <v>13.55</v>
      </c>
      <c r="O473" s="320">
        <f t="shared" si="64"/>
        <v>3.27044025157233</v>
      </c>
      <c r="P473" s="320">
        <f>SUBTOTAL(109,L473:O473)</f>
        <v>23.3427337068864</v>
      </c>
      <c r="Q473" s="2078"/>
      <c r="R473" s="266" t="s">
        <v>2827</v>
      </c>
      <c r="S473" s="804"/>
      <c r="T473" s="120"/>
      <c r="W473" s="2180"/>
      <c r="Z473" s="839"/>
      <c r="AA473" s="839"/>
      <c r="AB473" s="1940"/>
    </row>
    <row r="474" s="187" customFormat="1" ht="16" customHeight="1" spans="1:28">
      <c r="A474" s="839">
        <v>1</v>
      </c>
      <c r="B474" s="291"/>
      <c r="C474" s="2183" t="s">
        <v>2816</v>
      </c>
      <c r="D474" s="2081">
        <v>46128</v>
      </c>
      <c r="E474" s="219">
        <v>6.8</v>
      </c>
      <c r="F474" s="2132" t="s">
        <v>2828</v>
      </c>
      <c r="G474" s="2094"/>
      <c r="H474" s="2094" t="s">
        <v>2818</v>
      </c>
      <c r="I474" s="2094" t="s">
        <v>2156</v>
      </c>
      <c r="J474" s="2020" t="s">
        <v>1428</v>
      </c>
      <c r="K474" s="2184" t="s">
        <v>712</v>
      </c>
      <c r="L474" s="2185" t="s">
        <v>1428</v>
      </c>
      <c r="M474" s="2186">
        <f>26.51/E474/1.13</f>
        <v>3.45002602811036</v>
      </c>
      <c r="N474" s="2186">
        <v>15.6</v>
      </c>
      <c r="O474" s="2140">
        <f t="shared" si="64"/>
        <v>3.28823529411765</v>
      </c>
      <c r="P474" s="2026">
        <f>SUBTOTAL(109,L474:O474)</f>
        <v>22.338261322228</v>
      </c>
      <c r="Q474" s="2078"/>
      <c r="R474" s="266" t="s">
        <v>2829</v>
      </c>
      <c r="S474" s="804"/>
      <c r="T474" s="120"/>
      <c r="W474" s="2180"/>
      <c r="Z474" s="839"/>
      <c r="AA474" s="839"/>
      <c r="AB474" s="1940"/>
    </row>
    <row r="475" s="187" customFormat="1" ht="16" customHeight="1" spans="1:28">
      <c r="A475" s="839">
        <v>346</v>
      </c>
      <c r="B475" s="2121"/>
      <c r="C475" s="2187" t="s">
        <v>2816</v>
      </c>
      <c r="D475" s="1017">
        <v>46107</v>
      </c>
      <c r="E475" s="153">
        <v>6.901</v>
      </c>
      <c r="F475" s="2132" t="s">
        <v>2825</v>
      </c>
      <c r="G475" s="1082"/>
      <c r="H475" s="219" t="s">
        <v>2818</v>
      </c>
      <c r="I475" s="153" t="s">
        <v>1859</v>
      </c>
      <c r="J475" s="153" t="s">
        <v>1876</v>
      </c>
      <c r="K475" s="2048" t="s">
        <v>712</v>
      </c>
      <c r="L475" s="727">
        <f>26.17/E475/1.13</f>
        <v>3.35593276849706</v>
      </c>
      <c r="M475" s="319">
        <f>21.79/E475/1.13</f>
        <v>2.79425964942877</v>
      </c>
      <c r="N475" s="727">
        <v>14.03</v>
      </c>
      <c r="O475" s="320">
        <f t="shared" si="64"/>
        <v>3.24011012896682</v>
      </c>
      <c r="P475" s="320">
        <f>SUM(L475:O475)</f>
        <v>23.4203025468926</v>
      </c>
      <c r="Q475" s="219" t="s">
        <v>1865</v>
      </c>
      <c r="R475" s="266" t="s">
        <v>2830</v>
      </c>
      <c r="S475" s="804"/>
      <c r="T475" s="120"/>
      <c r="W475" s="2180"/>
      <c r="Z475" s="839"/>
      <c r="AA475" s="839"/>
      <c r="AB475" s="1940"/>
    </row>
    <row r="476" s="187" customFormat="1" ht="16" customHeight="1" spans="1:28">
      <c r="A476" s="839">
        <v>347</v>
      </c>
      <c r="B476" s="707"/>
      <c r="C476" s="707"/>
      <c r="D476" s="1149"/>
      <c r="E476" s="21"/>
      <c r="F476" s="2130" t="s">
        <v>1979</v>
      </c>
      <c r="G476" s="699"/>
      <c r="H476" s="699"/>
      <c r="I476" s="21"/>
      <c r="J476" s="21"/>
      <c r="K476" s="2048"/>
      <c r="L476" s="36"/>
      <c r="M476" s="22"/>
      <c r="N476" s="22"/>
      <c r="O476" s="37"/>
      <c r="P476" s="37"/>
      <c r="Q476" s="219"/>
      <c r="R476" s="167"/>
      <c r="S476" s="804"/>
      <c r="T476" s="120"/>
      <c r="W476" s="2180"/>
      <c r="Z476" s="839"/>
      <c r="AA476" s="839"/>
      <c r="AB476" s="1940"/>
    </row>
    <row r="477" s="187" customFormat="1" ht="16" customHeight="1" spans="1:28">
      <c r="A477" s="839">
        <v>348</v>
      </c>
      <c r="B477" s="23" t="s">
        <v>2831</v>
      </c>
      <c r="C477" s="23"/>
      <c r="D477" s="1149">
        <v>46058</v>
      </c>
      <c r="E477" s="21">
        <v>6.9514</v>
      </c>
      <c r="F477" s="2132" t="s">
        <v>2832</v>
      </c>
      <c r="G477" s="699" t="s">
        <v>2833</v>
      </c>
      <c r="H477" s="699" t="s">
        <v>2834</v>
      </c>
      <c r="I477" s="21"/>
      <c r="J477" s="21" t="s">
        <v>1871</v>
      </c>
      <c r="K477" s="2048" t="s">
        <v>1428</v>
      </c>
      <c r="L477" s="36">
        <v>7.5</v>
      </c>
      <c r="M477" s="22">
        <f>31.96/E477/1.13</f>
        <v>4.06870354758868</v>
      </c>
      <c r="N477" s="22">
        <v>27.8</v>
      </c>
      <c r="O477" s="37">
        <f>23/E477/1.13</f>
        <v>2.92804072573654</v>
      </c>
      <c r="P477" s="37">
        <f t="shared" ref="P477:P494" si="66">SUM(K477:O477)</f>
        <v>42.2967442733252</v>
      </c>
      <c r="Q477" s="219" t="s">
        <v>2835</v>
      </c>
      <c r="R477" s="167" t="s">
        <v>2836</v>
      </c>
      <c r="S477" s="804"/>
      <c r="T477" s="120"/>
      <c r="W477" s="2180"/>
      <c r="Z477" s="839"/>
      <c r="AA477" s="839"/>
      <c r="AB477" s="1940"/>
    </row>
    <row r="478" s="187" customFormat="1" ht="16" customHeight="1" spans="1:28">
      <c r="A478" s="839">
        <v>349</v>
      </c>
      <c r="B478" s="23" t="s">
        <v>19</v>
      </c>
      <c r="C478" s="23"/>
      <c r="D478" s="21"/>
      <c r="E478" s="21"/>
      <c r="F478" s="2130" t="s">
        <v>1979</v>
      </c>
      <c r="G478" s="21" t="s">
        <v>120</v>
      </c>
      <c r="H478" s="21"/>
      <c r="I478" s="21"/>
      <c r="J478" s="21"/>
      <c r="K478" s="2048"/>
      <c r="L478" s="36"/>
      <c r="M478" s="22">
        <v>1.00464137632279</v>
      </c>
      <c r="N478" s="22">
        <v>1.47967541308249</v>
      </c>
      <c r="O478" s="37">
        <v>0.2</v>
      </c>
      <c r="P478" s="37">
        <f t="shared" si="66"/>
        <v>2.68431678940528</v>
      </c>
      <c r="Q478" s="219"/>
      <c r="R478" s="23"/>
      <c r="S478" s="804"/>
      <c r="T478" s="120" t="s">
        <v>1406</v>
      </c>
      <c r="W478" s="2180"/>
      <c r="Z478" s="839"/>
      <c r="AA478" s="839"/>
      <c r="AB478" s="1940"/>
    </row>
    <row r="479" s="187" customFormat="1" ht="16" customHeight="1" spans="1:28">
      <c r="A479" s="839">
        <v>350</v>
      </c>
      <c r="B479" s="23" t="s">
        <v>19</v>
      </c>
      <c r="C479" s="23"/>
      <c r="D479" s="21"/>
      <c r="E479" s="21"/>
      <c r="F479" s="2130" t="s">
        <v>1979</v>
      </c>
      <c r="G479" s="21" t="s">
        <v>121</v>
      </c>
      <c r="H479" s="21"/>
      <c r="I479" s="21"/>
      <c r="J479" s="21"/>
      <c r="K479" s="2048"/>
      <c r="L479" s="36"/>
      <c r="M479" s="22">
        <v>0.284883016123167</v>
      </c>
      <c r="N479" s="22">
        <v>1.41568037062068</v>
      </c>
      <c r="O479" s="37">
        <v>0.2</v>
      </c>
      <c r="P479" s="37">
        <f t="shared" si="66"/>
        <v>1.90056338674385</v>
      </c>
      <c r="Q479" s="219"/>
      <c r="R479" s="23"/>
      <c r="S479" s="804"/>
      <c r="T479" s="120" t="s">
        <v>1406</v>
      </c>
      <c r="W479" s="2180"/>
      <c r="Z479" s="839"/>
      <c r="AA479" s="839"/>
      <c r="AB479" s="1940"/>
    </row>
    <row r="480" s="187" customFormat="1" ht="16" customHeight="1" spans="1:28">
      <c r="A480" s="839">
        <v>351</v>
      </c>
      <c r="B480" s="23" t="s">
        <v>19</v>
      </c>
      <c r="C480" s="23"/>
      <c r="D480" s="21"/>
      <c r="E480" s="21"/>
      <c r="F480" s="2130" t="s">
        <v>1979</v>
      </c>
      <c r="G480" s="21" t="s">
        <v>122</v>
      </c>
      <c r="H480" s="21"/>
      <c r="I480" s="21"/>
      <c r="J480" s="21"/>
      <c r="K480" s="2048"/>
      <c r="L480" s="36"/>
      <c r="M480" s="22">
        <v>0.41273656481785</v>
      </c>
      <c r="N480" s="22">
        <v>2.66913624640689</v>
      </c>
      <c r="O480" s="37">
        <v>0.4</v>
      </c>
      <c r="P480" s="37">
        <f t="shared" si="66"/>
        <v>3.48187281122474</v>
      </c>
      <c r="Q480" s="219"/>
      <c r="R480" s="23" t="s">
        <v>25</v>
      </c>
      <c r="S480" s="804"/>
      <c r="T480" s="120" t="s">
        <v>1406</v>
      </c>
      <c r="W480" s="2180"/>
      <c r="Z480" s="839"/>
      <c r="AA480" s="839"/>
      <c r="AB480" s="1940"/>
    </row>
    <row r="481" s="187" customFormat="1" ht="16" customHeight="1" spans="1:28">
      <c r="A481" s="839">
        <v>352</v>
      </c>
      <c r="B481" s="23" t="s">
        <v>19</v>
      </c>
      <c r="C481" s="23"/>
      <c r="D481" s="21"/>
      <c r="E481" s="21"/>
      <c r="F481" s="2130" t="s">
        <v>1979</v>
      </c>
      <c r="G481" s="21" t="s">
        <v>123</v>
      </c>
      <c r="H481" s="21"/>
      <c r="I481" s="21"/>
      <c r="J481" s="21"/>
      <c r="K481" s="2048"/>
      <c r="L481" s="36"/>
      <c r="M481" s="22">
        <v>0.468360983065053</v>
      </c>
      <c r="N481" s="22">
        <v>4.50059955050287</v>
      </c>
      <c r="O481" s="37">
        <v>0.4</v>
      </c>
      <c r="P481" s="37">
        <f t="shared" si="66"/>
        <v>5.36896053356792</v>
      </c>
      <c r="Q481" s="219"/>
      <c r="R481" s="23" t="s">
        <v>2837</v>
      </c>
      <c r="S481" s="804"/>
      <c r="T481" s="120" t="s">
        <v>1406</v>
      </c>
      <c r="W481" s="2180"/>
      <c r="Z481" s="839"/>
      <c r="AA481" s="839"/>
      <c r="AB481" s="1940"/>
    </row>
    <row r="482" s="187" customFormat="1" ht="16" customHeight="1" spans="1:28">
      <c r="A482" s="839">
        <v>353</v>
      </c>
      <c r="B482" s="23" t="s">
        <v>19</v>
      </c>
      <c r="C482" s="23"/>
      <c r="D482" s="21"/>
      <c r="E482" s="21"/>
      <c r="F482" s="2130" t="s">
        <v>1979</v>
      </c>
      <c r="G482" s="21" t="s">
        <v>125</v>
      </c>
      <c r="H482" s="21"/>
      <c r="I482" s="21"/>
      <c r="J482" s="21"/>
      <c r="K482" s="2048"/>
      <c r="L482" s="36"/>
      <c r="M482" s="22">
        <v>0.316943422491797</v>
      </c>
      <c r="N482" s="22">
        <v>1.41994685601472</v>
      </c>
      <c r="O482" s="37">
        <v>0.2</v>
      </c>
      <c r="P482" s="37">
        <f t="shared" si="66"/>
        <v>1.93689027850652</v>
      </c>
      <c r="Q482" s="219"/>
      <c r="R482" s="23"/>
      <c r="S482" s="804"/>
      <c r="T482" s="120" t="s">
        <v>1406</v>
      </c>
      <c r="W482" s="2180"/>
      <c r="Z482" s="839"/>
      <c r="AA482" s="839"/>
      <c r="AB482" s="1940"/>
    </row>
    <row r="483" s="187" customFormat="1" ht="16" customHeight="1" spans="1:28">
      <c r="A483" s="839">
        <v>354</v>
      </c>
      <c r="B483" s="23" t="s">
        <v>19</v>
      </c>
      <c r="C483" s="23"/>
      <c r="D483" s="21">
        <v>20240301</v>
      </c>
      <c r="E483" s="21">
        <v>7.17</v>
      </c>
      <c r="F483" s="2132" t="s">
        <v>126</v>
      </c>
      <c r="G483" s="21" t="s">
        <v>127</v>
      </c>
      <c r="H483" s="21"/>
      <c r="I483" s="21"/>
      <c r="J483" s="21"/>
      <c r="K483" s="2048"/>
      <c r="L483" s="36"/>
      <c r="M483" s="22">
        <v>0.23397810144215</v>
      </c>
      <c r="N483" s="22">
        <v>0.0397080738555665</v>
      </c>
      <c r="O483" s="37">
        <v>0.2</v>
      </c>
      <c r="P483" s="37">
        <f t="shared" si="66"/>
        <v>0.473686175297717</v>
      </c>
      <c r="Q483" s="219"/>
      <c r="R483" s="23"/>
      <c r="S483" s="804"/>
      <c r="T483" s="120" t="s">
        <v>1406</v>
      </c>
      <c r="W483" s="2180"/>
      <c r="Z483" s="839"/>
      <c r="AA483" s="839"/>
      <c r="AB483" s="1940"/>
    </row>
    <row r="484" s="187" customFormat="1" ht="16" customHeight="1" spans="1:28">
      <c r="A484" s="839">
        <v>355</v>
      </c>
      <c r="B484" s="23" t="s">
        <v>19</v>
      </c>
      <c r="C484" s="23"/>
      <c r="D484" s="21">
        <v>20240301</v>
      </c>
      <c r="E484" s="21">
        <v>7.17</v>
      </c>
      <c r="F484" s="2132" t="s">
        <v>128</v>
      </c>
      <c r="G484" s="21" t="s">
        <v>129</v>
      </c>
      <c r="H484" s="21"/>
      <c r="I484" s="21"/>
      <c r="J484" s="21"/>
      <c r="K484" s="2048"/>
      <c r="L484" s="36"/>
      <c r="M484" s="22">
        <v>0.613958538184201</v>
      </c>
      <c r="N484" s="22">
        <v>4.50502176388988</v>
      </c>
      <c r="O484" s="37">
        <v>0.4</v>
      </c>
      <c r="P484" s="37">
        <f t="shared" si="66"/>
        <v>5.51898030207408</v>
      </c>
      <c r="Q484" s="219"/>
      <c r="R484" s="39" t="s">
        <v>2838</v>
      </c>
      <c r="S484" s="1931"/>
      <c r="T484" s="120" t="s">
        <v>1406</v>
      </c>
      <c r="W484" s="2180"/>
      <c r="Z484" s="839"/>
      <c r="AA484" s="839"/>
      <c r="AB484" s="1940"/>
    </row>
    <row r="485" s="187" customFormat="1" ht="16" customHeight="1" spans="1:28">
      <c r="A485" s="839">
        <v>356</v>
      </c>
      <c r="B485" s="23" t="s">
        <v>19</v>
      </c>
      <c r="C485" s="23"/>
      <c r="D485" s="21">
        <v>20250326</v>
      </c>
      <c r="E485" s="21">
        <v>7.17</v>
      </c>
      <c r="F485" s="2132" t="s">
        <v>1416</v>
      </c>
      <c r="G485" s="21" t="s">
        <v>1417</v>
      </c>
      <c r="H485" s="21"/>
      <c r="I485" s="21"/>
      <c r="J485" s="21"/>
      <c r="K485" s="2048"/>
      <c r="L485" s="36"/>
      <c r="M485" s="22">
        <v>0.418448328475372</v>
      </c>
      <c r="N485" s="22">
        <v>1.12778515066536</v>
      </c>
      <c r="O485" s="37">
        <v>0.2</v>
      </c>
      <c r="P485" s="37">
        <f t="shared" si="66"/>
        <v>1.74623347914073</v>
      </c>
      <c r="Q485" s="219"/>
      <c r="R485" s="39" t="s">
        <v>2839</v>
      </c>
      <c r="S485" s="1931"/>
      <c r="T485" s="120" t="s">
        <v>1406</v>
      </c>
      <c r="W485" s="2180"/>
      <c r="Z485" s="839"/>
      <c r="AA485" s="839"/>
      <c r="AB485" s="1940"/>
    </row>
    <row r="486" s="839" customFormat="1" ht="16" customHeight="1" spans="1:28">
      <c r="A486" s="839">
        <v>357</v>
      </c>
      <c r="B486" s="23" t="s">
        <v>19</v>
      </c>
      <c r="C486" s="23"/>
      <c r="D486" s="21">
        <v>20241010</v>
      </c>
      <c r="E486" s="21">
        <v>7.17</v>
      </c>
      <c r="F486" s="2132" t="s">
        <v>131</v>
      </c>
      <c r="G486" s="21" t="s">
        <v>132</v>
      </c>
      <c r="H486" s="21"/>
      <c r="I486" s="21"/>
      <c r="J486" s="21"/>
      <c r="K486" s="2048"/>
      <c r="L486" s="36"/>
      <c r="M486" s="22">
        <f>0.48013411135481/7.21*7.17</f>
        <v>0.477470399225241</v>
      </c>
      <c r="N486" s="22">
        <v>4.42226988604223</v>
      </c>
      <c r="O486" s="37">
        <v>0.4</v>
      </c>
      <c r="P486" s="37">
        <f t="shared" si="66"/>
        <v>5.29974028526747</v>
      </c>
      <c r="Q486" s="219"/>
      <c r="R486" s="39" t="s">
        <v>2840</v>
      </c>
      <c r="S486" s="1931"/>
      <c r="T486" s="120"/>
      <c r="W486" s="1940"/>
      <c r="AB486" s="1940"/>
    </row>
    <row r="487" s="187" customFormat="1" ht="16" customHeight="1" spans="1:28">
      <c r="A487" s="839">
        <v>358</v>
      </c>
      <c r="B487" s="23" t="s">
        <v>19</v>
      </c>
      <c r="C487" s="23"/>
      <c r="D487" s="21">
        <v>20241011</v>
      </c>
      <c r="E487" s="21">
        <v>7.17</v>
      </c>
      <c r="F487" s="2132" t="s">
        <v>134</v>
      </c>
      <c r="G487" s="21" t="s">
        <v>135</v>
      </c>
      <c r="H487" s="21"/>
      <c r="I487" s="690"/>
      <c r="J487" s="690"/>
      <c r="K487" s="2048"/>
      <c r="L487" s="690" t="s">
        <v>1428</v>
      </c>
      <c r="M487" s="22">
        <v>0.575853811592922</v>
      </c>
      <c r="N487" s="22">
        <v>2.88613292586305</v>
      </c>
      <c r="O487" s="37">
        <v>0.4</v>
      </c>
      <c r="P487" s="37">
        <f t="shared" si="66"/>
        <v>3.86198673745597</v>
      </c>
      <c r="Q487" s="219"/>
      <c r="R487" s="39" t="s">
        <v>2841</v>
      </c>
      <c r="S487" s="1931"/>
      <c r="T487" s="120"/>
      <c r="W487" s="2180"/>
      <c r="Z487" s="839"/>
      <c r="AA487" s="839"/>
      <c r="AB487" s="1940"/>
    </row>
    <row r="488" s="187" customFormat="1" ht="16" customHeight="1" spans="1:28">
      <c r="A488" s="839">
        <v>359</v>
      </c>
      <c r="B488" s="23" t="s">
        <v>19</v>
      </c>
      <c r="C488" s="23"/>
      <c r="D488" s="21">
        <v>20241011</v>
      </c>
      <c r="E488" s="21">
        <v>7.17</v>
      </c>
      <c r="F488" s="2132" t="s">
        <v>137</v>
      </c>
      <c r="G488" s="21" t="s">
        <v>138</v>
      </c>
      <c r="H488" s="21"/>
      <c r="I488" s="690"/>
      <c r="J488" s="690"/>
      <c r="K488" s="2048"/>
      <c r="L488" s="690"/>
      <c r="M488" s="22">
        <v>0.435089546536875</v>
      </c>
      <c r="N488" s="22">
        <v>2.53680790217008</v>
      </c>
      <c r="O488" s="37">
        <v>0.4</v>
      </c>
      <c r="P488" s="37">
        <f t="shared" si="66"/>
        <v>3.37189744870695</v>
      </c>
      <c r="Q488" s="219"/>
      <c r="R488" s="39" t="s">
        <v>2842</v>
      </c>
      <c r="S488" s="1931"/>
      <c r="T488" s="120"/>
      <c r="W488" s="2180"/>
      <c r="Z488" s="839"/>
      <c r="AA488" s="839"/>
      <c r="AB488" s="1940"/>
    </row>
    <row r="489" s="187" customFormat="1" ht="16" customHeight="1" spans="1:28">
      <c r="A489" s="839">
        <v>360</v>
      </c>
      <c r="B489" s="23" t="s">
        <v>19</v>
      </c>
      <c r="C489" s="23"/>
      <c r="D489" s="21">
        <v>20241025</v>
      </c>
      <c r="E489" s="21">
        <v>7.17</v>
      </c>
      <c r="F489" s="2132" t="s">
        <v>139</v>
      </c>
      <c r="G489" s="21" t="s">
        <v>140</v>
      </c>
      <c r="H489" s="21"/>
      <c r="I489" s="690"/>
      <c r="J489" s="690"/>
      <c r="K489" s="2048"/>
      <c r="L489" s="690"/>
      <c r="M489" s="22">
        <v>0.59504893864602</v>
      </c>
      <c r="N489" s="22">
        <v>2.76837420433703</v>
      </c>
      <c r="O489" s="37">
        <v>0.4</v>
      </c>
      <c r="P489" s="37">
        <f t="shared" si="66"/>
        <v>3.76342314298305</v>
      </c>
      <c r="Q489" s="219"/>
      <c r="R489" s="39" t="s">
        <v>2842</v>
      </c>
      <c r="S489" s="1931"/>
      <c r="T489" s="120"/>
      <c r="W489" s="2180"/>
      <c r="Z489" s="839"/>
      <c r="AA489" s="839"/>
      <c r="AB489" s="1940"/>
    </row>
    <row r="490" s="187" customFormat="1" ht="16" customHeight="1" spans="1:28">
      <c r="A490" s="839">
        <v>361</v>
      </c>
      <c r="B490" s="23" t="s">
        <v>19</v>
      </c>
      <c r="C490" s="23"/>
      <c r="D490" s="21"/>
      <c r="E490" s="21"/>
      <c r="F490" s="2130" t="s">
        <v>1979</v>
      </c>
      <c r="G490" s="21" t="s">
        <v>129</v>
      </c>
      <c r="H490" s="21"/>
      <c r="I490" s="21"/>
      <c r="J490" s="21"/>
      <c r="K490" s="2048"/>
      <c r="L490" s="36"/>
      <c r="M490" s="22">
        <v>0.604719764011799</v>
      </c>
      <c r="N490" s="22">
        <v>4.48013214088496</v>
      </c>
      <c r="O490" s="37">
        <v>0.4</v>
      </c>
      <c r="P490" s="37">
        <f t="shared" si="66"/>
        <v>5.48485190489676</v>
      </c>
      <c r="Q490" s="219"/>
      <c r="R490" s="39" t="s">
        <v>2838</v>
      </c>
      <c r="S490" s="1931"/>
      <c r="T490" s="120" t="s">
        <v>1406</v>
      </c>
      <c r="W490" s="2180"/>
      <c r="Z490" s="839"/>
      <c r="AA490" s="839"/>
      <c r="AB490" s="1940"/>
    </row>
    <row r="491" s="187" customFormat="1" ht="16" customHeight="1" spans="1:28">
      <c r="A491" s="839">
        <v>362</v>
      </c>
      <c r="B491" s="23" t="s">
        <v>19</v>
      </c>
      <c r="C491" s="23"/>
      <c r="D491" s="21">
        <v>20241213</v>
      </c>
      <c r="E491" s="21">
        <v>7.17</v>
      </c>
      <c r="F491" s="2132" t="s">
        <v>141</v>
      </c>
      <c r="G491" s="21" t="s">
        <v>142</v>
      </c>
      <c r="H491" s="21"/>
      <c r="I491" s="21"/>
      <c r="J491" s="21"/>
      <c r="K491" s="2048"/>
      <c r="L491" s="36"/>
      <c r="M491" s="22">
        <v>0.651682897026697</v>
      </c>
      <c r="N491" s="22">
        <v>3.05598970867425</v>
      </c>
      <c r="O491" s="37">
        <v>0.4</v>
      </c>
      <c r="P491" s="37">
        <f t="shared" si="66"/>
        <v>4.10767260570095</v>
      </c>
      <c r="Q491" s="219"/>
      <c r="R491" s="39" t="s">
        <v>143</v>
      </c>
      <c r="S491" s="1931"/>
      <c r="T491" s="120"/>
      <c r="W491" s="2180"/>
      <c r="Z491" s="839"/>
      <c r="AA491" s="839"/>
      <c r="AB491" s="1940"/>
    </row>
    <row r="492" s="187" customFormat="1" ht="16" customHeight="1" spans="1:28">
      <c r="A492" s="839">
        <v>363</v>
      </c>
      <c r="B492" s="23" t="s">
        <v>19</v>
      </c>
      <c r="C492" s="23"/>
      <c r="D492" s="21">
        <v>20250103</v>
      </c>
      <c r="E492" s="21">
        <v>7.17</v>
      </c>
      <c r="F492" s="2132" t="s">
        <v>144</v>
      </c>
      <c r="G492" s="21" t="s">
        <v>145</v>
      </c>
      <c r="H492" s="21"/>
      <c r="I492" s="21"/>
      <c r="J492" s="21"/>
      <c r="K492" s="2048"/>
      <c r="L492" s="36"/>
      <c r="M492" s="22">
        <v>0.399058304911533</v>
      </c>
      <c r="N492" s="22">
        <v>1.06982227824082</v>
      </c>
      <c r="O492" s="37">
        <v>0.4</v>
      </c>
      <c r="P492" s="37">
        <f t="shared" si="66"/>
        <v>1.86888058315235</v>
      </c>
      <c r="Q492" s="219"/>
      <c r="R492" s="39" t="s">
        <v>146</v>
      </c>
      <c r="S492" s="1931"/>
      <c r="T492" s="120"/>
      <c r="W492" s="2180"/>
      <c r="Z492" s="839"/>
      <c r="AA492" s="839"/>
      <c r="AB492" s="1940"/>
    </row>
    <row r="493" s="187" customFormat="1" ht="16" customHeight="1" spans="1:28">
      <c r="A493" s="839">
        <v>364</v>
      </c>
      <c r="B493" s="23" t="s">
        <v>19</v>
      </c>
      <c r="C493" s="23"/>
      <c r="D493" s="21">
        <v>20250103</v>
      </c>
      <c r="E493" s="21">
        <v>7.17</v>
      </c>
      <c r="F493" s="2132" t="s">
        <v>147</v>
      </c>
      <c r="G493" s="21" t="s">
        <v>148</v>
      </c>
      <c r="H493" s="21"/>
      <c r="I493" s="21"/>
      <c r="J493" s="21"/>
      <c r="K493" s="2048"/>
      <c r="L493" s="36"/>
      <c r="M493" s="22">
        <v>0.0241122842846847</v>
      </c>
      <c r="N493" s="22">
        <v>0.0374205192161109</v>
      </c>
      <c r="O493" s="37">
        <v>0.2</v>
      </c>
      <c r="P493" s="37">
        <f t="shared" si="66"/>
        <v>0.261532803500796</v>
      </c>
      <c r="Q493" s="219"/>
      <c r="R493" s="39" t="s">
        <v>149</v>
      </c>
      <c r="S493" s="1931"/>
      <c r="T493" s="120"/>
      <c r="W493" s="2180"/>
      <c r="Z493" s="839"/>
      <c r="AA493" s="839"/>
      <c r="AB493" s="1940"/>
    </row>
    <row r="494" s="187" customFormat="1" ht="16" customHeight="1" spans="1:28">
      <c r="A494" s="839">
        <v>365</v>
      </c>
      <c r="B494" s="23" t="s">
        <v>19</v>
      </c>
      <c r="C494" s="23"/>
      <c r="D494" s="21">
        <v>20250507</v>
      </c>
      <c r="E494" s="21"/>
      <c r="F494" s="2132" t="s">
        <v>150</v>
      </c>
      <c r="G494" s="21" t="s">
        <v>151</v>
      </c>
      <c r="H494" s="21"/>
      <c r="I494" s="21"/>
      <c r="J494" s="21"/>
      <c r="K494" s="2048"/>
      <c r="L494" s="36"/>
      <c r="M494" s="22">
        <v>0.659316481689728</v>
      </c>
      <c r="N494" s="22">
        <v>2.71548207999961</v>
      </c>
      <c r="O494" s="37">
        <v>0.4</v>
      </c>
      <c r="P494" s="37">
        <f t="shared" si="66"/>
        <v>3.77479856168934</v>
      </c>
      <c r="Q494" s="219"/>
      <c r="R494" s="39" t="s">
        <v>152</v>
      </c>
      <c r="S494" s="1931"/>
      <c r="T494" s="120"/>
      <c r="W494" s="2180"/>
      <c r="Z494" s="839"/>
      <c r="AA494" s="839"/>
      <c r="AB494" s="1940"/>
    </row>
    <row r="495" s="839" customFormat="1" ht="16" customHeight="1" spans="1:28">
      <c r="A495" s="839">
        <v>366</v>
      </c>
      <c r="B495" s="23" t="s">
        <v>19</v>
      </c>
      <c r="C495" s="23"/>
      <c r="D495" s="21">
        <v>20250227</v>
      </c>
      <c r="E495" s="21">
        <v>7.17</v>
      </c>
      <c r="F495" s="2132" t="s">
        <v>153</v>
      </c>
      <c r="G495" s="21" t="s">
        <v>154</v>
      </c>
      <c r="H495" s="21"/>
      <c r="I495" s="21"/>
      <c r="J495" s="21"/>
      <c r="K495" s="2048"/>
      <c r="L495" s="36"/>
      <c r="M495" s="22">
        <v>0.600596424399946</v>
      </c>
      <c r="N495" s="22">
        <v>3.41026779470059</v>
      </c>
      <c r="O495" s="37">
        <v>0.4</v>
      </c>
      <c r="P495" s="37">
        <f t="shared" ref="P495:P558" si="67">SUM(K495:O495)</f>
        <v>4.41086421910054</v>
      </c>
      <c r="Q495" s="219"/>
      <c r="R495" s="39" t="s">
        <v>155</v>
      </c>
      <c r="S495" s="1931"/>
      <c r="T495" s="120"/>
      <c r="W495" s="1940"/>
      <c r="AB495" s="1940"/>
    </row>
    <row r="496" s="187" customFormat="1" ht="16" customHeight="1" spans="1:28">
      <c r="A496" s="839">
        <v>367</v>
      </c>
      <c r="B496" s="23" t="s">
        <v>19</v>
      </c>
      <c r="C496" s="23"/>
      <c r="D496" s="21">
        <v>20250108</v>
      </c>
      <c r="E496" s="21">
        <v>7.17</v>
      </c>
      <c r="F496" s="2132" t="s">
        <v>156</v>
      </c>
      <c r="G496" s="21" t="s">
        <v>157</v>
      </c>
      <c r="H496" s="21"/>
      <c r="I496" s="21"/>
      <c r="J496" s="21"/>
      <c r="K496" s="2048"/>
      <c r="L496" s="36"/>
      <c r="M496" s="22">
        <v>0.589545350760543</v>
      </c>
      <c r="N496" s="22">
        <v>2.68298758877021</v>
      </c>
      <c r="O496" s="37">
        <v>0.4</v>
      </c>
      <c r="P496" s="37">
        <f t="shared" si="67"/>
        <v>3.67253293953075</v>
      </c>
      <c r="Q496" s="219"/>
      <c r="R496" s="39" t="s">
        <v>158</v>
      </c>
      <c r="S496" s="1931"/>
      <c r="T496" s="120"/>
      <c r="W496" s="2180"/>
      <c r="Z496" s="839"/>
      <c r="AA496" s="839"/>
      <c r="AB496" s="1940"/>
    </row>
    <row r="497" s="839" customFormat="1" ht="16" customHeight="1" spans="1:28">
      <c r="A497" s="839">
        <v>368</v>
      </c>
      <c r="B497" s="23" t="s">
        <v>19</v>
      </c>
      <c r="C497" s="23"/>
      <c r="D497" s="21">
        <v>20241202</v>
      </c>
      <c r="E497" s="21">
        <v>7.17</v>
      </c>
      <c r="F497" s="2132" t="s">
        <v>159</v>
      </c>
      <c r="G497" s="21" t="s">
        <v>160</v>
      </c>
      <c r="H497" s="21"/>
      <c r="I497" s="21"/>
      <c r="J497" s="21"/>
      <c r="K497" s="2048"/>
      <c r="L497" s="36"/>
      <c r="M497" s="22">
        <v>0.557674702471773</v>
      </c>
      <c r="N497" s="22">
        <v>3.32262470036054</v>
      </c>
      <c r="O497" s="37">
        <v>0.4</v>
      </c>
      <c r="P497" s="37">
        <f t="shared" si="67"/>
        <v>4.28029940283231</v>
      </c>
      <c r="Q497" s="219"/>
      <c r="R497" s="39" t="s">
        <v>2838</v>
      </c>
      <c r="S497" s="1931"/>
      <c r="T497" s="120"/>
      <c r="W497" s="1940"/>
      <c r="AB497" s="1940"/>
    </row>
    <row r="498" s="839" customFormat="1" ht="16" customHeight="1" spans="1:28">
      <c r="A498" s="839">
        <v>369</v>
      </c>
      <c r="B498" s="23" t="s">
        <v>19</v>
      </c>
      <c r="C498" s="23"/>
      <c r="D498" s="21">
        <v>20240511</v>
      </c>
      <c r="E498" s="21">
        <v>7.17</v>
      </c>
      <c r="F498" s="2132" t="s">
        <v>161</v>
      </c>
      <c r="G498" s="21" t="s">
        <v>162</v>
      </c>
      <c r="H498" s="21"/>
      <c r="I498" s="21"/>
      <c r="J498" s="21"/>
      <c r="K498" s="2048"/>
      <c r="L498" s="36"/>
      <c r="M498" s="22">
        <v>0.0372293790832208</v>
      </c>
      <c r="N498" s="22">
        <v>0.039055639750172</v>
      </c>
      <c r="O498" s="37">
        <v>0.2</v>
      </c>
      <c r="P498" s="37">
        <f t="shared" si="67"/>
        <v>0.276285018833393</v>
      </c>
      <c r="Q498" s="219"/>
      <c r="R498" s="39"/>
      <c r="S498" s="1931"/>
      <c r="T498" s="120"/>
      <c r="W498" s="1940"/>
      <c r="AB498" s="1940"/>
    </row>
    <row r="499" s="187" customFormat="1" ht="16" customHeight="1" spans="1:28">
      <c r="A499" s="839">
        <v>370</v>
      </c>
      <c r="B499" s="23" t="s">
        <v>19</v>
      </c>
      <c r="C499" s="23"/>
      <c r="D499" s="21">
        <v>20240605</v>
      </c>
      <c r="E499" s="21">
        <v>7.17</v>
      </c>
      <c r="F499" s="2132" t="s">
        <v>163</v>
      </c>
      <c r="G499" s="21" t="s">
        <v>164</v>
      </c>
      <c r="H499" s="21"/>
      <c r="I499" s="21"/>
      <c r="J499" s="21"/>
      <c r="K499" s="2048"/>
      <c r="L499" s="36"/>
      <c r="M499" s="22">
        <v>0.415986867719635</v>
      </c>
      <c r="N499" s="22">
        <v>5.87670930558762</v>
      </c>
      <c r="O499" s="37">
        <v>0.4</v>
      </c>
      <c r="P499" s="37">
        <f t="shared" si="67"/>
        <v>6.69269617330726</v>
      </c>
      <c r="Q499" s="219"/>
      <c r="R499" s="39" t="s">
        <v>2843</v>
      </c>
      <c r="S499" s="1931"/>
      <c r="T499" s="120"/>
      <c r="W499" s="2180"/>
      <c r="Z499" s="839"/>
      <c r="AA499" s="839"/>
      <c r="AB499" s="1940"/>
    </row>
    <row r="500" s="187" customFormat="1" ht="16" customHeight="1" spans="1:28">
      <c r="A500" s="839">
        <v>371</v>
      </c>
      <c r="B500" s="23" t="s">
        <v>19</v>
      </c>
      <c r="C500" s="23"/>
      <c r="D500" s="21">
        <v>20250618</v>
      </c>
      <c r="E500" s="21"/>
      <c r="F500" s="2132" t="s">
        <v>166</v>
      </c>
      <c r="G500" s="21" t="s">
        <v>167</v>
      </c>
      <c r="H500" s="21"/>
      <c r="I500" s="21"/>
      <c r="J500" s="21"/>
      <c r="K500" s="2048"/>
      <c r="L500" s="36"/>
      <c r="M500" s="22">
        <v>0.672024813223873</v>
      </c>
      <c r="N500" s="22">
        <v>2.71967649270211</v>
      </c>
      <c r="O500" s="37">
        <v>0.4</v>
      </c>
      <c r="P500" s="37">
        <f t="shared" si="67"/>
        <v>3.79170130592598</v>
      </c>
      <c r="Q500" s="219"/>
      <c r="R500" s="39" t="s">
        <v>168</v>
      </c>
      <c r="S500" s="1931"/>
      <c r="T500" s="120"/>
      <c r="W500" s="2180"/>
      <c r="Z500" s="839"/>
      <c r="AA500" s="839"/>
      <c r="AB500" s="1940"/>
    </row>
    <row r="501" s="187" customFormat="1" ht="16" customHeight="1" spans="1:28">
      <c r="A501" s="839">
        <v>372</v>
      </c>
      <c r="B501" s="23" t="s">
        <v>19</v>
      </c>
      <c r="C501" s="23"/>
      <c r="D501" s="21">
        <v>20241023</v>
      </c>
      <c r="E501" s="21">
        <v>7.17</v>
      </c>
      <c r="F501" s="2132" t="s">
        <v>169</v>
      </c>
      <c r="G501" s="21" t="s">
        <v>170</v>
      </c>
      <c r="H501" s="21"/>
      <c r="I501" s="21"/>
      <c r="J501" s="21"/>
      <c r="K501" s="2048"/>
      <c r="L501" s="36"/>
      <c r="M501" s="22">
        <v>0.625761141930976</v>
      </c>
      <c r="N501" s="22">
        <v>2.88612227952611</v>
      </c>
      <c r="O501" s="37">
        <v>0.4</v>
      </c>
      <c r="P501" s="37">
        <f t="shared" si="67"/>
        <v>3.91188342145709</v>
      </c>
      <c r="Q501" s="219"/>
      <c r="R501" s="39" t="s">
        <v>2844</v>
      </c>
      <c r="S501" s="1931"/>
      <c r="T501" s="120"/>
      <c r="W501" s="2180"/>
      <c r="Z501" s="839"/>
      <c r="AA501" s="839"/>
      <c r="AB501" s="1940"/>
    </row>
    <row r="502" s="839" customFormat="1" ht="16" customHeight="1" spans="1:28">
      <c r="A502" s="839">
        <v>373</v>
      </c>
      <c r="B502" s="23" t="s">
        <v>19</v>
      </c>
      <c r="C502" s="23"/>
      <c r="D502" s="21">
        <v>20241016</v>
      </c>
      <c r="E502" s="21">
        <v>7.17</v>
      </c>
      <c r="F502" s="2132" t="s">
        <v>172</v>
      </c>
      <c r="G502" s="21" t="s">
        <v>173</v>
      </c>
      <c r="H502" s="21"/>
      <c r="I502" s="21"/>
      <c r="J502" s="21"/>
      <c r="K502" s="2048"/>
      <c r="L502" s="36"/>
      <c r="M502" s="22">
        <v>0.481230897788576</v>
      </c>
      <c r="N502" s="22">
        <v>3.98917873773985</v>
      </c>
      <c r="O502" s="37">
        <v>0.4</v>
      </c>
      <c r="P502" s="37">
        <f t="shared" si="67"/>
        <v>4.87040963552843</v>
      </c>
      <c r="Q502" s="219"/>
      <c r="R502" s="39" t="s">
        <v>2845</v>
      </c>
      <c r="S502" s="1931"/>
      <c r="T502" s="120"/>
      <c r="W502" s="1940"/>
      <c r="AB502" s="1940"/>
    </row>
    <row r="503" s="187" customFormat="1" ht="16" customHeight="1" spans="1:28">
      <c r="A503" s="839">
        <v>374</v>
      </c>
      <c r="B503" s="23" t="s">
        <v>19</v>
      </c>
      <c r="C503" s="23"/>
      <c r="D503" s="21">
        <v>20241111</v>
      </c>
      <c r="E503" s="21">
        <v>7.17</v>
      </c>
      <c r="F503" s="2132" t="s">
        <v>175</v>
      </c>
      <c r="G503" s="21" t="s">
        <v>176</v>
      </c>
      <c r="H503" s="21"/>
      <c r="I503" s="21"/>
      <c r="J503" s="21"/>
      <c r="K503" s="2048"/>
      <c r="L503" s="36"/>
      <c r="M503" s="22">
        <v>0.422346507965976</v>
      </c>
      <c r="N503" s="22">
        <v>2.15105537835191</v>
      </c>
      <c r="O503" s="37">
        <v>0.4</v>
      </c>
      <c r="P503" s="37">
        <f t="shared" si="67"/>
        <v>2.97340188631789</v>
      </c>
      <c r="Q503" s="219"/>
      <c r="R503" s="39" t="s">
        <v>2844</v>
      </c>
      <c r="S503" s="1931"/>
      <c r="T503" s="120"/>
      <c r="W503" s="2180"/>
      <c r="Z503" s="839"/>
      <c r="AA503" s="839"/>
      <c r="AB503" s="1940"/>
    </row>
    <row r="504" s="187" customFormat="1" ht="16" customHeight="1" spans="1:28">
      <c r="A504" s="839">
        <v>375</v>
      </c>
      <c r="B504" s="23" t="s">
        <v>41</v>
      </c>
      <c r="C504" s="23"/>
      <c r="D504" s="21"/>
      <c r="E504" s="21"/>
      <c r="F504" s="2130" t="s">
        <v>1979</v>
      </c>
      <c r="G504" s="21" t="s">
        <v>178</v>
      </c>
      <c r="H504" s="21"/>
      <c r="I504" s="21"/>
      <c r="J504" s="21"/>
      <c r="K504" s="2048"/>
      <c r="L504" s="36"/>
      <c r="M504" s="22">
        <v>1.62</v>
      </c>
      <c r="N504" s="22">
        <v>3.11428571428571</v>
      </c>
      <c r="O504" s="37">
        <v>0.4</v>
      </c>
      <c r="P504" s="37">
        <f t="shared" si="67"/>
        <v>5.13428571428571</v>
      </c>
      <c r="Q504" s="219"/>
      <c r="R504" s="23"/>
      <c r="S504" s="804"/>
      <c r="T504" s="120" t="s">
        <v>1406</v>
      </c>
      <c r="W504" s="2180"/>
      <c r="Z504" s="839"/>
      <c r="AA504" s="839"/>
      <c r="AB504" s="1940"/>
    </row>
    <row r="505" s="187" customFormat="1" ht="16" customHeight="1" spans="1:28">
      <c r="A505" s="839">
        <v>376</v>
      </c>
      <c r="B505" s="23" t="s">
        <v>41</v>
      </c>
      <c r="C505" s="23"/>
      <c r="D505" s="21"/>
      <c r="E505" s="21"/>
      <c r="F505" s="2130" t="s">
        <v>1979</v>
      </c>
      <c r="G505" s="21" t="s">
        <v>179</v>
      </c>
      <c r="H505" s="21"/>
      <c r="I505" s="21"/>
      <c r="J505" s="21"/>
      <c r="K505" s="2048"/>
      <c r="L505" s="36"/>
      <c r="M505" s="22">
        <v>1.88</v>
      </c>
      <c r="N505" s="22">
        <v>9.17142857142857</v>
      </c>
      <c r="O505" s="37">
        <v>0.4</v>
      </c>
      <c r="P505" s="37">
        <f t="shared" si="67"/>
        <v>11.4514285714286</v>
      </c>
      <c r="Q505" s="219"/>
      <c r="R505" s="23" t="s">
        <v>2846</v>
      </c>
      <c r="S505" s="804"/>
      <c r="T505" s="120" t="s">
        <v>1406</v>
      </c>
      <c r="W505" s="2180"/>
      <c r="Z505" s="839"/>
      <c r="AA505" s="839"/>
      <c r="AB505" s="1940"/>
    </row>
    <row r="506" s="187" customFormat="1" ht="16" customHeight="1" spans="1:28">
      <c r="A506" s="839">
        <v>377</v>
      </c>
      <c r="B506" s="23" t="s">
        <v>41</v>
      </c>
      <c r="C506" s="23"/>
      <c r="D506" s="21">
        <v>20241216</v>
      </c>
      <c r="E506" s="21">
        <v>7.17</v>
      </c>
      <c r="F506" s="2132" t="s">
        <v>181</v>
      </c>
      <c r="G506" s="21" t="s">
        <v>182</v>
      </c>
      <c r="H506" s="21"/>
      <c r="I506" s="21"/>
      <c r="J506" s="21"/>
      <c r="K506" s="2048"/>
      <c r="L506" s="36"/>
      <c r="M506" s="22">
        <v>0.356697646289234</v>
      </c>
      <c r="N506" s="22">
        <v>1.35748792322237</v>
      </c>
      <c r="O506" s="37">
        <v>0.4</v>
      </c>
      <c r="P506" s="37">
        <f t="shared" si="67"/>
        <v>2.1141855695116</v>
      </c>
      <c r="Q506" s="219"/>
      <c r="R506" s="23" t="s">
        <v>2847</v>
      </c>
      <c r="S506" s="804"/>
      <c r="T506" s="120"/>
      <c r="W506" s="2180"/>
      <c r="Z506" s="839"/>
      <c r="AA506" s="839"/>
      <c r="AB506" s="1940"/>
    </row>
    <row r="507" s="187" customFormat="1" ht="16" customHeight="1" spans="1:28">
      <c r="A507" s="839">
        <v>378</v>
      </c>
      <c r="B507" s="23" t="s">
        <v>41</v>
      </c>
      <c r="C507" s="23"/>
      <c r="D507" s="21">
        <v>20241113</v>
      </c>
      <c r="E507" s="21">
        <v>7.17</v>
      </c>
      <c r="F507" s="2132" t="s">
        <v>184</v>
      </c>
      <c r="G507" s="21" t="s">
        <v>185</v>
      </c>
      <c r="H507" s="21"/>
      <c r="I507" s="21"/>
      <c r="J507" s="21"/>
      <c r="K507" s="2048"/>
      <c r="L507" s="36"/>
      <c r="M507" s="22">
        <v>0.433015473068939</v>
      </c>
      <c r="N507" s="22">
        <v>1.39451249157827</v>
      </c>
      <c r="O507" s="37">
        <v>0.2</v>
      </c>
      <c r="P507" s="37">
        <f t="shared" si="67"/>
        <v>2.02752796464721</v>
      </c>
      <c r="Q507" s="219"/>
      <c r="R507" s="23" t="s">
        <v>186</v>
      </c>
      <c r="S507" s="804"/>
      <c r="T507" s="120"/>
      <c r="W507" s="2180"/>
      <c r="Z507" s="839"/>
      <c r="AA507" s="839"/>
      <c r="AB507" s="1940"/>
    </row>
    <row r="508" s="839" customFormat="1" ht="16" customHeight="1" spans="1:28">
      <c r="A508" s="839">
        <v>379</v>
      </c>
      <c r="B508" s="23" t="s">
        <v>41</v>
      </c>
      <c r="C508" s="23"/>
      <c r="D508" s="21">
        <v>20241023</v>
      </c>
      <c r="E508" s="21">
        <v>7.17</v>
      </c>
      <c r="F508" s="2132" t="s">
        <v>187</v>
      </c>
      <c r="G508" s="21" t="s">
        <v>188</v>
      </c>
      <c r="H508" s="21"/>
      <c r="I508" s="21"/>
      <c r="J508" s="21"/>
      <c r="K508" s="2048"/>
      <c r="L508" s="36"/>
      <c r="M508" s="22">
        <v>0.444047272494986</v>
      </c>
      <c r="N508" s="22">
        <v>1.42</v>
      </c>
      <c r="O508" s="37">
        <v>0.2</v>
      </c>
      <c r="P508" s="37">
        <f t="shared" si="67"/>
        <v>2.06404727249499</v>
      </c>
      <c r="Q508" s="219"/>
      <c r="R508" s="23" t="s">
        <v>2848</v>
      </c>
      <c r="S508" s="804"/>
      <c r="T508" s="120"/>
      <c r="W508" s="1940"/>
      <c r="AB508" s="1940"/>
    </row>
    <row r="509" s="187" customFormat="1" ht="16" customHeight="1" spans="1:28">
      <c r="A509" s="839">
        <v>380</v>
      </c>
      <c r="B509" s="23" t="s">
        <v>41</v>
      </c>
      <c r="C509" s="23"/>
      <c r="D509" s="21">
        <v>20250123</v>
      </c>
      <c r="E509" s="21">
        <v>7.17</v>
      </c>
      <c r="F509" s="2132" t="s">
        <v>190</v>
      </c>
      <c r="G509" s="21" t="s">
        <v>191</v>
      </c>
      <c r="H509" s="21"/>
      <c r="I509" s="21"/>
      <c r="J509" s="21"/>
      <c r="K509" s="2048"/>
      <c r="L509" s="36"/>
      <c r="M509" s="22">
        <v>0.330338294700182</v>
      </c>
      <c r="N509" s="22">
        <v>1.24539113758107</v>
      </c>
      <c r="O509" s="37">
        <v>0.2</v>
      </c>
      <c r="P509" s="37">
        <f t="shared" si="67"/>
        <v>1.77572943228125</v>
      </c>
      <c r="Q509" s="219"/>
      <c r="R509" s="23" t="s">
        <v>63</v>
      </c>
      <c r="S509" s="804"/>
      <c r="T509" s="120"/>
      <c r="W509" s="2180"/>
      <c r="Z509" s="839"/>
      <c r="AA509" s="839"/>
      <c r="AB509" s="1940"/>
    </row>
    <row r="510" s="187" customFormat="1" ht="16" customHeight="1" spans="1:28">
      <c r="A510" s="839">
        <v>381</v>
      </c>
      <c r="B510" s="23" t="s">
        <v>41</v>
      </c>
      <c r="C510" s="23"/>
      <c r="D510" s="21">
        <v>20240409</v>
      </c>
      <c r="E510" s="21">
        <v>7.17</v>
      </c>
      <c r="F510" s="2132" t="s">
        <v>192</v>
      </c>
      <c r="G510" s="21" t="s">
        <v>193</v>
      </c>
      <c r="H510" s="21"/>
      <c r="I510" s="21"/>
      <c r="J510" s="21"/>
      <c r="K510" s="2048"/>
      <c r="L510" s="36"/>
      <c r="M510" s="22">
        <v>0.201720456954488</v>
      </c>
      <c r="N510" s="22">
        <v>2.67787197950976</v>
      </c>
      <c r="O510" s="37">
        <v>0.4</v>
      </c>
      <c r="P510" s="37">
        <f t="shared" si="67"/>
        <v>3.27959243646425</v>
      </c>
      <c r="Q510" s="219"/>
      <c r="R510" s="23" t="s">
        <v>2849</v>
      </c>
      <c r="S510" s="804"/>
      <c r="T510" s="120" t="s">
        <v>1406</v>
      </c>
      <c r="W510" s="2180"/>
      <c r="Z510" s="839"/>
      <c r="AA510" s="839"/>
      <c r="AB510" s="1940"/>
    </row>
    <row r="511" s="839" customFormat="1" ht="16" customHeight="1" spans="1:28">
      <c r="A511" s="839">
        <v>382</v>
      </c>
      <c r="B511" s="23" t="s">
        <v>41</v>
      </c>
      <c r="C511" s="23"/>
      <c r="D511" s="21">
        <v>20250224</v>
      </c>
      <c r="E511" s="21">
        <v>7.17</v>
      </c>
      <c r="F511" s="2132" t="s">
        <v>195</v>
      </c>
      <c r="G511" s="21" t="s">
        <v>196</v>
      </c>
      <c r="H511" s="21"/>
      <c r="I511" s="21"/>
      <c r="J511" s="21"/>
      <c r="K511" s="2048"/>
      <c r="L511" s="36"/>
      <c r="M511" s="22">
        <v>0.337220123536035</v>
      </c>
      <c r="N511" s="22">
        <v>1.10962779601205</v>
      </c>
      <c r="O511" s="37">
        <v>0.2</v>
      </c>
      <c r="P511" s="37">
        <f t="shared" si="67"/>
        <v>1.64684791954808</v>
      </c>
      <c r="Q511" s="219"/>
      <c r="R511" s="23" t="s">
        <v>197</v>
      </c>
      <c r="S511" s="804"/>
      <c r="T511" s="120"/>
      <c r="W511" s="1940"/>
      <c r="AB511" s="1940"/>
    </row>
    <row r="512" s="187" customFormat="1" ht="16" customHeight="1" spans="1:28">
      <c r="A512" s="839">
        <v>383</v>
      </c>
      <c r="B512" s="23" t="s">
        <v>41</v>
      </c>
      <c r="C512" s="23"/>
      <c r="D512" s="21">
        <v>20240416</v>
      </c>
      <c r="E512" s="21">
        <v>7.17</v>
      </c>
      <c r="F512" s="2132" t="s">
        <v>198</v>
      </c>
      <c r="G512" s="21" t="s">
        <v>199</v>
      </c>
      <c r="H512" s="21"/>
      <c r="I512" s="21"/>
      <c r="J512" s="21"/>
      <c r="K512" s="2048"/>
      <c r="L512" s="36"/>
      <c r="M512" s="22">
        <v>0.166607892019245</v>
      </c>
      <c r="N512" s="22">
        <v>1.26350281137108</v>
      </c>
      <c r="O512" s="37">
        <v>0.2</v>
      </c>
      <c r="P512" s="37">
        <f t="shared" si="67"/>
        <v>1.63011070339033</v>
      </c>
      <c r="Q512" s="219"/>
      <c r="R512" s="23" t="s">
        <v>2850</v>
      </c>
      <c r="S512" s="804"/>
      <c r="T512" s="120"/>
      <c r="W512" s="2180"/>
      <c r="Z512" s="839"/>
      <c r="AA512" s="839"/>
      <c r="AB512" s="1940"/>
    </row>
    <row r="513" s="187" customFormat="1" ht="16" customHeight="1" spans="1:28">
      <c r="A513" s="839">
        <v>384</v>
      </c>
      <c r="B513" s="23" t="s">
        <v>41</v>
      </c>
      <c r="C513" s="23"/>
      <c r="D513" s="21">
        <v>20240925</v>
      </c>
      <c r="E513" s="21">
        <v>7.17</v>
      </c>
      <c r="F513" s="2132" t="s">
        <v>200</v>
      </c>
      <c r="G513" s="21" t="s">
        <v>201</v>
      </c>
      <c r="H513" s="21"/>
      <c r="I513" s="21"/>
      <c r="J513" s="21"/>
      <c r="K513" s="2048"/>
      <c r="L513" s="36"/>
      <c r="M513" s="22">
        <v>0.444047272494986</v>
      </c>
      <c r="N513" s="22">
        <v>1.35182870054051</v>
      </c>
      <c r="O513" s="37">
        <v>0.2</v>
      </c>
      <c r="P513" s="37">
        <f t="shared" si="67"/>
        <v>1.9958759730355</v>
      </c>
      <c r="Q513" s="219"/>
      <c r="R513" s="23"/>
      <c r="S513" s="804"/>
      <c r="T513" s="120"/>
      <c r="W513" s="2180"/>
      <c r="Z513" s="839"/>
      <c r="AA513" s="839"/>
      <c r="AB513" s="1940"/>
    </row>
    <row r="514" s="839" customFormat="1" ht="16" customHeight="1" spans="1:28">
      <c r="A514" s="839">
        <v>385</v>
      </c>
      <c r="B514" s="23" t="s">
        <v>41</v>
      </c>
      <c r="C514" s="23"/>
      <c r="D514" s="21">
        <v>20240925</v>
      </c>
      <c r="E514" s="21">
        <v>7.17</v>
      </c>
      <c r="F514" s="2132" t="s">
        <v>202</v>
      </c>
      <c r="G514" s="21" t="s">
        <v>203</v>
      </c>
      <c r="H514" s="21"/>
      <c r="I514" s="21"/>
      <c r="J514" s="21"/>
      <c r="K514" s="2048"/>
      <c r="L514" s="36"/>
      <c r="M514" s="22">
        <v>0.374944815103835</v>
      </c>
      <c r="N514" s="22">
        <v>1.22738165016634</v>
      </c>
      <c r="O514" s="37">
        <v>0.2</v>
      </c>
      <c r="P514" s="37">
        <f t="shared" si="67"/>
        <v>1.80232646527017</v>
      </c>
      <c r="Q514" s="219"/>
      <c r="R514" s="23"/>
      <c r="S514" s="804"/>
      <c r="T514" s="120"/>
      <c r="W514" s="1940"/>
      <c r="AB514" s="1940"/>
    </row>
    <row r="515" s="187" customFormat="1" ht="16" customHeight="1" spans="1:28">
      <c r="A515" s="839">
        <v>386</v>
      </c>
      <c r="B515" s="23" t="s">
        <v>41</v>
      </c>
      <c r="C515" s="23"/>
      <c r="D515" s="21">
        <v>20250401</v>
      </c>
      <c r="E515" s="21">
        <v>7.17</v>
      </c>
      <c r="F515" s="2132" t="s">
        <v>204</v>
      </c>
      <c r="G515" s="21" t="s">
        <v>205</v>
      </c>
      <c r="H515" s="21"/>
      <c r="I515" s="21"/>
      <c r="J515" s="21"/>
      <c r="K515" s="2048"/>
      <c r="L515" s="36"/>
      <c r="M515" s="22">
        <v>0.413525406963897</v>
      </c>
      <c r="N515" s="22">
        <v>1.371035733689</v>
      </c>
      <c r="O515" s="37">
        <v>0.2</v>
      </c>
      <c r="P515" s="37">
        <f t="shared" si="67"/>
        <v>1.9845611406529</v>
      </c>
      <c r="Q515" s="219"/>
      <c r="R515" s="23" t="s">
        <v>63</v>
      </c>
      <c r="S515" s="804"/>
      <c r="T515" s="120"/>
      <c r="W515" s="2180"/>
      <c r="Z515" s="839"/>
      <c r="AA515" s="839"/>
      <c r="AB515" s="1940"/>
    </row>
    <row r="516" s="187" customFormat="1" ht="16" customHeight="1" spans="1:28">
      <c r="A516" s="839">
        <v>387</v>
      </c>
      <c r="B516" s="23" t="s">
        <v>41</v>
      </c>
      <c r="C516" s="23"/>
      <c r="D516" s="21">
        <v>20250513</v>
      </c>
      <c r="E516" s="21"/>
      <c r="F516" s="2132" t="s">
        <v>206</v>
      </c>
      <c r="G516" s="21" t="s">
        <v>207</v>
      </c>
      <c r="H516" s="21"/>
      <c r="I516" s="21"/>
      <c r="J516" s="21"/>
      <c r="K516" s="2048"/>
      <c r="L516" s="36"/>
      <c r="M516" s="22">
        <v>0.0794504473671344</v>
      </c>
      <c r="N516" s="22">
        <v>0.602592010766147</v>
      </c>
      <c r="O516" s="37">
        <v>0.2</v>
      </c>
      <c r="P516" s="37">
        <f t="shared" si="67"/>
        <v>0.882042458133281</v>
      </c>
      <c r="Q516" s="219"/>
      <c r="R516" s="23" t="s">
        <v>208</v>
      </c>
      <c r="S516" s="804"/>
      <c r="T516" s="120"/>
      <c r="W516" s="2180"/>
      <c r="Z516" s="839"/>
      <c r="AA516" s="839"/>
      <c r="AB516" s="1940"/>
    </row>
    <row r="517" s="187" customFormat="1" ht="16" customHeight="1" spans="1:28">
      <c r="A517" s="839">
        <v>388</v>
      </c>
      <c r="B517" s="23" t="s">
        <v>41</v>
      </c>
      <c r="C517" s="23"/>
      <c r="D517" s="21">
        <v>20250428</v>
      </c>
      <c r="E517" s="21">
        <v>7.17</v>
      </c>
      <c r="F517" s="2132" t="s">
        <v>209</v>
      </c>
      <c r="G517" s="21" t="s">
        <v>210</v>
      </c>
      <c r="H517" s="21"/>
      <c r="I517" s="21"/>
      <c r="J517" s="21"/>
      <c r="K517" s="2048"/>
      <c r="L517" s="36"/>
      <c r="M517" s="22">
        <v>0.338970739561517</v>
      </c>
      <c r="N517" s="22">
        <v>2.70931275047744</v>
      </c>
      <c r="O517" s="37">
        <v>0.2</v>
      </c>
      <c r="P517" s="37">
        <f t="shared" si="67"/>
        <v>3.24828349003896</v>
      </c>
      <c r="Q517" s="219"/>
      <c r="R517" s="23" t="s">
        <v>63</v>
      </c>
      <c r="S517" s="804"/>
      <c r="T517" s="120"/>
      <c r="W517" s="2180"/>
      <c r="Z517" s="839"/>
      <c r="AA517" s="839"/>
      <c r="AB517" s="1940"/>
    </row>
    <row r="518" s="839" customFormat="1" ht="16" customHeight="1" spans="1:28">
      <c r="A518" s="839">
        <v>389</v>
      </c>
      <c r="B518" s="23" t="s">
        <v>41</v>
      </c>
      <c r="C518" s="23"/>
      <c r="D518" s="21">
        <v>20250402</v>
      </c>
      <c r="E518" s="21">
        <v>7.17</v>
      </c>
      <c r="F518" s="2132" t="s">
        <v>1421</v>
      </c>
      <c r="G518" s="21" t="s">
        <v>1422</v>
      </c>
      <c r="H518" s="21"/>
      <c r="I518" s="21"/>
      <c r="J518" s="21"/>
      <c r="K518" s="2048"/>
      <c r="L518" s="36"/>
      <c r="M518" s="22">
        <v>0.316297707112266</v>
      </c>
      <c r="N518" s="22">
        <v>1.44949488376951</v>
      </c>
      <c r="O518" s="37">
        <v>0.2</v>
      </c>
      <c r="P518" s="37">
        <f t="shared" si="67"/>
        <v>1.96579259088178</v>
      </c>
      <c r="Q518" s="219"/>
      <c r="R518" s="23" t="s">
        <v>63</v>
      </c>
      <c r="S518" s="804"/>
      <c r="T518" s="120"/>
      <c r="W518" s="1940"/>
      <c r="AB518" s="1940"/>
    </row>
    <row r="519" s="839" customFormat="1" ht="16" customHeight="1" spans="1:28">
      <c r="A519" s="839">
        <v>390</v>
      </c>
      <c r="B519" s="23" t="s">
        <v>41</v>
      </c>
      <c r="C519" s="23"/>
      <c r="D519" s="21">
        <v>20250618</v>
      </c>
      <c r="E519" s="21">
        <v>7.17</v>
      </c>
      <c r="F519" s="2132" t="s">
        <v>211</v>
      </c>
      <c r="G519" s="21" t="s">
        <v>212</v>
      </c>
      <c r="H519" s="21"/>
      <c r="I519" s="21"/>
      <c r="J519" s="21"/>
      <c r="K519" s="2048"/>
      <c r="L519" s="36"/>
      <c r="M519" s="22">
        <v>0.35657422149813</v>
      </c>
      <c r="N519" s="22">
        <v>2.84956229899393</v>
      </c>
      <c r="O519" s="37">
        <v>0.2</v>
      </c>
      <c r="P519" s="37">
        <f t="shared" si="67"/>
        <v>3.40613652049206</v>
      </c>
      <c r="Q519" s="219"/>
      <c r="R519" s="23" t="s">
        <v>213</v>
      </c>
      <c r="S519" s="804"/>
      <c r="T519" s="120"/>
      <c r="W519" s="1940"/>
      <c r="AB519" s="1940"/>
    </row>
    <row r="520" s="839" customFormat="1" ht="16" customHeight="1" spans="1:28">
      <c r="A520" s="839">
        <v>391</v>
      </c>
      <c r="B520" s="23" t="s">
        <v>41</v>
      </c>
      <c r="C520" s="23"/>
      <c r="D520" s="21">
        <v>20250618</v>
      </c>
      <c r="E520" s="21">
        <v>7.17</v>
      </c>
      <c r="F520" s="2132" t="s">
        <v>214</v>
      </c>
      <c r="G520" s="21" t="s">
        <v>215</v>
      </c>
      <c r="H520" s="21"/>
      <c r="I520" s="21"/>
      <c r="J520" s="21"/>
      <c r="K520" s="2048"/>
      <c r="L520" s="36"/>
      <c r="M520" s="22">
        <v>0.356697646289234</v>
      </c>
      <c r="N520" s="22">
        <v>1.36450096525987</v>
      </c>
      <c r="O520" s="37">
        <v>0.2</v>
      </c>
      <c r="P520" s="37">
        <f t="shared" si="67"/>
        <v>1.9211986115491</v>
      </c>
      <c r="Q520" s="219"/>
      <c r="R520" s="23" t="s">
        <v>63</v>
      </c>
      <c r="S520" s="804"/>
      <c r="T520" s="120"/>
      <c r="W520" s="1940"/>
      <c r="AB520" s="1940"/>
    </row>
    <row r="521" s="187" customFormat="1" ht="16" customHeight="1" spans="1:28">
      <c r="A521" s="839">
        <v>392</v>
      </c>
      <c r="B521" s="23" t="s">
        <v>41</v>
      </c>
      <c r="C521" s="23"/>
      <c r="D521" s="21">
        <v>20250106</v>
      </c>
      <c r="E521" s="21">
        <v>7.17</v>
      </c>
      <c r="F521" s="2132" t="s">
        <v>216</v>
      </c>
      <c r="G521" s="21" t="s">
        <v>217</v>
      </c>
      <c r="H521" s="21"/>
      <c r="I521" s="21"/>
      <c r="J521" s="21"/>
      <c r="K521" s="2048"/>
      <c r="L521" s="36"/>
      <c r="M521" s="22">
        <v>0.41232006126811</v>
      </c>
      <c r="N521" s="22">
        <v>1.35805437311823</v>
      </c>
      <c r="O521" s="37">
        <v>0.2</v>
      </c>
      <c r="P521" s="37">
        <f t="shared" si="67"/>
        <v>1.97037443438634</v>
      </c>
      <c r="Q521" s="219"/>
      <c r="R521" s="23" t="s">
        <v>63</v>
      </c>
      <c r="S521" s="804"/>
      <c r="T521" s="120"/>
      <c r="W521" s="2180"/>
      <c r="Z521" s="839"/>
      <c r="AA521" s="839"/>
      <c r="AB521" s="1940"/>
    </row>
    <row r="522" s="187" customFormat="1" ht="16" customHeight="1" spans="1:28">
      <c r="A522" s="839">
        <v>393</v>
      </c>
      <c r="B522" s="23" t="s">
        <v>41</v>
      </c>
      <c r="C522" s="23"/>
      <c r="D522" s="21">
        <v>20240919</v>
      </c>
      <c r="E522" s="21">
        <v>7.17</v>
      </c>
      <c r="F522" s="2132" t="s">
        <v>223</v>
      </c>
      <c r="G522" s="21" t="s">
        <v>224</v>
      </c>
      <c r="H522" s="21"/>
      <c r="I522" s="21"/>
      <c r="J522" s="21"/>
      <c r="K522" s="2048"/>
      <c r="L522" s="36"/>
      <c r="M522" s="22">
        <v>0.444047272494986</v>
      </c>
      <c r="N522" s="22">
        <v>1.52797558583448</v>
      </c>
      <c r="O522" s="37">
        <v>0.2</v>
      </c>
      <c r="P522" s="37">
        <f t="shared" si="67"/>
        <v>2.17202285832947</v>
      </c>
      <c r="Q522" s="219"/>
      <c r="R522" s="23" t="s">
        <v>2847</v>
      </c>
      <c r="S522" s="804"/>
      <c r="T522" s="120"/>
      <c r="W522" s="2180"/>
      <c r="Z522" s="839"/>
      <c r="AA522" s="839"/>
      <c r="AB522" s="1940"/>
    </row>
    <row r="523" s="839" customFormat="1" ht="16" customHeight="1" spans="1:28">
      <c r="A523" s="839">
        <v>394</v>
      </c>
      <c r="B523" s="23" t="s">
        <v>225</v>
      </c>
      <c r="C523" s="23"/>
      <c r="D523" s="21"/>
      <c r="E523" s="21"/>
      <c r="F523" s="2132" t="s">
        <v>226</v>
      </c>
      <c r="G523" s="690" t="s">
        <v>227</v>
      </c>
      <c r="H523" s="690"/>
      <c r="I523" s="21"/>
      <c r="J523" s="21"/>
      <c r="K523" s="2048"/>
      <c r="L523" s="779"/>
      <c r="M523" s="22">
        <v>4.5019551348014</v>
      </c>
      <c r="N523" s="22">
        <v>3.54485351628936</v>
      </c>
      <c r="O523" s="37">
        <v>0.4</v>
      </c>
      <c r="P523" s="37">
        <f t="shared" si="67"/>
        <v>8.44680865109076</v>
      </c>
      <c r="Q523" s="219"/>
      <c r="R523" s="39" t="s">
        <v>25</v>
      </c>
      <c r="S523" s="1931"/>
      <c r="T523" s="120" t="s">
        <v>1406</v>
      </c>
      <c r="W523" s="1940"/>
      <c r="AB523" s="1940"/>
    </row>
    <row r="524" s="839" customFormat="1" ht="16" customHeight="1" spans="1:28">
      <c r="A524" s="839">
        <v>395</v>
      </c>
      <c r="B524" s="23" t="s">
        <v>225</v>
      </c>
      <c r="C524" s="23"/>
      <c r="D524" s="21"/>
      <c r="E524" s="21"/>
      <c r="F524" s="2132" t="s">
        <v>228</v>
      </c>
      <c r="G524" s="690" t="s">
        <v>229</v>
      </c>
      <c r="H524" s="690"/>
      <c r="I524" s="21"/>
      <c r="J524" s="21"/>
      <c r="K524" s="2048"/>
      <c r="L524" s="779"/>
      <c r="M524" s="22">
        <v>0.75375591685532</v>
      </c>
      <c r="N524" s="22">
        <v>5.82287675383824</v>
      </c>
      <c r="O524" s="37">
        <v>0.4</v>
      </c>
      <c r="P524" s="37">
        <f t="shared" si="67"/>
        <v>6.97663267069356</v>
      </c>
      <c r="Q524" s="219"/>
      <c r="R524" s="39"/>
      <c r="S524" s="1931"/>
      <c r="T524" s="120" t="s">
        <v>1406</v>
      </c>
      <c r="W524" s="1940"/>
      <c r="AB524" s="1940"/>
    </row>
    <row r="525" s="839" customFormat="1" ht="16" customHeight="1" spans="1:28">
      <c r="A525" s="839">
        <v>396</v>
      </c>
      <c r="B525" s="23" t="s">
        <v>225</v>
      </c>
      <c r="C525" s="23"/>
      <c r="D525" s="21">
        <v>20250617</v>
      </c>
      <c r="E525" s="21">
        <v>7.17</v>
      </c>
      <c r="F525" s="2132" t="s">
        <v>230</v>
      </c>
      <c r="G525" s="21" t="s">
        <v>231</v>
      </c>
      <c r="H525" s="21"/>
      <c r="I525" s="21"/>
      <c r="J525" s="21"/>
      <c r="K525" s="2048"/>
      <c r="L525" s="779"/>
      <c r="M525" s="22">
        <v>0.619592451339776</v>
      </c>
      <c r="N525" s="22">
        <v>3.38051803704719</v>
      </c>
      <c r="O525" s="37">
        <v>0.4</v>
      </c>
      <c r="P525" s="37">
        <f t="shared" si="67"/>
        <v>4.40011048838697</v>
      </c>
      <c r="Q525" s="219"/>
      <c r="R525" s="39" t="s">
        <v>232</v>
      </c>
      <c r="S525" s="1931"/>
      <c r="T525" s="120"/>
      <c r="W525" s="1940"/>
      <c r="AB525" s="1940"/>
    </row>
    <row r="526" s="839" customFormat="1" ht="16" customHeight="1" spans="1:28">
      <c r="A526" s="839">
        <v>397</v>
      </c>
      <c r="B526" s="23" t="s">
        <v>225</v>
      </c>
      <c r="C526" s="23"/>
      <c r="D526" s="21">
        <v>20250716</v>
      </c>
      <c r="E526" s="21">
        <v>7.17</v>
      </c>
      <c r="F526" s="2132" t="s">
        <v>233</v>
      </c>
      <c r="G526" s="690" t="s">
        <v>234</v>
      </c>
      <c r="H526" s="690"/>
      <c r="I526" s="21"/>
      <c r="J526" s="21"/>
      <c r="K526" s="2048"/>
      <c r="L526" s="779"/>
      <c r="M526" s="22">
        <v>0.576393774453537</v>
      </c>
      <c r="N526" s="704">
        <v>3.42944849211439</v>
      </c>
      <c r="O526" s="37">
        <v>0.4</v>
      </c>
      <c r="P526" s="37">
        <f t="shared" si="67"/>
        <v>4.40584226656793</v>
      </c>
      <c r="Q526" s="219"/>
      <c r="R526" s="39" t="s">
        <v>235</v>
      </c>
      <c r="S526" s="1931"/>
      <c r="T526" s="120" t="s">
        <v>1406</v>
      </c>
      <c r="W526" s="1940"/>
      <c r="AB526" s="1940"/>
    </row>
    <row r="527" s="839" customFormat="1" ht="16" customHeight="1" spans="1:28">
      <c r="A527" s="839">
        <v>398</v>
      </c>
      <c r="B527" s="23" t="s">
        <v>236</v>
      </c>
      <c r="C527" s="23"/>
      <c r="D527" s="21">
        <v>20240627</v>
      </c>
      <c r="E527" s="21">
        <v>7.17</v>
      </c>
      <c r="F527" s="2132" t="s">
        <v>237</v>
      </c>
      <c r="G527" s="690" t="s">
        <v>238</v>
      </c>
      <c r="H527" s="690"/>
      <c r="I527" s="21"/>
      <c r="J527" s="21"/>
      <c r="K527" s="2048"/>
      <c r="L527" s="779"/>
      <c r="M527" s="22">
        <v>0.394959331531331</v>
      </c>
      <c r="N527" s="22">
        <v>1.72541444379716</v>
      </c>
      <c r="O527" s="37">
        <v>0.2</v>
      </c>
      <c r="P527" s="37">
        <f t="shared" si="67"/>
        <v>2.32037377532849</v>
      </c>
      <c r="Q527" s="219"/>
      <c r="R527" s="39" t="s">
        <v>2851</v>
      </c>
      <c r="S527" s="1931"/>
      <c r="T527" s="120"/>
      <c r="W527" s="1940"/>
      <c r="AB527" s="1940"/>
    </row>
    <row r="528" s="839" customFormat="1" ht="16" customHeight="1" spans="1:28">
      <c r="A528" s="839">
        <v>399</v>
      </c>
      <c r="B528" s="23" t="s">
        <v>236</v>
      </c>
      <c r="C528" s="23"/>
      <c r="D528" s="21">
        <v>20250326</v>
      </c>
      <c r="E528" s="21">
        <v>7.17</v>
      </c>
      <c r="F528" s="2132" t="s">
        <v>240</v>
      </c>
      <c r="G528" s="690" t="s">
        <v>241</v>
      </c>
      <c r="H528" s="690"/>
      <c r="I528" s="21"/>
      <c r="J528" s="21"/>
      <c r="K528" s="2048"/>
      <c r="L528" s="779"/>
      <c r="M528" s="22">
        <v>0.350758157692591</v>
      </c>
      <c r="N528" s="22">
        <v>1.38988701614034</v>
      </c>
      <c r="O528" s="37">
        <v>0.2</v>
      </c>
      <c r="P528" s="37">
        <f t="shared" si="67"/>
        <v>1.94064517383293</v>
      </c>
      <c r="Q528" s="219"/>
      <c r="R528" s="39" t="s">
        <v>2851</v>
      </c>
      <c r="S528" s="1931"/>
      <c r="T528" s="120"/>
      <c r="W528" s="1940"/>
      <c r="AB528" s="1940"/>
    </row>
    <row r="529" s="839" customFormat="1" ht="16" customHeight="1" spans="1:28">
      <c r="A529" s="839">
        <v>400</v>
      </c>
      <c r="B529" s="23" t="s">
        <v>236</v>
      </c>
      <c r="C529" s="23"/>
      <c r="D529" s="21">
        <v>20241129</v>
      </c>
      <c r="E529" s="21">
        <v>7.17</v>
      </c>
      <c r="F529" s="2132" t="s">
        <v>242</v>
      </c>
      <c r="G529" s="690" t="s">
        <v>243</v>
      </c>
      <c r="H529" s="690"/>
      <c r="I529" s="21"/>
      <c r="J529" s="21"/>
      <c r="K529" s="2048"/>
      <c r="L529" s="779"/>
      <c r="M529" s="22">
        <v>0.399987372807341</v>
      </c>
      <c r="N529" s="22">
        <v>3.70246958361206</v>
      </c>
      <c r="O529" s="37">
        <v>0.2</v>
      </c>
      <c r="P529" s="37">
        <f t="shared" si="67"/>
        <v>4.3024569564194</v>
      </c>
      <c r="Q529" s="219"/>
      <c r="R529" s="39" t="s">
        <v>244</v>
      </c>
      <c r="S529" s="1931"/>
      <c r="T529" s="120"/>
      <c r="W529" s="1940"/>
      <c r="AB529" s="1940"/>
    </row>
    <row r="530" s="839" customFormat="1" ht="16" customHeight="1" spans="1:28">
      <c r="A530" s="839">
        <v>401</v>
      </c>
      <c r="B530" s="23" t="s">
        <v>236</v>
      </c>
      <c r="C530" s="23"/>
      <c r="D530" s="21">
        <v>20241018</v>
      </c>
      <c r="E530" s="21">
        <v>7.17</v>
      </c>
      <c r="F530" s="2132" t="s">
        <v>245</v>
      </c>
      <c r="G530" s="690" t="s">
        <v>246</v>
      </c>
      <c r="H530" s="690"/>
      <c r="I530" s="21"/>
      <c r="J530" s="21"/>
      <c r="K530" s="2048"/>
      <c r="L530" s="779"/>
      <c r="M530" s="22">
        <v>0.47066948368511</v>
      </c>
      <c r="N530" s="22">
        <v>4.62179354761821</v>
      </c>
      <c r="O530" s="37">
        <v>0.2</v>
      </c>
      <c r="P530" s="37">
        <f t="shared" si="67"/>
        <v>5.29246303130332</v>
      </c>
      <c r="Q530" s="219"/>
      <c r="R530" s="39" t="s">
        <v>2852</v>
      </c>
      <c r="S530" s="1931"/>
      <c r="T530" s="120"/>
      <c r="W530" s="1940"/>
      <c r="AB530" s="1940"/>
    </row>
    <row r="531" s="839" customFormat="1" ht="16" customHeight="1" spans="1:28">
      <c r="A531" s="839">
        <v>402</v>
      </c>
      <c r="B531" s="23" t="s">
        <v>236</v>
      </c>
      <c r="C531" s="23"/>
      <c r="D531" s="21">
        <v>20241018</v>
      </c>
      <c r="E531" s="21">
        <v>7.17</v>
      </c>
      <c r="F531" s="2132" t="s">
        <v>248</v>
      </c>
      <c r="G531" s="21" t="s">
        <v>249</v>
      </c>
      <c r="H531" s="21"/>
      <c r="I531" s="21"/>
      <c r="J531" s="21"/>
      <c r="K531" s="2048"/>
      <c r="L531" s="779"/>
      <c r="M531" s="22">
        <v>0.485080744970884</v>
      </c>
      <c r="N531" s="22">
        <v>2.19667900087389</v>
      </c>
      <c r="O531" s="37">
        <v>0.2</v>
      </c>
      <c r="P531" s="37">
        <f t="shared" si="67"/>
        <v>2.88175974584477</v>
      </c>
      <c r="Q531" s="219"/>
      <c r="R531" s="39" t="s">
        <v>2851</v>
      </c>
      <c r="S531" s="1931"/>
      <c r="T531" s="120"/>
      <c r="W531" s="1940"/>
      <c r="AB531" s="1940"/>
    </row>
    <row r="532" s="839" customFormat="1" ht="16" customHeight="1" spans="1:28">
      <c r="A532" s="839">
        <v>403</v>
      </c>
      <c r="B532" s="23" t="s">
        <v>236</v>
      </c>
      <c r="C532" s="23"/>
      <c r="D532" s="21">
        <v>20241018</v>
      </c>
      <c r="E532" s="21">
        <v>7.17</v>
      </c>
      <c r="F532" s="2132" t="s">
        <v>250</v>
      </c>
      <c r="G532" s="21" t="s">
        <v>251</v>
      </c>
      <c r="H532" s="21"/>
      <c r="I532" s="21"/>
      <c r="J532" s="21"/>
      <c r="K532" s="2048"/>
      <c r="L532" s="779"/>
      <c r="M532" s="22">
        <v>0.414500213295227</v>
      </c>
      <c r="N532" s="22">
        <v>3.13796813134632</v>
      </c>
      <c r="O532" s="37">
        <v>0.4</v>
      </c>
      <c r="P532" s="37">
        <f t="shared" si="67"/>
        <v>3.95246834464155</v>
      </c>
      <c r="Q532" s="219"/>
      <c r="R532" s="39" t="s">
        <v>2853</v>
      </c>
      <c r="S532" s="1931"/>
      <c r="T532" s="120"/>
      <c r="W532" s="1940"/>
      <c r="AB532" s="1940"/>
    </row>
    <row r="533" s="839" customFormat="1" ht="16" customHeight="1" spans="1:28">
      <c r="A533" s="839">
        <v>404</v>
      </c>
      <c r="B533" s="23" t="s">
        <v>236</v>
      </c>
      <c r="C533" s="23"/>
      <c r="D533" s="21">
        <v>20241018</v>
      </c>
      <c r="E533" s="21">
        <v>7.17</v>
      </c>
      <c r="F533" s="2132" t="s">
        <v>253</v>
      </c>
      <c r="G533" s="876" t="s">
        <v>254</v>
      </c>
      <c r="H533" s="876"/>
      <c r="I533" s="876"/>
      <c r="J533" s="840"/>
      <c r="K533" s="2048"/>
      <c r="L533" s="39"/>
      <c r="M533" s="22">
        <v>0.485080744970884</v>
      </c>
      <c r="N533" s="22">
        <v>2.15081362845446</v>
      </c>
      <c r="O533" s="37">
        <v>0.2</v>
      </c>
      <c r="P533" s="37">
        <f t="shared" si="67"/>
        <v>2.83589437342534</v>
      </c>
      <c r="Q533" s="219"/>
      <c r="R533" s="39" t="s">
        <v>2851</v>
      </c>
      <c r="S533" s="1931"/>
      <c r="T533" s="120"/>
      <c r="W533" s="1940"/>
      <c r="AB533" s="1940"/>
    </row>
    <row r="534" s="839" customFormat="1" ht="16" customHeight="1" spans="1:28">
      <c r="A534" s="839">
        <v>405</v>
      </c>
      <c r="B534" s="23" t="s">
        <v>236</v>
      </c>
      <c r="C534" s="23"/>
      <c r="D534" s="21">
        <v>20241203</v>
      </c>
      <c r="E534" s="21">
        <v>7.17</v>
      </c>
      <c r="F534" s="2132" t="s">
        <v>255</v>
      </c>
      <c r="G534" s="876" t="s">
        <v>256</v>
      </c>
      <c r="H534" s="876"/>
      <c r="I534" s="876"/>
      <c r="J534" s="840"/>
      <c r="K534" s="2048"/>
      <c r="L534" s="39"/>
      <c r="M534" s="22">
        <v>0.466446813212253</v>
      </c>
      <c r="N534" s="22">
        <v>2.61929797497401</v>
      </c>
      <c r="O534" s="37">
        <v>0.2</v>
      </c>
      <c r="P534" s="37">
        <f t="shared" si="67"/>
        <v>3.28574478818626</v>
      </c>
      <c r="Q534" s="219"/>
      <c r="R534" s="39" t="s">
        <v>257</v>
      </c>
      <c r="S534" s="1931"/>
      <c r="T534" s="120"/>
      <c r="W534" s="1940"/>
      <c r="AB534" s="1940"/>
    </row>
    <row r="535" s="839" customFormat="1" ht="16" customHeight="1" spans="1:28">
      <c r="A535" s="839">
        <v>406</v>
      </c>
      <c r="B535" s="23" t="s">
        <v>236</v>
      </c>
      <c r="C535" s="23"/>
      <c r="D535" s="21">
        <v>20250220</v>
      </c>
      <c r="E535" s="21">
        <v>7.17</v>
      </c>
      <c r="F535" s="2132" t="s">
        <v>258</v>
      </c>
      <c r="G535" s="876" t="s">
        <v>259</v>
      </c>
      <c r="H535" s="876"/>
      <c r="I535" s="876"/>
      <c r="J535" s="840"/>
      <c r="K535" s="2048"/>
      <c r="L535" s="39"/>
      <c r="M535" s="22">
        <v>0.501535513121443</v>
      </c>
      <c r="N535" s="22">
        <v>2.83646746205876</v>
      </c>
      <c r="O535" s="37">
        <v>0.4</v>
      </c>
      <c r="P535" s="37">
        <f t="shared" si="67"/>
        <v>3.7380029751802</v>
      </c>
      <c r="Q535" s="219"/>
      <c r="R535" s="39" t="s">
        <v>260</v>
      </c>
      <c r="S535" s="1931"/>
      <c r="T535" s="120"/>
      <c r="W535" s="1940"/>
      <c r="AB535" s="1940"/>
    </row>
    <row r="536" s="839" customFormat="1" ht="16" customHeight="1" spans="1:28">
      <c r="A536" s="839">
        <v>407</v>
      </c>
      <c r="B536" s="23" t="s">
        <v>236</v>
      </c>
      <c r="C536" s="23"/>
      <c r="D536" s="21">
        <v>20250312</v>
      </c>
      <c r="E536" s="21">
        <v>7.17</v>
      </c>
      <c r="F536" s="2132" t="s">
        <v>261</v>
      </c>
      <c r="G536" s="876" t="s">
        <v>262</v>
      </c>
      <c r="H536" s="876"/>
      <c r="I536" s="876"/>
      <c r="J536" s="840"/>
      <c r="K536" s="2048"/>
      <c r="L536" s="39"/>
      <c r="M536" s="22">
        <v>0.470248454104491</v>
      </c>
      <c r="N536" s="22">
        <v>2.72487482817541</v>
      </c>
      <c r="O536" s="37">
        <v>0.4</v>
      </c>
      <c r="P536" s="37">
        <f t="shared" si="67"/>
        <v>3.5951232822799</v>
      </c>
      <c r="Q536" s="219"/>
      <c r="R536" s="39" t="s">
        <v>260</v>
      </c>
      <c r="S536" s="1931"/>
      <c r="T536" s="120"/>
      <c r="W536" s="1940"/>
      <c r="AB536" s="1940"/>
    </row>
    <row r="537" s="839" customFormat="1" ht="16" customHeight="1" spans="1:28">
      <c r="A537" s="839">
        <v>408</v>
      </c>
      <c r="B537" s="23" t="s">
        <v>236</v>
      </c>
      <c r="C537" s="23"/>
      <c r="D537" s="21">
        <v>20250312</v>
      </c>
      <c r="E537" s="21">
        <v>7.17</v>
      </c>
      <c r="F537" s="2132" t="s">
        <v>263</v>
      </c>
      <c r="G537" s="876" t="s">
        <v>264</v>
      </c>
      <c r="H537" s="876"/>
      <c r="I537" s="876"/>
      <c r="J537" s="840"/>
      <c r="K537" s="2048"/>
      <c r="L537" s="39"/>
      <c r="M537" s="22">
        <v>0.509522376437659</v>
      </c>
      <c r="N537" s="22">
        <v>2.00461343207113</v>
      </c>
      <c r="O537" s="37">
        <v>0.4</v>
      </c>
      <c r="P537" s="37">
        <f t="shared" si="67"/>
        <v>2.91413580850879</v>
      </c>
      <c r="Q537" s="219"/>
      <c r="R537" s="39" t="s">
        <v>63</v>
      </c>
      <c r="S537" s="1931"/>
      <c r="T537" s="120"/>
      <c r="W537" s="1940"/>
      <c r="AB537" s="1940"/>
    </row>
    <row r="538" s="839" customFormat="1" ht="16" customHeight="1" spans="1:28">
      <c r="A538" s="839">
        <v>409</v>
      </c>
      <c r="B538" s="23" t="s">
        <v>236</v>
      </c>
      <c r="C538" s="23"/>
      <c r="D538" s="21">
        <v>20250312</v>
      </c>
      <c r="E538" s="21">
        <v>7.17</v>
      </c>
      <c r="F538" s="2132" t="s">
        <v>265</v>
      </c>
      <c r="G538" s="876" t="s">
        <v>266</v>
      </c>
      <c r="H538" s="876"/>
      <c r="I538" s="876"/>
      <c r="J538" s="840"/>
      <c r="K538" s="2048"/>
      <c r="L538" s="39"/>
      <c r="M538" s="22">
        <v>0.465216082834384</v>
      </c>
      <c r="N538" s="22">
        <v>2.13364464136622</v>
      </c>
      <c r="O538" s="37">
        <v>0.4</v>
      </c>
      <c r="P538" s="37">
        <f t="shared" si="67"/>
        <v>2.9988607242006</v>
      </c>
      <c r="Q538" s="219"/>
      <c r="R538" s="39" t="s">
        <v>63</v>
      </c>
      <c r="S538" s="1931"/>
      <c r="T538" s="120"/>
      <c r="W538" s="1940"/>
      <c r="AB538" s="1940"/>
    </row>
    <row r="539" s="839" customFormat="1" ht="16" customHeight="1" spans="1:28">
      <c r="A539" s="839">
        <v>410</v>
      </c>
      <c r="B539" s="23" t="s">
        <v>236</v>
      </c>
      <c r="C539" s="23"/>
      <c r="D539" s="21">
        <v>20250410</v>
      </c>
      <c r="E539" s="21">
        <v>7.17</v>
      </c>
      <c r="F539" s="2132" t="s">
        <v>267</v>
      </c>
      <c r="G539" s="876" t="s">
        <v>268</v>
      </c>
      <c r="H539" s="876"/>
      <c r="I539" s="876"/>
      <c r="J539" s="840"/>
      <c r="K539" s="2048"/>
      <c r="L539" s="39"/>
      <c r="M539" s="22">
        <v>0.345023788482259</v>
      </c>
      <c r="N539" s="22">
        <v>1.35944840719189</v>
      </c>
      <c r="O539" s="37">
        <v>0.2</v>
      </c>
      <c r="P539" s="37">
        <f t="shared" si="67"/>
        <v>1.90447219567415</v>
      </c>
      <c r="Q539" s="219"/>
      <c r="R539" s="39" t="s">
        <v>197</v>
      </c>
      <c r="S539" s="1931"/>
      <c r="T539" s="120"/>
      <c r="W539" s="1940"/>
      <c r="AB539" s="1940"/>
    </row>
    <row r="540" s="839" customFormat="1" ht="16" customHeight="1" spans="1:28">
      <c r="A540" s="839">
        <v>411</v>
      </c>
      <c r="B540" s="23" t="s">
        <v>236</v>
      </c>
      <c r="C540" s="23"/>
      <c r="D540" s="21">
        <v>20250220</v>
      </c>
      <c r="E540" s="21">
        <v>7.17</v>
      </c>
      <c r="F540" s="2132" t="s">
        <v>269</v>
      </c>
      <c r="G540" s="876" t="s">
        <v>270</v>
      </c>
      <c r="H540" s="876"/>
      <c r="I540" s="876"/>
      <c r="J540" s="840"/>
      <c r="K540" s="2048"/>
      <c r="L540" s="39"/>
      <c r="M540" s="22">
        <v>0.468289085545723</v>
      </c>
      <c r="N540" s="22">
        <v>2.58515404979351</v>
      </c>
      <c r="O540" s="37">
        <v>0.4</v>
      </c>
      <c r="P540" s="37">
        <f t="shared" si="67"/>
        <v>3.45344313533923</v>
      </c>
      <c r="Q540" s="219"/>
      <c r="R540" s="39" t="s">
        <v>271</v>
      </c>
      <c r="S540" s="1931"/>
      <c r="T540" s="120"/>
      <c r="W540" s="1940"/>
      <c r="AB540" s="1940"/>
    </row>
    <row r="541" s="839" customFormat="1" ht="16" customHeight="1" spans="1:28">
      <c r="A541" s="839">
        <v>412</v>
      </c>
      <c r="B541" s="23" t="s">
        <v>236</v>
      </c>
      <c r="C541" s="23"/>
      <c r="D541" s="21">
        <v>20250603</v>
      </c>
      <c r="E541" s="21"/>
      <c r="F541" s="2132" t="s">
        <v>273</v>
      </c>
      <c r="G541" s="876" t="s">
        <v>274</v>
      </c>
      <c r="H541" s="876"/>
      <c r="I541" s="876"/>
      <c r="J541" s="840"/>
      <c r="K541" s="2048"/>
      <c r="L541" s="39"/>
      <c r="M541" s="22">
        <v>0.451081612586037</v>
      </c>
      <c r="N541" s="22">
        <v>3.25166178949852</v>
      </c>
      <c r="O541" s="37">
        <v>0.4</v>
      </c>
      <c r="P541" s="37">
        <f t="shared" si="67"/>
        <v>4.10274340208456</v>
      </c>
      <c r="Q541" s="219"/>
      <c r="R541" s="39" t="s">
        <v>275</v>
      </c>
      <c r="S541" s="1931"/>
      <c r="T541" s="120"/>
      <c r="W541" s="1940"/>
      <c r="AB541" s="1940"/>
    </row>
    <row r="542" s="839" customFormat="1" ht="16" customHeight="1" spans="1:28">
      <c r="A542" s="839">
        <v>413</v>
      </c>
      <c r="B542" s="23" t="s">
        <v>236</v>
      </c>
      <c r="C542" s="23"/>
      <c r="D542" s="21">
        <v>20250603</v>
      </c>
      <c r="E542" s="21"/>
      <c r="F542" s="2132" t="s">
        <v>276</v>
      </c>
      <c r="G542" s="876" t="s">
        <v>277</v>
      </c>
      <c r="H542" s="876"/>
      <c r="I542" s="876"/>
      <c r="J542" s="840"/>
      <c r="K542" s="2048"/>
      <c r="L542" s="39"/>
      <c r="M542" s="22">
        <v>0.529744346116028</v>
      </c>
      <c r="N542" s="22">
        <v>1.88666371732547</v>
      </c>
      <c r="O542" s="37">
        <v>0.2</v>
      </c>
      <c r="P542" s="37">
        <f t="shared" si="67"/>
        <v>2.6164080634415</v>
      </c>
      <c r="Q542" s="219"/>
      <c r="R542" s="39" t="s">
        <v>278</v>
      </c>
      <c r="S542" s="1931"/>
      <c r="T542" s="120"/>
      <c r="W542" s="1940"/>
      <c r="AB542" s="1940"/>
    </row>
    <row r="543" s="839" customFormat="1" ht="16" customHeight="1" spans="1:28">
      <c r="A543" s="839">
        <v>414</v>
      </c>
      <c r="B543" s="23" t="s">
        <v>236</v>
      </c>
      <c r="C543" s="23"/>
      <c r="D543" s="21">
        <v>20250603</v>
      </c>
      <c r="E543" s="21"/>
      <c r="F543" s="2132" t="s">
        <v>279</v>
      </c>
      <c r="G543" s="876" t="s">
        <v>280</v>
      </c>
      <c r="H543" s="876"/>
      <c r="I543" s="876"/>
      <c r="J543" s="840"/>
      <c r="K543" s="2048"/>
      <c r="L543" s="39"/>
      <c r="M543" s="22">
        <v>0.735004916420846</v>
      </c>
      <c r="N543" s="22">
        <v>2.74784116334317</v>
      </c>
      <c r="O543" s="37">
        <v>0.4</v>
      </c>
      <c r="P543" s="37">
        <f t="shared" si="67"/>
        <v>3.88284607976402</v>
      </c>
      <c r="Q543" s="219"/>
      <c r="R543" s="39" t="s">
        <v>281</v>
      </c>
      <c r="S543" s="1931"/>
      <c r="T543" s="120"/>
      <c r="W543" s="1940"/>
      <c r="AB543" s="1940"/>
    </row>
    <row r="544" s="839" customFormat="1" ht="16" customHeight="1" spans="1:28">
      <c r="A544" s="839">
        <v>415</v>
      </c>
      <c r="B544" s="23" t="s">
        <v>236</v>
      </c>
      <c r="C544" s="23"/>
      <c r="D544" s="21">
        <v>20250604</v>
      </c>
      <c r="E544" s="21"/>
      <c r="F544" s="2132" t="s">
        <v>282</v>
      </c>
      <c r="G544" s="876" t="s">
        <v>283</v>
      </c>
      <c r="H544" s="876"/>
      <c r="I544" s="876"/>
      <c r="J544" s="840"/>
      <c r="K544" s="2048"/>
      <c r="L544" s="39"/>
      <c r="M544" s="22">
        <v>0.63913470993117</v>
      </c>
      <c r="N544" s="22">
        <v>2.7928311240118</v>
      </c>
      <c r="O544" s="37">
        <v>0.4</v>
      </c>
      <c r="P544" s="37">
        <f t="shared" si="67"/>
        <v>3.83196583394297</v>
      </c>
      <c r="Q544" s="219"/>
      <c r="R544" s="39" t="s">
        <v>281</v>
      </c>
      <c r="S544" s="1931"/>
      <c r="T544" s="120"/>
      <c r="W544" s="1940"/>
      <c r="AB544" s="1940"/>
    </row>
    <row r="545" s="839" customFormat="1" ht="16" customHeight="1" spans="1:28">
      <c r="A545" s="839">
        <v>416</v>
      </c>
      <c r="B545" s="23" t="s">
        <v>236</v>
      </c>
      <c r="C545" s="23"/>
      <c r="D545" s="21">
        <v>20250725</v>
      </c>
      <c r="E545" s="21">
        <v>7.17</v>
      </c>
      <c r="F545" s="2132" t="s">
        <v>284</v>
      </c>
      <c r="G545" s="876" t="s">
        <v>285</v>
      </c>
      <c r="H545" s="876"/>
      <c r="I545" s="876"/>
      <c r="J545" s="840"/>
      <c r="K545" s="2048"/>
      <c r="L545" s="39"/>
      <c r="M545" s="22">
        <v>0.452968983349996</v>
      </c>
      <c r="N545" s="22">
        <v>3.3514234079061</v>
      </c>
      <c r="O545" s="37">
        <v>0.4</v>
      </c>
      <c r="P545" s="37">
        <f t="shared" si="67"/>
        <v>4.2043923912561</v>
      </c>
      <c r="Q545" s="219"/>
      <c r="R545" s="39" t="s">
        <v>286</v>
      </c>
      <c r="S545" s="1931"/>
      <c r="T545" s="120"/>
      <c r="W545" s="1940"/>
      <c r="AB545" s="1940"/>
    </row>
    <row r="546" s="839" customFormat="1" ht="16" customHeight="1" spans="1:28">
      <c r="A546" s="839">
        <v>417</v>
      </c>
      <c r="B546" s="23" t="s">
        <v>236</v>
      </c>
      <c r="C546" s="23"/>
      <c r="D546" s="21">
        <v>20250725</v>
      </c>
      <c r="E546" s="21">
        <v>7.17</v>
      </c>
      <c r="F546" s="2132" t="s">
        <v>287</v>
      </c>
      <c r="G546" s="876" t="s">
        <v>288</v>
      </c>
      <c r="H546" s="876"/>
      <c r="I546" s="876"/>
      <c r="J546" s="840"/>
      <c r="K546" s="2048"/>
      <c r="L546" s="39"/>
      <c r="M546" s="22">
        <v>0.452968983349996</v>
      </c>
      <c r="N546" s="22">
        <v>3.3514234079061</v>
      </c>
      <c r="O546" s="37">
        <v>0.4</v>
      </c>
      <c r="P546" s="37">
        <f t="shared" si="67"/>
        <v>4.2043923912561</v>
      </c>
      <c r="Q546" s="219"/>
      <c r="R546" s="39" t="s">
        <v>286</v>
      </c>
      <c r="S546" s="1931"/>
      <c r="T546" s="120"/>
      <c r="W546" s="1940"/>
      <c r="AB546" s="1940"/>
    </row>
    <row r="547" s="839" customFormat="1" ht="16" customHeight="1" spans="1:28">
      <c r="A547" s="839">
        <v>418</v>
      </c>
      <c r="B547" s="23" t="s">
        <v>236</v>
      </c>
      <c r="C547" s="23"/>
      <c r="D547" s="21">
        <v>20250327</v>
      </c>
      <c r="E547" s="21">
        <v>7.17</v>
      </c>
      <c r="F547" s="2132" t="s">
        <v>289</v>
      </c>
      <c r="G547" s="876" t="s">
        <v>290</v>
      </c>
      <c r="H547" s="876"/>
      <c r="I547" s="876"/>
      <c r="J547" s="840"/>
      <c r="K547" s="2048"/>
      <c r="L547" s="39"/>
      <c r="M547" s="22">
        <v>0.440601475277009</v>
      </c>
      <c r="N547" s="22">
        <v>2.61691239336958</v>
      </c>
      <c r="O547" s="37">
        <v>0.4</v>
      </c>
      <c r="P547" s="37">
        <f t="shared" si="67"/>
        <v>3.45751386864659</v>
      </c>
      <c r="Q547" s="219"/>
      <c r="R547" s="39" t="s">
        <v>271</v>
      </c>
      <c r="S547" s="1931"/>
      <c r="T547" s="120"/>
      <c r="W547" s="1940"/>
      <c r="AB547" s="1940"/>
    </row>
    <row r="548" s="839" customFormat="1" ht="16" customHeight="1" spans="1:28">
      <c r="A548" s="839">
        <v>419</v>
      </c>
      <c r="B548" s="23" t="s">
        <v>236</v>
      </c>
      <c r="C548" s="23"/>
      <c r="D548" s="21">
        <v>20241203</v>
      </c>
      <c r="E548" s="21">
        <v>7.17</v>
      </c>
      <c r="F548" s="2132" t="s">
        <v>291</v>
      </c>
      <c r="G548" s="21" t="s">
        <v>292</v>
      </c>
      <c r="H548" s="21"/>
      <c r="I548" s="21"/>
      <c r="J548" s="21"/>
      <c r="K548" s="2048"/>
      <c r="L548" s="779"/>
      <c r="M548" s="22">
        <v>0.466446813212253</v>
      </c>
      <c r="N548" s="22">
        <v>2.02023259160944</v>
      </c>
      <c r="O548" s="37">
        <v>0.2</v>
      </c>
      <c r="P548" s="37">
        <f t="shared" si="67"/>
        <v>2.68667940482169</v>
      </c>
      <c r="Q548" s="219"/>
      <c r="R548" s="39" t="s">
        <v>257</v>
      </c>
      <c r="S548" s="1931"/>
      <c r="T548" s="120"/>
      <c r="W548" s="1940"/>
      <c r="AB548" s="1940"/>
    </row>
    <row r="549" s="839" customFormat="1" ht="16" customHeight="1" spans="1:28">
      <c r="A549" s="839">
        <v>420</v>
      </c>
      <c r="B549" s="23" t="s">
        <v>293</v>
      </c>
      <c r="C549" s="23"/>
      <c r="D549" s="21">
        <v>20250703</v>
      </c>
      <c r="E549" s="21">
        <v>7.17</v>
      </c>
      <c r="F549" s="2132" t="s">
        <v>294</v>
      </c>
      <c r="G549" s="21" t="s">
        <v>295</v>
      </c>
      <c r="H549" s="21"/>
      <c r="I549" s="21"/>
      <c r="J549" s="21"/>
      <c r="K549" s="2048"/>
      <c r="L549" s="779"/>
      <c r="M549" s="22">
        <v>0.466915984744696</v>
      </c>
      <c r="N549" s="22">
        <v>2.63615054344874</v>
      </c>
      <c r="O549" s="37">
        <v>0.4</v>
      </c>
      <c r="P549" s="37">
        <f t="shared" si="67"/>
        <v>3.50306652819344</v>
      </c>
      <c r="Q549" s="219"/>
      <c r="R549" s="39" t="s">
        <v>271</v>
      </c>
      <c r="S549" s="1931"/>
      <c r="T549" s="120"/>
      <c r="W549" s="1940"/>
      <c r="AB549" s="1940"/>
    </row>
    <row r="550" s="839" customFormat="1" ht="16" customHeight="1" spans="1:28">
      <c r="A550" s="839">
        <v>421</v>
      </c>
      <c r="B550" s="23"/>
      <c r="C550" s="23"/>
      <c r="D550" s="21">
        <v>20250703</v>
      </c>
      <c r="E550" s="21">
        <v>7.17</v>
      </c>
      <c r="F550" s="2132" t="s">
        <v>296</v>
      </c>
      <c r="G550" s="21" t="s">
        <v>297</v>
      </c>
      <c r="H550" s="21"/>
      <c r="I550" s="21"/>
      <c r="J550" s="21"/>
      <c r="K550" s="2048"/>
      <c r="L550" s="779"/>
      <c r="M550" s="22">
        <v>0.466915984744696</v>
      </c>
      <c r="N550" s="22">
        <v>2.63615054344874</v>
      </c>
      <c r="O550" s="37">
        <v>0.4</v>
      </c>
      <c r="P550" s="37">
        <f t="shared" si="67"/>
        <v>3.50306652819344</v>
      </c>
      <c r="Q550" s="219"/>
      <c r="R550" s="39" t="s">
        <v>271</v>
      </c>
      <c r="S550" s="1931"/>
      <c r="T550" s="120"/>
      <c r="W550" s="1940"/>
      <c r="AB550" s="1940"/>
    </row>
    <row r="551" s="839" customFormat="1" ht="16" customHeight="1" spans="1:28">
      <c r="A551" s="839">
        <v>422</v>
      </c>
      <c r="B551" s="23" t="s">
        <v>298</v>
      </c>
      <c r="C551" s="23"/>
      <c r="D551" s="21">
        <v>20250506</v>
      </c>
      <c r="E551" s="21"/>
      <c r="F551" s="2132" t="s">
        <v>299</v>
      </c>
      <c r="G551" s="21" t="s">
        <v>300</v>
      </c>
      <c r="H551" s="21"/>
      <c r="I551" s="21"/>
      <c r="J551" s="21"/>
      <c r="K551" s="2048"/>
      <c r="L551" s="779"/>
      <c r="M551" s="22">
        <v>0.336136508091723</v>
      </c>
      <c r="N551" s="22">
        <v>2.76529565619127</v>
      </c>
      <c r="O551" s="37">
        <v>0.4</v>
      </c>
      <c r="P551" s="37">
        <f t="shared" si="67"/>
        <v>3.50143216428299</v>
      </c>
      <c r="Q551" s="219"/>
      <c r="R551" s="39" t="s">
        <v>260</v>
      </c>
      <c r="S551" s="1931"/>
      <c r="T551" s="120"/>
      <c r="W551" s="1940"/>
      <c r="AB551" s="1940"/>
    </row>
    <row r="552" s="839" customFormat="1" ht="16" customHeight="1" spans="1:28">
      <c r="A552" s="839">
        <v>423</v>
      </c>
      <c r="B552" s="23" t="s">
        <v>298</v>
      </c>
      <c r="C552" s="23"/>
      <c r="D552" s="21">
        <v>20250514</v>
      </c>
      <c r="E552" s="21"/>
      <c r="F552" s="2132" t="s">
        <v>301</v>
      </c>
      <c r="G552" s="21" t="s">
        <v>302</v>
      </c>
      <c r="H552" s="21"/>
      <c r="I552" s="21"/>
      <c r="J552" s="21"/>
      <c r="K552" s="2048"/>
      <c r="L552" s="779"/>
      <c r="M552" s="22">
        <v>0.336136508091723</v>
      </c>
      <c r="N552" s="22">
        <v>2.76381073955312</v>
      </c>
      <c r="O552" s="37">
        <v>0.4</v>
      </c>
      <c r="P552" s="37">
        <f t="shared" si="67"/>
        <v>3.49994724764484</v>
      </c>
      <c r="Q552" s="219"/>
      <c r="R552" s="39" t="s">
        <v>260</v>
      </c>
      <c r="S552" s="1931"/>
      <c r="T552" s="120"/>
      <c r="W552" s="1940"/>
      <c r="AB552" s="1940"/>
    </row>
    <row r="553" s="839" customFormat="1" ht="16" customHeight="1" spans="1:28">
      <c r="A553" s="839">
        <v>424</v>
      </c>
      <c r="B553" s="23" t="s">
        <v>298</v>
      </c>
      <c r="C553" s="23"/>
      <c r="D553" s="21">
        <v>20250514</v>
      </c>
      <c r="E553" s="21">
        <v>7.17</v>
      </c>
      <c r="F553" s="2132" t="s">
        <v>303</v>
      </c>
      <c r="G553" s="21" t="s">
        <v>304</v>
      </c>
      <c r="H553" s="21"/>
      <c r="I553" s="21"/>
      <c r="J553" s="21"/>
      <c r="K553" s="2048"/>
      <c r="L553" s="779"/>
      <c r="M553" s="22">
        <v>0.322691047768054</v>
      </c>
      <c r="N553" s="22">
        <v>1.9068551407013</v>
      </c>
      <c r="O553" s="37">
        <v>0.2</v>
      </c>
      <c r="P553" s="37">
        <f t="shared" si="67"/>
        <v>2.42954618846935</v>
      </c>
      <c r="Q553" s="219"/>
      <c r="R553" s="39" t="s">
        <v>305</v>
      </c>
      <c r="S553" s="1931"/>
      <c r="T553" s="120"/>
      <c r="W553" s="1940"/>
      <c r="AB553" s="1940"/>
    </row>
    <row r="554" s="839" customFormat="1" ht="16" customHeight="1" spans="1:28">
      <c r="A554" s="839">
        <v>425</v>
      </c>
      <c r="B554" s="23" t="s">
        <v>298</v>
      </c>
      <c r="C554" s="23"/>
      <c r="D554" s="21">
        <v>20250506</v>
      </c>
      <c r="E554" s="21"/>
      <c r="F554" s="2132" t="s">
        <v>306</v>
      </c>
      <c r="G554" s="21" t="s">
        <v>307</v>
      </c>
      <c r="H554" s="21"/>
      <c r="I554" s="21"/>
      <c r="J554" s="21"/>
      <c r="K554" s="2048"/>
      <c r="L554" s="779"/>
      <c r="M554" s="22">
        <v>0.322691047768054</v>
      </c>
      <c r="N554" s="22">
        <v>1.9068551407013</v>
      </c>
      <c r="O554" s="37">
        <v>0.2</v>
      </c>
      <c r="P554" s="37">
        <f t="shared" si="67"/>
        <v>2.42954618846935</v>
      </c>
      <c r="Q554" s="219"/>
      <c r="R554" s="39" t="s">
        <v>308</v>
      </c>
      <c r="S554" s="1931"/>
      <c r="T554" s="120"/>
      <c r="W554" s="1940"/>
      <c r="AB554" s="1940"/>
    </row>
    <row r="555" s="42" customFormat="1" ht="16" customHeight="1" spans="1:28">
      <c r="A555" s="839">
        <v>426</v>
      </c>
      <c r="B555" s="23" t="s">
        <v>313</v>
      </c>
      <c r="C555" s="23"/>
      <c r="D555" s="21"/>
      <c r="E555" s="21"/>
      <c r="F555" s="2130" t="s">
        <v>1979</v>
      </c>
      <c r="G555" s="21" t="s">
        <v>1617</v>
      </c>
      <c r="H555" s="21"/>
      <c r="I555" s="21" t="s">
        <v>2358</v>
      </c>
      <c r="J555" s="21" t="s">
        <v>1428</v>
      </c>
      <c r="K555" s="2048">
        <v>145</v>
      </c>
      <c r="L555" s="21" t="s">
        <v>1428</v>
      </c>
      <c r="M555" s="37">
        <v>5.62617931034483</v>
      </c>
      <c r="N555" s="37">
        <v>27.54</v>
      </c>
      <c r="O555" s="774">
        <v>5</v>
      </c>
      <c r="P555" s="37">
        <f t="shared" si="67"/>
        <v>183.166179310345</v>
      </c>
      <c r="Q555" s="219" t="s">
        <v>2854</v>
      </c>
      <c r="R555" s="23" t="s">
        <v>2855</v>
      </c>
      <c r="S555" s="804"/>
      <c r="T555" s="120" t="s">
        <v>1406</v>
      </c>
      <c r="W555" s="2163"/>
      <c r="Z555" s="839"/>
      <c r="AA555" s="839"/>
      <c r="AB555" s="1940"/>
    </row>
    <row r="556" s="42" customFormat="1" ht="16" customHeight="1" spans="1:28">
      <c r="A556" s="839">
        <v>427</v>
      </c>
      <c r="B556" s="23"/>
      <c r="C556" s="23"/>
      <c r="D556" s="21"/>
      <c r="E556" s="21"/>
      <c r="F556" s="2130" t="s">
        <v>1979</v>
      </c>
      <c r="G556" s="21" t="s">
        <v>1669</v>
      </c>
      <c r="H556" s="21"/>
      <c r="I556" s="21" t="s">
        <v>2315</v>
      </c>
      <c r="J556" s="21" t="s">
        <v>1428</v>
      </c>
      <c r="K556" s="2048">
        <v>105</v>
      </c>
      <c r="L556" s="21" t="s">
        <v>1428</v>
      </c>
      <c r="M556" s="37">
        <v>5.62617931034483</v>
      </c>
      <c r="N556" s="37">
        <v>26.88</v>
      </c>
      <c r="O556" s="774">
        <v>5</v>
      </c>
      <c r="P556" s="37">
        <f t="shared" si="67"/>
        <v>142.506179310345</v>
      </c>
      <c r="Q556" s="219" t="s">
        <v>2854</v>
      </c>
      <c r="R556" s="23" t="s">
        <v>2856</v>
      </c>
      <c r="S556" s="804"/>
      <c r="T556" s="120" t="s">
        <v>1406</v>
      </c>
      <c r="W556" s="2163"/>
      <c r="Z556" s="839"/>
      <c r="AA556" s="839"/>
      <c r="AB556" s="1940"/>
    </row>
    <row r="557" s="42" customFormat="1" ht="16" customHeight="1" spans="1:28">
      <c r="A557" s="839">
        <v>428</v>
      </c>
      <c r="B557" s="23"/>
      <c r="C557" s="23"/>
      <c r="D557" s="21">
        <v>20241114</v>
      </c>
      <c r="E557" s="21">
        <v>7.17</v>
      </c>
      <c r="F557" s="2132" t="s">
        <v>2377</v>
      </c>
      <c r="G557" s="21" t="s">
        <v>2857</v>
      </c>
      <c r="H557" s="21"/>
      <c r="I557" s="21"/>
      <c r="J557" s="21"/>
      <c r="K557" s="2048"/>
      <c r="L557" s="21"/>
      <c r="M557" s="37">
        <v>0.0701516315385182</v>
      </c>
      <c r="N557" s="37">
        <v>0.000281576294550314</v>
      </c>
      <c r="O557" s="774">
        <v>0.3</v>
      </c>
      <c r="P557" s="37">
        <f t="shared" si="67"/>
        <v>0.370433207833068</v>
      </c>
      <c r="Q557" s="219"/>
      <c r="R557" s="23"/>
      <c r="S557" s="804"/>
      <c r="T557" s="120"/>
      <c r="W557" s="2163"/>
      <c r="Z557" s="839"/>
      <c r="AA557" s="839"/>
      <c r="AB557" s="1940"/>
    </row>
    <row r="558" s="42" customFormat="1" ht="16" customHeight="1" spans="1:28">
      <c r="A558" s="839">
        <v>429</v>
      </c>
      <c r="B558" s="23"/>
      <c r="C558" s="23"/>
      <c r="D558" s="21"/>
      <c r="E558" s="21"/>
      <c r="F558" s="2130" t="s">
        <v>1979</v>
      </c>
      <c r="G558" s="21" t="s">
        <v>2314</v>
      </c>
      <c r="H558" s="21"/>
      <c r="I558" s="690" t="s">
        <v>2858</v>
      </c>
      <c r="J558" s="21" t="s">
        <v>1428</v>
      </c>
      <c r="K558" s="2048" t="s">
        <v>1428</v>
      </c>
      <c r="L558" s="21" t="s">
        <v>1428</v>
      </c>
      <c r="M558" s="37">
        <v>5.62617931034483</v>
      </c>
      <c r="N558" s="37">
        <v>26.08</v>
      </c>
      <c r="O558" s="774">
        <v>5</v>
      </c>
      <c r="P558" s="37">
        <f t="shared" si="67"/>
        <v>36.7061793103448</v>
      </c>
      <c r="Q558" s="219" t="s">
        <v>2854</v>
      </c>
      <c r="R558" s="23" t="s">
        <v>2856</v>
      </c>
      <c r="S558" s="804"/>
      <c r="T558" s="120" t="s">
        <v>1406</v>
      </c>
      <c r="W558" s="2163"/>
      <c r="Z558" s="839"/>
      <c r="AA558" s="839"/>
      <c r="AB558" s="1940"/>
    </row>
    <row r="559" s="42" customFormat="1" ht="16" customHeight="1" spans="1:28">
      <c r="A559" s="839">
        <v>430</v>
      </c>
      <c r="B559" s="23"/>
      <c r="C559" s="23"/>
      <c r="D559" s="21">
        <v>20241114</v>
      </c>
      <c r="E559" s="21">
        <v>7.17</v>
      </c>
      <c r="F559" s="2132" t="s">
        <v>310</v>
      </c>
      <c r="G559" s="21" t="s">
        <v>311</v>
      </c>
      <c r="H559" s="21"/>
      <c r="I559" s="690"/>
      <c r="J559" s="21"/>
      <c r="K559" s="2048"/>
      <c r="L559" s="21"/>
      <c r="M559" s="37">
        <v>0.56154744346116</v>
      </c>
      <c r="N559" s="37">
        <v>3.99776577266427</v>
      </c>
      <c r="O559" s="774">
        <v>0.4</v>
      </c>
      <c r="P559" s="37">
        <f t="shared" ref="P559:P584" si="68">SUM(K559:O559)</f>
        <v>4.95931321612543</v>
      </c>
      <c r="Q559" s="219"/>
      <c r="R559" s="23" t="s">
        <v>2859</v>
      </c>
      <c r="S559" s="804"/>
      <c r="T559" s="120" t="s">
        <v>1406</v>
      </c>
      <c r="W559" s="2163"/>
      <c r="Z559" s="839"/>
      <c r="AA559" s="839"/>
      <c r="AB559" s="1940"/>
    </row>
    <row r="560" s="42" customFormat="1" ht="16" customHeight="1" spans="1:28">
      <c r="A560" s="839">
        <v>431</v>
      </c>
      <c r="B560" s="23"/>
      <c r="C560" s="23"/>
      <c r="D560" s="21">
        <v>20241114</v>
      </c>
      <c r="E560" s="21">
        <v>7.17</v>
      </c>
      <c r="F560" s="2132" t="s">
        <v>314</v>
      </c>
      <c r="G560" s="21" t="s">
        <v>315</v>
      </c>
      <c r="H560" s="21"/>
      <c r="I560" s="690"/>
      <c r="J560" s="21"/>
      <c r="K560" s="2048"/>
      <c r="L560" s="21"/>
      <c r="M560" s="37">
        <v>0.557674702471773</v>
      </c>
      <c r="N560" s="37">
        <v>5.00655541227368</v>
      </c>
      <c r="O560" s="37">
        <v>0.2</v>
      </c>
      <c r="P560" s="37">
        <f t="shared" si="68"/>
        <v>5.76423011474545</v>
      </c>
      <c r="Q560" s="219"/>
      <c r="R560" s="23" t="s">
        <v>2860</v>
      </c>
      <c r="S560" s="804"/>
      <c r="T560" s="120" t="s">
        <v>1406</v>
      </c>
      <c r="W560" s="2163"/>
      <c r="Z560" s="839"/>
      <c r="AA560" s="839"/>
      <c r="AB560" s="1940"/>
    </row>
    <row r="561" s="42" customFormat="1" ht="16" customHeight="1" spans="1:28">
      <c r="A561" s="839">
        <v>432</v>
      </c>
      <c r="B561" s="23"/>
      <c r="C561" s="23"/>
      <c r="D561" s="21">
        <v>20241220</v>
      </c>
      <c r="E561" s="21">
        <v>7.17</v>
      </c>
      <c r="F561" s="2132" t="s">
        <v>317</v>
      </c>
      <c r="G561" s="21" t="s">
        <v>318</v>
      </c>
      <c r="H561" s="21"/>
      <c r="I561" s="21"/>
      <c r="J561" s="21"/>
      <c r="K561" s="2048"/>
      <c r="L561" s="21"/>
      <c r="M561" s="37">
        <v>0.546267957759928</v>
      </c>
      <c r="N561" s="37">
        <v>5.59364383561644</v>
      </c>
      <c r="O561" s="37">
        <v>0.4</v>
      </c>
      <c r="P561" s="37">
        <f t="shared" si="68"/>
        <v>6.53991179337637</v>
      </c>
      <c r="Q561" s="219"/>
      <c r="R561" s="23" t="s">
        <v>2861</v>
      </c>
      <c r="S561" s="804"/>
      <c r="T561" s="120" t="s">
        <v>1406</v>
      </c>
      <c r="W561" s="2163"/>
      <c r="Z561" s="839"/>
      <c r="AA561" s="839"/>
      <c r="AB561" s="1940"/>
    </row>
    <row r="562" s="42" customFormat="1" ht="16" customHeight="1" spans="1:28">
      <c r="A562" s="839">
        <v>433</v>
      </c>
      <c r="B562" s="23"/>
      <c r="C562" s="23"/>
      <c r="D562" s="21"/>
      <c r="E562" s="21"/>
      <c r="F562" s="2130" t="s">
        <v>1979</v>
      </c>
      <c r="G562" s="21" t="s">
        <v>65</v>
      </c>
      <c r="H562" s="21"/>
      <c r="I562" s="21"/>
      <c r="J562" s="21"/>
      <c r="K562" s="2048"/>
      <c r="L562" s="21"/>
      <c r="M562" s="37">
        <v>0.756206896551724</v>
      </c>
      <c r="N562" s="37">
        <v>4.09</v>
      </c>
      <c r="O562" s="37">
        <v>0.4</v>
      </c>
      <c r="P562" s="37">
        <f t="shared" si="68"/>
        <v>5.24620689655172</v>
      </c>
      <c r="Q562" s="219"/>
      <c r="R562" s="23" t="s">
        <v>2862</v>
      </c>
      <c r="S562" s="804"/>
      <c r="T562" s="120" t="s">
        <v>1406</v>
      </c>
      <c r="W562" s="2163"/>
      <c r="Z562" s="839"/>
      <c r="AA562" s="839"/>
      <c r="AB562" s="1940"/>
    </row>
    <row r="563" s="42" customFormat="1" ht="16" customHeight="1" spans="1:28">
      <c r="A563" s="839">
        <v>434</v>
      </c>
      <c r="B563" s="23"/>
      <c r="C563" s="23"/>
      <c r="D563" s="21"/>
      <c r="E563" s="21"/>
      <c r="F563" s="2130" t="s">
        <v>1979</v>
      </c>
      <c r="G563" s="21" t="s">
        <v>229</v>
      </c>
      <c r="H563" s="21"/>
      <c r="I563" s="21"/>
      <c r="J563" s="21"/>
      <c r="K563" s="2048"/>
      <c r="L563" s="21"/>
      <c r="M563" s="37">
        <v>0.756206896551724</v>
      </c>
      <c r="N563" s="37">
        <v>5.73</v>
      </c>
      <c r="O563" s="37">
        <v>0.4</v>
      </c>
      <c r="P563" s="37">
        <f t="shared" si="68"/>
        <v>6.88620689655172</v>
      </c>
      <c r="Q563" s="219"/>
      <c r="R563" s="23" t="s">
        <v>2863</v>
      </c>
      <c r="S563" s="804"/>
      <c r="T563" s="120" t="s">
        <v>1406</v>
      </c>
      <c r="W563" s="2163"/>
      <c r="Z563" s="839"/>
      <c r="AA563" s="839"/>
      <c r="AB563" s="1940"/>
    </row>
    <row r="564" s="42" customFormat="1" ht="16" customHeight="1" spans="1:28">
      <c r="A564" s="839">
        <v>435</v>
      </c>
      <c r="B564" s="23"/>
      <c r="C564" s="23"/>
      <c r="D564" s="21"/>
      <c r="E564" s="21"/>
      <c r="F564" s="2130" t="s">
        <v>1979</v>
      </c>
      <c r="G564" s="21" t="s">
        <v>321</v>
      </c>
      <c r="H564" s="21"/>
      <c r="I564" s="21"/>
      <c r="J564" s="21"/>
      <c r="K564" s="2048"/>
      <c r="L564" s="21"/>
      <c r="M564" s="37">
        <v>0.756206896551724</v>
      </c>
      <c r="N564" s="37">
        <v>8.37</v>
      </c>
      <c r="O564" s="37">
        <v>0.4</v>
      </c>
      <c r="P564" s="37">
        <f t="shared" si="68"/>
        <v>9.52620689655172</v>
      </c>
      <c r="Q564" s="219"/>
      <c r="R564" s="23" t="s">
        <v>2864</v>
      </c>
      <c r="S564" s="804"/>
      <c r="T564" s="120" t="s">
        <v>1406</v>
      </c>
      <c r="W564" s="2163"/>
      <c r="Z564" s="839"/>
      <c r="AA564" s="839"/>
      <c r="AB564" s="1940"/>
    </row>
    <row r="565" s="42" customFormat="1" ht="16" customHeight="1" spans="1:28">
      <c r="A565" s="839">
        <v>436</v>
      </c>
      <c r="B565" s="23"/>
      <c r="C565" s="23"/>
      <c r="D565" s="21"/>
      <c r="E565" s="21"/>
      <c r="F565" s="2130" t="s">
        <v>1979</v>
      </c>
      <c r="G565" s="21" t="s">
        <v>323</v>
      </c>
      <c r="H565" s="21"/>
      <c r="I565" s="21"/>
      <c r="J565" s="21"/>
      <c r="K565" s="2048"/>
      <c r="L565" s="21"/>
      <c r="M565" s="37">
        <v>0.816703448275862</v>
      </c>
      <c r="N565" s="37">
        <v>5.68</v>
      </c>
      <c r="O565" s="37">
        <v>0.4</v>
      </c>
      <c r="P565" s="37">
        <f t="shared" si="68"/>
        <v>6.89670344827586</v>
      </c>
      <c r="Q565" s="219"/>
      <c r="R565" s="23" t="s">
        <v>2861</v>
      </c>
      <c r="S565" s="804"/>
      <c r="T565" s="120" t="s">
        <v>1406</v>
      </c>
      <c r="W565" s="2163"/>
      <c r="Z565" s="839"/>
      <c r="AA565" s="839"/>
      <c r="AB565" s="1940"/>
    </row>
    <row r="566" s="42" customFormat="1" ht="16" customHeight="1" spans="1:28">
      <c r="A566" s="839">
        <v>437</v>
      </c>
      <c r="B566" s="23"/>
      <c r="C566" s="23"/>
      <c r="D566" s="21"/>
      <c r="E566" s="21"/>
      <c r="F566" s="2130" t="s">
        <v>1979</v>
      </c>
      <c r="G566" s="21" t="s">
        <v>324</v>
      </c>
      <c r="H566" s="21"/>
      <c r="I566" s="21"/>
      <c r="J566" s="21"/>
      <c r="K566" s="2048"/>
      <c r="L566" s="21"/>
      <c r="M566" s="37">
        <v>0.816703448275862</v>
      </c>
      <c r="N566" s="37">
        <v>4.25</v>
      </c>
      <c r="O566" s="37">
        <v>0.4</v>
      </c>
      <c r="P566" s="37">
        <f t="shared" si="68"/>
        <v>5.46670344827586</v>
      </c>
      <c r="Q566" s="219"/>
      <c r="R566" s="23" t="s">
        <v>2862</v>
      </c>
      <c r="S566" s="804"/>
      <c r="T566" s="120" t="s">
        <v>1406</v>
      </c>
      <c r="W566" s="2163"/>
      <c r="Z566" s="839"/>
      <c r="AA566" s="839"/>
      <c r="AB566" s="1940"/>
    </row>
    <row r="567" s="42" customFormat="1" ht="16" customHeight="1" spans="1:28">
      <c r="A567" s="839">
        <v>438</v>
      </c>
      <c r="B567" s="23"/>
      <c r="C567" s="23"/>
      <c r="D567" s="21"/>
      <c r="E567" s="21"/>
      <c r="F567" s="2130" t="s">
        <v>1979</v>
      </c>
      <c r="G567" s="21" t="s">
        <v>325</v>
      </c>
      <c r="H567" s="21"/>
      <c r="I567" s="21"/>
      <c r="J567" s="21"/>
      <c r="K567" s="2048"/>
      <c r="L567" s="21"/>
      <c r="M567" s="37">
        <v>0.816703448275862</v>
      </c>
      <c r="N567" s="37">
        <v>8.37</v>
      </c>
      <c r="O567" s="37">
        <v>0.4</v>
      </c>
      <c r="P567" s="37">
        <f t="shared" si="68"/>
        <v>9.58670344827586</v>
      </c>
      <c r="Q567" s="219"/>
      <c r="R567" s="23" t="s">
        <v>2864</v>
      </c>
      <c r="S567" s="804"/>
      <c r="T567" s="120" t="s">
        <v>1406</v>
      </c>
      <c r="W567" s="2163"/>
      <c r="Z567" s="839"/>
      <c r="AA567" s="839"/>
      <c r="AB567" s="1940"/>
    </row>
    <row r="568" s="42" customFormat="1" ht="16" customHeight="1" spans="1:28">
      <c r="A568" s="839">
        <v>439</v>
      </c>
      <c r="B568" s="23"/>
      <c r="C568" s="23"/>
      <c r="D568" s="21"/>
      <c r="E568" s="21"/>
      <c r="F568" s="2130" t="s">
        <v>1979</v>
      </c>
      <c r="G568" s="21" t="s">
        <v>326</v>
      </c>
      <c r="H568" s="21"/>
      <c r="I568" s="21"/>
      <c r="J568" s="21"/>
      <c r="K568" s="2048"/>
      <c r="L568" s="21"/>
      <c r="M568" s="37">
        <v>0.816703448275862</v>
      </c>
      <c r="N568" s="37">
        <v>5.74</v>
      </c>
      <c r="O568" s="37">
        <v>0.4</v>
      </c>
      <c r="P568" s="37">
        <f t="shared" si="68"/>
        <v>6.95670344827586</v>
      </c>
      <c r="Q568" s="219"/>
      <c r="R568" s="23" t="s">
        <v>2863</v>
      </c>
      <c r="S568" s="804"/>
      <c r="T568" s="120" t="s">
        <v>1406</v>
      </c>
      <c r="W568" s="2163"/>
      <c r="Z568" s="839"/>
      <c r="AA568" s="839"/>
      <c r="AB568" s="1940"/>
    </row>
    <row r="569" s="42" customFormat="1" ht="16" customHeight="1" spans="1:28">
      <c r="A569" s="839">
        <v>440</v>
      </c>
      <c r="B569" s="23"/>
      <c r="C569" s="23"/>
      <c r="D569" s="21"/>
      <c r="E569" s="21"/>
      <c r="F569" s="2130" t="s">
        <v>1979</v>
      </c>
      <c r="G569" s="21" t="s">
        <v>327</v>
      </c>
      <c r="H569" s="21"/>
      <c r="I569" s="21"/>
      <c r="J569" s="21"/>
      <c r="K569" s="2048"/>
      <c r="L569" s="21"/>
      <c r="M569" s="37">
        <v>0.816703448275862</v>
      </c>
      <c r="N569" s="37">
        <v>5.65</v>
      </c>
      <c r="O569" s="37">
        <v>0.4</v>
      </c>
      <c r="P569" s="37">
        <f t="shared" si="68"/>
        <v>6.86670344827586</v>
      </c>
      <c r="Q569" s="219"/>
      <c r="R569" s="23" t="s">
        <v>2865</v>
      </c>
      <c r="S569" s="804"/>
      <c r="T569" s="120" t="s">
        <v>1406</v>
      </c>
      <c r="W569" s="2163"/>
      <c r="Z569" s="839"/>
      <c r="AA569" s="839"/>
      <c r="AB569" s="1940"/>
    </row>
    <row r="570" s="42" customFormat="1" ht="16" customHeight="1" spans="1:28">
      <c r="A570" s="839">
        <v>441</v>
      </c>
      <c r="B570" s="23"/>
      <c r="C570" s="23"/>
      <c r="D570" s="21"/>
      <c r="E570" s="21"/>
      <c r="F570" s="2130" t="s">
        <v>1979</v>
      </c>
      <c r="G570" s="21" t="s">
        <v>329</v>
      </c>
      <c r="H570" s="21"/>
      <c r="I570" s="21"/>
      <c r="J570" s="21"/>
      <c r="K570" s="2048"/>
      <c r="L570" s="21"/>
      <c r="M570" s="37">
        <v>0.816703448275862</v>
      </c>
      <c r="N570" s="37">
        <v>4.27</v>
      </c>
      <c r="O570" s="37">
        <v>0.4</v>
      </c>
      <c r="P570" s="37">
        <f t="shared" si="68"/>
        <v>5.48670344827586</v>
      </c>
      <c r="Q570" s="219"/>
      <c r="R570" s="23" t="s">
        <v>2866</v>
      </c>
      <c r="S570" s="804"/>
      <c r="T570" s="120" t="s">
        <v>1406</v>
      </c>
      <c r="W570" s="2163"/>
      <c r="Z570" s="839"/>
      <c r="AA570" s="839"/>
      <c r="AB570" s="1940"/>
    </row>
    <row r="571" s="42" customFormat="1" ht="16" customHeight="1" spans="1:28">
      <c r="A571" s="839">
        <v>442</v>
      </c>
      <c r="B571" s="23"/>
      <c r="C571" s="23"/>
      <c r="D571" s="21"/>
      <c r="E571" s="21"/>
      <c r="F571" s="2130" t="s">
        <v>1979</v>
      </c>
      <c r="G571" s="21" t="s">
        <v>331</v>
      </c>
      <c r="H571" s="21"/>
      <c r="I571" s="21"/>
      <c r="J571" s="21"/>
      <c r="K571" s="2048"/>
      <c r="L571" s="21"/>
      <c r="M571" s="37">
        <v>0.816703448275862</v>
      </c>
      <c r="N571" s="37">
        <v>5.69</v>
      </c>
      <c r="O571" s="37">
        <v>0.4</v>
      </c>
      <c r="P571" s="37">
        <f t="shared" si="68"/>
        <v>6.90670344827586</v>
      </c>
      <c r="Q571" s="219"/>
      <c r="R571" s="23" t="s">
        <v>2865</v>
      </c>
      <c r="S571" s="804"/>
      <c r="T571" s="120" t="s">
        <v>1406</v>
      </c>
      <c r="W571" s="2163"/>
      <c r="Z571" s="839"/>
      <c r="AA571" s="839"/>
      <c r="AB571" s="1940"/>
    </row>
    <row r="572" s="42" customFormat="1" ht="16" customHeight="1" spans="1:28">
      <c r="A572" s="839">
        <v>443</v>
      </c>
      <c r="B572" s="23"/>
      <c r="C572" s="23"/>
      <c r="D572" s="21"/>
      <c r="E572" s="21"/>
      <c r="F572" s="2130" t="s">
        <v>1979</v>
      </c>
      <c r="G572" s="21" t="s">
        <v>332</v>
      </c>
      <c r="H572" s="21"/>
      <c r="I572" s="21"/>
      <c r="J572" s="21"/>
      <c r="K572" s="2048"/>
      <c r="L572" s="21"/>
      <c r="M572" s="37">
        <v>0.816703448275862</v>
      </c>
      <c r="N572" s="37">
        <v>6.32</v>
      </c>
      <c r="O572" s="37">
        <v>0.4</v>
      </c>
      <c r="P572" s="37">
        <f t="shared" si="68"/>
        <v>7.53670344827586</v>
      </c>
      <c r="Q572" s="219"/>
      <c r="R572" s="23" t="s">
        <v>2867</v>
      </c>
      <c r="S572" s="804"/>
      <c r="T572" s="120" t="s">
        <v>1406</v>
      </c>
      <c r="W572" s="2163"/>
      <c r="Z572" s="839"/>
      <c r="AA572" s="839"/>
      <c r="AB572" s="1940"/>
    </row>
    <row r="573" s="42" customFormat="1" ht="16" customHeight="1" spans="1:28">
      <c r="A573" s="839">
        <v>444</v>
      </c>
      <c r="B573" s="23"/>
      <c r="C573" s="23"/>
      <c r="D573" s="21"/>
      <c r="E573" s="21"/>
      <c r="F573" s="2130" t="s">
        <v>1979</v>
      </c>
      <c r="G573" s="21" t="s">
        <v>334</v>
      </c>
      <c r="H573" s="21"/>
      <c r="I573" s="21"/>
      <c r="J573" s="21"/>
      <c r="K573" s="2048"/>
      <c r="L573" s="21"/>
      <c r="M573" s="37">
        <v>0.816703448275862</v>
      </c>
      <c r="N573" s="37">
        <v>5.66</v>
      </c>
      <c r="O573" s="37">
        <v>0.4</v>
      </c>
      <c r="P573" s="37">
        <f t="shared" si="68"/>
        <v>6.87670344827586</v>
      </c>
      <c r="Q573" s="219"/>
      <c r="R573" s="23" t="s">
        <v>2868</v>
      </c>
      <c r="S573" s="804"/>
      <c r="T573" s="120" t="s">
        <v>1406</v>
      </c>
      <c r="W573" s="2163"/>
      <c r="Z573" s="839"/>
      <c r="AA573" s="839"/>
      <c r="AB573" s="1940"/>
    </row>
    <row r="574" s="42" customFormat="1" ht="16" customHeight="1" spans="1:28">
      <c r="A574" s="839">
        <v>445</v>
      </c>
      <c r="B574" s="23"/>
      <c r="C574" s="23"/>
      <c r="D574" s="21"/>
      <c r="E574" s="21"/>
      <c r="F574" s="2130" t="s">
        <v>1979</v>
      </c>
      <c r="G574" s="21" t="s">
        <v>336</v>
      </c>
      <c r="H574" s="21"/>
      <c r="I574" s="21"/>
      <c r="J574" s="21"/>
      <c r="K574" s="2048"/>
      <c r="L574" s="21"/>
      <c r="M574" s="37">
        <v>0.816703448275862</v>
      </c>
      <c r="N574" s="37">
        <v>8.29</v>
      </c>
      <c r="O574" s="37">
        <v>0.4</v>
      </c>
      <c r="P574" s="37">
        <f t="shared" si="68"/>
        <v>9.50670344827586</v>
      </c>
      <c r="Q574" s="219"/>
      <c r="R574" s="23" t="s">
        <v>2869</v>
      </c>
      <c r="S574" s="804"/>
      <c r="T574" s="120" t="s">
        <v>1406</v>
      </c>
      <c r="W574" s="2163"/>
      <c r="Z574" s="839"/>
      <c r="AA574" s="839"/>
      <c r="AB574" s="1940"/>
    </row>
    <row r="575" s="42" customFormat="1" ht="16" customHeight="1" spans="1:28">
      <c r="A575" s="839">
        <v>446</v>
      </c>
      <c r="B575" s="23"/>
      <c r="C575" s="23"/>
      <c r="D575" s="21"/>
      <c r="E575" s="21"/>
      <c r="F575" s="2130" t="s">
        <v>1979</v>
      </c>
      <c r="G575" s="21" t="s">
        <v>338</v>
      </c>
      <c r="H575" s="21"/>
      <c r="I575" s="21"/>
      <c r="J575" s="21"/>
      <c r="K575" s="2048"/>
      <c r="L575" s="21"/>
      <c r="M575" s="37">
        <v>0.816703448275862</v>
      </c>
      <c r="N575" s="37">
        <v>8.91</v>
      </c>
      <c r="O575" s="37">
        <v>0.4</v>
      </c>
      <c r="P575" s="37">
        <f t="shared" si="68"/>
        <v>10.1267034482759</v>
      </c>
      <c r="Q575" s="219"/>
      <c r="R575" s="23" t="s">
        <v>2870</v>
      </c>
      <c r="S575" s="804"/>
      <c r="T575" s="120" t="s">
        <v>1406</v>
      </c>
      <c r="W575" s="2163"/>
      <c r="Z575" s="839"/>
      <c r="AA575" s="839"/>
      <c r="AB575" s="1940"/>
    </row>
    <row r="576" s="42" customFormat="1" ht="16" customHeight="1" spans="1:28">
      <c r="A576" s="839">
        <v>447</v>
      </c>
      <c r="B576" s="23"/>
      <c r="C576" s="23"/>
      <c r="D576" s="21"/>
      <c r="E576" s="21"/>
      <c r="F576" s="2130" t="s">
        <v>1979</v>
      </c>
      <c r="G576" s="21" t="s">
        <v>340</v>
      </c>
      <c r="H576" s="21"/>
      <c r="I576" s="21"/>
      <c r="J576" s="21"/>
      <c r="K576" s="2048"/>
      <c r="L576" s="21"/>
      <c r="M576" s="37">
        <v>0.816703448275862</v>
      </c>
      <c r="N576" s="37">
        <v>4.88</v>
      </c>
      <c r="O576" s="37">
        <v>0.4</v>
      </c>
      <c r="P576" s="37">
        <f t="shared" si="68"/>
        <v>6.09670344827586</v>
      </c>
      <c r="Q576" s="219"/>
      <c r="R576" s="23" t="s">
        <v>2871</v>
      </c>
      <c r="S576" s="804"/>
      <c r="T576" s="120" t="s">
        <v>1406</v>
      </c>
      <c r="W576" s="2163"/>
      <c r="Z576" s="839"/>
      <c r="AA576" s="839"/>
      <c r="AB576" s="1940"/>
    </row>
    <row r="577" s="42" customFormat="1" ht="16" customHeight="1" spans="1:28">
      <c r="A577" s="839">
        <v>448</v>
      </c>
      <c r="B577" s="23"/>
      <c r="C577" s="23"/>
      <c r="D577" s="21"/>
      <c r="E577" s="21"/>
      <c r="F577" s="2130" t="s">
        <v>1979</v>
      </c>
      <c r="G577" s="21" t="s">
        <v>342</v>
      </c>
      <c r="H577" s="21"/>
      <c r="I577" s="21"/>
      <c r="J577" s="21"/>
      <c r="K577" s="2048"/>
      <c r="L577" s="21"/>
      <c r="M577" s="37">
        <v>0.816703448275862</v>
      </c>
      <c r="N577" s="37">
        <v>6.26</v>
      </c>
      <c r="O577" s="37">
        <v>0.4</v>
      </c>
      <c r="P577" s="37">
        <f t="shared" si="68"/>
        <v>7.47670344827586</v>
      </c>
      <c r="Q577" s="219"/>
      <c r="R577" s="23" t="s">
        <v>2872</v>
      </c>
      <c r="S577" s="804"/>
      <c r="T577" s="120" t="s">
        <v>1406</v>
      </c>
      <c r="W577" s="2163"/>
      <c r="Z577" s="839"/>
      <c r="AA577" s="839"/>
      <c r="AB577" s="1940"/>
    </row>
    <row r="578" s="42" customFormat="1" ht="16" customHeight="1" spans="1:28">
      <c r="A578" s="839">
        <v>449</v>
      </c>
      <c r="B578" s="23"/>
      <c r="C578" s="23"/>
      <c r="D578" s="21"/>
      <c r="E578" s="21"/>
      <c r="F578" s="2130" t="s">
        <v>1979</v>
      </c>
      <c r="G578" s="21" t="s">
        <v>344</v>
      </c>
      <c r="H578" s="21"/>
      <c r="I578" s="21"/>
      <c r="J578" s="21"/>
      <c r="K578" s="2048"/>
      <c r="L578" s="21"/>
      <c r="M578" s="37">
        <v>0.816703448275862</v>
      </c>
      <c r="N578" s="37">
        <v>6.23</v>
      </c>
      <c r="O578" s="37">
        <v>0.4</v>
      </c>
      <c r="P578" s="37">
        <f t="shared" si="68"/>
        <v>7.44670344827586</v>
      </c>
      <c r="Q578" s="219"/>
      <c r="R578" s="23" t="s">
        <v>2872</v>
      </c>
      <c r="S578" s="804"/>
      <c r="T578" s="120" t="s">
        <v>1406</v>
      </c>
      <c r="W578" s="2163"/>
      <c r="Z578" s="839"/>
      <c r="AA578" s="839"/>
      <c r="AB578" s="1940"/>
    </row>
    <row r="579" s="42" customFormat="1" ht="16" customHeight="1" spans="1:28">
      <c r="A579" s="839">
        <v>450</v>
      </c>
      <c r="B579" s="23"/>
      <c r="C579" s="23"/>
      <c r="D579" s="21"/>
      <c r="E579" s="21"/>
      <c r="F579" s="2130" t="s">
        <v>1979</v>
      </c>
      <c r="G579" s="21" t="s">
        <v>345</v>
      </c>
      <c r="H579" s="21"/>
      <c r="I579" s="21"/>
      <c r="J579" s="21"/>
      <c r="K579" s="2048"/>
      <c r="L579" s="21"/>
      <c r="M579" s="37">
        <v>0.534386206896552</v>
      </c>
      <c r="N579" s="37">
        <v>4.32</v>
      </c>
      <c r="O579" s="37">
        <v>0.4</v>
      </c>
      <c r="P579" s="37">
        <f t="shared" si="68"/>
        <v>5.25438620689655</v>
      </c>
      <c r="Q579" s="219"/>
      <c r="R579" s="23" t="s">
        <v>346</v>
      </c>
      <c r="S579" s="804"/>
      <c r="T579" s="120" t="s">
        <v>1406</v>
      </c>
      <c r="W579" s="2163"/>
      <c r="Z579" s="839"/>
      <c r="AA579" s="839"/>
      <c r="AB579" s="1940"/>
    </row>
    <row r="580" s="42" customFormat="1" ht="16" customHeight="1" spans="1:28">
      <c r="A580" s="839">
        <v>451</v>
      </c>
      <c r="B580" s="23" t="s">
        <v>2873</v>
      </c>
      <c r="C580" s="23"/>
      <c r="D580" s="689">
        <v>20241008</v>
      </c>
      <c r="E580" s="21">
        <v>7.17</v>
      </c>
      <c r="F580" s="2132" t="s">
        <v>2874</v>
      </c>
      <c r="G580" s="21" t="s">
        <v>1998</v>
      </c>
      <c r="H580" s="21"/>
      <c r="I580" s="21" t="s">
        <v>2692</v>
      </c>
      <c r="J580" s="21"/>
      <c r="K580" s="2048">
        <v>150</v>
      </c>
      <c r="L580" s="21"/>
      <c r="M580" s="37">
        <f t="shared" ref="M580:M596" si="69">46.25/E580/1.13</f>
        <v>5.70839658853877</v>
      </c>
      <c r="N580" s="37">
        <v>25.1347607067406</v>
      </c>
      <c r="O580" s="37">
        <v>3.81</v>
      </c>
      <c r="P580" s="37">
        <f t="shared" si="68"/>
        <v>184.653157295279</v>
      </c>
      <c r="Q580" s="219" t="s">
        <v>2854</v>
      </c>
      <c r="R580" s="23" t="s">
        <v>2875</v>
      </c>
      <c r="S580" s="804"/>
      <c r="T580" s="120"/>
      <c r="W580" s="2163"/>
      <c r="Z580" s="839"/>
      <c r="AA580" s="839"/>
      <c r="AB580" s="1940"/>
    </row>
    <row r="581" s="42" customFormat="1" ht="16" customHeight="1" spans="1:28">
      <c r="A581" s="839">
        <v>452</v>
      </c>
      <c r="B581" s="23"/>
      <c r="C581" s="23"/>
      <c r="D581" s="689">
        <v>20241008</v>
      </c>
      <c r="E581" s="21">
        <v>7.17</v>
      </c>
      <c r="F581" s="2132" t="s">
        <v>2876</v>
      </c>
      <c r="G581" s="21" t="s">
        <v>1581</v>
      </c>
      <c r="H581" s="21"/>
      <c r="I581" s="21" t="s">
        <v>2877</v>
      </c>
      <c r="J581" s="21"/>
      <c r="K581" s="2048">
        <v>320</v>
      </c>
      <c r="L581" s="21"/>
      <c r="M581" s="37">
        <f t="shared" si="69"/>
        <v>5.70839658853877</v>
      </c>
      <c r="N581" s="37">
        <v>27.5116857657457</v>
      </c>
      <c r="O581" s="37">
        <v>3.81</v>
      </c>
      <c r="P581" s="37">
        <f t="shared" si="68"/>
        <v>357.030082354285</v>
      </c>
      <c r="Q581" s="219" t="s">
        <v>2854</v>
      </c>
      <c r="R581" s="23" t="s">
        <v>2878</v>
      </c>
      <c r="S581" s="804"/>
      <c r="T581" s="120"/>
      <c r="W581" s="2163"/>
      <c r="Z581" s="839"/>
      <c r="AA581" s="839"/>
      <c r="AB581" s="1940"/>
    </row>
    <row r="582" s="42" customFormat="1" ht="16" customHeight="1" spans="1:28">
      <c r="A582" s="839">
        <v>453</v>
      </c>
      <c r="B582" s="23"/>
      <c r="C582" s="23"/>
      <c r="D582" s="689">
        <v>20241016</v>
      </c>
      <c r="E582" s="21">
        <v>7.17</v>
      </c>
      <c r="F582" s="2132" t="s">
        <v>2879</v>
      </c>
      <c r="G582" s="21" t="s">
        <v>2880</v>
      </c>
      <c r="H582" s="21"/>
      <c r="I582" s="21"/>
      <c r="J582" s="21"/>
      <c r="K582" s="2048"/>
      <c r="L582" s="21"/>
      <c r="M582" s="37">
        <f t="shared" si="69"/>
        <v>5.70839658853877</v>
      </c>
      <c r="N582" s="37">
        <v>9.13225047887324</v>
      </c>
      <c r="O582" s="37">
        <v>3.81</v>
      </c>
      <c r="P582" s="37">
        <f t="shared" si="68"/>
        <v>18.650647067412</v>
      </c>
      <c r="Q582" s="219"/>
      <c r="R582" s="23" t="s">
        <v>2881</v>
      </c>
      <c r="S582" s="804"/>
      <c r="T582" s="120"/>
      <c r="W582" s="2163"/>
      <c r="Z582" s="839"/>
      <c r="AA582" s="839"/>
      <c r="AB582" s="1940"/>
    </row>
    <row r="583" s="42" customFormat="1" ht="16" customHeight="1" spans="1:28">
      <c r="A583" s="839">
        <v>454</v>
      </c>
      <c r="B583" s="23"/>
      <c r="C583" s="23"/>
      <c r="D583" s="689">
        <v>20241016</v>
      </c>
      <c r="E583" s="21">
        <v>7.17</v>
      </c>
      <c r="F583" s="2132" t="s">
        <v>2882</v>
      </c>
      <c r="G583" s="21" t="s">
        <v>2449</v>
      </c>
      <c r="H583" s="21"/>
      <c r="I583" s="21" t="s">
        <v>2692</v>
      </c>
      <c r="J583" s="21"/>
      <c r="K583" s="2048">
        <v>150</v>
      </c>
      <c r="L583" s="21"/>
      <c r="M583" s="37">
        <f t="shared" si="69"/>
        <v>5.70839658853877</v>
      </c>
      <c r="N583" s="37">
        <v>26.1449202466079</v>
      </c>
      <c r="O583" s="37">
        <v>3.81</v>
      </c>
      <c r="P583" s="37">
        <f t="shared" si="68"/>
        <v>185.663316835147</v>
      </c>
      <c r="Q583" s="219" t="s">
        <v>2854</v>
      </c>
      <c r="R583" s="23" t="s">
        <v>2881</v>
      </c>
      <c r="S583" s="804"/>
      <c r="T583" s="120"/>
      <c r="W583" s="2163"/>
      <c r="Z583" s="839"/>
      <c r="AA583" s="839"/>
      <c r="AB583" s="1940"/>
    </row>
    <row r="584" s="42" customFormat="1" ht="16" customHeight="1" spans="1:28">
      <c r="A584" s="839">
        <v>455</v>
      </c>
      <c r="B584" s="23"/>
      <c r="C584" s="23"/>
      <c r="D584" s="689">
        <v>20241016</v>
      </c>
      <c r="E584" s="21">
        <v>7.17</v>
      </c>
      <c r="F584" s="2132" t="s">
        <v>2883</v>
      </c>
      <c r="G584" s="21" t="s">
        <v>2546</v>
      </c>
      <c r="H584" s="21"/>
      <c r="I584" s="21" t="s">
        <v>2877</v>
      </c>
      <c r="J584" s="21"/>
      <c r="K584" s="2048">
        <v>320</v>
      </c>
      <c r="L584" s="21"/>
      <c r="M584" s="37">
        <f t="shared" si="69"/>
        <v>5.70839658853877</v>
      </c>
      <c r="N584" s="37">
        <v>29.1827111847208</v>
      </c>
      <c r="O584" s="37">
        <v>3.81</v>
      </c>
      <c r="P584" s="37">
        <f t="shared" si="68"/>
        <v>358.70110777326</v>
      </c>
      <c r="Q584" s="219" t="s">
        <v>2854</v>
      </c>
      <c r="R584" s="23" t="s">
        <v>2884</v>
      </c>
      <c r="S584" s="804"/>
      <c r="T584" s="120"/>
      <c r="W584" s="2163"/>
      <c r="Z584" s="839"/>
      <c r="AA584" s="839"/>
      <c r="AB584" s="1940"/>
    </row>
    <row r="585" s="42" customFormat="1" ht="16" customHeight="1" spans="1:28">
      <c r="A585" s="839">
        <v>456</v>
      </c>
      <c r="B585" s="23"/>
      <c r="C585" s="23"/>
      <c r="D585" s="689">
        <v>20241024</v>
      </c>
      <c r="E585" s="21">
        <v>7.17</v>
      </c>
      <c r="F585" s="2132" t="s">
        <v>2885</v>
      </c>
      <c r="G585" s="21" t="s">
        <v>2306</v>
      </c>
      <c r="H585" s="21"/>
      <c r="I585" s="21" t="s">
        <v>2886</v>
      </c>
      <c r="J585" s="21"/>
      <c r="K585" s="2048" t="s">
        <v>1428</v>
      </c>
      <c r="L585" s="21"/>
      <c r="M585" s="37">
        <f t="shared" si="69"/>
        <v>5.70839658853877</v>
      </c>
      <c r="N585" s="37">
        <v>27.5748065911679</v>
      </c>
      <c r="O585" s="37">
        <v>3.81</v>
      </c>
      <c r="P585" s="37">
        <f t="shared" ref="P585:P605" si="70">SUM(J585:O585)</f>
        <v>37.0932031797067</v>
      </c>
      <c r="Q585" s="219" t="s">
        <v>2854</v>
      </c>
      <c r="R585" s="23" t="s">
        <v>2887</v>
      </c>
      <c r="S585" s="804"/>
      <c r="T585" s="120"/>
      <c r="W585" s="2163"/>
      <c r="Z585" s="839"/>
      <c r="AA585" s="839"/>
      <c r="AB585" s="1940"/>
    </row>
    <row r="586" s="42" customFormat="1" ht="16" customHeight="1" spans="1:28">
      <c r="A586" s="839">
        <v>457</v>
      </c>
      <c r="B586" s="23"/>
      <c r="C586" s="23"/>
      <c r="D586" s="21">
        <v>20241209</v>
      </c>
      <c r="E586" s="21">
        <v>7.17</v>
      </c>
      <c r="F586" s="2132" t="s">
        <v>2888</v>
      </c>
      <c r="G586" s="2188" t="s">
        <v>2431</v>
      </c>
      <c r="H586" s="2188"/>
      <c r="I586" s="21" t="s">
        <v>2889</v>
      </c>
      <c r="J586" s="21" t="s">
        <v>1428</v>
      </c>
      <c r="K586" s="2048" t="s">
        <v>1428</v>
      </c>
      <c r="L586" s="21"/>
      <c r="M586" s="37">
        <f t="shared" si="69"/>
        <v>5.70839658853877</v>
      </c>
      <c r="N586" s="37">
        <v>25.1231489837977</v>
      </c>
      <c r="O586" s="37">
        <v>3.81</v>
      </c>
      <c r="P586" s="37">
        <f t="shared" si="70"/>
        <v>34.6415455723365</v>
      </c>
      <c r="Q586" s="219" t="s">
        <v>2854</v>
      </c>
      <c r="R586" s="23" t="s">
        <v>2890</v>
      </c>
      <c r="S586" s="804"/>
      <c r="T586" s="120"/>
      <c r="W586" s="2163"/>
      <c r="Z586" s="839"/>
      <c r="AA586" s="839"/>
      <c r="AB586" s="1940"/>
    </row>
    <row r="587" s="42" customFormat="1" ht="16" customHeight="1" spans="1:28">
      <c r="A587" s="839">
        <v>458</v>
      </c>
      <c r="B587" s="23"/>
      <c r="C587" s="23"/>
      <c r="D587" s="21">
        <v>20241209</v>
      </c>
      <c r="E587" s="21">
        <v>7.17</v>
      </c>
      <c r="F587" s="2132" t="s">
        <v>2891</v>
      </c>
      <c r="G587" s="2188" t="s">
        <v>1667</v>
      </c>
      <c r="H587" s="2188"/>
      <c r="I587" s="21" t="s">
        <v>2892</v>
      </c>
      <c r="J587" s="21" t="s">
        <v>1428</v>
      </c>
      <c r="K587" s="2048" t="s">
        <v>1428</v>
      </c>
      <c r="L587" s="21"/>
      <c r="M587" s="37">
        <f t="shared" si="69"/>
        <v>5.70839658853877</v>
      </c>
      <c r="N587" s="37">
        <v>25.194166378812</v>
      </c>
      <c r="O587" s="37">
        <v>3.81</v>
      </c>
      <c r="P587" s="37">
        <f t="shared" si="70"/>
        <v>34.7125629673508</v>
      </c>
      <c r="Q587" s="219" t="s">
        <v>2854</v>
      </c>
      <c r="R587" s="23" t="s">
        <v>2890</v>
      </c>
      <c r="S587" s="804"/>
      <c r="T587" s="120"/>
      <c r="W587" s="2163"/>
      <c r="Z587" s="839"/>
      <c r="AA587" s="839"/>
      <c r="AB587" s="1940"/>
    </row>
    <row r="588" s="42" customFormat="1" ht="16" customHeight="1" spans="1:28">
      <c r="A588" s="839">
        <v>459</v>
      </c>
      <c r="B588" s="23"/>
      <c r="C588" s="23"/>
      <c r="D588" s="21">
        <v>20241209</v>
      </c>
      <c r="E588" s="21">
        <v>7.17</v>
      </c>
      <c r="F588" s="2132" t="s">
        <v>2893</v>
      </c>
      <c r="G588" s="2188" t="s">
        <v>2311</v>
      </c>
      <c r="H588" s="2188"/>
      <c r="I588" s="21" t="s">
        <v>2889</v>
      </c>
      <c r="J588" s="21"/>
      <c r="K588" s="2048" t="s">
        <v>1428</v>
      </c>
      <c r="L588" s="21"/>
      <c r="M588" s="37">
        <f t="shared" si="69"/>
        <v>5.70839658853877</v>
      </c>
      <c r="N588" s="37">
        <v>25.1339994644331</v>
      </c>
      <c r="O588" s="37">
        <v>3.81</v>
      </c>
      <c r="P588" s="37">
        <f t="shared" si="70"/>
        <v>34.6523960529719</v>
      </c>
      <c r="Q588" s="219" t="s">
        <v>2854</v>
      </c>
      <c r="R588" s="23" t="s">
        <v>2890</v>
      </c>
      <c r="S588" s="804"/>
      <c r="T588" s="120"/>
      <c r="W588" s="2163"/>
      <c r="Z588" s="839"/>
      <c r="AA588" s="839"/>
      <c r="AB588" s="1940"/>
    </row>
    <row r="589" s="42" customFormat="1" ht="16" customHeight="1" spans="1:28">
      <c r="A589" s="839">
        <v>460</v>
      </c>
      <c r="B589" s="23"/>
      <c r="C589" s="23"/>
      <c r="D589" s="21">
        <v>20250307</v>
      </c>
      <c r="E589" s="21">
        <v>7.17</v>
      </c>
      <c r="F589" s="2132" t="s">
        <v>2894</v>
      </c>
      <c r="G589" s="2188" t="s">
        <v>2314</v>
      </c>
      <c r="H589" s="2188"/>
      <c r="I589" s="21" t="s">
        <v>2895</v>
      </c>
      <c r="J589" s="21"/>
      <c r="K589" s="2048">
        <v>100</v>
      </c>
      <c r="L589" s="21"/>
      <c r="M589" s="37">
        <f t="shared" si="69"/>
        <v>5.70839658853877</v>
      </c>
      <c r="N589" s="37">
        <v>25.1221677755584</v>
      </c>
      <c r="O589" s="37">
        <v>3.81</v>
      </c>
      <c r="P589" s="37">
        <f t="shared" si="70"/>
        <v>134.640564364097</v>
      </c>
      <c r="Q589" s="219" t="s">
        <v>2854</v>
      </c>
      <c r="R589" s="23" t="s">
        <v>2890</v>
      </c>
      <c r="S589" s="804"/>
      <c r="T589" s="120"/>
      <c r="W589" s="2163"/>
      <c r="Z589" s="839"/>
      <c r="AA589" s="839"/>
      <c r="AB589" s="1940"/>
    </row>
    <row r="590" s="42" customFormat="1" ht="16" customHeight="1" spans="1:28">
      <c r="A590" s="839">
        <v>461</v>
      </c>
      <c r="B590" s="23"/>
      <c r="C590" s="23"/>
      <c r="D590" s="21">
        <v>20250411</v>
      </c>
      <c r="E590" s="21">
        <v>7.17</v>
      </c>
      <c r="F590" s="2132" t="s">
        <v>2896</v>
      </c>
      <c r="G590" s="2188" t="s">
        <v>2459</v>
      </c>
      <c r="H590" s="2188"/>
      <c r="I590" s="21" t="s">
        <v>2664</v>
      </c>
      <c r="J590" s="21"/>
      <c r="K590" s="2048">
        <v>155</v>
      </c>
      <c r="L590" s="21"/>
      <c r="M590" s="37">
        <f t="shared" si="69"/>
        <v>5.70839658853877</v>
      </c>
      <c r="N590" s="37">
        <v>26.0698054982542</v>
      </c>
      <c r="O590" s="37">
        <v>3.81</v>
      </c>
      <c r="P590" s="37">
        <f t="shared" si="70"/>
        <v>190.588202086793</v>
      </c>
      <c r="Q590" s="219" t="s">
        <v>2854</v>
      </c>
      <c r="R590" s="23" t="s">
        <v>2897</v>
      </c>
      <c r="S590" s="804"/>
      <c r="T590" s="120"/>
      <c r="W590" s="2163"/>
      <c r="Z590" s="839"/>
      <c r="AA590" s="839"/>
      <c r="AB590" s="1940"/>
    </row>
    <row r="591" s="42" customFormat="1" ht="16" customHeight="1" spans="1:28">
      <c r="A591" s="839">
        <v>462</v>
      </c>
      <c r="B591" s="23"/>
      <c r="C591" s="23"/>
      <c r="D591" s="21">
        <v>20250411</v>
      </c>
      <c r="E591" s="21">
        <v>7.17</v>
      </c>
      <c r="F591" s="2132" t="s">
        <v>2898</v>
      </c>
      <c r="G591" s="2188" t="s">
        <v>1723</v>
      </c>
      <c r="H591" s="2188"/>
      <c r="I591" s="21" t="s">
        <v>2692</v>
      </c>
      <c r="J591" s="21"/>
      <c r="K591" s="2048">
        <v>150</v>
      </c>
      <c r="L591" s="21"/>
      <c r="M591" s="37">
        <f t="shared" si="69"/>
        <v>5.70839658853877</v>
      </c>
      <c r="N591" s="37">
        <v>24.6184837605867</v>
      </c>
      <c r="O591" s="37">
        <v>3.81</v>
      </c>
      <c r="P591" s="37">
        <f t="shared" si="70"/>
        <v>184.136880349125</v>
      </c>
      <c r="Q591" s="219" t="s">
        <v>2854</v>
      </c>
      <c r="R591" s="23" t="s">
        <v>2899</v>
      </c>
      <c r="S591" s="804"/>
      <c r="T591" s="120"/>
      <c r="W591" s="2163"/>
      <c r="Z591" s="839"/>
      <c r="AA591" s="839"/>
      <c r="AB591" s="1940"/>
    </row>
    <row r="592" s="839" customFormat="1" ht="16" customHeight="1" spans="1:28">
      <c r="A592" s="839">
        <v>463</v>
      </c>
      <c r="B592" s="23"/>
      <c r="C592" s="23"/>
      <c r="D592" s="21">
        <v>20250606</v>
      </c>
      <c r="E592" s="21">
        <v>7.17</v>
      </c>
      <c r="F592" s="2132" t="s">
        <v>2900</v>
      </c>
      <c r="G592" s="2188" t="s">
        <v>1587</v>
      </c>
      <c r="H592" s="2188"/>
      <c r="I592" s="21" t="s">
        <v>2664</v>
      </c>
      <c r="J592" s="21"/>
      <c r="K592" s="2048">
        <v>155</v>
      </c>
      <c r="L592" s="21"/>
      <c r="M592" s="37">
        <f t="shared" si="69"/>
        <v>5.70839658853877</v>
      </c>
      <c r="N592" s="37">
        <v>25.7285624095428</v>
      </c>
      <c r="O592" s="37">
        <v>3.81</v>
      </c>
      <c r="P592" s="37">
        <f t="shared" si="70"/>
        <v>190.246958998082</v>
      </c>
      <c r="Q592" s="219" t="s">
        <v>2854</v>
      </c>
      <c r="R592" s="23" t="s">
        <v>2901</v>
      </c>
      <c r="S592" s="804"/>
      <c r="T592" s="120"/>
      <c r="W592" s="1940"/>
      <c r="AB592" s="1940"/>
    </row>
    <row r="593" s="839" customFormat="1" ht="16" customHeight="1" spans="1:28">
      <c r="A593" s="839">
        <v>464</v>
      </c>
      <c r="B593" s="23"/>
      <c r="C593" s="23"/>
      <c r="D593" s="21">
        <v>20250606</v>
      </c>
      <c r="E593" s="21">
        <v>7.17</v>
      </c>
      <c r="F593" s="2132" t="s">
        <v>2902</v>
      </c>
      <c r="G593" s="2188" t="s">
        <v>1591</v>
      </c>
      <c r="H593" s="2188"/>
      <c r="I593" s="21" t="s">
        <v>2692</v>
      </c>
      <c r="J593" s="21"/>
      <c r="K593" s="2048">
        <v>150</v>
      </c>
      <c r="L593" s="21"/>
      <c r="M593" s="37">
        <f t="shared" si="69"/>
        <v>5.70839658853877</v>
      </c>
      <c r="N593" s="37">
        <v>24.1452318655329</v>
      </c>
      <c r="O593" s="37">
        <v>3.81</v>
      </c>
      <c r="P593" s="37">
        <f t="shared" si="70"/>
        <v>183.663628454072</v>
      </c>
      <c r="Q593" s="219" t="s">
        <v>2854</v>
      </c>
      <c r="R593" s="23" t="s">
        <v>2903</v>
      </c>
      <c r="S593" s="804"/>
      <c r="T593" s="120"/>
      <c r="W593" s="1940"/>
      <c r="AB593" s="1940"/>
    </row>
    <row r="594" s="839" customFormat="1" ht="16" customHeight="1" spans="1:28">
      <c r="A594" s="839">
        <v>465</v>
      </c>
      <c r="B594" s="23"/>
      <c r="C594" s="23"/>
      <c r="D594" s="21">
        <v>20250606</v>
      </c>
      <c r="E594" s="21">
        <v>7.17</v>
      </c>
      <c r="F594" s="2132" t="s">
        <v>2904</v>
      </c>
      <c r="G594" s="2188" t="s">
        <v>1593</v>
      </c>
      <c r="H594" s="2188"/>
      <c r="I594" s="21" t="s">
        <v>2664</v>
      </c>
      <c r="J594" s="21"/>
      <c r="K594" s="2048">
        <v>155</v>
      </c>
      <c r="L594" s="21"/>
      <c r="M594" s="37">
        <f t="shared" si="69"/>
        <v>5.70839658853877</v>
      </c>
      <c r="N594" s="37">
        <v>25.6146918561172</v>
      </c>
      <c r="O594" s="37">
        <v>3.81</v>
      </c>
      <c r="P594" s="37">
        <f t="shared" si="70"/>
        <v>190.133088444656</v>
      </c>
      <c r="Q594" s="219" t="s">
        <v>2854</v>
      </c>
      <c r="R594" s="23" t="s">
        <v>2901</v>
      </c>
      <c r="S594" s="804"/>
      <c r="T594" s="120"/>
      <c r="W594" s="1940"/>
      <c r="AB594" s="1940"/>
    </row>
    <row r="595" s="839" customFormat="1" ht="16" customHeight="1" spans="1:28">
      <c r="A595" s="839">
        <v>466</v>
      </c>
      <c r="B595" s="687"/>
      <c r="C595" s="23"/>
      <c r="D595" s="153">
        <v>20250606</v>
      </c>
      <c r="E595" s="153">
        <v>6.75</v>
      </c>
      <c r="F595" s="2125" t="s">
        <v>2905</v>
      </c>
      <c r="G595" s="2189" t="s">
        <v>1525</v>
      </c>
      <c r="H595" s="2189" t="s">
        <v>2906</v>
      </c>
      <c r="I595" s="2190" t="s">
        <v>2886</v>
      </c>
      <c r="J595" s="153" t="s">
        <v>1428</v>
      </c>
      <c r="K595" s="2048" t="s">
        <v>712</v>
      </c>
      <c r="L595" s="153"/>
      <c r="M595" s="154">
        <f>63.81/E595/1.13*1.05</f>
        <v>8.78407079646018</v>
      </c>
      <c r="N595" s="154">
        <v>32.4</v>
      </c>
      <c r="O595" s="154">
        <v>3.81</v>
      </c>
      <c r="P595" s="154">
        <f t="shared" si="70"/>
        <v>44.9940707964602</v>
      </c>
      <c r="Q595" s="219" t="s">
        <v>2854</v>
      </c>
      <c r="R595" s="2191" t="s">
        <v>2907</v>
      </c>
      <c r="S595" s="804"/>
      <c r="T595" s="120"/>
      <c r="W595" s="1940"/>
      <c r="AB595" s="1940"/>
    </row>
    <row r="596" s="839" customFormat="1" ht="16" customHeight="1" spans="1:28">
      <c r="A596" s="839">
        <v>467</v>
      </c>
      <c r="B596" s="687"/>
      <c r="C596" s="687"/>
      <c r="D596" s="1017">
        <v>46084</v>
      </c>
      <c r="E596" s="153">
        <v>6.75</v>
      </c>
      <c r="F596" s="2125" t="s">
        <v>2905</v>
      </c>
      <c r="G596" s="2192" t="s">
        <v>1525</v>
      </c>
      <c r="H596" s="2192" t="s">
        <v>2906</v>
      </c>
      <c r="I596" s="153" t="s">
        <v>2886</v>
      </c>
      <c r="J596" s="153" t="s">
        <v>1428</v>
      </c>
      <c r="K596" s="2048" t="s">
        <v>712</v>
      </c>
      <c r="L596" s="153" t="s">
        <v>1428</v>
      </c>
      <c r="M596" s="154">
        <f>61.3/E596/1.13*1.05</f>
        <v>8.4385447394297</v>
      </c>
      <c r="N596" s="154">
        <v>32.4</v>
      </c>
      <c r="O596" s="154">
        <v>0.3</v>
      </c>
      <c r="P596" s="154">
        <f t="shared" si="70"/>
        <v>41.1385447394297</v>
      </c>
      <c r="Q596" s="266" t="s">
        <v>1270</v>
      </c>
      <c r="R596" s="23" t="s">
        <v>2907</v>
      </c>
      <c r="S596" s="804"/>
      <c r="T596" s="120"/>
      <c r="W596" s="1940"/>
      <c r="AB596" s="1940"/>
    </row>
    <row r="597" s="839" customFormat="1" ht="16" customHeight="1" spans="1:28">
      <c r="A597" s="839">
        <v>468</v>
      </c>
      <c r="B597" s="23"/>
      <c r="C597" s="23"/>
      <c r="D597" s="1149">
        <v>46111</v>
      </c>
      <c r="E597" s="21">
        <v>6.9226</v>
      </c>
      <c r="F597" s="2132" t="s">
        <v>2908</v>
      </c>
      <c r="G597" s="2188" t="s">
        <v>1669</v>
      </c>
      <c r="H597" s="2188"/>
      <c r="I597" s="21" t="s">
        <v>1822</v>
      </c>
      <c r="J597" s="21"/>
      <c r="K597" s="2048"/>
      <c r="L597" s="21"/>
      <c r="M597" s="37">
        <f>74.555/E597/1.13</f>
        <v>9.53079422560811</v>
      </c>
      <c r="N597" s="37">
        <v>28.41</v>
      </c>
      <c r="O597" s="37">
        <f>24.12/E597</f>
        <v>3.48424002542397</v>
      </c>
      <c r="P597" s="37">
        <f t="shared" si="70"/>
        <v>41.4250342510321</v>
      </c>
      <c r="Q597" s="219" t="s">
        <v>2909</v>
      </c>
      <c r="R597" s="23"/>
      <c r="S597" s="804"/>
      <c r="T597" s="120"/>
      <c r="W597" s="1940"/>
      <c r="AB597" s="1940"/>
    </row>
    <row r="598" s="839" customFormat="1" ht="16" customHeight="1" spans="1:28">
      <c r="A598" s="839">
        <v>469</v>
      </c>
      <c r="B598" s="23"/>
      <c r="C598" s="23"/>
      <c r="D598" s="21">
        <v>20250730</v>
      </c>
      <c r="E598" s="21">
        <v>7.17</v>
      </c>
      <c r="F598" s="2132" t="s">
        <v>2910</v>
      </c>
      <c r="G598" s="2188" t="s">
        <v>2081</v>
      </c>
      <c r="H598" s="2188"/>
      <c r="I598" s="21" t="s">
        <v>2779</v>
      </c>
      <c r="J598" s="21"/>
      <c r="K598" s="2048">
        <v>310</v>
      </c>
      <c r="L598" s="21"/>
      <c r="M598" s="37">
        <f t="shared" ref="M598:M604" si="71">46.25/E598/1.13</f>
        <v>5.70839658853877</v>
      </c>
      <c r="N598" s="37">
        <v>25.6692042275245</v>
      </c>
      <c r="O598" s="37">
        <v>3.81</v>
      </c>
      <c r="P598" s="37">
        <f t="shared" si="70"/>
        <v>345.187600816063</v>
      </c>
      <c r="Q598" s="219" t="s">
        <v>2854</v>
      </c>
      <c r="R598" s="23" t="s">
        <v>2911</v>
      </c>
      <c r="S598" s="804"/>
      <c r="T598" s="120"/>
      <c r="W598" s="1940"/>
      <c r="AB598" s="1940"/>
    </row>
    <row r="599" s="839" customFormat="1" ht="16" customHeight="1" spans="1:28">
      <c r="A599" s="839">
        <v>470</v>
      </c>
      <c r="B599" s="23"/>
      <c r="C599" s="23"/>
      <c r="D599" s="21">
        <v>20250730</v>
      </c>
      <c r="E599" s="21">
        <v>7.17</v>
      </c>
      <c r="F599" s="2132" t="s">
        <v>2912</v>
      </c>
      <c r="G599" s="2188" t="s">
        <v>2110</v>
      </c>
      <c r="H599" s="2188"/>
      <c r="I599" s="21" t="s">
        <v>2695</v>
      </c>
      <c r="J599" s="21"/>
      <c r="K599" s="2048">
        <v>240</v>
      </c>
      <c r="L599" s="21"/>
      <c r="M599" s="37">
        <f t="shared" si="71"/>
        <v>5.70839658853877</v>
      </c>
      <c r="N599" s="37">
        <v>25.6692042275245</v>
      </c>
      <c r="O599" s="37">
        <v>3.81</v>
      </c>
      <c r="P599" s="37">
        <f t="shared" si="70"/>
        <v>275.187600816063</v>
      </c>
      <c r="Q599" s="219" t="s">
        <v>2854</v>
      </c>
      <c r="R599" s="23" t="s">
        <v>2911</v>
      </c>
      <c r="S599" s="804"/>
      <c r="T599" s="120"/>
      <c r="W599" s="1940"/>
      <c r="AB599" s="1940"/>
    </row>
    <row r="600" s="839" customFormat="1" ht="16" customHeight="1" spans="1:28">
      <c r="A600" s="839">
        <v>471</v>
      </c>
      <c r="B600" s="23"/>
      <c r="C600" s="23"/>
      <c r="D600" s="21">
        <v>20250730</v>
      </c>
      <c r="E600" s="21">
        <v>7.17</v>
      </c>
      <c r="F600" s="2132" t="s">
        <v>2913</v>
      </c>
      <c r="G600" s="2188" t="s">
        <v>667</v>
      </c>
      <c r="H600" s="2188"/>
      <c r="I600" s="21" t="s">
        <v>2697</v>
      </c>
      <c r="J600" s="21"/>
      <c r="K600" s="2048">
        <v>419</v>
      </c>
      <c r="L600" s="21"/>
      <c r="M600" s="37">
        <f t="shared" si="71"/>
        <v>5.70839658853877</v>
      </c>
      <c r="N600" s="37">
        <v>25.6692042275245</v>
      </c>
      <c r="O600" s="37">
        <v>3.81</v>
      </c>
      <c r="P600" s="37">
        <f t="shared" si="70"/>
        <v>454.187600816063</v>
      </c>
      <c r="Q600" s="219" t="s">
        <v>2854</v>
      </c>
      <c r="R600" s="23" t="s">
        <v>2911</v>
      </c>
      <c r="S600" s="804"/>
      <c r="T600" s="120"/>
      <c r="W600" s="1940"/>
      <c r="AB600" s="1940"/>
    </row>
    <row r="601" s="839" customFormat="1" ht="16" customHeight="1" spans="1:28">
      <c r="A601" s="839">
        <v>472</v>
      </c>
      <c r="B601" s="23"/>
      <c r="C601" s="23"/>
      <c r="D601" s="21">
        <v>20250730</v>
      </c>
      <c r="E601" s="21">
        <v>7.17</v>
      </c>
      <c r="F601" s="2132" t="s">
        <v>2914</v>
      </c>
      <c r="G601" s="2188" t="s">
        <v>2483</v>
      </c>
      <c r="H601" s="2188"/>
      <c r="I601" s="21" t="s">
        <v>2664</v>
      </c>
      <c r="J601" s="21"/>
      <c r="K601" s="2048" t="s">
        <v>2915</v>
      </c>
      <c r="L601" s="21"/>
      <c r="M601" s="37">
        <f t="shared" si="71"/>
        <v>5.70839658853877</v>
      </c>
      <c r="N601" s="37">
        <v>27.3060753208559</v>
      </c>
      <c r="O601" s="37">
        <v>3.81</v>
      </c>
      <c r="P601" s="37">
        <f t="shared" si="70"/>
        <v>36.8244719093947</v>
      </c>
      <c r="Q601" s="219" t="s">
        <v>2854</v>
      </c>
      <c r="R601" s="23" t="s">
        <v>2916</v>
      </c>
      <c r="S601" s="804"/>
      <c r="T601" s="120"/>
      <c r="W601" s="1940"/>
      <c r="AB601" s="1940"/>
    </row>
    <row r="602" s="839" customFormat="1" ht="16" customHeight="1" spans="1:28">
      <c r="A602" s="839">
        <v>473</v>
      </c>
      <c r="B602" s="23"/>
      <c r="C602" s="23"/>
      <c r="D602" s="21">
        <v>20250730</v>
      </c>
      <c r="E602" s="21">
        <v>7.17</v>
      </c>
      <c r="F602" s="2132" t="s">
        <v>2917</v>
      </c>
      <c r="G602" s="2188" t="s">
        <v>2486</v>
      </c>
      <c r="H602" s="2188"/>
      <c r="I602" s="21" t="s">
        <v>2680</v>
      </c>
      <c r="J602" s="21"/>
      <c r="K602" s="2048" t="s">
        <v>2915</v>
      </c>
      <c r="L602" s="21"/>
      <c r="M602" s="37">
        <f t="shared" si="71"/>
        <v>5.70839658853877</v>
      </c>
      <c r="N602" s="37">
        <v>27.3060753208559</v>
      </c>
      <c r="O602" s="37">
        <v>3.81</v>
      </c>
      <c r="P602" s="37">
        <f t="shared" si="70"/>
        <v>36.8244719093947</v>
      </c>
      <c r="Q602" s="219" t="s">
        <v>2854</v>
      </c>
      <c r="R602" s="23" t="s">
        <v>2916</v>
      </c>
      <c r="S602" s="804"/>
      <c r="T602" s="120"/>
      <c r="W602" s="1940"/>
      <c r="AB602" s="1940"/>
    </row>
    <row r="603" s="839" customFormat="1" ht="16" customHeight="1" spans="1:28">
      <c r="A603" s="839">
        <v>474</v>
      </c>
      <c r="B603" s="23"/>
      <c r="C603" s="23"/>
      <c r="D603" s="21">
        <v>20250730</v>
      </c>
      <c r="E603" s="21">
        <v>7.17</v>
      </c>
      <c r="F603" s="2132" t="s">
        <v>2918</v>
      </c>
      <c r="G603" s="2188" t="s">
        <v>2488</v>
      </c>
      <c r="H603" s="2188"/>
      <c r="I603" s="21" t="s">
        <v>2919</v>
      </c>
      <c r="J603" s="21"/>
      <c r="K603" s="2048">
        <v>430</v>
      </c>
      <c r="L603" s="21"/>
      <c r="M603" s="37">
        <f t="shared" si="71"/>
        <v>5.70839658853877</v>
      </c>
      <c r="N603" s="37">
        <v>27.3060753208559</v>
      </c>
      <c r="O603" s="37">
        <v>3.81</v>
      </c>
      <c r="P603" s="37">
        <f t="shared" si="70"/>
        <v>466.824471909395</v>
      </c>
      <c r="Q603" s="219" t="s">
        <v>2854</v>
      </c>
      <c r="R603" s="23" t="s">
        <v>2916</v>
      </c>
      <c r="S603" s="804"/>
      <c r="T603" s="120"/>
      <c r="W603" s="1940"/>
      <c r="AB603" s="1940"/>
    </row>
    <row r="604" s="839" customFormat="1" ht="16" customHeight="1" spans="1:28">
      <c r="A604" s="839">
        <v>475</v>
      </c>
      <c r="B604" s="23"/>
      <c r="C604" s="23"/>
      <c r="D604" s="21">
        <v>20250730</v>
      </c>
      <c r="E604" s="21">
        <v>7.17</v>
      </c>
      <c r="F604" s="2132" t="s">
        <v>2920</v>
      </c>
      <c r="G604" s="2188" t="s">
        <v>2383</v>
      </c>
      <c r="H604" s="2188"/>
      <c r="I604" s="21" t="s">
        <v>2886</v>
      </c>
      <c r="J604" s="21"/>
      <c r="K604" s="2048" t="s">
        <v>1428</v>
      </c>
      <c r="L604" s="21"/>
      <c r="M604" s="37">
        <f t="shared" si="71"/>
        <v>5.70839658853877</v>
      </c>
      <c r="N604" s="37">
        <v>25.9688170450385</v>
      </c>
      <c r="O604" s="37">
        <v>3.81</v>
      </c>
      <c r="P604" s="37">
        <f t="shared" si="70"/>
        <v>35.4872136335773</v>
      </c>
      <c r="Q604" s="219" t="s">
        <v>2854</v>
      </c>
      <c r="R604" s="23" t="s">
        <v>2911</v>
      </c>
      <c r="S604" s="804"/>
      <c r="T604" s="120"/>
      <c r="W604" s="1940"/>
      <c r="AB604" s="1940"/>
    </row>
    <row r="605" s="839" customFormat="1" ht="16" customHeight="1" spans="1:28">
      <c r="A605" s="839">
        <v>476</v>
      </c>
      <c r="B605" s="23"/>
      <c r="C605" s="23"/>
      <c r="D605" s="21">
        <v>20250522</v>
      </c>
      <c r="E605" s="21">
        <v>7.17</v>
      </c>
      <c r="F605" s="2132" t="s">
        <v>351</v>
      </c>
      <c r="G605" s="2188" t="s">
        <v>352</v>
      </c>
      <c r="H605" s="2188"/>
      <c r="I605" s="21"/>
      <c r="J605" s="21"/>
      <c r="K605" s="2048"/>
      <c r="L605" s="21"/>
      <c r="M605" s="37">
        <v>0.617123955517705</v>
      </c>
      <c r="N605" s="37">
        <v>3.47499200623912</v>
      </c>
      <c r="O605" s="37">
        <v>0.4</v>
      </c>
      <c r="P605" s="37">
        <f t="shared" si="70"/>
        <v>4.49211596175683</v>
      </c>
      <c r="Q605" s="219"/>
      <c r="R605" s="23" t="s">
        <v>353</v>
      </c>
      <c r="S605" s="804"/>
      <c r="T605" s="120"/>
      <c r="W605" s="1940"/>
      <c r="AB605" s="1940"/>
    </row>
    <row r="606" s="42" customFormat="1" ht="16" customHeight="1" spans="1:28">
      <c r="A606" s="839">
        <v>477</v>
      </c>
      <c r="B606" s="23"/>
      <c r="C606" s="23"/>
      <c r="D606" s="689">
        <v>20241009</v>
      </c>
      <c r="E606" s="21">
        <v>7.17</v>
      </c>
      <c r="F606" s="2132" t="s">
        <v>354</v>
      </c>
      <c r="G606" s="21" t="s">
        <v>355</v>
      </c>
      <c r="H606" s="21"/>
      <c r="I606" s="21"/>
      <c r="J606" s="21"/>
      <c r="K606" s="2048"/>
      <c r="L606" s="21"/>
      <c r="M606" s="37">
        <v>0.93918701905944</v>
      </c>
      <c r="N606" s="37">
        <v>4.20145265442166</v>
      </c>
      <c r="O606" s="37">
        <v>0.4</v>
      </c>
      <c r="P606" s="37">
        <f t="shared" ref="P606:P613" si="72">SUM(K606:O606)</f>
        <v>5.5406396734811</v>
      </c>
      <c r="Q606" s="219"/>
      <c r="R606" s="23" t="s">
        <v>2921</v>
      </c>
      <c r="S606" s="804"/>
      <c r="T606" s="120"/>
      <c r="W606" s="2163"/>
      <c r="Z606" s="839"/>
      <c r="AA606" s="839"/>
      <c r="AB606" s="1940"/>
    </row>
    <row r="607" s="42" customFormat="1" ht="16" customHeight="1" spans="1:28">
      <c r="A607" s="839">
        <v>478</v>
      </c>
      <c r="B607" s="23"/>
      <c r="C607" s="23"/>
      <c r="D607" s="689">
        <v>20241009</v>
      </c>
      <c r="E607" s="21">
        <v>7.17</v>
      </c>
      <c r="F607" s="2132" t="s">
        <v>357</v>
      </c>
      <c r="G607" s="21" t="s">
        <v>358</v>
      </c>
      <c r="H607" s="21"/>
      <c r="I607" s="21"/>
      <c r="J607" s="21"/>
      <c r="K607" s="2048"/>
      <c r="L607" s="21"/>
      <c r="M607" s="37">
        <v>0.913343454166204</v>
      </c>
      <c r="N607" s="37">
        <v>5.00244700669752</v>
      </c>
      <c r="O607" s="37">
        <v>0.4</v>
      </c>
      <c r="P607" s="37">
        <f t="shared" si="72"/>
        <v>6.31579046086372</v>
      </c>
      <c r="Q607" s="219"/>
      <c r="R607" s="23" t="s">
        <v>2922</v>
      </c>
      <c r="S607" s="804"/>
      <c r="T607" s="120"/>
      <c r="W607" s="2163"/>
      <c r="Z607" s="839"/>
      <c r="AA607" s="839"/>
      <c r="AB607" s="1940"/>
    </row>
    <row r="608" s="42" customFormat="1" ht="16" customHeight="1" spans="1:28">
      <c r="A608" s="839">
        <v>479</v>
      </c>
      <c r="B608" s="23"/>
      <c r="C608" s="23"/>
      <c r="D608" s="21">
        <v>20241028</v>
      </c>
      <c r="E608" s="21">
        <v>7.17</v>
      </c>
      <c r="F608" s="2132" t="s">
        <v>360</v>
      </c>
      <c r="G608" s="21" t="s">
        <v>361</v>
      </c>
      <c r="H608" s="21"/>
      <c r="I608" s="21"/>
      <c r="J608" s="21"/>
      <c r="K608" s="2048"/>
      <c r="L608" s="21"/>
      <c r="M608" s="37">
        <v>0.93918701905944</v>
      </c>
      <c r="N608" s="37">
        <v>4.410407312461</v>
      </c>
      <c r="O608" s="37">
        <v>0.4</v>
      </c>
      <c r="P608" s="37">
        <f t="shared" si="72"/>
        <v>5.74959433152044</v>
      </c>
      <c r="Q608" s="219"/>
      <c r="R608" s="23" t="s">
        <v>2923</v>
      </c>
      <c r="S608" s="804"/>
      <c r="T608" s="120"/>
      <c r="W608" s="2163"/>
      <c r="Z608" s="839"/>
      <c r="AA608" s="839"/>
      <c r="AB608" s="1940"/>
    </row>
    <row r="609" s="42" customFormat="1" ht="16" customHeight="1" spans="1:28">
      <c r="A609" s="839">
        <v>480</v>
      </c>
      <c r="B609" s="23"/>
      <c r="C609" s="23"/>
      <c r="D609" s="21">
        <v>20241028</v>
      </c>
      <c r="E609" s="21">
        <v>7.17</v>
      </c>
      <c r="F609" s="2132" t="s">
        <v>363</v>
      </c>
      <c r="G609" s="21" t="s">
        <v>364</v>
      </c>
      <c r="H609" s="21"/>
      <c r="I609" s="21"/>
      <c r="J609" s="21"/>
      <c r="K609" s="2048"/>
      <c r="L609" s="21"/>
      <c r="M609" s="37">
        <v>0.93918701905944</v>
      </c>
      <c r="N609" s="37">
        <v>7.09762246072317</v>
      </c>
      <c r="O609" s="37">
        <v>0.4</v>
      </c>
      <c r="P609" s="37">
        <f t="shared" si="72"/>
        <v>8.43680947978261</v>
      </c>
      <c r="Q609" s="219"/>
      <c r="R609" s="23" t="s">
        <v>2924</v>
      </c>
      <c r="S609" s="804"/>
      <c r="T609" s="120"/>
      <c r="W609" s="2163"/>
      <c r="Z609" s="839"/>
      <c r="AA609" s="839"/>
      <c r="AB609" s="1940"/>
    </row>
    <row r="610" s="42" customFormat="1" ht="16" customHeight="1" spans="1:28">
      <c r="A610" s="839">
        <v>481</v>
      </c>
      <c r="B610" s="23"/>
      <c r="C610" s="23"/>
      <c r="D610" s="21">
        <v>20241028</v>
      </c>
      <c r="E610" s="21">
        <v>7.17</v>
      </c>
      <c r="F610" s="2132" t="s">
        <v>366</v>
      </c>
      <c r="G610" s="21" t="s">
        <v>367</v>
      </c>
      <c r="H610" s="21"/>
      <c r="I610" s="21"/>
      <c r="J610" s="21"/>
      <c r="K610" s="2048"/>
      <c r="L610" s="21"/>
      <c r="M610" s="37">
        <v>0.93918701905944</v>
      </c>
      <c r="N610" s="37">
        <v>5.1131392156055</v>
      </c>
      <c r="O610" s="37">
        <v>0.4</v>
      </c>
      <c r="P610" s="37">
        <f t="shared" si="72"/>
        <v>6.45232623466494</v>
      </c>
      <c r="Q610" s="219"/>
      <c r="R610" s="23" t="s">
        <v>2925</v>
      </c>
      <c r="S610" s="804"/>
      <c r="T610" s="120"/>
      <c r="W610" s="2163"/>
      <c r="Z610" s="839"/>
      <c r="AA610" s="839"/>
      <c r="AB610" s="1940"/>
    </row>
    <row r="611" s="42" customFormat="1" ht="16" customHeight="1" spans="1:28">
      <c r="A611" s="839">
        <v>482</v>
      </c>
      <c r="B611" s="23"/>
      <c r="C611" s="23"/>
      <c r="D611" s="21">
        <v>20241028</v>
      </c>
      <c r="E611" s="21">
        <v>7.17</v>
      </c>
      <c r="F611" s="2132" t="s">
        <v>369</v>
      </c>
      <c r="G611" s="21" t="s">
        <v>370</v>
      </c>
      <c r="H611" s="21"/>
      <c r="I611" s="21"/>
      <c r="J611" s="21"/>
      <c r="K611" s="2048"/>
      <c r="L611" s="21"/>
      <c r="M611" s="37">
        <v>0.93918701905944</v>
      </c>
      <c r="N611" s="37">
        <v>4.71560348671034</v>
      </c>
      <c r="O611" s="37">
        <v>0.4</v>
      </c>
      <c r="P611" s="37">
        <f t="shared" si="72"/>
        <v>6.05479050576978</v>
      </c>
      <c r="Q611" s="219"/>
      <c r="R611" s="23" t="s">
        <v>2923</v>
      </c>
      <c r="S611" s="804"/>
      <c r="T611" s="120"/>
      <c r="W611" s="2163"/>
      <c r="Z611" s="839"/>
      <c r="AA611" s="839"/>
      <c r="AB611" s="1940"/>
    </row>
    <row r="612" s="42" customFormat="1" ht="16" customHeight="1" spans="1:28">
      <c r="A612" s="839">
        <v>483</v>
      </c>
      <c r="B612" s="23"/>
      <c r="C612" s="23"/>
      <c r="D612" s="21">
        <v>20250206</v>
      </c>
      <c r="E612" s="21">
        <v>7.17</v>
      </c>
      <c r="F612" s="2132" t="s">
        <v>1426</v>
      </c>
      <c r="G612" s="21" t="s">
        <v>1427</v>
      </c>
      <c r="H612" s="21"/>
      <c r="I612" s="21"/>
      <c r="J612" s="21"/>
      <c r="K612" s="2048"/>
      <c r="L612" s="21"/>
      <c r="M612" s="37" t="s">
        <v>1428</v>
      </c>
      <c r="N612" s="37">
        <v>0.679655864216525</v>
      </c>
      <c r="O612" s="37">
        <v>0.2</v>
      </c>
      <c r="P612" s="37">
        <f t="shared" si="72"/>
        <v>0.879655864216525</v>
      </c>
      <c r="Q612" s="219"/>
      <c r="R612" s="23" t="s">
        <v>2926</v>
      </c>
      <c r="S612" s="804"/>
      <c r="T612" s="120"/>
      <c r="W612" s="2163"/>
      <c r="Z612" s="839"/>
      <c r="AA612" s="839"/>
      <c r="AB612" s="1940"/>
    </row>
    <row r="613" s="42" customFormat="1" ht="16" customHeight="1" spans="1:28">
      <c r="A613" s="839">
        <v>484</v>
      </c>
      <c r="B613" s="23"/>
      <c r="C613" s="23"/>
      <c r="D613" s="21">
        <v>20240731</v>
      </c>
      <c r="E613" s="21">
        <v>7.17</v>
      </c>
      <c r="F613" s="2132" t="s">
        <v>371</v>
      </c>
      <c r="G613" s="21" t="s">
        <v>372</v>
      </c>
      <c r="H613" s="21"/>
      <c r="I613" s="21"/>
      <c r="J613" s="21"/>
      <c r="K613" s="2048"/>
      <c r="L613" s="21"/>
      <c r="M613" s="37">
        <v>0.883686435171446</v>
      </c>
      <c r="N613" s="37">
        <v>6.58836633648226</v>
      </c>
      <c r="O613" s="37">
        <v>0.4</v>
      </c>
      <c r="P613" s="37">
        <f t="shared" si="72"/>
        <v>7.87205277165371</v>
      </c>
      <c r="Q613" s="219"/>
      <c r="R613" s="23" t="s">
        <v>2927</v>
      </c>
      <c r="S613" s="804"/>
      <c r="T613" s="120" t="s">
        <v>1406</v>
      </c>
      <c r="W613" s="2163"/>
      <c r="Z613" s="839"/>
      <c r="AA613" s="839"/>
      <c r="AB613" s="1940"/>
    </row>
    <row r="614" s="42" customFormat="1" ht="16" customHeight="1" spans="1:28">
      <c r="A614" s="839">
        <v>485</v>
      </c>
      <c r="B614" s="23"/>
      <c r="C614" s="23"/>
      <c r="D614" s="21">
        <v>20240621</v>
      </c>
      <c r="E614" s="21">
        <v>7.17</v>
      </c>
      <c r="F614" s="2132" t="s">
        <v>374</v>
      </c>
      <c r="G614" s="21" t="s">
        <v>375</v>
      </c>
      <c r="H614" s="21"/>
      <c r="I614" s="21"/>
      <c r="J614" s="21"/>
      <c r="K614" s="2048"/>
      <c r="L614" s="21"/>
      <c r="M614" s="37">
        <v>0.883686435171446</v>
      </c>
      <c r="N614" s="37">
        <v>5.32743688258773</v>
      </c>
      <c r="O614" s="37">
        <v>0.4</v>
      </c>
      <c r="P614" s="37">
        <f t="shared" ref="P614:P622" si="73">SUM(K614:O614)</f>
        <v>6.61112331775918</v>
      </c>
      <c r="Q614" s="219"/>
      <c r="R614" s="23" t="s">
        <v>2928</v>
      </c>
      <c r="S614" s="804"/>
      <c r="T614" s="120" t="s">
        <v>1406</v>
      </c>
      <c r="W614" s="2163"/>
      <c r="Z614" s="839"/>
      <c r="AA614" s="839"/>
      <c r="AB614" s="1940"/>
    </row>
    <row r="615" s="42" customFormat="1" ht="16" customHeight="1" spans="1:28">
      <c r="A615" s="839">
        <v>486</v>
      </c>
      <c r="B615" s="23"/>
      <c r="C615" s="23"/>
      <c r="D615" s="21">
        <v>20240715</v>
      </c>
      <c r="E615" s="21">
        <v>7.17</v>
      </c>
      <c r="F615" s="2132" t="s">
        <v>377</v>
      </c>
      <c r="G615" s="21" t="s">
        <v>378</v>
      </c>
      <c r="H615" s="21"/>
      <c r="I615" s="21"/>
      <c r="J615" s="21"/>
      <c r="K615" s="2048"/>
      <c r="L615" s="21"/>
      <c r="M615" s="37">
        <v>0.881257057804633</v>
      </c>
      <c r="N615" s="37">
        <v>4.09284980995103</v>
      </c>
      <c r="O615" s="37">
        <v>0.4</v>
      </c>
      <c r="P615" s="37">
        <f t="shared" si="73"/>
        <v>5.37410686775566</v>
      </c>
      <c r="Q615" s="219"/>
      <c r="R615" s="23" t="s">
        <v>2859</v>
      </c>
      <c r="S615" s="804"/>
      <c r="T615" s="120"/>
      <c r="W615" s="2163"/>
      <c r="Z615" s="839"/>
      <c r="AA615" s="839"/>
      <c r="AB615" s="1940"/>
    </row>
    <row r="616" s="42" customFormat="1" ht="16" customHeight="1" spans="1:28">
      <c r="A616" s="839">
        <v>487</v>
      </c>
      <c r="B616" s="687" t="s">
        <v>2929</v>
      </c>
      <c r="C616" s="687"/>
      <c r="D616" s="153">
        <v>20250418</v>
      </c>
      <c r="E616" s="153">
        <v>7.17</v>
      </c>
      <c r="F616" s="2125" t="s">
        <v>2930</v>
      </c>
      <c r="G616" s="2192" t="s">
        <v>1629</v>
      </c>
      <c r="H616" s="2192"/>
      <c r="I616" s="153" t="s">
        <v>2931</v>
      </c>
      <c r="J616" s="153" t="s">
        <v>1428</v>
      </c>
      <c r="K616" s="2048">
        <v>300</v>
      </c>
      <c r="L616" s="21" t="s">
        <v>1428</v>
      </c>
      <c r="M616" s="37">
        <v>5.99597635181003</v>
      </c>
      <c r="N616" s="37">
        <v>25.1200811594823</v>
      </c>
      <c r="O616" s="37">
        <v>3.4</v>
      </c>
      <c r="P616" s="37">
        <f t="shared" si="73"/>
        <v>334.516057511292</v>
      </c>
      <c r="Q616" s="219" t="s">
        <v>2854</v>
      </c>
      <c r="R616" s="23" t="s">
        <v>2932</v>
      </c>
      <c r="S616" s="804"/>
      <c r="T616" s="120"/>
      <c r="W616" s="2163"/>
      <c r="Z616" s="839"/>
      <c r="AA616" s="839"/>
      <c r="AB616" s="1940"/>
    </row>
    <row r="617" s="42" customFormat="1" ht="16" customHeight="1" spans="1:28">
      <c r="A617" s="839"/>
      <c r="B617" s="687"/>
      <c r="C617" s="687"/>
      <c r="D617" s="153"/>
      <c r="E617" s="153">
        <v>6.75</v>
      </c>
      <c r="F617" s="1975" t="s">
        <v>2933</v>
      </c>
      <c r="G617" s="2192"/>
      <c r="H617" s="2192"/>
      <c r="I617" s="153"/>
      <c r="J617" s="153" t="s">
        <v>1428</v>
      </c>
      <c r="K617" s="2048" t="s">
        <v>712</v>
      </c>
      <c r="L617" s="153" t="s">
        <v>1428</v>
      </c>
      <c r="M617" s="154">
        <f>56.41/E617/1.13</f>
        <v>7.39560799737791</v>
      </c>
      <c r="N617" s="154">
        <v>26.85</v>
      </c>
      <c r="O617" s="154">
        <v>3.4</v>
      </c>
      <c r="P617" s="154">
        <f t="shared" si="73"/>
        <v>37.6456079973779</v>
      </c>
      <c r="Q617" s="219"/>
      <c r="R617" s="23"/>
      <c r="S617" s="804"/>
      <c r="T617" s="120"/>
      <c r="W617" s="2163"/>
      <c r="Z617" s="839"/>
      <c r="AA617" s="839"/>
      <c r="AB617" s="1940"/>
    </row>
    <row r="618" s="42" customFormat="1" ht="16" customHeight="1" spans="1:28">
      <c r="A618" s="839"/>
      <c r="B618" s="687"/>
      <c r="C618" s="687"/>
      <c r="D618" s="1017">
        <v>46227</v>
      </c>
      <c r="E618" s="153">
        <v>6.78</v>
      </c>
      <c r="F618" s="2125" t="s">
        <v>2934</v>
      </c>
      <c r="G618" s="2192"/>
      <c r="H618" s="2192"/>
      <c r="I618" s="153"/>
      <c r="J618" s="153" t="s">
        <v>1428</v>
      </c>
      <c r="K618" s="2048" t="s">
        <v>712</v>
      </c>
      <c r="L618" s="153" t="s">
        <v>1428</v>
      </c>
      <c r="M618" s="154">
        <f>50.51/E618/1.13*1.05</f>
        <v>6.92242932101183</v>
      </c>
      <c r="N618" s="154">
        <v>30.5</v>
      </c>
      <c r="O618" s="154">
        <v>3.4</v>
      </c>
      <c r="P618" s="154">
        <f t="shared" si="73"/>
        <v>40.8224293210118</v>
      </c>
      <c r="Q618" s="219"/>
      <c r="R618" s="23"/>
      <c r="S618" s="804"/>
      <c r="T618" s="120"/>
      <c r="W618" s="2163"/>
      <c r="Z618" s="839"/>
      <c r="AA618" s="839"/>
      <c r="AB618" s="1940"/>
    </row>
    <row r="619" s="839" customFormat="1" ht="16" customHeight="1" spans="1:28">
      <c r="A619" s="839">
        <v>488</v>
      </c>
      <c r="B619" s="687"/>
      <c r="C619" s="687"/>
      <c r="D619" s="153">
        <v>20250721</v>
      </c>
      <c r="E619" s="153">
        <v>7.17</v>
      </c>
      <c r="F619" s="2125" t="s">
        <v>2935</v>
      </c>
      <c r="G619" s="2192" t="s">
        <v>1645</v>
      </c>
      <c r="H619" s="2192"/>
      <c r="I619" s="153" t="s">
        <v>2692</v>
      </c>
      <c r="J619" s="153"/>
      <c r="K619" s="2048">
        <v>150</v>
      </c>
      <c r="L619" s="21"/>
      <c r="M619" s="37">
        <v>5.99597635181003</v>
      </c>
      <c r="N619" s="37">
        <v>23.13358017347</v>
      </c>
      <c r="O619" s="37">
        <v>3.4</v>
      </c>
      <c r="P619" s="37">
        <f t="shared" si="73"/>
        <v>182.52955652528</v>
      </c>
      <c r="Q619" s="219" t="s">
        <v>2854</v>
      </c>
      <c r="R619" s="23" t="s">
        <v>2936</v>
      </c>
      <c r="S619" s="804"/>
      <c r="T619" s="120"/>
      <c r="W619" s="1940"/>
      <c r="AB619" s="1940"/>
    </row>
    <row r="620" s="839" customFormat="1" ht="16" customHeight="1" spans="1:28">
      <c r="B620" s="687"/>
      <c r="C620" s="687"/>
      <c r="D620" s="153"/>
      <c r="E620" s="153">
        <v>6.8</v>
      </c>
      <c r="F620" s="2125" t="s">
        <v>2937</v>
      </c>
      <c r="G620" s="2192"/>
      <c r="H620" s="2192"/>
      <c r="I620" s="153"/>
      <c r="J620" s="153" t="s">
        <v>1428</v>
      </c>
      <c r="K620" s="2193" t="s">
        <v>712</v>
      </c>
      <c r="L620" s="827" t="s">
        <v>1428</v>
      </c>
      <c r="M620" s="831">
        <f>46.23/E620/1.13</f>
        <v>6.01639770952629</v>
      </c>
      <c r="N620" s="831">
        <v>26.6</v>
      </c>
      <c r="O620" s="831">
        <v>3.4</v>
      </c>
      <c r="P620" s="831">
        <f t="shared" si="73"/>
        <v>36.0163977095263</v>
      </c>
      <c r="Q620" s="219"/>
      <c r="R620" s="23"/>
      <c r="S620" s="804"/>
      <c r="T620" s="120"/>
      <c r="W620" s="1940"/>
      <c r="AB620" s="1940"/>
    </row>
    <row r="621" s="839" customFormat="1" ht="16" customHeight="1" spans="1:28">
      <c r="A621" s="839">
        <v>489</v>
      </c>
      <c r="B621" s="687"/>
      <c r="C621" s="687"/>
      <c r="D621" s="153">
        <v>20250721</v>
      </c>
      <c r="E621" s="153">
        <v>7.17</v>
      </c>
      <c r="F621" s="2125" t="s">
        <v>2938</v>
      </c>
      <c r="G621" s="2192" t="s">
        <v>1571</v>
      </c>
      <c r="H621" s="2192"/>
      <c r="I621" s="153" t="s">
        <v>2664</v>
      </c>
      <c r="J621" s="153"/>
      <c r="K621" s="2048" t="s">
        <v>2939</v>
      </c>
      <c r="L621" s="21"/>
      <c r="M621" s="37">
        <v>5.99597635181003</v>
      </c>
      <c r="N621" s="37">
        <v>23.9386458533215</v>
      </c>
      <c r="O621" s="37">
        <v>3.4</v>
      </c>
      <c r="P621" s="37">
        <f t="shared" si="73"/>
        <v>33.3346222051315</v>
      </c>
      <c r="Q621" s="219" t="s">
        <v>2854</v>
      </c>
      <c r="R621" s="23" t="s">
        <v>2940</v>
      </c>
      <c r="S621" s="804"/>
      <c r="T621" s="120"/>
      <c r="W621" s="1940"/>
      <c r="AB621" s="1940"/>
    </row>
    <row r="622" s="839" customFormat="1" ht="16" customHeight="1" spans="1:28">
      <c r="A622" s="839">
        <v>490</v>
      </c>
      <c r="B622" s="687"/>
      <c r="C622" s="687"/>
      <c r="D622" s="1017">
        <v>46079</v>
      </c>
      <c r="E622" s="153">
        <v>6.8802</v>
      </c>
      <c r="F622" s="2125" t="s">
        <v>2941</v>
      </c>
      <c r="G622" s="2192" t="s">
        <v>1581</v>
      </c>
      <c r="H622" s="2192"/>
      <c r="I622" s="153" t="s">
        <v>2742</v>
      </c>
      <c r="J622" s="153"/>
      <c r="K622" s="2048" t="s">
        <v>712</v>
      </c>
      <c r="L622" s="699" t="s">
        <v>712</v>
      </c>
      <c r="M622" s="37">
        <f>39.83/E622/1.13</f>
        <v>5.1230760167756</v>
      </c>
      <c r="N622" s="37">
        <v>27.5</v>
      </c>
      <c r="O622" s="37">
        <f>3.4*1.04</f>
        <v>3.536</v>
      </c>
      <c r="P622" s="37">
        <f t="shared" si="73"/>
        <v>36.1590760167756</v>
      </c>
      <c r="Q622" s="219" t="s">
        <v>1526</v>
      </c>
      <c r="R622" s="23" t="s">
        <v>2940</v>
      </c>
      <c r="S622" s="804"/>
      <c r="T622" s="120"/>
      <c r="W622" s="1940"/>
      <c r="AB622" s="1940"/>
    </row>
    <row r="623" s="839" customFormat="1" ht="16" customHeight="1" spans="1:28">
      <c r="A623" s="839">
        <v>491</v>
      </c>
      <c r="B623" s="687"/>
      <c r="C623" s="687"/>
      <c r="D623" s="153">
        <v>20250721</v>
      </c>
      <c r="E623" s="153">
        <v>7.17</v>
      </c>
      <c r="F623" s="2125" t="s">
        <v>2942</v>
      </c>
      <c r="G623" s="2192" t="s">
        <v>1685</v>
      </c>
      <c r="H623" s="2192"/>
      <c r="I623" s="153" t="s">
        <v>2931</v>
      </c>
      <c r="J623" s="153"/>
      <c r="K623" s="2048">
        <v>300</v>
      </c>
      <c r="L623" s="21"/>
      <c r="M623" s="37">
        <v>5.99597635181003</v>
      </c>
      <c r="N623" s="37">
        <v>25.9923480537936</v>
      </c>
      <c r="O623" s="37">
        <v>3.4</v>
      </c>
      <c r="P623" s="37">
        <f t="shared" ref="P623:P686" si="74">SUM(K623:O623)</f>
        <v>335.388324405604</v>
      </c>
      <c r="Q623" s="219" t="s">
        <v>2854</v>
      </c>
      <c r="R623" s="167" t="s">
        <v>2943</v>
      </c>
      <c r="S623" s="804"/>
      <c r="T623" s="120"/>
      <c r="W623" s="1940"/>
      <c r="AB623" s="1940"/>
    </row>
    <row r="624" s="42" customFormat="1" ht="16" customHeight="1" spans="1:28">
      <c r="A624" s="839">
        <v>492</v>
      </c>
      <c r="B624" s="23" t="s">
        <v>2944</v>
      </c>
      <c r="C624" s="23"/>
      <c r="D624" s="21">
        <v>20250211</v>
      </c>
      <c r="E624" s="21">
        <v>7.17</v>
      </c>
      <c r="F624" s="2132" t="s">
        <v>380</v>
      </c>
      <c r="G624" s="21" t="s">
        <v>381</v>
      </c>
      <c r="H624" s="21"/>
      <c r="I624" s="21"/>
      <c r="J624" s="21"/>
      <c r="K624" s="2048"/>
      <c r="L624" s="36"/>
      <c r="M624" s="22">
        <v>0.320015863021777</v>
      </c>
      <c r="N624" s="22">
        <v>1.00364113494327</v>
      </c>
      <c r="O624" s="37">
        <v>0.2</v>
      </c>
      <c r="P624" s="37">
        <f t="shared" si="74"/>
        <v>1.52365699796505</v>
      </c>
      <c r="Q624" s="219"/>
      <c r="R624" s="23" t="s">
        <v>382</v>
      </c>
      <c r="S624" s="804"/>
      <c r="T624" s="120"/>
      <c r="W624" s="2163"/>
      <c r="Z624" s="839"/>
      <c r="AA624" s="839"/>
      <c r="AB624" s="1940"/>
    </row>
    <row r="625" s="42" customFormat="1" ht="16" customHeight="1" spans="1:28">
      <c r="A625" s="839">
        <v>493</v>
      </c>
      <c r="B625" s="23"/>
      <c r="C625" s="23"/>
      <c r="D625" s="21"/>
      <c r="E625" s="21"/>
      <c r="F625" s="2132" t="s">
        <v>383</v>
      </c>
      <c r="G625" s="21" t="s">
        <v>384</v>
      </c>
      <c r="H625" s="21"/>
      <c r="I625" s="21"/>
      <c r="J625" s="21"/>
      <c r="K625" s="2048"/>
      <c r="L625" s="36"/>
      <c r="M625" s="22">
        <v>0.51</v>
      </c>
      <c r="N625" s="22">
        <v>2.68</v>
      </c>
      <c r="O625" s="37">
        <v>0.4</v>
      </c>
      <c r="P625" s="37">
        <f t="shared" si="74"/>
        <v>3.59</v>
      </c>
      <c r="Q625" s="219"/>
      <c r="R625" s="20" t="s">
        <v>25</v>
      </c>
      <c r="S625" s="805"/>
      <c r="T625" s="120" t="s">
        <v>1406</v>
      </c>
      <c r="W625" s="2163"/>
      <c r="Z625" s="839"/>
      <c r="AA625" s="839"/>
      <c r="AB625" s="1940"/>
    </row>
    <row r="626" s="42" customFormat="1" ht="16" customHeight="1" spans="1:28">
      <c r="A626" s="839">
        <v>494</v>
      </c>
      <c r="B626" s="23"/>
      <c r="C626" s="23"/>
      <c r="D626" s="21"/>
      <c r="E626" s="21"/>
      <c r="F626" s="2132" t="s">
        <v>385</v>
      </c>
      <c r="G626" s="21" t="s">
        <v>386</v>
      </c>
      <c r="H626" s="21"/>
      <c r="I626" s="21"/>
      <c r="J626" s="21"/>
      <c r="K626" s="2048"/>
      <c r="L626" s="36"/>
      <c r="M626" s="22">
        <v>0.610837438423645</v>
      </c>
      <c r="N626" s="22">
        <v>2.1871921182266</v>
      </c>
      <c r="O626" s="37">
        <v>0.2</v>
      </c>
      <c r="P626" s="37">
        <f t="shared" si="74"/>
        <v>2.99802955665025</v>
      </c>
      <c r="Q626" s="219"/>
      <c r="R626" s="20"/>
      <c r="S626" s="805"/>
      <c r="T626" s="120" t="s">
        <v>1406</v>
      </c>
      <c r="W626" s="2163"/>
      <c r="Z626" s="839"/>
      <c r="AA626" s="839"/>
      <c r="AB626" s="1940"/>
    </row>
    <row r="627" s="42" customFormat="1" ht="16" customHeight="1" spans="1:28">
      <c r="A627" s="839">
        <v>495</v>
      </c>
      <c r="B627" s="23"/>
      <c r="C627" s="23"/>
      <c r="D627" s="21"/>
      <c r="E627" s="21"/>
      <c r="F627" s="2132" t="s">
        <v>387</v>
      </c>
      <c r="G627" s="21" t="s">
        <v>388</v>
      </c>
      <c r="H627" s="21"/>
      <c r="I627" s="21"/>
      <c r="J627" s="21"/>
      <c r="K627" s="2048"/>
      <c r="L627" s="36"/>
      <c r="M627" s="22">
        <v>0.354679802955665</v>
      </c>
      <c r="N627" s="22">
        <v>1.08843537414966</v>
      </c>
      <c r="O627" s="37">
        <v>0.2</v>
      </c>
      <c r="P627" s="37">
        <f t="shared" si="74"/>
        <v>1.64311517710532</v>
      </c>
      <c r="Q627" s="219"/>
      <c r="R627" s="20"/>
      <c r="S627" s="805"/>
      <c r="T627" s="120" t="s">
        <v>1406</v>
      </c>
      <c r="W627" s="2163"/>
      <c r="Z627" s="839"/>
      <c r="AA627" s="839"/>
      <c r="AB627" s="1940"/>
    </row>
    <row r="628" s="42" customFormat="1" ht="16" customHeight="1" spans="1:28">
      <c r="A628" s="839">
        <v>496</v>
      </c>
      <c r="B628" s="23"/>
      <c r="C628" s="23"/>
      <c r="D628" s="21"/>
      <c r="E628" s="21"/>
      <c r="F628" s="2132" t="s">
        <v>389</v>
      </c>
      <c r="G628" s="21" t="s">
        <v>390</v>
      </c>
      <c r="H628" s="21"/>
      <c r="I628" s="21"/>
      <c r="J628" s="21"/>
      <c r="K628" s="2048"/>
      <c r="L628" s="36"/>
      <c r="M628" s="22">
        <v>0.61</v>
      </c>
      <c r="N628" s="22">
        <v>5.22857142857143</v>
      </c>
      <c r="O628" s="37">
        <v>0.4</v>
      </c>
      <c r="P628" s="37">
        <f t="shared" si="74"/>
        <v>6.23857142857143</v>
      </c>
      <c r="Q628" s="219"/>
      <c r="R628" s="20"/>
      <c r="S628" s="805"/>
      <c r="T628" s="120" t="s">
        <v>1406</v>
      </c>
      <c r="W628" s="2163"/>
      <c r="Z628" s="839"/>
      <c r="AA628" s="839"/>
      <c r="AB628" s="1940"/>
    </row>
    <row r="629" s="42" customFormat="1" ht="16" customHeight="1" spans="1:28">
      <c r="A629" s="839">
        <v>497</v>
      </c>
      <c r="B629" s="23"/>
      <c r="C629" s="23"/>
      <c r="D629" s="21"/>
      <c r="E629" s="21"/>
      <c r="F629" s="2132" t="s">
        <v>391</v>
      </c>
      <c r="G629" s="21" t="s">
        <v>392</v>
      </c>
      <c r="H629" s="21"/>
      <c r="I629" s="21"/>
      <c r="J629" s="21"/>
      <c r="K629" s="2048"/>
      <c r="L629" s="36"/>
      <c r="M629" s="22">
        <v>0.814</v>
      </c>
      <c r="N629" s="22">
        <v>5.06666666666667</v>
      </c>
      <c r="O629" s="37">
        <v>0.4</v>
      </c>
      <c r="P629" s="37">
        <f t="shared" si="74"/>
        <v>6.28066666666667</v>
      </c>
      <c r="Q629" s="219"/>
      <c r="R629" s="20"/>
      <c r="S629" s="805"/>
      <c r="T629" s="120" t="s">
        <v>1406</v>
      </c>
      <c r="W629" s="2163"/>
      <c r="Z629" s="839"/>
      <c r="AA629" s="839"/>
      <c r="AB629" s="1940"/>
    </row>
    <row r="630" s="42" customFormat="1" ht="16" customHeight="1" spans="1:28">
      <c r="A630" s="839">
        <v>498</v>
      </c>
      <c r="B630" s="23"/>
      <c r="C630" s="23"/>
      <c r="D630" s="21"/>
      <c r="E630" s="21"/>
      <c r="F630" s="2132" t="s">
        <v>393</v>
      </c>
      <c r="G630" s="21" t="s">
        <v>394</v>
      </c>
      <c r="H630" s="21"/>
      <c r="I630" s="21"/>
      <c r="J630" s="21"/>
      <c r="K630" s="2048"/>
      <c r="L630" s="36"/>
      <c r="M630" s="22">
        <v>0.363</v>
      </c>
      <c r="N630" s="22">
        <v>1.03809523809524</v>
      </c>
      <c r="O630" s="37">
        <v>0.2</v>
      </c>
      <c r="P630" s="37">
        <f t="shared" si="74"/>
        <v>1.60109523809524</v>
      </c>
      <c r="Q630" s="219"/>
      <c r="R630" s="20"/>
      <c r="S630" s="805"/>
      <c r="T630" s="120" t="s">
        <v>1406</v>
      </c>
      <c r="W630" s="2163"/>
      <c r="Z630" s="839"/>
      <c r="AA630" s="839"/>
      <c r="AB630" s="1940"/>
    </row>
    <row r="631" s="42" customFormat="1" ht="16" customHeight="1" spans="1:28">
      <c r="A631" s="839">
        <v>499</v>
      </c>
      <c r="B631" s="23"/>
      <c r="C631" s="23"/>
      <c r="D631" s="21"/>
      <c r="E631" s="21"/>
      <c r="F631" s="2132" t="s">
        <v>395</v>
      </c>
      <c r="G631" s="21" t="s">
        <v>396</v>
      </c>
      <c r="H631" s="21"/>
      <c r="I631" s="21"/>
      <c r="J631" s="21"/>
      <c r="K631" s="2048"/>
      <c r="L631" s="36"/>
      <c r="M631" s="22">
        <v>0.403940886699507</v>
      </c>
      <c r="N631" s="22">
        <v>2.16748768472906</v>
      </c>
      <c r="O631" s="37">
        <v>0.2</v>
      </c>
      <c r="P631" s="37">
        <f t="shared" si="74"/>
        <v>2.77142857142857</v>
      </c>
      <c r="Q631" s="219"/>
      <c r="R631" s="20"/>
      <c r="S631" s="805"/>
      <c r="T631" s="120" t="s">
        <v>1406</v>
      </c>
      <c r="W631" s="2163"/>
      <c r="Z631" s="839"/>
      <c r="AA631" s="839"/>
      <c r="AB631" s="1940"/>
    </row>
    <row r="632" s="42" customFormat="1" ht="16" customHeight="1" spans="1:28">
      <c r="A632" s="839">
        <v>500</v>
      </c>
      <c r="B632" s="23"/>
      <c r="C632" s="23"/>
      <c r="D632" s="21"/>
      <c r="E632" s="21"/>
      <c r="F632" s="2132" t="s">
        <v>397</v>
      </c>
      <c r="G632" s="21" t="s">
        <v>398</v>
      </c>
      <c r="H632" s="21"/>
      <c r="I632" s="21"/>
      <c r="J632" s="21"/>
      <c r="K632" s="2048"/>
      <c r="L632" s="36"/>
      <c r="M632" s="22">
        <v>0.46354</v>
      </c>
      <c r="N632" s="22">
        <v>3.42857142857143</v>
      </c>
      <c r="O632" s="37">
        <v>0.4</v>
      </c>
      <c r="P632" s="37">
        <f t="shared" si="74"/>
        <v>4.29211142857143</v>
      </c>
      <c r="Q632" s="219"/>
      <c r="R632" s="20"/>
      <c r="S632" s="805"/>
      <c r="T632" s="120" t="s">
        <v>1406</v>
      </c>
      <c r="W632" s="2163"/>
      <c r="Z632" s="839"/>
      <c r="AA632" s="839"/>
      <c r="AB632" s="1940"/>
    </row>
    <row r="633" s="42" customFormat="1" ht="16" customHeight="1" spans="1:28">
      <c r="A633" s="839">
        <v>501</v>
      </c>
      <c r="B633" s="23"/>
      <c r="C633" s="23"/>
      <c r="D633" s="21"/>
      <c r="E633" s="21"/>
      <c r="F633" s="2132" t="s">
        <v>399</v>
      </c>
      <c r="G633" s="21" t="s">
        <v>400</v>
      </c>
      <c r="H633" s="21"/>
      <c r="I633" s="21"/>
      <c r="J633" s="21"/>
      <c r="K633" s="2048"/>
      <c r="L633" s="36"/>
      <c r="M633" s="22">
        <v>0.39</v>
      </c>
      <c r="N633" s="22">
        <v>2.77</v>
      </c>
      <c r="O633" s="37">
        <v>0.4</v>
      </c>
      <c r="P633" s="37">
        <f t="shared" si="74"/>
        <v>3.56</v>
      </c>
      <c r="Q633" s="219"/>
      <c r="R633" s="20"/>
      <c r="S633" s="805"/>
      <c r="T633" s="120" t="s">
        <v>1406</v>
      </c>
      <c r="W633" s="2163"/>
      <c r="Z633" s="839"/>
      <c r="AA633" s="839"/>
      <c r="AB633" s="1940"/>
    </row>
    <row r="634" s="42" customFormat="1" ht="16" customHeight="1" spans="1:28">
      <c r="A634" s="839">
        <v>502</v>
      </c>
      <c r="B634" s="23"/>
      <c r="C634" s="23"/>
      <c r="D634" s="21"/>
      <c r="E634" s="21"/>
      <c r="F634" s="2132" t="s">
        <v>401</v>
      </c>
      <c r="G634" s="21" t="s">
        <v>402</v>
      </c>
      <c r="H634" s="21"/>
      <c r="I634" s="21"/>
      <c r="J634" s="21"/>
      <c r="K634" s="2048"/>
      <c r="L634" s="36"/>
      <c r="M634" s="22">
        <v>0.363</v>
      </c>
      <c r="N634" s="22">
        <v>1.39047619047619</v>
      </c>
      <c r="O634" s="37">
        <v>0.2</v>
      </c>
      <c r="P634" s="37">
        <f t="shared" si="74"/>
        <v>1.95347619047619</v>
      </c>
      <c r="Q634" s="219"/>
      <c r="R634" s="20"/>
      <c r="S634" s="805"/>
      <c r="T634" s="120" t="s">
        <v>1406</v>
      </c>
      <c r="W634" s="2163"/>
      <c r="Z634" s="839"/>
      <c r="AA634" s="839"/>
      <c r="AB634" s="1940"/>
    </row>
    <row r="635" s="42" customFormat="1" ht="16" customHeight="1" spans="1:28">
      <c r="A635" s="839">
        <v>503</v>
      </c>
      <c r="B635" s="23"/>
      <c r="C635" s="23"/>
      <c r="D635" s="21"/>
      <c r="E635" s="21"/>
      <c r="F635" s="2132" t="s">
        <v>403</v>
      </c>
      <c r="G635" s="21" t="s">
        <v>404</v>
      </c>
      <c r="H635" s="21"/>
      <c r="I635" s="21"/>
      <c r="J635" s="21"/>
      <c r="K635" s="2048"/>
      <c r="L635" s="36"/>
      <c r="M635" s="22">
        <v>0.36</v>
      </c>
      <c r="N635" s="22">
        <v>1.38</v>
      </c>
      <c r="O635" s="37">
        <v>0.3</v>
      </c>
      <c r="P635" s="37">
        <f t="shared" si="74"/>
        <v>2.04</v>
      </c>
      <c r="Q635" s="219"/>
      <c r="R635" s="20"/>
      <c r="S635" s="805"/>
      <c r="T635" s="120" t="s">
        <v>1406</v>
      </c>
      <c r="W635" s="2163"/>
      <c r="Z635" s="839"/>
      <c r="AA635" s="839"/>
      <c r="AB635" s="1940"/>
    </row>
    <row r="636" s="42" customFormat="1" ht="16" customHeight="1" spans="1:28">
      <c r="A636" s="839">
        <v>504</v>
      </c>
      <c r="B636" s="23"/>
      <c r="C636" s="23"/>
      <c r="D636" s="21"/>
      <c r="E636" s="21"/>
      <c r="F636" s="2132" t="s">
        <v>405</v>
      </c>
      <c r="G636" s="21" t="s">
        <v>406</v>
      </c>
      <c r="H636" s="21"/>
      <c r="I636" s="21"/>
      <c r="J636" s="21"/>
      <c r="K636" s="2048"/>
      <c r="L636" s="36"/>
      <c r="M636" s="22">
        <v>0.33</v>
      </c>
      <c r="N636" s="22">
        <v>1.78</v>
      </c>
      <c r="O636" s="37">
        <v>0.2</v>
      </c>
      <c r="P636" s="37">
        <f t="shared" si="74"/>
        <v>2.31</v>
      </c>
      <c r="Q636" s="219"/>
      <c r="R636" s="20"/>
      <c r="S636" s="805"/>
      <c r="T636" s="120" t="s">
        <v>1406</v>
      </c>
      <c r="W636" s="2163"/>
      <c r="Z636" s="839"/>
      <c r="AA636" s="839"/>
      <c r="AB636" s="1940"/>
    </row>
    <row r="637" s="839" customFormat="1" ht="16" customHeight="1" spans="1:28">
      <c r="A637" s="839">
        <v>505</v>
      </c>
      <c r="B637" s="23" t="s">
        <v>407</v>
      </c>
      <c r="C637" s="23"/>
      <c r="D637" s="21">
        <v>20240125</v>
      </c>
      <c r="E637" s="21">
        <v>7.17</v>
      </c>
      <c r="F637" s="2132" t="s">
        <v>408</v>
      </c>
      <c r="G637" s="690" t="s">
        <v>409</v>
      </c>
      <c r="H637" s="690"/>
      <c r="I637" s="21"/>
      <c r="J637" s="21"/>
      <c r="K637" s="2048"/>
      <c r="L637" s="779"/>
      <c r="M637" s="22">
        <v>0.274125</v>
      </c>
      <c r="N637" s="22">
        <v>0.650850273597728</v>
      </c>
      <c r="O637" s="37">
        <v>0.2</v>
      </c>
      <c r="P637" s="37">
        <f t="shared" si="74"/>
        <v>1.12497527359773</v>
      </c>
      <c r="Q637" s="219"/>
      <c r="R637" s="39"/>
      <c r="S637" s="1931"/>
      <c r="T637" s="120" t="s">
        <v>1406</v>
      </c>
      <c r="W637" s="1940"/>
      <c r="AB637" s="1940"/>
    </row>
    <row r="638" s="839" customFormat="1" ht="16" customHeight="1" spans="1:28">
      <c r="A638" s="839">
        <v>506</v>
      </c>
      <c r="B638" s="23"/>
      <c r="C638" s="23"/>
      <c r="D638" s="21"/>
      <c r="E638" s="21"/>
      <c r="F638" s="2130" t="s">
        <v>1979</v>
      </c>
      <c r="G638" s="690" t="s">
        <v>410</v>
      </c>
      <c r="H638" s="690"/>
      <c r="I638" s="21"/>
      <c r="J638" s="21"/>
      <c r="K638" s="2048"/>
      <c r="L638" s="779"/>
      <c r="M638" s="22">
        <v>0.615621392843401</v>
      </c>
      <c r="N638" s="22">
        <v>2.09142865702193</v>
      </c>
      <c r="O638" s="37">
        <v>0.4</v>
      </c>
      <c r="P638" s="37">
        <f t="shared" si="74"/>
        <v>3.10705004986533</v>
      </c>
      <c r="Q638" s="219"/>
      <c r="R638" s="39"/>
      <c r="S638" s="1931"/>
      <c r="T638" s="120" t="s">
        <v>1406</v>
      </c>
      <c r="W638" s="1940"/>
      <c r="AB638" s="1940"/>
    </row>
    <row r="639" s="839" customFormat="1" ht="16" customHeight="1" spans="1:28">
      <c r="A639" s="839">
        <v>507</v>
      </c>
      <c r="B639" s="23"/>
      <c r="C639" s="23"/>
      <c r="D639" s="21"/>
      <c r="E639" s="21"/>
      <c r="F639" s="2130" t="s">
        <v>1979</v>
      </c>
      <c r="G639" s="690" t="s">
        <v>411</v>
      </c>
      <c r="H639" s="690"/>
      <c r="I639" s="21"/>
      <c r="J639" s="21"/>
      <c r="K639" s="2048"/>
      <c r="L639" s="779"/>
      <c r="M639" s="22">
        <v>0.76</v>
      </c>
      <c r="N639" s="22">
        <v>2.95238095238096</v>
      </c>
      <c r="O639" s="37">
        <v>0.2</v>
      </c>
      <c r="P639" s="37">
        <f t="shared" si="74"/>
        <v>3.91238095238096</v>
      </c>
      <c r="Q639" s="219"/>
      <c r="R639" s="39"/>
      <c r="S639" s="1931"/>
      <c r="T639" s="120" t="s">
        <v>1406</v>
      </c>
      <c r="W639" s="1940"/>
      <c r="AB639" s="1940"/>
    </row>
    <row r="640" s="839" customFormat="1" ht="16" customHeight="1" spans="1:28">
      <c r="A640" s="839">
        <v>508</v>
      </c>
      <c r="B640" s="23"/>
      <c r="C640" s="23"/>
      <c r="D640" s="21"/>
      <c r="E640" s="21"/>
      <c r="F640" s="2130" t="s">
        <v>1979</v>
      </c>
      <c r="G640" s="690" t="s">
        <v>412</v>
      </c>
      <c r="H640" s="690"/>
      <c r="I640" s="21"/>
      <c r="J640" s="21"/>
      <c r="K640" s="2048"/>
      <c r="L640" s="779"/>
      <c r="M640" s="22">
        <v>0.8</v>
      </c>
      <c r="N640" s="22">
        <v>4.88857612010321</v>
      </c>
      <c r="O640" s="37">
        <v>0.4</v>
      </c>
      <c r="P640" s="37">
        <f t="shared" si="74"/>
        <v>6.08857612010321</v>
      </c>
      <c r="Q640" s="219"/>
      <c r="R640" s="39" t="s">
        <v>2945</v>
      </c>
      <c r="S640" s="1931"/>
      <c r="T640" s="120" t="s">
        <v>1406</v>
      </c>
      <c r="W640" s="1940"/>
      <c r="AB640" s="1940"/>
    </row>
    <row r="641" s="839" customFormat="1" ht="16" customHeight="1" spans="1:28">
      <c r="A641" s="839">
        <v>509</v>
      </c>
      <c r="B641" s="23"/>
      <c r="C641" s="23"/>
      <c r="D641" s="21"/>
      <c r="E641" s="21"/>
      <c r="F641" s="2130" t="s">
        <v>1979</v>
      </c>
      <c r="G641" s="690" t="s">
        <v>414</v>
      </c>
      <c r="H641" s="690"/>
      <c r="I641" s="21"/>
      <c r="J641" s="21"/>
      <c r="K641" s="2048"/>
      <c r="L641" s="779"/>
      <c r="M641" s="22">
        <v>0.83</v>
      </c>
      <c r="N641" s="22">
        <v>5.30143091719446</v>
      </c>
      <c r="O641" s="37">
        <v>0.4</v>
      </c>
      <c r="P641" s="37">
        <f t="shared" si="74"/>
        <v>6.53143091719446</v>
      </c>
      <c r="Q641" s="219"/>
      <c r="R641" s="39" t="s">
        <v>2946</v>
      </c>
      <c r="S641" s="1931"/>
      <c r="T641" s="120" t="s">
        <v>1406</v>
      </c>
      <c r="W641" s="1940"/>
      <c r="AB641" s="1940"/>
    </row>
    <row r="642" s="839" customFormat="1" ht="16" customHeight="1" spans="1:28">
      <c r="A642" s="839">
        <v>510</v>
      </c>
      <c r="B642" s="23"/>
      <c r="C642" s="23"/>
      <c r="D642" s="21"/>
      <c r="E642" s="21"/>
      <c r="F642" s="2130" t="s">
        <v>1979</v>
      </c>
      <c r="G642" s="690" t="s">
        <v>416</v>
      </c>
      <c r="H642" s="690"/>
      <c r="I642" s="21"/>
      <c r="J642" s="21"/>
      <c r="K642" s="2048"/>
      <c r="L642" s="779"/>
      <c r="M642" s="22">
        <v>0.27</v>
      </c>
      <c r="N642" s="22">
        <v>0.476190476190476</v>
      </c>
      <c r="O642" s="37">
        <v>0.2</v>
      </c>
      <c r="P642" s="37">
        <f t="shared" si="74"/>
        <v>0.946190476190476</v>
      </c>
      <c r="Q642" s="219"/>
      <c r="R642" s="39"/>
      <c r="S642" s="1931"/>
      <c r="T642" s="120" t="s">
        <v>1406</v>
      </c>
      <c r="W642" s="1940"/>
      <c r="AB642" s="1940"/>
    </row>
    <row r="643" s="839" customFormat="1" ht="16" customHeight="1" spans="1:28">
      <c r="A643" s="839">
        <v>511</v>
      </c>
      <c r="B643" s="23"/>
      <c r="C643" s="23"/>
      <c r="D643" s="21"/>
      <c r="E643" s="21"/>
      <c r="F643" s="2130" t="s">
        <v>1979</v>
      </c>
      <c r="G643" s="690" t="s">
        <v>417</v>
      </c>
      <c r="H643" s="690"/>
      <c r="I643" s="690"/>
      <c r="J643" s="690"/>
      <c r="K643" s="2048"/>
      <c r="L643" s="779"/>
      <c r="M643" s="22">
        <v>0.79</v>
      </c>
      <c r="N643" s="22">
        <v>4.9047619047619</v>
      </c>
      <c r="O643" s="37">
        <v>0.4</v>
      </c>
      <c r="P643" s="37">
        <f t="shared" si="74"/>
        <v>6.0947619047619</v>
      </c>
      <c r="Q643" s="219"/>
      <c r="R643" s="39" t="s">
        <v>346</v>
      </c>
      <c r="S643" s="1931"/>
      <c r="T643" s="120" t="s">
        <v>1406</v>
      </c>
      <c r="W643" s="1940"/>
      <c r="AB643" s="1940"/>
    </row>
    <row r="644" s="839" customFormat="1" ht="16" customHeight="1" spans="1:28">
      <c r="A644" s="839">
        <v>512</v>
      </c>
      <c r="B644" s="23"/>
      <c r="C644" s="23"/>
      <c r="D644" s="21"/>
      <c r="E644" s="21"/>
      <c r="F644" s="2130" t="s">
        <v>1979</v>
      </c>
      <c r="G644" s="690" t="s">
        <v>418</v>
      </c>
      <c r="H644" s="690"/>
      <c r="I644" s="690"/>
      <c r="J644" s="690"/>
      <c r="K644" s="2048"/>
      <c r="L644" s="779"/>
      <c r="M644" s="22">
        <v>0.73</v>
      </c>
      <c r="N644" s="22">
        <v>4.07224958949097</v>
      </c>
      <c r="O644" s="37">
        <v>0.4</v>
      </c>
      <c r="P644" s="37">
        <f t="shared" si="74"/>
        <v>5.20224958949097</v>
      </c>
      <c r="Q644" s="219"/>
      <c r="R644" s="39" t="s">
        <v>346</v>
      </c>
      <c r="S644" s="1931"/>
      <c r="T644" s="120" t="s">
        <v>1406</v>
      </c>
      <c r="W644" s="1940"/>
      <c r="AB644" s="1940"/>
    </row>
    <row r="645" s="839" customFormat="1" ht="16" customHeight="1" spans="1:28">
      <c r="A645" s="839">
        <v>513</v>
      </c>
      <c r="B645" s="23"/>
      <c r="C645" s="23"/>
      <c r="D645" s="21"/>
      <c r="E645" s="21"/>
      <c r="F645" s="2130" t="s">
        <v>1979</v>
      </c>
      <c r="G645" s="690" t="s">
        <v>419</v>
      </c>
      <c r="H645" s="690"/>
      <c r="I645" s="690"/>
      <c r="J645" s="690"/>
      <c r="K645" s="2048"/>
      <c r="L645" s="779"/>
      <c r="M645" s="22">
        <v>0.58</v>
      </c>
      <c r="N645" s="22">
        <v>3.65001172882946</v>
      </c>
      <c r="O645" s="37">
        <v>0.3</v>
      </c>
      <c r="P645" s="37">
        <f t="shared" si="74"/>
        <v>4.53001172882946</v>
      </c>
      <c r="Q645" s="219"/>
      <c r="R645" s="39" t="s">
        <v>346</v>
      </c>
      <c r="S645" s="1931"/>
      <c r="T645" s="120" t="s">
        <v>1406</v>
      </c>
      <c r="W645" s="1940"/>
      <c r="AB645" s="1940"/>
    </row>
    <row r="646" s="839" customFormat="1" ht="16" customHeight="1" spans="1:28">
      <c r="A646" s="839">
        <v>514</v>
      </c>
      <c r="B646" s="23"/>
      <c r="C646" s="23"/>
      <c r="D646" s="21"/>
      <c r="E646" s="21"/>
      <c r="F646" s="2130" t="s">
        <v>1979</v>
      </c>
      <c r="G646" s="690" t="s">
        <v>420</v>
      </c>
      <c r="H646" s="690"/>
      <c r="I646" s="690"/>
      <c r="J646" s="690"/>
      <c r="K646" s="2048"/>
      <c r="L646" s="779"/>
      <c r="M646" s="22">
        <v>0.35</v>
      </c>
      <c r="N646" s="22">
        <v>1.08571428571429</v>
      </c>
      <c r="O646" s="37">
        <v>0.2</v>
      </c>
      <c r="P646" s="37">
        <f t="shared" si="74"/>
        <v>1.63571428571429</v>
      </c>
      <c r="Q646" s="219"/>
      <c r="R646" s="39"/>
      <c r="S646" s="1931"/>
      <c r="T646" s="120" t="s">
        <v>1406</v>
      </c>
      <c r="W646" s="1940"/>
      <c r="AB646" s="1940"/>
    </row>
    <row r="647" s="839" customFormat="1" ht="16" customHeight="1" spans="1:28">
      <c r="A647" s="839">
        <v>515</v>
      </c>
      <c r="B647" s="23"/>
      <c r="C647" s="23"/>
      <c r="D647" s="21"/>
      <c r="E647" s="21"/>
      <c r="F647" s="2130" t="s">
        <v>1979</v>
      </c>
      <c r="G647" s="690" t="s">
        <v>421</v>
      </c>
      <c r="H647" s="690"/>
      <c r="I647" s="21"/>
      <c r="J647" s="21"/>
      <c r="K647" s="2048"/>
      <c r="L647" s="779"/>
      <c r="M647" s="22">
        <v>0.9</v>
      </c>
      <c r="N647" s="22">
        <v>3.61904761904762</v>
      </c>
      <c r="O647" s="37">
        <v>0.4</v>
      </c>
      <c r="P647" s="37">
        <f t="shared" si="74"/>
        <v>4.91904761904762</v>
      </c>
      <c r="Q647" s="219"/>
      <c r="R647" s="39" t="s">
        <v>2947</v>
      </c>
      <c r="S647" s="1931"/>
      <c r="T647" s="120" t="s">
        <v>1406</v>
      </c>
      <c r="W647" s="1940"/>
      <c r="AB647" s="1940"/>
    </row>
    <row r="648" s="839" customFormat="1" ht="16" customHeight="1" spans="1:28">
      <c r="A648" s="839">
        <v>516</v>
      </c>
      <c r="B648" s="23"/>
      <c r="C648" s="23"/>
      <c r="D648" s="21"/>
      <c r="E648" s="21"/>
      <c r="F648" s="2130" t="s">
        <v>1979</v>
      </c>
      <c r="G648" s="690" t="s">
        <v>423</v>
      </c>
      <c r="H648" s="690"/>
      <c r="I648" s="21"/>
      <c r="J648" s="21"/>
      <c r="K648" s="2048"/>
      <c r="L648" s="779"/>
      <c r="M648" s="22">
        <v>0.86</v>
      </c>
      <c r="N648" s="22">
        <v>3.33333333333333</v>
      </c>
      <c r="O648" s="37">
        <v>0.4</v>
      </c>
      <c r="P648" s="37">
        <f t="shared" si="74"/>
        <v>4.59333333333333</v>
      </c>
      <c r="Q648" s="219"/>
      <c r="R648" s="39" t="s">
        <v>2947</v>
      </c>
      <c r="S648" s="1931"/>
      <c r="T648" s="120" t="s">
        <v>1406</v>
      </c>
      <c r="W648" s="1940"/>
      <c r="AB648" s="1940"/>
    </row>
    <row r="649" s="839" customFormat="1" ht="16" customHeight="1" spans="1:28">
      <c r="A649" s="839">
        <v>517</v>
      </c>
      <c r="B649" s="23"/>
      <c r="C649" s="23"/>
      <c r="D649" s="21"/>
      <c r="E649" s="21"/>
      <c r="F649" s="2130" t="s">
        <v>1979</v>
      </c>
      <c r="G649" s="690" t="s">
        <v>424</v>
      </c>
      <c r="H649" s="690"/>
      <c r="I649" s="21"/>
      <c r="J649" s="21"/>
      <c r="K649" s="2048"/>
      <c r="L649" s="779"/>
      <c r="M649" s="22">
        <v>0.42955</v>
      </c>
      <c r="N649" s="22">
        <v>1.02318095238096</v>
      </c>
      <c r="O649" s="37">
        <v>0.2</v>
      </c>
      <c r="P649" s="37">
        <f t="shared" si="74"/>
        <v>1.65273095238096</v>
      </c>
      <c r="Q649" s="219"/>
      <c r="R649" s="39"/>
      <c r="S649" s="1931"/>
      <c r="T649" s="120" t="s">
        <v>1406</v>
      </c>
      <c r="W649" s="1940"/>
      <c r="AB649" s="1940"/>
    </row>
    <row r="650" s="839" customFormat="1" ht="16" customHeight="1" spans="1:28">
      <c r="A650" s="839">
        <v>518</v>
      </c>
      <c r="B650" s="23"/>
      <c r="C650" s="23"/>
      <c r="D650" s="21"/>
      <c r="E650" s="21"/>
      <c r="F650" s="2130" t="s">
        <v>1979</v>
      </c>
      <c r="G650" s="690" t="s">
        <v>425</v>
      </c>
      <c r="H650" s="690"/>
      <c r="I650" s="21"/>
      <c r="J650" s="21"/>
      <c r="K650" s="2048"/>
      <c r="L650" s="779"/>
      <c r="M650" s="22">
        <v>0.46354</v>
      </c>
      <c r="N650" s="22">
        <v>3.86582219094534</v>
      </c>
      <c r="O650" s="37">
        <v>0.4</v>
      </c>
      <c r="P650" s="37">
        <f t="shared" si="74"/>
        <v>4.72936219094534</v>
      </c>
      <c r="Q650" s="219"/>
      <c r="R650" s="39" t="s">
        <v>2948</v>
      </c>
      <c r="S650" s="1931"/>
      <c r="T650" s="120" t="s">
        <v>1406</v>
      </c>
      <c r="W650" s="1940"/>
      <c r="AB650" s="1940"/>
    </row>
    <row r="651" s="839" customFormat="1" ht="16" customHeight="1" spans="1:28">
      <c r="A651" s="839">
        <v>519</v>
      </c>
      <c r="B651" s="23"/>
      <c r="C651" s="23"/>
      <c r="D651" s="21"/>
      <c r="E651" s="21"/>
      <c r="F651" s="2130" t="s">
        <v>1979</v>
      </c>
      <c r="G651" s="690" t="s">
        <v>427</v>
      </c>
      <c r="H651" s="690"/>
      <c r="I651" s="21"/>
      <c r="J651" s="21"/>
      <c r="K651" s="2048"/>
      <c r="L651" s="779"/>
      <c r="M651" s="22">
        <v>0.46354</v>
      </c>
      <c r="N651" s="22">
        <v>3.43420126671359</v>
      </c>
      <c r="O651" s="37">
        <v>0.4</v>
      </c>
      <c r="P651" s="37">
        <f t="shared" si="74"/>
        <v>4.29774126671359</v>
      </c>
      <c r="Q651" s="219"/>
      <c r="R651" s="39" t="s">
        <v>25</v>
      </c>
      <c r="S651" s="1931"/>
      <c r="T651" s="120" t="s">
        <v>1406</v>
      </c>
      <c r="W651" s="1940"/>
      <c r="AB651" s="1940"/>
    </row>
    <row r="652" s="839" customFormat="1" ht="16" customHeight="1" spans="1:28">
      <c r="A652" s="839">
        <v>520</v>
      </c>
      <c r="B652" s="23"/>
      <c r="C652" s="23"/>
      <c r="D652" s="21"/>
      <c r="E652" s="21"/>
      <c r="F652" s="2130" t="s">
        <v>1979</v>
      </c>
      <c r="G652" s="690" t="s">
        <v>428</v>
      </c>
      <c r="H652" s="690"/>
      <c r="I652" s="21"/>
      <c r="J652" s="21"/>
      <c r="K652" s="2048"/>
      <c r="L652" s="779"/>
      <c r="M652" s="22">
        <v>0.39556</v>
      </c>
      <c r="N652" s="22">
        <v>3.24653999530846</v>
      </c>
      <c r="O652" s="37">
        <v>0.4</v>
      </c>
      <c r="P652" s="37">
        <f t="shared" si="74"/>
        <v>4.04209999530846</v>
      </c>
      <c r="Q652" s="219"/>
      <c r="R652" s="39" t="s">
        <v>25</v>
      </c>
      <c r="S652" s="1931"/>
      <c r="T652" s="120" t="s">
        <v>1406</v>
      </c>
      <c r="W652" s="1940"/>
      <c r="AB652" s="1940"/>
    </row>
    <row r="653" s="839" customFormat="1" ht="16" customHeight="1" spans="1:28">
      <c r="A653" s="839">
        <v>521</v>
      </c>
      <c r="B653" s="23"/>
      <c r="C653" s="23"/>
      <c r="D653" s="21"/>
      <c r="E653" s="21"/>
      <c r="F653" s="2130" t="s">
        <v>1979</v>
      </c>
      <c r="G653" s="690" t="s">
        <v>429</v>
      </c>
      <c r="H653" s="690"/>
      <c r="I653" s="21"/>
      <c r="J653" s="21"/>
      <c r="K653" s="2048"/>
      <c r="L653" s="779"/>
      <c r="M653" s="22">
        <v>0.385</v>
      </c>
      <c r="N653" s="22">
        <v>3.29345531315974</v>
      </c>
      <c r="O653" s="37">
        <v>0.4</v>
      </c>
      <c r="P653" s="37">
        <f t="shared" si="74"/>
        <v>4.07845531315974</v>
      </c>
      <c r="Q653" s="219"/>
      <c r="R653" s="39" t="s">
        <v>25</v>
      </c>
      <c r="S653" s="1931"/>
      <c r="T653" s="120" t="s">
        <v>1406</v>
      </c>
      <c r="W653" s="1940"/>
      <c r="AB653" s="1940"/>
    </row>
    <row r="654" s="839" customFormat="1" ht="16" customHeight="1" spans="1:28">
      <c r="A654" s="839">
        <v>522</v>
      </c>
      <c r="B654" s="23"/>
      <c r="C654" s="23"/>
      <c r="D654" s="21"/>
      <c r="E654" s="21"/>
      <c r="F654" s="2130" t="s">
        <v>1979</v>
      </c>
      <c r="G654" s="690" t="s">
        <v>430</v>
      </c>
      <c r="H654" s="690"/>
      <c r="I654" s="21"/>
      <c r="J654" s="21"/>
      <c r="K654" s="2048"/>
      <c r="L654" s="779"/>
      <c r="M654" s="22">
        <v>0.96206</v>
      </c>
      <c r="N654" s="22">
        <v>4.34435843302838</v>
      </c>
      <c r="O654" s="37">
        <v>0.4</v>
      </c>
      <c r="P654" s="37">
        <f t="shared" si="74"/>
        <v>5.70641843302838</v>
      </c>
      <c r="Q654" s="219"/>
      <c r="R654" s="39" t="s">
        <v>2948</v>
      </c>
      <c r="S654" s="1931"/>
      <c r="T654" s="120" t="s">
        <v>1406</v>
      </c>
      <c r="W654" s="1940"/>
      <c r="AB654" s="1940"/>
    </row>
    <row r="655" s="839" customFormat="1" ht="16" customHeight="1" spans="1:28">
      <c r="A655" s="839">
        <v>523</v>
      </c>
      <c r="B655" s="23"/>
      <c r="C655" s="23"/>
      <c r="D655" s="21"/>
      <c r="E655" s="21"/>
      <c r="F655" s="2130" t="s">
        <v>1979</v>
      </c>
      <c r="G655" s="690" t="s">
        <v>431</v>
      </c>
      <c r="H655" s="690"/>
      <c r="I655" s="21"/>
      <c r="J655" s="21"/>
      <c r="K655" s="2048"/>
      <c r="L655" s="779"/>
      <c r="M655" s="22">
        <v>0.39556</v>
      </c>
      <c r="N655" s="22">
        <v>0.876190476190476</v>
      </c>
      <c r="O655" s="37">
        <v>0.4</v>
      </c>
      <c r="P655" s="37">
        <f t="shared" si="74"/>
        <v>1.67175047619048</v>
      </c>
      <c r="Q655" s="219"/>
      <c r="R655" s="39"/>
      <c r="S655" s="1931"/>
      <c r="T655" s="120" t="s">
        <v>1406</v>
      </c>
      <c r="W655" s="1940"/>
      <c r="AB655" s="1940"/>
    </row>
    <row r="656" s="839" customFormat="1" ht="16" customHeight="1" spans="1:28">
      <c r="A656" s="839">
        <v>524</v>
      </c>
      <c r="B656" s="19" t="s">
        <v>2949</v>
      </c>
      <c r="C656" s="19"/>
      <c r="D656" s="21">
        <v>20250416</v>
      </c>
      <c r="E656" s="21">
        <v>7.17</v>
      </c>
      <c r="F656" s="2132" t="s">
        <v>2950</v>
      </c>
      <c r="G656" s="21" t="s">
        <v>1672</v>
      </c>
      <c r="H656" s="21"/>
      <c r="I656" s="21" t="s">
        <v>2951</v>
      </c>
      <c r="J656" s="21" t="s">
        <v>1720</v>
      </c>
      <c r="K656" s="2048" t="s">
        <v>2952</v>
      </c>
      <c r="L656" s="36">
        <v>2.3</v>
      </c>
      <c r="M656" s="37">
        <v>2.70857491608178</v>
      </c>
      <c r="N656" s="22">
        <v>12.6526070482786</v>
      </c>
      <c r="O656" s="37">
        <f t="shared" ref="O656:O668" si="75">23.19/E656/1.13</f>
        <v>2.86222090569112</v>
      </c>
      <c r="P656" s="22">
        <f t="shared" si="74"/>
        <v>20.5234028700515</v>
      </c>
      <c r="Q656" s="219" t="s">
        <v>2854</v>
      </c>
      <c r="R656" s="23" t="s">
        <v>2953</v>
      </c>
      <c r="S656" s="804"/>
      <c r="T656" s="120" t="s">
        <v>1406</v>
      </c>
      <c r="W656" s="1940"/>
      <c r="AB656" s="1940"/>
    </row>
    <row r="657" s="839" customFormat="1" ht="16" customHeight="1" spans="1:28">
      <c r="A657" s="839">
        <v>525</v>
      </c>
      <c r="B657" s="19"/>
      <c r="C657" s="19"/>
      <c r="D657" s="21">
        <v>20250421</v>
      </c>
      <c r="E657" s="21">
        <v>7.17</v>
      </c>
      <c r="F657" s="2132" t="s">
        <v>2954</v>
      </c>
      <c r="G657" s="21" t="s">
        <v>1581</v>
      </c>
      <c r="H657" s="21"/>
      <c r="I657" s="21" t="s">
        <v>2951</v>
      </c>
      <c r="J657" s="21" t="s">
        <v>2955</v>
      </c>
      <c r="K657" s="2048" t="s">
        <v>2952</v>
      </c>
      <c r="L657" s="36" t="s">
        <v>1428</v>
      </c>
      <c r="M657" s="37">
        <v>2.70857491608178</v>
      </c>
      <c r="N657" s="22">
        <v>11.4034068671627</v>
      </c>
      <c r="O657" s="37">
        <f t="shared" si="75"/>
        <v>2.86222090569112</v>
      </c>
      <c r="P657" s="22">
        <f t="shared" si="74"/>
        <v>16.9742026889356</v>
      </c>
      <c r="Q657" s="219" t="s">
        <v>2854</v>
      </c>
      <c r="R657" s="23" t="s">
        <v>2956</v>
      </c>
      <c r="S657" s="804"/>
      <c r="T657" s="120"/>
      <c r="W657" s="1940"/>
      <c r="AB657" s="1940"/>
    </row>
    <row r="658" s="839" customFormat="1" ht="16" customHeight="1" spans="1:28">
      <c r="A658" s="839">
        <v>526</v>
      </c>
      <c r="B658" s="19"/>
      <c r="C658" s="19"/>
      <c r="D658" s="697"/>
      <c r="E658" s="21">
        <v>7.17</v>
      </c>
      <c r="F658" s="2130" t="s">
        <v>1979</v>
      </c>
      <c r="G658" s="21" t="s">
        <v>2427</v>
      </c>
      <c r="H658" s="21"/>
      <c r="I658" s="21" t="s">
        <v>2951</v>
      </c>
      <c r="J658" s="21" t="s">
        <v>1720</v>
      </c>
      <c r="K658" s="2048" t="s">
        <v>2957</v>
      </c>
      <c r="L658" s="36">
        <v>2.3</v>
      </c>
      <c r="M658" s="37">
        <v>2.70857491608178</v>
      </c>
      <c r="N658" s="22">
        <v>14.8700421643068</v>
      </c>
      <c r="O658" s="37">
        <f t="shared" si="75"/>
        <v>2.86222090569112</v>
      </c>
      <c r="P658" s="37">
        <f t="shared" si="74"/>
        <v>22.7408379860797</v>
      </c>
      <c r="Q658" s="219" t="s">
        <v>2854</v>
      </c>
      <c r="R658" s="23" t="s">
        <v>2958</v>
      </c>
      <c r="S658" s="804"/>
      <c r="T658" s="120" t="s">
        <v>1406</v>
      </c>
      <c r="W658" s="1940"/>
      <c r="AB658" s="1940"/>
    </row>
    <row r="659" s="839" customFormat="1" ht="16" customHeight="1" spans="1:28">
      <c r="A659" s="839">
        <v>527</v>
      </c>
      <c r="B659" s="19"/>
      <c r="C659" s="19"/>
      <c r="D659" s="697">
        <v>20240315</v>
      </c>
      <c r="E659" s="21">
        <v>7.17</v>
      </c>
      <c r="F659" s="2132" t="s">
        <v>2959</v>
      </c>
      <c r="G659" s="21" t="s">
        <v>2546</v>
      </c>
      <c r="H659" s="21"/>
      <c r="I659" s="21" t="s">
        <v>2951</v>
      </c>
      <c r="J659" s="21" t="s">
        <v>1742</v>
      </c>
      <c r="K659" s="2048" t="s">
        <v>2957</v>
      </c>
      <c r="L659" s="21">
        <v>6</v>
      </c>
      <c r="M659" s="37">
        <v>2.70857491608178</v>
      </c>
      <c r="N659" s="22">
        <v>12.0671625264299</v>
      </c>
      <c r="O659" s="37">
        <f t="shared" si="75"/>
        <v>2.86222090569112</v>
      </c>
      <c r="P659" s="37">
        <f t="shared" si="74"/>
        <v>23.6379583482028</v>
      </c>
      <c r="Q659" s="219" t="s">
        <v>2854</v>
      </c>
      <c r="R659" s="23" t="s">
        <v>2958</v>
      </c>
      <c r="S659" s="804"/>
      <c r="T659" s="120" t="s">
        <v>1406</v>
      </c>
      <c r="W659" s="1940"/>
      <c r="AB659" s="1940"/>
    </row>
    <row r="660" s="839" customFormat="1" ht="16" customHeight="1" spans="1:28">
      <c r="A660" s="839">
        <v>528</v>
      </c>
      <c r="B660" s="19"/>
      <c r="C660" s="19"/>
      <c r="D660" s="697">
        <v>20240508</v>
      </c>
      <c r="E660" s="21">
        <v>7.17</v>
      </c>
      <c r="F660" s="2132" t="s">
        <v>2960</v>
      </c>
      <c r="G660" s="21" t="s">
        <v>2431</v>
      </c>
      <c r="H660" s="21"/>
      <c r="I660" s="21" t="s">
        <v>2951</v>
      </c>
      <c r="J660" s="21" t="s">
        <v>1720</v>
      </c>
      <c r="K660" s="2048" t="s">
        <v>2957</v>
      </c>
      <c r="L660" s="36">
        <v>2.3</v>
      </c>
      <c r="M660" s="37">
        <v>2.70857491608178</v>
      </c>
      <c r="N660" s="22">
        <v>13.2174233837873</v>
      </c>
      <c r="O660" s="37">
        <f t="shared" si="75"/>
        <v>2.86222090569112</v>
      </c>
      <c r="P660" s="37">
        <f t="shared" si="74"/>
        <v>21.0882192055602</v>
      </c>
      <c r="Q660" s="219" t="s">
        <v>2854</v>
      </c>
      <c r="R660" s="23" t="s">
        <v>2958</v>
      </c>
      <c r="S660" s="804"/>
      <c r="T660" s="120"/>
      <c r="W660" s="1940"/>
      <c r="AB660" s="1940"/>
    </row>
    <row r="661" s="839" customFormat="1" ht="16" customHeight="1" spans="1:28">
      <c r="A661" s="839">
        <v>529</v>
      </c>
      <c r="B661" s="19"/>
      <c r="C661" s="19"/>
      <c r="D661" s="697">
        <v>20240508</v>
      </c>
      <c r="E661" s="21">
        <v>7.17</v>
      </c>
      <c r="F661" s="2132" t="s">
        <v>2961</v>
      </c>
      <c r="G661" s="21" t="s">
        <v>1667</v>
      </c>
      <c r="H661" s="21"/>
      <c r="I661" s="21" t="s">
        <v>2962</v>
      </c>
      <c r="J661" s="21" t="s">
        <v>1720</v>
      </c>
      <c r="K661" s="2048">
        <v>145</v>
      </c>
      <c r="L661" s="36">
        <v>2.3</v>
      </c>
      <c r="M661" s="37">
        <v>2.70857491608178</v>
      </c>
      <c r="N661" s="22">
        <v>13.4051984915828</v>
      </c>
      <c r="O661" s="37">
        <f t="shared" si="75"/>
        <v>2.86222090569112</v>
      </c>
      <c r="P661" s="37">
        <f t="shared" si="74"/>
        <v>166.275994313356</v>
      </c>
      <c r="Q661" s="219" t="s">
        <v>2854</v>
      </c>
      <c r="R661" s="23" t="s">
        <v>2958</v>
      </c>
      <c r="S661" s="804"/>
      <c r="T661" s="120"/>
      <c r="W661" s="1940"/>
      <c r="AB661" s="1940"/>
    </row>
    <row r="662" s="839" customFormat="1" ht="16" customHeight="1" spans="1:28">
      <c r="A662" s="839">
        <v>530</v>
      </c>
      <c r="B662" s="19"/>
      <c r="C662" s="19"/>
      <c r="D662" s="697">
        <v>20240508</v>
      </c>
      <c r="E662" s="21">
        <v>7.17</v>
      </c>
      <c r="F662" s="2132" t="s">
        <v>2963</v>
      </c>
      <c r="G662" s="21" t="s">
        <v>1558</v>
      </c>
      <c r="H662" s="21"/>
      <c r="I662" s="21" t="s">
        <v>2951</v>
      </c>
      <c r="J662" s="21" t="s">
        <v>1720</v>
      </c>
      <c r="K662" s="2048" t="s">
        <v>2957</v>
      </c>
      <c r="L662" s="36">
        <v>2.3</v>
      </c>
      <c r="M662" s="37">
        <v>2.70857491608178</v>
      </c>
      <c r="N662" s="22">
        <v>12.8838805892187</v>
      </c>
      <c r="O662" s="37">
        <f t="shared" si="75"/>
        <v>2.86222090569112</v>
      </c>
      <c r="P662" s="37">
        <f t="shared" si="74"/>
        <v>20.7546764109916</v>
      </c>
      <c r="Q662" s="219" t="s">
        <v>2854</v>
      </c>
      <c r="R662" s="23" t="s">
        <v>2958</v>
      </c>
      <c r="S662" s="804"/>
      <c r="T662" s="120"/>
      <c r="W662" s="1940"/>
      <c r="AB662" s="1940"/>
    </row>
    <row r="663" s="839" customFormat="1" ht="16" customHeight="1" spans="1:28">
      <c r="A663" s="839">
        <v>531</v>
      </c>
      <c r="B663" s="19"/>
      <c r="C663" s="19"/>
      <c r="D663" s="697">
        <v>20240821</v>
      </c>
      <c r="E663" s="21">
        <v>7.17</v>
      </c>
      <c r="F663" s="2132" t="s">
        <v>2964</v>
      </c>
      <c r="G663" s="21" t="s">
        <v>2311</v>
      </c>
      <c r="H663" s="21"/>
      <c r="I663" s="21" t="s">
        <v>2951</v>
      </c>
      <c r="J663" s="21" t="s">
        <v>1720</v>
      </c>
      <c r="K663" s="2048" t="s">
        <v>2957</v>
      </c>
      <c r="L663" s="36">
        <v>2.3</v>
      </c>
      <c r="M663" s="37">
        <v>2.70857491608178</v>
      </c>
      <c r="N663" s="22">
        <v>12.9223904823428</v>
      </c>
      <c r="O663" s="37">
        <f t="shared" si="75"/>
        <v>2.86222090569112</v>
      </c>
      <c r="P663" s="37">
        <f t="shared" si="74"/>
        <v>20.7931863041157</v>
      </c>
      <c r="Q663" s="219" t="s">
        <v>2854</v>
      </c>
      <c r="R663" s="23" t="s">
        <v>2965</v>
      </c>
      <c r="S663" s="804"/>
      <c r="T663" s="120"/>
      <c r="W663" s="1940"/>
      <c r="AB663" s="1940"/>
    </row>
    <row r="664" s="839" customFormat="1" ht="16" customHeight="1" spans="1:28">
      <c r="A664" s="839">
        <v>532</v>
      </c>
      <c r="B664" s="19"/>
      <c r="C664" s="19"/>
      <c r="D664" s="697">
        <v>20241128</v>
      </c>
      <c r="E664" s="21">
        <v>7.17</v>
      </c>
      <c r="F664" s="2132" t="s">
        <v>2966</v>
      </c>
      <c r="G664" s="21" t="s">
        <v>2314</v>
      </c>
      <c r="H664" s="21"/>
      <c r="I664" s="21" t="s">
        <v>2354</v>
      </c>
      <c r="J664" s="21" t="s">
        <v>1633</v>
      </c>
      <c r="K664" s="2048">
        <v>125</v>
      </c>
      <c r="L664" s="22">
        <v>1.63790153033785</v>
      </c>
      <c r="M664" s="37">
        <v>2.70857491608178</v>
      </c>
      <c r="N664" s="22">
        <v>11.5089993154502</v>
      </c>
      <c r="O664" s="37">
        <f t="shared" si="75"/>
        <v>2.86222090569112</v>
      </c>
      <c r="P664" s="37">
        <f t="shared" si="74"/>
        <v>143.717696667561</v>
      </c>
      <c r="Q664" s="219" t="s">
        <v>2854</v>
      </c>
      <c r="R664" s="23" t="s">
        <v>2965</v>
      </c>
      <c r="S664" s="804"/>
      <c r="T664" s="120"/>
      <c r="W664" s="1940"/>
      <c r="AB664" s="1940"/>
    </row>
    <row r="665" s="839" customFormat="1" ht="16" customHeight="1" spans="1:28">
      <c r="A665" s="839">
        <v>533</v>
      </c>
      <c r="B665" s="19"/>
      <c r="C665" s="19"/>
      <c r="D665" s="21">
        <v>20241012</v>
      </c>
      <c r="E665" s="21">
        <v>7.17</v>
      </c>
      <c r="F665" s="2132" t="s">
        <v>2967</v>
      </c>
      <c r="G665" s="21" t="s">
        <v>2459</v>
      </c>
      <c r="H665" s="21"/>
      <c r="I665" s="21" t="s">
        <v>2968</v>
      </c>
      <c r="J665" s="21" t="s">
        <v>1720</v>
      </c>
      <c r="K665" s="2048" t="s">
        <v>2957</v>
      </c>
      <c r="L665" s="36">
        <v>2.3</v>
      </c>
      <c r="M665" s="37">
        <v>2.70857491608178</v>
      </c>
      <c r="N665" s="22">
        <v>12.7069184164602</v>
      </c>
      <c r="O665" s="37">
        <f t="shared" si="75"/>
        <v>2.86222090569112</v>
      </c>
      <c r="P665" s="37">
        <f t="shared" si="74"/>
        <v>20.5777142382331</v>
      </c>
      <c r="Q665" s="219" t="s">
        <v>2854</v>
      </c>
      <c r="R665" s="23" t="s">
        <v>2969</v>
      </c>
      <c r="S665" s="804"/>
      <c r="T665" s="120"/>
      <c r="W665" s="1940"/>
      <c r="AB665" s="1940"/>
    </row>
    <row r="666" s="839" customFormat="1" ht="16" customHeight="1" spans="1:28">
      <c r="A666" s="839">
        <v>534</v>
      </c>
      <c r="B666" s="19"/>
      <c r="C666" s="19"/>
      <c r="D666" s="21">
        <v>20241012</v>
      </c>
      <c r="E666" s="21">
        <v>7.17</v>
      </c>
      <c r="F666" s="2132" t="s">
        <v>1722</v>
      </c>
      <c r="G666" s="21" t="s">
        <v>1723</v>
      </c>
      <c r="H666" s="21"/>
      <c r="I666" s="21" t="s">
        <v>2970</v>
      </c>
      <c r="J666" s="21" t="s">
        <v>1720</v>
      </c>
      <c r="K666" s="2048">
        <v>145</v>
      </c>
      <c r="L666" s="36">
        <v>2.3</v>
      </c>
      <c r="M666" s="37">
        <v>2.70857491608178</v>
      </c>
      <c r="N666" s="22">
        <v>12.7135713143515</v>
      </c>
      <c r="O666" s="37">
        <f t="shared" si="75"/>
        <v>2.86222090569112</v>
      </c>
      <c r="P666" s="37">
        <f t="shared" si="74"/>
        <v>165.584367136124</v>
      </c>
      <c r="Q666" s="219" t="s">
        <v>2854</v>
      </c>
      <c r="R666" s="23" t="s">
        <v>2971</v>
      </c>
      <c r="S666" s="804"/>
      <c r="T666" s="120"/>
      <c r="W666" s="1940"/>
      <c r="AB666" s="1940"/>
    </row>
    <row r="667" s="839" customFormat="1" ht="16" customHeight="1" spans="1:28">
      <c r="A667" s="839">
        <v>535</v>
      </c>
      <c r="B667" s="19"/>
      <c r="C667" s="19"/>
      <c r="D667" s="21">
        <v>20250416</v>
      </c>
      <c r="E667" s="21">
        <v>7.17</v>
      </c>
      <c r="F667" s="2132" t="s">
        <v>1724</v>
      </c>
      <c r="G667" s="21" t="s">
        <v>1587</v>
      </c>
      <c r="H667" s="21"/>
      <c r="I667" s="21" t="s">
        <v>2968</v>
      </c>
      <c r="J667" s="21" t="s">
        <v>1720</v>
      </c>
      <c r="K667" s="2048" t="s">
        <v>2952</v>
      </c>
      <c r="L667" s="36">
        <v>2.3</v>
      </c>
      <c r="M667" s="37">
        <v>2.70857491608178</v>
      </c>
      <c r="N667" s="22">
        <v>12.3431018986072</v>
      </c>
      <c r="O667" s="37">
        <f t="shared" si="75"/>
        <v>2.86222090569112</v>
      </c>
      <c r="P667" s="22">
        <f t="shared" si="74"/>
        <v>20.2138977203801</v>
      </c>
      <c r="Q667" s="219" t="s">
        <v>2854</v>
      </c>
      <c r="R667" s="23" t="s">
        <v>2969</v>
      </c>
      <c r="S667" s="804"/>
      <c r="T667" s="120"/>
      <c r="W667" s="1940"/>
      <c r="AB667" s="1940"/>
    </row>
    <row r="668" s="839" customFormat="1" ht="16" customHeight="1" spans="1:28">
      <c r="A668" s="839">
        <v>536</v>
      </c>
      <c r="B668" s="19"/>
      <c r="C668" s="19"/>
      <c r="D668" s="21">
        <v>20250416</v>
      </c>
      <c r="E668" s="21">
        <v>7.17</v>
      </c>
      <c r="F668" s="2132" t="s">
        <v>1719</v>
      </c>
      <c r="G668" s="21" t="s">
        <v>1591</v>
      </c>
      <c r="H668" s="21"/>
      <c r="I668" s="21" t="s">
        <v>2972</v>
      </c>
      <c r="J668" s="21" t="s">
        <v>1720</v>
      </c>
      <c r="K668" s="2048">
        <v>65</v>
      </c>
      <c r="L668" s="36">
        <v>2.3</v>
      </c>
      <c r="M668" s="37">
        <v>2.70857491608178</v>
      </c>
      <c r="N668" s="22">
        <v>11.0681546338701</v>
      </c>
      <c r="O668" s="37">
        <f t="shared" si="75"/>
        <v>2.86222090569112</v>
      </c>
      <c r="P668" s="22">
        <f t="shared" si="74"/>
        <v>83.938950455643</v>
      </c>
      <c r="Q668" s="219" t="s">
        <v>2854</v>
      </c>
      <c r="R668" s="23" t="s">
        <v>2973</v>
      </c>
      <c r="S668" s="804"/>
      <c r="T668" s="120"/>
      <c r="W668" s="1940"/>
      <c r="AB668" s="1940"/>
    </row>
    <row r="669" s="839" customFormat="1" ht="16" customHeight="1" spans="1:28">
      <c r="A669" s="839">
        <v>537</v>
      </c>
      <c r="B669" s="19"/>
      <c r="C669" s="19"/>
      <c r="D669" s="21">
        <v>20250609</v>
      </c>
      <c r="E669" s="21"/>
      <c r="F669" s="2132" t="s">
        <v>433</v>
      </c>
      <c r="G669" s="21" t="s">
        <v>434</v>
      </c>
      <c r="H669" s="21"/>
      <c r="I669" s="21"/>
      <c r="J669" s="21"/>
      <c r="K669" s="2048"/>
      <c r="L669" s="36"/>
      <c r="M669" s="37">
        <v>0.286779819562568</v>
      </c>
      <c r="N669" s="22">
        <v>0.824823812715793</v>
      </c>
      <c r="O669" s="37">
        <v>0.2</v>
      </c>
      <c r="P669" s="22">
        <f t="shared" si="74"/>
        <v>1.31160363227836</v>
      </c>
      <c r="Q669" s="219"/>
      <c r="R669" s="23" t="s">
        <v>435</v>
      </c>
      <c r="S669" s="804"/>
      <c r="T669" s="120"/>
      <c r="W669" s="1940"/>
      <c r="AB669" s="1940"/>
    </row>
    <row r="670" s="839" customFormat="1" ht="16" customHeight="1" spans="1:28">
      <c r="A670" s="839">
        <v>538</v>
      </c>
      <c r="B670" s="19"/>
      <c r="C670" s="19"/>
      <c r="D670" s="21">
        <v>20250508</v>
      </c>
      <c r="E670" s="876"/>
      <c r="F670" s="2132" t="s">
        <v>436</v>
      </c>
      <c r="G670" s="21" t="s">
        <v>437</v>
      </c>
      <c r="H670" s="21"/>
      <c r="I670" s="21"/>
      <c r="J670" s="21"/>
      <c r="K670" s="2048"/>
      <c r="L670" s="36"/>
      <c r="M670" s="37">
        <v>0.271353835623136</v>
      </c>
      <c r="N670" s="22">
        <v>0.806148625230529</v>
      </c>
      <c r="O670" s="37">
        <v>0.2</v>
      </c>
      <c r="P670" s="22">
        <f t="shared" si="74"/>
        <v>1.27750246085366</v>
      </c>
      <c r="Q670" s="219"/>
      <c r="R670" s="23" t="s">
        <v>438</v>
      </c>
      <c r="S670" s="804"/>
      <c r="T670" s="120"/>
      <c r="W670" s="1940"/>
      <c r="AB670" s="1940"/>
    </row>
    <row r="671" s="839" customFormat="1" ht="16" customHeight="1" spans="1:28">
      <c r="A671" s="839">
        <v>539</v>
      </c>
      <c r="B671" s="19"/>
      <c r="C671" s="19"/>
      <c r="D671" s="21">
        <v>20250304</v>
      </c>
      <c r="E671" s="21">
        <v>7.17</v>
      </c>
      <c r="F671" s="2132" t="s">
        <v>439</v>
      </c>
      <c r="G671" s="21" t="s">
        <v>440</v>
      </c>
      <c r="H671" s="21"/>
      <c r="I671" s="21"/>
      <c r="J671" s="21"/>
      <c r="K671" s="2048"/>
      <c r="L671" s="36"/>
      <c r="M671" s="22">
        <v>0.286760178043417</v>
      </c>
      <c r="N671" s="22">
        <v>0.563123446807404</v>
      </c>
      <c r="O671" s="37">
        <v>0.2</v>
      </c>
      <c r="P671" s="37">
        <f t="shared" si="74"/>
        <v>1.04988362485082</v>
      </c>
      <c r="Q671" s="219"/>
      <c r="R671" s="23" t="s">
        <v>435</v>
      </c>
      <c r="S671" s="804"/>
      <c r="T671" s="120"/>
      <c r="W671" s="1940"/>
      <c r="AB671" s="1940"/>
    </row>
    <row r="672" s="839" customFormat="1" ht="16" customHeight="1" spans="1:28">
      <c r="A672" s="839">
        <v>540</v>
      </c>
      <c r="B672" s="19" t="s">
        <v>441</v>
      </c>
      <c r="C672" s="19"/>
      <c r="D672" s="697">
        <v>20240724</v>
      </c>
      <c r="E672" s="21">
        <v>7.17</v>
      </c>
      <c r="F672" s="2132" t="s">
        <v>442</v>
      </c>
      <c r="G672" s="21" t="s">
        <v>2974</v>
      </c>
      <c r="H672" s="21"/>
      <c r="I672" s="21"/>
      <c r="J672" s="21"/>
      <c r="K672" s="2048"/>
      <c r="L672" s="21"/>
      <c r="M672" s="22">
        <v>0.41500432666369</v>
      </c>
      <c r="N672" s="22">
        <v>2.47300121687732</v>
      </c>
      <c r="O672" s="37">
        <v>0.2</v>
      </c>
      <c r="P672" s="37">
        <f t="shared" si="74"/>
        <v>3.08800554354101</v>
      </c>
      <c r="Q672" s="219"/>
      <c r="R672" s="23" t="s">
        <v>2975</v>
      </c>
      <c r="S672" s="804"/>
      <c r="T672" s="120"/>
      <c r="W672" s="1940"/>
      <c r="AB672" s="1940"/>
    </row>
    <row r="673" s="839" customFormat="1" ht="16" customHeight="1" spans="1:28">
      <c r="A673" s="839">
        <v>541</v>
      </c>
      <c r="B673" s="19" t="s">
        <v>2976</v>
      </c>
      <c r="C673" s="19"/>
      <c r="D673" s="21">
        <v>20241122</v>
      </c>
      <c r="E673" s="21">
        <v>7.17</v>
      </c>
      <c r="F673" s="2132" t="s">
        <v>2977</v>
      </c>
      <c r="G673" s="21" t="s">
        <v>2978</v>
      </c>
      <c r="H673" s="21"/>
      <c r="I673" s="21" t="s">
        <v>2951</v>
      </c>
      <c r="J673" s="21" t="s">
        <v>1428</v>
      </c>
      <c r="K673" s="2048" t="s">
        <v>2957</v>
      </c>
      <c r="L673" s="21" t="s">
        <v>1428</v>
      </c>
      <c r="M673" s="22">
        <v>5.15232319148645</v>
      </c>
      <c r="N673" s="22">
        <v>27.9838499221962</v>
      </c>
      <c r="O673" s="37">
        <v>3.04043508287293</v>
      </c>
      <c r="P673" s="37">
        <f t="shared" si="74"/>
        <v>36.1766081965556</v>
      </c>
      <c r="Q673" s="219" t="s">
        <v>2854</v>
      </c>
      <c r="R673" s="23" t="s">
        <v>2979</v>
      </c>
      <c r="S673" s="804"/>
      <c r="T673" s="120" t="s">
        <v>1406</v>
      </c>
      <c r="W673" s="1940"/>
      <c r="AB673" s="1940"/>
    </row>
    <row r="674" s="839" customFormat="1" ht="16" customHeight="1" spans="1:28">
      <c r="A674" s="839">
        <v>542</v>
      </c>
      <c r="B674" s="19"/>
      <c r="C674" s="19"/>
      <c r="D674" s="21">
        <v>20240617</v>
      </c>
      <c r="E674" s="21">
        <v>7.17</v>
      </c>
      <c r="F674" s="2132" t="s">
        <v>2980</v>
      </c>
      <c r="G674" s="21" t="s">
        <v>2981</v>
      </c>
      <c r="H674" s="21"/>
      <c r="I674" s="21" t="s">
        <v>2982</v>
      </c>
      <c r="J674" s="21" t="s">
        <v>1428</v>
      </c>
      <c r="K674" s="2048">
        <v>100</v>
      </c>
      <c r="L674" s="21" t="s">
        <v>1428</v>
      </c>
      <c r="M674" s="22">
        <v>5.15232319148645</v>
      </c>
      <c r="N674" s="22">
        <v>25.8367984624462</v>
      </c>
      <c r="O674" s="37">
        <f>24.87/E674/1.13</f>
        <v>3.06957455474507</v>
      </c>
      <c r="P674" s="37">
        <f t="shared" si="74"/>
        <v>134.058696208678</v>
      </c>
      <c r="Q674" s="219" t="s">
        <v>2854</v>
      </c>
      <c r="R674" s="23" t="s">
        <v>2979</v>
      </c>
      <c r="S674" s="804"/>
      <c r="T674" s="120"/>
      <c r="W674" s="1940"/>
      <c r="AB674" s="1940"/>
    </row>
    <row r="675" s="839" customFormat="1" ht="16" customHeight="1" spans="1:28">
      <c r="A675" s="839">
        <v>543</v>
      </c>
      <c r="B675" s="19"/>
      <c r="C675" s="19"/>
      <c r="D675" s="21">
        <v>20240716</v>
      </c>
      <c r="E675" s="21">
        <v>7.17</v>
      </c>
      <c r="F675" s="2132" t="s">
        <v>2983</v>
      </c>
      <c r="G675" s="21" t="s">
        <v>2984</v>
      </c>
      <c r="H675" s="21"/>
      <c r="I675" s="21" t="s">
        <v>2982</v>
      </c>
      <c r="J675" s="21" t="s">
        <v>2985</v>
      </c>
      <c r="K675" s="2048">
        <v>100</v>
      </c>
      <c r="L675" s="21" t="s">
        <v>1428</v>
      </c>
      <c r="M675" s="22">
        <v>5.15232319148645</v>
      </c>
      <c r="N675" s="22">
        <v>25.9159333281877</v>
      </c>
      <c r="O675" s="37">
        <f>24.87/E675/1.13</f>
        <v>3.06957455474507</v>
      </c>
      <c r="P675" s="37">
        <f t="shared" si="74"/>
        <v>134.137831074419</v>
      </c>
      <c r="Q675" s="219" t="s">
        <v>2854</v>
      </c>
      <c r="R675" s="23" t="s">
        <v>2979</v>
      </c>
      <c r="S675" s="804"/>
      <c r="T675" s="120"/>
      <c r="W675" s="1940"/>
      <c r="AB675" s="1940"/>
    </row>
    <row r="676" s="839" customFormat="1" ht="16" customHeight="1" spans="1:28">
      <c r="A676" s="839">
        <v>544</v>
      </c>
      <c r="B676" s="19"/>
      <c r="C676" s="19"/>
      <c r="D676" s="21">
        <v>20241231</v>
      </c>
      <c r="E676" s="21">
        <v>7.17</v>
      </c>
      <c r="F676" s="2132" t="s">
        <v>2986</v>
      </c>
      <c r="G676" s="21" t="s">
        <v>2987</v>
      </c>
      <c r="H676" s="21"/>
      <c r="I676" s="21" t="s">
        <v>2970</v>
      </c>
      <c r="J676" s="21"/>
      <c r="K676" s="2048">
        <v>145</v>
      </c>
      <c r="L676" s="21"/>
      <c r="M676" s="22">
        <v>5.15232319148645</v>
      </c>
      <c r="N676" s="22">
        <v>25.6328827052055</v>
      </c>
      <c r="O676" s="37">
        <v>3.04043508287293</v>
      </c>
      <c r="P676" s="37">
        <f t="shared" si="74"/>
        <v>178.825640979565</v>
      </c>
      <c r="Q676" s="219" t="s">
        <v>2854</v>
      </c>
      <c r="R676" s="23" t="s">
        <v>2988</v>
      </c>
      <c r="S676" s="804"/>
      <c r="T676" s="120"/>
      <c r="W676" s="1940"/>
      <c r="AB676" s="1940"/>
    </row>
    <row r="677" s="839" customFormat="1" ht="16" customHeight="1" spans="1:28">
      <c r="A677" s="839">
        <v>545</v>
      </c>
      <c r="B677" s="705" t="s">
        <v>2989</v>
      </c>
      <c r="C677" s="705"/>
      <c r="D677" s="701"/>
      <c r="E677" s="701">
        <v>7.17</v>
      </c>
      <c r="F677" s="2130" t="s">
        <v>1979</v>
      </c>
      <c r="G677" s="701" t="s">
        <v>2459</v>
      </c>
      <c r="H677" s="701"/>
      <c r="I677" s="701" t="s">
        <v>2982</v>
      </c>
      <c r="J677" s="1132" t="s">
        <v>1428</v>
      </c>
      <c r="K677" s="2194" t="s">
        <v>712</v>
      </c>
      <c r="L677" s="2195" t="s">
        <v>712</v>
      </c>
      <c r="M677" s="1171">
        <v>3.86107406958419</v>
      </c>
      <c r="N677" s="2196">
        <v>15.305193809882</v>
      </c>
      <c r="O677" s="37">
        <f>25.78/E677/1.13</f>
        <v>3.18189111464929</v>
      </c>
      <c r="P677" s="37">
        <f t="shared" si="74"/>
        <v>22.3481589941155</v>
      </c>
      <c r="Q677" s="219" t="s">
        <v>2854</v>
      </c>
      <c r="R677" s="23" t="s">
        <v>2990</v>
      </c>
      <c r="S677" s="804"/>
      <c r="T677" s="120" t="s">
        <v>1406</v>
      </c>
      <c r="W677" s="1940"/>
      <c r="AB677" s="1940"/>
    </row>
    <row r="678" s="839" customFormat="1" ht="16" customHeight="1" spans="1:28">
      <c r="A678" s="2197" t="s">
        <v>1366</v>
      </c>
      <c r="B678" s="687"/>
      <c r="C678" s="687"/>
      <c r="D678" s="153"/>
      <c r="E678" s="153" t="s">
        <v>1367</v>
      </c>
      <c r="F678" s="2198" t="s">
        <v>1979</v>
      </c>
      <c r="G678" s="152" t="s">
        <v>2110</v>
      </c>
      <c r="H678" s="152">
        <v>2.92</v>
      </c>
      <c r="I678" s="153" t="s">
        <v>2972</v>
      </c>
      <c r="J678" s="152">
        <v>9.82</v>
      </c>
      <c r="K678" s="2048">
        <v>0.76</v>
      </c>
      <c r="L678" s="2199" t="s">
        <v>712</v>
      </c>
      <c r="M678" s="22">
        <v>3.86107406958419</v>
      </c>
      <c r="N678" s="1873" t="s">
        <v>1368</v>
      </c>
      <c r="O678" s="37" t="e">
        <f>25.78/E678/1.13</f>
        <v>#VALUE!</v>
      </c>
      <c r="P678" s="37" t="e">
        <f t="shared" si="74"/>
        <v>#VALUE!</v>
      </c>
      <c r="Q678" s="219" t="s">
        <v>2854</v>
      </c>
      <c r="R678" s="23" t="s">
        <v>2990</v>
      </c>
      <c r="S678" s="804"/>
      <c r="T678" s="120" t="s">
        <v>1406</v>
      </c>
      <c r="W678" s="1940"/>
      <c r="AB678" s="1940"/>
    </row>
    <row r="679" s="839" customFormat="1" ht="16" customHeight="1" spans="1:28">
      <c r="A679" s="839">
        <v>547</v>
      </c>
      <c r="B679" s="707" t="s">
        <v>2991</v>
      </c>
      <c r="C679" s="707"/>
      <c r="D679" s="703">
        <v>20240402</v>
      </c>
      <c r="E679" s="703">
        <v>7.17</v>
      </c>
      <c r="F679" s="2132" t="s">
        <v>2992</v>
      </c>
      <c r="G679" s="703" t="s">
        <v>1571</v>
      </c>
      <c r="H679" s="703"/>
      <c r="I679" s="2200" t="s">
        <v>2993</v>
      </c>
      <c r="J679" s="2200" t="s">
        <v>1428</v>
      </c>
      <c r="K679" s="2201">
        <v>70</v>
      </c>
      <c r="L679" s="703" t="s">
        <v>1428</v>
      </c>
      <c r="M679" s="714">
        <v>3.47137339265633</v>
      </c>
      <c r="N679" s="1221">
        <v>19.1741499527279</v>
      </c>
      <c r="O679" s="37">
        <f t="shared" ref="O679:O681" si="76">27.97/E679/1.13</f>
        <v>3.45219140716604</v>
      </c>
      <c r="P679" s="37">
        <f t="shared" si="74"/>
        <v>96.0977147525503</v>
      </c>
      <c r="Q679" s="219" t="s">
        <v>2854</v>
      </c>
      <c r="R679" s="23" t="s">
        <v>2994</v>
      </c>
      <c r="S679" s="804"/>
      <c r="T679" s="120" t="s">
        <v>1406</v>
      </c>
      <c r="W679" s="1940"/>
      <c r="AB679" s="1940"/>
    </row>
    <row r="680" s="839" customFormat="1" ht="16" customHeight="1" spans="1:28">
      <c r="A680" s="839">
        <v>548</v>
      </c>
      <c r="B680" s="23"/>
      <c r="C680" s="23"/>
      <c r="D680" s="21"/>
      <c r="E680" s="21">
        <v>7.17</v>
      </c>
      <c r="F680" s="2132" t="s">
        <v>2995</v>
      </c>
      <c r="G680" s="21" t="s">
        <v>1669</v>
      </c>
      <c r="H680" s="21"/>
      <c r="I680" s="21" t="s">
        <v>2982</v>
      </c>
      <c r="J680" s="690" t="s">
        <v>1428</v>
      </c>
      <c r="K680" s="2048">
        <v>100</v>
      </c>
      <c r="L680" s="690" t="s">
        <v>1428</v>
      </c>
      <c r="M680" s="37">
        <v>3.47137339265633</v>
      </c>
      <c r="N680" s="22">
        <v>21.2451135481919</v>
      </c>
      <c r="O680" s="37">
        <f t="shared" si="76"/>
        <v>3.45219140716604</v>
      </c>
      <c r="P680" s="37">
        <f t="shared" si="74"/>
        <v>128.168678348014</v>
      </c>
      <c r="Q680" s="219" t="s">
        <v>2854</v>
      </c>
      <c r="R680" s="23" t="s">
        <v>2996</v>
      </c>
      <c r="S680" s="804"/>
      <c r="T680" s="120" t="s">
        <v>1406</v>
      </c>
      <c r="W680" s="1940"/>
      <c r="AB680" s="1940"/>
    </row>
    <row r="681" s="839" customFormat="1" ht="16" customHeight="1" spans="1:28">
      <c r="A681" s="839">
        <v>549</v>
      </c>
      <c r="B681" s="23"/>
      <c r="C681" s="23"/>
      <c r="D681" s="21"/>
      <c r="E681" s="21">
        <v>7.17</v>
      </c>
      <c r="F681" s="2130" t="s">
        <v>1979</v>
      </c>
      <c r="G681" s="21" t="s">
        <v>1998</v>
      </c>
      <c r="H681" s="21"/>
      <c r="I681" s="690" t="s">
        <v>2997</v>
      </c>
      <c r="J681" s="690" t="s">
        <v>1428</v>
      </c>
      <c r="K681" s="2048">
        <v>190</v>
      </c>
      <c r="L681" s="690" t="s">
        <v>1428</v>
      </c>
      <c r="M681" s="37">
        <v>3.47137339265633</v>
      </c>
      <c r="N681" s="22">
        <v>23.422643000064</v>
      </c>
      <c r="O681" s="37">
        <f t="shared" si="76"/>
        <v>3.45219140716604</v>
      </c>
      <c r="P681" s="37">
        <f t="shared" si="74"/>
        <v>220.346207799886</v>
      </c>
      <c r="Q681" s="219" t="s">
        <v>2854</v>
      </c>
      <c r="R681" s="23" t="s">
        <v>2996</v>
      </c>
      <c r="S681" s="804"/>
      <c r="T681" s="120"/>
      <c r="W681" s="1940"/>
      <c r="AB681" s="1940"/>
    </row>
    <row r="682" s="1930" customFormat="1" ht="16" customHeight="1" spans="1:28">
      <c r="A682" s="1930">
        <v>1</v>
      </c>
      <c r="B682" s="959"/>
      <c r="C682" s="959"/>
      <c r="D682" s="1673">
        <v>46121</v>
      </c>
      <c r="E682" s="961" t="s">
        <v>2998</v>
      </c>
      <c r="F682" s="2132" t="s">
        <v>2999</v>
      </c>
      <c r="G682" s="961"/>
      <c r="H682" s="961"/>
      <c r="I682" s="962"/>
      <c r="J682" s="962"/>
      <c r="K682" s="2048"/>
      <c r="L682" s="962"/>
      <c r="M682" s="964">
        <f>30/6.8819/1.13</f>
        <v>3.85775331905022</v>
      </c>
      <c r="N682" s="965">
        <v>22.15</v>
      </c>
      <c r="O682" s="37">
        <v>3.45</v>
      </c>
      <c r="P682" s="964">
        <f>M682+N682+O682</f>
        <v>29.4577533190502</v>
      </c>
      <c r="Q682" s="219"/>
      <c r="R682" s="959"/>
      <c r="S682" s="2079"/>
      <c r="T682" s="1755"/>
      <c r="U682" s="1930"/>
      <c r="V682" s="1930"/>
      <c r="W682" s="1977"/>
      <c r="X682" s="1930"/>
      <c r="Y682" s="1930"/>
      <c r="Z682" s="1930"/>
      <c r="AA682" s="1930"/>
      <c r="AB682" s="1977"/>
    </row>
    <row r="683" s="1930" customFormat="1" ht="16" customHeight="1" spans="1:28">
      <c r="A683" s="1930">
        <v>1</v>
      </c>
      <c r="B683" s="959"/>
      <c r="C683" s="959"/>
      <c r="D683" s="1673">
        <v>46121</v>
      </c>
      <c r="E683" s="961" t="s">
        <v>2998</v>
      </c>
      <c r="F683" s="2132" t="s">
        <v>3000</v>
      </c>
      <c r="G683" s="961"/>
      <c r="H683" s="961"/>
      <c r="I683" s="962"/>
      <c r="J683" s="962"/>
      <c r="K683" s="2048"/>
      <c r="L683" s="962"/>
      <c r="M683" s="964">
        <f>30/6.8819/1.13</f>
        <v>3.85775331905022</v>
      </c>
      <c r="N683" s="965">
        <v>19</v>
      </c>
      <c r="O683" s="964">
        <v>3.45</v>
      </c>
      <c r="P683" s="964">
        <f>M683+N683+O683</f>
        <v>26.3077533190502</v>
      </c>
      <c r="Q683" s="219"/>
      <c r="R683" s="959"/>
      <c r="S683" s="2079"/>
      <c r="T683" s="1755"/>
      <c r="U683" s="1930"/>
      <c r="V683" s="1930"/>
      <c r="W683" s="1977"/>
      <c r="X683" s="1930"/>
      <c r="Y683" s="1930"/>
      <c r="Z683" s="1930"/>
      <c r="AA683" s="1930"/>
      <c r="AB683" s="1977"/>
    </row>
    <row r="684" s="839" customFormat="1" ht="16" customHeight="1" spans="1:28">
      <c r="A684" s="839">
        <v>550</v>
      </c>
      <c r="B684" s="23"/>
      <c r="C684" s="23"/>
      <c r="D684" s="21">
        <v>20250516</v>
      </c>
      <c r="E684" s="21">
        <v>7.17</v>
      </c>
      <c r="F684" s="2132" t="s">
        <v>3001</v>
      </c>
      <c r="G684" s="21" t="s">
        <v>3002</v>
      </c>
      <c r="H684" s="21"/>
      <c r="I684" s="690" t="s">
        <v>2392</v>
      </c>
      <c r="J684" s="690" t="s">
        <v>1428</v>
      </c>
      <c r="K684" s="2048">
        <v>70</v>
      </c>
      <c r="L684" s="690" t="s">
        <v>1428</v>
      </c>
      <c r="M684" s="37">
        <v>3.47137339265633</v>
      </c>
      <c r="N684" s="22">
        <v>16.8027240234244</v>
      </c>
      <c r="O684" s="37">
        <f>27.97/E684/1.13</f>
        <v>3.45219140716604</v>
      </c>
      <c r="P684" s="37">
        <f t="shared" ref="P684:P690" si="77">SUM(K684:O684)</f>
        <v>93.7262888232468</v>
      </c>
      <c r="Q684" s="219" t="s">
        <v>2854</v>
      </c>
      <c r="R684" s="23" t="s">
        <v>3003</v>
      </c>
      <c r="S684" s="804"/>
      <c r="T684" s="120"/>
      <c r="W684" s="1940"/>
      <c r="AB684" s="1940"/>
    </row>
    <row r="685" s="839" customFormat="1" ht="16" customHeight="1" spans="1:28">
      <c r="A685" s="839">
        <v>551</v>
      </c>
      <c r="B685" s="23"/>
      <c r="C685" s="23"/>
      <c r="D685" s="21">
        <v>20250428</v>
      </c>
      <c r="E685" s="21">
        <v>7.17</v>
      </c>
      <c r="F685" s="2132" t="s">
        <v>3004</v>
      </c>
      <c r="G685" s="21" t="s">
        <v>2306</v>
      </c>
      <c r="H685" s="21"/>
      <c r="I685" s="21" t="s">
        <v>2982</v>
      </c>
      <c r="J685" s="690" t="s">
        <v>1428</v>
      </c>
      <c r="K685" s="2048">
        <v>100</v>
      </c>
      <c r="L685" s="690" t="s">
        <v>1428</v>
      </c>
      <c r="M685" s="37">
        <v>3.47137339265633</v>
      </c>
      <c r="N685" s="22">
        <v>17.2362324566327</v>
      </c>
      <c r="O685" s="37">
        <f>27.97/E685/1.13</f>
        <v>3.45219140716604</v>
      </c>
      <c r="P685" s="37">
        <f t="shared" si="77"/>
        <v>124.159797256455</v>
      </c>
      <c r="Q685" s="219" t="s">
        <v>2854</v>
      </c>
      <c r="R685" s="23" t="s">
        <v>3005</v>
      </c>
      <c r="S685" s="804"/>
      <c r="T685" s="120" t="s">
        <v>1406</v>
      </c>
      <c r="W685" s="1940"/>
      <c r="AB685" s="1940"/>
    </row>
    <row r="686" s="42" customFormat="1" ht="16" customHeight="1" spans="1:28">
      <c r="A686" s="839">
        <v>552</v>
      </c>
      <c r="B686" s="19" t="s">
        <v>3006</v>
      </c>
      <c r="C686" s="19"/>
      <c r="D686" s="21"/>
      <c r="E686" s="21">
        <v>7.17</v>
      </c>
      <c r="F686" s="2130" t="s">
        <v>1979</v>
      </c>
      <c r="G686" s="21" t="s">
        <v>1617</v>
      </c>
      <c r="H686" s="21"/>
      <c r="I686" s="21" t="s">
        <v>2315</v>
      </c>
      <c r="J686" s="21" t="s">
        <v>1428</v>
      </c>
      <c r="K686" s="2048">
        <v>105</v>
      </c>
      <c r="L686" s="21" t="s">
        <v>1428</v>
      </c>
      <c r="M686" s="37">
        <v>5.51890239131193</v>
      </c>
      <c r="N686" s="22">
        <v>28.1164915798722</v>
      </c>
      <c r="O686" s="37">
        <f t="shared" ref="O686:O689" si="78">24.78/E686/1.13</f>
        <v>3.05846632354575</v>
      </c>
      <c r="P686" s="37">
        <f t="shared" si="77"/>
        <v>141.69386029473</v>
      </c>
      <c r="Q686" s="219" t="s">
        <v>2854</v>
      </c>
      <c r="R686" s="23" t="s">
        <v>3007</v>
      </c>
      <c r="S686" s="804"/>
      <c r="W686" s="2163"/>
      <c r="Z686" s="839"/>
      <c r="AA686" s="839"/>
      <c r="AB686" s="1940"/>
    </row>
    <row r="687" s="42" customFormat="1" ht="16" customHeight="1" spans="1:28">
      <c r="A687" s="839">
        <v>553</v>
      </c>
      <c r="B687" s="19"/>
      <c r="C687" s="19"/>
      <c r="D687" s="21">
        <v>20250218</v>
      </c>
      <c r="E687" s="21">
        <v>7.17</v>
      </c>
      <c r="F687" s="2132" t="s">
        <v>3008</v>
      </c>
      <c r="G687" s="21" t="s">
        <v>1685</v>
      </c>
      <c r="H687" s="21"/>
      <c r="I687" s="21" t="s">
        <v>2315</v>
      </c>
      <c r="J687" s="21" t="s">
        <v>1428</v>
      </c>
      <c r="K687" s="2048">
        <v>105</v>
      </c>
      <c r="L687" s="21" t="s">
        <v>1428</v>
      </c>
      <c r="M687" s="22">
        <v>5.51890239131193</v>
      </c>
      <c r="N687" s="22">
        <v>20.0747925313254</v>
      </c>
      <c r="O687" s="37">
        <f t="shared" si="78"/>
        <v>3.05846632354575</v>
      </c>
      <c r="P687" s="37">
        <f t="shared" si="77"/>
        <v>133.652161246183</v>
      </c>
      <c r="Q687" s="219"/>
      <c r="R687" s="23" t="s">
        <v>3009</v>
      </c>
      <c r="S687" s="804"/>
      <c r="W687" s="2163"/>
      <c r="Z687" s="839"/>
      <c r="AA687" s="839"/>
      <c r="AB687" s="1940"/>
    </row>
    <row r="688" s="42" customFormat="1" ht="16" customHeight="1" spans="1:28">
      <c r="A688" s="839">
        <v>554</v>
      </c>
      <c r="B688" s="19"/>
      <c r="C688" s="19"/>
      <c r="D688" s="21"/>
      <c r="E688" s="21">
        <v>7.17</v>
      </c>
      <c r="F688" s="2130" t="s">
        <v>1979</v>
      </c>
      <c r="G688" s="21" t="s">
        <v>1669</v>
      </c>
      <c r="H688" s="21"/>
      <c r="I688" s="690" t="s">
        <v>3010</v>
      </c>
      <c r="J688" s="21" t="s">
        <v>1428</v>
      </c>
      <c r="K688" s="2048">
        <v>185</v>
      </c>
      <c r="L688" s="21" t="s">
        <v>1428</v>
      </c>
      <c r="M688" s="37">
        <v>5.51890239131193</v>
      </c>
      <c r="N688" s="22">
        <v>23.1245383758246</v>
      </c>
      <c r="O688" s="37">
        <f t="shared" si="78"/>
        <v>3.05846632354575</v>
      </c>
      <c r="P688" s="37">
        <f t="shared" si="77"/>
        <v>216.701907090682</v>
      </c>
      <c r="Q688" s="219" t="s">
        <v>2854</v>
      </c>
      <c r="R688" s="23" t="s">
        <v>3011</v>
      </c>
      <c r="S688" s="804"/>
      <c r="W688" s="2163"/>
      <c r="Z688" s="839"/>
      <c r="AA688" s="839"/>
      <c r="AB688" s="1940"/>
    </row>
    <row r="689" s="42" customFormat="1" ht="16" customHeight="1" spans="1:28">
      <c r="A689" s="839">
        <v>555</v>
      </c>
      <c r="B689" s="19"/>
      <c r="C689" s="19"/>
      <c r="D689" s="21"/>
      <c r="E689" s="21">
        <v>7.17</v>
      </c>
      <c r="F689" s="2130" t="s">
        <v>1979</v>
      </c>
      <c r="G689" s="21" t="s">
        <v>1672</v>
      </c>
      <c r="H689" s="21"/>
      <c r="I689" s="21" t="s">
        <v>2997</v>
      </c>
      <c r="J689" s="21" t="s">
        <v>1428</v>
      </c>
      <c r="K689" s="2048">
        <v>190</v>
      </c>
      <c r="L689" s="21" t="s">
        <v>1428</v>
      </c>
      <c r="M689" s="37">
        <v>5.51890239131193</v>
      </c>
      <c r="N689" s="22">
        <v>25.0222806525872</v>
      </c>
      <c r="O689" s="37">
        <f t="shared" si="78"/>
        <v>3.05846632354575</v>
      </c>
      <c r="P689" s="37">
        <f t="shared" si="77"/>
        <v>223.599649367445</v>
      </c>
      <c r="Q689" s="219" t="s">
        <v>2854</v>
      </c>
      <c r="R689" s="23" t="s">
        <v>3012</v>
      </c>
      <c r="S689" s="804"/>
      <c r="W689" s="2163"/>
      <c r="Z689" s="839"/>
      <c r="AA689" s="839"/>
      <c r="AB689" s="1940"/>
    </row>
    <row r="690" s="42" customFormat="1" ht="16" customHeight="1" spans="1:28">
      <c r="A690" s="839">
        <v>556</v>
      </c>
      <c r="B690" s="19"/>
      <c r="C690" s="19"/>
      <c r="D690" s="21">
        <v>20240123</v>
      </c>
      <c r="E690" s="21">
        <v>7.17</v>
      </c>
      <c r="F690" s="2132" t="s">
        <v>3013</v>
      </c>
      <c r="G690" s="21" t="s">
        <v>3014</v>
      </c>
      <c r="H690" s="21"/>
      <c r="I690" s="21" t="s">
        <v>2315</v>
      </c>
      <c r="J690" s="21" t="s">
        <v>1428</v>
      </c>
      <c r="K690" s="2048">
        <v>105</v>
      </c>
      <c r="L690" s="21" t="s">
        <v>1428</v>
      </c>
      <c r="M690" s="22">
        <v>5.51890239131193</v>
      </c>
      <c r="N690" s="22">
        <v>25.2331068826805</v>
      </c>
      <c r="O690" s="37">
        <v>0.301611562660846</v>
      </c>
      <c r="P690" s="37">
        <f t="shared" si="77"/>
        <v>136.053620836653</v>
      </c>
      <c r="Q690" s="219" t="s">
        <v>2854</v>
      </c>
      <c r="R690" s="23" t="s">
        <v>3015</v>
      </c>
      <c r="S690" s="804"/>
      <c r="W690" s="2163"/>
      <c r="Z690" s="839"/>
      <c r="AA690" s="839"/>
      <c r="AB690" s="1940"/>
    </row>
    <row r="691" s="42" customFormat="1" ht="16" customHeight="1" spans="1:28">
      <c r="A691" s="839">
        <v>557</v>
      </c>
      <c r="B691" s="19"/>
      <c r="C691" s="19"/>
      <c r="D691" s="21"/>
      <c r="E691" s="21">
        <v>7.17</v>
      </c>
      <c r="F691" s="2130" t="s">
        <v>1979</v>
      </c>
      <c r="G691" s="21" t="s">
        <v>2431</v>
      </c>
      <c r="H691" s="21"/>
      <c r="I691" s="21" t="s">
        <v>2951</v>
      </c>
      <c r="J691" s="21" t="s">
        <v>1428</v>
      </c>
      <c r="K691" s="2048" t="s">
        <v>2957</v>
      </c>
      <c r="L691" s="21" t="s">
        <v>1428</v>
      </c>
      <c r="M691" s="37">
        <v>5.51890239131193</v>
      </c>
      <c r="N691" s="22">
        <v>23.7679559318615</v>
      </c>
      <c r="O691" s="37">
        <f t="shared" ref="O691:O695" si="79">24.78/E691/1.13</f>
        <v>3.05846632354575</v>
      </c>
      <c r="P691" s="37">
        <f t="shared" ref="P691:P696" si="80">SUM(K691:O691)</f>
        <v>32.3453246467192</v>
      </c>
      <c r="Q691" s="219" t="s">
        <v>2854</v>
      </c>
      <c r="R691" s="23" t="s">
        <v>3016</v>
      </c>
      <c r="S691" s="804"/>
      <c r="W691" s="2163"/>
      <c r="Z691" s="839"/>
      <c r="AA691" s="839"/>
      <c r="AB691" s="1940"/>
    </row>
    <row r="692" s="42" customFormat="1" ht="16" customHeight="1" spans="1:28">
      <c r="A692" s="839">
        <v>558</v>
      </c>
      <c r="B692" s="19"/>
      <c r="C692" s="19"/>
      <c r="D692" s="21"/>
      <c r="E692" s="21"/>
      <c r="F692" s="2130" t="s">
        <v>1979</v>
      </c>
      <c r="G692" s="21" t="s">
        <v>3017</v>
      </c>
      <c r="H692" s="21"/>
      <c r="I692" s="21" t="s">
        <v>2982</v>
      </c>
      <c r="J692" s="21" t="s">
        <v>1428</v>
      </c>
      <c r="K692" s="2048">
        <v>100</v>
      </c>
      <c r="L692" s="21" t="s">
        <v>1428</v>
      </c>
      <c r="M692" s="37">
        <v>5.51890239131193</v>
      </c>
      <c r="N692" s="22">
        <v>21.4980455063434</v>
      </c>
      <c r="O692" s="37">
        <v>0.299135954759389</v>
      </c>
      <c r="P692" s="37">
        <f t="shared" si="80"/>
        <v>127.316083852415</v>
      </c>
      <c r="Q692" s="219" t="s">
        <v>2854</v>
      </c>
      <c r="R692" s="23" t="s">
        <v>3016</v>
      </c>
      <c r="S692" s="804"/>
      <c r="W692" s="2163"/>
      <c r="Z692" s="839"/>
      <c r="AA692" s="839"/>
      <c r="AB692" s="1940"/>
    </row>
    <row r="693" s="42" customFormat="1" ht="16" customHeight="1" spans="1:28">
      <c r="A693" s="839">
        <v>559</v>
      </c>
      <c r="B693" s="19"/>
      <c r="C693" s="19"/>
      <c r="D693" s="21"/>
      <c r="E693" s="21">
        <v>7.17</v>
      </c>
      <c r="F693" s="2130" t="s">
        <v>1979</v>
      </c>
      <c r="G693" s="21" t="s">
        <v>3018</v>
      </c>
      <c r="H693" s="21"/>
      <c r="I693" s="21" t="s">
        <v>2982</v>
      </c>
      <c r="J693" s="21" t="s">
        <v>1428</v>
      </c>
      <c r="K693" s="2048">
        <v>100</v>
      </c>
      <c r="L693" s="21" t="s">
        <v>1428</v>
      </c>
      <c r="M693" s="37">
        <v>5.51890239131193</v>
      </c>
      <c r="N693" s="22">
        <v>21.4980455063434</v>
      </c>
      <c r="O693" s="37">
        <f t="shared" si="79"/>
        <v>3.05846632354575</v>
      </c>
      <c r="P693" s="37">
        <f t="shared" si="80"/>
        <v>130.075414221201</v>
      </c>
      <c r="Q693" s="219" t="s">
        <v>2854</v>
      </c>
      <c r="R693" s="23" t="s">
        <v>3016</v>
      </c>
      <c r="S693" s="804"/>
      <c r="W693" s="2163"/>
      <c r="Z693" s="839"/>
      <c r="AA693" s="839"/>
      <c r="AB693" s="1940"/>
    </row>
    <row r="694" s="42" customFormat="1" ht="16" customHeight="1" spans="1:28">
      <c r="A694" s="839">
        <v>560</v>
      </c>
      <c r="B694" s="19"/>
      <c r="C694" s="19"/>
      <c r="D694" s="21">
        <v>20240528</v>
      </c>
      <c r="E694" s="21">
        <v>7.17</v>
      </c>
      <c r="F694" s="2132" t="s">
        <v>3019</v>
      </c>
      <c r="G694" s="21" t="s">
        <v>1591</v>
      </c>
      <c r="H694" s="21"/>
      <c r="I694" s="21" t="s">
        <v>3020</v>
      </c>
      <c r="J694" s="21" t="s">
        <v>1428</v>
      </c>
      <c r="K694" s="2048" t="s">
        <v>1428</v>
      </c>
      <c r="L694" s="21" t="s">
        <v>1428</v>
      </c>
      <c r="M694" s="37">
        <v>5.51890239131193</v>
      </c>
      <c r="N694" s="22">
        <v>21.1793356342239</v>
      </c>
      <c r="O694" s="37">
        <f t="shared" si="79"/>
        <v>3.05846632354575</v>
      </c>
      <c r="P694" s="37">
        <f t="shared" si="80"/>
        <v>29.7567043490816</v>
      </c>
      <c r="Q694" s="219" t="s">
        <v>2854</v>
      </c>
      <c r="R694" s="23" t="s">
        <v>3021</v>
      </c>
      <c r="S694" s="804"/>
      <c r="W694" s="2163"/>
      <c r="Z694" s="839"/>
      <c r="AA694" s="839"/>
      <c r="AB694" s="1940"/>
    </row>
    <row r="695" s="42" customFormat="1" ht="16" customHeight="1" spans="1:28">
      <c r="A695" s="839">
        <v>561</v>
      </c>
      <c r="B695" s="19"/>
      <c r="C695" s="19"/>
      <c r="D695" s="21">
        <v>20240528</v>
      </c>
      <c r="E695" s="21">
        <v>7.17</v>
      </c>
      <c r="F695" s="2132" t="s">
        <v>3022</v>
      </c>
      <c r="G695" s="21" t="s">
        <v>1593</v>
      </c>
      <c r="H695" s="21"/>
      <c r="I695" s="21" t="s">
        <v>3023</v>
      </c>
      <c r="J695" s="21" t="s">
        <v>1428</v>
      </c>
      <c r="K695" s="2048" t="s">
        <v>1428</v>
      </c>
      <c r="L695" s="21" t="s">
        <v>1428</v>
      </c>
      <c r="M695" s="37">
        <v>5.51890239131193</v>
      </c>
      <c r="N695" s="22">
        <v>21.1301115639181</v>
      </c>
      <c r="O695" s="37">
        <f t="shared" si="79"/>
        <v>3.05846632354575</v>
      </c>
      <c r="P695" s="37">
        <f t="shared" si="80"/>
        <v>29.7074802787758</v>
      </c>
      <c r="Q695" s="219" t="s">
        <v>2854</v>
      </c>
      <c r="R695" s="23" t="s">
        <v>3024</v>
      </c>
      <c r="S695" s="804"/>
      <c r="W695" s="2163"/>
      <c r="Z695" s="839"/>
      <c r="AA695" s="839"/>
      <c r="AB695" s="1940"/>
    </row>
    <row r="696" s="1933" customFormat="1" ht="16" customHeight="1" spans="1:28">
      <c r="A696" s="839">
        <v>562</v>
      </c>
      <c r="B696" s="2202"/>
      <c r="C696" s="2202"/>
      <c r="D696" s="2203">
        <v>46098</v>
      </c>
      <c r="E696" s="2204">
        <v>6.901</v>
      </c>
      <c r="F696" s="2132" t="s">
        <v>3025</v>
      </c>
      <c r="G696" s="21" t="s">
        <v>1767</v>
      </c>
      <c r="H696" s="21"/>
      <c r="I696" s="21"/>
      <c r="J696" s="21"/>
      <c r="K696" s="2048"/>
      <c r="L696" s="21" t="s">
        <v>1428</v>
      </c>
      <c r="M696" s="22">
        <f>43.37*1.1/E696/1.13</f>
        <v>6.11774874232669</v>
      </c>
      <c r="N696" s="22">
        <v>20.5</v>
      </c>
      <c r="O696" s="37" t="e">
        <f>#REF!/E697/1.13</f>
        <v>#REF!</v>
      </c>
      <c r="P696" s="37" t="e">
        <f t="shared" si="80"/>
        <v>#REF!</v>
      </c>
      <c r="Q696" s="219"/>
      <c r="R696" s="23"/>
      <c r="S696" s="2107"/>
      <c r="W696" s="2205"/>
      <c r="AB696" s="2109"/>
    </row>
    <row r="697" s="42" customFormat="1" ht="16" customHeight="1" spans="1:28">
      <c r="A697" s="839">
        <v>563</v>
      </c>
      <c r="B697" s="19"/>
      <c r="C697" s="19"/>
      <c r="D697" s="21">
        <v>20240627</v>
      </c>
      <c r="E697" s="21">
        <v>7.17</v>
      </c>
      <c r="F697" s="2132" t="s">
        <v>3026</v>
      </c>
      <c r="G697" s="21" t="s">
        <v>1525</v>
      </c>
      <c r="H697" s="21"/>
      <c r="I697" s="21" t="s">
        <v>2365</v>
      </c>
      <c r="J697" s="21" t="s">
        <v>1428</v>
      </c>
      <c r="K697" s="2048">
        <v>145</v>
      </c>
      <c r="L697" s="21" t="s">
        <v>1428</v>
      </c>
      <c r="M697" s="22">
        <v>5.51890239131193</v>
      </c>
      <c r="N697" s="22">
        <v>21.6314478832407</v>
      </c>
      <c r="O697" s="37">
        <f t="shared" ref="O697:O709" si="81">24.78/E697/1.13</f>
        <v>3.05846632354575</v>
      </c>
      <c r="P697" s="37">
        <f t="shared" ref="P697:P740" si="82">SUM(K697:O697)</f>
        <v>175.208816598098</v>
      </c>
      <c r="Q697" s="219" t="s">
        <v>2854</v>
      </c>
      <c r="R697" s="23" t="s">
        <v>3021</v>
      </c>
      <c r="S697" s="804"/>
      <c r="W697" s="2163"/>
      <c r="Z697" s="839"/>
      <c r="AA697" s="839"/>
      <c r="AB697" s="1940"/>
    </row>
    <row r="698" s="42" customFormat="1" ht="16" customHeight="1" spans="1:28">
      <c r="A698" s="839">
        <v>564</v>
      </c>
      <c r="B698" s="19"/>
      <c r="C698" s="1128">
        <v>46161</v>
      </c>
      <c r="D698" s="21">
        <v>6.8</v>
      </c>
      <c r="E698" s="21" t="s">
        <v>1285</v>
      </c>
      <c r="F698" s="2132" t="s">
        <v>1286</v>
      </c>
      <c r="G698" s="21">
        <f>3.99/D698/1.13</f>
        <v>0.519260801665799</v>
      </c>
      <c r="H698" s="21"/>
      <c r="I698" s="21" t="s">
        <v>2982</v>
      </c>
      <c r="J698" s="21" t="s">
        <v>1428</v>
      </c>
      <c r="K698" s="2048">
        <v>100</v>
      </c>
      <c r="L698" s="21" t="s">
        <v>1428</v>
      </c>
      <c r="M698" s="22">
        <v>5.51890239131193</v>
      </c>
      <c r="N698" s="22">
        <v>19.9246395066422</v>
      </c>
      <c r="O698" s="37" t="e">
        <f t="shared" si="81"/>
        <v>#VALUE!</v>
      </c>
      <c r="P698" s="37" t="e">
        <f t="shared" si="82"/>
        <v>#VALUE!</v>
      </c>
      <c r="Q698" s="219" t="s">
        <v>2854</v>
      </c>
      <c r="R698" s="23" t="s">
        <v>3016</v>
      </c>
      <c r="S698" s="804"/>
      <c r="W698" s="2163"/>
      <c r="Z698" s="839"/>
      <c r="AA698" s="839"/>
      <c r="AB698" s="1940"/>
    </row>
    <row r="699" s="42" customFormat="1" ht="16" customHeight="1" spans="1:28">
      <c r="A699" s="839">
        <v>565</v>
      </c>
      <c r="B699" s="19"/>
      <c r="C699" s="19"/>
      <c r="D699" s="21">
        <v>20240820</v>
      </c>
      <c r="E699" s="21">
        <v>7.17</v>
      </c>
      <c r="F699" s="2132" t="s">
        <v>3027</v>
      </c>
      <c r="G699" s="21" t="s">
        <v>2110</v>
      </c>
      <c r="H699" s="21"/>
      <c r="I699" s="21" t="s">
        <v>3020</v>
      </c>
      <c r="J699" s="21" t="s">
        <v>1428</v>
      </c>
      <c r="K699" s="2048" t="s">
        <v>1428</v>
      </c>
      <c r="L699" s="21" t="s">
        <v>1428</v>
      </c>
      <c r="M699" s="22">
        <v>5.51890239131193</v>
      </c>
      <c r="N699" s="22">
        <v>21.6099450185454</v>
      </c>
      <c r="O699" s="37">
        <f t="shared" si="81"/>
        <v>3.05846632354575</v>
      </c>
      <c r="P699" s="37">
        <f t="shared" si="82"/>
        <v>30.1873137334031</v>
      </c>
      <c r="Q699" s="219" t="s">
        <v>2854</v>
      </c>
      <c r="R699" s="23" t="s">
        <v>3028</v>
      </c>
      <c r="S699" s="804"/>
      <c r="W699" s="2163"/>
      <c r="Z699" s="839"/>
      <c r="AA699" s="839"/>
      <c r="AB699" s="1940"/>
    </row>
    <row r="700" s="42" customFormat="1" ht="16" customHeight="1" spans="1:28">
      <c r="A700" s="839">
        <v>566</v>
      </c>
      <c r="B700" s="19"/>
      <c r="C700" s="19"/>
      <c r="D700" s="21">
        <v>20240820</v>
      </c>
      <c r="E700" s="21">
        <v>7.17</v>
      </c>
      <c r="F700" s="2132" t="s">
        <v>3029</v>
      </c>
      <c r="G700" s="21" t="s">
        <v>667</v>
      </c>
      <c r="H700" s="21"/>
      <c r="I700" s="21" t="s">
        <v>2438</v>
      </c>
      <c r="J700" s="21" t="s">
        <v>1428</v>
      </c>
      <c r="K700" s="2048">
        <v>125</v>
      </c>
      <c r="L700" s="21" t="s">
        <v>1428</v>
      </c>
      <c r="M700" s="22">
        <v>5.51890239131193</v>
      </c>
      <c r="N700" s="22">
        <v>21.7154837103134</v>
      </c>
      <c r="O700" s="37">
        <f t="shared" si="81"/>
        <v>3.05846632354575</v>
      </c>
      <c r="P700" s="37">
        <f t="shared" si="82"/>
        <v>155.292852425171</v>
      </c>
      <c r="Q700" s="219" t="s">
        <v>2854</v>
      </c>
      <c r="R700" s="23" t="s">
        <v>3030</v>
      </c>
      <c r="S700" s="804"/>
      <c r="W700" s="2163"/>
      <c r="Z700" s="839"/>
      <c r="AA700" s="839"/>
      <c r="AB700" s="1940"/>
    </row>
    <row r="701" s="42" customFormat="1" ht="16" customHeight="1" spans="1:28">
      <c r="A701" s="839">
        <v>567</v>
      </c>
      <c r="B701" s="19"/>
      <c r="C701" s="19"/>
      <c r="D701" s="21">
        <v>20240820</v>
      </c>
      <c r="E701" s="21">
        <v>7.17</v>
      </c>
      <c r="F701" s="2132" t="s">
        <v>3031</v>
      </c>
      <c r="G701" s="21" t="s">
        <v>2483</v>
      </c>
      <c r="H701" s="21"/>
      <c r="I701" s="21" t="s">
        <v>2474</v>
      </c>
      <c r="J701" s="21" t="s">
        <v>1428</v>
      </c>
      <c r="K701" s="2048" t="s">
        <v>1428</v>
      </c>
      <c r="L701" s="21" t="s">
        <v>1428</v>
      </c>
      <c r="M701" s="22">
        <v>5.51890239131193</v>
      </c>
      <c r="N701" s="22">
        <v>21.7212738629789</v>
      </c>
      <c r="O701" s="37">
        <f t="shared" si="81"/>
        <v>3.05846632354575</v>
      </c>
      <c r="P701" s="37">
        <f t="shared" si="82"/>
        <v>30.2986425778366</v>
      </c>
      <c r="Q701" s="219" t="s">
        <v>2854</v>
      </c>
      <c r="R701" s="23" t="s">
        <v>3028</v>
      </c>
      <c r="S701" s="804"/>
      <c r="W701" s="2163"/>
      <c r="Z701" s="839"/>
      <c r="AA701" s="839"/>
      <c r="AB701" s="1940"/>
    </row>
    <row r="702" s="42" customFormat="1" ht="16" customHeight="1" spans="1:28">
      <c r="A702" s="839">
        <v>568</v>
      </c>
      <c r="B702" s="19"/>
      <c r="C702" s="19"/>
      <c r="D702" s="21">
        <v>20240820</v>
      </c>
      <c r="E702" s="21">
        <v>7.17</v>
      </c>
      <c r="F702" s="2132" t="s">
        <v>3032</v>
      </c>
      <c r="G702" s="21" t="s">
        <v>2486</v>
      </c>
      <c r="H702" s="21"/>
      <c r="I702" s="21" t="s">
        <v>2365</v>
      </c>
      <c r="J702" s="21" t="s">
        <v>1428</v>
      </c>
      <c r="K702" s="2048">
        <v>145</v>
      </c>
      <c r="L702" s="21" t="s">
        <v>1428</v>
      </c>
      <c r="M702" s="22">
        <v>5.51890239131193</v>
      </c>
      <c r="N702" s="22">
        <v>21.7243005336906</v>
      </c>
      <c r="O702" s="37">
        <f t="shared" si="81"/>
        <v>3.05846632354575</v>
      </c>
      <c r="P702" s="37">
        <f t="shared" si="82"/>
        <v>175.301669248548</v>
      </c>
      <c r="Q702" s="219" t="s">
        <v>2854</v>
      </c>
      <c r="R702" s="23" t="s">
        <v>3028</v>
      </c>
      <c r="S702" s="804"/>
      <c r="W702" s="2163"/>
      <c r="Z702" s="839"/>
      <c r="AA702" s="839"/>
      <c r="AB702" s="1940"/>
    </row>
    <row r="703" s="42" customFormat="1" ht="16" customHeight="1" spans="1:28">
      <c r="A703" s="839">
        <v>569</v>
      </c>
      <c r="B703" s="19"/>
      <c r="C703" s="19"/>
      <c r="D703" s="21">
        <v>20240926</v>
      </c>
      <c r="E703" s="21">
        <v>7.17</v>
      </c>
      <c r="F703" s="2132" t="s">
        <v>3033</v>
      </c>
      <c r="G703" s="21" t="s">
        <v>2488</v>
      </c>
      <c r="H703" s="21"/>
      <c r="I703" s="21" t="s">
        <v>2358</v>
      </c>
      <c r="J703" s="21" t="s">
        <v>1428</v>
      </c>
      <c r="K703" s="2048">
        <v>145</v>
      </c>
      <c r="L703" s="21" t="s">
        <v>1428</v>
      </c>
      <c r="M703" s="22">
        <v>5.51890239131193</v>
      </c>
      <c r="N703" s="22">
        <v>22.3227446663729</v>
      </c>
      <c r="O703" s="37">
        <f t="shared" si="81"/>
        <v>3.05846632354575</v>
      </c>
      <c r="P703" s="37">
        <f t="shared" si="82"/>
        <v>175.900113381231</v>
      </c>
      <c r="Q703" s="219" t="s">
        <v>2854</v>
      </c>
      <c r="R703" s="23" t="s">
        <v>3034</v>
      </c>
      <c r="S703" s="804"/>
      <c r="W703" s="2163"/>
      <c r="Z703" s="839"/>
      <c r="AA703" s="839"/>
      <c r="AB703" s="1940"/>
    </row>
    <row r="704" s="42" customFormat="1" ht="16" customHeight="1" spans="1:28">
      <c r="A704" s="839">
        <v>570</v>
      </c>
      <c r="B704" s="19"/>
      <c r="C704" s="19"/>
      <c r="D704" s="21">
        <v>20250218</v>
      </c>
      <c r="E704" s="21">
        <v>7.17</v>
      </c>
      <c r="F704" s="2132" t="s">
        <v>3035</v>
      </c>
      <c r="G704" s="21" t="s">
        <v>2383</v>
      </c>
      <c r="H704" s="21"/>
      <c r="I704" s="21" t="s">
        <v>3036</v>
      </c>
      <c r="J704" s="21" t="s">
        <v>1428</v>
      </c>
      <c r="K704" s="2048" t="s">
        <v>1428</v>
      </c>
      <c r="L704" s="21" t="s">
        <v>1428</v>
      </c>
      <c r="M704" s="22">
        <v>5.51890239131193</v>
      </c>
      <c r="N704" s="22">
        <v>18.9830053043834</v>
      </c>
      <c r="O704" s="37">
        <f t="shared" si="81"/>
        <v>3.05846632354575</v>
      </c>
      <c r="P704" s="37">
        <f t="shared" si="82"/>
        <v>27.5603740192411</v>
      </c>
      <c r="Q704" s="219" t="s">
        <v>2854</v>
      </c>
      <c r="R704" s="23" t="s">
        <v>3037</v>
      </c>
      <c r="S704" s="804"/>
      <c r="W704" s="2163"/>
      <c r="Z704" s="839"/>
      <c r="AA704" s="839"/>
      <c r="AB704" s="1940"/>
    </row>
    <row r="705" s="42" customFormat="1" ht="16" customHeight="1" spans="1:28">
      <c r="A705" s="839">
        <v>571</v>
      </c>
      <c r="B705" s="19"/>
      <c r="C705" s="19"/>
      <c r="D705" s="21">
        <v>20250218</v>
      </c>
      <c r="E705" s="21">
        <v>7.17</v>
      </c>
      <c r="F705" s="2132" t="s">
        <v>3038</v>
      </c>
      <c r="G705" s="21" t="s">
        <v>2320</v>
      </c>
      <c r="H705" s="21"/>
      <c r="I705" s="21" t="s">
        <v>3039</v>
      </c>
      <c r="J705" s="21" t="s">
        <v>1428</v>
      </c>
      <c r="K705" s="2048" t="s">
        <v>1428</v>
      </c>
      <c r="L705" s="21" t="s">
        <v>1428</v>
      </c>
      <c r="M705" s="22">
        <v>5.51890239131193</v>
      </c>
      <c r="N705" s="22">
        <v>19.0969512903642</v>
      </c>
      <c r="O705" s="37">
        <f t="shared" si="81"/>
        <v>3.05846632354575</v>
      </c>
      <c r="P705" s="37">
        <f t="shared" si="82"/>
        <v>27.6743200052219</v>
      </c>
      <c r="Q705" s="219" t="s">
        <v>2854</v>
      </c>
      <c r="R705" s="23" t="s">
        <v>3040</v>
      </c>
      <c r="S705" s="804"/>
      <c r="W705" s="2163"/>
      <c r="Z705" s="839"/>
      <c r="AA705" s="839"/>
      <c r="AB705" s="1940"/>
    </row>
    <row r="706" s="42" customFormat="1" ht="16" customHeight="1" spans="1:28">
      <c r="A706" s="839">
        <v>572</v>
      </c>
      <c r="B706" s="19"/>
      <c r="C706" s="19"/>
      <c r="D706" s="21">
        <v>20250313</v>
      </c>
      <c r="E706" s="21">
        <v>7.17</v>
      </c>
      <c r="F706" s="2132" t="s">
        <v>3041</v>
      </c>
      <c r="G706" s="21" t="s">
        <v>3042</v>
      </c>
      <c r="H706" s="21"/>
      <c r="I706" s="21" t="s">
        <v>2354</v>
      </c>
      <c r="J706" s="21" t="s">
        <v>1428</v>
      </c>
      <c r="K706" s="2048">
        <v>125</v>
      </c>
      <c r="L706" s="21" t="s">
        <v>1428</v>
      </c>
      <c r="M706" s="22">
        <v>5.51890239131193</v>
      </c>
      <c r="N706" s="22">
        <v>18.2170521949225</v>
      </c>
      <c r="O706" s="37">
        <f t="shared" si="81"/>
        <v>3.05846632354575</v>
      </c>
      <c r="P706" s="37">
        <f t="shared" si="82"/>
        <v>151.79442090978</v>
      </c>
      <c r="Q706" s="219" t="s">
        <v>2854</v>
      </c>
      <c r="R706" s="23" t="s">
        <v>3043</v>
      </c>
      <c r="S706" s="804"/>
      <c r="W706" s="2163"/>
      <c r="Z706" s="839"/>
      <c r="AA706" s="839"/>
      <c r="AB706" s="1940"/>
    </row>
    <row r="707" s="42" customFormat="1" ht="16" customHeight="1" spans="1:28">
      <c r="A707" s="839">
        <v>573</v>
      </c>
      <c r="B707" s="19"/>
      <c r="C707" s="19"/>
      <c r="D707" s="21">
        <v>20250313</v>
      </c>
      <c r="E707" s="21">
        <v>7.17</v>
      </c>
      <c r="F707" s="2132" t="s">
        <v>3044</v>
      </c>
      <c r="G707" s="21" t="s">
        <v>3045</v>
      </c>
      <c r="H707" s="21"/>
      <c r="I707" s="21" t="s">
        <v>2369</v>
      </c>
      <c r="J707" s="21" t="s">
        <v>1428</v>
      </c>
      <c r="K707" s="2048">
        <v>190</v>
      </c>
      <c r="L707" s="21" t="s">
        <v>1428</v>
      </c>
      <c r="M707" s="22">
        <v>5.51890239131193</v>
      </c>
      <c r="N707" s="22">
        <v>18.1550246393214</v>
      </c>
      <c r="O707" s="37">
        <f t="shared" si="81"/>
        <v>3.05846632354575</v>
      </c>
      <c r="P707" s="37">
        <f t="shared" si="82"/>
        <v>216.732393354179</v>
      </c>
      <c r="Q707" s="219" t="s">
        <v>2854</v>
      </c>
      <c r="R707" s="23" t="s">
        <v>3043</v>
      </c>
      <c r="S707" s="804"/>
      <c r="W707" s="2163"/>
      <c r="Z707" s="839"/>
      <c r="AA707" s="839"/>
      <c r="AB707" s="1940"/>
    </row>
    <row r="708" s="42" customFormat="1" ht="16" customHeight="1" spans="1:28">
      <c r="A708" s="839">
        <v>574</v>
      </c>
      <c r="B708" s="19"/>
      <c r="C708" s="19"/>
      <c r="D708" s="21">
        <v>20250313</v>
      </c>
      <c r="E708" s="21">
        <v>7.17</v>
      </c>
      <c r="F708" s="2132" t="s">
        <v>3046</v>
      </c>
      <c r="G708" s="21" t="s">
        <v>3047</v>
      </c>
      <c r="H708" s="21"/>
      <c r="I708" s="21" t="s">
        <v>2304</v>
      </c>
      <c r="J708" s="21" t="s">
        <v>1428</v>
      </c>
      <c r="K708" s="2048" t="s">
        <v>2952</v>
      </c>
      <c r="L708" s="21" t="s">
        <v>1428</v>
      </c>
      <c r="M708" s="22">
        <v>5.51890239131193</v>
      </c>
      <c r="N708" s="22">
        <v>19.8119601142221</v>
      </c>
      <c r="O708" s="37">
        <f t="shared" si="81"/>
        <v>3.05846632354575</v>
      </c>
      <c r="P708" s="37">
        <f t="shared" si="82"/>
        <v>28.3893288290798</v>
      </c>
      <c r="Q708" s="219" t="s">
        <v>2854</v>
      </c>
      <c r="R708" s="23" t="s">
        <v>3048</v>
      </c>
      <c r="S708" s="804"/>
      <c r="W708" s="2163"/>
      <c r="Z708" s="839"/>
      <c r="AA708" s="839"/>
      <c r="AB708" s="1940"/>
    </row>
    <row r="709" s="42" customFormat="1" ht="16" customHeight="1" spans="1:28">
      <c r="A709" s="839">
        <v>575</v>
      </c>
      <c r="B709" s="19"/>
      <c r="C709" s="19"/>
      <c r="D709" s="21">
        <v>20250313</v>
      </c>
      <c r="E709" s="21">
        <v>7.17</v>
      </c>
      <c r="F709" s="2132" t="s">
        <v>3049</v>
      </c>
      <c r="G709" s="21" t="s">
        <v>3050</v>
      </c>
      <c r="H709" s="21"/>
      <c r="I709" s="21" t="s">
        <v>2358</v>
      </c>
      <c r="J709" s="21" t="s">
        <v>1428</v>
      </c>
      <c r="K709" s="2048">
        <v>145</v>
      </c>
      <c r="L709" s="21" t="s">
        <v>1428</v>
      </c>
      <c r="M709" s="22">
        <v>5.51890239131193</v>
      </c>
      <c r="N709" s="22">
        <v>19.7324396693848</v>
      </c>
      <c r="O709" s="37">
        <f t="shared" si="81"/>
        <v>3.05846632354575</v>
      </c>
      <c r="P709" s="37">
        <f t="shared" si="82"/>
        <v>173.309808384243</v>
      </c>
      <c r="Q709" s="219" t="s">
        <v>2854</v>
      </c>
      <c r="R709" s="23" t="s">
        <v>3048</v>
      </c>
      <c r="S709" s="804"/>
      <c r="W709" s="2163"/>
      <c r="Z709" s="839"/>
      <c r="AA709" s="839"/>
      <c r="AB709" s="1940"/>
    </row>
    <row r="710" s="42" customFormat="1" ht="16" customHeight="1" spans="1:28">
      <c r="A710" s="839">
        <v>576</v>
      </c>
      <c r="B710" s="19"/>
      <c r="C710" s="19"/>
      <c r="D710" s="21">
        <v>20240820</v>
      </c>
      <c r="E710" s="21">
        <v>7.17</v>
      </c>
      <c r="F710" s="2132" t="s">
        <v>446</v>
      </c>
      <c r="G710" s="21" t="s">
        <v>447</v>
      </c>
      <c r="H710" s="21"/>
      <c r="I710" s="21"/>
      <c r="J710" s="21"/>
      <c r="K710" s="2048"/>
      <c r="L710" s="21"/>
      <c r="M710" s="22">
        <v>0.506158857541987</v>
      </c>
      <c r="N710" s="22">
        <v>2.73965500372915</v>
      </c>
      <c r="O710" s="774">
        <v>0.4</v>
      </c>
      <c r="P710" s="37">
        <f t="shared" si="82"/>
        <v>3.64581386127114</v>
      </c>
      <c r="Q710" s="219"/>
      <c r="R710" s="23"/>
      <c r="S710" s="804"/>
      <c r="W710" s="2163"/>
      <c r="Z710" s="839"/>
      <c r="AA710" s="839"/>
      <c r="AB710" s="1940"/>
    </row>
    <row r="711" s="42" customFormat="1" ht="16" customHeight="1" spans="1:28">
      <c r="A711" s="839">
        <v>577</v>
      </c>
      <c r="B711" s="19"/>
      <c r="C711" s="19"/>
      <c r="D711" s="21">
        <v>20240627</v>
      </c>
      <c r="E711" s="21">
        <v>7.17</v>
      </c>
      <c r="F711" s="2132" t="s">
        <v>448</v>
      </c>
      <c r="G711" s="21" t="s">
        <v>449</v>
      </c>
      <c r="H711" s="21"/>
      <c r="I711" s="21"/>
      <c r="J711" s="21"/>
      <c r="K711" s="2048"/>
      <c r="L711" s="21"/>
      <c r="M711" s="22">
        <v>0.435106359527569</v>
      </c>
      <c r="N711" s="22">
        <v>1.6988373315236</v>
      </c>
      <c r="O711" s="774">
        <v>0.2</v>
      </c>
      <c r="P711" s="37">
        <f t="shared" si="82"/>
        <v>2.33394369105117</v>
      </c>
      <c r="Q711" s="219"/>
      <c r="R711" s="23" t="s">
        <v>2851</v>
      </c>
      <c r="S711" s="804"/>
      <c r="W711" s="2163"/>
      <c r="Z711" s="839"/>
      <c r="AA711" s="839"/>
      <c r="AB711" s="1940"/>
    </row>
    <row r="712" s="42" customFormat="1" ht="16" customHeight="1" spans="1:28">
      <c r="A712" s="839">
        <v>578</v>
      </c>
      <c r="B712" s="19"/>
      <c r="C712" s="19"/>
      <c r="D712" s="21"/>
      <c r="E712" s="21"/>
      <c r="F712" s="2130" t="s">
        <v>1979</v>
      </c>
      <c r="G712" s="21" t="s">
        <v>453</v>
      </c>
      <c r="H712" s="21"/>
      <c r="I712" s="21"/>
      <c r="J712" s="21"/>
      <c r="K712" s="2048"/>
      <c r="L712" s="21"/>
      <c r="M712" s="37">
        <v>0.364179321898103</v>
      </c>
      <c r="N712" s="22">
        <v>3.22256856771004</v>
      </c>
      <c r="O712" s="774">
        <v>0.4</v>
      </c>
      <c r="P712" s="37">
        <f t="shared" si="82"/>
        <v>3.98674788960814</v>
      </c>
      <c r="Q712" s="219"/>
      <c r="R712" s="23"/>
      <c r="S712" s="804"/>
      <c r="W712" s="2163"/>
      <c r="Z712" s="839"/>
      <c r="AA712" s="839"/>
      <c r="AB712" s="1940"/>
    </row>
    <row r="713" s="42" customFormat="1" ht="16" customHeight="1" spans="1:28">
      <c r="A713" s="839">
        <v>579</v>
      </c>
      <c r="B713" s="19"/>
      <c r="C713" s="19"/>
      <c r="D713" s="21"/>
      <c r="E713" s="21"/>
      <c r="F713" s="2130" t="s">
        <v>1979</v>
      </c>
      <c r="G713" s="21" t="s">
        <v>454</v>
      </c>
      <c r="H713" s="21"/>
      <c r="I713" s="21"/>
      <c r="J713" s="21"/>
      <c r="K713" s="2048"/>
      <c r="L713" s="21"/>
      <c r="M713" s="37">
        <v>1.12630732099759</v>
      </c>
      <c r="N713" s="22">
        <v>1.751276307321</v>
      </c>
      <c r="O713" s="774">
        <v>0.4</v>
      </c>
      <c r="P713" s="37">
        <f t="shared" si="82"/>
        <v>3.27758362831859</v>
      </c>
      <c r="Q713" s="219"/>
      <c r="R713" s="23"/>
      <c r="S713" s="804"/>
      <c r="W713" s="2163"/>
      <c r="Z713" s="839"/>
      <c r="AA713" s="839"/>
      <c r="AB713" s="1940"/>
    </row>
    <row r="714" s="42" customFormat="1" ht="16" customHeight="1" spans="1:28">
      <c r="A714" s="839">
        <v>580</v>
      </c>
      <c r="B714" s="687" t="s">
        <v>3051</v>
      </c>
      <c r="C714" s="23"/>
      <c r="D714" s="21"/>
      <c r="E714" s="21">
        <v>7.17</v>
      </c>
      <c r="F714" s="2130" t="s">
        <v>1979</v>
      </c>
      <c r="G714" s="21" t="s">
        <v>1565</v>
      </c>
      <c r="H714" s="21"/>
      <c r="I714" s="690" t="s">
        <v>2972</v>
      </c>
      <c r="J714" s="21" t="s">
        <v>1428</v>
      </c>
      <c r="K714" s="2048">
        <v>65</v>
      </c>
      <c r="L714" s="21" t="s">
        <v>1428</v>
      </c>
      <c r="M714" s="37">
        <f t="shared" ref="M714:M726" si="83">37.98/E714/1.13</f>
        <v>4.68767356611249</v>
      </c>
      <c r="N714" s="22">
        <v>12.1705149504425</v>
      </c>
      <c r="O714" s="37">
        <f t="shared" ref="O714:O726" si="84">22.42/E714/1.13</f>
        <v>2.76718381654139</v>
      </c>
      <c r="P714" s="37">
        <f t="shared" si="82"/>
        <v>84.6253723330964</v>
      </c>
      <c r="Q714" s="219" t="s">
        <v>2854</v>
      </c>
      <c r="R714" s="23" t="s">
        <v>3052</v>
      </c>
      <c r="S714" s="804"/>
      <c r="W714" s="2163"/>
      <c r="Z714" s="839"/>
      <c r="AA714" s="839"/>
      <c r="AB714" s="1940"/>
    </row>
    <row r="715" s="42" customFormat="1" ht="16" customHeight="1" spans="1:28">
      <c r="A715" s="839">
        <v>581</v>
      </c>
      <c r="B715" s="687"/>
      <c r="C715" s="23"/>
      <c r="D715" s="21"/>
      <c r="E715" s="21">
        <v>7.17</v>
      </c>
      <c r="F715" s="2130" t="s">
        <v>1979</v>
      </c>
      <c r="G715" s="21" t="s">
        <v>1617</v>
      </c>
      <c r="H715" s="21"/>
      <c r="I715" s="690" t="s">
        <v>2982</v>
      </c>
      <c r="J715" s="21" t="s">
        <v>1742</v>
      </c>
      <c r="K715" s="2048">
        <v>100</v>
      </c>
      <c r="L715" s="21">
        <v>6</v>
      </c>
      <c r="M715" s="37">
        <f t="shared" si="83"/>
        <v>4.68767356611249</v>
      </c>
      <c r="N715" s="22">
        <v>13.7718056815634</v>
      </c>
      <c r="O715" s="37">
        <f t="shared" si="84"/>
        <v>2.76718381654139</v>
      </c>
      <c r="P715" s="37">
        <f t="shared" si="82"/>
        <v>127.226663064217</v>
      </c>
      <c r="Q715" s="219" t="s">
        <v>2854</v>
      </c>
      <c r="R715" s="23" t="s">
        <v>3053</v>
      </c>
      <c r="S715" s="804"/>
      <c r="W715" s="2163"/>
      <c r="Z715" s="839"/>
      <c r="AA715" s="839"/>
      <c r="AB715" s="1940"/>
    </row>
    <row r="716" s="42" customFormat="1" ht="16" customHeight="1" spans="1:28">
      <c r="A716" s="839">
        <v>582</v>
      </c>
      <c r="B716" s="687"/>
      <c r="C716" s="23"/>
      <c r="D716" s="21"/>
      <c r="E716" s="21">
        <v>7.17</v>
      </c>
      <c r="F716" s="2130" t="s">
        <v>1979</v>
      </c>
      <c r="G716" s="21" t="s">
        <v>1629</v>
      </c>
      <c r="H716" s="21"/>
      <c r="I716" s="690" t="s">
        <v>2972</v>
      </c>
      <c r="J716" s="21" t="s">
        <v>1428</v>
      </c>
      <c r="K716" s="2048">
        <v>65</v>
      </c>
      <c r="L716" s="21" t="s">
        <v>1428</v>
      </c>
      <c r="M716" s="37">
        <f t="shared" si="83"/>
        <v>4.68767356611249</v>
      </c>
      <c r="N716" s="22">
        <v>13.2285613276167</v>
      </c>
      <c r="O716" s="37">
        <f t="shared" si="84"/>
        <v>2.76718381654139</v>
      </c>
      <c r="P716" s="37">
        <f t="shared" si="82"/>
        <v>85.6834187102706</v>
      </c>
      <c r="Q716" s="219" t="s">
        <v>2854</v>
      </c>
      <c r="R716" s="23" t="s">
        <v>3053</v>
      </c>
      <c r="S716" s="804"/>
      <c r="W716" s="2163"/>
      <c r="Z716" s="839"/>
      <c r="AA716" s="839"/>
      <c r="AB716" s="1940"/>
    </row>
    <row r="717" s="42" customFormat="1" ht="16" customHeight="1" spans="1:28">
      <c r="A717" s="839">
        <v>583</v>
      </c>
      <c r="B717" s="687"/>
      <c r="C717" s="23"/>
      <c r="D717" s="21"/>
      <c r="E717" s="21">
        <v>7.17</v>
      </c>
      <c r="F717" s="2130" t="s">
        <v>1979</v>
      </c>
      <c r="G717" s="21" t="s">
        <v>1645</v>
      </c>
      <c r="H717" s="21"/>
      <c r="I717" s="690" t="s">
        <v>2951</v>
      </c>
      <c r="J717" s="21" t="s">
        <v>1428</v>
      </c>
      <c r="K717" s="2048" t="s">
        <v>2957</v>
      </c>
      <c r="L717" s="21" t="s">
        <v>1428</v>
      </c>
      <c r="M717" s="37">
        <f t="shared" si="83"/>
        <v>4.68767356611249</v>
      </c>
      <c r="N717" s="22">
        <v>15.3614806663116</v>
      </c>
      <c r="O717" s="37">
        <f t="shared" si="84"/>
        <v>2.76718381654139</v>
      </c>
      <c r="P717" s="37">
        <f t="shared" si="82"/>
        <v>22.8163380489655</v>
      </c>
      <c r="Q717" s="219" t="s">
        <v>2854</v>
      </c>
      <c r="R717" s="23" t="s">
        <v>3053</v>
      </c>
      <c r="S717" s="804"/>
      <c r="W717" s="2163"/>
      <c r="Z717" s="839"/>
      <c r="AA717" s="839"/>
      <c r="AB717" s="1940"/>
    </row>
    <row r="718" s="42" customFormat="1" ht="16" customHeight="1" spans="1:28">
      <c r="A718" s="839">
        <v>584</v>
      </c>
      <c r="B718" s="687"/>
      <c r="C718" s="23"/>
      <c r="D718" s="21"/>
      <c r="E718" s="21">
        <v>7.17</v>
      </c>
      <c r="F718" s="2130" t="s">
        <v>1979</v>
      </c>
      <c r="G718" s="21" t="s">
        <v>1604</v>
      </c>
      <c r="H718" s="21"/>
      <c r="I718" s="690" t="s">
        <v>3054</v>
      </c>
      <c r="J718" s="21" t="s">
        <v>1428</v>
      </c>
      <c r="K718" s="2048" t="s">
        <v>1428</v>
      </c>
      <c r="L718" s="21" t="s">
        <v>1428</v>
      </c>
      <c r="M718" s="37">
        <f t="shared" si="83"/>
        <v>4.68767356611249</v>
      </c>
      <c r="N718" s="22">
        <v>15.6268859535067</v>
      </c>
      <c r="O718" s="37">
        <f t="shared" si="84"/>
        <v>2.76718381654139</v>
      </c>
      <c r="P718" s="37">
        <f t="shared" si="82"/>
        <v>23.0817433361606</v>
      </c>
      <c r="Q718" s="219" t="s">
        <v>2854</v>
      </c>
      <c r="R718" s="23" t="s">
        <v>3055</v>
      </c>
      <c r="S718" s="804"/>
      <c r="W718" s="2163"/>
      <c r="Z718" s="839"/>
      <c r="AA718" s="839"/>
      <c r="AB718" s="1940"/>
    </row>
    <row r="719" s="42" customFormat="1" ht="16" customHeight="1" spans="1:28">
      <c r="A719" s="839">
        <v>585</v>
      </c>
      <c r="B719" s="687"/>
      <c r="C719" s="23"/>
      <c r="D719" s="21"/>
      <c r="E719" s="21">
        <v>7.17</v>
      </c>
      <c r="F719" s="2130" t="s">
        <v>1979</v>
      </c>
      <c r="G719" s="21" t="s">
        <v>1571</v>
      </c>
      <c r="H719" s="21"/>
      <c r="I719" s="690" t="s">
        <v>2365</v>
      </c>
      <c r="J719" s="21" t="s">
        <v>1428</v>
      </c>
      <c r="K719" s="2048">
        <v>145</v>
      </c>
      <c r="L719" s="21" t="s">
        <v>1428</v>
      </c>
      <c r="M719" s="37">
        <f t="shared" si="83"/>
        <v>4.68767356611249</v>
      </c>
      <c r="N719" s="22">
        <v>15.2489111784228</v>
      </c>
      <c r="O719" s="37">
        <f t="shared" si="84"/>
        <v>2.76718381654139</v>
      </c>
      <c r="P719" s="37">
        <f t="shared" si="82"/>
        <v>167.703768561077</v>
      </c>
      <c r="Q719" s="219" t="s">
        <v>2854</v>
      </c>
      <c r="R719" s="23" t="s">
        <v>3056</v>
      </c>
      <c r="S719" s="804"/>
      <c r="W719" s="2163"/>
      <c r="Z719" s="839"/>
      <c r="AA719" s="839"/>
      <c r="AB719" s="1940"/>
    </row>
    <row r="720" s="42" customFormat="1" ht="16" customHeight="1" spans="1:28">
      <c r="A720" s="839">
        <v>586</v>
      </c>
      <c r="B720" s="687"/>
      <c r="C720" s="23"/>
      <c r="D720" s="21"/>
      <c r="E720" s="21">
        <v>7.17</v>
      </c>
      <c r="F720" s="2130" t="s">
        <v>1979</v>
      </c>
      <c r="G720" s="21" t="s">
        <v>1685</v>
      </c>
      <c r="H720" s="21"/>
      <c r="I720" s="690" t="s">
        <v>2972</v>
      </c>
      <c r="J720" s="21" t="s">
        <v>1428</v>
      </c>
      <c r="K720" s="2048">
        <v>65</v>
      </c>
      <c r="L720" s="21" t="s">
        <v>1428</v>
      </c>
      <c r="M720" s="37">
        <f t="shared" si="83"/>
        <v>4.68767356611249</v>
      </c>
      <c r="N720" s="22">
        <v>12.4551296277445</v>
      </c>
      <c r="O720" s="37">
        <f t="shared" si="84"/>
        <v>2.76718381654139</v>
      </c>
      <c r="P720" s="37">
        <f t="shared" si="82"/>
        <v>84.9099870103984</v>
      </c>
      <c r="Q720" s="219" t="s">
        <v>2854</v>
      </c>
      <c r="R720" s="23" t="s">
        <v>3053</v>
      </c>
      <c r="S720" s="804"/>
      <c r="W720" s="2163"/>
      <c r="Z720" s="839"/>
      <c r="AA720" s="839"/>
      <c r="AB720" s="1940"/>
    </row>
    <row r="721" s="42" customFormat="1" ht="16" customHeight="1" spans="1:28">
      <c r="A721" s="839">
        <v>587</v>
      </c>
      <c r="B721" s="687"/>
      <c r="C721" s="23"/>
      <c r="D721" s="21">
        <v>20250612</v>
      </c>
      <c r="E721" s="21">
        <v>7.17</v>
      </c>
      <c r="F721" s="2132" t="s">
        <v>3057</v>
      </c>
      <c r="G721" s="21" t="s">
        <v>1669</v>
      </c>
      <c r="H721" s="21"/>
      <c r="I721" s="690" t="s">
        <v>2972</v>
      </c>
      <c r="J721" s="21" t="s">
        <v>1428</v>
      </c>
      <c r="K721" s="2048">
        <v>65</v>
      </c>
      <c r="L721" s="21" t="s">
        <v>1428</v>
      </c>
      <c r="M721" s="37">
        <f t="shared" si="83"/>
        <v>4.68767356611249</v>
      </c>
      <c r="N721" s="22">
        <v>11.4186152867847</v>
      </c>
      <c r="O721" s="37">
        <f t="shared" si="84"/>
        <v>2.76718381654139</v>
      </c>
      <c r="P721" s="37">
        <f t="shared" si="82"/>
        <v>83.8734726694386</v>
      </c>
      <c r="Q721" s="219" t="s">
        <v>2854</v>
      </c>
      <c r="R721" s="23" t="s">
        <v>3053</v>
      </c>
      <c r="S721" s="804"/>
      <c r="W721" s="2163"/>
      <c r="Z721" s="839"/>
      <c r="AA721" s="839"/>
      <c r="AB721" s="1940"/>
    </row>
    <row r="722" s="42" customFormat="1" ht="16" customHeight="1" spans="1:28">
      <c r="A722" s="839">
        <v>588</v>
      </c>
      <c r="B722" s="687"/>
      <c r="C722" s="23"/>
      <c r="D722" s="21">
        <v>20241108</v>
      </c>
      <c r="E722" s="21">
        <v>7.17</v>
      </c>
      <c r="F722" s="2132" t="s">
        <v>3058</v>
      </c>
      <c r="G722" s="21" t="s">
        <v>1671</v>
      </c>
      <c r="H722" s="21"/>
      <c r="I722" s="690" t="s">
        <v>2641</v>
      </c>
      <c r="J722" s="21" t="s">
        <v>1428</v>
      </c>
      <c r="K722" s="2048">
        <v>100</v>
      </c>
      <c r="L722" s="21" t="s">
        <v>1428</v>
      </c>
      <c r="M722" s="37">
        <f t="shared" si="83"/>
        <v>4.68767356611249</v>
      </c>
      <c r="N722" s="22">
        <v>11.9053230727985</v>
      </c>
      <c r="O722" s="37">
        <f t="shared" si="84"/>
        <v>2.76718381654139</v>
      </c>
      <c r="P722" s="37">
        <f t="shared" si="82"/>
        <v>119.360180455452</v>
      </c>
      <c r="Q722" s="219" t="s">
        <v>2854</v>
      </c>
      <c r="R722" s="23" t="s">
        <v>3059</v>
      </c>
      <c r="S722" s="804"/>
      <c r="W722" s="2163"/>
      <c r="Z722" s="839"/>
      <c r="AA722" s="839"/>
      <c r="AB722" s="1940"/>
    </row>
    <row r="723" s="42" customFormat="1" ht="16" customHeight="1" spans="1:28">
      <c r="A723" s="839">
        <v>589</v>
      </c>
      <c r="B723" s="687"/>
      <c r="C723" s="23"/>
      <c r="D723" s="21">
        <v>20241108</v>
      </c>
      <c r="E723" s="21">
        <v>7.17</v>
      </c>
      <c r="F723" s="2132" t="s">
        <v>3060</v>
      </c>
      <c r="G723" s="21" t="s">
        <v>1672</v>
      </c>
      <c r="H723" s="21"/>
      <c r="I723" s="690" t="s">
        <v>2968</v>
      </c>
      <c r="J723" s="21" t="s">
        <v>1428</v>
      </c>
      <c r="K723" s="2048" t="s">
        <v>2957</v>
      </c>
      <c r="L723" s="21" t="s">
        <v>1428</v>
      </c>
      <c r="M723" s="37">
        <f t="shared" si="83"/>
        <v>4.68767356611249</v>
      </c>
      <c r="N723" s="22">
        <v>14.110099880782</v>
      </c>
      <c r="O723" s="37">
        <f t="shared" si="84"/>
        <v>2.76718381654139</v>
      </c>
      <c r="P723" s="37">
        <f t="shared" si="82"/>
        <v>21.5649572634359</v>
      </c>
      <c r="Q723" s="219" t="s">
        <v>2854</v>
      </c>
      <c r="R723" s="23" t="s">
        <v>3061</v>
      </c>
      <c r="S723" s="804"/>
      <c r="W723" s="2163"/>
      <c r="Z723" s="839"/>
      <c r="AA723" s="839"/>
      <c r="AB723" s="1940"/>
    </row>
    <row r="724" s="42" customFormat="1" ht="16" customHeight="1" spans="1:28">
      <c r="A724" s="839">
        <v>590</v>
      </c>
      <c r="B724" s="687"/>
      <c r="C724" s="23"/>
      <c r="D724" s="21">
        <v>20241108</v>
      </c>
      <c r="E724" s="21">
        <v>7.17</v>
      </c>
      <c r="F724" s="2132" t="s">
        <v>3062</v>
      </c>
      <c r="G724" s="21" t="s">
        <v>1998</v>
      </c>
      <c r="H724" s="21"/>
      <c r="I724" s="690" t="s">
        <v>2970</v>
      </c>
      <c r="J724" s="21" t="s">
        <v>1428</v>
      </c>
      <c r="K724" s="2048">
        <v>145</v>
      </c>
      <c r="L724" s="21" t="s">
        <v>1428</v>
      </c>
      <c r="M724" s="37">
        <f t="shared" si="83"/>
        <v>4.68767356611249</v>
      </c>
      <c r="N724" s="22">
        <v>14.1041778558522</v>
      </c>
      <c r="O724" s="37">
        <f t="shared" si="84"/>
        <v>2.76718381654139</v>
      </c>
      <c r="P724" s="37">
        <f t="shared" si="82"/>
        <v>166.559035238506</v>
      </c>
      <c r="Q724" s="219" t="s">
        <v>2854</v>
      </c>
      <c r="R724" s="23" t="s">
        <v>3063</v>
      </c>
      <c r="S724" s="804"/>
      <c r="W724" s="2163"/>
      <c r="Z724" s="839"/>
      <c r="AA724" s="839"/>
      <c r="AB724" s="1940"/>
    </row>
    <row r="725" s="42" customFormat="1" ht="16" customHeight="1" spans="1:28">
      <c r="A725" s="839">
        <v>591</v>
      </c>
      <c r="B725" s="687"/>
      <c r="C725" s="23"/>
      <c r="D725" s="21">
        <v>20241231</v>
      </c>
      <c r="E725" s="21">
        <v>7.17</v>
      </c>
      <c r="F725" s="2132" t="s">
        <v>3064</v>
      </c>
      <c r="G725" s="21" t="s">
        <v>1581</v>
      </c>
      <c r="H725" s="21"/>
      <c r="I725" s="690" t="s">
        <v>2968</v>
      </c>
      <c r="J725" s="21" t="s">
        <v>1428</v>
      </c>
      <c r="K725" s="2048" t="s">
        <v>2957</v>
      </c>
      <c r="L725" s="21" t="s">
        <v>1428</v>
      </c>
      <c r="M725" s="37">
        <f t="shared" si="83"/>
        <v>4.68767356611249</v>
      </c>
      <c r="N725" s="22">
        <v>13.2879936101272</v>
      </c>
      <c r="O725" s="37">
        <f t="shared" si="84"/>
        <v>2.76718381654139</v>
      </c>
      <c r="P725" s="37">
        <f t="shared" si="82"/>
        <v>20.7428509927811</v>
      </c>
      <c r="Q725" s="219" t="s">
        <v>2854</v>
      </c>
      <c r="R725" s="23" t="s">
        <v>3061</v>
      </c>
      <c r="S725" s="804"/>
      <c r="W725" s="2163"/>
      <c r="Z725" s="839"/>
      <c r="AA725" s="839"/>
      <c r="AB725" s="1940"/>
    </row>
    <row r="726" s="42" customFormat="1" ht="16" customHeight="1" spans="1:28">
      <c r="A726" s="839">
        <v>592</v>
      </c>
      <c r="B726" s="687"/>
      <c r="C726" s="23"/>
      <c r="D726" s="21">
        <v>20241231</v>
      </c>
      <c r="E726" s="21">
        <v>7.17</v>
      </c>
      <c r="F726" s="2132" t="s">
        <v>3065</v>
      </c>
      <c r="G726" s="21" t="s">
        <v>1241</v>
      </c>
      <c r="H726" s="21" t="s">
        <v>1242</v>
      </c>
      <c r="I726" s="690" t="s">
        <v>2970</v>
      </c>
      <c r="J726" s="21" t="s">
        <v>1428</v>
      </c>
      <c r="K726" s="2048">
        <v>145</v>
      </c>
      <c r="L726" s="21" t="s">
        <v>1428</v>
      </c>
      <c r="M726" s="37">
        <f t="shared" si="83"/>
        <v>4.68767356611249</v>
      </c>
      <c r="N726" s="22">
        <v>13.2984812669739</v>
      </c>
      <c r="O726" s="37">
        <f t="shared" si="84"/>
        <v>2.76718381654139</v>
      </c>
      <c r="P726" s="37">
        <f t="shared" si="82"/>
        <v>165.753338649628</v>
      </c>
      <c r="Q726" s="219" t="s">
        <v>2854</v>
      </c>
      <c r="R726" s="23" t="s">
        <v>3066</v>
      </c>
      <c r="S726" s="804"/>
      <c r="W726" s="2163"/>
      <c r="Z726" s="839"/>
      <c r="AA726" s="839"/>
      <c r="AB726" s="1940"/>
    </row>
    <row r="727" s="42" customFormat="1" ht="16" customHeight="1" spans="1:28">
      <c r="A727" s="839">
        <v>593</v>
      </c>
      <c r="B727" s="687"/>
      <c r="C727" s="23"/>
      <c r="D727" s="21">
        <v>20250103</v>
      </c>
      <c r="E727" s="21">
        <v>7.17</v>
      </c>
      <c r="F727" s="2132" t="s">
        <v>3067</v>
      </c>
      <c r="G727" s="21" t="s">
        <v>2449</v>
      </c>
      <c r="H727" s="21"/>
      <c r="I727" s="690" t="s">
        <v>2968</v>
      </c>
      <c r="J727" s="21" t="s">
        <v>1428</v>
      </c>
      <c r="K727" s="2048" t="s">
        <v>2957</v>
      </c>
      <c r="L727" s="21" t="s">
        <v>1428</v>
      </c>
      <c r="M727" s="37">
        <f t="shared" ref="M727:M741" si="85">37.98/E727/1.13</f>
        <v>4.68767356611249</v>
      </c>
      <c r="N727" s="22">
        <v>13.2608288668707</v>
      </c>
      <c r="O727" s="37">
        <f t="shared" ref="O727:O743" si="86">22.42/E727/1.13</f>
        <v>2.76718381654139</v>
      </c>
      <c r="P727" s="37">
        <f t="shared" si="82"/>
        <v>20.7156862495246</v>
      </c>
      <c r="Q727" s="219" t="s">
        <v>2854</v>
      </c>
      <c r="R727" s="23" t="s">
        <v>3061</v>
      </c>
      <c r="S727" s="804"/>
      <c r="W727" s="2163"/>
      <c r="Z727" s="839"/>
      <c r="AA727" s="839"/>
      <c r="AB727" s="1940"/>
    </row>
    <row r="728" s="42" customFormat="1" ht="16" customHeight="1" spans="1:28">
      <c r="A728" s="839">
        <v>594</v>
      </c>
      <c r="B728" s="687"/>
      <c r="C728" s="23"/>
      <c r="D728" s="876">
        <v>20250208</v>
      </c>
      <c r="E728" s="21">
        <v>7.17</v>
      </c>
      <c r="F728" s="2132" t="s">
        <v>3068</v>
      </c>
      <c r="G728" s="21" t="s">
        <v>2546</v>
      </c>
      <c r="H728" s="21"/>
      <c r="I728" s="690" t="s">
        <v>2338</v>
      </c>
      <c r="J728" s="21"/>
      <c r="K728" s="2048" t="s">
        <v>1428</v>
      </c>
      <c r="L728" s="21"/>
      <c r="M728" s="37">
        <f t="shared" si="85"/>
        <v>4.68767356611249</v>
      </c>
      <c r="N728" s="22">
        <v>13.2707262359167</v>
      </c>
      <c r="O728" s="37">
        <f t="shared" si="86"/>
        <v>2.76718381654139</v>
      </c>
      <c r="P728" s="37">
        <f t="shared" si="82"/>
        <v>20.7255836185706</v>
      </c>
      <c r="Q728" s="219" t="s">
        <v>2854</v>
      </c>
      <c r="R728" s="23" t="s">
        <v>3069</v>
      </c>
      <c r="S728" s="804"/>
      <c r="W728" s="2163"/>
      <c r="Z728" s="839"/>
      <c r="AA728" s="839"/>
      <c r="AB728" s="1940"/>
    </row>
    <row r="729" s="42" customFormat="1" ht="16" customHeight="1" spans="1:28">
      <c r="A729" s="839">
        <v>595</v>
      </c>
      <c r="B729" s="687"/>
      <c r="C729" s="23"/>
      <c r="D729" s="21">
        <v>20250327</v>
      </c>
      <c r="E729" s="21">
        <v>7.17</v>
      </c>
      <c r="F729" s="2132" t="s">
        <v>3070</v>
      </c>
      <c r="G729" s="21" t="s">
        <v>2306</v>
      </c>
      <c r="H729" s="21"/>
      <c r="I729" s="690" t="s">
        <v>2392</v>
      </c>
      <c r="J729" s="21"/>
      <c r="K729" s="2048">
        <v>70</v>
      </c>
      <c r="L729" s="21"/>
      <c r="M729" s="37">
        <f t="shared" si="85"/>
        <v>4.68767356611249</v>
      </c>
      <c r="N729" s="22">
        <v>10.8314580636138</v>
      </c>
      <c r="O729" s="37">
        <f t="shared" si="86"/>
        <v>2.76718381654139</v>
      </c>
      <c r="P729" s="37">
        <f t="shared" si="82"/>
        <v>88.2863154462677</v>
      </c>
      <c r="Q729" s="219" t="s">
        <v>2854</v>
      </c>
      <c r="R729" s="23" t="s">
        <v>3071</v>
      </c>
      <c r="S729" s="804"/>
      <c r="W729" s="2163"/>
      <c r="Z729" s="839"/>
      <c r="AA729" s="839"/>
      <c r="AB729" s="1940"/>
    </row>
    <row r="730" s="42" customFormat="1" ht="16" customHeight="1" spans="1:28">
      <c r="A730" s="839">
        <v>596</v>
      </c>
      <c r="B730" s="687"/>
      <c r="C730" s="23"/>
      <c r="D730" s="21">
        <v>20250327</v>
      </c>
      <c r="E730" s="21">
        <v>6.8309</v>
      </c>
      <c r="F730" s="2132" t="s">
        <v>3072</v>
      </c>
      <c r="G730" s="21" t="s">
        <v>2431</v>
      </c>
      <c r="H730" s="21"/>
      <c r="I730" s="690" t="s">
        <v>2982</v>
      </c>
      <c r="J730" s="21"/>
      <c r="K730" s="2048">
        <v>100</v>
      </c>
      <c r="L730" s="21"/>
      <c r="M730" s="154">
        <f>39.63/E730/1.13</f>
        <v>5.1341399318065</v>
      </c>
      <c r="N730" s="727">
        <v>12.4</v>
      </c>
      <c r="O730" s="154">
        <f t="shared" si="86"/>
        <v>2.90455254279843</v>
      </c>
      <c r="P730" s="154">
        <f>SUM(M730:O730)</f>
        <v>20.4386924746049</v>
      </c>
      <c r="Q730" s="219" t="s">
        <v>2854</v>
      </c>
      <c r="R730" s="687" t="s">
        <v>3073</v>
      </c>
      <c r="S730" s="804"/>
      <c r="W730" s="2163"/>
      <c r="Z730" s="839"/>
      <c r="AA730" s="839"/>
      <c r="AB730" s="1940"/>
    </row>
    <row r="731" s="42" customFormat="1" ht="16" customHeight="1" spans="1:28">
      <c r="A731" s="839">
        <v>597</v>
      </c>
      <c r="B731" s="687"/>
      <c r="C731" s="23"/>
      <c r="D731" s="21">
        <v>20250327</v>
      </c>
      <c r="E731" s="21">
        <v>7.17</v>
      </c>
      <c r="F731" s="2132" t="s">
        <v>3074</v>
      </c>
      <c r="G731" s="21" t="s">
        <v>1667</v>
      </c>
      <c r="H731" s="21"/>
      <c r="I731" s="690" t="s">
        <v>2477</v>
      </c>
      <c r="J731" s="21"/>
      <c r="K731" s="2048">
        <v>150</v>
      </c>
      <c r="L731" s="21"/>
      <c r="M731" s="37">
        <f t="shared" si="85"/>
        <v>4.68767356611249</v>
      </c>
      <c r="N731" s="22">
        <v>13.2635357293269</v>
      </c>
      <c r="O731" s="37">
        <f t="shared" si="86"/>
        <v>2.76718381654139</v>
      </c>
      <c r="P731" s="37">
        <f>SUM(K731:O731)</f>
        <v>170.718393111981</v>
      </c>
      <c r="Q731" s="219" t="s">
        <v>2854</v>
      </c>
      <c r="R731" s="23" t="s">
        <v>3075</v>
      </c>
      <c r="S731" s="804"/>
      <c r="W731" s="2163"/>
      <c r="Z731" s="839"/>
      <c r="AA731" s="839"/>
      <c r="AB731" s="1940"/>
    </row>
    <row r="732" s="42" customFormat="1" ht="16" customHeight="1" spans="1:28">
      <c r="A732" s="839">
        <v>598</v>
      </c>
      <c r="B732" s="687"/>
      <c r="C732" s="23"/>
      <c r="D732" s="21">
        <v>20250327</v>
      </c>
      <c r="E732" s="21">
        <v>7.17</v>
      </c>
      <c r="F732" s="2132" t="s">
        <v>3076</v>
      </c>
      <c r="G732" s="21" t="s">
        <v>1558</v>
      </c>
      <c r="H732" s="21"/>
      <c r="I732" s="690" t="s">
        <v>2392</v>
      </c>
      <c r="J732" s="21"/>
      <c r="K732" s="2048">
        <v>70</v>
      </c>
      <c r="L732" s="21"/>
      <c r="M732" s="37">
        <f t="shared" si="85"/>
        <v>4.68767356611249</v>
      </c>
      <c r="N732" s="22">
        <v>11.9149760201327</v>
      </c>
      <c r="O732" s="37">
        <f t="shared" si="86"/>
        <v>2.76718381654139</v>
      </c>
      <c r="P732" s="37">
        <f>SUM(K732:O732)</f>
        <v>89.3698334027866</v>
      </c>
      <c r="Q732" s="219" t="s">
        <v>2854</v>
      </c>
      <c r="R732" s="23" t="s">
        <v>3073</v>
      </c>
      <c r="S732" s="804"/>
      <c r="W732" s="2163"/>
      <c r="Z732" s="839"/>
      <c r="AA732" s="839"/>
      <c r="AB732" s="1940"/>
    </row>
    <row r="733" s="42" customFormat="1" ht="16" customHeight="1" spans="1:28">
      <c r="A733" s="839">
        <v>599</v>
      </c>
      <c r="B733" s="687"/>
      <c r="C733" s="23"/>
      <c r="D733" s="21">
        <v>20250429</v>
      </c>
      <c r="E733" s="21">
        <v>7.17</v>
      </c>
      <c r="F733" s="2132" t="s">
        <v>3077</v>
      </c>
      <c r="G733" s="21" t="s">
        <v>2311</v>
      </c>
      <c r="H733" s="21"/>
      <c r="I733" s="690" t="s">
        <v>2982</v>
      </c>
      <c r="J733" s="21"/>
      <c r="K733" s="2048">
        <v>100</v>
      </c>
      <c r="L733" s="21"/>
      <c r="M733" s="37">
        <f t="shared" si="85"/>
        <v>4.68767356611249</v>
      </c>
      <c r="N733" s="22">
        <v>11.7073186882589</v>
      </c>
      <c r="O733" s="37">
        <f t="shared" si="86"/>
        <v>2.76718381654139</v>
      </c>
      <c r="P733" s="37">
        <f>SUM(K733:O733)</f>
        <v>119.162176070913</v>
      </c>
      <c r="Q733" s="219" t="s">
        <v>2854</v>
      </c>
      <c r="R733" s="23" t="s">
        <v>3078</v>
      </c>
      <c r="S733" s="804"/>
      <c r="W733" s="2163"/>
      <c r="Z733" s="839"/>
      <c r="AA733" s="839"/>
      <c r="AB733" s="1940"/>
    </row>
    <row r="734" s="42" customFormat="1" ht="16" customHeight="1" spans="1:28">
      <c r="A734" s="839"/>
      <c r="B734" s="687"/>
      <c r="C734" s="23"/>
      <c r="D734" s="21"/>
      <c r="E734" s="21">
        <v>6.78</v>
      </c>
      <c r="F734" s="2206" t="s">
        <v>3079</v>
      </c>
      <c r="G734" s="2207"/>
      <c r="H734" s="2207"/>
      <c r="I734" s="2208"/>
      <c r="J734" s="2207" t="s">
        <v>1428</v>
      </c>
      <c r="K734" s="2209" t="s">
        <v>712</v>
      </c>
      <c r="L734" s="2207" t="s">
        <v>1428</v>
      </c>
      <c r="M734" s="2210">
        <f>52.18/E734/1.13*1.1</f>
        <v>7.49184222204819</v>
      </c>
      <c r="N734" s="2211">
        <v>16.3</v>
      </c>
      <c r="O734" s="2210">
        <f t="shared" si="86"/>
        <v>2.92635810687342</v>
      </c>
      <c r="P734" s="2210">
        <f>SUM(K734:O734)</f>
        <v>26.7182003289216</v>
      </c>
      <c r="Q734" s="219"/>
      <c r="R734" s="23"/>
      <c r="S734" s="804"/>
      <c r="W734" s="2163"/>
      <c r="Z734" s="839"/>
      <c r="AA734" s="839"/>
      <c r="AB734" s="1940"/>
    </row>
    <row r="735" s="42" customFormat="1" ht="16" customHeight="1" spans="1:28">
      <c r="A735" s="839"/>
      <c r="B735" s="687"/>
      <c r="C735" s="23"/>
      <c r="D735" s="21"/>
      <c r="E735" s="21">
        <v>6.78</v>
      </c>
      <c r="F735" s="2125" t="s">
        <v>3080</v>
      </c>
      <c r="G735" s="153"/>
      <c r="H735" s="153"/>
      <c r="I735" s="152"/>
      <c r="J735" s="153" t="s">
        <v>1428</v>
      </c>
      <c r="K735" s="2048" t="s">
        <v>712</v>
      </c>
      <c r="L735" s="153" t="s">
        <v>1428</v>
      </c>
      <c r="M735" s="154">
        <f>52/6.7/1.13*1.1</f>
        <v>7.55514463082816</v>
      </c>
      <c r="N735" s="727">
        <v>16.7</v>
      </c>
      <c r="O735" s="154">
        <f t="shared" si="86"/>
        <v>2.92635810687342</v>
      </c>
      <c r="P735" s="154">
        <f>SUM(K735:O735)</f>
        <v>27.1815027377016</v>
      </c>
      <c r="Q735" s="219"/>
      <c r="R735" s="23"/>
      <c r="S735" s="804"/>
      <c r="W735" s="2163"/>
      <c r="Z735" s="839"/>
      <c r="AA735" s="839"/>
      <c r="AB735" s="1940"/>
    </row>
    <row r="736" s="42" customFormat="1" ht="16" customHeight="1" spans="1:28">
      <c r="A736" s="839">
        <v>600</v>
      </c>
      <c r="B736" s="687"/>
      <c r="C736" s="23"/>
      <c r="D736" s="1149">
        <v>46261</v>
      </c>
      <c r="E736" s="21">
        <v>6.73</v>
      </c>
      <c r="F736" s="2125" t="s">
        <v>3081</v>
      </c>
      <c r="G736" s="2207" t="s">
        <v>2314</v>
      </c>
      <c r="H736" s="2207"/>
      <c r="I736" s="2208" t="s">
        <v>2982</v>
      </c>
      <c r="J736" s="153" t="s">
        <v>1428</v>
      </c>
      <c r="K736" s="2048" t="s">
        <v>712</v>
      </c>
      <c r="L736" s="153" t="s">
        <v>1428</v>
      </c>
      <c r="M736" s="154">
        <f>59.28/E736/1.13</f>
        <v>7.79497429289011</v>
      </c>
      <c r="N736" s="727">
        <v>15.3</v>
      </c>
      <c r="O736" s="154">
        <f t="shared" si="86"/>
        <v>2.94809925179818</v>
      </c>
      <c r="P736" s="154">
        <f>SUBTOTAL(109,M736:O736)</f>
        <v>26.0430735446883</v>
      </c>
      <c r="Q736" s="219" t="s">
        <v>2854</v>
      </c>
      <c r="R736" s="23" t="s">
        <v>3078</v>
      </c>
      <c r="S736" s="804"/>
      <c r="W736" s="2163"/>
      <c r="Z736" s="839"/>
      <c r="AA736" s="839"/>
      <c r="AB736" s="1940"/>
    </row>
    <row r="737" s="42" customFormat="1" ht="16" customHeight="1" spans="1:28">
      <c r="A737" s="839">
        <v>601</v>
      </c>
      <c r="B737" s="687"/>
      <c r="C737" s="23"/>
      <c r="D737" s="21">
        <v>20250429</v>
      </c>
      <c r="E737" s="21">
        <v>7.17</v>
      </c>
      <c r="F737" s="2132" t="s">
        <v>3082</v>
      </c>
      <c r="G737" s="21" t="s">
        <v>2459</v>
      </c>
      <c r="H737" s="21"/>
      <c r="I737" s="690" t="s">
        <v>2358</v>
      </c>
      <c r="J737" s="21"/>
      <c r="K737" s="2048">
        <v>145</v>
      </c>
      <c r="L737" s="21"/>
      <c r="M737" s="37">
        <f>37.98/E737/1.13*1.1</f>
        <v>5.15644092272374</v>
      </c>
      <c r="N737" s="22">
        <v>13.0587139039939</v>
      </c>
      <c r="O737" s="37">
        <f t="shared" si="86"/>
        <v>2.76718381654139</v>
      </c>
      <c r="P737" s="37">
        <f t="shared" ref="P737:P751" si="87">SUM(K737:O737)</f>
        <v>165.982338643259</v>
      </c>
      <c r="Q737" s="219" t="s">
        <v>2854</v>
      </c>
      <c r="R737" s="23" t="s">
        <v>3083</v>
      </c>
      <c r="S737" s="804"/>
      <c r="W737" s="2163"/>
      <c r="Z737" s="839"/>
      <c r="AA737" s="839"/>
      <c r="AB737" s="1940"/>
    </row>
    <row r="738" s="42" customFormat="1" ht="16" customHeight="1" spans="1:28">
      <c r="A738" s="839">
        <v>602</v>
      </c>
      <c r="B738" s="687"/>
      <c r="C738" s="23"/>
      <c r="D738" s="21">
        <v>20250804</v>
      </c>
      <c r="E738" s="21">
        <v>7.17</v>
      </c>
      <c r="F738" s="2132" t="s">
        <v>3084</v>
      </c>
      <c r="G738" s="21" t="s">
        <v>1723</v>
      </c>
      <c r="H738" s="21"/>
      <c r="I738" s="690" t="s">
        <v>2392</v>
      </c>
      <c r="J738" s="21"/>
      <c r="K738" s="2048">
        <v>70</v>
      </c>
      <c r="L738" s="21"/>
      <c r="M738" s="37">
        <f t="shared" ref="M738:M743" si="88">37.98/E738/1.13</f>
        <v>4.68767356611249</v>
      </c>
      <c r="N738" s="22">
        <v>11.4929805295072</v>
      </c>
      <c r="O738" s="37">
        <f t="shared" si="86"/>
        <v>2.76718381654139</v>
      </c>
      <c r="P738" s="37">
        <f t="shared" si="87"/>
        <v>88.9478379121611</v>
      </c>
      <c r="Q738" s="219" t="s">
        <v>2854</v>
      </c>
      <c r="R738" s="23" t="s">
        <v>3085</v>
      </c>
      <c r="S738" s="804"/>
      <c r="W738" s="2163"/>
      <c r="Z738" s="839"/>
      <c r="AA738" s="839"/>
      <c r="AB738" s="1940"/>
    </row>
    <row r="739" s="42" customFormat="1" ht="16" customHeight="1" spans="1:28">
      <c r="A739" s="839">
        <v>603</v>
      </c>
      <c r="B739" s="687"/>
      <c r="C739" s="23"/>
      <c r="D739" s="21">
        <v>20250804</v>
      </c>
      <c r="E739" s="21">
        <v>7.17</v>
      </c>
      <c r="F739" s="2132" t="s">
        <v>3086</v>
      </c>
      <c r="G739" s="21" t="s">
        <v>1587</v>
      </c>
      <c r="H739" s="21"/>
      <c r="I739" s="690" t="s">
        <v>3087</v>
      </c>
      <c r="J739" s="21"/>
      <c r="K739" s="2048">
        <v>125</v>
      </c>
      <c r="L739" s="21"/>
      <c r="M739" s="37">
        <f t="shared" si="88"/>
        <v>4.68767356611249</v>
      </c>
      <c r="N739" s="22">
        <v>13.9087672277743</v>
      </c>
      <c r="O739" s="37">
        <f t="shared" si="86"/>
        <v>2.76718381654139</v>
      </c>
      <c r="P739" s="37">
        <f t="shared" si="87"/>
        <v>146.363624610428</v>
      </c>
      <c r="Q739" s="219" t="s">
        <v>2854</v>
      </c>
      <c r="R739" s="23" t="s">
        <v>3088</v>
      </c>
      <c r="S739" s="804"/>
      <c r="W739" s="2163"/>
      <c r="Z739" s="839"/>
      <c r="AA739" s="839"/>
      <c r="AB739" s="1940"/>
    </row>
    <row r="740" s="42" customFormat="1" ht="16" customHeight="1" spans="1:28">
      <c r="A740" s="839">
        <v>604</v>
      </c>
      <c r="B740" s="687"/>
      <c r="C740" s="23"/>
      <c r="D740" s="21">
        <v>20250804</v>
      </c>
      <c r="E740" s="21">
        <v>7.17</v>
      </c>
      <c r="F740" s="2132" t="s">
        <v>3089</v>
      </c>
      <c r="G740" s="21" t="s">
        <v>1591</v>
      </c>
      <c r="H740" s="21"/>
      <c r="I740" s="690" t="s">
        <v>3090</v>
      </c>
      <c r="J740" s="21"/>
      <c r="K740" s="2048">
        <v>145</v>
      </c>
      <c r="L740" s="21"/>
      <c r="M740" s="37">
        <f t="shared" si="88"/>
        <v>4.68767356611249</v>
      </c>
      <c r="N740" s="22">
        <v>13.877525062369</v>
      </c>
      <c r="O740" s="37">
        <f t="shared" si="86"/>
        <v>2.76718381654139</v>
      </c>
      <c r="P740" s="37">
        <f t="shared" si="87"/>
        <v>166.332382445023</v>
      </c>
      <c r="Q740" s="219" t="s">
        <v>2854</v>
      </c>
      <c r="R740" s="23" t="s">
        <v>3091</v>
      </c>
      <c r="S740" s="804"/>
      <c r="W740" s="2163"/>
      <c r="Z740" s="839"/>
      <c r="AA740" s="839"/>
      <c r="AB740" s="1940"/>
    </row>
    <row r="741" s="839" customFormat="1" ht="16" customHeight="1" spans="1:28">
      <c r="A741" s="839">
        <v>605</v>
      </c>
      <c r="B741" s="687"/>
      <c r="C741" s="23"/>
      <c r="D741" s="21">
        <v>20250822</v>
      </c>
      <c r="E741" s="21">
        <v>7.17</v>
      </c>
      <c r="F741" s="2132" t="s">
        <v>3092</v>
      </c>
      <c r="G741" s="21" t="s">
        <v>1593</v>
      </c>
      <c r="H741" s="21"/>
      <c r="I741" s="690" t="s">
        <v>2982</v>
      </c>
      <c r="J741" s="21"/>
      <c r="K741" s="2048">
        <v>100</v>
      </c>
      <c r="L741" s="21"/>
      <c r="M741" s="37">
        <f t="shared" si="88"/>
        <v>4.68767356611249</v>
      </c>
      <c r="N741" s="22">
        <v>11.4754222919021</v>
      </c>
      <c r="O741" s="37">
        <f t="shared" si="86"/>
        <v>2.76718381654139</v>
      </c>
      <c r="P741" s="37">
        <f t="shared" si="87"/>
        <v>118.930279674556</v>
      </c>
      <c r="Q741" s="219" t="s">
        <v>2854</v>
      </c>
      <c r="R741" s="23" t="s">
        <v>3093</v>
      </c>
      <c r="S741" s="804"/>
      <c r="W741" s="1940"/>
      <c r="AB741" s="1940"/>
    </row>
    <row r="742" s="839" customFormat="1" ht="16" customHeight="1" spans="1:28">
      <c r="A742" s="839">
        <v>606</v>
      </c>
      <c r="B742" s="687"/>
      <c r="C742" s="23"/>
      <c r="D742" s="21">
        <v>20250822</v>
      </c>
      <c r="E742" s="21">
        <v>7.17</v>
      </c>
      <c r="F742" s="2132" t="s">
        <v>1699</v>
      </c>
      <c r="G742" s="21" t="s">
        <v>1525</v>
      </c>
      <c r="H742" s="21"/>
      <c r="I742" s="690" t="s">
        <v>3090</v>
      </c>
      <c r="J742" s="21"/>
      <c r="K742" s="2048">
        <v>145</v>
      </c>
      <c r="L742" s="21"/>
      <c r="M742" s="37">
        <f t="shared" si="88"/>
        <v>4.68767356611249</v>
      </c>
      <c r="N742" s="22">
        <v>13.9886761402784</v>
      </c>
      <c r="O742" s="37">
        <f t="shared" si="86"/>
        <v>2.76718381654139</v>
      </c>
      <c r="P742" s="37">
        <f t="shared" si="87"/>
        <v>166.443533522932</v>
      </c>
      <c r="Q742" s="219" t="s">
        <v>2854</v>
      </c>
      <c r="R742" s="23" t="s">
        <v>3094</v>
      </c>
      <c r="S742" s="804"/>
      <c r="W742" s="1940"/>
      <c r="AB742" s="1940"/>
    </row>
    <row r="743" s="839" customFormat="1" ht="16" customHeight="1" spans="1:28">
      <c r="A743" s="839">
        <v>607</v>
      </c>
      <c r="B743" s="687"/>
      <c r="C743" s="23"/>
      <c r="D743" s="153">
        <v>20250811</v>
      </c>
      <c r="E743" s="153">
        <v>7.17</v>
      </c>
      <c r="F743" s="2132" t="s">
        <v>3095</v>
      </c>
      <c r="G743" s="21" t="s">
        <v>2081</v>
      </c>
      <c r="H743" s="21"/>
      <c r="I743" s="690" t="s">
        <v>3096</v>
      </c>
      <c r="J743" s="21" t="s">
        <v>3097</v>
      </c>
      <c r="K743" s="2048">
        <v>100</v>
      </c>
      <c r="L743" s="22">
        <f>13.2/E743/1.13</f>
        <v>1.62920724256674</v>
      </c>
      <c r="M743" s="37">
        <f t="shared" si="88"/>
        <v>4.68767356611249</v>
      </c>
      <c r="N743" s="22">
        <v>10.3223595055504</v>
      </c>
      <c r="O743" s="37">
        <f t="shared" si="86"/>
        <v>2.76718381654139</v>
      </c>
      <c r="P743" s="37">
        <f t="shared" si="87"/>
        <v>119.406424130771</v>
      </c>
      <c r="Q743" s="219" t="s">
        <v>2854</v>
      </c>
      <c r="R743" s="23" t="s">
        <v>3098</v>
      </c>
      <c r="S743" s="1764"/>
      <c r="T743" s="1764"/>
      <c r="W743" s="1940"/>
      <c r="AB743" s="1940"/>
    </row>
    <row r="744" s="42" customFormat="1" ht="16" customHeight="1" spans="1:28">
      <c r="A744" s="839">
        <v>608</v>
      </c>
      <c r="B744" s="687"/>
      <c r="C744" s="23"/>
      <c r="D744" s="21">
        <v>20250324</v>
      </c>
      <c r="E744" s="21">
        <v>7.17</v>
      </c>
      <c r="F744" s="2132" t="s">
        <v>456</v>
      </c>
      <c r="G744" s="21" t="s">
        <v>457</v>
      </c>
      <c r="H744" s="21"/>
      <c r="I744" s="690"/>
      <c r="J744" s="21"/>
      <c r="K744" s="2048"/>
      <c r="L744" s="21"/>
      <c r="M744" s="37">
        <v>0.357433381812804</v>
      </c>
      <c r="N744" s="22">
        <v>2.14475132124719</v>
      </c>
      <c r="O744" s="37">
        <v>0.4</v>
      </c>
      <c r="P744" s="37">
        <f t="shared" si="87"/>
        <v>2.90218470305999</v>
      </c>
      <c r="Q744" s="219"/>
      <c r="R744" s="23" t="s">
        <v>2842</v>
      </c>
      <c r="S744" s="804"/>
      <c r="W744" s="2163"/>
      <c r="Z744" s="839"/>
      <c r="AA744" s="839"/>
      <c r="AB744" s="1940"/>
    </row>
    <row r="745" s="42" customFormat="1" ht="16" customHeight="1" spans="1:28">
      <c r="A745" s="839">
        <v>609</v>
      </c>
      <c r="B745" s="687"/>
      <c r="C745" s="23"/>
      <c r="D745" s="21">
        <v>20250418</v>
      </c>
      <c r="E745" s="21"/>
      <c r="F745" s="2132" t="s">
        <v>458</v>
      </c>
      <c r="G745" s="21" t="s">
        <v>459</v>
      </c>
      <c r="H745" s="21"/>
      <c r="I745" s="690"/>
      <c r="J745" s="21"/>
      <c r="K745" s="2048"/>
      <c r="L745" s="21"/>
      <c r="M745" s="37">
        <v>0.353494721958117</v>
      </c>
      <c r="N745" s="22">
        <v>2.21371073046442</v>
      </c>
      <c r="O745" s="37">
        <v>0.4</v>
      </c>
      <c r="P745" s="37">
        <f t="shared" si="87"/>
        <v>2.96720545242254</v>
      </c>
      <c r="Q745" s="219"/>
      <c r="R745" s="23" t="s">
        <v>2842</v>
      </c>
      <c r="S745" s="804"/>
      <c r="W745" s="2163"/>
      <c r="Z745" s="839"/>
      <c r="AA745" s="839"/>
      <c r="AB745" s="1940"/>
    </row>
    <row r="746" s="42" customFormat="1" ht="16" customHeight="1" spans="1:28">
      <c r="A746" s="839">
        <v>610</v>
      </c>
      <c r="B746" s="687"/>
      <c r="C746" s="23"/>
      <c r="D746" s="21">
        <v>20250418</v>
      </c>
      <c r="E746" s="21">
        <v>7.17</v>
      </c>
      <c r="F746" s="2132" t="s">
        <v>460</v>
      </c>
      <c r="G746" s="21" t="s">
        <v>461</v>
      </c>
      <c r="H746" s="21"/>
      <c r="I746" s="690"/>
      <c r="J746" s="21"/>
      <c r="K746" s="2048"/>
      <c r="L746" s="36"/>
      <c r="M746" s="37">
        <v>0.35275319567355</v>
      </c>
      <c r="N746" s="22">
        <v>2.23582749248649</v>
      </c>
      <c r="O746" s="37">
        <v>0.4</v>
      </c>
      <c r="P746" s="37">
        <f t="shared" si="87"/>
        <v>2.98858068816004</v>
      </c>
      <c r="Q746" s="219"/>
      <c r="R746" s="23" t="s">
        <v>2842</v>
      </c>
      <c r="S746" s="804"/>
      <c r="W746" s="2163"/>
      <c r="Z746" s="839"/>
      <c r="AA746" s="839"/>
      <c r="AB746" s="1940"/>
    </row>
    <row r="747" s="839" customFormat="1" ht="16" customHeight="1" spans="1:28">
      <c r="A747" s="839">
        <v>611</v>
      </c>
      <c r="B747" s="687"/>
      <c r="C747" s="23"/>
      <c r="D747" s="21">
        <v>20250731</v>
      </c>
      <c r="E747" s="21">
        <v>7.17</v>
      </c>
      <c r="F747" s="2132" t="s">
        <v>462</v>
      </c>
      <c r="G747" s="21" t="s">
        <v>463</v>
      </c>
      <c r="H747" s="21"/>
      <c r="I747" s="690"/>
      <c r="J747" s="21"/>
      <c r="K747" s="2048"/>
      <c r="L747" s="36"/>
      <c r="M747" s="37">
        <v>0.366571629577517</v>
      </c>
      <c r="N747" s="22">
        <v>2.23582749248649</v>
      </c>
      <c r="O747" s="37">
        <v>0.4</v>
      </c>
      <c r="P747" s="37">
        <f t="shared" si="87"/>
        <v>3.00239912206401</v>
      </c>
      <c r="Q747" s="219"/>
      <c r="R747" s="23" t="s">
        <v>2842</v>
      </c>
      <c r="S747" s="804"/>
      <c r="W747" s="1940"/>
      <c r="AB747" s="1940"/>
    </row>
    <row r="748" s="42" customFormat="1" ht="16" customHeight="1" spans="1:28">
      <c r="A748" s="839">
        <v>612</v>
      </c>
      <c r="B748" s="687"/>
      <c r="C748" s="23"/>
      <c r="D748" s="21"/>
      <c r="E748" s="21"/>
      <c r="F748" s="2130" t="s">
        <v>1979</v>
      </c>
      <c r="G748" s="21" t="s">
        <v>464</v>
      </c>
      <c r="H748" s="21"/>
      <c r="I748" s="690"/>
      <c r="J748" s="21"/>
      <c r="K748" s="2048"/>
      <c r="L748" s="21"/>
      <c r="M748" s="37">
        <v>0.310963618485742</v>
      </c>
      <c r="N748" s="22">
        <v>2.0671348299705</v>
      </c>
      <c r="O748" s="37">
        <v>0.4</v>
      </c>
      <c r="P748" s="37">
        <f t="shared" si="87"/>
        <v>2.77809844845624</v>
      </c>
      <c r="Q748" s="219"/>
      <c r="R748" s="23" t="s">
        <v>2842</v>
      </c>
      <c r="S748" s="804"/>
      <c r="W748" s="2163"/>
      <c r="Z748" s="839"/>
      <c r="AA748" s="839"/>
      <c r="AB748" s="1940"/>
    </row>
    <row r="749" s="42" customFormat="1" ht="16" customHeight="1" spans="1:28">
      <c r="A749" s="839"/>
      <c r="B749" s="687" t="s">
        <v>3099</v>
      </c>
      <c r="C749" s="23"/>
      <c r="D749" s="21"/>
      <c r="E749" s="21">
        <v>6.7</v>
      </c>
      <c r="F749" s="2198" t="s">
        <v>3100</v>
      </c>
      <c r="G749" s="21"/>
      <c r="H749" s="21"/>
      <c r="I749" s="690"/>
      <c r="J749" s="153" t="s">
        <v>1428</v>
      </c>
      <c r="K749" s="2048" t="s">
        <v>712</v>
      </c>
      <c r="L749" s="153" t="s">
        <v>1428</v>
      </c>
      <c r="M749" s="154">
        <f>64.1/E749/1.13</f>
        <v>8.46651697265883</v>
      </c>
      <c r="N749" s="727">
        <v>17.1</v>
      </c>
      <c r="O749" s="154">
        <f>22/6.7</f>
        <v>3.28358208955224</v>
      </c>
      <c r="P749" s="154">
        <f>O749+N749+M749</f>
        <v>28.8500990622111</v>
      </c>
      <c r="Q749" s="219"/>
      <c r="R749" s="23"/>
      <c r="S749" s="804"/>
      <c r="W749" s="2163"/>
      <c r="Z749" s="839"/>
      <c r="AA749" s="839"/>
      <c r="AB749" s="1940"/>
    </row>
    <row r="750" s="42" customFormat="1" ht="16" customHeight="1" spans="1:28">
      <c r="A750" s="839"/>
      <c r="B750" s="687" t="s">
        <v>3099</v>
      </c>
      <c r="C750" s="687"/>
      <c r="D750" s="153"/>
      <c r="E750" s="153">
        <v>6.7</v>
      </c>
      <c r="F750" s="2198" t="s">
        <v>3101</v>
      </c>
      <c r="G750" s="21"/>
      <c r="H750" s="21"/>
      <c r="I750" s="21"/>
      <c r="J750" s="153" t="s">
        <v>1428</v>
      </c>
      <c r="K750" s="2048" t="s">
        <v>712</v>
      </c>
      <c r="L750" s="153" t="s">
        <v>1428</v>
      </c>
      <c r="M750" s="727">
        <f>4.2/6.7/1.13+2000/1000/6.7/1.13</f>
        <v>0.818914278166689</v>
      </c>
      <c r="N750" s="727">
        <v>1.8</v>
      </c>
      <c r="O750" s="154">
        <v>0.2</v>
      </c>
      <c r="P750" s="154">
        <f>O750+N750+M750</f>
        <v>2.81891427816669</v>
      </c>
      <c r="Q750" s="219"/>
      <c r="R750" s="20"/>
      <c r="S750" s="805"/>
      <c r="T750" s="120"/>
      <c r="W750" s="2163"/>
      <c r="Z750" s="839"/>
      <c r="AA750" s="839"/>
      <c r="AB750" s="1940"/>
    </row>
    <row r="751" s="42" customFormat="1" ht="16" customHeight="1" spans="1:28">
      <c r="A751" s="839">
        <v>613</v>
      </c>
      <c r="B751" s="23" t="s">
        <v>469</v>
      </c>
      <c r="C751" s="23"/>
      <c r="D751" s="21"/>
      <c r="E751" s="21"/>
      <c r="F751" s="2130" t="s">
        <v>1979</v>
      </c>
      <c r="G751" s="21" t="s">
        <v>3102</v>
      </c>
      <c r="H751" s="21"/>
      <c r="I751" s="21" t="s">
        <v>3103</v>
      </c>
      <c r="J751" s="21" t="s">
        <v>1428</v>
      </c>
      <c r="K751" s="2048">
        <v>70</v>
      </c>
      <c r="L751" s="36" t="s">
        <v>1428</v>
      </c>
      <c r="M751" s="22">
        <v>0.55</v>
      </c>
      <c r="N751" s="22">
        <v>8.57142857142857</v>
      </c>
      <c r="O751" s="37">
        <v>0.4</v>
      </c>
      <c r="P751" s="37">
        <f>SUM(K751:O751)</f>
        <v>79.5214285714286</v>
      </c>
      <c r="Q751" s="219"/>
      <c r="R751" s="20"/>
      <c r="S751" s="805"/>
      <c r="T751" s="120" t="s">
        <v>1406</v>
      </c>
      <c r="W751" s="2163"/>
      <c r="Z751" s="839"/>
      <c r="AA751" s="839"/>
      <c r="AB751" s="1940"/>
    </row>
    <row r="752" s="42" customFormat="1" ht="16" customHeight="1" spans="1:28">
      <c r="A752" s="839">
        <v>614</v>
      </c>
      <c r="B752" s="23"/>
      <c r="C752" s="23"/>
      <c r="D752" s="21"/>
      <c r="E752" s="21"/>
      <c r="F752" s="2130" t="s">
        <v>1979</v>
      </c>
      <c r="G752" s="21" t="s">
        <v>471</v>
      </c>
      <c r="H752" s="21"/>
      <c r="I752" s="21"/>
      <c r="J752" s="21"/>
      <c r="K752" s="2048"/>
      <c r="L752" s="36"/>
      <c r="M752" s="22">
        <v>0.675188462799082</v>
      </c>
      <c r="N752" s="22">
        <v>1.56272654587021</v>
      </c>
      <c r="O752" s="37">
        <v>0.2</v>
      </c>
      <c r="P752" s="37">
        <f>SUM(K752:O752)</f>
        <v>2.43791500866929</v>
      </c>
      <c r="Q752" s="219"/>
      <c r="R752" s="20"/>
      <c r="S752" s="805"/>
      <c r="T752" s="120"/>
      <c r="W752" s="2163"/>
      <c r="Z752" s="839"/>
      <c r="AA752" s="839"/>
      <c r="AB752" s="1940"/>
    </row>
    <row r="753" s="42" customFormat="1" ht="16" customHeight="1" spans="1:28">
      <c r="A753" s="839"/>
      <c r="B753" s="687"/>
      <c r="C753" s="23"/>
      <c r="D753" s="21"/>
      <c r="E753" s="21">
        <v>6.7</v>
      </c>
      <c r="F753" s="2212" t="s">
        <v>3104</v>
      </c>
      <c r="G753" s="21"/>
      <c r="H753" s="21"/>
      <c r="I753" s="21"/>
      <c r="J753" s="153" t="s">
        <v>1428</v>
      </c>
      <c r="K753" s="2048" t="s">
        <v>712</v>
      </c>
      <c r="L753" s="153" t="s">
        <v>1428</v>
      </c>
      <c r="M753" s="727">
        <f>46.78/E753/1.13</f>
        <v>6.17884031171576</v>
      </c>
      <c r="N753" s="727">
        <v>20.5</v>
      </c>
      <c r="O753" s="154">
        <f>22.42/E753/1.13</f>
        <v>2.96129969620922</v>
      </c>
      <c r="P753" s="154">
        <f>SUM(K753:O753)</f>
        <v>29.640140007925</v>
      </c>
      <c r="Q753" s="219"/>
      <c r="R753" s="20"/>
      <c r="S753" s="805"/>
      <c r="T753" s="120"/>
      <c r="W753" s="2163"/>
      <c r="Z753" s="839"/>
      <c r="AA753" s="839"/>
      <c r="AB753" s="1940"/>
    </row>
    <row r="754" s="42" customFormat="1" ht="16" customHeight="1" spans="1:28">
      <c r="A754" s="839">
        <v>615</v>
      </c>
      <c r="B754" s="23"/>
      <c r="C754" s="23"/>
      <c r="D754" s="21">
        <v>20241018</v>
      </c>
      <c r="E754" s="21">
        <v>7.17</v>
      </c>
      <c r="F754" s="2132" t="s">
        <v>472</v>
      </c>
      <c r="G754" s="21" t="s">
        <v>473</v>
      </c>
      <c r="H754" s="21"/>
      <c r="I754" s="21"/>
      <c r="J754" s="20"/>
      <c r="K754" s="2048"/>
      <c r="L754" s="772"/>
      <c r="M754" s="22">
        <v>0.429899602024461</v>
      </c>
      <c r="N754" s="22">
        <v>2.28306887872718</v>
      </c>
      <c r="O754" s="37">
        <v>0.4</v>
      </c>
      <c r="P754" s="37">
        <f t="shared" ref="P754:P809" si="89">SUM(K754:O754)</f>
        <v>3.11296848075164</v>
      </c>
      <c r="Q754" s="219"/>
      <c r="R754" s="20" t="s">
        <v>25</v>
      </c>
      <c r="S754" s="805"/>
      <c r="T754" s="120"/>
      <c r="W754" s="2163"/>
      <c r="Z754" s="839"/>
      <c r="AA754" s="839"/>
      <c r="AB754" s="1940"/>
    </row>
    <row r="755" s="42" customFormat="1" ht="16" customHeight="1" spans="1:28">
      <c r="A755" s="839">
        <v>616</v>
      </c>
      <c r="B755" s="23"/>
      <c r="C755" s="23"/>
      <c r="D755" s="21"/>
      <c r="E755" s="21"/>
      <c r="F755" s="2130" t="s">
        <v>1979</v>
      </c>
      <c r="G755" s="21" t="s">
        <v>474</v>
      </c>
      <c r="H755" s="21"/>
      <c r="I755" s="21"/>
      <c r="J755" s="20"/>
      <c r="K755" s="2048"/>
      <c r="L755" s="772"/>
      <c r="M755" s="22">
        <v>0.413793103448276</v>
      </c>
      <c r="N755" s="22">
        <v>1.0097963651799</v>
      </c>
      <c r="O755" s="37">
        <v>0.4</v>
      </c>
      <c r="P755" s="37">
        <f t="shared" si="89"/>
        <v>1.82358946862818</v>
      </c>
      <c r="Q755" s="219"/>
      <c r="R755" s="20"/>
      <c r="S755" s="805"/>
      <c r="T755" s="120"/>
      <c r="W755" s="2163"/>
      <c r="Z755" s="839"/>
      <c r="AA755" s="839"/>
      <c r="AB755" s="1940"/>
    </row>
    <row r="756" s="42" customFormat="1" ht="16" customHeight="1" spans="1:28">
      <c r="A756" s="839">
        <v>617</v>
      </c>
      <c r="B756" s="23"/>
      <c r="C756" s="23"/>
      <c r="D756" s="21"/>
      <c r="E756" s="21"/>
      <c r="F756" s="2130" t="s">
        <v>1979</v>
      </c>
      <c r="G756" s="21" t="s">
        <v>396</v>
      </c>
      <c r="H756" s="21"/>
      <c r="I756" s="21"/>
      <c r="J756" s="21"/>
      <c r="K756" s="2048"/>
      <c r="L756" s="36"/>
      <c r="M756" s="22">
        <v>0.403940886699507</v>
      </c>
      <c r="N756" s="22">
        <v>2.16748768472906</v>
      </c>
      <c r="O756" s="37">
        <v>0.2</v>
      </c>
      <c r="P756" s="37">
        <f t="shared" si="89"/>
        <v>2.77142857142857</v>
      </c>
      <c r="Q756" s="219"/>
      <c r="R756" s="20"/>
      <c r="S756" s="805"/>
      <c r="T756" s="120"/>
      <c r="W756" s="2163"/>
      <c r="Z756" s="839"/>
      <c r="AA756" s="839"/>
      <c r="AB756" s="1940"/>
    </row>
    <row r="757" s="42" customFormat="1" ht="16" customHeight="1" spans="1:28">
      <c r="A757" s="839">
        <v>618</v>
      </c>
      <c r="B757" s="23"/>
      <c r="C757" s="23"/>
      <c r="D757" s="21"/>
      <c r="E757" s="21"/>
      <c r="F757" s="2130" t="s">
        <v>1979</v>
      </c>
      <c r="G757" s="21" t="s">
        <v>475</v>
      </c>
      <c r="H757" s="21"/>
      <c r="I757" s="21"/>
      <c r="J757" s="20"/>
      <c r="K757" s="2048"/>
      <c r="L757" s="772"/>
      <c r="M757" s="22">
        <v>0.798029556650246</v>
      </c>
      <c r="N757" s="22">
        <v>6.08022519352569</v>
      </c>
      <c r="O757" s="37">
        <v>0.4</v>
      </c>
      <c r="P757" s="37">
        <f t="shared" si="89"/>
        <v>7.27825475017594</v>
      </c>
      <c r="Q757" s="219"/>
      <c r="R757" s="23" t="s">
        <v>476</v>
      </c>
      <c r="S757" s="804"/>
      <c r="T757" s="120"/>
      <c r="W757" s="2163"/>
      <c r="Z757" s="839"/>
      <c r="AA757" s="839"/>
      <c r="AB757" s="1940"/>
    </row>
    <row r="758" s="42" customFormat="1" ht="16" customHeight="1" spans="1:28">
      <c r="A758" s="839">
        <v>619</v>
      </c>
      <c r="B758" s="23"/>
      <c r="C758" s="23"/>
      <c r="D758" s="21"/>
      <c r="E758" s="21"/>
      <c r="F758" s="2130" t="s">
        <v>1979</v>
      </c>
      <c r="G758" s="21" t="s">
        <v>402</v>
      </c>
      <c r="H758" s="21"/>
      <c r="I758" s="21"/>
      <c r="J758" s="21"/>
      <c r="K758" s="2048"/>
      <c r="L758" s="36"/>
      <c r="M758" s="22">
        <v>0.363</v>
      </c>
      <c r="N758" s="22">
        <v>1.39047619047619</v>
      </c>
      <c r="O758" s="37">
        <v>0.2</v>
      </c>
      <c r="P758" s="37">
        <f t="shared" si="89"/>
        <v>1.95347619047619</v>
      </c>
      <c r="Q758" s="219"/>
      <c r="R758" s="20"/>
      <c r="S758" s="805"/>
      <c r="T758" s="120"/>
      <c r="W758" s="2163"/>
      <c r="Z758" s="839"/>
      <c r="AA758" s="839"/>
      <c r="AB758" s="1940"/>
    </row>
    <row r="759" s="42" customFormat="1" ht="16" customHeight="1" spans="1:28">
      <c r="A759" s="839">
        <v>620</v>
      </c>
      <c r="B759" s="23"/>
      <c r="C759" s="23"/>
      <c r="D759" s="21"/>
      <c r="E759" s="21"/>
      <c r="F759" s="2130" t="s">
        <v>1979</v>
      </c>
      <c r="G759" s="21" t="s">
        <v>477</v>
      </c>
      <c r="H759" s="21"/>
      <c r="I759" s="21"/>
      <c r="J759" s="21"/>
      <c r="K759" s="2048"/>
      <c r="L759" s="36"/>
      <c r="M759" s="22">
        <v>0.23694</v>
      </c>
      <c r="N759" s="22">
        <v>1.4607619047619</v>
      </c>
      <c r="O759" s="37">
        <v>0.2</v>
      </c>
      <c r="P759" s="37">
        <f t="shared" si="89"/>
        <v>1.8977019047619</v>
      </c>
      <c r="Q759" s="219"/>
      <c r="R759" s="20"/>
      <c r="S759" s="805"/>
      <c r="T759" s="120"/>
      <c r="W759" s="2163"/>
      <c r="Z759" s="839"/>
      <c r="AA759" s="839"/>
      <c r="AB759" s="1940"/>
    </row>
    <row r="760" s="839" customFormat="1" ht="16" customHeight="1" spans="1:28">
      <c r="A760" s="839">
        <v>621</v>
      </c>
      <c r="B760" s="23" t="s">
        <v>478</v>
      </c>
      <c r="C760" s="23"/>
      <c r="D760" s="21"/>
      <c r="E760" s="21"/>
      <c r="F760" s="2130" t="s">
        <v>1979</v>
      </c>
      <c r="G760" s="21" t="s">
        <v>3105</v>
      </c>
      <c r="H760" s="21"/>
      <c r="I760" s="21"/>
      <c r="J760" s="20"/>
      <c r="K760" s="2048"/>
      <c r="L760" s="772"/>
      <c r="M760" s="22">
        <v>0.3</v>
      </c>
      <c r="N760" s="22">
        <v>0.866666666666667</v>
      </c>
      <c r="O760" s="37">
        <v>0.2</v>
      </c>
      <c r="P760" s="37">
        <f t="shared" si="89"/>
        <v>1.36666666666667</v>
      </c>
      <c r="Q760" s="219"/>
      <c r="R760" s="20"/>
      <c r="S760" s="805"/>
      <c r="T760" s="120" t="s">
        <v>1406</v>
      </c>
      <c r="W760" s="1940"/>
      <c r="AB760" s="1940"/>
    </row>
    <row r="761" s="839" customFormat="1" ht="16" customHeight="1" spans="1:28">
      <c r="A761" s="839">
        <v>622</v>
      </c>
      <c r="B761" s="23" t="s">
        <v>478</v>
      </c>
      <c r="C761" s="23"/>
      <c r="D761" s="21"/>
      <c r="E761" s="21"/>
      <c r="F761" s="2130" t="s">
        <v>1979</v>
      </c>
      <c r="G761" s="21" t="s">
        <v>480</v>
      </c>
      <c r="H761" s="21"/>
      <c r="I761" s="21"/>
      <c r="J761" s="20"/>
      <c r="K761" s="2048"/>
      <c r="L761" s="772"/>
      <c r="M761" s="22">
        <v>0.299236908478766</v>
      </c>
      <c r="N761" s="22">
        <v>0.77671241126223</v>
      </c>
      <c r="O761" s="37">
        <v>0.2</v>
      </c>
      <c r="P761" s="37">
        <f t="shared" si="89"/>
        <v>1.275949319741</v>
      </c>
      <c r="Q761" s="219"/>
      <c r="R761" s="20"/>
      <c r="S761" s="805"/>
      <c r="T761" s="120" t="s">
        <v>1406</v>
      </c>
      <c r="W761" s="1940"/>
      <c r="AB761" s="1940"/>
    </row>
    <row r="762" s="839" customFormat="1" ht="16" customHeight="1" spans="1:28">
      <c r="A762" s="839">
        <v>623</v>
      </c>
      <c r="B762" s="23" t="s">
        <v>478</v>
      </c>
      <c r="C762" s="23"/>
      <c r="D762" s="21"/>
      <c r="E762" s="21"/>
      <c r="F762" s="2130" t="s">
        <v>1979</v>
      </c>
      <c r="G762" s="21" t="s">
        <v>481</v>
      </c>
      <c r="H762" s="21"/>
      <c r="I762" s="21"/>
      <c r="J762" s="20"/>
      <c r="K762" s="2048"/>
      <c r="L762" s="772"/>
      <c r="M762" s="22">
        <v>0.04</v>
      </c>
      <c r="N762" s="22">
        <v>0.07</v>
      </c>
      <c r="O762" s="37">
        <v>0.07</v>
      </c>
      <c r="P762" s="37">
        <f t="shared" si="89"/>
        <v>0.18</v>
      </c>
      <c r="Q762" s="219"/>
      <c r="R762" s="39"/>
      <c r="S762" s="1931"/>
      <c r="T762" s="120" t="s">
        <v>1406</v>
      </c>
      <c r="W762" s="1940"/>
      <c r="AB762" s="1940"/>
    </row>
    <row r="763" s="839" customFormat="1" ht="16" customHeight="1" spans="1:28">
      <c r="A763" s="839">
        <v>624</v>
      </c>
      <c r="B763" s="23" t="s">
        <v>478</v>
      </c>
      <c r="C763" s="23"/>
      <c r="D763" s="21">
        <v>20241114</v>
      </c>
      <c r="E763" s="21">
        <v>7.17</v>
      </c>
      <c r="F763" s="2132" t="s">
        <v>482</v>
      </c>
      <c r="G763" s="21" t="s">
        <v>483</v>
      </c>
      <c r="H763" s="21"/>
      <c r="I763" s="21"/>
      <c r="J763" s="20"/>
      <c r="K763" s="2048"/>
      <c r="L763" s="772"/>
      <c r="M763" s="22">
        <v>0.424280290615099</v>
      </c>
      <c r="N763" s="22">
        <v>0.67453105205561</v>
      </c>
      <c r="O763" s="37">
        <v>0.2</v>
      </c>
      <c r="P763" s="37">
        <f t="shared" si="89"/>
        <v>1.29881134267071</v>
      </c>
      <c r="Q763" s="219"/>
      <c r="R763" s="39" t="s">
        <v>484</v>
      </c>
      <c r="S763" s="1931"/>
      <c r="T763" s="120"/>
      <c r="W763" s="1940"/>
      <c r="AB763" s="1940"/>
    </row>
    <row r="764" s="839" customFormat="1" ht="16" customHeight="1" spans="1:28">
      <c r="A764" s="839">
        <v>625</v>
      </c>
      <c r="B764" s="23" t="s">
        <v>478</v>
      </c>
      <c r="C764" s="23"/>
      <c r="D764" s="21">
        <v>20240510</v>
      </c>
      <c r="E764" s="21">
        <v>7.17</v>
      </c>
      <c r="F764" s="2132" t="s">
        <v>485</v>
      </c>
      <c r="G764" s="21" t="s">
        <v>486</v>
      </c>
      <c r="H764" s="21"/>
      <c r="I764" s="21"/>
      <c r="J764" s="20"/>
      <c r="K764" s="2048"/>
      <c r="L764" s="772"/>
      <c r="M764" s="22">
        <v>0.42193296294317</v>
      </c>
      <c r="N764" s="22">
        <v>0.673278783580775</v>
      </c>
      <c r="O764" s="37">
        <v>0.2</v>
      </c>
      <c r="P764" s="37">
        <f t="shared" si="89"/>
        <v>1.29521174652394</v>
      </c>
      <c r="Q764" s="219"/>
      <c r="R764" s="39"/>
      <c r="S764" s="1931"/>
      <c r="T764" s="120"/>
      <c r="W764" s="1940"/>
      <c r="AB764" s="1940"/>
    </row>
    <row r="765" s="42" customFormat="1" ht="16" customHeight="1" spans="1:28">
      <c r="A765" s="839">
        <v>626</v>
      </c>
      <c r="B765" s="23" t="s">
        <v>478</v>
      </c>
      <c r="C765" s="23"/>
      <c r="D765" s="21"/>
      <c r="E765" s="21"/>
      <c r="F765" s="2130" t="s">
        <v>1979</v>
      </c>
      <c r="G765" s="21" t="s">
        <v>487</v>
      </c>
      <c r="H765" s="21"/>
      <c r="I765" s="21"/>
      <c r="J765" s="21"/>
      <c r="K765" s="2048"/>
      <c r="L765" s="36"/>
      <c r="M765" s="22">
        <v>0.374265052095281</v>
      </c>
      <c r="N765" s="22">
        <v>0.649263510002535</v>
      </c>
      <c r="O765" s="37">
        <v>0.2</v>
      </c>
      <c r="P765" s="37">
        <f t="shared" si="89"/>
        <v>1.22352856209782</v>
      </c>
      <c r="Q765" s="219"/>
      <c r="R765" s="23"/>
      <c r="S765" s="804"/>
      <c r="T765" s="120" t="s">
        <v>1406</v>
      </c>
      <c r="W765" s="2163"/>
      <c r="Z765" s="839"/>
      <c r="AA765" s="839"/>
      <c r="AB765" s="1940"/>
    </row>
    <row r="766" s="42" customFormat="1" ht="16" customHeight="1" spans="1:28">
      <c r="A766" s="839">
        <v>627</v>
      </c>
      <c r="B766" s="23" t="s">
        <v>478</v>
      </c>
      <c r="C766" s="23"/>
      <c r="D766" s="21">
        <v>20250418</v>
      </c>
      <c r="E766" s="21">
        <v>7.17</v>
      </c>
      <c r="F766" s="2130" t="s">
        <v>1979</v>
      </c>
      <c r="G766" s="21" t="s">
        <v>488</v>
      </c>
      <c r="H766" s="21"/>
      <c r="I766" s="21"/>
      <c r="J766" s="21"/>
      <c r="K766" s="2048"/>
      <c r="L766" s="36"/>
      <c r="M766" s="37">
        <v>0.482758620689655</v>
      </c>
      <c r="N766" s="22">
        <v>2.07066719502672</v>
      </c>
      <c r="O766" s="37">
        <v>0.4</v>
      </c>
      <c r="P766" s="37">
        <f t="shared" si="89"/>
        <v>2.95342581571637</v>
      </c>
      <c r="Q766" s="219"/>
      <c r="R766" s="23" t="s">
        <v>25</v>
      </c>
      <c r="S766" s="804"/>
      <c r="T766" s="120" t="s">
        <v>1406</v>
      </c>
      <c r="W766" s="2163"/>
      <c r="Z766" s="839"/>
      <c r="AA766" s="839"/>
      <c r="AB766" s="1940"/>
    </row>
    <row r="767" s="839" customFormat="1" ht="16" customHeight="1" spans="1:28">
      <c r="A767" s="839">
        <v>628</v>
      </c>
      <c r="B767" s="23" t="s">
        <v>478</v>
      </c>
      <c r="C767" s="23"/>
      <c r="D767" s="21">
        <v>20240606</v>
      </c>
      <c r="E767" s="21">
        <v>7.17</v>
      </c>
      <c r="F767" s="2132" t="s">
        <v>489</v>
      </c>
      <c r="G767" s="21" t="s">
        <v>490</v>
      </c>
      <c r="H767" s="21"/>
      <c r="I767" s="21"/>
      <c r="J767" s="20"/>
      <c r="K767" s="2048"/>
      <c r="L767" s="772"/>
      <c r="M767" s="22">
        <v>0.51645138846506</v>
      </c>
      <c r="N767" s="22">
        <v>0.839053299968137</v>
      </c>
      <c r="O767" s="37">
        <v>0.2</v>
      </c>
      <c r="P767" s="37">
        <f t="shared" si="89"/>
        <v>1.5555046884332</v>
      </c>
      <c r="Q767" s="219"/>
      <c r="R767" s="39" t="s">
        <v>435</v>
      </c>
      <c r="S767" s="1931"/>
      <c r="T767" s="120"/>
      <c r="W767" s="1940"/>
      <c r="AB767" s="1940"/>
    </row>
    <row r="768" s="839" customFormat="1" ht="16" customHeight="1" spans="1:28">
      <c r="A768" s="839">
        <v>629</v>
      </c>
      <c r="B768" s="23" t="s">
        <v>491</v>
      </c>
      <c r="C768" s="23"/>
      <c r="D768" s="21">
        <v>20240513</v>
      </c>
      <c r="E768" s="21">
        <v>7.17</v>
      </c>
      <c r="F768" s="2132" t="s">
        <v>492</v>
      </c>
      <c r="G768" s="21" t="s">
        <v>493</v>
      </c>
      <c r="H768" s="21"/>
      <c r="I768" s="21"/>
      <c r="J768" s="20"/>
      <c r="K768" s="2048"/>
      <c r="L768" s="772"/>
      <c r="M768" s="22">
        <v>0.35419603710758</v>
      </c>
      <c r="N768" s="22">
        <v>2.28625114154598</v>
      </c>
      <c r="O768" s="37">
        <v>0.4</v>
      </c>
      <c r="P768" s="37">
        <f t="shared" si="89"/>
        <v>3.04044717865356</v>
      </c>
      <c r="Q768" s="219"/>
      <c r="R768" s="39"/>
      <c r="S768" s="1931"/>
      <c r="T768" s="120"/>
      <c r="W768" s="1940"/>
      <c r="AB768" s="1940"/>
    </row>
    <row r="769" s="839" customFormat="1" ht="16" customHeight="1" spans="1:28">
      <c r="A769" s="839">
        <v>630</v>
      </c>
      <c r="B769" s="23" t="s">
        <v>491</v>
      </c>
      <c r="C769" s="23"/>
      <c r="D769" s="21">
        <v>20250822</v>
      </c>
      <c r="E769" s="21">
        <v>7.17</v>
      </c>
      <c r="F769" s="2132" t="s">
        <v>494</v>
      </c>
      <c r="G769" s="21" t="s">
        <v>495</v>
      </c>
      <c r="H769" s="21"/>
      <c r="I769" s="21"/>
      <c r="J769" s="20"/>
      <c r="K769" s="2048"/>
      <c r="L769" s="772"/>
      <c r="M769" s="22">
        <v>0.382616852420977</v>
      </c>
      <c r="N769" s="22">
        <v>2.2706073462016</v>
      </c>
      <c r="O769" s="37">
        <v>0.4</v>
      </c>
      <c r="P769" s="37">
        <f t="shared" si="89"/>
        <v>3.05322419862258</v>
      </c>
      <c r="Q769" s="219"/>
      <c r="R769" s="39" t="s">
        <v>496</v>
      </c>
      <c r="S769" s="1931"/>
      <c r="T769" s="120"/>
      <c r="W769" s="1940"/>
      <c r="AB769" s="1940"/>
    </row>
    <row r="770" s="839" customFormat="1" ht="16" customHeight="1" spans="1:28">
      <c r="A770" s="839">
        <v>631</v>
      </c>
      <c r="B770" s="23" t="s">
        <v>497</v>
      </c>
      <c r="C770" s="23"/>
      <c r="D770" s="21"/>
      <c r="E770" s="21"/>
      <c r="F770" s="2130" t="s">
        <v>1979</v>
      </c>
      <c r="G770" s="21" t="s">
        <v>498</v>
      </c>
      <c r="H770" s="21"/>
      <c r="I770" s="21"/>
      <c r="J770" s="20"/>
      <c r="K770" s="2048"/>
      <c r="L770" s="772"/>
      <c r="M770" s="22">
        <v>0.83</v>
      </c>
      <c r="N770" s="22">
        <v>4.66</v>
      </c>
      <c r="O770" s="37">
        <v>0.4</v>
      </c>
      <c r="P770" s="37">
        <f t="shared" si="89"/>
        <v>5.89</v>
      </c>
      <c r="Q770" s="219"/>
      <c r="R770" s="20" t="s">
        <v>499</v>
      </c>
      <c r="S770" s="805"/>
      <c r="T770" s="120" t="s">
        <v>1406</v>
      </c>
      <c r="W770" s="1940"/>
      <c r="AB770" s="1940"/>
    </row>
    <row r="771" s="839" customFormat="1" ht="16" customHeight="1" spans="1:28">
      <c r="A771" s="839">
        <v>632</v>
      </c>
      <c r="B771" s="23"/>
      <c r="C771" s="23"/>
      <c r="D771" s="21"/>
      <c r="E771" s="21"/>
      <c r="F771" s="2130" t="s">
        <v>1979</v>
      </c>
      <c r="G771" s="21" t="s">
        <v>500</v>
      </c>
      <c r="H771" s="21"/>
      <c r="I771" s="21"/>
      <c r="J771" s="20"/>
      <c r="K771" s="2048"/>
      <c r="L771" s="772"/>
      <c r="M771" s="22">
        <v>0.83</v>
      </c>
      <c r="N771" s="22">
        <v>4.65</v>
      </c>
      <c r="O771" s="37">
        <v>0.4</v>
      </c>
      <c r="P771" s="37">
        <f t="shared" si="89"/>
        <v>5.88</v>
      </c>
      <c r="Q771" s="219"/>
      <c r="R771" s="20" t="s">
        <v>499</v>
      </c>
      <c r="S771" s="805"/>
      <c r="T771" s="120" t="s">
        <v>1406</v>
      </c>
      <c r="W771" s="1940"/>
      <c r="AB771" s="1940"/>
    </row>
    <row r="772" s="839" customFormat="1" ht="16" customHeight="1" spans="1:28">
      <c r="A772" s="839">
        <v>633</v>
      </c>
      <c r="B772" s="23"/>
      <c r="C772" s="23"/>
      <c r="D772" s="21"/>
      <c r="E772" s="21"/>
      <c r="F772" s="2130" t="s">
        <v>1979</v>
      </c>
      <c r="G772" s="21" t="s">
        <v>501</v>
      </c>
      <c r="H772" s="21"/>
      <c r="I772" s="21"/>
      <c r="J772" s="20"/>
      <c r="K772" s="2048"/>
      <c r="L772" s="772"/>
      <c r="M772" s="22">
        <v>0.403940886699507</v>
      </c>
      <c r="N772" s="22">
        <v>1.24137931034483</v>
      </c>
      <c r="O772" s="37">
        <v>0.2</v>
      </c>
      <c r="P772" s="37">
        <f t="shared" si="89"/>
        <v>1.84532019704434</v>
      </c>
      <c r="Q772" s="219"/>
      <c r="R772" s="20"/>
      <c r="S772" s="805"/>
      <c r="T772" s="120" t="s">
        <v>1406</v>
      </c>
      <c r="W772" s="1940"/>
      <c r="AB772" s="1940"/>
    </row>
    <row r="773" s="839" customFormat="1" ht="16" customHeight="1" spans="1:28">
      <c r="A773" s="839">
        <v>634</v>
      </c>
      <c r="B773" s="23"/>
      <c r="C773" s="23"/>
      <c r="D773" s="21"/>
      <c r="E773" s="21"/>
      <c r="F773" s="2130" t="s">
        <v>1979</v>
      </c>
      <c r="G773" s="21" t="s">
        <v>502</v>
      </c>
      <c r="H773" s="21"/>
      <c r="I773" s="21"/>
      <c r="J773" s="20"/>
      <c r="K773" s="2048"/>
      <c r="L773" s="772"/>
      <c r="M773" s="22">
        <v>0.492610837438424</v>
      </c>
      <c r="N773" s="22">
        <v>5.20197044334975</v>
      </c>
      <c r="O773" s="37">
        <v>0.4</v>
      </c>
      <c r="P773" s="37">
        <f t="shared" si="89"/>
        <v>6.09458128078817</v>
      </c>
      <c r="Q773" s="219"/>
      <c r="R773" s="20"/>
      <c r="S773" s="805"/>
      <c r="T773" s="120" t="s">
        <v>1406</v>
      </c>
      <c r="W773" s="1940"/>
      <c r="AB773" s="1940"/>
    </row>
    <row r="774" s="839" customFormat="1" ht="16" customHeight="1" spans="1:28">
      <c r="A774" s="839">
        <v>635</v>
      </c>
      <c r="B774" s="23"/>
      <c r="C774" s="23"/>
      <c r="D774" s="21"/>
      <c r="E774" s="21"/>
      <c r="F774" s="2130" t="s">
        <v>1979</v>
      </c>
      <c r="G774" s="21" t="s">
        <v>503</v>
      </c>
      <c r="H774" s="21"/>
      <c r="I774" s="21"/>
      <c r="J774" s="20"/>
      <c r="K774" s="2048"/>
      <c r="L774" s="772"/>
      <c r="M774" s="22">
        <v>0.413793103448276</v>
      </c>
      <c r="N774" s="22">
        <v>1.20197044334975</v>
      </c>
      <c r="O774" s="37">
        <v>0.4</v>
      </c>
      <c r="P774" s="37">
        <f t="shared" si="89"/>
        <v>2.01576354679803</v>
      </c>
      <c r="Q774" s="219"/>
      <c r="R774" s="20"/>
      <c r="S774" s="805"/>
      <c r="T774" s="120" t="s">
        <v>1406</v>
      </c>
      <c r="W774" s="1940"/>
      <c r="AB774" s="1940"/>
    </row>
    <row r="775" s="839" customFormat="1" ht="16" customHeight="1" spans="1:28">
      <c r="A775" s="839">
        <v>636</v>
      </c>
      <c r="B775" s="23"/>
      <c r="C775" s="23"/>
      <c r="D775" s="21">
        <v>20250528</v>
      </c>
      <c r="E775" s="21">
        <v>7.17</v>
      </c>
      <c r="F775" s="2132" t="s">
        <v>504</v>
      </c>
      <c r="G775" s="21" t="s">
        <v>505</v>
      </c>
      <c r="H775" s="21"/>
      <c r="I775" s="21"/>
      <c r="J775" s="20"/>
      <c r="K775" s="2048"/>
      <c r="L775" s="772"/>
      <c r="M775" s="22">
        <v>0.538132089211439</v>
      </c>
      <c r="N775" s="22">
        <v>0.573113260147369</v>
      </c>
      <c r="O775" s="37">
        <v>0.2</v>
      </c>
      <c r="P775" s="37">
        <f t="shared" si="89"/>
        <v>1.31124534935881</v>
      </c>
      <c r="Q775" s="219"/>
      <c r="R775" s="2213"/>
      <c r="S775" s="2214"/>
      <c r="T775" s="1935"/>
      <c r="U775" s="120" t="s">
        <v>1406</v>
      </c>
      <c r="W775" s="1940"/>
      <c r="AB775" s="1940"/>
    </row>
    <row r="776" s="839" customFormat="1" ht="16" customHeight="1" spans="1:28">
      <c r="A776" s="839">
        <v>637</v>
      </c>
      <c r="B776" s="23" t="s">
        <v>506</v>
      </c>
      <c r="C776" s="23"/>
      <c r="D776" s="21"/>
      <c r="E776" s="21"/>
      <c r="F776" s="2130" t="s">
        <v>1979</v>
      </c>
      <c r="G776" s="21" t="s">
        <v>507</v>
      </c>
      <c r="H776" s="21"/>
      <c r="I776" s="21"/>
      <c r="J776" s="20"/>
      <c r="K776" s="2048"/>
      <c r="L776" s="772"/>
      <c r="M776" s="22">
        <v>0.52</v>
      </c>
      <c r="N776" s="22">
        <v>2.93</v>
      </c>
      <c r="O776" s="37">
        <v>0.4</v>
      </c>
      <c r="P776" s="37">
        <f t="shared" si="89"/>
        <v>3.85</v>
      </c>
      <c r="Q776" s="219"/>
      <c r="R776" s="20" t="s">
        <v>25</v>
      </c>
      <c r="S776" s="805"/>
      <c r="T776" s="120" t="s">
        <v>1406</v>
      </c>
      <c r="W776" s="1940"/>
      <c r="AB776" s="1940"/>
    </row>
    <row r="777" s="839" customFormat="1" ht="16" customHeight="1" spans="1:28">
      <c r="A777" s="839">
        <v>638</v>
      </c>
      <c r="B777" s="23" t="s">
        <v>506</v>
      </c>
      <c r="C777" s="23"/>
      <c r="D777" s="21"/>
      <c r="E777" s="21"/>
      <c r="F777" s="2130" t="s">
        <v>1979</v>
      </c>
      <c r="G777" s="21" t="s">
        <v>508</v>
      </c>
      <c r="H777" s="21"/>
      <c r="I777" s="21"/>
      <c r="J777" s="20"/>
      <c r="K777" s="2048"/>
      <c r="L777" s="772"/>
      <c r="M777" s="22">
        <v>0.0295566502463054</v>
      </c>
      <c r="N777" s="22">
        <v>0.0492610837438424</v>
      </c>
      <c r="O777" s="37">
        <v>0.4</v>
      </c>
      <c r="P777" s="37">
        <f t="shared" si="89"/>
        <v>0.478817733990148</v>
      </c>
      <c r="Q777" s="219"/>
      <c r="R777" s="20"/>
      <c r="S777" s="805"/>
      <c r="T777" s="120" t="s">
        <v>1406</v>
      </c>
      <c r="W777" s="1940"/>
      <c r="AB777" s="1940"/>
    </row>
    <row r="778" s="839" customFormat="1" ht="16" customHeight="1" spans="1:28">
      <c r="A778" s="839">
        <v>639</v>
      </c>
      <c r="B778" s="23" t="s">
        <v>506</v>
      </c>
      <c r="C778" s="23"/>
      <c r="D778" s="21"/>
      <c r="E778" s="21"/>
      <c r="F778" s="2130" t="s">
        <v>1979</v>
      </c>
      <c r="G778" s="21" t="s">
        <v>509</v>
      </c>
      <c r="H778" s="21"/>
      <c r="I778" s="21"/>
      <c r="J778" s="20"/>
      <c r="K778" s="2048"/>
      <c r="L778" s="772"/>
      <c r="M778" s="22">
        <v>0.620689655172414</v>
      </c>
      <c r="N778" s="22">
        <v>3.03448275862069</v>
      </c>
      <c r="O778" s="37">
        <v>0.4</v>
      </c>
      <c r="P778" s="37">
        <f t="shared" si="89"/>
        <v>4.0551724137931</v>
      </c>
      <c r="Q778" s="219"/>
      <c r="R778" s="20" t="s">
        <v>25</v>
      </c>
      <c r="S778" s="805"/>
      <c r="T778" s="120" t="s">
        <v>1406</v>
      </c>
      <c r="W778" s="1940"/>
      <c r="AB778" s="1940"/>
    </row>
    <row r="779" s="839" customFormat="1" ht="16" customHeight="1" spans="1:28">
      <c r="A779" s="839">
        <v>640</v>
      </c>
      <c r="B779" s="23" t="s">
        <v>506</v>
      </c>
      <c r="C779" s="23"/>
      <c r="D779" s="21"/>
      <c r="E779" s="21"/>
      <c r="F779" s="2130" t="s">
        <v>1979</v>
      </c>
      <c r="G779" s="21" t="s">
        <v>510</v>
      </c>
      <c r="H779" s="21"/>
      <c r="I779" s="21"/>
      <c r="J779" s="20"/>
      <c r="K779" s="2048"/>
      <c r="L779" s="772"/>
      <c r="M779" s="22">
        <v>0.502463054187192</v>
      </c>
      <c r="N779" s="22">
        <v>2.1871921182266</v>
      </c>
      <c r="O779" s="37">
        <v>0.4</v>
      </c>
      <c r="P779" s="37">
        <f t="shared" si="89"/>
        <v>3.08965517241379</v>
      </c>
      <c r="Q779" s="219"/>
      <c r="R779" s="20" t="s">
        <v>25</v>
      </c>
      <c r="S779" s="805"/>
      <c r="T779" s="120" t="s">
        <v>1406</v>
      </c>
      <c r="W779" s="1940"/>
      <c r="AB779" s="1940"/>
    </row>
    <row r="780" s="839" customFormat="1" ht="16" customHeight="1" spans="1:28">
      <c r="A780" s="839">
        <v>641</v>
      </c>
      <c r="B780" s="23" t="s">
        <v>506</v>
      </c>
      <c r="C780" s="23"/>
      <c r="D780" s="21"/>
      <c r="E780" s="21"/>
      <c r="F780" s="2130" t="s">
        <v>1979</v>
      </c>
      <c r="G780" s="21" t="s">
        <v>511</v>
      </c>
      <c r="H780" s="21"/>
      <c r="I780" s="21"/>
      <c r="J780" s="20"/>
      <c r="K780" s="2048"/>
      <c r="L780" s="772"/>
      <c r="M780" s="22">
        <v>0.413793103448276</v>
      </c>
      <c r="N780" s="22">
        <v>0.77832512315271</v>
      </c>
      <c r="O780" s="37">
        <v>0.2</v>
      </c>
      <c r="P780" s="37">
        <f t="shared" si="89"/>
        <v>1.39211822660099</v>
      </c>
      <c r="Q780" s="219"/>
      <c r="R780" s="20"/>
      <c r="S780" s="805"/>
      <c r="T780" s="120" t="s">
        <v>1406</v>
      </c>
      <c r="W780" s="1940"/>
      <c r="AB780" s="1940"/>
    </row>
    <row r="781" s="839" customFormat="1" ht="16" customHeight="1" spans="1:28">
      <c r="A781" s="839">
        <v>642</v>
      </c>
      <c r="B781" s="23" t="s">
        <v>506</v>
      </c>
      <c r="C781" s="23"/>
      <c r="D781" s="21"/>
      <c r="E781" s="21"/>
      <c r="F781" s="2130" t="s">
        <v>1979</v>
      </c>
      <c r="G781" s="21" t="s">
        <v>512</v>
      </c>
      <c r="H781" s="21"/>
      <c r="I781" s="21"/>
      <c r="J781" s="20"/>
      <c r="K781" s="2048"/>
      <c r="L781" s="772"/>
      <c r="M781" s="22">
        <v>0.413793103448276</v>
      </c>
      <c r="N781" s="22">
        <v>1.26671358198452</v>
      </c>
      <c r="O781" s="37">
        <v>0.2</v>
      </c>
      <c r="P781" s="37">
        <f t="shared" si="89"/>
        <v>1.8805066854328</v>
      </c>
      <c r="Q781" s="219"/>
      <c r="R781" s="20"/>
      <c r="S781" s="805"/>
      <c r="T781" s="120" t="s">
        <v>1406</v>
      </c>
      <c r="W781" s="1940"/>
      <c r="AB781" s="1940"/>
    </row>
    <row r="782" s="839" customFormat="1" ht="16" customHeight="1" spans="1:28">
      <c r="A782" s="839">
        <v>643</v>
      </c>
      <c r="B782" s="23" t="s">
        <v>506</v>
      </c>
      <c r="C782" s="23"/>
      <c r="D782" s="21"/>
      <c r="E782" s="21"/>
      <c r="F782" s="2130" t="s">
        <v>1979</v>
      </c>
      <c r="G782" s="21" t="s">
        <v>513</v>
      </c>
      <c r="H782" s="21"/>
      <c r="I782" s="21"/>
      <c r="J782" s="20"/>
      <c r="K782" s="2048"/>
      <c r="L782" s="772"/>
      <c r="M782" s="22">
        <v>0.394088669950739</v>
      </c>
      <c r="N782" s="22">
        <v>0.910157166314802</v>
      </c>
      <c r="O782" s="37">
        <v>0.4</v>
      </c>
      <c r="P782" s="37">
        <f t="shared" si="89"/>
        <v>1.70424583626554</v>
      </c>
      <c r="Q782" s="219"/>
      <c r="R782" s="20"/>
      <c r="S782" s="805"/>
      <c r="T782" s="120" t="s">
        <v>1406</v>
      </c>
      <c r="W782" s="1940"/>
      <c r="AB782" s="1940"/>
    </row>
    <row r="783" s="839" customFormat="1" ht="16" customHeight="1" spans="1:28">
      <c r="A783" s="839">
        <v>644</v>
      </c>
      <c r="B783" s="23" t="s">
        <v>506</v>
      </c>
      <c r="C783" s="23"/>
      <c r="D783" s="21"/>
      <c r="E783" s="21"/>
      <c r="F783" s="2130" t="s">
        <v>1979</v>
      </c>
      <c r="G783" s="21" t="s">
        <v>514</v>
      </c>
      <c r="H783" s="21"/>
      <c r="I783" s="21"/>
      <c r="J783" s="20"/>
      <c r="K783" s="2048"/>
      <c r="L783" s="772"/>
      <c r="M783" s="22">
        <v>0.42</v>
      </c>
      <c r="N783" s="22">
        <v>0.876190476190476</v>
      </c>
      <c r="O783" s="37">
        <v>0.2</v>
      </c>
      <c r="P783" s="37">
        <f t="shared" si="89"/>
        <v>1.49619047619048</v>
      </c>
      <c r="Q783" s="219"/>
      <c r="R783" s="20"/>
      <c r="S783" s="805"/>
      <c r="T783" s="120" t="s">
        <v>1406</v>
      </c>
      <c r="W783" s="1940"/>
      <c r="AB783" s="1940"/>
    </row>
    <row r="784" s="839" customFormat="1" ht="16" customHeight="1" spans="1:28">
      <c r="A784" s="839">
        <v>645</v>
      </c>
      <c r="B784" s="23" t="s">
        <v>506</v>
      </c>
      <c r="C784" s="23"/>
      <c r="D784" s="21"/>
      <c r="E784" s="21"/>
      <c r="F784" s="2130" t="s">
        <v>1979</v>
      </c>
      <c r="G784" s="21" t="s">
        <v>515</v>
      </c>
      <c r="H784" s="21"/>
      <c r="I784" s="21"/>
      <c r="J784" s="20"/>
      <c r="K784" s="2048"/>
      <c r="L784" s="772"/>
      <c r="M784" s="22">
        <v>0.48</v>
      </c>
      <c r="N784" s="22">
        <v>0.952380952380953</v>
      </c>
      <c r="O784" s="37">
        <v>0.2</v>
      </c>
      <c r="P784" s="37">
        <f t="shared" si="89"/>
        <v>1.63238095238095</v>
      </c>
      <c r="Q784" s="219"/>
      <c r="R784" s="20"/>
      <c r="S784" s="805"/>
      <c r="T784" s="120" t="s">
        <v>1406</v>
      </c>
      <c r="W784" s="1940"/>
      <c r="AB784" s="1940"/>
    </row>
    <row r="785" s="839" customFormat="1" ht="16" customHeight="1" spans="1:28">
      <c r="A785" s="839">
        <v>646</v>
      </c>
      <c r="B785" s="23" t="s">
        <v>506</v>
      </c>
      <c r="C785" s="23"/>
      <c r="D785" s="21"/>
      <c r="E785" s="21"/>
      <c r="F785" s="2130" t="s">
        <v>1979</v>
      </c>
      <c r="G785" s="21" t="s">
        <v>516</v>
      </c>
      <c r="H785" s="21"/>
      <c r="I785" s="21"/>
      <c r="J785" s="20"/>
      <c r="K785" s="2048"/>
      <c r="L785" s="772"/>
      <c r="M785" s="22">
        <v>0.39</v>
      </c>
      <c r="N785" s="22">
        <v>0.952380952380953</v>
      </c>
      <c r="O785" s="37">
        <v>0.2</v>
      </c>
      <c r="P785" s="37">
        <f t="shared" si="89"/>
        <v>1.54238095238095</v>
      </c>
      <c r="Q785" s="219"/>
      <c r="R785" s="20"/>
      <c r="S785" s="805"/>
      <c r="T785" s="120" t="s">
        <v>1406</v>
      </c>
      <c r="W785" s="1940"/>
      <c r="AB785" s="1940"/>
    </row>
    <row r="786" s="839" customFormat="1" ht="16" customHeight="1" spans="1:28">
      <c r="A786" s="839">
        <v>647</v>
      </c>
      <c r="B786" s="23" t="s">
        <v>506</v>
      </c>
      <c r="C786" s="23"/>
      <c r="D786" s="21"/>
      <c r="E786" s="21"/>
      <c r="F786" s="2130" t="s">
        <v>1979</v>
      </c>
      <c r="G786" s="21" t="s">
        <v>517</v>
      </c>
      <c r="H786" s="21"/>
      <c r="I786" s="21"/>
      <c r="J786" s="20"/>
      <c r="K786" s="2048"/>
      <c r="L786" s="772"/>
      <c r="M786" s="22">
        <v>0.48</v>
      </c>
      <c r="N786" s="22">
        <v>1.06666666666667</v>
      </c>
      <c r="O786" s="37">
        <v>0.2</v>
      </c>
      <c r="P786" s="37">
        <f t="shared" si="89"/>
        <v>1.74666666666667</v>
      </c>
      <c r="Q786" s="219"/>
      <c r="R786" s="20"/>
      <c r="S786" s="805"/>
      <c r="T786" s="120" t="s">
        <v>1406</v>
      </c>
      <c r="W786" s="1940"/>
      <c r="AB786" s="1940"/>
    </row>
    <row r="787" s="839" customFormat="1" ht="16" customHeight="1" spans="1:28">
      <c r="A787" s="839">
        <v>648</v>
      </c>
      <c r="B787" s="23" t="s">
        <v>506</v>
      </c>
      <c r="C787" s="23"/>
      <c r="D787" s="21"/>
      <c r="E787" s="21"/>
      <c r="F787" s="2130" t="s">
        <v>1979</v>
      </c>
      <c r="G787" s="21" t="s">
        <v>518</v>
      </c>
      <c r="H787" s="21"/>
      <c r="I787" s="21"/>
      <c r="J787" s="20"/>
      <c r="K787" s="2048"/>
      <c r="L787" s="772"/>
      <c r="M787" s="22">
        <v>0.0255767558442887</v>
      </c>
      <c r="N787" s="22">
        <v>2.76012509686634</v>
      </c>
      <c r="O787" s="37">
        <v>0.4</v>
      </c>
      <c r="P787" s="37">
        <f t="shared" si="89"/>
        <v>3.18570185271063</v>
      </c>
      <c r="Q787" s="219"/>
      <c r="R787" s="20" t="s">
        <v>25</v>
      </c>
      <c r="S787" s="805"/>
      <c r="T787" s="120" t="s">
        <v>1406</v>
      </c>
      <c r="W787" s="1940"/>
      <c r="AB787" s="1940"/>
    </row>
    <row r="788" s="839" customFormat="1" ht="16" customHeight="1" spans="1:28">
      <c r="A788" s="839">
        <v>649</v>
      </c>
      <c r="B788" s="23" t="s">
        <v>506</v>
      </c>
      <c r="C788" s="23"/>
      <c r="D788" s="21">
        <v>20240829</v>
      </c>
      <c r="E788" s="21">
        <v>7.17</v>
      </c>
      <c r="F788" s="2132" t="s">
        <v>519</v>
      </c>
      <c r="G788" s="21" t="s">
        <v>520</v>
      </c>
      <c r="H788" s="21"/>
      <c r="I788" s="21"/>
      <c r="J788" s="20"/>
      <c r="K788" s="2048"/>
      <c r="L788" s="772"/>
      <c r="M788" s="22">
        <v>0.395585751106334</v>
      </c>
      <c r="N788" s="22">
        <v>0.628281391073533</v>
      </c>
      <c r="O788" s="37">
        <v>0.2</v>
      </c>
      <c r="P788" s="37">
        <f t="shared" si="89"/>
        <v>1.22386714217987</v>
      </c>
      <c r="Q788" s="219"/>
      <c r="R788" s="20"/>
      <c r="S788" s="805"/>
      <c r="T788" s="120"/>
      <c r="W788" s="1940"/>
      <c r="AB788" s="1940"/>
    </row>
    <row r="789" s="839" customFormat="1" ht="16" customHeight="1" spans="1:28">
      <c r="A789" s="839">
        <v>650</v>
      </c>
      <c r="B789" s="23" t="s">
        <v>506</v>
      </c>
      <c r="C789" s="23"/>
      <c r="D789" s="21">
        <v>20240829</v>
      </c>
      <c r="E789" s="21">
        <v>7.17</v>
      </c>
      <c r="F789" s="2132" t="s">
        <v>521</v>
      </c>
      <c r="G789" s="21" t="s">
        <v>522</v>
      </c>
      <c r="H789" s="21"/>
      <c r="I789" s="21"/>
      <c r="J789" s="20"/>
      <c r="K789" s="2048"/>
      <c r="L789" s="772"/>
      <c r="M789" s="22">
        <v>0.527022307119084</v>
      </c>
      <c r="N789" s="22">
        <v>2.47133738768934</v>
      </c>
      <c r="O789" s="37">
        <v>0.2</v>
      </c>
      <c r="P789" s="37">
        <f t="shared" si="89"/>
        <v>3.19835969480842</v>
      </c>
      <c r="Q789" s="219"/>
      <c r="R789" s="20" t="s">
        <v>25</v>
      </c>
      <c r="S789" s="805"/>
      <c r="T789" s="120"/>
      <c r="W789" s="1940"/>
      <c r="AB789" s="1940"/>
    </row>
    <row r="790" s="839" customFormat="1" ht="16" customHeight="1" spans="1:28">
      <c r="A790" s="839">
        <v>651</v>
      </c>
      <c r="B790" s="23" t="s">
        <v>506</v>
      </c>
      <c r="C790" s="23"/>
      <c r="D790" s="21">
        <v>20240829</v>
      </c>
      <c r="E790" s="21">
        <v>7.17</v>
      </c>
      <c r="F790" s="2132" t="s">
        <v>523</v>
      </c>
      <c r="G790" s="21" t="s">
        <v>524</v>
      </c>
      <c r="H790" s="21"/>
      <c r="I790" s="21"/>
      <c r="J790" s="20"/>
      <c r="K790" s="2048"/>
      <c r="L790" s="772"/>
      <c r="M790" s="22">
        <v>0.047215073519143</v>
      </c>
      <c r="N790" s="22">
        <v>0.0418743219826762</v>
      </c>
      <c r="O790" s="37">
        <v>0.2</v>
      </c>
      <c r="P790" s="37">
        <f t="shared" si="89"/>
        <v>0.289089395501819</v>
      </c>
      <c r="Q790" s="219"/>
      <c r="R790" s="20"/>
      <c r="S790" s="805"/>
      <c r="T790" s="120"/>
      <c r="W790" s="1940"/>
      <c r="AB790" s="1940"/>
    </row>
    <row r="791" s="839" customFormat="1" ht="16" customHeight="1" spans="1:28">
      <c r="A791" s="839">
        <v>652</v>
      </c>
      <c r="B791" s="23" t="s">
        <v>506</v>
      </c>
      <c r="C791" s="23"/>
      <c r="D791" s="21">
        <v>20240906</v>
      </c>
      <c r="E791" s="21">
        <v>7.17</v>
      </c>
      <c r="F791" s="2132" t="s">
        <v>525</v>
      </c>
      <c r="G791" s="21" t="s">
        <v>526</v>
      </c>
      <c r="H791" s="21"/>
      <c r="I791" s="21"/>
      <c r="J791" s="20"/>
      <c r="K791" s="2048"/>
      <c r="L791" s="772"/>
      <c r="M791" s="22">
        <v>0.0246146075573748</v>
      </c>
      <c r="N791" s="22">
        <v>0.0354908025633202</v>
      </c>
      <c r="O791" s="37">
        <v>0.2</v>
      </c>
      <c r="P791" s="37">
        <f t="shared" si="89"/>
        <v>0.260105410120695</v>
      </c>
      <c r="Q791" s="219"/>
      <c r="R791" s="2215"/>
      <c r="S791" s="1935"/>
      <c r="T791" s="120"/>
      <c r="W791" s="1940"/>
      <c r="AB791" s="1940"/>
    </row>
    <row r="792" s="839" customFormat="1" ht="16" customHeight="1" spans="1:28">
      <c r="A792" s="839">
        <v>653</v>
      </c>
      <c r="B792" s="23" t="s">
        <v>506</v>
      </c>
      <c r="C792" s="23"/>
      <c r="D792" s="21">
        <v>20240906</v>
      </c>
      <c r="E792" s="21">
        <v>7.17</v>
      </c>
      <c r="F792" s="2132" t="s">
        <v>527</v>
      </c>
      <c r="G792" s="21" t="s">
        <v>528</v>
      </c>
      <c r="H792" s="21"/>
      <c r="I792" s="21"/>
      <c r="J792" s="20"/>
      <c r="K792" s="2048"/>
      <c r="L792" s="772"/>
      <c r="M792" s="22">
        <v>0.453260933480473</v>
      </c>
      <c r="N792" s="22">
        <v>1.8495012301213</v>
      </c>
      <c r="O792" s="37">
        <v>0.4</v>
      </c>
      <c r="P792" s="37">
        <f t="shared" si="89"/>
        <v>2.70276216360177</v>
      </c>
      <c r="Q792" s="219"/>
      <c r="R792" s="20" t="s">
        <v>2975</v>
      </c>
      <c r="S792" s="805"/>
      <c r="T792" s="120"/>
      <c r="W792" s="1940"/>
      <c r="AB792" s="1940"/>
    </row>
    <row r="793" s="839" customFormat="1" ht="16" customHeight="1" spans="1:28">
      <c r="A793" s="839">
        <v>654</v>
      </c>
      <c r="B793" s="23" t="s">
        <v>506</v>
      </c>
      <c r="C793" s="23"/>
      <c r="D793" s="21">
        <v>20241127</v>
      </c>
      <c r="E793" s="21">
        <v>7.17</v>
      </c>
      <c r="F793" s="2132" t="s">
        <v>529</v>
      </c>
      <c r="G793" s="21" t="s">
        <v>530</v>
      </c>
      <c r="H793" s="21"/>
      <c r="I793" s="21"/>
      <c r="J793" s="20"/>
      <c r="K793" s="2048"/>
      <c r="L793" s="772"/>
      <c r="M793" s="22">
        <v>0.494455882472863</v>
      </c>
      <c r="N793" s="22">
        <v>0.802564190589191</v>
      </c>
      <c r="O793" s="37">
        <v>0.2</v>
      </c>
      <c r="P793" s="37">
        <f t="shared" si="89"/>
        <v>1.49702007306205</v>
      </c>
      <c r="Q793" s="219"/>
      <c r="R793" s="20" t="s">
        <v>3106</v>
      </c>
      <c r="S793" s="805"/>
      <c r="T793" s="120"/>
      <c r="W793" s="1940"/>
      <c r="AB793" s="1940"/>
    </row>
    <row r="794" s="839" customFormat="1" ht="16" customHeight="1" spans="1:28">
      <c r="A794" s="839">
        <v>655</v>
      </c>
      <c r="B794" s="23" t="s">
        <v>506</v>
      </c>
      <c r="C794" s="23"/>
      <c r="D794" s="21">
        <v>20240929</v>
      </c>
      <c r="E794" s="21">
        <v>7.17</v>
      </c>
      <c r="F794" s="2132" t="s">
        <v>532</v>
      </c>
      <c r="G794" s="21" t="s">
        <v>533</v>
      </c>
      <c r="H794" s="21"/>
      <c r="I794" s="21"/>
      <c r="J794" s="20"/>
      <c r="K794" s="2048"/>
      <c r="L794" s="772"/>
      <c r="M794" s="22">
        <v>0.502912328791152</v>
      </c>
      <c r="N794" s="22">
        <v>2.08119467939984</v>
      </c>
      <c r="O794" s="37">
        <v>0.4</v>
      </c>
      <c r="P794" s="37">
        <f t="shared" si="89"/>
        <v>2.98410700819099</v>
      </c>
      <c r="Q794" s="219"/>
      <c r="R794" s="20" t="s">
        <v>3107</v>
      </c>
      <c r="S794" s="805"/>
      <c r="T794" s="120"/>
      <c r="W794" s="1940"/>
      <c r="AB794" s="1940"/>
    </row>
    <row r="795" s="839" customFormat="1" ht="16" customHeight="1" spans="1:28">
      <c r="A795" s="839">
        <v>656</v>
      </c>
      <c r="B795" s="23" t="s">
        <v>535</v>
      </c>
      <c r="C795" s="23"/>
      <c r="D795" s="21"/>
      <c r="E795" s="21"/>
      <c r="F795" s="2130" t="s">
        <v>1979</v>
      </c>
      <c r="G795" s="21" t="s">
        <v>536</v>
      </c>
      <c r="H795" s="21"/>
      <c r="I795" s="21"/>
      <c r="J795" s="20"/>
      <c r="K795" s="2048"/>
      <c r="L795" s="772"/>
      <c r="M795" s="22">
        <v>0.344827586206897</v>
      </c>
      <c r="N795" s="22">
        <v>1.25733051841427</v>
      </c>
      <c r="O795" s="37">
        <v>0.25</v>
      </c>
      <c r="P795" s="37">
        <f t="shared" si="89"/>
        <v>1.85215810462117</v>
      </c>
      <c r="Q795" s="219"/>
      <c r="R795" s="20"/>
      <c r="S795" s="805"/>
      <c r="T795" s="120" t="s">
        <v>1406</v>
      </c>
      <c r="W795" s="1940"/>
      <c r="AB795" s="1940"/>
    </row>
    <row r="796" s="839" customFormat="1" ht="16" customHeight="1" spans="1:28">
      <c r="A796" s="839">
        <v>657</v>
      </c>
      <c r="B796" s="23" t="s">
        <v>537</v>
      </c>
      <c r="C796" s="23"/>
      <c r="D796" s="21"/>
      <c r="E796" s="21"/>
      <c r="F796" s="2130" t="s">
        <v>1979</v>
      </c>
      <c r="G796" s="21" t="s">
        <v>538</v>
      </c>
      <c r="H796" s="21"/>
      <c r="I796" s="21"/>
      <c r="J796" s="20"/>
      <c r="K796" s="2048"/>
      <c r="L796" s="772"/>
      <c r="M796" s="22">
        <v>0.55</v>
      </c>
      <c r="N796" s="22">
        <v>5.75</v>
      </c>
      <c r="O796" s="37">
        <v>0.4</v>
      </c>
      <c r="P796" s="37">
        <f t="shared" si="89"/>
        <v>6.7</v>
      </c>
      <c r="Q796" s="219"/>
      <c r="R796" s="20" t="s">
        <v>3108</v>
      </c>
      <c r="S796" s="805"/>
      <c r="T796" s="120" t="s">
        <v>1406</v>
      </c>
      <c r="W796" s="1940"/>
      <c r="AB796" s="1940"/>
    </row>
    <row r="797" s="839" customFormat="1" ht="16" customHeight="1" spans="1:28">
      <c r="A797" s="839">
        <v>658</v>
      </c>
      <c r="B797" s="23" t="s">
        <v>537</v>
      </c>
      <c r="C797" s="23"/>
      <c r="D797" s="21">
        <v>20241028</v>
      </c>
      <c r="E797" s="21">
        <v>7.17</v>
      </c>
      <c r="F797" s="2132" t="s">
        <v>540</v>
      </c>
      <c r="G797" s="21" t="s">
        <v>541</v>
      </c>
      <c r="H797" s="21"/>
      <c r="I797" s="21"/>
      <c r="J797" s="20"/>
      <c r="K797" s="2048"/>
      <c r="L797" s="772"/>
      <c r="M797" s="22">
        <v>0.39669929243068</v>
      </c>
      <c r="N797" s="22">
        <v>2.12840096794634</v>
      </c>
      <c r="O797" s="37">
        <v>0.4</v>
      </c>
      <c r="P797" s="37">
        <f t="shared" si="89"/>
        <v>2.92510026037702</v>
      </c>
      <c r="Q797" s="219"/>
      <c r="R797" s="20" t="s">
        <v>25</v>
      </c>
      <c r="S797" s="805"/>
      <c r="T797" s="120" t="s">
        <v>1406</v>
      </c>
      <c r="W797" s="1940"/>
      <c r="AB797" s="1940"/>
    </row>
    <row r="798" s="839" customFormat="1" ht="16" customHeight="1" spans="1:28">
      <c r="A798" s="839">
        <v>659</v>
      </c>
      <c r="B798" s="23" t="s">
        <v>537</v>
      </c>
      <c r="C798" s="23"/>
      <c r="D798" s="21"/>
      <c r="E798" s="21"/>
      <c r="F798" s="2130" t="s">
        <v>1979</v>
      </c>
      <c r="G798" s="21" t="s">
        <v>542</v>
      </c>
      <c r="H798" s="21"/>
      <c r="I798" s="21"/>
      <c r="J798" s="20"/>
      <c r="K798" s="2048"/>
      <c r="L798" s="772"/>
      <c r="M798" s="22">
        <v>0.51</v>
      </c>
      <c r="N798" s="22">
        <v>2.44</v>
      </c>
      <c r="O798" s="37">
        <v>0.4</v>
      </c>
      <c r="P798" s="37">
        <f t="shared" si="89"/>
        <v>3.35</v>
      </c>
      <c r="Q798" s="219"/>
      <c r="R798" s="20" t="s">
        <v>25</v>
      </c>
      <c r="S798" s="805"/>
      <c r="T798" s="120" t="s">
        <v>1406</v>
      </c>
      <c r="W798" s="1940"/>
      <c r="AB798" s="1940"/>
    </row>
    <row r="799" s="839" customFormat="1" ht="16" customHeight="1" spans="1:28">
      <c r="A799" s="839">
        <v>660</v>
      </c>
      <c r="B799" s="23" t="s">
        <v>537</v>
      </c>
      <c r="C799" s="23"/>
      <c r="D799" s="21"/>
      <c r="E799" s="21"/>
      <c r="F799" s="2130" t="s">
        <v>1979</v>
      </c>
      <c r="G799" s="21" t="s">
        <v>543</v>
      </c>
      <c r="H799" s="21"/>
      <c r="I799" s="21"/>
      <c r="J799" s="20"/>
      <c r="K799" s="2048"/>
      <c r="L799" s="772"/>
      <c r="M799" s="22">
        <v>0.502463054187192</v>
      </c>
      <c r="N799" s="22">
        <v>2.22</v>
      </c>
      <c r="O799" s="37">
        <v>0.4</v>
      </c>
      <c r="P799" s="37">
        <f t="shared" si="89"/>
        <v>3.12246305418719</v>
      </c>
      <c r="Q799" s="219"/>
      <c r="R799" s="20" t="s">
        <v>25</v>
      </c>
      <c r="S799" s="805"/>
      <c r="T799" s="120" t="s">
        <v>1406</v>
      </c>
      <c r="W799" s="1940"/>
      <c r="AB799" s="1940"/>
    </row>
    <row r="800" s="839" customFormat="1" ht="16" customHeight="1" spans="1:28">
      <c r="A800" s="839">
        <v>661</v>
      </c>
      <c r="B800" s="23" t="s">
        <v>537</v>
      </c>
      <c r="C800" s="23"/>
      <c r="D800" s="21"/>
      <c r="E800" s="21"/>
      <c r="F800" s="2130" t="s">
        <v>1979</v>
      </c>
      <c r="G800" s="21" t="s">
        <v>544</v>
      </c>
      <c r="H800" s="21"/>
      <c r="I800" s="21"/>
      <c r="J800" s="20"/>
      <c r="K800" s="2048"/>
      <c r="L800" s="772"/>
      <c r="M800" s="22">
        <v>0.38423645320197</v>
      </c>
      <c r="N800" s="22">
        <v>1.74384236453202</v>
      </c>
      <c r="O800" s="37">
        <v>0.2</v>
      </c>
      <c r="P800" s="37">
        <f t="shared" si="89"/>
        <v>2.32807881773399</v>
      </c>
      <c r="Q800" s="219"/>
      <c r="R800" s="20"/>
      <c r="S800" s="805"/>
      <c r="T800" s="120" t="s">
        <v>1406</v>
      </c>
      <c r="W800" s="1940"/>
      <c r="AB800" s="1940"/>
    </row>
    <row r="801" s="839" customFormat="1" ht="16" customHeight="1" spans="1:28">
      <c r="A801" s="839">
        <v>662</v>
      </c>
      <c r="B801" s="23" t="s">
        <v>537</v>
      </c>
      <c r="C801" s="23"/>
      <c r="D801" s="21"/>
      <c r="E801" s="21"/>
      <c r="F801" s="2130" t="s">
        <v>1979</v>
      </c>
      <c r="G801" s="21" t="s">
        <v>545</v>
      </c>
      <c r="H801" s="21"/>
      <c r="I801" s="21"/>
      <c r="J801" s="20"/>
      <c r="K801" s="2048"/>
      <c r="L801" s="772"/>
      <c r="M801" s="22">
        <v>0.669950738916256</v>
      </c>
      <c r="N801" s="22">
        <v>2.89655172413793</v>
      </c>
      <c r="O801" s="37">
        <v>0.4</v>
      </c>
      <c r="P801" s="37">
        <f t="shared" si="89"/>
        <v>3.96650246305419</v>
      </c>
      <c r="Q801" s="219"/>
      <c r="R801" s="20" t="s">
        <v>25</v>
      </c>
      <c r="S801" s="805"/>
      <c r="T801" s="120" t="s">
        <v>1406</v>
      </c>
      <c r="W801" s="1940"/>
      <c r="AB801" s="1940"/>
    </row>
    <row r="802" s="839" customFormat="1" ht="16" customHeight="1" spans="1:28">
      <c r="A802" s="839">
        <v>663</v>
      </c>
      <c r="B802" s="23" t="s">
        <v>537</v>
      </c>
      <c r="C802" s="23"/>
      <c r="D802" s="21"/>
      <c r="E802" s="21"/>
      <c r="F802" s="2130" t="s">
        <v>1979</v>
      </c>
      <c r="G802" s="21" t="s">
        <v>546</v>
      </c>
      <c r="H802" s="21"/>
      <c r="I802" s="21"/>
      <c r="J802" s="20"/>
      <c r="K802" s="2048"/>
      <c r="L802" s="772"/>
      <c r="M802" s="22">
        <v>0.669950738916256</v>
      </c>
      <c r="N802" s="22">
        <v>2.87684729064039</v>
      </c>
      <c r="O802" s="37">
        <v>0.4</v>
      </c>
      <c r="P802" s="37">
        <f t="shared" si="89"/>
        <v>3.94679802955665</v>
      </c>
      <c r="Q802" s="219"/>
      <c r="R802" s="20" t="s">
        <v>25</v>
      </c>
      <c r="S802" s="805"/>
      <c r="T802" s="120" t="s">
        <v>1406</v>
      </c>
      <c r="W802" s="1940"/>
      <c r="AB802" s="1940"/>
    </row>
    <row r="803" s="839" customFormat="1" ht="16" customHeight="1" spans="1:28">
      <c r="A803" s="839">
        <v>664</v>
      </c>
      <c r="B803" s="23" t="s">
        <v>537</v>
      </c>
      <c r="C803" s="23"/>
      <c r="D803" s="21"/>
      <c r="E803" s="21"/>
      <c r="F803" s="2130" t="s">
        <v>1979</v>
      </c>
      <c r="G803" s="21" t="s">
        <v>547</v>
      </c>
      <c r="H803" s="21"/>
      <c r="I803" s="21"/>
      <c r="J803" s="20"/>
      <c r="K803" s="2048"/>
      <c r="L803" s="772"/>
      <c r="M803" s="22">
        <v>0.83743842364532</v>
      </c>
      <c r="N803" s="22">
        <v>2.77832512315271</v>
      </c>
      <c r="O803" s="37">
        <v>0.2</v>
      </c>
      <c r="P803" s="37">
        <f t="shared" si="89"/>
        <v>3.81576354679803</v>
      </c>
      <c r="Q803" s="219"/>
      <c r="R803" s="20"/>
      <c r="S803" s="805"/>
      <c r="T803" s="120" t="s">
        <v>1406</v>
      </c>
      <c r="W803" s="1940"/>
      <c r="AB803" s="1940"/>
    </row>
    <row r="804" s="839" customFormat="1" ht="16" customHeight="1" spans="1:28">
      <c r="A804" s="839">
        <v>665</v>
      </c>
      <c r="B804" s="23" t="s">
        <v>537</v>
      </c>
      <c r="C804" s="23"/>
      <c r="D804" s="21"/>
      <c r="E804" s="21"/>
      <c r="F804" s="2130" t="s">
        <v>1979</v>
      </c>
      <c r="G804" s="21" t="s">
        <v>548</v>
      </c>
      <c r="H804" s="21"/>
      <c r="I804" s="21"/>
      <c r="J804" s="20"/>
      <c r="K804" s="2048"/>
      <c r="L804" s="772"/>
      <c r="M804" s="22">
        <v>0.699507389162562</v>
      </c>
      <c r="N804" s="22">
        <v>3.37931034482759</v>
      </c>
      <c r="O804" s="37">
        <v>0.4</v>
      </c>
      <c r="P804" s="37">
        <f t="shared" si="89"/>
        <v>4.47881773399015</v>
      </c>
      <c r="Q804" s="219"/>
      <c r="R804" s="20" t="s">
        <v>25</v>
      </c>
      <c r="S804" s="805"/>
      <c r="T804" s="120" t="s">
        <v>1406</v>
      </c>
      <c r="W804" s="1940"/>
      <c r="AB804" s="1940"/>
    </row>
    <row r="805" s="839" customFormat="1" ht="16" customHeight="1" spans="1:28">
      <c r="A805" s="839">
        <v>667</v>
      </c>
      <c r="B805" s="23" t="s">
        <v>537</v>
      </c>
      <c r="C805" s="23"/>
      <c r="D805" s="21"/>
      <c r="E805" s="21"/>
      <c r="F805" s="2130" t="s">
        <v>1979</v>
      </c>
      <c r="G805" s="21" t="s">
        <v>551</v>
      </c>
      <c r="H805" s="21"/>
      <c r="I805" s="21"/>
      <c r="J805" s="20"/>
      <c r="K805" s="2048"/>
      <c r="L805" s="772"/>
      <c r="M805" s="22">
        <v>0.541871921182266</v>
      </c>
      <c r="N805" s="22">
        <v>2.82758620689655</v>
      </c>
      <c r="O805" s="37">
        <v>0.4</v>
      </c>
      <c r="P805" s="37">
        <f t="shared" si="89"/>
        <v>3.76945812807882</v>
      </c>
      <c r="Q805" s="219"/>
      <c r="R805" s="20" t="s">
        <v>25</v>
      </c>
      <c r="S805" s="805"/>
      <c r="T805" s="120" t="s">
        <v>1406</v>
      </c>
      <c r="W805" s="1940"/>
      <c r="AB805" s="1940"/>
    </row>
    <row r="806" s="839" customFormat="1" ht="16" customHeight="1" spans="1:28">
      <c r="A806" s="839">
        <v>668</v>
      </c>
      <c r="B806" s="23" t="s">
        <v>537</v>
      </c>
      <c r="C806" s="23"/>
      <c r="D806" s="21"/>
      <c r="E806" s="21"/>
      <c r="F806" s="2130" t="s">
        <v>1979</v>
      </c>
      <c r="G806" s="21" t="s">
        <v>552</v>
      </c>
      <c r="H806" s="21"/>
      <c r="I806" s="21"/>
      <c r="J806" s="20"/>
      <c r="K806" s="2048"/>
      <c r="L806" s="772"/>
      <c r="M806" s="22">
        <v>0.45320197044335</v>
      </c>
      <c r="N806" s="22">
        <v>2.66995073891626</v>
      </c>
      <c r="O806" s="37">
        <v>0.2</v>
      </c>
      <c r="P806" s="37">
        <f t="shared" si="89"/>
        <v>3.32315270935961</v>
      </c>
      <c r="Q806" s="219"/>
      <c r="R806" s="20"/>
      <c r="S806" s="805"/>
      <c r="T806" s="120" t="s">
        <v>1406</v>
      </c>
      <c r="W806" s="1940"/>
      <c r="AB806" s="1940"/>
    </row>
    <row r="807" s="42" customFormat="1" ht="16" customHeight="1" spans="1:28">
      <c r="A807" s="839">
        <v>669</v>
      </c>
      <c r="B807" s="23" t="s">
        <v>537</v>
      </c>
      <c r="C807" s="23"/>
      <c r="D807" s="21"/>
      <c r="E807" s="21"/>
      <c r="F807" s="2130" t="s">
        <v>1979</v>
      </c>
      <c r="G807" s="21" t="s">
        <v>386</v>
      </c>
      <c r="H807" s="21"/>
      <c r="I807" s="21"/>
      <c r="J807" s="21"/>
      <c r="K807" s="2048"/>
      <c r="L807" s="36"/>
      <c r="M807" s="22">
        <v>0.610837438423645</v>
      </c>
      <c r="N807" s="22">
        <v>2.1871921182266</v>
      </c>
      <c r="O807" s="37">
        <v>0.2</v>
      </c>
      <c r="P807" s="37">
        <f t="shared" si="89"/>
        <v>2.99802955665025</v>
      </c>
      <c r="Q807" s="219"/>
      <c r="R807" s="20"/>
      <c r="S807" s="805"/>
      <c r="T807" s="120" t="s">
        <v>1406</v>
      </c>
      <c r="W807" s="2163"/>
      <c r="Z807" s="839"/>
      <c r="AA807" s="839"/>
      <c r="AB807" s="1940"/>
    </row>
    <row r="808" s="839" customFormat="1" ht="16" customHeight="1" spans="1:28">
      <c r="A808" s="839">
        <v>670</v>
      </c>
      <c r="B808" s="23" t="s">
        <v>537</v>
      </c>
      <c r="C808" s="23"/>
      <c r="D808" s="21"/>
      <c r="E808" s="21"/>
      <c r="F808" s="2130" t="s">
        <v>1979</v>
      </c>
      <c r="G808" s="21" t="s">
        <v>553</v>
      </c>
      <c r="H808" s="21"/>
      <c r="I808" s="21"/>
      <c r="J808" s="20"/>
      <c r="K808" s="2048"/>
      <c r="L808" s="772"/>
      <c r="M808" s="22">
        <v>0.630541871921182</v>
      </c>
      <c r="N808" s="22">
        <v>2.19704433497537</v>
      </c>
      <c r="O808" s="37">
        <v>0.4</v>
      </c>
      <c r="P808" s="37">
        <f t="shared" si="89"/>
        <v>3.22758620689655</v>
      </c>
      <c r="Q808" s="219"/>
      <c r="R808" s="20" t="s">
        <v>25</v>
      </c>
      <c r="S808" s="805"/>
      <c r="T808" s="120" t="s">
        <v>1406</v>
      </c>
      <c r="W808" s="1940"/>
      <c r="AB808" s="1940"/>
    </row>
    <row r="809" s="839" customFormat="1" ht="16" customHeight="1" spans="1:28">
      <c r="A809" s="839">
        <v>671</v>
      </c>
      <c r="B809" s="23" t="s">
        <v>537</v>
      </c>
      <c r="C809" s="23"/>
      <c r="D809" s="21"/>
      <c r="E809" s="21"/>
      <c r="F809" s="2130" t="s">
        <v>1979</v>
      </c>
      <c r="G809" s="21" t="s">
        <v>554</v>
      </c>
      <c r="H809" s="21"/>
      <c r="I809" s="21"/>
      <c r="J809" s="20"/>
      <c r="K809" s="2048"/>
      <c r="L809" s="772"/>
      <c r="M809" s="22">
        <v>0.669950738916256</v>
      </c>
      <c r="N809" s="22">
        <v>2.92610837438424</v>
      </c>
      <c r="O809" s="37">
        <v>0.4</v>
      </c>
      <c r="P809" s="37">
        <f t="shared" ref="P809:P872" si="90">SUM(K809:O809)</f>
        <v>3.9960591133005</v>
      </c>
      <c r="Q809" s="219"/>
      <c r="R809" s="20" t="s">
        <v>25</v>
      </c>
      <c r="S809" s="805"/>
      <c r="T809" s="120" t="s">
        <v>1406</v>
      </c>
      <c r="W809" s="1940"/>
      <c r="AB809" s="1940"/>
    </row>
    <row r="810" s="839" customFormat="1" ht="16" customHeight="1" spans="1:28">
      <c r="A810" s="839">
        <v>672</v>
      </c>
      <c r="B810" s="23" t="s">
        <v>537</v>
      </c>
      <c r="C810" s="23"/>
      <c r="D810" s="21"/>
      <c r="E810" s="21"/>
      <c r="F810" s="2130" t="s">
        <v>1979</v>
      </c>
      <c r="G810" s="21" t="s">
        <v>555</v>
      </c>
      <c r="H810" s="21"/>
      <c r="I810" s="21"/>
      <c r="J810" s="20"/>
      <c r="K810" s="2048"/>
      <c r="L810" s="772"/>
      <c r="M810" s="22">
        <v>0.669950738916256</v>
      </c>
      <c r="N810" s="22">
        <v>2.88669950738916</v>
      </c>
      <c r="O810" s="37">
        <v>0.4</v>
      </c>
      <c r="P810" s="37">
        <f t="shared" si="90"/>
        <v>3.95665024630542</v>
      </c>
      <c r="Q810" s="219"/>
      <c r="R810" s="20" t="s">
        <v>25</v>
      </c>
      <c r="S810" s="805"/>
      <c r="T810" s="120" t="s">
        <v>1406</v>
      </c>
      <c r="W810" s="1940"/>
      <c r="AB810" s="1940"/>
    </row>
    <row r="811" s="839" customFormat="1" ht="16" customHeight="1" spans="1:28">
      <c r="A811" s="839">
        <v>673</v>
      </c>
      <c r="B811" s="23" t="s">
        <v>537</v>
      </c>
      <c r="C811" s="23"/>
      <c r="D811" s="21"/>
      <c r="E811" s="21"/>
      <c r="F811" s="2130" t="s">
        <v>1979</v>
      </c>
      <c r="G811" s="21" t="s">
        <v>556</v>
      </c>
      <c r="H811" s="21"/>
      <c r="I811" s="21"/>
      <c r="J811" s="20"/>
      <c r="K811" s="2048"/>
      <c r="L811" s="772"/>
      <c r="M811" s="22">
        <v>0.532019704433498</v>
      </c>
      <c r="N811" s="22">
        <v>2.86699507389163</v>
      </c>
      <c r="O811" s="37">
        <v>0.4</v>
      </c>
      <c r="P811" s="37">
        <f t="shared" si="90"/>
        <v>3.79901477832513</v>
      </c>
      <c r="Q811" s="219"/>
      <c r="R811" s="20" t="s">
        <v>25</v>
      </c>
      <c r="S811" s="805"/>
      <c r="T811" s="120" t="s">
        <v>1406</v>
      </c>
      <c r="W811" s="1940"/>
      <c r="AB811" s="1940"/>
    </row>
    <row r="812" s="839" customFormat="1" ht="16" customHeight="1" spans="1:28">
      <c r="A812" s="839">
        <v>674</v>
      </c>
      <c r="B812" s="23" t="s">
        <v>537</v>
      </c>
      <c r="C812" s="23"/>
      <c r="D812" s="876"/>
      <c r="E812" s="876"/>
      <c r="F812" s="2130" t="s">
        <v>1979</v>
      </c>
      <c r="G812" s="21" t="s">
        <v>473</v>
      </c>
      <c r="H812" s="21"/>
      <c r="I812" s="21"/>
      <c r="J812" s="20"/>
      <c r="K812" s="2048"/>
      <c r="L812" s="772"/>
      <c r="M812" s="22">
        <v>0.51</v>
      </c>
      <c r="N812" s="22">
        <v>3.16</v>
      </c>
      <c r="O812" s="37">
        <v>0.4</v>
      </c>
      <c r="P812" s="37">
        <f t="shared" si="90"/>
        <v>4.07</v>
      </c>
      <c r="Q812" s="219"/>
      <c r="R812" s="20" t="s">
        <v>25</v>
      </c>
      <c r="S812" s="805"/>
      <c r="T812" s="120" t="s">
        <v>1406</v>
      </c>
      <c r="W812" s="1940"/>
      <c r="AB812" s="1940"/>
    </row>
    <row r="813" s="839" customFormat="1" ht="16" customHeight="1" spans="1:28">
      <c r="A813" s="839">
        <v>675</v>
      </c>
      <c r="B813" s="23" t="s">
        <v>537</v>
      </c>
      <c r="C813" s="23"/>
      <c r="D813" s="21"/>
      <c r="E813" s="21"/>
      <c r="F813" s="2130" t="s">
        <v>1979</v>
      </c>
      <c r="G813" s="21" t="s">
        <v>557</v>
      </c>
      <c r="H813" s="21"/>
      <c r="I813" s="21"/>
      <c r="J813" s="20"/>
      <c r="K813" s="2048"/>
      <c r="L813" s="772"/>
      <c r="M813" s="22">
        <v>0.58128078817734</v>
      </c>
      <c r="N813" s="22">
        <v>4.77832512315271</v>
      </c>
      <c r="O813" s="37">
        <v>0.4</v>
      </c>
      <c r="P813" s="37">
        <f t="shared" si="90"/>
        <v>5.75960591133005</v>
      </c>
      <c r="Q813" s="219"/>
      <c r="R813" s="20" t="s">
        <v>558</v>
      </c>
      <c r="S813" s="805"/>
      <c r="T813" s="120" t="s">
        <v>1406</v>
      </c>
      <c r="W813" s="1940"/>
      <c r="AB813" s="1940"/>
    </row>
    <row r="814" s="839" customFormat="1" ht="16" customHeight="1" spans="1:28">
      <c r="A814" s="839">
        <v>676</v>
      </c>
      <c r="B814" s="23" t="s">
        <v>537</v>
      </c>
      <c r="C814" s="23"/>
      <c r="D814" s="21"/>
      <c r="E814" s="21"/>
      <c r="F814" s="2130" t="s">
        <v>1979</v>
      </c>
      <c r="G814" s="21" t="s">
        <v>559</v>
      </c>
      <c r="H814" s="21"/>
      <c r="I814" s="21"/>
      <c r="J814" s="20"/>
      <c r="K814" s="2048"/>
      <c r="L814" s="772"/>
      <c r="M814" s="22">
        <v>0.660098522167488</v>
      </c>
      <c r="N814" s="22">
        <v>2.89655172413793</v>
      </c>
      <c r="O814" s="37">
        <v>0.4</v>
      </c>
      <c r="P814" s="37">
        <f t="shared" si="90"/>
        <v>3.95665024630542</v>
      </c>
      <c r="Q814" s="219"/>
      <c r="R814" s="20" t="s">
        <v>25</v>
      </c>
      <c r="S814" s="805"/>
      <c r="T814" s="120" t="s">
        <v>1406</v>
      </c>
      <c r="W814" s="1940"/>
      <c r="AB814" s="1940"/>
    </row>
    <row r="815" s="839" customFormat="1" ht="16" customHeight="1" spans="1:28">
      <c r="A815" s="839">
        <v>677</v>
      </c>
      <c r="B815" s="23" t="s">
        <v>537</v>
      </c>
      <c r="C815" s="23"/>
      <c r="D815" s="21"/>
      <c r="E815" s="21"/>
      <c r="F815" s="2130" t="s">
        <v>1979</v>
      </c>
      <c r="G815" s="21" t="s">
        <v>560</v>
      </c>
      <c r="H815" s="21"/>
      <c r="I815" s="21"/>
      <c r="J815" s="20"/>
      <c r="K815" s="2048"/>
      <c r="L815" s="772"/>
      <c r="M815" s="22">
        <v>0.699507389162562</v>
      </c>
      <c r="N815" s="22">
        <v>5.064039408867</v>
      </c>
      <c r="O815" s="37">
        <v>0.45</v>
      </c>
      <c r="P815" s="37">
        <f t="shared" si="90"/>
        <v>6.21354679802956</v>
      </c>
      <c r="Q815" s="219"/>
      <c r="R815" s="20" t="s">
        <v>25</v>
      </c>
      <c r="S815" s="805"/>
      <c r="T815" s="120" t="s">
        <v>1406</v>
      </c>
      <c r="W815" s="1940"/>
      <c r="AB815" s="1940"/>
    </row>
    <row r="816" s="42" customFormat="1" ht="16" customHeight="1" spans="1:28">
      <c r="A816" s="839">
        <v>678</v>
      </c>
      <c r="B816" s="23" t="s">
        <v>537</v>
      </c>
      <c r="C816" s="23"/>
      <c r="D816" s="21">
        <v>20241009</v>
      </c>
      <c r="E816" s="21">
        <v>7.17</v>
      </c>
      <c r="F816" s="2132" t="s">
        <v>561</v>
      </c>
      <c r="G816" s="21" t="s">
        <v>562</v>
      </c>
      <c r="H816" s="21"/>
      <c r="I816" s="21"/>
      <c r="J816" s="23"/>
      <c r="K816" s="2048"/>
      <c r="L816" s="973"/>
      <c r="M816" s="22">
        <v>0.313520408533924</v>
      </c>
      <c r="N816" s="22">
        <v>1.31484571214846</v>
      </c>
      <c r="O816" s="37">
        <v>0.2</v>
      </c>
      <c r="P816" s="22">
        <f t="shared" si="90"/>
        <v>1.82836612068238</v>
      </c>
      <c r="Q816" s="219"/>
      <c r="R816" s="23"/>
      <c r="S816" s="804"/>
      <c r="T816" s="120" t="s">
        <v>1406</v>
      </c>
      <c r="W816" s="2163"/>
      <c r="Z816" s="839"/>
      <c r="AA816" s="839"/>
      <c r="AB816" s="1940"/>
    </row>
    <row r="817" s="42" customFormat="1" ht="16" customHeight="1" spans="1:28">
      <c r="A817" s="839">
        <v>679</v>
      </c>
      <c r="B817" s="23" t="s">
        <v>537</v>
      </c>
      <c r="C817" s="23"/>
      <c r="D817" s="21"/>
      <c r="E817" s="21"/>
      <c r="F817" s="2130" t="s">
        <v>1979</v>
      </c>
      <c r="G817" s="21" t="s">
        <v>563</v>
      </c>
      <c r="H817" s="21"/>
      <c r="I817" s="21"/>
      <c r="J817" s="23"/>
      <c r="K817" s="2048"/>
      <c r="L817" s="973"/>
      <c r="M817" s="22">
        <v>0.866995073891626</v>
      </c>
      <c r="N817" s="22">
        <v>5.58620689655172</v>
      </c>
      <c r="O817" s="37">
        <v>0.4</v>
      </c>
      <c r="P817" s="37">
        <f t="shared" si="90"/>
        <v>6.85320197044335</v>
      </c>
      <c r="Q817" s="219"/>
      <c r="R817" s="23" t="s">
        <v>564</v>
      </c>
      <c r="S817" s="804"/>
      <c r="T817" s="120" t="s">
        <v>1406</v>
      </c>
      <c r="W817" s="2163"/>
      <c r="Z817" s="839"/>
      <c r="AA817" s="839"/>
      <c r="AB817" s="1940"/>
    </row>
    <row r="818" s="839" customFormat="1" ht="16" customHeight="1" spans="1:28">
      <c r="A818" s="839">
        <v>680</v>
      </c>
      <c r="B818" s="23" t="s">
        <v>537</v>
      </c>
      <c r="C818" s="23"/>
      <c r="D818" s="21"/>
      <c r="E818" s="21"/>
      <c r="F818" s="2130" t="s">
        <v>1979</v>
      </c>
      <c r="G818" s="21" t="s">
        <v>565</v>
      </c>
      <c r="H818" s="21"/>
      <c r="I818" s="21"/>
      <c r="J818" s="20"/>
      <c r="K818" s="2048"/>
      <c r="L818" s="772"/>
      <c r="M818" s="22">
        <v>0.70935960591133</v>
      </c>
      <c r="N818" s="22">
        <v>4.24630541871921</v>
      </c>
      <c r="O818" s="37">
        <v>0.4</v>
      </c>
      <c r="P818" s="37">
        <f t="shared" si="90"/>
        <v>5.35566502463054</v>
      </c>
      <c r="Q818" s="219"/>
      <c r="R818" s="20" t="s">
        <v>25</v>
      </c>
      <c r="S818" s="805"/>
      <c r="T818" s="120" t="s">
        <v>1406</v>
      </c>
      <c r="W818" s="1940"/>
      <c r="AB818" s="1940"/>
    </row>
    <row r="819" s="839" customFormat="1" ht="16" customHeight="1" spans="1:28">
      <c r="A819" s="839">
        <v>681</v>
      </c>
      <c r="B819" s="23" t="s">
        <v>537</v>
      </c>
      <c r="C819" s="23"/>
      <c r="D819" s="21"/>
      <c r="E819" s="21"/>
      <c r="F819" s="2130" t="s">
        <v>1979</v>
      </c>
      <c r="G819" s="21" t="s">
        <v>566</v>
      </c>
      <c r="H819" s="21"/>
      <c r="I819" s="21"/>
      <c r="J819" s="20"/>
      <c r="K819" s="2048"/>
      <c r="L819" s="772"/>
      <c r="M819" s="22">
        <v>0.58</v>
      </c>
      <c r="N819" s="22">
        <v>3.17</v>
      </c>
      <c r="O819" s="37">
        <v>0.4</v>
      </c>
      <c r="P819" s="37">
        <f t="shared" si="90"/>
        <v>4.15</v>
      </c>
      <c r="Q819" s="219"/>
      <c r="R819" s="23" t="s">
        <v>567</v>
      </c>
      <c r="S819" s="804"/>
      <c r="T819" s="120" t="s">
        <v>1406</v>
      </c>
      <c r="W819" s="1940"/>
      <c r="AB819" s="1940"/>
    </row>
    <row r="820" s="839" customFormat="1" ht="16" customHeight="1" spans="1:28">
      <c r="A820" s="839">
        <v>682</v>
      </c>
      <c r="B820" s="23" t="s">
        <v>537</v>
      </c>
      <c r="C820" s="23"/>
      <c r="D820" s="21"/>
      <c r="E820" s="21"/>
      <c r="F820" s="2130" t="s">
        <v>1979</v>
      </c>
      <c r="G820" s="21" t="s">
        <v>474</v>
      </c>
      <c r="H820" s="21"/>
      <c r="I820" s="21"/>
      <c r="J820" s="20"/>
      <c r="K820" s="2048"/>
      <c r="L820" s="772"/>
      <c r="M820" s="22">
        <v>0.413793103448276</v>
      </c>
      <c r="N820" s="22">
        <v>1.0097963651799</v>
      </c>
      <c r="O820" s="37">
        <v>0.4</v>
      </c>
      <c r="P820" s="37">
        <f t="shared" si="90"/>
        <v>1.82358946862818</v>
      </c>
      <c r="Q820" s="219"/>
      <c r="R820" s="20"/>
      <c r="S820" s="805"/>
      <c r="T820" s="120" t="s">
        <v>1406</v>
      </c>
      <c r="W820" s="1940"/>
      <c r="AB820" s="1940"/>
    </row>
    <row r="821" s="839" customFormat="1" ht="16" customHeight="1" spans="1:28">
      <c r="A821" s="839">
        <v>683</v>
      </c>
      <c r="B821" s="23" t="s">
        <v>537</v>
      </c>
      <c r="C821" s="23"/>
      <c r="D821" s="21"/>
      <c r="E821" s="21"/>
      <c r="F821" s="2130" t="s">
        <v>1979</v>
      </c>
      <c r="G821" s="21" t="s">
        <v>568</v>
      </c>
      <c r="H821" s="21"/>
      <c r="I821" s="21"/>
      <c r="J821" s="20"/>
      <c r="K821" s="2048"/>
      <c r="L821" s="772"/>
      <c r="M821" s="22">
        <v>0.620689655172414</v>
      </c>
      <c r="N821" s="22">
        <v>3.71748042402511</v>
      </c>
      <c r="O821" s="37">
        <v>0.4</v>
      </c>
      <c r="P821" s="37">
        <f t="shared" si="90"/>
        <v>4.73817007919752</v>
      </c>
      <c r="Q821" s="219"/>
      <c r="R821" s="23" t="s">
        <v>567</v>
      </c>
      <c r="S821" s="804"/>
      <c r="T821" s="120" t="s">
        <v>1406</v>
      </c>
      <c r="W821" s="1940"/>
      <c r="AB821" s="1940"/>
    </row>
    <row r="822" s="839" customFormat="1" ht="16" customHeight="1" spans="1:28">
      <c r="A822" s="839">
        <v>684</v>
      </c>
      <c r="B822" s="23" t="s">
        <v>537</v>
      </c>
      <c r="C822" s="23"/>
      <c r="D822" s="21"/>
      <c r="E822" s="21"/>
      <c r="F822" s="2130" t="s">
        <v>1979</v>
      </c>
      <c r="G822" s="21" t="s">
        <v>569</v>
      </c>
      <c r="H822" s="21"/>
      <c r="I822" s="21"/>
      <c r="J822" s="20"/>
      <c r="K822" s="2048"/>
      <c r="L822" s="772"/>
      <c r="M822" s="22">
        <v>0.83</v>
      </c>
      <c r="N822" s="22">
        <v>6.56</v>
      </c>
      <c r="O822" s="37">
        <v>0.4</v>
      </c>
      <c r="P822" s="37">
        <f t="shared" si="90"/>
        <v>7.79</v>
      </c>
      <c r="Q822" s="219"/>
      <c r="R822" s="20" t="s">
        <v>499</v>
      </c>
      <c r="S822" s="805"/>
      <c r="T822" s="120" t="s">
        <v>1406</v>
      </c>
      <c r="W822" s="1940"/>
      <c r="AB822" s="1940"/>
    </row>
    <row r="823" s="839" customFormat="1" ht="16" customHeight="1" spans="1:28">
      <c r="A823" s="839">
        <v>685</v>
      </c>
      <c r="B823" s="23" t="s">
        <v>537</v>
      </c>
      <c r="C823" s="23"/>
      <c r="D823" s="21"/>
      <c r="E823" s="21"/>
      <c r="F823" s="2130" t="s">
        <v>1979</v>
      </c>
      <c r="G823" s="21" t="s">
        <v>570</v>
      </c>
      <c r="H823" s="21"/>
      <c r="I823" s="21"/>
      <c r="J823" s="20"/>
      <c r="K823" s="2048"/>
      <c r="L823" s="772"/>
      <c r="M823" s="22">
        <v>0.719211822660099</v>
      </c>
      <c r="N823" s="22">
        <v>2.07321023647555</v>
      </c>
      <c r="O823" s="37">
        <v>0.2</v>
      </c>
      <c r="P823" s="37">
        <f t="shared" si="90"/>
        <v>2.99242205913565</v>
      </c>
      <c r="Q823" s="219"/>
      <c r="R823" s="20"/>
      <c r="S823" s="805"/>
      <c r="T823" s="120" t="s">
        <v>1406</v>
      </c>
      <c r="W823" s="1940"/>
      <c r="AB823" s="1940"/>
    </row>
    <row r="824" s="839" customFormat="1" ht="16" customHeight="1" spans="1:28">
      <c r="A824" s="839">
        <v>686</v>
      </c>
      <c r="B824" s="23" t="s">
        <v>537</v>
      </c>
      <c r="C824" s="23"/>
      <c r="D824" s="21"/>
      <c r="E824" s="21"/>
      <c r="F824" s="2130" t="s">
        <v>1979</v>
      </c>
      <c r="G824" s="21" t="s">
        <v>571</v>
      </c>
      <c r="H824" s="21"/>
      <c r="I824" s="21"/>
      <c r="J824" s="20"/>
      <c r="K824" s="2048"/>
      <c r="L824" s="772"/>
      <c r="M824" s="22">
        <v>0.56890012642225</v>
      </c>
      <c r="N824" s="22">
        <v>4.13515181415929</v>
      </c>
      <c r="O824" s="37">
        <v>0.4</v>
      </c>
      <c r="P824" s="37">
        <f t="shared" si="90"/>
        <v>5.10405194058154</v>
      </c>
      <c r="Q824" s="219"/>
      <c r="R824" s="23" t="s">
        <v>572</v>
      </c>
      <c r="S824" s="804"/>
      <c r="T824" s="120" t="s">
        <v>1406</v>
      </c>
      <c r="W824" s="1940"/>
      <c r="AB824" s="1940"/>
    </row>
    <row r="825" s="839" customFormat="1" ht="16" customHeight="1" spans="1:28">
      <c r="A825" s="839">
        <v>687</v>
      </c>
      <c r="B825" s="23" t="s">
        <v>537</v>
      </c>
      <c r="C825" s="23"/>
      <c r="D825" s="21"/>
      <c r="E825" s="21"/>
      <c r="F825" s="2130" t="s">
        <v>1979</v>
      </c>
      <c r="G825" s="21" t="s">
        <v>471</v>
      </c>
      <c r="H825" s="21"/>
      <c r="I825" s="21"/>
      <c r="J825" s="20"/>
      <c r="K825" s="2048"/>
      <c r="L825" s="772"/>
      <c r="M825" s="22">
        <v>0.675188462799082</v>
      </c>
      <c r="N825" s="22">
        <v>1.56272654587021</v>
      </c>
      <c r="O825" s="37">
        <v>0.2</v>
      </c>
      <c r="P825" s="37">
        <f t="shared" si="90"/>
        <v>2.43791500866929</v>
      </c>
      <c r="Q825" s="219"/>
      <c r="R825" s="20"/>
      <c r="S825" s="805"/>
      <c r="T825" s="120" t="s">
        <v>1406</v>
      </c>
      <c r="W825" s="1940"/>
      <c r="AB825" s="1940"/>
    </row>
    <row r="826" s="839" customFormat="1" ht="16" customHeight="1" spans="1:28">
      <c r="A826" s="839">
        <v>688</v>
      </c>
      <c r="B826" s="23" t="s">
        <v>537</v>
      </c>
      <c r="C826" s="23"/>
      <c r="D826" s="21"/>
      <c r="E826" s="21"/>
      <c r="F826" s="2130" t="s">
        <v>1979</v>
      </c>
      <c r="G826" s="21" t="s">
        <v>573</v>
      </c>
      <c r="H826" s="21"/>
      <c r="I826" s="21"/>
      <c r="J826" s="20"/>
      <c r="K826" s="2048"/>
      <c r="L826" s="772"/>
      <c r="M826" s="22">
        <v>0.482758620689655</v>
      </c>
      <c r="N826" s="22">
        <v>3.61918166281291</v>
      </c>
      <c r="O826" s="37">
        <v>0.4</v>
      </c>
      <c r="P826" s="37">
        <f t="shared" si="90"/>
        <v>4.50194028350257</v>
      </c>
      <c r="Q826" s="219"/>
      <c r="R826" s="23" t="s">
        <v>567</v>
      </c>
      <c r="S826" s="804"/>
      <c r="T826" s="120" t="s">
        <v>1406</v>
      </c>
      <c r="W826" s="1940"/>
      <c r="AB826" s="1940"/>
    </row>
    <row r="827" s="839" customFormat="1" ht="16" customHeight="1" spans="1:28">
      <c r="A827" s="839">
        <v>689</v>
      </c>
      <c r="B827" s="23" t="s">
        <v>537</v>
      </c>
      <c r="C827" s="23"/>
      <c r="D827" s="21"/>
      <c r="E827" s="21"/>
      <c r="F827" s="2130" t="s">
        <v>1979</v>
      </c>
      <c r="G827" s="21" t="s">
        <v>574</v>
      </c>
      <c r="H827" s="21"/>
      <c r="I827" s="21"/>
      <c r="J827" s="20"/>
      <c r="K827" s="2048"/>
      <c r="L827" s="772"/>
      <c r="M827" s="22">
        <v>0.689655172413793</v>
      </c>
      <c r="N827" s="22">
        <v>4.8768472906404</v>
      </c>
      <c r="O827" s="37">
        <v>0.4</v>
      </c>
      <c r="P827" s="37">
        <f t="shared" si="90"/>
        <v>5.96650246305419</v>
      </c>
      <c r="Q827" s="219"/>
      <c r="R827" s="23" t="s">
        <v>476</v>
      </c>
      <c r="S827" s="804"/>
      <c r="T827" s="120" t="s">
        <v>1406</v>
      </c>
      <c r="W827" s="1940"/>
      <c r="AB827" s="1940"/>
    </row>
    <row r="828" s="839" customFormat="1" ht="16" customHeight="1" spans="1:28">
      <c r="A828" s="839">
        <v>690</v>
      </c>
      <c r="B828" s="23" t="s">
        <v>537</v>
      </c>
      <c r="C828" s="23"/>
      <c r="D828" s="21"/>
      <c r="E828" s="21"/>
      <c r="F828" s="2130" t="s">
        <v>1979</v>
      </c>
      <c r="G828" s="21" t="s">
        <v>575</v>
      </c>
      <c r="H828" s="21"/>
      <c r="I828" s="21"/>
      <c r="J828" s="20"/>
      <c r="K828" s="2048"/>
      <c r="L828" s="772"/>
      <c r="M828" s="22">
        <v>0.81</v>
      </c>
      <c r="N828" s="22">
        <v>6.7</v>
      </c>
      <c r="O828" s="37">
        <v>0.4</v>
      </c>
      <c r="P828" s="37">
        <f t="shared" si="90"/>
        <v>7.91</v>
      </c>
      <c r="Q828" s="219"/>
      <c r="R828" s="23" t="s">
        <v>572</v>
      </c>
      <c r="S828" s="804"/>
      <c r="T828" s="120" t="s">
        <v>1406</v>
      </c>
      <c r="W828" s="1940"/>
      <c r="AB828" s="1940"/>
    </row>
    <row r="829" s="839" customFormat="1" ht="16" customHeight="1" spans="1:28">
      <c r="A829" s="839">
        <v>691</v>
      </c>
      <c r="B829" s="23" t="s">
        <v>537</v>
      </c>
      <c r="C829" s="23"/>
      <c r="D829" s="21">
        <v>20250218</v>
      </c>
      <c r="E829" s="21">
        <v>7.17</v>
      </c>
      <c r="F829" s="2132" t="s">
        <v>576</v>
      </c>
      <c r="G829" s="21" t="s">
        <v>577</v>
      </c>
      <c r="H829" s="21"/>
      <c r="I829" s="21"/>
      <c r="J829" s="20"/>
      <c r="K829" s="2048"/>
      <c r="L829" s="772"/>
      <c r="M829" s="22">
        <v>0.685869769187465</v>
      </c>
      <c r="N829" s="22">
        <v>4.65792963177092</v>
      </c>
      <c r="O829" s="37">
        <v>0.4</v>
      </c>
      <c r="P829" s="37">
        <f t="shared" si="90"/>
        <v>5.74379940095839</v>
      </c>
      <c r="Q829" s="219"/>
      <c r="R829" s="23" t="s">
        <v>476</v>
      </c>
      <c r="S829" s="804"/>
      <c r="T829" s="120" t="s">
        <v>1406</v>
      </c>
      <c r="W829" s="1940"/>
      <c r="AB829" s="1940"/>
    </row>
    <row r="830" s="839" customFormat="1" ht="16" customHeight="1" spans="1:28">
      <c r="A830" s="839">
        <v>692</v>
      </c>
      <c r="B830" s="23" t="s">
        <v>537</v>
      </c>
      <c r="C830" s="23"/>
      <c r="D830" s="21"/>
      <c r="E830" s="21"/>
      <c r="F830" s="2130" t="s">
        <v>1979</v>
      </c>
      <c r="G830" s="21" t="s">
        <v>578</v>
      </c>
      <c r="H830" s="21"/>
      <c r="I830" s="21"/>
      <c r="J830" s="20"/>
      <c r="K830" s="2048"/>
      <c r="L830" s="772"/>
      <c r="M830" s="22">
        <v>0.413793103448276</v>
      </c>
      <c r="N830" s="22">
        <v>2.16780045351474</v>
      </c>
      <c r="O830" s="37">
        <v>0.2</v>
      </c>
      <c r="P830" s="37">
        <f t="shared" si="90"/>
        <v>2.78159355696302</v>
      </c>
      <c r="Q830" s="219"/>
      <c r="R830" s="23"/>
      <c r="S830" s="804"/>
      <c r="T830" s="120" t="s">
        <v>1406</v>
      </c>
      <c r="W830" s="1940"/>
      <c r="AB830" s="1940"/>
    </row>
    <row r="831" s="839" customFormat="1" ht="16" customHeight="1" spans="1:28">
      <c r="A831" s="839">
        <v>693</v>
      </c>
      <c r="B831" s="23" t="s">
        <v>537</v>
      </c>
      <c r="C831" s="23"/>
      <c r="D831" s="21"/>
      <c r="E831" s="21"/>
      <c r="F831" s="2130" t="s">
        <v>1979</v>
      </c>
      <c r="G831" s="21" t="s">
        <v>475</v>
      </c>
      <c r="H831" s="21"/>
      <c r="I831" s="21"/>
      <c r="J831" s="20"/>
      <c r="K831" s="2048"/>
      <c r="L831" s="772"/>
      <c r="M831" s="22">
        <v>0.74</v>
      </c>
      <c r="N831" s="22">
        <v>5.49</v>
      </c>
      <c r="O831" s="37">
        <v>0.4</v>
      </c>
      <c r="P831" s="37">
        <f t="shared" si="90"/>
        <v>6.63</v>
      </c>
      <c r="Q831" s="219"/>
      <c r="R831" s="23" t="s">
        <v>476</v>
      </c>
      <c r="S831" s="804"/>
      <c r="T831" s="120" t="s">
        <v>1406</v>
      </c>
      <c r="W831" s="1940"/>
      <c r="AB831" s="1940"/>
    </row>
    <row r="832" s="839" customFormat="1" ht="16" customHeight="1" spans="1:28">
      <c r="A832" s="839">
        <v>694</v>
      </c>
      <c r="B832" s="23" t="s">
        <v>537</v>
      </c>
      <c r="C832" s="23"/>
      <c r="D832" s="21"/>
      <c r="E832" s="21"/>
      <c r="F832" s="2130" t="s">
        <v>1979</v>
      </c>
      <c r="G832" s="21" t="s">
        <v>579</v>
      </c>
      <c r="H832" s="21"/>
      <c r="I832" s="21"/>
      <c r="J832" s="20"/>
      <c r="K832" s="2048"/>
      <c r="L832" s="772"/>
      <c r="M832" s="22">
        <v>0.59</v>
      </c>
      <c r="N832" s="22">
        <v>5.06685432793807</v>
      </c>
      <c r="O832" s="37">
        <v>0.4</v>
      </c>
      <c r="P832" s="37">
        <f t="shared" si="90"/>
        <v>6.05685432793807</v>
      </c>
      <c r="Q832" s="219"/>
      <c r="R832" s="23" t="s">
        <v>476</v>
      </c>
      <c r="S832" s="804"/>
      <c r="T832" s="120" t="s">
        <v>1406</v>
      </c>
      <c r="W832" s="1940"/>
      <c r="AB832" s="1940"/>
    </row>
    <row r="833" s="839" customFormat="1" ht="16" customHeight="1" spans="1:28">
      <c r="A833" s="839">
        <v>695</v>
      </c>
      <c r="B833" s="23" t="s">
        <v>537</v>
      </c>
      <c r="C833" s="23"/>
      <c r="D833" s="21"/>
      <c r="E833" s="21"/>
      <c r="F833" s="2130" t="s">
        <v>1979</v>
      </c>
      <c r="G833" s="21" t="s">
        <v>580</v>
      </c>
      <c r="H833" s="21"/>
      <c r="I833" s="21"/>
      <c r="J833" s="20"/>
      <c r="K833" s="2048"/>
      <c r="L833" s="772"/>
      <c r="M833" s="22">
        <v>0.571428571428571</v>
      </c>
      <c r="N833" s="22">
        <v>2.77832512315271</v>
      </c>
      <c r="O833" s="37">
        <v>0.4</v>
      </c>
      <c r="P833" s="37">
        <f t="shared" si="90"/>
        <v>3.74975369458128</v>
      </c>
      <c r="Q833" s="219"/>
      <c r="R833" s="23" t="s">
        <v>581</v>
      </c>
      <c r="S833" s="804"/>
      <c r="T833" s="120" t="s">
        <v>1406</v>
      </c>
      <c r="W833" s="1940"/>
      <c r="AB833" s="1940"/>
    </row>
    <row r="834" s="187" customFormat="1" ht="16" customHeight="1" spans="1:28">
      <c r="A834" s="839">
        <v>696</v>
      </c>
      <c r="B834" s="23" t="s">
        <v>537</v>
      </c>
      <c r="C834" s="23"/>
      <c r="D834" s="21"/>
      <c r="E834" s="21"/>
      <c r="F834" s="2130" t="s">
        <v>1979</v>
      </c>
      <c r="G834" s="21" t="s">
        <v>582</v>
      </c>
      <c r="H834" s="21"/>
      <c r="I834" s="21"/>
      <c r="J834" s="21"/>
      <c r="K834" s="2048"/>
      <c r="L834" s="36"/>
      <c r="M834" s="22">
        <v>0.571428571428571</v>
      </c>
      <c r="N834" s="22">
        <v>4.59113300492611</v>
      </c>
      <c r="O834" s="37">
        <v>0.4</v>
      </c>
      <c r="P834" s="37">
        <f t="shared" si="90"/>
        <v>5.56256157635468</v>
      </c>
      <c r="Q834" s="219"/>
      <c r="R834" s="23" t="s">
        <v>476</v>
      </c>
      <c r="S834" s="804"/>
      <c r="T834" s="120" t="s">
        <v>1406</v>
      </c>
      <c r="W834" s="2180"/>
      <c r="Z834" s="839"/>
      <c r="AA834" s="839"/>
      <c r="AB834" s="1940"/>
    </row>
    <row r="835" s="187" customFormat="1" ht="16" customHeight="1" spans="1:28">
      <c r="A835" s="839">
        <v>697</v>
      </c>
      <c r="B835" s="23" t="s">
        <v>537</v>
      </c>
      <c r="C835" s="23"/>
      <c r="D835" s="21">
        <v>20241120</v>
      </c>
      <c r="E835" s="21">
        <v>7.17</v>
      </c>
      <c r="F835" s="2132" t="s">
        <v>583</v>
      </c>
      <c r="G835" s="21" t="s">
        <v>584</v>
      </c>
      <c r="H835" s="21"/>
      <c r="I835" s="21"/>
      <c r="J835" s="21"/>
      <c r="K835" s="2048"/>
      <c r="L835" s="36"/>
      <c r="M835" s="22">
        <v>0.531598246476565</v>
      </c>
      <c r="N835" s="22">
        <v>2.22670179043647</v>
      </c>
      <c r="O835" s="37">
        <v>0.4</v>
      </c>
      <c r="P835" s="37">
        <f t="shared" si="90"/>
        <v>3.15830003691303</v>
      </c>
      <c r="Q835" s="219"/>
      <c r="R835" s="23" t="s">
        <v>3109</v>
      </c>
      <c r="S835" s="804"/>
      <c r="T835" s="120"/>
      <c r="W835" s="2180"/>
      <c r="Z835" s="839"/>
      <c r="AA835" s="839"/>
      <c r="AB835" s="1940"/>
    </row>
    <row r="836" s="187" customFormat="1" ht="16" customHeight="1" spans="1:28">
      <c r="A836" s="839">
        <v>698</v>
      </c>
      <c r="B836" s="23" t="s">
        <v>537</v>
      </c>
      <c r="C836" s="23"/>
      <c r="D836" s="21">
        <v>20240305</v>
      </c>
      <c r="E836" s="21">
        <v>7.17</v>
      </c>
      <c r="F836" s="2132" t="s">
        <v>586</v>
      </c>
      <c r="G836" s="21" t="s">
        <v>587</v>
      </c>
      <c r="H836" s="21"/>
      <c r="I836" s="21"/>
      <c r="J836" s="21"/>
      <c r="K836" s="2048"/>
      <c r="L836" s="36"/>
      <c r="M836" s="22">
        <v>0.380604378345897</v>
      </c>
      <c r="N836" s="22">
        <v>0.890518912872829</v>
      </c>
      <c r="O836" s="37">
        <v>0.2</v>
      </c>
      <c r="P836" s="37">
        <f t="shared" si="90"/>
        <v>1.47112329121873</v>
      </c>
      <c r="Q836" s="219"/>
      <c r="R836" s="23"/>
      <c r="S836" s="804"/>
      <c r="T836" s="120" t="s">
        <v>1406</v>
      </c>
      <c r="W836" s="2180"/>
      <c r="Z836" s="839"/>
      <c r="AA836" s="839"/>
      <c r="AB836" s="1940"/>
    </row>
    <row r="837" s="187" customFormat="1" ht="16" customHeight="1" spans="1:28">
      <c r="A837" s="839">
        <v>699</v>
      </c>
      <c r="B837" s="23" t="s">
        <v>537</v>
      </c>
      <c r="C837" s="23"/>
      <c r="D837" s="21">
        <v>20241028</v>
      </c>
      <c r="E837" s="21">
        <v>7.17</v>
      </c>
      <c r="F837" s="2132" t="s">
        <v>588</v>
      </c>
      <c r="G837" s="21" t="s">
        <v>589</v>
      </c>
      <c r="H837" s="21"/>
      <c r="I837" s="21"/>
      <c r="J837" s="21"/>
      <c r="K837" s="2048"/>
      <c r="L837" s="36"/>
      <c r="M837" s="22">
        <v>0.39669929243068</v>
      </c>
      <c r="N837" s="22">
        <v>2.32378266520322</v>
      </c>
      <c r="O837" s="37">
        <v>0.4</v>
      </c>
      <c r="P837" s="37">
        <f t="shared" si="90"/>
        <v>3.1204819576339</v>
      </c>
      <c r="Q837" s="219"/>
      <c r="R837" s="23" t="s">
        <v>2975</v>
      </c>
      <c r="S837" s="804"/>
      <c r="T837" s="120" t="s">
        <v>1406</v>
      </c>
      <c r="W837" s="2180"/>
      <c r="Z837" s="839"/>
      <c r="AA837" s="839"/>
      <c r="AB837" s="1940"/>
    </row>
    <row r="838" s="187" customFormat="1" ht="16" customHeight="1" spans="1:28">
      <c r="A838" s="839">
        <v>700</v>
      </c>
      <c r="B838" s="23" t="s">
        <v>537</v>
      </c>
      <c r="C838" s="23"/>
      <c r="D838" s="21"/>
      <c r="E838" s="21"/>
      <c r="F838" s="2130" t="s">
        <v>1979</v>
      </c>
      <c r="G838" s="21" t="s">
        <v>590</v>
      </c>
      <c r="H838" s="21"/>
      <c r="I838" s="21"/>
      <c r="J838" s="21"/>
      <c r="K838" s="2048"/>
      <c r="L838" s="36"/>
      <c r="M838" s="22">
        <v>0.410827985949931</v>
      </c>
      <c r="N838" s="22">
        <v>2.50377451240862</v>
      </c>
      <c r="O838" s="37">
        <v>0.4</v>
      </c>
      <c r="P838" s="37">
        <f t="shared" si="90"/>
        <v>3.31460249835855</v>
      </c>
      <c r="Q838" s="219"/>
      <c r="R838" s="23" t="s">
        <v>2975</v>
      </c>
      <c r="S838" s="804"/>
      <c r="T838" s="120" t="s">
        <v>1406</v>
      </c>
      <c r="W838" s="2180"/>
      <c r="Z838" s="839"/>
      <c r="AA838" s="839"/>
      <c r="AB838" s="1940"/>
    </row>
    <row r="839" s="187" customFormat="1" ht="16" customHeight="1" spans="1:28">
      <c r="A839" s="839">
        <v>701</v>
      </c>
      <c r="B839" s="23" t="s">
        <v>537</v>
      </c>
      <c r="C839" s="23"/>
      <c r="D839" s="21">
        <v>20240930</v>
      </c>
      <c r="E839" s="21">
        <v>7.17</v>
      </c>
      <c r="F839" s="2132" t="s">
        <v>591</v>
      </c>
      <c r="G839" s="21" t="s">
        <v>592</v>
      </c>
      <c r="H839" s="21"/>
      <c r="I839" s="21"/>
      <c r="J839" s="21"/>
      <c r="K839" s="2048"/>
      <c r="L839" s="36"/>
      <c r="M839" s="22">
        <v>0.390293856469696</v>
      </c>
      <c r="N839" s="22">
        <v>2.14130527908714</v>
      </c>
      <c r="O839" s="37">
        <v>0.4</v>
      </c>
      <c r="P839" s="37">
        <f t="shared" si="90"/>
        <v>2.93159913555684</v>
      </c>
      <c r="Q839" s="219"/>
      <c r="R839" s="23" t="s">
        <v>2975</v>
      </c>
      <c r="S839" s="804"/>
      <c r="T839" s="120" t="s">
        <v>1406</v>
      </c>
      <c r="W839" s="2180"/>
      <c r="Z839" s="839"/>
      <c r="AA839" s="839"/>
      <c r="AB839" s="1940"/>
    </row>
    <row r="840" s="187" customFormat="1" ht="16" customHeight="1" spans="1:28">
      <c r="A840" s="839">
        <v>702</v>
      </c>
      <c r="B840" s="23" t="s">
        <v>537</v>
      </c>
      <c r="C840" s="23"/>
      <c r="D840" s="21">
        <v>20240125</v>
      </c>
      <c r="E840" s="21">
        <v>7.17</v>
      </c>
      <c r="F840" s="2132" t="s">
        <v>593</v>
      </c>
      <c r="G840" s="21" t="s">
        <v>594</v>
      </c>
      <c r="H840" s="21"/>
      <c r="I840" s="21"/>
      <c r="J840" s="21"/>
      <c r="K840" s="2048"/>
      <c r="L840" s="36"/>
      <c r="M840" s="22">
        <v>0.311970801922867</v>
      </c>
      <c r="N840" s="22">
        <v>1.32924701584039</v>
      </c>
      <c r="O840" s="37">
        <v>0.2</v>
      </c>
      <c r="P840" s="37">
        <f t="shared" si="90"/>
        <v>1.84121781776326</v>
      </c>
      <c r="Q840" s="219"/>
      <c r="R840" s="23"/>
      <c r="S840" s="804"/>
      <c r="T840" s="120" t="s">
        <v>1406</v>
      </c>
      <c r="W840" s="2180"/>
      <c r="Z840" s="839"/>
      <c r="AA840" s="839"/>
      <c r="AB840" s="1940"/>
    </row>
    <row r="841" s="187" customFormat="1" ht="16" customHeight="1" spans="1:28">
      <c r="A841" s="839">
        <v>703</v>
      </c>
      <c r="B841" s="23" t="s">
        <v>537</v>
      </c>
      <c r="C841" s="23"/>
      <c r="D841" s="21">
        <v>20240125</v>
      </c>
      <c r="E841" s="21">
        <v>7.17</v>
      </c>
      <c r="F841" s="2132" t="s">
        <v>595</v>
      </c>
      <c r="G841" s="21" t="s">
        <v>596</v>
      </c>
      <c r="H841" s="21"/>
      <c r="I841" s="21"/>
      <c r="J841" s="21"/>
      <c r="K841" s="2048"/>
      <c r="L841" s="36"/>
      <c r="M841" s="22">
        <v>0.57776992516115</v>
      </c>
      <c r="N841" s="22">
        <v>2.59781271905473</v>
      </c>
      <c r="O841" s="37">
        <v>0.2</v>
      </c>
      <c r="P841" s="37">
        <f t="shared" si="90"/>
        <v>3.37558264421588</v>
      </c>
      <c r="Q841" s="219"/>
      <c r="R841" s="23" t="s">
        <v>2975</v>
      </c>
      <c r="S841" s="804"/>
      <c r="T841" s="120" t="s">
        <v>1406</v>
      </c>
      <c r="W841" s="2180"/>
      <c r="Z841" s="839"/>
      <c r="AA841" s="839"/>
      <c r="AB841" s="1940"/>
    </row>
    <row r="842" s="187" customFormat="1" ht="16" customHeight="1" spans="1:28">
      <c r="A842" s="839">
        <v>704</v>
      </c>
      <c r="B842" s="23" t="s">
        <v>537</v>
      </c>
      <c r="C842" s="23"/>
      <c r="D842" s="21"/>
      <c r="E842" s="21"/>
      <c r="F842" s="2130" t="s">
        <v>1979</v>
      </c>
      <c r="G842" s="21" t="s">
        <v>597</v>
      </c>
      <c r="H842" s="21"/>
      <c r="I842" s="21"/>
      <c r="J842" s="21"/>
      <c r="K842" s="2048"/>
      <c r="L842" s="36"/>
      <c r="M842" s="22">
        <v>0.553252057676836</v>
      </c>
      <c r="N842" s="22">
        <v>2.88761964919364</v>
      </c>
      <c r="O842" s="37">
        <v>0.2</v>
      </c>
      <c r="P842" s="37">
        <f t="shared" si="90"/>
        <v>3.64087170687048</v>
      </c>
      <c r="Q842" s="219"/>
      <c r="R842" s="23" t="s">
        <v>2975</v>
      </c>
      <c r="S842" s="804"/>
      <c r="T842" s="120" t="s">
        <v>1406</v>
      </c>
      <c r="W842" s="2180"/>
      <c r="Z842" s="839"/>
      <c r="AA842" s="839"/>
      <c r="AB842" s="1940"/>
    </row>
    <row r="843" s="187" customFormat="1" ht="16" customHeight="1" spans="1:28">
      <c r="A843" s="839">
        <v>705</v>
      </c>
      <c r="B843" s="23" t="s">
        <v>537</v>
      </c>
      <c r="C843" s="23"/>
      <c r="D843" s="21">
        <v>20250102</v>
      </c>
      <c r="E843" s="21">
        <v>7.17</v>
      </c>
      <c r="F843" s="2132" t="s">
        <v>598</v>
      </c>
      <c r="G843" s="21" t="s">
        <v>599</v>
      </c>
      <c r="H843" s="21"/>
      <c r="I843" s="21"/>
      <c r="J843" s="21"/>
      <c r="K843" s="2048"/>
      <c r="L843" s="36"/>
      <c r="M843" s="22">
        <v>0.402675147554236</v>
      </c>
      <c r="N843" s="22">
        <v>2.09080794460207</v>
      </c>
      <c r="O843" s="37">
        <v>0.4</v>
      </c>
      <c r="P843" s="37">
        <f t="shared" si="90"/>
        <v>2.89348309215631</v>
      </c>
      <c r="Q843" s="219"/>
      <c r="R843" s="23" t="s">
        <v>3110</v>
      </c>
      <c r="S843" s="804"/>
      <c r="T843" s="120"/>
      <c r="W843" s="2180"/>
      <c r="Z843" s="839"/>
      <c r="AA843" s="839"/>
      <c r="AB843" s="1940"/>
    </row>
    <row r="844" s="187" customFormat="1" ht="16" customHeight="1" spans="1:28">
      <c r="A844" s="839">
        <v>706</v>
      </c>
      <c r="B844" s="23" t="s">
        <v>537</v>
      </c>
      <c r="C844" s="23"/>
      <c r="D844" s="21">
        <v>20240517</v>
      </c>
      <c r="E844" s="21">
        <v>7.17</v>
      </c>
      <c r="F844" s="2132" t="s">
        <v>601</v>
      </c>
      <c r="G844" s="21" t="s">
        <v>602</v>
      </c>
      <c r="H844" s="21"/>
      <c r="I844" s="21"/>
      <c r="J844" s="21"/>
      <c r="K844" s="2048"/>
      <c r="L844" s="36"/>
      <c r="M844" s="22">
        <v>0.413434398714422</v>
      </c>
      <c r="N844" s="22">
        <v>3.25467777611108</v>
      </c>
      <c r="O844" s="37">
        <v>0.4</v>
      </c>
      <c r="P844" s="37">
        <f t="shared" si="90"/>
        <v>4.0681121748255</v>
      </c>
      <c r="Q844" s="219"/>
      <c r="R844" s="23" t="s">
        <v>3111</v>
      </c>
      <c r="S844" s="804"/>
      <c r="T844" s="120"/>
      <c r="W844" s="2180"/>
      <c r="Z844" s="839"/>
      <c r="AA844" s="839"/>
      <c r="AB844" s="1940"/>
    </row>
    <row r="845" s="187" customFormat="1" ht="16" customHeight="1" spans="1:28">
      <c r="A845" s="839">
        <v>707</v>
      </c>
      <c r="B845" s="23" t="s">
        <v>537</v>
      </c>
      <c r="C845" s="23"/>
      <c r="D845" s="21">
        <v>20250328</v>
      </c>
      <c r="E845" s="21">
        <v>7.17</v>
      </c>
      <c r="F845" s="2132" t="s">
        <v>604</v>
      </c>
      <c r="G845" s="21" t="s">
        <v>605</v>
      </c>
      <c r="H845" s="21"/>
      <c r="I845" s="21"/>
      <c r="J845" s="21"/>
      <c r="K845" s="2048"/>
      <c r="L845" s="36"/>
      <c r="M845" s="22">
        <v>0.413525406963897</v>
      </c>
      <c r="N845" s="22">
        <v>1.03749052468648</v>
      </c>
      <c r="O845" s="37">
        <v>0.3</v>
      </c>
      <c r="P845" s="37">
        <f t="shared" si="90"/>
        <v>1.75101593165038</v>
      </c>
      <c r="Q845" s="219"/>
      <c r="R845" s="23" t="s">
        <v>606</v>
      </c>
      <c r="S845" s="804"/>
      <c r="T845" s="120"/>
      <c r="W845" s="2180"/>
      <c r="Z845" s="839"/>
      <c r="AA845" s="839"/>
      <c r="AB845" s="1940"/>
    </row>
    <row r="846" s="187" customFormat="1" ht="16" customHeight="1" spans="1:28">
      <c r="A846" s="839">
        <v>708</v>
      </c>
      <c r="B846" s="23" t="s">
        <v>537</v>
      </c>
      <c r="C846" s="23"/>
      <c r="D846" s="21">
        <v>20250113</v>
      </c>
      <c r="E846" s="21">
        <v>7.17</v>
      </c>
      <c r="F846" s="2132" t="s">
        <v>607</v>
      </c>
      <c r="G846" s="21" t="s">
        <v>608</v>
      </c>
      <c r="H846" s="21"/>
      <c r="I846" s="21"/>
      <c r="J846" s="21"/>
      <c r="K846" s="2048"/>
      <c r="L846" s="36"/>
      <c r="M846" s="22">
        <v>0.405086375982704</v>
      </c>
      <c r="N846" s="22">
        <v>1.66406111322576</v>
      </c>
      <c r="O846" s="37">
        <v>0.2</v>
      </c>
      <c r="P846" s="37">
        <f t="shared" si="90"/>
        <v>2.26914748920846</v>
      </c>
      <c r="Q846" s="219"/>
      <c r="R846" s="23" t="s">
        <v>609</v>
      </c>
      <c r="S846" s="804"/>
      <c r="T846" s="120"/>
      <c r="W846" s="2180"/>
      <c r="Z846" s="839"/>
      <c r="AA846" s="839"/>
      <c r="AB846" s="1940"/>
    </row>
    <row r="847" s="187" customFormat="1" ht="16" customHeight="1" spans="1:28">
      <c r="A847" s="839">
        <v>709</v>
      </c>
      <c r="B847" s="23" t="s">
        <v>537</v>
      </c>
      <c r="C847" s="23"/>
      <c r="D847" s="21">
        <v>20240516</v>
      </c>
      <c r="E847" s="21">
        <v>7.17</v>
      </c>
      <c r="F847" s="2132" t="s">
        <v>610</v>
      </c>
      <c r="G847" s="21" t="s">
        <v>611</v>
      </c>
      <c r="H847" s="21"/>
      <c r="I847" s="21"/>
      <c r="J847" s="21"/>
      <c r="K847" s="2048"/>
      <c r="L847" s="36"/>
      <c r="M847" s="22">
        <v>0.409732001113995</v>
      </c>
      <c r="N847" s="22">
        <v>2.00295973690119</v>
      </c>
      <c r="O847" s="37">
        <v>0.4</v>
      </c>
      <c r="P847" s="37">
        <f t="shared" si="90"/>
        <v>2.81269173801518</v>
      </c>
      <c r="Q847" s="219"/>
      <c r="R847" s="23"/>
      <c r="S847" s="804"/>
      <c r="T847" s="120"/>
      <c r="W847" s="2180"/>
      <c r="Z847" s="839"/>
      <c r="AA847" s="839"/>
      <c r="AB847" s="1940"/>
    </row>
    <row r="848" s="187" customFormat="1" ht="16" customHeight="1" spans="1:28">
      <c r="A848" s="839">
        <v>710</v>
      </c>
      <c r="B848" s="23" t="s">
        <v>537</v>
      </c>
      <c r="C848" s="23"/>
      <c r="D848" s="21">
        <v>20240920</v>
      </c>
      <c r="E848" s="21">
        <v>7.17</v>
      </c>
      <c r="F848" s="2132" t="s">
        <v>612</v>
      </c>
      <c r="G848" s="21" t="s">
        <v>613</v>
      </c>
      <c r="H848" s="21"/>
      <c r="I848" s="21"/>
      <c r="J848" s="21"/>
      <c r="K848" s="2048"/>
      <c r="L848" s="36"/>
      <c r="M848" s="22">
        <v>0.360868388598231</v>
      </c>
      <c r="N848" s="22">
        <v>1.84478713209219</v>
      </c>
      <c r="O848" s="37">
        <v>0.2</v>
      </c>
      <c r="P848" s="37">
        <f t="shared" si="90"/>
        <v>2.40565552069042</v>
      </c>
      <c r="Q848" s="219"/>
      <c r="R848" s="23" t="s">
        <v>3112</v>
      </c>
      <c r="S848" s="804"/>
      <c r="T848" s="120"/>
      <c r="W848" s="2180"/>
      <c r="Z848" s="839"/>
      <c r="AA848" s="839"/>
      <c r="AB848" s="1940"/>
    </row>
    <row r="849" s="187" customFormat="1" ht="16" customHeight="1" spans="1:28">
      <c r="A849" s="839">
        <v>711</v>
      </c>
      <c r="B849" s="23" t="s">
        <v>615</v>
      </c>
      <c r="C849" s="23"/>
      <c r="D849" s="21">
        <v>20241219</v>
      </c>
      <c r="E849" s="21">
        <v>7.17</v>
      </c>
      <c r="F849" s="2132" t="s">
        <v>616</v>
      </c>
      <c r="G849" s="21" t="s">
        <v>617</v>
      </c>
      <c r="H849" s="21"/>
      <c r="I849" s="21"/>
      <c r="J849" s="21"/>
      <c r="K849" s="2048"/>
      <c r="L849" s="36"/>
      <c r="M849" s="22">
        <v>0.277291269273874</v>
      </c>
      <c r="N849" s="22">
        <v>1.50105294583552</v>
      </c>
      <c r="O849" s="37">
        <v>0.2</v>
      </c>
      <c r="P849" s="37">
        <f t="shared" si="90"/>
        <v>1.97834421510939</v>
      </c>
      <c r="Q849" s="219"/>
      <c r="R849" s="23" t="s">
        <v>606</v>
      </c>
      <c r="S849" s="804"/>
      <c r="T849" s="120"/>
      <c r="W849" s="2180"/>
      <c r="Z849" s="839"/>
      <c r="AA849" s="839"/>
      <c r="AB849" s="1940"/>
    </row>
    <row r="850" s="187" customFormat="1" ht="16" customHeight="1" spans="1:28">
      <c r="A850" s="839">
        <v>712</v>
      </c>
      <c r="B850" s="23" t="s">
        <v>615</v>
      </c>
      <c r="C850" s="23"/>
      <c r="D850" s="21">
        <v>20241219</v>
      </c>
      <c r="E850" s="21">
        <v>7.17</v>
      </c>
      <c r="F850" s="2132" t="s">
        <v>618</v>
      </c>
      <c r="G850" s="21" t="s">
        <v>619</v>
      </c>
      <c r="H850" s="21"/>
      <c r="I850" s="21"/>
      <c r="J850" s="21"/>
      <c r="K850" s="2048"/>
      <c r="L850" s="36"/>
      <c r="M850" s="22">
        <v>0.277291269273874</v>
      </c>
      <c r="N850" s="22">
        <v>1.31121753913494</v>
      </c>
      <c r="O850" s="37">
        <v>0.2</v>
      </c>
      <c r="P850" s="37">
        <f t="shared" si="90"/>
        <v>1.78850880840881</v>
      </c>
      <c r="Q850" s="219"/>
      <c r="R850" s="23" t="s">
        <v>606</v>
      </c>
      <c r="S850" s="804"/>
      <c r="T850" s="120"/>
      <c r="W850" s="2180"/>
      <c r="Z850" s="839"/>
      <c r="AA850" s="839"/>
      <c r="AB850" s="1940"/>
    </row>
    <row r="851" s="187" customFormat="1" ht="16" customHeight="1" spans="1:28">
      <c r="A851" s="839">
        <v>713</v>
      </c>
      <c r="B851" s="23" t="s">
        <v>615</v>
      </c>
      <c r="C851" s="23"/>
      <c r="D851" s="21">
        <v>20250819</v>
      </c>
      <c r="E851" s="21">
        <v>7.17</v>
      </c>
      <c r="F851" s="2132" t="s">
        <v>620</v>
      </c>
      <c r="G851" s="21" t="s">
        <v>621</v>
      </c>
      <c r="H851" s="21"/>
      <c r="I851" s="21"/>
      <c r="J851" s="21"/>
      <c r="K851" s="2048"/>
      <c r="L851" s="36"/>
      <c r="M851" s="22">
        <v>0.362868885844411</v>
      </c>
      <c r="N851" s="22">
        <v>1.4053518660991</v>
      </c>
      <c r="O851" s="37">
        <v>0.2</v>
      </c>
      <c r="P851" s="37">
        <f t="shared" si="90"/>
        <v>1.96822075194351</v>
      </c>
      <c r="Q851" s="219"/>
      <c r="R851" s="23" t="s">
        <v>606</v>
      </c>
      <c r="S851" s="804"/>
      <c r="T851" s="120"/>
      <c r="W851" s="2180"/>
      <c r="Z851" s="839"/>
      <c r="AA851" s="839"/>
      <c r="AB851" s="1940"/>
    </row>
    <row r="852" s="187" customFormat="1" ht="16" customHeight="1" spans="1:28">
      <c r="A852" s="839">
        <v>714</v>
      </c>
      <c r="B852" s="23" t="s">
        <v>615</v>
      </c>
      <c r="C852" s="23"/>
      <c r="D852" s="21">
        <v>20250819</v>
      </c>
      <c r="E852" s="21">
        <v>7.17</v>
      </c>
      <c r="F852" s="2132" t="s">
        <v>622</v>
      </c>
      <c r="G852" s="21" t="s">
        <v>623</v>
      </c>
      <c r="H852" s="21"/>
      <c r="I852" s="21"/>
      <c r="J852" s="21"/>
      <c r="K852" s="2048"/>
      <c r="L852" s="36"/>
      <c r="M852" s="22">
        <v>0.0246849582207082</v>
      </c>
      <c r="N852" s="22">
        <v>0.2884</v>
      </c>
      <c r="O852" s="37">
        <v>0.2</v>
      </c>
      <c r="P852" s="37">
        <f t="shared" si="90"/>
        <v>0.513084958220708</v>
      </c>
      <c r="Q852" s="219"/>
      <c r="R852" s="23"/>
      <c r="S852" s="804"/>
      <c r="T852" s="120"/>
      <c r="W852" s="2180"/>
      <c r="Z852" s="839"/>
      <c r="AA852" s="839"/>
      <c r="AB852" s="1940"/>
    </row>
    <row r="853" s="187" customFormat="1" ht="16" customHeight="1" spans="1:28">
      <c r="A853" s="839">
        <v>715</v>
      </c>
      <c r="B853" s="23" t="s">
        <v>615</v>
      </c>
      <c r="C853" s="23"/>
      <c r="D853" s="21">
        <v>20250114</v>
      </c>
      <c r="E853" s="21">
        <v>7.17</v>
      </c>
      <c r="F853" s="2132" t="s">
        <v>624</v>
      </c>
      <c r="G853" s="21" t="s">
        <v>625</v>
      </c>
      <c r="H853" s="21"/>
      <c r="I853" s="21"/>
      <c r="J853" s="21"/>
      <c r="K853" s="2048"/>
      <c r="L853" s="36"/>
      <c r="M853" s="22">
        <v>0.0992558070294765</v>
      </c>
      <c r="N853" s="22">
        <v>0.320343786760372</v>
      </c>
      <c r="O853" s="37">
        <v>0.2</v>
      </c>
      <c r="P853" s="37">
        <f t="shared" si="90"/>
        <v>0.619599593789849</v>
      </c>
      <c r="Q853" s="219"/>
      <c r="R853" s="23" t="s">
        <v>3113</v>
      </c>
      <c r="S853" s="804"/>
      <c r="T853" s="120"/>
      <c r="W853" s="2180"/>
      <c r="Z853" s="839"/>
      <c r="AA853" s="839"/>
      <c r="AB853" s="1940"/>
    </row>
    <row r="854" s="187" customFormat="1" ht="16" customHeight="1" spans="1:28">
      <c r="A854" s="839">
        <v>716</v>
      </c>
      <c r="B854" s="23" t="s">
        <v>615</v>
      </c>
      <c r="C854" s="23"/>
      <c r="D854" s="21">
        <v>20240930</v>
      </c>
      <c r="E854" s="21">
        <v>7.17</v>
      </c>
      <c r="F854" s="2132" t="s">
        <v>627</v>
      </c>
      <c r="G854" s="21" t="s">
        <v>628</v>
      </c>
      <c r="H854" s="21"/>
      <c r="I854" s="21"/>
      <c r="J854" s="21"/>
      <c r="K854" s="2048"/>
      <c r="L854" s="36"/>
      <c r="M854" s="22">
        <v>0.271323347398031</v>
      </c>
      <c r="N854" s="22">
        <v>1.58852320675106</v>
      </c>
      <c r="O854" s="37">
        <v>0.2</v>
      </c>
      <c r="P854" s="37">
        <f t="shared" si="90"/>
        <v>2.05984655414909</v>
      </c>
      <c r="Q854" s="219"/>
      <c r="R854" s="23" t="s">
        <v>3114</v>
      </c>
      <c r="S854" s="804"/>
      <c r="T854" s="120"/>
      <c r="W854" s="2180"/>
      <c r="Z854" s="839"/>
      <c r="AA854" s="839"/>
      <c r="AB854" s="1940"/>
    </row>
    <row r="855" s="187" customFormat="1" ht="16" customHeight="1" spans="1:28">
      <c r="A855" s="839">
        <v>717</v>
      </c>
      <c r="B855" s="23" t="s">
        <v>630</v>
      </c>
      <c r="C855" s="23"/>
      <c r="D855" s="21"/>
      <c r="E855" s="21"/>
      <c r="F855" s="2130" t="s">
        <v>1979</v>
      </c>
      <c r="G855" s="21" t="s">
        <v>631</v>
      </c>
      <c r="H855" s="21"/>
      <c r="I855" s="21"/>
      <c r="J855" s="21"/>
      <c r="K855" s="2048"/>
      <c r="L855" s="36"/>
      <c r="M855" s="22">
        <v>0.299236908478766</v>
      </c>
      <c r="N855" s="22">
        <v>0.703144082197387</v>
      </c>
      <c r="O855" s="37">
        <v>0.2</v>
      </c>
      <c r="P855" s="37">
        <f t="shared" si="90"/>
        <v>1.20238099067615</v>
      </c>
      <c r="Q855" s="219"/>
      <c r="R855" s="23"/>
      <c r="S855" s="804"/>
      <c r="T855" s="120" t="s">
        <v>1406</v>
      </c>
      <c r="W855" s="2180"/>
      <c r="Z855" s="839"/>
      <c r="AA855" s="839"/>
      <c r="AB855" s="1940"/>
    </row>
    <row r="856" s="187" customFormat="1" ht="16" customHeight="1" spans="1:28">
      <c r="A856" s="839">
        <v>718</v>
      </c>
      <c r="B856" s="23" t="s">
        <v>632</v>
      </c>
      <c r="C856" s="23"/>
      <c r="D856" s="21"/>
      <c r="E856" s="21"/>
      <c r="F856" s="2130" t="s">
        <v>1979</v>
      </c>
      <c r="G856" s="21" t="s">
        <v>633</v>
      </c>
      <c r="H856" s="21"/>
      <c r="I856" s="21"/>
      <c r="J856" s="21"/>
      <c r="K856" s="2048"/>
      <c r="L856" s="36"/>
      <c r="M856" s="22">
        <v>0.0983284169124877</v>
      </c>
      <c r="N856" s="22">
        <v>0.626250921828909</v>
      </c>
      <c r="O856" s="37">
        <v>0.2</v>
      </c>
      <c r="P856" s="37">
        <f t="shared" si="90"/>
        <v>0.924579338741397</v>
      </c>
      <c r="Q856" s="219"/>
      <c r="R856" s="23"/>
      <c r="S856" s="804"/>
      <c r="T856" s="120" t="s">
        <v>1406</v>
      </c>
      <c r="W856" s="2180"/>
      <c r="Z856" s="839"/>
      <c r="AA856" s="839"/>
      <c r="AB856" s="1940"/>
    </row>
    <row r="857" s="42" customFormat="1" ht="16" customHeight="1" spans="1:28">
      <c r="A857" s="839">
        <v>719</v>
      </c>
      <c r="B857" s="23" t="s">
        <v>634</v>
      </c>
      <c r="C857" s="23"/>
      <c r="D857" s="21"/>
      <c r="E857" s="21"/>
      <c r="F857" s="2130" t="s">
        <v>1979</v>
      </c>
      <c r="G857" s="21" t="s">
        <v>635</v>
      </c>
      <c r="H857" s="21"/>
      <c r="I857" s="21"/>
      <c r="J857" s="21"/>
      <c r="K857" s="2048"/>
      <c r="L857" s="36"/>
      <c r="M857" s="22">
        <v>0.56</v>
      </c>
      <c r="N857" s="22">
        <v>3.57369614512472</v>
      </c>
      <c r="O857" s="37">
        <v>0.4</v>
      </c>
      <c r="P857" s="37">
        <f t="shared" si="90"/>
        <v>4.53369614512472</v>
      </c>
      <c r="Q857" s="219"/>
      <c r="R857" s="20" t="s">
        <v>346</v>
      </c>
      <c r="S857" s="805"/>
      <c r="T857" s="120" t="s">
        <v>1406</v>
      </c>
      <c r="W857" s="2163"/>
      <c r="Z857" s="839"/>
      <c r="AA857" s="839"/>
      <c r="AB857" s="1940"/>
    </row>
    <row r="858" s="42" customFormat="1" ht="16" customHeight="1" spans="1:28">
      <c r="A858" s="839">
        <v>720</v>
      </c>
      <c r="B858" s="23" t="s">
        <v>634</v>
      </c>
      <c r="C858" s="23"/>
      <c r="D858" s="21"/>
      <c r="E858" s="21"/>
      <c r="F858" s="2130" t="s">
        <v>1979</v>
      </c>
      <c r="G858" s="21" t="s">
        <v>636</v>
      </c>
      <c r="H858" s="21"/>
      <c r="I858" s="21"/>
      <c r="J858" s="21"/>
      <c r="K858" s="2048"/>
      <c r="L858" s="36"/>
      <c r="M858" s="22">
        <v>0.53</v>
      </c>
      <c r="N858" s="22">
        <v>2.68087530578734</v>
      </c>
      <c r="O858" s="37">
        <v>0.4</v>
      </c>
      <c r="P858" s="37">
        <f t="shared" si="90"/>
        <v>3.61087530578734</v>
      </c>
      <c r="Q858" s="219"/>
      <c r="R858" s="39" t="s">
        <v>25</v>
      </c>
      <c r="S858" s="1931"/>
      <c r="T858" s="120" t="s">
        <v>1406</v>
      </c>
      <c r="W858" s="2163"/>
      <c r="Z858" s="839"/>
      <c r="AA858" s="839"/>
      <c r="AB858" s="1940"/>
    </row>
    <row r="859" s="42" customFormat="1" ht="16" customHeight="1" spans="1:28">
      <c r="A859" s="839">
        <v>721</v>
      </c>
      <c r="B859" s="19" t="s">
        <v>637</v>
      </c>
      <c r="C859" s="19"/>
      <c r="D859" s="21"/>
      <c r="E859" s="21"/>
      <c r="F859" s="2130" t="s">
        <v>1979</v>
      </c>
      <c r="G859" s="21" t="s">
        <v>638</v>
      </c>
      <c r="H859" s="21"/>
      <c r="I859" s="21"/>
      <c r="J859" s="21"/>
      <c r="K859" s="2048"/>
      <c r="L859" s="36"/>
      <c r="M859" s="22">
        <v>0.28</v>
      </c>
      <c r="N859" s="22">
        <v>1.08</v>
      </c>
      <c r="O859" s="37">
        <v>0.2</v>
      </c>
      <c r="P859" s="37">
        <f t="shared" si="90"/>
        <v>1.56</v>
      </c>
      <c r="Q859" s="219"/>
      <c r="R859" s="39"/>
      <c r="S859" s="1931"/>
      <c r="T859" s="120" t="s">
        <v>1406</v>
      </c>
      <c r="W859" s="2163"/>
      <c r="Z859" s="839"/>
      <c r="AA859" s="839"/>
      <c r="AB859" s="1940"/>
    </row>
    <row r="860" s="42" customFormat="1" ht="16" customHeight="1" spans="1:28">
      <c r="A860" s="839">
        <v>722</v>
      </c>
      <c r="B860" s="19" t="s">
        <v>637</v>
      </c>
      <c r="C860" s="19"/>
      <c r="D860" s="21"/>
      <c r="E860" s="21"/>
      <c r="F860" s="2130" t="s">
        <v>1979</v>
      </c>
      <c r="G860" s="21" t="s">
        <v>639</v>
      </c>
      <c r="H860" s="21"/>
      <c r="I860" s="21"/>
      <c r="J860" s="21"/>
      <c r="K860" s="2048"/>
      <c r="L860" s="36"/>
      <c r="M860" s="22">
        <v>0.19</v>
      </c>
      <c r="N860" s="22">
        <v>0.51</v>
      </c>
      <c r="O860" s="37">
        <v>0.2</v>
      </c>
      <c r="P860" s="37">
        <f t="shared" si="90"/>
        <v>0.9</v>
      </c>
      <c r="Q860" s="219"/>
      <c r="R860" s="39"/>
      <c r="S860" s="1931"/>
      <c r="T860" s="120" t="s">
        <v>1406</v>
      </c>
      <c r="W860" s="2163"/>
      <c r="Z860" s="839"/>
      <c r="AA860" s="839"/>
      <c r="AB860" s="1940"/>
    </row>
    <row r="861" s="42" customFormat="1" ht="16" customHeight="1" spans="1:28">
      <c r="A861" s="839">
        <v>723</v>
      </c>
      <c r="B861" s="19" t="s">
        <v>637</v>
      </c>
      <c r="C861" s="19"/>
      <c r="D861" s="21"/>
      <c r="E861" s="21"/>
      <c r="F861" s="2130" t="s">
        <v>1979</v>
      </c>
      <c r="G861" s="21" t="s">
        <v>640</v>
      </c>
      <c r="H861" s="21"/>
      <c r="I861" s="21"/>
      <c r="J861" s="21"/>
      <c r="K861" s="2048"/>
      <c r="L861" s="36"/>
      <c r="M861" s="22">
        <v>0.0591133004926108</v>
      </c>
      <c r="N861" s="22">
        <v>0.305418719211823</v>
      </c>
      <c r="O861" s="37">
        <v>0.4</v>
      </c>
      <c r="P861" s="37">
        <f t="shared" si="90"/>
        <v>0.764532019704434</v>
      </c>
      <c r="Q861" s="219"/>
      <c r="R861" s="39"/>
      <c r="S861" s="1931"/>
      <c r="T861" s="120" t="s">
        <v>1406</v>
      </c>
      <c r="W861" s="2163"/>
      <c r="Z861" s="839"/>
      <c r="AA861" s="839"/>
      <c r="AB861" s="1940"/>
    </row>
    <row r="862" s="42" customFormat="1" ht="16" customHeight="1" spans="1:28">
      <c r="A862" s="839">
        <v>724</v>
      </c>
      <c r="B862" s="19" t="s">
        <v>637</v>
      </c>
      <c r="C862" s="19"/>
      <c r="D862" s="21"/>
      <c r="E862" s="21"/>
      <c r="F862" s="2130" t="s">
        <v>1979</v>
      </c>
      <c r="G862" s="21" t="s">
        <v>641</v>
      </c>
      <c r="H862" s="21"/>
      <c r="I862" s="21"/>
      <c r="J862" s="21"/>
      <c r="K862" s="2048"/>
      <c r="L862" s="36"/>
      <c r="M862" s="22">
        <v>0.226600985221675</v>
      </c>
      <c r="N862" s="22">
        <v>0.423645320197044</v>
      </c>
      <c r="O862" s="37">
        <v>0.2</v>
      </c>
      <c r="P862" s="37">
        <f t="shared" si="90"/>
        <v>0.850246305418719</v>
      </c>
      <c r="Q862" s="219"/>
      <c r="R862" s="39"/>
      <c r="S862" s="1931"/>
      <c r="T862" s="120" t="s">
        <v>1406</v>
      </c>
      <c r="W862" s="2163"/>
      <c r="Z862" s="839"/>
      <c r="AA862" s="839"/>
      <c r="AB862" s="1940"/>
    </row>
    <row r="863" s="42" customFormat="1" ht="16" customHeight="1" spans="1:28">
      <c r="A863" s="839">
        <v>725</v>
      </c>
      <c r="B863" s="19" t="s">
        <v>637</v>
      </c>
      <c r="C863" s="19"/>
      <c r="D863" s="21"/>
      <c r="E863" s="21"/>
      <c r="F863" s="2130" t="s">
        <v>1979</v>
      </c>
      <c r="G863" s="21" t="s">
        <v>642</v>
      </c>
      <c r="H863" s="21"/>
      <c r="I863" s="21"/>
      <c r="J863" s="21"/>
      <c r="K863" s="2048"/>
      <c r="L863" s="36"/>
      <c r="M863" s="22">
        <v>0.512315270935961</v>
      </c>
      <c r="N863" s="22">
        <v>2.69950738916256</v>
      </c>
      <c r="O863" s="37">
        <v>0.4</v>
      </c>
      <c r="P863" s="37">
        <f t="shared" si="90"/>
        <v>3.61182266009852</v>
      </c>
      <c r="Q863" s="219"/>
      <c r="R863" s="39"/>
      <c r="S863" s="1931"/>
      <c r="T863" s="120" t="s">
        <v>1406</v>
      </c>
      <c r="W863" s="2163"/>
      <c r="Z863" s="839"/>
      <c r="AA863" s="839"/>
      <c r="AB863" s="1940"/>
    </row>
    <row r="864" s="42" customFormat="1" ht="16" customHeight="1" spans="1:28">
      <c r="A864" s="839">
        <v>726</v>
      </c>
      <c r="B864" s="19" t="s">
        <v>637</v>
      </c>
      <c r="C864" s="19"/>
      <c r="D864" s="21"/>
      <c r="E864" s="21"/>
      <c r="F864" s="2130" t="s">
        <v>1979</v>
      </c>
      <c r="G864" s="21" t="s">
        <v>643</v>
      </c>
      <c r="H864" s="21"/>
      <c r="I864" s="21"/>
      <c r="J864" s="21"/>
      <c r="K864" s="2048"/>
      <c r="L864" s="36"/>
      <c r="M864" s="22">
        <v>0.32512315270936</v>
      </c>
      <c r="N864" s="22">
        <v>0.443349753694581</v>
      </c>
      <c r="O864" s="37">
        <v>0.2</v>
      </c>
      <c r="P864" s="37">
        <f t="shared" si="90"/>
        <v>0.968472906403941</v>
      </c>
      <c r="Q864" s="219"/>
      <c r="R864" s="39"/>
      <c r="S864" s="1931"/>
      <c r="T864" s="120" t="s">
        <v>1406</v>
      </c>
      <c r="W864" s="2163"/>
      <c r="Z864" s="839"/>
      <c r="AA864" s="839"/>
      <c r="AB864" s="1940"/>
    </row>
    <row r="865" s="42" customFormat="1" ht="16" customHeight="1" spans="1:28">
      <c r="A865" s="839">
        <v>727</v>
      </c>
      <c r="B865" s="19" t="s">
        <v>637</v>
      </c>
      <c r="C865" s="19"/>
      <c r="D865" s="21"/>
      <c r="E865" s="21"/>
      <c r="F865" s="2130" t="s">
        <v>1979</v>
      </c>
      <c r="G865" s="21" t="s">
        <v>644</v>
      </c>
      <c r="H865" s="21"/>
      <c r="I865" s="21"/>
      <c r="J865" s="21"/>
      <c r="K865" s="2048"/>
      <c r="L865" s="36"/>
      <c r="M865" s="22">
        <v>0.197044334975369</v>
      </c>
      <c r="N865" s="22">
        <v>0.216748768472906</v>
      </c>
      <c r="O865" s="37">
        <v>0.2</v>
      </c>
      <c r="P865" s="37">
        <f t="shared" si="90"/>
        <v>0.613793103448275</v>
      </c>
      <c r="Q865" s="219"/>
      <c r="R865" s="39"/>
      <c r="S865" s="1931"/>
      <c r="T865" s="120" t="s">
        <v>1406</v>
      </c>
      <c r="W865" s="2163"/>
      <c r="Z865" s="839"/>
      <c r="AA865" s="839"/>
      <c r="AB865" s="1940"/>
    </row>
    <row r="866" s="42" customFormat="1" ht="16" customHeight="1" spans="1:28">
      <c r="A866" s="839">
        <v>728</v>
      </c>
      <c r="B866" s="19" t="s">
        <v>637</v>
      </c>
      <c r="C866" s="19"/>
      <c r="D866" s="21"/>
      <c r="E866" s="21"/>
      <c r="F866" s="2130" t="s">
        <v>1979</v>
      </c>
      <c r="G866" s="21" t="s">
        <v>645</v>
      </c>
      <c r="H866" s="21"/>
      <c r="I866" s="21"/>
      <c r="J866" s="21"/>
      <c r="K866" s="2048"/>
      <c r="L866" s="36"/>
      <c r="M866" s="22">
        <v>0.315270935960591</v>
      </c>
      <c r="N866" s="22">
        <v>1.33004926108374</v>
      </c>
      <c r="O866" s="37">
        <v>0.4</v>
      </c>
      <c r="P866" s="37">
        <f t="shared" si="90"/>
        <v>2.04532019704433</v>
      </c>
      <c r="Q866" s="219"/>
      <c r="R866" s="39"/>
      <c r="S866" s="1931"/>
      <c r="T866" s="120" t="s">
        <v>1406</v>
      </c>
      <c r="W866" s="2163"/>
      <c r="Z866" s="839"/>
      <c r="AA866" s="839"/>
      <c r="AB866" s="1940"/>
    </row>
    <row r="867" s="42" customFormat="1" ht="16" customHeight="1" spans="1:28">
      <c r="A867" s="839">
        <v>729</v>
      </c>
      <c r="B867" s="19" t="s">
        <v>637</v>
      </c>
      <c r="C867" s="19"/>
      <c r="D867" s="21"/>
      <c r="E867" s="21"/>
      <c r="F867" s="2130" t="s">
        <v>1979</v>
      </c>
      <c r="G867" s="21" t="s">
        <v>646</v>
      </c>
      <c r="H867" s="21"/>
      <c r="I867" s="21"/>
      <c r="J867" s="21"/>
      <c r="K867" s="2048"/>
      <c r="L867" s="36"/>
      <c r="M867" s="22">
        <v>0.219685691561975</v>
      </c>
      <c r="N867" s="22">
        <v>0.374384236453202</v>
      </c>
      <c r="O867" s="37">
        <v>0.2</v>
      </c>
      <c r="P867" s="37">
        <f t="shared" si="90"/>
        <v>0.794069928015177</v>
      </c>
      <c r="Q867" s="219"/>
      <c r="R867" s="39"/>
      <c r="S867" s="1931"/>
      <c r="T867" s="120" t="s">
        <v>1406</v>
      </c>
      <c r="W867" s="2163"/>
      <c r="Z867" s="839"/>
      <c r="AA867" s="839"/>
      <c r="AB867" s="1940"/>
    </row>
    <row r="868" s="42" customFormat="1" ht="16" customHeight="1" spans="1:28">
      <c r="A868" s="839">
        <v>730</v>
      </c>
      <c r="B868" s="19" t="s">
        <v>637</v>
      </c>
      <c r="C868" s="19"/>
      <c r="D868" s="21"/>
      <c r="E868" s="21"/>
      <c r="F868" s="2130" t="s">
        <v>1979</v>
      </c>
      <c r="G868" s="21" t="s">
        <v>647</v>
      </c>
      <c r="H868" s="21"/>
      <c r="I868" s="21"/>
      <c r="J868" s="21"/>
      <c r="K868" s="2048"/>
      <c r="L868" s="36"/>
      <c r="M868" s="22">
        <v>0.576674940350186</v>
      </c>
      <c r="N868" s="22">
        <v>3.35960591133005</v>
      </c>
      <c r="O868" s="37">
        <v>0.4</v>
      </c>
      <c r="P868" s="37">
        <f t="shared" si="90"/>
        <v>4.33628085168024</v>
      </c>
      <c r="Q868" s="219"/>
      <c r="R868" s="39"/>
      <c r="S868" s="1931"/>
      <c r="T868" s="120" t="s">
        <v>1406</v>
      </c>
      <c r="W868" s="2163"/>
      <c r="Z868" s="839"/>
      <c r="AA868" s="839"/>
      <c r="AB868" s="1940"/>
    </row>
    <row r="869" s="42" customFormat="1" ht="16" customHeight="1" spans="1:28">
      <c r="A869" s="839">
        <v>731</v>
      </c>
      <c r="B869" s="19" t="s">
        <v>637</v>
      </c>
      <c r="C869" s="19"/>
      <c r="D869" s="21"/>
      <c r="E869" s="21"/>
      <c r="F869" s="2130" t="s">
        <v>1979</v>
      </c>
      <c r="G869" s="21" t="s">
        <v>648</v>
      </c>
      <c r="H869" s="21"/>
      <c r="I869" s="21"/>
      <c r="J869" s="21"/>
      <c r="K869" s="2048"/>
      <c r="L869" s="36"/>
      <c r="M869" s="22">
        <v>0.660098522167488</v>
      </c>
      <c r="N869" s="22">
        <v>3.22777386816796</v>
      </c>
      <c r="O869" s="37">
        <v>0.4</v>
      </c>
      <c r="P869" s="37">
        <f t="shared" si="90"/>
        <v>4.28787239033545</v>
      </c>
      <c r="Q869" s="219"/>
      <c r="R869" s="39"/>
      <c r="S869" s="1931"/>
      <c r="T869" s="120" t="s">
        <v>1406</v>
      </c>
      <c r="W869" s="2163"/>
      <c r="Z869" s="839"/>
      <c r="AA869" s="839"/>
      <c r="AB869" s="1940"/>
    </row>
    <row r="870" s="42" customFormat="1" ht="16" customHeight="1" spans="1:28">
      <c r="A870" s="839">
        <v>732</v>
      </c>
      <c r="B870" s="19" t="s">
        <v>637</v>
      </c>
      <c r="C870" s="19"/>
      <c r="D870" s="21"/>
      <c r="E870" s="21"/>
      <c r="F870" s="2130" t="s">
        <v>1979</v>
      </c>
      <c r="G870" s="21" t="s">
        <v>649</v>
      </c>
      <c r="H870" s="21"/>
      <c r="I870" s="21"/>
      <c r="J870" s="21"/>
      <c r="K870" s="2048"/>
      <c r="L870" s="36"/>
      <c r="M870" s="22">
        <v>0.266009852216749</v>
      </c>
      <c r="N870" s="22">
        <v>0.863241848463523</v>
      </c>
      <c r="O870" s="37">
        <v>0.4</v>
      </c>
      <c r="P870" s="37">
        <f t="shared" si="90"/>
        <v>1.52925170068027</v>
      </c>
      <c r="Q870" s="219"/>
      <c r="R870" s="39"/>
      <c r="S870" s="1931"/>
      <c r="T870" s="120" t="s">
        <v>1406</v>
      </c>
      <c r="W870" s="2163"/>
      <c r="Z870" s="839"/>
      <c r="AA870" s="839"/>
      <c r="AB870" s="1940"/>
    </row>
    <row r="871" s="42" customFormat="1" ht="16" customHeight="1" spans="1:28">
      <c r="A871" s="839">
        <v>733</v>
      </c>
      <c r="B871" s="19" t="s">
        <v>637</v>
      </c>
      <c r="C871" s="19"/>
      <c r="D871" s="21"/>
      <c r="E871" s="21"/>
      <c r="F871" s="2130" t="s">
        <v>1979</v>
      </c>
      <c r="G871" s="21" t="s">
        <v>650</v>
      </c>
      <c r="H871" s="21"/>
      <c r="I871" s="21"/>
      <c r="J871" s="21"/>
      <c r="K871" s="2048"/>
      <c r="L871" s="36"/>
      <c r="M871" s="22">
        <v>0.660098522167488</v>
      </c>
      <c r="N871" s="22">
        <v>3.57494722026742</v>
      </c>
      <c r="O871" s="37">
        <v>0.4</v>
      </c>
      <c r="P871" s="37">
        <f t="shared" si="90"/>
        <v>4.63504574243491</v>
      </c>
      <c r="Q871" s="219"/>
      <c r="R871" s="39"/>
      <c r="S871" s="1931"/>
      <c r="T871" s="120" t="s">
        <v>1406</v>
      </c>
      <c r="W871" s="2163"/>
      <c r="Z871" s="839"/>
      <c r="AA871" s="839"/>
      <c r="AB871" s="1940"/>
    </row>
    <row r="872" s="42" customFormat="1" ht="16" customHeight="1" spans="1:28">
      <c r="A872" s="839">
        <v>734</v>
      </c>
      <c r="B872" s="19" t="s">
        <v>637</v>
      </c>
      <c r="C872" s="19"/>
      <c r="D872" s="21"/>
      <c r="E872" s="21"/>
      <c r="F872" s="2130" t="s">
        <v>1979</v>
      </c>
      <c r="G872" s="21" t="s">
        <v>651</v>
      </c>
      <c r="H872" s="21"/>
      <c r="I872" s="21"/>
      <c r="J872" s="21"/>
      <c r="K872" s="2048"/>
      <c r="L872" s="36"/>
      <c r="M872" s="22">
        <v>0.660098522167488</v>
      </c>
      <c r="N872" s="22">
        <v>3.54679802955665</v>
      </c>
      <c r="O872" s="37">
        <v>0.4</v>
      </c>
      <c r="P872" s="37">
        <f t="shared" si="90"/>
        <v>4.60689655172414</v>
      </c>
      <c r="Q872" s="219"/>
      <c r="R872" s="39"/>
      <c r="S872" s="1931"/>
      <c r="T872" s="120" t="s">
        <v>1406</v>
      </c>
      <c r="W872" s="2163"/>
      <c r="Z872" s="839"/>
      <c r="AA872" s="839"/>
      <c r="AB872" s="1940"/>
    </row>
    <row r="873" s="42" customFormat="1" ht="16" customHeight="1" spans="1:28">
      <c r="A873" s="839">
        <v>735</v>
      </c>
      <c r="B873" s="19" t="s">
        <v>637</v>
      </c>
      <c r="C873" s="19"/>
      <c r="D873" s="21"/>
      <c r="E873" s="21"/>
      <c r="F873" s="2130" t="s">
        <v>1979</v>
      </c>
      <c r="G873" s="21" t="s">
        <v>652</v>
      </c>
      <c r="H873" s="21"/>
      <c r="I873" s="21"/>
      <c r="J873" s="21"/>
      <c r="K873" s="2048"/>
      <c r="L873" s="36"/>
      <c r="M873" s="22">
        <v>0.157635467980296</v>
      </c>
      <c r="N873" s="22">
        <v>0.694346704198921</v>
      </c>
      <c r="O873" s="37">
        <v>0.2</v>
      </c>
      <c r="P873" s="37">
        <f t="shared" ref="P873:P936" si="91">SUM(K873:O873)</f>
        <v>1.05198217217922</v>
      </c>
      <c r="Q873" s="219"/>
      <c r="R873" s="39"/>
      <c r="S873" s="1931"/>
      <c r="T873" s="120" t="s">
        <v>1406</v>
      </c>
      <c r="W873" s="2163"/>
      <c r="Z873" s="839"/>
      <c r="AA873" s="839"/>
      <c r="AB873" s="1940"/>
    </row>
    <row r="874" s="187" customFormat="1" ht="16" customHeight="1" spans="1:28">
      <c r="A874" s="839">
        <v>736</v>
      </c>
      <c r="B874" s="19" t="s">
        <v>637</v>
      </c>
      <c r="C874" s="19"/>
      <c r="D874" s="21"/>
      <c r="E874" s="21"/>
      <c r="F874" s="2130" t="s">
        <v>1979</v>
      </c>
      <c r="G874" s="21" t="s">
        <v>653</v>
      </c>
      <c r="H874" s="21"/>
      <c r="I874" s="21"/>
      <c r="J874" s="21"/>
      <c r="K874" s="2048"/>
      <c r="L874" s="36"/>
      <c r="M874" s="22">
        <v>0.660098522167488</v>
      </c>
      <c r="N874" s="22">
        <v>3.63124560168896</v>
      </c>
      <c r="O874" s="37">
        <v>0.4</v>
      </c>
      <c r="P874" s="37">
        <f t="shared" si="91"/>
        <v>4.69134412385645</v>
      </c>
      <c r="Q874" s="219"/>
      <c r="R874" s="23"/>
      <c r="S874" s="804"/>
      <c r="T874" s="120" t="s">
        <v>1406</v>
      </c>
      <c r="W874" s="2180"/>
      <c r="Z874" s="839"/>
      <c r="AA874" s="839"/>
      <c r="AB874" s="1940"/>
    </row>
    <row r="875" s="187" customFormat="1" ht="16" customHeight="1" spans="1:28">
      <c r="A875" s="839">
        <v>737</v>
      </c>
      <c r="B875" s="19" t="s">
        <v>637</v>
      </c>
      <c r="C875" s="19"/>
      <c r="D875" s="21"/>
      <c r="E875" s="21"/>
      <c r="F875" s="2130" t="s">
        <v>1979</v>
      </c>
      <c r="G875" s="21" t="s">
        <v>654</v>
      </c>
      <c r="H875" s="21"/>
      <c r="I875" s="21"/>
      <c r="J875" s="21"/>
      <c r="K875" s="2048"/>
      <c r="L875" s="36"/>
      <c r="M875" s="22">
        <v>0.0689655172413793</v>
      </c>
      <c r="N875" s="22">
        <v>0.150129017124091</v>
      </c>
      <c r="O875" s="37">
        <v>0.4</v>
      </c>
      <c r="P875" s="37">
        <f t="shared" si="91"/>
        <v>0.61909453436547</v>
      </c>
      <c r="Q875" s="219"/>
      <c r="R875" s="23"/>
      <c r="S875" s="804"/>
      <c r="T875" s="120" t="s">
        <v>1406</v>
      </c>
      <c r="W875" s="2180"/>
      <c r="Z875" s="839"/>
      <c r="AA875" s="839"/>
      <c r="AB875" s="1940"/>
    </row>
    <row r="876" s="187" customFormat="1" ht="16" customHeight="1" spans="1:28">
      <c r="A876" s="839">
        <v>738</v>
      </c>
      <c r="B876" s="19" t="s">
        <v>637</v>
      </c>
      <c r="C876" s="19"/>
      <c r="D876" s="21"/>
      <c r="E876" s="21"/>
      <c r="F876" s="2130" t="s">
        <v>1979</v>
      </c>
      <c r="G876" s="21" t="s">
        <v>655</v>
      </c>
      <c r="H876" s="21"/>
      <c r="I876" s="21"/>
      <c r="J876" s="21"/>
      <c r="K876" s="2048"/>
      <c r="L876" s="36"/>
      <c r="M876" s="22">
        <v>0.315270935960591</v>
      </c>
      <c r="N876" s="22">
        <v>1.7358667604973</v>
      </c>
      <c r="O876" s="37">
        <v>0.2</v>
      </c>
      <c r="P876" s="37">
        <f t="shared" si="91"/>
        <v>2.25113769645789</v>
      </c>
      <c r="Q876" s="219"/>
      <c r="R876" s="23"/>
      <c r="S876" s="804"/>
      <c r="T876" s="120" t="s">
        <v>1406</v>
      </c>
      <c r="W876" s="2180"/>
      <c r="Z876" s="839"/>
      <c r="AA876" s="839"/>
      <c r="AB876" s="1940"/>
    </row>
    <row r="877" s="187" customFormat="1" ht="16" customHeight="1" spans="1:28">
      <c r="A877" s="839">
        <v>739</v>
      </c>
      <c r="B877" s="19" t="s">
        <v>637</v>
      </c>
      <c r="C877" s="19"/>
      <c r="D877" s="21"/>
      <c r="E877" s="21"/>
      <c r="F877" s="2130" t="s">
        <v>1979</v>
      </c>
      <c r="G877" s="21" t="s">
        <v>656</v>
      </c>
      <c r="H877" s="21"/>
      <c r="I877" s="21"/>
      <c r="J877" s="21"/>
      <c r="K877" s="2048"/>
      <c r="L877" s="36"/>
      <c r="M877" s="22">
        <v>0.0788177339901478</v>
      </c>
      <c r="N877" s="22">
        <v>0.300258034248182</v>
      </c>
      <c r="O877" s="37">
        <v>0.2</v>
      </c>
      <c r="P877" s="37">
        <f t="shared" si="91"/>
        <v>0.57907576823833</v>
      </c>
      <c r="Q877" s="219"/>
      <c r="R877" s="23"/>
      <c r="S877" s="804"/>
      <c r="T877" s="120" t="s">
        <v>1406</v>
      </c>
      <c r="W877" s="2180"/>
      <c r="Z877" s="839"/>
      <c r="AA877" s="839"/>
      <c r="AB877" s="1940"/>
    </row>
    <row r="878" s="187" customFormat="1" ht="16" customHeight="1" spans="1:28">
      <c r="A878" s="839">
        <v>740</v>
      </c>
      <c r="B878" s="19" t="s">
        <v>637</v>
      </c>
      <c r="C878" s="19"/>
      <c r="D878" s="21"/>
      <c r="E878" s="21"/>
      <c r="F878" s="2130" t="s">
        <v>1979</v>
      </c>
      <c r="G878" s="21" t="s">
        <v>657</v>
      </c>
      <c r="H878" s="21"/>
      <c r="I878" s="21"/>
      <c r="J878" s="21"/>
      <c r="K878" s="2048"/>
      <c r="L878" s="36"/>
      <c r="M878" s="22">
        <v>0.0985221674876847</v>
      </c>
      <c r="N878" s="22">
        <v>0.309641097818437</v>
      </c>
      <c r="O878" s="37">
        <v>0.2</v>
      </c>
      <c r="P878" s="37">
        <f t="shared" si="91"/>
        <v>0.608163265306122</v>
      </c>
      <c r="Q878" s="219"/>
      <c r="R878" s="23"/>
      <c r="S878" s="804"/>
      <c r="T878" s="120" t="s">
        <v>1406</v>
      </c>
      <c r="W878" s="2180"/>
      <c r="Z878" s="839"/>
      <c r="AA878" s="839"/>
      <c r="AB878" s="1940"/>
    </row>
    <row r="879" s="187" customFormat="1" ht="16" customHeight="1" spans="1:28">
      <c r="A879" s="839">
        <v>741</v>
      </c>
      <c r="B879" s="19" t="s">
        <v>637</v>
      </c>
      <c r="C879" s="19"/>
      <c r="D879" s="21"/>
      <c r="E879" s="21"/>
      <c r="F879" s="2130" t="s">
        <v>1979</v>
      </c>
      <c r="G879" s="21" t="s">
        <v>658</v>
      </c>
      <c r="H879" s="21"/>
      <c r="I879" s="21"/>
      <c r="J879" s="21"/>
      <c r="K879" s="2048"/>
      <c r="L879" s="36"/>
      <c r="M879" s="22">
        <v>0.38423645320197</v>
      </c>
      <c r="N879" s="22">
        <v>2.60849167253108</v>
      </c>
      <c r="O879" s="37">
        <v>0.4</v>
      </c>
      <c r="P879" s="37">
        <f t="shared" si="91"/>
        <v>3.39272812573305</v>
      </c>
      <c r="Q879" s="219"/>
      <c r="R879" s="23"/>
      <c r="S879" s="804"/>
      <c r="T879" s="120" t="s">
        <v>1406</v>
      </c>
      <c r="W879" s="2180"/>
      <c r="Z879" s="839"/>
      <c r="AA879" s="839"/>
      <c r="AB879" s="1940"/>
    </row>
    <row r="880" s="187" customFormat="1" ht="16" customHeight="1" spans="1:28">
      <c r="A880" s="839">
        <v>742</v>
      </c>
      <c r="B880" s="19" t="s">
        <v>637</v>
      </c>
      <c r="C880" s="19"/>
      <c r="D880" s="21"/>
      <c r="E880" s="21"/>
      <c r="F880" s="2130" t="s">
        <v>1979</v>
      </c>
      <c r="G880" s="21" t="s">
        <v>659</v>
      </c>
      <c r="H880" s="21"/>
      <c r="I880" s="21"/>
      <c r="J880" s="21"/>
      <c r="K880" s="2048"/>
      <c r="L880" s="36"/>
      <c r="M880" s="22">
        <v>0.26</v>
      </c>
      <c r="N880" s="22">
        <v>1.06666666666667</v>
      </c>
      <c r="O880" s="37">
        <v>0.4</v>
      </c>
      <c r="P880" s="37">
        <f t="shared" si="91"/>
        <v>1.72666666666667</v>
      </c>
      <c r="Q880" s="219"/>
      <c r="R880" s="23"/>
      <c r="S880" s="804"/>
      <c r="T880" s="120" t="s">
        <v>1406</v>
      </c>
      <c r="W880" s="2180"/>
      <c r="Z880" s="839"/>
      <c r="AA880" s="839"/>
      <c r="AB880" s="1940"/>
    </row>
    <row r="881" s="187" customFormat="1" ht="16" customHeight="1" spans="1:28">
      <c r="A881" s="839">
        <v>743</v>
      </c>
      <c r="B881" s="19" t="s">
        <v>637</v>
      </c>
      <c r="C881" s="19"/>
      <c r="D881" s="21"/>
      <c r="E881" s="21"/>
      <c r="F881" s="2130" t="s">
        <v>1979</v>
      </c>
      <c r="G881" s="21" t="s">
        <v>660</v>
      </c>
      <c r="H881" s="21"/>
      <c r="I881" s="21"/>
      <c r="J881" s="21"/>
      <c r="K881" s="2048"/>
      <c r="L881" s="36"/>
      <c r="M881" s="22">
        <v>0.21</v>
      </c>
      <c r="N881" s="22">
        <v>0.733333333333333</v>
      </c>
      <c r="O881" s="37">
        <v>0.4</v>
      </c>
      <c r="P881" s="37">
        <f t="shared" si="91"/>
        <v>1.34333333333333</v>
      </c>
      <c r="Q881" s="219"/>
      <c r="R881" s="23"/>
      <c r="S881" s="804"/>
      <c r="T881" s="120" t="s">
        <v>1406</v>
      </c>
      <c r="W881" s="2180"/>
      <c r="Z881" s="839"/>
      <c r="AA881" s="839"/>
      <c r="AB881" s="1940"/>
    </row>
    <row r="882" s="187" customFormat="1" ht="16" customHeight="1" spans="1:28">
      <c r="A882" s="839">
        <v>744</v>
      </c>
      <c r="B882" s="19" t="s">
        <v>637</v>
      </c>
      <c r="C882" s="19"/>
      <c r="D882" s="21"/>
      <c r="E882" s="21"/>
      <c r="F882" s="2130" t="s">
        <v>1979</v>
      </c>
      <c r="G882" s="21" t="s">
        <v>661</v>
      </c>
      <c r="H882" s="21"/>
      <c r="I882" s="21"/>
      <c r="J882" s="21"/>
      <c r="K882" s="2048"/>
      <c r="L882" s="36"/>
      <c r="M882" s="22">
        <v>0.26</v>
      </c>
      <c r="N882" s="22">
        <v>1.16190476190476</v>
      </c>
      <c r="O882" s="37">
        <v>0.2</v>
      </c>
      <c r="P882" s="37">
        <f t="shared" si="91"/>
        <v>1.62190476190476</v>
      </c>
      <c r="Q882" s="219"/>
      <c r="R882" s="23"/>
      <c r="S882" s="804"/>
      <c r="T882" s="120" t="s">
        <v>1406</v>
      </c>
      <c r="W882" s="2180"/>
      <c r="Z882" s="839"/>
      <c r="AA882" s="839"/>
      <c r="AB882" s="1940"/>
    </row>
    <row r="883" s="187" customFormat="1" ht="16" customHeight="1" spans="1:28">
      <c r="A883" s="839">
        <v>745</v>
      </c>
      <c r="B883" s="19" t="s">
        <v>637</v>
      </c>
      <c r="C883" s="19"/>
      <c r="D883" s="21"/>
      <c r="E883" s="21"/>
      <c r="F883" s="2130" t="s">
        <v>1979</v>
      </c>
      <c r="G883" s="21" t="s">
        <v>662</v>
      </c>
      <c r="H883" s="21"/>
      <c r="I883" s="21"/>
      <c r="J883" s="21"/>
      <c r="K883" s="2048"/>
      <c r="L883" s="36"/>
      <c r="M883" s="22">
        <v>0.22</v>
      </c>
      <c r="N883" s="22">
        <v>2.19047619047619</v>
      </c>
      <c r="O883" s="37">
        <v>0.4</v>
      </c>
      <c r="P883" s="37">
        <f t="shared" si="91"/>
        <v>2.81047619047619</v>
      </c>
      <c r="Q883" s="219"/>
      <c r="R883" s="23"/>
      <c r="S883" s="804"/>
      <c r="T883" s="120" t="s">
        <v>1406</v>
      </c>
      <c r="W883" s="2180"/>
      <c r="Z883" s="839"/>
      <c r="AA883" s="839"/>
      <c r="AB883" s="1940"/>
    </row>
    <row r="884" s="187" customFormat="1" ht="16" customHeight="1" spans="1:28">
      <c r="A884" s="839">
        <v>746</v>
      </c>
      <c r="B884" s="19" t="s">
        <v>637</v>
      </c>
      <c r="C884" s="19"/>
      <c r="D884" s="21"/>
      <c r="E884" s="21"/>
      <c r="F884" s="2130" t="s">
        <v>1979</v>
      </c>
      <c r="G884" s="21" t="s">
        <v>663</v>
      </c>
      <c r="H884" s="21"/>
      <c r="I884" s="21"/>
      <c r="J884" s="21"/>
      <c r="K884" s="2048"/>
      <c r="L884" s="36"/>
      <c r="M884" s="22">
        <v>0.35</v>
      </c>
      <c r="N884" s="22">
        <v>1.44761904761904</v>
      </c>
      <c r="O884" s="37">
        <v>0.4</v>
      </c>
      <c r="P884" s="37">
        <f t="shared" si="91"/>
        <v>2.19761904761904</v>
      </c>
      <c r="Q884" s="219"/>
      <c r="R884" s="23"/>
      <c r="S884" s="804"/>
      <c r="T884" s="120" t="s">
        <v>1406</v>
      </c>
      <c r="W884" s="2180"/>
      <c r="Z884" s="839"/>
      <c r="AA884" s="839"/>
      <c r="AB884" s="1940"/>
    </row>
    <row r="885" s="187" customFormat="1" ht="16" customHeight="1" spans="1:28">
      <c r="A885" s="839">
        <v>747</v>
      </c>
      <c r="B885" s="19" t="s">
        <v>637</v>
      </c>
      <c r="C885" s="19"/>
      <c r="D885" s="21"/>
      <c r="E885" s="21"/>
      <c r="F885" s="2130" t="s">
        <v>1979</v>
      </c>
      <c r="G885" s="21" t="s">
        <v>664</v>
      </c>
      <c r="H885" s="21"/>
      <c r="I885" s="21"/>
      <c r="J885" s="21"/>
      <c r="K885" s="2048"/>
      <c r="L885" s="36"/>
      <c r="M885" s="22">
        <v>0.46</v>
      </c>
      <c r="N885" s="22">
        <v>1.88571428571429</v>
      </c>
      <c r="O885" s="37">
        <v>0.2</v>
      </c>
      <c r="P885" s="37">
        <f t="shared" si="91"/>
        <v>2.54571428571429</v>
      </c>
      <c r="Q885" s="219"/>
      <c r="R885" s="23"/>
      <c r="S885" s="804"/>
      <c r="T885" s="120" t="s">
        <v>1406</v>
      </c>
      <c r="W885" s="2180"/>
      <c r="Z885" s="839"/>
      <c r="AA885" s="839"/>
      <c r="AB885" s="1940"/>
    </row>
    <row r="886" s="42" customFormat="1" ht="16" customHeight="1" spans="1:28">
      <c r="A886" s="839">
        <v>748</v>
      </c>
      <c r="B886" s="19" t="s">
        <v>637</v>
      </c>
      <c r="C886" s="19"/>
      <c r="D886" s="21"/>
      <c r="E886" s="21"/>
      <c r="F886" s="2130" t="s">
        <v>1979</v>
      </c>
      <c r="G886" s="21" t="s">
        <v>665</v>
      </c>
      <c r="H886" s="21"/>
      <c r="I886" s="21"/>
      <c r="J886" s="21"/>
      <c r="K886" s="2048"/>
      <c r="L886" s="36"/>
      <c r="M886" s="22">
        <v>0.38423645320197</v>
      </c>
      <c r="N886" s="22">
        <v>0.344827586206897</v>
      </c>
      <c r="O886" s="37">
        <v>0.4</v>
      </c>
      <c r="P886" s="37">
        <f t="shared" si="91"/>
        <v>1.12906403940887</v>
      </c>
      <c r="Q886" s="219"/>
      <c r="R886" s="20"/>
      <c r="S886" s="805"/>
      <c r="T886" s="120" t="s">
        <v>1406</v>
      </c>
      <c r="W886" s="2163"/>
      <c r="Z886" s="839"/>
      <c r="AA886" s="839"/>
      <c r="AB886" s="1940"/>
    </row>
    <row r="887" s="42" customFormat="1" ht="16" customHeight="1" spans="1:28">
      <c r="A887" s="839">
        <v>749</v>
      </c>
      <c r="B887" s="19" t="s">
        <v>637</v>
      </c>
      <c r="C887" s="19"/>
      <c r="D887" s="21"/>
      <c r="E887" s="21"/>
      <c r="F887" s="2130" t="s">
        <v>1979</v>
      </c>
      <c r="G887" s="21" t="s">
        <v>666</v>
      </c>
      <c r="H887" s="21"/>
      <c r="I887" s="21"/>
      <c r="J887" s="21"/>
      <c r="K887" s="2048"/>
      <c r="L887" s="36"/>
      <c r="M887" s="22">
        <v>0.216748768472906</v>
      </c>
      <c r="N887" s="22">
        <v>0.413793103448276</v>
      </c>
      <c r="O887" s="37">
        <v>0.2</v>
      </c>
      <c r="P887" s="37">
        <f t="shared" si="91"/>
        <v>0.830541871921182</v>
      </c>
      <c r="Q887" s="219"/>
      <c r="R887" s="20"/>
      <c r="S887" s="805"/>
      <c r="T887" s="120" t="s">
        <v>1406</v>
      </c>
      <c r="W887" s="2163"/>
      <c r="Z887" s="839"/>
      <c r="AA887" s="839"/>
      <c r="AB887" s="1940"/>
    </row>
    <row r="888" s="187" customFormat="1" ht="16" customHeight="1" spans="1:28">
      <c r="A888" s="839">
        <v>750</v>
      </c>
      <c r="B888" s="19" t="s">
        <v>637</v>
      </c>
      <c r="C888" s="19"/>
      <c r="D888" s="21"/>
      <c r="E888" s="21"/>
      <c r="F888" s="2130" t="s">
        <v>1979</v>
      </c>
      <c r="G888" s="21" t="s">
        <v>668</v>
      </c>
      <c r="H888" s="21"/>
      <c r="I888" s="21"/>
      <c r="J888" s="21"/>
      <c r="K888" s="2048"/>
      <c r="L888" s="36"/>
      <c r="M888" s="22">
        <v>0.315270935960591</v>
      </c>
      <c r="N888" s="22">
        <v>1.17241379310345</v>
      </c>
      <c r="O888" s="37">
        <v>0.2</v>
      </c>
      <c r="P888" s="37">
        <f t="shared" si="91"/>
        <v>1.68768472906404</v>
      </c>
      <c r="Q888" s="219"/>
      <c r="R888" s="23"/>
      <c r="S888" s="804"/>
      <c r="T888" s="120" t="s">
        <v>1406</v>
      </c>
      <c r="W888" s="2180"/>
      <c r="Z888" s="839"/>
      <c r="AA888" s="839"/>
      <c r="AB888" s="1940"/>
    </row>
    <row r="889" s="187" customFormat="1" ht="16" customHeight="1" spans="1:28">
      <c r="A889" s="839">
        <v>751</v>
      </c>
      <c r="B889" s="19" t="s">
        <v>637</v>
      </c>
      <c r="C889" s="19"/>
      <c r="D889" s="21"/>
      <c r="E889" s="21"/>
      <c r="F889" s="2130" t="s">
        <v>1979</v>
      </c>
      <c r="G889" s="21" t="s">
        <v>669</v>
      </c>
      <c r="H889" s="21"/>
      <c r="I889" s="21"/>
      <c r="J889" s="21"/>
      <c r="K889" s="2048"/>
      <c r="L889" s="36"/>
      <c r="M889" s="22">
        <v>0.157635467980296</v>
      </c>
      <c r="N889" s="22">
        <v>0.423645320197044</v>
      </c>
      <c r="O889" s="37">
        <v>0.2</v>
      </c>
      <c r="P889" s="37">
        <f t="shared" si="91"/>
        <v>0.78128078817734</v>
      </c>
      <c r="Q889" s="219"/>
      <c r="R889" s="23"/>
      <c r="S889" s="804"/>
      <c r="T889" s="120" t="s">
        <v>1406</v>
      </c>
      <c r="W889" s="2180"/>
      <c r="Z889" s="839"/>
      <c r="AA889" s="839"/>
      <c r="AB889" s="1940"/>
    </row>
    <row r="890" s="42" customFormat="1" ht="16" customHeight="1" spans="1:28">
      <c r="A890" s="839">
        <v>752</v>
      </c>
      <c r="B890" s="19" t="s">
        <v>637</v>
      </c>
      <c r="C890" s="19"/>
      <c r="D890" s="21"/>
      <c r="E890" s="21"/>
      <c r="F890" s="2130" t="s">
        <v>1979</v>
      </c>
      <c r="G890" s="21" t="s">
        <v>670</v>
      </c>
      <c r="H890" s="21"/>
      <c r="I890" s="21"/>
      <c r="J890" s="21"/>
      <c r="K890" s="2048"/>
      <c r="L890" s="36"/>
      <c r="M890" s="22">
        <v>0.38423645320197</v>
      </c>
      <c r="N890" s="22">
        <v>1.23152709359606</v>
      </c>
      <c r="O890" s="37">
        <v>0.4</v>
      </c>
      <c r="P890" s="37">
        <f t="shared" si="91"/>
        <v>2.01576354679803</v>
      </c>
      <c r="Q890" s="219"/>
      <c r="R890" s="20"/>
      <c r="S890" s="805"/>
      <c r="T890" s="120" t="s">
        <v>1406</v>
      </c>
      <c r="W890" s="2163"/>
      <c r="Z890" s="839"/>
      <c r="AA890" s="839"/>
      <c r="AB890" s="1940"/>
    </row>
    <row r="891" s="42" customFormat="1" ht="16" customHeight="1" spans="1:28">
      <c r="A891" s="839">
        <v>753</v>
      </c>
      <c r="B891" s="19" t="s">
        <v>637</v>
      </c>
      <c r="C891" s="19"/>
      <c r="D891" s="21"/>
      <c r="E891" s="21"/>
      <c r="F891" s="2130" t="s">
        <v>1979</v>
      </c>
      <c r="G891" s="21" t="s">
        <v>671</v>
      </c>
      <c r="H891" s="21"/>
      <c r="I891" s="21"/>
      <c r="J891" s="21"/>
      <c r="K891" s="2048"/>
      <c r="L891" s="36"/>
      <c r="M891" s="22">
        <v>0.21</v>
      </c>
      <c r="N891" s="22">
        <v>0.591133004926108</v>
      </c>
      <c r="O891" s="37">
        <v>0.4</v>
      </c>
      <c r="P891" s="37">
        <f t="shared" si="91"/>
        <v>1.20113300492611</v>
      </c>
      <c r="Q891" s="219"/>
      <c r="R891" s="20"/>
      <c r="S891" s="805"/>
      <c r="T891" s="120" t="s">
        <v>1406</v>
      </c>
      <c r="W891" s="2163"/>
      <c r="Z891" s="839"/>
      <c r="AA891" s="839"/>
      <c r="AB891" s="1940"/>
    </row>
    <row r="892" s="42" customFormat="1" ht="16" customHeight="1" spans="1:28">
      <c r="A892" s="839">
        <v>754</v>
      </c>
      <c r="B892" s="19" t="s">
        <v>637</v>
      </c>
      <c r="C892" s="19"/>
      <c r="D892" s="21"/>
      <c r="E892" s="21"/>
      <c r="F892" s="2130" t="s">
        <v>1979</v>
      </c>
      <c r="G892" s="21" t="s">
        <v>672</v>
      </c>
      <c r="H892" s="21"/>
      <c r="I892" s="21"/>
      <c r="J892" s="21"/>
      <c r="K892" s="2048"/>
      <c r="L892" s="36"/>
      <c r="M892" s="22">
        <v>0.315270935960591</v>
      </c>
      <c r="N892" s="22">
        <v>1.16256157635468</v>
      </c>
      <c r="O892" s="37">
        <v>0.2</v>
      </c>
      <c r="P892" s="37">
        <f t="shared" si="91"/>
        <v>1.67783251231527</v>
      </c>
      <c r="Q892" s="219"/>
      <c r="R892" s="20"/>
      <c r="S892" s="805"/>
      <c r="T892" s="120" t="s">
        <v>1406</v>
      </c>
      <c r="W892" s="2163"/>
      <c r="Z892" s="839"/>
      <c r="AA892" s="839"/>
      <c r="AB892" s="1940"/>
    </row>
    <row r="893" s="187" customFormat="1" ht="16" customHeight="1" spans="1:28">
      <c r="A893" s="839">
        <v>755</v>
      </c>
      <c r="B893" s="23" t="s">
        <v>673</v>
      </c>
      <c r="C893" s="23"/>
      <c r="D893" s="21"/>
      <c r="E893" s="21"/>
      <c r="F893" s="2130" t="s">
        <v>1979</v>
      </c>
      <c r="G893" s="21" t="s">
        <v>3115</v>
      </c>
      <c r="H893" s="21"/>
      <c r="I893" s="21"/>
      <c r="J893" s="21"/>
      <c r="K893" s="2048"/>
      <c r="L893" s="36"/>
      <c r="M893" s="22">
        <v>0.482758620689655</v>
      </c>
      <c r="N893" s="22">
        <v>3.26530612244898</v>
      </c>
      <c r="O893" s="37">
        <v>0.4</v>
      </c>
      <c r="P893" s="37">
        <f t="shared" si="91"/>
        <v>4.14806474313864</v>
      </c>
      <c r="Q893" s="219"/>
      <c r="R893" s="23"/>
      <c r="S893" s="804"/>
      <c r="T893" s="120" t="s">
        <v>1406</v>
      </c>
      <c r="W893" s="2180"/>
      <c r="Z893" s="839"/>
      <c r="AA893" s="839"/>
      <c r="AB893" s="1940"/>
    </row>
    <row r="894" s="187" customFormat="1" ht="16" customHeight="1" spans="1:28">
      <c r="A894" s="839">
        <v>756</v>
      </c>
      <c r="B894" s="23" t="s">
        <v>673</v>
      </c>
      <c r="C894" s="23"/>
      <c r="D894" s="21"/>
      <c r="E894" s="21"/>
      <c r="F894" s="2130" t="s">
        <v>1979</v>
      </c>
      <c r="G894" s="21" t="s">
        <v>675</v>
      </c>
      <c r="H894" s="21"/>
      <c r="I894" s="21"/>
      <c r="J894" s="21"/>
      <c r="K894" s="2048"/>
      <c r="L894" s="36"/>
      <c r="M894" s="22">
        <v>0.357774968394437</v>
      </c>
      <c r="N894" s="22">
        <v>2.17578698893805</v>
      </c>
      <c r="O894" s="37">
        <v>0.4</v>
      </c>
      <c r="P894" s="37">
        <f t="shared" si="91"/>
        <v>2.93356195733249</v>
      </c>
      <c r="Q894" s="219"/>
      <c r="R894" s="23"/>
      <c r="S894" s="804"/>
      <c r="T894" s="120" t="s">
        <v>1406</v>
      </c>
      <c r="W894" s="2180"/>
      <c r="Z894" s="839"/>
      <c r="AA894" s="839"/>
      <c r="AB894" s="1940"/>
    </row>
    <row r="895" s="42" customFormat="1" ht="16" customHeight="1" spans="1:28">
      <c r="A895" s="839">
        <v>757</v>
      </c>
      <c r="B895" s="23" t="s">
        <v>673</v>
      </c>
      <c r="C895" s="23"/>
      <c r="D895" s="21"/>
      <c r="E895" s="21"/>
      <c r="F895" s="2130" t="s">
        <v>1979</v>
      </c>
      <c r="G895" s="21" t="s">
        <v>676</v>
      </c>
      <c r="H895" s="21"/>
      <c r="I895" s="21"/>
      <c r="J895" s="21"/>
      <c r="K895" s="2048"/>
      <c r="L895" s="36"/>
      <c r="M895" s="22">
        <v>0.502463054187192</v>
      </c>
      <c r="N895" s="22">
        <v>2.22660098522167</v>
      </c>
      <c r="O895" s="37">
        <v>0.2</v>
      </c>
      <c r="P895" s="37">
        <f t="shared" si="91"/>
        <v>2.92906403940886</v>
      </c>
      <c r="Q895" s="219"/>
      <c r="R895" s="20"/>
      <c r="S895" s="805"/>
      <c r="T895" s="120" t="s">
        <v>1406</v>
      </c>
      <c r="W895" s="2163"/>
      <c r="Z895" s="839"/>
      <c r="AA895" s="839"/>
      <c r="AB895" s="1940"/>
    </row>
    <row r="896" s="42" customFormat="1" ht="16" customHeight="1" spans="1:28">
      <c r="A896" s="839">
        <v>758</v>
      </c>
      <c r="B896" s="23" t="s">
        <v>673</v>
      </c>
      <c r="C896" s="23"/>
      <c r="D896" s="21"/>
      <c r="E896" s="21"/>
      <c r="F896" s="2130" t="s">
        <v>1979</v>
      </c>
      <c r="G896" s="21" t="s">
        <v>677</v>
      </c>
      <c r="H896" s="21"/>
      <c r="I896" s="21"/>
      <c r="J896" s="21"/>
      <c r="K896" s="2048"/>
      <c r="L896" s="36"/>
      <c r="M896" s="22">
        <v>0.847290640394089</v>
      </c>
      <c r="N896" s="22">
        <v>5.68472906403941</v>
      </c>
      <c r="O896" s="37">
        <v>0.4</v>
      </c>
      <c r="P896" s="37">
        <f t="shared" si="91"/>
        <v>6.9320197044335</v>
      </c>
      <c r="Q896" s="219"/>
      <c r="R896" s="20" t="s">
        <v>346</v>
      </c>
      <c r="S896" s="805"/>
      <c r="T896" s="120" t="s">
        <v>1406</v>
      </c>
      <c r="W896" s="2163"/>
      <c r="Z896" s="839"/>
      <c r="AA896" s="839"/>
      <c r="AB896" s="1940"/>
    </row>
    <row r="897" s="187" customFormat="1" ht="16" customHeight="1" spans="1:28">
      <c r="A897" s="839">
        <v>759</v>
      </c>
      <c r="B897" s="23" t="s">
        <v>673</v>
      </c>
      <c r="C897" s="23"/>
      <c r="D897" s="21"/>
      <c r="E897" s="21"/>
      <c r="F897" s="2130" t="s">
        <v>1979</v>
      </c>
      <c r="G897" s="21" t="s">
        <v>678</v>
      </c>
      <c r="H897" s="21"/>
      <c r="I897" s="21"/>
      <c r="J897" s="21"/>
      <c r="K897" s="2048"/>
      <c r="L897" s="36"/>
      <c r="M897" s="22">
        <v>0.365813905757645</v>
      </c>
      <c r="N897" s="22">
        <v>1.93785703141194</v>
      </c>
      <c r="O897" s="37">
        <v>0.2</v>
      </c>
      <c r="P897" s="37">
        <f t="shared" si="91"/>
        <v>2.50367093716958</v>
      </c>
      <c r="Q897" s="219"/>
      <c r="R897" s="23"/>
      <c r="S897" s="804"/>
      <c r="T897" s="120" t="s">
        <v>1406</v>
      </c>
      <c r="W897" s="2180"/>
      <c r="Z897" s="839"/>
      <c r="AA897" s="839"/>
      <c r="AB897" s="1940"/>
    </row>
    <row r="898" s="187" customFormat="1" ht="16" customHeight="1" spans="1:28">
      <c r="A898" s="839">
        <v>760</v>
      </c>
      <c r="B898" s="23" t="s">
        <v>673</v>
      </c>
      <c r="C898" s="23"/>
      <c r="D898" s="21">
        <v>20240312</v>
      </c>
      <c r="E898" s="21">
        <v>7.17</v>
      </c>
      <c r="F898" s="2132" t="s">
        <v>679</v>
      </c>
      <c r="G898" s="21" t="s">
        <v>680</v>
      </c>
      <c r="H898" s="21"/>
      <c r="I898" s="21"/>
      <c r="J898" s="21"/>
      <c r="K898" s="2048"/>
      <c r="L898" s="36"/>
      <c r="M898" s="22">
        <v>0.410553575330493</v>
      </c>
      <c r="N898" s="22">
        <v>1.84648822763913</v>
      </c>
      <c r="O898" s="37">
        <v>0.2</v>
      </c>
      <c r="P898" s="37">
        <f t="shared" si="91"/>
        <v>2.45704180296962</v>
      </c>
      <c r="Q898" s="219"/>
      <c r="R898" s="23" t="s">
        <v>63</v>
      </c>
      <c r="S898" s="804"/>
      <c r="T898" s="120" t="s">
        <v>1406</v>
      </c>
      <c r="W898" s="2180"/>
      <c r="Z898" s="839"/>
      <c r="AA898" s="839"/>
      <c r="AB898" s="1940"/>
    </row>
    <row r="899" s="187" customFormat="1" ht="16" customHeight="1" spans="1:28">
      <c r="A899" s="839">
        <v>761</v>
      </c>
      <c r="B899" s="23" t="s">
        <v>682</v>
      </c>
      <c r="C899" s="23"/>
      <c r="D899" s="21"/>
      <c r="E899" s="21"/>
      <c r="F899" s="2130" t="s">
        <v>1979</v>
      </c>
      <c r="G899" s="21" t="s">
        <v>683</v>
      </c>
      <c r="H899" s="21"/>
      <c r="I899" s="21"/>
      <c r="J899" s="21"/>
      <c r="K899" s="2048"/>
      <c r="L899" s="36"/>
      <c r="M899" s="22">
        <v>0.405604719764012</v>
      </c>
      <c r="N899" s="22">
        <v>2.33525408893805</v>
      </c>
      <c r="O899" s="37">
        <v>0.2</v>
      </c>
      <c r="P899" s="37">
        <f t="shared" si="91"/>
        <v>2.94085880870206</v>
      </c>
      <c r="Q899" s="219"/>
      <c r="R899" s="23"/>
      <c r="S899" s="804"/>
      <c r="T899" s="120" t="s">
        <v>1406</v>
      </c>
      <c r="W899" s="2180"/>
      <c r="Z899" s="839"/>
      <c r="AA899" s="839"/>
      <c r="AB899" s="1940"/>
    </row>
    <row r="900" s="187" customFormat="1" ht="16" customHeight="1" spans="1:28">
      <c r="A900" s="839">
        <v>762</v>
      </c>
      <c r="B900" s="23" t="s">
        <v>682</v>
      </c>
      <c r="C900" s="23"/>
      <c r="D900" s="21">
        <v>20241122</v>
      </c>
      <c r="E900" s="21">
        <v>7.17</v>
      </c>
      <c r="F900" s="2132" t="s">
        <v>684</v>
      </c>
      <c r="G900" s="21" t="s">
        <v>685</v>
      </c>
      <c r="H900" s="21"/>
      <c r="I900" s="21"/>
      <c r="J900" s="21"/>
      <c r="K900" s="2048"/>
      <c r="L900" s="36"/>
      <c r="M900" s="22">
        <v>0.433015473068939</v>
      </c>
      <c r="N900" s="22">
        <v>2.71384129918365</v>
      </c>
      <c r="O900" s="37">
        <v>0.4</v>
      </c>
      <c r="P900" s="37">
        <f t="shared" si="91"/>
        <v>3.54685677225259</v>
      </c>
      <c r="Q900" s="219"/>
      <c r="R900" s="23" t="s">
        <v>686</v>
      </c>
      <c r="S900" s="804"/>
      <c r="T900" s="120"/>
      <c r="W900" s="2180"/>
      <c r="Z900" s="839"/>
      <c r="AA900" s="839"/>
      <c r="AB900" s="1940"/>
    </row>
    <row r="901" s="187" customFormat="1" ht="16" customHeight="1" spans="1:28">
      <c r="A901" s="839">
        <v>763</v>
      </c>
      <c r="B901" s="23" t="s">
        <v>682</v>
      </c>
      <c r="C901" s="23"/>
      <c r="D901" s="21"/>
      <c r="E901" s="21"/>
      <c r="F901" s="2130" t="s">
        <v>1979</v>
      </c>
      <c r="G901" s="21" t="s">
        <v>687</v>
      </c>
      <c r="H901" s="21"/>
      <c r="I901" s="21"/>
      <c r="J901" s="21"/>
      <c r="K901" s="2048"/>
      <c r="L901" s="36"/>
      <c r="M901" s="22">
        <v>0.414595708570736</v>
      </c>
      <c r="N901" s="22">
        <v>3.05072835971027</v>
      </c>
      <c r="O901" s="37">
        <v>0.2</v>
      </c>
      <c r="P901" s="37">
        <f t="shared" si="91"/>
        <v>3.66532406828101</v>
      </c>
      <c r="Q901" s="219"/>
      <c r="R901" s="23"/>
      <c r="S901" s="804"/>
      <c r="T901" s="120" t="s">
        <v>1406</v>
      </c>
      <c r="W901" s="2180"/>
      <c r="Z901" s="839"/>
      <c r="AA901" s="839"/>
      <c r="AB901" s="1940"/>
    </row>
    <row r="902" s="187" customFormat="1" ht="16" customHeight="1" spans="1:28">
      <c r="A902" s="839">
        <v>764</v>
      </c>
      <c r="B902" s="23" t="s">
        <v>688</v>
      </c>
      <c r="C902" s="23"/>
      <c r="D902" s="21"/>
      <c r="E902" s="21"/>
      <c r="F902" s="2130" t="s">
        <v>1979</v>
      </c>
      <c r="G902" s="21" t="s">
        <v>689</v>
      </c>
      <c r="H902" s="21"/>
      <c r="I902" s="21"/>
      <c r="J902" s="21"/>
      <c r="K902" s="2048"/>
      <c r="L902" s="36"/>
      <c r="M902" s="22">
        <v>0.06</v>
      </c>
      <c r="N902" s="22">
        <v>0.3</v>
      </c>
      <c r="O902" s="37">
        <v>0.4</v>
      </c>
      <c r="P902" s="37">
        <f t="shared" si="91"/>
        <v>0.76</v>
      </c>
      <c r="Q902" s="219"/>
      <c r="R902" s="23"/>
      <c r="S902" s="804"/>
      <c r="T902" s="120" t="s">
        <v>1406</v>
      </c>
      <c r="W902" s="2180"/>
      <c r="Z902" s="839"/>
      <c r="AA902" s="839"/>
      <c r="AB902" s="1940"/>
    </row>
    <row r="903" s="187" customFormat="1" ht="16" customHeight="1" spans="1:28">
      <c r="A903" s="839">
        <v>765</v>
      </c>
      <c r="B903" s="23" t="s">
        <v>688</v>
      </c>
      <c r="C903" s="23"/>
      <c r="D903" s="21"/>
      <c r="E903" s="21"/>
      <c r="F903" s="2130" t="s">
        <v>1979</v>
      </c>
      <c r="G903" s="21" t="s">
        <v>690</v>
      </c>
      <c r="H903" s="21"/>
      <c r="I903" s="21"/>
      <c r="J903" s="21"/>
      <c r="K903" s="2048"/>
      <c r="L903" s="36"/>
      <c r="M903" s="22">
        <v>1.15</v>
      </c>
      <c r="N903" s="22">
        <v>7.12</v>
      </c>
      <c r="O903" s="37">
        <v>0.4</v>
      </c>
      <c r="P903" s="37">
        <f t="shared" si="91"/>
        <v>8.67</v>
      </c>
      <c r="Q903" s="219"/>
      <c r="R903" s="23" t="s">
        <v>3116</v>
      </c>
      <c r="S903" s="804"/>
      <c r="T903" s="120" t="s">
        <v>1406</v>
      </c>
      <c r="W903" s="2180"/>
      <c r="Z903" s="839"/>
      <c r="AA903" s="839"/>
      <c r="AB903" s="1940"/>
    </row>
    <row r="904" s="187" customFormat="1" ht="16" customHeight="1" spans="1:28">
      <c r="A904" s="839">
        <v>766</v>
      </c>
      <c r="B904" s="23" t="s">
        <v>688</v>
      </c>
      <c r="C904" s="23"/>
      <c r="D904" s="21"/>
      <c r="E904" s="21"/>
      <c r="F904" s="2130" t="s">
        <v>1979</v>
      </c>
      <c r="G904" s="21" t="s">
        <v>692</v>
      </c>
      <c r="H904" s="21"/>
      <c r="I904" s="21"/>
      <c r="J904" s="21"/>
      <c r="K904" s="2048"/>
      <c r="L904" s="36"/>
      <c r="M904" s="22">
        <v>1.19211822660099</v>
      </c>
      <c r="N904" s="22">
        <v>5.21182266009852</v>
      </c>
      <c r="O904" s="37">
        <v>0.4</v>
      </c>
      <c r="P904" s="37">
        <f t="shared" si="91"/>
        <v>6.80394088669951</v>
      </c>
      <c r="Q904" s="219"/>
      <c r="R904" s="23" t="s">
        <v>25</v>
      </c>
      <c r="S904" s="804"/>
      <c r="T904" s="120" t="s">
        <v>1406</v>
      </c>
      <c r="W904" s="2180"/>
      <c r="Z904" s="839"/>
      <c r="AA904" s="839"/>
      <c r="AB904" s="1940"/>
    </row>
    <row r="905" s="187" customFormat="1" ht="16" customHeight="1" spans="1:28">
      <c r="A905" s="839">
        <v>767</v>
      </c>
      <c r="B905" s="23" t="s">
        <v>688</v>
      </c>
      <c r="C905" s="23"/>
      <c r="D905" s="21"/>
      <c r="E905" s="21"/>
      <c r="F905" s="2132" t="s">
        <v>693</v>
      </c>
      <c r="G905" s="21" t="s">
        <v>694</v>
      </c>
      <c r="H905" s="21"/>
      <c r="I905" s="21"/>
      <c r="J905" s="21"/>
      <c r="K905" s="2048"/>
      <c r="L905" s="36"/>
      <c r="M905" s="22">
        <v>1.19211822660099</v>
      </c>
      <c r="N905" s="22">
        <v>5.21182266009852</v>
      </c>
      <c r="O905" s="37">
        <v>0.4</v>
      </c>
      <c r="P905" s="37">
        <f t="shared" si="91"/>
        <v>6.80394088669951</v>
      </c>
      <c r="Q905" s="219"/>
      <c r="R905" s="23" t="s">
        <v>25</v>
      </c>
      <c r="S905" s="804"/>
      <c r="T905" s="120" t="s">
        <v>1406</v>
      </c>
      <c r="W905" s="2180"/>
      <c r="Z905" s="839"/>
      <c r="AA905" s="839"/>
      <c r="AB905" s="1940"/>
    </row>
    <row r="906" s="187" customFormat="1" ht="16" customHeight="1" spans="1:28">
      <c r="A906" s="839">
        <v>768</v>
      </c>
      <c r="B906" s="23" t="s">
        <v>688</v>
      </c>
      <c r="C906" s="23"/>
      <c r="D906" s="21"/>
      <c r="E906" s="21"/>
      <c r="F906" s="2132" t="s">
        <v>695</v>
      </c>
      <c r="G906" s="21" t="s">
        <v>696</v>
      </c>
      <c r="H906" s="21"/>
      <c r="I906" s="21"/>
      <c r="J906" s="21"/>
      <c r="K906" s="2048"/>
      <c r="L906" s="36"/>
      <c r="M906" s="22">
        <v>1.19211822660099</v>
      </c>
      <c r="N906" s="22">
        <v>5.20197044334975</v>
      </c>
      <c r="O906" s="37">
        <v>0.4</v>
      </c>
      <c r="P906" s="37">
        <f t="shared" si="91"/>
        <v>6.79408866995074</v>
      </c>
      <c r="Q906" s="219"/>
      <c r="R906" s="23" t="s">
        <v>25</v>
      </c>
      <c r="S906" s="804"/>
      <c r="T906" s="120" t="s">
        <v>1406</v>
      </c>
      <c r="W906" s="2180"/>
      <c r="Z906" s="839"/>
      <c r="AA906" s="839"/>
      <c r="AB906" s="1940"/>
    </row>
    <row r="907" s="187" customFormat="1" ht="16" customHeight="1" spans="1:28">
      <c r="A907" s="839">
        <v>769</v>
      </c>
      <c r="B907" s="23" t="s">
        <v>688</v>
      </c>
      <c r="C907" s="23"/>
      <c r="D907" s="21"/>
      <c r="E907" s="21"/>
      <c r="F907" s="2132" t="s">
        <v>697</v>
      </c>
      <c r="G907" s="21" t="s">
        <v>698</v>
      </c>
      <c r="H907" s="21"/>
      <c r="I907" s="21"/>
      <c r="J907" s="21"/>
      <c r="K907" s="2048"/>
      <c r="L907" s="36"/>
      <c r="M907" s="22">
        <v>1.03448275862069</v>
      </c>
      <c r="N907" s="22">
        <v>5.10344827586207</v>
      </c>
      <c r="O907" s="37">
        <v>0.4</v>
      </c>
      <c r="P907" s="37">
        <f t="shared" si="91"/>
        <v>6.53793103448276</v>
      </c>
      <c r="Q907" s="219"/>
      <c r="R907" s="23" t="s">
        <v>3117</v>
      </c>
      <c r="S907" s="804"/>
      <c r="T907" s="120" t="s">
        <v>1406</v>
      </c>
      <c r="W907" s="2180"/>
      <c r="Z907" s="839"/>
      <c r="AA907" s="839"/>
      <c r="AB907" s="1940"/>
    </row>
    <row r="908" s="187" customFormat="1" ht="16" customHeight="1" spans="1:28">
      <c r="A908" s="839">
        <v>770</v>
      </c>
      <c r="B908" s="23" t="s">
        <v>688</v>
      </c>
      <c r="C908" s="23"/>
      <c r="D908" s="21"/>
      <c r="E908" s="21"/>
      <c r="F908" s="2132" t="s">
        <v>700</v>
      </c>
      <c r="G908" s="21" t="s">
        <v>701</v>
      </c>
      <c r="H908" s="21"/>
      <c r="I908" s="21"/>
      <c r="J908" s="21"/>
      <c r="K908" s="2048"/>
      <c r="L908" s="36"/>
      <c r="M908" s="22">
        <v>0.344827586206897</v>
      </c>
      <c r="N908" s="22">
        <v>2.4771287825475</v>
      </c>
      <c r="O908" s="37">
        <v>0.4</v>
      </c>
      <c r="P908" s="37">
        <f t="shared" si="91"/>
        <v>3.2219563687544</v>
      </c>
      <c r="Q908" s="219"/>
      <c r="R908" s="23"/>
      <c r="S908" s="804"/>
      <c r="T908" s="120" t="s">
        <v>1406</v>
      </c>
      <c r="W908" s="2180"/>
      <c r="Z908" s="839"/>
      <c r="AA908" s="839"/>
      <c r="AB908" s="1940"/>
    </row>
    <row r="909" s="187" customFormat="1" ht="16" customHeight="1" spans="1:28">
      <c r="A909" s="839">
        <v>771</v>
      </c>
      <c r="B909" s="23" t="s">
        <v>688</v>
      </c>
      <c r="C909" s="23"/>
      <c r="D909" s="21"/>
      <c r="E909" s="21"/>
      <c r="F909" s="2132" t="s">
        <v>702</v>
      </c>
      <c r="G909" s="21" t="s">
        <v>703</v>
      </c>
      <c r="H909" s="21"/>
      <c r="I909" s="21"/>
      <c r="J909" s="21"/>
      <c r="K909" s="2048"/>
      <c r="L909" s="36"/>
      <c r="M909" s="22">
        <v>1.19211822660099</v>
      </c>
      <c r="N909" s="22">
        <v>5.68472906403941</v>
      </c>
      <c r="O909" s="37">
        <v>0.4</v>
      </c>
      <c r="P909" s="37">
        <f t="shared" si="91"/>
        <v>7.2768472906404</v>
      </c>
      <c r="Q909" s="219"/>
      <c r="R909" s="39" t="s">
        <v>3118</v>
      </c>
      <c r="S909" s="1931"/>
      <c r="T909" s="120" t="s">
        <v>1406</v>
      </c>
      <c r="W909" s="2180"/>
      <c r="Z909" s="839"/>
      <c r="AA909" s="839"/>
      <c r="AB909" s="1940"/>
    </row>
    <row r="910" s="187" customFormat="1" ht="16" customHeight="1" spans="1:28">
      <c r="A910" s="839">
        <v>772</v>
      </c>
      <c r="B910" s="23" t="s">
        <v>688</v>
      </c>
      <c r="C910" s="23"/>
      <c r="D910" s="21"/>
      <c r="E910" s="21"/>
      <c r="F910" s="2132" t="s">
        <v>705</v>
      </c>
      <c r="G910" s="21" t="s">
        <v>706</v>
      </c>
      <c r="H910" s="21"/>
      <c r="I910" s="21"/>
      <c r="J910" s="21"/>
      <c r="K910" s="2048"/>
      <c r="L910" s="36"/>
      <c r="M910" s="22">
        <v>0.0689655172413793</v>
      </c>
      <c r="N910" s="22">
        <v>0.157635467980296</v>
      </c>
      <c r="O910" s="37">
        <v>0.4</v>
      </c>
      <c r="P910" s="37">
        <f t="shared" si="91"/>
        <v>0.626600985221675</v>
      </c>
      <c r="Q910" s="219"/>
      <c r="R910" s="23" t="s">
        <v>3119</v>
      </c>
      <c r="S910" s="804"/>
      <c r="T910" s="120" t="s">
        <v>1406</v>
      </c>
      <c r="W910" s="2180"/>
      <c r="Z910" s="839"/>
      <c r="AA910" s="839"/>
      <c r="AB910" s="1940"/>
    </row>
    <row r="911" s="839" customFormat="1" ht="16" customHeight="1" spans="1:28">
      <c r="A911" s="839">
        <v>773</v>
      </c>
      <c r="B911" s="23" t="s">
        <v>688</v>
      </c>
      <c r="C911" s="23"/>
      <c r="D911" s="21"/>
      <c r="E911" s="21"/>
      <c r="F911" s="2132" t="s">
        <v>708</v>
      </c>
      <c r="G911" s="690" t="s">
        <v>709</v>
      </c>
      <c r="H911" s="690"/>
      <c r="I911" s="21"/>
      <c r="J911" s="21"/>
      <c r="K911" s="2048"/>
      <c r="L911" s="779"/>
      <c r="M911" s="22">
        <v>1.15</v>
      </c>
      <c r="N911" s="22">
        <v>5.8128078817734</v>
      </c>
      <c r="O911" s="37">
        <v>0.4</v>
      </c>
      <c r="P911" s="37">
        <f t="shared" si="91"/>
        <v>7.3628078817734</v>
      </c>
      <c r="Q911" s="219"/>
      <c r="R911" s="39" t="s">
        <v>3118</v>
      </c>
      <c r="S911" s="1931"/>
      <c r="T911" s="120" t="s">
        <v>1406</v>
      </c>
      <c r="W911" s="1940"/>
      <c r="AB911" s="1940"/>
    </row>
    <row r="912" s="839" customFormat="1" ht="16" customHeight="1" spans="1:28">
      <c r="A912" s="839">
        <v>774</v>
      </c>
      <c r="B912" s="23" t="s">
        <v>688</v>
      </c>
      <c r="C912" s="23"/>
      <c r="D912" s="21"/>
      <c r="E912" s="21"/>
      <c r="F912" s="2132" t="s">
        <v>710</v>
      </c>
      <c r="G912" s="690" t="s">
        <v>711</v>
      </c>
      <c r="H912" s="690"/>
      <c r="I912" s="21"/>
      <c r="J912" s="21"/>
      <c r="K912" s="2048"/>
      <c r="L912" s="779"/>
      <c r="M912" s="22">
        <v>1.15</v>
      </c>
      <c r="N912" s="22">
        <v>5.47</v>
      </c>
      <c r="O912" s="37">
        <v>0.4</v>
      </c>
      <c r="P912" s="37">
        <f t="shared" si="91"/>
        <v>7.02</v>
      </c>
      <c r="Q912" s="219"/>
      <c r="R912" s="39" t="s">
        <v>3118</v>
      </c>
      <c r="S912" s="1931"/>
      <c r="T912" s="120" t="s">
        <v>1406</v>
      </c>
      <c r="W912" s="1940"/>
      <c r="AB912" s="1940"/>
    </row>
    <row r="913" s="839" customFormat="1" ht="16" customHeight="1" spans="1:28">
      <c r="A913" s="839">
        <v>775</v>
      </c>
      <c r="B913" s="23" t="s">
        <v>688</v>
      </c>
      <c r="C913" s="23"/>
      <c r="D913" s="21"/>
      <c r="E913" s="21"/>
      <c r="F913" s="2132" t="s">
        <v>713</v>
      </c>
      <c r="G913" s="690" t="s">
        <v>714</v>
      </c>
      <c r="H913" s="690"/>
      <c r="I913" s="21"/>
      <c r="J913" s="21"/>
      <c r="K913" s="2048"/>
      <c r="L913" s="779"/>
      <c r="M913" s="22">
        <v>0.8348639171815</v>
      </c>
      <c r="N913" s="22">
        <v>4.6035270907587</v>
      </c>
      <c r="O913" s="37">
        <v>0.4</v>
      </c>
      <c r="P913" s="37">
        <f t="shared" si="91"/>
        <v>5.8383910079402</v>
      </c>
      <c r="Q913" s="219"/>
      <c r="R913" s="39"/>
      <c r="S913" s="1931"/>
      <c r="T913" s="120" t="s">
        <v>1406</v>
      </c>
      <c r="W913" s="1940"/>
      <c r="AB913" s="1940"/>
    </row>
    <row r="914" s="839" customFormat="1" ht="16" customHeight="1" spans="1:28">
      <c r="A914" s="839">
        <v>776</v>
      </c>
      <c r="B914" s="23" t="s">
        <v>688</v>
      </c>
      <c r="C914" s="23"/>
      <c r="D914" s="21"/>
      <c r="E914" s="21"/>
      <c r="F914" s="2132" t="s">
        <v>716</v>
      </c>
      <c r="G914" s="690" t="s">
        <v>717</v>
      </c>
      <c r="H914" s="690"/>
      <c r="I914" s="21"/>
      <c r="J914" s="21"/>
      <c r="K914" s="2048"/>
      <c r="L914" s="779"/>
      <c r="M914" s="22">
        <v>0.882434510753095</v>
      </c>
      <c r="N914" s="22">
        <v>5.56663671685198</v>
      </c>
      <c r="O914" s="37">
        <v>0.4</v>
      </c>
      <c r="P914" s="37">
        <f t="shared" si="91"/>
        <v>6.84907122760508</v>
      </c>
      <c r="Q914" s="219"/>
      <c r="R914" s="39"/>
      <c r="S914" s="1931"/>
      <c r="T914" s="120" t="s">
        <v>1406</v>
      </c>
      <c r="W914" s="1940"/>
      <c r="AB914" s="1940"/>
    </row>
    <row r="915" s="839" customFormat="1" ht="16" customHeight="1" spans="1:28">
      <c r="A915" s="839">
        <v>777</v>
      </c>
      <c r="B915" s="23" t="s">
        <v>688</v>
      </c>
      <c r="C915" s="23"/>
      <c r="D915" s="21">
        <v>20240801</v>
      </c>
      <c r="E915" s="21">
        <v>7.17</v>
      </c>
      <c r="F915" s="2132" t="s">
        <v>718</v>
      </c>
      <c r="G915" s="690" t="s">
        <v>719</v>
      </c>
      <c r="H915" s="690"/>
      <c r="I915" s="21"/>
      <c r="J915" s="21"/>
      <c r="K915" s="2048"/>
      <c r="L915" s="779"/>
      <c r="M915" s="22">
        <v>0.368921166810698</v>
      </c>
      <c r="N915" s="22">
        <v>3.10296216920516</v>
      </c>
      <c r="O915" s="37">
        <v>0.4</v>
      </c>
      <c r="P915" s="37">
        <f t="shared" si="91"/>
        <v>3.87188333601586</v>
      </c>
      <c r="Q915" s="219"/>
      <c r="R915" s="39" t="s">
        <v>3120</v>
      </c>
      <c r="S915" s="1931"/>
      <c r="T915" s="120"/>
      <c r="W915" s="1940"/>
      <c r="AB915" s="1940"/>
    </row>
    <row r="916" s="839" customFormat="1" ht="16" customHeight="1" spans="1:28">
      <c r="A916" s="839">
        <v>778</v>
      </c>
      <c r="B916" s="23" t="s">
        <v>688</v>
      </c>
      <c r="C916" s="23"/>
      <c r="D916" s="21"/>
      <c r="E916" s="21"/>
      <c r="F916" s="2130" t="s">
        <v>1979</v>
      </c>
      <c r="G916" s="690" t="s">
        <v>721</v>
      </c>
      <c r="H916" s="690"/>
      <c r="I916" s="21"/>
      <c r="J916" s="21"/>
      <c r="K916" s="2048"/>
      <c r="L916" s="779"/>
      <c r="M916" s="22">
        <v>0.0606134076857801</v>
      </c>
      <c r="N916" s="22">
        <v>0.280797672445145</v>
      </c>
      <c r="O916" s="37">
        <v>0.2</v>
      </c>
      <c r="P916" s="37">
        <f t="shared" si="91"/>
        <v>0.541411080130925</v>
      </c>
      <c r="Q916" s="219"/>
      <c r="R916" s="39"/>
      <c r="S916" s="1931"/>
      <c r="T916" s="120" t="s">
        <v>1406</v>
      </c>
      <c r="W916" s="1940"/>
      <c r="AB916" s="1940"/>
    </row>
    <row r="917" s="839" customFormat="1" ht="16" customHeight="1" spans="1:28">
      <c r="A917" s="839">
        <v>779</v>
      </c>
      <c r="B917" s="23" t="s">
        <v>722</v>
      </c>
      <c r="C917" s="23"/>
      <c r="D917" s="21"/>
      <c r="E917" s="21"/>
      <c r="F917" s="2132" t="s">
        <v>723</v>
      </c>
      <c r="G917" s="690" t="s">
        <v>724</v>
      </c>
      <c r="H917" s="690"/>
      <c r="I917" s="21"/>
      <c r="J917" s="21"/>
      <c r="K917" s="2048"/>
      <c r="L917" s="779"/>
      <c r="M917" s="22">
        <v>0.420353982300885</v>
      </c>
      <c r="N917" s="22">
        <v>3.74982235988201</v>
      </c>
      <c r="O917" s="37">
        <v>0.4</v>
      </c>
      <c r="P917" s="37">
        <f t="shared" si="91"/>
        <v>4.5701763421829</v>
      </c>
      <c r="Q917" s="219"/>
      <c r="R917" s="23" t="s">
        <v>25</v>
      </c>
      <c r="S917" s="804"/>
      <c r="T917" s="120" t="s">
        <v>1406</v>
      </c>
      <c r="W917" s="1940"/>
      <c r="AB917" s="1940"/>
    </row>
    <row r="918" s="839" customFormat="1" ht="16" customHeight="1" spans="1:28">
      <c r="A918" s="839">
        <v>780</v>
      </c>
      <c r="B918" s="23" t="s">
        <v>722</v>
      </c>
      <c r="C918" s="23"/>
      <c r="D918" s="21"/>
      <c r="E918" s="21"/>
      <c r="F918" s="2132" t="s">
        <v>725</v>
      </c>
      <c r="G918" s="690" t="s">
        <v>726</v>
      </c>
      <c r="H918" s="690"/>
      <c r="I918" s="21"/>
      <c r="J918" s="21"/>
      <c r="K918" s="2048"/>
      <c r="L918" s="779"/>
      <c r="M918" s="22">
        <v>0.326864641720034</v>
      </c>
      <c r="N918" s="22">
        <v>1.70907742291321</v>
      </c>
      <c r="O918" s="37">
        <v>0.2</v>
      </c>
      <c r="P918" s="37">
        <f t="shared" si="91"/>
        <v>2.23594206463324</v>
      </c>
      <c r="Q918" s="219"/>
      <c r="R918" s="23"/>
      <c r="S918" s="804"/>
      <c r="T918" s="120" t="s">
        <v>1406</v>
      </c>
      <c r="W918" s="1940"/>
      <c r="AB918" s="1940"/>
    </row>
    <row r="919" s="839" customFormat="1" ht="16" customHeight="1" spans="1:28">
      <c r="A919" s="839">
        <v>781</v>
      </c>
      <c r="B919" s="23" t="s">
        <v>722</v>
      </c>
      <c r="C919" s="23"/>
      <c r="D919" s="21">
        <v>20240724</v>
      </c>
      <c r="E919" s="21">
        <v>7.17</v>
      </c>
      <c r="F919" s="2132" t="s">
        <v>727</v>
      </c>
      <c r="G919" s="690" t="s">
        <v>728</v>
      </c>
      <c r="H919" s="690"/>
      <c r="I919" s="21"/>
      <c r="J919" s="21"/>
      <c r="K919" s="2048"/>
      <c r="L919" s="779"/>
      <c r="M919" s="22">
        <v>0.402798317055935</v>
      </c>
      <c r="N919" s="22">
        <v>2.1128695503944</v>
      </c>
      <c r="O919" s="37">
        <v>0.2</v>
      </c>
      <c r="P919" s="37">
        <f t="shared" si="91"/>
        <v>2.71566786745034</v>
      </c>
      <c r="Q919" s="219"/>
      <c r="R919" s="23"/>
      <c r="S919" s="804"/>
      <c r="T919" s="120" t="s">
        <v>1406</v>
      </c>
      <c r="W919" s="1940"/>
      <c r="AB919" s="1940"/>
    </row>
    <row r="920" s="839" customFormat="1" ht="16" customHeight="1" spans="1:28">
      <c r="A920" s="839">
        <v>782</v>
      </c>
      <c r="B920" s="23" t="s">
        <v>722</v>
      </c>
      <c r="C920" s="23"/>
      <c r="D920" s="21">
        <v>20240521</v>
      </c>
      <c r="E920" s="21">
        <v>7.17</v>
      </c>
      <c r="F920" s="2132" t="s">
        <v>729</v>
      </c>
      <c r="G920" s="690" t="s">
        <v>730</v>
      </c>
      <c r="H920" s="690"/>
      <c r="I920" s="21"/>
      <c r="J920" s="21"/>
      <c r="K920" s="2048"/>
      <c r="L920" s="779"/>
      <c r="M920" s="22">
        <v>0.456480941482061</v>
      </c>
      <c r="N920" s="22">
        <v>1.59118531684741</v>
      </c>
      <c r="O920" s="37">
        <v>0.2</v>
      </c>
      <c r="P920" s="37">
        <f t="shared" si="91"/>
        <v>2.24766625832947</v>
      </c>
      <c r="Q920" s="219"/>
      <c r="R920" s="23" t="s">
        <v>3121</v>
      </c>
      <c r="S920" s="804"/>
      <c r="T920" s="120"/>
      <c r="W920" s="1940"/>
      <c r="AB920" s="1940"/>
    </row>
    <row r="921" s="839" customFormat="1" ht="16" customHeight="1" spans="1:28">
      <c r="A921" s="839">
        <v>783</v>
      </c>
      <c r="B921" s="23" t="s">
        <v>722</v>
      </c>
      <c r="C921" s="23"/>
      <c r="D921" s="21">
        <v>20240606</v>
      </c>
      <c r="E921" s="21">
        <v>7.17</v>
      </c>
      <c r="F921" s="2132" t="s">
        <v>731</v>
      </c>
      <c r="G921" s="690" t="s">
        <v>732</v>
      </c>
      <c r="H921" s="690"/>
      <c r="I921" s="21"/>
      <c r="J921" s="21"/>
      <c r="K921" s="2048"/>
      <c r="L921" s="779"/>
      <c r="M921" s="22">
        <v>0.406141024696684</v>
      </c>
      <c r="N921" s="22">
        <v>2.12368285955546</v>
      </c>
      <c r="O921" s="37">
        <v>0.2</v>
      </c>
      <c r="P921" s="37">
        <f t="shared" si="91"/>
        <v>2.72982388425214</v>
      </c>
      <c r="Q921" s="219"/>
      <c r="R921" s="23" t="s">
        <v>3122</v>
      </c>
      <c r="S921" s="804"/>
      <c r="T921" s="120"/>
      <c r="W921" s="1940"/>
      <c r="AB921" s="1940"/>
    </row>
    <row r="922" s="839" customFormat="1" ht="16" customHeight="1" spans="1:28">
      <c r="A922" s="839">
        <v>784</v>
      </c>
      <c r="B922" s="23" t="s">
        <v>722</v>
      </c>
      <c r="C922" s="23"/>
      <c r="D922" s="153">
        <v>20250811</v>
      </c>
      <c r="E922" s="153">
        <v>7.17</v>
      </c>
      <c r="F922" s="2132" t="s">
        <v>734</v>
      </c>
      <c r="G922" s="690" t="s">
        <v>735</v>
      </c>
      <c r="H922" s="690"/>
      <c r="I922" s="21"/>
      <c r="J922" s="21"/>
      <c r="K922" s="2048"/>
      <c r="L922" s="779"/>
      <c r="M922" s="22">
        <v>0.336949679712667</v>
      </c>
      <c r="N922" s="22">
        <v>2.20705033561175</v>
      </c>
      <c r="O922" s="37">
        <v>0.2</v>
      </c>
      <c r="P922" s="37">
        <f t="shared" si="91"/>
        <v>2.74400001532442</v>
      </c>
      <c r="Q922" s="219"/>
      <c r="R922" s="23" t="s">
        <v>736</v>
      </c>
      <c r="S922" s="804"/>
      <c r="T922" s="120"/>
      <c r="W922" s="1940"/>
      <c r="AB922" s="1940"/>
    </row>
    <row r="923" s="839" customFormat="1" ht="16" customHeight="1" spans="1:28">
      <c r="A923" s="839">
        <v>785</v>
      </c>
      <c r="B923" s="23" t="s">
        <v>722</v>
      </c>
      <c r="C923" s="23"/>
      <c r="D923" s="21">
        <v>20241118</v>
      </c>
      <c r="E923" s="21">
        <v>7.17</v>
      </c>
      <c r="F923" s="2132" t="s">
        <v>737</v>
      </c>
      <c r="G923" s="21" t="s">
        <v>738</v>
      </c>
      <c r="H923" s="21"/>
      <c r="I923" s="21"/>
      <c r="J923" s="21"/>
      <c r="K923" s="2048"/>
      <c r="L923" s="779"/>
      <c r="M923" s="22">
        <v>0.360638247022834</v>
      </c>
      <c r="N923" s="22">
        <v>1.52824179438839</v>
      </c>
      <c r="O923" s="37">
        <v>0.2</v>
      </c>
      <c r="P923" s="37">
        <f t="shared" si="91"/>
        <v>2.08888004141122</v>
      </c>
      <c r="Q923" s="219"/>
      <c r="R923" s="23"/>
      <c r="S923" s="804"/>
      <c r="T923" s="120"/>
      <c r="W923" s="1940"/>
      <c r="AB923" s="1940"/>
    </row>
    <row r="924" s="839" customFormat="1" ht="16" customHeight="1" spans="1:28">
      <c r="A924" s="839">
        <v>786</v>
      </c>
      <c r="B924" s="23" t="s">
        <v>722</v>
      </c>
      <c r="C924" s="23"/>
      <c r="D924" s="21">
        <v>20250529</v>
      </c>
      <c r="E924" s="21">
        <v>7.17</v>
      </c>
      <c r="F924" s="2132" t="s">
        <v>739</v>
      </c>
      <c r="G924" s="21" t="s">
        <v>740</v>
      </c>
      <c r="H924" s="21"/>
      <c r="I924" s="21"/>
      <c r="J924" s="21"/>
      <c r="K924" s="2048"/>
      <c r="L924" s="779"/>
      <c r="M924" s="22">
        <v>0.357931894200269</v>
      </c>
      <c r="N924" s="22">
        <v>2.87866398564273</v>
      </c>
      <c r="O924" s="37">
        <v>0.4</v>
      </c>
      <c r="P924" s="37">
        <f t="shared" si="91"/>
        <v>3.636595879843</v>
      </c>
      <c r="Q924" s="219"/>
      <c r="R924" s="23" t="s">
        <v>741</v>
      </c>
      <c r="S924" s="804"/>
      <c r="T924" s="120"/>
      <c r="W924" s="1940"/>
      <c r="AB924" s="1940"/>
    </row>
    <row r="925" s="839" customFormat="1" ht="16" customHeight="1" spans="1:28">
      <c r="A925" s="839">
        <v>787</v>
      </c>
      <c r="B925" s="23" t="s">
        <v>722</v>
      </c>
      <c r="C925" s="23"/>
      <c r="D925" s="21"/>
      <c r="E925" s="21"/>
      <c r="F925" s="2130" t="s">
        <v>1979</v>
      </c>
      <c r="G925" s="21" t="s">
        <v>742</v>
      </c>
      <c r="H925" s="21"/>
      <c r="I925" s="21"/>
      <c r="J925" s="21"/>
      <c r="K925" s="2048"/>
      <c r="L925" s="779"/>
      <c r="M925" s="22">
        <v>0.384657520906623</v>
      </c>
      <c r="N925" s="22">
        <v>2.10187475687113</v>
      </c>
      <c r="O925" s="37">
        <v>0.2</v>
      </c>
      <c r="P925" s="37">
        <f t="shared" si="91"/>
        <v>2.68653227777775</v>
      </c>
      <c r="Q925" s="219"/>
      <c r="R925" s="23"/>
      <c r="S925" s="804"/>
      <c r="T925" s="120"/>
      <c r="W925" s="1940"/>
      <c r="AB925" s="1940"/>
    </row>
    <row r="926" s="839" customFormat="1" ht="16" customHeight="1" spans="1:28">
      <c r="A926" s="839">
        <v>788</v>
      </c>
      <c r="B926" s="23" t="s">
        <v>722</v>
      </c>
      <c r="C926" s="23"/>
      <c r="D926" s="21"/>
      <c r="E926" s="21"/>
      <c r="F926" s="2130" t="s">
        <v>1979</v>
      </c>
      <c r="G926" s="21" t="s">
        <v>743</v>
      </c>
      <c r="H926" s="21"/>
      <c r="I926" s="21"/>
      <c r="J926" s="21"/>
      <c r="K926" s="2048"/>
      <c r="L926" s="779"/>
      <c r="M926" s="22">
        <v>0.410162076165855</v>
      </c>
      <c r="N926" s="22">
        <v>1.57991924093865</v>
      </c>
      <c r="O926" s="37">
        <v>0.2</v>
      </c>
      <c r="P926" s="37">
        <f t="shared" si="91"/>
        <v>2.1900813171045</v>
      </c>
      <c r="Q926" s="219"/>
      <c r="R926" s="23" t="s">
        <v>2847</v>
      </c>
      <c r="S926" s="804"/>
      <c r="T926" s="120"/>
      <c r="W926" s="1940"/>
      <c r="AB926" s="1940"/>
    </row>
    <row r="927" s="839" customFormat="1" ht="16" customHeight="1" spans="1:28">
      <c r="A927" s="839">
        <v>789</v>
      </c>
      <c r="B927" s="23" t="s">
        <v>744</v>
      </c>
      <c r="C927" s="23"/>
      <c r="D927" s="21"/>
      <c r="E927" s="21"/>
      <c r="F927" s="2132" t="s">
        <v>745</v>
      </c>
      <c r="G927" s="690" t="s">
        <v>746</v>
      </c>
      <c r="H927" s="690"/>
      <c r="I927" s="21"/>
      <c r="J927" s="21"/>
      <c r="K927" s="2048"/>
      <c r="L927" s="779"/>
      <c r="M927" s="22">
        <v>0.915297092288243</v>
      </c>
      <c r="N927" s="22">
        <v>7.95721849646018</v>
      </c>
      <c r="O927" s="37">
        <v>0.4</v>
      </c>
      <c r="P927" s="37">
        <f t="shared" si="91"/>
        <v>9.27251558874842</v>
      </c>
      <c r="Q927" s="219"/>
      <c r="R927" s="39"/>
      <c r="S927" s="1931"/>
      <c r="T927" s="120" t="s">
        <v>1406</v>
      </c>
      <c r="W927" s="1940"/>
      <c r="AB927" s="1940"/>
    </row>
    <row r="928" s="839" customFormat="1" ht="16" customHeight="1" spans="1:28">
      <c r="A928" s="839">
        <v>790</v>
      </c>
      <c r="B928" s="23" t="s">
        <v>744</v>
      </c>
      <c r="C928" s="23"/>
      <c r="D928" s="21"/>
      <c r="E928" s="21"/>
      <c r="F928" s="2132" t="s">
        <v>747</v>
      </c>
      <c r="G928" s="690" t="s">
        <v>748</v>
      </c>
      <c r="H928" s="690"/>
      <c r="I928" s="21"/>
      <c r="J928" s="21"/>
      <c r="K928" s="2048"/>
      <c r="L928" s="779"/>
      <c r="M928" s="22">
        <v>0.96005174803604</v>
      </c>
      <c r="N928" s="22">
        <v>9.05097198221766</v>
      </c>
      <c r="O928" s="37">
        <v>0.4</v>
      </c>
      <c r="P928" s="37">
        <f t="shared" si="91"/>
        <v>10.4110237302537</v>
      </c>
      <c r="Q928" s="219"/>
      <c r="R928" s="39"/>
      <c r="S928" s="1931"/>
      <c r="T928" s="120" t="s">
        <v>1406</v>
      </c>
      <c r="W928" s="1940"/>
      <c r="AB928" s="1940"/>
    </row>
    <row r="929" s="839" customFormat="1" ht="16" customHeight="1" spans="1:28">
      <c r="A929" s="839">
        <v>791</v>
      </c>
      <c r="B929" s="23" t="s">
        <v>744</v>
      </c>
      <c r="C929" s="23"/>
      <c r="D929" s="21"/>
      <c r="E929" s="21"/>
      <c r="F929" s="2132" t="s">
        <v>749</v>
      </c>
      <c r="G929" s="690" t="s">
        <v>750</v>
      </c>
      <c r="H929" s="690"/>
      <c r="I929" s="21"/>
      <c r="J929" s="21"/>
      <c r="K929" s="2048"/>
      <c r="L929" s="779"/>
      <c r="M929" s="22">
        <v>0.915297092288243</v>
      </c>
      <c r="N929" s="22">
        <v>7.99497070884956</v>
      </c>
      <c r="O929" s="37">
        <v>0.4</v>
      </c>
      <c r="P929" s="37">
        <f t="shared" si="91"/>
        <v>9.3102678011378</v>
      </c>
      <c r="Q929" s="219"/>
      <c r="R929" s="39"/>
      <c r="S929" s="1931"/>
      <c r="T929" s="120" t="s">
        <v>1406</v>
      </c>
      <c r="W929" s="1940"/>
      <c r="AB929" s="1940"/>
    </row>
    <row r="930" s="839" customFormat="1" ht="16" customHeight="1" spans="1:28">
      <c r="A930" s="839">
        <v>792</v>
      </c>
      <c r="B930" s="23" t="s">
        <v>744</v>
      </c>
      <c r="C930" s="23"/>
      <c r="D930" s="21"/>
      <c r="E930" s="21"/>
      <c r="F930" s="2132" t="s">
        <v>751</v>
      </c>
      <c r="G930" s="690" t="s">
        <v>752</v>
      </c>
      <c r="H930" s="690"/>
      <c r="I930" s="21"/>
      <c r="J930" s="21"/>
      <c r="K930" s="2048"/>
      <c r="L930" s="779"/>
      <c r="M930" s="22">
        <v>0.76819075712881</v>
      </c>
      <c r="N930" s="22">
        <v>7.15895254233038</v>
      </c>
      <c r="O930" s="37">
        <v>0.4</v>
      </c>
      <c r="P930" s="37">
        <f t="shared" si="91"/>
        <v>8.32714329945919</v>
      </c>
      <c r="Q930" s="219"/>
      <c r="R930" s="39"/>
      <c r="S930" s="1931"/>
      <c r="T930" s="120" t="s">
        <v>1406</v>
      </c>
      <c r="W930" s="1940"/>
      <c r="AB930" s="1940"/>
    </row>
    <row r="931" s="839" customFormat="1" ht="16" customHeight="1" spans="1:28">
      <c r="A931" s="839">
        <v>793</v>
      </c>
      <c r="B931" s="23" t="s">
        <v>744</v>
      </c>
      <c r="C931" s="23"/>
      <c r="D931" s="21"/>
      <c r="E931" s="21"/>
      <c r="F931" s="2132" t="s">
        <v>753</v>
      </c>
      <c r="G931" s="690" t="s">
        <v>754</v>
      </c>
      <c r="H931" s="690"/>
      <c r="I931" s="21"/>
      <c r="J931" s="21"/>
      <c r="K931" s="2048"/>
      <c r="L931" s="779"/>
      <c r="M931" s="22">
        <v>0.803733785913444</v>
      </c>
      <c r="N931" s="22">
        <v>6.72391985977088</v>
      </c>
      <c r="O931" s="37">
        <v>0.4</v>
      </c>
      <c r="P931" s="37">
        <f t="shared" si="91"/>
        <v>7.92765364568432</v>
      </c>
      <c r="Q931" s="219"/>
      <c r="R931" s="39" t="s">
        <v>25</v>
      </c>
      <c r="S931" s="1931"/>
      <c r="T931" s="120" t="s">
        <v>1406</v>
      </c>
      <c r="W931" s="1940"/>
      <c r="AB931" s="1940"/>
    </row>
    <row r="932" s="839" customFormat="1" ht="16" customHeight="1" spans="1:28">
      <c r="A932" s="839">
        <v>794</v>
      </c>
      <c r="B932" s="23" t="s">
        <v>744</v>
      </c>
      <c r="C932" s="23"/>
      <c r="D932" s="21"/>
      <c r="E932" s="21"/>
      <c r="F932" s="2132" t="s">
        <v>755</v>
      </c>
      <c r="G932" s="690" t="s">
        <v>1431</v>
      </c>
      <c r="H932" s="690"/>
      <c r="I932" s="21"/>
      <c r="J932" s="21"/>
      <c r="K932" s="2048"/>
      <c r="L932" s="779"/>
      <c r="M932" s="22">
        <v>0.748714297988291</v>
      </c>
      <c r="N932" s="22">
        <v>6.82680040059382</v>
      </c>
      <c r="O932" s="37">
        <v>0.4</v>
      </c>
      <c r="P932" s="37">
        <f t="shared" si="91"/>
        <v>7.97551469858211</v>
      </c>
      <c r="Q932" s="219"/>
      <c r="R932" s="39" t="s">
        <v>757</v>
      </c>
      <c r="S932" s="1931"/>
      <c r="T932" s="120" t="s">
        <v>1406</v>
      </c>
      <c r="W932" s="1940"/>
      <c r="AB932" s="1940"/>
    </row>
    <row r="933" s="839" customFormat="1" ht="16" customHeight="1" spans="1:28">
      <c r="A933" s="839">
        <v>795</v>
      </c>
      <c r="B933" s="23" t="s">
        <v>758</v>
      </c>
      <c r="C933" s="23"/>
      <c r="D933" s="21"/>
      <c r="E933" s="21"/>
      <c r="F933" s="2130" t="s">
        <v>1979</v>
      </c>
      <c r="G933" s="690" t="s">
        <v>759</v>
      </c>
      <c r="H933" s="690"/>
      <c r="I933" s="21"/>
      <c r="J933" s="21"/>
      <c r="K933" s="2048"/>
      <c r="L933" s="779"/>
      <c r="M933" s="22">
        <v>0.0601053762340785</v>
      </c>
      <c r="N933" s="22">
        <v>0.0988772315719474</v>
      </c>
      <c r="O933" s="37">
        <v>0.2</v>
      </c>
      <c r="P933" s="37">
        <f t="shared" si="91"/>
        <v>0.358982607806026</v>
      </c>
      <c r="Q933" s="219"/>
      <c r="R933" s="39"/>
      <c r="S933" s="1931"/>
      <c r="T933" s="120" t="s">
        <v>1406</v>
      </c>
      <c r="W933" s="1940"/>
      <c r="AB933" s="1940"/>
    </row>
    <row r="934" s="839" customFormat="1" ht="16" customHeight="1" spans="1:28">
      <c r="A934" s="839">
        <v>796</v>
      </c>
      <c r="B934" s="23" t="s">
        <v>758</v>
      </c>
      <c r="C934" s="23"/>
      <c r="D934" s="21">
        <v>20250724</v>
      </c>
      <c r="E934" s="21">
        <v>7.17</v>
      </c>
      <c r="F934" s="2132" t="s">
        <v>760</v>
      </c>
      <c r="G934" s="21" t="s">
        <v>761</v>
      </c>
      <c r="H934" s="21"/>
      <c r="I934" s="21"/>
      <c r="J934" s="21"/>
      <c r="K934" s="2048"/>
      <c r="L934" s="779"/>
      <c r="M934" s="22">
        <v>0.625763690894953</v>
      </c>
      <c r="N934" s="22">
        <v>2.67818063146295</v>
      </c>
      <c r="O934" s="37">
        <v>0.4</v>
      </c>
      <c r="P934" s="37">
        <f t="shared" si="91"/>
        <v>3.7039443223579</v>
      </c>
      <c r="Q934" s="219"/>
      <c r="R934" s="39" t="s">
        <v>762</v>
      </c>
      <c r="S934" s="1931"/>
      <c r="T934" s="120"/>
      <c r="W934" s="1940"/>
      <c r="AB934" s="1940"/>
    </row>
    <row r="935" s="839" customFormat="1" ht="16" customHeight="1" spans="1:28">
      <c r="A935" s="839">
        <v>797</v>
      </c>
      <c r="B935" s="23" t="s">
        <v>758</v>
      </c>
      <c r="C935" s="23"/>
      <c r="D935" s="21">
        <v>20240517</v>
      </c>
      <c r="E935" s="21">
        <v>7.17</v>
      </c>
      <c r="F935" s="2130" t="s">
        <v>1979</v>
      </c>
      <c r="G935" s="690" t="s">
        <v>763</v>
      </c>
      <c r="H935" s="690"/>
      <c r="I935" s="21"/>
      <c r="J935" s="21"/>
      <c r="K935" s="2048"/>
      <c r="L935" s="779"/>
      <c r="M935" s="22">
        <v>0.0415941546018933</v>
      </c>
      <c r="N935" s="22">
        <v>0.101737080509991</v>
      </c>
      <c r="O935" s="37">
        <v>0.2</v>
      </c>
      <c r="P935" s="37">
        <f t="shared" si="91"/>
        <v>0.343331235111884</v>
      </c>
      <c r="Q935" s="219"/>
      <c r="R935" s="39"/>
      <c r="S935" s="1931"/>
      <c r="T935" s="120"/>
      <c r="W935" s="1940"/>
      <c r="AB935" s="1940"/>
    </row>
    <row r="936" s="839" customFormat="1" ht="16" customHeight="1" spans="1:28">
      <c r="A936" s="839">
        <v>798</v>
      </c>
      <c r="B936" s="23" t="s">
        <v>764</v>
      </c>
      <c r="C936" s="23"/>
      <c r="D936" s="21" t="s">
        <v>765</v>
      </c>
      <c r="E936" s="21">
        <v>7.17</v>
      </c>
      <c r="F936" s="2132" t="s">
        <v>766</v>
      </c>
      <c r="G936" s="690" t="s">
        <v>767</v>
      </c>
      <c r="H936" s="690"/>
      <c r="I936" s="21"/>
      <c r="J936" s="21"/>
      <c r="K936" s="2048"/>
      <c r="L936" s="779"/>
      <c r="M936" s="22">
        <v>0.0611984067919884</v>
      </c>
      <c r="N936" s="22">
        <v>0.169602718768266</v>
      </c>
      <c r="O936" s="37">
        <v>0.2</v>
      </c>
      <c r="P936" s="37">
        <f t="shared" si="91"/>
        <v>0.430801125560254</v>
      </c>
      <c r="Q936" s="219"/>
      <c r="R936" s="39"/>
      <c r="S936" s="1931"/>
      <c r="T936" s="120" t="s">
        <v>1406</v>
      </c>
      <c r="W936" s="1940"/>
      <c r="AB936" s="1940"/>
    </row>
    <row r="937" s="839" customFormat="1" ht="16" customHeight="1" spans="1:28">
      <c r="A937" s="839">
        <v>799</v>
      </c>
      <c r="B937" s="880" t="s">
        <v>768</v>
      </c>
      <c r="C937" s="880"/>
      <c r="D937" s="876">
        <v>20250801</v>
      </c>
      <c r="E937" s="21">
        <v>7.17</v>
      </c>
      <c r="F937" s="2132" t="s">
        <v>769</v>
      </c>
      <c r="G937" s="690" t="s">
        <v>770</v>
      </c>
      <c r="H937" s="690"/>
      <c r="I937" s="21"/>
      <c r="J937" s="21"/>
      <c r="K937" s="2048"/>
      <c r="L937" s="779"/>
      <c r="M937" s="22">
        <v>0.177731699189099</v>
      </c>
      <c r="N937" s="22">
        <v>0.29</v>
      </c>
      <c r="O937" s="37">
        <v>0.2</v>
      </c>
      <c r="P937" s="37">
        <f t="shared" ref="P937:P960" si="92">SUM(K937:O937)</f>
        <v>0.667731699189099</v>
      </c>
      <c r="Q937" s="219"/>
      <c r="R937" s="39"/>
      <c r="S937" s="1931"/>
      <c r="W937" s="1940"/>
      <c r="AB937" s="1940"/>
    </row>
    <row r="938" s="839" customFormat="1" ht="16" customHeight="1" spans="1:28">
      <c r="A938" s="839">
        <v>800</v>
      </c>
      <c r="B938" s="880" t="s">
        <v>768</v>
      </c>
      <c r="C938" s="880"/>
      <c r="D938" s="876">
        <v>20240829</v>
      </c>
      <c r="E938" s="21">
        <v>7.17</v>
      </c>
      <c r="F938" s="2132" t="s">
        <v>771</v>
      </c>
      <c r="G938" s="690" t="s">
        <v>772</v>
      </c>
      <c r="H938" s="690"/>
      <c r="I938" s="21"/>
      <c r="J938" s="21"/>
      <c r="K938" s="2048"/>
      <c r="L938" s="779"/>
      <c r="M938" s="22">
        <v>0.283290441114858</v>
      </c>
      <c r="N938" s="22">
        <v>1.14099105659458</v>
      </c>
      <c r="O938" s="37">
        <v>0.2</v>
      </c>
      <c r="P938" s="37">
        <f t="shared" si="92"/>
        <v>1.62428149770944</v>
      </c>
      <c r="Q938" s="219"/>
      <c r="R938" s="39"/>
      <c r="S938" s="1931"/>
      <c r="W938" s="1940"/>
      <c r="AB938" s="1940"/>
    </row>
    <row r="939" s="839" customFormat="1" ht="16" customHeight="1" spans="1:28">
      <c r="A939" s="839">
        <v>801</v>
      </c>
      <c r="B939" s="880" t="s">
        <v>768</v>
      </c>
      <c r="C939" s="880"/>
      <c r="D939" s="876">
        <v>20240829</v>
      </c>
      <c r="E939" s="21">
        <v>7.17</v>
      </c>
      <c r="F939" s="2132" t="s">
        <v>773</v>
      </c>
      <c r="G939" s="690" t="s">
        <v>774</v>
      </c>
      <c r="H939" s="690"/>
      <c r="I939" s="21"/>
      <c r="J939" s="21"/>
      <c r="K939" s="2048"/>
      <c r="L939" s="779"/>
      <c r="M939" s="22">
        <v>0.164614715782959</v>
      </c>
      <c r="N939" s="22">
        <v>0.33829122702841</v>
      </c>
      <c r="O939" s="37">
        <v>0.2</v>
      </c>
      <c r="P939" s="37">
        <f t="shared" si="92"/>
        <v>0.702905942811369</v>
      </c>
      <c r="Q939" s="219"/>
      <c r="R939" s="39"/>
      <c r="S939" s="1931"/>
      <c r="W939" s="1940"/>
      <c r="AB939" s="1940"/>
    </row>
    <row r="940" s="839" customFormat="1" ht="16" customHeight="1" spans="1:28">
      <c r="A940" s="839">
        <v>802</v>
      </c>
      <c r="B940" s="880" t="s">
        <v>768</v>
      </c>
      <c r="C940" s="880"/>
      <c r="D940" s="876">
        <v>20250723</v>
      </c>
      <c r="E940" s="21">
        <v>7.17</v>
      </c>
      <c r="F940" s="2132" t="s">
        <v>775</v>
      </c>
      <c r="G940" s="876" t="s">
        <v>776</v>
      </c>
      <c r="H940" s="876"/>
      <c r="I940" s="21"/>
      <c r="J940" s="21"/>
      <c r="K940" s="2048"/>
      <c r="L940" s="779"/>
      <c r="M940" s="22">
        <v>0.130830278569754</v>
      </c>
      <c r="N940" s="22">
        <v>0.240384591649079</v>
      </c>
      <c r="O940" s="37">
        <v>0.2</v>
      </c>
      <c r="P940" s="37">
        <f t="shared" si="92"/>
        <v>0.571214870218833</v>
      </c>
      <c r="Q940" s="219"/>
      <c r="R940" s="39"/>
      <c r="S940" s="1931"/>
      <c r="W940" s="1940"/>
      <c r="AB940" s="1940"/>
    </row>
    <row r="941" s="839" customFormat="1" ht="16" customHeight="1" spans="1:28">
      <c r="A941" s="839">
        <v>803</v>
      </c>
      <c r="B941" s="880" t="s">
        <v>768</v>
      </c>
      <c r="C941" s="880"/>
      <c r="D941" s="876">
        <v>20250723</v>
      </c>
      <c r="E941" s="21">
        <v>7.17</v>
      </c>
      <c r="F941" s="2132" t="s">
        <v>778</v>
      </c>
      <c r="G941" s="876" t="s">
        <v>779</v>
      </c>
      <c r="H941" s="876"/>
      <c r="I941" s="21"/>
      <c r="J941" s="21"/>
      <c r="K941" s="2048"/>
      <c r="L941" s="779"/>
      <c r="M941" s="22">
        <v>0.12095629528147</v>
      </c>
      <c r="N941" s="22">
        <v>0.257278946885399</v>
      </c>
      <c r="O941" s="37">
        <v>0.2</v>
      </c>
      <c r="P941" s="37">
        <f t="shared" si="92"/>
        <v>0.578235242166869</v>
      </c>
      <c r="Q941" s="219"/>
      <c r="R941" s="39"/>
      <c r="S941" s="1931"/>
      <c r="W941" s="1940"/>
      <c r="AB941" s="1940"/>
    </row>
    <row r="942" s="839" customFormat="1" ht="16" customHeight="1" spans="1:28">
      <c r="A942" s="839">
        <v>804</v>
      </c>
      <c r="B942" s="880" t="s">
        <v>768</v>
      </c>
      <c r="C942" s="880"/>
      <c r="D942" s="876">
        <v>20240914</v>
      </c>
      <c r="E942" s="21">
        <v>7.17</v>
      </c>
      <c r="F942" s="2132" t="s">
        <v>780</v>
      </c>
      <c r="G942" s="690" t="s">
        <v>781</v>
      </c>
      <c r="H942" s="690"/>
      <c r="I942" s="21"/>
      <c r="J942" s="21"/>
      <c r="K942" s="2048"/>
      <c r="L942" s="779"/>
      <c r="M942" s="22">
        <v>0.135645564508555</v>
      </c>
      <c r="N942" s="22">
        <v>1.933211952676</v>
      </c>
      <c r="O942" s="37">
        <v>0.2</v>
      </c>
      <c r="P942" s="37">
        <f t="shared" si="92"/>
        <v>2.26885751718456</v>
      </c>
      <c r="Q942" s="219"/>
      <c r="R942" s="39"/>
      <c r="S942" s="1931"/>
      <c r="W942" s="1940"/>
      <c r="AB942" s="1940"/>
    </row>
    <row r="943" s="839" customFormat="1" ht="16" customHeight="1" spans="1:28">
      <c r="A943" s="839">
        <v>805</v>
      </c>
      <c r="B943" s="880" t="s">
        <v>782</v>
      </c>
      <c r="C943" s="880"/>
      <c r="D943" s="876">
        <v>20240910</v>
      </c>
      <c r="E943" s="21">
        <v>7.17</v>
      </c>
      <c r="F943" s="2132" t="s">
        <v>783</v>
      </c>
      <c r="G943" s="690" t="s">
        <v>784</v>
      </c>
      <c r="H943" s="690"/>
      <c r="I943" s="21"/>
      <c r="J943" s="21"/>
      <c r="K943" s="2048"/>
      <c r="L943" s="779"/>
      <c r="M943" s="22">
        <v>0.206027697036579</v>
      </c>
      <c r="N943" s="22">
        <v>1.08512081001771</v>
      </c>
      <c r="O943" s="37">
        <v>0.3</v>
      </c>
      <c r="P943" s="37">
        <f t="shared" si="92"/>
        <v>1.59114850705429</v>
      </c>
      <c r="Q943" s="219"/>
      <c r="R943" s="39" t="s">
        <v>2847</v>
      </c>
      <c r="S943" s="1931"/>
      <c r="W943" s="1940"/>
      <c r="AB943" s="1940"/>
    </row>
    <row r="944" s="839" customFormat="1" ht="16" customHeight="1" spans="1:28">
      <c r="A944" s="839">
        <v>806</v>
      </c>
      <c r="B944" s="880"/>
      <c r="C944" s="880"/>
      <c r="D944" s="977">
        <v>20250812</v>
      </c>
      <c r="E944" s="153">
        <v>7.17</v>
      </c>
      <c r="F944" s="2132" t="s">
        <v>1432</v>
      </c>
      <c r="G944" s="690" t="s">
        <v>1433</v>
      </c>
      <c r="H944" s="690"/>
      <c r="I944" s="21"/>
      <c r="J944" s="21"/>
      <c r="K944" s="2048"/>
      <c r="L944" s="779"/>
      <c r="M944" s="22">
        <v>0.224633119808445</v>
      </c>
      <c r="N944" s="22">
        <v>1.06407856581257</v>
      </c>
      <c r="O944" s="37">
        <v>0.3</v>
      </c>
      <c r="P944" s="37">
        <f t="shared" si="92"/>
        <v>1.58871168562102</v>
      </c>
      <c r="Q944" s="219"/>
      <c r="R944" s="39"/>
      <c r="S944" s="1931"/>
      <c r="W944" s="1940"/>
      <c r="AB944" s="1940"/>
    </row>
    <row r="945" s="839" customFormat="1" ht="16" customHeight="1" spans="1:28">
      <c r="A945" s="839">
        <v>807</v>
      </c>
      <c r="B945" s="777" t="s">
        <v>785</v>
      </c>
      <c r="C945" s="777"/>
      <c r="D945" s="876">
        <v>20240827</v>
      </c>
      <c r="E945" s="21">
        <v>7.17</v>
      </c>
      <c r="F945" s="2132" t="s">
        <v>786</v>
      </c>
      <c r="G945" s="690" t="s">
        <v>787</v>
      </c>
      <c r="H945" s="690"/>
      <c r="I945" s="21"/>
      <c r="J945" s="21"/>
      <c r="K945" s="2048"/>
      <c r="L945" s="779"/>
      <c r="M945" s="22">
        <v>0.842214824936066</v>
      </c>
      <c r="N945" s="22">
        <v>6.11323206119363</v>
      </c>
      <c r="O945" s="37">
        <v>0.4</v>
      </c>
      <c r="P945" s="37">
        <f t="shared" si="92"/>
        <v>7.3554468861297</v>
      </c>
      <c r="Q945" s="219"/>
      <c r="R945" s="39" t="s">
        <v>3123</v>
      </c>
      <c r="S945" s="778"/>
      <c r="T945" s="840"/>
      <c r="W945" s="1940"/>
      <c r="AB945" s="1940"/>
    </row>
    <row r="946" s="839" customFormat="1" ht="16" customHeight="1" spans="1:28">
      <c r="A946" s="839">
        <v>808</v>
      </c>
      <c r="B946" s="1683" t="s">
        <v>3124</v>
      </c>
      <c r="C946" s="1683"/>
      <c r="D946" s="2216">
        <v>46079</v>
      </c>
      <c r="E946" s="1682">
        <v>6.8802</v>
      </c>
      <c r="F946" s="2132" t="s">
        <v>3125</v>
      </c>
      <c r="G946" s="1683" t="s">
        <v>1565</v>
      </c>
      <c r="H946" s="2217" t="s">
        <v>3126</v>
      </c>
      <c r="I946" s="1686" t="s">
        <v>2156</v>
      </c>
      <c r="J946" s="1686" t="s">
        <v>3127</v>
      </c>
      <c r="K946" s="2048"/>
      <c r="L946" s="1679">
        <v>11.5</v>
      </c>
      <c r="M946" s="965">
        <f>37.91/E946/1.13</f>
        <v>4.87611879979822</v>
      </c>
      <c r="N946" s="965">
        <v>28.93</v>
      </c>
      <c r="O946" s="964">
        <f>23.5/E946</f>
        <v>3.41559838376791</v>
      </c>
      <c r="P946" s="964">
        <f t="shared" si="92"/>
        <v>48.7217171835661</v>
      </c>
      <c r="Q946" s="219" t="s">
        <v>3128</v>
      </c>
      <c r="R946" s="2218" t="s">
        <v>3129</v>
      </c>
      <c r="W946" s="1940"/>
      <c r="AB946" s="1940"/>
    </row>
    <row r="947" ht="16" customHeight="1" spans="1:28">
      <c r="A947" s="839">
        <v>809</v>
      </c>
      <c r="B947" s="777" t="s">
        <v>3124</v>
      </c>
      <c r="C947" s="777"/>
      <c r="D947" s="2219">
        <v>46079</v>
      </c>
      <c r="E947" s="876">
        <v>6.8802</v>
      </c>
      <c r="F947" s="2132" t="s">
        <v>3130</v>
      </c>
      <c r="G947" s="777" t="s">
        <v>1617</v>
      </c>
      <c r="H947" s="2220" t="s">
        <v>3126</v>
      </c>
      <c r="I947" s="798" t="s">
        <v>2156</v>
      </c>
      <c r="J947" s="798" t="s">
        <v>3127</v>
      </c>
      <c r="K947" s="2048"/>
      <c r="L947" s="1086">
        <v>11.5</v>
      </c>
      <c r="M947" s="22">
        <f>37.91/E947/1.13</f>
        <v>4.87611879979822</v>
      </c>
      <c r="N947" s="22">
        <v>28.24</v>
      </c>
      <c r="O947" s="37">
        <f>23.5/E947</f>
        <v>3.41559838376791</v>
      </c>
      <c r="P947" s="37">
        <f t="shared" si="92"/>
        <v>48.0317171835661</v>
      </c>
      <c r="Q947" s="219" t="s">
        <v>3131</v>
      </c>
      <c r="R947" s="840" t="s">
        <v>3129</v>
      </c>
    </row>
    <row r="948" ht="16" customHeight="1" spans="1:28">
      <c r="A948" s="839"/>
      <c r="B948" s="2221" t="s">
        <v>3124</v>
      </c>
      <c r="C948" s="2221" t="s">
        <v>3132</v>
      </c>
      <c r="D948" s="2222">
        <v>46205</v>
      </c>
      <c r="E948" s="2223">
        <v>6.8</v>
      </c>
      <c r="F948" s="2132" t="s">
        <v>3133</v>
      </c>
      <c r="G948" s="2223"/>
      <c r="H948" s="2223"/>
      <c r="I948" s="825"/>
      <c r="J948" s="2020" t="s">
        <v>1428</v>
      </c>
      <c r="K948" s="2184" t="s">
        <v>712</v>
      </c>
      <c r="L948" s="2185" t="s">
        <v>1428</v>
      </c>
      <c r="M948" s="829">
        <f>38.9/E948/1.13</f>
        <v>5.06246746486205</v>
      </c>
      <c r="N948" s="829">
        <v>35</v>
      </c>
      <c r="O948" s="831">
        <f>23.5/E948</f>
        <v>3.45588235294118</v>
      </c>
      <c r="P948" s="831">
        <f t="shared" si="92"/>
        <v>43.5183498178032</v>
      </c>
      <c r="Q948" s="219" t="s">
        <v>3134</v>
      </c>
      <c r="R948" s="2197"/>
    </row>
    <row r="949" ht="16" customHeight="1" spans="1:28">
      <c r="A949" s="839"/>
      <c r="B949" s="976" t="s">
        <v>3135</v>
      </c>
      <c r="C949" s="2221"/>
      <c r="D949" s="2222"/>
      <c r="E949" s="2223">
        <v>6.78</v>
      </c>
      <c r="F949" s="2125" t="s">
        <v>3136</v>
      </c>
      <c r="G949" s="2223"/>
      <c r="H949" s="2223"/>
      <c r="I949" s="825"/>
      <c r="J949" s="1975" t="s">
        <v>1428</v>
      </c>
      <c r="K949" s="2224" t="s">
        <v>712</v>
      </c>
      <c r="L949" s="2225" t="s">
        <v>1428</v>
      </c>
      <c r="M949" s="727">
        <f>145/6.78/1.13</f>
        <v>18.9260448482001</v>
      </c>
      <c r="N949" s="727">
        <v>21</v>
      </c>
      <c r="O949" s="154">
        <f>22/E949</f>
        <v>3.24483775811209</v>
      </c>
      <c r="P949" s="154">
        <f t="shared" si="92"/>
        <v>43.1708826063122</v>
      </c>
      <c r="Q949" s="219"/>
      <c r="R949" s="2197"/>
    </row>
    <row r="950" ht="16" customHeight="1" spans="1:28">
      <c r="A950" s="839">
        <v>810</v>
      </c>
      <c r="B950" s="976" t="s">
        <v>3135</v>
      </c>
      <c r="C950" s="976"/>
      <c r="D950" s="2226">
        <v>46087</v>
      </c>
      <c r="E950" s="977">
        <v>6.8802</v>
      </c>
      <c r="F950" s="2132" t="s">
        <v>3136</v>
      </c>
      <c r="G950" s="977" t="s">
        <v>1604</v>
      </c>
      <c r="H950" s="977" t="s">
        <v>3136</v>
      </c>
      <c r="I950" s="924" t="s">
        <v>2156</v>
      </c>
      <c r="J950" s="924" t="s">
        <v>3137</v>
      </c>
      <c r="K950" s="2048"/>
      <c r="L950" s="911"/>
      <c r="M950" s="727">
        <f>105.9/E950/1.13</f>
        <v>13.6212339989088</v>
      </c>
      <c r="N950" s="727">
        <v>18.64</v>
      </c>
      <c r="O950" s="154">
        <f>22/E950</f>
        <v>3.19758146565507</v>
      </c>
      <c r="P950" s="37">
        <f t="shared" si="92"/>
        <v>35.4588154645639</v>
      </c>
      <c r="Q950" s="219"/>
      <c r="R950" s="2197"/>
    </row>
    <row r="951" ht="16" customHeight="1" spans="1:28">
      <c r="A951" s="839"/>
      <c r="B951" s="976"/>
      <c r="C951" s="976"/>
      <c r="D951" s="2226"/>
      <c r="E951" s="977">
        <v>6.78</v>
      </c>
      <c r="F951" s="2132" t="s">
        <v>3138</v>
      </c>
      <c r="G951" s="977"/>
      <c r="H951" s="977"/>
      <c r="I951" s="924"/>
      <c r="J951" s="924" t="s">
        <v>1428</v>
      </c>
      <c r="K951" s="2048" t="s">
        <v>712</v>
      </c>
      <c r="L951" s="911" t="s">
        <v>1428</v>
      </c>
      <c r="M951" s="727">
        <f>74.51*1.05/6.78/1.13</f>
        <v>10.2116453911818</v>
      </c>
      <c r="N951" s="727">
        <v>23.22</v>
      </c>
      <c r="O951" s="154">
        <f>24.5/E951</f>
        <v>3.61356932153392</v>
      </c>
      <c r="P951" s="154">
        <f t="shared" si="92"/>
        <v>37.0452147127157</v>
      </c>
      <c r="Q951" s="219"/>
      <c r="R951" s="2197"/>
    </row>
    <row r="952" ht="16" customHeight="1" spans="1:28">
      <c r="A952" s="839">
        <v>811</v>
      </c>
      <c r="B952" s="902" t="s">
        <v>1322</v>
      </c>
      <c r="C952" s="902"/>
      <c r="D952" s="2227">
        <v>46105</v>
      </c>
      <c r="E952" s="727">
        <v>6.7851</v>
      </c>
      <c r="F952" s="2132" t="s">
        <v>1979</v>
      </c>
      <c r="G952" s="727"/>
      <c r="H952" s="2228" t="s">
        <v>3139</v>
      </c>
      <c r="I952" s="727" t="s">
        <v>1979</v>
      </c>
      <c r="J952" s="727" t="s">
        <v>1871</v>
      </c>
      <c r="K952" s="2048"/>
      <c r="L952" s="727">
        <v>7.5</v>
      </c>
      <c r="M952" s="727">
        <f>45.4/E952/1.13*1.2</f>
        <v>7.10562694441216</v>
      </c>
      <c r="N952" s="727">
        <f>26.1*1.02</f>
        <v>26.622</v>
      </c>
      <c r="O952" s="154">
        <f>24.5/E952</f>
        <v>3.61085319302589</v>
      </c>
      <c r="P952" s="154">
        <f t="shared" si="92"/>
        <v>44.838480137438</v>
      </c>
      <c r="Q952" s="219" t="s">
        <v>3140</v>
      </c>
      <c r="R952" s="2229" t="s">
        <v>3141</v>
      </c>
    </row>
    <row r="953" ht="16" customHeight="1" spans="1:28">
      <c r="A953" s="839">
        <v>1</v>
      </c>
      <c r="B953" s="902"/>
      <c r="C953" s="902"/>
      <c r="D953" s="2227">
        <v>46175</v>
      </c>
      <c r="E953" s="727">
        <v>6.7693</v>
      </c>
      <c r="F953" s="2132" t="s">
        <v>3142</v>
      </c>
      <c r="G953" s="727"/>
      <c r="H953" s="2228"/>
      <c r="I953" s="727"/>
      <c r="J953" s="727"/>
      <c r="K953" s="2048"/>
      <c r="L953" s="727"/>
      <c r="M953" s="727">
        <f>45.4/E953/1.13*1.2</f>
        <v>7.12221195404709</v>
      </c>
      <c r="N953" s="727">
        <v>23</v>
      </c>
      <c r="O953" s="154">
        <f>24.5/E953</f>
        <v>3.61928116644262</v>
      </c>
      <c r="P953" s="154">
        <f t="shared" si="92"/>
        <v>33.7414931204897</v>
      </c>
      <c r="Q953" s="219"/>
      <c r="R953" s="640" t="s">
        <v>3143</v>
      </c>
    </row>
    <row r="954" ht="16" customHeight="1" spans="1:28">
      <c r="A954" s="839">
        <v>1</v>
      </c>
      <c r="B954" s="2230"/>
      <c r="C954" s="2230"/>
      <c r="D954" s="2231">
        <v>46199</v>
      </c>
      <c r="E954" s="2232">
        <v>6.73</v>
      </c>
      <c r="F954" s="1975" t="s">
        <v>3144</v>
      </c>
      <c r="G954" s="727"/>
      <c r="H954" s="2228">
        <f>5000/1575</f>
        <v>3.17460317460317</v>
      </c>
      <c r="I954" s="727"/>
      <c r="J954" s="727" t="s">
        <v>1428</v>
      </c>
      <c r="K954" s="2048" t="s">
        <v>712</v>
      </c>
      <c r="L954" s="727" t="s">
        <v>1428</v>
      </c>
      <c r="M954" s="727">
        <f>75.66/E954/1.13*1.05</f>
        <v>10.446291206985</v>
      </c>
      <c r="N954" s="727">
        <v>25.1</v>
      </c>
      <c r="O954" s="154">
        <f>24.5/E954</f>
        <v>3.64041604754829</v>
      </c>
      <c r="P954" s="154">
        <f t="shared" si="92"/>
        <v>39.1867072545333</v>
      </c>
      <c r="Q954" s="219"/>
      <c r="R954" s="640" t="s">
        <v>3145</v>
      </c>
    </row>
    <row r="955" ht="16" customHeight="1" spans="1:28">
      <c r="A955" s="839"/>
      <c r="B955" s="2230"/>
      <c r="C955" s="2230"/>
      <c r="D955" s="2231"/>
      <c r="E955" s="2232"/>
      <c r="F955" s="2132"/>
      <c r="G955" s="727"/>
      <c r="H955" s="2228"/>
      <c r="I955" s="727"/>
      <c r="J955" s="727"/>
      <c r="K955" s="2048"/>
      <c r="L955" s="727"/>
      <c r="M955" s="727"/>
      <c r="N955" s="727"/>
      <c r="O955" s="154"/>
      <c r="P955" s="154"/>
      <c r="Q955" s="219"/>
      <c r="R955" s="640"/>
    </row>
    <row r="956" ht="16" customHeight="1" spans="1:28">
      <c r="A956" s="839"/>
      <c r="B956" s="902"/>
      <c r="C956" s="902"/>
      <c r="D956" s="2227">
        <v>46210</v>
      </c>
      <c r="E956" s="727">
        <v>6.78</v>
      </c>
      <c r="F956" s="1975" t="s">
        <v>3146</v>
      </c>
      <c r="G956" s="727"/>
      <c r="H956" s="2228">
        <v>71.34</v>
      </c>
      <c r="I956" s="727"/>
      <c r="J956" s="727" t="s">
        <v>1428</v>
      </c>
      <c r="K956" s="2048" t="s">
        <v>712</v>
      </c>
      <c r="L956" s="727" t="s">
        <v>1428</v>
      </c>
      <c r="M956" s="727">
        <f>56.3/E956/1.13*1.2</f>
        <v>8.81823165478894</v>
      </c>
      <c r="N956" s="727">
        <f>24.77*1.05</f>
        <v>26.0085</v>
      </c>
      <c r="O956" s="154">
        <f>24.5/E956</f>
        <v>3.61356932153392</v>
      </c>
      <c r="P956" s="154">
        <f t="shared" ref="P956:P961" si="93">SUM(K956:O956)</f>
        <v>38.4403009763229</v>
      </c>
      <c r="Q956" s="219"/>
      <c r="R956" s="640"/>
    </row>
    <row r="957" ht="16" customHeight="1" spans="1:28">
      <c r="A957" s="839"/>
      <c r="B957" s="727"/>
      <c r="C957" s="1526"/>
      <c r="D957" s="2219">
        <v>46210</v>
      </c>
      <c r="E957" s="876">
        <v>6.78</v>
      </c>
      <c r="F957" s="1975" t="s">
        <v>3147</v>
      </c>
      <c r="G957" s="1022"/>
      <c r="H957" s="1022">
        <v>1575</v>
      </c>
      <c r="I957" s="1005"/>
      <c r="J957" s="727" t="s">
        <v>1428</v>
      </c>
      <c r="K957" s="2048" t="s">
        <v>712</v>
      </c>
      <c r="L957" s="727" t="s">
        <v>1428</v>
      </c>
      <c r="M957" s="727">
        <f>56.3/E957/1.13*1.2</f>
        <v>8.81823165478894</v>
      </c>
      <c r="N957" s="727">
        <f>24.8*1.05</f>
        <v>26.04</v>
      </c>
      <c r="O957" s="154">
        <f>24.5/E957</f>
        <v>3.61356932153392</v>
      </c>
      <c r="P957" s="154">
        <f t="shared" si="93"/>
        <v>38.4718009763229</v>
      </c>
      <c r="Q957" s="219"/>
      <c r="R957" s="640"/>
    </row>
    <row r="958" ht="16" customHeight="1" spans="1:28">
      <c r="A958" s="839">
        <v>1</v>
      </c>
      <c r="B958" s="2233"/>
      <c r="C958" s="2234" t="s">
        <v>3148</v>
      </c>
      <c r="D958" s="2235">
        <v>46132</v>
      </c>
      <c r="E958" s="2236">
        <v>6.7851</v>
      </c>
      <c r="F958" s="2132" t="s">
        <v>3149</v>
      </c>
      <c r="G958" s="1022"/>
      <c r="H958" s="1022">
        <v>530</v>
      </c>
      <c r="I958" s="1005"/>
      <c r="J958" s="2237"/>
      <c r="K958" s="2048"/>
      <c r="L958" s="2238"/>
      <c r="M958" s="727">
        <f t="shared" ref="M958:M961" si="94">45.4/E958/1.13*1.15</f>
        <v>6.80955915506166</v>
      </c>
      <c r="N958" s="727">
        <v>22.7</v>
      </c>
      <c r="O958" s="154">
        <v>4</v>
      </c>
      <c r="P958" s="154">
        <f t="shared" si="93"/>
        <v>33.5095591550617</v>
      </c>
      <c r="Q958" s="219"/>
      <c r="R958" s="640" t="s">
        <v>3143</v>
      </c>
    </row>
    <row r="959" ht="16" customHeight="1" spans="1:28">
      <c r="A959" s="839">
        <v>1</v>
      </c>
      <c r="B959" s="727"/>
      <c r="C959" s="1526"/>
      <c r="D959" s="2219">
        <v>46132</v>
      </c>
      <c r="E959" s="876">
        <v>6.7851</v>
      </c>
      <c r="F959" s="2132" t="s">
        <v>3150</v>
      </c>
      <c r="G959" s="1022"/>
      <c r="H959" s="1022">
        <f>8.21</f>
        <v>8.21</v>
      </c>
      <c r="I959" s="1005"/>
      <c r="J959" s="2237"/>
      <c r="K959" s="2048"/>
      <c r="L959" s="2238"/>
      <c r="M959" s="727">
        <f t="shared" si="94"/>
        <v>6.80955915506166</v>
      </c>
      <c r="N959" s="727">
        <v>18.7</v>
      </c>
      <c r="O959" s="154">
        <v>4</v>
      </c>
      <c r="P959" s="154">
        <f t="shared" si="93"/>
        <v>29.5095591550617</v>
      </c>
      <c r="Q959" s="219"/>
      <c r="R959" s="640" t="s">
        <v>3143</v>
      </c>
    </row>
    <row r="960" ht="16" customHeight="1" spans="1:28">
      <c r="A960" s="839">
        <v>1</v>
      </c>
      <c r="B960" s="727"/>
      <c r="C960" s="1526"/>
      <c r="D960" s="2219">
        <v>46132</v>
      </c>
      <c r="E960" s="876">
        <v>6.7851</v>
      </c>
      <c r="F960" s="2132" t="s">
        <v>3151</v>
      </c>
      <c r="G960" s="1022"/>
      <c r="H960" s="1022">
        <f>1900/300</f>
        <v>6.33333333333333</v>
      </c>
      <c r="I960" s="1005"/>
      <c r="J960" s="2237"/>
      <c r="K960" s="2048"/>
      <c r="L960" s="2238"/>
      <c r="M960" s="727">
        <f t="shared" si="94"/>
        <v>6.80955915506166</v>
      </c>
      <c r="N960" s="727">
        <v>18.7</v>
      </c>
      <c r="O960" s="154">
        <v>4</v>
      </c>
      <c r="P960" s="154">
        <f t="shared" si="93"/>
        <v>29.5095591550617</v>
      </c>
      <c r="Q960" s="219"/>
      <c r="R960" s="640" t="s">
        <v>3143</v>
      </c>
    </row>
    <row r="961" ht="16" customHeight="1" spans="1:19">
      <c r="A961" s="839">
        <v>1</v>
      </c>
      <c r="B961" s="727"/>
      <c r="C961" s="1526"/>
      <c r="D961" s="2219">
        <v>46132</v>
      </c>
      <c r="E961" s="876">
        <v>6.7851</v>
      </c>
      <c r="F961" s="2132" t="s">
        <v>3152</v>
      </c>
      <c r="G961" s="1022"/>
      <c r="H961" s="1022"/>
      <c r="I961" s="1005"/>
      <c r="J961" s="2237"/>
      <c r="K961" s="2048"/>
      <c r="L961" s="2238"/>
      <c r="M961" s="727">
        <f t="shared" si="94"/>
        <v>6.80955915506166</v>
      </c>
      <c r="N961" s="727">
        <v>21.9</v>
      </c>
      <c r="O961" s="154">
        <v>4</v>
      </c>
      <c r="P961" s="154">
        <f t="shared" si="93"/>
        <v>32.7095591550617</v>
      </c>
      <c r="Q961" s="219"/>
      <c r="R961" s="640" t="s">
        <v>3143</v>
      </c>
    </row>
    <row r="962" ht="16" customHeight="1" spans="1:19">
      <c r="A962" s="839">
        <v>1</v>
      </c>
      <c r="B962" s="907" t="s">
        <v>3153</v>
      </c>
      <c r="D962" s="2239">
        <v>46149</v>
      </c>
      <c r="E962" s="876">
        <v>6.83</v>
      </c>
      <c r="F962" s="2132" t="s">
        <v>3154</v>
      </c>
      <c r="J962" s="2240"/>
      <c r="K962" s="2048"/>
      <c r="L962" s="2241"/>
      <c r="M962" s="727">
        <f>24.81/E962/1.13</f>
        <v>3.21460500913461</v>
      </c>
      <c r="N962" s="727">
        <f>57.45+18.4</f>
        <v>75.85</v>
      </c>
      <c r="O962" s="154">
        <v>3.00520413398813</v>
      </c>
      <c r="P962" s="154">
        <f>SUM(M962:O962)</f>
        <v>82.0698091431227</v>
      </c>
      <c r="Q962" s="219"/>
      <c r="R962" s="2242" t="s">
        <v>3155</v>
      </c>
    </row>
    <row r="963" ht="16" customHeight="1" spans="1:19">
      <c r="A963" s="839">
        <v>812</v>
      </c>
      <c r="B963" s="976" t="s">
        <v>3153</v>
      </c>
      <c r="C963" s="2243"/>
      <c r="D963" s="2244">
        <v>46108</v>
      </c>
      <c r="E963" s="977">
        <v>6.8215</v>
      </c>
      <c r="F963" s="2132" t="s">
        <v>3154</v>
      </c>
      <c r="G963" s="1938" t="s">
        <v>1629</v>
      </c>
      <c r="H963" s="1938" t="s">
        <v>1428</v>
      </c>
      <c r="I963" s="1104" t="s">
        <v>1822</v>
      </c>
      <c r="J963" s="2240" t="s">
        <v>1507</v>
      </c>
      <c r="K963" s="2194" t="s">
        <v>712</v>
      </c>
      <c r="L963" s="2241" t="s">
        <v>712</v>
      </c>
      <c r="M963" s="2232">
        <f>24.81/E963/1.13</f>
        <v>3.21861060065812</v>
      </c>
      <c r="N963" s="2232">
        <v>55.15</v>
      </c>
      <c r="O963" s="1173">
        <f>20.5/E963</f>
        <v>3.00520413398813</v>
      </c>
      <c r="P963" s="2245">
        <f>SUM(M963:O963)</f>
        <v>61.3738147346462</v>
      </c>
      <c r="Q963" s="2246" t="s">
        <v>3156</v>
      </c>
      <c r="R963" s="2247" t="s">
        <v>3157</v>
      </c>
    </row>
    <row r="964" ht="16" customHeight="1" spans="1:19">
      <c r="A964" s="839"/>
      <c r="B964" s="976" t="s">
        <v>3158</v>
      </c>
      <c r="C964" s="2243"/>
      <c r="D964" s="2244">
        <v>46253</v>
      </c>
      <c r="E964" s="977">
        <v>6.75</v>
      </c>
      <c r="F964" s="1975" t="s">
        <v>3159</v>
      </c>
      <c r="J964" s="1841" t="s">
        <v>1428</v>
      </c>
      <c r="K964" s="2048" t="s">
        <v>712</v>
      </c>
      <c r="L964" s="1841" t="s">
        <v>1428</v>
      </c>
      <c r="M964" s="727">
        <f>81.5/E964/1.13</f>
        <v>10.6850213044903</v>
      </c>
      <c r="N964" s="727">
        <v>28.3</v>
      </c>
      <c r="O964" s="1985">
        <f>26/E964</f>
        <v>3.85185185185185</v>
      </c>
      <c r="P964" s="1563">
        <f>SUBTOTAL(109,M964:O964)</f>
        <v>42.8368731563422</v>
      </c>
      <c r="Q964" s="219" t="s">
        <v>2205</v>
      </c>
      <c r="R964" s="2247"/>
    </row>
    <row r="965" ht="16" customHeight="1" spans="1:19">
      <c r="A965" s="839"/>
      <c r="B965" s="2248" t="s">
        <v>3158</v>
      </c>
      <c r="C965" s="2243"/>
      <c r="D965" s="2244"/>
      <c r="E965" s="977">
        <v>6.78</v>
      </c>
      <c r="F965" s="2132" t="s">
        <v>3160</v>
      </c>
      <c r="J965" s="2240"/>
      <c r="K965" s="2201"/>
      <c r="L965" s="2241"/>
      <c r="M965" s="2233">
        <f>72.71/E965/1.13*1.1</f>
        <v>10.4394758138199</v>
      </c>
      <c r="N965" s="2233">
        <v>27.5</v>
      </c>
      <c r="O965" s="2249">
        <f>26/E965</f>
        <v>3.83480825958702</v>
      </c>
      <c r="P965" s="2250">
        <f>SUBTOTAL(109,M965:O965)</f>
        <v>41.7742840734069</v>
      </c>
      <c r="Q965" s="2126"/>
      <c r="R965" s="2247"/>
    </row>
    <row r="966" ht="16" customHeight="1" spans="1:19">
      <c r="A966" s="839">
        <v>813</v>
      </c>
      <c r="B966" s="2251" t="s">
        <v>3161</v>
      </c>
      <c r="C966" s="2251"/>
      <c r="D966" s="2252">
        <v>46043</v>
      </c>
      <c r="E966" s="2033">
        <v>6.8802</v>
      </c>
      <c r="F966" s="2132" t="s">
        <v>3162</v>
      </c>
      <c r="G966" s="2105" t="s">
        <v>1565</v>
      </c>
      <c r="H966" s="1988" t="s">
        <v>3163</v>
      </c>
      <c r="I966" s="1988" t="s">
        <v>1594</v>
      </c>
      <c r="J966" s="2033" t="s">
        <v>712</v>
      </c>
      <c r="K966" s="2048" t="s">
        <v>712</v>
      </c>
      <c r="L966" s="2033" t="s">
        <v>712</v>
      </c>
      <c r="M966" s="1987">
        <f t="shared" ref="M966:M968" si="95">37.8/E966/1.13</f>
        <v>4.86197020924222</v>
      </c>
      <c r="N966" s="1987">
        <f>23.2-0.68-1.05+0.55+0.23</f>
        <v>22.25</v>
      </c>
      <c r="O966" s="1987">
        <f t="shared" ref="O966:O968" si="96">26/E966</f>
        <v>3.77895991395599</v>
      </c>
      <c r="P966" s="1987">
        <f t="shared" ref="P966:P970" si="97">SUM(K966:O966)</f>
        <v>30.8909301231982</v>
      </c>
      <c r="Q966" s="219" t="s">
        <v>1748</v>
      </c>
      <c r="R966" s="1989" t="s">
        <v>3164</v>
      </c>
      <c r="S966" s="1989"/>
    </row>
    <row r="967" ht="16" customHeight="1" spans="1:19">
      <c r="A967" s="839">
        <v>814</v>
      </c>
      <c r="B967" s="2253"/>
      <c r="C967" s="2253"/>
      <c r="D967" s="2219">
        <v>46119</v>
      </c>
      <c r="E967" s="876">
        <v>6.8819</v>
      </c>
      <c r="F967" s="2132" t="s">
        <v>3165</v>
      </c>
      <c r="G967" s="1682" t="s">
        <v>1645</v>
      </c>
      <c r="H967" s="2217" t="s">
        <v>3166</v>
      </c>
      <c r="I967" s="1686"/>
      <c r="J967" s="1686" t="s">
        <v>1428</v>
      </c>
      <c r="K967" s="2048" t="s">
        <v>712</v>
      </c>
      <c r="L967" s="1679" t="s">
        <v>1428</v>
      </c>
      <c r="M967" s="1987">
        <f t="shared" si="95"/>
        <v>4.86076918200327</v>
      </c>
      <c r="N967" s="1987">
        <v>22.42</v>
      </c>
      <c r="O967" s="1987">
        <f t="shared" si="96"/>
        <v>3.77802641712318</v>
      </c>
      <c r="P967" s="1987">
        <f t="shared" si="97"/>
        <v>31.0587955991265</v>
      </c>
      <c r="Q967" s="219" t="s">
        <v>1428</v>
      </c>
      <c r="R967" s="2218" t="s">
        <v>3167</v>
      </c>
    </row>
    <row r="968" ht="16" customHeight="1" spans="1:19">
      <c r="A968" s="839">
        <v>815</v>
      </c>
      <c r="B968" s="2253"/>
      <c r="C968" s="2253"/>
      <c r="D968" s="2254">
        <v>46119</v>
      </c>
      <c r="E968" s="2255">
        <v>6.8819</v>
      </c>
      <c r="F968" s="2132" t="s">
        <v>3168</v>
      </c>
      <c r="G968" s="2256" t="s">
        <v>1604</v>
      </c>
      <c r="H968" s="2257" t="s">
        <v>3166</v>
      </c>
      <c r="I968" s="2258"/>
      <c r="J968" s="2258" t="s">
        <v>1428</v>
      </c>
      <c r="K968" s="2048" t="s">
        <v>712</v>
      </c>
      <c r="L968" s="2259" t="s">
        <v>1428</v>
      </c>
      <c r="M968" s="2260">
        <f t="shared" si="95"/>
        <v>4.86076918200327</v>
      </c>
      <c r="N968" s="2260">
        <v>21.5</v>
      </c>
      <c r="O968" s="2260">
        <f t="shared" si="96"/>
        <v>3.77802641712318</v>
      </c>
      <c r="P968" s="2260">
        <f t="shared" si="97"/>
        <v>30.1387955991264</v>
      </c>
      <c r="Q968" s="219" t="s">
        <v>1428</v>
      </c>
      <c r="R968" s="2261" t="s">
        <v>3169</v>
      </c>
    </row>
    <row r="969" ht="16" customHeight="1" spans="1:19">
      <c r="A969" s="839">
        <v>817</v>
      </c>
      <c r="B969" s="977" t="s">
        <v>3170</v>
      </c>
      <c r="C969" s="1022"/>
      <c r="D969" s="2219">
        <v>46120</v>
      </c>
      <c r="E969" s="876">
        <v>6.8819</v>
      </c>
      <c r="F969" s="1975" t="s">
        <v>3171</v>
      </c>
      <c r="G969" s="1022" t="s">
        <v>3172</v>
      </c>
      <c r="H969" s="2257" t="s">
        <v>3166</v>
      </c>
      <c r="I969" s="1005"/>
      <c r="J969" s="924" t="s">
        <v>1428</v>
      </c>
      <c r="K969" s="2048" t="s">
        <v>712</v>
      </c>
      <c r="L969" s="911" t="s">
        <v>1428</v>
      </c>
      <c r="M969" s="727">
        <f>38.29/E969/1.13</f>
        <v>4.92377915288109</v>
      </c>
      <c r="N969" s="727">
        <v>40.2</v>
      </c>
      <c r="O969" s="154">
        <f>22.5/E969</f>
        <v>3.26944593789506</v>
      </c>
      <c r="P969" s="1985">
        <f t="shared" si="97"/>
        <v>48.3932250907761</v>
      </c>
      <c r="Q969" s="266" t="s">
        <v>3173</v>
      </c>
      <c r="R969" s="2197" t="s">
        <v>3174</v>
      </c>
    </row>
    <row r="970" ht="16" customHeight="1" spans="1:19">
      <c r="A970" s="839">
        <v>1</v>
      </c>
      <c r="B970" s="976" t="s">
        <v>3175</v>
      </c>
      <c r="C970" s="2262" t="s">
        <v>2030</v>
      </c>
      <c r="D970" s="2219">
        <v>46163</v>
      </c>
      <c r="E970" s="876">
        <v>6.75</v>
      </c>
      <c r="F970" s="1975" t="s">
        <v>3176</v>
      </c>
      <c r="G970" s="1022"/>
      <c r="H970" s="2257"/>
      <c r="I970" s="1005"/>
      <c r="J970" s="924" t="s">
        <v>1428</v>
      </c>
      <c r="K970" s="2048" t="s">
        <v>712</v>
      </c>
      <c r="L970" s="924" t="s">
        <v>1428</v>
      </c>
      <c r="M970" s="2011">
        <f>67.38/6.73/1.13</f>
        <v>8.86007705558258</v>
      </c>
      <c r="N970" s="727">
        <v>76</v>
      </c>
      <c r="O970" s="2012">
        <f>40/E970</f>
        <v>5.92592592592593</v>
      </c>
      <c r="P970" s="2012">
        <f t="shared" si="97"/>
        <v>90.7860029815085</v>
      </c>
      <c r="Q970" s="219"/>
      <c r="R970" s="2263"/>
    </row>
    <row r="971" ht="16" customHeight="1" spans="1:19">
      <c r="A971" s="839">
        <v>818</v>
      </c>
      <c r="B971" s="2264" t="s">
        <v>2029</v>
      </c>
      <c r="C971" s="2264"/>
      <c r="D971" s="2032">
        <v>20251112</v>
      </c>
      <c r="E971" s="2265">
        <v>6.8802</v>
      </c>
      <c r="F971" s="2132" t="s">
        <v>2035</v>
      </c>
      <c r="G971" s="1988" t="s">
        <v>1617</v>
      </c>
      <c r="H971" s="2266" t="s">
        <v>2003</v>
      </c>
      <c r="I971" s="2033" t="s">
        <v>2036</v>
      </c>
      <c r="J971" s="2032" t="s">
        <v>1507</v>
      </c>
      <c r="K971" s="2048" t="s">
        <v>712</v>
      </c>
      <c r="L971" s="2267" t="s">
        <v>1507</v>
      </c>
      <c r="M971" s="2104">
        <f>17403.05/16/E971/1.13</f>
        <v>139.902630042911</v>
      </c>
      <c r="N971" s="1987">
        <v>73.6294797155859</v>
      </c>
      <c r="O971" s="1987">
        <v>4.153444</v>
      </c>
      <c r="P971" s="1739">
        <f t="shared" ref="P971:P979" si="98">SUM(M971:O971)</f>
        <v>217.685553758497</v>
      </c>
      <c r="Q971" s="219"/>
      <c r="R971" s="1988" t="s">
        <v>3177</v>
      </c>
    </row>
    <row r="972" ht="16" customHeight="1" spans="1:19">
      <c r="A972" s="839">
        <v>819</v>
      </c>
      <c r="B972" s="1988" t="s">
        <v>3178</v>
      </c>
      <c r="C972" s="1988"/>
      <c r="D972" s="2032">
        <v>20251113</v>
      </c>
      <c r="E972" s="2265">
        <v>6.8802</v>
      </c>
      <c r="F972" s="2132" t="s">
        <v>3179</v>
      </c>
      <c r="G972" s="2105" t="s">
        <v>1629</v>
      </c>
      <c r="H972" s="2266"/>
      <c r="I972" s="2033" t="s">
        <v>3180</v>
      </c>
      <c r="J972" s="2032" t="s">
        <v>1507</v>
      </c>
      <c r="K972" s="2048" t="s">
        <v>712</v>
      </c>
      <c r="L972" s="2033" t="s">
        <v>1507</v>
      </c>
      <c r="M972" s="2033">
        <f>28.93/E972/1.13</f>
        <v>3.72107931622692</v>
      </c>
      <c r="N972" s="2033">
        <v>23.9987823395598</v>
      </c>
      <c r="O972" s="2033">
        <v>5.191805</v>
      </c>
      <c r="P972" s="2269">
        <f t="shared" si="98"/>
        <v>32.9116666557867</v>
      </c>
      <c r="Q972" s="219"/>
      <c r="R972" s="1988" t="s">
        <v>3181</v>
      </c>
    </row>
    <row r="973" ht="16" customHeight="1" spans="1:19">
      <c r="A973" s="839">
        <v>820</v>
      </c>
      <c r="B973" s="2105" t="s">
        <v>1825</v>
      </c>
      <c r="C973" s="2105"/>
      <c r="D973" s="2270">
        <v>46056</v>
      </c>
      <c r="E973" s="2033">
        <v>6.8802</v>
      </c>
      <c r="F973" s="2132" t="s">
        <v>2118</v>
      </c>
      <c r="G973" s="1988" t="s">
        <v>1565</v>
      </c>
      <c r="H973" s="2266" t="s">
        <v>3182</v>
      </c>
      <c r="I973" s="2033" t="s">
        <v>2004</v>
      </c>
      <c r="J973" s="2033" t="s">
        <v>1507</v>
      </c>
      <c r="K973" s="2048" t="s">
        <v>1507</v>
      </c>
      <c r="L973" s="2033" t="s">
        <v>1507</v>
      </c>
      <c r="M973" s="1987">
        <f>21.7/E973/1.13</f>
        <v>2.79113104604646</v>
      </c>
      <c r="N973" s="1987">
        <f>17.117278+0.72</f>
        <v>17.837278</v>
      </c>
      <c r="O973" s="1987">
        <f t="shared" ref="O973:O976" si="99">22/E973</f>
        <v>3.19758146565507</v>
      </c>
      <c r="P973" s="2269">
        <f t="shared" si="98"/>
        <v>23.8259905117015</v>
      </c>
      <c r="Q973" s="219" t="s">
        <v>1823</v>
      </c>
      <c r="R973" s="1988" t="s">
        <v>2120</v>
      </c>
    </row>
    <row r="974" ht="16" customHeight="1" spans="1:19">
      <c r="A974" s="839">
        <v>821</v>
      </c>
      <c r="B974" s="2105" t="s">
        <v>1825</v>
      </c>
      <c r="C974" s="2105"/>
      <c r="D974" s="2270">
        <v>46056</v>
      </c>
      <c r="E974" s="2033">
        <v>6.8802</v>
      </c>
      <c r="F974" s="2132" t="s">
        <v>2121</v>
      </c>
      <c r="G974" s="1988" t="s">
        <v>1617</v>
      </c>
      <c r="H974" s="2266" t="s">
        <v>3182</v>
      </c>
      <c r="I974" s="2033" t="s">
        <v>2004</v>
      </c>
      <c r="J974" s="2033" t="s">
        <v>1507</v>
      </c>
      <c r="K974" s="2048" t="s">
        <v>1507</v>
      </c>
      <c r="L974" s="2033" t="s">
        <v>1507</v>
      </c>
      <c r="M974" s="1987">
        <f>21.7/E974/1.13</f>
        <v>2.79113104604646</v>
      </c>
      <c r="N974" s="1987">
        <f>13.302104+0.72</f>
        <v>14.022104</v>
      </c>
      <c r="O974" s="1987">
        <f t="shared" si="99"/>
        <v>3.19758146565507</v>
      </c>
      <c r="P974" s="2269">
        <f t="shared" si="98"/>
        <v>20.0108165117015</v>
      </c>
      <c r="Q974" s="219" t="s">
        <v>1526</v>
      </c>
      <c r="R974" s="1988" t="s">
        <v>3183</v>
      </c>
    </row>
    <row r="975" ht="16" customHeight="1" spans="1:19">
      <c r="A975" s="839"/>
      <c r="B975" s="1982" t="s">
        <v>3184</v>
      </c>
      <c r="C975" s="2105"/>
      <c r="D975" s="2270"/>
      <c r="E975" s="2033">
        <v>6.75</v>
      </c>
      <c r="F975" s="2125" t="s">
        <v>3185</v>
      </c>
      <c r="G975" s="1988"/>
      <c r="H975" s="2266"/>
      <c r="I975" s="2033"/>
      <c r="J975" s="1980" t="s">
        <v>1507</v>
      </c>
      <c r="K975" s="2048" t="s">
        <v>1507</v>
      </c>
      <c r="L975" s="1980" t="s">
        <v>1507</v>
      </c>
      <c r="M975" s="1985">
        <f>38.98/E975/1.13</f>
        <v>5.11045558833169</v>
      </c>
      <c r="N975" s="1985">
        <v>15.5</v>
      </c>
      <c r="O975" s="1985">
        <f t="shared" si="99"/>
        <v>3.25925925925926</v>
      </c>
      <c r="P975" s="2273">
        <f t="shared" si="98"/>
        <v>23.869714847591</v>
      </c>
      <c r="Q975" s="219"/>
      <c r="R975" s="1988"/>
    </row>
    <row r="976" ht="16" customHeight="1" spans="1:19">
      <c r="A976" s="839">
        <v>822</v>
      </c>
      <c r="B976" s="2105" t="s">
        <v>3184</v>
      </c>
      <c r="C976" s="2105"/>
      <c r="D976" s="2270">
        <v>46058</v>
      </c>
      <c r="E976" s="2033">
        <v>6.91</v>
      </c>
      <c r="F976" s="2132" t="s">
        <v>3186</v>
      </c>
      <c r="G976" s="1988" t="s">
        <v>1565</v>
      </c>
      <c r="H976" s="2266" t="s">
        <v>3182</v>
      </c>
      <c r="I976" s="2033"/>
      <c r="J976" s="2033" t="s">
        <v>1507</v>
      </c>
      <c r="K976" s="2048" t="s">
        <v>1507</v>
      </c>
      <c r="L976" s="2033" t="s">
        <v>1507</v>
      </c>
      <c r="M976" s="1987">
        <f>24.33/E976/1.13</f>
        <v>3.11591511596634</v>
      </c>
      <c r="N976" s="1987">
        <f>15.311701+0.72</f>
        <v>16.031701</v>
      </c>
      <c r="O976" s="1987">
        <f t="shared" si="99"/>
        <v>3.18379160636758</v>
      </c>
      <c r="P976" s="2269">
        <f t="shared" si="98"/>
        <v>22.3314077223339</v>
      </c>
      <c r="Q976" s="219" t="s">
        <v>1423</v>
      </c>
      <c r="R976" s="1988" t="s">
        <v>3187</v>
      </c>
    </row>
    <row r="977" ht="16" customHeight="1" spans="1:28">
      <c r="A977" s="839">
        <v>824</v>
      </c>
      <c r="B977" s="2274" t="s">
        <v>3188</v>
      </c>
      <c r="C977" s="2274"/>
      <c r="D977" s="2275">
        <v>46097</v>
      </c>
      <c r="E977" s="2276">
        <v>6.901</v>
      </c>
      <c r="F977" s="2132" t="s">
        <v>3189</v>
      </c>
      <c r="G977" s="2274" t="s">
        <v>1629</v>
      </c>
      <c r="H977" s="2277" t="s">
        <v>2119</v>
      </c>
      <c r="I977" s="2278" t="s">
        <v>1859</v>
      </c>
      <c r="J977" s="2278" t="s">
        <v>1654</v>
      </c>
      <c r="K977" s="2048" t="s">
        <v>712</v>
      </c>
      <c r="L977" s="2279">
        <f>27/E977/1.13</f>
        <v>3.46236854220178</v>
      </c>
      <c r="M977" s="2280">
        <f>23.32/E977/1.13</f>
        <v>2.99046053348687</v>
      </c>
      <c r="N977" s="2280">
        <f>13.9+0.72</f>
        <v>14.62</v>
      </c>
      <c r="O977" s="2260">
        <f>22.5/E977</f>
        <v>3.26039704390668</v>
      </c>
      <c r="P977" s="2269">
        <f t="shared" si="98"/>
        <v>20.8708575773936</v>
      </c>
      <c r="Q977" s="219" t="s">
        <v>3190</v>
      </c>
      <c r="R977" s="2281" t="s">
        <v>3191</v>
      </c>
    </row>
    <row r="978" ht="16" customHeight="1" spans="1:28">
      <c r="A978" s="839">
        <v>825</v>
      </c>
      <c r="B978" s="1683" t="s">
        <v>3192</v>
      </c>
      <c r="C978" s="1683"/>
      <c r="D978" s="2216">
        <v>46121</v>
      </c>
      <c r="E978" s="1682">
        <v>6.8819</v>
      </c>
      <c r="F978" s="2132" t="s">
        <v>3193</v>
      </c>
      <c r="G978" s="1682"/>
      <c r="H978" s="1682"/>
      <c r="I978" s="1686"/>
      <c r="J978" s="1686"/>
      <c r="K978" s="2048"/>
      <c r="L978" s="1679"/>
      <c r="M978" s="965">
        <f>23.077/E978/1.13</f>
        <v>2.96751244479073</v>
      </c>
      <c r="N978" s="965">
        <v>16.03</v>
      </c>
      <c r="O978" s="964">
        <f>26.67/E978/1.13</f>
        <v>3.42954270063564</v>
      </c>
      <c r="P978" s="2283">
        <f t="shared" si="98"/>
        <v>22.4270551454264</v>
      </c>
      <c r="Q978" s="219"/>
      <c r="R978" s="1930"/>
    </row>
    <row r="979" ht="16" customHeight="1" spans="1:28">
      <c r="A979" s="839">
        <v>826</v>
      </c>
      <c r="B979" s="977" t="s">
        <v>3194</v>
      </c>
      <c r="C979" s="2284"/>
      <c r="D979" s="2244">
        <v>46121</v>
      </c>
      <c r="E979" s="2284">
        <v>6.8819</v>
      </c>
      <c r="F979" s="2130" t="s">
        <v>1979</v>
      </c>
      <c r="G979" s="2284"/>
      <c r="H979" s="2284"/>
      <c r="I979" s="1243"/>
      <c r="J979" s="924" t="s">
        <v>3195</v>
      </c>
      <c r="K979" s="2048"/>
      <c r="L979" s="911">
        <v>6</v>
      </c>
      <c r="M979" s="727">
        <f>20.61/E979/1.13</f>
        <v>2.6502765301875</v>
      </c>
      <c r="N979" s="727">
        <v>17.6</v>
      </c>
      <c r="O979" s="154">
        <f>24.81/E979/1.13</f>
        <v>3.19036199485453</v>
      </c>
      <c r="P979" s="1563">
        <f t="shared" si="98"/>
        <v>23.440638525042</v>
      </c>
      <c r="Q979" s="219"/>
      <c r="R979" s="993"/>
    </row>
    <row r="980" ht="16" customHeight="1" spans="1:28">
      <c r="A980" s="839"/>
      <c r="B980" s="976" t="s">
        <v>3196</v>
      </c>
      <c r="C980" s="2284"/>
      <c r="D980" s="2244">
        <v>46268</v>
      </c>
      <c r="E980" s="2284">
        <v>6.73</v>
      </c>
      <c r="F980" s="2198" t="s">
        <v>3197</v>
      </c>
      <c r="G980" s="2284"/>
      <c r="H980" s="2284"/>
      <c r="I980" s="1243"/>
      <c r="J980" s="924" t="s">
        <v>1428</v>
      </c>
      <c r="K980" s="2048" t="s">
        <v>712</v>
      </c>
      <c r="L980" s="924" t="s">
        <v>1428</v>
      </c>
      <c r="M980" s="727">
        <f>62/E980/1.13</f>
        <v>8.15263843048561</v>
      </c>
      <c r="N980" s="727">
        <v>19.1</v>
      </c>
      <c r="O980" s="154">
        <f>22.5/E980</f>
        <v>3.34323922734027</v>
      </c>
      <c r="P980" s="1563">
        <f>SUBTOTAL(109,L980:O980)</f>
        <v>30.5958776578259</v>
      </c>
      <c r="Q980" s="219"/>
      <c r="R980" s="2197" t="s">
        <v>3198</v>
      </c>
    </row>
    <row r="981" ht="16" customHeight="1" spans="1:28">
      <c r="A981" s="991">
        <v>1</v>
      </c>
      <c r="B981" s="2243" t="s">
        <v>3196</v>
      </c>
      <c r="C981" s="2243"/>
      <c r="D981" s="2244">
        <v>46122</v>
      </c>
      <c r="E981" s="2284">
        <v>6.8819</v>
      </c>
      <c r="F981" s="2132" t="s">
        <v>3199</v>
      </c>
      <c r="G981" s="2284" t="s">
        <v>1645</v>
      </c>
      <c r="H981" s="2284"/>
      <c r="I981" s="1243"/>
      <c r="J981" s="1243" t="s">
        <v>3137</v>
      </c>
      <c r="K981" s="2201"/>
      <c r="L981" s="2285">
        <v>6</v>
      </c>
      <c r="M981" s="1249">
        <f>36.3/E981/1.13</f>
        <v>4.66788151605076</v>
      </c>
      <c r="N981" s="1249">
        <v>16.8</v>
      </c>
      <c r="O981" s="2286">
        <f>22.5/E981</f>
        <v>3.26944593789506</v>
      </c>
      <c r="P981" s="2250">
        <f>SUBTOTAL(109,L981:O981)</f>
        <v>30.7373274539458</v>
      </c>
      <c r="Q981" s="219"/>
      <c r="R981" s="993" t="s">
        <v>3200</v>
      </c>
    </row>
    <row r="982" s="1931" customFormat="1" ht="16" customHeight="1" spans="1:28">
      <c r="A982" s="839">
        <v>1</v>
      </c>
      <c r="B982" s="2287" t="s">
        <v>3196</v>
      </c>
      <c r="C982" s="2288"/>
      <c r="D982" s="2289">
        <v>46196</v>
      </c>
      <c r="E982" s="2290">
        <v>6.7739</v>
      </c>
      <c r="F982" s="2132" t="s">
        <v>3201</v>
      </c>
      <c r="G982" s="2288"/>
      <c r="H982" s="2291"/>
      <c r="I982" s="2290"/>
      <c r="J982" s="2290"/>
      <c r="K982" s="2169"/>
      <c r="L982" s="2290"/>
      <c r="M982" s="2292">
        <f>37.8*1.3/1.13/E982</f>
        <v>6.41974721559468</v>
      </c>
      <c r="N982" s="2292">
        <v>22</v>
      </c>
      <c r="O982" s="809">
        <f>22.5/E982</f>
        <v>3.32157250623717</v>
      </c>
      <c r="P982" s="1171">
        <f>SUBTOTAL(109,N982:O982)</f>
        <v>25.3215725062372</v>
      </c>
      <c r="Q982" s="227"/>
      <c r="R982" s="2293"/>
      <c r="W982" s="2029"/>
      <c r="AB982" s="2029"/>
    </row>
    <row r="983" s="1931" customFormat="1" ht="16" customHeight="1" spans="1:28">
      <c r="A983" s="839"/>
      <c r="B983" s="2465" t="s">
        <v>3202</v>
      </c>
      <c r="C983" s="2288"/>
      <c r="D983" s="2289">
        <v>46287</v>
      </c>
      <c r="E983" s="2290">
        <v>6.7</v>
      </c>
      <c r="F983" s="1975" t="s">
        <v>3203</v>
      </c>
      <c r="G983" s="2288"/>
      <c r="H983" s="2291"/>
      <c r="I983" s="2290"/>
      <c r="J983" s="924" t="s">
        <v>1428</v>
      </c>
      <c r="K983" s="2048" t="s">
        <v>712</v>
      </c>
      <c r="L983" s="924" t="s">
        <v>1428</v>
      </c>
      <c r="M983" s="1985">
        <f>49.8/E983/1.13</f>
        <v>6.57773081495179</v>
      </c>
      <c r="N983" s="1985">
        <f>24.71+1.05</f>
        <v>25.76</v>
      </c>
      <c r="O983" s="1985">
        <f>23.5/6.91</f>
        <v>3.40086830680174</v>
      </c>
      <c r="P983" s="154">
        <f>SUBTOTAL(109,N983:O983)</f>
        <v>29.1608683068017</v>
      </c>
      <c r="Q983" s="501" t="s">
        <v>3204</v>
      </c>
      <c r="R983" s="2293"/>
      <c r="W983" s="2029"/>
      <c r="AB983" s="2029"/>
    </row>
    <row r="984" ht="16" customHeight="1" spans="1:28">
      <c r="A984" s="839">
        <v>1</v>
      </c>
      <c r="B984" s="2294" t="s">
        <v>3202</v>
      </c>
      <c r="C984" s="2294"/>
      <c r="D984" s="2295">
        <v>20250916</v>
      </c>
      <c r="E984" s="2033">
        <v>6.837</v>
      </c>
      <c r="F984" s="2132" t="s">
        <v>1658</v>
      </c>
      <c r="G984" s="2296" t="s">
        <v>1565</v>
      </c>
      <c r="H984" s="2266" t="s">
        <v>3205</v>
      </c>
      <c r="I984" s="2033" t="s">
        <v>1506</v>
      </c>
      <c r="J984" s="2033" t="s">
        <v>1507</v>
      </c>
      <c r="K984" s="2048" t="s">
        <v>712</v>
      </c>
      <c r="L984" s="2033" t="s">
        <v>1507</v>
      </c>
      <c r="M984" s="1987">
        <f>33.08/E984/1.13</f>
        <v>4.28175168687814</v>
      </c>
      <c r="N984" s="1987">
        <v>26.03</v>
      </c>
      <c r="O984" s="2302">
        <f>23.5/6.91</f>
        <v>3.40086830680174</v>
      </c>
      <c r="P984" s="1563">
        <f t="shared" ref="P984:P992" si="100">SUBTOTAL(109,L984:O984)</f>
        <v>33.7126199936799</v>
      </c>
      <c r="Q984" s="219"/>
      <c r="R984" s="2298" t="s">
        <v>3206</v>
      </c>
    </row>
    <row r="985" ht="16" customHeight="1" spans="1:28">
      <c r="A985" s="839">
        <v>1</v>
      </c>
      <c r="B985" s="2299" t="s">
        <v>3202</v>
      </c>
      <c r="C985" s="2299"/>
      <c r="D985" s="2300">
        <v>20250916</v>
      </c>
      <c r="E985" s="2278">
        <v>6.837</v>
      </c>
      <c r="F985" s="2132" t="s">
        <v>1661</v>
      </c>
      <c r="G985" s="2301" t="s">
        <v>1617</v>
      </c>
      <c r="H985" s="2277" t="s">
        <v>3205</v>
      </c>
      <c r="I985" s="2278" t="s">
        <v>1511</v>
      </c>
      <c r="J985" s="2278" t="s">
        <v>1507</v>
      </c>
      <c r="K985" s="2194" t="s">
        <v>712</v>
      </c>
      <c r="L985" s="2278" t="s">
        <v>1507</v>
      </c>
      <c r="M985" s="2260">
        <f>33.08/E985/1.13</f>
        <v>4.28175168687814</v>
      </c>
      <c r="N985" s="2260">
        <v>28.3240095622731</v>
      </c>
      <c r="O985" s="2302">
        <f>23.5/6.91</f>
        <v>3.40086830680174</v>
      </c>
      <c r="P985" s="2245">
        <f t="shared" si="100"/>
        <v>36.006629555953</v>
      </c>
      <c r="Q985" s="219"/>
      <c r="R985" s="2298" t="s">
        <v>3206</v>
      </c>
    </row>
    <row r="986" ht="16" customHeight="1" spans="1:28">
      <c r="A986" s="839">
        <v>1</v>
      </c>
      <c r="B986" s="2466" t="s">
        <v>3207</v>
      </c>
      <c r="C986" s="2077" t="s">
        <v>1868</v>
      </c>
      <c r="D986" s="1017">
        <v>46129</v>
      </c>
      <c r="E986" s="153">
        <v>6.837</v>
      </c>
      <c r="F986" s="1975" t="s">
        <v>2016</v>
      </c>
      <c r="G986" s="1082" t="s">
        <v>1565</v>
      </c>
      <c r="H986" s="219" t="s">
        <v>1870</v>
      </c>
      <c r="I986" s="153" t="s">
        <v>2156</v>
      </c>
      <c r="J986" s="2467" t="s">
        <v>1876</v>
      </c>
      <c r="K986" s="2048" t="s">
        <v>712</v>
      </c>
      <c r="L986" s="727">
        <f>26.17/E986/1.13</f>
        <v>3.38734708723098</v>
      </c>
      <c r="M986" s="319">
        <f>49.32/E986/1.13</f>
        <v>6.3837966504483</v>
      </c>
      <c r="N986" s="727">
        <v>20.88</v>
      </c>
      <c r="O986" s="320">
        <f t="shared" ref="O984:O1000" si="101">22.5/E986</f>
        <v>3.29091706888986</v>
      </c>
      <c r="P986" s="320">
        <f t="shared" si="100"/>
        <v>33.9420608065691</v>
      </c>
      <c r="Q986" s="219" t="s">
        <v>1877</v>
      </c>
      <c r="R986" s="266" t="s">
        <v>3208</v>
      </c>
    </row>
    <row r="987" ht="16" customHeight="1" spans="1:28">
      <c r="A987" s="839">
        <v>1</v>
      </c>
      <c r="B987" s="2466"/>
      <c r="C987" s="2077" t="s">
        <v>3209</v>
      </c>
      <c r="D987" s="1017">
        <v>46150</v>
      </c>
      <c r="E987" s="153">
        <v>6.7693</v>
      </c>
      <c r="F987" s="1975" t="s">
        <v>3210</v>
      </c>
      <c r="G987" s="1082" t="s">
        <v>1604</v>
      </c>
      <c r="H987" s="219" t="s">
        <v>1870</v>
      </c>
      <c r="I987" s="153" t="s">
        <v>2156</v>
      </c>
      <c r="J987" s="2467" t="s">
        <v>1876</v>
      </c>
      <c r="K987" s="2048" t="s">
        <v>712</v>
      </c>
      <c r="L987" s="727"/>
      <c r="M987" s="319">
        <f>49.32/E987/1.13</f>
        <v>6.44764121831135</v>
      </c>
      <c r="N987" s="727">
        <v>13.4</v>
      </c>
      <c r="O987" s="320">
        <f t="shared" si="101"/>
        <v>3.32382964265138</v>
      </c>
      <c r="P987" s="320">
        <f t="shared" si="100"/>
        <v>23.1714708609627</v>
      </c>
      <c r="Q987" s="219" t="s">
        <v>3211</v>
      </c>
      <c r="R987" s="266" t="s">
        <v>3212</v>
      </c>
    </row>
    <row r="988" ht="16" customHeight="1" spans="1:28">
      <c r="A988" s="839"/>
      <c r="B988" s="2466"/>
      <c r="C988" s="2077"/>
      <c r="D988" s="1017">
        <v>46269</v>
      </c>
      <c r="E988" s="153">
        <v>6.7</v>
      </c>
      <c r="F988" s="1975" t="s">
        <v>3213</v>
      </c>
      <c r="G988" s="1082"/>
      <c r="H988" s="219"/>
      <c r="I988" s="153"/>
      <c r="J988" s="924" t="s">
        <v>1428</v>
      </c>
      <c r="K988" s="2468" t="s">
        <v>712</v>
      </c>
      <c r="L988" s="924" t="s">
        <v>1428</v>
      </c>
      <c r="M988" s="319">
        <f>58.45/E988/1.13</f>
        <v>7.72024831594241</v>
      </c>
      <c r="N988" s="727">
        <v>15.9</v>
      </c>
      <c r="O988" s="320">
        <f t="shared" si="101"/>
        <v>3.35820895522388</v>
      </c>
      <c r="P988" s="320">
        <f t="shared" si="100"/>
        <v>26.9784572711663</v>
      </c>
      <c r="Q988" s="219"/>
      <c r="R988" s="266"/>
    </row>
    <row r="989" ht="16" customHeight="1" spans="1:28">
      <c r="A989" s="839">
        <v>1</v>
      </c>
      <c r="B989" s="2466"/>
      <c r="C989" s="2077"/>
      <c r="D989" s="2203">
        <v>46175</v>
      </c>
      <c r="E989" s="2204">
        <v>6.7693</v>
      </c>
      <c r="F989" s="1975" t="s">
        <v>3214</v>
      </c>
      <c r="G989" s="1082"/>
      <c r="H989" s="219"/>
      <c r="I989" s="153"/>
      <c r="J989" s="924" t="s">
        <v>1428</v>
      </c>
      <c r="K989" s="2468" t="s">
        <v>712</v>
      </c>
      <c r="L989" s="924" t="s">
        <v>1428</v>
      </c>
      <c r="M989" s="319">
        <f>46/E989/1.13*1.1</f>
        <v>6.61497659461789</v>
      </c>
      <c r="N989" s="727">
        <v>16.25</v>
      </c>
      <c r="O989" s="320">
        <f t="shared" si="101"/>
        <v>3.32382964265138</v>
      </c>
      <c r="P989" s="320">
        <f t="shared" si="100"/>
        <v>26.1888062372693</v>
      </c>
      <c r="Q989" s="219"/>
      <c r="R989" s="266"/>
    </row>
    <row r="990" s="1936" customFormat="1" ht="16" customHeight="1" spans="1:28">
      <c r="A990" s="1936">
        <v>1</v>
      </c>
      <c r="B990" s="2466"/>
      <c r="C990" s="2077"/>
      <c r="D990" s="1017">
        <v>46176</v>
      </c>
      <c r="E990" s="153">
        <v>6.75</v>
      </c>
      <c r="F990" s="1975" t="s">
        <v>3215</v>
      </c>
      <c r="G990" s="1082" t="s">
        <v>1667</v>
      </c>
      <c r="H990" s="219"/>
      <c r="I990" s="153"/>
      <c r="J990" s="1975" t="s">
        <v>1428</v>
      </c>
      <c r="K990" s="2224" t="s">
        <v>712</v>
      </c>
      <c r="L990" s="2225" t="s">
        <v>1428</v>
      </c>
      <c r="M990" s="319">
        <f>47.13/E990/1.13*1.05</f>
        <v>6.48790560471977</v>
      </c>
      <c r="N990" s="319">
        <f>15.85*1.05</f>
        <v>16.6425</v>
      </c>
      <c r="O990" s="320">
        <f t="shared" si="101"/>
        <v>3.33333333333333</v>
      </c>
      <c r="P990" s="320">
        <f t="shared" si="100"/>
        <v>26.4637389380531</v>
      </c>
      <c r="Q990" s="219"/>
      <c r="R990" s="651"/>
      <c r="W990" s="2320"/>
      <c r="AB990" s="2320"/>
    </row>
    <row r="991" s="1936" customFormat="1" ht="16" customHeight="1" spans="1:28">
      <c r="B991" s="2466"/>
      <c r="C991" s="2077"/>
      <c r="D991" s="1017"/>
      <c r="E991" s="153">
        <v>6.78</v>
      </c>
      <c r="F991" s="1975" t="s">
        <v>3216</v>
      </c>
      <c r="G991" s="1082"/>
      <c r="H991" s="219"/>
      <c r="I991" s="153"/>
      <c r="J991" s="924" t="s">
        <v>1428</v>
      </c>
      <c r="K991" s="2468" t="s">
        <v>712</v>
      </c>
      <c r="L991" s="924" t="s">
        <v>1428</v>
      </c>
      <c r="M991" s="319">
        <f>52/E991/1.13*1.05</f>
        <v>7.12663481870154</v>
      </c>
      <c r="N991" s="319">
        <v>21</v>
      </c>
      <c r="O991" s="320">
        <f t="shared" si="101"/>
        <v>3.31858407079646</v>
      </c>
      <c r="P991" s="320">
        <f t="shared" si="100"/>
        <v>31.445218889498</v>
      </c>
      <c r="Q991" s="219"/>
      <c r="R991" s="651"/>
      <c r="W991" s="2320"/>
      <c r="AB991" s="2320"/>
    </row>
    <row r="992" s="1936" customFormat="1" ht="16" customHeight="1" spans="1:28">
      <c r="B992" s="2466"/>
      <c r="C992" s="2077"/>
      <c r="D992" s="1017">
        <v>46287</v>
      </c>
      <c r="E992" s="153">
        <v>6.7</v>
      </c>
      <c r="F992" s="1975" t="s">
        <v>3217</v>
      </c>
      <c r="G992" s="1082"/>
      <c r="H992" s="219"/>
      <c r="I992" s="153"/>
      <c r="J992" s="924" t="s">
        <v>1428</v>
      </c>
      <c r="K992" s="2468" t="s">
        <v>712</v>
      </c>
      <c r="L992" s="924" t="s">
        <v>1428</v>
      </c>
      <c r="M992" s="2469">
        <f>53/E992/1.13</f>
        <v>7.00039624884428</v>
      </c>
      <c r="N992" s="2469">
        <v>15.6</v>
      </c>
      <c r="O992" s="2469">
        <f t="shared" si="101"/>
        <v>3.35820895522388</v>
      </c>
      <c r="P992" s="2469">
        <f t="shared" si="100"/>
        <v>25.9586052040682</v>
      </c>
      <c r="Q992" s="219" t="s">
        <v>3218</v>
      </c>
      <c r="R992" s="651"/>
      <c r="W992" s="2320"/>
      <c r="AB992" s="2320"/>
    </row>
    <row r="993" s="1936" customFormat="1" ht="16" customHeight="1" spans="1:1024 1025:16384">
      <c r="B993" s="2466"/>
      <c r="C993" s="2077"/>
      <c r="D993" s="1017" t="s">
        <v>3219</v>
      </c>
      <c r="E993" s="153">
        <v>6.75</v>
      </c>
      <c r="F993" s="1975" t="s">
        <v>3220</v>
      </c>
      <c r="G993" s="2470"/>
      <c r="H993" s="2146"/>
      <c r="I993" s="1762"/>
      <c r="J993" s="1575" t="s">
        <v>3221</v>
      </c>
      <c r="K993" s="2471">
        <f>310/E993</f>
        <v>45.9259259259259</v>
      </c>
      <c r="L993" s="2471">
        <f>27.5/E993/1.13</f>
        <v>3.60537528679122</v>
      </c>
      <c r="M993" s="2469">
        <f>40/E993/1.13</f>
        <v>5.24418223533268</v>
      </c>
      <c r="N993" s="2469">
        <v>14.5</v>
      </c>
      <c r="O993" s="2469">
        <f t="shared" si="101"/>
        <v>3.33333333333333</v>
      </c>
      <c r="P993" s="2469">
        <f>SUBTOTAL(109,K993:O993)</f>
        <v>72.6088167813831</v>
      </c>
      <c r="Q993" s="266" t="s">
        <v>3222</v>
      </c>
      <c r="R993" s="651"/>
      <c r="W993" s="2320"/>
      <c r="AB993" s="2320"/>
    </row>
    <row r="994" s="1936" customFormat="1" ht="16" customHeight="1" spans="1:1024 1025:16384">
      <c r="B994" s="2466"/>
      <c r="C994" s="2077"/>
      <c r="D994" s="1017" t="s">
        <v>3223</v>
      </c>
      <c r="E994" s="153">
        <v>6.75</v>
      </c>
      <c r="F994" s="1975" t="s">
        <v>3220</v>
      </c>
      <c r="G994" s="2470"/>
      <c r="H994" s="2146"/>
      <c r="I994" s="1762"/>
      <c r="J994" s="1575" t="s">
        <v>3224</v>
      </c>
      <c r="K994" s="2471">
        <f>300/E994</f>
        <v>44.4444444444444</v>
      </c>
      <c r="L994" s="2471">
        <f>33.8/E994/1.13</f>
        <v>4.43133398885611</v>
      </c>
      <c r="M994" s="2469">
        <f>46/E994/1.13</f>
        <v>6.03080957063258</v>
      </c>
      <c r="N994" s="2469">
        <v>16.3</v>
      </c>
      <c r="O994" s="2469">
        <f t="shared" si="101"/>
        <v>3.33333333333333</v>
      </c>
      <c r="P994" s="2469">
        <f>SUBTOTAL(109,K994:O994)</f>
        <v>74.5399213372664</v>
      </c>
      <c r="Q994" s="266" t="s">
        <v>3225</v>
      </c>
      <c r="R994" s="651"/>
      <c r="W994" s="2320"/>
      <c r="AB994" s="2320"/>
    </row>
    <row r="995" s="1936" customFormat="1" ht="20" customHeight="1" spans="1:1024 1025:16384">
      <c r="A995" s="2335"/>
      <c r="B995" s="2466"/>
      <c r="C995" s="2077"/>
      <c r="D995" s="1017" t="s">
        <v>3219</v>
      </c>
      <c r="E995" s="153">
        <v>6.75</v>
      </c>
      <c r="F995" s="1975" t="s">
        <v>3220</v>
      </c>
      <c r="G995" s="2470"/>
      <c r="H995" s="2146"/>
      <c r="I995" s="1762"/>
      <c r="J995" s="924" t="s">
        <v>1428</v>
      </c>
      <c r="K995" s="2471">
        <f>310/E995</f>
        <v>45.9259259259259</v>
      </c>
      <c r="L995" s="2471">
        <f>27.5/E995/1.13</f>
        <v>3.60537528679122</v>
      </c>
      <c r="M995" s="2469">
        <f>40/E995/1.13</f>
        <v>5.24418223533268</v>
      </c>
      <c r="N995" s="2469">
        <v>14.5</v>
      </c>
      <c r="O995" s="2469">
        <f t="shared" si="101"/>
        <v>3.33333333333333</v>
      </c>
      <c r="P995" s="2469">
        <f>SUBTOTAL(109,K995:O995)</f>
        <v>72.6088167813831</v>
      </c>
      <c r="Q995" s="266" t="s">
        <v>3222</v>
      </c>
      <c r="R995" s="651"/>
      <c r="S995" s="2335"/>
      <c r="T995" s="2335"/>
      <c r="U995" s="2335"/>
      <c r="V995" s="2335"/>
      <c r="W995" s="2337"/>
      <c r="X995" s="2335"/>
      <c r="Y995" s="2335"/>
      <c r="Z995" s="2335"/>
      <c r="AA995" s="2335"/>
      <c r="AB995" s="2337"/>
      <c r="AC995" s="2335"/>
      <c r="AD995" s="2335"/>
      <c r="AE995" s="2335"/>
      <c r="AF995" s="2335"/>
      <c r="AG995" s="2335"/>
      <c r="AH995" s="2335"/>
      <c r="AI995" s="2335"/>
      <c r="AJ995" s="2335"/>
      <c r="AK995" s="2335"/>
      <c r="AL995" s="2335"/>
      <c r="AM995" s="2335"/>
      <c r="AN995" s="2335"/>
      <c r="AO995" s="2335"/>
      <c r="AP995" s="2335"/>
      <c r="AQ995" s="2335"/>
      <c r="AR995" s="2335"/>
      <c r="AS995" s="2335"/>
      <c r="AT995" s="2335"/>
      <c r="AU995" s="2335"/>
      <c r="AV995" s="2335"/>
      <c r="AW995" s="2335"/>
      <c r="AX995" s="2335"/>
      <c r="AY995" s="2335"/>
      <c r="AZ995" s="2335"/>
      <c r="BA995" s="2335"/>
      <c r="BB995" s="2335"/>
      <c r="BC995" s="2335"/>
      <c r="BD995" s="2335"/>
      <c r="BE995" s="2335"/>
      <c r="BF995" s="2335"/>
      <c r="BG995" s="2335"/>
      <c r="BH995" s="2335"/>
      <c r="BI995" s="2335"/>
      <c r="BJ995" s="2335"/>
      <c r="BK995" s="2335"/>
      <c r="BL995" s="2335"/>
      <c r="BM995" s="2335"/>
      <c r="BN995" s="2335"/>
      <c r="BO995" s="2335"/>
      <c r="BP995" s="2335"/>
      <c r="BQ995" s="2335"/>
      <c r="BR995" s="2335"/>
      <c r="BS995" s="2335"/>
      <c r="BT995" s="2335"/>
      <c r="BU995" s="2335"/>
      <c r="BV995" s="2335"/>
      <c r="BW995" s="2335"/>
      <c r="BX995" s="2335"/>
      <c r="BY995" s="2335"/>
      <c r="BZ995" s="2335"/>
      <c r="CA995" s="2335"/>
      <c r="CB995" s="2335"/>
      <c r="CC995" s="2335"/>
      <c r="CD995" s="2335"/>
      <c r="CE995" s="2335"/>
      <c r="CF995" s="2335"/>
      <c r="CG995" s="2335"/>
      <c r="CH995" s="2335"/>
      <c r="CI995" s="2335"/>
      <c r="CJ995" s="2335"/>
      <c r="CK995" s="2335"/>
      <c r="CL995" s="2335"/>
      <c r="CM995" s="2335"/>
      <c r="CN995" s="2335"/>
      <c r="CO995" s="2335"/>
      <c r="CP995" s="2335"/>
      <c r="CQ995" s="2335"/>
      <c r="CR995" s="2335"/>
      <c r="CS995" s="2335"/>
      <c r="CT995" s="2335"/>
      <c r="CU995" s="2335"/>
      <c r="CV995" s="2335"/>
      <c r="CW995" s="2335"/>
      <c r="CX995" s="2335"/>
      <c r="CY995" s="2335"/>
      <c r="CZ995" s="2335"/>
      <c r="DA995" s="2335"/>
      <c r="DB995" s="2335"/>
      <c r="DC995" s="2335"/>
      <c r="DD995" s="2335"/>
      <c r="DE995" s="2335"/>
      <c r="DF995" s="2335"/>
      <c r="DG995" s="2335"/>
      <c r="DH995" s="2335"/>
      <c r="DI995" s="2335"/>
      <c r="DJ995" s="2335"/>
      <c r="DK995" s="2335"/>
      <c r="DL995" s="2335"/>
      <c r="DM995" s="2335"/>
      <c r="DN995" s="2335"/>
      <c r="DO995" s="2335"/>
      <c r="DP995" s="2335"/>
      <c r="DQ995" s="2335"/>
      <c r="DR995" s="2335"/>
      <c r="DS995" s="2335"/>
      <c r="DT995" s="2335"/>
      <c r="DU995" s="2335"/>
      <c r="DV995" s="2335"/>
      <c r="DW995" s="2335"/>
      <c r="DX995" s="2335"/>
      <c r="DY995" s="2335"/>
      <c r="DZ995" s="2335"/>
      <c r="EA995" s="2335"/>
      <c r="EB995" s="2335"/>
      <c r="EC995" s="2335"/>
      <c r="ED995" s="2335"/>
      <c r="EE995" s="2335"/>
      <c r="EF995" s="2335"/>
      <c r="EG995" s="2335"/>
      <c r="EH995" s="2335"/>
      <c r="EI995" s="2335"/>
      <c r="EJ995" s="2335"/>
      <c r="EK995" s="2335"/>
      <c r="EL995" s="2335"/>
      <c r="EM995" s="2335"/>
      <c r="EN995" s="2335"/>
      <c r="EO995" s="2335"/>
      <c r="EP995" s="2335"/>
      <c r="EQ995" s="2335"/>
      <c r="ER995" s="2335"/>
      <c r="ES995" s="2335"/>
      <c r="ET995" s="2335"/>
      <c r="EU995" s="2335"/>
      <c r="EV995" s="2335"/>
      <c r="EW995" s="2335"/>
      <c r="EX995" s="2335"/>
      <c r="EY995" s="2335"/>
      <c r="EZ995" s="2335"/>
      <c r="FA995" s="2335"/>
      <c r="FB995" s="2335"/>
      <c r="FC995" s="2335"/>
      <c r="FD995" s="2335"/>
      <c r="FE995" s="2335"/>
      <c r="FF995" s="2335"/>
      <c r="FG995" s="2335"/>
      <c r="FH995" s="2335"/>
      <c r="FI995" s="2335"/>
      <c r="FJ995" s="2335"/>
      <c r="FK995" s="2335"/>
      <c r="FL995" s="2335"/>
      <c r="FM995" s="2335"/>
      <c r="FN995" s="2335"/>
      <c r="FO995" s="2335"/>
      <c r="FP995" s="2335"/>
      <c r="FQ995" s="2335"/>
      <c r="FR995" s="2335"/>
      <c r="FS995" s="2335"/>
      <c r="FT995" s="2335"/>
      <c r="FU995" s="2335"/>
      <c r="FV995" s="2335"/>
      <c r="FW995" s="2335"/>
      <c r="FX995" s="2335"/>
      <c r="FY995" s="2335"/>
      <c r="FZ995" s="2335"/>
      <c r="GA995" s="2335"/>
      <c r="GB995" s="2335"/>
      <c r="GC995" s="2335"/>
      <c r="GD995" s="2335"/>
      <c r="GE995" s="2335"/>
      <c r="GF995" s="2335"/>
      <c r="GG995" s="2335"/>
      <c r="GH995" s="2335"/>
      <c r="GI995" s="2335"/>
      <c r="GJ995" s="2335"/>
      <c r="GK995" s="2335"/>
      <c r="GL995" s="2335"/>
      <c r="GM995" s="2335"/>
      <c r="GN995" s="2335"/>
      <c r="GO995" s="2335"/>
      <c r="GP995" s="2335"/>
      <c r="GQ995" s="2335"/>
      <c r="GR995" s="2335"/>
      <c r="GS995" s="2335"/>
      <c r="GT995" s="2335"/>
      <c r="GU995" s="2335"/>
      <c r="GV995" s="2335"/>
      <c r="GW995" s="2335"/>
      <c r="GX995" s="2335"/>
      <c r="GY995" s="2335"/>
      <c r="GZ995" s="2335"/>
      <c r="HA995" s="2335"/>
      <c r="HB995" s="2335"/>
      <c r="HC995" s="2335"/>
      <c r="HD995" s="2335"/>
      <c r="HE995" s="2335"/>
      <c r="HF995" s="2335"/>
      <c r="HG995" s="2335"/>
      <c r="HH995" s="2335"/>
      <c r="HI995" s="2335"/>
      <c r="HJ995" s="2335"/>
      <c r="HK995" s="2335"/>
      <c r="HL995" s="2335"/>
      <c r="HM995" s="2335"/>
      <c r="HN995" s="2335"/>
      <c r="HO995" s="2335"/>
      <c r="HP995" s="2335"/>
      <c r="HQ995" s="2335"/>
      <c r="HR995" s="2335"/>
      <c r="HS995" s="2335"/>
      <c r="HT995" s="2335"/>
      <c r="HU995" s="2335"/>
      <c r="HV995" s="2335"/>
      <c r="HW995" s="2335"/>
      <c r="HX995" s="2335"/>
      <c r="HY995" s="2335"/>
      <c r="HZ995" s="2335"/>
      <c r="IA995" s="2335"/>
      <c r="IB995" s="2335"/>
      <c r="IC995" s="2335"/>
      <c r="ID995" s="2335"/>
      <c r="IE995" s="2335"/>
      <c r="IF995" s="2335"/>
      <c r="IG995" s="2335"/>
      <c r="IH995" s="2335"/>
      <c r="II995" s="2335"/>
      <c r="IJ995" s="2335"/>
      <c r="IK995" s="2335"/>
      <c r="IL995" s="2335"/>
      <c r="IM995" s="2335"/>
      <c r="IN995" s="2335"/>
      <c r="IO995" s="2335"/>
      <c r="IP995" s="2335"/>
      <c r="IQ995" s="2335"/>
      <c r="IR995" s="2335"/>
      <c r="IS995" s="2335"/>
      <c r="IT995" s="2335"/>
      <c r="IU995" s="2335"/>
      <c r="IV995" s="2335"/>
      <c r="IW995" s="2335"/>
      <c r="IX995" s="2335"/>
      <c r="IY995" s="2335"/>
      <c r="IZ995" s="2335"/>
      <c r="JA995" s="2335"/>
      <c r="JB995" s="2335"/>
      <c r="JC995" s="2335"/>
      <c r="JD995" s="2335"/>
      <c r="JE995" s="2335"/>
      <c r="JF995" s="2335"/>
      <c r="JG995" s="2335"/>
      <c r="JH995" s="2335"/>
      <c r="JI995" s="2335"/>
      <c r="JJ995" s="2335"/>
      <c r="JK995" s="2335"/>
      <c r="JL995" s="2335"/>
      <c r="JM995" s="2335"/>
      <c r="JN995" s="2335"/>
      <c r="JO995" s="2335"/>
      <c r="JP995" s="2335"/>
      <c r="JQ995" s="2335"/>
      <c r="JR995" s="2335"/>
      <c r="JS995" s="2335"/>
      <c r="JT995" s="2335"/>
      <c r="JU995" s="2335"/>
      <c r="JV995" s="2335"/>
      <c r="JW995" s="2335"/>
      <c r="JX995" s="2335"/>
      <c r="JY995" s="2335"/>
      <c r="JZ995" s="2335"/>
      <c r="KA995" s="2335"/>
      <c r="KB995" s="2335"/>
      <c r="KC995" s="2335"/>
      <c r="KD995" s="2335"/>
      <c r="KE995" s="2335"/>
      <c r="KF995" s="2335"/>
      <c r="KG995" s="2335"/>
      <c r="KH995" s="2335"/>
      <c r="KI995" s="2335"/>
      <c r="KJ995" s="2335"/>
      <c r="KK995" s="2335"/>
      <c r="KL995" s="2335"/>
      <c r="KM995" s="2335"/>
      <c r="KN995" s="2335"/>
      <c r="KO995" s="2335"/>
      <c r="KP995" s="2335"/>
      <c r="KQ995" s="2335"/>
      <c r="KR995" s="2335"/>
      <c r="KS995" s="2335"/>
      <c r="KT995" s="2335"/>
      <c r="KU995" s="2335"/>
      <c r="KV995" s="2335"/>
      <c r="KW995" s="2335"/>
      <c r="KX995" s="2335"/>
      <c r="KY995" s="2335"/>
      <c r="KZ995" s="2335"/>
      <c r="LA995" s="2335"/>
      <c r="LB995" s="2335"/>
      <c r="LC995" s="2335"/>
      <c r="LD995" s="2335"/>
      <c r="LE995" s="2335"/>
      <c r="LF995" s="2335"/>
      <c r="LG995" s="2335"/>
      <c r="LH995" s="2335"/>
      <c r="LI995" s="2335"/>
      <c r="LJ995" s="2335"/>
      <c r="LK995" s="2335"/>
      <c r="LL995" s="2335"/>
      <c r="LM995" s="2335"/>
      <c r="LN995" s="2335"/>
      <c r="LO995" s="2335"/>
      <c r="LP995" s="2335"/>
      <c r="LQ995" s="2335"/>
      <c r="LR995" s="2335"/>
      <c r="LS995" s="2335"/>
      <c r="LT995" s="2335"/>
      <c r="LU995" s="2335"/>
      <c r="LV995" s="2335"/>
      <c r="LW995" s="2335"/>
      <c r="LX995" s="2335"/>
      <c r="LY995" s="2335"/>
      <c r="LZ995" s="2335"/>
      <c r="MA995" s="2335"/>
      <c r="MB995" s="2335"/>
      <c r="MC995" s="2335"/>
      <c r="MD995" s="2335"/>
      <c r="ME995" s="2335"/>
      <c r="MF995" s="2335"/>
      <c r="MG995" s="2335"/>
      <c r="MH995" s="2335"/>
      <c r="MI995" s="2335"/>
      <c r="MJ995" s="2335"/>
      <c r="MK995" s="2335"/>
      <c r="ML995" s="2335"/>
      <c r="MM995" s="2335"/>
      <c r="MN995" s="2335"/>
      <c r="MO995" s="2335"/>
      <c r="MP995" s="2335"/>
      <c r="MQ995" s="2335"/>
      <c r="MR995" s="2335"/>
      <c r="MS995" s="2335"/>
      <c r="MT995" s="2335"/>
      <c r="MU995" s="2335"/>
      <c r="MV995" s="2335"/>
      <c r="MW995" s="2335"/>
      <c r="MX995" s="2335"/>
      <c r="MY995" s="2335"/>
      <c r="MZ995" s="2335"/>
      <c r="NA995" s="2335"/>
      <c r="NB995" s="2335"/>
      <c r="NC995" s="2335"/>
      <c r="ND995" s="2335"/>
      <c r="NE995" s="2335"/>
      <c r="NF995" s="2335"/>
      <c r="NG995" s="2335"/>
      <c r="NH995" s="2335"/>
      <c r="NI995" s="2335"/>
      <c r="NJ995" s="2335"/>
      <c r="NK995" s="2335"/>
      <c r="NL995" s="2335"/>
      <c r="NM995" s="2335"/>
      <c r="NN995" s="2335"/>
      <c r="NO995" s="2335"/>
      <c r="NP995" s="2335"/>
      <c r="NQ995" s="2335"/>
      <c r="NR995" s="2335"/>
      <c r="NS995" s="2335"/>
      <c r="NT995" s="2335"/>
      <c r="NU995" s="2335"/>
      <c r="NV995" s="2335"/>
      <c r="NW995" s="2335"/>
      <c r="NX995" s="2335"/>
      <c r="NY995" s="2335"/>
      <c r="NZ995" s="2335"/>
      <c r="OA995" s="2335"/>
      <c r="OB995" s="2335"/>
      <c r="OC995" s="2335"/>
      <c r="OD995" s="2335"/>
      <c r="OE995" s="2335"/>
      <c r="OF995" s="2335"/>
      <c r="OG995" s="2335"/>
      <c r="OH995" s="2335"/>
      <c r="OI995" s="2335"/>
      <c r="OJ995" s="2335"/>
      <c r="OK995" s="2335"/>
      <c r="OL995" s="2335"/>
      <c r="OM995" s="2335"/>
      <c r="ON995" s="2335"/>
      <c r="OO995" s="2335"/>
      <c r="OP995" s="2335"/>
      <c r="OQ995" s="2335"/>
      <c r="OR995" s="2335"/>
      <c r="OS995" s="2335"/>
      <c r="OT995" s="2335"/>
      <c r="OU995" s="2335"/>
      <c r="OV995" s="2335"/>
      <c r="OW995" s="2335"/>
      <c r="OX995" s="2335"/>
      <c r="OY995" s="2335"/>
      <c r="OZ995" s="2335"/>
      <c r="PA995" s="2335"/>
      <c r="PB995" s="2335"/>
      <c r="PC995" s="2335"/>
      <c r="PD995" s="2335"/>
      <c r="PE995" s="2335"/>
      <c r="PF995" s="2335"/>
      <c r="PG995" s="2335"/>
      <c r="PH995" s="2335"/>
      <c r="PI995" s="2335"/>
      <c r="PJ995" s="2335"/>
      <c r="PK995" s="2335"/>
      <c r="PL995" s="2335"/>
      <c r="PM995" s="2335"/>
      <c r="PN995" s="2335"/>
      <c r="PO995" s="2335"/>
      <c r="PP995" s="2335"/>
      <c r="PQ995" s="2335"/>
      <c r="PR995" s="2335"/>
      <c r="PS995" s="2335"/>
      <c r="PT995" s="2335"/>
      <c r="PU995" s="2335"/>
      <c r="PV995" s="2335"/>
      <c r="PW995" s="2335"/>
      <c r="PX995" s="2335"/>
      <c r="PY995" s="2335"/>
      <c r="PZ995" s="2335"/>
      <c r="QA995" s="2335"/>
      <c r="QB995" s="2335"/>
      <c r="QC995" s="2335"/>
      <c r="QD995" s="2335"/>
      <c r="QE995" s="2335"/>
      <c r="QF995" s="2335"/>
      <c r="QG995" s="2335"/>
      <c r="QH995" s="2335"/>
      <c r="QI995" s="2335"/>
      <c r="QJ995" s="2335"/>
      <c r="QK995" s="2335"/>
      <c r="QL995" s="2335"/>
      <c r="QM995" s="2335"/>
      <c r="QN995" s="2335"/>
      <c r="QO995" s="2335"/>
      <c r="QP995" s="2335"/>
      <c r="QQ995" s="2335"/>
      <c r="QR995" s="2335"/>
      <c r="QS995" s="2335"/>
      <c r="QT995" s="2335"/>
      <c r="QU995" s="2335"/>
      <c r="QV995" s="2335"/>
      <c r="QW995" s="2335"/>
      <c r="QX995" s="2335"/>
      <c r="QY995" s="2335"/>
      <c r="QZ995" s="2335"/>
      <c r="RA995" s="2335"/>
      <c r="RB995" s="2335"/>
      <c r="RC995" s="2335"/>
      <c r="RD995" s="2335"/>
      <c r="RE995" s="2335"/>
      <c r="RF995" s="2335"/>
      <c r="RG995" s="2335"/>
      <c r="RH995" s="2335"/>
      <c r="RI995" s="2335"/>
      <c r="RJ995" s="2335"/>
      <c r="RK995" s="2335"/>
      <c r="RL995" s="2335"/>
      <c r="RM995" s="2335"/>
      <c r="RN995" s="2335"/>
      <c r="RO995" s="2335"/>
      <c r="RP995" s="2335"/>
      <c r="RQ995" s="2335"/>
      <c r="RR995" s="2335"/>
      <c r="RS995" s="2335"/>
      <c r="RT995" s="2335"/>
      <c r="RU995" s="2335"/>
      <c r="RV995" s="2335"/>
      <c r="RW995" s="2335"/>
      <c r="RX995" s="2335"/>
      <c r="RY995" s="2335"/>
      <c r="RZ995" s="2335"/>
      <c r="SA995" s="2335"/>
      <c r="SB995" s="2335"/>
      <c r="SC995" s="2335"/>
      <c r="SD995" s="2335"/>
      <c r="SE995" s="2335"/>
      <c r="SF995" s="2335"/>
      <c r="SG995" s="2335"/>
      <c r="SH995" s="2335"/>
      <c r="SI995" s="2335"/>
      <c r="SJ995" s="2335"/>
      <c r="SK995" s="2335"/>
      <c r="SL995" s="2335"/>
      <c r="SM995" s="2335"/>
      <c r="SN995" s="2335"/>
      <c r="SO995" s="2335"/>
      <c r="SP995" s="2335"/>
      <c r="SQ995" s="2335"/>
      <c r="SR995" s="2335"/>
      <c r="SS995" s="2335"/>
      <c r="ST995" s="2335"/>
      <c r="SU995" s="2335"/>
      <c r="SV995" s="2335"/>
      <c r="SW995" s="2335"/>
      <c r="SX995" s="2335"/>
      <c r="SY995" s="2335"/>
      <c r="SZ995" s="2335"/>
      <c r="TA995" s="2335"/>
      <c r="TB995" s="2335"/>
      <c r="TC995" s="2335"/>
      <c r="TD995" s="2335"/>
      <c r="TE995" s="2335"/>
      <c r="TF995" s="2335"/>
      <c r="TG995" s="2335"/>
      <c r="TH995" s="2335"/>
      <c r="TI995" s="2335"/>
      <c r="TJ995" s="2335"/>
      <c r="TK995" s="2335"/>
      <c r="TL995" s="2335"/>
      <c r="TM995" s="2335"/>
      <c r="TN995" s="2335"/>
      <c r="TO995" s="2335"/>
      <c r="TP995" s="2335"/>
      <c r="TQ995" s="2335"/>
      <c r="TR995" s="2335"/>
      <c r="TS995" s="2335"/>
      <c r="TT995" s="2335"/>
      <c r="TU995" s="2335"/>
      <c r="TV995" s="2335"/>
      <c r="TW995" s="2335"/>
      <c r="TX995" s="2335"/>
      <c r="TY995" s="2335"/>
      <c r="TZ995" s="2335"/>
      <c r="UA995" s="2335"/>
      <c r="UB995" s="2335"/>
      <c r="UC995" s="2335"/>
      <c r="UD995" s="2335"/>
      <c r="UE995" s="2335"/>
      <c r="UF995" s="2335"/>
      <c r="UG995" s="2335"/>
      <c r="UH995" s="2335"/>
      <c r="UI995" s="2335"/>
      <c r="UJ995" s="2335"/>
      <c r="UK995" s="2335"/>
      <c r="UL995" s="2335"/>
      <c r="UM995" s="2335"/>
      <c r="UN995" s="2335"/>
      <c r="UO995" s="2335"/>
      <c r="UP995" s="2335"/>
      <c r="UQ995" s="2335"/>
      <c r="UR995" s="2335"/>
      <c r="US995" s="2335"/>
      <c r="UT995" s="2335"/>
      <c r="UU995" s="2335"/>
      <c r="UV995" s="2335"/>
      <c r="UW995" s="2335"/>
      <c r="UX995" s="2335"/>
      <c r="UY995" s="2335"/>
      <c r="UZ995" s="2335"/>
      <c r="VA995" s="2335"/>
      <c r="VB995" s="2335"/>
      <c r="VC995" s="2335"/>
      <c r="VD995" s="2335"/>
      <c r="VE995" s="2335"/>
      <c r="VF995" s="2335"/>
      <c r="VG995" s="2335"/>
      <c r="VH995" s="2335"/>
      <c r="VI995" s="2335"/>
      <c r="VJ995" s="2335"/>
      <c r="VK995" s="2335"/>
      <c r="VL995" s="2335"/>
      <c r="VM995" s="2335"/>
      <c r="VN995" s="2335"/>
      <c r="VO995" s="2335"/>
      <c r="VP995" s="2335"/>
      <c r="VQ995" s="2335"/>
      <c r="VR995" s="2335"/>
      <c r="VS995" s="2335"/>
      <c r="VT995" s="2335"/>
      <c r="VU995" s="2335"/>
      <c r="VV995" s="2335"/>
      <c r="VW995" s="2335"/>
      <c r="VX995" s="2335"/>
      <c r="VY995" s="2335"/>
      <c r="VZ995" s="2335"/>
      <c r="WA995" s="2335"/>
      <c r="WB995" s="2335"/>
      <c r="WC995" s="2335"/>
      <c r="WD995" s="2335"/>
      <c r="WE995" s="2335"/>
      <c r="WF995" s="2335"/>
      <c r="WG995" s="2335"/>
      <c r="WH995" s="2335"/>
      <c r="WI995" s="2335"/>
      <c r="WJ995" s="2335"/>
      <c r="WK995" s="2335"/>
      <c r="WL995" s="2335"/>
      <c r="WM995" s="2335"/>
      <c r="WN995" s="2335"/>
      <c r="WO995" s="2335"/>
      <c r="WP995" s="2335"/>
      <c r="WQ995" s="2335"/>
      <c r="WR995" s="2335"/>
      <c r="WS995" s="2335"/>
      <c r="WT995" s="2335"/>
      <c r="WU995" s="2335"/>
      <c r="WV995" s="2335"/>
      <c r="WW995" s="2335"/>
      <c r="WX995" s="2335"/>
      <c r="WY995" s="2335"/>
      <c r="WZ995" s="2335"/>
      <c r="XA995" s="2335"/>
      <c r="XB995" s="2335"/>
      <c r="XC995" s="2335"/>
      <c r="XD995" s="2335"/>
      <c r="XE995" s="2335"/>
      <c r="XF995" s="2335"/>
      <c r="XG995" s="2335"/>
      <c r="XH995" s="2335"/>
      <c r="XI995" s="2335"/>
      <c r="XJ995" s="2335"/>
      <c r="XK995" s="2335"/>
      <c r="XL995" s="2335"/>
      <c r="XM995" s="2335"/>
      <c r="XN995" s="2335"/>
      <c r="XO995" s="2335"/>
      <c r="XP995" s="2335"/>
      <c r="XQ995" s="2335"/>
      <c r="XR995" s="2335"/>
      <c r="XS995" s="2335"/>
      <c r="XT995" s="2335"/>
      <c r="XU995" s="2335"/>
      <c r="XV995" s="2335"/>
      <c r="XW995" s="2335"/>
      <c r="XX995" s="2335"/>
      <c r="XY995" s="2335"/>
      <c r="XZ995" s="2335"/>
      <c r="YA995" s="2335"/>
      <c r="YB995" s="2335"/>
      <c r="YC995" s="2335"/>
      <c r="YD995" s="2335"/>
      <c r="YE995" s="2335"/>
      <c r="YF995" s="2335"/>
      <c r="YG995" s="2335"/>
      <c r="YH995" s="2335"/>
      <c r="YI995" s="2335"/>
      <c r="YJ995" s="2335"/>
      <c r="YK995" s="2335"/>
      <c r="YL995" s="2335"/>
      <c r="YM995" s="2335"/>
      <c r="YN995" s="2335"/>
      <c r="YO995" s="2335"/>
      <c r="YP995" s="2335"/>
      <c r="YQ995" s="2335"/>
      <c r="YR995" s="2335"/>
      <c r="YS995" s="2335"/>
      <c r="YT995" s="2335"/>
      <c r="YU995" s="2335"/>
      <c r="YV995" s="2335"/>
      <c r="YW995" s="2335"/>
      <c r="YX995" s="2335"/>
      <c r="YY995" s="2335"/>
      <c r="YZ995" s="2335"/>
      <c r="ZA995" s="2335"/>
      <c r="ZB995" s="2335"/>
      <c r="ZC995" s="2335"/>
      <c r="ZD995" s="2335"/>
      <c r="ZE995" s="2335"/>
      <c r="ZF995" s="2335"/>
      <c r="ZG995" s="2335"/>
      <c r="ZH995" s="2335"/>
      <c r="ZI995" s="2335"/>
      <c r="ZJ995" s="2335"/>
      <c r="ZK995" s="2335"/>
      <c r="ZL995" s="2335"/>
      <c r="ZM995" s="2335"/>
      <c r="ZN995" s="2335"/>
      <c r="ZO995" s="2335"/>
      <c r="ZP995" s="2335"/>
      <c r="ZQ995" s="2335"/>
      <c r="ZR995" s="2335"/>
      <c r="ZS995" s="2335"/>
      <c r="ZT995" s="2335"/>
      <c r="ZU995" s="2335"/>
      <c r="ZV995" s="2335"/>
      <c r="ZW995" s="2335"/>
      <c r="ZX995" s="2335"/>
      <c r="ZY995" s="2335"/>
      <c r="ZZ995" s="2335"/>
      <c r="AAA995" s="2335"/>
      <c r="AAB995" s="2335"/>
      <c r="AAC995" s="2335"/>
      <c r="AAD995" s="2335"/>
      <c r="AAE995" s="2335"/>
      <c r="AAF995" s="2335"/>
      <c r="AAG995" s="2335"/>
      <c r="AAH995" s="2335"/>
      <c r="AAI995" s="2335"/>
      <c r="AAJ995" s="2335"/>
      <c r="AAK995" s="2335"/>
      <c r="AAL995" s="2335"/>
      <c r="AAM995" s="2335"/>
      <c r="AAN995" s="2335"/>
      <c r="AAO995" s="2335"/>
      <c r="AAP995" s="2335"/>
      <c r="AAQ995" s="2335"/>
      <c r="AAR995" s="2335"/>
      <c r="AAS995" s="2335"/>
      <c r="AAT995" s="2335"/>
      <c r="AAU995" s="2335"/>
      <c r="AAV995" s="2335"/>
      <c r="AAW995" s="2335"/>
      <c r="AAX995" s="2335"/>
      <c r="AAY995" s="2335"/>
      <c r="AAZ995" s="2335"/>
      <c r="ABA995" s="2335"/>
      <c r="ABB995" s="2335"/>
      <c r="ABC995" s="2335"/>
      <c r="ABD995" s="2335"/>
      <c r="ABE995" s="2335"/>
      <c r="ABF995" s="2335"/>
      <c r="ABG995" s="2335"/>
      <c r="ABH995" s="2335"/>
      <c r="ABI995" s="2335"/>
      <c r="ABJ995" s="2335"/>
      <c r="ABK995" s="2335"/>
      <c r="ABL995" s="2335"/>
      <c r="ABM995" s="2335"/>
      <c r="ABN995" s="2335"/>
      <c r="ABO995" s="2335"/>
      <c r="ABP995" s="2335"/>
      <c r="ABQ995" s="2335"/>
      <c r="ABR995" s="2335"/>
      <c r="ABS995" s="2335"/>
      <c r="ABT995" s="2335"/>
      <c r="ABU995" s="2335"/>
      <c r="ABV995" s="2335"/>
      <c r="ABW995" s="2335"/>
      <c r="ABX995" s="2335"/>
      <c r="ABY995" s="2335"/>
      <c r="ABZ995" s="2335"/>
      <c r="ACA995" s="2335"/>
      <c r="ACB995" s="2335"/>
      <c r="ACC995" s="2335"/>
      <c r="ACD995" s="2335"/>
      <c r="ACE995" s="2335"/>
      <c r="ACF995" s="2335"/>
      <c r="ACG995" s="2335"/>
      <c r="ACH995" s="2335"/>
      <c r="ACI995" s="2335"/>
      <c r="ACJ995" s="2335"/>
      <c r="ACK995" s="2335"/>
      <c r="ACL995" s="2335"/>
      <c r="ACM995" s="2335"/>
      <c r="ACN995" s="2335"/>
      <c r="ACO995" s="2335"/>
      <c r="ACP995" s="2335"/>
      <c r="ACQ995" s="2335"/>
      <c r="ACR995" s="2335"/>
      <c r="ACS995" s="2335"/>
      <c r="ACT995" s="2335"/>
      <c r="ACU995" s="2335"/>
      <c r="ACV995" s="2335"/>
      <c r="ACW995" s="2335"/>
      <c r="ACX995" s="2335"/>
      <c r="ACY995" s="2335"/>
      <c r="ACZ995" s="2335"/>
      <c r="ADA995" s="2335"/>
      <c r="ADB995" s="2335"/>
      <c r="ADC995" s="2335"/>
      <c r="ADD995" s="2335"/>
      <c r="ADE995" s="2335"/>
      <c r="ADF995" s="2335"/>
      <c r="ADG995" s="2335"/>
      <c r="ADH995" s="2335"/>
      <c r="ADI995" s="2335"/>
      <c r="ADJ995" s="2335"/>
      <c r="ADK995" s="2335"/>
      <c r="ADL995" s="2335"/>
      <c r="ADM995" s="2335"/>
      <c r="ADN995" s="2335"/>
      <c r="ADO995" s="2335"/>
      <c r="ADP995" s="2335"/>
      <c r="ADQ995" s="2335"/>
      <c r="ADR995" s="2335"/>
      <c r="ADS995" s="2335"/>
      <c r="ADT995" s="2335"/>
      <c r="ADU995" s="2335"/>
      <c r="ADV995" s="2335"/>
      <c r="ADW995" s="2335"/>
      <c r="ADX995" s="2335"/>
      <c r="ADY995" s="2335"/>
      <c r="ADZ995" s="2335"/>
      <c r="AEA995" s="2335"/>
      <c r="AEB995" s="2335"/>
      <c r="AEC995" s="2335"/>
      <c r="AED995" s="2335"/>
      <c r="AEE995" s="2335"/>
      <c r="AEF995" s="2335"/>
      <c r="AEG995" s="2335"/>
      <c r="AEH995" s="2335"/>
      <c r="AEI995" s="2335"/>
      <c r="AEJ995" s="2335"/>
      <c r="AEK995" s="2335"/>
      <c r="AEL995" s="2335"/>
      <c r="AEM995" s="2335"/>
      <c r="AEN995" s="2335"/>
      <c r="AEO995" s="2335"/>
      <c r="AEP995" s="2335"/>
      <c r="AEQ995" s="2335"/>
      <c r="AER995" s="2335"/>
      <c r="AES995" s="2335"/>
      <c r="AET995" s="2335"/>
      <c r="AEU995" s="2335"/>
      <c r="AEV995" s="2335"/>
      <c r="AEW995" s="2335"/>
      <c r="AEX995" s="2335"/>
      <c r="AEY995" s="2335"/>
      <c r="AEZ995" s="2335"/>
      <c r="AFA995" s="2335"/>
      <c r="AFB995" s="2335"/>
      <c r="AFC995" s="2335"/>
      <c r="AFD995" s="2335"/>
      <c r="AFE995" s="2335"/>
      <c r="AFF995" s="2335"/>
      <c r="AFG995" s="2335"/>
      <c r="AFH995" s="2335"/>
      <c r="AFI995" s="2335"/>
      <c r="AFJ995" s="2335"/>
      <c r="AFK995" s="2335"/>
      <c r="AFL995" s="2335"/>
      <c r="AFM995" s="2335"/>
      <c r="AFN995" s="2335"/>
      <c r="AFO995" s="2335"/>
      <c r="AFP995" s="2335"/>
      <c r="AFQ995" s="2335"/>
      <c r="AFR995" s="2335"/>
      <c r="AFS995" s="2335"/>
      <c r="AFT995" s="2335"/>
      <c r="AFU995" s="2335"/>
      <c r="AFV995" s="2335"/>
      <c r="AFW995" s="2335"/>
      <c r="AFX995" s="2335"/>
      <c r="AFY995" s="2335"/>
      <c r="AFZ995" s="2335"/>
      <c r="AGA995" s="2335"/>
      <c r="AGB995" s="2335"/>
      <c r="AGC995" s="2335"/>
      <c r="AGD995" s="2335"/>
      <c r="AGE995" s="2335"/>
      <c r="AGF995" s="2335"/>
      <c r="AGG995" s="2335"/>
      <c r="AGH995" s="2335"/>
      <c r="AGI995" s="2335"/>
      <c r="AGJ995" s="2335"/>
      <c r="AGK995" s="2335"/>
      <c r="AGL995" s="2335"/>
      <c r="AGM995" s="2335"/>
      <c r="AGN995" s="2335"/>
      <c r="AGO995" s="2335"/>
      <c r="AGP995" s="2335"/>
      <c r="AGQ995" s="2335"/>
      <c r="AGR995" s="2335"/>
      <c r="AGS995" s="2335"/>
      <c r="AGT995" s="2335"/>
      <c r="AGU995" s="2335"/>
      <c r="AGV995" s="2335"/>
      <c r="AGW995" s="2335"/>
      <c r="AGX995" s="2335"/>
      <c r="AGY995" s="2335"/>
      <c r="AGZ995" s="2335"/>
      <c r="AHA995" s="2335"/>
      <c r="AHB995" s="2335"/>
      <c r="AHC995" s="2335"/>
      <c r="AHD995" s="2335"/>
      <c r="AHE995" s="2335"/>
      <c r="AHF995" s="2335"/>
      <c r="AHG995" s="2335"/>
      <c r="AHH995" s="2335"/>
      <c r="AHI995" s="2335"/>
      <c r="AHJ995" s="2335"/>
      <c r="AHK995" s="2335"/>
      <c r="AHL995" s="2335"/>
      <c r="AHM995" s="2335"/>
      <c r="AHN995" s="2335"/>
      <c r="AHO995" s="2335"/>
      <c r="AHP995" s="2335"/>
      <c r="AHQ995" s="2335"/>
      <c r="AHR995" s="2335"/>
      <c r="AHS995" s="2335"/>
      <c r="AHT995" s="2335"/>
      <c r="AHU995" s="2335"/>
      <c r="AHV995" s="2335"/>
      <c r="AHW995" s="2335"/>
      <c r="AHX995" s="2335"/>
      <c r="AHY995" s="2335"/>
      <c r="AHZ995" s="2335"/>
      <c r="AIA995" s="2335"/>
      <c r="AIB995" s="2335"/>
      <c r="AIC995" s="2335"/>
      <c r="AID995" s="2335"/>
      <c r="AIE995" s="2335"/>
      <c r="AIF995" s="2335"/>
      <c r="AIG995" s="2335"/>
      <c r="AIH995" s="2335"/>
      <c r="AII995" s="2335"/>
      <c r="AIJ995" s="2335"/>
      <c r="AIK995" s="2335"/>
      <c r="AIL995" s="2335"/>
      <c r="AIM995" s="2335"/>
      <c r="AIN995" s="2335"/>
      <c r="AIO995" s="2335"/>
      <c r="AIP995" s="2335"/>
      <c r="AIQ995" s="2335"/>
      <c r="AIR995" s="2335"/>
      <c r="AIS995" s="2335"/>
      <c r="AIT995" s="2335"/>
      <c r="AIU995" s="2335"/>
      <c r="AIV995" s="2335"/>
      <c r="AIW995" s="2335"/>
      <c r="AIX995" s="2335"/>
      <c r="AIY995" s="2335"/>
      <c r="AIZ995" s="2335"/>
      <c r="AJA995" s="2335"/>
      <c r="AJB995" s="2335"/>
      <c r="AJC995" s="2335"/>
      <c r="AJD995" s="2335"/>
      <c r="AJE995" s="2335"/>
      <c r="AJF995" s="2335"/>
      <c r="AJG995" s="2335"/>
      <c r="AJH995" s="2335"/>
      <c r="AJI995" s="2335"/>
      <c r="AJJ995" s="2335"/>
      <c r="AJK995" s="2335"/>
      <c r="AJL995" s="2335"/>
      <c r="AJM995" s="2335"/>
      <c r="AJN995" s="2335"/>
      <c r="AJO995" s="2335"/>
      <c r="AJP995" s="2335"/>
      <c r="AJQ995" s="2335"/>
      <c r="AJR995" s="2335"/>
      <c r="AJS995" s="2335"/>
      <c r="AJT995" s="2335"/>
      <c r="AJU995" s="2335"/>
      <c r="AJV995" s="2335"/>
      <c r="AJW995" s="2335"/>
      <c r="AJX995" s="2335"/>
      <c r="AJY995" s="2335"/>
      <c r="AJZ995" s="2335"/>
      <c r="AKA995" s="2335"/>
      <c r="AKB995" s="2335"/>
      <c r="AKC995" s="2335"/>
      <c r="AKD995" s="2335"/>
      <c r="AKE995" s="2335"/>
      <c r="AKF995" s="2335"/>
      <c r="AKG995" s="2335"/>
      <c r="AKH995" s="2335"/>
      <c r="AKI995" s="2335"/>
      <c r="AKJ995" s="2335"/>
      <c r="AKK995" s="2335"/>
      <c r="AKL995" s="2335"/>
      <c r="AKM995" s="2335"/>
      <c r="AKN995" s="2335"/>
      <c r="AKO995" s="2335"/>
      <c r="AKP995" s="2335"/>
      <c r="AKQ995" s="2335"/>
      <c r="AKR995" s="2335"/>
      <c r="AKS995" s="2335"/>
      <c r="AKT995" s="2335"/>
      <c r="AKU995" s="2335"/>
      <c r="AKV995" s="2335"/>
      <c r="AKW995" s="2335"/>
      <c r="AKX995" s="2335"/>
      <c r="AKY995" s="2335"/>
      <c r="AKZ995" s="2335"/>
      <c r="ALA995" s="2335"/>
      <c r="ALB995" s="2335"/>
      <c r="ALC995" s="2335"/>
      <c r="ALD995" s="2335"/>
      <c r="ALE995" s="2335"/>
      <c r="ALF995" s="2335"/>
      <c r="ALG995" s="2335"/>
      <c r="ALH995" s="2335"/>
      <c r="ALI995" s="2335"/>
      <c r="ALJ995" s="2335"/>
      <c r="ALK995" s="2335"/>
      <c r="ALL995" s="2335"/>
      <c r="ALM995" s="2335"/>
      <c r="ALN995" s="2335"/>
      <c r="ALO995" s="2335"/>
      <c r="ALP995" s="2335"/>
      <c r="ALQ995" s="2335"/>
      <c r="ALR995" s="2335"/>
      <c r="ALS995" s="2335"/>
      <c r="ALT995" s="2335"/>
      <c r="ALU995" s="2335"/>
      <c r="ALV995" s="2335"/>
      <c r="ALW995" s="2335"/>
      <c r="ALX995" s="2335"/>
      <c r="ALY995" s="2335"/>
      <c r="ALZ995" s="2335"/>
      <c r="AMA995" s="2335"/>
      <c r="AMB995" s="2335"/>
      <c r="AMC995" s="2335"/>
      <c r="AMD995" s="2335"/>
      <c r="AME995" s="2335"/>
      <c r="AMF995" s="2335"/>
      <c r="AMG995" s="2335"/>
      <c r="AMH995" s="2335"/>
      <c r="AMI995" s="2335"/>
      <c r="AMJ995" s="2335"/>
      <c r="AMK995" s="2335"/>
      <c r="AML995" s="2335"/>
      <c r="AMM995" s="2335"/>
      <c r="AMN995" s="2335"/>
      <c r="AMO995" s="2335"/>
      <c r="AMP995" s="2335"/>
      <c r="AMQ995" s="2335"/>
      <c r="AMR995" s="2335"/>
      <c r="AMS995" s="2335"/>
      <c r="AMT995" s="2335"/>
      <c r="AMU995" s="2335"/>
      <c r="AMV995" s="2335"/>
      <c r="AMW995" s="2335"/>
      <c r="AMX995" s="2335"/>
      <c r="AMY995" s="2335"/>
      <c r="AMZ995" s="2335"/>
      <c r="ANA995" s="2335"/>
      <c r="ANB995" s="2335"/>
      <c r="ANC995" s="2335"/>
      <c r="AND995" s="2335"/>
      <c r="ANE995" s="2335"/>
      <c r="ANF995" s="2335"/>
      <c r="ANG995" s="2335"/>
      <c r="ANH995" s="2335"/>
      <c r="ANI995" s="2335"/>
      <c r="ANJ995" s="2335"/>
      <c r="ANK995" s="2335"/>
      <c r="ANL995" s="2335"/>
      <c r="ANM995" s="2335"/>
      <c r="ANN995" s="2335"/>
      <c r="ANO995" s="2335"/>
      <c r="ANP995" s="2335"/>
      <c r="ANQ995" s="2335"/>
      <c r="ANR995" s="2335"/>
      <c r="ANS995" s="2335"/>
      <c r="ANT995" s="2335"/>
      <c r="ANU995" s="2335"/>
      <c r="ANV995" s="2335"/>
      <c r="ANW995" s="2335"/>
      <c r="ANX995" s="2335"/>
      <c r="ANY995" s="2335"/>
      <c r="ANZ995" s="2335"/>
      <c r="AOA995" s="2335"/>
      <c r="AOB995" s="2335"/>
      <c r="AOC995" s="2335"/>
      <c r="AOD995" s="2335"/>
      <c r="AOE995" s="2335"/>
      <c r="AOF995" s="2335"/>
      <c r="AOG995" s="2335"/>
      <c r="AOH995" s="2335"/>
      <c r="AOI995" s="2335"/>
      <c r="AOJ995" s="2335"/>
      <c r="AOK995" s="2335"/>
      <c r="AOL995" s="2335"/>
      <c r="AOM995" s="2335"/>
      <c r="AON995" s="2335"/>
      <c r="AOO995" s="2335"/>
      <c r="AOP995" s="2335"/>
      <c r="AOQ995" s="2335"/>
      <c r="AOR995" s="2335"/>
      <c r="AOS995" s="2335"/>
      <c r="AOT995" s="2335"/>
      <c r="AOU995" s="2335"/>
      <c r="AOV995" s="2335"/>
      <c r="AOW995" s="2335"/>
      <c r="AOX995" s="2335"/>
      <c r="AOY995" s="2335"/>
      <c r="AOZ995" s="2335"/>
      <c r="APA995" s="2335"/>
      <c r="APB995" s="2335"/>
      <c r="APC995" s="2335"/>
      <c r="APD995" s="2335"/>
      <c r="APE995" s="2335"/>
      <c r="APF995" s="2335"/>
      <c r="APG995" s="2335"/>
      <c r="APH995" s="2335"/>
      <c r="API995" s="2335"/>
      <c r="APJ995" s="2335"/>
      <c r="APK995" s="2335"/>
      <c r="APL995" s="2335"/>
      <c r="APM995" s="2335"/>
      <c r="APN995" s="2335"/>
      <c r="APO995" s="2335"/>
      <c r="APP995" s="2335"/>
      <c r="APQ995" s="2335"/>
      <c r="APR995" s="2335"/>
      <c r="APS995" s="2335"/>
      <c r="APT995" s="2335"/>
      <c r="APU995" s="2335"/>
      <c r="APV995" s="2335"/>
      <c r="APW995" s="2335"/>
      <c r="APX995" s="2335"/>
      <c r="APY995" s="2335"/>
      <c r="APZ995" s="2335"/>
      <c r="AQA995" s="2335"/>
      <c r="AQB995" s="2335"/>
      <c r="AQC995" s="2335"/>
      <c r="AQD995" s="2335"/>
      <c r="AQE995" s="2335"/>
      <c r="AQF995" s="2335"/>
      <c r="AQG995" s="2335"/>
      <c r="AQH995" s="2335"/>
      <c r="AQI995" s="2335"/>
      <c r="AQJ995" s="2335"/>
      <c r="AQK995" s="2335"/>
      <c r="AQL995" s="2335"/>
      <c r="AQM995" s="2335"/>
      <c r="AQN995" s="2335"/>
      <c r="AQO995" s="2335"/>
      <c r="AQP995" s="2335"/>
      <c r="AQQ995" s="2335"/>
      <c r="AQR995" s="2335"/>
      <c r="AQS995" s="2335"/>
      <c r="AQT995" s="2335"/>
      <c r="AQU995" s="2335"/>
      <c r="AQV995" s="2335"/>
      <c r="AQW995" s="2335"/>
      <c r="AQX995" s="2335"/>
      <c r="AQY995" s="2335"/>
      <c r="AQZ995" s="2335"/>
      <c r="ARA995" s="2335"/>
      <c r="ARB995" s="2335"/>
      <c r="ARC995" s="2335"/>
      <c r="ARD995" s="2335"/>
      <c r="ARE995" s="2335"/>
      <c r="ARF995" s="2335"/>
      <c r="ARG995" s="2335"/>
      <c r="ARH995" s="2335"/>
      <c r="ARI995" s="2335"/>
      <c r="ARJ995" s="2335"/>
      <c r="ARK995" s="2335"/>
      <c r="ARL995" s="2335"/>
      <c r="ARM995" s="2335"/>
      <c r="ARN995" s="2335"/>
      <c r="ARO995" s="2335"/>
      <c r="ARP995" s="2335"/>
      <c r="ARQ995" s="2335"/>
      <c r="ARR995" s="2335"/>
      <c r="ARS995" s="2335"/>
      <c r="ART995" s="2335"/>
      <c r="ARU995" s="2335"/>
      <c r="ARV995" s="2335"/>
      <c r="ARW995" s="2335"/>
      <c r="ARX995" s="2335"/>
      <c r="ARY995" s="2335"/>
      <c r="ARZ995" s="2335"/>
      <c r="ASA995" s="2335"/>
      <c r="ASB995" s="2335"/>
      <c r="ASC995" s="2335"/>
      <c r="ASD995" s="2335"/>
      <c r="ASE995" s="2335"/>
      <c r="ASF995" s="2335"/>
      <c r="ASG995" s="2335"/>
      <c r="ASH995" s="2335"/>
      <c r="ASI995" s="2335"/>
      <c r="ASJ995" s="2335"/>
      <c r="ASK995" s="2335"/>
      <c r="ASL995" s="2335"/>
      <c r="ASM995" s="2335"/>
      <c r="ASN995" s="2335"/>
      <c r="ASO995" s="2335"/>
      <c r="ASP995" s="2335"/>
      <c r="ASQ995" s="2335"/>
      <c r="ASR995" s="2335"/>
      <c r="ASS995" s="2335"/>
      <c r="AST995" s="2335"/>
      <c r="ASU995" s="2335"/>
      <c r="ASV995" s="2335"/>
      <c r="ASW995" s="2335"/>
      <c r="ASX995" s="2335"/>
      <c r="ASY995" s="2335"/>
      <c r="ASZ995" s="2335"/>
      <c r="ATA995" s="2335"/>
      <c r="ATB995" s="2335"/>
      <c r="ATC995" s="2335"/>
      <c r="ATD995" s="2335"/>
      <c r="ATE995" s="2335"/>
      <c r="ATF995" s="2335"/>
      <c r="ATG995" s="2335"/>
      <c r="ATH995" s="2335"/>
      <c r="ATI995" s="2335"/>
      <c r="ATJ995" s="2335"/>
      <c r="ATK995" s="2335"/>
      <c r="ATL995" s="2335"/>
      <c r="ATM995" s="2335"/>
      <c r="ATN995" s="2335"/>
      <c r="ATO995" s="2335"/>
      <c r="ATP995" s="2335"/>
      <c r="ATQ995" s="2335"/>
      <c r="ATR995" s="2335"/>
      <c r="ATS995" s="2335"/>
      <c r="ATT995" s="2335"/>
      <c r="ATU995" s="2335"/>
      <c r="ATV995" s="2335"/>
      <c r="ATW995" s="2335"/>
      <c r="ATX995" s="2335"/>
      <c r="ATY995" s="2335"/>
      <c r="ATZ995" s="2335"/>
      <c r="AUA995" s="2335"/>
      <c r="AUB995" s="2335"/>
      <c r="AUC995" s="2335"/>
      <c r="AUD995" s="2335"/>
      <c r="AUE995" s="2335"/>
      <c r="AUF995" s="2335"/>
      <c r="AUG995" s="2335"/>
      <c r="AUH995" s="2335"/>
      <c r="AUI995" s="2335"/>
      <c r="AUJ995" s="2335"/>
      <c r="AUK995" s="2335"/>
      <c r="AUL995" s="2335"/>
      <c r="AUM995" s="2335"/>
      <c r="AUN995" s="2335"/>
      <c r="AUO995" s="2335"/>
      <c r="AUP995" s="2335"/>
      <c r="AUQ995" s="2335"/>
      <c r="AUR995" s="2335"/>
      <c r="AUS995" s="2335"/>
      <c r="AUT995" s="2335"/>
      <c r="AUU995" s="2335"/>
      <c r="AUV995" s="2335"/>
      <c r="AUW995" s="2335"/>
      <c r="AUX995" s="2335"/>
      <c r="AUY995" s="2335"/>
      <c r="AUZ995" s="2335"/>
      <c r="AVA995" s="2335"/>
      <c r="AVB995" s="2335"/>
      <c r="AVC995" s="2335"/>
      <c r="AVD995" s="2335"/>
      <c r="AVE995" s="2335"/>
      <c r="AVF995" s="2335"/>
      <c r="AVG995" s="2335"/>
      <c r="AVH995" s="2335"/>
      <c r="AVI995" s="2335"/>
      <c r="AVJ995" s="2335"/>
      <c r="AVK995" s="2335"/>
      <c r="AVL995" s="2335"/>
      <c r="AVM995" s="2335"/>
      <c r="AVN995" s="2335"/>
      <c r="AVO995" s="2335"/>
      <c r="AVP995" s="2335"/>
      <c r="AVQ995" s="2335"/>
      <c r="AVR995" s="2335"/>
      <c r="AVS995" s="2335"/>
      <c r="AVT995" s="2335"/>
      <c r="AVU995" s="2335"/>
      <c r="AVV995" s="2335"/>
      <c r="AVW995" s="2335"/>
      <c r="AVX995" s="2335"/>
      <c r="AVY995" s="2335"/>
      <c r="AVZ995" s="2335"/>
      <c r="AWA995" s="2335"/>
      <c r="AWB995" s="2335"/>
      <c r="AWC995" s="2335"/>
      <c r="AWD995" s="2335"/>
      <c r="AWE995" s="2335"/>
      <c r="AWF995" s="2335"/>
      <c r="AWG995" s="2335"/>
      <c r="AWH995" s="2335"/>
      <c r="AWI995" s="2335"/>
      <c r="AWJ995" s="2335"/>
      <c r="AWK995" s="2335"/>
      <c r="AWL995" s="2335"/>
      <c r="AWM995" s="2335"/>
      <c r="AWN995" s="2335"/>
      <c r="AWO995" s="2335"/>
      <c r="AWP995" s="2335"/>
      <c r="AWQ995" s="2335"/>
      <c r="AWR995" s="2335"/>
      <c r="AWS995" s="2335"/>
      <c r="AWT995" s="2335"/>
      <c r="AWU995" s="2335"/>
      <c r="AWV995" s="2335"/>
      <c r="AWW995" s="2335"/>
      <c r="AWX995" s="2335"/>
      <c r="AWY995" s="2335"/>
      <c r="AWZ995" s="2335"/>
      <c r="AXA995" s="2335"/>
      <c r="AXB995" s="2335"/>
      <c r="AXC995" s="2335"/>
      <c r="AXD995" s="2335"/>
      <c r="AXE995" s="2335"/>
      <c r="AXF995" s="2335"/>
      <c r="AXG995" s="2335"/>
      <c r="AXH995" s="2335"/>
      <c r="AXI995" s="2335"/>
      <c r="AXJ995" s="2335"/>
      <c r="AXK995" s="2335"/>
      <c r="AXL995" s="2335"/>
      <c r="AXM995" s="2335"/>
      <c r="AXN995" s="2335"/>
      <c r="AXO995" s="2335"/>
      <c r="AXP995" s="2335"/>
      <c r="AXQ995" s="2335"/>
      <c r="AXR995" s="2335"/>
      <c r="AXS995" s="2335"/>
      <c r="AXT995" s="2335"/>
      <c r="AXU995" s="2335"/>
      <c r="AXV995" s="2335"/>
      <c r="AXW995" s="2335"/>
      <c r="AXX995" s="2335"/>
      <c r="AXY995" s="2335"/>
      <c r="AXZ995" s="2335"/>
      <c r="AYA995" s="2335"/>
      <c r="AYB995" s="2335"/>
      <c r="AYC995" s="2335"/>
      <c r="AYD995" s="2335"/>
      <c r="AYE995" s="2335"/>
      <c r="AYF995" s="2335"/>
      <c r="AYG995" s="2335"/>
      <c r="AYH995" s="2335"/>
      <c r="AYI995" s="2335"/>
      <c r="AYJ995" s="2335"/>
      <c r="AYK995" s="2335"/>
      <c r="AYL995" s="2335"/>
      <c r="AYM995" s="2335"/>
      <c r="AYN995" s="2335"/>
      <c r="AYO995" s="2335"/>
      <c r="AYP995" s="2335"/>
      <c r="AYQ995" s="2335"/>
      <c r="AYR995" s="2335"/>
      <c r="AYS995" s="2335"/>
      <c r="AYT995" s="2335"/>
      <c r="AYU995" s="2335"/>
      <c r="AYV995" s="2335"/>
      <c r="AYW995" s="2335"/>
      <c r="AYX995" s="2335"/>
      <c r="AYY995" s="2335"/>
      <c r="AYZ995" s="2335"/>
      <c r="AZA995" s="2335"/>
      <c r="AZB995" s="2335"/>
      <c r="AZC995" s="2335"/>
      <c r="AZD995" s="2335"/>
      <c r="AZE995" s="2335"/>
      <c r="AZF995" s="2335"/>
      <c r="AZG995" s="2335"/>
      <c r="AZH995" s="2335"/>
      <c r="AZI995" s="2335"/>
      <c r="AZJ995" s="2335"/>
      <c r="AZK995" s="2335"/>
      <c r="AZL995" s="2335"/>
      <c r="AZM995" s="2335"/>
      <c r="AZN995" s="2335"/>
      <c r="AZO995" s="2335"/>
      <c r="AZP995" s="2335"/>
      <c r="AZQ995" s="2335"/>
      <c r="AZR995" s="2335"/>
      <c r="AZS995" s="2335"/>
      <c r="AZT995" s="2335"/>
      <c r="AZU995" s="2335"/>
      <c r="AZV995" s="2335"/>
      <c r="AZW995" s="2335"/>
      <c r="AZX995" s="2335"/>
      <c r="AZY995" s="2335"/>
      <c r="AZZ995" s="2335"/>
      <c r="BAA995" s="2335"/>
      <c r="BAB995" s="2335"/>
      <c r="BAC995" s="2335"/>
      <c r="BAD995" s="2335"/>
      <c r="BAE995" s="2335"/>
      <c r="BAF995" s="2335"/>
      <c r="BAG995" s="2335"/>
      <c r="BAH995" s="2335"/>
      <c r="BAI995" s="2335"/>
      <c r="BAJ995" s="2335"/>
      <c r="BAK995" s="2335"/>
      <c r="BAL995" s="2335"/>
      <c r="BAM995" s="2335"/>
      <c r="BAN995" s="2335"/>
      <c r="BAO995" s="2335"/>
      <c r="BAP995" s="2335"/>
      <c r="BAQ995" s="2335"/>
      <c r="BAR995" s="2335"/>
      <c r="BAS995" s="2335"/>
      <c r="BAT995" s="2335"/>
      <c r="BAU995" s="2335"/>
      <c r="BAV995" s="2335"/>
      <c r="BAW995" s="2335"/>
      <c r="BAX995" s="2335"/>
      <c r="BAY995" s="2335"/>
      <c r="BAZ995" s="2335"/>
      <c r="BBA995" s="2335"/>
      <c r="BBB995" s="2335"/>
      <c r="BBC995" s="2335"/>
      <c r="BBD995" s="2335"/>
      <c r="BBE995" s="2335"/>
      <c r="BBF995" s="2335"/>
      <c r="BBG995" s="2335"/>
      <c r="BBH995" s="2335"/>
      <c r="BBI995" s="2335"/>
      <c r="BBJ995" s="2335"/>
      <c r="BBK995" s="2335"/>
      <c r="BBL995" s="2335"/>
      <c r="BBM995" s="2335"/>
      <c r="BBN995" s="2335"/>
      <c r="BBO995" s="2335"/>
      <c r="BBP995" s="2335"/>
      <c r="BBQ995" s="2335"/>
      <c r="BBR995" s="2335"/>
      <c r="BBS995" s="2335"/>
      <c r="BBT995" s="2335"/>
      <c r="BBU995" s="2335"/>
      <c r="BBV995" s="2335"/>
      <c r="BBW995" s="2335"/>
      <c r="BBX995" s="2335"/>
      <c r="BBY995" s="2335"/>
      <c r="BBZ995" s="2335"/>
      <c r="BCA995" s="2335"/>
      <c r="BCB995" s="2335"/>
      <c r="BCC995" s="2335"/>
      <c r="BCD995" s="2335"/>
      <c r="BCE995" s="2335"/>
      <c r="BCF995" s="2335"/>
      <c r="BCG995" s="2335"/>
      <c r="BCH995" s="2335"/>
      <c r="BCI995" s="2335"/>
      <c r="BCJ995" s="2335"/>
      <c r="BCK995" s="2335"/>
      <c r="BCL995" s="2335"/>
      <c r="BCM995" s="2335"/>
      <c r="BCN995" s="2335"/>
      <c r="BCO995" s="2335"/>
      <c r="BCP995" s="2335"/>
      <c r="BCQ995" s="2335"/>
      <c r="BCR995" s="2335"/>
      <c r="BCS995" s="2335"/>
      <c r="BCT995" s="2335"/>
      <c r="BCU995" s="2335"/>
      <c r="BCV995" s="2335"/>
      <c r="BCW995" s="2335"/>
      <c r="BCX995" s="2335"/>
      <c r="BCY995" s="2335"/>
      <c r="BCZ995" s="2335"/>
      <c r="BDA995" s="2335"/>
      <c r="BDB995" s="2335"/>
      <c r="BDC995" s="2335"/>
      <c r="BDD995" s="2335"/>
      <c r="BDE995" s="2335"/>
      <c r="BDF995" s="2335"/>
      <c r="BDG995" s="2335"/>
      <c r="BDH995" s="2335"/>
      <c r="BDI995" s="2335"/>
      <c r="BDJ995" s="2335"/>
      <c r="BDK995" s="2335"/>
      <c r="BDL995" s="2335"/>
      <c r="BDM995" s="2335"/>
      <c r="BDN995" s="2335"/>
      <c r="BDO995" s="2335"/>
      <c r="BDP995" s="2335"/>
      <c r="BDQ995" s="2335"/>
      <c r="BDR995" s="2335"/>
      <c r="BDS995" s="2335"/>
      <c r="BDT995" s="2335"/>
      <c r="BDU995" s="2335"/>
      <c r="BDV995" s="2335"/>
      <c r="BDW995" s="2335"/>
      <c r="BDX995" s="2335"/>
      <c r="BDY995" s="2335"/>
      <c r="BDZ995" s="2335"/>
      <c r="BEA995" s="2335"/>
      <c r="BEB995" s="2335"/>
      <c r="BEC995" s="2335"/>
      <c r="BED995" s="2335"/>
      <c r="BEE995" s="2335"/>
      <c r="BEF995" s="2335"/>
      <c r="BEG995" s="2335"/>
      <c r="BEH995" s="2335"/>
      <c r="BEI995" s="2335"/>
      <c r="BEJ995" s="2335"/>
      <c r="BEK995" s="2335"/>
      <c r="BEL995" s="2335"/>
      <c r="BEM995" s="2335"/>
      <c r="BEN995" s="2335"/>
      <c r="BEO995" s="2335"/>
      <c r="BEP995" s="2335"/>
      <c r="BEQ995" s="2335"/>
      <c r="BER995" s="2335"/>
      <c r="BES995" s="2335"/>
      <c r="BET995" s="2335"/>
      <c r="BEU995" s="2335"/>
      <c r="BEV995" s="2335"/>
      <c r="BEW995" s="2335"/>
      <c r="BEX995" s="2335"/>
      <c r="BEY995" s="2335"/>
      <c r="BEZ995" s="2335"/>
      <c r="BFA995" s="2335"/>
      <c r="BFB995" s="2335"/>
      <c r="BFC995" s="2335"/>
      <c r="BFD995" s="2335"/>
      <c r="BFE995" s="2335"/>
      <c r="BFF995" s="2335"/>
      <c r="BFG995" s="2335"/>
      <c r="BFH995" s="2335"/>
      <c r="BFI995" s="2335"/>
      <c r="BFJ995" s="2335"/>
      <c r="BFK995" s="2335"/>
      <c r="BFL995" s="2335"/>
      <c r="BFM995" s="2335"/>
      <c r="BFN995" s="2335"/>
      <c r="BFO995" s="2335"/>
      <c r="BFP995" s="2335"/>
      <c r="BFQ995" s="2335"/>
      <c r="BFR995" s="2335"/>
      <c r="BFS995" s="2335"/>
      <c r="BFT995" s="2335"/>
      <c r="BFU995" s="2335"/>
      <c r="BFV995" s="2335"/>
      <c r="BFW995" s="2335"/>
      <c r="BFX995" s="2335"/>
      <c r="BFY995" s="2335"/>
      <c r="BFZ995" s="2335"/>
      <c r="BGA995" s="2335"/>
      <c r="BGB995" s="2335"/>
      <c r="BGC995" s="2335"/>
      <c r="BGD995" s="2335"/>
      <c r="BGE995" s="2335"/>
      <c r="BGF995" s="2335"/>
      <c r="BGG995" s="2335"/>
      <c r="BGH995" s="2335"/>
      <c r="BGI995" s="2335"/>
      <c r="BGJ995" s="2335"/>
      <c r="BGK995" s="2335"/>
      <c r="BGL995" s="2335"/>
      <c r="BGM995" s="2335"/>
      <c r="BGN995" s="2335"/>
      <c r="BGO995" s="2335"/>
      <c r="BGP995" s="2335"/>
      <c r="BGQ995" s="2335"/>
      <c r="BGR995" s="2335"/>
      <c r="BGS995" s="2335"/>
      <c r="BGT995" s="2335"/>
      <c r="BGU995" s="2335"/>
      <c r="BGV995" s="2335"/>
      <c r="BGW995" s="2335"/>
      <c r="BGX995" s="2335"/>
      <c r="BGY995" s="2335"/>
      <c r="BGZ995" s="2335"/>
      <c r="BHA995" s="2335"/>
      <c r="BHB995" s="2335"/>
      <c r="BHC995" s="2335"/>
      <c r="BHD995" s="2335"/>
      <c r="BHE995" s="2335"/>
      <c r="BHF995" s="2335"/>
      <c r="BHG995" s="2335"/>
      <c r="BHH995" s="2335"/>
      <c r="BHI995" s="2335"/>
      <c r="BHJ995" s="2335"/>
      <c r="BHK995" s="2335"/>
      <c r="BHL995" s="2335"/>
      <c r="BHM995" s="2335"/>
      <c r="BHN995" s="2335"/>
      <c r="BHO995" s="2335"/>
      <c r="BHP995" s="2335"/>
      <c r="BHQ995" s="2335"/>
      <c r="BHR995" s="2335"/>
      <c r="BHS995" s="2335"/>
      <c r="BHT995" s="2335"/>
      <c r="BHU995" s="2335"/>
      <c r="BHV995" s="2335"/>
      <c r="BHW995" s="2335"/>
      <c r="BHX995" s="2335"/>
      <c r="BHY995" s="2335"/>
      <c r="BHZ995" s="2335"/>
      <c r="BIA995" s="2335"/>
      <c r="BIB995" s="2335"/>
      <c r="BIC995" s="2335"/>
      <c r="BID995" s="2335"/>
      <c r="BIE995" s="2335"/>
      <c r="BIF995" s="2335"/>
      <c r="BIG995" s="2335"/>
      <c r="BIH995" s="2335"/>
      <c r="BII995" s="2335"/>
      <c r="BIJ995" s="2335"/>
      <c r="BIK995" s="2335"/>
      <c r="BIL995" s="2335"/>
      <c r="BIM995" s="2335"/>
      <c r="BIN995" s="2335"/>
      <c r="BIO995" s="2335"/>
      <c r="BIP995" s="2335"/>
      <c r="BIQ995" s="2335"/>
      <c r="BIR995" s="2335"/>
      <c r="BIS995" s="2335"/>
      <c r="BIT995" s="2335"/>
      <c r="BIU995" s="2335"/>
      <c r="BIV995" s="2335"/>
      <c r="BIW995" s="2335"/>
      <c r="BIX995" s="2335"/>
      <c r="BIY995" s="2335"/>
      <c r="BIZ995" s="2335"/>
      <c r="BJA995" s="2335"/>
      <c r="BJB995" s="2335"/>
      <c r="BJC995" s="2335"/>
      <c r="BJD995" s="2335"/>
      <c r="BJE995" s="2335"/>
      <c r="BJF995" s="2335"/>
      <c r="BJG995" s="2335"/>
      <c r="BJH995" s="2335"/>
      <c r="BJI995" s="2335"/>
      <c r="BJJ995" s="2335"/>
      <c r="BJK995" s="2335"/>
      <c r="BJL995" s="2335"/>
      <c r="BJM995" s="2335"/>
      <c r="BJN995" s="2335"/>
      <c r="BJO995" s="2335"/>
      <c r="BJP995" s="2335"/>
      <c r="BJQ995" s="2335"/>
      <c r="BJR995" s="2335"/>
      <c r="BJS995" s="2335"/>
      <c r="BJT995" s="2335"/>
      <c r="BJU995" s="2335"/>
      <c r="BJV995" s="2335"/>
      <c r="BJW995" s="2335"/>
      <c r="BJX995" s="2335"/>
      <c r="BJY995" s="2335"/>
      <c r="BJZ995" s="2335"/>
      <c r="BKA995" s="2335"/>
      <c r="BKB995" s="2335"/>
      <c r="BKC995" s="2335"/>
      <c r="BKD995" s="2335"/>
      <c r="BKE995" s="2335"/>
      <c r="BKF995" s="2335"/>
      <c r="BKG995" s="2335"/>
      <c r="BKH995" s="2335"/>
      <c r="BKI995" s="2335"/>
      <c r="BKJ995" s="2335"/>
      <c r="BKK995" s="2335"/>
      <c r="BKL995" s="2335"/>
      <c r="BKM995" s="2335"/>
      <c r="BKN995" s="2335"/>
      <c r="BKO995" s="2335"/>
      <c r="BKP995" s="2335"/>
      <c r="BKQ995" s="2335"/>
      <c r="BKR995" s="2335"/>
      <c r="BKS995" s="2335"/>
      <c r="BKT995" s="2335"/>
      <c r="BKU995" s="2335"/>
      <c r="BKV995" s="2335"/>
      <c r="BKW995" s="2335"/>
      <c r="BKX995" s="2335"/>
      <c r="BKY995" s="2335"/>
      <c r="BKZ995" s="2335"/>
      <c r="BLA995" s="2335"/>
      <c r="BLB995" s="2335"/>
      <c r="BLC995" s="2335"/>
      <c r="BLD995" s="2335"/>
      <c r="BLE995" s="2335"/>
      <c r="BLF995" s="2335"/>
      <c r="BLG995" s="2335"/>
      <c r="BLH995" s="2335"/>
      <c r="BLI995" s="2335"/>
      <c r="BLJ995" s="2335"/>
      <c r="BLK995" s="2335"/>
      <c r="BLL995" s="2335"/>
      <c r="BLM995" s="2335"/>
      <c r="BLN995" s="2335"/>
      <c r="BLO995" s="2335"/>
      <c r="BLP995" s="2335"/>
      <c r="BLQ995" s="2335"/>
      <c r="BLR995" s="2335"/>
      <c r="BLS995" s="2335"/>
      <c r="BLT995" s="2335"/>
      <c r="BLU995" s="2335"/>
      <c r="BLV995" s="2335"/>
      <c r="BLW995" s="2335"/>
      <c r="BLX995" s="2335"/>
      <c r="BLY995" s="2335"/>
      <c r="BLZ995" s="2335"/>
      <c r="BMA995" s="2335"/>
      <c r="BMB995" s="2335"/>
      <c r="BMC995" s="2335"/>
      <c r="BMD995" s="2335"/>
      <c r="BME995" s="2335"/>
      <c r="BMF995" s="2335"/>
      <c r="BMG995" s="2335"/>
      <c r="BMH995" s="2335"/>
      <c r="BMI995" s="2335"/>
      <c r="BMJ995" s="2335"/>
      <c r="BMK995" s="2335"/>
      <c r="BML995" s="2335"/>
      <c r="BMM995" s="2335"/>
      <c r="BMN995" s="2335"/>
      <c r="BMO995" s="2335"/>
      <c r="BMP995" s="2335"/>
      <c r="BMQ995" s="2335"/>
      <c r="BMR995" s="2335"/>
      <c r="BMS995" s="2335"/>
      <c r="BMT995" s="2335"/>
      <c r="BMU995" s="2335"/>
      <c r="BMV995" s="2335"/>
      <c r="BMW995" s="2335"/>
      <c r="BMX995" s="2335"/>
      <c r="BMY995" s="2335"/>
      <c r="BMZ995" s="2335"/>
      <c r="BNA995" s="2335"/>
      <c r="BNB995" s="2335"/>
      <c r="BNC995" s="2335"/>
      <c r="BND995" s="2335"/>
      <c r="BNE995" s="2335"/>
      <c r="BNF995" s="2335"/>
      <c r="BNG995" s="2335"/>
      <c r="BNH995" s="2335"/>
      <c r="BNI995" s="2335"/>
      <c r="BNJ995" s="2335"/>
      <c r="BNK995" s="2335"/>
      <c r="BNL995" s="2335"/>
      <c r="BNM995" s="2335"/>
      <c r="BNN995" s="2335"/>
      <c r="BNO995" s="2335"/>
      <c r="BNP995" s="2335"/>
      <c r="BNQ995" s="2335"/>
      <c r="BNR995" s="2335"/>
      <c r="BNS995" s="2335"/>
      <c r="BNT995" s="2335"/>
      <c r="BNU995" s="2335"/>
      <c r="BNV995" s="2335"/>
      <c r="BNW995" s="2335"/>
      <c r="BNX995" s="2335"/>
      <c r="BNY995" s="2335"/>
      <c r="BNZ995" s="2335"/>
      <c r="BOA995" s="2335"/>
      <c r="BOB995" s="2335"/>
      <c r="BOC995" s="2335"/>
      <c r="BOD995" s="2335"/>
      <c r="BOE995" s="2335"/>
      <c r="BOF995" s="2335"/>
      <c r="BOG995" s="2335"/>
      <c r="BOH995" s="2335"/>
      <c r="BOI995" s="2335"/>
      <c r="BOJ995" s="2335"/>
      <c r="BOK995" s="2335"/>
      <c r="BOL995" s="2335"/>
      <c r="BOM995" s="2335"/>
      <c r="BON995" s="2335"/>
      <c r="BOO995" s="2335"/>
      <c r="BOP995" s="2335"/>
      <c r="BOQ995" s="2335"/>
      <c r="BOR995" s="2335"/>
      <c r="BOS995" s="2335"/>
      <c r="BOT995" s="2335"/>
      <c r="BOU995" s="2335"/>
      <c r="BOV995" s="2335"/>
      <c r="BOW995" s="2335"/>
      <c r="BOX995" s="2335"/>
      <c r="BOY995" s="2335"/>
      <c r="BOZ995" s="2335"/>
      <c r="BPA995" s="2335"/>
      <c r="BPB995" s="2335"/>
      <c r="BPC995" s="2335"/>
      <c r="BPD995" s="2335"/>
      <c r="BPE995" s="2335"/>
      <c r="BPF995" s="2335"/>
      <c r="BPG995" s="2335"/>
      <c r="BPH995" s="2335"/>
      <c r="BPI995" s="2335"/>
      <c r="BPJ995" s="2335"/>
      <c r="BPK995" s="2335"/>
      <c r="BPL995" s="2335"/>
      <c r="BPM995" s="2335"/>
      <c r="BPN995" s="2335"/>
      <c r="BPO995" s="2335"/>
      <c r="BPP995" s="2335"/>
      <c r="BPQ995" s="2335"/>
      <c r="BPR995" s="2335"/>
      <c r="BPS995" s="2335"/>
      <c r="BPT995" s="2335"/>
      <c r="BPU995" s="2335"/>
      <c r="BPV995" s="2335"/>
      <c r="BPW995" s="2335"/>
      <c r="BPX995" s="2335"/>
      <c r="BPY995" s="2335"/>
      <c r="BPZ995" s="2335"/>
      <c r="BQA995" s="2335"/>
      <c r="BQB995" s="2335"/>
      <c r="BQC995" s="2335"/>
      <c r="BQD995" s="2335"/>
      <c r="BQE995" s="2335"/>
      <c r="BQF995" s="2335"/>
      <c r="BQG995" s="2335"/>
      <c r="BQH995" s="2335"/>
      <c r="BQI995" s="2335"/>
      <c r="BQJ995" s="2335"/>
      <c r="BQK995" s="2335"/>
      <c r="BQL995" s="2335"/>
      <c r="BQM995" s="2335"/>
      <c r="BQN995" s="2335"/>
      <c r="BQO995" s="2335"/>
      <c r="BQP995" s="2335"/>
      <c r="BQQ995" s="2335"/>
      <c r="BQR995" s="2335"/>
      <c r="BQS995" s="2335"/>
      <c r="BQT995" s="2335"/>
      <c r="BQU995" s="2335"/>
      <c r="BQV995" s="2335"/>
      <c r="BQW995" s="2335"/>
      <c r="BQX995" s="2335"/>
      <c r="BQY995" s="2335"/>
      <c r="BQZ995" s="2335"/>
      <c r="BRA995" s="2335"/>
      <c r="BRB995" s="2335"/>
      <c r="BRC995" s="2335"/>
      <c r="BRD995" s="2335"/>
      <c r="BRE995" s="2335"/>
      <c r="BRF995" s="2335"/>
      <c r="BRG995" s="2335"/>
      <c r="BRH995" s="2335"/>
      <c r="BRI995" s="2335"/>
      <c r="BRJ995" s="2335"/>
      <c r="BRK995" s="2335"/>
      <c r="BRL995" s="2335"/>
      <c r="BRM995" s="2335"/>
      <c r="BRN995" s="2335"/>
      <c r="BRO995" s="2335"/>
      <c r="BRP995" s="2335"/>
      <c r="BRQ995" s="2335"/>
      <c r="BRR995" s="2335"/>
      <c r="BRS995" s="2335"/>
      <c r="BRT995" s="2335"/>
      <c r="BRU995" s="2335"/>
      <c r="BRV995" s="2335"/>
      <c r="BRW995" s="2335"/>
      <c r="BRX995" s="2335"/>
      <c r="BRY995" s="2335"/>
      <c r="BRZ995" s="2335"/>
      <c r="BSA995" s="2335"/>
      <c r="BSB995" s="2335"/>
      <c r="BSC995" s="2335"/>
      <c r="BSD995" s="2335"/>
      <c r="BSE995" s="2335"/>
      <c r="BSF995" s="2335"/>
      <c r="BSG995" s="2335"/>
      <c r="BSH995" s="2335"/>
      <c r="BSI995" s="2335"/>
      <c r="BSJ995" s="2335"/>
      <c r="BSK995" s="2335"/>
      <c r="BSL995" s="2335"/>
      <c r="BSM995" s="2335"/>
      <c r="BSN995" s="2335"/>
      <c r="BSO995" s="2335"/>
      <c r="BSP995" s="2335"/>
      <c r="BSQ995" s="2335"/>
      <c r="BSR995" s="2335"/>
      <c r="BSS995" s="2335"/>
      <c r="BST995" s="2335"/>
      <c r="BSU995" s="2335"/>
      <c r="BSV995" s="2335"/>
      <c r="BSW995" s="2335"/>
      <c r="BSX995" s="2335"/>
      <c r="BSY995" s="2335"/>
      <c r="BSZ995" s="2335"/>
      <c r="BTA995" s="2335"/>
      <c r="BTB995" s="2335"/>
      <c r="BTC995" s="2335"/>
      <c r="BTD995" s="2335"/>
      <c r="BTE995" s="2335"/>
      <c r="BTF995" s="2335"/>
      <c r="BTG995" s="2335"/>
      <c r="BTH995" s="2335"/>
      <c r="BTI995" s="2335"/>
      <c r="BTJ995" s="2335"/>
      <c r="BTK995" s="2335"/>
      <c r="BTL995" s="2335"/>
      <c r="BTM995" s="2335"/>
      <c r="BTN995" s="2335"/>
      <c r="BTO995" s="2335"/>
      <c r="BTP995" s="2335"/>
      <c r="BTQ995" s="2335"/>
      <c r="BTR995" s="2335"/>
      <c r="BTS995" s="2335"/>
      <c r="BTT995" s="2335"/>
      <c r="BTU995" s="2335"/>
      <c r="BTV995" s="2335"/>
      <c r="BTW995" s="2335"/>
      <c r="BTX995" s="2335"/>
      <c r="BTY995" s="2335"/>
      <c r="BTZ995" s="2335"/>
      <c r="BUA995" s="2335"/>
      <c r="BUB995" s="2335"/>
      <c r="BUC995" s="2335"/>
      <c r="BUD995" s="2335"/>
      <c r="BUE995" s="2335"/>
      <c r="BUF995" s="2335"/>
      <c r="BUG995" s="2335"/>
      <c r="BUH995" s="2335"/>
      <c r="BUI995" s="2335"/>
      <c r="BUJ995" s="2335"/>
      <c r="BUK995" s="2335"/>
      <c r="BUL995" s="2335"/>
      <c r="BUM995" s="2335"/>
      <c r="BUN995" s="2335"/>
      <c r="BUO995" s="2335"/>
      <c r="BUP995" s="2335"/>
      <c r="BUQ995" s="2335"/>
      <c r="BUR995" s="2335"/>
      <c r="BUS995" s="2335"/>
      <c r="BUT995" s="2335"/>
      <c r="BUU995" s="2335"/>
      <c r="BUV995" s="2335"/>
      <c r="BUW995" s="2335"/>
      <c r="BUX995" s="2335"/>
      <c r="BUY995" s="2335"/>
      <c r="BUZ995" s="2335"/>
      <c r="BVA995" s="2335"/>
      <c r="BVB995" s="2335"/>
      <c r="BVC995" s="2335"/>
      <c r="BVD995" s="2335"/>
      <c r="BVE995" s="2335"/>
      <c r="BVF995" s="2335"/>
      <c r="BVG995" s="2335"/>
      <c r="BVH995" s="2335"/>
      <c r="BVI995" s="2335"/>
      <c r="BVJ995" s="2335"/>
      <c r="BVK995" s="2335"/>
      <c r="BVL995" s="2335"/>
      <c r="BVM995" s="2335"/>
      <c r="BVN995" s="2335"/>
      <c r="BVO995" s="2335"/>
      <c r="BVP995" s="2335"/>
      <c r="BVQ995" s="2335"/>
      <c r="BVR995" s="2335"/>
      <c r="BVS995" s="2335"/>
      <c r="BVT995" s="2335"/>
      <c r="BVU995" s="2335"/>
      <c r="BVV995" s="2335"/>
      <c r="BVW995" s="2335"/>
      <c r="BVX995" s="2335"/>
      <c r="BVY995" s="2335"/>
      <c r="BVZ995" s="2335"/>
      <c r="BWA995" s="2335"/>
      <c r="BWB995" s="2335"/>
      <c r="BWC995" s="2335"/>
      <c r="BWD995" s="2335"/>
      <c r="BWE995" s="2335"/>
      <c r="BWF995" s="2335"/>
      <c r="BWG995" s="2335"/>
      <c r="BWH995" s="2335"/>
      <c r="BWI995" s="2335"/>
      <c r="BWJ995" s="2335"/>
      <c r="BWK995" s="2335"/>
      <c r="BWL995" s="2335"/>
      <c r="BWM995" s="2335"/>
      <c r="BWN995" s="2335"/>
      <c r="BWO995" s="2335"/>
      <c r="BWP995" s="2335"/>
      <c r="BWQ995" s="2335"/>
      <c r="BWR995" s="2335"/>
      <c r="BWS995" s="2335"/>
      <c r="BWT995" s="2335"/>
      <c r="BWU995" s="2335"/>
      <c r="BWV995" s="2335"/>
      <c r="BWW995" s="2335"/>
      <c r="BWX995" s="2335"/>
      <c r="BWY995" s="2335"/>
      <c r="BWZ995" s="2335"/>
      <c r="BXA995" s="2335"/>
      <c r="BXB995" s="2335"/>
      <c r="BXC995" s="2335"/>
      <c r="BXD995" s="2335"/>
      <c r="BXE995" s="2335"/>
      <c r="BXF995" s="2335"/>
      <c r="BXG995" s="2335"/>
      <c r="BXH995" s="2335"/>
      <c r="BXI995" s="2335"/>
      <c r="BXJ995" s="2335"/>
      <c r="BXK995" s="2335"/>
      <c r="BXL995" s="2335"/>
      <c r="BXM995" s="2335"/>
      <c r="BXN995" s="2335"/>
      <c r="BXO995" s="2335"/>
      <c r="BXP995" s="2335"/>
      <c r="BXQ995" s="2335"/>
      <c r="BXR995" s="2335"/>
      <c r="BXS995" s="2335"/>
      <c r="BXT995" s="2335"/>
      <c r="BXU995" s="2335"/>
      <c r="BXV995" s="2335"/>
      <c r="BXW995" s="2335"/>
      <c r="BXX995" s="2335"/>
      <c r="BXY995" s="2335"/>
      <c r="BXZ995" s="2335"/>
      <c r="BYA995" s="2335"/>
      <c r="BYB995" s="2335"/>
      <c r="BYC995" s="2335"/>
      <c r="BYD995" s="2335"/>
      <c r="BYE995" s="2335"/>
      <c r="BYF995" s="2335"/>
      <c r="BYG995" s="2335"/>
      <c r="BYH995" s="2335"/>
      <c r="BYI995" s="2335"/>
      <c r="BYJ995" s="2335"/>
      <c r="BYK995" s="2335"/>
      <c r="BYL995" s="2335"/>
      <c r="BYM995" s="2335"/>
      <c r="BYN995" s="2335"/>
      <c r="BYO995" s="2335"/>
      <c r="BYP995" s="2335"/>
      <c r="BYQ995" s="2335"/>
      <c r="BYR995" s="2335"/>
      <c r="BYS995" s="2335"/>
      <c r="BYT995" s="2335"/>
      <c r="BYU995" s="2335"/>
      <c r="BYV995" s="2335"/>
      <c r="BYW995" s="2335"/>
      <c r="BYX995" s="2335"/>
      <c r="BYY995" s="2335"/>
      <c r="BYZ995" s="2335"/>
      <c r="BZA995" s="2335"/>
      <c r="BZB995" s="2335"/>
      <c r="BZC995" s="2335"/>
      <c r="BZD995" s="2335"/>
      <c r="BZE995" s="2335"/>
      <c r="BZF995" s="2335"/>
      <c r="BZG995" s="2335"/>
      <c r="BZH995" s="2335"/>
      <c r="BZI995" s="2335"/>
      <c r="BZJ995" s="2335"/>
      <c r="BZK995" s="2335"/>
      <c r="BZL995" s="2335"/>
      <c r="BZM995" s="2335"/>
      <c r="BZN995" s="2335"/>
      <c r="BZO995" s="2335"/>
      <c r="BZP995" s="2335"/>
      <c r="BZQ995" s="2335"/>
      <c r="BZR995" s="2335"/>
      <c r="BZS995" s="2335"/>
      <c r="BZT995" s="2335"/>
      <c r="BZU995" s="2335"/>
      <c r="BZV995" s="2335"/>
      <c r="BZW995" s="2335"/>
      <c r="BZX995" s="2335"/>
      <c r="BZY995" s="2335"/>
      <c r="BZZ995" s="2335"/>
      <c r="CAA995" s="2335"/>
      <c r="CAB995" s="2335"/>
      <c r="CAC995" s="2335"/>
      <c r="CAD995" s="2335"/>
      <c r="CAE995" s="2335"/>
      <c r="CAF995" s="2335"/>
      <c r="CAG995" s="2335"/>
      <c r="CAH995" s="2335"/>
      <c r="CAI995" s="2335"/>
      <c r="CAJ995" s="2335"/>
      <c r="CAK995" s="2335"/>
      <c r="CAL995" s="2335"/>
      <c r="CAM995" s="2335"/>
      <c r="CAN995" s="2335"/>
      <c r="CAO995" s="2335"/>
      <c r="CAP995" s="2335"/>
      <c r="CAQ995" s="2335"/>
      <c r="CAR995" s="2335"/>
      <c r="CAS995" s="2335"/>
      <c r="CAT995" s="2335"/>
      <c r="CAU995" s="2335"/>
      <c r="CAV995" s="2335"/>
      <c r="CAW995" s="2335"/>
      <c r="CAX995" s="2335"/>
      <c r="CAY995" s="2335"/>
      <c r="CAZ995" s="2335"/>
      <c r="CBA995" s="2335"/>
      <c r="CBB995" s="2335"/>
      <c r="CBC995" s="2335"/>
      <c r="CBD995" s="2335"/>
      <c r="CBE995" s="2335"/>
      <c r="CBF995" s="2335"/>
      <c r="CBG995" s="2335"/>
      <c r="CBH995" s="2335"/>
      <c r="CBI995" s="2335"/>
      <c r="CBJ995" s="2335"/>
      <c r="CBK995" s="2335"/>
      <c r="CBL995" s="2335"/>
      <c r="CBM995" s="2335"/>
      <c r="CBN995" s="2335"/>
      <c r="CBO995" s="2335"/>
      <c r="CBP995" s="2335"/>
      <c r="CBQ995" s="2335"/>
      <c r="CBR995" s="2335"/>
      <c r="CBS995" s="2335"/>
      <c r="CBT995" s="2335"/>
      <c r="CBU995" s="2335"/>
      <c r="CBV995" s="2335"/>
      <c r="CBW995" s="2335"/>
      <c r="CBX995" s="2335"/>
      <c r="CBY995" s="2335"/>
      <c r="CBZ995" s="2335"/>
      <c r="CCA995" s="2335"/>
      <c r="CCB995" s="2335"/>
      <c r="CCC995" s="2335"/>
      <c r="CCD995" s="2335"/>
      <c r="CCE995" s="2335"/>
      <c r="CCF995" s="2335"/>
      <c r="CCG995" s="2335"/>
      <c r="CCH995" s="2335"/>
      <c r="CCI995" s="2335"/>
      <c r="CCJ995" s="2335"/>
      <c r="CCK995" s="2335"/>
      <c r="CCL995" s="2335"/>
      <c r="CCM995" s="2335"/>
      <c r="CCN995" s="2335"/>
      <c r="CCO995" s="2335"/>
      <c r="CCP995" s="2335"/>
      <c r="CCQ995" s="2335"/>
      <c r="CCR995" s="2335"/>
      <c r="CCS995" s="2335"/>
      <c r="CCT995" s="2335"/>
      <c r="CCU995" s="2335"/>
      <c r="CCV995" s="2335"/>
      <c r="CCW995" s="2335"/>
      <c r="CCX995" s="2335"/>
      <c r="CCY995" s="2335"/>
      <c r="CCZ995" s="2335"/>
      <c r="CDA995" s="2335"/>
      <c r="CDB995" s="2335"/>
      <c r="CDC995" s="2335"/>
      <c r="CDD995" s="2335"/>
      <c r="CDE995" s="2335"/>
      <c r="CDF995" s="2335"/>
      <c r="CDG995" s="2335"/>
      <c r="CDH995" s="2335"/>
      <c r="CDI995" s="2335"/>
      <c r="CDJ995" s="2335"/>
      <c r="CDK995" s="2335"/>
      <c r="CDL995" s="2335"/>
      <c r="CDM995" s="2335"/>
      <c r="CDN995" s="2335"/>
      <c r="CDO995" s="2335"/>
      <c r="CDP995" s="2335"/>
      <c r="CDQ995" s="2335"/>
      <c r="CDR995" s="2335"/>
      <c r="CDS995" s="2335"/>
      <c r="CDT995" s="2335"/>
      <c r="CDU995" s="2335"/>
      <c r="CDV995" s="2335"/>
      <c r="CDW995" s="2335"/>
      <c r="CDX995" s="2335"/>
      <c r="CDY995" s="2335"/>
      <c r="CDZ995" s="2335"/>
      <c r="CEA995" s="2335"/>
      <c r="CEB995" s="2335"/>
      <c r="CEC995" s="2335"/>
      <c r="CED995" s="2335"/>
      <c r="CEE995" s="2335"/>
      <c r="CEF995" s="2335"/>
      <c r="CEG995" s="2335"/>
      <c r="CEH995" s="2335"/>
      <c r="CEI995" s="2335"/>
      <c r="CEJ995" s="2335"/>
      <c r="CEK995" s="2335"/>
      <c r="CEL995" s="2335"/>
      <c r="CEM995" s="2335"/>
      <c r="CEN995" s="2335"/>
      <c r="CEO995" s="2335"/>
      <c r="CEP995" s="2335"/>
      <c r="CEQ995" s="2335"/>
      <c r="CER995" s="2335"/>
      <c r="CES995" s="2335"/>
      <c r="CET995" s="2335"/>
      <c r="CEU995" s="2335"/>
      <c r="CEV995" s="2335"/>
      <c r="CEW995" s="2335"/>
      <c r="CEX995" s="2335"/>
      <c r="CEY995" s="2335"/>
      <c r="CEZ995" s="2335"/>
      <c r="CFA995" s="2335"/>
      <c r="CFB995" s="2335"/>
      <c r="CFC995" s="2335"/>
      <c r="CFD995" s="2335"/>
      <c r="CFE995" s="2335"/>
      <c r="CFF995" s="2335"/>
      <c r="CFG995" s="2335"/>
      <c r="CFH995" s="2335"/>
      <c r="CFI995" s="2335"/>
      <c r="CFJ995" s="2335"/>
      <c r="CFK995" s="2335"/>
      <c r="CFL995" s="2335"/>
      <c r="CFM995" s="2335"/>
      <c r="CFN995" s="2335"/>
      <c r="CFO995" s="2335"/>
      <c r="CFP995" s="2335"/>
      <c r="CFQ995" s="2335"/>
      <c r="CFR995" s="2335"/>
      <c r="CFS995" s="2335"/>
      <c r="CFT995" s="2335"/>
      <c r="CFU995" s="2335"/>
      <c r="CFV995" s="2335"/>
      <c r="CFW995" s="2335"/>
      <c r="CFX995" s="2335"/>
      <c r="CFY995" s="2335"/>
      <c r="CFZ995" s="2335"/>
      <c r="CGA995" s="2335"/>
      <c r="CGB995" s="2335"/>
      <c r="CGC995" s="2335"/>
      <c r="CGD995" s="2335"/>
      <c r="CGE995" s="2335"/>
      <c r="CGF995" s="2335"/>
      <c r="CGG995" s="2335"/>
      <c r="CGH995" s="2335"/>
      <c r="CGI995" s="2335"/>
      <c r="CGJ995" s="2335"/>
      <c r="CGK995" s="2335"/>
      <c r="CGL995" s="2335"/>
      <c r="CGM995" s="2335"/>
      <c r="CGN995" s="2335"/>
      <c r="CGO995" s="2335"/>
      <c r="CGP995" s="2335"/>
      <c r="CGQ995" s="2335"/>
      <c r="CGR995" s="2335"/>
      <c r="CGS995" s="2335"/>
      <c r="CGT995" s="2335"/>
      <c r="CGU995" s="2335"/>
      <c r="CGV995" s="2335"/>
      <c r="CGW995" s="2335"/>
      <c r="CGX995" s="2335"/>
      <c r="CGY995" s="2335"/>
      <c r="CGZ995" s="2335"/>
      <c r="CHA995" s="2335"/>
      <c r="CHB995" s="2335"/>
      <c r="CHC995" s="2335"/>
      <c r="CHD995" s="2335"/>
      <c r="CHE995" s="2335"/>
      <c r="CHF995" s="2335"/>
      <c r="CHG995" s="2335"/>
      <c r="CHH995" s="2335"/>
      <c r="CHI995" s="2335"/>
      <c r="CHJ995" s="2335"/>
      <c r="CHK995" s="2335"/>
      <c r="CHL995" s="2335"/>
      <c r="CHM995" s="2335"/>
      <c r="CHN995" s="2335"/>
      <c r="CHO995" s="2335"/>
      <c r="CHP995" s="2335"/>
      <c r="CHQ995" s="2335"/>
      <c r="CHR995" s="2335"/>
      <c r="CHS995" s="2335"/>
      <c r="CHT995" s="2335"/>
      <c r="CHU995" s="2335"/>
      <c r="CHV995" s="2335"/>
      <c r="CHW995" s="2335"/>
      <c r="CHX995" s="2335"/>
      <c r="CHY995" s="2335"/>
      <c r="CHZ995" s="2335"/>
      <c r="CIA995" s="2335"/>
      <c r="CIB995" s="2335"/>
      <c r="CIC995" s="2335"/>
      <c r="CID995" s="2335"/>
      <c r="CIE995" s="2335"/>
      <c r="CIF995" s="2335"/>
      <c r="CIG995" s="2335"/>
      <c r="CIH995" s="2335"/>
      <c r="CII995" s="2335"/>
      <c r="CIJ995" s="2335"/>
      <c r="CIK995" s="2335"/>
      <c r="CIL995" s="2335"/>
      <c r="CIM995" s="2335"/>
      <c r="CIN995" s="2335"/>
      <c r="CIO995" s="2335"/>
      <c r="CIP995" s="2335"/>
      <c r="CIQ995" s="2335"/>
      <c r="CIR995" s="2335"/>
      <c r="CIS995" s="2335"/>
      <c r="CIT995" s="2335"/>
      <c r="CIU995" s="2335"/>
      <c r="CIV995" s="2335"/>
      <c r="CIW995" s="2335"/>
      <c r="CIX995" s="2335"/>
      <c r="CIY995" s="2335"/>
      <c r="CIZ995" s="2335"/>
      <c r="CJA995" s="2335"/>
      <c r="CJB995" s="2335"/>
      <c r="CJC995" s="2335"/>
      <c r="CJD995" s="2335"/>
      <c r="CJE995" s="2335"/>
      <c r="CJF995" s="2335"/>
      <c r="CJG995" s="2335"/>
      <c r="CJH995" s="2335"/>
      <c r="CJI995" s="2335"/>
      <c r="CJJ995" s="2335"/>
      <c r="CJK995" s="2335"/>
      <c r="CJL995" s="2335"/>
      <c r="CJM995" s="2335"/>
      <c r="CJN995" s="2335"/>
      <c r="CJO995" s="2335"/>
      <c r="CJP995" s="2335"/>
      <c r="CJQ995" s="2335"/>
      <c r="CJR995" s="2335"/>
      <c r="CJS995" s="2335"/>
      <c r="CJT995" s="2335"/>
      <c r="CJU995" s="2335"/>
      <c r="CJV995" s="2335"/>
      <c r="CJW995" s="2335"/>
      <c r="CJX995" s="2335"/>
      <c r="CJY995" s="2335"/>
      <c r="CJZ995" s="2335"/>
      <c r="CKA995" s="2335"/>
      <c r="CKB995" s="2335"/>
      <c r="CKC995" s="2335"/>
      <c r="CKD995" s="2335"/>
      <c r="CKE995" s="2335"/>
      <c r="CKF995" s="2335"/>
      <c r="CKG995" s="2335"/>
      <c r="CKH995" s="2335"/>
      <c r="CKI995" s="2335"/>
      <c r="CKJ995" s="2335"/>
      <c r="CKK995" s="2335"/>
      <c r="CKL995" s="2335"/>
      <c r="CKM995" s="2335"/>
      <c r="CKN995" s="2335"/>
      <c r="CKO995" s="2335"/>
      <c r="CKP995" s="2335"/>
      <c r="CKQ995" s="2335"/>
      <c r="CKR995" s="2335"/>
      <c r="CKS995" s="2335"/>
      <c r="CKT995" s="2335"/>
      <c r="CKU995" s="2335"/>
      <c r="CKV995" s="2335"/>
      <c r="CKW995" s="2335"/>
      <c r="CKX995" s="2335"/>
      <c r="CKY995" s="2335"/>
      <c r="CKZ995" s="2335"/>
      <c r="CLA995" s="2335"/>
      <c r="CLB995" s="2335"/>
      <c r="CLC995" s="2335"/>
      <c r="CLD995" s="2335"/>
      <c r="CLE995" s="2335"/>
      <c r="CLF995" s="2335"/>
      <c r="CLG995" s="2335"/>
      <c r="CLH995" s="2335"/>
      <c r="CLI995" s="2335"/>
      <c r="CLJ995" s="2335"/>
      <c r="CLK995" s="2335"/>
      <c r="CLL995" s="2335"/>
      <c r="CLM995" s="2335"/>
      <c r="CLN995" s="2335"/>
      <c r="CLO995" s="2335"/>
      <c r="CLP995" s="2335"/>
      <c r="CLQ995" s="2335"/>
      <c r="CLR995" s="2335"/>
      <c r="CLS995" s="2335"/>
      <c r="CLT995" s="2335"/>
      <c r="CLU995" s="2335"/>
      <c r="CLV995" s="2335"/>
      <c r="CLW995" s="2335"/>
      <c r="CLX995" s="2335"/>
      <c r="CLY995" s="2335"/>
      <c r="CLZ995" s="2335"/>
      <c r="CMA995" s="2335"/>
      <c r="CMB995" s="2335"/>
      <c r="CMC995" s="2335"/>
      <c r="CMD995" s="2335"/>
      <c r="CME995" s="2335"/>
      <c r="CMF995" s="2335"/>
      <c r="CMG995" s="2335"/>
      <c r="CMH995" s="2335"/>
      <c r="CMI995" s="2335"/>
      <c r="CMJ995" s="2335"/>
      <c r="CMK995" s="2335"/>
      <c r="CML995" s="2335"/>
      <c r="CMM995" s="2335"/>
      <c r="CMN995" s="2335"/>
      <c r="CMO995" s="2335"/>
      <c r="CMP995" s="2335"/>
      <c r="CMQ995" s="2335"/>
      <c r="CMR995" s="2335"/>
      <c r="CMS995" s="2335"/>
      <c r="CMT995" s="2335"/>
      <c r="CMU995" s="2335"/>
      <c r="CMV995" s="2335"/>
      <c r="CMW995" s="2335"/>
      <c r="CMX995" s="2335"/>
      <c r="CMY995" s="2335"/>
      <c r="CMZ995" s="2335"/>
      <c r="CNA995" s="2335"/>
      <c r="CNB995" s="2335"/>
      <c r="CNC995" s="2335"/>
      <c r="CND995" s="2335"/>
      <c r="CNE995" s="2335"/>
      <c r="CNF995" s="2335"/>
      <c r="CNG995" s="2335"/>
      <c r="CNH995" s="2335"/>
      <c r="CNI995" s="2335"/>
      <c r="CNJ995" s="2335"/>
      <c r="CNK995" s="2335"/>
      <c r="CNL995" s="2335"/>
      <c r="CNM995" s="2335"/>
      <c r="CNN995" s="2335"/>
      <c r="CNO995" s="2335"/>
      <c r="CNP995" s="2335"/>
      <c r="CNQ995" s="2335"/>
      <c r="CNR995" s="2335"/>
      <c r="CNS995" s="2335"/>
      <c r="CNT995" s="2335"/>
      <c r="CNU995" s="2335"/>
      <c r="CNV995" s="2335"/>
      <c r="CNW995" s="2335"/>
      <c r="CNX995" s="2335"/>
      <c r="CNY995" s="2335"/>
      <c r="CNZ995" s="2335"/>
      <c r="COA995" s="2335"/>
      <c r="COB995" s="2335"/>
      <c r="COC995" s="2335"/>
      <c r="COD995" s="2335"/>
      <c r="COE995" s="2335"/>
      <c r="COF995" s="2335"/>
      <c r="COG995" s="2335"/>
      <c r="COH995" s="2335"/>
      <c r="COI995" s="2335"/>
      <c r="COJ995" s="2335"/>
      <c r="COK995" s="2335"/>
      <c r="COL995" s="2335"/>
      <c r="COM995" s="2335"/>
      <c r="CON995" s="2335"/>
      <c r="COO995" s="2335"/>
      <c r="COP995" s="2335"/>
      <c r="COQ995" s="2335"/>
      <c r="COR995" s="2335"/>
      <c r="COS995" s="2335"/>
      <c r="COT995" s="2335"/>
      <c r="COU995" s="2335"/>
      <c r="COV995" s="2335"/>
      <c r="COW995" s="2335"/>
      <c r="COX995" s="2335"/>
      <c r="COY995" s="2335"/>
      <c r="COZ995" s="2335"/>
      <c r="CPA995" s="2335"/>
      <c r="CPB995" s="2335"/>
      <c r="CPC995" s="2335"/>
      <c r="CPD995" s="2335"/>
      <c r="CPE995" s="2335"/>
      <c r="CPF995" s="2335"/>
      <c r="CPG995" s="2335"/>
      <c r="CPH995" s="2335"/>
      <c r="CPI995" s="2335"/>
      <c r="CPJ995" s="2335"/>
      <c r="CPK995" s="2335"/>
      <c r="CPL995" s="2335"/>
      <c r="CPM995" s="2335"/>
      <c r="CPN995" s="2335"/>
      <c r="CPO995" s="2335"/>
      <c r="CPP995" s="2335"/>
      <c r="CPQ995" s="2335"/>
      <c r="CPR995" s="2335"/>
      <c r="CPS995" s="2335"/>
      <c r="CPT995" s="2335"/>
      <c r="CPU995" s="2335"/>
      <c r="CPV995" s="2335"/>
      <c r="CPW995" s="2335"/>
      <c r="CPX995" s="2335"/>
      <c r="CPY995" s="2335"/>
      <c r="CPZ995" s="2335"/>
      <c r="CQA995" s="2335"/>
      <c r="CQB995" s="2335"/>
      <c r="CQC995" s="2335"/>
      <c r="CQD995" s="2335"/>
      <c r="CQE995" s="2335"/>
      <c r="CQF995" s="2335"/>
      <c r="CQG995" s="2335"/>
      <c r="CQH995" s="2335"/>
      <c r="CQI995" s="2335"/>
      <c r="CQJ995" s="2335"/>
      <c r="CQK995" s="2335"/>
      <c r="CQL995" s="2335"/>
      <c r="CQM995" s="2335"/>
      <c r="CQN995" s="2335"/>
      <c r="CQO995" s="2335"/>
      <c r="CQP995" s="2335"/>
      <c r="CQQ995" s="2335"/>
      <c r="CQR995" s="2335"/>
      <c r="CQS995" s="2335"/>
      <c r="CQT995" s="2335"/>
      <c r="CQU995" s="2335"/>
      <c r="CQV995" s="2335"/>
      <c r="CQW995" s="2335"/>
      <c r="CQX995" s="2335"/>
      <c r="CQY995" s="2335"/>
      <c r="CQZ995" s="2335"/>
      <c r="CRA995" s="2335"/>
      <c r="CRB995" s="2335"/>
      <c r="CRC995" s="2335"/>
      <c r="CRD995" s="2335"/>
      <c r="CRE995" s="2335"/>
      <c r="CRF995" s="2335"/>
      <c r="CRG995" s="2335"/>
      <c r="CRH995" s="2335"/>
      <c r="CRI995" s="2335"/>
      <c r="CRJ995" s="2335"/>
      <c r="CRK995" s="2335"/>
      <c r="CRL995" s="2335"/>
      <c r="CRM995" s="2335"/>
      <c r="CRN995" s="2335"/>
      <c r="CRO995" s="2335"/>
      <c r="CRP995" s="2335"/>
      <c r="CRQ995" s="2335"/>
      <c r="CRR995" s="2335"/>
      <c r="CRS995" s="2335"/>
      <c r="CRT995" s="2335"/>
      <c r="CRU995" s="2335"/>
      <c r="CRV995" s="2335"/>
      <c r="CRW995" s="2335"/>
      <c r="CRX995" s="2335"/>
      <c r="CRY995" s="2335"/>
      <c r="CRZ995" s="2335"/>
      <c r="CSA995" s="2335"/>
      <c r="CSB995" s="2335"/>
      <c r="CSC995" s="2335"/>
      <c r="CSD995" s="2335"/>
      <c r="CSE995" s="2335"/>
      <c r="CSF995" s="2335"/>
      <c r="CSG995" s="2335"/>
      <c r="CSH995" s="2335"/>
      <c r="CSI995" s="2335"/>
      <c r="CSJ995" s="2335"/>
      <c r="CSK995" s="2335"/>
      <c r="CSL995" s="2335"/>
      <c r="CSM995" s="2335"/>
      <c r="CSN995" s="2335"/>
      <c r="CSO995" s="2335"/>
      <c r="CSP995" s="2335"/>
      <c r="CSQ995" s="2335"/>
      <c r="CSR995" s="2335"/>
      <c r="CSS995" s="2335"/>
      <c r="CST995" s="2335"/>
      <c r="CSU995" s="2335"/>
      <c r="CSV995" s="2335"/>
      <c r="CSW995" s="2335"/>
      <c r="CSX995" s="2335"/>
      <c r="CSY995" s="2335"/>
      <c r="CSZ995" s="2335"/>
      <c r="CTA995" s="2335"/>
      <c r="CTB995" s="2335"/>
      <c r="CTC995" s="2335"/>
      <c r="CTD995" s="2335"/>
      <c r="CTE995" s="2335"/>
      <c r="CTF995" s="2335"/>
      <c r="CTG995" s="2335"/>
      <c r="CTH995" s="2335"/>
      <c r="CTI995" s="2335"/>
      <c r="CTJ995" s="2335"/>
      <c r="CTK995" s="2335"/>
      <c r="CTL995" s="2335"/>
      <c r="CTM995" s="2335"/>
      <c r="CTN995" s="2335"/>
      <c r="CTO995" s="2335"/>
      <c r="CTP995" s="2335"/>
      <c r="CTQ995" s="2335"/>
      <c r="CTR995" s="2335"/>
      <c r="CTS995" s="2335"/>
      <c r="CTT995" s="2335"/>
      <c r="CTU995" s="2335"/>
      <c r="CTV995" s="2335"/>
      <c r="CTW995" s="2335"/>
      <c r="CTX995" s="2335"/>
      <c r="CTY995" s="2335"/>
      <c r="CTZ995" s="2335"/>
      <c r="CUA995" s="2335"/>
      <c r="CUB995" s="2335"/>
      <c r="CUC995" s="2335"/>
      <c r="CUD995" s="2335"/>
      <c r="CUE995" s="2335"/>
      <c r="CUF995" s="2335"/>
      <c r="CUG995" s="2335"/>
      <c r="CUH995" s="2335"/>
      <c r="CUI995" s="2335"/>
      <c r="CUJ995" s="2335"/>
      <c r="CUK995" s="2335"/>
      <c r="CUL995" s="2335"/>
      <c r="CUM995" s="2335"/>
      <c r="CUN995" s="2335"/>
      <c r="CUO995" s="2335"/>
      <c r="CUP995" s="2335"/>
      <c r="CUQ995" s="2335"/>
      <c r="CUR995" s="2335"/>
      <c r="CUS995" s="2335"/>
      <c r="CUT995" s="2335"/>
      <c r="CUU995" s="2335"/>
      <c r="CUV995" s="2335"/>
      <c r="CUW995" s="2335"/>
      <c r="CUX995" s="2335"/>
      <c r="CUY995" s="2335"/>
      <c r="CUZ995" s="2335"/>
      <c r="CVA995" s="2335"/>
      <c r="CVB995" s="2335"/>
      <c r="CVC995" s="2335"/>
      <c r="CVD995" s="2335"/>
      <c r="CVE995" s="2335"/>
      <c r="CVF995" s="2335"/>
      <c r="CVG995" s="2335"/>
      <c r="CVH995" s="2335"/>
      <c r="CVI995" s="2335"/>
      <c r="CVJ995" s="2335"/>
      <c r="CVK995" s="2335"/>
      <c r="CVL995" s="2335"/>
      <c r="CVM995" s="2335"/>
      <c r="CVN995" s="2335"/>
      <c r="CVO995" s="2335"/>
      <c r="CVP995" s="2335"/>
      <c r="CVQ995" s="2335"/>
      <c r="CVR995" s="2335"/>
      <c r="CVS995" s="2335"/>
      <c r="CVT995" s="2335"/>
      <c r="CVU995" s="2335"/>
      <c r="CVV995" s="2335"/>
      <c r="CVW995" s="2335"/>
      <c r="CVX995" s="2335"/>
      <c r="CVY995" s="2335"/>
      <c r="CVZ995" s="2335"/>
      <c r="CWA995" s="2335"/>
      <c r="CWB995" s="2335"/>
      <c r="CWC995" s="2335"/>
      <c r="CWD995" s="2335"/>
      <c r="CWE995" s="2335"/>
      <c r="CWF995" s="2335"/>
      <c r="CWG995" s="2335"/>
      <c r="CWH995" s="2335"/>
      <c r="CWI995" s="2335"/>
      <c r="CWJ995" s="2335"/>
      <c r="CWK995" s="2335"/>
      <c r="CWL995" s="2335"/>
      <c r="CWM995" s="2335"/>
      <c r="CWN995" s="2335"/>
      <c r="CWO995" s="2335"/>
      <c r="CWP995" s="2335"/>
      <c r="CWQ995" s="2335"/>
      <c r="CWR995" s="2335"/>
      <c r="CWS995" s="2335"/>
      <c r="CWT995" s="2335"/>
      <c r="CWU995" s="2335"/>
      <c r="CWV995" s="2335"/>
      <c r="CWW995" s="2335"/>
      <c r="CWX995" s="2335"/>
      <c r="CWY995" s="2335"/>
      <c r="CWZ995" s="2335"/>
      <c r="CXA995" s="2335"/>
      <c r="CXB995" s="2335"/>
      <c r="CXC995" s="2335"/>
      <c r="CXD995" s="2335"/>
      <c r="CXE995" s="2335"/>
      <c r="CXF995" s="2335"/>
      <c r="CXG995" s="2335"/>
      <c r="CXH995" s="2335"/>
      <c r="CXI995" s="2335"/>
      <c r="CXJ995" s="2335"/>
      <c r="CXK995" s="2335"/>
      <c r="CXL995" s="2335"/>
      <c r="CXM995" s="2335"/>
      <c r="CXN995" s="2335"/>
      <c r="CXO995" s="2335"/>
      <c r="CXP995" s="2335"/>
      <c r="CXQ995" s="2335"/>
      <c r="CXR995" s="2335"/>
      <c r="CXS995" s="2335"/>
      <c r="CXT995" s="2335"/>
      <c r="CXU995" s="2335"/>
      <c r="CXV995" s="2335"/>
      <c r="CXW995" s="2335"/>
      <c r="CXX995" s="2335"/>
      <c r="CXY995" s="2335"/>
      <c r="CXZ995" s="2335"/>
      <c r="CYA995" s="2335"/>
      <c r="CYB995" s="2335"/>
      <c r="CYC995" s="2335"/>
      <c r="CYD995" s="2335"/>
      <c r="CYE995" s="2335"/>
      <c r="CYF995" s="2335"/>
      <c r="CYG995" s="2335"/>
      <c r="CYH995" s="2335"/>
      <c r="CYI995" s="2335"/>
      <c r="CYJ995" s="2335"/>
      <c r="CYK995" s="2335"/>
      <c r="CYL995" s="2335"/>
      <c r="CYM995" s="2335"/>
      <c r="CYN995" s="2335"/>
      <c r="CYO995" s="2335"/>
      <c r="CYP995" s="2335"/>
      <c r="CYQ995" s="2335"/>
      <c r="CYR995" s="2335"/>
      <c r="CYS995" s="2335"/>
      <c r="CYT995" s="2335"/>
      <c r="CYU995" s="2335"/>
      <c r="CYV995" s="2335"/>
      <c r="CYW995" s="2335"/>
      <c r="CYX995" s="2335"/>
      <c r="CYY995" s="2335"/>
      <c r="CYZ995" s="2335"/>
      <c r="CZA995" s="2335"/>
      <c r="CZB995" s="2335"/>
      <c r="CZC995" s="2335"/>
      <c r="CZD995" s="2335"/>
      <c r="CZE995" s="2335"/>
      <c r="CZF995" s="2335"/>
      <c r="CZG995" s="2335"/>
      <c r="CZH995" s="2335"/>
      <c r="CZI995" s="2335"/>
      <c r="CZJ995" s="2335"/>
      <c r="CZK995" s="2335"/>
      <c r="CZL995" s="2335"/>
      <c r="CZM995" s="2335"/>
      <c r="CZN995" s="2335"/>
      <c r="CZO995" s="2335"/>
      <c r="CZP995" s="2335"/>
      <c r="CZQ995" s="2335"/>
      <c r="CZR995" s="2335"/>
      <c r="CZS995" s="2335"/>
      <c r="CZT995" s="2335"/>
      <c r="CZU995" s="2335"/>
      <c r="CZV995" s="2335"/>
      <c r="CZW995" s="2335"/>
      <c r="CZX995" s="2335"/>
      <c r="CZY995" s="2335"/>
      <c r="CZZ995" s="2335"/>
      <c r="DAA995" s="2335"/>
      <c r="DAB995" s="2335"/>
      <c r="DAC995" s="2335"/>
      <c r="DAD995" s="2335"/>
      <c r="DAE995" s="2335"/>
      <c r="DAF995" s="2335"/>
      <c r="DAG995" s="2335"/>
      <c r="DAH995" s="2335"/>
      <c r="DAI995" s="2335"/>
      <c r="DAJ995" s="2335"/>
      <c r="DAK995" s="2335"/>
      <c r="DAL995" s="2335"/>
      <c r="DAM995" s="2335"/>
      <c r="DAN995" s="2335"/>
      <c r="DAO995" s="2335"/>
      <c r="DAP995" s="2335"/>
      <c r="DAQ995" s="2335"/>
      <c r="DAR995" s="2335"/>
      <c r="DAS995" s="2335"/>
      <c r="DAT995" s="2335"/>
      <c r="DAU995" s="2335"/>
      <c r="DAV995" s="2335"/>
      <c r="DAW995" s="2335"/>
      <c r="DAX995" s="2335"/>
      <c r="DAY995" s="2335"/>
      <c r="DAZ995" s="2335"/>
      <c r="DBA995" s="2335"/>
      <c r="DBB995" s="2335"/>
      <c r="DBC995" s="2335"/>
      <c r="DBD995" s="2335"/>
      <c r="DBE995" s="2335"/>
      <c r="DBF995" s="2335"/>
      <c r="DBG995" s="2335"/>
      <c r="DBH995" s="2335"/>
      <c r="DBI995" s="2335"/>
      <c r="DBJ995" s="2335"/>
      <c r="DBK995" s="2335"/>
      <c r="DBL995" s="2335"/>
      <c r="DBM995" s="2335"/>
      <c r="DBN995" s="2335"/>
      <c r="DBO995" s="2335"/>
      <c r="DBP995" s="2335"/>
      <c r="DBQ995" s="2335"/>
      <c r="DBR995" s="2335"/>
      <c r="DBS995" s="2335"/>
      <c r="DBT995" s="2335"/>
      <c r="DBU995" s="2335"/>
      <c r="DBV995" s="2335"/>
      <c r="DBW995" s="2335"/>
      <c r="DBX995" s="2335"/>
      <c r="DBY995" s="2335"/>
      <c r="DBZ995" s="2335"/>
      <c r="DCA995" s="2335"/>
      <c r="DCB995" s="2335"/>
      <c r="DCC995" s="2335"/>
      <c r="DCD995" s="2335"/>
      <c r="DCE995" s="2335"/>
      <c r="DCF995" s="2335"/>
      <c r="DCG995" s="2335"/>
      <c r="DCH995" s="2335"/>
      <c r="DCI995" s="2335"/>
      <c r="DCJ995" s="2335"/>
      <c r="DCK995" s="2335"/>
      <c r="DCL995" s="2335"/>
      <c r="DCM995" s="2335"/>
      <c r="DCN995" s="2335"/>
      <c r="DCO995" s="2335"/>
      <c r="DCP995" s="2335"/>
      <c r="DCQ995" s="2335"/>
      <c r="DCR995" s="2335"/>
      <c r="DCS995" s="2335"/>
      <c r="DCT995" s="2335"/>
      <c r="DCU995" s="2335"/>
      <c r="DCV995" s="2335"/>
      <c r="DCW995" s="2335"/>
      <c r="DCX995" s="2335"/>
      <c r="DCY995" s="2335"/>
      <c r="DCZ995" s="2335"/>
      <c r="DDA995" s="2335"/>
      <c r="DDB995" s="2335"/>
      <c r="DDC995" s="2335"/>
      <c r="DDD995" s="2335"/>
      <c r="DDE995" s="2335"/>
      <c r="DDF995" s="2335"/>
      <c r="DDG995" s="2335"/>
      <c r="DDH995" s="2335"/>
      <c r="DDI995" s="2335"/>
      <c r="DDJ995" s="2335"/>
      <c r="DDK995" s="2335"/>
      <c r="DDL995" s="2335"/>
      <c r="DDM995" s="2335"/>
      <c r="DDN995" s="2335"/>
      <c r="DDO995" s="2335"/>
      <c r="DDP995" s="2335"/>
      <c r="DDQ995" s="2335"/>
      <c r="DDR995" s="2335"/>
      <c r="DDS995" s="2335"/>
      <c r="DDT995" s="2335"/>
      <c r="DDU995" s="2335"/>
      <c r="DDV995" s="2335"/>
      <c r="DDW995" s="2335"/>
      <c r="DDX995" s="2335"/>
      <c r="DDY995" s="2335"/>
      <c r="DDZ995" s="2335"/>
      <c r="DEA995" s="2335"/>
      <c r="DEB995" s="2335"/>
      <c r="DEC995" s="2335"/>
      <c r="DED995" s="2335"/>
      <c r="DEE995" s="2335"/>
      <c r="DEF995" s="2335"/>
      <c r="DEG995" s="2335"/>
      <c r="DEH995" s="2335"/>
      <c r="DEI995" s="2335"/>
      <c r="DEJ995" s="2335"/>
      <c r="DEK995" s="2335"/>
      <c r="DEL995" s="2335"/>
      <c r="DEM995" s="2335"/>
      <c r="DEN995" s="2335"/>
      <c r="DEO995" s="2335"/>
      <c r="DEP995" s="2335"/>
      <c r="DEQ995" s="2335"/>
      <c r="DER995" s="2335"/>
      <c r="DES995" s="2335"/>
      <c r="DET995" s="2335"/>
      <c r="DEU995" s="2335"/>
      <c r="DEV995" s="2335"/>
      <c r="DEW995" s="2335"/>
      <c r="DEX995" s="2335"/>
      <c r="DEY995" s="2335"/>
      <c r="DEZ995" s="2335"/>
      <c r="DFA995" s="2335"/>
      <c r="DFB995" s="2335"/>
      <c r="DFC995" s="2335"/>
      <c r="DFD995" s="2335"/>
      <c r="DFE995" s="2335"/>
      <c r="DFF995" s="2335"/>
      <c r="DFG995" s="2335"/>
      <c r="DFH995" s="2335"/>
      <c r="DFI995" s="2335"/>
      <c r="DFJ995" s="2335"/>
      <c r="DFK995" s="2335"/>
      <c r="DFL995" s="2335"/>
      <c r="DFM995" s="2335"/>
      <c r="DFN995" s="2335"/>
      <c r="DFO995" s="2335"/>
      <c r="DFP995" s="2335"/>
      <c r="DFQ995" s="2335"/>
      <c r="DFR995" s="2335"/>
      <c r="DFS995" s="2335"/>
      <c r="DFT995" s="2335"/>
      <c r="DFU995" s="2335"/>
      <c r="DFV995" s="2335"/>
      <c r="DFW995" s="2335"/>
      <c r="DFX995" s="2335"/>
      <c r="DFY995" s="2335"/>
      <c r="DFZ995" s="2335"/>
      <c r="DGA995" s="2335"/>
      <c r="DGB995" s="2335"/>
      <c r="DGC995" s="2335"/>
      <c r="DGD995" s="2335"/>
      <c r="DGE995" s="2335"/>
      <c r="DGF995" s="2335"/>
      <c r="DGG995" s="2335"/>
      <c r="DGH995" s="2335"/>
      <c r="DGI995" s="2335"/>
      <c r="DGJ995" s="2335"/>
      <c r="DGK995" s="2335"/>
      <c r="DGL995" s="2335"/>
      <c r="DGM995" s="2335"/>
      <c r="DGN995" s="2335"/>
      <c r="DGO995" s="2335"/>
      <c r="DGP995" s="2335"/>
      <c r="DGQ995" s="2335"/>
      <c r="DGR995" s="2335"/>
      <c r="DGS995" s="2335"/>
      <c r="DGT995" s="2335"/>
      <c r="DGU995" s="2335"/>
      <c r="DGV995" s="2335"/>
      <c r="DGW995" s="2335"/>
      <c r="DGX995" s="2335"/>
      <c r="DGY995" s="2335"/>
      <c r="DGZ995" s="2335"/>
      <c r="DHA995" s="2335"/>
      <c r="DHB995" s="2335"/>
      <c r="DHC995" s="2335"/>
      <c r="DHD995" s="2335"/>
      <c r="DHE995" s="2335"/>
      <c r="DHF995" s="2335"/>
      <c r="DHG995" s="2335"/>
      <c r="DHH995" s="2335"/>
      <c r="DHI995" s="2335"/>
      <c r="DHJ995" s="2335"/>
      <c r="DHK995" s="2335"/>
      <c r="DHL995" s="2335"/>
      <c r="DHM995" s="2335"/>
      <c r="DHN995" s="2335"/>
      <c r="DHO995" s="2335"/>
      <c r="DHP995" s="2335"/>
      <c r="DHQ995" s="2335"/>
      <c r="DHR995" s="2335"/>
      <c r="DHS995" s="2335"/>
      <c r="DHT995" s="2335"/>
      <c r="DHU995" s="2335"/>
      <c r="DHV995" s="2335"/>
      <c r="DHW995" s="2335"/>
      <c r="DHX995" s="2335"/>
      <c r="DHY995" s="2335"/>
      <c r="DHZ995" s="2335"/>
      <c r="DIA995" s="2335"/>
      <c r="DIB995" s="2335"/>
      <c r="DIC995" s="2335"/>
      <c r="DID995" s="2335"/>
      <c r="DIE995" s="2335"/>
      <c r="DIF995" s="2335"/>
      <c r="DIG995" s="2335"/>
      <c r="DIH995" s="2335"/>
      <c r="DII995" s="2335"/>
      <c r="DIJ995" s="2335"/>
      <c r="DIK995" s="2335"/>
      <c r="DIL995" s="2335"/>
      <c r="DIM995" s="2335"/>
      <c r="DIN995" s="2335"/>
      <c r="DIO995" s="2335"/>
      <c r="DIP995" s="2335"/>
      <c r="DIQ995" s="2335"/>
      <c r="DIR995" s="2335"/>
      <c r="DIS995" s="2335"/>
      <c r="DIT995" s="2335"/>
      <c r="DIU995" s="2335"/>
      <c r="DIV995" s="2335"/>
      <c r="DIW995" s="2335"/>
      <c r="DIX995" s="2335"/>
      <c r="DIY995" s="2335"/>
      <c r="DIZ995" s="2335"/>
      <c r="DJA995" s="2335"/>
      <c r="DJB995" s="2335"/>
      <c r="DJC995" s="2335"/>
      <c r="DJD995" s="2335"/>
      <c r="DJE995" s="2335"/>
      <c r="DJF995" s="2335"/>
      <c r="DJG995" s="2335"/>
      <c r="DJH995" s="2335"/>
      <c r="DJI995" s="2335"/>
      <c r="DJJ995" s="2335"/>
      <c r="DJK995" s="2335"/>
      <c r="DJL995" s="2335"/>
      <c r="DJM995" s="2335"/>
      <c r="DJN995" s="2335"/>
      <c r="DJO995" s="2335"/>
      <c r="DJP995" s="2335"/>
      <c r="DJQ995" s="2335"/>
      <c r="DJR995" s="2335"/>
      <c r="DJS995" s="2335"/>
      <c r="DJT995" s="2335"/>
      <c r="DJU995" s="2335"/>
      <c r="DJV995" s="2335"/>
      <c r="DJW995" s="2335"/>
      <c r="DJX995" s="2335"/>
      <c r="DJY995" s="2335"/>
      <c r="DJZ995" s="2335"/>
      <c r="DKA995" s="2335"/>
      <c r="DKB995" s="2335"/>
      <c r="DKC995" s="2335"/>
      <c r="DKD995" s="2335"/>
      <c r="DKE995" s="2335"/>
      <c r="DKF995" s="2335"/>
      <c r="DKG995" s="2335"/>
      <c r="DKH995" s="2335"/>
      <c r="DKI995" s="2335"/>
      <c r="DKJ995" s="2335"/>
      <c r="DKK995" s="2335"/>
      <c r="DKL995" s="2335"/>
      <c r="DKM995" s="2335"/>
      <c r="DKN995" s="2335"/>
      <c r="DKO995" s="2335"/>
      <c r="DKP995" s="2335"/>
      <c r="DKQ995" s="2335"/>
      <c r="DKR995" s="2335"/>
      <c r="DKS995" s="2335"/>
      <c r="DKT995" s="2335"/>
      <c r="DKU995" s="2335"/>
      <c r="DKV995" s="2335"/>
      <c r="DKW995" s="2335"/>
      <c r="DKX995" s="2335"/>
      <c r="DKY995" s="2335"/>
      <c r="DKZ995" s="2335"/>
      <c r="DLA995" s="2335"/>
      <c r="DLB995" s="2335"/>
      <c r="DLC995" s="2335"/>
      <c r="DLD995" s="2335"/>
      <c r="DLE995" s="2335"/>
      <c r="DLF995" s="2335"/>
      <c r="DLG995" s="2335"/>
      <c r="DLH995" s="2335"/>
      <c r="DLI995" s="2335"/>
      <c r="DLJ995" s="2335"/>
      <c r="DLK995" s="2335"/>
      <c r="DLL995" s="2335"/>
      <c r="DLM995" s="2335"/>
      <c r="DLN995" s="2335"/>
      <c r="DLO995" s="2335"/>
      <c r="DLP995" s="2335"/>
      <c r="DLQ995" s="2335"/>
      <c r="DLR995" s="2335"/>
      <c r="DLS995" s="2335"/>
      <c r="DLT995" s="2335"/>
      <c r="DLU995" s="2335"/>
      <c r="DLV995" s="2335"/>
      <c r="DLW995" s="2335"/>
      <c r="DLX995" s="2335"/>
      <c r="DLY995" s="2335"/>
      <c r="DLZ995" s="2335"/>
      <c r="DMA995" s="2335"/>
      <c r="DMB995" s="2335"/>
      <c r="DMC995" s="2335"/>
      <c r="DMD995" s="2335"/>
      <c r="DME995" s="2335"/>
      <c r="DMF995" s="2335"/>
      <c r="DMG995" s="2335"/>
      <c r="DMH995" s="2335"/>
      <c r="DMI995" s="2335"/>
      <c r="DMJ995" s="2335"/>
      <c r="DMK995" s="2335"/>
      <c r="DML995" s="2335"/>
      <c r="DMM995" s="2335"/>
      <c r="DMN995" s="2335"/>
      <c r="DMO995" s="2335"/>
      <c r="DMP995" s="2335"/>
      <c r="DMQ995" s="2335"/>
      <c r="DMR995" s="2335"/>
      <c r="DMS995" s="2335"/>
      <c r="DMT995" s="2335"/>
      <c r="DMU995" s="2335"/>
      <c r="DMV995" s="2335"/>
      <c r="DMW995" s="2335"/>
      <c r="DMX995" s="2335"/>
      <c r="DMY995" s="2335"/>
      <c r="DMZ995" s="2335"/>
      <c r="DNA995" s="2335"/>
      <c r="DNB995" s="2335"/>
      <c r="DNC995" s="2335"/>
      <c r="DND995" s="2335"/>
      <c r="DNE995" s="2335"/>
      <c r="DNF995" s="2335"/>
      <c r="DNG995" s="2335"/>
      <c r="DNH995" s="2335"/>
      <c r="DNI995" s="2335"/>
      <c r="DNJ995" s="2335"/>
      <c r="DNK995" s="2335"/>
      <c r="DNL995" s="2335"/>
      <c r="DNM995" s="2335"/>
      <c r="DNN995" s="2335"/>
      <c r="DNO995" s="2335"/>
      <c r="DNP995" s="2335"/>
      <c r="DNQ995" s="2335"/>
      <c r="DNR995" s="2335"/>
      <c r="DNS995" s="2335"/>
      <c r="DNT995" s="2335"/>
      <c r="DNU995" s="2335"/>
      <c r="DNV995" s="2335"/>
      <c r="DNW995" s="2335"/>
      <c r="DNX995" s="2335"/>
      <c r="DNY995" s="2335"/>
      <c r="DNZ995" s="2335"/>
      <c r="DOA995" s="2335"/>
      <c r="DOB995" s="2335"/>
      <c r="DOC995" s="2335"/>
      <c r="DOD995" s="2335"/>
      <c r="DOE995" s="2335"/>
      <c r="DOF995" s="2335"/>
      <c r="DOG995" s="2335"/>
      <c r="DOH995" s="2335"/>
      <c r="DOI995" s="2335"/>
      <c r="DOJ995" s="2335"/>
      <c r="DOK995" s="2335"/>
      <c r="DOL995" s="2335"/>
      <c r="DOM995" s="2335"/>
      <c r="DON995" s="2335"/>
      <c r="DOO995" s="2335"/>
      <c r="DOP995" s="2335"/>
      <c r="DOQ995" s="2335"/>
      <c r="DOR995" s="2335"/>
      <c r="DOS995" s="2335"/>
      <c r="DOT995" s="2335"/>
      <c r="DOU995" s="2335"/>
      <c r="DOV995" s="2335"/>
      <c r="DOW995" s="2335"/>
      <c r="DOX995" s="2335"/>
      <c r="DOY995" s="2335"/>
      <c r="DOZ995" s="2335"/>
      <c r="DPA995" s="2335"/>
      <c r="DPB995" s="2335"/>
      <c r="DPC995" s="2335"/>
      <c r="DPD995" s="2335"/>
      <c r="DPE995" s="2335"/>
      <c r="DPF995" s="2335"/>
      <c r="DPG995" s="2335"/>
      <c r="DPH995" s="2335"/>
      <c r="DPI995" s="2335"/>
      <c r="DPJ995" s="2335"/>
      <c r="DPK995" s="2335"/>
      <c r="DPL995" s="2335"/>
      <c r="DPM995" s="2335"/>
      <c r="DPN995" s="2335"/>
      <c r="DPO995" s="2335"/>
      <c r="DPP995" s="2335"/>
      <c r="DPQ995" s="2335"/>
      <c r="DPR995" s="2335"/>
      <c r="DPS995" s="2335"/>
      <c r="DPT995" s="2335"/>
      <c r="DPU995" s="2335"/>
      <c r="DPV995" s="2335"/>
      <c r="DPW995" s="2335"/>
      <c r="DPX995" s="2335"/>
      <c r="DPY995" s="2335"/>
      <c r="DPZ995" s="2335"/>
      <c r="DQA995" s="2335"/>
      <c r="DQB995" s="2335"/>
      <c r="DQC995" s="2335"/>
      <c r="DQD995" s="2335"/>
      <c r="DQE995" s="2335"/>
      <c r="DQF995" s="2335"/>
      <c r="DQG995" s="2335"/>
      <c r="DQH995" s="2335"/>
      <c r="DQI995" s="2335"/>
      <c r="DQJ995" s="2335"/>
      <c r="DQK995" s="2335"/>
      <c r="DQL995" s="2335"/>
      <c r="DQM995" s="2335"/>
      <c r="DQN995" s="2335"/>
      <c r="DQO995" s="2335"/>
      <c r="DQP995" s="2335"/>
      <c r="DQQ995" s="2335"/>
      <c r="DQR995" s="2335"/>
      <c r="DQS995" s="2335"/>
      <c r="DQT995" s="2335"/>
      <c r="DQU995" s="2335"/>
      <c r="DQV995" s="2335"/>
      <c r="DQW995" s="2335"/>
      <c r="DQX995" s="2335"/>
      <c r="DQY995" s="2335"/>
      <c r="DQZ995" s="2335"/>
      <c r="DRA995" s="2335"/>
      <c r="DRB995" s="2335"/>
      <c r="DRC995" s="2335"/>
      <c r="DRD995" s="2335"/>
      <c r="DRE995" s="2335"/>
      <c r="DRF995" s="2335"/>
      <c r="DRG995" s="2335"/>
      <c r="DRH995" s="2335"/>
      <c r="DRI995" s="2335"/>
      <c r="DRJ995" s="2335"/>
      <c r="DRK995" s="2335"/>
      <c r="DRL995" s="2335"/>
      <c r="DRM995" s="2335"/>
      <c r="DRN995" s="2335"/>
      <c r="DRO995" s="2335"/>
      <c r="DRP995" s="2335"/>
      <c r="DRQ995" s="2335"/>
      <c r="DRR995" s="2335"/>
      <c r="DRS995" s="2335"/>
      <c r="DRT995" s="2335"/>
      <c r="DRU995" s="2335"/>
      <c r="DRV995" s="2335"/>
      <c r="DRW995" s="2335"/>
      <c r="DRX995" s="2335"/>
      <c r="DRY995" s="2335"/>
      <c r="DRZ995" s="2335"/>
      <c r="DSA995" s="2335"/>
      <c r="DSB995" s="2335"/>
      <c r="DSC995" s="2335"/>
      <c r="DSD995" s="2335"/>
      <c r="DSE995" s="2335"/>
      <c r="DSF995" s="2335"/>
      <c r="DSG995" s="2335"/>
      <c r="DSH995" s="2335"/>
      <c r="DSI995" s="2335"/>
      <c r="DSJ995" s="2335"/>
      <c r="DSK995" s="2335"/>
      <c r="DSL995" s="2335"/>
      <c r="DSM995" s="2335"/>
      <c r="DSN995" s="2335"/>
      <c r="DSO995" s="2335"/>
      <c r="DSP995" s="2335"/>
      <c r="DSQ995" s="2335"/>
      <c r="DSR995" s="2335"/>
      <c r="DSS995" s="2335"/>
      <c r="DST995" s="2335"/>
      <c r="DSU995" s="2335"/>
      <c r="DSV995" s="2335"/>
      <c r="DSW995" s="2335"/>
      <c r="DSX995" s="2335"/>
      <c r="DSY995" s="2335"/>
      <c r="DSZ995" s="2335"/>
      <c r="DTA995" s="2335"/>
      <c r="DTB995" s="2335"/>
      <c r="DTC995" s="2335"/>
      <c r="DTD995" s="2335"/>
      <c r="DTE995" s="2335"/>
      <c r="DTF995" s="2335"/>
      <c r="DTG995" s="2335"/>
      <c r="DTH995" s="2335"/>
      <c r="DTI995" s="2335"/>
      <c r="DTJ995" s="2335"/>
      <c r="DTK995" s="2335"/>
      <c r="DTL995" s="2335"/>
      <c r="DTM995" s="2335"/>
      <c r="DTN995" s="2335"/>
      <c r="DTO995" s="2335"/>
      <c r="DTP995" s="2335"/>
      <c r="DTQ995" s="2335"/>
      <c r="DTR995" s="2335"/>
      <c r="DTS995" s="2335"/>
      <c r="DTT995" s="2335"/>
      <c r="DTU995" s="2335"/>
      <c r="DTV995" s="2335"/>
      <c r="DTW995" s="2335"/>
      <c r="DTX995" s="2335"/>
      <c r="DTY995" s="2335"/>
      <c r="DTZ995" s="2335"/>
      <c r="DUA995" s="2335"/>
      <c r="DUB995" s="2335"/>
      <c r="DUC995" s="2335"/>
      <c r="DUD995" s="2335"/>
      <c r="DUE995" s="2335"/>
      <c r="DUF995" s="2335"/>
      <c r="DUG995" s="2335"/>
      <c r="DUH995" s="2335"/>
      <c r="DUI995" s="2335"/>
      <c r="DUJ995" s="2335"/>
      <c r="DUK995" s="2335"/>
      <c r="DUL995" s="2335"/>
      <c r="DUM995" s="2335"/>
      <c r="DUN995" s="2335"/>
      <c r="DUO995" s="2335"/>
      <c r="DUP995" s="2335"/>
      <c r="DUQ995" s="2335"/>
      <c r="DUR995" s="2335"/>
      <c r="DUS995" s="2335"/>
      <c r="DUT995" s="2335"/>
      <c r="DUU995" s="2335"/>
      <c r="DUV995" s="2335"/>
      <c r="DUW995" s="2335"/>
      <c r="DUX995" s="2335"/>
      <c r="DUY995" s="2335"/>
      <c r="DUZ995" s="2335"/>
      <c r="DVA995" s="2335"/>
      <c r="DVB995" s="2335"/>
      <c r="DVC995" s="2335"/>
      <c r="DVD995" s="2335"/>
      <c r="DVE995" s="2335"/>
      <c r="DVF995" s="2335"/>
      <c r="DVG995" s="2335"/>
      <c r="DVH995" s="2335"/>
      <c r="DVI995" s="2335"/>
      <c r="DVJ995" s="2335"/>
      <c r="DVK995" s="2335"/>
      <c r="DVL995" s="2335"/>
      <c r="DVM995" s="2335"/>
      <c r="DVN995" s="2335"/>
      <c r="DVO995" s="2335"/>
      <c r="DVP995" s="2335"/>
      <c r="DVQ995" s="2335"/>
      <c r="DVR995" s="2335"/>
      <c r="DVS995" s="2335"/>
      <c r="DVT995" s="2335"/>
      <c r="DVU995" s="2335"/>
      <c r="DVV995" s="2335"/>
      <c r="DVW995" s="2335"/>
      <c r="DVX995" s="2335"/>
      <c r="DVY995" s="2335"/>
      <c r="DVZ995" s="2335"/>
      <c r="DWA995" s="2335"/>
      <c r="DWB995" s="2335"/>
      <c r="DWC995" s="2335"/>
      <c r="DWD995" s="2335"/>
      <c r="DWE995" s="2335"/>
      <c r="DWF995" s="2335"/>
      <c r="DWG995" s="2335"/>
      <c r="DWH995" s="2335"/>
      <c r="DWI995" s="2335"/>
      <c r="DWJ995" s="2335"/>
      <c r="DWK995" s="2335"/>
      <c r="DWL995" s="2335"/>
      <c r="DWM995" s="2335"/>
      <c r="DWN995" s="2335"/>
      <c r="DWO995" s="2335"/>
      <c r="DWP995" s="2335"/>
      <c r="DWQ995" s="2335"/>
      <c r="DWR995" s="2335"/>
      <c r="DWS995" s="2335"/>
      <c r="DWT995" s="2335"/>
      <c r="DWU995" s="2335"/>
      <c r="DWV995" s="2335"/>
      <c r="DWW995" s="2335"/>
      <c r="DWX995" s="2335"/>
      <c r="DWY995" s="2335"/>
      <c r="DWZ995" s="2335"/>
      <c r="DXA995" s="2335"/>
      <c r="DXB995" s="2335"/>
      <c r="DXC995" s="2335"/>
      <c r="DXD995" s="2335"/>
      <c r="DXE995" s="2335"/>
      <c r="DXF995" s="2335"/>
      <c r="DXG995" s="2335"/>
      <c r="DXH995" s="2335"/>
      <c r="DXI995" s="2335"/>
      <c r="DXJ995" s="2335"/>
      <c r="DXK995" s="2335"/>
      <c r="DXL995" s="2335"/>
      <c r="DXM995" s="2335"/>
      <c r="DXN995" s="2335"/>
      <c r="DXO995" s="2335"/>
      <c r="DXP995" s="2335"/>
      <c r="DXQ995" s="2335"/>
      <c r="DXR995" s="2335"/>
      <c r="DXS995" s="2335"/>
      <c r="DXT995" s="2335"/>
      <c r="DXU995" s="2335"/>
      <c r="DXV995" s="2335"/>
      <c r="DXW995" s="2335"/>
      <c r="DXX995" s="2335"/>
      <c r="DXY995" s="2335"/>
      <c r="DXZ995" s="2335"/>
      <c r="DYA995" s="2335"/>
      <c r="DYB995" s="2335"/>
      <c r="DYC995" s="2335"/>
      <c r="DYD995" s="2335"/>
      <c r="DYE995" s="2335"/>
      <c r="DYF995" s="2335"/>
      <c r="DYG995" s="2335"/>
      <c r="DYH995" s="2335"/>
      <c r="DYI995" s="2335"/>
      <c r="DYJ995" s="2335"/>
      <c r="DYK995" s="2335"/>
      <c r="DYL995" s="2335"/>
      <c r="DYM995" s="2335"/>
      <c r="DYN995" s="2335"/>
      <c r="DYO995" s="2335"/>
      <c r="DYP995" s="2335"/>
      <c r="DYQ995" s="2335"/>
      <c r="DYR995" s="2335"/>
      <c r="DYS995" s="2335"/>
      <c r="DYT995" s="2335"/>
      <c r="DYU995" s="2335"/>
      <c r="DYV995" s="2335"/>
      <c r="DYW995" s="2335"/>
      <c r="DYX995" s="2335"/>
      <c r="DYY995" s="2335"/>
      <c r="DYZ995" s="2335"/>
      <c r="DZA995" s="2335"/>
      <c r="DZB995" s="2335"/>
      <c r="DZC995" s="2335"/>
      <c r="DZD995" s="2335"/>
      <c r="DZE995" s="2335"/>
      <c r="DZF995" s="2335"/>
      <c r="DZG995" s="2335"/>
      <c r="DZH995" s="2335"/>
      <c r="DZI995" s="2335"/>
      <c r="DZJ995" s="2335"/>
      <c r="DZK995" s="2335"/>
      <c r="DZL995" s="2335"/>
      <c r="DZM995" s="2335"/>
      <c r="DZN995" s="2335"/>
      <c r="DZO995" s="2335"/>
      <c r="DZP995" s="2335"/>
      <c r="DZQ995" s="2335"/>
      <c r="DZR995" s="2335"/>
      <c r="DZS995" s="2335"/>
      <c r="DZT995" s="2335"/>
      <c r="DZU995" s="2335"/>
      <c r="DZV995" s="2335"/>
      <c r="DZW995" s="2335"/>
      <c r="DZX995" s="2335"/>
      <c r="DZY995" s="2335"/>
      <c r="DZZ995" s="2335"/>
      <c r="EAA995" s="2335"/>
      <c r="EAB995" s="2335"/>
      <c r="EAC995" s="2335"/>
      <c r="EAD995" s="2335"/>
      <c r="EAE995" s="2335"/>
      <c r="EAF995" s="2335"/>
      <c r="EAG995" s="2335"/>
      <c r="EAH995" s="2335"/>
      <c r="EAI995" s="2335"/>
      <c r="EAJ995" s="2335"/>
      <c r="EAK995" s="2335"/>
      <c r="EAL995" s="2335"/>
      <c r="EAM995" s="2335"/>
      <c r="EAN995" s="2335"/>
      <c r="EAO995" s="2335"/>
      <c r="EAP995" s="2335"/>
      <c r="EAQ995" s="2335"/>
      <c r="EAR995" s="2335"/>
      <c r="EAS995" s="2335"/>
      <c r="EAT995" s="2335"/>
      <c r="EAU995" s="2335"/>
      <c r="EAV995" s="2335"/>
      <c r="EAW995" s="2335"/>
      <c r="EAX995" s="2335"/>
      <c r="EAY995" s="2335"/>
      <c r="EAZ995" s="2335"/>
      <c r="EBA995" s="2335"/>
      <c r="EBB995" s="2335"/>
      <c r="EBC995" s="2335"/>
      <c r="EBD995" s="2335"/>
      <c r="EBE995" s="2335"/>
      <c r="EBF995" s="2335"/>
      <c r="EBG995" s="2335"/>
      <c r="EBH995" s="2335"/>
      <c r="EBI995" s="2335"/>
      <c r="EBJ995" s="2335"/>
      <c r="EBK995" s="2335"/>
      <c r="EBL995" s="2335"/>
      <c r="EBM995" s="2335"/>
      <c r="EBN995" s="2335"/>
      <c r="EBO995" s="2335"/>
      <c r="EBP995" s="2335"/>
      <c r="EBQ995" s="2335"/>
      <c r="EBR995" s="2335"/>
      <c r="EBS995" s="2335"/>
      <c r="EBT995" s="2335"/>
      <c r="EBU995" s="2335"/>
      <c r="EBV995" s="2335"/>
      <c r="EBW995" s="2335"/>
      <c r="EBX995" s="2335"/>
      <c r="EBY995" s="2335"/>
      <c r="EBZ995" s="2335"/>
      <c r="ECA995" s="2335"/>
      <c r="ECB995" s="2335"/>
      <c r="ECC995" s="2335"/>
      <c r="ECD995" s="2335"/>
      <c r="ECE995" s="2335"/>
      <c r="ECF995" s="2335"/>
      <c r="ECG995" s="2335"/>
      <c r="ECH995" s="2335"/>
      <c r="ECI995" s="2335"/>
      <c r="ECJ995" s="2335"/>
      <c r="ECK995" s="2335"/>
      <c r="ECL995" s="2335"/>
      <c r="ECM995" s="2335"/>
      <c r="ECN995" s="2335"/>
      <c r="ECO995" s="2335"/>
      <c r="ECP995" s="2335"/>
      <c r="ECQ995" s="2335"/>
      <c r="ECR995" s="2335"/>
      <c r="ECS995" s="2335"/>
      <c r="ECT995" s="2335"/>
      <c r="ECU995" s="2335"/>
      <c r="ECV995" s="2335"/>
      <c r="ECW995" s="2335"/>
      <c r="ECX995" s="2335"/>
      <c r="ECY995" s="2335"/>
      <c r="ECZ995" s="2335"/>
      <c r="EDA995" s="2335"/>
      <c r="EDB995" s="2335"/>
      <c r="EDC995" s="2335"/>
      <c r="EDD995" s="2335"/>
      <c r="EDE995" s="2335"/>
      <c r="EDF995" s="2335"/>
      <c r="EDG995" s="2335"/>
      <c r="EDH995" s="2335"/>
      <c r="EDI995" s="2335"/>
      <c r="EDJ995" s="2335"/>
      <c r="EDK995" s="2335"/>
      <c r="EDL995" s="2335"/>
      <c r="EDM995" s="2335"/>
      <c r="EDN995" s="2335"/>
      <c r="EDO995" s="2335"/>
      <c r="EDP995" s="2335"/>
      <c r="EDQ995" s="2335"/>
      <c r="EDR995" s="2335"/>
      <c r="EDS995" s="2335"/>
      <c r="EDT995" s="2335"/>
      <c r="EDU995" s="2335"/>
      <c r="EDV995" s="2335"/>
      <c r="EDW995" s="2335"/>
      <c r="EDX995" s="2335"/>
      <c r="EDY995" s="2335"/>
      <c r="EDZ995" s="2335"/>
      <c r="EEA995" s="2335"/>
      <c r="EEB995" s="2335"/>
      <c r="EEC995" s="2335"/>
      <c r="EED995" s="2335"/>
      <c r="EEE995" s="2335"/>
      <c r="EEF995" s="2335"/>
      <c r="EEG995" s="2335"/>
      <c r="EEH995" s="2335"/>
      <c r="EEI995" s="2335"/>
      <c r="EEJ995" s="2335"/>
      <c r="EEK995" s="2335"/>
      <c r="EEL995" s="2335"/>
      <c r="EEM995" s="2335"/>
      <c r="EEN995" s="2335"/>
      <c r="EEO995" s="2335"/>
      <c r="EEP995" s="2335"/>
      <c r="EEQ995" s="2335"/>
      <c r="EER995" s="2335"/>
      <c r="EES995" s="2335"/>
      <c r="EET995" s="2335"/>
      <c r="EEU995" s="2335"/>
      <c r="EEV995" s="2335"/>
      <c r="EEW995" s="2335"/>
      <c r="EEX995" s="2335"/>
      <c r="EEY995" s="2335"/>
      <c r="EEZ995" s="2335"/>
      <c r="EFA995" s="2335"/>
      <c r="EFB995" s="2335"/>
      <c r="EFC995" s="2335"/>
      <c r="EFD995" s="2335"/>
      <c r="EFE995" s="2335"/>
      <c r="EFF995" s="2335"/>
      <c r="EFG995" s="2335"/>
      <c r="EFH995" s="2335"/>
      <c r="EFI995" s="2335"/>
      <c r="EFJ995" s="2335"/>
      <c r="EFK995" s="2335"/>
      <c r="EFL995" s="2335"/>
      <c r="EFM995" s="2335"/>
      <c r="EFN995" s="2335"/>
      <c r="EFO995" s="2335"/>
      <c r="EFP995" s="2335"/>
      <c r="EFQ995" s="2335"/>
      <c r="EFR995" s="2335"/>
      <c r="EFS995" s="2335"/>
      <c r="EFT995" s="2335"/>
      <c r="EFU995" s="2335"/>
      <c r="EFV995" s="2335"/>
      <c r="EFW995" s="2335"/>
      <c r="EFX995" s="2335"/>
      <c r="EFY995" s="2335"/>
      <c r="EFZ995" s="2335"/>
      <c r="EGA995" s="2335"/>
      <c r="EGB995" s="2335"/>
      <c r="EGC995" s="2335"/>
      <c r="EGD995" s="2335"/>
      <c r="EGE995" s="2335"/>
      <c r="EGF995" s="2335"/>
      <c r="EGG995" s="2335"/>
      <c r="EGH995" s="2335"/>
      <c r="EGI995" s="2335"/>
      <c r="EGJ995" s="2335"/>
      <c r="EGK995" s="2335"/>
      <c r="EGL995" s="2335"/>
      <c r="EGM995" s="2335"/>
      <c r="EGN995" s="2335"/>
      <c r="EGO995" s="2335"/>
      <c r="EGP995" s="2335"/>
      <c r="EGQ995" s="2335"/>
      <c r="EGR995" s="2335"/>
      <c r="EGS995" s="2335"/>
      <c r="EGT995" s="2335"/>
      <c r="EGU995" s="2335"/>
      <c r="EGV995" s="2335"/>
      <c r="EGW995" s="2335"/>
      <c r="EGX995" s="2335"/>
      <c r="EGY995" s="2335"/>
      <c r="EGZ995" s="2335"/>
      <c r="EHA995" s="2335"/>
      <c r="EHB995" s="2335"/>
      <c r="EHC995" s="2335"/>
      <c r="EHD995" s="2335"/>
      <c r="EHE995" s="2335"/>
      <c r="EHF995" s="2335"/>
      <c r="EHG995" s="2335"/>
      <c r="EHH995" s="2335"/>
      <c r="EHI995" s="2335"/>
      <c r="EHJ995" s="2335"/>
      <c r="EHK995" s="2335"/>
      <c r="EHL995" s="2335"/>
      <c r="EHM995" s="2335"/>
      <c r="EHN995" s="2335"/>
      <c r="EHO995" s="2335"/>
      <c r="EHP995" s="2335"/>
      <c r="EHQ995" s="2335"/>
      <c r="EHR995" s="2335"/>
      <c r="EHS995" s="2335"/>
      <c r="EHT995" s="2335"/>
      <c r="EHU995" s="2335"/>
      <c r="EHV995" s="2335"/>
      <c r="EHW995" s="2335"/>
      <c r="EHX995" s="2335"/>
      <c r="EHY995" s="2335"/>
      <c r="EHZ995" s="2335"/>
      <c r="EIA995" s="2335"/>
      <c r="EIB995" s="2335"/>
      <c r="EIC995" s="2335"/>
      <c r="EID995" s="2335"/>
      <c r="EIE995" s="2335"/>
      <c r="EIF995" s="2335"/>
      <c r="EIG995" s="2335"/>
      <c r="EIH995" s="2335"/>
      <c r="EII995" s="2335"/>
      <c r="EIJ995" s="2335"/>
      <c r="EIK995" s="2335"/>
      <c r="EIL995" s="2335"/>
      <c r="EIM995" s="2335"/>
      <c r="EIN995" s="2335"/>
      <c r="EIO995" s="2335"/>
      <c r="EIP995" s="2335"/>
      <c r="EIQ995" s="2335"/>
      <c r="EIR995" s="2335"/>
      <c r="EIS995" s="2335"/>
      <c r="EIT995" s="2335"/>
      <c r="EIU995" s="2335"/>
      <c r="EIV995" s="2335"/>
      <c r="EIW995" s="2335"/>
      <c r="EIX995" s="2335"/>
      <c r="EIY995" s="2335"/>
      <c r="EIZ995" s="2335"/>
      <c r="EJA995" s="2335"/>
      <c r="EJB995" s="2335"/>
      <c r="EJC995" s="2335"/>
      <c r="EJD995" s="2335"/>
      <c r="EJE995" s="2335"/>
      <c r="EJF995" s="2335"/>
      <c r="EJG995" s="2335"/>
      <c r="EJH995" s="2335"/>
      <c r="EJI995" s="2335"/>
      <c r="EJJ995" s="2335"/>
      <c r="EJK995" s="2335"/>
      <c r="EJL995" s="2335"/>
      <c r="EJM995" s="2335"/>
      <c r="EJN995" s="2335"/>
      <c r="EJO995" s="2335"/>
      <c r="EJP995" s="2335"/>
      <c r="EJQ995" s="2335"/>
      <c r="EJR995" s="2335"/>
      <c r="EJS995" s="2335"/>
      <c r="EJT995" s="2335"/>
      <c r="EJU995" s="2335"/>
      <c r="EJV995" s="2335"/>
      <c r="EJW995" s="2335"/>
      <c r="EJX995" s="2335"/>
      <c r="EJY995" s="2335"/>
      <c r="EJZ995" s="2335"/>
      <c r="EKA995" s="2335"/>
      <c r="EKB995" s="2335"/>
      <c r="EKC995" s="2335"/>
      <c r="EKD995" s="2335"/>
      <c r="EKE995" s="2335"/>
      <c r="EKF995" s="2335"/>
      <c r="EKG995" s="2335"/>
      <c r="EKH995" s="2335"/>
      <c r="EKI995" s="2335"/>
      <c r="EKJ995" s="2335"/>
      <c r="EKK995" s="2335"/>
      <c r="EKL995" s="2335"/>
      <c r="EKM995" s="2335"/>
      <c r="EKN995" s="2335"/>
      <c r="EKO995" s="2335"/>
      <c r="EKP995" s="2335"/>
      <c r="EKQ995" s="2335"/>
      <c r="EKR995" s="2335"/>
      <c r="EKS995" s="2335"/>
      <c r="EKT995" s="2335"/>
      <c r="EKU995" s="2335"/>
      <c r="EKV995" s="2335"/>
      <c r="EKW995" s="2335"/>
      <c r="EKX995" s="2335"/>
      <c r="EKY995" s="2335"/>
      <c r="EKZ995" s="2335"/>
      <c r="ELA995" s="2335"/>
      <c r="ELB995" s="2335"/>
      <c r="ELC995" s="2335"/>
      <c r="ELD995" s="2335"/>
      <c r="ELE995" s="2335"/>
      <c r="ELF995" s="2335"/>
      <c r="ELG995" s="2335"/>
      <c r="ELH995" s="2335"/>
      <c r="ELI995" s="2335"/>
      <c r="ELJ995" s="2335"/>
      <c r="ELK995" s="2335"/>
      <c r="ELL995" s="2335"/>
      <c r="ELM995" s="2335"/>
      <c r="ELN995" s="2335"/>
      <c r="ELO995" s="2335"/>
      <c r="ELP995" s="2335"/>
      <c r="ELQ995" s="2335"/>
      <c r="ELR995" s="2335"/>
      <c r="ELS995" s="2335"/>
      <c r="ELT995" s="2335"/>
      <c r="ELU995" s="2335"/>
      <c r="ELV995" s="2335"/>
      <c r="ELW995" s="2335"/>
      <c r="ELX995" s="2335"/>
      <c r="ELY995" s="2335"/>
      <c r="ELZ995" s="2335"/>
      <c r="EMA995" s="2335"/>
      <c r="EMB995" s="2335"/>
      <c r="EMC995" s="2335"/>
      <c r="EMD995" s="2335"/>
      <c r="EME995" s="2335"/>
      <c r="EMF995" s="2335"/>
      <c r="EMG995" s="2335"/>
      <c r="EMH995" s="2335"/>
      <c r="EMI995" s="2335"/>
      <c r="EMJ995" s="2335"/>
      <c r="EMK995" s="2335"/>
      <c r="EML995" s="2335"/>
      <c r="EMM995" s="2335"/>
      <c r="EMN995" s="2335"/>
      <c r="EMO995" s="2335"/>
      <c r="EMP995" s="2335"/>
      <c r="EMQ995" s="2335"/>
      <c r="EMR995" s="2335"/>
      <c r="EMS995" s="2335"/>
      <c r="EMT995" s="2335"/>
      <c r="EMU995" s="2335"/>
      <c r="EMV995" s="2335"/>
      <c r="EMW995" s="2335"/>
      <c r="EMX995" s="2335"/>
      <c r="EMY995" s="2335"/>
      <c r="EMZ995" s="2335"/>
      <c r="ENA995" s="2335"/>
      <c r="ENB995" s="2335"/>
      <c r="ENC995" s="2335"/>
      <c r="END995" s="2335"/>
      <c r="ENE995" s="2335"/>
      <c r="ENF995" s="2335"/>
      <c r="ENG995" s="2335"/>
      <c r="ENH995" s="2335"/>
      <c r="ENI995" s="2335"/>
      <c r="ENJ995" s="2335"/>
      <c r="ENK995" s="2335"/>
      <c r="ENL995" s="2335"/>
      <c r="ENM995" s="2335"/>
      <c r="ENN995" s="2335"/>
      <c r="ENO995" s="2335"/>
      <c r="ENP995" s="2335"/>
      <c r="ENQ995" s="2335"/>
      <c r="ENR995" s="2335"/>
      <c r="ENS995" s="2335"/>
      <c r="ENT995" s="2335"/>
      <c r="ENU995" s="2335"/>
      <c r="ENV995" s="2335"/>
      <c r="ENW995" s="2335"/>
      <c r="ENX995" s="2335"/>
      <c r="ENY995" s="2335"/>
      <c r="ENZ995" s="2335"/>
      <c r="EOA995" s="2335"/>
      <c r="EOB995" s="2335"/>
      <c r="EOC995" s="2335"/>
      <c r="EOD995" s="2335"/>
      <c r="EOE995" s="2335"/>
      <c r="EOF995" s="2335"/>
      <c r="EOG995" s="2335"/>
      <c r="EOH995" s="2335"/>
      <c r="EOI995" s="2335"/>
      <c r="EOJ995" s="2335"/>
      <c r="EOK995" s="2335"/>
      <c r="EOL995" s="2335"/>
      <c r="EOM995" s="2335"/>
      <c r="EON995" s="2335"/>
      <c r="EOO995" s="2335"/>
      <c r="EOP995" s="2335"/>
      <c r="EOQ995" s="2335"/>
      <c r="EOR995" s="2335"/>
      <c r="EOS995" s="2335"/>
      <c r="EOT995" s="2335"/>
      <c r="EOU995" s="2335"/>
      <c r="EOV995" s="2335"/>
      <c r="EOW995" s="2335"/>
      <c r="EOX995" s="2335"/>
      <c r="EOY995" s="2335"/>
      <c r="EOZ995" s="2335"/>
      <c r="EPA995" s="2335"/>
      <c r="EPB995" s="2335"/>
      <c r="EPC995" s="2335"/>
      <c r="EPD995" s="2335"/>
      <c r="EPE995" s="2335"/>
      <c r="EPF995" s="2335"/>
      <c r="EPG995" s="2335"/>
      <c r="EPH995" s="2335"/>
      <c r="EPI995" s="2335"/>
      <c r="EPJ995" s="2335"/>
      <c r="EPK995" s="2335"/>
      <c r="EPL995" s="2335"/>
      <c r="EPM995" s="2335"/>
      <c r="EPN995" s="2335"/>
      <c r="EPO995" s="2335"/>
      <c r="EPP995" s="2335"/>
      <c r="EPQ995" s="2335"/>
      <c r="EPR995" s="2335"/>
      <c r="EPS995" s="2335"/>
      <c r="EPT995" s="2335"/>
      <c r="EPU995" s="2335"/>
      <c r="EPV995" s="2335"/>
      <c r="EPW995" s="2335"/>
      <c r="EPX995" s="2335"/>
      <c r="EPY995" s="2335"/>
      <c r="EPZ995" s="2335"/>
      <c r="EQA995" s="2335"/>
      <c r="EQB995" s="2335"/>
      <c r="EQC995" s="2335"/>
      <c r="EQD995" s="2335"/>
      <c r="EQE995" s="2335"/>
      <c r="EQF995" s="2335"/>
      <c r="EQG995" s="2335"/>
      <c r="EQH995" s="2335"/>
      <c r="EQI995" s="2335"/>
      <c r="EQJ995" s="2335"/>
      <c r="EQK995" s="2335"/>
      <c r="EQL995" s="2335"/>
      <c r="EQM995" s="2335"/>
      <c r="EQN995" s="2335"/>
      <c r="EQO995" s="2335"/>
      <c r="EQP995" s="2335"/>
      <c r="EQQ995" s="2335"/>
      <c r="EQR995" s="2335"/>
      <c r="EQS995" s="2335"/>
      <c r="EQT995" s="2335"/>
      <c r="EQU995" s="2335"/>
      <c r="EQV995" s="2335"/>
      <c r="EQW995" s="2335"/>
      <c r="EQX995" s="2335"/>
      <c r="EQY995" s="2335"/>
      <c r="EQZ995" s="2335"/>
      <c r="ERA995" s="2335"/>
      <c r="ERB995" s="2335"/>
      <c r="ERC995" s="2335"/>
      <c r="ERD995" s="2335"/>
      <c r="ERE995" s="2335"/>
      <c r="ERF995" s="2335"/>
      <c r="ERG995" s="2335"/>
      <c r="ERH995" s="2335"/>
      <c r="ERI995" s="2335"/>
      <c r="ERJ995" s="2335"/>
      <c r="ERK995" s="2335"/>
      <c r="ERL995" s="2335"/>
      <c r="ERM995" s="2335"/>
      <c r="ERN995" s="2335"/>
      <c r="ERO995" s="2335"/>
      <c r="ERP995" s="2335"/>
      <c r="ERQ995" s="2335"/>
      <c r="ERR995" s="2335"/>
      <c r="ERS995" s="2335"/>
      <c r="ERT995" s="2335"/>
      <c r="ERU995" s="2335"/>
      <c r="ERV995" s="2335"/>
      <c r="ERW995" s="2335"/>
      <c r="ERX995" s="2335"/>
      <c r="ERY995" s="2335"/>
      <c r="ERZ995" s="2335"/>
      <c r="ESA995" s="2335"/>
      <c r="ESB995" s="2335"/>
      <c r="ESC995" s="2335"/>
      <c r="ESD995" s="2335"/>
      <c r="ESE995" s="2335"/>
      <c r="ESF995" s="2335"/>
      <c r="ESG995" s="2335"/>
      <c r="ESH995" s="2335"/>
      <c r="ESI995" s="2335"/>
      <c r="ESJ995" s="2335"/>
      <c r="ESK995" s="2335"/>
      <c r="ESL995" s="2335"/>
      <c r="ESM995" s="2335"/>
      <c r="ESN995" s="2335"/>
      <c r="ESO995" s="2335"/>
      <c r="ESP995" s="2335"/>
      <c r="ESQ995" s="2335"/>
      <c r="ESR995" s="2335"/>
      <c r="ESS995" s="2335"/>
      <c r="EST995" s="2335"/>
      <c r="ESU995" s="2335"/>
      <c r="ESV995" s="2335"/>
      <c r="ESW995" s="2335"/>
      <c r="ESX995" s="2335"/>
      <c r="ESY995" s="2335"/>
      <c r="ESZ995" s="2335"/>
      <c r="ETA995" s="2335"/>
      <c r="ETB995" s="2335"/>
      <c r="ETC995" s="2335"/>
      <c r="ETD995" s="2335"/>
      <c r="ETE995" s="2335"/>
      <c r="ETF995" s="2335"/>
      <c r="ETG995" s="2335"/>
      <c r="ETH995" s="2335"/>
      <c r="ETI995" s="2335"/>
      <c r="ETJ995" s="2335"/>
      <c r="ETK995" s="2335"/>
      <c r="ETL995" s="2335"/>
      <c r="ETM995" s="2335"/>
      <c r="ETN995" s="2335"/>
      <c r="ETO995" s="2335"/>
      <c r="ETP995" s="2335"/>
      <c r="ETQ995" s="2335"/>
      <c r="ETR995" s="2335"/>
      <c r="ETS995" s="2335"/>
      <c r="ETT995" s="2335"/>
      <c r="ETU995" s="2335"/>
      <c r="ETV995" s="2335"/>
      <c r="ETW995" s="2335"/>
      <c r="ETX995" s="2335"/>
      <c r="ETY995" s="2335"/>
      <c r="ETZ995" s="2335"/>
      <c r="EUA995" s="2335"/>
      <c r="EUB995" s="2335"/>
      <c r="EUC995" s="2335"/>
      <c r="EUD995" s="2335"/>
      <c r="EUE995" s="2335"/>
      <c r="EUF995" s="2335"/>
      <c r="EUG995" s="2335"/>
      <c r="EUH995" s="2335"/>
      <c r="EUI995" s="2335"/>
      <c r="EUJ995" s="2335"/>
      <c r="EUK995" s="2335"/>
      <c r="EUL995" s="2335"/>
      <c r="EUM995" s="2335"/>
      <c r="EUN995" s="2335"/>
      <c r="EUO995" s="2335"/>
      <c r="EUP995" s="2335"/>
      <c r="EUQ995" s="2335"/>
      <c r="EUR995" s="2335"/>
      <c r="EUS995" s="2335"/>
      <c r="EUT995" s="2335"/>
      <c r="EUU995" s="2335"/>
      <c r="EUV995" s="2335"/>
      <c r="EUW995" s="2335"/>
      <c r="EUX995" s="2335"/>
      <c r="EUY995" s="2335"/>
      <c r="EUZ995" s="2335"/>
      <c r="EVA995" s="2335"/>
      <c r="EVB995" s="2335"/>
      <c r="EVC995" s="2335"/>
      <c r="EVD995" s="2335"/>
      <c r="EVE995" s="2335"/>
      <c r="EVF995" s="2335"/>
      <c r="EVG995" s="2335"/>
      <c r="EVH995" s="2335"/>
      <c r="EVI995" s="2335"/>
      <c r="EVJ995" s="2335"/>
      <c r="EVK995" s="2335"/>
      <c r="EVL995" s="2335"/>
      <c r="EVM995" s="2335"/>
      <c r="EVN995" s="2335"/>
      <c r="EVO995" s="2335"/>
      <c r="EVP995" s="2335"/>
      <c r="EVQ995" s="2335"/>
      <c r="EVR995" s="2335"/>
      <c r="EVS995" s="2335"/>
      <c r="EVT995" s="2335"/>
      <c r="EVU995" s="2335"/>
      <c r="EVV995" s="2335"/>
      <c r="EVW995" s="2335"/>
      <c r="EVX995" s="2335"/>
      <c r="EVY995" s="2335"/>
      <c r="EVZ995" s="2335"/>
      <c r="EWA995" s="2335"/>
      <c r="EWB995" s="2335"/>
      <c r="EWC995" s="2335"/>
      <c r="EWD995" s="2335"/>
      <c r="EWE995" s="2335"/>
      <c r="EWF995" s="2335"/>
      <c r="EWG995" s="2335"/>
      <c r="EWH995" s="2335"/>
      <c r="EWI995" s="2335"/>
      <c r="EWJ995" s="2335"/>
      <c r="EWK995" s="2335"/>
      <c r="EWL995" s="2335"/>
      <c r="EWM995" s="2335"/>
      <c r="EWN995" s="2335"/>
      <c r="EWO995" s="2335"/>
      <c r="EWP995" s="2335"/>
      <c r="EWQ995" s="2335"/>
      <c r="EWR995" s="2335"/>
      <c r="EWS995" s="2335"/>
      <c r="EWT995" s="2335"/>
      <c r="EWU995" s="2335"/>
      <c r="EWV995" s="2335"/>
      <c r="EWW995" s="2335"/>
      <c r="EWX995" s="2335"/>
      <c r="EWY995" s="2335"/>
      <c r="EWZ995" s="2335"/>
      <c r="EXA995" s="2335"/>
      <c r="EXB995" s="2335"/>
      <c r="EXC995" s="2335"/>
      <c r="EXD995" s="2335"/>
      <c r="EXE995" s="2335"/>
      <c r="EXF995" s="2335"/>
      <c r="EXG995" s="2335"/>
      <c r="EXH995" s="2335"/>
      <c r="EXI995" s="2335"/>
      <c r="EXJ995" s="2335"/>
      <c r="EXK995" s="2335"/>
      <c r="EXL995" s="2335"/>
      <c r="EXM995" s="2335"/>
      <c r="EXN995" s="2335"/>
      <c r="EXO995" s="2335"/>
      <c r="EXP995" s="2335"/>
      <c r="EXQ995" s="2335"/>
      <c r="EXR995" s="2335"/>
      <c r="EXS995" s="2335"/>
      <c r="EXT995" s="2335"/>
      <c r="EXU995" s="2335"/>
      <c r="EXV995" s="2335"/>
      <c r="EXW995" s="2335"/>
      <c r="EXX995" s="2335"/>
      <c r="EXY995" s="2335"/>
      <c r="EXZ995" s="2335"/>
      <c r="EYA995" s="2335"/>
      <c r="EYB995" s="2335"/>
      <c r="EYC995" s="2335"/>
      <c r="EYD995" s="2335"/>
      <c r="EYE995" s="2335"/>
      <c r="EYF995" s="2335"/>
      <c r="EYG995" s="2335"/>
      <c r="EYH995" s="2335"/>
      <c r="EYI995" s="2335"/>
      <c r="EYJ995" s="2335"/>
      <c r="EYK995" s="2335"/>
      <c r="EYL995" s="2335"/>
      <c r="EYM995" s="2335"/>
      <c r="EYN995" s="2335"/>
      <c r="EYO995" s="2335"/>
      <c r="EYP995" s="2335"/>
      <c r="EYQ995" s="2335"/>
      <c r="EYR995" s="2335"/>
      <c r="EYS995" s="2335"/>
      <c r="EYT995" s="2335"/>
      <c r="EYU995" s="2335"/>
      <c r="EYV995" s="2335"/>
      <c r="EYW995" s="2335"/>
      <c r="EYX995" s="2335"/>
      <c r="EYY995" s="2335"/>
      <c r="EYZ995" s="2335"/>
      <c r="EZA995" s="2335"/>
      <c r="EZB995" s="2335"/>
      <c r="EZC995" s="2335"/>
      <c r="EZD995" s="2335"/>
      <c r="EZE995" s="2335"/>
      <c r="EZF995" s="2335"/>
      <c r="EZG995" s="2335"/>
      <c r="EZH995" s="2335"/>
      <c r="EZI995" s="2335"/>
      <c r="EZJ995" s="2335"/>
      <c r="EZK995" s="2335"/>
      <c r="EZL995" s="2335"/>
      <c r="EZM995" s="2335"/>
      <c r="EZN995" s="2335"/>
      <c r="EZO995" s="2335"/>
      <c r="EZP995" s="2335"/>
      <c r="EZQ995" s="2335"/>
      <c r="EZR995" s="2335"/>
      <c r="EZS995" s="2335"/>
      <c r="EZT995" s="2335"/>
      <c r="EZU995" s="2335"/>
      <c r="EZV995" s="2335"/>
      <c r="EZW995" s="2335"/>
      <c r="EZX995" s="2335"/>
      <c r="EZY995" s="2335"/>
      <c r="EZZ995" s="2335"/>
      <c r="FAA995" s="2335"/>
      <c r="FAB995" s="2335"/>
      <c r="FAC995" s="2335"/>
      <c r="FAD995" s="2335"/>
      <c r="FAE995" s="2335"/>
      <c r="FAF995" s="2335"/>
      <c r="FAG995" s="2335"/>
      <c r="FAH995" s="2335"/>
      <c r="FAI995" s="2335"/>
      <c r="FAJ995" s="2335"/>
      <c r="FAK995" s="2335"/>
      <c r="FAL995" s="2335"/>
      <c r="FAM995" s="2335"/>
      <c r="FAN995" s="2335"/>
      <c r="FAO995" s="2335"/>
      <c r="FAP995" s="2335"/>
      <c r="FAQ995" s="2335"/>
      <c r="FAR995" s="2335"/>
      <c r="FAS995" s="2335"/>
      <c r="FAT995" s="2335"/>
      <c r="FAU995" s="2335"/>
      <c r="FAV995" s="2335"/>
      <c r="FAW995" s="2335"/>
      <c r="FAX995" s="2335"/>
      <c r="FAY995" s="2335"/>
      <c r="FAZ995" s="2335"/>
      <c r="FBA995" s="2335"/>
      <c r="FBB995" s="2335"/>
      <c r="FBC995" s="2335"/>
      <c r="FBD995" s="2335"/>
      <c r="FBE995" s="2335"/>
      <c r="FBF995" s="2335"/>
      <c r="FBG995" s="2335"/>
      <c r="FBH995" s="2335"/>
      <c r="FBI995" s="2335"/>
      <c r="FBJ995" s="2335"/>
      <c r="FBK995" s="2335"/>
      <c r="FBL995" s="2335"/>
      <c r="FBM995" s="2335"/>
      <c r="FBN995" s="2335"/>
      <c r="FBO995" s="2335"/>
      <c r="FBP995" s="2335"/>
      <c r="FBQ995" s="2335"/>
      <c r="FBR995" s="2335"/>
      <c r="FBS995" s="2335"/>
      <c r="FBT995" s="2335"/>
      <c r="FBU995" s="2335"/>
      <c r="FBV995" s="2335"/>
      <c r="FBW995" s="2335"/>
      <c r="FBX995" s="2335"/>
      <c r="FBY995" s="2335"/>
      <c r="FBZ995" s="2335"/>
      <c r="FCA995" s="2335"/>
      <c r="FCB995" s="2335"/>
      <c r="FCC995" s="2335"/>
      <c r="FCD995" s="2335"/>
      <c r="FCE995" s="2335"/>
      <c r="FCF995" s="2335"/>
      <c r="FCG995" s="2335"/>
      <c r="FCH995" s="2335"/>
      <c r="FCI995" s="2335"/>
      <c r="FCJ995" s="2335"/>
      <c r="FCK995" s="2335"/>
      <c r="FCL995" s="2335"/>
      <c r="FCM995" s="2335"/>
      <c r="FCN995" s="2335"/>
      <c r="FCO995" s="2335"/>
      <c r="FCP995" s="2335"/>
      <c r="FCQ995" s="2335"/>
      <c r="FCR995" s="2335"/>
      <c r="FCS995" s="2335"/>
      <c r="FCT995" s="2335"/>
      <c r="FCU995" s="2335"/>
      <c r="FCV995" s="2335"/>
      <c r="FCW995" s="2335"/>
      <c r="FCX995" s="2335"/>
      <c r="FCY995" s="2335"/>
      <c r="FCZ995" s="2335"/>
      <c r="FDA995" s="2335"/>
      <c r="FDB995" s="2335"/>
      <c r="FDC995" s="2335"/>
      <c r="FDD995" s="2335"/>
      <c r="FDE995" s="2335"/>
      <c r="FDF995" s="2335"/>
      <c r="FDG995" s="2335"/>
      <c r="FDH995" s="2335"/>
      <c r="FDI995" s="2335"/>
      <c r="FDJ995" s="2335"/>
      <c r="FDK995" s="2335"/>
      <c r="FDL995" s="2335"/>
      <c r="FDM995" s="2335"/>
      <c r="FDN995" s="2335"/>
      <c r="FDO995" s="2335"/>
      <c r="FDP995" s="2335"/>
      <c r="FDQ995" s="2335"/>
      <c r="FDR995" s="2335"/>
      <c r="FDS995" s="2335"/>
      <c r="FDT995" s="2335"/>
      <c r="FDU995" s="2335"/>
      <c r="FDV995" s="2335"/>
      <c r="FDW995" s="2335"/>
      <c r="FDX995" s="2335"/>
      <c r="FDY995" s="2335"/>
      <c r="FDZ995" s="2335"/>
      <c r="FEA995" s="2335"/>
      <c r="FEB995" s="2335"/>
      <c r="FEC995" s="2335"/>
      <c r="FED995" s="2335"/>
      <c r="FEE995" s="2335"/>
      <c r="FEF995" s="2335"/>
      <c r="FEG995" s="2335"/>
      <c r="FEH995" s="2335"/>
      <c r="FEI995" s="2335"/>
      <c r="FEJ995" s="2335"/>
      <c r="FEK995" s="2335"/>
      <c r="FEL995" s="2335"/>
      <c r="FEM995" s="2335"/>
      <c r="FEN995" s="2335"/>
      <c r="FEO995" s="2335"/>
      <c r="FEP995" s="2335"/>
      <c r="FEQ995" s="2335"/>
      <c r="FER995" s="2335"/>
      <c r="FES995" s="2335"/>
      <c r="FET995" s="2335"/>
      <c r="FEU995" s="2335"/>
      <c r="FEV995" s="2335"/>
      <c r="FEW995" s="2335"/>
      <c r="FEX995" s="2335"/>
      <c r="FEY995" s="2335"/>
      <c r="FEZ995" s="2335"/>
      <c r="FFA995" s="2335"/>
      <c r="FFB995" s="2335"/>
      <c r="FFC995" s="2335"/>
      <c r="FFD995" s="2335"/>
      <c r="FFE995" s="2335"/>
      <c r="FFF995" s="2335"/>
      <c r="FFG995" s="2335"/>
      <c r="FFH995" s="2335"/>
      <c r="FFI995" s="2335"/>
      <c r="FFJ995" s="2335"/>
      <c r="FFK995" s="2335"/>
      <c r="FFL995" s="2335"/>
      <c r="FFM995" s="2335"/>
      <c r="FFN995" s="2335"/>
      <c r="FFO995" s="2335"/>
      <c r="FFP995" s="2335"/>
      <c r="FFQ995" s="2335"/>
      <c r="FFR995" s="2335"/>
      <c r="FFS995" s="2335"/>
      <c r="FFT995" s="2335"/>
      <c r="FFU995" s="2335"/>
      <c r="FFV995" s="2335"/>
      <c r="FFW995" s="2335"/>
      <c r="FFX995" s="2335"/>
      <c r="FFY995" s="2335"/>
      <c r="FFZ995" s="2335"/>
      <c r="FGA995" s="2335"/>
      <c r="FGB995" s="2335"/>
      <c r="FGC995" s="2335"/>
      <c r="FGD995" s="2335"/>
      <c r="FGE995" s="2335"/>
      <c r="FGF995" s="2335"/>
      <c r="FGG995" s="2335"/>
      <c r="FGH995" s="2335"/>
      <c r="FGI995" s="2335"/>
      <c r="FGJ995" s="2335"/>
      <c r="FGK995" s="2335"/>
      <c r="FGL995" s="2335"/>
      <c r="FGM995" s="2335"/>
      <c r="FGN995" s="2335"/>
      <c r="FGO995" s="2335"/>
      <c r="FGP995" s="2335"/>
      <c r="FGQ995" s="2335"/>
      <c r="FGR995" s="2335"/>
      <c r="FGS995" s="2335"/>
      <c r="FGT995" s="2335"/>
      <c r="FGU995" s="2335"/>
      <c r="FGV995" s="2335"/>
      <c r="FGW995" s="2335"/>
      <c r="FGX995" s="2335"/>
      <c r="FGY995" s="2335"/>
      <c r="FGZ995" s="2335"/>
      <c r="FHA995" s="2335"/>
      <c r="FHB995" s="2335"/>
      <c r="FHC995" s="2335"/>
      <c r="FHD995" s="2335"/>
      <c r="FHE995" s="2335"/>
      <c r="FHF995" s="2335"/>
      <c r="FHG995" s="2335"/>
      <c r="FHH995" s="2335"/>
      <c r="FHI995" s="2335"/>
      <c r="FHJ995" s="2335"/>
      <c r="FHK995" s="2335"/>
      <c r="FHL995" s="2335"/>
      <c r="FHM995" s="2335"/>
      <c r="FHN995" s="2335"/>
      <c r="FHO995" s="2335"/>
      <c r="FHP995" s="2335"/>
      <c r="FHQ995" s="2335"/>
      <c r="FHR995" s="2335"/>
      <c r="FHS995" s="2335"/>
      <c r="FHT995" s="2335"/>
      <c r="FHU995" s="2335"/>
      <c r="FHV995" s="2335"/>
      <c r="FHW995" s="2335"/>
      <c r="FHX995" s="2335"/>
      <c r="FHY995" s="2335"/>
      <c r="FHZ995" s="2335"/>
      <c r="FIA995" s="2335"/>
      <c r="FIB995" s="2335"/>
      <c r="FIC995" s="2335"/>
      <c r="FID995" s="2335"/>
      <c r="FIE995" s="2335"/>
      <c r="FIF995" s="2335"/>
      <c r="FIG995" s="2335"/>
      <c r="FIH995" s="2335"/>
      <c r="FII995" s="2335"/>
      <c r="FIJ995" s="2335"/>
      <c r="FIK995" s="2335"/>
      <c r="FIL995" s="2335"/>
      <c r="FIM995" s="2335"/>
      <c r="FIN995" s="2335"/>
      <c r="FIO995" s="2335"/>
      <c r="FIP995" s="2335"/>
      <c r="FIQ995" s="2335"/>
      <c r="FIR995" s="2335"/>
      <c r="FIS995" s="2335"/>
      <c r="FIT995" s="2335"/>
      <c r="FIU995" s="2335"/>
      <c r="FIV995" s="2335"/>
      <c r="FIW995" s="2335"/>
      <c r="FIX995" s="2335"/>
      <c r="FIY995" s="2335"/>
      <c r="FIZ995" s="2335"/>
      <c r="FJA995" s="2335"/>
      <c r="FJB995" s="2335"/>
      <c r="FJC995" s="2335"/>
      <c r="FJD995" s="2335"/>
      <c r="FJE995" s="2335"/>
      <c r="FJF995" s="2335"/>
      <c r="FJG995" s="2335"/>
      <c r="FJH995" s="2335"/>
      <c r="FJI995" s="2335"/>
      <c r="FJJ995" s="2335"/>
      <c r="FJK995" s="2335"/>
      <c r="FJL995" s="2335"/>
      <c r="FJM995" s="2335"/>
      <c r="FJN995" s="2335"/>
      <c r="FJO995" s="2335"/>
      <c r="FJP995" s="2335"/>
      <c r="FJQ995" s="2335"/>
      <c r="FJR995" s="2335"/>
      <c r="FJS995" s="2335"/>
      <c r="FJT995" s="2335"/>
      <c r="FJU995" s="2335"/>
      <c r="FJV995" s="2335"/>
      <c r="FJW995" s="2335"/>
      <c r="FJX995" s="2335"/>
      <c r="FJY995" s="2335"/>
      <c r="FJZ995" s="2335"/>
      <c r="FKA995" s="2335"/>
      <c r="FKB995" s="2335"/>
      <c r="FKC995" s="2335"/>
      <c r="FKD995" s="2335"/>
      <c r="FKE995" s="2335"/>
      <c r="FKF995" s="2335"/>
      <c r="FKG995" s="2335"/>
      <c r="FKH995" s="2335"/>
      <c r="FKI995" s="2335"/>
      <c r="FKJ995" s="2335"/>
      <c r="FKK995" s="2335"/>
      <c r="FKL995" s="2335"/>
      <c r="FKM995" s="2335"/>
      <c r="FKN995" s="2335"/>
      <c r="FKO995" s="2335"/>
      <c r="FKP995" s="2335"/>
      <c r="FKQ995" s="2335"/>
      <c r="FKR995" s="2335"/>
      <c r="FKS995" s="2335"/>
      <c r="FKT995" s="2335"/>
      <c r="FKU995" s="2335"/>
      <c r="FKV995" s="2335"/>
      <c r="FKW995" s="2335"/>
      <c r="FKX995" s="2335"/>
      <c r="FKY995" s="2335"/>
      <c r="FKZ995" s="2335"/>
      <c r="FLA995" s="2335"/>
      <c r="FLB995" s="2335"/>
      <c r="FLC995" s="2335"/>
      <c r="FLD995" s="2335"/>
      <c r="FLE995" s="2335"/>
      <c r="FLF995" s="2335"/>
      <c r="FLG995" s="2335"/>
      <c r="FLH995" s="2335"/>
      <c r="FLI995" s="2335"/>
      <c r="FLJ995" s="2335"/>
      <c r="FLK995" s="2335"/>
      <c r="FLL995" s="2335"/>
      <c r="FLM995" s="2335"/>
      <c r="FLN995" s="2335"/>
      <c r="FLO995" s="2335"/>
      <c r="FLP995" s="2335"/>
      <c r="FLQ995" s="2335"/>
      <c r="FLR995" s="2335"/>
      <c r="FLS995" s="2335"/>
      <c r="FLT995" s="2335"/>
      <c r="FLU995" s="2335"/>
      <c r="FLV995" s="2335"/>
      <c r="FLW995" s="2335"/>
      <c r="FLX995" s="2335"/>
      <c r="FLY995" s="2335"/>
      <c r="FLZ995" s="2335"/>
      <c r="FMA995" s="2335"/>
      <c r="FMB995" s="2335"/>
      <c r="FMC995" s="2335"/>
      <c r="FMD995" s="2335"/>
      <c r="FME995" s="2335"/>
      <c r="FMF995" s="2335"/>
      <c r="FMG995" s="2335"/>
      <c r="FMH995" s="2335"/>
      <c r="FMI995" s="2335"/>
      <c r="FMJ995" s="2335"/>
      <c r="FMK995" s="2335"/>
      <c r="FML995" s="2335"/>
      <c r="FMM995" s="2335"/>
      <c r="FMN995" s="2335"/>
      <c r="FMO995" s="2335"/>
      <c r="FMP995" s="2335"/>
      <c r="FMQ995" s="2335"/>
      <c r="FMR995" s="2335"/>
      <c r="FMS995" s="2335"/>
      <c r="FMT995" s="2335"/>
      <c r="FMU995" s="2335"/>
      <c r="FMV995" s="2335"/>
      <c r="FMW995" s="2335"/>
      <c r="FMX995" s="2335"/>
      <c r="FMY995" s="2335"/>
      <c r="FMZ995" s="2335"/>
      <c r="FNA995" s="2335"/>
      <c r="FNB995" s="2335"/>
      <c r="FNC995" s="2335"/>
      <c r="FND995" s="2335"/>
      <c r="FNE995" s="2335"/>
      <c r="FNF995" s="2335"/>
      <c r="FNG995" s="2335"/>
      <c r="FNH995" s="2335"/>
      <c r="FNI995" s="2335"/>
      <c r="FNJ995" s="2335"/>
      <c r="FNK995" s="2335"/>
      <c r="FNL995" s="2335"/>
      <c r="FNM995" s="2335"/>
      <c r="FNN995" s="2335"/>
      <c r="FNO995" s="2335"/>
      <c r="FNP995" s="2335"/>
      <c r="FNQ995" s="2335"/>
      <c r="FNR995" s="2335"/>
      <c r="FNS995" s="2335"/>
      <c r="FNT995" s="2335"/>
      <c r="FNU995" s="2335"/>
      <c r="FNV995" s="2335"/>
      <c r="FNW995" s="2335"/>
      <c r="FNX995" s="2335"/>
      <c r="FNY995" s="2335"/>
      <c r="FNZ995" s="2335"/>
      <c r="FOA995" s="2335"/>
      <c r="FOB995" s="2335"/>
      <c r="FOC995" s="2335"/>
      <c r="FOD995" s="2335"/>
      <c r="FOE995" s="2335"/>
      <c r="FOF995" s="2335"/>
      <c r="FOG995" s="2335"/>
      <c r="FOH995" s="2335"/>
      <c r="FOI995" s="2335"/>
      <c r="FOJ995" s="2335"/>
      <c r="FOK995" s="2335"/>
      <c r="FOL995" s="2335"/>
      <c r="FOM995" s="2335"/>
      <c r="FON995" s="2335"/>
      <c r="FOO995" s="2335"/>
      <c r="FOP995" s="2335"/>
      <c r="FOQ995" s="2335"/>
      <c r="FOR995" s="2335"/>
      <c r="FOS995" s="2335"/>
      <c r="FOT995" s="2335"/>
      <c r="FOU995" s="2335"/>
      <c r="FOV995" s="2335"/>
      <c r="FOW995" s="2335"/>
      <c r="FOX995" s="2335"/>
      <c r="FOY995" s="2335"/>
      <c r="FOZ995" s="2335"/>
      <c r="FPA995" s="2335"/>
      <c r="FPB995" s="2335"/>
      <c r="FPC995" s="2335"/>
      <c r="FPD995" s="2335"/>
      <c r="FPE995" s="2335"/>
      <c r="FPF995" s="2335"/>
      <c r="FPG995" s="2335"/>
      <c r="FPH995" s="2335"/>
      <c r="FPI995" s="2335"/>
      <c r="FPJ995" s="2335"/>
      <c r="FPK995" s="2335"/>
      <c r="FPL995" s="2335"/>
      <c r="FPM995" s="2335"/>
      <c r="FPN995" s="2335"/>
      <c r="FPO995" s="2335"/>
      <c r="FPP995" s="2335"/>
      <c r="FPQ995" s="2335"/>
      <c r="FPR995" s="2335"/>
      <c r="FPS995" s="2335"/>
      <c r="FPT995" s="2335"/>
      <c r="FPU995" s="2335"/>
      <c r="FPV995" s="2335"/>
      <c r="FPW995" s="2335"/>
      <c r="FPX995" s="2335"/>
      <c r="FPY995" s="2335"/>
      <c r="FPZ995" s="2335"/>
      <c r="FQA995" s="2335"/>
      <c r="FQB995" s="2335"/>
      <c r="FQC995" s="2335"/>
      <c r="FQD995" s="2335"/>
      <c r="FQE995" s="2335"/>
      <c r="FQF995" s="2335"/>
      <c r="FQG995" s="2335"/>
      <c r="FQH995" s="2335"/>
      <c r="FQI995" s="2335"/>
      <c r="FQJ995" s="2335"/>
      <c r="FQK995" s="2335"/>
      <c r="FQL995" s="2335"/>
      <c r="FQM995" s="2335"/>
      <c r="FQN995" s="2335"/>
      <c r="FQO995" s="2335"/>
      <c r="FQP995" s="2335"/>
      <c r="FQQ995" s="2335"/>
      <c r="FQR995" s="2335"/>
      <c r="FQS995" s="2335"/>
      <c r="FQT995" s="2335"/>
      <c r="FQU995" s="2335"/>
      <c r="FQV995" s="2335"/>
      <c r="FQW995" s="2335"/>
      <c r="FQX995" s="2335"/>
      <c r="FQY995" s="2335"/>
      <c r="FQZ995" s="2335"/>
      <c r="FRA995" s="2335"/>
      <c r="FRB995" s="2335"/>
      <c r="FRC995" s="2335"/>
      <c r="FRD995" s="2335"/>
      <c r="FRE995" s="2335"/>
      <c r="FRF995" s="2335"/>
      <c r="FRG995" s="2335"/>
      <c r="FRH995" s="2335"/>
      <c r="FRI995" s="2335"/>
      <c r="FRJ995" s="2335"/>
      <c r="FRK995" s="2335"/>
      <c r="FRL995" s="2335"/>
      <c r="FRM995" s="2335"/>
      <c r="FRN995" s="2335"/>
      <c r="FRO995" s="2335"/>
      <c r="FRP995" s="2335"/>
      <c r="FRQ995" s="2335"/>
      <c r="FRR995" s="2335"/>
      <c r="FRS995" s="2335"/>
      <c r="FRT995" s="2335"/>
      <c r="FRU995" s="2335"/>
      <c r="FRV995" s="2335"/>
      <c r="FRW995" s="2335"/>
      <c r="FRX995" s="2335"/>
      <c r="FRY995" s="2335"/>
      <c r="FRZ995" s="2335"/>
      <c r="FSA995" s="2335"/>
      <c r="FSB995" s="2335"/>
      <c r="FSC995" s="2335"/>
      <c r="FSD995" s="2335"/>
      <c r="FSE995" s="2335"/>
      <c r="FSF995" s="2335"/>
      <c r="FSG995" s="2335"/>
      <c r="FSH995" s="2335"/>
      <c r="FSI995" s="2335"/>
      <c r="FSJ995" s="2335"/>
      <c r="FSK995" s="2335"/>
      <c r="FSL995" s="2335"/>
      <c r="FSM995" s="2335"/>
      <c r="FSN995" s="2335"/>
      <c r="FSO995" s="2335"/>
      <c r="FSP995" s="2335"/>
      <c r="FSQ995" s="2335"/>
      <c r="FSR995" s="2335"/>
      <c r="FSS995" s="2335"/>
      <c r="FST995" s="2335"/>
      <c r="FSU995" s="2335"/>
      <c r="FSV995" s="2335"/>
      <c r="FSW995" s="2335"/>
      <c r="FSX995" s="2335"/>
      <c r="FSY995" s="2335"/>
      <c r="FSZ995" s="2335"/>
      <c r="FTA995" s="2335"/>
      <c r="FTB995" s="2335"/>
      <c r="FTC995" s="2335"/>
      <c r="FTD995" s="2335"/>
      <c r="FTE995" s="2335"/>
      <c r="FTF995" s="2335"/>
      <c r="FTG995" s="2335"/>
      <c r="FTH995" s="2335"/>
      <c r="FTI995" s="2335"/>
      <c r="FTJ995" s="2335"/>
      <c r="FTK995" s="2335"/>
      <c r="FTL995" s="2335"/>
      <c r="FTM995" s="2335"/>
      <c r="FTN995" s="2335"/>
      <c r="FTO995" s="2335"/>
      <c r="FTP995" s="2335"/>
      <c r="FTQ995" s="2335"/>
      <c r="FTR995" s="2335"/>
      <c r="FTS995" s="2335"/>
      <c r="FTT995" s="2335"/>
      <c r="FTU995" s="2335"/>
      <c r="FTV995" s="2335"/>
      <c r="FTW995" s="2335"/>
      <c r="FTX995" s="2335"/>
      <c r="FTY995" s="2335"/>
      <c r="FTZ995" s="2335"/>
      <c r="FUA995" s="2335"/>
      <c r="FUB995" s="2335"/>
      <c r="FUC995" s="2335"/>
      <c r="FUD995" s="2335"/>
      <c r="FUE995" s="2335"/>
      <c r="FUF995" s="2335"/>
      <c r="FUG995" s="2335"/>
      <c r="FUH995" s="2335"/>
      <c r="FUI995" s="2335"/>
      <c r="FUJ995" s="2335"/>
      <c r="FUK995" s="2335"/>
      <c r="FUL995" s="2335"/>
      <c r="FUM995" s="2335"/>
      <c r="FUN995" s="2335"/>
      <c r="FUO995" s="2335"/>
      <c r="FUP995" s="2335"/>
      <c r="FUQ995" s="2335"/>
      <c r="FUR995" s="2335"/>
      <c r="FUS995" s="2335"/>
      <c r="FUT995" s="2335"/>
      <c r="FUU995" s="2335"/>
      <c r="FUV995" s="2335"/>
      <c r="FUW995" s="2335"/>
      <c r="FUX995" s="2335"/>
      <c r="FUY995" s="2335"/>
      <c r="FUZ995" s="2335"/>
      <c r="FVA995" s="2335"/>
      <c r="FVB995" s="2335"/>
      <c r="FVC995" s="2335"/>
      <c r="FVD995" s="2335"/>
      <c r="FVE995" s="2335"/>
      <c r="FVF995" s="2335"/>
      <c r="FVG995" s="2335"/>
      <c r="FVH995" s="2335"/>
      <c r="FVI995" s="2335"/>
      <c r="FVJ995" s="2335"/>
      <c r="FVK995" s="2335"/>
      <c r="FVL995" s="2335"/>
      <c r="FVM995" s="2335"/>
      <c r="FVN995" s="2335"/>
      <c r="FVO995" s="2335"/>
      <c r="FVP995" s="2335"/>
      <c r="FVQ995" s="2335"/>
      <c r="FVR995" s="2335"/>
      <c r="FVS995" s="2335"/>
      <c r="FVT995" s="2335"/>
      <c r="FVU995" s="2335"/>
      <c r="FVV995" s="2335"/>
      <c r="FVW995" s="2335"/>
      <c r="FVX995" s="2335"/>
      <c r="FVY995" s="2335"/>
      <c r="FVZ995" s="2335"/>
      <c r="FWA995" s="2335"/>
      <c r="FWB995" s="2335"/>
      <c r="FWC995" s="2335"/>
      <c r="FWD995" s="2335"/>
      <c r="FWE995" s="2335"/>
      <c r="FWF995" s="2335"/>
      <c r="FWG995" s="2335"/>
      <c r="FWH995" s="2335"/>
      <c r="FWI995" s="2335"/>
      <c r="FWJ995" s="2335"/>
      <c r="FWK995" s="2335"/>
      <c r="FWL995" s="2335"/>
      <c r="FWM995" s="2335"/>
      <c r="FWN995" s="2335"/>
      <c r="FWO995" s="2335"/>
      <c r="FWP995" s="2335"/>
      <c r="FWQ995" s="2335"/>
      <c r="FWR995" s="2335"/>
      <c r="FWS995" s="2335"/>
      <c r="FWT995" s="2335"/>
      <c r="FWU995" s="2335"/>
      <c r="FWV995" s="2335"/>
      <c r="FWW995" s="2335"/>
      <c r="FWX995" s="2335"/>
      <c r="FWY995" s="2335"/>
      <c r="FWZ995" s="2335"/>
      <c r="FXA995" s="2335"/>
      <c r="FXB995" s="2335"/>
      <c r="FXC995" s="2335"/>
      <c r="FXD995" s="2335"/>
      <c r="FXE995" s="2335"/>
      <c r="FXF995" s="2335"/>
      <c r="FXG995" s="2335"/>
      <c r="FXH995" s="2335"/>
      <c r="FXI995" s="2335"/>
      <c r="FXJ995" s="2335"/>
      <c r="FXK995" s="2335"/>
      <c r="FXL995" s="2335"/>
      <c r="FXM995" s="2335"/>
      <c r="FXN995" s="2335"/>
      <c r="FXO995" s="2335"/>
      <c r="FXP995" s="2335"/>
      <c r="FXQ995" s="2335"/>
      <c r="FXR995" s="2335"/>
      <c r="FXS995" s="2335"/>
      <c r="FXT995" s="2335"/>
      <c r="FXU995" s="2335"/>
      <c r="FXV995" s="2335"/>
      <c r="FXW995" s="2335"/>
      <c r="FXX995" s="2335"/>
      <c r="FXY995" s="2335"/>
      <c r="FXZ995" s="2335"/>
      <c r="FYA995" s="2335"/>
      <c r="FYB995" s="2335"/>
      <c r="FYC995" s="2335"/>
      <c r="FYD995" s="2335"/>
      <c r="FYE995" s="2335"/>
      <c r="FYF995" s="2335"/>
      <c r="FYG995" s="2335"/>
      <c r="FYH995" s="2335"/>
      <c r="FYI995" s="2335"/>
      <c r="FYJ995" s="2335"/>
      <c r="FYK995" s="2335"/>
      <c r="FYL995" s="2335"/>
      <c r="FYM995" s="2335"/>
      <c r="FYN995" s="2335"/>
      <c r="FYO995" s="2335"/>
      <c r="FYP995" s="2335"/>
      <c r="FYQ995" s="2335"/>
      <c r="FYR995" s="2335"/>
      <c r="FYS995" s="2335"/>
      <c r="FYT995" s="2335"/>
      <c r="FYU995" s="2335"/>
      <c r="FYV995" s="2335"/>
      <c r="FYW995" s="2335"/>
      <c r="FYX995" s="2335"/>
      <c r="FYY995" s="2335"/>
      <c r="FYZ995" s="2335"/>
      <c r="FZA995" s="2335"/>
      <c r="FZB995" s="2335"/>
      <c r="FZC995" s="2335"/>
      <c r="FZD995" s="2335"/>
      <c r="FZE995" s="2335"/>
      <c r="FZF995" s="2335"/>
      <c r="FZG995" s="2335"/>
      <c r="FZH995" s="2335"/>
      <c r="FZI995" s="2335"/>
      <c r="FZJ995" s="2335"/>
      <c r="FZK995" s="2335"/>
      <c r="FZL995" s="2335"/>
      <c r="FZM995" s="2335"/>
      <c r="FZN995" s="2335"/>
      <c r="FZO995" s="2335"/>
      <c r="FZP995" s="2335"/>
      <c r="FZQ995" s="2335"/>
      <c r="FZR995" s="2335"/>
      <c r="FZS995" s="2335"/>
      <c r="FZT995" s="2335"/>
      <c r="FZU995" s="2335"/>
      <c r="FZV995" s="2335"/>
      <c r="FZW995" s="2335"/>
      <c r="FZX995" s="2335"/>
      <c r="FZY995" s="2335"/>
      <c r="FZZ995" s="2335"/>
      <c r="GAA995" s="2335"/>
      <c r="GAB995" s="2335"/>
      <c r="GAC995" s="2335"/>
      <c r="GAD995" s="2335"/>
      <c r="GAE995" s="2335"/>
      <c r="GAF995" s="2335"/>
      <c r="GAG995" s="2335"/>
      <c r="GAH995" s="2335"/>
      <c r="GAI995" s="2335"/>
      <c r="GAJ995" s="2335"/>
      <c r="GAK995" s="2335"/>
      <c r="GAL995" s="2335"/>
      <c r="GAM995" s="2335"/>
      <c r="GAN995" s="2335"/>
      <c r="GAO995" s="2335"/>
      <c r="GAP995" s="2335"/>
      <c r="GAQ995" s="2335"/>
      <c r="GAR995" s="2335"/>
      <c r="GAS995" s="2335"/>
      <c r="GAT995" s="2335"/>
      <c r="GAU995" s="2335"/>
      <c r="GAV995" s="2335"/>
      <c r="GAW995" s="2335"/>
      <c r="GAX995" s="2335"/>
      <c r="GAY995" s="2335"/>
      <c r="GAZ995" s="2335"/>
      <c r="GBA995" s="2335"/>
      <c r="GBB995" s="2335"/>
      <c r="GBC995" s="2335"/>
      <c r="GBD995" s="2335"/>
      <c r="GBE995" s="2335"/>
      <c r="GBF995" s="2335"/>
      <c r="GBG995" s="2335"/>
      <c r="GBH995" s="2335"/>
      <c r="GBI995" s="2335"/>
      <c r="GBJ995" s="2335"/>
      <c r="GBK995" s="2335"/>
      <c r="GBL995" s="2335"/>
      <c r="GBM995" s="2335"/>
      <c r="GBN995" s="2335"/>
      <c r="GBO995" s="2335"/>
      <c r="GBP995" s="2335"/>
      <c r="GBQ995" s="2335"/>
      <c r="GBR995" s="2335"/>
      <c r="GBS995" s="2335"/>
      <c r="GBT995" s="2335"/>
      <c r="GBU995" s="2335"/>
      <c r="GBV995" s="2335"/>
      <c r="GBW995" s="2335"/>
      <c r="GBX995" s="2335"/>
      <c r="GBY995" s="2335"/>
      <c r="GBZ995" s="2335"/>
      <c r="GCA995" s="2335"/>
      <c r="GCB995" s="2335"/>
      <c r="GCC995" s="2335"/>
      <c r="GCD995" s="2335"/>
      <c r="GCE995" s="2335"/>
      <c r="GCF995" s="2335"/>
      <c r="GCG995" s="2335"/>
      <c r="GCH995" s="2335"/>
      <c r="GCI995" s="2335"/>
      <c r="GCJ995" s="2335"/>
      <c r="GCK995" s="2335"/>
      <c r="GCL995" s="2335"/>
      <c r="GCM995" s="2335"/>
      <c r="GCN995" s="2335"/>
      <c r="GCO995" s="2335"/>
      <c r="GCP995" s="2335"/>
      <c r="GCQ995" s="2335"/>
      <c r="GCR995" s="2335"/>
      <c r="GCS995" s="2335"/>
      <c r="GCT995" s="2335"/>
      <c r="GCU995" s="2335"/>
      <c r="GCV995" s="2335"/>
      <c r="GCW995" s="2335"/>
      <c r="GCX995" s="2335"/>
      <c r="GCY995" s="2335"/>
      <c r="GCZ995" s="2335"/>
      <c r="GDA995" s="2335"/>
      <c r="GDB995" s="2335"/>
      <c r="GDC995" s="2335"/>
      <c r="GDD995" s="2335"/>
      <c r="GDE995" s="2335"/>
      <c r="GDF995" s="2335"/>
      <c r="GDG995" s="2335"/>
      <c r="GDH995" s="2335"/>
      <c r="GDI995" s="2335"/>
      <c r="GDJ995" s="2335"/>
      <c r="GDK995" s="2335"/>
      <c r="GDL995" s="2335"/>
      <c r="GDM995" s="2335"/>
      <c r="GDN995" s="2335"/>
      <c r="GDO995" s="2335"/>
      <c r="GDP995" s="2335"/>
      <c r="GDQ995" s="2335"/>
      <c r="GDR995" s="2335"/>
      <c r="GDS995" s="2335"/>
      <c r="GDT995" s="2335"/>
      <c r="GDU995" s="2335"/>
      <c r="GDV995" s="2335"/>
      <c r="GDW995" s="2335"/>
      <c r="GDX995" s="2335"/>
      <c r="GDY995" s="2335"/>
      <c r="GDZ995" s="2335"/>
      <c r="GEA995" s="2335"/>
      <c r="GEB995" s="2335"/>
      <c r="GEC995" s="2335"/>
      <c r="GED995" s="2335"/>
      <c r="GEE995" s="2335"/>
      <c r="GEF995" s="2335"/>
      <c r="GEG995" s="2335"/>
      <c r="GEH995" s="2335"/>
      <c r="GEI995" s="2335"/>
      <c r="GEJ995" s="2335"/>
      <c r="GEK995" s="2335"/>
      <c r="GEL995" s="2335"/>
      <c r="GEM995" s="2335"/>
      <c r="GEN995" s="2335"/>
      <c r="GEO995" s="2335"/>
      <c r="GEP995" s="2335"/>
      <c r="GEQ995" s="2335"/>
      <c r="GER995" s="2335"/>
      <c r="GES995" s="2335"/>
      <c r="GET995" s="2335"/>
      <c r="GEU995" s="2335"/>
      <c r="GEV995" s="2335"/>
      <c r="GEW995" s="2335"/>
      <c r="GEX995" s="2335"/>
      <c r="GEY995" s="2335"/>
      <c r="GEZ995" s="2335"/>
      <c r="GFA995" s="2335"/>
      <c r="GFB995" s="2335"/>
      <c r="GFC995" s="2335"/>
      <c r="GFD995" s="2335"/>
      <c r="GFE995" s="2335"/>
      <c r="GFF995" s="2335"/>
      <c r="GFG995" s="2335"/>
      <c r="GFH995" s="2335"/>
      <c r="GFI995" s="2335"/>
      <c r="GFJ995" s="2335"/>
      <c r="GFK995" s="2335"/>
      <c r="GFL995" s="2335"/>
      <c r="GFM995" s="2335"/>
      <c r="GFN995" s="2335"/>
      <c r="GFO995" s="2335"/>
      <c r="GFP995" s="2335"/>
      <c r="GFQ995" s="2335"/>
      <c r="GFR995" s="2335"/>
      <c r="GFS995" s="2335"/>
      <c r="GFT995" s="2335"/>
      <c r="GFU995" s="2335"/>
      <c r="GFV995" s="2335"/>
      <c r="GFW995" s="2335"/>
      <c r="GFX995" s="2335"/>
      <c r="GFY995" s="2335"/>
      <c r="GFZ995" s="2335"/>
      <c r="GGA995" s="2335"/>
      <c r="GGB995" s="2335"/>
      <c r="GGC995" s="2335"/>
      <c r="GGD995" s="2335"/>
      <c r="GGE995" s="2335"/>
      <c r="GGF995" s="2335"/>
      <c r="GGG995" s="2335"/>
      <c r="GGH995" s="2335"/>
      <c r="GGI995" s="2335"/>
      <c r="GGJ995" s="2335"/>
      <c r="GGK995" s="2335"/>
      <c r="GGL995" s="2335"/>
      <c r="GGM995" s="2335"/>
      <c r="GGN995" s="2335"/>
      <c r="GGO995" s="2335"/>
      <c r="GGP995" s="2335"/>
      <c r="GGQ995" s="2335"/>
      <c r="GGR995" s="2335"/>
      <c r="GGS995" s="2335"/>
      <c r="GGT995" s="2335"/>
      <c r="GGU995" s="2335"/>
      <c r="GGV995" s="2335"/>
      <c r="GGW995" s="2335"/>
      <c r="GGX995" s="2335"/>
      <c r="GGY995" s="2335"/>
      <c r="GGZ995" s="2335"/>
      <c r="GHA995" s="2335"/>
      <c r="GHB995" s="2335"/>
      <c r="GHC995" s="2335"/>
      <c r="GHD995" s="2335"/>
      <c r="GHE995" s="2335"/>
      <c r="GHF995" s="2335"/>
      <c r="GHG995" s="2335"/>
      <c r="GHH995" s="2335"/>
      <c r="GHI995" s="2335"/>
      <c r="GHJ995" s="2335"/>
      <c r="GHK995" s="2335"/>
      <c r="GHL995" s="2335"/>
      <c r="GHM995" s="2335"/>
      <c r="GHN995" s="2335"/>
      <c r="GHO995" s="2335"/>
      <c r="GHP995" s="2335"/>
      <c r="GHQ995" s="2335"/>
      <c r="GHR995" s="2335"/>
      <c r="GHS995" s="2335"/>
      <c r="GHT995" s="2335"/>
      <c r="GHU995" s="2335"/>
      <c r="GHV995" s="2335"/>
      <c r="GHW995" s="2335"/>
      <c r="GHX995" s="2335"/>
      <c r="GHY995" s="2335"/>
      <c r="GHZ995" s="2335"/>
      <c r="GIA995" s="2335"/>
      <c r="GIB995" s="2335"/>
      <c r="GIC995" s="2335"/>
      <c r="GID995" s="2335"/>
      <c r="GIE995" s="2335"/>
      <c r="GIF995" s="2335"/>
      <c r="GIG995" s="2335"/>
      <c r="GIH995" s="2335"/>
      <c r="GII995" s="2335"/>
      <c r="GIJ995" s="2335"/>
      <c r="GIK995" s="2335"/>
      <c r="GIL995" s="2335"/>
      <c r="GIM995" s="2335"/>
      <c r="GIN995" s="2335"/>
      <c r="GIO995" s="2335"/>
      <c r="GIP995" s="2335"/>
      <c r="GIQ995" s="2335"/>
      <c r="GIR995" s="2335"/>
      <c r="GIS995" s="2335"/>
      <c r="GIT995" s="2335"/>
      <c r="GIU995" s="2335"/>
      <c r="GIV995" s="2335"/>
      <c r="GIW995" s="2335"/>
      <c r="GIX995" s="2335"/>
      <c r="GIY995" s="2335"/>
      <c r="GIZ995" s="2335"/>
      <c r="GJA995" s="2335"/>
      <c r="GJB995" s="2335"/>
      <c r="GJC995" s="2335"/>
      <c r="GJD995" s="2335"/>
      <c r="GJE995" s="2335"/>
      <c r="GJF995" s="2335"/>
      <c r="GJG995" s="2335"/>
      <c r="GJH995" s="2335"/>
      <c r="GJI995" s="2335"/>
      <c r="GJJ995" s="2335"/>
      <c r="GJK995" s="2335"/>
      <c r="GJL995" s="2335"/>
      <c r="GJM995" s="2335"/>
      <c r="GJN995" s="2335"/>
      <c r="GJO995" s="2335"/>
      <c r="GJP995" s="2335"/>
      <c r="GJQ995" s="2335"/>
      <c r="GJR995" s="2335"/>
      <c r="GJS995" s="2335"/>
      <c r="GJT995" s="2335"/>
      <c r="GJU995" s="2335"/>
      <c r="GJV995" s="2335"/>
      <c r="GJW995" s="2335"/>
      <c r="GJX995" s="2335"/>
      <c r="GJY995" s="2335"/>
      <c r="GJZ995" s="2335"/>
      <c r="GKA995" s="2335"/>
      <c r="GKB995" s="2335"/>
      <c r="GKC995" s="2335"/>
      <c r="GKD995" s="2335"/>
      <c r="GKE995" s="2335"/>
      <c r="GKF995" s="2335"/>
      <c r="GKG995" s="2335"/>
      <c r="GKH995" s="2335"/>
      <c r="GKI995" s="2335"/>
      <c r="GKJ995" s="2335"/>
      <c r="GKK995" s="2335"/>
      <c r="GKL995" s="2335"/>
      <c r="GKM995" s="2335"/>
      <c r="GKN995" s="2335"/>
      <c r="GKO995" s="2335"/>
      <c r="GKP995" s="2335"/>
      <c r="GKQ995" s="2335"/>
      <c r="GKR995" s="2335"/>
      <c r="GKS995" s="2335"/>
      <c r="GKT995" s="2335"/>
      <c r="GKU995" s="2335"/>
      <c r="GKV995" s="2335"/>
      <c r="GKW995" s="2335"/>
      <c r="GKX995" s="2335"/>
      <c r="GKY995" s="2335"/>
      <c r="GKZ995" s="2335"/>
      <c r="GLA995" s="2335"/>
      <c r="GLB995" s="2335"/>
      <c r="GLC995" s="2335"/>
      <c r="GLD995" s="2335"/>
      <c r="GLE995" s="2335"/>
      <c r="GLF995" s="2335"/>
      <c r="GLG995" s="2335"/>
      <c r="GLH995" s="2335"/>
      <c r="GLI995" s="2335"/>
      <c r="GLJ995" s="2335"/>
      <c r="GLK995" s="2335"/>
      <c r="GLL995" s="2335"/>
      <c r="GLM995" s="2335"/>
      <c r="GLN995" s="2335"/>
      <c r="GLO995" s="2335"/>
      <c r="GLP995" s="2335"/>
      <c r="GLQ995" s="2335"/>
      <c r="GLR995" s="2335"/>
      <c r="GLS995" s="2335"/>
      <c r="GLT995" s="2335"/>
      <c r="GLU995" s="2335"/>
      <c r="GLV995" s="2335"/>
      <c r="GLW995" s="2335"/>
      <c r="GLX995" s="2335"/>
      <c r="GLY995" s="2335"/>
      <c r="GLZ995" s="2335"/>
      <c r="GMA995" s="2335"/>
      <c r="GMB995" s="2335"/>
      <c r="GMC995" s="2335"/>
      <c r="GMD995" s="2335"/>
      <c r="GME995" s="2335"/>
      <c r="GMF995" s="2335"/>
      <c r="GMG995" s="2335"/>
      <c r="GMH995" s="2335"/>
      <c r="GMI995" s="2335"/>
      <c r="GMJ995" s="2335"/>
      <c r="GMK995" s="2335"/>
      <c r="GML995" s="2335"/>
      <c r="GMM995" s="2335"/>
      <c r="GMN995" s="2335"/>
      <c r="GMO995" s="2335"/>
      <c r="GMP995" s="2335"/>
      <c r="GMQ995" s="2335"/>
      <c r="GMR995" s="2335"/>
      <c r="GMS995" s="2335"/>
      <c r="GMT995" s="2335"/>
      <c r="GMU995" s="2335"/>
      <c r="GMV995" s="2335"/>
      <c r="GMW995" s="2335"/>
      <c r="GMX995" s="2335"/>
      <c r="GMY995" s="2335"/>
      <c r="GMZ995" s="2335"/>
      <c r="GNA995" s="2335"/>
      <c r="GNB995" s="2335"/>
      <c r="GNC995" s="2335"/>
      <c r="GND995" s="2335"/>
      <c r="GNE995" s="2335"/>
      <c r="GNF995" s="2335"/>
      <c r="GNG995" s="2335"/>
      <c r="GNH995" s="2335"/>
      <c r="GNI995" s="2335"/>
      <c r="GNJ995" s="2335"/>
      <c r="GNK995" s="2335"/>
      <c r="GNL995" s="2335"/>
      <c r="GNM995" s="2335"/>
      <c r="GNN995" s="2335"/>
      <c r="GNO995" s="2335"/>
      <c r="GNP995" s="2335"/>
      <c r="GNQ995" s="2335"/>
      <c r="GNR995" s="2335"/>
      <c r="GNS995" s="2335"/>
      <c r="GNT995" s="2335"/>
      <c r="GNU995" s="2335"/>
      <c r="GNV995" s="2335"/>
      <c r="GNW995" s="2335"/>
      <c r="GNX995" s="2335"/>
      <c r="GNY995" s="2335"/>
      <c r="GNZ995" s="2335"/>
      <c r="GOA995" s="2335"/>
      <c r="GOB995" s="2335"/>
      <c r="GOC995" s="2335"/>
      <c r="GOD995" s="2335"/>
      <c r="GOE995" s="2335"/>
      <c r="GOF995" s="2335"/>
      <c r="GOG995" s="2335"/>
      <c r="GOH995" s="2335"/>
      <c r="GOI995" s="2335"/>
      <c r="GOJ995" s="2335"/>
      <c r="GOK995" s="2335"/>
      <c r="GOL995" s="2335"/>
      <c r="GOM995" s="2335"/>
      <c r="GON995" s="2335"/>
      <c r="GOO995" s="2335"/>
      <c r="GOP995" s="2335"/>
      <c r="GOQ995" s="2335"/>
      <c r="GOR995" s="2335"/>
      <c r="GOS995" s="2335"/>
      <c r="GOT995" s="2335"/>
      <c r="GOU995" s="2335"/>
      <c r="GOV995" s="2335"/>
      <c r="GOW995" s="2335"/>
      <c r="GOX995" s="2335"/>
      <c r="GOY995" s="2335"/>
      <c r="GOZ995" s="2335"/>
      <c r="GPA995" s="2335"/>
      <c r="GPB995" s="2335"/>
      <c r="GPC995" s="2335"/>
      <c r="GPD995" s="2335"/>
      <c r="GPE995" s="2335"/>
      <c r="GPF995" s="2335"/>
      <c r="GPG995" s="2335"/>
      <c r="GPH995" s="2335"/>
      <c r="GPI995" s="2335"/>
      <c r="GPJ995" s="2335"/>
      <c r="GPK995" s="2335"/>
      <c r="GPL995" s="2335"/>
      <c r="GPM995" s="2335"/>
      <c r="GPN995" s="2335"/>
      <c r="GPO995" s="2335"/>
      <c r="GPP995" s="2335"/>
      <c r="GPQ995" s="2335"/>
      <c r="GPR995" s="2335"/>
      <c r="GPS995" s="2335"/>
      <c r="GPT995" s="2335"/>
      <c r="GPU995" s="2335"/>
      <c r="GPV995" s="2335"/>
      <c r="GPW995" s="2335"/>
      <c r="GPX995" s="2335"/>
      <c r="GPY995" s="2335"/>
      <c r="GPZ995" s="2335"/>
      <c r="GQA995" s="2335"/>
      <c r="GQB995" s="2335"/>
      <c r="GQC995" s="2335"/>
      <c r="GQD995" s="2335"/>
      <c r="GQE995" s="2335"/>
      <c r="GQF995" s="2335"/>
      <c r="GQG995" s="2335"/>
      <c r="GQH995" s="2335"/>
      <c r="GQI995" s="2335"/>
      <c r="GQJ995" s="2335"/>
      <c r="GQK995" s="2335"/>
      <c r="GQL995" s="2335"/>
      <c r="GQM995" s="2335"/>
      <c r="GQN995" s="2335"/>
      <c r="GQO995" s="2335"/>
      <c r="GQP995" s="2335"/>
      <c r="GQQ995" s="2335"/>
      <c r="GQR995" s="2335"/>
      <c r="GQS995" s="2335"/>
      <c r="GQT995" s="2335"/>
      <c r="GQU995" s="2335"/>
      <c r="GQV995" s="2335"/>
      <c r="GQW995" s="2335"/>
      <c r="GQX995" s="2335"/>
      <c r="GQY995" s="2335"/>
      <c r="GQZ995" s="2335"/>
      <c r="GRA995" s="2335"/>
      <c r="GRB995" s="2335"/>
      <c r="GRC995" s="2335"/>
      <c r="GRD995" s="2335"/>
      <c r="GRE995" s="2335"/>
      <c r="GRF995" s="2335"/>
      <c r="GRG995" s="2335"/>
      <c r="GRH995" s="2335"/>
      <c r="GRI995" s="2335"/>
      <c r="GRJ995" s="2335"/>
      <c r="GRK995" s="2335"/>
      <c r="GRL995" s="2335"/>
      <c r="GRM995" s="2335"/>
      <c r="GRN995" s="2335"/>
      <c r="GRO995" s="2335"/>
      <c r="GRP995" s="2335"/>
      <c r="GRQ995" s="2335"/>
      <c r="GRR995" s="2335"/>
      <c r="GRS995" s="2335"/>
      <c r="GRT995" s="2335"/>
      <c r="GRU995" s="2335"/>
      <c r="GRV995" s="2335"/>
      <c r="GRW995" s="2335"/>
      <c r="GRX995" s="2335"/>
      <c r="GRY995" s="2335"/>
      <c r="GRZ995" s="2335"/>
      <c r="GSA995" s="2335"/>
      <c r="GSB995" s="2335"/>
      <c r="GSC995" s="2335"/>
      <c r="GSD995" s="2335"/>
      <c r="GSE995" s="2335"/>
      <c r="GSF995" s="2335"/>
      <c r="GSG995" s="2335"/>
      <c r="GSH995" s="2335"/>
      <c r="GSI995" s="2335"/>
      <c r="GSJ995" s="2335"/>
      <c r="GSK995" s="2335"/>
      <c r="GSL995" s="2335"/>
      <c r="GSM995" s="2335"/>
      <c r="GSN995" s="2335"/>
      <c r="GSO995" s="2335"/>
      <c r="GSP995" s="2335"/>
      <c r="GSQ995" s="2335"/>
      <c r="GSR995" s="2335"/>
      <c r="GSS995" s="2335"/>
      <c r="GST995" s="2335"/>
      <c r="GSU995" s="2335"/>
      <c r="GSV995" s="2335"/>
      <c r="GSW995" s="2335"/>
      <c r="GSX995" s="2335"/>
      <c r="GSY995" s="2335"/>
      <c r="GSZ995" s="2335"/>
      <c r="GTA995" s="2335"/>
      <c r="GTB995" s="2335"/>
      <c r="GTC995" s="2335"/>
      <c r="GTD995" s="2335"/>
      <c r="GTE995" s="2335"/>
      <c r="GTF995" s="2335"/>
      <c r="GTG995" s="2335"/>
      <c r="GTH995" s="2335"/>
      <c r="GTI995" s="2335"/>
      <c r="GTJ995" s="2335"/>
      <c r="GTK995" s="2335"/>
      <c r="GTL995" s="2335"/>
      <c r="GTM995" s="2335"/>
      <c r="GTN995" s="2335"/>
      <c r="GTO995" s="2335"/>
      <c r="GTP995" s="2335"/>
      <c r="GTQ995" s="2335"/>
      <c r="GTR995" s="2335"/>
      <c r="GTS995" s="2335"/>
      <c r="GTT995" s="2335"/>
      <c r="GTU995" s="2335"/>
      <c r="GTV995" s="2335"/>
      <c r="GTW995" s="2335"/>
      <c r="GTX995" s="2335"/>
      <c r="GTY995" s="2335"/>
      <c r="GTZ995" s="2335"/>
      <c r="GUA995" s="2335"/>
      <c r="GUB995" s="2335"/>
      <c r="GUC995" s="2335"/>
      <c r="GUD995" s="2335"/>
      <c r="GUE995" s="2335"/>
      <c r="GUF995" s="2335"/>
      <c r="GUG995" s="2335"/>
      <c r="GUH995" s="2335"/>
      <c r="GUI995" s="2335"/>
      <c r="GUJ995" s="2335"/>
      <c r="GUK995" s="2335"/>
      <c r="GUL995" s="2335"/>
      <c r="GUM995" s="2335"/>
      <c r="GUN995" s="2335"/>
      <c r="GUO995" s="2335"/>
      <c r="GUP995" s="2335"/>
      <c r="GUQ995" s="2335"/>
      <c r="GUR995" s="2335"/>
      <c r="GUS995" s="2335"/>
      <c r="GUT995" s="2335"/>
      <c r="GUU995" s="2335"/>
      <c r="GUV995" s="2335"/>
      <c r="GUW995" s="2335"/>
      <c r="GUX995" s="2335"/>
      <c r="GUY995" s="2335"/>
      <c r="GUZ995" s="2335"/>
      <c r="GVA995" s="2335"/>
      <c r="GVB995" s="2335"/>
      <c r="GVC995" s="2335"/>
      <c r="GVD995" s="2335"/>
      <c r="GVE995" s="2335"/>
      <c r="GVF995" s="2335"/>
      <c r="GVG995" s="2335"/>
      <c r="GVH995" s="2335"/>
      <c r="GVI995" s="2335"/>
      <c r="GVJ995" s="2335"/>
      <c r="GVK995" s="2335"/>
      <c r="GVL995" s="2335"/>
      <c r="GVM995" s="2335"/>
      <c r="GVN995" s="2335"/>
      <c r="GVO995" s="2335"/>
      <c r="GVP995" s="2335"/>
      <c r="GVQ995" s="2335"/>
      <c r="GVR995" s="2335"/>
      <c r="GVS995" s="2335"/>
      <c r="GVT995" s="2335"/>
      <c r="GVU995" s="2335"/>
      <c r="GVV995" s="2335"/>
      <c r="GVW995" s="2335"/>
      <c r="GVX995" s="2335"/>
      <c r="GVY995" s="2335"/>
      <c r="GVZ995" s="2335"/>
      <c r="GWA995" s="2335"/>
      <c r="GWB995" s="2335"/>
      <c r="GWC995" s="2335"/>
      <c r="GWD995" s="2335"/>
      <c r="GWE995" s="2335"/>
      <c r="GWF995" s="2335"/>
      <c r="GWG995" s="2335"/>
      <c r="GWH995" s="2335"/>
      <c r="GWI995" s="2335"/>
      <c r="GWJ995" s="2335"/>
      <c r="GWK995" s="2335"/>
      <c r="GWL995" s="2335"/>
      <c r="GWM995" s="2335"/>
      <c r="GWN995" s="2335"/>
      <c r="GWO995" s="2335"/>
      <c r="GWP995" s="2335"/>
      <c r="GWQ995" s="2335"/>
      <c r="GWR995" s="2335"/>
      <c r="GWS995" s="2335"/>
      <c r="GWT995" s="2335"/>
      <c r="GWU995" s="2335"/>
      <c r="GWV995" s="2335"/>
      <c r="GWW995" s="2335"/>
      <c r="GWX995" s="2335"/>
      <c r="GWY995" s="2335"/>
      <c r="GWZ995" s="2335"/>
      <c r="GXA995" s="2335"/>
      <c r="GXB995" s="2335"/>
      <c r="GXC995" s="2335"/>
      <c r="GXD995" s="2335"/>
      <c r="GXE995" s="2335"/>
      <c r="GXF995" s="2335"/>
      <c r="GXG995" s="2335"/>
      <c r="GXH995" s="2335"/>
      <c r="GXI995" s="2335"/>
      <c r="GXJ995" s="2335"/>
      <c r="GXK995" s="2335"/>
      <c r="GXL995" s="2335"/>
      <c r="GXM995" s="2335"/>
      <c r="GXN995" s="2335"/>
      <c r="GXO995" s="2335"/>
      <c r="GXP995" s="2335"/>
      <c r="GXQ995" s="2335"/>
      <c r="GXR995" s="2335"/>
      <c r="GXS995" s="2335"/>
      <c r="GXT995" s="2335"/>
      <c r="GXU995" s="2335"/>
      <c r="GXV995" s="2335"/>
      <c r="GXW995" s="2335"/>
      <c r="GXX995" s="2335"/>
      <c r="GXY995" s="2335"/>
      <c r="GXZ995" s="2335"/>
      <c r="GYA995" s="2335"/>
      <c r="GYB995" s="2335"/>
      <c r="GYC995" s="2335"/>
      <c r="GYD995" s="2335"/>
      <c r="GYE995" s="2335"/>
      <c r="GYF995" s="2335"/>
      <c r="GYG995" s="2335"/>
      <c r="GYH995" s="2335"/>
      <c r="GYI995" s="2335"/>
      <c r="GYJ995" s="2335"/>
      <c r="GYK995" s="2335"/>
      <c r="GYL995" s="2335"/>
      <c r="GYM995" s="2335"/>
      <c r="GYN995" s="2335"/>
      <c r="GYO995" s="2335"/>
      <c r="GYP995" s="2335"/>
      <c r="GYQ995" s="2335"/>
      <c r="GYR995" s="2335"/>
      <c r="GYS995" s="2335"/>
      <c r="GYT995" s="2335"/>
      <c r="GYU995" s="2335"/>
      <c r="GYV995" s="2335"/>
      <c r="GYW995" s="2335"/>
      <c r="GYX995" s="2335"/>
      <c r="GYY995" s="2335"/>
      <c r="GYZ995" s="2335"/>
      <c r="GZA995" s="2335"/>
      <c r="GZB995" s="2335"/>
      <c r="GZC995" s="2335"/>
      <c r="GZD995" s="2335"/>
      <c r="GZE995" s="2335"/>
      <c r="GZF995" s="2335"/>
      <c r="GZG995" s="2335"/>
      <c r="GZH995" s="2335"/>
      <c r="GZI995" s="2335"/>
      <c r="GZJ995" s="2335"/>
      <c r="GZK995" s="2335"/>
      <c r="GZL995" s="2335"/>
      <c r="GZM995" s="2335"/>
      <c r="GZN995" s="2335"/>
      <c r="GZO995" s="2335"/>
      <c r="GZP995" s="2335"/>
      <c r="GZQ995" s="2335"/>
      <c r="GZR995" s="2335"/>
      <c r="GZS995" s="2335"/>
      <c r="GZT995" s="2335"/>
      <c r="GZU995" s="2335"/>
      <c r="GZV995" s="2335"/>
      <c r="GZW995" s="2335"/>
      <c r="GZX995" s="2335"/>
      <c r="GZY995" s="2335"/>
      <c r="GZZ995" s="2335"/>
      <c r="HAA995" s="2335"/>
      <c r="HAB995" s="2335"/>
      <c r="HAC995" s="2335"/>
      <c r="HAD995" s="2335"/>
      <c r="HAE995" s="2335"/>
      <c r="HAF995" s="2335"/>
      <c r="HAG995" s="2335"/>
      <c r="HAH995" s="2335"/>
      <c r="HAI995" s="2335"/>
      <c r="HAJ995" s="2335"/>
      <c r="HAK995" s="2335"/>
      <c r="HAL995" s="2335"/>
      <c r="HAM995" s="2335"/>
      <c r="HAN995" s="2335"/>
      <c r="HAO995" s="2335"/>
      <c r="HAP995" s="2335"/>
      <c r="HAQ995" s="2335"/>
      <c r="HAR995" s="2335"/>
      <c r="HAS995" s="2335"/>
      <c r="HAT995" s="2335"/>
      <c r="HAU995" s="2335"/>
      <c r="HAV995" s="2335"/>
      <c r="HAW995" s="2335"/>
      <c r="HAX995" s="2335"/>
      <c r="HAY995" s="2335"/>
      <c r="HAZ995" s="2335"/>
      <c r="HBA995" s="2335"/>
      <c r="HBB995" s="2335"/>
      <c r="HBC995" s="2335"/>
      <c r="HBD995" s="2335"/>
      <c r="HBE995" s="2335"/>
      <c r="HBF995" s="2335"/>
      <c r="HBG995" s="2335"/>
      <c r="HBH995" s="2335"/>
      <c r="HBI995" s="2335"/>
      <c r="HBJ995" s="2335"/>
      <c r="HBK995" s="2335"/>
      <c r="HBL995" s="2335"/>
      <c r="HBM995" s="2335"/>
      <c r="HBN995" s="2335"/>
      <c r="HBO995" s="2335"/>
      <c r="HBP995" s="2335"/>
      <c r="HBQ995" s="2335"/>
      <c r="HBR995" s="2335"/>
      <c r="HBS995" s="2335"/>
      <c r="HBT995" s="2335"/>
      <c r="HBU995" s="2335"/>
      <c r="HBV995" s="2335"/>
      <c r="HBW995" s="2335"/>
      <c r="HBX995" s="2335"/>
      <c r="HBY995" s="2335"/>
      <c r="HBZ995" s="2335"/>
      <c r="HCA995" s="2335"/>
      <c r="HCB995" s="2335"/>
      <c r="HCC995" s="2335"/>
      <c r="HCD995" s="2335"/>
      <c r="HCE995" s="2335"/>
      <c r="HCF995" s="2335"/>
      <c r="HCG995" s="2335"/>
      <c r="HCH995" s="2335"/>
      <c r="HCI995" s="2335"/>
      <c r="HCJ995" s="2335"/>
      <c r="HCK995" s="2335"/>
      <c r="HCL995" s="2335"/>
      <c r="HCM995" s="2335"/>
      <c r="HCN995" s="2335"/>
      <c r="HCO995" s="2335"/>
      <c r="HCP995" s="2335"/>
      <c r="HCQ995" s="2335"/>
      <c r="HCR995" s="2335"/>
      <c r="HCS995" s="2335"/>
      <c r="HCT995" s="2335"/>
      <c r="HCU995" s="2335"/>
      <c r="HCV995" s="2335"/>
      <c r="HCW995" s="2335"/>
      <c r="HCX995" s="2335"/>
      <c r="HCY995" s="2335"/>
      <c r="HCZ995" s="2335"/>
      <c r="HDA995" s="2335"/>
      <c r="HDB995" s="2335"/>
      <c r="HDC995" s="2335"/>
      <c r="HDD995" s="2335"/>
      <c r="HDE995" s="2335"/>
      <c r="HDF995" s="2335"/>
      <c r="HDG995" s="2335"/>
      <c r="HDH995" s="2335"/>
      <c r="HDI995" s="2335"/>
      <c r="HDJ995" s="2335"/>
      <c r="HDK995" s="2335"/>
      <c r="HDL995" s="2335"/>
      <c r="HDM995" s="2335"/>
      <c r="HDN995" s="2335"/>
      <c r="HDO995" s="2335"/>
      <c r="HDP995" s="2335"/>
      <c r="HDQ995" s="2335"/>
      <c r="HDR995" s="2335"/>
      <c r="HDS995" s="2335"/>
      <c r="HDT995" s="2335"/>
      <c r="HDU995" s="2335"/>
      <c r="HDV995" s="2335"/>
      <c r="HDW995" s="2335"/>
      <c r="HDX995" s="2335"/>
      <c r="HDY995" s="2335"/>
      <c r="HDZ995" s="2335"/>
      <c r="HEA995" s="2335"/>
      <c r="HEB995" s="2335"/>
      <c r="HEC995" s="2335"/>
      <c r="HED995" s="2335"/>
      <c r="HEE995" s="2335"/>
      <c r="HEF995" s="2335"/>
      <c r="HEG995" s="2335"/>
      <c r="HEH995" s="2335"/>
      <c r="HEI995" s="2335"/>
      <c r="HEJ995" s="2335"/>
      <c r="HEK995" s="2335"/>
      <c r="HEL995" s="2335"/>
      <c r="HEM995" s="2335"/>
      <c r="HEN995" s="2335"/>
      <c r="HEO995" s="2335"/>
      <c r="HEP995" s="2335"/>
      <c r="HEQ995" s="2335"/>
      <c r="HER995" s="2335"/>
      <c r="HES995" s="2335"/>
      <c r="HET995" s="2335"/>
      <c r="HEU995" s="2335"/>
      <c r="HEV995" s="2335"/>
      <c r="HEW995" s="2335"/>
      <c r="HEX995" s="2335"/>
      <c r="HEY995" s="2335"/>
      <c r="HEZ995" s="2335"/>
      <c r="HFA995" s="2335"/>
      <c r="HFB995" s="2335"/>
      <c r="HFC995" s="2335"/>
      <c r="HFD995" s="2335"/>
      <c r="HFE995" s="2335"/>
      <c r="HFF995" s="2335"/>
      <c r="HFG995" s="2335"/>
      <c r="HFH995" s="2335"/>
      <c r="HFI995" s="2335"/>
      <c r="HFJ995" s="2335"/>
      <c r="HFK995" s="2335"/>
      <c r="HFL995" s="2335"/>
      <c r="HFM995" s="2335"/>
      <c r="HFN995" s="2335"/>
      <c r="HFO995" s="2335"/>
      <c r="HFP995" s="2335"/>
      <c r="HFQ995" s="2335"/>
      <c r="HFR995" s="2335"/>
      <c r="HFS995" s="2335"/>
      <c r="HFT995" s="2335"/>
      <c r="HFU995" s="2335"/>
      <c r="HFV995" s="2335"/>
      <c r="HFW995" s="2335"/>
      <c r="HFX995" s="2335"/>
      <c r="HFY995" s="2335"/>
      <c r="HFZ995" s="2335"/>
      <c r="HGA995" s="2335"/>
      <c r="HGB995" s="2335"/>
      <c r="HGC995" s="2335"/>
      <c r="HGD995" s="2335"/>
      <c r="HGE995" s="2335"/>
      <c r="HGF995" s="2335"/>
      <c r="HGG995" s="2335"/>
      <c r="HGH995" s="2335"/>
      <c r="HGI995" s="2335"/>
      <c r="HGJ995" s="2335"/>
      <c r="HGK995" s="2335"/>
      <c r="HGL995" s="2335"/>
      <c r="HGM995" s="2335"/>
      <c r="HGN995" s="2335"/>
      <c r="HGO995" s="2335"/>
      <c r="HGP995" s="2335"/>
      <c r="HGQ995" s="2335"/>
      <c r="HGR995" s="2335"/>
      <c r="HGS995" s="2335"/>
      <c r="HGT995" s="2335"/>
      <c r="HGU995" s="2335"/>
      <c r="HGV995" s="2335"/>
      <c r="HGW995" s="2335"/>
      <c r="HGX995" s="2335"/>
      <c r="HGY995" s="2335"/>
      <c r="HGZ995" s="2335"/>
      <c r="HHA995" s="2335"/>
      <c r="HHB995" s="2335"/>
      <c r="HHC995" s="2335"/>
      <c r="HHD995" s="2335"/>
      <c r="HHE995" s="2335"/>
      <c r="HHF995" s="2335"/>
      <c r="HHG995" s="2335"/>
      <c r="HHH995" s="2335"/>
      <c r="HHI995" s="2335"/>
      <c r="HHJ995" s="2335"/>
      <c r="HHK995" s="2335"/>
      <c r="HHL995" s="2335"/>
      <c r="HHM995" s="2335"/>
      <c r="HHN995" s="2335"/>
      <c r="HHO995" s="2335"/>
      <c r="HHP995" s="2335"/>
      <c r="HHQ995" s="2335"/>
      <c r="HHR995" s="2335"/>
      <c r="HHS995" s="2335"/>
      <c r="HHT995" s="2335"/>
      <c r="HHU995" s="2335"/>
      <c r="HHV995" s="2335"/>
      <c r="HHW995" s="2335"/>
      <c r="HHX995" s="2335"/>
      <c r="HHY995" s="2335"/>
      <c r="HHZ995" s="2335"/>
      <c r="HIA995" s="2335"/>
      <c r="HIB995" s="2335"/>
      <c r="HIC995" s="2335"/>
      <c r="HID995" s="2335"/>
      <c r="HIE995" s="2335"/>
      <c r="HIF995" s="2335"/>
      <c r="HIG995" s="2335"/>
      <c r="HIH995" s="2335"/>
      <c r="HII995" s="2335"/>
      <c r="HIJ995" s="2335"/>
      <c r="HIK995" s="2335"/>
      <c r="HIL995" s="2335"/>
      <c r="HIM995" s="2335"/>
      <c r="HIN995" s="2335"/>
      <c r="HIO995" s="2335"/>
      <c r="HIP995" s="2335"/>
      <c r="HIQ995" s="2335"/>
      <c r="HIR995" s="2335"/>
      <c r="HIS995" s="2335"/>
      <c r="HIT995" s="2335"/>
      <c r="HIU995" s="2335"/>
      <c r="HIV995" s="2335"/>
      <c r="HIW995" s="2335"/>
      <c r="HIX995" s="2335"/>
      <c r="HIY995" s="2335"/>
      <c r="HIZ995" s="2335"/>
      <c r="HJA995" s="2335"/>
      <c r="HJB995" s="2335"/>
      <c r="HJC995" s="2335"/>
      <c r="HJD995" s="2335"/>
      <c r="HJE995" s="2335"/>
      <c r="HJF995" s="2335"/>
      <c r="HJG995" s="2335"/>
      <c r="HJH995" s="2335"/>
      <c r="HJI995" s="2335"/>
      <c r="HJJ995" s="2335"/>
      <c r="HJK995" s="2335"/>
      <c r="HJL995" s="2335"/>
      <c r="HJM995" s="2335"/>
      <c r="HJN995" s="2335"/>
      <c r="HJO995" s="2335"/>
      <c r="HJP995" s="2335"/>
      <c r="HJQ995" s="2335"/>
      <c r="HJR995" s="2335"/>
      <c r="HJS995" s="2335"/>
      <c r="HJT995" s="2335"/>
      <c r="HJU995" s="2335"/>
      <c r="HJV995" s="2335"/>
      <c r="HJW995" s="2335"/>
      <c r="HJX995" s="2335"/>
      <c r="HJY995" s="2335"/>
      <c r="HJZ995" s="2335"/>
      <c r="HKA995" s="2335"/>
      <c r="HKB995" s="2335"/>
      <c r="HKC995" s="2335"/>
      <c r="HKD995" s="2335"/>
      <c r="HKE995" s="2335"/>
      <c r="HKF995" s="2335"/>
      <c r="HKG995" s="2335"/>
      <c r="HKH995" s="2335"/>
      <c r="HKI995" s="2335"/>
      <c r="HKJ995" s="2335"/>
      <c r="HKK995" s="2335"/>
      <c r="HKL995" s="2335"/>
      <c r="HKM995" s="2335"/>
      <c r="HKN995" s="2335"/>
      <c r="HKO995" s="2335"/>
      <c r="HKP995" s="2335"/>
      <c r="HKQ995" s="2335"/>
      <c r="HKR995" s="2335"/>
      <c r="HKS995" s="2335"/>
      <c r="HKT995" s="2335"/>
      <c r="HKU995" s="2335"/>
      <c r="HKV995" s="2335"/>
      <c r="HKW995" s="2335"/>
      <c r="HKX995" s="2335"/>
      <c r="HKY995" s="2335"/>
      <c r="HKZ995" s="2335"/>
      <c r="HLA995" s="2335"/>
      <c r="HLB995" s="2335"/>
      <c r="HLC995" s="2335"/>
      <c r="HLD995" s="2335"/>
      <c r="HLE995" s="2335"/>
      <c r="HLF995" s="2335"/>
      <c r="HLG995" s="2335"/>
      <c r="HLH995" s="2335"/>
      <c r="HLI995" s="2335"/>
      <c r="HLJ995" s="2335"/>
      <c r="HLK995" s="2335"/>
      <c r="HLL995" s="2335"/>
      <c r="HLM995" s="2335"/>
      <c r="HLN995" s="2335"/>
      <c r="HLO995" s="2335"/>
      <c r="HLP995" s="2335"/>
      <c r="HLQ995" s="2335"/>
      <c r="HLR995" s="2335"/>
      <c r="HLS995" s="2335"/>
      <c r="HLT995" s="2335"/>
      <c r="HLU995" s="2335"/>
      <c r="HLV995" s="2335"/>
      <c r="HLW995" s="2335"/>
      <c r="HLX995" s="2335"/>
      <c r="HLY995" s="2335"/>
      <c r="HLZ995" s="2335"/>
      <c r="HMA995" s="2335"/>
      <c r="HMB995" s="2335"/>
      <c r="HMC995" s="2335"/>
      <c r="HMD995" s="2335"/>
      <c r="HME995" s="2335"/>
      <c r="HMF995" s="2335"/>
      <c r="HMG995" s="2335"/>
      <c r="HMH995" s="2335"/>
      <c r="HMI995" s="2335"/>
      <c r="HMJ995" s="2335"/>
      <c r="HMK995" s="2335"/>
      <c r="HML995" s="2335"/>
      <c r="HMM995" s="2335"/>
      <c r="HMN995" s="2335"/>
      <c r="HMO995" s="2335"/>
      <c r="HMP995" s="2335"/>
      <c r="HMQ995" s="2335"/>
      <c r="HMR995" s="2335"/>
      <c r="HMS995" s="2335"/>
      <c r="HMT995" s="2335"/>
      <c r="HMU995" s="2335"/>
      <c r="HMV995" s="2335"/>
      <c r="HMW995" s="2335"/>
      <c r="HMX995" s="2335"/>
      <c r="HMY995" s="2335"/>
      <c r="HMZ995" s="2335"/>
      <c r="HNA995" s="2335"/>
      <c r="HNB995" s="2335"/>
      <c r="HNC995" s="2335"/>
      <c r="HND995" s="2335"/>
      <c r="HNE995" s="2335"/>
      <c r="HNF995" s="2335"/>
      <c r="HNG995" s="2335"/>
      <c r="HNH995" s="2335"/>
      <c r="HNI995" s="2335"/>
      <c r="HNJ995" s="2335"/>
      <c r="HNK995" s="2335"/>
      <c r="HNL995" s="2335"/>
      <c r="HNM995" s="2335"/>
      <c r="HNN995" s="2335"/>
      <c r="HNO995" s="2335"/>
      <c r="HNP995" s="2335"/>
      <c r="HNQ995" s="2335"/>
      <c r="HNR995" s="2335"/>
      <c r="HNS995" s="2335"/>
      <c r="HNT995" s="2335"/>
      <c r="HNU995" s="2335"/>
      <c r="HNV995" s="2335"/>
      <c r="HNW995" s="2335"/>
      <c r="HNX995" s="2335"/>
      <c r="HNY995" s="2335"/>
      <c r="HNZ995" s="2335"/>
      <c r="HOA995" s="2335"/>
      <c r="HOB995" s="2335"/>
      <c r="HOC995" s="2335"/>
      <c r="HOD995" s="2335"/>
      <c r="HOE995" s="2335"/>
      <c r="HOF995" s="2335"/>
      <c r="HOG995" s="2335"/>
      <c r="HOH995" s="2335"/>
      <c r="HOI995" s="2335"/>
      <c r="HOJ995" s="2335"/>
      <c r="HOK995" s="2335"/>
      <c r="HOL995" s="2335"/>
      <c r="HOM995" s="2335"/>
      <c r="HON995" s="2335"/>
      <c r="HOO995" s="2335"/>
      <c r="HOP995" s="2335"/>
      <c r="HOQ995" s="2335"/>
      <c r="HOR995" s="2335"/>
      <c r="HOS995" s="2335"/>
      <c r="HOT995" s="2335"/>
      <c r="HOU995" s="2335"/>
      <c r="HOV995" s="2335"/>
      <c r="HOW995" s="2335"/>
      <c r="HOX995" s="2335"/>
      <c r="HOY995" s="2335"/>
      <c r="HOZ995" s="2335"/>
      <c r="HPA995" s="2335"/>
      <c r="HPB995" s="2335"/>
      <c r="HPC995" s="2335"/>
      <c r="HPD995" s="2335"/>
      <c r="HPE995" s="2335"/>
      <c r="HPF995" s="2335"/>
      <c r="HPG995" s="2335"/>
      <c r="HPH995" s="2335"/>
      <c r="HPI995" s="2335"/>
      <c r="HPJ995" s="2335"/>
      <c r="HPK995" s="2335"/>
      <c r="HPL995" s="2335"/>
      <c r="HPM995" s="2335"/>
      <c r="HPN995" s="2335"/>
      <c r="HPO995" s="2335"/>
      <c r="HPP995" s="2335"/>
      <c r="HPQ995" s="2335"/>
      <c r="HPR995" s="2335"/>
      <c r="HPS995" s="2335"/>
      <c r="HPT995" s="2335"/>
      <c r="HPU995" s="2335"/>
      <c r="HPV995" s="2335"/>
      <c r="HPW995" s="2335"/>
      <c r="HPX995" s="2335"/>
      <c r="HPY995" s="2335"/>
      <c r="HPZ995" s="2335"/>
      <c r="HQA995" s="2335"/>
      <c r="HQB995" s="2335"/>
      <c r="HQC995" s="2335"/>
      <c r="HQD995" s="2335"/>
      <c r="HQE995" s="2335"/>
      <c r="HQF995" s="2335"/>
      <c r="HQG995" s="2335"/>
      <c r="HQH995" s="2335"/>
      <c r="HQI995" s="2335"/>
      <c r="HQJ995" s="2335"/>
      <c r="HQK995" s="2335"/>
      <c r="HQL995" s="2335"/>
      <c r="HQM995" s="2335"/>
      <c r="HQN995" s="2335"/>
      <c r="HQO995" s="2335"/>
      <c r="HQP995" s="2335"/>
      <c r="HQQ995" s="2335"/>
      <c r="HQR995" s="2335"/>
      <c r="HQS995" s="2335"/>
      <c r="HQT995" s="2335"/>
      <c r="HQU995" s="2335"/>
      <c r="HQV995" s="2335"/>
      <c r="HQW995" s="2335"/>
      <c r="HQX995" s="2335"/>
      <c r="HQY995" s="2335"/>
      <c r="HQZ995" s="2335"/>
      <c r="HRA995" s="2335"/>
      <c r="HRB995" s="2335"/>
      <c r="HRC995" s="2335"/>
      <c r="HRD995" s="2335"/>
      <c r="HRE995" s="2335"/>
      <c r="HRF995" s="2335"/>
      <c r="HRG995" s="2335"/>
      <c r="HRH995" s="2335"/>
      <c r="HRI995" s="2335"/>
      <c r="HRJ995" s="2335"/>
      <c r="HRK995" s="2335"/>
      <c r="HRL995" s="2335"/>
      <c r="HRM995" s="2335"/>
      <c r="HRN995" s="2335"/>
      <c r="HRO995" s="2335"/>
      <c r="HRP995" s="2335"/>
      <c r="HRQ995" s="2335"/>
      <c r="HRR995" s="2335"/>
      <c r="HRS995" s="2335"/>
      <c r="HRT995" s="2335"/>
      <c r="HRU995" s="2335"/>
      <c r="HRV995" s="2335"/>
      <c r="HRW995" s="2335"/>
      <c r="HRX995" s="2335"/>
      <c r="HRY995" s="2335"/>
      <c r="HRZ995" s="2335"/>
      <c r="HSA995" s="2335"/>
      <c r="HSB995" s="2335"/>
      <c r="HSC995" s="2335"/>
      <c r="HSD995" s="2335"/>
      <c r="HSE995" s="2335"/>
      <c r="HSF995" s="2335"/>
      <c r="HSG995" s="2335"/>
      <c r="HSH995" s="2335"/>
      <c r="HSI995" s="2335"/>
      <c r="HSJ995" s="2335"/>
      <c r="HSK995" s="2335"/>
      <c r="HSL995" s="2335"/>
      <c r="HSM995" s="2335"/>
      <c r="HSN995" s="2335"/>
      <c r="HSO995" s="2335"/>
      <c r="HSP995" s="2335"/>
      <c r="HSQ995" s="2335"/>
      <c r="HSR995" s="2335"/>
      <c r="HSS995" s="2335"/>
      <c r="HST995" s="2335"/>
      <c r="HSU995" s="2335"/>
      <c r="HSV995" s="2335"/>
      <c r="HSW995" s="2335"/>
      <c r="HSX995" s="2335"/>
      <c r="HSY995" s="2335"/>
      <c r="HSZ995" s="2335"/>
      <c r="HTA995" s="2335"/>
      <c r="HTB995" s="2335"/>
      <c r="HTC995" s="2335"/>
      <c r="HTD995" s="2335"/>
      <c r="HTE995" s="2335"/>
      <c r="HTF995" s="2335"/>
      <c r="HTG995" s="2335"/>
      <c r="HTH995" s="2335"/>
      <c r="HTI995" s="2335"/>
      <c r="HTJ995" s="2335"/>
      <c r="HTK995" s="2335"/>
      <c r="HTL995" s="2335"/>
      <c r="HTM995" s="2335"/>
      <c r="HTN995" s="2335"/>
      <c r="HTO995" s="2335"/>
      <c r="HTP995" s="2335"/>
      <c r="HTQ995" s="2335"/>
      <c r="HTR995" s="2335"/>
      <c r="HTS995" s="2335"/>
      <c r="HTT995" s="2335"/>
      <c r="HTU995" s="2335"/>
      <c r="HTV995" s="2335"/>
      <c r="HTW995" s="2335"/>
      <c r="HTX995" s="2335"/>
      <c r="HTY995" s="2335"/>
      <c r="HTZ995" s="2335"/>
      <c r="HUA995" s="2335"/>
      <c r="HUB995" s="2335"/>
      <c r="HUC995" s="2335"/>
      <c r="HUD995" s="2335"/>
      <c r="HUE995" s="2335"/>
      <c r="HUF995" s="2335"/>
      <c r="HUG995" s="2335"/>
      <c r="HUH995" s="2335"/>
      <c r="HUI995" s="2335"/>
      <c r="HUJ995" s="2335"/>
      <c r="HUK995" s="2335"/>
      <c r="HUL995" s="2335"/>
      <c r="HUM995" s="2335"/>
      <c r="HUN995" s="2335"/>
      <c r="HUO995" s="2335"/>
      <c r="HUP995" s="2335"/>
      <c r="HUQ995" s="2335"/>
      <c r="HUR995" s="2335"/>
      <c r="HUS995" s="2335"/>
      <c r="HUT995" s="2335"/>
      <c r="HUU995" s="2335"/>
      <c r="HUV995" s="2335"/>
      <c r="HUW995" s="2335"/>
      <c r="HUX995" s="2335"/>
      <c r="HUY995" s="2335"/>
      <c r="HUZ995" s="2335"/>
      <c r="HVA995" s="2335"/>
      <c r="HVB995" s="2335"/>
      <c r="HVC995" s="2335"/>
      <c r="HVD995" s="2335"/>
      <c r="HVE995" s="2335"/>
      <c r="HVF995" s="2335"/>
      <c r="HVG995" s="2335"/>
      <c r="HVH995" s="2335"/>
      <c r="HVI995" s="2335"/>
      <c r="HVJ995" s="2335"/>
      <c r="HVK995" s="2335"/>
      <c r="HVL995" s="2335"/>
      <c r="HVM995" s="2335"/>
      <c r="HVN995" s="2335"/>
      <c r="HVO995" s="2335"/>
      <c r="HVP995" s="2335"/>
      <c r="HVQ995" s="2335"/>
      <c r="HVR995" s="2335"/>
      <c r="HVS995" s="2335"/>
      <c r="HVT995" s="2335"/>
      <c r="HVU995" s="2335"/>
      <c r="HVV995" s="2335"/>
      <c r="HVW995" s="2335"/>
      <c r="HVX995" s="2335"/>
      <c r="HVY995" s="2335"/>
      <c r="HVZ995" s="2335"/>
      <c r="HWA995" s="2335"/>
      <c r="HWB995" s="2335"/>
      <c r="HWC995" s="2335"/>
      <c r="HWD995" s="2335"/>
      <c r="HWE995" s="2335"/>
      <c r="HWF995" s="2335"/>
      <c r="HWG995" s="2335"/>
      <c r="HWH995" s="2335"/>
      <c r="HWI995" s="2335"/>
      <c r="HWJ995" s="2335"/>
      <c r="HWK995" s="2335"/>
      <c r="HWL995" s="2335"/>
      <c r="HWM995" s="2335"/>
      <c r="HWN995" s="2335"/>
      <c r="HWO995" s="2335"/>
      <c r="HWP995" s="2335"/>
      <c r="HWQ995" s="2335"/>
      <c r="HWR995" s="2335"/>
      <c r="HWS995" s="2335"/>
      <c r="HWT995" s="2335"/>
      <c r="HWU995" s="2335"/>
      <c r="HWV995" s="2335"/>
      <c r="HWW995" s="2335"/>
      <c r="HWX995" s="2335"/>
      <c r="HWY995" s="2335"/>
      <c r="HWZ995" s="2335"/>
      <c r="HXA995" s="2335"/>
      <c r="HXB995" s="2335"/>
      <c r="HXC995" s="2335"/>
      <c r="HXD995" s="2335"/>
      <c r="HXE995" s="2335"/>
      <c r="HXF995" s="2335"/>
      <c r="HXG995" s="2335"/>
      <c r="HXH995" s="2335"/>
      <c r="HXI995" s="2335"/>
      <c r="HXJ995" s="2335"/>
      <c r="HXK995" s="2335"/>
      <c r="HXL995" s="2335"/>
      <c r="HXM995" s="2335"/>
      <c r="HXN995" s="2335"/>
      <c r="HXO995" s="2335"/>
      <c r="HXP995" s="2335"/>
      <c r="HXQ995" s="2335"/>
      <c r="HXR995" s="2335"/>
      <c r="HXS995" s="2335"/>
      <c r="HXT995" s="2335"/>
      <c r="HXU995" s="2335"/>
      <c r="HXV995" s="2335"/>
      <c r="HXW995" s="2335"/>
      <c r="HXX995" s="2335"/>
      <c r="HXY995" s="2335"/>
      <c r="HXZ995" s="2335"/>
      <c r="HYA995" s="2335"/>
      <c r="HYB995" s="2335"/>
      <c r="HYC995" s="2335"/>
      <c r="HYD995" s="2335"/>
      <c r="HYE995" s="2335"/>
      <c r="HYF995" s="2335"/>
      <c r="HYG995" s="2335"/>
      <c r="HYH995" s="2335"/>
      <c r="HYI995" s="2335"/>
      <c r="HYJ995" s="2335"/>
      <c r="HYK995" s="2335"/>
      <c r="HYL995" s="2335"/>
      <c r="HYM995" s="2335"/>
      <c r="HYN995" s="2335"/>
      <c r="HYO995" s="2335"/>
      <c r="HYP995" s="2335"/>
      <c r="HYQ995" s="2335"/>
      <c r="HYR995" s="2335"/>
      <c r="HYS995" s="2335"/>
      <c r="HYT995" s="2335"/>
      <c r="HYU995" s="2335"/>
      <c r="HYV995" s="2335"/>
      <c r="HYW995" s="2335"/>
      <c r="HYX995" s="2335"/>
      <c r="HYY995" s="2335"/>
      <c r="HYZ995" s="2335"/>
      <c r="HZA995" s="2335"/>
      <c r="HZB995" s="2335"/>
      <c r="HZC995" s="2335"/>
      <c r="HZD995" s="2335"/>
      <c r="HZE995" s="2335"/>
      <c r="HZF995" s="2335"/>
      <c r="HZG995" s="2335"/>
      <c r="HZH995" s="2335"/>
      <c r="HZI995" s="2335"/>
      <c r="HZJ995" s="2335"/>
      <c r="HZK995" s="2335"/>
      <c r="HZL995" s="2335"/>
      <c r="HZM995" s="2335"/>
      <c r="HZN995" s="2335"/>
      <c r="HZO995" s="2335"/>
      <c r="HZP995" s="2335"/>
      <c r="HZQ995" s="2335"/>
      <c r="HZR995" s="2335"/>
      <c r="HZS995" s="2335"/>
      <c r="HZT995" s="2335"/>
      <c r="HZU995" s="2335"/>
      <c r="HZV995" s="2335"/>
      <c r="HZW995" s="2335"/>
      <c r="HZX995" s="2335"/>
      <c r="HZY995" s="2335"/>
      <c r="HZZ995" s="2335"/>
      <c r="IAA995" s="2335"/>
      <c r="IAB995" s="2335"/>
      <c r="IAC995" s="2335"/>
      <c r="IAD995" s="2335"/>
      <c r="IAE995" s="2335"/>
      <c r="IAF995" s="2335"/>
      <c r="IAG995" s="2335"/>
      <c r="IAH995" s="2335"/>
      <c r="IAI995" s="2335"/>
      <c r="IAJ995" s="2335"/>
      <c r="IAK995" s="2335"/>
      <c r="IAL995" s="2335"/>
      <c r="IAM995" s="2335"/>
      <c r="IAN995" s="2335"/>
      <c r="IAO995" s="2335"/>
      <c r="IAP995" s="2335"/>
      <c r="IAQ995" s="2335"/>
      <c r="IAR995" s="2335"/>
      <c r="IAS995" s="2335"/>
      <c r="IAT995" s="2335"/>
      <c r="IAU995" s="2335"/>
      <c r="IAV995" s="2335"/>
      <c r="IAW995" s="2335"/>
      <c r="IAX995" s="2335"/>
      <c r="IAY995" s="2335"/>
      <c r="IAZ995" s="2335"/>
      <c r="IBA995" s="2335"/>
      <c r="IBB995" s="2335"/>
      <c r="IBC995" s="2335"/>
      <c r="IBD995" s="2335"/>
      <c r="IBE995" s="2335"/>
      <c r="IBF995" s="2335"/>
      <c r="IBG995" s="2335"/>
      <c r="IBH995" s="2335"/>
      <c r="IBI995" s="2335"/>
      <c r="IBJ995" s="2335"/>
      <c r="IBK995" s="2335"/>
      <c r="IBL995" s="2335"/>
      <c r="IBM995" s="2335"/>
      <c r="IBN995" s="2335"/>
      <c r="IBO995" s="2335"/>
      <c r="IBP995" s="2335"/>
      <c r="IBQ995" s="2335"/>
      <c r="IBR995" s="2335"/>
      <c r="IBS995" s="2335"/>
      <c r="IBT995" s="2335"/>
      <c r="IBU995" s="2335"/>
      <c r="IBV995" s="2335"/>
      <c r="IBW995" s="2335"/>
      <c r="IBX995" s="2335"/>
      <c r="IBY995" s="2335"/>
      <c r="IBZ995" s="2335"/>
      <c r="ICA995" s="2335"/>
      <c r="ICB995" s="2335"/>
      <c r="ICC995" s="2335"/>
      <c r="ICD995" s="2335"/>
      <c r="ICE995" s="2335"/>
      <c r="ICF995" s="2335"/>
      <c r="ICG995" s="2335"/>
      <c r="ICH995" s="2335"/>
      <c r="ICI995" s="2335"/>
      <c r="ICJ995" s="2335"/>
      <c r="ICK995" s="2335"/>
      <c r="ICL995" s="2335"/>
      <c r="ICM995" s="2335"/>
      <c r="ICN995" s="2335"/>
      <c r="ICO995" s="2335"/>
      <c r="ICP995" s="2335"/>
      <c r="ICQ995" s="2335"/>
      <c r="ICR995" s="2335"/>
      <c r="ICS995" s="2335"/>
      <c r="ICT995" s="2335"/>
      <c r="ICU995" s="2335"/>
      <c r="ICV995" s="2335"/>
      <c r="ICW995" s="2335"/>
      <c r="ICX995" s="2335"/>
      <c r="ICY995" s="2335"/>
      <c r="ICZ995" s="2335"/>
      <c r="IDA995" s="2335"/>
      <c r="IDB995" s="2335"/>
      <c r="IDC995" s="2335"/>
      <c r="IDD995" s="2335"/>
      <c r="IDE995" s="2335"/>
      <c r="IDF995" s="2335"/>
      <c r="IDG995" s="2335"/>
      <c r="IDH995" s="2335"/>
      <c r="IDI995" s="2335"/>
      <c r="IDJ995" s="2335"/>
      <c r="IDK995" s="2335"/>
      <c r="IDL995" s="2335"/>
      <c r="IDM995" s="2335"/>
      <c r="IDN995" s="2335"/>
      <c r="IDO995" s="2335"/>
      <c r="IDP995" s="2335"/>
      <c r="IDQ995" s="2335"/>
      <c r="IDR995" s="2335"/>
      <c r="IDS995" s="2335"/>
      <c r="IDT995" s="2335"/>
      <c r="IDU995" s="2335"/>
      <c r="IDV995" s="2335"/>
      <c r="IDW995" s="2335"/>
      <c r="IDX995" s="2335"/>
      <c r="IDY995" s="2335"/>
      <c r="IDZ995" s="2335"/>
      <c r="IEA995" s="2335"/>
      <c r="IEB995" s="2335"/>
      <c r="IEC995" s="2335"/>
      <c r="IED995" s="2335"/>
      <c r="IEE995" s="2335"/>
      <c r="IEF995" s="2335"/>
      <c r="IEG995" s="2335"/>
      <c r="IEH995" s="2335"/>
      <c r="IEI995" s="2335"/>
      <c r="IEJ995" s="2335"/>
      <c r="IEK995" s="2335"/>
      <c r="IEL995" s="2335"/>
      <c r="IEM995" s="2335"/>
      <c r="IEN995" s="2335"/>
      <c r="IEO995" s="2335"/>
      <c r="IEP995" s="2335"/>
      <c r="IEQ995" s="2335"/>
      <c r="IER995" s="2335"/>
      <c r="IES995" s="2335"/>
      <c r="IET995" s="2335"/>
      <c r="IEU995" s="2335"/>
      <c r="IEV995" s="2335"/>
      <c r="IEW995" s="2335"/>
      <c r="IEX995" s="2335"/>
      <c r="IEY995" s="2335"/>
      <c r="IEZ995" s="2335"/>
      <c r="IFA995" s="2335"/>
      <c r="IFB995" s="2335"/>
      <c r="IFC995" s="2335"/>
      <c r="IFD995" s="2335"/>
      <c r="IFE995" s="2335"/>
      <c r="IFF995" s="2335"/>
      <c r="IFG995" s="2335"/>
      <c r="IFH995" s="2335"/>
      <c r="IFI995" s="2335"/>
      <c r="IFJ995" s="2335"/>
      <c r="IFK995" s="2335"/>
      <c r="IFL995" s="2335"/>
      <c r="IFM995" s="2335"/>
      <c r="IFN995" s="2335"/>
      <c r="IFO995" s="2335"/>
      <c r="IFP995" s="2335"/>
      <c r="IFQ995" s="2335"/>
      <c r="IFR995" s="2335"/>
      <c r="IFS995" s="2335"/>
      <c r="IFT995" s="2335"/>
      <c r="IFU995" s="2335"/>
      <c r="IFV995" s="2335"/>
      <c r="IFW995" s="2335"/>
      <c r="IFX995" s="2335"/>
      <c r="IFY995" s="2335"/>
      <c r="IFZ995" s="2335"/>
      <c r="IGA995" s="2335"/>
      <c r="IGB995" s="2335"/>
      <c r="IGC995" s="2335"/>
      <c r="IGD995" s="2335"/>
      <c r="IGE995" s="2335"/>
      <c r="IGF995" s="2335"/>
      <c r="IGG995" s="2335"/>
      <c r="IGH995" s="2335"/>
      <c r="IGI995" s="2335"/>
      <c r="IGJ995" s="2335"/>
      <c r="IGK995" s="2335"/>
      <c r="IGL995" s="2335"/>
      <c r="IGM995" s="2335"/>
      <c r="IGN995" s="2335"/>
      <c r="IGO995" s="2335"/>
      <c r="IGP995" s="2335"/>
      <c r="IGQ995" s="2335"/>
      <c r="IGR995" s="2335"/>
      <c r="IGS995" s="2335"/>
      <c r="IGT995" s="2335"/>
      <c r="IGU995" s="2335"/>
      <c r="IGV995" s="2335"/>
      <c r="IGW995" s="2335"/>
      <c r="IGX995" s="2335"/>
      <c r="IGY995" s="2335"/>
      <c r="IGZ995" s="2335"/>
      <c r="IHA995" s="2335"/>
      <c r="IHB995" s="2335"/>
      <c r="IHC995" s="2335"/>
      <c r="IHD995" s="2335"/>
      <c r="IHE995" s="2335"/>
      <c r="IHF995" s="2335"/>
      <c r="IHG995" s="2335"/>
      <c r="IHH995" s="2335"/>
      <c r="IHI995" s="2335"/>
      <c r="IHJ995" s="2335"/>
      <c r="IHK995" s="2335"/>
      <c r="IHL995" s="2335"/>
      <c r="IHM995" s="2335"/>
      <c r="IHN995" s="2335"/>
      <c r="IHO995" s="2335"/>
      <c r="IHP995" s="2335"/>
      <c r="IHQ995" s="2335"/>
      <c r="IHR995" s="2335"/>
      <c r="IHS995" s="2335"/>
      <c r="IHT995" s="2335"/>
      <c r="IHU995" s="2335"/>
      <c r="IHV995" s="2335"/>
      <c r="IHW995" s="2335"/>
      <c r="IHX995" s="2335"/>
      <c r="IHY995" s="2335"/>
      <c r="IHZ995" s="2335"/>
      <c r="IIA995" s="2335"/>
      <c r="IIB995" s="2335"/>
      <c r="IIC995" s="2335"/>
      <c r="IID995" s="2335"/>
      <c r="IIE995" s="2335"/>
      <c r="IIF995" s="2335"/>
      <c r="IIG995" s="2335"/>
      <c r="IIH995" s="2335"/>
      <c r="III995" s="2335"/>
      <c r="IIJ995" s="2335"/>
      <c r="IIK995" s="2335"/>
      <c r="IIL995" s="2335"/>
      <c r="IIM995" s="2335"/>
      <c r="IIN995" s="2335"/>
      <c r="IIO995" s="2335"/>
      <c r="IIP995" s="2335"/>
      <c r="IIQ995" s="2335"/>
      <c r="IIR995" s="2335"/>
      <c r="IIS995" s="2335"/>
      <c r="IIT995" s="2335"/>
      <c r="IIU995" s="2335"/>
      <c r="IIV995" s="2335"/>
      <c r="IIW995" s="2335"/>
      <c r="IIX995" s="2335"/>
      <c r="IIY995" s="2335"/>
      <c r="IIZ995" s="2335"/>
      <c r="IJA995" s="2335"/>
      <c r="IJB995" s="2335"/>
      <c r="IJC995" s="2335"/>
      <c r="IJD995" s="2335"/>
      <c r="IJE995" s="2335"/>
      <c r="IJF995" s="2335"/>
      <c r="IJG995" s="2335"/>
      <c r="IJH995" s="2335"/>
      <c r="IJI995" s="2335"/>
      <c r="IJJ995" s="2335"/>
      <c r="IJK995" s="2335"/>
      <c r="IJL995" s="2335"/>
      <c r="IJM995" s="2335"/>
      <c r="IJN995" s="2335"/>
      <c r="IJO995" s="2335"/>
      <c r="IJP995" s="2335"/>
      <c r="IJQ995" s="2335"/>
      <c r="IJR995" s="2335"/>
      <c r="IJS995" s="2335"/>
      <c r="IJT995" s="2335"/>
      <c r="IJU995" s="2335"/>
      <c r="IJV995" s="2335"/>
      <c r="IJW995" s="2335"/>
      <c r="IJX995" s="2335"/>
      <c r="IJY995" s="2335"/>
      <c r="IJZ995" s="2335"/>
      <c r="IKA995" s="2335"/>
      <c r="IKB995" s="2335"/>
      <c r="IKC995" s="2335"/>
      <c r="IKD995" s="2335"/>
      <c r="IKE995" s="2335"/>
      <c r="IKF995" s="2335"/>
      <c r="IKG995" s="2335"/>
      <c r="IKH995" s="2335"/>
      <c r="IKI995" s="2335"/>
      <c r="IKJ995" s="2335"/>
      <c r="IKK995" s="2335"/>
      <c r="IKL995" s="2335"/>
      <c r="IKM995" s="2335"/>
      <c r="IKN995" s="2335"/>
      <c r="IKO995" s="2335"/>
      <c r="IKP995" s="2335"/>
      <c r="IKQ995" s="2335"/>
      <c r="IKR995" s="2335"/>
      <c r="IKS995" s="2335"/>
      <c r="IKT995" s="2335"/>
      <c r="IKU995" s="2335"/>
      <c r="IKV995" s="2335"/>
      <c r="IKW995" s="2335"/>
      <c r="IKX995" s="2335"/>
      <c r="IKY995" s="2335"/>
      <c r="IKZ995" s="2335"/>
      <c r="ILA995" s="2335"/>
      <c r="ILB995" s="2335"/>
      <c r="ILC995" s="2335"/>
      <c r="ILD995" s="2335"/>
      <c r="ILE995" s="2335"/>
      <c r="ILF995" s="2335"/>
      <c r="ILG995" s="2335"/>
      <c r="ILH995" s="2335"/>
      <c r="ILI995" s="2335"/>
      <c r="ILJ995" s="2335"/>
      <c r="ILK995" s="2335"/>
      <c r="ILL995" s="2335"/>
      <c r="ILM995" s="2335"/>
      <c r="ILN995" s="2335"/>
      <c r="ILO995" s="2335"/>
      <c r="ILP995" s="2335"/>
      <c r="ILQ995" s="2335"/>
      <c r="ILR995" s="2335"/>
      <c r="ILS995" s="2335"/>
      <c r="ILT995" s="2335"/>
      <c r="ILU995" s="2335"/>
      <c r="ILV995" s="2335"/>
      <c r="ILW995" s="2335"/>
      <c r="ILX995" s="2335"/>
      <c r="ILY995" s="2335"/>
      <c r="ILZ995" s="2335"/>
      <c r="IMA995" s="2335"/>
      <c r="IMB995" s="2335"/>
      <c r="IMC995" s="2335"/>
      <c r="IMD995" s="2335"/>
      <c r="IME995" s="2335"/>
      <c r="IMF995" s="2335"/>
      <c r="IMG995" s="2335"/>
      <c r="IMH995" s="2335"/>
      <c r="IMI995" s="2335"/>
      <c r="IMJ995" s="2335"/>
      <c r="IMK995" s="2335"/>
      <c r="IML995" s="2335"/>
      <c r="IMM995" s="2335"/>
      <c r="IMN995" s="2335"/>
      <c r="IMO995" s="2335"/>
      <c r="IMP995" s="2335"/>
      <c r="IMQ995" s="2335"/>
      <c r="IMR995" s="2335"/>
      <c r="IMS995" s="2335"/>
      <c r="IMT995" s="2335"/>
      <c r="IMU995" s="2335"/>
      <c r="IMV995" s="2335"/>
      <c r="IMW995" s="2335"/>
      <c r="IMX995" s="2335"/>
      <c r="IMY995" s="2335"/>
      <c r="IMZ995" s="2335"/>
      <c r="INA995" s="2335"/>
      <c r="INB995" s="2335"/>
      <c r="INC995" s="2335"/>
      <c r="IND995" s="2335"/>
      <c r="INE995" s="2335"/>
      <c r="INF995" s="2335"/>
      <c r="ING995" s="2335"/>
      <c r="INH995" s="2335"/>
      <c r="INI995" s="2335"/>
      <c r="INJ995" s="2335"/>
      <c r="INK995" s="2335"/>
      <c r="INL995" s="2335"/>
      <c r="INM995" s="2335"/>
      <c r="INN995" s="2335"/>
      <c r="INO995" s="2335"/>
      <c r="INP995" s="2335"/>
      <c r="INQ995" s="2335"/>
      <c r="INR995" s="2335"/>
      <c r="INS995" s="2335"/>
      <c r="INT995" s="2335"/>
      <c r="INU995" s="2335"/>
      <c r="INV995" s="2335"/>
      <c r="INW995" s="2335"/>
      <c r="INX995" s="2335"/>
      <c r="INY995" s="2335"/>
      <c r="INZ995" s="2335"/>
      <c r="IOA995" s="2335"/>
      <c r="IOB995" s="2335"/>
      <c r="IOC995" s="2335"/>
      <c r="IOD995" s="2335"/>
      <c r="IOE995" s="2335"/>
      <c r="IOF995" s="2335"/>
      <c r="IOG995" s="2335"/>
      <c r="IOH995" s="2335"/>
      <c r="IOI995" s="2335"/>
      <c r="IOJ995" s="2335"/>
      <c r="IOK995" s="2335"/>
      <c r="IOL995" s="2335"/>
      <c r="IOM995" s="2335"/>
      <c r="ION995" s="2335"/>
      <c r="IOO995" s="2335"/>
      <c r="IOP995" s="2335"/>
      <c r="IOQ995" s="2335"/>
      <c r="IOR995" s="2335"/>
      <c r="IOS995" s="2335"/>
      <c r="IOT995" s="2335"/>
      <c r="IOU995" s="2335"/>
      <c r="IOV995" s="2335"/>
      <c r="IOW995" s="2335"/>
      <c r="IOX995" s="2335"/>
      <c r="IOY995" s="2335"/>
      <c r="IOZ995" s="2335"/>
      <c r="IPA995" s="2335"/>
      <c r="IPB995" s="2335"/>
      <c r="IPC995" s="2335"/>
      <c r="IPD995" s="2335"/>
      <c r="IPE995" s="2335"/>
      <c r="IPF995" s="2335"/>
      <c r="IPG995" s="2335"/>
      <c r="IPH995" s="2335"/>
      <c r="IPI995" s="2335"/>
      <c r="IPJ995" s="2335"/>
      <c r="IPK995" s="2335"/>
      <c r="IPL995" s="2335"/>
      <c r="IPM995" s="2335"/>
      <c r="IPN995" s="2335"/>
      <c r="IPO995" s="2335"/>
      <c r="IPP995" s="2335"/>
      <c r="IPQ995" s="2335"/>
      <c r="IPR995" s="2335"/>
      <c r="IPS995" s="2335"/>
      <c r="IPT995" s="2335"/>
      <c r="IPU995" s="2335"/>
      <c r="IPV995" s="2335"/>
      <c r="IPW995" s="2335"/>
      <c r="IPX995" s="2335"/>
      <c r="IPY995" s="2335"/>
      <c r="IPZ995" s="2335"/>
      <c r="IQA995" s="2335"/>
      <c r="IQB995" s="2335"/>
      <c r="IQC995" s="2335"/>
      <c r="IQD995" s="2335"/>
      <c r="IQE995" s="2335"/>
      <c r="IQF995" s="2335"/>
      <c r="IQG995" s="2335"/>
      <c r="IQH995" s="2335"/>
      <c r="IQI995" s="2335"/>
      <c r="IQJ995" s="2335"/>
      <c r="IQK995" s="2335"/>
      <c r="IQL995" s="2335"/>
      <c r="IQM995" s="2335"/>
      <c r="IQN995" s="2335"/>
      <c r="IQO995" s="2335"/>
      <c r="IQP995" s="2335"/>
      <c r="IQQ995" s="2335"/>
      <c r="IQR995" s="2335"/>
      <c r="IQS995" s="2335"/>
      <c r="IQT995" s="2335"/>
      <c r="IQU995" s="2335"/>
      <c r="IQV995" s="2335"/>
      <c r="IQW995" s="2335"/>
      <c r="IQX995" s="2335"/>
      <c r="IQY995" s="2335"/>
      <c r="IQZ995" s="2335"/>
      <c r="IRA995" s="2335"/>
      <c r="IRB995" s="2335"/>
      <c r="IRC995" s="2335"/>
      <c r="IRD995" s="2335"/>
      <c r="IRE995" s="2335"/>
      <c r="IRF995" s="2335"/>
      <c r="IRG995" s="2335"/>
      <c r="IRH995" s="2335"/>
      <c r="IRI995" s="2335"/>
      <c r="IRJ995" s="2335"/>
      <c r="IRK995" s="2335"/>
      <c r="IRL995" s="2335"/>
      <c r="IRM995" s="2335"/>
      <c r="IRN995" s="2335"/>
      <c r="IRO995" s="2335"/>
      <c r="IRP995" s="2335"/>
      <c r="IRQ995" s="2335"/>
      <c r="IRR995" s="2335"/>
      <c r="IRS995" s="2335"/>
      <c r="IRT995" s="2335"/>
      <c r="IRU995" s="2335"/>
      <c r="IRV995" s="2335"/>
      <c r="IRW995" s="2335"/>
      <c r="IRX995" s="2335"/>
      <c r="IRY995" s="2335"/>
      <c r="IRZ995" s="2335"/>
      <c r="ISA995" s="2335"/>
      <c r="ISB995" s="2335"/>
      <c r="ISC995" s="2335"/>
      <c r="ISD995" s="2335"/>
      <c r="ISE995" s="2335"/>
      <c r="ISF995" s="2335"/>
      <c r="ISG995" s="2335"/>
      <c r="ISH995" s="2335"/>
      <c r="ISI995" s="2335"/>
      <c r="ISJ995" s="2335"/>
      <c r="ISK995" s="2335"/>
      <c r="ISL995" s="2335"/>
      <c r="ISM995" s="2335"/>
      <c r="ISN995" s="2335"/>
      <c r="ISO995" s="2335"/>
      <c r="ISP995" s="2335"/>
      <c r="ISQ995" s="2335"/>
      <c r="ISR995" s="2335"/>
      <c r="ISS995" s="2335"/>
      <c r="IST995" s="2335"/>
      <c r="ISU995" s="2335"/>
      <c r="ISV995" s="2335"/>
      <c r="ISW995" s="2335"/>
      <c r="ISX995" s="2335"/>
      <c r="ISY995" s="2335"/>
      <c r="ISZ995" s="2335"/>
      <c r="ITA995" s="2335"/>
      <c r="ITB995" s="2335"/>
      <c r="ITC995" s="2335"/>
      <c r="ITD995" s="2335"/>
      <c r="ITE995" s="2335"/>
      <c r="ITF995" s="2335"/>
      <c r="ITG995" s="2335"/>
      <c r="ITH995" s="2335"/>
      <c r="ITI995" s="2335"/>
      <c r="ITJ995" s="2335"/>
      <c r="ITK995" s="2335"/>
      <c r="ITL995" s="2335"/>
      <c r="ITM995" s="2335"/>
      <c r="ITN995" s="2335"/>
      <c r="ITO995" s="2335"/>
      <c r="ITP995" s="2335"/>
      <c r="ITQ995" s="2335"/>
      <c r="ITR995" s="2335"/>
      <c r="ITS995" s="2335"/>
      <c r="ITT995" s="2335"/>
      <c r="ITU995" s="2335"/>
      <c r="ITV995" s="2335"/>
      <c r="ITW995" s="2335"/>
      <c r="ITX995" s="2335"/>
      <c r="ITY995" s="2335"/>
      <c r="ITZ995" s="2335"/>
      <c r="IUA995" s="2335"/>
      <c r="IUB995" s="2335"/>
      <c r="IUC995" s="2335"/>
      <c r="IUD995" s="2335"/>
      <c r="IUE995" s="2335"/>
      <c r="IUF995" s="2335"/>
      <c r="IUG995" s="2335"/>
      <c r="IUH995" s="2335"/>
      <c r="IUI995" s="2335"/>
      <c r="IUJ995" s="2335"/>
      <c r="IUK995" s="2335"/>
      <c r="IUL995" s="2335"/>
      <c r="IUM995" s="2335"/>
      <c r="IUN995" s="2335"/>
      <c r="IUO995" s="2335"/>
      <c r="IUP995" s="2335"/>
      <c r="IUQ995" s="2335"/>
      <c r="IUR995" s="2335"/>
      <c r="IUS995" s="2335"/>
      <c r="IUT995" s="2335"/>
      <c r="IUU995" s="2335"/>
      <c r="IUV995" s="2335"/>
      <c r="IUW995" s="2335"/>
      <c r="IUX995" s="2335"/>
      <c r="IUY995" s="2335"/>
      <c r="IUZ995" s="2335"/>
      <c r="IVA995" s="2335"/>
      <c r="IVB995" s="2335"/>
      <c r="IVC995" s="2335"/>
      <c r="IVD995" s="2335"/>
      <c r="IVE995" s="2335"/>
      <c r="IVF995" s="2335"/>
      <c r="IVG995" s="2335"/>
      <c r="IVH995" s="2335"/>
      <c r="IVI995" s="2335"/>
      <c r="IVJ995" s="2335"/>
      <c r="IVK995" s="2335"/>
      <c r="IVL995" s="2335"/>
      <c r="IVM995" s="2335"/>
      <c r="IVN995" s="2335"/>
      <c r="IVO995" s="2335"/>
      <c r="IVP995" s="2335"/>
      <c r="IVQ995" s="2335"/>
      <c r="IVR995" s="2335"/>
      <c r="IVS995" s="2335"/>
      <c r="IVT995" s="2335"/>
      <c r="IVU995" s="2335"/>
      <c r="IVV995" s="2335"/>
      <c r="IVW995" s="2335"/>
      <c r="IVX995" s="2335"/>
      <c r="IVY995" s="2335"/>
      <c r="IVZ995" s="2335"/>
      <c r="IWA995" s="2335"/>
      <c r="IWB995" s="2335"/>
      <c r="IWC995" s="2335"/>
      <c r="IWD995" s="2335"/>
      <c r="IWE995" s="2335"/>
      <c r="IWF995" s="2335"/>
      <c r="IWG995" s="2335"/>
      <c r="IWH995" s="2335"/>
      <c r="IWI995" s="2335"/>
      <c r="IWJ995" s="2335"/>
      <c r="IWK995" s="2335"/>
      <c r="IWL995" s="2335"/>
      <c r="IWM995" s="2335"/>
      <c r="IWN995" s="2335"/>
      <c r="IWO995" s="2335"/>
      <c r="IWP995" s="2335"/>
      <c r="IWQ995" s="2335"/>
      <c r="IWR995" s="2335"/>
      <c r="IWS995" s="2335"/>
      <c r="IWT995" s="2335"/>
      <c r="IWU995" s="2335"/>
      <c r="IWV995" s="2335"/>
      <c r="IWW995" s="2335"/>
      <c r="IWX995" s="2335"/>
      <c r="IWY995" s="2335"/>
      <c r="IWZ995" s="2335"/>
      <c r="IXA995" s="2335"/>
      <c r="IXB995" s="2335"/>
      <c r="IXC995" s="2335"/>
      <c r="IXD995" s="2335"/>
      <c r="IXE995" s="2335"/>
      <c r="IXF995" s="2335"/>
      <c r="IXG995" s="2335"/>
      <c r="IXH995" s="2335"/>
      <c r="IXI995" s="2335"/>
      <c r="IXJ995" s="2335"/>
      <c r="IXK995" s="2335"/>
      <c r="IXL995" s="2335"/>
      <c r="IXM995" s="2335"/>
      <c r="IXN995" s="2335"/>
      <c r="IXO995" s="2335"/>
      <c r="IXP995" s="2335"/>
      <c r="IXQ995" s="2335"/>
      <c r="IXR995" s="2335"/>
      <c r="IXS995" s="2335"/>
      <c r="IXT995" s="2335"/>
      <c r="IXU995" s="2335"/>
      <c r="IXV995" s="2335"/>
      <c r="IXW995" s="2335"/>
      <c r="IXX995" s="2335"/>
      <c r="IXY995" s="2335"/>
      <c r="IXZ995" s="2335"/>
      <c r="IYA995" s="2335"/>
      <c r="IYB995" s="2335"/>
      <c r="IYC995" s="2335"/>
      <c r="IYD995" s="2335"/>
      <c r="IYE995" s="2335"/>
      <c r="IYF995" s="2335"/>
      <c r="IYG995" s="2335"/>
      <c r="IYH995" s="2335"/>
      <c r="IYI995" s="2335"/>
      <c r="IYJ995" s="2335"/>
      <c r="IYK995" s="2335"/>
      <c r="IYL995" s="2335"/>
      <c r="IYM995" s="2335"/>
      <c r="IYN995" s="2335"/>
      <c r="IYO995" s="2335"/>
      <c r="IYP995" s="2335"/>
      <c r="IYQ995" s="2335"/>
      <c r="IYR995" s="2335"/>
      <c r="IYS995" s="2335"/>
      <c r="IYT995" s="2335"/>
      <c r="IYU995" s="2335"/>
      <c r="IYV995" s="2335"/>
      <c r="IYW995" s="2335"/>
      <c r="IYX995" s="2335"/>
      <c r="IYY995" s="2335"/>
      <c r="IYZ995" s="2335"/>
      <c r="IZA995" s="2335"/>
      <c r="IZB995" s="2335"/>
      <c r="IZC995" s="2335"/>
      <c r="IZD995" s="2335"/>
      <c r="IZE995" s="2335"/>
      <c r="IZF995" s="2335"/>
      <c r="IZG995" s="2335"/>
      <c r="IZH995" s="2335"/>
      <c r="IZI995" s="2335"/>
      <c r="IZJ995" s="2335"/>
      <c r="IZK995" s="2335"/>
      <c r="IZL995" s="2335"/>
      <c r="IZM995" s="2335"/>
      <c r="IZN995" s="2335"/>
      <c r="IZO995" s="2335"/>
      <c r="IZP995" s="2335"/>
      <c r="IZQ995" s="2335"/>
      <c r="IZR995" s="2335"/>
      <c r="IZS995" s="2335"/>
      <c r="IZT995" s="2335"/>
      <c r="IZU995" s="2335"/>
      <c r="IZV995" s="2335"/>
      <c r="IZW995" s="2335"/>
      <c r="IZX995" s="2335"/>
      <c r="IZY995" s="2335"/>
      <c r="IZZ995" s="2335"/>
      <c r="JAA995" s="2335"/>
      <c r="JAB995" s="2335"/>
      <c r="JAC995" s="2335"/>
      <c r="JAD995" s="2335"/>
      <c r="JAE995" s="2335"/>
      <c r="JAF995" s="2335"/>
      <c r="JAG995" s="2335"/>
      <c r="JAH995" s="2335"/>
      <c r="JAI995" s="2335"/>
      <c r="JAJ995" s="2335"/>
      <c r="JAK995" s="2335"/>
      <c r="JAL995" s="2335"/>
      <c r="JAM995" s="2335"/>
      <c r="JAN995" s="2335"/>
      <c r="JAO995" s="2335"/>
      <c r="JAP995" s="2335"/>
      <c r="JAQ995" s="2335"/>
      <c r="JAR995" s="2335"/>
      <c r="JAS995" s="2335"/>
      <c r="JAT995" s="2335"/>
      <c r="JAU995" s="2335"/>
      <c r="JAV995" s="2335"/>
      <c r="JAW995" s="2335"/>
      <c r="JAX995" s="2335"/>
      <c r="JAY995" s="2335"/>
      <c r="JAZ995" s="2335"/>
      <c r="JBA995" s="2335"/>
      <c r="JBB995" s="2335"/>
      <c r="JBC995" s="2335"/>
      <c r="JBD995" s="2335"/>
      <c r="JBE995" s="2335"/>
      <c r="JBF995" s="2335"/>
      <c r="JBG995" s="2335"/>
      <c r="JBH995" s="2335"/>
      <c r="JBI995" s="2335"/>
      <c r="JBJ995" s="2335"/>
      <c r="JBK995" s="2335"/>
      <c r="JBL995" s="2335"/>
      <c r="JBM995" s="2335"/>
      <c r="JBN995" s="2335"/>
      <c r="JBO995" s="2335"/>
      <c r="JBP995" s="2335"/>
      <c r="JBQ995" s="2335"/>
      <c r="JBR995" s="2335"/>
      <c r="JBS995" s="2335"/>
      <c r="JBT995" s="2335"/>
      <c r="JBU995" s="2335"/>
      <c r="JBV995" s="2335"/>
      <c r="JBW995" s="2335"/>
      <c r="JBX995" s="2335"/>
      <c r="JBY995" s="2335"/>
      <c r="JBZ995" s="2335"/>
      <c r="JCA995" s="2335"/>
      <c r="JCB995" s="2335"/>
      <c r="JCC995" s="2335"/>
      <c r="JCD995" s="2335"/>
      <c r="JCE995" s="2335"/>
      <c r="JCF995" s="2335"/>
      <c r="JCG995" s="2335"/>
      <c r="JCH995" s="2335"/>
      <c r="JCI995" s="2335"/>
      <c r="JCJ995" s="2335"/>
      <c r="JCK995" s="2335"/>
      <c r="JCL995" s="2335"/>
      <c r="JCM995" s="2335"/>
      <c r="JCN995" s="2335"/>
      <c r="JCO995" s="2335"/>
      <c r="JCP995" s="2335"/>
      <c r="JCQ995" s="2335"/>
      <c r="JCR995" s="2335"/>
      <c r="JCS995" s="2335"/>
      <c r="JCT995" s="2335"/>
      <c r="JCU995" s="2335"/>
      <c r="JCV995" s="2335"/>
      <c r="JCW995" s="2335"/>
      <c r="JCX995" s="2335"/>
      <c r="JCY995" s="2335"/>
      <c r="JCZ995" s="2335"/>
      <c r="JDA995" s="2335"/>
      <c r="JDB995" s="2335"/>
      <c r="JDC995" s="2335"/>
      <c r="JDD995" s="2335"/>
      <c r="JDE995" s="2335"/>
      <c r="JDF995" s="2335"/>
      <c r="JDG995" s="2335"/>
      <c r="JDH995" s="2335"/>
      <c r="JDI995" s="2335"/>
      <c r="JDJ995" s="2335"/>
      <c r="JDK995" s="2335"/>
      <c r="JDL995" s="2335"/>
      <c r="JDM995" s="2335"/>
      <c r="JDN995" s="2335"/>
      <c r="JDO995" s="2335"/>
      <c r="JDP995" s="2335"/>
      <c r="JDQ995" s="2335"/>
      <c r="JDR995" s="2335"/>
      <c r="JDS995" s="2335"/>
      <c r="JDT995" s="2335"/>
      <c r="JDU995" s="2335"/>
      <c r="JDV995" s="2335"/>
      <c r="JDW995" s="2335"/>
      <c r="JDX995" s="2335"/>
      <c r="JDY995" s="2335"/>
      <c r="JDZ995" s="2335"/>
      <c r="JEA995" s="2335"/>
      <c r="JEB995" s="2335"/>
      <c r="JEC995" s="2335"/>
      <c r="JED995" s="2335"/>
      <c r="JEE995" s="2335"/>
      <c r="JEF995" s="2335"/>
      <c r="JEG995" s="2335"/>
      <c r="JEH995" s="2335"/>
      <c r="JEI995" s="2335"/>
      <c r="JEJ995" s="2335"/>
      <c r="JEK995" s="2335"/>
      <c r="JEL995" s="2335"/>
      <c r="JEM995" s="2335"/>
      <c r="JEN995" s="2335"/>
      <c r="JEO995" s="2335"/>
      <c r="JEP995" s="2335"/>
      <c r="JEQ995" s="2335"/>
      <c r="JER995" s="2335"/>
      <c r="JES995" s="2335"/>
      <c r="JET995" s="2335"/>
      <c r="JEU995" s="2335"/>
      <c r="JEV995" s="2335"/>
      <c r="JEW995" s="2335"/>
      <c r="JEX995" s="2335"/>
      <c r="JEY995" s="2335"/>
      <c r="JEZ995" s="2335"/>
      <c r="JFA995" s="2335"/>
      <c r="JFB995" s="2335"/>
      <c r="JFC995" s="2335"/>
      <c r="JFD995" s="2335"/>
      <c r="JFE995" s="2335"/>
      <c r="JFF995" s="2335"/>
      <c r="JFG995" s="2335"/>
      <c r="JFH995" s="2335"/>
      <c r="JFI995" s="2335"/>
      <c r="JFJ995" s="2335"/>
      <c r="JFK995" s="2335"/>
      <c r="JFL995" s="2335"/>
      <c r="JFM995" s="2335"/>
      <c r="JFN995" s="2335"/>
      <c r="JFO995" s="2335"/>
      <c r="JFP995" s="2335"/>
      <c r="JFQ995" s="2335"/>
      <c r="JFR995" s="2335"/>
      <c r="JFS995" s="2335"/>
      <c r="JFT995" s="2335"/>
      <c r="JFU995" s="2335"/>
      <c r="JFV995" s="2335"/>
      <c r="JFW995" s="2335"/>
      <c r="JFX995" s="2335"/>
      <c r="JFY995" s="2335"/>
      <c r="JFZ995" s="2335"/>
      <c r="JGA995" s="2335"/>
      <c r="JGB995" s="2335"/>
      <c r="JGC995" s="2335"/>
      <c r="JGD995" s="2335"/>
      <c r="JGE995" s="2335"/>
      <c r="JGF995" s="2335"/>
      <c r="JGG995" s="2335"/>
      <c r="JGH995" s="2335"/>
      <c r="JGI995" s="2335"/>
      <c r="JGJ995" s="2335"/>
      <c r="JGK995" s="2335"/>
      <c r="JGL995" s="2335"/>
      <c r="JGM995" s="2335"/>
      <c r="JGN995" s="2335"/>
      <c r="JGO995" s="2335"/>
      <c r="JGP995" s="2335"/>
      <c r="JGQ995" s="2335"/>
      <c r="JGR995" s="2335"/>
      <c r="JGS995" s="2335"/>
      <c r="JGT995" s="2335"/>
      <c r="JGU995" s="2335"/>
      <c r="JGV995" s="2335"/>
      <c r="JGW995" s="2335"/>
      <c r="JGX995" s="2335"/>
      <c r="JGY995" s="2335"/>
      <c r="JGZ995" s="2335"/>
      <c r="JHA995" s="2335"/>
      <c r="JHB995" s="2335"/>
      <c r="JHC995" s="2335"/>
      <c r="JHD995" s="2335"/>
      <c r="JHE995" s="2335"/>
      <c r="JHF995" s="2335"/>
      <c r="JHG995" s="2335"/>
      <c r="JHH995" s="2335"/>
      <c r="JHI995" s="2335"/>
      <c r="JHJ995" s="2335"/>
      <c r="JHK995" s="2335"/>
      <c r="JHL995" s="2335"/>
      <c r="JHM995" s="2335"/>
      <c r="JHN995" s="2335"/>
      <c r="JHO995" s="2335"/>
      <c r="JHP995" s="2335"/>
      <c r="JHQ995" s="2335"/>
      <c r="JHR995" s="2335"/>
      <c r="JHS995" s="2335"/>
      <c r="JHT995" s="2335"/>
      <c r="JHU995" s="2335"/>
      <c r="JHV995" s="2335"/>
      <c r="JHW995" s="2335"/>
      <c r="JHX995" s="2335"/>
      <c r="JHY995" s="2335"/>
      <c r="JHZ995" s="2335"/>
      <c r="JIA995" s="2335"/>
      <c r="JIB995" s="2335"/>
      <c r="JIC995" s="2335"/>
      <c r="JID995" s="2335"/>
      <c r="JIE995" s="2335"/>
      <c r="JIF995" s="2335"/>
      <c r="JIG995" s="2335"/>
      <c r="JIH995" s="2335"/>
      <c r="JII995" s="2335"/>
      <c r="JIJ995" s="2335"/>
      <c r="JIK995" s="2335"/>
      <c r="JIL995" s="2335"/>
      <c r="JIM995" s="2335"/>
      <c r="JIN995" s="2335"/>
      <c r="JIO995" s="2335"/>
      <c r="JIP995" s="2335"/>
      <c r="JIQ995" s="2335"/>
      <c r="JIR995" s="2335"/>
      <c r="JIS995" s="2335"/>
      <c r="JIT995" s="2335"/>
      <c r="JIU995" s="2335"/>
      <c r="JIV995" s="2335"/>
      <c r="JIW995" s="2335"/>
      <c r="JIX995" s="2335"/>
      <c r="JIY995" s="2335"/>
      <c r="JIZ995" s="2335"/>
      <c r="JJA995" s="2335"/>
      <c r="JJB995" s="2335"/>
      <c r="JJC995" s="2335"/>
      <c r="JJD995" s="2335"/>
      <c r="JJE995" s="2335"/>
      <c r="JJF995" s="2335"/>
      <c r="JJG995" s="2335"/>
      <c r="JJH995" s="2335"/>
      <c r="JJI995" s="2335"/>
      <c r="JJJ995" s="2335"/>
      <c r="JJK995" s="2335"/>
      <c r="JJL995" s="2335"/>
      <c r="JJM995" s="2335"/>
      <c r="JJN995" s="2335"/>
      <c r="JJO995" s="2335"/>
      <c r="JJP995" s="2335"/>
      <c r="JJQ995" s="2335"/>
      <c r="JJR995" s="2335"/>
      <c r="JJS995" s="2335"/>
      <c r="JJT995" s="2335"/>
      <c r="JJU995" s="2335"/>
      <c r="JJV995" s="2335"/>
      <c r="JJW995" s="2335"/>
      <c r="JJX995" s="2335"/>
      <c r="JJY995" s="2335"/>
      <c r="JJZ995" s="2335"/>
      <c r="JKA995" s="2335"/>
      <c r="JKB995" s="2335"/>
      <c r="JKC995" s="2335"/>
      <c r="JKD995" s="2335"/>
      <c r="JKE995" s="2335"/>
      <c r="JKF995" s="2335"/>
      <c r="JKG995" s="2335"/>
      <c r="JKH995" s="2335"/>
      <c r="JKI995" s="2335"/>
      <c r="JKJ995" s="2335"/>
      <c r="JKK995" s="2335"/>
      <c r="JKL995" s="2335"/>
      <c r="JKM995" s="2335"/>
      <c r="JKN995" s="2335"/>
      <c r="JKO995" s="2335"/>
      <c r="JKP995" s="2335"/>
      <c r="JKQ995" s="2335"/>
      <c r="JKR995" s="2335"/>
      <c r="JKS995" s="2335"/>
      <c r="JKT995" s="2335"/>
      <c r="JKU995" s="2335"/>
      <c r="JKV995" s="2335"/>
      <c r="JKW995" s="2335"/>
      <c r="JKX995" s="2335"/>
      <c r="JKY995" s="2335"/>
      <c r="JKZ995" s="2335"/>
      <c r="JLA995" s="2335"/>
      <c r="JLB995" s="2335"/>
      <c r="JLC995" s="2335"/>
      <c r="JLD995" s="2335"/>
      <c r="JLE995" s="2335"/>
      <c r="JLF995" s="2335"/>
      <c r="JLG995" s="2335"/>
      <c r="JLH995" s="2335"/>
      <c r="JLI995" s="2335"/>
      <c r="JLJ995" s="2335"/>
      <c r="JLK995" s="2335"/>
      <c r="JLL995" s="2335"/>
      <c r="JLM995" s="2335"/>
      <c r="JLN995" s="2335"/>
      <c r="JLO995" s="2335"/>
      <c r="JLP995" s="2335"/>
      <c r="JLQ995" s="2335"/>
      <c r="JLR995" s="2335"/>
      <c r="JLS995" s="2335"/>
      <c r="JLT995" s="2335"/>
      <c r="JLU995" s="2335"/>
      <c r="JLV995" s="2335"/>
      <c r="JLW995" s="2335"/>
      <c r="JLX995" s="2335"/>
      <c r="JLY995" s="2335"/>
      <c r="JLZ995" s="2335"/>
      <c r="JMA995" s="2335"/>
      <c r="JMB995" s="2335"/>
      <c r="JMC995" s="2335"/>
      <c r="JMD995" s="2335"/>
      <c r="JME995" s="2335"/>
      <c r="JMF995" s="2335"/>
      <c r="JMG995" s="2335"/>
      <c r="JMH995" s="2335"/>
      <c r="JMI995" s="2335"/>
      <c r="JMJ995" s="2335"/>
      <c r="JMK995" s="2335"/>
      <c r="JML995" s="2335"/>
      <c r="JMM995" s="2335"/>
      <c r="JMN995" s="2335"/>
      <c r="JMO995" s="2335"/>
      <c r="JMP995" s="2335"/>
      <c r="JMQ995" s="2335"/>
      <c r="JMR995" s="2335"/>
      <c r="JMS995" s="2335"/>
      <c r="JMT995" s="2335"/>
      <c r="JMU995" s="2335"/>
      <c r="JMV995" s="2335"/>
      <c r="JMW995" s="2335"/>
      <c r="JMX995" s="2335"/>
      <c r="JMY995" s="2335"/>
      <c r="JMZ995" s="2335"/>
      <c r="JNA995" s="2335"/>
      <c r="JNB995" s="2335"/>
      <c r="JNC995" s="2335"/>
      <c r="JND995" s="2335"/>
      <c r="JNE995" s="2335"/>
      <c r="JNF995" s="2335"/>
      <c r="JNG995" s="2335"/>
      <c r="JNH995" s="2335"/>
      <c r="JNI995" s="2335"/>
      <c r="JNJ995" s="2335"/>
      <c r="JNK995" s="2335"/>
      <c r="JNL995" s="2335"/>
      <c r="JNM995" s="2335"/>
      <c r="JNN995" s="2335"/>
      <c r="JNO995" s="2335"/>
      <c r="JNP995" s="2335"/>
      <c r="JNQ995" s="2335"/>
      <c r="JNR995" s="2335"/>
      <c r="JNS995" s="2335"/>
      <c r="JNT995" s="2335"/>
      <c r="JNU995" s="2335"/>
      <c r="JNV995" s="2335"/>
      <c r="JNW995" s="2335"/>
      <c r="JNX995" s="2335"/>
      <c r="JNY995" s="2335"/>
      <c r="JNZ995" s="2335"/>
      <c r="JOA995" s="2335"/>
      <c r="JOB995" s="2335"/>
      <c r="JOC995" s="2335"/>
      <c r="JOD995" s="2335"/>
      <c r="JOE995" s="2335"/>
      <c r="JOF995" s="2335"/>
      <c r="JOG995" s="2335"/>
      <c r="JOH995" s="2335"/>
      <c r="JOI995" s="2335"/>
      <c r="JOJ995" s="2335"/>
      <c r="JOK995" s="2335"/>
      <c r="JOL995" s="2335"/>
      <c r="JOM995" s="2335"/>
      <c r="JON995" s="2335"/>
      <c r="JOO995" s="2335"/>
      <c r="JOP995" s="2335"/>
      <c r="JOQ995" s="2335"/>
      <c r="JOR995" s="2335"/>
      <c r="JOS995" s="2335"/>
      <c r="JOT995" s="2335"/>
      <c r="JOU995" s="2335"/>
      <c r="JOV995" s="2335"/>
      <c r="JOW995" s="2335"/>
      <c r="JOX995" s="2335"/>
      <c r="JOY995" s="2335"/>
      <c r="JOZ995" s="2335"/>
      <c r="JPA995" s="2335"/>
      <c r="JPB995" s="2335"/>
      <c r="JPC995" s="2335"/>
      <c r="JPD995" s="2335"/>
      <c r="JPE995" s="2335"/>
      <c r="JPF995" s="2335"/>
      <c r="JPG995" s="2335"/>
      <c r="JPH995" s="2335"/>
      <c r="JPI995" s="2335"/>
      <c r="JPJ995" s="2335"/>
      <c r="JPK995" s="2335"/>
      <c r="JPL995" s="2335"/>
      <c r="JPM995" s="2335"/>
      <c r="JPN995" s="2335"/>
      <c r="JPO995" s="2335"/>
      <c r="JPP995" s="2335"/>
      <c r="JPQ995" s="2335"/>
      <c r="JPR995" s="2335"/>
      <c r="JPS995" s="2335"/>
      <c r="JPT995" s="2335"/>
      <c r="JPU995" s="2335"/>
      <c r="JPV995" s="2335"/>
      <c r="JPW995" s="2335"/>
      <c r="JPX995" s="2335"/>
      <c r="JPY995" s="2335"/>
      <c r="JPZ995" s="2335"/>
      <c r="JQA995" s="2335"/>
      <c r="JQB995" s="2335"/>
      <c r="JQC995" s="2335"/>
      <c r="JQD995" s="2335"/>
      <c r="JQE995" s="2335"/>
      <c r="JQF995" s="2335"/>
      <c r="JQG995" s="2335"/>
      <c r="JQH995" s="2335"/>
      <c r="JQI995" s="2335"/>
      <c r="JQJ995" s="2335"/>
      <c r="JQK995" s="2335"/>
      <c r="JQL995" s="2335"/>
      <c r="JQM995" s="2335"/>
      <c r="JQN995" s="2335"/>
      <c r="JQO995" s="2335"/>
      <c r="JQP995" s="2335"/>
      <c r="JQQ995" s="2335"/>
      <c r="JQR995" s="2335"/>
      <c r="JQS995" s="2335"/>
      <c r="JQT995" s="2335"/>
      <c r="JQU995" s="2335"/>
      <c r="JQV995" s="2335"/>
      <c r="JQW995" s="2335"/>
      <c r="JQX995" s="2335"/>
      <c r="JQY995" s="2335"/>
      <c r="JQZ995" s="2335"/>
      <c r="JRA995" s="2335"/>
      <c r="JRB995" s="2335"/>
      <c r="JRC995" s="2335"/>
      <c r="JRD995" s="2335"/>
      <c r="JRE995" s="2335"/>
      <c r="JRF995" s="2335"/>
      <c r="JRG995" s="2335"/>
      <c r="JRH995" s="2335"/>
      <c r="JRI995" s="2335"/>
      <c r="JRJ995" s="2335"/>
      <c r="JRK995" s="2335"/>
      <c r="JRL995" s="2335"/>
      <c r="JRM995" s="2335"/>
      <c r="JRN995" s="2335"/>
      <c r="JRO995" s="2335"/>
      <c r="JRP995" s="2335"/>
      <c r="JRQ995" s="2335"/>
      <c r="JRR995" s="2335"/>
      <c r="JRS995" s="2335"/>
      <c r="JRT995" s="2335"/>
      <c r="JRU995" s="2335"/>
      <c r="JRV995" s="2335"/>
      <c r="JRW995" s="2335"/>
      <c r="JRX995" s="2335"/>
      <c r="JRY995" s="2335"/>
      <c r="JRZ995" s="2335"/>
      <c r="JSA995" s="2335"/>
      <c r="JSB995" s="2335"/>
      <c r="JSC995" s="2335"/>
      <c r="JSD995" s="2335"/>
      <c r="JSE995" s="2335"/>
      <c r="JSF995" s="2335"/>
      <c r="JSG995" s="2335"/>
      <c r="JSH995" s="2335"/>
      <c r="JSI995" s="2335"/>
      <c r="JSJ995" s="2335"/>
      <c r="JSK995" s="2335"/>
      <c r="JSL995" s="2335"/>
      <c r="JSM995" s="2335"/>
      <c r="JSN995" s="2335"/>
      <c r="JSO995" s="2335"/>
      <c r="JSP995" s="2335"/>
      <c r="JSQ995" s="2335"/>
      <c r="JSR995" s="2335"/>
      <c r="JSS995" s="2335"/>
      <c r="JST995" s="2335"/>
      <c r="JSU995" s="2335"/>
      <c r="JSV995" s="2335"/>
      <c r="JSW995" s="2335"/>
      <c r="JSX995" s="2335"/>
      <c r="JSY995" s="2335"/>
      <c r="JSZ995" s="2335"/>
      <c r="JTA995" s="2335"/>
      <c r="JTB995" s="2335"/>
      <c r="JTC995" s="2335"/>
      <c r="JTD995" s="2335"/>
      <c r="JTE995" s="2335"/>
      <c r="JTF995" s="2335"/>
      <c r="JTG995" s="2335"/>
      <c r="JTH995" s="2335"/>
      <c r="JTI995" s="2335"/>
      <c r="JTJ995" s="2335"/>
      <c r="JTK995" s="2335"/>
      <c r="JTL995" s="2335"/>
      <c r="JTM995" s="2335"/>
      <c r="JTN995" s="2335"/>
      <c r="JTO995" s="2335"/>
      <c r="JTP995" s="2335"/>
      <c r="JTQ995" s="2335"/>
      <c r="JTR995" s="2335"/>
      <c r="JTS995" s="2335"/>
      <c r="JTT995" s="2335"/>
      <c r="JTU995" s="2335"/>
      <c r="JTV995" s="2335"/>
      <c r="JTW995" s="2335"/>
      <c r="JTX995" s="2335"/>
      <c r="JTY995" s="2335"/>
      <c r="JTZ995" s="2335"/>
      <c r="JUA995" s="2335"/>
      <c r="JUB995" s="2335"/>
      <c r="JUC995" s="2335"/>
      <c r="JUD995" s="2335"/>
      <c r="JUE995" s="2335"/>
      <c r="JUF995" s="2335"/>
      <c r="JUG995" s="2335"/>
      <c r="JUH995" s="2335"/>
      <c r="JUI995" s="2335"/>
      <c r="JUJ995" s="2335"/>
      <c r="JUK995" s="2335"/>
      <c r="JUL995" s="2335"/>
      <c r="JUM995" s="2335"/>
      <c r="JUN995" s="2335"/>
      <c r="JUO995" s="2335"/>
      <c r="JUP995" s="2335"/>
      <c r="JUQ995" s="2335"/>
      <c r="JUR995" s="2335"/>
      <c r="JUS995" s="2335"/>
      <c r="JUT995" s="2335"/>
      <c r="JUU995" s="2335"/>
      <c r="JUV995" s="2335"/>
      <c r="JUW995" s="2335"/>
      <c r="JUX995" s="2335"/>
      <c r="JUY995" s="2335"/>
      <c r="JUZ995" s="2335"/>
      <c r="JVA995" s="2335"/>
      <c r="JVB995" s="2335"/>
      <c r="JVC995" s="2335"/>
      <c r="JVD995" s="2335"/>
      <c r="JVE995" s="2335"/>
      <c r="JVF995" s="2335"/>
      <c r="JVG995" s="2335"/>
      <c r="JVH995" s="2335"/>
      <c r="JVI995" s="2335"/>
      <c r="JVJ995" s="2335"/>
      <c r="JVK995" s="2335"/>
      <c r="JVL995" s="2335"/>
      <c r="JVM995" s="2335"/>
      <c r="JVN995" s="2335"/>
      <c r="JVO995" s="2335"/>
      <c r="JVP995" s="2335"/>
      <c r="JVQ995" s="2335"/>
      <c r="JVR995" s="2335"/>
      <c r="JVS995" s="2335"/>
      <c r="JVT995" s="2335"/>
      <c r="JVU995" s="2335"/>
      <c r="JVV995" s="2335"/>
      <c r="JVW995" s="2335"/>
      <c r="JVX995" s="2335"/>
      <c r="JVY995" s="2335"/>
      <c r="JVZ995" s="2335"/>
      <c r="JWA995" s="2335"/>
      <c r="JWB995" s="2335"/>
      <c r="JWC995" s="2335"/>
      <c r="JWD995" s="2335"/>
      <c r="JWE995" s="2335"/>
      <c r="JWF995" s="2335"/>
      <c r="JWG995" s="2335"/>
      <c r="JWH995" s="2335"/>
      <c r="JWI995" s="2335"/>
      <c r="JWJ995" s="2335"/>
      <c r="JWK995" s="2335"/>
      <c r="JWL995" s="2335"/>
      <c r="JWM995" s="2335"/>
      <c r="JWN995" s="2335"/>
      <c r="JWO995" s="2335"/>
      <c r="JWP995" s="2335"/>
      <c r="JWQ995" s="2335"/>
      <c r="JWR995" s="2335"/>
      <c r="JWS995" s="2335"/>
      <c r="JWT995" s="2335"/>
      <c r="JWU995" s="2335"/>
      <c r="JWV995" s="2335"/>
      <c r="JWW995" s="2335"/>
      <c r="JWX995" s="2335"/>
      <c r="JWY995" s="2335"/>
      <c r="JWZ995" s="2335"/>
      <c r="JXA995" s="2335"/>
      <c r="JXB995" s="2335"/>
      <c r="JXC995" s="2335"/>
      <c r="JXD995" s="2335"/>
      <c r="JXE995" s="2335"/>
      <c r="JXF995" s="2335"/>
      <c r="JXG995" s="2335"/>
      <c r="JXH995" s="2335"/>
      <c r="JXI995" s="2335"/>
      <c r="JXJ995" s="2335"/>
      <c r="JXK995" s="2335"/>
      <c r="JXL995" s="2335"/>
      <c r="JXM995" s="2335"/>
      <c r="JXN995" s="2335"/>
      <c r="JXO995" s="2335"/>
      <c r="JXP995" s="2335"/>
      <c r="JXQ995" s="2335"/>
      <c r="JXR995" s="2335"/>
      <c r="JXS995" s="2335"/>
      <c r="JXT995" s="2335"/>
      <c r="JXU995" s="2335"/>
      <c r="JXV995" s="2335"/>
      <c r="JXW995" s="2335"/>
      <c r="JXX995" s="2335"/>
      <c r="JXY995" s="2335"/>
      <c r="JXZ995" s="2335"/>
      <c r="JYA995" s="2335"/>
      <c r="JYB995" s="2335"/>
      <c r="JYC995" s="2335"/>
      <c r="JYD995" s="2335"/>
      <c r="JYE995" s="2335"/>
      <c r="JYF995" s="2335"/>
      <c r="JYG995" s="2335"/>
      <c r="JYH995" s="2335"/>
      <c r="JYI995" s="2335"/>
      <c r="JYJ995" s="2335"/>
      <c r="JYK995" s="2335"/>
      <c r="JYL995" s="2335"/>
      <c r="JYM995" s="2335"/>
      <c r="JYN995" s="2335"/>
      <c r="JYO995" s="2335"/>
      <c r="JYP995" s="2335"/>
      <c r="JYQ995" s="2335"/>
      <c r="JYR995" s="2335"/>
      <c r="JYS995" s="2335"/>
      <c r="JYT995" s="2335"/>
      <c r="JYU995" s="2335"/>
      <c r="JYV995" s="2335"/>
      <c r="JYW995" s="2335"/>
      <c r="JYX995" s="2335"/>
      <c r="JYY995" s="2335"/>
      <c r="JYZ995" s="2335"/>
      <c r="JZA995" s="2335"/>
      <c r="JZB995" s="2335"/>
      <c r="JZC995" s="2335"/>
      <c r="JZD995" s="2335"/>
      <c r="JZE995" s="2335"/>
      <c r="JZF995" s="2335"/>
      <c r="JZG995" s="2335"/>
      <c r="JZH995" s="2335"/>
      <c r="JZI995" s="2335"/>
      <c r="JZJ995" s="2335"/>
      <c r="JZK995" s="2335"/>
      <c r="JZL995" s="2335"/>
      <c r="JZM995" s="2335"/>
      <c r="JZN995" s="2335"/>
      <c r="JZO995" s="2335"/>
      <c r="JZP995" s="2335"/>
      <c r="JZQ995" s="2335"/>
      <c r="JZR995" s="2335"/>
      <c r="JZS995" s="2335"/>
      <c r="JZT995" s="2335"/>
      <c r="JZU995" s="2335"/>
      <c r="JZV995" s="2335"/>
      <c r="JZW995" s="2335"/>
      <c r="JZX995" s="2335"/>
      <c r="JZY995" s="2335"/>
      <c r="JZZ995" s="2335"/>
      <c r="KAA995" s="2335"/>
      <c r="KAB995" s="2335"/>
      <c r="KAC995" s="2335"/>
      <c r="KAD995" s="2335"/>
      <c r="KAE995" s="2335"/>
      <c r="KAF995" s="2335"/>
      <c r="KAG995" s="2335"/>
      <c r="KAH995" s="2335"/>
      <c r="KAI995" s="2335"/>
      <c r="KAJ995" s="2335"/>
      <c r="KAK995" s="2335"/>
      <c r="KAL995" s="2335"/>
      <c r="KAM995" s="2335"/>
      <c r="KAN995" s="2335"/>
      <c r="KAO995" s="2335"/>
      <c r="KAP995" s="2335"/>
      <c r="KAQ995" s="2335"/>
      <c r="KAR995" s="2335"/>
      <c r="KAS995" s="2335"/>
      <c r="KAT995" s="2335"/>
      <c r="KAU995" s="2335"/>
      <c r="KAV995" s="2335"/>
      <c r="KAW995" s="2335"/>
      <c r="KAX995" s="2335"/>
      <c r="KAY995" s="2335"/>
      <c r="KAZ995" s="2335"/>
      <c r="KBA995" s="2335"/>
      <c r="KBB995" s="2335"/>
      <c r="KBC995" s="2335"/>
      <c r="KBD995" s="2335"/>
      <c r="KBE995" s="2335"/>
      <c r="KBF995" s="2335"/>
      <c r="KBG995" s="2335"/>
      <c r="KBH995" s="2335"/>
      <c r="KBI995" s="2335"/>
      <c r="KBJ995" s="2335"/>
      <c r="KBK995" s="2335"/>
      <c r="KBL995" s="2335"/>
      <c r="KBM995" s="2335"/>
      <c r="KBN995" s="2335"/>
      <c r="KBO995" s="2335"/>
      <c r="KBP995" s="2335"/>
      <c r="KBQ995" s="2335"/>
      <c r="KBR995" s="2335"/>
      <c r="KBS995" s="2335"/>
      <c r="KBT995" s="2335"/>
      <c r="KBU995" s="2335"/>
      <c r="KBV995" s="2335"/>
      <c r="KBW995" s="2335"/>
      <c r="KBX995" s="2335"/>
      <c r="KBY995" s="2335"/>
      <c r="KBZ995" s="2335"/>
      <c r="KCA995" s="2335"/>
      <c r="KCB995" s="2335"/>
      <c r="KCC995" s="2335"/>
      <c r="KCD995" s="2335"/>
      <c r="KCE995" s="2335"/>
      <c r="KCF995" s="2335"/>
      <c r="KCG995" s="2335"/>
      <c r="KCH995" s="2335"/>
      <c r="KCI995" s="2335"/>
      <c r="KCJ995" s="2335"/>
      <c r="KCK995" s="2335"/>
      <c r="KCL995" s="2335"/>
      <c r="KCM995" s="2335"/>
      <c r="KCN995" s="2335"/>
      <c r="KCO995" s="2335"/>
      <c r="KCP995" s="2335"/>
      <c r="KCQ995" s="2335"/>
      <c r="KCR995" s="2335"/>
      <c r="KCS995" s="2335"/>
      <c r="KCT995" s="2335"/>
      <c r="KCU995" s="2335"/>
      <c r="KCV995" s="2335"/>
      <c r="KCW995" s="2335"/>
      <c r="KCX995" s="2335"/>
      <c r="KCY995" s="2335"/>
      <c r="KCZ995" s="2335"/>
      <c r="KDA995" s="2335"/>
      <c r="KDB995" s="2335"/>
      <c r="KDC995" s="2335"/>
      <c r="KDD995" s="2335"/>
      <c r="KDE995" s="2335"/>
      <c r="KDF995" s="2335"/>
      <c r="KDG995" s="2335"/>
      <c r="KDH995" s="2335"/>
      <c r="KDI995" s="2335"/>
      <c r="KDJ995" s="2335"/>
      <c r="KDK995" s="2335"/>
      <c r="KDL995" s="2335"/>
      <c r="KDM995" s="2335"/>
      <c r="KDN995" s="2335"/>
      <c r="KDO995" s="2335"/>
      <c r="KDP995" s="2335"/>
      <c r="KDQ995" s="2335"/>
      <c r="KDR995" s="2335"/>
      <c r="KDS995" s="2335"/>
      <c r="KDT995" s="2335"/>
      <c r="KDU995" s="2335"/>
      <c r="KDV995" s="2335"/>
      <c r="KDW995" s="2335"/>
      <c r="KDX995" s="2335"/>
      <c r="KDY995" s="2335"/>
      <c r="KDZ995" s="2335"/>
      <c r="KEA995" s="2335"/>
      <c r="KEB995" s="2335"/>
      <c r="KEC995" s="2335"/>
      <c r="KED995" s="2335"/>
      <c r="KEE995" s="2335"/>
      <c r="KEF995" s="2335"/>
      <c r="KEG995" s="2335"/>
      <c r="KEH995" s="2335"/>
      <c r="KEI995" s="2335"/>
      <c r="KEJ995" s="2335"/>
      <c r="KEK995" s="2335"/>
      <c r="KEL995" s="2335"/>
      <c r="KEM995" s="2335"/>
      <c r="KEN995" s="2335"/>
      <c r="KEO995" s="2335"/>
      <c r="KEP995" s="2335"/>
      <c r="KEQ995" s="2335"/>
      <c r="KER995" s="2335"/>
      <c r="KES995" s="2335"/>
      <c r="KET995" s="2335"/>
      <c r="KEU995" s="2335"/>
      <c r="KEV995" s="2335"/>
      <c r="KEW995" s="2335"/>
      <c r="KEX995" s="2335"/>
      <c r="KEY995" s="2335"/>
      <c r="KEZ995" s="2335"/>
      <c r="KFA995" s="2335"/>
      <c r="KFB995" s="2335"/>
      <c r="KFC995" s="2335"/>
      <c r="KFD995" s="2335"/>
      <c r="KFE995" s="2335"/>
      <c r="KFF995" s="2335"/>
      <c r="KFG995" s="2335"/>
      <c r="KFH995" s="2335"/>
      <c r="KFI995" s="2335"/>
      <c r="KFJ995" s="2335"/>
      <c r="KFK995" s="2335"/>
      <c r="KFL995" s="2335"/>
      <c r="KFM995" s="2335"/>
      <c r="KFN995" s="2335"/>
      <c r="KFO995" s="2335"/>
      <c r="KFP995" s="2335"/>
      <c r="KFQ995" s="2335"/>
      <c r="KFR995" s="2335"/>
      <c r="KFS995" s="2335"/>
      <c r="KFT995" s="2335"/>
      <c r="KFU995" s="2335"/>
      <c r="KFV995" s="2335"/>
      <c r="KFW995" s="2335"/>
      <c r="KFX995" s="2335"/>
      <c r="KFY995" s="2335"/>
      <c r="KFZ995" s="2335"/>
      <c r="KGA995" s="2335"/>
      <c r="KGB995" s="2335"/>
      <c r="KGC995" s="2335"/>
      <c r="KGD995" s="2335"/>
      <c r="KGE995" s="2335"/>
      <c r="KGF995" s="2335"/>
      <c r="KGG995" s="2335"/>
      <c r="KGH995" s="2335"/>
      <c r="KGI995" s="2335"/>
      <c r="KGJ995" s="2335"/>
      <c r="KGK995" s="2335"/>
      <c r="KGL995" s="2335"/>
      <c r="KGM995" s="2335"/>
      <c r="KGN995" s="2335"/>
      <c r="KGO995" s="2335"/>
      <c r="KGP995" s="2335"/>
      <c r="KGQ995" s="2335"/>
      <c r="KGR995" s="2335"/>
      <c r="KGS995" s="2335"/>
      <c r="KGT995" s="2335"/>
      <c r="KGU995" s="2335"/>
      <c r="KGV995" s="2335"/>
      <c r="KGW995" s="2335"/>
      <c r="KGX995" s="2335"/>
      <c r="KGY995" s="2335"/>
      <c r="KGZ995" s="2335"/>
      <c r="KHA995" s="2335"/>
      <c r="KHB995" s="2335"/>
      <c r="KHC995" s="2335"/>
      <c r="KHD995" s="2335"/>
      <c r="KHE995" s="2335"/>
      <c r="KHF995" s="2335"/>
      <c r="KHG995" s="2335"/>
      <c r="KHH995" s="2335"/>
      <c r="KHI995" s="2335"/>
      <c r="KHJ995" s="2335"/>
      <c r="KHK995" s="2335"/>
      <c r="KHL995" s="2335"/>
      <c r="KHM995" s="2335"/>
      <c r="KHN995" s="2335"/>
      <c r="KHO995" s="2335"/>
      <c r="KHP995" s="2335"/>
      <c r="KHQ995" s="2335"/>
      <c r="KHR995" s="2335"/>
      <c r="KHS995" s="2335"/>
      <c r="KHT995" s="2335"/>
      <c r="KHU995" s="2335"/>
      <c r="KHV995" s="2335"/>
      <c r="KHW995" s="2335"/>
      <c r="KHX995" s="2335"/>
      <c r="KHY995" s="2335"/>
      <c r="KHZ995" s="2335"/>
      <c r="KIA995" s="2335"/>
      <c r="KIB995" s="2335"/>
      <c r="KIC995" s="2335"/>
      <c r="KID995" s="2335"/>
      <c r="KIE995" s="2335"/>
      <c r="KIF995" s="2335"/>
      <c r="KIG995" s="2335"/>
      <c r="KIH995" s="2335"/>
      <c r="KII995" s="2335"/>
      <c r="KIJ995" s="2335"/>
      <c r="KIK995" s="2335"/>
      <c r="KIL995" s="2335"/>
      <c r="KIM995" s="2335"/>
      <c r="KIN995" s="2335"/>
      <c r="KIO995" s="2335"/>
      <c r="KIP995" s="2335"/>
      <c r="KIQ995" s="2335"/>
      <c r="KIR995" s="2335"/>
      <c r="KIS995" s="2335"/>
      <c r="KIT995" s="2335"/>
      <c r="KIU995" s="2335"/>
      <c r="KIV995" s="2335"/>
      <c r="KIW995" s="2335"/>
      <c r="KIX995" s="2335"/>
      <c r="KIY995" s="2335"/>
      <c r="KIZ995" s="2335"/>
      <c r="KJA995" s="2335"/>
      <c r="KJB995" s="2335"/>
      <c r="KJC995" s="2335"/>
      <c r="KJD995" s="2335"/>
      <c r="KJE995" s="2335"/>
      <c r="KJF995" s="2335"/>
      <c r="KJG995" s="2335"/>
      <c r="KJH995" s="2335"/>
      <c r="KJI995" s="2335"/>
      <c r="KJJ995" s="2335"/>
      <c r="KJK995" s="2335"/>
      <c r="KJL995" s="2335"/>
      <c r="KJM995" s="2335"/>
      <c r="KJN995" s="2335"/>
      <c r="KJO995" s="2335"/>
      <c r="KJP995" s="2335"/>
      <c r="KJQ995" s="2335"/>
      <c r="KJR995" s="2335"/>
      <c r="KJS995" s="2335"/>
      <c r="KJT995" s="2335"/>
      <c r="KJU995" s="2335"/>
      <c r="KJV995" s="2335"/>
      <c r="KJW995" s="2335"/>
      <c r="KJX995" s="2335"/>
      <c r="KJY995" s="2335"/>
      <c r="KJZ995" s="2335"/>
      <c r="KKA995" s="2335"/>
      <c r="KKB995" s="2335"/>
      <c r="KKC995" s="2335"/>
      <c r="KKD995" s="2335"/>
      <c r="KKE995" s="2335"/>
      <c r="KKF995" s="2335"/>
      <c r="KKG995" s="2335"/>
      <c r="KKH995" s="2335"/>
      <c r="KKI995" s="2335"/>
      <c r="KKJ995" s="2335"/>
      <c r="KKK995" s="2335"/>
      <c r="KKL995" s="2335"/>
      <c r="KKM995" s="2335"/>
      <c r="KKN995" s="2335"/>
      <c r="KKO995" s="2335"/>
      <c r="KKP995" s="2335"/>
      <c r="KKQ995" s="2335"/>
      <c r="KKR995" s="2335"/>
      <c r="KKS995" s="2335"/>
      <c r="KKT995" s="2335"/>
      <c r="KKU995" s="2335"/>
      <c r="KKV995" s="2335"/>
      <c r="KKW995" s="2335"/>
      <c r="KKX995" s="2335"/>
      <c r="KKY995" s="2335"/>
      <c r="KKZ995" s="2335"/>
      <c r="KLA995" s="2335"/>
      <c r="KLB995" s="2335"/>
      <c r="KLC995" s="2335"/>
      <c r="KLD995" s="2335"/>
      <c r="KLE995" s="2335"/>
      <c r="KLF995" s="2335"/>
      <c r="KLG995" s="2335"/>
      <c r="KLH995" s="2335"/>
      <c r="KLI995" s="2335"/>
      <c r="KLJ995" s="2335"/>
      <c r="KLK995" s="2335"/>
      <c r="KLL995" s="2335"/>
      <c r="KLM995" s="2335"/>
      <c r="KLN995" s="2335"/>
      <c r="KLO995" s="2335"/>
      <c r="KLP995" s="2335"/>
      <c r="KLQ995" s="2335"/>
      <c r="KLR995" s="2335"/>
      <c r="KLS995" s="2335"/>
      <c r="KLT995" s="2335"/>
      <c r="KLU995" s="2335"/>
      <c r="KLV995" s="2335"/>
      <c r="KLW995" s="2335"/>
      <c r="KLX995" s="2335"/>
      <c r="KLY995" s="2335"/>
      <c r="KLZ995" s="2335"/>
      <c r="KMA995" s="2335"/>
      <c r="KMB995" s="2335"/>
      <c r="KMC995" s="2335"/>
      <c r="KMD995" s="2335"/>
      <c r="KME995" s="2335"/>
      <c r="KMF995" s="2335"/>
      <c r="KMG995" s="2335"/>
      <c r="KMH995" s="2335"/>
      <c r="KMI995" s="2335"/>
      <c r="KMJ995" s="2335"/>
      <c r="KMK995" s="2335"/>
      <c r="KML995" s="2335"/>
      <c r="KMM995" s="2335"/>
      <c r="KMN995" s="2335"/>
      <c r="KMO995" s="2335"/>
      <c r="KMP995" s="2335"/>
      <c r="KMQ995" s="2335"/>
      <c r="KMR995" s="2335"/>
      <c r="KMS995" s="2335"/>
      <c r="KMT995" s="2335"/>
      <c r="KMU995" s="2335"/>
      <c r="KMV995" s="2335"/>
      <c r="KMW995" s="2335"/>
      <c r="KMX995" s="2335"/>
      <c r="KMY995" s="2335"/>
      <c r="KMZ995" s="2335"/>
      <c r="KNA995" s="2335"/>
      <c r="KNB995" s="2335"/>
      <c r="KNC995" s="2335"/>
      <c r="KND995" s="2335"/>
      <c r="KNE995" s="2335"/>
      <c r="KNF995" s="2335"/>
      <c r="KNG995" s="2335"/>
      <c r="KNH995" s="2335"/>
      <c r="KNI995" s="2335"/>
      <c r="KNJ995" s="2335"/>
      <c r="KNK995" s="2335"/>
      <c r="KNL995" s="2335"/>
      <c r="KNM995" s="2335"/>
      <c r="KNN995" s="2335"/>
      <c r="KNO995" s="2335"/>
      <c r="KNP995" s="2335"/>
      <c r="KNQ995" s="2335"/>
      <c r="KNR995" s="2335"/>
      <c r="KNS995" s="2335"/>
      <c r="KNT995" s="2335"/>
      <c r="KNU995" s="2335"/>
      <c r="KNV995" s="2335"/>
      <c r="KNW995" s="2335"/>
      <c r="KNX995" s="2335"/>
      <c r="KNY995" s="2335"/>
      <c r="KNZ995" s="2335"/>
      <c r="KOA995" s="2335"/>
      <c r="KOB995" s="2335"/>
      <c r="KOC995" s="2335"/>
      <c r="KOD995" s="2335"/>
      <c r="KOE995" s="2335"/>
      <c r="KOF995" s="2335"/>
      <c r="KOG995" s="2335"/>
      <c r="KOH995" s="2335"/>
      <c r="KOI995" s="2335"/>
      <c r="KOJ995" s="2335"/>
      <c r="KOK995" s="2335"/>
      <c r="KOL995" s="2335"/>
      <c r="KOM995" s="2335"/>
      <c r="KON995" s="2335"/>
      <c r="KOO995" s="2335"/>
      <c r="KOP995" s="2335"/>
      <c r="KOQ995" s="2335"/>
      <c r="KOR995" s="2335"/>
      <c r="KOS995" s="2335"/>
      <c r="KOT995" s="2335"/>
      <c r="KOU995" s="2335"/>
      <c r="KOV995" s="2335"/>
      <c r="KOW995" s="2335"/>
      <c r="KOX995" s="2335"/>
      <c r="KOY995" s="2335"/>
      <c r="KOZ995" s="2335"/>
      <c r="KPA995" s="2335"/>
      <c r="KPB995" s="2335"/>
      <c r="KPC995" s="2335"/>
      <c r="KPD995" s="2335"/>
      <c r="KPE995" s="2335"/>
      <c r="KPF995" s="2335"/>
      <c r="KPG995" s="2335"/>
      <c r="KPH995" s="2335"/>
      <c r="KPI995" s="2335"/>
      <c r="KPJ995" s="2335"/>
      <c r="KPK995" s="2335"/>
      <c r="KPL995" s="2335"/>
      <c r="KPM995" s="2335"/>
      <c r="KPN995" s="2335"/>
      <c r="KPO995" s="2335"/>
      <c r="KPP995" s="2335"/>
      <c r="KPQ995" s="2335"/>
      <c r="KPR995" s="2335"/>
      <c r="KPS995" s="2335"/>
      <c r="KPT995" s="2335"/>
      <c r="KPU995" s="2335"/>
      <c r="KPV995" s="2335"/>
      <c r="KPW995" s="2335"/>
      <c r="KPX995" s="2335"/>
      <c r="KPY995" s="2335"/>
      <c r="KPZ995" s="2335"/>
      <c r="KQA995" s="2335"/>
      <c r="KQB995" s="2335"/>
      <c r="KQC995" s="2335"/>
      <c r="KQD995" s="2335"/>
      <c r="KQE995" s="2335"/>
      <c r="KQF995" s="2335"/>
      <c r="KQG995" s="2335"/>
      <c r="KQH995" s="2335"/>
      <c r="KQI995" s="2335"/>
      <c r="KQJ995" s="2335"/>
      <c r="KQK995" s="2335"/>
      <c r="KQL995" s="2335"/>
      <c r="KQM995" s="2335"/>
      <c r="KQN995" s="2335"/>
      <c r="KQO995" s="2335"/>
      <c r="KQP995" s="2335"/>
      <c r="KQQ995" s="2335"/>
      <c r="KQR995" s="2335"/>
      <c r="KQS995" s="2335"/>
      <c r="KQT995" s="2335"/>
      <c r="KQU995" s="2335"/>
      <c r="KQV995" s="2335"/>
      <c r="KQW995" s="2335"/>
      <c r="KQX995" s="2335"/>
      <c r="KQY995" s="2335"/>
      <c r="KQZ995" s="2335"/>
      <c r="KRA995" s="2335"/>
      <c r="KRB995" s="2335"/>
      <c r="KRC995" s="2335"/>
      <c r="KRD995" s="2335"/>
      <c r="KRE995" s="2335"/>
      <c r="KRF995" s="2335"/>
      <c r="KRG995" s="2335"/>
      <c r="KRH995" s="2335"/>
      <c r="KRI995" s="2335"/>
      <c r="KRJ995" s="2335"/>
      <c r="KRK995" s="2335"/>
      <c r="KRL995" s="2335"/>
      <c r="KRM995" s="2335"/>
      <c r="KRN995" s="2335"/>
      <c r="KRO995" s="2335"/>
      <c r="KRP995" s="2335"/>
      <c r="KRQ995" s="2335"/>
      <c r="KRR995" s="2335"/>
      <c r="KRS995" s="2335"/>
      <c r="KRT995" s="2335"/>
      <c r="KRU995" s="2335"/>
      <c r="KRV995" s="2335"/>
      <c r="KRW995" s="2335"/>
      <c r="KRX995" s="2335"/>
      <c r="KRY995" s="2335"/>
      <c r="KRZ995" s="2335"/>
      <c r="KSA995" s="2335"/>
      <c r="KSB995" s="2335"/>
      <c r="KSC995" s="2335"/>
      <c r="KSD995" s="2335"/>
      <c r="KSE995" s="2335"/>
      <c r="KSF995" s="2335"/>
      <c r="KSG995" s="2335"/>
      <c r="KSH995" s="2335"/>
      <c r="KSI995" s="2335"/>
      <c r="KSJ995" s="2335"/>
      <c r="KSK995" s="2335"/>
      <c r="KSL995" s="2335"/>
      <c r="KSM995" s="2335"/>
      <c r="KSN995" s="2335"/>
      <c r="KSO995" s="2335"/>
      <c r="KSP995" s="2335"/>
      <c r="KSQ995" s="2335"/>
      <c r="KSR995" s="2335"/>
      <c r="KSS995" s="2335"/>
      <c r="KST995" s="2335"/>
      <c r="KSU995" s="2335"/>
      <c r="KSV995" s="2335"/>
      <c r="KSW995" s="2335"/>
      <c r="KSX995" s="2335"/>
      <c r="KSY995" s="2335"/>
      <c r="KSZ995" s="2335"/>
      <c r="KTA995" s="2335"/>
      <c r="KTB995" s="2335"/>
      <c r="KTC995" s="2335"/>
      <c r="KTD995" s="2335"/>
      <c r="KTE995" s="2335"/>
      <c r="KTF995" s="2335"/>
      <c r="KTG995" s="2335"/>
      <c r="KTH995" s="2335"/>
      <c r="KTI995" s="2335"/>
      <c r="KTJ995" s="2335"/>
      <c r="KTK995" s="2335"/>
      <c r="KTL995" s="2335"/>
      <c r="KTM995" s="2335"/>
      <c r="KTN995" s="2335"/>
      <c r="KTO995" s="2335"/>
      <c r="KTP995" s="2335"/>
      <c r="KTQ995" s="2335"/>
      <c r="KTR995" s="2335"/>
      <c r="KTS995" s="2335"/>
      <c r="KTT995" s="2335"/>
      <c r="KTU995" s="2335"/>
      <c r="KTV995" s="2335"/>
      <c r="KTW995" s="2335"/>
      <c r="KTX995" s="2335"/>
      <c r="KTY995" s="2335"/>
      <c r="KTZ995" s="2335"/>
      <c r="KUA995" s="2335"/>
      <c r="KUB995" s="2335"/>
      <c r="KUC995" s="2335"/>
      <c r="KUD995" s="2335"/>
      <c r="KUE995" s="2335"/>
      <c r="KUF995" s="2335"/>
      <c r="KUG995" s="2335"/>
      <c r="KUH995" s="2335"/>
      <c r="KUI995" s="2335"/>
      <c r="KUJ995" s="2335"/>
      <c r="KUK995" s="2335"/>
      <c r="KUL995" s="2335"/>
      <c r="KUM995" s="2335"/>
      <c r="KUN995" s="2335"/>
      <c r="KUO995" s="2335"/>
      <c r="KUP995" s="2335"/>
      <c r="KUQ995" s="2335"/>
      <c r="KUR995" s="2335"/>
      <c r="KUS995" s="2335"/>
      <c r="KUT995" s="2335"/>
      <c r="KUU995" s="2335"/>
      <c r="KUV995" s="2335"/>
      <c r="KUW995" s="2335"/>
      <c r="KUX995" s="2335"/>
      <c r="KUY995" s="2335"/>
      <c r="KUZ995" s="2335"/>
      <c r="KVA995" s="2335"/>
      <c r="KVB995" s="2335"/>
      <c r="KVC995" s="2335"/>
      <c r="KVD995" s="2335"/>
      <c r="KVE995" s="2335"/>
      <c r="KVF995" s="2335"/>
      <c r="KVG995" s="2335"/>
      <c r="KVH995" s="2335"/>
      <c r="KVI995" s="2335"/>
      <c r="KVJ995" s="2335"/>
      <c r="KVK995" s="2335"/>
      <c r="KVL995" s="2335"/>
      <c r="KVM995" s="2335"/>
      <c r="KVN995" s="2335"/>
      <c r="KVO995" s="2335"/>
      <c r="KVP995" s="2335"/>
      <c r="KVQ995" s="2335"/>
      <c r="KVR995" s="2335"/>
      <c r="KVS995" s="2335"/>
      <c r="KVT995" s="2335"/>
      <c r="KVU995" s="2335"/>
      <c r="KVV995" s="2335"/>
      <c r="KVW995" s="2335"/>
      <c r="KVX995" s="2335"/>
      <c r="KVY995" s="2335"/>
      <c r="KVZ995" s="2335"/>
      <c r="KWA995" s="2335"/>
      <c r="KWB995" s="2335"/>
      <c r="KWC995" s="2335"/>
      <c r="KWD995" s="2335"/>
      <c r="KWE995" s="2335"/>
      <c r="KWF995" s="2335"/>
      <c r="KWG995" s="2335"/>
      <c r="KWH995" s="2335"/>
      <c r="KWI995" s="2335"/>
      <c r="KWJ995" s="2335"/>
      <c r="KWK995" s="2335"/>
      <c r="KWL995" s="2335"/>
      <c r="KWM995" s="2335"/>
      <c r="KWN995" s="2335"/>
      <c r="KWO995" s="2335"/>
      <c r="KWP995" s="2335"/>
      <c r="KWQ995" s="2335"/>
      <c r="KWR995" s="2335"/>
      <c r="KWS995" s="2335"/>
      <c r="KWT995" s="2335"/>
      <c r="KWU995" s="2335"/>
      <c r="KWV995" s="2335"/>
      <c r="KWW995" s="2335"/>
      <c r="KWX995" s="2335"/>
      <c r="KWY995" s="2335"/>
      <c r="KWZ995" s="2335"/>
      <c r="KXA995" s="2335"/>
      <c r="KXB995" s="2335"/>
      <c r="KXC995" s="2335"/>
      <c r="KXD995" s="2335"/>
      <c r="KXE995" s="2335"/>
      <c r="KXF995" s="2335"/>
      <c r="KXG995" s="2335"/>
      <c r="KXH995" s="2335"/>
      <c r="KXI995" s="2335"/>
      <c r="KXJ995" s="2335"/>
      <c r="KXK995" s="2335"/>
      <c r="KXL995" s="2335"/>
      <c r="KXM995" s="2335"/>
      <c r="KXN995" s="2335"/>
      <c r="KXO995" s="2335"/>
      <c r="KXP995" s="2335"/>
      <c r="KXQ995" s="2335"/>
      <c r="KXR995" s="2335"/>
      <c r="KXS995" s="2335"/>
      <c r="KXT995" s="2335"/>
      <c r="KXU995" s="2335"/>
      <c r="KXV995" s="2335"/>
      <c r="KXW995" s="2335"/>
      <c r="KXX995" s="2335"/>
      <c r="KXY995" s="2335"/>
      <c r="KXZ995" s="2335"/>
      <c r="KYA995" s="2335"/>
      <c r="KYB995" s="2335"/>
      <c r="KYC995" s="2335"/>
      <c r="KYD995" s="2335"/>
      <c r="KYE995" s="2335"/>
      <c r="KYF995" s="2335"/>
      <c r="KYG995" s="2335"/>
      <c r="KYH995" s="2335"/>
      <c r="KYI995" s="2335"/>
      <c r="KYJ995" s="2335"/>
      <c r="KYK995" s="2335"/>
      <c r="KYL995" s="2335"/>
      <c r="KYM995" s="2335"/>
      <c r="KYN995" s="2335"/>
      <c r="KYO995" s="2335"/>
      <c r="KYP995" s="2335"/>
      <c r="KYQ995" s="2335"/>
      <c r="KYR995" s="2335"/>
      <c r="KYS995" s="2335"/>
      <c r="KYT995" s="2335"/>
      <c r="KYU995" s="2335"/>
      <c r="KYV995" s="2335"/>
      <c r="KYW995" s="2335"/>
      <c r="KYX995" s="2335"/>
      <c r="KYY995" s="2335"/>
      <c r="KYZ995" s="2335"/>
      <c r="KZA995" s="2335"/>
      <c r="KZB995" s="2335"/>
      <c r="KZC995" s="2335"/>
      <c r="KZD995" s="2335"/>
      <c r="KZE995" s="2335"/>
      <c r="KZF995" s="2335"/>
      <c r="KZG995" s="2335"/>
      <c r="KZH995" s="2335"/>
      <c r="KZI995" s="2335"/>
      <c r="KZJ995" s="2335"/>
      <c r="KZK995" s="2335"/>
      <c r="KZL995" s="2335"/>
      <c r="KZM995" s="2335"/>
      <c r="KZN995" s="2335"/>
      <c r="KZO995" s="2335"/>
      <c r="KZP995" s="2335"/>
      <c r="KZQ995" s="2335"/>
      <c r="KZR995" s="2335"/>
      <c r="KZS995" s="2335"/>
      <c r="KZT995" s="2335"/>
      <c r="KZU995" s="2335"/>
      <c r="KZV995" s="2335"/>
      <c r="KZW995" s="2335"/>
      <c r="KZX995" s="2335"/>
      <c r="KZY995" s="2335"/>
      <c r="KZZ995" s="2335"/>
      <c r="LAA995" s="2335"/>
      <c r="LAB995" s="2335"/>
      <c r="LAC995" s="2335"/>
      <c r="LAD995" s="2335"/>
      <c r="LAE995" s="2335"/>
      <c r="LAF995" s="2335"/>
      <c r="LAG995" s="2335"/>
      <c r="LAH995" s="2335"/>
      <c r="LAI995" s="2335"/>
      <c r="LAJ995" s="2335"/>
      <c r="LAK995" s="2335"/>
      <c r="LAL995" s="2335"/>
      <c r="LAM995" s="2335"/>
      <c r="LAN995" s="2335"/>
      <c r="LAO995" s="2335"/>
      <c r="LAP995" s="2335"/>
      <c r="LAQ995" s="2335"/>
      <c r="LAR995" s="2335"/>
      <c r="LAS995" s="2335"/>
      <c r="LAT995" s="2335"/>
      <c r="LAU995" s="2335"/>
      <c r="LAV995" s="2335"/>
      <c r="LAW995" s="2335"/>
      <c r="LAX995" s="2335"/>
      <c r="LAY995" s="2335"/>
      <c r="LAZ995" s="2335"/>
      <c r="LBA995" s="2335"/>
      <c r="LBB995" s="2335"/>
      <c r="LBC995" s="2335"/>
      <c r="LBD995" s="2335"/>
      <c r="LBE995" s="2335"/>
      <c r="LBF995" s="2335"/>
      <c r="LBG995" s="2335"/>
      <c r="LBH995" s="2335"/>
      <c r="LBI995" s="2335"/>
      <c r="LBJ995" s="2335"/>
      <c r="LBK995" s="2335"/>
      <c r="LBL995" s="2335"/>
      <c r="LBM995" s="2335"/>
      <c r="LBN995" s="2335"/>
      <c r="LBO995" s="2335"/>
      <c r="LBP995" s="2335"/>
      <c r="LBQ995" s="2335"/>
      <c r="LBR995" s="2335"/>
      <c r="LBS995" s="2335"/>
      <c r="LBT995" s="2335"/>
      <c r="LBU995" s="2335"/>
      <c r="LBV995" s="2335"/>
      <c r="LBW995" s="2335"/>
      <c r="LBX995" s="2335"/>
      <c r="LBY995" s="2335"/>
      <c r="LBZ995" s="2335"/>
      <c r="LCA995" s="2335"/>
      <c r="LCB995" s="2335"/>
      <c r="LCC995" s="2335"/>
      <c r="LCD995" s="2335"/>
      <c r="LCE995" s="2335"/>
      <c r="LCF995" s="2335"/>
      <c r="LCG995" s="2335"/>
      <c r="LCH995" s="2335"/>
      <c r="LCI995" s="2335"/>
      <c r="LCJ995" s="2335"/>
      <c r="LCK995" s="2335"/>
      <c r="LCL995" s="2335"/>
      <c r="LCM995" s="2335"/>
      <c r="LCN995" s="2335"/>
      <c r="LCO995" s="2335"/>
      <c r="LCP995" s="2335"/>
      <c r="LCQ995" s="2335"/>
      <c r="LCR995" s="2335"/>
      <c r="LCS995" s="2335"/>
      <c r="LCT995" s="2335"/>
      <c r="LCU995" s="2335"/>
      <c r="LCV995" s="2335"/>
      <c r="LCW995" s="2335"/>
      <c r="LCX995" s="2335"/>
      <c r="LCY995" s="2335"/>
      <c r="LCZ995" s="2335"/>
      <c r="LDA995" s="2335"/>
      <c r="LDB995" s="2335"/>
      <c r="LDC995" s="2335"/>
      <c r="LDD995" s="2335"/>
      <c r="LDE995" s="2335"/>
      <c r="LDF995" s="2335"/>
      <c r="LDG995" s="2335"/>
      <c r="LDH995" s="2335"/>
      <c r="LDI995" s="2335"/>
      <c r="LDJ995" s="2335"/>
      <c r="LDK995" s="2335"/>
      <c r="LDL995" s="2335"/>
      <c r="LDM995" s="2335"/>
      <c r="LDN995" s="2335"/>
      <c r="LDO995" s="2335"/>
      <c r="LDP995" s="2335"/>
      <c r="LDQ995" s="2335"/>
      <c r="LDR995" s="2335"/>
      <c r="LDS995" s="2335"/>
      <c r="LDT995" s="2335"/>
      <c r="LDU995" s="2335"/>
      <c r="LDV995" s="2335"/>
      <c r="LDW995" s="2335"/>
      <c r="LDX995" s="2335"/>
      <c r="LDY995" s="2335"/>
      <c r="LDZ995" s="2335"/>
      <c r="LEA995" s="2335"/>
      <c r="LEB995" s="2335"/>
      <c r="LEC995" s="2335"/>
      <c r="LED995" s="2335"/>
      <c r="LEE995" s="2335"/>
      <c r="LEF995" s="2335"/>
      <c r="LEG995" s="2335"/>
      <c r="LEH995" s="2335"/>
      <c r="LEI995" s="2335"/>
      <c r="LEJ995" s="2335"/>
      <c r="LEK995" s="2335"/>
      <c r="LEL995" s="2335"/>
      <c r="LEM995" s="2335"/>
      <c r="LEN995" s="2335"/>
      <c r="LEO995" s="2335"/>
      <c r="LEP995" s="2335"/>
      <c r="LEQ995" s="2335"/>
      <c r="LER995" s="2335"/>
      <c r="LES995" s="2335"/>
      <c r="LET995" s="2335"/>
      <c r="LEU995" s="2335"/>
      <c r="LEV995" s="2335"/>
      <c r="LEW995" s="2335"/>
      <c r="LEX995" s="2335"/>
      <c r="LEY995" s="2335"/>
      <c r="LEZ995" s="2335"/>
      <c r="LFA995" s="2335"/>
      <c r="LFB995" s="2335"/>
      <c r="LFC995" s="2335"/>
      <c r="LFD995" s="2335"/>
      <c r="LFE995" s="2335"/>
      <c r="LFF995" s="2335"/>
      <c r="LFG995" s="2335"/>
      <c r="LFH995" s="2335"/>
      <c r="LFI995" s="2335"/>
      <c r="LFJ995" s="2335"/>
      <c r="LFK995" s="2335"/>
      <c r="LFL995" s="2335"/>
      <c r="LFM995" s="2335"/>
      <c r="LFN995" s="2335"/>
      <c r="LFO995" s="2335"/>
      <c r="LFP995" s="2335"/>
      <c r="LFQ995" s="2335"/>
      <c r="LFR995" s="2335"/>
      <c r="LFS995" s="2335"/>
      <c r="LFT995" s="2335"/>
      <c r="LFU995" s="2335"/>
      <c r="LFV995" s="2335"/>
      <c r="LFW995" s="2335"/>
      <c r="LFX995" s="2335"/>
      <c r="LFY995" s="2335"/>
      <c r="LFZ995" s="2335"/>
      <c r="LGA995" s="2335"/>
      <c r="LGB995" s="2335"/>
      <c r="LGC995" s="2335"/>
      <c r="LGD995" s="2335"/>
      <c r="LGE995" s="2335"/>
      <c r="LGF995" s="2335"/>
      <c r="LGG995" s="2335"/>
      <c r="LGH995" s="2335"/>
      <c r="LGI995" s="2335"/>
      <c r="LGJ995" s="2335"/>
      <c r="LGK995" s="2335"/>
      <c r="LGL995" s="2335"/>
      <c r="LGM995" s="2335"/>
      <c r="LGN995" s="2335"/>
      <c r="LGO995" s="2335"/>
      <c r="LGP995" s="2335"/>
      <c r="LGQ995" s="2335"/>
      <c r="LGR995" s="2335"/>
      <c r="LGS995" s="2335"/>
      <c r="LGT995" s="2335"/>
      <c r="LGU995" s="2335"/>
      <c r="LGV995" s="2335"/>
      <c r="LGW995" s="2335"/>
      <c r="LGX995" s="2335"/>
      <c r="LGY995" s="2335"/>
      <c r="LGZ995" s="2335"/>
      <c r="LHA995" s="2335"/>
      <c r="LHB995" s="2335"/>
      <c r="LHC995" s="2335"/>
      <c r="LHD995" s="2335"/>
      <c r="LHE995" s="2335"/>
      <c r="LHF995" s="2335"/>
      <c r="LHG995" s="2335"/>
      <c r="LHH995" s="2335"/>
      <c r="LHI995" s="2335"/>
      <c r="LHJ995" s="2335"/>
      <c r="LHK995" s="2335"/>
      <c r="LHL995" s="2335"/>
      <c r="LHM995" s="2335"/>
      <c r="LHN995" s="2335"/>
      <c r="LHO995" s="2335"/>
      <c r="LHP995" s="2335"/>
      <c r="LHQ995" s="2335"/>
      <c r="LHR995" s="2335"/>
      <c r="LHS995" s="2335"/>
      <c r="LHT995" s="2335"/>
      <c r="LHU995" s="2335"/>
      <c r="LHV995" s="2335"/>
      <c r="LHW995" s="2335"/>
      <c r="LHX995" s="2335"/>
      <c r="LHY995" s="2335"/>
      <c r="LHZ995" s="2335"/>
      <c r="LIA995" s="2335"/>
      <c r="LIB995" s="2335"/>
      <c r="LIC995" s="2335"/>
      <c r="LID995" s="2335"/>
      <c r="LIE995" s="2335"/>
      <c r="LIF995" s="2335"/>
      <c r="LIG995" s="2335"/>
      <c r="LIH995" s="2335"/>
      <c r="LII995" s="2335"/>
      <c r="LIJ995" s="2335"/>
      <c r="LIK995" s="2335"/>
      <c r="LIL995" s="2335"/>
      <c r="LIM995" s="2335"/>
      <c r="LIN995" s="2335"/>
      <c r="LIO995" s="2335"/>
      <c r="LIP995" s="2335"/>
      <c r="LIQ995" s="2335"/>
      <c r="LIR995" s="2335"/>
      <c r="LIS995" s="2335"/>
      <c r="LIT995" s="2335"/>
      <c r="LIU995" s="2335"/>
      <c r="LIV995" s="2335"/>
      <c r="LIW995" s="2335"/>
      <c r="LIX995" s="2335"/>
      <c r="LIY995" s="2335"/>
      <c r="LIZ995" s="2335"/>
      <c r="LJA995" s="2335"/>
      <c r="LJB995" s="2335"/>
      <c r="LJC995" s="2335"/>
      <c r="LJD995" s="2335"/>
      <c r="LJE995" s="2335"/>
      <c r="LJF995" s="2335"/>
      <c r="LJG995" s="2335"/>
      <c r="LJH995" s="2335"/>
      <c r="LJI995" s="2335"/>
      <c r="LJJ995" s="2335"/>
      <c r="LJK995" s="2335"/>
      <c r="LJL995" s="2335"/>
      <c r="LJM995" s="2335"/>
      <c r="LJN995" s="2335"/>
      <c r="LJO995" s="2335"/>
      <c r="LJP995" s="2335"/>
      <c r="LJQ995" s="2335"/>
      <c r="LJR995" s="2335"/>
      <c r="LJS995" s="2335"/>
      <c r="LJT995" s="2335"/>
      <c r="LJU995" s="2335"/>
      <c r="LJV995" s="2335"/>
      <c r="LJW995" s="2335"/>
      <c r="LJX995" s="2335"/>
      <c r="LJY995" s="2335"/>
      <c r="LJZ995" s="2335"/>
      <c r="LKA995" s="2335"/>
      <c r="LKB995" s="2335"/>
      <c r="LKC995" s="2335"/>
      <c r="LKD995" s="2335"/>
      <c r="LKE995" s="2335"/>
      <c r="LKF995" s="2335"/>
      <c r="LKG995" s="2335"/>
      <c r="LKH995" s="2335"/>
      <c r="LKI995" s="2335"/>
      <c r="LKJ995" s="2335"/>
      <c r="LKK995" s="2335"/>
      <c r="LKL995" s="2335"/>
      <c r="LKM995" s="2335"/>
      <c r="LKN995" s="2335"/>
      <c r="LKO995" s="2335"/>
      <c r="LKP995" s="2335"/>
      <c r="LKQ995" s="2335"/>
      <c r="LKR995" s="2335"/>
      <c r="LKS995" s="2335"/>
      <c r="LKT995" s="2335"/>
      <c r="LKU995" s="2335"/>
      <c r="LKV995" s="2335"/>
      <c r="LKW995" s="2335"/>
      <c r="LKX995" s="2335"/>
      <c r="LKY995" s="2335"/>
      <c r="LKZ995" s="2335"/>
      <c r="LLA995" s="2335"/>
      <c r="LLB995" s="2335"/>
      <c r="LLC995" s="2335"/>
      <c r="LLD995" s="2335"/>
      <c r="LLE995" s="2335"/>
      <c r="LLF995" s="2335"/>
      <c r="LLG995" s="2335"/>
      <c r="LLH995" s="2335"/>
      <c r="LLI995" s="2335"/>
      <c r="LLJ995" s="2335"/>
      <c r="LLK995" s="2335"/>
      <c r="LLL995" s="2335"/>
      <c r="LLM995" s="2335"/>
      <c r="LLN995" s="2335"/>
      <c r="LLO995" s="2335"/>
      <c r="LLP995" s="2335"/>
      <c r="LLQ995" s="2335"/>
      <c r="LLR995" s="2335"/>
      <c r="LLS995" s="2335"/>
      <c r="LLT995" s="2335"/>
      <c r="LLU995" s="2335"/>
      <c r="LLV995" s="2335"/>
      <c r="LLW995" s="2335"/>
      <c r="LLX995" s="2335"/>
      <c r="LLY995" s="2335"/>
      <c r="LLZ995" s="2335"/>
      <c r="LMA995" s="2335"/>
      <c r="LMB995" s="2335"/>
      <c r="LMC995" s="2335"/>
      <c r="LMD995" s="2335"/>
      <c r="LME995" s="2335"/>
      <c r="LMF995" s="2335"/>
      <c r="LMG995" s="2335"/>
      <c r="LMH995" s="2335"/>
      <c r="LMI995" s="2335"/>
      <c r="LMJ995" s="2335"/>
      <c r="LMK995" s="2335"/>
      <c r="LML995" s="2335"/>
      <c r="LMM995" s="2335"/>
      <c r="LMN995" s="2335"/>
      <c r="LMO995" s="2335"/>
      <c r="LMP995" s="2335"/>
      <c r="LMQ995" s="2335"/>
      <c r="LMR995" s="2335"/>
      <c r="LMS995" s="2335"/>
      <c r="LMT995" s="2335"/>
      <c r="LMU995" s="2335"/>
      <c r="LMV995" s="2335"/>
      <c r="LMW995" s="2335"/>
      <c r="LMX995" s="2335"/>
      <c r="LMY995" s="2335"/>
      <c r="LMZ995" s="2335"/>
      <c r="LNA995" s="2335"/>
      <c r="LNB995" s="2335"/>
      <c r="LNC995" s="2335"/>
      <c r="LND995" s="2335"/>
      <c r="LNE995" s="2335"/>
      <c r="LNF995" s="2335"/>
      <c r="LNG995" s="2335"/>
      <c r="LNH995" s="2335"/>
      <c r="LNI995" s="2335"/>
      <c r="LNJ995" s="2335"/>
      <c r="LNK995" s="2335"/>
      <c r="LNL995" s="2335"/>
      <c r="LNM995" s="2335"/>
      <c r="LNN995" s="2335"/>
      <c r="LNO995" s="2335"/>
      <c r="LNP995" s="2335"/>
      <c r="LNQ995" s="2335"/>
      <c r="LNR995" s="2335"/>
      <c r="LNS995" s="2335"/>
      <c r="LNT995" s="2335"/>
      <c r="LNU995" s="2335"/>
      <c r="LNV995" s="2335"/>
      <c r="LNW995" s="2335"/>
      <c r="LNX995" s="2335"/>
      <c r="LNY995" s="2335"/>
      <c r="LNZ995" s="2335"/>
      <c r="LOA995" s="2335"/>
      <c r="LOB995" s="2335"/>
      <c r="LOC995" s="2335"/>
      <c r="LOD995" s="2335"/>
      <c r="LOE995" s="2335"/>
      <c r="LOF995" s="2335"/>
      <c r="LOG995" s="2335"/>
      <c r="LOH995" s="2335"/>
      <c r="LOI995" s="2335"/>
      <c r="LOJ995" s="2335"/>
      <c r="LOK995" s="2335"/>
      <c r="LOL995" s="2335"/>
      <c r="LOM995" s="2335"/>
      <c r="LON995" s="2335"/>
      <c r="LOO995" s="2335"/>
      <c r="LOP995" s="2335"/>
      <c r="LOQ995" s="2335"/>
      <c r="LOR995" s="2335"/>
      <c r="LOS995" s="2335"/>
      <c r="LOT995" s="2335"/>
      <c r="LOU995" s="2335"/>
      <c r="LOV995" s="2335"/>
      <c r="LOW995" s="2335"/>
      <c r="LOX995" s="2335"/>
      <c r="LOY995" s="2335"/>
      <c r="LOZ995" s="2335"/>
      <c r="LPA995" s="2335"/>
      <c r="LPB995" s="2335"/>
      <c r="LPC995" s="2335"/>
      <c r="LPD995" s="2335"/>
      <c r="LPE995" s="2335"/>
      <c r="LPF995" s="2335"/>
      <c r="LPG995" s="2335"/>
      <c r="LPH995" s="2335"/>
      <c r="LPI995" s="2335"/>
      <c r="LPJ995" s="2335"/>
      <c r="LPK995" s="2335"/>
      <c r="LPL995" s="2335"/>
      <c r="LPM995" s="2335"/>
      <c r="LPN995" s="2335"/>
      <c r="LPO995" s="2335"/>
      <c r="LPP995" s="2335"/>
      <c r="LPQ995" s="2335"/>
      <c r="LPR995" s="2335"/>
      <c r="LPS995" s="2335"/>
      <c r="LPT995" s="2335"/>
      <c r="LPU995" s="2335"/>
      <c r="LPV995" s="2335"/>
      <c r="LPW995" s="2335"/>
      <c r="LPX995" s="2335"/>
      <c r="LPY995" s="2335"/>
      <c r="LPZ995" s="2335"/>
      <c r="LQA995" s="2335"/>
      <c r="LQB995" s="2335"/>
      <c r="LQC995" s="2335"/>
      <c r="LQD995" s="2335"/>
      <c r="LQE995" s="2335"/>
      <c r="LQF995" s="2335"/>
      <c r="LQG995" s="2335"/>
      <c r="LQH995" s="2335"/>
      <c r="LQI995" s="2335"/>
      <c r="LQJ995" s="2335"/>
      <c r="LQK995" s="2335"/>
      <c r="LQL995" s="2335"/>
      <c r="LQM995" s="2335"/>
      <c r="LQN995" s="2335"/>
      <c r="LQO995" s="2335"/>
      <c r="LQP995" s="2335"/>
      <c r="LQQ995" s="2335"/>
      <c r="LQR995" s="2335"/>
      <c r="LQS995" s="2335"/>
      <c r="LQT995" s="2335"/>
      <c r="LQU995" s="2335"/>
      <c r="LQV995" s="2335"/>
      <c r="LQW995" s="2335"/>
      <c r="LQX995" s="2335"/>
      <c r="LQY995" s="2335"/>
      <c r="LQZ995" s="2335"/>
      <c r="LRA995" s="2335"/>
      <c r="LRB995" s="2335"/>
      <c r="LRC995" s="2335"/>
      <c r="LRD995" s="2335"/>
      <c r="LRE995" s="2335"/>
      <c r="LRF995" s="2335"/>
      <c r="LRG995" s="2335"/>
      <c r="LRH995" s="2335"/>
      <c r="LRI995" s="2335"/>
      <c r="LRJ995" s="2335"/>
      <c r="LRK995" s="2335"/>
      <c r="LRL995" s="2335"/>
      <c r="LRM995" s="2335"/>
      <c r="LRN995" s="2335"/>
      <c r="LRO995" s="2335"/>
      <c r="LRP995" s="2335"/>
      <c r="LRQ995" s="2335"/>
      <c r="LRR995" s="2335"/>
      <c r="LRS995" s="2335"/>
      <c r="LRT995" s="2335"/>
      <c r="LRU995" s="2335"/>
      <c r="LRV995" s="2335"/>
      <c r="LRW995" s="2335"/>
      <c r="LRX995" s="2335"/>
      <c r="LRY995" s="2335"/>
      <c r="LRZ995" s="2335"/>
      <c r="LSA995" s="2335"/>
      <c r="LSB995" s="2335"/>
      <c r="LSC995" s="2335"/>
      <c r="LSD995" s="2335"/>
      <c r="LSE995" s="2335"/>
      <c r="LSF995" s="2335"/>
      <c r="LSG995" s="2335"/>
      <c r="LSH995" s="2335"/>
      <c r="LSI995" s="2335"/>
      <c r="LSJ995" s="2335"/>
      <c r="LSK995" s="2335"/>
      <c r="LSL995" s="2335"/>
      <c r="LSM995" s="2335"/>
      <c r="LSN995" s="2335"/>
      <c r="LSO995" s="2335"/>
      <c r="LSP995" s="2335"/>
      <c r="LSQ995" s="2335"/>
      <c r="LSR995" s="2335"/>
      <c r="LSS995" s="2335"/>
      <c r="LST995" s="2335"/>
      <c r="LSU995" s="2335"/>
      <c r="LSV995" s="2335"/>
      <c r="LSW995" s="2335"/>
      <c r="LSX995" s="2335"/>
      <c r="LSY995" s="2335"/>
      <c r="LSZ995" s="2335"/>
      <c r="LTA995" s="2335"/>
      <c r="LTB995" s="2335"/>
      <c r="LTC995" s="2335"/>
      <c r="LTD995" s="2335"/>
      <c r="LTE995" s="2335"/>
      <c r="LTF995" s="2335"/>
      <c r="LTG995" s="2335"/>
      <c r="LTH995" s="2335"/>
      <c r="LTI995" s="2335"/>
      <c r="LTJ995" s="2335"/>
      <c r="LTK995" s="2335"/>
      <c r="LTL995" s="2335"/>
      <c r="LTM995" s="2335"/>
      <c r="LTN995" s="2335"/>
      <c r="LTO995" s="2335"/>
      <c r="LTP995" s="2335"/>
      <c r="LTQ995" s="2335"/>
      <c r="LTR995" s="2335"/>
      <c r="LTS995" s="2335"/>
      <c r="LTT995" s="2335"/>
      <c r="LTU995" s="2335"/>
      <c r="LTV995" s="2335"/>
      <c r="LTW995" s="2335"/>
      <c r="LTX995" s="2335"/>
      <c r="LTY995" s="2335"/>
      <c r="LTZ995" s="2335"/>
      <c r="LUA995" s="2335"/>
      <c r="LUB995" s="2335"/>
      <c r="LUC995" s="2335"/>
      <c r="LUD995" s="2335"/>
      <c r="LUE995" s="2335"/>
      <c r="LUF995" s="2335"/>
      <c r="LUG995" s="2335"/>
      <c r="LUH995" s="2335"/>
      <c r="LUI995" s="2335"/>
      <c r="LUJ995" s="2335"/>
      <c r="LUK995" s="2335"/>
      <c r="LUL995" s="2335"/>
      <c r="LUM995" s="2335"/>
      <c r="LUN995" s="2335"/>
      <c r="LUO995" s="2335"/>
      <c r="LUP995" s="2335"/>
      <c r="LUQ995" s="2335"/>
      <c r="LUR995" s="2335"/>
      <c r="LUS995" s="2335"/>
      <c r="LUT995" s="2335"/>
      <c r="LUU995" s="2335"/>
      <c r="LUV995" s="2335"/>
      <c r="LUW995" s="2335"/>
      <c r="LUX995" s="2335"/>
      <c r="LUY995" s="2335"/>
      <c r="LUZ995" s="2335"/>
      <c r="LVA995" s="2335"/>
      <c r="LVB995" s="2335"/>
      <c r="LVC995" s="2335"/>
      <c r="LVD995" s="2335"/>
      <c r="LVE995" s="2335"/>
      <c r="LVF995" s="2335"/>
      <c r="LVG995" s="2335"/>
      <c r="LVH995" s="2335"/>
      <c r="LVI995" s="2335"/>
      <c r="LVJ995" s="2335"/>
      <c r="LVK995" s="2335"/>
      <c r="LVL995" s="2335"/>
      <c r="LVM995" s="2335"/>
      <c r="LVN995" s="2335"/>
      <c r="LVO995" s="2335"/>
      <c r="LVP995" s="2335"/>
      <c r="LVQ995" s="2335"/>
      <c r="LVR995" s="2335"/>
      <c r="LVS995" s="2335"/>
      <c r="LVT995" s="2335"/>
      <c r="LVU995" s="2335"/>
      <c r="LVV995" s="2335"/>
      <c r="LVW995" s="2335"/>
      <c r="LVX995" s="2335"/>
      <c r="LVY995" s="2335"/>
      <c r="LVZ995" s="2335"/>
      <c r="LWA995" s="2335"/>
      <c r="LWB995" s="2335"/>
      <c r="LWC995" s="2335"/>
      <c r="LWD995" s="2335"/>
      <c r="LWE995" s="2335"/>
      <c r="LWF995" s="2335"/>
      <c r="LWG995" s="2335"/>
      <c r="LWH995" s="2335"/>
      <c r="LWI995" s="2335"/>
      <c r="LWJ995" s="2335"/>
      <c r="LWK995" s="2335"/>
      <c r="LWL995" s="2335"/>
      <c r="LWM995" s="2335"/>
      <c r="LWN995" s="2335"/>
      <c r="LWO995" s="2335"/>
      <c r="LWP995" s="2335"/>
      <c r="LWQ995" s="2335"/>
      <c r="LWR995" s="2335"/>
      <c r="LWS995" s="2335"/>
      <c r="LWT995" s="2335"/>
      <c r="LWU995" s="2335"/>
      <c r="LWV995" s="2335"/>
      <c r="LWW995" s="2335"/>
      <c r="LWX995" s="2335"/>
      <c r="LWY995" s="2335"/>
      <c r="LWZ995" s="2335"/>
      <c r="LXA995" s="2335"/>
      <c r="LXB995" s="2335"/>
      <c r="LXC995" s="2335"/>
      <c r="LXD995" s="2335"/>
      <c r="LXE995" s="2335"/>
      <c r="LXF995" s="2335"/>
      <c r="LXG995" s="2335"/>
      <c r="LXH995" s="2335"/>
      <c r="LXI995" s="2335"/>
      <c r="LXJ995" s="2335"/>
      <c r="LXK995" s="2335"/>
      <c r="LXL995" s="2335"/>
      <c r="LXM995" s="2335"/>
      <c r="LXN995" s="2335"/>
      <c r="LXO995" s="2335"/>
      <c r="LXP995" s="2335"/>
      <c r="LXQ995" s="2335"/>
      <c r="LXR995" s="2335"/>
      <c r="LXS995" s="2335"/>
      <c r="LXT995" s="2335"/>
      <c r="LXU995" s="2335"/>
      <c r="LXV995" s="2335"/>
      <c r="LXW995" s="2335"/>
      <c r="LXX995" s="2335"/>
      <c r="LXY995" s="2335"/>
      <c r="LXZ995" s="2335"/>
      <c r="LYA995" s="2335"/>
      <c r="LYB995" s="2335"/>
      <c r="LYC995" s="2335"/>
      <c r="LYD995" s="2335"/>
      <c r="LYE995" s="2335"/>
      <c r="LYF995" s="2335"/>
      <c r="LYG995" s="2335"/>
      <c r="LYH995" s="2335"/>
      <c r="LYI995" s="2335"/>
      <c r="LYJ995" s="2335"/>
      <c r="LYK995" s="2335"/>
      <c r="LYL995" s="2335"/>
      <c r="LYM995" s="2335"/>
      <c r="LYN995" s="2335"/>
      <c r="LYO995" s="2335"/>
      <c r="LYP995" s="2335"/>
      <c r="LYQ995" s="2335"/>
      <c r="LYR995" s="2335"/>
      <c r="LYS995" s="2335"/>
      <c r="LYT995" s="2335"/>
      <c r="LYU995" s="2335"/>
      <c r="LYV995" s="2335"/>
      <c r="LYW995" s="2335"/>
      <c r="LYX995" s="2335"/>
      <c r="LYY995" s="2335"/>
      <c r="LYZ995" s="2335"/>
      <c r="LZA995" s="2335"/>
      <c r="LZB995" s="2335"/>
      <c r="LZC995" s="2335"/>
      <c r="LZD995" s="2335"/>
      <c r="LZE995" s="2335"/>
      <c r="LZF995" s="2335"/>
      <c r="LZG995" s="2335"/>
      <c r="LZH995" s="2335"/>
      <c r="LZI995" s="2335"/>
      <c r="LZJ995" s="2335"/>
      <c r="LZK995" s="2335"/>
      <c r="LZL995" s="2335"/>
      <c r="LZM995" s="2335"/>
      <c r="LZN995" s="2335"/>
      <c r="LZO995" s="2335"/>
      <c r="LZP995" s="2335"/>
      <c r="LZQ995" s="2335"/>
      <c r="LZR995" s="2335"/>
      <c r="LZS995" s="2335"/>
      <c r="LZT995" s="2335"/>
      <c r="LZU995" s="2335"/>
      <c r="LZV995" s="2335"/>
      <c r="LZW995" s="2335"/>
      <c r="LZX995" s="2335"/>
      <c r="LZY995" s="2335"/>
      <c r="LZZ995" s="2335"/>
      <c r="MAA995" s="2335"/>
      <c r="MAB995" s="2335"/>
      <c r="MAC995" s="2335"/>
      <c r="MAD995" s="2335"/>
      <c r="MAE995" s="2335"/>
      <c r="MAF995" s="2335"/>
      <c r="MAG995" s="2335"/>
      <c r="MAH995" s="2335"/>
      <c r="MAI995" s="2335"/>
      <c r="MAJ995" s="2335"/>
      <c r="MAK995" s="2335"/>
      <c r="MAL995" s="2335"/>
      <c r="MAM995" s="2335"/>
      <c r="MAN995" s="2335"/>
      <c r="MAO995" s="2335"/>
      <c r="MAP995" s="2335"/>
      <c r="MAQ995" s="2335"/>
      <c r="MAR995" s="2335"/>
      <c r="MAS995" s="2335"/>
      <c r="MAT995" s="2335"/>
      <c r="MAU995" s="2335"/>
      <c r="MAV995" s="2335"/>
      <c r="MAW995" s="2335"/>
      <c r="MAX995" s="2335"/>
      <c r="MAY995" s="2335"/>
      <c r="MAZ995" s="2335"/>
      <c r="MBA995" s="2335"/>
      <c r="MBB995" s="2335"/>
      <c r="MBC995" s="2335"/>
      <c r="MBD995" s="2335"/>
      <c r="MBE995" s="2335"/>
      <c r="MBF995" s="2335"/>
      <c r="MBG995" s="2335"/>
      <c r="MBH995" s="2335"/>
      <c r="MBI995" s="2335"/>
      <c r="MBJ995" s="2335"/>
      <c r="MBK995" s="2335"/>
      <c r="MBL995" s="2335"/>
      <c r="MBM995" s="2335"/>
      <c r="MBN995" s="2335"/>
      <c r="MBO995" s="2335"/>
      <c r="MBP995" s="2335"/>
      <c r="MBQ995" s="2335"/>
      <c r="MBR995" s="2335"/>
      <c r="MBS995" s="2335"/>
      <c r="MBT995" s="2335"/>
      <c r="MBU995" s="2335"/>
      <c r="MBV995" s="2335"/>
      <c r="MBW995" s="2335"/>
      <c r="MBX995" s="2335"/>
      <c r="MBY995" s="2335"/>
      <c r="MBZ995" s="2335"/>
      <c r="MCA995" s="2335"/>
      <c r="MCB995" s="2335"/>
      <c r="MCC995" s="2335"/>
      <c r="MCD995" s="2335"/>
      <c r="MCE995" s="2335"/>
      <c r="MCF995" s="2335"/>
      <c r="MCG995" s="2335"/>
      <c r="MCH995" s="2335"/>
      <c r="MCI995" s="2335"/>
      <c r="MCJ995" s="2335"/>
      <c r="MCK995" s="2335"/>
      <c r="MCL995" s="2335"/>
      <c r="MCM995" s="2335"/>
      <c r="MCN995" s="2335"/>
      <c r="MCO995" s="2335"/>
      <c r="MCP995" s="2335"/>
      <c r="MCQ995" s="2335"/>
      <c r="MCR995" s="2335"/>
      <c r="MCS995" s="2335"/>
      <c r="MCT995" s="2335"/>
      <c r="MCU995" s="2335"/>
      <c r="MCV995" s="2335"/>
      <c r="MCW995" s="2335"/>
      <c r="MCX995" s="2335"/>
      <c r="MCY995" s="2335"/>
      <c r="MCZ995" s="2335"/>
      <c r="MDA995" s="2335"/>
      <c r="MDB995" s="2335"/>
      <c r="MDC995" s="2335"/>
      <c r="MDD995" s="2335"/>
      <c r="MDE995" s="2335"/>
      <c r="MDF995" s="2335"/>
      <c r="MDG995" s="2335"/>
      <c r="MDH995" s="2335"/>
      <c r="MDI995" s="2335"/>
      <c r="MDJ995" s="2335"/>
      <c r="MDK995" s="2335"/>
      <c r="MDL995" s="2335"/>
      <c r="MDM995" s="2335"/>
      <c r="MDN995" s="2335"/>
      <c r="MDO995" s="2335"/>
      <c r="MDP995" s="2335"/>
      <c r="MDQ995" s="2335"/>
      <c r="MDR995" s="2335"/>
      <c r="MDS995" s="2335"/>
      <c r="MDT995" s="2335"/>
      <c r="MDU995" s="2335"/>
      <c r="MDV995" s="2335"/>
      <c r="MDW995" s="2335"/>
      <c r="MDX995" s="2335"/>
      <c r="MDY995" s="2335"/>
      <c r="MDZ995" s="2335"/>
      <c r="MEA995" s="2335"/>
      <c r="MEB995" s="2335"/>
      <c r="MEC995" s="2335"/>
      <c r="MED995" s="2335"/>
      <c r="MEE995" s="2335"/>
      <c r="MEF995" s="2335"/>
      <c r="MEG995" s="2335"/>
      <c r="MEH995" s="2335"/>
      <c r="MEI995" s="2335"/>
      <c r="MEJ995" s="2335"/>
      <c r="MEK995" s="2335"/>
      <c r="MEL995" s="2335"/>
      <c r="MEM995" s="2335"/>
      <c r="MEN995" s="2335"/>
      <c r="MEO995" s="2335"/>
      <c r="MEP995" s="2335"/>
      <c r="MEQ995" s="2335"/>
      <c r="MER995" s="2335"/>
      <c r="MES995" s="2335"/>
      <c r="MET995" s="2335"/>
      <c r="MEU995" s="2335"/>
      <c r="MEV995" s="2335"/>
      <c r="MEW995" s="2335"/>
      <c r="MEX995" s="2335"/>
      <c r="MEY995" s="2335"/>
      <c r="MEZ995" s="2335"/>
      <c r="MFA995" s="2335"/>
      <c r="MFB995" s="2335"/>
      <c r="MFC995" s="2335"/>
      <c r="MFD995" s="2335"/>
      <c r="MFE995" s="2335"/>
      <c r="MFF995" s="2335"/>
      <c r="MFG995" s="2335"/>
      <c r="MFH995" s="2335"/>
      <c r="MFI995" s="2335"/>
      <c r="MFJ995" s="2335"/>
      <c r="MFK995" s="2335"/>
      <c r="MFL995" s="2335"/>
      <c r="MFM995" s="2335"/>
      <c r="MFN995" s="2335"/>
      <c r="MFO995" s="2335"/>
      <c r="MFP995" s="2335"/>
      <c r="MFQ995" s="2335"/>
      <c r="MFR995" s="2335"/>
      <c r="MFS995" s="2335"/>
      <c r="MFT995" s="2335"/>
      <c r="MFU995" s="2335"/>
      <c r="MFV995" s="2335"/>
      <c r="MFW995" s="2335"/>
      <c r="MFX995" s="2335"/>
      <c r="MFY995" s="2335"/>
      <c r="MFZ995" s="2335"/>
      <c r="MGA995" s="2335"/>
      <c r="MGB995" s="2335"/>
      <c r="MGC995" s="2335"/>
      <c r="MGD995" s="2335"/>
      <c r="MGE995" s="2335"/>
      <c r="MGF995" s="2335"/>
      <c r="MGG995" s="2335"/>
      <c r="MGH995" s="2335"/>
      <c r="MGI995" s="2335"/>
      <c r="MGJ995" s="2335"/>
      <c r="MGK995" s="2335"/>
      <c r="MGL995" s="2335"/>
      <c r="MGM995" s="2335"/>
      <c r="MGN995" s="2335"/>
      <c r="MGO995" s="2335"/>
      <c r="MGP995" s="2335"/>
      <c r="MGQ995" s="2335"/>
      <c r="MGR995" s="2335"/>
      <c r="MGS995" s="2335"/>
      <c r="MGT995" s="2335"/>
      <c r="MGU995" s="2335"/>
      <c r="MGV995" s="2335"/>
      <c r="MGW995" s="2335"/>
      <c r="MGX995" s="2335"/>
      <c r="MGY995" s="2335"/>
      <c r="MGZ995" s="2335"/>
      <c r="MHA995" s="2335"/>
      <c r="MHB995" s="2335"/>
      <c r="MHC995" s="2335"/>
      <c r="MHD995" s="2335"/>
      <c r="MHE995" s="2335"/>
      <c r="MHF995" s="2335"/>
      <c r="MHG995" s="2335"/>
      <c r="MHH995" s="2335"/>
      <c r="MHI995" s="2335"/>
      <c r="MHJ995" s="2335"/>
      <c r="MHK995" s="2335"/>
      <c r="MHL995" s="2335"/>
      <c r="MHM995" s="2335"/>
      <c r="MHN995" s="2335"/>
      <c r="MHO995" s="2335"/>
      <c r="MHP995" s="2335"/>
      <c r="MHQ995" s="2335"/>
      <c r="MHR995" s="2335"/>
      <c r="MHS995" s="2335"/>
      <c r="MHT995" s="2335"/>
      <c r="MHU995" s="2335"/>
      <c r="MHV995" s="2335"/>
      <c r="MHW995" s="2335"/>
      <c r="MHX995" s="2335"/>
      <c r="MHY995" s="2335"/>
      <c r="MHZ995" s="2335"/>
      <c r="MIA995" s="2335"/>
      <c r="MIB995" s="2335"/>
      <c r="MIC995" s="2335"/>
      <c r="MID995" s="2335"/>
      <c r="MIE995" s="2335"/>
      <c r="MIF995" s="2335"/>
      <c r="MIG995" s="2335"/>
      <c r="MIH995" s="2335"/>
      <c r="MII995" s="2335"/>
      <c r="MIJ995" s="2335"/>
      <c r="MIK995" s="2335"/>
      <c r="MIL995" s="2335"/>
      <c r="MIM995" s="2335"/>
      <c r="MIN995" s="2335"/>
      <c r="MIO995" s="2335"/>
      <c r="MIP995" s="2335"/>
      <c r="MIQ995" s="2335"/>
      <c r="MIR995" s="2335"/>
      <c r="MIS995" s="2335"/>
      <c r="MIT995" s="2335"/>
      <c r="MIU995" s="2335"/>
      <c r="MIV995" s="2335"/>
      <c r="MIW995" s="2335"/>
      <c r="MIX995" s="2335"/>
      <c r="MIY995" s="2335"/>
      <c r="MIZ995" s="2335"/>
      <c r="MJA995" s="2335"/>
      <c r="MJB995" s="2335"/>
      <c r="MJC995" s="2335"/>
      <c r="MJD995" s="2335"/>
      <c r="MJE995" s="2335"/>
      <c r="MJF995" s="2335"/>
      <c r="MJG995" s="2335"/>
      <c r="MJH995" s="2335"/>
      <c r="MJI995" s="2335"/>
      <c r="MJJ995" s="2335"/>
      <c r="MJK995" s="2335"/>
      <c r="MJL995" s="2335"/>
      <c r="MJM995" s="2335"/>
      <c r="MJN995" s="2335"/>
      <c r="MJO995" s="2335"/>
      <c r="MJP995" s="2335"/>
      <c r="MJQ995" s="2335"/>
      <c r="MJR995" s="2335"/>
      <c r="MJS995" s="2335"/>
      <c r="MJT995" s="2335"/>
      <c r="MJU995" s="2335"/>
      <c r="MJV995" s="2335"/>
      <c r="MJW995" s="2335"/>
      <c r="MJX995" s="2335"/>
      <c r="MJY995" s="2335"/>
      <c r="MJZ995" s="2335"/>
      <c r="MKA995" s="2335"/>
      <c r="MKB995" s="2335"/>
      <c r="MKC995" s="2335"/>
      <c r="MKD995" s="2335"/>
      <c r="MKE995" s="2335"/>
      <c r="MKF995" s="2335"/>
      <c r="MKG995" s="2335"/>
      <c r="MKH995" s="2335"/>
      <c r="MKI995" s="2335"/>
      <c r="MKJ995" s="2335"/>
      <c r="MKK995" s="2335"/>
      <c r="MKL995" s="2335"/>
      <c r="MKM995" s="2335"/>
      <c r="MKN995" s="2335"/>
      <c r="MKO995" s="2335"/>
      <c r="MKP995" s="2335"/>
      <c r="MKQ995" s="2335"/>
      <c r="MKR995" s="2335"/>
      <c r="MKS995" s="2335"/>
      <c r="MKT995" s="2335"/>
      <c r="MKU995" s="2335"/>
      <c r="MKV995" s="2335"/>
      <c r="MKW995" s="2335"/>
      <c r="MKX995" s="2335"/>
      <c r="MKY995" s="2335"/>
      <c r="MKZ995" s="2335"/>
      <c r="MLA995" s="2335"/>
      <c r="MLB995" s="2335"/>
      <c r="MLC995" s="2335"/>
      <c r="MLD995" s="2335"/>
      <c r="MLE995" s="2335"/>
      <c r="MLF995" s="2335"/>
      <c r="MLG995" s="2335"/>
      <c r="MLH995" s="2335"/>
      <c r="MLI995" s="2335"/>
      <c r="MLJ995" s="2335"/>
      <c r="MLK995" s="2335"/>
      <c r="MLL995" s="2335"/>
      <c r="MLM995" s="2335"/>
      <c r="MLN995" s="2335"/>
      <c r="MLO995" s="2335"/>
      <c r="MLP995" s="2335"/>
      <c r="MLQ995" s="2335"/>
      <c r="MLR995" s="2335"/>
      <c r="MLS995" s="2335"/>
      <c r="MLT995" s="2335"/>
      <c r="MLU995" s="2335"/>
      <c r="MLV995" s="2335"/>
      <c r="MLW995" s="2335"/>
      <c r="MLX995" s="2335"/>
      <c r="MLY995" s="2335"/>
      <c r="MLZ995" s="2335"/>
      <c r="MMA995" s="2335"/>
      <c r="MMB995" s="2335"/>
      <c r="MMC995" s="2335"/>
      <c r="MMD995" s="2335"/>
      <c r="MME995" s="2335"/>
      <c r="MMF995" s="2335"/>
      <c r="MMG995" s="2335"/>
      <c r="MMH995" s="2335"/>
      <c r="MMI995" s="2335"/>
      <c r="MMJ995" s="2335"/>
      <c r="MMK995" s="2335"/>
      <c r="MML995" s="2335"/>
      <c r="MMM995" s="2335"/>
      <c r="MMN995" s="2335"/>
      <c r="MMO995" s="2335"/>
      <c r="MMP995" s="2335"/>
      <c r="MMQ995" s="2335"/>
      <c r="MMR995" s="2335"/>
      <c r="MMS995" s="2335"/>
      <c r="MMT995" s="2335"/>
      <c r="MMU995" s="2335"/>
      <c r="MMV995" s="2335"/>
      <c r="MMW995" s="2335"/>
      <c r="MMX995" s="2335"/>
      <c r="MMY995" s="2335"/>
      <c r="MMZ995" s="2335"/>
      <c r="MNA995" s="2335"/>
      <c r="MNB995" s="2335"/>
      <c r="MNC995" s="2335"/>
      <c r="MND995" s="2335"/>
      <c r="MNE995" s="2335"/>
      <c r="MNF995" s="2335"/>
      <c r="MNG995" s="2335"/>
      <c r="MNH995" s="2335"/>
      <c r="MNI995" s="2335"/>
      <c r="MNJ995" s="2335"/>
      <c r="MNK995" s="2335"/>
      <c r="MNL995" s="2335"/>
      <c r="MNM995" s="2335"/>
      <c r="MNN995" s="2335"/>
      <c r="MNO995" s="2335"/>
      <c r="MNP995" s="2335"/>
      <c r="MNQ995" s="2335"/>
      <c r="MNR995" s="2335"/>
      <c r="MNS995" s="2335"/>
      <c r="MNT995" s="2335"/>
      <c r="MNU995" s="2335"/>
      <c r="MNV995" s="2335"/>
      <c r="MNW995" s="2335"/>
      <c r="MNX995" s="2335"/>
      <c r="MNY995" s="2335"/>
      <c r="MNZ995" s="2335"/>
      <c r="MOA995" s="2335"/>
      <c r="MOB995" s="2335"/>
      <c r="MOC995" s="2335"/>
      <c r="MOD995" s="2335"/>
      <c r="MOE995" s="2335"/>
      <c r="MOF995" s="2335"/>
      <c r="MOG995" s="2335"/>
      <c r="MOH995" s="2335"/>
      <c r="MOI995" s="2335"/>
      <c r="MOJ995" s="2335"/>
      <c r="MOK995" s="2335"/>
      <c r="MOL995" s="2335"/>
      <c r="MOM995" s="2335"/>
      <c r="MON995" s="2335"/>
      <c r="MOO995" s="2335"/>
      <c r="MOP995" s="2335"/>
      <c r="MOQ995" s="2335"/>
      <c r="MOR995" s="2335"/>
      <c r="MOS995" s="2335"/>
      <c r="MOT995" s="2335"/>
      <c r="MOU995" s="2335"/>
      <c r="MOV995" s="2335"/>
      <c r="MOW995" s="2335"/>
      <c r="MOX995" s="2335"/>
      <c r="MOY995" s="2335"/>
      <c r="MOZ995" s="2335"/>
      <c r="MPA995" s="2335"/>
      <c r="MPB995" s="2335"/>
      <c r="MPC995" s="2335"/>
      <c r="MPD995" s="2335"/>
      <c r="MPE995" s="2335"/>
      <c r="MPF995" s="2335"/>
      <c r="MPG995" s="2335"/>
      <c r="MPH995" s="2335"/>
      <c r="MPI995" s="2335"/>
      <c r="MPJ995" s="2335"/>
      <c r="MPK995" s="2335"/>
      <c r="MPL995" s="2335"/>
      <c r="MPM995" s="2335"/>
      <c r="MPN995" s="2335"/>
      <c r="MPO995" s="2335"/>
      <c r="MPP995" s="2335"/>
      <c r="MPQ995" s="2335"/>
      <c r="MPR995" s="2335"/>
      <c r="MPS995" s="2335"/>
      <c r="MPT995" s="2335"/>
      <c r="MPU995" s="2335"/>
      <c r="MPV995" s="2335"/>
      <c r="MPW995" s="2335"/>
      <c r="MPX995" s="2335"/>
      <c r="MPY995" s="2335"/>
      <c r="MPZ995" s="2335"/>
      <c r="MQA995" s="2335"/>
      <c r="MQB995" s="2335"/>
      <c r="MQC995" s="2335"/>
      <c r="MQD995" s="2335"/>
      <c r="MQE995" s="2335"/>
      <c r="MQF995" s="2335"/>
      <c r="MQG995" s="2335"/>
      <c r="MQH995" s="2335"/>
      <c r="MQI995" s="2335"/>
      <c r="MQJ995" s="2335"/>
      <c r="MQK995" s="2335"/>
      <c r="MQL995" s="2335"/>
      <c r="MQM995" s="2335"/>
      <c r="MQN995" s="2335"/>
      <c r="MQO995" s="2335"/>
      <c r="MQP995" s="2335"/>
      <c r="MQQ995" s="2335"/>
      <c r="MQR995" s="2335"/>
      <c r="MQS995" s="2335"/>
      <c r="MQT995" s="2335"/>
      <c r="MQU995" s="2335"/>
      <c r="MQV995" s="2335"/>
      <c r="MQW995" s="2335"/>
      <c r="MQX995" s="2335"/>
      <c r="MQY995" s="2335"/>
      <c r="MQZ995" s="2335"/>
      <c r="MRA995" s="2335"/>
      <c r="MRB995" s="2335"/>
      <c r="MRC995" s="2335"/>
      <c r="MRD995" s="2335"/>
      <c r="MRE995" s="2335"/>
      <c r="MRF995" s="2335"/>
      <c r="MRG995" s="2335"/>
      <c r="MRH995" s="2335"/>
      <c r="MRI995" s="2335"/>
      <c r="MRJ995" s="2335"/>
      <c r="MRK995" s="2335"/>
      <c r="MRL995" s="2335"/>
      <c r="MRM995" s="2335"/>
      <c r="MRN995" s="2335"/>
      <c r="MRO995" s="2335"/>
      <c r="MRP995" s="2335"/>
      <c r="MRQ995" s="2335"/>
      <c r="MRR995" s="2335"/>
      <c r="MRS995" s="2335"/>
      <c r="MRT995" s="2335"/>
      <c r="MRU995" s="2335"/>
      <c r="MRV995" s="2335"/>
      <c r="MRW995" s="2335"/>
      <c r="MRX995" s="2335"/>
      <c r="MRY995" s="2335"/>
      <c r="MRZ995" s="2335"/>
      <c r="MSA995" s="2335"/>
      <c r="MSB995" s="2335"/>
      <c r="MSC995" s="2335"/>
      <c r="MSD995" s="2335"/>
      <c r="MSE995" s="2335"/>
      <c r="MSF995" s="2335"/>
      <c r="MSG995" s="2335"/>
      <c r="MSH995" s="2335"/>
      <c r="MSI995" s="2335"/>
      <c r="MSJ995" s="2335"/>
      <c r="MSK995" s="2335"/>
      <c r="MSL995" s="2335"/>
      <c r="MSM995" s="2335"/>
      <c r="MSN995" s="2335"/>
      <c r="MSO995" s="2335"/>
      <c r="MSP995" s="2335"/>
      <c r="MSQ995" s="2335"/>
      <c r="MSR995" s="2335"/>
      <c r="MSS995" s="2335"/>
      <c r="MST995" s="2335"/>
      <c r="MSU995" s="2335"/>
      <c r="MSV995" s="2335"/>
      <c r="MSW995" s="2335"/>
      <c r="MSX995" s="2335"/>
      <c r="MSY995" s="2335"/>
      <c r="MSZ995" s="2335"/>
      <c r="MTA995" s="2335"/>
      <c r="MTB995" s="2335"/>
      <c r="MTC995" s="2335"/>
      <c r="MTD995" s="2335"/>
      <c r="MTE995" s="2335"/>
      <c r="MTF995" s="2335"/>
      <c r="MTG995" s="2335"/>
      <c r="MTH995" s="2335"/>
      <c r="MTI995" s="2335"/>
      <c r="MTJ995" s="2335"/>
      <c r="MTK995" s="2335"/>
      <c r="MTL995" s="2335"/>
      <c r="MTM995" s="2335"/>
      <c r="MTN995" s="2335"/>
      <c r="MTO995" s="2335"/>
      <c r="MTP995" s="2335"/>
      <c r="MTQ995" s="2335"/>
      <c r="MTR995" s="2335"/>
      <c r="MTS995" s="2335"/>
      <c r="MTT995" s="2335"/>
      <c r="MTU995" s="2335"/>
      <c r="MTV995" s="2335"/>
      <c r="MTW995" s="2335"/>
      <c r="MTX995" s="2335"/>
      <c r="MTY995" s="2335"/>
      <c r="MTZ995" s="2335"/>
      <c r="MUA995" s="2335"/>
      <c r="MUB995" s="2335"/>
      <c r="MUC995" s="2335"/>
      <c r="MUD995" s="2335"/>
      <c r="MUE995" s="2335"/>
      <c r="MUF995" s="2335"/>
      <c r="MUG995" s="2335"/>
      <c r="MUH995" s="2335"/>
      <c r="MUI995" s="2335"/>
      <c r="MUJ995" s="2335"/>
      <c r="MUK995" s="2335"/>
      <c r="MUL995" s="2335"/>
      <c r="MUM995" s="2335"/>
      <c r="MUN995" s="2335"/>
      <c r="MUO995" s="2335"/>
      <c r="MUP995" s="2335"/>
      <c r="MUQ995" s="2335"/>
      <c r="MUR995" s="2335"/>
      <c r="MUS995" s="2335"/>
      <c r="MUT995" s="2335"/>
      <c r="MUU995" s="2335"/>
      <c r="MUV995" s="2335"/>
      <c r="MUW995" s="2335"/>
      <c r="MUX995" s="2335"/>
      <c r="MUY995" s="2335"/>
      <c r="MUZ995" s="2335"/>
      <c r="MVA995" s="2335"/>
      <c r="MVB995" s="2335"/>
      <c r="MVC995" s="2335"/>
      <c r="MVD995" s="2335"/>
      <c r="MVE995" s="2335"/>
      <c r="MVF995" s="2335"/>
      <c r="MVG995" s="2335"/>
      <c r="MVH995" s="2335"/>
      <c r="MVI995" s="2335"/>
      <c r="MVJ995" s="2335"/>
      <c r="MVK995" s="2335"/>
      <c r="MVL995" s="2335"/>
      <c r="MVM995" s="2335"/>
      <c r="MVN995" s="2335"/>
      <c r="MVO995" s="2335"/>
      <c r="MVP995" s="2335"/>
      <c r="MVQ995" s="2335"/>
      <c r="MVR995" s="2335"/>
      <c r="MVS995" s="2335"/>
      <c r="MVT995" s="2335"/>
      <c r="MVU995" s="2335"/>
      <c r="MVV995" s="2335"/>
      <c r="MVW995" s="2335"/>
      <c r="MVX995" s="2335"/>
      <c r="MVY995" s="2335"/>
      <c r="MVZ995" s="2335"/>
      <c r="MWA995" s="2335"/>
      <c r="MWB995" s="2335"/>
      <c r="MWC995" s="2335"/>
      <c r="MWD995" s="2335"/>
      <c r="MWE995" s="2335"/>
      <c r="MWF995" s="2335"/>
      <c r="MWG995" s="2335"/>
      <c r="MWH995" s="2335"/>
      <c r="MWI995" s="2335"/>
      <c r="MWJ995" s="2335"/>
      <c r="MWK995" s="2335"/>
      <c r="MWL995" s="2335"/>
      <c r="MWM995" s="2335"/>
      <c r="MWN995" s="2335"/>
      <c r="MWO995" s="2335"/>
      <c r="MWP995" s="2335"/>
      <c r="MWQ995" s="2335"/>
      <c r="MWR995" s="2335"/>
      <c r="MWS995" s="2335"/>
      <c r="MWT995" s="2335"/>
      <c r="MWU995" s="2335"/>
      <c r="MWV995" s="2335"/>
      <c r="MWW995" s="2335"/>
      <c r="MWX995" s="2335"/>
      <c r="MWY995" s="2335"/>
      <c r="MWZ995" s="2335"/>
      <c r="MXA995" s="2335"/>
      <c r="MXB995" s="2335"/>
      <c r="MXC995" s="2335"/>
      <c r="MXD995" s="2335"/>
      <c r="MXE995" s="2335"/>
      <c r="MXF995" s="2335"/>
      <c r="MXG995" s="2335"/>
      <c r="MXH995" s="2335"/>
      <c r="MXI995" s="2335"/>
      <c r="MXJ995" s="2335"/>
      <c r="MXK995" s="2335"/>
      <c r="MXL995" s="2335"/>
      <c r="MXM995" s="2335"/>
      <c r="MXN995" s="2335"/>
      <c r="MXO995" s="2335"/>
      <c r="MXP995" s="2335"/>
      <c r="MXQ995" s="2335"/>
      <c r="MXR995" s="2335"/>
      <c r="MXS995" s="2335"/>
      <c r="MXT995" s="2335"/>
      <c r="MXU995" s="2335"/>
      <c r="MXV995" s="2335"/>
      <c r="MXW995" s="2335"/>
      <c r="MXX995" s="2335"/>
      <c r="MXY995" s="2335"/>
      <c r="MXZ995" s="2335"/>
      <c r="MYA995" s="2335"/>
      <c r="MYB995" s="2335"/>
      <c r="MYC995" s="2335"/>
      <c r="MYD995" s="2335"/>
      <c r="MYE995" s="2335"/>
      <c r="MYF995" s="2335"/>
      <c r="MYG995" s="2335"/>
      <c r="MYH995" s="2335"/>
      <c r="MYI995" s="2335"/>
      <c r="MYJ995" s="2335"/>
      <c r="MYK995" s="2335"/>
      <c r="MYL995" s="2335"/>
      <c r="MYM995" s="2335"/>
      <c r="MYN995" s="2335"/>
      <c r="MYO995" s="2335"/>
      <c r="MYP995" s="2335"/>
      <c r="MYQ995" s="2335"/>
      <c r="MYR995" s="2335"/>
      <c r="MYS995" s="2335"/>
      <c r="MYT995" s="2335"/>
      <c r="MYU995" s="2335"/>
      <c r="MYV995" s="2335"/>
      <c r="MYW995" s="2335"/>
      <c r="MYX995" s="2335"/>
      <c r="MYY995" s="2335"/>
      <c r="MYZ995" s="2335"/>
      <c r="MZA995" s="2335"/>
      <c r="MZB995" s="2335"/>
      <c r="MZC995" s="2335"/>
      <c r="MZD995" s="2335"/>
      <c r="MZE995" s="2335"/>
      <c r="MZF995" s="2335"/>
      <c r="MZG995" s="2335"/>
      <c r="MZH995" s="2335"/>
      <c r="MZI995" s="2335"/>
      <c r="MZJ995" s="2335"/>
      <c r="MZK995" s="2335"/>
      <c r="MZL995" s="2335"/>
      <c r="MZM995" s="2335"/>
      <c r="MZN995" s="2335"/>
      <c r="MZO995" s="2335"/>
      <c r="MZP995" s="2335"/>
      <c r="MZQ995" s="2335"/>
      <c r="MZR995" s="2335"/>
      <c r="MZS995" s="2335"/>
      <c r="MZT995" s="2335"/>
      <c r="MZU995" s="2335"/>
      <c r="MZV995" s="2335"/>
      <c r="MZW995" s="2335"/>
      <c r="MZX995" s="2335"/>
      <c r="MZY995" s="2335"/>
      <c r="MZZ995" s="2335"/>
      <c r="NAA995" s="2335"/>
      <c r="NAB995" s="2335"/>
      <c r="NAC995" s="2335"/>
      <c r="NAD995" s="2335"/>
      <c r="NAE995" s="2335"/>
      <c r="NAF995" s="2335"/>
      <c r="NAG995" s="2335"/>
      <c r="NAH995" s="2335"/>
      <c r="NAI995" s="2335"/>
      <c r="NAJ995" s="2335"/>
      <c r="NAK995" s="2335"/>
      <c r="NAL995" s="2335"/>
      <c r="NAM995" s="2335"/>
      <c r="NAN995" s="2335"/>
      <c r="NAO995" s="2335"/>
      <c r="NAP995" s="2335"/>
      <c r="NAQ995" s="2335"/>
      <c r="NAR995" s="2335"/>
      <c r="NAS995" s="2335"/>
      <c r="NAT995" s="2335"/>
      <c r="NAU995" s="2335"/>
      <c r="NAV995" s="2335"/>
      <c r="NAW995" s="2335"/>
      <c r="NAX995" s="2335"/>
      <c r="NAY995" s="2335"/>
      <c r="NAZ995" s="2335"/>
      <c r="NBA995" s="2335"/>
      <c r="NBB995" s="2335"/>
      <c r="NBC995" s="2335"/>
      <c r="NBD995" s="2335"/>
      <c r="NBE995" s="2335"/>
      <c r="NBF995" s="2335"/>
      <c r="NBG995" s="2335"/>
      <c r="NBH995" s="2335"/>
      <c r="NBI995" s="2335"/>
      <c r="NBJ995" s="2335"/>
      <c r="NBK995" s="2335"/>
      <c r="NBL995" s="2335"/>
      <c r="NBM995" s="2335"/>
      <c r="NBN995" s="2335"/>
      <c r="NBO995" s="2335"/>
      <c r="NBP995" s="2335"/>
      <c r="NBQ995" s="2335"/>
      <c r="NBR995" s="2335"/>
      <c r="NBS995" s="2335"/>
      <c r="NBT995" s="2335"/>
      <c r="NBU995" s="2335"/>
      <c r="NBV995" s="2335"/>
      <c r="NBW995" s="2335"/>
      <c r="NBX995" s="2335"/>
      <c r="NBY995" s="2335"/>
      <c r="NBZ995" s="2335"/>
      <c r="NCA995" s="2335"/>
      <c r="NCB995" s="2335"/>
      <c r="NCC995" s="2335"/>
      <c r="NCD995" s="2335"/>
      <c r="NCE995" s="2335"/>
      <c r="NCF995" s="2335"/>
      <c r="NCG995" s="2335"/>
      <c r="NCH995" s="2335"/>
      <c r="NCI995" s="2335"/>
      <c r="NCJ995" s="2335"/>
      <c r="NCK995" s="2335"/>
      <c r="NCL995" s="2335"/>
      <c r="NCM995" s="2335"/>
      <c r="NCN995" s="2335"/>
      <c r="NCO995" s="2335"/>
      <c r="NCP995" s="2335"/>
      <c r="NCQ995" s="2335"/>
      <c r="NCR995" s="2335"/>
      <c r="NCS995" s="2335"/>
      <c r="NCT995" s="2335"/>
      <c r="NCU995" s="2335"/>
      <c r="NCV995" s="2335"/>
      <c r="NCW995" s="2335"/>
      <c r="NCX995" s="2335"/>
      <c r="NCY995" s="2335"/>
      <c r="NCZ995" s="2335"/>
      <c r="NDA995" s="2335"/>
      <c r="NDB995" s="2335"/>
      <c r="NDC995" s="2335"/>
      <c r="NDD995" s="2335"/>
      <c r="NDE995" s="2335"/>
      <c r="NDF995" s="2335"/>
      <c r="NDG995" s="2335"/>
      <c r="NDH995" s="2335"/>
      <c r="NDI995" s="2335"/>
      <c r="NDJ995" s="2335"/>
      <c r="NDK995" s="2335"/>
      <c r="NDL995" s="2335"/>
      <c r="NDM995" s="2335"/>
      <c r="NDN995" s="2335"/>
      <c r="NDO995" s="2335"/>
      <c r="NDP995" s="2335"/>
      <c r="NDQ995" s="2335"/>
      <c r="NDR995" s="2335"/>
      <c r="NDS995" s="2335"/>
      <c r="NDT995" s="2335"/>
      <c r="NDU995" s="2335"/>
      <c r="NDV995" s="2335"/>
      <c r="NDW995" s="2335"/>
      <c r="NDX995" s="2335"/>
      <c r="NDY995" s="2335"/>
      <c r="NDZ995" s="2335"/>
      <c r="NEA995" s="2335"/>
      <c r="NEB995" s="2335"/>
      <c r="NEC995" s="2335"/>
      <c r="NED995" s="2335"/>
      <c r="NEE995" s="2335"/>
      <c r="NEF995" s="2335"/>
      <c r="NEG995" s="2335"/>
      <c r="NEH995" s="2335"/>
      <c r="NEI995" s="2335"/>
      <c r="NEJ995" s="2335"/>
      <c r="NEK995" s="2335"/>
      <c r="NEL995" s="2335"/>
      <c r="NEM995" s="2335"/>
      <c r="NEN995" s="2335"/>
      <c r="NEO995" s="2335"/>
      <c r="NEP995" s="2335"/>
      <c r="NEQ995" s="2335"/>
      <c r="NER995" s="2335"/>
      <c r="NES995" s="2335"/>
      <c r="NET995" s="2335"/>
      <c r="NEU995" s="2335"/>
      <c r="NEV995" s="2335"/>
      <c r="NEW995" s="2335"/>
      <c r="NEX995" s="2335"/>
      <c r="NEY995" s="2335"/>
      <c r="NEZ995" s="2335"/>
      <c r="NFA995" s="2335"/>
      <c r="NFB995" s="2335"/>
      <c r="NFC995" s="2335"/>
      <c r="NFD995" s="2335"/>
      <c r="NFE995" s="2335"/>
      <c r="NFF995" s="2335"/>
      <c r="NFG995" s="2335"/>
      <c r="NFH995" s="2335"/>
      <c r="NFI995" s="2335"/>
      <c r="NFJ995" s="2335"/>
      <c r="NFK995" s="2335"/>
      <c r="NFL995" s="2335"/>
      <c r="NFM995" s="2335"/>
      <c r="NFN995" s="2335"/>
      <c r="NFO995" s="2335"/>
      <c r="NFP995" s="2335"/>
      <c r="NFQ995" s="2335"/>
      <c r="NFR995" s="2335"/>
      <c r="NFS995" s="2335"/>
      <c r="NFT995" s="2335"/>
      <c r="NFU995" s="2335"/>
      <c r="NFV995" s="2335"/>
      <c r="NFW995" s="2335"/>
      <c r="NFX995" s="2335"/>
      <c r="NFY995" s="2335"/>
      <c r="NFZ995" s="2335"/>
      <c r="NGA995" s="2335"/>
      <c r="NGB995" s="2335"/>
      <c r="NGC995" s="2335"/>
      <c r="NGD995" s="2335"/>
      <c r="NGE995" s="2335"/>
      <c r="NGF995" s="2335"/>
      <c r="NGG995" s="2335"/>
      <c r="NGH995" s="2335"/>
      <c r="NGI995" s="2335"/>
      <c r="NGJ995" s="2335"/>
      <c r="NGK995" s="2335"/>
      <c r="NGL995" s="2335"/>
      <c r="NGM995" s="2335"/>
      <c r="NGN995" s="2335"/>
      <c r="NGO995" s="2335"/>
      <c r="NGP995" s="2335"/>
      <c r="NGQ995" s="2335"/>
      <c r="NGR995" s="2335"/>
      <c r="NGS995" s="2335"/>
      <c r="NGT995" s="2335"/>
      <c r="NGU995" s="2335"/>
      <c r="NGV995" s="2335"/>
      <c r="NGW995" s="2335"/>
      <c r="NGX995" s="2335"/>
      <c r="NGY995" s="2335"/>
      <c r="NGZ995" s="2335"/>
      <c r="NHA995" s="2335"/>
      <c r="NHB995" s="2335"/>
      <c r="NHC995" s="2335"/>
      <c r="NHD995" s="2335"/>
      <c r="NHE995" s="2335"/>
      <c r="NHF995" s="2335"/>
      <c r="NHG995" s="2335"/>
      <c r="NHH995" s="2335"/>
      <c r="NHI995" s="2335"/>
      <c r="NHJ995" s="2335"/>
      <c r="NHK995" s="2335"/>
      <c r="NHL995" s="2335"/>
      <c r="NHM995" s="2335"/>
      <c r="NHN995" s="2335"/>
      <c r="NHO995" s="2335"/>
      <c r="NHP995" s="2335"/>
      <c r="NHQ995" s="2335"/>
      <c r="NHR995" s="2335"/>
      <c r="NHS995" s="2335"/>
      <c r="NHT995" s="2335"/>
      <c r="NHU995" s="2335"/>
      <c r="NHV995" s="2335"/>
      <c r="NHW995" s="2335"/>
      <c r="NHX995" s="2335"/>
      <c r="NHY995" s="2335"/>
      <c r="NHZ995" s="2335"/>
      <c r="NIA995" s="2335"/>
      <c r="NIB995" s="2335"/>
      <c r="NIC995" s="2335"/>
      <c r="NID995" s="2335"/>
      <c r="NIE995" s="2335"/>
      <c r="NIF995" s="2335"/>
      <c r="NIG995" s="2335"/>
      <c r="NIH995" s="2335"/>
      <c r="NII995" s="2335"/>
      <c r="NIJ995" s="2335"/>
      <c r="NIK995" s="2335"/>
      <c r="NIL995" s="2335"/>
      <c r="NIM995" s="2335"/>
      <c r="NIN995" s="2335"/>
      <c r="NIO995" s="2335"/>
      <c r="NIP995" s="2335"/>
      <c r="NIQ995" s="2335"/>
      <c r="NIR995" s="2335"/>
      <c r="NIS995" s="2335"/>
      <c r="NIT995" s="2335"/>
      <c r="NIU995" s="2335"/>
      <c r="NIV995" s="2335"/>
      <c r="NIW995" s="2335"/>
      <c r="NIX995" s="2335"/>
      <c r="NIY995" s="2335"/>
      <c r="NIZ995" s="2335"/>
      <c r="NJA995" s="2335"/>
      <c r="NJB995" s="2335"/>
      <c r="NJC995" s="2335"/>
      <c r="NJD995" s="2335"/>
      <c r="NJE995" s="2335"/>
      <c r="NJF995" s="2335"/>
      <c r="NJG995" s="2335"/>
      <c r="NJH995" s="2335"/>
      <c r="NJI995" s="2335"/>
      <c r="NJJ995" s="2335"/>
      <c r="NJK995" s="2335"/>
      <c r="NJL995" s="2335"/>
      <c r="NJM995" s="2335"/>
      <c r="NJN995" s="2335"/>
      <c r="NJO995" s="2335"/>
      <c r="NJP995" s="2335"/>
      <c r="NJQ995" s="2335"/>
      <c r="NJR995" s="2335"/>
      <c r="NJS995" s="2335"/>
      <c r="NJT995" s="2335"/>
      <c r="NJU995" s="2335"/>
      <c r="NJV995" s="2335"/>
      <c r="NJW995" s="2335"/>
      <c r="NJX995" s="2335"/>
      <c r="NJY995" s="2335"/>
      <c r="NJZ995" s="2335"/>
      <c r="NKA995" s="2335"/>
      <c r="NKB995" s="2335"/>
      <c r="NKC995" s="2335"/>
      <c r="NKD995" s="2335"/>
      <c r="NKE995" s="2335"/>
      <c r="NKF995" s="2335"/>
      <c r="NKG995" s="2335"/>
      <c r="NKH995" s="2335"/>
      <c r="NKI995" s="2335"/>
      <c r="NKJ995" s="2335"/>
      <c r="NKK995" s="2335"/>
      <c r="NKL995" s="2335"/>
      <c r="NKM995" s="2335"/>
      <c r="NKN995" s="2335"/>
      <c r="NKO995" s="2335"/>
      <c r="NKP995" s="2335"/>
      <c r="NKQ995" s="2335"/>
      <c r="NKR995" s="2335"/>
      <c r="NKS995" s="2335"/>
      <c r="NKT995" s="2335"/>
      <c r="NKU995" s="2335"/>
      <c r="NKV995" s="2335"/>
      <c r="NKW995" s="2335"/>
      <c r="NKX995" s="2335"/>
      <c r="NKY995" s="2335"/>
      <c r="NKZ995" s="2335"/>
      <c r="NLA995" s="2335"/>
      <c r="NLB995" s="2335"/>
      <c r="NLC995" s="2335"/>
      <c r="NLD995" s="2335"/>
      <c r="NLE995" s="2335"/>
      <c r="NLF995" s="2335"/>
      <c r="NLG995" s="2335"/>
      <c r="NLH995" s="2335"/>
      <c r="NLI995" s="2335"/>
      <c r="NLJ995" s="2335"/>
      <c r="NLK995" s="2335"/>
      <c r="NLL995" s="2335"/>
      <c r="NLM995" s="2335"/>
      <c r="NLN995" s="2335"/>
      <c r="NLO995" s="2335"/>
      <c r="NLP995" s="2335"/>
      <c r="NLQ995" s="2335"/>
      <c r="NLR995" s="2335"/>
      <c r="NLS995" s="2335"/>
      <c r="NLT995" s="2335"/>
      <c r="NLU995" s="2335"/>
      <c r="NLV995" s="2335"/>
      <c r="NLW995" s="2335"/>
      <c r="NLX995" s="2335"/>
      <c r="NLY995" s="2335"/>
      <c r="NLZ995" s="2335"/>
      <c r="NMA995" s="2335"/>
      <c r="NMB995" s="2335"/>
      <c r="NMC995" s="2335"/>
      <c r="NMD995" s="2335"/>
      <c r="NME995" s="2335"/>
      <c r="NMF995" s="2335"/>
      <c r="NMG995" s="2335"/>
      <c r="NMH995" s="2335"/>
      <c r="NMI995" s="2335"/>
      <c r="NMJ995" s="2335"/>
      <c r="NMK995" s="2335"/>
      <c r="NML995" s="2335"/>
      <c r="NMM995" s="2335"/>
      <c r="NMN995" s="2335"/>
      <c r="NMO995" s="2335"/>
      <c r="NMP995" s="2335"/>
      <c r="NMQ995" s="2335"/>
      <c r="NMR995" s="2335"/>
      <c r="NMS995" s="2335"/>
      <c r="NMT995" s="2335"/>
      <c r="NMU995" s="2335"/>
      <c r="NMV995" s="2335"/>
      <c r="NMW995" s="2335"/>
      <c r="NMX995" s="2335"/>
      <c r="NMY995" s="2335"/>
      <c r="NMZ995" s="2335"/>
      <c r="NNA995" s="2335"/>
      <c r="NNB995" s="2335"/>
      <c r="NNC995" s="2335"/>
      <c r="NND995" s="2335"/>
      <c r="NNE995" s="2335"/>
      <c r="NNF995" s="2335"/>
      <c r="NNG995" s="2335"/>
      <c r="NNH995" s="2335"/>
      <c r="NNI995" s="2335"/>
      <c r="NNJ995" s="2335"/>
      <c r="NNK995" s="2335"/>
      <c r="NNL995" s="2335"/>
      <c r="NNM995" s="2335"/>
      <c r="NNN995" s="2335"/>
      <c r="NNO995" s="2335"/>
      <c r="NNP995" s="2335"/>
      <c r="NNQ995" s="2335"/>
      <c r="NNR995" s="2335"/>
      <c r="NNS995" s="2335"/>
      <c r="NNT995" s="2335"/>
      <c r="NNU995" s="2335"/>
      <c r="NNV995" s="2335"/>
      <c r="NNW995" s="2335"/>
      <c r="NNX995" s="2335"/>
      <c r="NNY995" s="2335"/>
      <c r="NNZ995" s="2335"/>
      <c r="NOA995" s="2335"/>
      <c r="NOB995" s="2335"/>
      <c r="NOC995" s="2335"/>
      <c r="NOD995" s="2335"/>
      <c r="NOE995" s="2335"/>
      <c r="NOF995" s="2335"/>
      <c r="NOG995" s="2335"/>
      <c r="NOH995" s="2335"/>
      <c r="NOI995" s="2335"/>
      <c r="NOJ995" s="2335"/>
      <c r="NOK995" s="2335"/>
      <c r="NOL995" s="2335"/>
      <c r="NOM995" s="2335"/>
      <c r="NON995" s="2335"/>
      <c r="NOO995" s="2335"/>
      <c r="NOP995" s="2335"/>
      <c r="NOQ995" s="2335"/>
      <c r="NOR995" s="2335"/>
      <c r="NOS995" s="2335"/>
      <c r="NOT995" s="2335"/>
      <c r="NOU995" s="2335"/>
      <c r="NOV995" s="2335"/>
      <c r="NOW995" s="2335"/>
      <c r="NOX995" s="2335"/>
      <c r="NOY995" s="2335"/>
      <c r="NOZ995" s="2335"/>
      <c r="NPA995" s="2335"/>
      <c r="NPB995" s="2335"/>
      <c r="NPC995" s="2335"/>
      <c r="NPD995" s="2335"/>
      <c r="NPE995" s="2335"/>
      <c r="NPF995" s="2335"/>
      <c r="NPG995" s="2335"/>
      <c r="NPH995" s="2335"/>
      <c r="NPI995" s="2335"/>
      <c r="NPJ995" s="2335"/>
      <c r="NPK995" s="2335"/>
      <c r="NPL995" s="2335"/>
      <c r="NPM995" s="2335"/>
      <c r="NPN995" s="2335"/>
      <c r="NPO995" s="2335"/>
      <c r="NPP995" s="2335"/>
      <c r="NPQ995" s="2335"/>
      <c r="NPR995" s="2335"/>
      <c r="NPS995" s="2335"/>
      <c r="NPT995" s="2335"/>
      <c r="NPU995" s="2335"/>
      <c r="NPV995" s="2335"/>
      <c r="NPW995" s="2335"/>
      <c r="NPX995" s="2335"/>
      <c r="NPY995" s="2335"/>
      <c r="NPZ995" s="2335"/>
      <c r="NQA995" s="2335"/>
      <c r="NQB995" s="2335"/>
      <c r="NQC995" s="2335"/>
      <c r="NQD995" s="2335"/>
      <c r="NQE995" s="2335"/>
      <c r="NQF995" s="2335"/>
      <c r="NQG995" s="2335"/>
      <c r="NQH995" s="2335"/>
      <c r="NQI995" s="2335"/>
      <c r="NQJ995" s="2335"/>
      <c r="NQK995" s="2335"/>
      <c r="NQL995" s="2335"/>
      <c r="NQM995" s="2335"/>
      <c r="NQN995" s="2335"/>
      <c r="NQO995" s="2335"/>
      <c r="NQP995" s="2335"/>
      <c r="NQQ995" s="2335"/>
      <c r="NQR995" s="2335"/>
      <c r="NQS995" s="2335"/>
      <c r="NQT995" s="2335"/>
      <c r="NQU995" s="2335"/>
      <c r="NQV995" s="2335"/>
      <c r="NQW995" s="2335"/>
      <c r="NQX995" s="2335"/>
      <c r="NQY995" s="2335"/>
      <c r="NQZ995" s="2335"/>
      <c r="NRA995" s="2335"/>
      <c r="NRB995" s="2335"/>
      <c r="NRC995" s="2335"/>
      <c r="NRD995" s="2335"/>
      <c r="NRE995" s="2335"/>
      <c r="NRF995" s="2335"/>
      <c r="NRG995" s="2335"/>
      <c r="NRH995" s="2335"/>
      <c r="NRI995" s="2335"/>
      <c r="NRJ995" s="2335"/>
      <c r="NRK995" s="2335"/>
      <c r="NRL995" s="2335"/>
      <c r="NRM995" s="2335"/>
      <c r="NRN995" s="2335"/>
      <c r="NRO995" s="2335"/>
      <c r="NRP995" s="2335"/>
      <c r="NRQ995" s="2335"/>
      <c r="NRR995" s="2335"/>
      <c r="NRS995" s="2335"/>
      <c r="NRT995" s="2335"/>
      <c r="NRU995" s="2335"/>
      <c r="NRV995" s="2335"/>
      <c r="NRW995" s="2335"/>
      <c r="NRX995" s="2335"/>
      <c r="NRY995" s="2335"/>
      <c r="NRZ995" s="2335"/>
      <c r="NSA995" s="2335"/>
      <c r="NSB995" s="2335"/>
      <c r="NSC995" s="2335"/>
      <c r="NSD995" s="2335"/>
      <c r="NSE995" s="2335"/>
      <c r="NSF995" s="2335"/>
      <c r="NSG995" s="2335"/>
      <c r="NSH995" s="2335"/>
      <c r="NSI995" s="2335"/>
      <c r="NSJ995" s="2335"/>
      <c r="NSK995" s="2335"/>
      <c r="NSL995" s="2335"/>
      <c r="NSM995" s="2335"/>
      <c r="NSN995" s="2335"/>
      <c r="NSO995" s="2335"/>
      <c r="NSP995" s="2335"/>
      <c r="NSQ995" s="2335"/>
      <c r="NSR995" s="2335"/>
      <c r="NSS995" s="2335"/>
      <c r="NST995" s="2335"/>
      <c r="NSU995" s="2335"/>
      <c r="NSV995" s="2335"/>
      <c r="NSW995" s="2335"/>
      <c r="NSX995" s="2335"/>
      <c r="NSY995" s="2335"/>
      <c r="NSZ995" s="2335"/>
      <c r="NTA995" s="2335"/>
      <c r="NTB995" s="2335"/>
      <c r="NTC995" s="2335"/>
      <c r="NTD995" s="2335"/>
      <c r="NTE995" s="2335"/>
      <c r="NTF995" s="2335"/>
      <c r="NTG995" s="2335"/>
      <c r="NTH995" s="2335"/>
      <c r="NTI995" s="2335"/>
      <c r="NTJ995" s="2335"/>
      <c r="NTK995" s="2335"/>
      <c r="NTL995" s="2335"/>
      <c r="NTM995" s="2335"/>
      <c r="NTN995" s="2335"/>
      <c r="NTO995" s="2335"/>
      <c r="NTP995" s="2335"/>
      <c r="NTQ995" s="2335"/>
      <c r="NTR995" s="2335"/>
      <c r="NTS995" s="2335"/>
      <c r="NTT995" s="2335"/>
      <c r="NTU995" s="2335"/>
      <c r="NTV995" s="2335"/>
      <c r="NTW995" s="2335"/>
      <c r="NTX995" s="2335"/>
      <c r="NTY995" s="2335"/>
      <c r="NTZ995" s="2335"/>
      <c r="NUA995" s="2335"/>
      <c r="NUB995" s="2335"/>
      <c r="NUC995" s="2335"/>
      <c r="NUD995" s="2335"/>
      <c r="NUE995" s="2335"/>
      <c r="NUF995" s="2335"/>
      <c r="NUG995" s="2335"/>
      <c r="NUH995" s="2335"/>
      <c r="NUI995" s="2335"/>
      <c r="NUJ995" s="2335"/>
      <c r="NUK995" s="2335"/>
      <c r="NUL995" s="2335"/>
      <c r="NUM995" s="2335"/>
      <c r="NUN995" s="2335"/>
      <c r="NUO995" s="2335"/>
      <c r="NUP995" s="2335"/>
      <c r="NUQ995" s="2335"/>
      <c r="NUR995" s="2335"/>
      <c r="NUS995" s="2335"/>
      <c r="NUT995" s="2335"/>
      <c r="NUU995" s="2335"/>
      <c r="NUV995" s="2335"/>
      <c r="NUW995" s="2335"/>
      <c r="NUX995" s="2335"/>
      <c r="NUY995" s="2335"/>
      <c r="NUZ995" s="2335"/>
      <c r="NVA995" s="2335"/>
      <c r="NVB995" s="2335"/>
      <c r="NVC995" s="2335"/>
      <c r="NVD995" s="2335"/>
      <c r="NVE995" s="2335"/>
      <c r="NVF995" s="2335"/>
      <c r="NVG995" s="2335"/>
      <c r="NVH995" s="2335"/>
      <c r="NVI995" s="2335"/>
      <c r="NVJ995" s="2335"/>
      <c r="NVK995" s="2335"/>
      <c r="NVL995" s="2335"/>
      <c r="NVM995" s="2335"/>
      <c r="NVN995" s="2335"/>
      <c r="NVO995" s="2335"/>
      <c r="NVP995" s="2335"/>
      <c r="NVQ995" s="2335"/>
      <c r="NVR995" s="2335"/>
      <c r="NVS995" s="2335"/>
      <c r="NVT995" s="2335"/>
      <c r="NVU995" s="2335"/>
      <c r="NVV995" s="2335"/>
      <c r="NVW995" s="2335"/>
      <c r="NVX995" s="2335"/>
      <c r="NVY995" s="2335"/>
      <c r="NVZ995" s="2335"/>
      <c r="NWA995" s="2335"/>
      <c r="NWB995" s="2335"/>
      <c r="NWC995" s="2335"/>
      <c r="NWD995" s="2335"/>
      <c r="NWE995" s="2335"/>
      <c r="NWF995" s="2335"/>
      <c r="NWG995" s="2335"/>
      <c r="NWH995" s="2335"/>
      <c r="NWI995" s="2335"/>
      <c r="NWJ995" s="2335"/>
      <c r="NWK995" s="2335"/>
      <c r="NWL995" s="2335"/>
      <c r="NWM995" s="2335"/>
      <c r="NWN995" s="2335"/>
      <c r="NWO995" s="2335"/>
      <c r="NWP995" s="2335"/>
      <c r="NWQ995" s="2335"/>
      <c r="NWR995" s="2335"/>
      <c r="NWS995" s="2335"/>
      <c r="NWT995" s="2335"/>
      <c r="NWU995" s="2335"/>
      <c r="NWV995" s="2335"/>
      <c r="NWW995" s="2335"/>
      <c r="NWX995" s="2335"/>
      <c r="NWY995" s="2335"/>
      <c r="NWZ995" s="2335"/>
      <c r="NXA995" s="2335"/>
      <c r="NXB995" s="2335"/>
      <c r="NXC995" s="2335"/>
      <c r="NXD995" s="2335"/>
      <c r="NXE995" s="2335"/>
      <c r="NXF995" s="2335"/>
      <c r="NXG995" s="2335"/>
      <c r="NXH995" s="2335"/>
      <c r="NXI995" s="2335"/>
      <c r="NXJ995" s="2335"/>
      <c r="NXK995" s="2335"/>
      <c r="NXL995" s="2335"/>
      <c r="NXM995" s="2335"/>
      <c r="NXN995" s="2335"/>
      <c r="NXO995" s="2335"/>
      <c r="NXP995" s="2335"/>
      <c r="NXQ995" s="2335"/>
      <c r="NXR995" s="2335"/>
      <c r="NXS995" s="2335"/>
      <c r="NXT995" s="2335"/>
      <c r="NXU995" s="2335"/>
      <c r="NXV995" s="2335"/>
      <c r="NXW995" s="2335"/>
      <c r="NXX995" s="2335"/>
      <c r="NXY995" s="2335"/>
      <c r="NXZ995" s="2335"/>
      <c r="NYA995" s="2335"/>
      <c r="NYB995" s="2335"/>
      <c r="NYC995" s="2335"/>
      <c r="NYD995" s="2335"/>
      <c r="NYE995" s="2335"/>
      <c r="NYF995" s="2335"/>
      <c r="NYG995" s="2335"/>
      <c r="NYH995" s="2335"/>
      <c r="NYI995" s="2335"/>
      <c r="NYJ995" s="2335"/>
      <c r="NYK995" s="2335"/>
      <c r="NYL995" s="2335"/>
      <c r="NYM995" s="2335"/>
      <c r="NYN995" s="2335"/>
      <c r="NYO995" s="2335"/>
      <c r="NYP995" s="2335"/>
      <c r="NYQ995" s="2335"/>
      <c r="NYR995" s="2335"/>
      <c r="NYS995" s="2335"/>
      <c r="NYT995" s="2335"/>
      <c r="NYU995" s="2335"/>
      <c r="NYV995" s="2335"/>
      <c r="NYW995" s="2335"/>
      <c r="NYX995" s="2335"/>
      <c r="NYY995" s="2335"/>
      <c r="NYZ995" s="2335"/>
      <c r="NZA995" s="2335"/>
      <c r="NZB995" s="2335"/>
      <c r="NZC995" s="2335"/>
      <c r="NZD995" s="2335"/>
      <c r="NZE995" s="2335"/>
      <c r="NZF995" s="2335"/>
      <c r="NZG995" s="2335"/>
      <c r="NZH995" s="2335"/>
      <c r="NZI995" s="2335"/>
      <c r="NZJ995" s="2335"/>
      <c r="NZK995" s="2335"/>
      <c r="NZL995" s="2335"/>
      <c r="NZM995" s="2335"/>
      <c r="NZN995" s="2335"/>
      <c r="NZO995" s="2335"/>
      <c r="NZP995" s="2335"/>
      <c r="NZQ995" s="2335"/>
      <c r="NZR995" s="2335"/>
      <c r="NZS995" s="2335"/>
      <c r="NZT995" s="2335"/>
      <c r="NZU995" s="2335"/>
      <c r="NZV995" s="2335"/>
      <c r="NZW995" s="2335"/>
      <c r="NZX995" s="2335"/>
      <c r="NZY995" s="2335"/>
      <c r="NZZ995" s="2335"/>
      <c r="OAA995" s="2335"/>
      <c r="OAB995" s="2335"/>
      <c r="OAC995" s="2335"/>
      <c r="OAD995" s="2335"/>
      <c r="OAE995" s="2335"/>
      <c r="OAF995" s="2335"/>
      <c r="OAG995" s="2335"/>
      <c r="OAH995" s="2335"/>
      <c r="OAI995" s="2335"/>
      <c r="OAJ995" s="2335"/>
      <c r="OAK995" s="2335"/>
      <c r="OAL995" s="2335"/>
      <c r="OAM995" s="2335"/>
      <c r="OAN995" s="2335"/>
      <c r="OAO995" s="2335"/>
      <c r="OAP995" s="2335"/>
      <c r="OAQ995" s="2335"/>
      <c r="OAR995" s="2335"/>
      <c r="OAS995" s="2335"/>
      <c r="OAT995" s="2335"/>
      <c r="OAU995" s="2335"/>
      <c r="OAV995" s="2335"/>
      <c r="OAW995" s="2335"/>
      <c r="OAX995" s="2335"/>
      <c r="OAY995" s="2335"/>
      <c r="OAZ995" s="2335"/>
      <c r="OBA995" s="2335"/>
      <c r="OBB995" s="2335"/>
      <c r="OBC995" s="2335"/>
      <c r="OBD995" s="2335"/>
      <c r="OBE995" s="2335"/>
      <c r="OBF995" s="2335"/>
      <c r="OBG995" s="2335"/>
      <c r="OBH995" s="2335"/>
      <c r="OBI995" s="2335"/>
      <c r="OBJ995" s="2335"/>
      <c r="OBK995" s="2335"/>
      <c r="OBL995" s="2335"/>
      <c r="OBM995" s="2335"/>
      <c r="OBN995" s="2335"/>
      <c r="OBO995" s="2335"/>
      <c r="OBP995" s="2335"/>
      <c r="OBQ995" s="2335"/>
      <c r="OBR995" s="2335"/>
      <c r="OBS995" s="2335"/>
      <c r="OBT995" s="2335"/>
      <c r="OBU995" s="2335"/>
      <c r="OBV995" s="2335"/>
      <c r="OBW995" s="2335"/>
      <c r="OBX995" s="2335"/>
      <c r="OBY995" s="2335"/>
      <c r="OBZ995" s="2335"/>
      <c r="OCA995" s="2335"/>
      <c r="OCB995" s="2335"/>
      <c r="OCC995" s="2335"/>
      <c r="OCD995" s="2335"/>
      <c r="OCE995" s="2335"/>
      <c r="OCF995" s="2335"/>
      <c r="OCG995" s="2335"/>
      <c r="OCH995" s="2335"/>
      <c r="OCI995" s="2335"/>
      <c r="OCJ995" s="2335"/>
      <c r="OCK995" s="2335"/>
      <c r="OCL995" s="2335"/>
      <c r="OCM995" s="2335"/>
      <c r="OCN995" s="2335"/>
      <c r="OCO995" s="2335"/>
      <c r="OCP995" s="2335"/>
      <c r="OCQ995" s="2335"/>
      <c r="OCR995" s="2335"/>
      <c r="OCS995" s="2335"/>
      <c r="OCT995" s="2335"/>
      <c r="OCU995" s="2335"/>
      <c r="OCV995" s="2335"/>
      <c r="OCW995" s="2335"/>
      <c r="OCX995" s="2335"/>
      <c r="OCY995" s="2335"/>
      <c r="OCZ995" s="2335"/>
      <c r="ODA995" s="2335"/>
      <c r="ODB995" s="2335"/>
      <c r="ODC995" s="2335"/>
      <c r="ODD995" s="2335"/>
      <c r="ODE995" s="2335"/>
      <c r="ODF995" s="2335"/>
      <c r="ODG995" s="2335"/>
      <c r="ODH995" s="2335"/>
      <c r="ODI995" s="2335"/>
      <c r="ODJ995" s="2335"/>
      <c r="ODK995" s="2335"/>
      <c r="ODL995" s="2335"/>
      <c r="ODM995" s="2335"/>
      <c r="ODN995" s="2335"/>
      <c r="ODO995" s="2335"/>
      <c r="ODP995" s="2335"/>
      <c r="ODQ995" s="2335"/>
      <c r="ODR995" s="2335"/>
      <c r="ODS995" s="2335"/>
      <c r="ODT995" s="2335"/>
      <c r="ODU995" s="2335"/>
      <c r="ODV995" s="2335"/>
      <c r="ODW995" s="2335"/>
      <c r="ODX995" s="2335"/>
      <c r="ODY995" s="2335"/>
      <c r="ODZ995" s="2335"/>
      <c r="OEA995" s="2335"/>
      <c r="OEB995" s="2335"/>
      <c r="OEC995" s="2335"/>
      <c r="OED995" s="2335"/>
      <c r="OEE995" s="2335"/>
      <c r="OEF995" s="2335"/>
      <c r="OEG995" s="2335"/>
      <c r="OEH995" s="2335"/>
      <c r="OEI995" s="2335"/>
      <c r="OEJ995" s="2335"/>
      <c r="OEK995" s="2335"/>
      <c r="OEL995" s="2335"/>
      <c r="OEM995" s="2335"/>
      <c r="OEN995" s="2335"/>
      <c r="OEO995" s="2335"/>
      <c r="OEP995" s="2335"/>
      <c r="OEQ995" s="2335"/>
      <c r="OER995" s="2335"/>
      <c r="OES995" s="2335"/>
      <c r="OET995" s="2335"/>
      <c r="OEU995" s="2335"/>
      <c r="OEV995" s="2335"/>
      <c r="OEW995" s="2335"/>
      <c r="OEX995" s="2335"/>
      <c r="OEY995" s="2335"/>
      <c r="OEZ995" s="2335"/>
      <c r="OFA995" s="2335"/>
      <c r="OFB995" s="2335"/>
      <c r="OFC995" s="2335"/>
      <c r="OFD995" s="2335"/>
      <c r="OFE995" s="2335"/>
      <c r="OFF995" s="2335"/>
      <c r="OFG995" s="2335"/>
      <c r="OFH995" s="2335"/>
      <c r="OFI995" s="2335"/>
      <c r="OFJ995" s="2335"/>
      <c r="OFK995" s="2335"/>
      <c r="OFL995" s="2335"/>
      <c r="OFM995" s="2335"/>
      <c r="OFN995" s="2335"/>
      <c r="OFO995" s="2335"/>
      <c r="OFP995" s="2335"/>
      <c r="OFQ995" s="2335"/>
      <c r="OFR995" s="2335"/>
      <c r="OFS995" s="2335"/>
      <c r="OFT995" s="2335"/>
      <c r="OFU995" s="2335"/>
      <c r="OFV995" s="2335"/>
      <c r="OFW995" s="2335"/>
      <c r="OFX995" s="2335"/>
      <c r="OFY995" s="2335"/>
      <c r="OFZ995" s="2335"/>
      <c r="OGA995" s="2335"/>
      <c r="OGB995" s="2335"/>
      <c r="OGC995" s="2335"/>
      <c r="OGD995" s="2335"/>
      <c r="OGE995" s="2335"/>
      <c r="OGF995" s="2335"/>
      <c r="OGG995" s="2335"/>
      <c r="OGH995" s="2335"/>
      <c r="OGI995" s="2335"/>
      <c r="OGJ995" s="2335"/>
      <c r="OGK995" s="2335"/>
      <c r="OGL995" s="2335"/>
      <c r="OGM995" s="2335"/>
      <c r="OGN995" s="2335"/>
      <c r="OGO995" s="2335"/>
      <c r="OGP995" s="2335"/>
      <c r="OGQ995" s="2335"/>
      <c r="OGR995" s="2335"/>
      <c r="OGS995" s="2335"/>
      <c r="OGT995" s="2335"/>
      <c r="OGU995" s="2335"/>
      <c r="OGV995" s="2335"/>
      <c r="OGW995" s="2335"/>
      <c r="OGX995" s="2335"/>
      <c r="OGY995" s="2335"/>
      <c r="OGZ995" s="2335"/>
      <c r="OHA995" s="2335"/>
      <c r="OHB995" s="2335"/>
      <c r="OHC995" s="2335"/>
      <c r="OHD995" s="2335"/>
      <c r="OHE995" s="2335"/>
      <c r="OHF995" s="2335"/>
      <c r="OHG995" s="2335"/>
      <c r="OHH995" s="2335"/>
      <c r="OHI995" s="2335"/>
      <c r="OHJ995" s="2335"/>
      <c r="OHK995" s="2335"/>
      <c r="OHL995" s="2335"/>
      <c r="OHM995" s="2335"/>
      <c r="OHN995" s="2335"/>
      <c r="OHO995" s="2335"/>
      <c r="OHP995" s="2335"/>
      <c r="OHQ995" s="2335"/>
      <c r="OHR995" s="2335"/>
      <c r="OHS995" s="2335"/>
      <c r="OHT995" s="2335"/>
      <c r="OHU995" s="2335"/>
      <c r="OHV995" s="2335"/>
      <c r="OHW995" s="2335"/>
      <c r="OHX995" s="2335"/>
      <c r="OHY995" s="2335"/>
      <c r="OHZ995" s="2335"/>
      <c r="OIA995" s="2335"/>
      <c r="OIB995" s="2335"/>
      <c r="OIC995" s="2335"/>
      <c r="OID995" s="2335"/>
      <c r="OIE995" s="2335"/>
      <c r="OIF995" s="2335"/>
      <c r="OIG995" s="2335"/>
      <c r="OIH995" s="2335"/>
      <c r="OII995" s="2335"/>
      <c r="OIJ995" s="2335"/>
      <c r="OIK995" s="2335"/>
      <c r="OIL995" s="2335"/>
      <c r="OIM995" s="2335"/>
      <c r="OIN995" s="2335"/>
      <c r="OIO995" s="2335"/>
      <c r="OIP995" s="2335"/>
      <c r="OIQ995" s="2335"/>
      <c r="OIR995" s="2335"/>
      <c r="OIS995" s="2335"/>
      <c r="OIT995" s="2335"/>
      <c r="OIU995" s="2335"/>
      <c r="OIV995" s="2335"/>
      <c r="OIW995" s="2335"/>
      <c r="OIX995" s="2335"/>
      <c r="OIY995" s="2335"/>
      <c r="OIZ995" s="2335"/>
      <c r="OJA995" s="2335"/>
      <c r="OJB995" s="2335"/>
      <c r="OJC995" s="2335"/>
      <c r="OJD995" s="2335"/>
      <c r="OJE995" s="2335"/>
      <c r="OJF995" s="2335"/>
      <c r="OJG995" s="2335"/>
      <c r="OJH995" s="2335"/>
      <c r="OJI995" s="2335"/>
      <c r="OJJ995" s="2335"/>
      <c r="OJK995" s="2335"/>
      <c r="OJL995" s="2335"/>
      <c r="OJM995" s="2335"/>
      <c r="OJN995" s="2335"/>
      <c r="OJO995" s="2335"/>
      <c r="OJP995" s="2335"/>
      <c r="OJQ995" s="2335"/>
      <c r="OJR995" s="2335"/>
      <c r="OJS995" s="2335"/>
      <c r="OJT995" s="2335"/>
      <c r="OJU995" s="2335"/>
      <c r="OJV995" s="2335"/>
      <c r="OJW995" s="2335"/>
      <c r="OJX995" s="2335"/>
      <c r="OJY995" s="2335"/>
      <c r="OJZ995" s="2335"/>
      <c r="OKA995" s="2335"/>
      <c r="OKB995" s="2335"/>
      <c r="OKC995" s="2335"/>
      <c r="OKD995" s="2335"/>
      <c r="OKE995" s="2335"/>
      <c r="OKF995" s="2335"/>
      <c r="OKG995" s="2335"/>
      <c r="OKH995" s="2335"/>
      <c r="OKI995" s="2335"/>
      <c r="OKJ995" s="2335"/>
      <c r="OKK995" s="2335"/>
      <c r="OKL995" s="2335"/>
      <c r="OKM995" s="2335"/>
      <c r="OKN995" s="2335"/>
      <c r="OKO995" s="2335"/>
      <c r="OKP995" s="2335"/>
      <c r="OKQ995" s="2335"/>
      <c r="OKR995" s="2335"/>
      <c r="OKS995" s="2335"/>
      <c r="OKT995" s="2335"/>
      <c r="OKU995" s="2335"/>
      <c r="OKV995" s="2335"/>
      <c r="OKW995" s="2335"/>
      <c r="OKX995" s="2335"/>
      <c r="OKY995" s="2335"/>
      <c r="OKZ995" s="2335"/>
      <c r="OLA995" s="2335"/>
      <c r="OLB995" s="2335"/>
      <c r="OLC995" s="2335"/>
      <c r="OLD995" s="2335"/>
      <c r="OLE995" s="2335"/>
      <c r="OLF995" s="2335"/>
      <c r="OLG995" s="2335"/>
      <c r="OLH995" s="2335"/>
      <c r="OLI995" s="2335"/>
      <c r="OLJ995" s="2335"/>
      <c r="OLK995" s="2335"/>
      <c r="OLL995" s="2335"/>
      <c r="OLM995" s="2335"/>
      <c r="OLN995" s="2335"/>
      <c r="OLO995" s="2335"/>
      <c r="OLP995" s="2335"/>
      <c r="OLQ995" s="2335"/>
      <c r="OLR995" s="2335"/>
      <c r="OLS995" s="2335"/>
      <c r="OLT995" s="2335"/>
      <c r="OLU995" s="2335"/>
      <c r="OLV995" s="2335"/>
      <c r="OLW995" s="2335"/>
      <c r="OLX995" s="2335"/>
      <c r="OLY995" s="2335"/>
      <c r="OLZ995" s="2335"/>
      <c r="OMA995" s="2335"/>
      <c r="OMB995" s="2335"/>
      <c r="OMC995" s="2335"/>
      <c r="OMD995" s="2335"/>
      <c r="OME995" s="2335"/>
      <c r="OMF995" s="2335"/>
      <c r="OMG995" s="2335"/>
      <c r="OMH995" s="2335"/>
      <c r="OMI995" s="2335"/>
      <c r="OMJ995" s="2335"/>
      <c r="OMK995" s="2335"/>
      <c r="OML995" s="2335"/>
      <c r="OMM995" s="2335"/>
      <c r="OMN995" s="2335"/>
      <c r="OMO995" s="2335"/>
      <c r="OMP995" s="2335"/>
      <c r="OMQ995" s="2335"/>
      <c r="OMR995" s="2335"/>
      <c r="OMS995" s="2335"/>
      <c r="OMT995" s="2335"/>
      <c r="OMU995" s="2335"/>
      <c r="OMV995" s="2335"/>
      <c r="OMW995" s="2335"/>
      <c r="OMX995" s="2335"/>
      <c r="OMY995" s="2335"/>
      <c r="OMZ995" s="2335"/>
      <c r="ONA995" s="2335"/>
      <c r="ONB995" s="2335"/>
      <c r="ONC995" s="2335"/>
      <c r="OND995" s="2335"/>
      <c r="ONE995" s="2335"/>
      <c r="ONF995" s="2335"/>
      <c r="ONG995" s="2335"/>
      <c r="ONH995" s="2335"/>
      <c r="ONI995" s="2335"/>
      <c r="ONJ995" s="2335"/>
      <c r="ONK995" s="2335"/>
      <c r="ONL995" s="2335"/>
      <c r="ONM995" s="2335"/>
      <c r="ONN995" s="2335"/>
      <c r="ONO995" s="2335"/>
      <c r="ONP995" s="2335"/>
      <c r="ONQ995" s="2335"/>
      <c r="ONR995" s="2335"/>
      <c r="ONS995" s="2335"/>
      <c r="ONT995" s="2335"/>
      <c r="ONU995" s="2335"/>
      <c r="ONV995" s="2335"/>
      <c r="ONW995" s="2335"/>
      <c r="ONX995" s="2335"/>
      <c r="ONY995" s="2335"/>
      <c r="ONZ995" s="2335"/>
      <c r="OOA995" s="2335"/>
      <c r="OOB995" s="2335"/>
      <c r="OOC995" s="2335"/>
      <c r="OOD995" s="2335"/>
      <c r="OOE995" s="2335"/>
      <c r="OOF995" s="2335"/>
      <c r="OOG995" s="2335"/>
      <c r="OOH995" s="2335"/>
      <c r="OOI995" s="2335"/>
      <c r="OOJ995" s="2335"/>
      <c r="OOK995" s="2335"/>
      <c r="OOL995" s="2335"/>
      <c r="OOM995" s="2335"/>
      <c r="OON995" s="2335"/>
      <c r="OOO995" s="2335"/>
      <c r="OOP995" s="2335"/>
      <c r="OOQ995" s="2335"/>
      <c r="OOR995" s="2335"/>
      <c r="OOS995" s="2335"/>
      <c r="OOT995" s="2335"/>
      <c r="OOU995" s="2335"/>
      <c r="OOV995" s="2335"/>
      <c r="OOW995" s="2335"/>
      <c r="OOX995" s="2335"/>
      <c r="OOY995" s="2335"/>
      <c r="OOZ995" s="2335"/>
      <c r="OPA995" s="2335"/>
      <c r="OPB995" s="2335"/>
      <c r="OPC995" s="2335"/>
      <c r="OPD995" s="2335"/>
      <c r="OPE995" s="2335"/>
      <c r="OPF995" s="2335"/>
      <c r="OPG995" s="2335"/>
      <c r="OPH995" s="2335"/>
      <c r="OPI995" s="2335"/>
      <c r="OPJ995" s="2335"/>
      <c r="OPK995" s="2335"/>
      <c r="OPL995" s="2335"/>
      <c r="OPM995" s="2335"/>
      <c r="OPN995" s="2335"/>
      <c r="OPO995" s="2335"/>
      <c r="OPP995" s="2335"/>
      <c r="OPQ995" s="2335"/>
      <c r="OPR995" s="2335"/>
      <c r="OPS995" s="2335"/>
      <c r="OPT995" s="2335"/>
      <c r="OPU995" s="2335"/>
      <c r="OPV995" s="2335"/>
      <c r="OPW995" s="2335"/>
      <c r="OPX995" s="2335"/>
      <c r="OPY995" s="2335"/>
      <c r="OPZ995" s="2335"/>
      <c r="OQA995" s="2335"/>
      <c r="OQB995" s="2335"/>
      <c r="OQC995" s="2335"/>
      <c r="OQD995" s="2335"/>
      <c r="OQE995" s="2335"/>
      <c r="OQF995" s="2335"/>
      <c r="OQG995" s="2335"/>
      <c r="OQH995" s="2335"/>
      <c r="OQI995" s="2335"/>
      <c r="OQJ995" s="2335"/>
      <c r="OQK995" s="2335"/>
      <c r="OQL995" s="2335"/>
      <c r="OQM995" s="2335"/>
      <c r="OQN995" s="2335"/>
      <c r="OQO995" s="2335"/>
      <c r="OQP995" s="2335"/>
      <c r="OQQ995" s="2335"/>
      <c r="OQR995" s="2335"/>
      <c r="OQS995" s="2335"/>
      <c r="OQT995" s="2335"/>
      <c r="OQU995" s="2335"/>
      <c r="OQV995" s="2335"/>
      <c r="OQW995" s="2335"/>
      <c r="OQX995" s="2335"/>
      <c r="OQY995" s="2335"/>
      <c r="OQZ995" s="2335"/>
      <c r="ORA995" s="2335"/>
      <c r="ORB995" s="2335"/>
      <c r="ORC995" s="2335"/>
      <c r="ORD995" s="2335"/>
      <c r="ORE995" s="2335"/>
      <c r="ORF995" s="2335"/>
      <c r="ORG995" s="2335"/>
      <c r="ORH995" s="2335"/>
      <c r="ORI995" s="2335"/>
      <c r="ORJ995" s="2335"/>
      <c r="ORK995" s="2335"/>
      <c r="ORL995" s="2335"/>
      <c r="ORM995" s="2335"/>
      <c r="ORN995" s="2335"/>
      <c r="ORO995" s="2335"/>
      <c r="ORP995" s="2335"/>
      <c r="ORQ995" s="2335"/>
      <c r="ORR995" s="2335"/>
      <c r="ORS995" s="2335"/>
      <c r="ORT995" s="2335"/>
      <c r="ORU995" s="2335"/>
      <c r="ORV995" s="2335"/>
      <c r="ORW995" s="2335"/>
      <c r="ORX995" s="2335"/>
      <c r="ORY995" s="2335"/>
      <c r="ORZ995" s="2335"/>
      <c r="OSA995" s="2335"/>
      <c r="OSB995" s="2335"/>
      <c r="OSC995" s="2335"/>
      <c r="OSD995" s="2335"/>
      <c r="OSE995" s="2335"/>
      <c r="OSF995" s="2335"/>
      <c r="OSG995" s="2335"/>
      <c r="OSH995" s="2335"/>
      <c r="OSI995" s="2335"/>
      <c r="OSJ995" s="2335"/>
      <c r="OSK995" s="2335"/>
      <c r="OSL995" s="2335"/>
      <c r="OSM995" s="2335"/>
      <c r="OSN995" s="2335"/>
      <c r="OSO995" s="2335"/>
      <c r="OSP995" s="2335"/>
      <c r="OSQ995" s="2335"/>
      <c r="OSR995" s="2335"/>
      <c r="OSS995" s="2335"/>
      <c r="OST995" s="2335"/>
      <c r="OSU995" s="2335"/>
      <c r="OSV995" s="2335"/>
      <c r="OSW995" s="2335"/>
      <c r="OSX995" s="2335"/>
      <c r="OSY995" s="2335"/>
      <c r="OSZ995" s="2335"/>
      <c r="OTA995" s="2335"/>
      <c r="OTB995" s="2335"/>
      <c r="OTC995" s="2335"/>
      <c r="OTD995" s="2335"/>
      <c r="OTE995" s="2335"/>
      <c r="OTF995" s="2335"/>
      <c r="OTG995" s="2335"/>
      <c r="OTH995" s="2335"/>
      <c r="OTI995" s="2335"/>
      <c r="OTJ995" s="2335"/>
      <c r="OTK995" s="2335"/>
      <c r="OTL995" s="2335"/>
      <c r="OTM995" s="2335"/>
      <c r="OTN995" s="2335"/>
      <c r="OTO995" s="2335"/>
      <c r="OTP995" s="2335"/>
      <c r="OTQ995" s="2335"/>
      <c r="OTR995" s="2335"/>
      <c r="OTS995" s="2335"/>
      <c r="OTT995" s="2335"/>
      <c r="OTU995" s="2335"/>
      <c r="OTV995" s="2335"/>
      <c r="OTW995" s="2335"/>
      <c r="OTX995" s="2335"/>
      <c r="OTY995" s="2335"/>
      <c r="OTZ995" s="2335"/>
      <c r="OUA995" s="2335"/>
      <c r="OUB995" s="2335"/>
      <c r="OUC995" s="2335"/>
      <c r="OUD995" s="2335"/>
      <c r="OUE995" s="2335"/>
      <c r="OUF995" s="2335"/>
      <c r="OUG995" s="2335"/>
      <c r="OUH995" s="2335"/>
      <c r="OUI995" s="2335"/>
      <c r="OUJ995" s="2335"/>
      <c r="OUK995" s="2335"/>
      <c r="OUL995" s="2335"/>
      <c r="OUM995" s="2335"/>
      <c r="OUN995" s="2335"/>
      <c r="OUO995" s="2335"/>
      <c r="OUP995" s="2335"/>
      <c r="OUQ995" s="2335"/>
      <c r="OUR995" s="2335"/>
      <c r="OUS995" s="2335"/>
      <c r="OUT995" s="2335"/>
      <c r="OUU995" s="2335"/>
      <c r="OUV995" s="2335"/>
      <c r="OUW995" s="2335"/>
      <c r="OUX995" s="2335"/>
      <c r="OUY995" s="2335"/>
      <c r="OUZ995" s="2335"/>
      <c r="OVA995" s="2335"/>
      <c r="OVB995" s="2335"/>
      <c r="OVC995" s="2335"/>
      <c r="OVD995" s="2335"/>
      <c r="OVE995" s="2335"/>
      <c r="OVF995" s="2335"/>
      <c r="OVG995" s="2335"/>
      <c r="OVH995" s="2335"/>
      <c r="OVI995" s="2335"/>
      <c r="OVJ995" s="2335"/>
      <c r="OVK995" s="2335"/>
      <c r="OVL995" s="2335"/>
      <c r="OVM995" s="2335"/>
      <c r="OVN995" s="2335"/>
      <c r="OVO995" s="2335"/>
      <c r="OVP995" s="2335"/>
      <c r="OVQ995" s="2335"/>
      <c r="OVR995" s="2335"/>
      <c r="OVS995" s="2335"/>
      <c r="OVT995" s="2335"/>
      <c r="OVU995" s="2335"/>
      <c r="OVV995" s="2335"/>
      <c r="OVW995" s="2335"/>
      <c r="OVX995" s="2335"/>
      <c r="OVY995" s="2335"/>
      <c r="OVZ995" s="2335"/>
      <c r="OWA995" s="2335"/>
      <c r="OWB995" s="2335"/>
      <c r="OWC995" s="2335"/>
      <c r="OWD995" s="2335"/>
      <c r="OWE995" s="2335"/>
      <c r="OWF995" s="2335"/>
      <c r="OWG995" s="2335"/>
      <c r="OWH995" s="2335"/>
      <c r="OWI995" s="2335"/>
      <c r="OWJ995" s="2335"/>
      <c r="OWK995" s="2335"/>
      <c r="OWL995" s="2335"/>
      <c r="OWM995" s="2335"/>
      <c r="OWN995" s="2335"/>
      <c r="OWO995" s="2335"/>
      <c r="OWP995" s="2335"/>
      <c r="OWQ995" s="2335"/>
      <c r="OWR995" s="2335"/>
      <c r="OWS995" s="2335"/>
      <c r="OWT995" s="2335"/>
      <c r="OWU995" s="2335"/>
      <c r="OWV995" s="2335"/>
      <c r="OWW995" s="2335"/>
      <c r="OWX995" s="2335"/>
      <c r="OWY995" s="2335"/>
      <c r="OWZ995" s="2335"/>
      <c r="OXA995" s="2335"/>
      <c r="OXB995" s="2335"/>
      <c r="OXC995" s="2335"/>
      <c r="OXD995" s="2335"/>
      <c r="OXE995" s="2335"/>
      <c r="OXF995" s="2335"/>
      <c r="OXG995" s="2335"/>
      <c r="OXH995" s="2335"/>
      <c r="OXI995" s="2335"/>
      <c r="OXJ995" s="2335"/>
      <c r="OXK995" s="2335"/>
      <c r="OXL995" s="2335"/>
      <c r="OXM995" s="2335"/>
      <c r="OXN995" s="2335"/>
      <c r="OXO995" s="2335"/>
      <c r="OXP995" s="2335"/>
      <c r="OXQ995" s="2335"/>
      <c r="OXR995" s="2335"/>
      <c r="OXS995" s="2335"/>
      <c r="OXT995" s="2335"/>
      <c r="OXU995" s="2335"/>
      <c r="OXV995" s="2335"/>
      <c r="OXW995" s="2335"/>
      <c r="OXX995" s="2335"/>
      <c r="OXY995" s="2335"/>
      <c r="OXZ995" s="2335"/>
      <c r="OYA995" s="2335"/>
      <c r="OYB995" s="2335"/>
      <c r="OYC995" s="2335"/>
      <c r="OYD995" s="2335"/>
      <c r="OYE995" s="2335"/>
      <c r="OYF995" s="2335"/>
      <c r="OYG995" s="2335"/>
      <c r="OYH995" s="2335"/>
      <c r="OYI995" s="2335"/>
      <c r="OYJ995" s="2335"/>
      <c r="OYK995" s="2335"/>
      <c r="OYL995" s="2335"/>
      <c r="OYM995" s="2335"/>
      <c r="OYN995" s="2335"/>
      <c r="OYO995" s="2335"/>
      <c r="OYP995" s="2335"/>
      <c r="OYQ995" s="2335"/>
      <c r="OYR995" s="2335"/>
      <c r="OYS995" s="2335"/>
      <c r="OYT995" s="2335"/>
      <c r="OYU995" s="2335"/>
      <c r="OYV995" s="2335"/>
      <c r="OYW995" s="2335"/>
      <c r="OYX995" s="2335"/>
      <c r="OYY995" s="2335"/>
      <c r="OYZ995" s="2335"/>
      <c r="OZA995" s="2335"/>
      <c r="OZB995" s="2335"/>
      <c r="OZC995" s="2335"/>
      <c r="OZD995" s="2335"/>
      <c r="OZE995" s="2335"/>
      <c r="OZF995" s="2335"/>
      <c r="OZG995" s="2335"/>
      <c r="OZH995" s="2335"/>
      <c r="OZI995" s="2335"/>
      <c r="OZJ995" s="2335"/>
      <c r="OZK995" s="2335"/>
      <c r="OZL995" s="2335"/>
      <c r="OZM995" s="2335"/>
      <c r="OZN995" s="2335"/>
      <c r="OZO995" s="2335"/>
      <c r="OZP995" s="2335"/>
      <c r="OZQ995" s="2335"/>
      <c r="OZR995" s="2335"/>
      <c r="OZS995" s="2335"/>
      <c r="OZT995" s="2335"/>
      <c r="OZU995" s="2335"/>
      <c r="OZV995" s="2335"/>
      <c r="OZW995" s="2335"/>
      <c r="OZX995" s="2335"/>
      <c r="OZY995" s="2335"/>
      <c r="OZZ995" s="2335"/>
      <c r="PAA995" s="2335"/>
      <c r="PAB995" s="2335"/>
      <c r="PAC995" s="2335"/>
      <c r="PAD995" s="2335"/>
      <c r="PAE995" s="2335"/>
      <c r="PAF995" s="2335"/>
      <c r="PAG995" s="2335"/>
      <c r="PAH995" s="2335"/>
      <c r="PAI995" s="2335"/>
      <c r="PAJ995" s="2335"/>
      <c r="PAK995" s="2335"/>
      <c r="PAL995" s="2335"/>
      <c r="PAM995" s="2335"/>
      <c r="PAN995" s="2335"/>
      <c r="PAO995" s="2335"/>
      <c r="PAP995" s="2335"/>
      <c r="PAQ995" s="2335"/>
      <c r="PAR995" s="2335"/>
      <c r="PAS995" s="2335"/>
      <c r="PAT995" s="2335"/>
      <c r="PAU995" s="2335"/>
      <c r="PAV995" s="2335"/>
      <c r="PAW995" s="2335"/>
      <c r="PAX995" s="2335"/>
      <c r="PAY995" s="2335"/>
      <c r="PAZ995" s="2335"/>
      <c r="PBA995" s="2335"/>
      <c r="PBB995" s="2335"/>
      <c r="PBC995" s="2335"/>
      <c r="PBD995" s="2335"/>
      <c r="PBE995" s="2335"/>
      <c r="PBF995" s="2335"/>
      <c r="PBG995" s="2335"/>
      <c r="PBH995" s="2335"/>
      <c r="PBI995" s="2335"/>
      <c r="PBJ995" s="2335"/>
      <c r="PBK995" s="2335"/>
      <c r="PBL995" s="2335"/>
      <c r="PBM995" s="2335"/>
      <c r="PBN995" s="2335"/>
      <c r="PBO995" s="2335"/>
      <c r="PBP995" s="2335"/>
      <c r="PBQ995" s="2335"/>
      <c r="PBR995" s="2335"/>
      <c r="PBS995" s="2335"/>
      <c r="PBT995" s="2335"/>
      <c r="PBU995" s="2335"/>
      <c r="PBV995" s="2335"/>
      <c r="PBW995" s="2335"/>
      <c r="PBX995" s="2335"/>
      <c r="PBY995" s="2335"/>
      <c r="PBZ995" s="2335"/>
      <c r="PCA995" s="2335"/>
      <c r="PCB995" s="2335"/>
      <c r="PCC995" s="2335"/>
      <c r="PCD995" s="2335"/>
      <c r="PCE995" s="2335"/>
      <c r="PCF995" s="2335"/>
      <c r="PCG995" s="2335"/>
      <c r="PCH995" s="2335"/>
      <c r="PCI995" s="2335"/>
      <c r="PCJ995" s="2335"/>
      <c r="PCK995" s="2335"/>
      <c r="PCL995" s="2335"/>
      <c r="PCM995" s="2335"/>
      <c r="PCN995" s="2335"/>
      <c r="PCO995" s="2335"/>
      <c r="PCP995" s="2335"/>
      <c r="PCQ995" s="2335"/>
      <c r="PCR995" s="2335"/>
      <c r="PCS995" s="2335"/>
      <c r="PCT995" s="2335"/>
      <c r="PCU995" s="2335"/>
      <c r="PCV995" s="2335"/>
      <c r="PCW995" s="2335"/>
      <c r="PCX995" s="2335"/>
      <c r="PCY995" s="2335"/>
      <c r="PCZ995" s="2335"/>
      <c r="PDA995" s="2335"/>
      <c r="PDB995" s="2335"/>
      <c r="PDC995" s="2335"/>
      <c r="PDD995" s="2335"/>
      <c r="PDE995" s="2335"/>
      <c r="PDF995" s="2335"/>
      <c r="PDG995" s="2335"/>
      <c r="PDH995" s="2335"/>
      <c r="PDI995" s="2335"/>
      <c r="PDJ995" s="2335"/>
      <c r="PDK995" s="2335"/>
      <c r="PDL995" s="2335"/>
      <c r="PDM995" s="2335"/>
      <c r="PDN995" s="2335"/>
      <c r="PDO995" s="2335"/>
      <c r="PDP995" s="2335"/>
      <c r="PDQ995" s="2335"/>
      <c r="PDR995" s="2335"/>
      <c r="PDS995" s="2335"/>
      <c r="PDT995" s="2335"/>
      <c r="PDU995" s="2335"/>
      <c r="PDV995" s="2335"/>
      <c r="PDW995" s="2335"/>
      <c r="PDX995" s="2335"/>
      <c r="PDY995" s="2335"/>
      <c r="PDZ995" s="2335"/>
      <c r="PEA995" s="2335"/>
      <c r="PEB995" s="2335"/>
      <c r="PEC995" s="2335"/>
      <c r="PED995" s="2335"/>
      <c r="PEE995" s="2335"/>
      <c r="PEF995" s="2335"/>
      <c r="PEG995" s="2335"/>
      <c r="PEH995" s="2335"/>
      <c r="PEI995" s="2335"/>
      <c r="PEJ995" s="2335"/>
      <c r="PEK995" s="2335"/>
      <c r="PEL995" s="2335"/>
      <c r="PEM995" s="2335"/>
      <c r="PEN995" s="2335"/>
      <c r="PEO995" s="2335"/>
      <c r="PEP995" s="2335"/>
      <c r="PEQ995" s="2335"/>
      <c r="PER995" s="2335"/>
      <c r="PES995" s="2335"/>
      <c r="PET995" s="2335"/>
      <c r="PEU995" s="2335"/>
      <c r="PEV995" s="2335"/>
      <c r="PEW995" s="2335"/>
      <c r="PEX995" s="2335"/>
      <c r="PEY995" s="2335"/>
      <c r="PEZ995" s="2335"/>
      <c r="PFA995" s="2335"/>
      <c r="PFB995" s="2335"/>
      <c r="PFC995" s="2335"/>
      <c r="PFD995" s="2335"/>
      <c r="PFE995" s="2335"/>
      <c r="PFF995" s="2335"/>
      <c r="PFG995" s="2335"/>
      <c r="PFH995" s="2335"/>
      <c r="PFI995" s="2335"/>
      <c r="PFJ995" s="2335"/>
      <c r="PFK995" s="2335"/>
      <c r="PFL995" s="2335"/>
      <c r="PFM995" s="2335"/>
      <c r="PFN995" s="2335"/>
      <c r="PFO995" s="2335"/>
      <c r="PFP995" s="2335"/>
      <c r="PFQ995" s="2335"/>
      <c r="PFR995" s="2335"/>
      <c r="PFS995" s="2335"/>
      <c r="PFT995" s="2335"/>
      <c r="PFU995" s="2335"/>
      <c r="PFV995" s="2335"/>
      <c r="PFW995" s="2335"/>
      <c r="PFX995" s="2335"/>
      <c r="PFY995" s="2335"/>
      <c r="PFZ995" s="2335"/>
      <c r="PGA995" s="2335"/>
      <c r="PGB995" s="2335"/>
      <c r="PGC995" s="2335"/>
      <c r="PGD995" s="2335"/>
      <c r="PGE995" s="2335"/>
      <c r="PGF995" s="2335"/>
      <c r="PGG995" s="2335"/>
      <c r="PGH995" s="2335"/>
      <c r="PGI995" s="2335"/>
      <c r="PGJ995" s="2335"/>
      <c r="PGK995" s="2335"/>
      <c r="PGL995" s="2335"/>
      <c r="PGM995" s="2335"/>
      <c r="PGN995" s="2335"/>
      <c r="PGO995" s="2335"/>
      <c r="PGP995" s="2335"/>
      <c r="PGQ995" s="2335"/>
      <c r="PGR995" s="2335"/>
      <c r="PGS995" s="2335"/>
      <c r="PGT995" s="2335"/>
      <c r="PGU995" s="2335"/>
      <c r="PGV995" s="2335"/>
      <c r="PGW995" s="2335"/>
      <c r="PGX995" s="2335"/>
      <c r="PGY995" s="2335"/>
      <c r="PGZ995" s="2335"/>
      <c r="PHA995" s="2335"/>
      <c r="PHB995" s="2335"/>
      <c r="PHC995" s="2335"/>
      <c r="PHD995" s="2335"/>
      <c r="PHE995" s="2335"/>
      <c r="PHF995" s="2335"/>
      <c r="PHG995" s="2335"/>
      <c r="PHH995" s="2335"/>
      <c r="PHI995" s="2335"/>
      <c r="PHJ995" s="2335"/>
      <c r="PHK995" s="2335"/>
      <c r="PHL995" s="2335"/>
      <c r="PHM995" s="2335"/>
      <c r="PHN995" s="2335"/>
      <c r="PHO995" s="2335"/>
      <c r="PHP995" s="2335"/>
      <c r="PHQ995" s="2335"/>
      <c r="PHR995" s="2335"/>
      <c r="PHS995" s="2335"/>
      <c r="PHT995" s="2335"/>
      <c r="PHU995" s="2335"/>
      <c r="PHV995" s="2335"/>
      <c r="PHW995" s="2335"/>
      <c r="PHX995" s="2335"/>
      <c r="PHY995" s="2335"/>
      <c r="PHZ995" s="2335"/>
      <c r="PIA995" s="2335"/>
      <c r="PIB995" s="2335"/>
      <c r="PIC995" s="2335"/>
      <c r="PID995" s="2335"/>
      <c r="PIE995" s="2335"/>
      <c r="PIF995" s="2335"/>
      <c r="PIG995" s="2335"/>
      <c r="PIH995" s="2335"/>
      <c r="PII995" s="2335"/>
      <c r="PIJ995" s="2335"/>
      <c r="PIK995" s="2335"/>
      <c r="PIL995" s="2335"/>
      <c r="PIM995" s="2335"/>
      <c r="PIN995" s="2335"/>
      <c r="PIO995" s="2335"/>
      <c r="PIP995" s="2335"/>
      <c r="PIQ995" s="2335"/>
      <c r="PIR995" s="2335"/>
      <c r="PIS995" s="2335"/>
      <c r="PIT995" s="2335"/>
      <c r="PIU995" s="2335"/>
      <c r="PIV995" s="2335"/>
      <c r="PIW995" s="2335"/>
      <c r="PIX995" s="2335"/>
      <c r="PIY995" s="2335"/>
      <c r="PIZ995" s="2335"/>
      <c r="PJA995" s="2335"/>
      <c r="PJB995" s="2335"/>
      <c r="PJC995" s="2335"/>
      <c r="PJD995" s="2335"/>
      <c r="PJE995" s="2335"/>
      <c r="PJF995" s="2335"/>
      <c r="PJG995" s="2335"/>
      <c r="PJH995" s="2335"/>
      <c r="PJI995" s="2335"/>
      <c r="PJJ995" s="2335"/>
      <c r="PJK995" s="2335"/>
      <c r="PJL995" s="2335"/>
      <c r="PJM995" s="2335"/>
      <c r="PJN995" s="2335"/>
      <c r="PJO995" s="2335"/>
      <c r="PJP995" s="2335"/>
      <c r="PJQ995" s="2335"/>
      <c r="PJR995" s="2335"/>
      <c r="PJS995" s="2335"/>
      <c r="PJT995" s="2335"/>
      <c r="PJU995" s="2335"/>
      <c r="PJV995" s="2335"/>
      <c r="PJW995" s="2335"/>
      <c r="PJX995" s="2335"/>
      <c r="PJY995" s="2335"/>
      <c r="PJZ995" s="2335"/>
      <c r="PKA995" s="2335"/>
      <c r="PKB995" s="2335"/>
      <c r="PKC995" s="2335"/>
      <c r="PKD995" s="2335"/>
      <c r="PKE995" s="2335"/>
      <c r="PKF995" s="2335"/>
      <c r="PKG995" s="2335"/>
      <c r="PKH995" s="2335"/>
      <c r="PKI995" s="2335"/>
      <c r="PKJ995" s="2335"/>
      <c r="PKK995" s="2335"/>
      <c r="PKL995" s="2335"/>
      <c r="PKM995" s="2335"/>
      <c r="PKN995" s="2335"/>
      <c r="PKO995" s="2335"/>
      <c r="PKP995" s="2335"/>
      <c r="PKQ995" s="2335"/>
      <c r="PKR995" s="2335"/>
      <c r="PKS995" s="2335"/>
      <c r="PKT995" s="2335"/>
      <c r="PKU995" s="2335"/>
      <c r="PKV995" s="2335"/>
      <c r="PKW995" s="2335"/>
      <c r="PKX995" s="2335"/>
      <c r="PKY995" s="2335"/>
      <c r="PKZ995" s="2335"/>
      <c r="PLA995" s="2335"/>
      <c r="PLB995" s="2335"/>
      <c r="PLC995" s="2335"/>
      <c r="PLD995" s="2335"/>
      <c r="PLE995" s="2335"/>
      <c r="PLF995" s="2335"/>
      <c r="PLG995" s="2335"/>
      <c r="PLH995" s="2335"/>
      <c r="PLI995" s="2335"/>
      <c r="PLJ995" s="2335"/>
      <c r="PLK995" s="2335"/>
      <c r="PLL995" s="2335"/>
      <c r="PLM995" s="2335"/>
      <c r="PLN995" s="2335"/>
      <c r="PLO995" s="2335"/>
      <c r="PLP995" s="2335"/>
      <c r="PLQ995" s="2335"/>
      <c r="PLR995" s="2335"/>
      <c r="PLS995" s="2335"/>
      <c r="PLT995" s="2335"/>
      <c r="PLU995" s="2335"/>
      <c r="PLV995" s="2335"/>
      <c r="PLW995" s="2335"/>
      <c r="PLX995" s="2335"/>
      <c r="PLY995" s="2335"/>
      <c r="PLZ995" s="2335"/>
      <c r="PMA995" s="2335"/>
      <c r="PMB995" s="2335"/>
      <c r="PMC995" s="2335"/>
      <c r="PMD995" s="2335"/>
      <c r="PME995" s="2335"/>
      <c r="PMF995" s="2335"/>
      <c r="PMG995" s="2335"/>
      <c r="PMH995" s="2335"/>
      <c r="PMI995" s="2335"/>
      <c r="PMJ995" s="2335"/>
      <c r="PMK995" s="2335"/>
      <c r="PML995" s="2335"/>
      <c r="PMM995" s="2335"/>
      <c r="PMN995" s="2335"/>
      <c r="PMO995" s="2335"/>
      <c r="PMP995" s="2335"/>
      <c r="PMQ995" s="2335"/>
      <c r="PMR995" s="2335"/>
      <c r="PMS995" s="2335"/>
      <c r="PMT995" s="2335"/>
      <c r="PMU995" s="2335"/>
      <c r="PMV995" s="2335"/>
      <c r="PMW995" s="2335"/>
      <c r="PMX995" s="2335"/>
      <c r="PMY995" s="2335"/>
      <c r="PMZ995" s="2335"/>
      <c r="PNA995" s="2335"/>
      <c r="PNB995" s="2335"/>
      <c r="PNC995" s="2335"/>
      <c r="PND995" s="2335"/>
      <c r="PNE995" s="2335"/>
      <c r="PNF995" s="2335"/>
      <c r="PNG995" s="2335"/>
      <c r="PNH995" s="2335"/>
      <c r="PNI995" s="2335"/>
      <c r="PNJ995" s="2335"/>
      <c r="PNK995" s="2335"/>
      <c r="PNL995" s="2335"/>
      <c r="PNM995" s="2335"/>
      <c r="PNN995" s="2335"/>
      <c r="PNO995" s="2335"/>
      <c r="PNP995" s="2335"/>
      <c r="PNQ995" s="2335"/>
      <c r="PNR995" s="2335"/>
      <c r="PNS995" s="2335"/>
      <c r="PNT995" s="2335"/>
      <c r="PNU995" s="2335"/>
      <c r="PNV995" s="2335"/>
      <c r="PNW995" s="2335"/>
      <c r="PNX995" s="2335"/>
      <c r="PNY995" s="2335"/>
      <c r="PNZ995" s="2335"/>
      <c r="POA995" s="2335"/>
      <c r="POB995" s="2335"/>
      <c r="POC995" s="2335"/>
      <c r="POD995" s="2335"/>
      <c r="POE995" s="2335"/>
      <c r="POF995" s="2335"/>
      <c r="POG995" s="2335"/>
      <c r="POH995" s="2335"/>
      <c r="POI995" s="2335"/>
      <c r="POJ995" s="2335"/>
      <c r="POK995" s="2335"/>
      <c r="POL995" s="2335"/>
      <c r="POM995" s="2335"/>
      <c r="PON995" s="2335"/>
      <c r="POO995" s="2335"/>
      <c r="POP995" s="2335"/>
      <c r="POQ995" s="2335"/>
      <c r="POR995" s="2335"/>
      <c r="POS995" s="2335"/>
      <c r="POT995" s="2335"/>
      <c r="POU995" s="2335"/>
      <c r="POV995" s="2335"/>
      <c r="POW995" s="2335"/>
      <c r="POX995" s="2335"/>
      <c r="POY995" s="2335"/>
      <c r="POZ995" s="2335"/>
      <c r="PPA995" s="2335"/>
      <c r="PPB995" s="2335"/>
      <c r="PPC995" s="2335"/>
      <c r="PPD995" s="2335"/>
      <c r="PPE995" s="2335"/>
      <c r="PPF995" s="2335"/>
      <c r="PPG995" s="2335"/>
      <c r="PPH995" s="2335"/>
      <c r="PPI995" s="2335"/>
      <c r="PPJ995" s="2335"/>
      <c r="PPK995" s="2335"/>
      <c r="PPL995" s="2335"/>
      <c r="PPM995" s="2335"/>
      <c r="PPN995" s="2335"/>
      <c r="PPO995" s="2335"/>
      <c r="PPP995" s="2335"/>
      <c r="PPQ995" s="2335"/>
      <c r="PPR995" s="2335"/>
      <c r="PPS995" s="2335"/>
      <c r="PPT995" s="2335"/>
      <c r="PPU995" s="2335"/>
      <c r="PPV995" s="2335"/>
      <c r="PPW995" s="2335"/>
      <c r="PPX995" s="2335"/>
      <c r="PPY995" s="2335"/>
      <c r="PPZ995" s="2335"/>
      <c r="PQA995" s="2335"/>
      <c r="PQB995" s="2335"/>
      <c r="PQC995" s="2335"/>
      <c r="PQD995" s="2335"/>
      <c r="PQE995" s="2335"/>
      <c r="PQF995" s="2335"/>
      <c r="PQG995" s="2335"/>
      <c r="PQH995" s="2335"/>
      <c r="PQI995" s="2335"/>
      <c r="PQJ995" s="2335"/>
      <c r="PQK995" s="2335"/>
      <c r="PQL995" s="2335"/>
      <c r="PQM995" s="2335"/>
      <c r="PQN995" s="2335"/>
      <c r="PQO995" s="2335"/>
      <c r="PQP995" s="2335"/>
      <c r="PQQ995" s="2335"/>
      <c r="PQR995" s="2335"/>
      <c r="PQS995" s="2335"/>
      <c r="PQT995" s="2335"/>
      <c r="PQU995" s="2335"/>
      <c r="PQV995" s="2335"/>
      <c r="PQW995" s="2335"/>
      <c r="PQX995" s="2335"/>
      <c r="PQY995" s="2335"/>
      <c r="PQZ995" s="2335"/>
      <c r="PRA995" s="2335"/>
      <c r="PRB995" s="2335"/>
      <c r="PRC995" s="2335"/>
      <c r="PRD995" s="2335"/>
      <c r="PRE995" s="2335"/>
      <c r="PRF995" s="2335"/>
      <c r="PRG995" s="2335"/>
      <c r="PRH995" s="2335"/>
      <c r="PRI995" s="2335"/>
      <c r="PRJ995" s="2335"/>
      <c r="PRK995" s="2335"/>
      <c r="PRL995" s="2335"/>
      <c r="PRM995" s="2335"/>
      <c r="PRN995" s="2335"/>
      <c r="PRO995" s="2335"/>
      <c r="PRP995" s="2335"/>
      <c r="PRQ995" s="2335"/>
      <c r="PRR995" s="2335"/>
      <c r="PRS995" s="2335"/>
      <c r="PRT995" s="2335"/>
      <c r="PRU995" s="2335"/>
      <c r="PRV995" s="2335"/>
      <c r="PRW995" s="2335"/>
      <c r="PRX995" s="2335"/>
      <c r="PRY995" s="2335"/>
      <c r="PRZ995" s="2335"/>
      <c r="PSA995" s="2335"/>
      <c r="PSB995" s="2335"/>
      <c r="PSC995" s="2335"/>
      <c r="PSD995" s="2335"/>
      <c r="PSE995" s="2335"/>
      <c r="PSF995" s="2335"/>
      <c r="PSG995" s="2335"/>
      <c r="PSH995" s="2335"/>
      <c r="PSI995" s="2335"/>
      <c r="PSJ995" s="2335"/>
      <c r="PSK995" s="2335"/>
      <c r="PSL995" s="2335"/>
      <c r="PSM995" s="2335"/>
      <c r="PSN995" s="2335"/>
      <c r="PSO995" s="2335"/>
      <c r="PSP995" s="2335"/>
      <c r="PSQ995" s="2335"/>
      <c r="PSR995" s="2335"/>
      <c r="PSS995" s="2335"/>
      <c r="PST995" s="2335"/>
      <c r="PSU995" s="2335"/>
      <c r="PSV995" s="2335"/>
      <c r="PSW995" s="2335"/>
      <c r="PSX995" s="2335"/>
      <c r="PSY995" s="2335"/>
      <c r="PSZ995" s="2335"/>
      <c r="PTA995" s="2335"/>
      <c r="PTB995" s="2335"/>
      <c r="PTC995" s="2335"/>
      <c r="PTD995" s="2335"/>
      <c r="PTE995" s="2335"/>
      <c r="PTF995" s="2335"/>
      <c r="PTG995" s="2335"/>
      <c r="PTH995" s="2335"/>
      <c r="PTI995" s="2335"/>
      <c r="PTJ995" s="2335"/>
      <c r="PTK995" s="2335"/>
      <c r="PTL995" s="2335"/>
      <c r="PTM995" s="2335"/>
      <c r="PTN995" s="2335"/>
      <c r="PTO995" s="2335"/>
      <c r="PTP995" s="2335"/>
      <c r="PTQ995" s="2335"/>
      <c r="PTR995" s="2335"/>
      <c r="PTS995" s="2335"/>
      <c r="PTT995" s="2335"/>
      <c r="PTU995" s="2335"/>
      <c r="PTV995" s="2335"/>
      <c r="PTW995" s="2335"/>
      <c r="PTX995" s="2335"/>
      <c r="PTY995" s="2335"/>
      <c r="PTZ995" s="2335"/>
      <c r="PUA995" s="2335"/>
      <c r="PUB995" s="2335"/>
      <c r="PUC995" s="2335"/>
      <c r="PUD995" s="2335"/>
      <c r="PUE995" s="2335"/>
      <c r="PUF995" s="2335"/>
      <c r="PUG995" s="2335"/>
      <c r="PUH995" s="2335"/>
      <c r="PUI995" s="2335"/>
      <c r="PUJ995" s="2335"/>
      <c r="PUK995" s="2335"/>
      <c r="PUL995" s="2335"/>
      <c r="PUM995" s="2335"/>
      <c r="PUN995" s="2335"/>
      <c r="PUO995" s="2335"/>
      <c r="PUP995" s="2335"/>
      <c r="PUQ995" s="2335"/>
      <c r="PUR995" s="2335"/>
      <c r="PUS995" s="2335"/>
      <c r="PUT995" s="2335"/>
      <c r="PUU995" s="2335"/>
      <c r="PUV995" s="2335"/>
      <c r="PUW995" s="2335"/>
      <c r="PUX995" s="2335"/>
      <c r="PUY995" s="2335"/>
      <c r="PUZ995" s="2335"/>
      <c r="PVA995" s="2335"/>
      <c r="PVB995" s="2335"/>
      <c r="PVC995" s="2335"/>
      <c r="PVD995" s="2335"/>
      <c r="PVE995" s="2335"/>
      <c r="PVF995" s="2335"/>
      <c r="PVG995" s="2335"/>
      <c r="PVH995" s="2335"/>
      <c r="PVI995" s="2335"/>
      <c r="PVJ995" s="2335"/>
      <c r="PVK995" s="2335"/>
      <c r="PVL995" s="2335"/>
      <c r="PVM995" s="2335"/>
      <c r="PVN995" s="2335"/>
      <c r="PVO995" s="2335"/>
      <c r="PVP995" s="2335"/>
      <c r="PVQ995" s="2335"/>
      <c r="PVR995" s="2335"/>
      <c r="PVS995" s="2335"/>
      <c r="PVT995" s="2335"/>
      <c r="PVU995" s="2335"/>
      <c r="PVV995" s="2335"/>
      <c r="PVW995" s="2335"/>
      <c r="PVX995" s="2335"/>
      <c r="PVY995" s="2335"/>
      <c r="PVZ995" s="2335"/>
      <c r="PWA995" s="2335"/>
      <c r="PWB995" s="2335"/>
      <c r="PWC995" s="2335"/>
      <c r="PWD995" s="2335"/>
      <c r="PWE995" s="2335"/>
      <c r="PWF995" s="2335"/>
      <c r="PWG995" s="2335"/>
      <c r="PWH995" s="2335"/>
      <c r="PWI995" s="2335"/>
      <c r="PWJ995" s="2335"/>
      <c r="PWK995" s="2335"/>
      <c r="PWL995" s="2335"/>
      <c r="PWM995" s="2335"/>
      <c r="PWN995" s="2335"/>
      <c r="PWO995" s="2335"/>
      <c r="PWP995" s="2335"/>
      <c r="PWQ995" s="2335"/>
      <c r="PWR995" s="2335"/>
      <c r="PWS995" s="2335"/>
      <c r="PWT995" s="2335"/>
      <c r="PWU995" s="2335"/>
      <c r="PWV995" s="2335"/>
      <c r="PWW995" s="2335"/>
      <c r="PWX995" s="2335"/>
      <c r="PWY995" s="2335"/>
      <c r="PWZ995" s="2335"/>
      <c r="PXA995" s="2335"/>
      <c r="PXB995" s="2335"/>
      <c r="PXC995" s="2335"/>
      <c r="PXD995" s="2335"/>
      <c r="PXE995" s="2335"/>
      <c r="PXF995" s="2335"/>
      <c r="PXG995" s="2335"/>
      <c r="PXH995" s="2335"/>
      <c r="PXI995" s="2335"/>
      <c r="PXJ995" s="2335"/>
      <c r="PXK995" s="2335"/>
      <c r="PXL995" s="2335"/>
      <c r="PXM995" s="2335"/>
      <c r="PXN995" s="2335"/>
      <c r="PXO995" s="2335"/>
      <c r="PXP995" s="2335"/>
      <c r="PXQ995" s="2335"/>
      <c r="PXR995" s="2335"/>
      <c r="PXS995" s="2335"/>
      <c r="PXT995" s="2335"/>
      <c r="PXU995" s="2335"/>
      <c r="PXV995" s="2335"/>
      <c r="PXW995" s="2335"/>
      <c r="PXX995" s="2335"/>
      <c r="PXY995" s="2335"/>
      <c r="PXZ995" s="2335"/>
      <c r="PYA995" s="2335"/>
      <c r="PYB995" s="2335"/>
      <c r="PYC995" s="2335"/>
      <c r="PYD995" s="2335"/>
      <c r="PYE995" s="2335"/>
      <c r="PYF995" s="2335"/>
      <c r="PYG995" s="2335"/>
      <c r="PYH995" s="2335"/>
      <c r="PYI995" s="2335"/>
      <c r="PYJ995" s="2335"/>
      <c r="PYK995" s="2335"/>
      <c r="PYL995" s="2335"/>
      <c r="PYM995" s="2335"/>
      <c r="PYN995" s="2335"/>
      <c r="PYO995" s="2335"/>
      <c r="PYP995" s="2335"/>
      <c r="PYQ995" s="2335"/>
      <c r="PYR995" s="2335"/>
      <c r="PYS995" s="2335"/>
      <c r="PYT995" s="2335"/>
      <c r="PYU995" s="2335"/>
      <c r="PYV995" s="2335"/>
      <c r="PYW995" s="2335"/>
      <c r="PYX995" s="2335"/>
      <c r="PYY995" s="2335"/>
      <c r="PYZ995" s="2335"/>
      <c r="PZA995" s="2335"/>
      <c r="PZB995" s="2335"/>
      <c r="PZC995" s="2335"/>
      <c r="PZD995" s="2335"/>
      <c r="PZE995" s="2335"/>
      <c r="PZF995" s="2335"/>
      <c r="PZG995" s="2335"/>
      <c r="PZH995" s="2335"/>
      <c r="PZI995" s="2335"/>
      <c r="PZJ995" s="2335"/>
      <c r="PZK995" s="2335"/>
      <c r="PZL995" s="2335"/>
      <c r="PZM995" s="2335"/>
      <c r="PZN995" s="2335"/>
      <c r="PZO995" s="2335"/>
      <c r="PZP995" s="2335"/>
      <c r="PZQ995" s="2335"/>
      <c r="PZR995" s="2335"/>
      <c r="PZS995" s="2335"/>
      <c r="PZT995" s="2335"/>
      <c r="PZU995" s="2335"/>
      <c r="PZV995" s="2335"/>
      <c r="PZW995" s="2335"/>
      <c r="PZX995" s="2335"/>
      <c r="PZY995" s="2335"/>
      <c r="PZZ995" s="2335"/>
      <c r="QAA995" s="2335"/>
      <c r="QAB995" s="2335"/>
      <c r="QAC995" s="2335"/>
      <c r="QAD995" s="2335"/>
      <c r="QAE995" s="2335"/>
      <c r="QAF995" s="2335"/>
      <c r="QAG995" s="2335"/>
      <c r="QAH995" s="2335"/>
      <c r="QAI995" s="2335"/>
      <c r="QAJ995" s="2335"/>
      <c r="QAK995" s="2335"/>
      <c r="QAL995" s="2335"/>
      <c r="QAM995" s="2335"/>
      <c r="QAN995" s="2335"/>
      <c r="QAO995" s="2335"/>
      <c r="QAP995" s="2335"/>
      <c r="QAQ995" s="2335"/>
      <c r="QAR995" s="2335"/>
      <c r="QAS995" s="2335"/>
      <c r="QAT995" s="2335"/>
      <c r="QAU995" s="2335"/>
      <c r="QAV995" s="2335"/>
      <c r="QAW995" s="2335"/>
      <c r="QAX995" s="2335"/>
      <c r="QAY995" s="2335"/>
      <c r="QAZ995" s="2335"/>
      <c r="QBA995" s="2335"/>
      <c r="QBB995" s="2335"/>
      <c r="QBC995" s="2335"/>
      <c r="QBD995" s="2335"/>
      <c r="QBE995" s="2335"/>
      <c r="QBF995" s="2335"/>
      <c r="QBG995" s="2335"/>
      <c r="QBH995" s="2335"/>
      <c r="QBI995" s="2335"/>
      <c r="QBJ995" s="2335"/>
      <c r="QBK995" s="2335"/>
      <c r="QBL995" s="2335"/>
      <c r="QBM995" s="2335"/>
      <c r="QBN995" s="2335"/>
      <c r="QBO995" s="2335"/>
      <c r="QBP995" s="2335"/>
      <c r="QBQ995" s="2335"/>
      <c r="QBR995" s="2335"/>
      <c r="QBS995" s="2335"/>
      <c r="QBT995" s="2335"/>
      <c r="QBU995" s="2335"/>
      <c r="QBV995" s="2335"/>
      <c r="QBW995" s="2335"/>
      <c r="QBX995" s="2335"/>
      <c r="QBY995" s="2335"/>
      <c r="QBZ995" s="2335"/>
      <c r="QCA995" s="2335"/>
      <c r="QCB995" s="2335"/>
      <c r="QCC995" s="2335"/>
      <c r="QCD995" s="2335"/>
      <c r="QCE995" s="2335"/>
      <c r="QCF995" s="2335"/>
      <c r="QCG995" s="2335"/>
      <c r="QCH995" s="2335"/>
      <c r="QCI995" s="2335"/>
      <c r="QCJ995" s="2335"/>
      <c r="QCK995" s="2335"/>
      <c r="QCL995" s="2335"/>
      <c r="QCM995" s="2335"/>
      <c r="QCN995" s="2335"/>
      <c r="QCO995" s="2335"/>
      <c r="QCP995" s="2335"/>
      <c r="QCQ995" s="2335"/>
      <c r="QCR995" s="2335"/>
      <c r="QCS995" s="2335"/>
      <c r="QCT995" s="2335"/>
      <c r="QCU995" s="2335"/>
      <c r="QCV995" s="2335"/>
      <c r="QCW995" s="2335"/>
      <c r="QCX995" s="2335"/>
      <c r="QCY995" s="2335"/>
      <c r="QCZ995" s="2335"/>
      <c r="QDA995" s="2335"/>
      <c r="QDB995" s="2335"/>
      <c r="QDC995" s="2335"/>
      <c r="QDD995" s="2335"/>
      <c r="QDE995" s="2335"/>
      <c r="QDF995" s="2335"/>
      <c r="QDG995" s="2335"/>
      <c r="QDH995" s="2335"/>
      <c r="QDI995" s="2335"/>
      <c r="QDJ995" s="2335"/>
      <c r="QDK995" s="2335"/>
      <c r="QDL995" s="2335"/>
      <c r="QDM995" s="2335"/>
      <c r="QDN995" s="2335"/>
      <c r="QDO995" s="2335"/>
      <c r="QDP995" s="2335"/>
      <c r="QDQ995" s="2335"/>
      <c r="QDR995" s="2335"/>
      <c r="QDS995" s="2335"/>
      <c r="QDT995" s="2335"/>
      <c r="QDU995" s="2335"/>
      <c r="QDV995" s="2335"/>
      <c r="QDW995" s="2335"/>
      <c r="QDX995" s="2335"/>
      <c r="QDY995" s="2335"/>
      <c r="QDZ995" s="2335"/>
      <c r="QEA995" s="2335"/>
      <c r="QEB995" s="2335"/>
      <c r="QEC995" s="2335"/>
      <c r="QED995" s="2335"/>
      <c r="QEE995" s="2335"/>
      <c r="QEF995" s="2335"/>
      <c r="QEG995" s="2335"/>
      <c r="QEH995" s="2335"/>
      <c r="QEI995" s="2335"/>
      <c r="QEJ995" s="2335"/>
      <c r="QEK995" s="2335"/>
      <c r="QEL995" s="2335"/>
      <c r="QEM995" s="2335"/>
      <c r="QEN995" s="2335"/>
      <c r="QEO995" s="2335"/>
      <c r="QEP995" s="2335"/>
      <c r="QEQ995" s="2335"/>
      <c r="QER995" s="2335"/>
      <c r="QES995" s="2335"/>
      <c r="QET995" s="2335"/>
      <c r="QEU995" s="2335"/>
      <c r="QEV995" s="2335"/>
      <c r="QEW995" s="2335"/>
      <c r="QEX995" s="2335"/>
      <c r="QEY995" s="2335"/>
      <c r="QEZ995" s="2335"/>
      <c r="QFA995" s="2335"/>
      <c r="QFB995" s="2335"/>
      <c r="QFC995" s="2335"/>
      <c r="QFD995" s="2335"/>
      <c r="QFE995" s="2335"/>
      <c r="QFF995" s="2335"/>
      <c r="QFG995" s="2335"/>
      <c r="QFH995" s="2335"/>
      <c r="QFI995" s="2335"/>
      <c r="QFJ995" s="2335"/>
      <c r="QFK995" s="2335"/>
      <c r="QFL995" s="2335"/>
      <c r="QFM995" s="2335"/>
      <c r="QFN995" s="2335"/>
      <c r="QFO995" s="2335"/>
      <c r="QFP995" s="2335"/>
      <c r="QFQ995" s="2335"/>
      <c r="QFR995" s="2335"/>
      <c r="QFS995" s="2335"/>
      <c r="QFT995" s="2335"/>
      <c r="QFU995" s="2335"/>
      <c r="QFV995" s="2335"/>
      <c r="QFW995" s="2335"/>
      <c r="QFX995" s="2335"/>
      <c r="QFY995" s="2335"/>
      <c r="QFZ995" s="2335"/>
      <c r="QGA995" s="2335"/>
      <c r="QGB995" s="2335"/>
      <c r="QGC995" s="2335"/>
      <c r="QGD995" s="2335"/>
      <c r="QGE995" s="2335"/>
      <c r="QGF995" s="2335"/>
      <c r="QGG995" s="2335"/>
      <c r="QGH995" s="2335"/>
      <c r="QGI995" s="2335"/>
      <c r="QGJ995" s="2335"/>
      <c r="QGK995" s="2335"/>
      <c r="QGL995" s="2335"/>
      <c r="QGM995" s="2335"/>
      <c r="QGN995" s="2335"/>
      <c r="QGO995" s="2335"/>
      <c r="QGP995" s="2335"/>
      <c r="QGQ995" s="2335"/>
      <c r="QGR995" s="2335"/>
      <c r="QGS995" s="2335"/>
      <c r="QGT995" s="2335"/>
      <c r="QGU995" s="2335"/>
      <c r="QGV995" s="2335"/>
      <c r="QGW995" s="2335"/>
      <c r="QGX995" s="2335"/>
      <c r="QGY995" s="2335"/>
      <c r="QGZ995" s="2335"/>
      <c r="QHA995" s="2335"/>
      <c r="QHB995" s="2335"/>
      <c r="QHC995" s="2335"/>
      <c r="QHD995" s="2335"/>
      <c r="QHE995" s="2335"/>
      <c r="QHF995" s="2335"/>
      <c r="QHG995" s="2335"/>
      <c r="QHH995" s="2335"/>
      <c r="QHI995" s="2335"/>
      <c r="QHJ995" s="2335"/>
      <c r="QHK995" s="2335"/>
      <c r="QHL995" s="2335"/>
      <c r="QHM995" s="2335"/>
      <c r="QHN995" s="2335"/>
      <c r="QHO995" s="2335"/>
      <c r="QHP995" s="2335"/>
      <c r="QHQ995" s="2335"/>
      <c r="QHR995" s="2335"/>
      <c r="QHS995" s="2335"/>
      <c r="QHT995" s="2335"/>
      <c r="QHU995" s="2335"/>
      <c r="QHV995" s="2335"/>
      <c r="QHW995" s="2335"/>
      <c r="QHX995" s="2335"/>
      <c r="QHY995" s="2335"/>
      <c r="QHZ995" s="2335"/>
      <c r="QIA995" s="2335"/>
      <c r="QIB995" s="2335"/>
      <c r="QIC995" s="2335"/>
      <c r="QID995" s="2335"/>
      <c r="QIE995" s="2335"/>
      <c r="QIF995" s="2335"/>
      <c r="QIG995" s="2335"/>
      <c r="QIH995" s="2335"/>
      <c r="QII995" s="2335"/>
      <c r="QIJ995" s="2335"/>
      <c r="QIK995" s="2335"/>
      <c r="QIL995" s="2335"/>
      <c r="QIM995" s="2335"/>
      <c r="QIN995" s="2335"/>
      <c r="QIO995" s="2335"/>
      <c r="QIP995" s="2335"/>
      <c r="QIQ995" s="2335"/>
      <c r="QIR995" s="2335"/>
      <c r="QIS995" s="2335"/>
      <c r="QIT995" s="2335"/>
      <c r="QIU995" s="2335"/>
      <c r="QIV995" s="2335"/>
      <c r="QIW995" s="2335"/>
      <c r="QIX995" s="2335"/>
      <c r="QIY995" s="2335"/>
      <c r="QIZ995" s="2335"/>
      <c r="QJA995" s="2335"/>
      <c r="QJB995" s="2335"/>
      <c r="QJC995" s="2335"/>
      <c r="QJD995" s="2335"/>
      <c r="QJE995" s="2335"/>
      <c r="QJF995" s="2335"/>
      <c r="QJG995" s="2335"/>
      <c r="QJH995" s="2335"/>
      <c r="QJI995" s="2335"/>
      <c r="QJJ995" s="2335"/>
      <c r="QJK995" s="2335"/>
      <c r="QJL995" s="2335"/>
      <c r="QJM995" s="2335"/>
      <c r="QJN995" s="2335"/>
      <c r="QJO995" s="2335"/>
      <c r="QJP995" s="2335"/>
      <c r="QJQ995" s="2335"/>
      <c r="QJR995" s="2335"/>
      <c r="QJS995" s="2335"/>
      <c r="QJT995" s="2335"/>
      <c r="QJU995" s="2335"/>
      <c r="QJV995" s="2335"/>
      <c r="QJW995" s="2335"/>
      <c r="QJX995" s="2335"/>
      <c r="QJY995" s="2335"/>
      <c r="QJZ995" s="2335"/>
      <c r="QKA995" s="2335"/>
      <c r="QKB995" s="2335"/>
      <c r="QKC995" s="2335"/>
      <c r="QKD995" s="2335"/>
      <c r="QKE995" s="2335"/>
      <c r="QKF995" s="2335"/>
      <c r="QKG995" s="2335"/>
      <c r="QKH995" s="2335"/>
      <c r="QKI995" s="2335"/>
      <c r="QKJ995" s="2335"/>
      <c r="QKK995" s="2335"/>
      <c r="QKL995" s="2335"/>
      <c r="QKM995" s="2335"/>
      <c r="QKN995" s="2335"/>
      <c r="QKO995" s="2335"/>
      <c r="QKP995" s="2335"/>
      <c r="QKQ995" s="2335"/>
      <c r="QKR995" s="2335"/>
      <c r="QKS995" s="2335"/>
      <c r="QKT995" s="2335"/>
      <c r="QKU995" s="2335"/>
      <c r="QKV995" s="2335"/>
      <c r="QKW995" s="2335"/>
      <c r="QKX995" s="2335"/>
      <c r="QKY995" s="2335"/>
      <c r="QKZ995" s="2335"/>
      <c r="QLA995" s="2335"/>
      <c r="QLB995" s="2335"/>
      <c r="QLC995" s="2335"/>
      <c r="QLD995" s="2335"/>
      <c r="QLE995" s="2335"/>
      <c r="QLF995" s="2335"/>
      <c r="QLG995" s="2335"/>
      <c r="QLH995" s="2335"/>
      <c r="QLI995" s="2335"/>
      <c r="QLJ995" s="2335"/>
      <c r="QLK995" s="2335"/>
      <c r="QLL995" s="2335"/>
      <c r="QLM995" s="2335"/>
      <c r="QLN995" s="2335"/>
      <c r="QLO995" s="2335"/>
      <c r="QLP995" s="2335"/>
      <c r="QLQ995" s="2335"/>
      <c r="QLR995" s="2335"/>
      <c r="QLS995" s="2335"/>
      <c r="QLT995" s="2335"/>
      <c r="QLU995" s="2335"/>
      <c r="QLV995" s="2335"/>
      <c r="QLW995" s="2335"/>
      <c r="QLX995" s="2335"/>
      <c r="QLY995" s="2335"/>
      <c r="QLZ995" s="2335"/>
      <c r="QMA995" s="2335"/>
      <c r="QMB995" s="2335"/>
      <c r="QMC995" s="2335"/>
      <c r="QMD995" s="2335"/>
      <c r="QME995" s="2335"/>
      <c r="QMF995" s="2335"/>
      <c r="QMG995" s="2335"/>
      <c r="QMH995" s="2335"/>
      <c r="QMI995" s="2335"/>
      <c r="QMJ995" s="2335"/>
      <c r="QMK995" s="2335"/>
      <c r="QML995" s="2335"/>
      <c r="QMM995" s="2335"/>
      <c r="QMN995" s="2335"/>
      <c r="QMO995" s="2335"/>
      <c r="QMP995" s="2335"/>
      <c r="QMQ995" s="2335"/>
      <c r="QMR995" s="2335"/>
      <c r="QMS995" s="2335"/>
      <c r="QMT995" s="2335"/>
      <c r="QMU995" s="2335"/>
      <c r="QMV995" s="2335"/>
      <c r="QMW995" s="2335"/>
      <c r="QMX995" s="2335"/>
      <c r="QMY995" s="2335"/>
      <c r="QMZ995" s="2335"/>
      <c r="QNA995" s="2335"/>
      <c r="QNB995" s="2335"/>
      <c r="QNC995" s="2335"/>
      <c r="QND995" s="2335"/>
      <c r="QNE995" s="2335"/>
      <c r="QNF995" s="2335"/>
      <c r="QNG995" s="2335"/>
      <c r="QNH995" s="2335"/>
      <c r="QNI995" s="2335"/>
      <c r="QNJ995" s="2335"/>
      <c r="QNK995" s="2335"/>
      <c r="QNL995" s="2335"/>
      <c r="QNM995" s="2335"/>
      <c r="QNN995" s="2335"/>
      <c r="QNO995" s="2335"/>
      <c r="QNP995" s="2335"/>
      <c r="QNQ995" s="2335"/>
      <c r="QNR995" s="2335"/>
      <c r="QNS995" s="2335"/>
      <c r="QNT995" s="2335"/>
      <c r="QNU995" s="2335"/>
      <c r="QNV995" s="2335"/>
      <c r="QNW995" s="2335"/>
      <c r="QNX995" s="2335"/>
      <c r="QNY995" s="2335"/>
      <c r="QNZ995" s="2335"/>
      <c r="QOA995" s="2335"/>
      <c r="QOB995" s="2335"/>
      <c r="QOC995" s="2335"/>
      <c r="QOD995" s="2335"/>
      <c r="QOE995" s="2335"/>
      <c r="QOF995" s="2335"/>
      <c r="QOG995" s="2335"/>
      <c r="QOH995" s="2335"/>
      <c r="QOI995" s="2335"/>
      <c r="QOJ995" s="2335"/>
      <c r="QOK995" s="2335"/>
      <c r="QOL995" s="2335"/>
      <c r="QOM995" s="2335"/>
      <c r="QON995" s="2335"/>
      <c r="QOO995" s="2335"/>
      <c r="QOP995" s="2335"/>
      <c r="QOQ995" s="2335"/>
      <c r="QOR995" s="2335"/>
      <c r="QOS995" s="2335"/>
      <c r="QOT995" s="2335"/>
      <c r="QOU995" s="2335"/>
      <c r="QOV995" s="2335"/>
      <c r="QOW995" s="2335"/>
      <c r="QOX995" s="2335"/>
      <c r="QOY995" s="2335"/>
      <c r="QOZ995" s="2335"/>
      <c r="QPA995" s="2335"/>
      <c r="QPB995" s="2335"/>
      <c r="QPC995" s="2335"/>
      <c r="QPD995" s="2335"/>
      <c r="QPE995" s="2335"/>
      <c r="QPF995" s="2335"/>
      <c r="QPG995" s="2335"/>
      <c r="QPH995" s="2335"/>
      <c r="QPI995" s="2335"/>
      <c r="QPJ995" s="2335"/>
      <c r="QPK995" s="2335"/>
      <c r="QPL995" s="2335"/>
      <c r="QPM995" s="2335"/>
      <c r="QPN995" s="2335"/>
      <c r="QPO995" s="2335"/>
      <c r="QPP995" s="2335"/>
      <c r="QPQ995" s="2335"/>
      <c r="QPR995" s="2335"/>
      <c r="QPS995" s="2335"/>
      <c r="QPT995" s="2335"/>
      <c r="QPU995" s="2335"/>
      <c r="QPV995" s="2335"/>
      <c r="QPW995" s="2335"/>
      <c r="QPX995" s="2335"/>
      <c r="QPY995" s="2335"/>
      <c r="QPZ995" s="2335"/>
      <c r="QQA995" s="2335"/>
      <c r="QQB995" s="2335"/>
      <c r="QQC995" s="2335"/>
      <c r="QQD995" s="2335"/>
      <c r="QQE995" s="2335"/>
      <c r="QQF995" s="2335"/>
      <c r="QQG995" s="2335"/>
      <c r="QQH995" s="2335"/>
      <c r="QQI995" s="2335"/>
      <c r="QQJ995" s="2335"/>
      <c r="QQK995" s="2335"/>
      <c r="QQL995" s="2335"/>
      <c r="QQM995" s="2335"/>
      <c r="QQN995" s="2335"/>
      <c r="QQO995" s="2335"/>
      <c r="QQP995" s="2335"/>
      <c r="QQQ995" s="2335"/>
      <c r="QQR995" s="2335"/>
      <c r="QQS995" s="2335"/>
      <c r="QQT995" s="2335"/>
      <c r="QQU995" s="2335"/>
      <c r="QQV995" s="2335"/>
      <c r="QQW995" s="2335"/>
      <c r="QQX995" s="2335"/>
      <c r="QQY995" s="2335"/>
      <c r="QQZ995" s="2335"/>
      <c r="QRA995" s="2335"/>
      <c r="QRB995" s="2335"/>
      <c r="QRC995" s="2335"/>
      <c r="QRD995" s="2335"/>
      <c r="QRE995" s="2335"/>
      <c r="QRF995" s="2335"/>
      <c r="QRG995" s="2335"/>
      <c r="QRH995" s="2335"/>
      <c r="QRI995" s="2335"/>
      <c r="QRJ995" s="2335"/>
      <c r="QRK995" s="2335"/>
      <c r="QRL995" s="2335"/>
      <c r="QRM995" s="2335"/>
      <c r="QRN995" s="2335"/>
      <c r="QRO995" s="2335"/>
      <c r="QRP995" s="2335"/>
      <c r="QRQ995" s="2335"/>
      <c r="QRR995" s="2335"/>
      <c r="QRS995" s="2335"/>
      <c r="QRT995" s="2335"/>
      <c r="QRU995" s="2335"/>
      <c r="QRV995" s="2335"/>
      <c r="QRW995" s="2335"/>
      <c r="QRX995" s="2335"/>
      <c r="QRY995" s="2335"/>
      <c r="QRZ995" s="2335"/>
      <c r="QSA995" s="2335"/>
      <c r="QSB995" s="2335"/>
      <c r="QSC995" s="2335"/>
      <c r="QSD995" s="2335"/>
      <c r="QSE995" s="2335"/>
      <c r="QSF995" s="2335"/>
      <c r="QSG995" s="2335"/>
      <c r="QSH995" s="2335"/>
      <c r="QSI995" s="2335"/>
      <c r="QSJ995" s="2335"/>
      <c r="QSK995" s="2335"/>
      <c r="QSL995" s="2335"/>
      <c r="QSM995" s="2335"/>
      <c r="QSN995" s="2335"/>
      <c r="QSO995" s="2335"/>
      <c r="QSP995" s="2335"/>
      <c r="QSQ995" s="2335"/>
      <c r="QSR995" s="2335"/>
      <c r="QSS995" s="2335"/>
      <c r="QST995" s="2335"/>
      <c r="QSU995" s="2335"/>
      <c r="QSV995" s="2335"/>
      <c r="QSW995" s="2335"/>
      <c r="QSX995" s="2335"/>
      <c r="QSY995" s="2335"/>
      <c r="QSZ995" s="2335"/>
      <c r="QTA995" s="2335"/>
      <c r="QTB995" s="2335"/>
      <c r="QTC995" s="2335"/>
      <c r="QTD995" s="2335"/>
      <c r="QTE995" s="2335"/>
      <c r="QTF995" s="2335"/>
      <c r="QTG995" s="2335"/>
      <c r="QTH995" s="2335"/>
      <c r="QTI995" s="2335"/>
      <c r="QTJ995" s="2335"/>
      <c r="QTK995" s="2335"/>
      <c r="QTL995" s="2335"/>
      <c r="QTM995" s="2335"/>
      <c r="QTN995" s="2335"/>
      <c r="QTO995" s="2335"/>
      <c r="QTP995" s="2335"/>
      <c r="QTQ995" s="2335"/>
      <c r="QTR995" s="2335"/>
      <c r="QTS995" s="2335"/>
      <c r="QTT995" s="2335"/>
      <c r="QTU995" s="2335"/>
      <c r="QTV995" s="2335"/>
      <c r="QTW995" s="2335"/>
      <c r="QTX995" s="2335"/>
      <c r="QTY995" s="2335"/>
      <c r="QTZ995" s="2335"/>
      <c r="QUA995" s="2335"/>
      <c r="QUB995" s="2335"/>
      <c r="QUC995" s="2335"/>
      <c r="QUD995" s="2335"/>
      <c r="QUE995" s="2335"/>
      <c r="QUF995" s="2335"/>
      <c r="QUG995" s="2335"/>
      <c r="QUH995" s="2335"/>
      <c r="QUI995" s="2335"/>
      <c r="QUJ995" s="2335"/>
      <c r="QUK995" s="2335"/>
      <c r="QUL995" s="2335"/>
      <c r="QUM995" s="2335"/>
      <c r="QUN995" s="2335"/>
      <c r="QUO995" s="2335"/>
      <c r="QUP995" s="2335"/>
      <c r="QUQ995" s="2335"/>
      <c r="QUR995" s="2335"/>
      <c r="QUS995" s="2335"/>
      <c r="QUT995" s="2335"/>
      <c r="QUU995" s="2335"/>
      <c r="QUV995" s="2335"/>
      <c r="QUW995" s="2335"/>
      <c r="QUX995" s="2335"/>
      <c r="QUY995" s="2335"/>
      <c r="QUZ995" s="2335"/>
      <c r="QVA995" s="2335"/>
      <c r="QVB995" s="2335"/>
      <c r="QVC995" s="2335"/>
      <c r="QVD995" s="2335"/>
      <c r="QVE995" s="2335"/>
      <c r="QVF995" s="2335"/>
      <c r="QVG995" s="2335"/>
      <c r="QVH995" s="2335"/>
      <c r="QVI995" s="2335"/>
      <c r="QVJ995" s="2335"/>
      <c r="QVK995" s="2335"/>
      <c r="QVL995" s="2335"/>
      <c r="QVM995" s="2335"/>
      <c r="QVN995" s="2335"/>
      <c r="QVO995" s="2335"/>
      <c r="QVP995" s="2335"/>
      <c r="QVQ995" s="2335"/>
      <c r="QVR995" s="2335"/>
      <c r="QVS995" s="2335"/>
      <c r="QVT995" s="2335"/>
      <c r="QVU995" s="2335"/>
      <c r="QVV995" s="2335"/>
      <c r="QVW995" s="2335"/>
      <c r="QVX995" s="2335"/>
      <c r="QVY995" s="2335"/>
      <c r="QVZ995" s="2335"/>
      <c r="QWA995" s="2335"/>
      <c r="QWB995" s="2335"/>
      <c r="QWC995" s="2335"/>
      <c r="QWD995" s="2335"/>
      <c r="QWE995" s="2335"/>
      <c r="QWF995" s="2335"/>
      <c r="QWG995" s="2335"/>
      <c r="QWH995" s="2335"/>
      <c r="QWI995" s="2335"/>
      <c r="QWJ995" s="2335"/>
      <c r="QWK995" s="2335"/>
      <c r="QWL995" s="2335"/>
      <c r="QWM995" s="2335"/>
      <c r="QWN995" s="2335"/>
      <c r="QWO995" s="2335"/>
      <c r="QWP995" s="2335"/>
      <c r="QWQ995" s="2335"/>
      <c r="QWR995" s="2335"/>
      <c r="QWS995" s="2335"/>
      <c r="QWT995" s="2335"/>
      <c r="QWU995" s="2335"/>
      <c r="QWV995" s="2335"/>
      <c r="QWW995" s="2335"/>
      <c r="QWX995" s="2335"/>
      <c r="QWY995" s="2335"/>
      <c r="QWZ995" s="2335"/>
      <c r="QXA995" s="2335"/>
      <c r="QXB995" s="2335"/>
      <c r="QXC995" s="2335"/>
      <c r="QXD995" s="2335"/>
      <c r="QXE995" s="2335"/>
      <c r="QXF995" s="2335"/>
      <c r="QXG995" s="2335"/>
      <c r="QXH995" s="2335"/>
      <c r="QXI995" s="2335"/>
      <c r="QXJ995" s="2335"/>
      <c r="QXK995" s="2335"/>
      <c r="QXL995" s="2335"/>
      <c r="QXM995" s="2335"/>
      <c r="QXN995" s="2335"/>
      <c r="QXO995" s="2335"/>
      <c r="QXP995" s="2335"/>
      <c r="QXQ995" s="2335"/>
      <c r="QXR995" s="2335"/>
      <c r="QXS995" s="2335"/>
      <c r="QXT995" s="2335"/>
      <c r="QXU995" s="2335"/>
      <c r="QXV995" s="2335"/>
      <c r="QXW995" s="2335"/>
      <c r="QXX995" s="2335"/>
      <c r="QXY995" s="2335"/>
      <c r="QXZ995" s="2335"/>
      <c r="QYA995" s="2335"/>
      <c r="QYB995" s="2335"/>
      <c r="QYC995" s="2335"/>
      <c r="QYD995" s="2335"/>
      <c r="QYE995" s="2335"/>
      <c r="QYF995" s="2335"/>
      <c r="QYG995" s="2335"/>
      <c r="QYH995" s="2335"/>
      <c r="QYI995" s="2335"/>
      <c r="QYJ995" s="2335"/>
      <c r="QYK995" s="2335"/>
      <c r="QYL995" s="2335"/>
      <c r="QYM995" s="2335"/>
      <c r="QYN995" s="2335"/>
      <c r="QYO995" s="2335"/>
      <c r="QYP995" s="2335"/>
      <c r="QYQ995" s="2335"/>
      <c r="QYR995" s="2335"/>
      <c r="QYS995" s="2335"/>
      <c r="QYT995" s="2335"/>
      <c r="QYU995" s="2335"/>
      <c r="QYV995" s="2335"/>
      <c r="QYW995" s="2335"/>
      <c r="QYX995" s="2335"/>
      <c r="QYY995" s="2335"/>
      <c r="QYZ995" s="2335"/>
      <c r="QZA995" s="2335"/>
      <c r="QZB995" s="2335"/>
      <c r="QZC995" s="2335"/>
      <c r="QZD995" s="2335"/>
      <c r="QZE995" s="2335"/>
      <c r="QZF995" s="2335"/>
      <c r="QZG995" s="2335"/>
      <c r="QZH995" s="2335"/>
      <c r="QZI995" s="2335"/>
      <c r="QZJ995" s="2335"/>
      <c r="QZK995" s="2335"/>
      <c r="QZL995" s="2335"/>
      <c r="QZM995" s="2335"/>
      <c r="QZN995" s="2335"/>
      <c r="QZO995" s="2335"/>
      <c r="QZP995" s="2335"/>
      <c r="QZQ995" s="2335"/>
      <c r="QZR995" s="2335"/>
      <c r="QZS995" s="2335"/>
      <c r="QZT995" s="2335"/>
      <c r="QZU995" s="2335"/>
      <c r="QZV995" s="2335"/>
      <c r="QZW995" s="2335"/>
      <c r="QZX995" s="2335"/>
      <c r="QZY995" s="2335"/>
      <c r="QZZ995" s="2335"/>
      <c r="RAA995" s="2335"/>
      <c r="RAB995" s="2335"/>
      <c r="RAC995" s="2335"/>
      <c r="RAD995" s="2335"/>
      <c r="RAE995" s="2335"/>
      <c r="RAF995" s="2335"/>
      <c r="RAG995" s="2335"/>
      <c r="RAH995" s="2335"/>
      <c r="RAI995" s="2335"/>
      <c r="RAJ995" s="2335"/>
      <c r="RAK995" s="2335"/>
      <c r="RAL995" s="2335"/>
      <c r="RAM995" s="2335"/>
      <c r="RAN995" s="2335"/>
      <c r="RAO995" s="2335"/>
      <c r="RAP995" s="2335"/>
      <c r="RAQ995" s="2335"/>
      <c r="RAR995" s="2335"/>
      <c r="RAS995" s="2335"/>
      <c r="RAT995" s="2335"/>
      <c r="RAU995" s="2335"/>
      <c r="RAV995" s="2335"/>
      <c r="RAW995" s="2335"/>
      <c r="RAX995" s="2335"/>
      <c r="RAY995" s="2335"/>
      <c r="RAZ995" s="2335"/>
      <c r="RBA995" s="2335"/>
      <c r="RBB995" s="2335"/>
      <c r="RBC995" s="2335"/>
      <c r="RBD995" s="2335"/>
      <c r="RBE995" s="2335"/>
      <c r="RBF995" s="2335"/>
      <c r="RBG995" s="2335"/>
      <c r="RBH995" s="2335"/>
      <c r="RBI995" s="2335"/>
      <c r="RBJ995" s="2335"/>
      <c r="RBK995" s="2335"/>
      <c r="RBL995" s="2335"/>
      <c r="RBM995" s="2335"/>
      <c r="RBN995" s="2335"/>
      <c r="RBO995" s="2335"/>
      <c r="RBP995" s="2335"/>
      <c r="RBQ995" s="2335"/>
      <c r="RBR995" s="2335"/>
      <c r="RBS995" s="2335"/>
      <c r="RBT995" s="2335"/>
      <c r="RBU995" s="2335"/>
      <c r="RBV995" s="2335"/>
      <c r="RBW995" s="2335"/>
      <c r="RBX995" s="2335"/>
      <c r="RBY995" s="2335"/>
      <c r="RBZ995" s="2335"/>
      <c r="RCA995" s="2335"/>
      <c r="RCB995" s="2335"/>
      <c r="RCC995" s="2335"/>
      <c r="RCD995" s="2335"/>
      <c r="RCE995" s="2335"/>
      <c r="RCF995" s="2335"/>
      <c r="RCG995" s="2335"/>
      <c r="RCH995" s="2335"/>
      <c r="RCI995" s="2335"/>
      <c r="RCJ995" s="2335"/>
      <c r="RCK995" s="2335"/>
      <c r="RCL995" s="2335"/>
      <c r="RCM995" s="2335"/>
      <c r="RCN995" s="2335"/>
      <c r="RCO995" s="2335"/>
      <c r="RCP995" s="2335"/>
      <c r="RCQ995" s="2335"/>
      <c r="RCR995" s="2335"/>
      <c r="RCS995" s="2335"/>
      <c r="RCT995" s="2335"/>
      <c r="RCU995" s="2335"/>
      <c r="RCV995" s="2335"/>
      <c r="RCW995" s="2335"/>
      <c r="RCX995" s="2335"/>
      <c r="RCY995" s="2335"/>
      <c r="RCZ995" s="2335"/>
      <c r="RDA995" s="2335"/>
      <c r="RDB995" s="2335"/>
      <c r="RDC995" s="2335"/>
      <c r="RDD995" s="2335"/>
      <c r="RDE995" s="2335"/>
      <c r="RDF995" s="2335"/>
      <c r="RDG995" s="2335"/>
      <c r="RDH995" s="2335"/>
      <c r="RDI995" s="2335"/>
      <c r="RDJ995" s="2335"/>
      <c r="RDK995" s="2335"/>
      <c r="RDL995" s="2335"/>
      <c r="RDM995" s="2335"/>
      <c r="RDN995" s="2335"/>
      <c r="RDO995" s="2335"/>
      <c r="RDP995" s="2335"/>
      <c r="RDQ995" s="2335"/>
      <c r="RDR995" s="2335"/>
      <c r="RDS995" s="2335"/>
      <c r="RDT995" s="2335"/>
      <c r="RDU995" s="2335"/>
      <c r="RDV995" s="2335"/>
      <c r="RDW995" s="2335"/>
      <c r="RDX995" s="2335"/>
      <c r="RDY995" s="2335"/>
      <c r="RDZ995" s="2335"/>
      <c r="REA995" s="2335"/>
      <c r="REB995" s="2335"/>
      <c r="REC995" s="2335"/>
      <c r="RED995" s="2335"/>
      <c r="REE995" s="2335"/>
      <c r="REF995" s="2335"/>
      <c r="REG995" s="2335"/>
      <c r="REH995" s="2335"/>
      <c r="REI995" s="2335"/>
      <c r="REJ995" s="2335"/>
      <c r="REK995" s="2335"/>
      <c r="REL995" s="2335"/>
      <c r="REM995" s="2335"/>
      <c r="REN995" s="2335"/>
      <c r="REO995" s="2335"/>
      <c r="REP995" s="2335"/>
      <c r="REQ995" s="2335"/>
      <c r="RER995" s="2335"/>
      <c r="RES995" s="2335"/>
      <c r="RET995" s="2335"/>
      <c r="REU995" s="2335"/>
      <c r="REV995" s="2335"/>
      <c r="REW995" s="2335"/>
      <c r="REX995" s="2335"/>
      <c r="REY995" s="2335"/>
      <c r="REZ995" s="2335"/>
      <c r="RFA995" s="2335"/>
      <c r="RFB995" s="2335"/>
      <c r="RFC995" s="2335"/>
      <c r="RFD995" s="2335"/>
      <c r="RFE995" s="2335"/>
      <c r="RFF995" s="2335"/>
      <c r="RFG995" s="2335"/>
      <c r="RFH995" s="2335"/>
      <c r="RFI995" s="2335"/>
      <c r="RFJ995" s="2335"/>
      <c r="RFK995" s="2335"/>
      <c r="RFL995" s="2335"/>
      <c r="RFM995" s="2335"/>
      <c r="RFN995" s="2335"/>
      <c r="RFO995" s="2335"/>
      <c r="RFP995" s="2335"/>
      <c r="RFQ995" s="2335"/>
      <c r="RFR995" s="2335"/>
      <c r="RFS995" s="2335"/>
      <c r="RFT995" s="2335"/>
      <c r="RFU995" s="2335"/>
      <c r="RFV995" s="2335"/>
      <c r="RFW995" s="2335"/>
      <c r="RFX995" s="2335"/>
      <c r="RFY995" s="2335"/>
      <c r="RFZ995" s="2335"/>
      <c r="RGA995" s="2335"/>
      <c r="RGB995" s="2335"/>
      <c r="RGC995" s="2335"/>
      <c r="RGD995" s="2335"/>
      <c r="RGE995" s="2335"/>
      <c r="RGF995" s="2335"/>
      <c r="RGG995" s="2335"/>
      <c r="RGH995" s="2335"/>
      <c r="RGI995" s="2335"/>
      <c r="RGJ995" s="2335"/>
      <c r="RGK995" s="2335"/>
      <c r="RGL995" s="2335"/>
      <c r="RGM995" s="2335"/>
      <c r="RGN995" s="2335"/>
      <c r="RGO995" s="2335"/>
      <c r="RGP995" s="2335"/>
      <c r="RGQ995" s="2335"/>
      <c r="RGR995" s="2335"/>
      <c r="RGS995" s="2335"/>
      <c r="RGT995" s="2335"/>
      <c r="RGU995" s="2335"/>
      <c r="RGV995" s="2335"/>
      <c r="RGW995" s="2335"/>
      <c r="RGX995" s="2335"/>
      <c r="RGY995" s="2335"/>
      <c r="RGZ995" s="2335"/>
      <c r="RHA995" s="2335"/>
      <c r="RHB995" s="2335"/>
      <c r="RHC995" s="2335"/>
      <c r="RHD995" s="2335"/>
      <c r="RHE995" s="2335"/>
      <c r="RHF995" s="2335"/>
      <c r="RHG995" s="2335"/>
      <c r="RHH995" s="2335"/>
      <c r="RHI995" s="2335"/>
      <c r="RHJ995" s="2335"/>
      <c r="RHK995" s="2335"/>
      <c r="RHL995" s="2335"/>
      <c r="RHM995" s="2335"/>
      <c r="RHN995" s="2335"/>
      <c r="RHO995" s="2335"/>
      <c r="RHP995" s="2335"/>
      <c r="RHQ995" s="2335"/>
      <c r="RHR995" s="2335"/>
      <c r="RHS995" s="2335"/>
      <c r="RHT995" s="2335"/>
      <c r="RHU995" s="2335"/>
      <c r="RHV995" s="2335"/>
      <c r="RHW995" s="2335"/>
      <c r="RHX995" s="2335"/>
      <c r="RHY995" s="2335"/>
      <c r="RHZ995" s="2335"/>
      <c r="RIA995" s="2335"/>
      <c r="RIB995" s="2335"/>
      <c r="RIC995" s="2335"/>
      <c r="RID995" s="2335"/>
      <c r="RIE995" s="2335"/>
      <c r="RIF995" s="2335"/>
      <c r="RIG995" s="2335"/>
      <c r="RIH995" s="2335"/>
      <c r="RII995" s="2335"/>
      <c r="RIJ995" s="2335"/>
      <c r="RIK995" s="2335"/>
      <c r="RIL995" s="2335"/>
      <c r="RIM995" s="2335"/>
      <c r="RIN995" s="2335"/>
      <c r="RIO995" s="2335"/>
      <c r="RIP995" s="2335"/>
      <c r="RIQ995" s="2335"/>
      <c r="RIR995" s="2335"/>
      <c r="RIS995" s="2335"/>
      <c r="RIT995" s="2335"/>
      <c r="RIU995" s="2335"/>
      <c r="RIV995" s="2335"/>
      <c r="RIW995" s="2335"/>
      <c r="RIX995" s="2335"/>
      <c r="RIY995" s="2335"/>
      <c r="RIZ995" s="2335"/>
      <c r="RJA995" s="2335"/>
      <c r="RJB995" s="2335"/>
      <c r="RJC995" s="2335"/>
      <c r="RJD995" s="2335"/>
      <c r="RJE995" s="2335"/>
      <c r="RJF995" s="2335"/>
      <c r="RJG995" s="2335"/>
      <c r="RJH995" s="2335"/>
      <c r="RJI995" s="2335"/>
      <c r="RJJ995" s="2335"/>
      <c r="RJK995" s="2335"/>
      <c r="RJL995" s="2335"/>
      <c r="RJM995" s="2335"/>
      <c r="RJN995" s="2335"/>
      <c r="RJO995" s="2335"/>
      <c r="RJP995" s="2335"/>
      <c r="RJQ995" s="2335"/>
      <c r="RJR995" s="2335"/>
      <c r="RJS995" s="2335"/>
      <c r="RJT995" s="2335"/>
      <c r="RJU995" s="2335"/>
      <c r="RJV995" s="2335"/>
      <c r="RJW995" s="2335"/>
      <c r="RJX995" s="2335"/>
      <c r="RJY995" s="2335"/>
      <c r="RJZ995" s="2335"/>
      <c r="RKA995" s="2335"/>
      <c r="RKB995" s="2335"/>
      <c r="RKC995" s="2335"/>
      <c r="RKD995" s="2335"/>
      <c r="RKE995" s="2335"/>
      <c r="RKF995" s="2335"/>
      <c r="RKG995" s="2335"/>
      <c r="RKH995" s="2335"/>
      <c r="RKI995" s="2335"/>
      <c r="RKJ995" s="2335"/>
      <c r="RKK995" s="2335"/>
      <c r="RKL995" s="2335"/>
      <c r="RKM995" s="2335"/>
      <c r="RKN995" s="2335"/>
      <c r="RKO995" s="2335"/>
      <c r="RKP995" s="2335"/>
      <c r="RKQ995" s="2335"/>
      <c r="RKR995" s="2335"/>
      <c r="RKS995" s="2335"/>
      <c r="RKT995" s="2335"/>
      <c r="RKU995" s="2335"/>
      <c r="RKV995" s="2335"/>
      <c r="RKW995" s="2335"/>
      <c r="RKX995" s="2335"/>
      <c r="RKY995" s="2335"/>
      <c r="RKZ995" s="2335"/>
      <c r="RLA995" s="2335"/>
      <c r="RLB995" s="2335"/>
      <c r="RLC995" s="2335"/>
      <c r="RLD995" s="2335"/>
      <c r="RLE995" s="2335"/>
      <c r="RLF995" s="2335"/>
      <c r="RLG995" s="2335"/>
      <c r="RLH995" s="2335"/>
      <c r="RLI995" s="2335"/>
      <c r="RLJ995" s="2335"/>
      <c r="RLK995" s="2335"/>
      <c r="RLL995" s="2335"/>
      <c r="RLM995" s="2335"/>
      <c r="RLN995" s="2335"/>
      <c r="RLO995" s="2335"/>
      <c r="RLP995" s="2335"/>
      <c r="RLQ995" s="2335"/>
      <c r="RLR995" s="2335"/>
      <c r="RLS995" s="2335"/>
      <c r="RLT995" s="2335"/>
      <c r="RLU995" s="2335"/>
      <c r="RLV995" s="2335"/>
      <c r="RLW995" s="2335"/>
      <c r="RLX995" s="2335"/>
      <c r="RLY995" s="2335"/>
      <c r="RLZ995" s="2335"/>
      <c r="RMA995" s="2335"/>
      <c r="RMB995" s="2335"/>
      <c r="RMC995" s="2335"/>
      <c r="RMD995" s="2335"/>
      <c r="RME995" s="2335"/>
      <c r="RMF995" s="2335"/>
      <c r="RMG995" s="2335"/>
      <c r="RMH995" s="2335"/>
      <c r="RMI995" s="2335"/>
      <c r="RMJ995" s="2335"/>
      <c r="RMK995" s="2335"/>
      <c r="RML995" s="2335"/>
      <c r="RMM995" s="2335"/>
      <c r="RMN995" s="2335"/>
      <c r="RMO995" s="2335"/>
      <c r="RMP995" s="2335"/>
      <c r="RMQ995" s="2335"/>
      <c r="RMR995" s="2335"/>
      <c r="RMS995" s="2335"/>
      <c r="RMT995" s="2335"/>
      <c r="RMU995" s="2335"/>
      <c r="RMV995" s="2335"/>
      <c r="RMW995" s="2335"/>
      <c r="RMX995" s="2335"/>
      <c r="RMY995" s="2335"/>
      <c r="RMZ995" s="2335"/>
      <c r="RNA995" s="2335"/>
      <c r="RNB995" s="2335"/>
      <c r="RNC995" s="2335"/>
      <c r="RND995" s="2335"/>
      <c r="RNE995" s="2335"/>
      <c r="RNF995" s="2335"/>
      <c r="RNG995" s="2335"/>
      <c r="RNH995" s="2335"/>
      <c r="RNI995" s="2335"/>
      <c r="RNJ995" s="2335"/>
      <c r="RNK995" s="2335"/>
      <c r="RNL995" s="2335"/>
      <c r="RNM995" s="2335"/>
      <c r="RNN995" s="2335"/>
      <c r="RNO995" s="2335"/>
      <c r="RNP995" s="2335"/>
      <c r="RNQ995" s="2335"/>
      <c r="RNR995" s="2335"/>
      <c r="RNS995" s="2335"/>
      <c r="RNT995" s="2335"/>
      <c r="RNU995" s="2335"/>
      <c r="RNV995" s="2335"/>
      <c r="RNW995" s="2335"/>
      <c r="RNX995" s="2335"/>
      <c r="RNY995" s="2335"/>
      <c r="RNZ995" s="2335"/>
      <c r="ROA995" s="2335"/>
      <c r="ROB995" s="2335"/>
      <c r="ROC995" s="2335"/>
      <c r="ROD995" s="2335"/>
      <c r="ROE995" s="2335"/>
      <c r="ROF995" s="2335"/>
      <c r="ROG995" s="2335"/>
      <c r="ROH995" s="2335"/>
      <c r="ROI995" s="2335"/>
      <c r="ROJ995" s="2335"/>
      <c r="ROK995" s="2335"/>
      <c r="ROL995" s="2335"/>
      <c r="ROM995" s="2335"/>
      <c r="RON995" s="2335"/>
      <c r="ROO995" s="2335"/>
      <c r="ROP995" s="2335"/>
      <c r="ROQ995" s="2335"/>
      <c r="ROR995" s="2335"/>
      <c r="ROS995" s="2335"/>
      <c r="ROT995" s="2335"/>
      <c r="ROU995" s="2335"/>
      <c r="ROV995" s="2335"/>
      <c r="ROW995" s="2335"/>
      <c r="ROX995" s="2335"/>
      <c r="ROY995" s="2335"/>
      <c r="ROZ995" s="2335"/>
      <c r="RPA995" s="2335"/>
      <c r="RPB995" s="2335"/>
      <c r="RPC995" s="2335"/>
      <c r="RPD995" s="2335"/>
      <c r="RPE995" s="2335"/>
      <c r="RPF995" s="2335"/>
      <c r="RPG995" s="2335"/>
      <c r="RPH995" s="2335"/>
      <c r="RPI995" s="2335"/>
      <c r="RPJ995" s="2335"/>
      <c r="RPK995" s="2335"/>
      <c r="RPL995" s="2335"/>
      <c r="RPM995" s="2335"/>
      <c r="RPN995" s="2335"/>
      <c r="RPO995" s="2335"/>
      <c r="RPP995" s="2335"/>
      <c r="RPQ995" s="2335"/>
      <c r="RPR995" s="2335"/>
      <c r="RPS995" s="2335"/>
      <c r="RPT995" s="2335"/>
      <c r="RPU995" s="2335"/>
      <c r="RPV995" s="2335"/>
      <c r="RPW995" s="2335"/>
      <c r="RPX995" s="2335"/>
      <c r="RPY995" s="2335"/>
      <c r="RPZ995" s="2335"/>
      <c r="RQA995" s="2335"/>
      <c r="RQB995" s="2335"/>
      <c r="RQC995" s="2335"/>
      <c r="RQD995" s="2335"/>
      <c r="RQE995" s="2335"/>
      <c r="RQF995" s="2335"/>
      <c r="RQG995" s="2335"/>
      <c r="RQH995" s="2335"/>
      <c r="RQI995" s="2335"/>
      <c r="RQJ995" s="2335"/>
      <c r="RQK995" s="2335"/>
      <c r="RQL995" s="2335"/>
      <c r="RQM995" s="2335"/>
      <c r="RQN995" s="2335"/>
      <c r="RQO995" s="2335"/>
      <c r="RQP995" s="2335"/>
      <c r="RQQ995" s="2335"/>
      <c r="RQR995" s="2335"/>
      <c r="RQS995" s="2335"/>
      <c r="RQT995" s="2335"/>
      <c r="RQU995" s="2335"/>
      <c r="RQV995" s="2335"/>
      <c r="RQW995" s="2335"/>
      <c r="RQX995" s="2335"/>
      <c r="RQY995" s="2335"/>
      <c r="RQZ995" s="2335"/>
      <c r="RRA995" s="2335"/>
      <c r="RRB995" s="2335"/>
      <c r="RRC995" s="2335"/>
      <c r="RRD995" s="2335"/>
      <c r="RRE995" s="2335"/>
      <c r="RRF995" s="2335"/>
      <c r="RRG995" s="2335"/>
      <c r="RRH995" s="2335"/>
      <c r="RRI995" s="2335"/>
      <c r="RRJ995" s="2335"/>
      <c r="RRK995" s="2335"/>
      <c r="RRL995" s="2335"/>
      <c r="RRM995" s="2335"/>
      <c r="RRN995" s="2335"/>
      <c r="RRO995" s="2335"/>
      <c r="RRP995" s="2335"/>
      <c r="RRQ995" s="2335"/>
      <c r="RRR995" s="2335"/>
      <c r="RRS995" s="2335"/>
      <c r="RRT995" s="2335"/>
      <c r="RRU995" s="2335"/>
      <c r="RRV995" s="2335"/>
      <c r="RRW995" s="2335"/>
      <c r="RRX995" s="2335"/>
      <c r="RRY995" s="2335"/>
      <c r="RRZ995" s="2335"/>
      <c r="RSA995" s="2335"/>
      <c r="RSB995" s="2335"/>
      <c r="RSC995" s="2335"/>
      <c r="RSD995" s="2335"/>
      <c r="RSE995" s="2335"/>
      <c r="RSF995" s="2335"/>
      <c r="RSG995" s="2335"/>
      <c r="RSH995" s="2335"/>
      <c r="RSI995" s="2335"/>
      <c r="RSJ995" s="2335"/>
      <c r="RSK995" s="2335"/>
      <c r="RSL995" s="2335"/>
      <c r="RSM995" s="2335"/>
      <c r="RSN995" s="2335"/>
      <c r="RSO995" s="2335"/>
      <c r="RSP995" s="2335"/>
      <c r="RSQ995" s="2335"/>
      <c r="RSR995" s="2335"/>
      <c r="RSS995" s="2335"/>
      <c r="RST995" s="2335"/>
      <c r="RSU995" s="2335"/>
      <c r="RSV995" s="2335"/>
      <c r="RSW995" s="2335"/>
      <c r="RSX995" s="2335"/>
      <c r="RSY995" s="2335"/>
      <c r="RSZ995" s="2335"/>
      <c r="RTA995" s="2335"/>
      <c r="RTB995" s="2335"/>
      <c r="RTC995" s="2335"/>
      <c r="RTD995" s="2335"/>
      <c r="RTE995" s="2335"/>
      <c r="RTF995" s="2335"/>
      <c r="RTG995" s="2335"/>
      <c r="RTH995" s="2335"/>
      <c r="RTI995" s="2335"/>
      <c r="RTJ995" s="2335"/>
      <c r="RTK995" s="2335"/>
      <c r="RTL995" s="2335"/>
      <c r="RTM995" s="2335"/>
      <c r="RTN995" s="2335"/>
      <c r="RTO995" s="2335"/>
      <c r="RTP995" s="2335"/>
      <c r="RTQ995" s="2335"/>
      <c r="RTR995" s="2335"/>
      <c r="RTS995" s="2335"/>
      <c r="RTT995" s="2335"/>
      <c r="RTU995" s="2335"/>
      <c r="RTV995" s="2335"/>
      <c r="RTW995" s="2335"/>
      <c r="RTX995" s="2335"/>
      <c r="RTY995" s="2335"/>
      <c r="RTZ995" s="2335"/>
      <c r="RUA995" s="2335"/>
      <c r="RUB995" s="2335"/>
      <c r="RUC995" s="2335"/>
      <c r="RUD995" s="2335"/>
      <c r="RUE995" s="2335"/>
      <c r="RUF995" s="2335"/>
      <c r="RUG995" s="2335"/>
      <c r="RUH995" s="2335"/>
      <c r="RUI995" s="2335"/>
      <c r="RUJ995" s="2335"/>
      <c r="RUK995" s="2335"/>
      <c r="RUL995" s="2335"/>
      <c r="RUM995" s="2335"/>
      <c r="RUN995" s="2335"/>
      <c r="RUO995" s="2335"/>
      <c r="RUP995" s="2335"/>
      <c r="RUQ995" s="2335"/>
      <c r="RUR995" s="2335"/>
      <c r="RUS995" s="2335"/>
      <c r="RUT995" s="2335"/>
      <c r="RUU995" s="2335"/>
      <c r="RUV995" s="2335"/>
      <c r="RUW995" s="2335"/>
      <c r="RUX995" s="2335"/>
      <c r="RUY995" s="2335"/>
      <c r="RUZ995" s="2335"/>
      <c r="RVA995" s="2335"/>
      <c r="RVB995" s="2335"/>
      <c r="RVC995" s="2335"/>
      <c r="RVD995" s="2335"/>
      <c r="RVE995" s="2335"/>
      <c r="RVF995" s="2335"/>
      <c r="RVG995" s="2335"/>
      <c r="RVH995" s="2335"/>
      <c r="RVI995" s="2335"/>
      <c r="RVJ995" s="2335"/>
      <c r="RVK995" s="2335"/>
      <c r="RVL995" s="2335"/>
      <c r="RVM995" s="2335"/>
      <c r="RVN995" s="2335"/>
      <c r="RVO995" s="2335"/>
      <c r="RVP995" s="2335"/>
      <c r="RVQ995" s="2335"/>
      <c r="RVR995" s="2335"/>
      <c r="RVS995" s="2335"/>
      <c r="RVT995" s="2335"/>
      <c r="RVU995" s="2335"/>
      <c r="RVV995" s="2335"/>
      <c r="RVW995" s="2335"/>
      <c r="RVX995" s="2335"/>
      <c r="RVY995" s="2335"/>
      <c r="RVZ995" s="2335"/>
      <c r="RWA995" s="2335"/>
      <c r="RWB995" s="2335"/>
      <c r="RWC995" s="2335"/>
      <c r="RWD995" s="2335"/>
      <c r="RWE995" s="2335"/>
      <c r="RWF995" s="2335"/>
      <c r="RWG995" s="2335"/>
      <c r="RWH995" s="2335"/>
      <c r="RWI995" s="2335"/>
      <c r="RWJ995" s="2335"/>
      <c r="RWK995" s="2335"/>
      <c r="RWL995" s="2335"/>
      <c r="RWM995" s="2335"/>
      <c r="RWN995" s="2335"/>
      <c r="RWO995" s="2335"/>
      <c r="RWP995" s="2335"/>
      <c r="RWQ995" s="2335"/>
      <c r="RWR995" s="2335"/>
      <c r="RWS995" s="2335"/>
      <c r="RWT995" s="2335"/>
      <c r="RWU995" s="2335"/>
      <c r="RWV995" s="2335"/>
      <c r="RWW995" s="2335"/>
      <c r="RWX995" s="2335"/>
      <c r="RWY995" s="2335"/>
      <c r="RWZ995" s="2335"/>
      <c r="RXA995" s="2335"/>
      <c r="RXB995" s="2335"/>
      <c r="RXC995" s="2335"/>
      <c r="RXD995" s="2335"/>
      <c r="RXE995" s="2335"/>
      <c r="RXF995" s="2335"/>
      <c r="RXG995" s="2335"/>
      <c r="RXH995" s="2335"/>
      <c r="RXI995" s="2335"/>
      <c r="RXJ995" s="2335"/>
      <c r="RXK995" s="2335"/>
      <c r="RXL995" s="2335"/>
      <c r="RXM995" s="2335"/>
      <c r="RXN995" s="2335"/>
      <c r="RXO995" s="2335"/>
      <c r="RXP995" s="2335"/>
      <c r="RXQ995" s="2335"/>
      <c r="RXR995" s="2335"/>
      <c r="RXS995" s="2335"/>
      <c r="RXT995" s="2335"/>
      <c r="RXU995" s="2335"/>
      <c r="RXV995" s="2335"/>
      <c r="RXW995" s="2335"/>
      <c r="RXX995" s="2335"/>
      <c r="RXY995" s="2335"/>
      <c r="RXZ995" s="2335"/>
      <c r="RYA995" s="2335"/>
      <c r="RYB995" s="2335"/>
      <c r="RYC995" s="2335"/>
      <c r="RYD995" s="2335"/>
      <c r="RYE995" s="2335"/>
      <c r="RYF995" s="2335"/>
      <c r="RYG995" s="2335"/>
      <c r="RYH995" s="2335"/>
      <c r="RYI995" s="2335"/>
      <c r="RYJ995" s="2335"/>
      <c r="RYK995" s="2335"/>
      <c r="RYL995" s="2335"/>
      <c r="RYM995" s="2335"/>
      <c r="RYN995" s="2335"/>
      <c r="RYO995" s="2335"/>
      <c r="RYP995" s="2335"/>
      <c r="RYQ995" s="2335"/>
      <c r="RYR995" s="2335"/>
      <c r="RYS995" s="2335"/>
      <c r="RYT995" s="2335"/>
      <c r="RYU995" s="2335"/>
      <c r="RYV995" s="2335"/>
      <c r="RYW995" s="2335"/>
      <c r="RYX995" s="2335"/>
      <c r="RYY995" s="2335"/>
      <c r="RYZ995" s="2335"/>
      <c r="RZA995" s="2335"/>
      <c r="RZB995" s="2335"/>
      <c r="RZC995" s="2335"/>
      <c r="RZD995" s="2335"/>
      <c r="RZE995" s="2335"/>
      <c r="RZF995" s="2335"/>
      <c r="RZG995" s="2335"/>
      <c r="RZH995" s="2335"/>
      <c r="RZI995" s="2335"/>
      <c r="RZJ995" s="2335"/>
      <c r="RZK995" s="2335"/>
      <c r="RZL995" s="2335"/>
      <c r="RZM995" s="2335"/>
      <c r="RZN995" s="2335"/>
      <c r="RZO995" s="2335"/>
      <c r="RZP995" s="2335"/>
      <c r="RZQ995" s="2335"/>
      <c r="RZR995" s="2335"/>
      <c r="RZS995" s="2335"/>
      <c r="RZT995" s="2335"/>
      <c r="RZU995" s="2335"/>
      <c r="RZV995" s="2335"/>
      <c r="RZW995" s="2335"/>
      <c r="RZX995" s="2335"/>
      <c r="RZY995" s="2335"/>
      <c r="RZZ995" s="2335"/>
      <c r="SAA995" s="2335"/>
      <c r="SAB995" s="2335"/>
      <c r="SAC995" s="2335"/>
      <c r="SAD995" s="2335"/>
      <c r="SAE995" s="2335"/>
      <c r="SAF995" s="2335"/>
      <c r="SAG995" s="2335"/>
      <c r="SAH995" s="2335"/>
      <c r="SAI995" s="2335"/>
      <c r="SAJ995" s="2335"/>
      <c r="SAK995" s="2335"/>
      <c r="SAL995" s="2335"/>
      <c r="SAM995" s="2335"/>
      <c r="SAN995" s="2335"/>
      <c r="SAO995" s="2335"/>
      <c r="SAP995" s="2335"/>
      <c r="SAQ995" s="2335"/>
      <c r="SAR995" s="2335"/>
      <c r="SAS995" s="2335"/>
      <c r="SAT995" s="2335"/>
      <c r="SAU995" s="2335"/>
      <c r="SAV995" s="2335"/>
      <c r="SAW995" s="2335"/>
      <c r="SAX995" s="2335"/>
      <c r="SAY995" s="2335"/>
      <c r="SAZ995" s="2335"/>
      <c r="SBA995" s="2335"/>
      <c r="SBB995" s="2335"/>
      <c r="SBC995" s="2335"/>
      <c r="SBD995" s="2335"/>
      <c r="SBE995" s="2335"/>
      <c r="SBF995" s="2335"/>
      <c r="SBG995" s="2335"/>
      <c r="SBH995" s="2335"/>
      <c r="SBI995" s="2335"/>
      <c r="SBJ995" s="2335"/>
      <c r="SBK995" s="2335"/>
      <c r="SBL995" s="2335"/>
      <c r="SBM995" s="2335"/>
      <c r="SBN995" s="2335"/>
      <c r="SBO995" s="2335"/>
      <c r="SBP995" s="2335"/>
      <c r="SBQ995" s="2335"/>
      <c r="SBR995" s="2335"/>
      <c r="SBS995" s="2335"/>
      <c r="SBT995" s="2335"/>
      <c r="SBU995" s="2335"/>
      <c r="SBV995" s="2335"/>
      <c r="SBW995" s="2335"/>
      <c r="SBX995" s="2335"/>
      <c r="SBY995" s="2335"/>
      <c r="SBZ995" s="2335"/>
      <c r="SCA995" s="2335"/>
      <c r="SCB995" s="2335"/>
      <c r="SCC995" s="2335"/>
      <c r="SCD995" s="2335"/>
      <c r="SCE995" s="2335"/>
      <c r="SCF995" s="2335"/>
      <c r="SCG995" s="2335"/>
      <c r="SCH995" s="2335"/>
      <c r="SCI995" s="2335"/>
      <c r="SCJ995" s="2335"/>
      <c r="SCK995" s="2335"/>
      <c r="SCL995" s="2335"/>
      <c r="SCM995" s="2335"/>
      <c r="SCN995" s="2335"/>
      <c r="SCO995" s="2335"/>
      <c r="SCP995" s="2335"/>
      <c r="SCQ995" s="2335"/>
      <c r="SCR995" s="2335"/>
      <c r="SCS995" s="2335"/>
      <c r="SCT995" s="2335"/>
      <c r="SCU995" s="2335"/>
      <c r="SCV995" s="2335"/>
      <c r="SCW995" s="2335"/>
      <c r="SCX995" s="2335"/>
      <c r="SCY995" s="2335"/>
      <c r="SCZ995" s="2335"/>
      <c r="SDA995" s="2335"/>
      <c r="SDB995" s="2335"/>
      <c r="SDC995" s="2335"/>
      <c r="SDD995" s="2335"/>
      <c r="SDE995" s="2335"/>
      <c r="SDF995" s="2335"/>
      <c r="SDG995" s="2335"/>
      <c r="SDH995" s="2335"/>
      <c r="SDI995" s="2335"/>
      <c r="SDJ995" s="2335"/>
      <c r="SDK995" s="2335"/>
      <c r="SDL995" s="2335"/>
      <c r="SDM995" s="2335"/>
      <c r="SDN995" s="2335"/>
      <c r="SDO995" s="2335"/>
      <c r="SDP995" s="2335"/>
      <c r="SDQ995" s="2335"/>
      <c r="SDR995" s="2335"/>
      <c r="SDS995" s="2335"/>
      <c r="SDT995" s="2335"/>
      <c r="SDU995" s="2335"/>
      <c r="SDV995" s="2335"/>
      <c r="SDW995" s="2335"/>
      <c r="SDX995" s="2335"/>
      <c r="SDY995" s="2335"/>
      <c r="SDZ995" s="2335"/>
      <c r="SEA995" s="2335"/>
      <c r="SEB995" s="2335"/>
      <c r="SEC995" s="2335"/>
      <c r="SED995" s="2335"/>
      <c r="SEE995" s="2335"/>
      <c r="SEF995" s="2335"/>
      <c r="SEG995" s="2335"/>
      <c r="SEH995" s="2335"/>
      <c r="SEI995" s="2335"/>
      <c r="SEJ995" s="2335"/>
      <c r="SEK995" s="2335"/>
      <c r="SEL995" s="2335"/>
      <c r="SEM995" s="2335"/>
      <c r="SEN995" s="2335"/>
      <c r="SEO995" s="2335"/>
      <c r="SEP995" s="2335"/>
      <c r="SEQ995" s="2335"/>
      <c r="SER995" s="2335"/>
      <c r="SES995" s="2335"/>
      <c r="SET995" s="2335"/>
      <c r="SEU995" s="2335"/>
      <c r="SEV995" s="2335"/>
      <c r="SEW995" s="2335"/>
      <c r="SEX995" s="2335"/>
      <c r="SEY995" s="2335"/>
      <c r="SEZ995" s="2335"/>
      <c r="SFA995" s="2335"/>
      <c r="SFB995" s="2335"/>
      <c r="SFC995" s="2335"/>
      <c r="SFD995" s="2335"/>
      <c r="SFE995" s="2335"/>
      <c r="SFF995" s="2335"/>
      <c r="SFG995" s="2335"/>
      <c r="SFH995" s="2335"/>
      <c r="SFI995" s="2335"/>
      <c r="SFJ995" s="2335"/>
      <c r="SFK995" s="2335"/>
      <c r="SFL995" s="2335"/>
      <c r="SFM995" s="2335"/>
      <c r="SFN995" s="2335"/>
      <c r="SFO995" s="2335"/>
      <c r="SFP995" s="2335"/>
      <c r="SFQ995" s="2335"/>
      <c r="SFR995" s="2335"/>
      <c r="SFS995" s="2335"/>
      <c r="SFT995" s="2335"/>
      <c r="SFU995" s="2335"/>
      <c r="SFV995" s="2335"/>
      <c r="SFW995" s="2335"/>
      <c r="SFX995" s="2335"/>
      <c r="SFY995" s="2335"/>
      <c r="SFZ995" s="2335"/>
      <c r="SGA995" s="2335"/>
      <c r="SGB995" s="2335"/>
      <c r="SGC995" s="2335"/>
      <c r="SGD995" s="2335"/>
      <c r="SGE995" s="2335"/>
      <c r="SGF995" s="2335"/>
      <c r="SGG995" s="2335"/>
      <c r="SGH995" s="2335"/>
      <c r="SGI995" s="2335"/>
      <c r="SGJ995" s="2335"/>
      <c r="SGK995" s="2335"/>
      <c r="SGL995" s="2335"/>
      <c r="SGM995" s="2335"/>
      <c r="SGN995" s="2335"/>
      <c r="SGO995" s="2335"/>
      <c r="SGP995" s="2335"/>
      <c r="SGQ995" s="2335"/>
      <c r="SGR995" s="2335"/>
      <c r="SGS995" s="2335"/>
      <c r="SGT995" s="2335"/>
      <c r="SGU995" s="2335"/>
      <c r="SGV995" s="2335"/>
      <c r="SGW995" s="2335"/>
      <c r="SGX995" s="2335"/>
      <c r="SGY995" s="2335"/>
      <c r="SGZ995" s="2335"/>
      <c r="SHA995" s="2335"/>
      <c r="SHB995" s="2335"/>
      <c r="SHC995" s="2335"/>
      <c r="SHD995" s="2335"/>
      <c r="SHE995" s="2335"/>
      <c r="SHF995" s="2335"/>
      <c r="SHG995" s="2335"/>
      <c r="SHH995" s="2335"/>
      <c r="SHI995" s="2335"/>
      <c r="SHJ995" s="2335"/>
      <c r="SHK995" s="2335"/>
      <c r="SHL995" s="2335"/>
      <c r="SHM995" s="2335"/>
      <c r="SHN995" s="2335"/>
      <c r="SHO995" s="2335"/>
      <c r="SHP995" s="2335"/>
      <c r="SHQ995" s="2335"/>
      <c r="SHR995" s="2335"/>
      <c r="SHS995" s="2335"/>
      <c r="SHT995" s="2335"/>
      <c r="SHU995" s="2335"/>
      <c r="SHV995" s="2335"/>
      <c r="SHW995" s="2335"/>
      <c r="SHX995" s="2335"/>
      <c r="SHY995" s="2335"/>
      <c r="SHZ995" s="2335"/>
      <c r="SIA995" s="2335"/>
      <c r="SIB995" s="2335"/>
      <c r="SIC995" s="2335"/>
      <c r="SID995" s="2335"/>
      <c r="SIE995" s="2335"/>
      <c r="SIF995" s="2335"/>
      <c r="SIG995" s="2335"/>
      <c r="SIH995" s="2335"/>
      <c r="SII995" s="2335"/>
      <c r="SIJ995" s="2335"/>
      <c r="SIK995" s="2335"/>
      <c r="SIL995" s="2335"/>
      <c r="SIM995" s="2335"/>
      <c r="SIN995" s="2335"/>
      <c r="SIO995" s="2335"/>
      <c r="SIP995" s="2335"/>
      <c r="SIQ995" s="2335"/>
      <c r="SIR995" s="2335"/>
      <c r="SIS995" s="2335"/>
      <c r="SIT995" s="2335"/>
      <c r="SIU995" s="2335"/>
      <c r="SIV995" s="2335"/>
      <c r="SIW995" s="2335"/>
      <c r="SIX995" s="2335"/>
      <c r="SIY995" s="2335"/>
      <c r="SIZ995" s="2335"/>
      <c r="SJA995" s="2335"/>
      <c r="SJB995" s="2335"/>
      <c r="SJC995" s="2335"/>
      <c r="SJD995" s="2335"/>
      <c r="SJE995" s="2335"/>
      <c r="SJF995" s="2335"/>
      <c r="SJG995" s="2335"/>
      <c r="SJH995" s="2335"/>
      <c r="SJI995" s="2335"/>
      <c r="SJJ995" s="2335"/>
      <c r="SJK995" s="2335"/>
      <c r="SJL995" s="2335"/>
      <c r="SJM995" s="2335"/>
      <c r="SJN995" s="2335"/>
      <c r="SJO995" s="2335"/>
      <c r="SJP995" s="2335"/>
      <c r="SJQ995" s="2335"/>
      <c r="SJR995" s="2335"/>
      <c r="SJS995" s="2335"/>
      <c r="SJT995" s="2335"/>
      <c r="SJU995" s="2335"/>
      <c r="SJV995" s="2335"/>
      <c r="SJW995" s="2335"/>
      <c r="SJX995" s="2335"/>
      <c r="SJY995" s="2335"/>
      <c r="SJZ995" s="2335"/>
      <c r="SKA995" s="2335"/>
      <c r="SKB995" s="2335"/>
      <c r="SKC995" s="2335"/>
      <c r="SKD995" s="2335"/>
      <c r="SKE995" s="2335"/>
      <c r="SKF995" s="2335"/>
      <c r="SKG995" s="2335"/>
      <c r="SKH995" s="2335"/>
      <c r="SKI995" s="2335"/>
      <c r="SKJ995" s="2335"/>
      <c r="SKK995" s="2335"/>
      <c r="SKL995" s="2335"/>
      <c r="SKM995" s="2335"/>
      <c r="SKN995" s="2335"/>
      <c r="SKO995" s="2335"/>
      <c r="SKP995" s="2335"/>
      <c r="SKQ995" s="2335"/>
      <c r="SKR995" s="2335"/>
      <c r="SKS995" s="2335"/>
      <c r="SKT995" s="2335"/>
      <c r="SKU995" s="2335"/>
      <c r="SKV995" s="2335"/>
      <c r="SKW995" s="2335"/>
      <c r="SKX995" s="2335"/>
      <c r="SKY995" s="2335"/>
      <c r="SKZ995" s="2335"/>
      <c r="SLA995" s="2335"/>
      <c r="SLB995" s="2335"/>
      <c r="SLC995" s="2335"/>
      <c r="SLD995" s="2335"/>
      <c r="SLE995" s="2335"/>
      <c r="SLF995" s="2335"/>
      <c r="SLG995" s="2335"/>
      <c r="SLH995" s="2335"/>
      <c r="SLI995" s="2335"/>
      <c r="SLJ995" s="2335"/>
      <c r="SLK995" s="2335"/>
      <c r="SLL995" s="2335"/>
      <c r="SLM995" s="2335"/>
      <c r="SLN995" s="2335"/>
      <c r="SLO995" s="2335"/>
      <c r="SLP995" s="2335"/>
      <c r="SLQ995" s="2335"/>
      <c r="SLR995" s="2335"/>
      <c r="SLS995" s="2335"/>
      <c r="SLT995" s="2335"/>
      <c r="SLU995" s="2335"/>
      <c r="SLV995" s="2335"/>
      <c r="SLW995" s="2335"/>
      <c r="SLX995" s="2335"/>
      <c r="SLY995" s="2335"/>
      <c r="SLZ995" s="2335"/>
      <c r="SMA995" s="2335"/>
      <c r="SMB995" s="2335"/>
      <c r="SMC995" s="2335"/>
      <c r="SMD995" s="2335"/>
      <c r="SME995" s="2335"/>
      <c r="SMF995" s="2335"/>
      <c r="SMG995" s="2335"/>
      <c r="SMH995" s="2335"/>
      <c r="SMI995" s="2335"/>
      <c r="SMJ995" s="2335"/>
      <c r="SMK995" s="2335"/>
      <c r="SML995" s="2335"/>
      <c r="SMM995" s="2335"/>
      <c r="SMN995" s="2335"/>
      <c r="SMO995" s="2335"/>
      <c r="SMP995" s="2335"/>
      <c r="SMQ995" s="2335"/>
      <c r="SMR995" s="2335"/>
      <c r="SMS995" s="2335"/>
      <c r="SMT995" s="2335"/>
      <c r="SMU995" s="2335"/>
      <c r="SMV995" s="2335"/>
      <c r="SMW995" s="2335"/>
      <c r="SMX995" s="2335"/>
      <c r="SMY995" s="2335"/>
      <c r="SMZ995" s="2335"/>
      <c r="SNA995" s="2335"/>
      <c r="SNB995" s="2335"/>
      <c r="SNC995" s="2335"/>
      <c r="SND995" s="2335"/>
      <c r="SNE995" s="2335"/>
      <c r="SNF995" s="2335"/>
      <c r="SNG995" s="2335"/>
      <c r="SNH995" s="2335"/>
      <c r="SNI995" s="2335"/>
      <c r="SNJ995" s="2335"/>
      <c r="SNK995" s="2335"/>
      <c r="SNL995" s="2335"/>
      <c r="SNM995" s="2335"/>
      <c r="SNN995" s="2335"/>
      <c r="SNO995" s="2335"/>
      <c r="SNP995" s="2335"/>
      <c r="SNQ995" s="2335"/>
      <c r="SNR995" s="2335"/>
      <c r="SNS995" s="2335"/>
      <c r="SNT995" s="2335"/>
      <c r="SNU995" s="2335"/>
      <c r="SNV995" s="2335"/>
      <c r="SNW995" s="2335"/>
      <c r="SNX995" s="2335"/>
      <c r="SNY995" s="2335"/>
      <c r="SNZ995" s="2335"/>
      <c r="SOA995" s="2335"/>
      <c r="SOB995" s="2335"/>
      <c r="SOC995" s="2335"/>
      <c r="SOD995" s="2335"/>
      <c r="SOE995" s="2335"/>
      <c r="SOF995" s="2335"/>
      <c r="SOG995" s="2335"/>
      <c r="SOH995" s="2335"/>
      <c r="SOI995" s="2335"/>
      <c r="SOJ995" s="2335"/>
      <c r="SOK995" s="2335"/>
      <c r="SOL995" s="2335"/>
      <c r="SOM995" s="2335"/>
      <c r="SON995" s="2335"/>
      <c r="SOO995" s="2335"/>
      <c r="SOP995" s="2335"/>
      <c r="SOQ995" s="2335"/>
      <c r="SOR995" s="2335"/>
      <c r="SOS995" s="2335"/>
      <c r="SOT995" s="2335"/>
      <c r="SOU995" s="2335"/>
      <c r="SOV995" s="2335"/>
      <c r="SOW995" s="2335"/>
      <c r="SOX995" s="2335"/>
      <c r="SOY995" s="2335"/>
      <c r="SOZ995" s="2335"/>
      <c r="SPA995" s="2335"/>
      <c r="SPB995" s="2335"/>
      <c r="SPC995" s="2335"/>
      <c r="SPD995" s="2335"/>
      <c r="SPE995" s="2335"/>
      <c r="SPF995" s="2335"/>
      <c r="SPG995" s="2335"/>
      <c r="SPH995" s="2335"/>
      <c r="SPI995" s="2335"/>
      <c r="SPJ995" s="2335"/>
      <c r="SPK995" s="2335"/>
      <c r="SPL995" s="2335"/>
      <c r="SPM995" s="2335"/>
      <c r="SPN995" s="2335"/>
      <c r="SPO995" s="2335"/>
      <c r="SPP995" s="2335"/>
      <c r="SPQ995" s="2335"/>
      <c r="SPR995" s="2335"/>
      <c r="SPS995" s="2335"/>
      <c r="SPT995" s="2335"/>
      <c r="SPU995" s="2335"/>
      <c r="SPV995" s="2335"/>
      <c r="SPW995" s="2335"/>
      <c r="SPX995" s="2335"/>
      <c r="SPY995" s="2335"/>
      <c r="SPZ995" s="2335"/>
      <c r="SQA995" s="2335"/>
      <c r="SQB995" s="2335"/>
      <c r="SQC995" s="2335"/>
      <c r="SQD995" s="2335"/>
      <c r="SQE995" s="2335"/>
      <c r="SQF995" s="2335"/>
      <c r="SQG995" s="2335"/>
      <c r="SQH995" s="2335"/>
      <c r="SQI995" s="2335"/>
      <c r="SQJ995" s="2335"/>
      <c r="SQK995" s="2335"/>
      <c r="SQL995" s="2335"/>
      <c r="SQM995" s="2335"/>
      <c r="SQN995" s="2335"/>
      <c r="SQO995" s="2335"/>
      <c r="SQP995" s="2335"/>
      <c r="SQQ995" s="2335"/>
      <c r="SQR995" s="2335"/>
      <c r="SQS995" s="2335"/>
      <c r="SQT995" s="2335"/>
      <c r="SQU995" s="2335"/>
      <c r="SQV995" s="2335"/>
      <c r="SQW995" s="2335"/>
      <c r="SQX995" s="2335"/>
      <c r="SQY995" s="2335"/>
      <c r="SQZ995" s="2335"/>
      <c r="SRA995" s="2335"/>
      <c r="SRB995" s="2335"/>
      <c r="SRC995" s="2335"/>
      <c r="SRD995" s="2335"/>
      <c r="SRE995" s="2335"/>
      <c r="SRF995" s="2335"/>
      <c r="SRG995" s="2335"/>
      <c r="SRH995" s="2335"/>
      <c r="SRI995" s="2335"/>
      <c r="SRJ995" s="2335"/>
      <c r="SRK995" s="2335"/>
      <c r="SRL995" s="2335"/>
      <c r="SRM995" s="2335"/>
      <c r="SRN995" s="2335"/>
      <c r="SRO995" s="2335"/>
      <c r="SRP995" s="2335"/>
      <c r="SRQ995" s="2335"/>
      <c r="SRR995" s="2335"/>
      <c r="SRS995" s="2335"/>
      <c r="SRT995" s="2335"/>
      <c r="SRU995" s="2335"/>
      <c r="SRV995" s="2335"/>
      <c r="SRW995" s="2335"/>
      <c r="SRX995" s="2335"/>
      <c r="SRY995" s="2335"/>
      <c r="SRZ995" s="2335"/>
      <c r="SSA995" s="2335"/>
      <c r="SSB995" s="2335"/>
      <c r="SSC995" s="2335"/>
      <c r="SSD995" s="2335"/>
      <c r="SSE995" s="2335"/>
      <c r="SSF995" s="2335"/>
      <c r="SSG995" s="2335"/>
      <c r="SSH995" s="2335"/>
      <c r="SSI995" s="2335"/>
      <c r="SSJ995" s="2335"/>
      <c r="SSK995" s="2335"/>
      <c r="SSL995" s="2335"/>
      <c r="SSM995" s="2335"/>
      <c r="SSN995" s="2335"/>
      <c r="SSO995" s="2335"/>
      <c r="SSP995" s="2335"/>
      <c r="SSQ995" s="2335"/>
      <c r="SSR995" s="2335"/>
      <c r="SSS995" s="2335"/>
      <c r="SST995" s="2335"/>
      <c r="SSU995" s="2335"/>
      <c r="SSV995" s="2335"/>
      <c r="SSW995" s="2335"/>
      <c r="SSX995" s="2335"/>
      <c r="SSY995" s="2335"/>
      <c r="SSZ995" s="2335"/>
      <c r="STA995" s="2335"/>
      <c r="STB995" s="2335"/>
      <c r="STC995" s="2335"/>
      <c r="STD995" s="2335"/>
      <c r="STE995" s="2335"/>
      <c r="STF995" s="2335"/>
      <c r="STG995" s="2335"/>
      <c r="STH995" s="2335"/>
      <c r="STI995" s="2335"/>
      <c r="STJ995" s="2335"/>
      <c r="STK995" s="2335"/>
      <c r="STL995" s="2335"/>
      <c r="STM995" s="2335"/>
      <c r="STN995" s="2335"/>
      <c r="STO995" s="2335"/>
      <c r="STP995" s="2335"/>
      <c r="STQ995" s="2335"/>
      <c r="STR995" s="2335"/>
      <c r="STS995" s="2335"/>
      <c r="STT995" s="2335"/>
      <c r="STU995" s="2335"/>
      <c r="STV995" s="2335"/>
      <c r="STW995" s="2335"/>
      <c r="STX995" s="2335"/>
      <c r="STY995" s="2335"/>
      <c r="STZ995" s="2335"/>
      <c r="SUA995" s="2335"/>
      <c r="SUB995" s="2335"/>
      <c r="SUC995" s="2335"/>
      <c r="SUD995" s="2335"/>
      <c r="SUE995" s="2335"/>
      <c r="SUF995" s="2335"/>
      <c r="SUG995" s="2335"/>
      <c r="SUH995" s="2335"/>
      <c r="SUI995" s="2335"/>
      <c r="SUJ995" s="2335"/>
      <c r="SUK995" s="2335"/>
      <c r="SUL995" s="2335"/>
      <c r="SUM995" s="2335"/>
      <c r="SUN995" s="2335"/>
      <c r="SUO995" s="2335"/>
      <c r="SUP995" s="2335"/>
      <c r="SUQ995" s="2335"/>
      <c r="SUR995" s="2335"/>
      <c r="SUS995" s="2335"/>
      <c r="SUT995" s="2335"/>
      <c r="SUU995" s="2335"/>
      <c r="SUV995" s="2335"/>
      <c r="SUW995" s="2335"/>
      <c r="SUX995" s="2335"/>
      <c r="SUY995" s="2335"/>
      <c r="SUZ995" s="2335"/>
      <c r="SVA995" s="2335"/>
      <c r="SVB995" s="2335"/>
      <c r="SVC995" s="2335"/>
      <c r="SVD995" s="2335"/>
      <c r="SVE995" s="2335"/>
      <c r="SVF995" s="2335"/>
      <c r="SVG995" s="2335"/>
      <c r="SVH995" s="2335"/>
      <c r="SVI995" s="2335"/>
      <c r="SVJ995" s="2335"/>
      <c r="SVK995" s="2335"/>
      <c r="SVL995" s="2335"/>
      <c r="SVM995" s="2335"/>
      <c r="SVN995" s="2335"/>
      <c r="SVO995" s="2335"/>
      <c r="SVP995" s="2335"/>
      <c r="SVQ995" s="2335"/>
      <c r="SVR995" s="2335"/>
      <c r="SVS995" s="2335"/>
      <c r="SVT995" s="2335"/>
      <c r="SVU995" s="2335"/>
      <c r="SVV995" s="2335"/>
      <c r="SVW995" s="2335"/>
      <c r="SVX995" s="2335"/>
      <c r="SVY995" s="2335"/>
      <c r="SVZ995" s="2335"/>
      <c r="SWA995" s="2335"/>
      <c r="SWB995" s="2335"/>
      <c r="SWC995" s="2335"/>
      <c r="SWD995" s="2335"/>
      <c r="SWE995" s="2335"/>
      <c r="SWF995" s="2335"/>
      <c r="SWG995" s="2335"/>
      <c r="SWH995" s="2335"/>
      <c r="SWI995" s="2335"/>
      <c r="SWJ995" s="2335"/>
      <c r="SWK995" s="2335"/>
      <c r="SWL995" s="2335"/>
      <c r="SWM995" s="2335"/>
      <c r="SWN995" s="2335"/>
      <c r="SWO995" s="2335"/>
      <c r="SWP995" s="2335"/>
      <c r="SWQ995" s="2335"/>
      <c r="SWR995" s="2335"/>
      <c r="SWS995" s="2335"/>
      <c r="SWT995" s="2335"/>
      <c r="SWU995" s="2335"/>
      <c r="SWV995" s="2335"/>
      <c r="SWW995" s="2335"/>
      <c r="SWX995" s="2335"/>
      <c r="SWY995" s="2335"/>
      <c r="SWZ995" s="2335"/>
      <c r="SXA995" s="2335"/>
      <c r="SXB995" s="2335"/>
      <c r="SXC995" s="2335"/>
      <c r="SXD995" s="2335"/>
      <c r="SXE995" s="2335"/>
      <c r="SXF995" s="2335"/>
      <c r="SXG995" s="2335"/>
      <c r="SXH995" s="2335"/>
      <c r="SXI995" s="2335"/>
      <c r="SXJ995" s="2335"/>
      <c r="SXK995" s="2335"/>
      <c r="SXL995" s="2335"/>
      <c r="SXM995" s="2335"/>
      <c r="SXN995" s="2335"/>
      <c r="SXO995" s="2335"/>
      <c r="SXP995" s="2335"/>
      <c r="SXQ995" s="2335"/>
      <c r="SXR995" s="2335"/>
      <c r="SXS995" s="2335"/>
      <c r="SXT995" s="2335"/>
      <c r="SXU995" s="2335"/>
      <c r="SXV995" s="2335"/>
      <c r="SXW995" s="2335"/>
      <c r="SXX995" s="2335"/>
      <c r="SXY995" s="2335"/>
      <c r="SXZ995" s="2335"/>
      <c r="SYA995" s="2335"/>
      <c r="SYB995" s="2335"/>
      <c r="SYC995" s="2335"/>
      <c r="SYD995" s="2335"/>
      <c r="SYE995" s="2335"/>
      <c r="SYF995" s="2335"/>
      <c r="SYG995" s="2335"/>
      <c r="SYH995" s="2335"/>
      <c r="SYI995" s="2335"/>
      <c r="SYJ995" s="2335"/>
      <c r="SYK995" s="2335"/>
      <c r="SYL995" s="2335"/>
      <c r="SYM995" s="2335"/>
      <c r="SYN995" s="2335"/>
      <c r="SYO995" s="2335"/>
      <c r="SYP995" s="2335"/>
      <c r="SYQ995" s="2335"/>
      <c r="SYR995" s="2335"/>
      <c r="SYS995" s="2335"/>
      <c r="SYT995" s="2335"/>
      <c r="SYU995" s="2335"/>
      <c r="SYV995" s="2335"/>
      <c r="SYW995" s="2335"/>
      <c r="SYX995" s="2335"/>
      <c r="SYY995" s="2335"/>
      <c r="SYZ995" s="2335"/>
      <c r="SZA995" s="2335"/>
      <c r="SZB995" s="2335"/>
      <c r="SZC995" s="2335"/>
      <c r="SZD995" s="2335"/>
      <c r="SZE995" s="2335"/>
      <c r="SZF995" s="2335"/>
      <c r="SZG995" s="2335"/>
      <c r="SZH995" s="2335"/>
      <c r="SZI995" s="2335"/>
      <c r="SZJ995" s="2335"/>
      <c r="SZK995" s="2335"/>
      <c r="SZL995" s="2335"/>
      <c r="SZM995" s="2335"/>
      <c r="SZN995" s="2335"/>
      <c r="SZO995" s="2335"/>
      <c r="SZP995" s="2335"/>
      <c r="SZQ995" s="2335"/>
      <c r="SZR995" s="2335"/>
      <c r="SZS995" s="2335"/>
      <c r="SZT995" s="2335"/>
      <c r="SZU995" s="2335"/>
      <c r="SZV995" s="2335"/>
      <c r="SZW995" s="2335"/>
      <c r="SZX995" s="2335"/>
      <c r="SZY995" s="2335"/>
      <c r="SZZ995" s="2335"/>
      <c r="TAA995" s="2335"/>
      <c r="TAB995" s="2335"/>
      <c r="TAC995" s="2335"/>
      <c r="TAD995" s="2335"/>
      <c r="TAE995" s="2335"/>
      <c r="TAF995" s="2335"/>
      <c r="TAG995" s="2335"/>
      <c r="TAH995" s="2335"/>
      <c r="TAI995" s="2335"/>
      <c r="TAJ995" s="2335"/>
      <c r="TAK995" s="2335"/>
      <c r="TAL995" s="2335"/>
      <c r="TAM995" s="2335"/>
      <c r="TAN995" s="2335"/>
      <c r="TAO995" s="2335"/>
      <c r="TAP995" s="2335"/>
      <c r="TAQ995" s="2335"/>
      <c r="TAR995" s="2335"/>
      <c r="TAS995" s="2335"/>
      <c r="TAT995" s="2335"/>
      <c r="TAU995" s="2335"/>
      <c r="TAV995" s="2335"/>
      <c r="TAW995" s="2335"/>
      <c r="TAX995" s="2335"/>
      <c r="TAY995" s="2335"/>
      <c r="TAZ995" s="2335"/>
      <c r="TBA995" s="2335"/>
      <c r="TBB995" s="2335"/>
      <c r="TBC995" s="2335"/>
      <c r="TBD995" s="2335"/>
      <c r="TBE995" s="2335"/>
      <c r="TBF995" s="2335"/>
      <c r="TBG995" s="2335"/>
      <c r="TBH995" s="2335"/>
      <c r="TBI995" s="2335"/>
      <c r="TBJ995" s="2335"/>
      <c r="TBK995" s="2335"/>
      <c r="TBL995" s="2335"/>
      <c r="TBM995" s="2335"/>
      <c r="TBN995" s="2335"/>
      <c r="TBO995" s="2335"/>
      <c r="TBP995" s="2335"/>
      <c r="TBQ995" s="2335"/>
      <c r="TBR995" s="2335"/>
      <c r="TBS995" s="2335"/>
      <c r="TBT995" s="2335"/>
      <c r="TBU995" s="2335"/>
      <c r="TBV995" s="2335"/>
      <c r="TBW995" s="2335"/>
      <c r="TBX995" s="2335"/>
      <c r="TBY995" s="2335"/>
      <c r="TBZ995" s="2335"/>
      <c r="TCA995" s="2335"/>
      <c r="TCB995" s="2335"/>
      <c r="TCC995" s="2335"/>
      <c r="TCD995" s="2335"/>
      <c r="TCE995" s="2335"/>
      <c r="TCF995" s="2335"/>
      <c r="TCG995" s="2335"/>
      <c r="TCH995" s="2335"/>
      <c r="TCI995" s="2335"/>
      <c r="TCJ995" s="2335"/>
      <c r="TCK995" s="2335"/>
      <c r="TCL995" s="2335"/>
      <c r="TCM995" s="2335"/>
      <c r="TCN995" s="2335"/>
      <c r="TCO995" s="2335"/>
      <c r="TCP995" s="2335"/>
      <c r="TCQ995" s="2335"/>
      <c r="TCR995" s="2335"/>
      <c r="TCS995" s="2335"/>
      <c r="TCT995" s="2335"/>
      <c r="TCU995" s="2335"/>
      <c r="TCV995" s="2335"/>
      <c r="TCW995" s="2335"/>
      <c r="TCX995" s="2335"/>
      <c r="TCY995" s="2335"/>
      <c r="TCZ995" s="2335"/>
      <c r="TDA995" s="2335"/>
      <c r="TDB995" s="2335"/>
      <c r="TDC995" s="2335"/>
      <c r="TDD995" s="2335"/>
      <c r="TDE995" s="2335"/>
      <c r="TDF995" s="2335"/>
      <c r="TDG995" s="2335"/>
      <c r="TDH995" s="2335"/>
      <c r="TDI995" s="2335"/>
      <c r="TDJ995" s="2335"/>
      <c r="TDK995" s="2335"/>
      <c r="TDL995" s="2335"/>
      <c r="TDM995" s="2335"/>
      <c r="TDN995" s="2335"/>
      <c r="TDO995" s="2335"/>
      <c r="TDP995" s="2335"/>
      <c r="TDQ995" s="2335"/>
      <c r="TDR995" s="2335"/>
      <c r="TDS995" s="2335"/>
      <c r="TDT995" s="2335"/>
      <c r="TDU995" s="2335"/>
      <c r="TDV995" s="2335"/>
      <c r="TDW995" s="2335"/>
      <c r="TDX995" s="2335"/>
      <c r="TDY995" s="2335"/>
      <c r="TDZ995" s="2335"/>
      <c r="TEA995" s="2335"/>
      <c r="TEB995" s="2335"/>
      <c r="TEC995" s="2335"/>
      <c r="TED995" s="2335"/>
      <c r="TEE995" s="2335"/>
      <c r="TEF995" s="2335"/>
      <c r="TEG995" s="2335"/>
      <c r="TEH995" s="2335"/>
      <c r="TEI995" s="2335"/>
      <c r="TEJ995" s="2335"/>
      <c r="TEK995" s="2335"/>
      <c r="TEL995" s="2335"/>
      <c r="TEM995" s="2335"/>
      <c r="TEN995" s="2335"/>
      <c r="TEO995" s="2335"/>
      <c r="TEP995" s="2335"/>
      <c r="TEQ995" s="2335"/>
      <c r="TER995" s="2335"/>
      <c r="TES995" s="2335"/>
      <c r="TET995" s="2335"/>
      <c r="TEU995" s="2335"/>
      <c r="TEV995" s="2335"/>
      <c r="TEW995" s="2335"/>
      <c r="TEX995" s="2335"/>
      <c r="TEY995" s="2335"/>
      <c r="TEZ995" s="2335"/>
      <c r="TFA995" s="2335"/>
      <c r="TFB995" s="2335"/>
      <c r="TFC995" s="2335"/>
      <c r="TFD995" s="2335"/>
      <c r="TFE995" s="2335"/>
      <c r="TFF995" s="2335"/>
      <c r="TFG995" s="2335"/>
      <c r="TFH995" s="2335"/>
      <c r="TFI995" s="2335"/>
      <c r="TFJ995" s="2335"/>
      <c r="TFK995" s="2335"/>
      <c r="TFL995" s="2335"/>
      <c r="TFM995" s="2335"/>
      <c r="TFN995" s="2335"/>
      <c r="TFO995" s="2335"/>
      <c r="TFP995" s="2335"/>
      <c r="TFQ995" s="2335"/>
      <c r="TFR995" s="2335"/>
      <c r="TFS995" s="2335"/>
      <c r="TFT995" s="2335"/>
      <c r="TFU995" s="2335"/>
      <c r="TFV995" s="2335"/>
      <c r="TFW995" s="2335"/>
      <c r="TFX995" s="2335"/>
      <c r="TFY995" s="2335"/>
      <c r="TFZ995" s="2335"/>
      <c r="TGA995" s="2335"/>
      <c r="TGB995" s="2335"/>
      <c r="TGC995" s="2335"/>
      <c r="TGD995" s="2335"/>
      <c r="TGE995" s="2335"/>
      <c r="TGF995" s="2335"/>
      <c r="TGG995" s="2335"/>
      <c r="TGH995" s="2335"/>
      <c r="TGI995" s="2335"/>
      <c r="TGJ995" s="2335"/>
      <c r="TGK995" s="2335"/>
      <c r="TGL995" s="2335"/>
      <c r="TGM995" s="2335"/>
      <c r="TGN995" s="2335"/>
      <c r="TGO995" s="2335"/>
      <c r="TGP995" s="2335"/>
      <c r="TGQ995" s="2335"/>
      <c r="TGR995" s="2335"/>
      <c r="TGS995" s="2335"/>
      <c r="TGT995" s="2335"/>
      <c r="TGU995" s="2335"/>
      <c r="TGV995" s="2335"/>
      <c r="TGW995" s="2335"/>
      <c r="TGX995" s="2335"/>
      <c r="TGY995" s="2335"/>
      <c r="TGZ995" s="2335"/>
      <c r="THA995" s="2335"/>
      <c r="THB995" s="2335"/>
      <c r="THC995" s="2335"/>
      <c r="THD995" s="2335"/>
      <c r="THE995" s="2335"/>
      <c r="THF995" s="2335"/>
      <c r="THG995" s="2335"/>
      <c r="THH995" s="2335"/>
      <c r="THI995" s="2335"/>
      <c r="THJ995" s="2335"/>
      <c r="THK995" s="2335"/>
      <c r="THL995" s="2335"/>
      <c r="THM995" s="2335"/>
      <c r="THN995" s="2335"/>
      <c r="THO995" s="2335"/>
      <c r="THP995" s="2335"/>
      <c r="THQ995" s="2335"/>
      <c r="THR995" s="2335"/>
      <c r="THS995" s="2335"/>
      <c r="THT995" s="2335"/>
      <c r="THU995" s="2335"/>
      <c r="THV995" s="2335"/>
      <c r="THW995" s="2335"/>
      <c r="THX995" s="2335"/>
      <c r="THY995" s="2335"/>
      <c r="THZ995" s="2335"/>
      <c r="TIA995" s="2335"/>
      <c r="TIB995" s="2335"/>
      <c r="TIC995" s="2335"/>
      <c r="TID995" s="2335"/>
      <c r="TIE995" s="2335"/>
      <c r="TIF995" s="2335"/>
      <c r="TIG995" s="2335"/>
      <c r="TIH995" s="2335"/>
      <c r="TII995" s="2335"/>
      <c r="TIJ995" s="2335"/>
      <c r="TIK995" s="2335"/>
      <c r="TIL995" s="2335"/>
      <c r="TIM995" s="2335"/>
      <c r="TIN995" s="2335"/>
      <c r="TIO995" s="2335"/>
      <c r="TIP995" s="2335"/>
      <c r="TIQ995" s="2335"/>
      <c r="TIR995" s="2335"/>
      <c r="TIS995" s="2335"/>
      <c r="TIT995" s="2335"/>
      <c r="TIU995" s="2335"/>
      <c r="TIV995" s="2335"/>
      <c r="TIW995" s="2335"/>
      <c r="TIX995" s="2335"/>
      <c r="TIY995" s="2335"/>
      <c r="TIZ995" s="2335"/>
      <c r="TJA995" s="2335"/>
      <c r="TJB995" s="2335"/>
      <c r="TJC995" s="2335"/>
      <c r="TJD995" s="2335"/>
      <c r="TJE995" s="2335"/>
      <c r="TJF995" s="2335"/>
      <c r="TJG995" s="2335"/>
      <c r="TJH995" s="2335"/>
      <c r="TJI995" s="2335"/>
      <c r="TJJ995" s="2335"/>
      <c r="TJK995" s="2335"/>
      <c r="TJL995" s="2335"/>
      <c r="TJM995" s="2335"/>
      <c r="TJN995" s="2335"/>
      <c r="TJO995" s="2335"/>
      <c r="TJP995" s="2335"/>
      <c r="TJQ995" s="2335"/>
      <c r="TJR995" s="2335"/>
      <c r="TJS995" s="2335"/>
      <c r="TJT995" s="2335"/>
      <c r="TJU995" s="2335"/>
      <c r="TJV995" s="2335"/>
      <c r="TJW995" s="2335"/>
      <c r="TJX995" s="2335"/>
      <c r="TJY995" s="2335"/>
      <c r="TJZ995" s="2335"/>
      <c r="TKA995" s="2335"/>
      <c r="TKB995" s="2335"/>
      <c r="TKC995" s="2335"/>
      <c r="TKD995" s="2335"/>
      <c r="TKE995" s="2335"/>
      <c r="TKF995" s="2335"/>
      <c r="TKG995" s="2335"/>
      <c r="TKH995" s="2335"/>
      <c r="TKI995" s="2335"/>
      <c r="TKJ995" s="2335"/>
      <c r="TKK995" s="2335"/>
      <c r="TKL995" s="2335"/>
      <c r="TKM995" s="2335"/>
      <c r="TKN995" s="2335"/>
      <c r="TKO995" s="2335"/>
      <c r="TKP995" s="2335"/>
      <c r="TKQ995" s="2335"/>
      <c r="TKR995" s="2335"/>
      <c r="TKS995" s="2335"/>
      <c r="TKT995" s="2335"/>
      <c r="TKU995" s="2335"/>
      <c r="TKV995" s="2335"/>
      <c r="TKW995" s="2335"/>
      <c r="TKX995" s="2335"/>
      <c r="TKY995" s="2335"/>
      <c r="TKZ995" s="2335"/>
      <c r="TLA995" s="2335"/>
      <c r="TLB995" s="2335"/>
      <c r="TLC995" s="2335"/>
      <c r="TLD995" s="2335"/>
      <c r="TLE995" s="2335"/>
      <c r="TLF995" s="2335"/>
      <c r="TLG995" s="2335"/>
      <c r="TLH995" s="2335"/>
      <c r="TLI995" s="2335"/>
      <c r="TLJ995" s="2335"/>
      <c r="TLK995" s="2335"/>
      <c r="TLL995" s="2335"/>
      <c r="TLM995" s="2335"/>
      <c r="TLN995" s="2335"/>
      <c r="TLO995" s="2335"/>
      <c r="TLP995" s="2335"/>
      <c r="TLQ995" s="2335"/>
      <c r="TLR995" s="2335"/>
      <c r="TLS995" s="2335"/>
      <c r="TLT995" s="2335"/>
      <c r="TLU995" s="2335"/>
      <c r="TLV995" s="2335"/>
      <c r="TLW995" s="2335"/>
      <c r="TLX995" s="2335"/>
      <c r="TLY995" s="2335"/>
      <c r="TLZ995" s="2335"/>
      <c r="TMA995" s="2335"/>
      <c r="TMB995" s="2335"/>
      <c r="TMC995" s="2335"/>
      <c r="TMD995" s="2335"/>
      <c r="TME995" s="2335"/>
      <c r="TMF995" s="2335"/>
      <c r="TMG995" s="2335"/>
      <c r="TMH995" s="2335"/>
      <c r="TMI995" s="2335"/>
      <c r="TMJ995" s="2335"/>
      <c r="TMK995" s="2335"/>
      <c r="TML995" s="2335"/>
      <c r="TMM995" s="2335"/>
      <c r="TMN995" s="2335"/>
      <c r="TMO995" s="2335"/>
      <c r="TMP995" s="2335"/>
      <c r="TMQ995" s="2335"/>
      <c r="TMR995" s="2335"/>
      <c r="TMS995" s="2335"/>
      <c r="TMT995" s="2335"/>
      <c r="TMU995" s="2335"/>
      <c r="TMV995" s="2335"/>
      <c r="TMW995" s="2335"/>
      <c r="TMX995" s="2335"/>
      <c r="TMY995" s="2335"/>
      <c r="TMZ995" s="2335"/>
      <c r="TNA995" s="2335"/>
      <c r="TNB995" s="2335"/>
      <c r="TNC995" s="2335"/>
      <c r="TND995" s="2335"/>
      <c r="TNE995" s="2335"/>
      <c r="TNF995" s="2335"/>
      <c r="TNG995" s="2335"/>
      <c r="TNH995" s="2335"/>
      <c r="TNI995" s="2335"/>
      <c r="TNJ995" s="2335"/>
      <c r="TNK995" s="2335"/>
      <c r="TNL995" s="2335"/>
      <c r="TNM995" s="2335"/>
      <c r="TNN995" s="2335"/>
      <c r="TNO995" s="2335"/>
      <c r="TNP995" s="2335"/>
      <c r="TNQ995" s="2335"/>
      <c r="TNR995" s="2335"/>
      <c r="TNS995" s="2335"/>
      <c r="TNT995" s="2335"/>
      <c r="TNU995" s="2335"/>
      <c r="TNV995" s="2335"/>
      <c r="TNW995" s="2335"/>
      <c r="TNX995" s="2335"/>
      <c r="TNY995" s="2335"/>
      <c r="TNZ995" s="2335"/>
      <c r="TOA995" s="2335"/>
      <c r="TOB995" s="2335"/>
      <c r="TOC995" s="2335"/>
      <c r="TOD995" s="2335"/>
      <c r="TOE995" s="2335"/>
      <c r="TOF995" s="2335"/>
      <c r="TOG995" s="2335"/>
      <c r="TOH995" s="2335"/>
      <c r="TOI995" s="2335"/>
      <c r="TOJ995" s="2335"/>
      <c r="TOK995" s="2335"/>
      <c r="TOL995" s="2335"/>
      <c r="TOM995" s="2335"/>
      <c r="TON995" s="2335"/>
      <c r="TOO995" s="2335"/>
      <c r="TOP995" s="2335"/>
      <c r="TOQ995" s="2335"/>
      <c r="TOR995" s="2335"/>
      <c r="TOS995" s="2335"/>
      <c r="TOT995" s="2335"/>
      <c r="TOU995" s="2335"/>
      <c r="TOV995" s="2335"/>
      <c r="TOW995" s="2335"/>
      <c r="TOX995" s="2335"/>
      <c r="TOY995" s="2335"/>
      <c r="TOZ995" s="2335"/>
      <c r="TPA995" s="2335"/>
      <c r="TPB995" s="2335"/>
      <c r="TPC995" s="2335"/>
      <c r="TPD995" s="2335"/>
      <c r="TPE995" s="2335"/>
      <c r="TPF995" s="2335"/>
      <c r="TPG995" s="2335"/>
      <c r="TPH995" s="2335"/>
      <c r="TPI995" s="2335"/>
      <c r="TPJ995" s="2335"/>
      <c r="TPK995" s="2335"/>
      <c r="TPL995" s="2335"/>
      <c r="TPM995" s="2335"/>
      <c r="TPN995" s="2335"/>
      <c r="TPO995" s="2335"/>
      <c r="TPP995" s="2335"/>
      <c r="TPQ995" s="2335"/>
      <c r="TPR995" s="2335"/>
      <c r="TPS995" s="2335"/>
      <c r="TPT995" s="2335"/>
      <c r="TPU995" s="2335"/>
      <c r="TPV995" s="2335"/>
      <c r="TPW995" s="2335"/>
      <c r="TPX995" s="2335"/>
      <c r="TPY995" s="2335"/>
      <c r="TPZ995" s="2335"/>
      <c r="TQA995" s="2335"/>
      <c r="TQB995" s="2335"/>
      <c r="TQC995" s="2335"/>
      <c r="TQD995" s="2335"/>
      <c r="TQE995" s="2335"/>
      <c r="TQF995" s="2335"/>
      <c r="TQG995" s="2335"/>
      <c r="TQH995" s="2335"/>
      <c r="TQI995" s="2335"/>
      <c r="TQJ995" s="2335"/>
      <c r="TQK995" s="2335"/>
      <c r="TQL995" s="2335"/>
      <c r="TQM995" s="2335"/>
      <c r="TQN995" s="2335"/>
      <c r="TQO995" s="2335"/>
      <c r="TQP995" s="2335"/>
      <c r="TQQ995" s="2335"/>
      <c r="TQR995" s="2335"/>
      <c r="TQS995" s="2335"/>
      <c r="TQT995" s="2335"/>
      <c r="TQU995" s="2335"/>
      <c r="TQV995" s="2335"/>
      <c r="TQW995" s="2335"/>
      <c r="TQX995" s="2335"/>
      <c r="TQY995" s="2335"/>
      <c r="TQZ995" s="2335"/>
      <c r="TRA995" s="2335"/>
      <c r="TRB995" s="2335"/>
      <c r="TRC995" s="2335"/>
      <c r="TRD995" s="2335"/>
      <c r="TRE995" s="2335"/>
      <c r="TRF995" s="2335"/>
      <c r="TRG995" s="2335"/>
      <c r="TRH995" s="2335"/>
      <c r="TRI995" s="2335"/>
      <c r="TRJ995" s="2335"/>
      <c r="TRK995" s="2335"/>
      <c r="TRL995" s="2335"/>
      <c r="TRM995" s="2335"/>
      <c r="TRN995" s="2335"/>
      <c r="TRO995" s="2335"/>
      <c r="TRP995" s="2335"/>
      <c r="TRQ995" s="2335"/>
      <c r="TRR995" s="2335"/>
      <c r="TRS995" s="2335"/>
      <c r="TRT995" s="2335"/>
      <c r="TRU995" s="2335"/>
      <c r="TRV995" s="2335"/>
      <c r="TRW995" s="2335"/>
      <c r="TRX995" s="2335"/>
      <c r="TRY995" s="2335"/>
      <c r="TRZ995" s="2335"/>
      <c r="TSA995" s="2335"/>
      <c r="TSB995" s="2335"/>
      <c r="TSC995" s="2335"/>
      <c r="TSD995" s="2335"/>
      <c r="TSE995" s="2335"/>
      <c r="TSF995" s="2335"/>
      <c r="TSG995" s="2335"/>
      <c r="TSH995" s="2335"/>
      <c r="TSI995" s="2335"/>
      <c r="TSJ995" s="2335"/>
      <c r="TSK995" s="2335"/>
      <c r="TSL995" s="2335"/>
      <c r="TSM995" s="2335"/>
      <c r="TSN995" s="2335"/>
      <c r="TSO995" s="2335"/>
      <c r="TSP995" s="2335"/>
      <c r="TSQ995" s="2335"/>
      <c r="TSR995" s="2335"/>
      <c r="TSS995" s="2335"/>
      <c r="TST995" s="2335"/>
      <c r="TSU995" s="2335"/>
      <c r="TSV995" s="2335"/>
      <c r="TSW995" s="2335"/>
      <c r="TSX995" s="2335"/>
      <c r="TSY995" s="2335"/>
      <c r="TSZ995" s="2335"/>
      <c r="TTA995" s="2335"/>
      <c r="TTB995" s="2335"/>
      <c r="TTC995" s="2335"/>
      <c r="TTD995" s="2335"/>
      <c r="TTE995" s="2335"/>
      <c r="TTF995" s="2335"/>
      <c r="TTG995" s="2335"/>
      <c r="TTH995" s="2335"/>
      <c r="TTI995" s="2335"/>
      <c r="TTJ995" s="2335"/>
      <c r="TTK995" s="2335"/>
      <c r="TTL995" s="2335"/>
      <c r="TTM995" s="2335"/>
      <c r="TTN995" s="2335"/>
      <c r="TTO995" s="2335"/>
      <c r="TTP995" s="2335"/>
      <c r="TTQ995" s="2335"/>
      <c r="TTR995" s="2335"/>
      <c r="TTS995" s="2335"/>
      <c r="TTT995" s="2335"/>
      <c r="TTU995" s="2335"/>
      <c r="TTV995" s="2335"/>
      <c r="TTW995" s="2335"/>
      <c r="TTX995" s="2335"/>
      <c r="TTY995" s="2335"/>
      <c r="TTZ995" s="2335"/>
      <c r="TUA995" s="2335"/>
      <c r="TUB995" s="2335"/>
      <c r="TUC995" s="2335"/>
      <c r="TUD995" s="2335"/>
      <c r="TUE995" s="2335"/>
      <c r="TUF995" s="2335"/>
      <c r="TUG995" s="2335"/>
      <c r="TUH995" s="2335"/>
      <c r="TUI995" s="2335"/>
      <c r="TUJ995" s="2335"/>
      <c r="TUK995" s="2335"/>
      <c r="TUL995" s="2335"/>
      <c r="TUM995" s="2335"/>
      <c r="TUN995" s="2335"/>
      <c r="TUO995" s="2335"/>
      <c r="TUP995" s="2335"/>
      <c r="TUQ995" s="2335"/>
      <c r="TUR995" s="2335"/>
      <c r="TUS995" s="2335"/>
      <c r="TUT995" s="2335"/>
      <c r="TUU995" s="2335"/>
      <c r="TUV995" s="2335"/>
      <c r="TUW995" s="2335"/>
      <c r="TUX995" s="2335"/>
      <c r="TUY995" s="2335"/>
      <c r="TUZ995" s="2335"/>
      <c r="TVA995" s="2335"/>
      <c r="TVB995" s="2335"/>
      <c r="TVC995" s="2335"/>
      <c r="TVD995" s="2335"/>
      <c r="TVE995" s="2335"/>
      <c r="TVF995" s="2335"/>
      <c r="TVG995" s="2335"/>
      <c r="TVH995" s="2335"/>
      <c r="TVI995" s="2335"/>
      <c r="TVJ995" s="2335"/>
      <c r="TVK995" s="2335"/>
      <c r="TVL995" s="2335"/>
      <c r="TVM995" s="2335"/>
      <c r="TVN995" s="2335"/>
      <c r="TVO995" s="2335"/>
      <c r="TVP995" s="2335"/>
      <c r="TVQ995" s="2335"/>
      <c r="TVR995" s="2335"/>
      <c r="TVS995" s="2335"/>
      <c r="TVT995" s="2335"/>
      <c r="TVU995" s="2335"/>
      <c r="TVV995" s="2335"/>
      <c r="TVW995" s="2335"/>
      <c r="TVX995" s="2335"/>
      <c r="TVY995" s="2335"/>
      <c r="TVZ995" s="2335"/>
      <c r="TWA995" s="2335"/>
      <c r="TWB995" s="2335"/>
      <c r="TWC995" s="2335"/>
      <c r="TWD995" s="2335"/>
      <c r="TWE995" s="2335"/>
      <c r="TWF995" s="2335"/>
      <c r="TWG995" s="2335"/>
      <c r="TWH995" s="2335"/>
      <c r="TWI995" s="2335"/>
      <c r="TWJ995" s="2335"/>
      <c r="TWK995" s="2335"/>
      <c r="TWL995" s="2335"/>
      <c r="TWM995" s="2335"/>
      <c r="TWN995" s="2335"/>
      <c r="TWO995" s="2335"/>
      <c r="TWP995" s="2335"/>
      <c r="TWQ995" s="2335"/>
      <c r="TWR995" s="2335"/>
      <c r="TWS995" s="2335"/>
      <c r="TWT995" s="2335"/>
      <c r="TWU995" s="2335"/>
      <c r="TWV995" s="2335"/>
      <c r="TWW995" s="2335"/>
      <c r="TWX995" s="2335"/>
      <c r="TWY995" s="2335"/>
      <c r="TWZ995" s="2335"/>
      <c r="TXA995" s="2335"/>
      <c r="TXB995" s="2335"/>
      <c r="TXC995" s="2335"/>
      <c r="TXD995" s="2335"/>
      <c r="TXE995" s="2335"/>
      <c r="TXF995" s="2335"/>
      <c r="TXG995" s="2335"/>
      <c r="TXH995" s="2335"/>
      <c r="TXI995" s="2335"/>
      <c r="TXJ995" s="2335"/>
      <c r="TXK995" s="2335"/>
      <c r="TXL995" s="2335"/>
      <c r="TXM995" s="2335"/>
      <c r="TXN995" s="2335"/>
      <c r="TXO995" s="2335"/>
      <c r="TXP995" s="2335"/>
      <c r="TXQ995" s="2335"/>
      <c r="TXR995" s="2335"/>
      <c r="TXS995" s="2335"/>
      <c r="TXT995" s="2335"/>
      <c r="TXU995" s="2335"/>
      <c r="TXV995" s="2335"/>
      <c r="TXW995" s="2335"/>
      <c r="TXX995" s="2335"/>
      <c r="TXY995" s="2335"/>
      <c r="TXZ995" s="2335"/>
      <c r="TYA995" s="2335"/>
      <c r="TYB995" s="2335"/>
      <c r="TYC995" s="2335"/>
      <c r="TYD995" s="2335"/>
      <c r="TYE995" s="2335"/>
      <c r="TYF995" s="2335"/>
      <c r="TYG995" s="2335"/>
      <c r="TYH995" s="2335"/>
      <c r="TYI995" s="2335"/>
      <c r="TYJ995" s="2335"/>
      <c r="TYK995" s="2335"/>
      <c r="TYL995" s="2335"/>
      <c r="TYM995" s="2335"/>
      <c r="TYN995" s="2335"/>
      <c r="TYO995" s="2335"/>
      <c r="TYP995" s="2335"/>
      <c r="TYQ995" s="2335"/>
      <c r="TYR995" s="2335"/>
      <c r="TYS995" s="2335"/>
      <c r="TYT995" s="2335"/>
      <c r="TYU995" s="2335"/>
      <c r="TYV995" s="2335"/>
      <c r="TYW995" s="2335"/>
      <c r="TYX995" s="2335"/>
      <c r="TYY995" s="2335"/>
      <c r="TYZ995" s="2335"/>
      <c r="TZA995" s="2335"/>
      <c r="TZB995" s="2335"/>
      <c r="TZC995" s="2335"/>
      <c r="TZD995" s="2335"/>
      <c r="TZE995" s="2335"/>
      <c r="TZF995" s="2335"/>
      <c r="TZG995" s="2335"/>
      <c r="TZH995" s="2335"/>
      <c r="TZI995" s="2335"/>
      <c r="TZJ995" s="2335"/>
      <c r="TZK995" s="2335"/>
      <c r="TZL995" s="2335"/>
      <c r="TZM995" s="2335"/>
      <c r="TZN995" s="2335"/>
      <c r="TZO995" s="2335"/>
      <c r="TZP995" s="2335"/>
      <c r="TZQ995" s="2335"/>
      <c r="TZR995" s="2335"/>
      <c r="TZS995" s="2335"/>
      <c r="TZT995" s="2335"/>
      <c r="TZU995" s="2335"/>
      <c r="TZV995" s="2335"/>
      <c r="TZW995" s="2335"/>
      <c r="TZX995" s="2335"/>
      <c r="TZY995" s="2335"/>
      <c r="TZZ995" s="2335"/>
      <c r="UAA995" s="2335"/>
      <c r="UAB995" s="2335"/>
      <c r="UAC995" s="2335"/>
      <c r="UAD995" s="2335"/>
      <c r="UAE995" s="2335"/>
      <c r="UAF995" s="2335"/>
      <c r="UAG995" s="2335"/>
      <c r="UAH995" s="2335"/>
      <c r="UAI995" s="2335"/>
      <c r="UAJ995" s="2335"/>
      <c r="UAK995" s="2335"/>
      <c r="UAL995" s="2335"/>
      <c r="UAM995" s="2335"/>
      <c r="UAN995" s="2335"/>
      <c r="UAO995" s="2335"/>
      <c r="UAP995" s="2335"/>
      <c r="UAQ995" s="2335"/>
      <c r="UAR995" s="2335"/>
      <c r="UAS995" s="2335"/>
      <c r="UAT995" s="2335"/>
      <c r="UAU995" s="2335"/>
      <c r="UAV995" s="2335"/>
      <c r="UAW995" s="2335"/>
      <c r="UAX995" s="2335"/>
      <c r="UAY995" s="2335"/>
      <c r="UAZ995" s="2335"/>
      <c r="UBA995" s="2335"/>
      <c r="UBB995" s="2335"/>
      <c r="UBC995" s="2335"/>
      <c r="UBD995" s="2335"/>
      <c r="UBE995" s="2335"/>
      <c r="UBF995" s="2335"/>
      <c r="UBG995" s="2335"/>
      <c r="UBH995" s="2335"/>
      <c r="UBI995" s="2335"/>
      <c r="UBJ995" s="2335"/>
      <c r="UBK995" s="2335"/>
      <c r="UBL995" s="2335"/>
      <c r="UBM995" s="2335"/>
      <c r="UBN995" s="2335"/>
      <c r="UBO995" s="2335"/>
      <c r="UBP995" s="2335"/>
      <c r="UBQ995" s="2335"/>
      <c r="UBR995" s="2335"/>
      <c r="UBS995" s="2335"/>
      <c r="UBT995" s="2335"/>
      <c r="UBU995" s="2335"/>
      <c r="UBV995" s="2335"/>
      <c r="UBW995" s="2335"/>
      <c r="UBX995" s="2335"/>
      <c r="UBY995" s="2335"/>
      <c r="UBZ995" s="2335"/>
      <c r="UCA995" s="2335"/>
      <c r="UCB995" s="2335"/>
      <c r="UCC995" s="2335"/>
      <c r="UCD995" s="2335"/>
      <c r="UCE995" s="2335"/>
      <c r="UCF995" s="2335"/>
      <c r="UCG995" s="2335"/>
      <c r="UCH995" s="2335"/>
      <c r="UCI995" s="2335"/>
      <c r="UCJ995" s="2335"/>
      <c r="UCK995" s="2335"/>
      <c r="UCL995" s="2335"/>
      <c r="UCM995" s="2335"/>
      <c r="UCN995" s="2335"/>
      <c r="UCO995" s="2335"/>
      <c r="UCP995" s="2335"/>
      <c r="UCQ995" s="2335"/>
      <c r="UCR995" s="2335"/>
      <c r="UCS995" s="2335"/>
      <c r="UCT995" s="2335"/>
      <c r="UCU995" s="2335"/>
      <c r="UCV995" s="2335"/>
      <c r="UCW995" s="2335"/>
      <c r="UCX995" s="2335"/>
      <c r="UCY995" s="2335"/>
      <c r="UCZ995" s="2335"/>
      <c r="UDA995" s="2335"/>
      <c r="UDB995" s="2335"/>
      <c r="UDC995" s="2335"/>
      <c r="UDD995" s="2335"/>
      <c r="UDE995" s="2335"/>
      <c r="UDF995" s="2335"/>
      <c r="UDG995" s="2335"/>
      <c r="UDH995" s="2335"/>
      <c r="UDI995" s="2335"/>
      <c r="UDJ995" s="2335"/>
      <c r="UDK995" s="2335"/>
      <c r="UDL995" s="2335"/>
      <c r="UDM995" s="2335"/>
      <c r="UDN995" s="2335"/>
      <c r="UDO995" s="2335"/>
      <c r="UDP995" s="2335"/>
      <c r="UDQ995" s="2335"/>
      <c r="UDR995" s="2335"/>
      <c r="UDS995" s="2335"/>
      <c r="UDT995" s="2335"/>
      <c r="UDU995" s="2335"/>
      <c r="UDV995" s="2335"/>
      <c r="UDW995" s="2335"/>
      <c r="UDX995" s="2335"/>
      <c r="UDY995" s="2335"/>
      <c r="UDZ995" s="2335"/>
      <c r="UEA995" s="2335"/>
      <c r="UEB995" s="2335"/>
      <c r="UEC995" s="2335"/>
      <c r="UED995" s="2335"/>
      <c r="UEE995" s="2335"/>
      <c r="UEF995" s="2335"/>
      <c r="UEG995" s="2335"/>
      <c r="UEH995" s="2335"/>
      <c r="UEI995" s="2335"/>
      <c r="UEJ995" s="2335"/>
      <c r="UEK995" s="2335"/>
      <c r="UEL995" s="2335"/>
      <c r="UEM995" s="2335"/>
      <c r="UEN995" s="2335"/>
      <c r="UEO995" s="2335"/>
      <c r="UEP995" s="2335"/>
      <c r="UEQ995" s="2335"/>
      <c r="UER995" s="2335"/>
      <c r="UES995" s="2335"/>
      <c r="UET995" s="2335"/>
      <c r="UEU995" s="2335"/>
      <c r="UEV995" s="2335"/>
      <c r="UEW995" s="2335"/>
      <c r="UEX995" s="2335"/>
      <c r="UEY995" s="2335"/>
      <c r="UEZ995" s="2335"/>
      <c r="UFA995" s="2335"/>
      <c r="UFB995" s="2335"/>
      <c r="UFC995" s="2335"/>
      <c r="UFD995" s="2335"/>
      <c r="UFE995" s="2335"/>
      <c r="UFF995" s="2335"/>
      <c r="UFG995" s="2335"/>
      <c r="UFH995" s="2335"/>
      <c r="UFI995" s="2335"/>
      <c r="UFJ995" s="2335"/>
      <c r="UFK995" s="2335"/>
      <c r="UFL995" s="2335"/>
      <c r="UFM995" s="2335"/>
      <c r="UFN995" s="2335"/>
      <c r="UFO995" s="2335"/>
      <c r="UFP995" s="2335"/>
      <c r="UFQ995" s="2335"/>
      <c r="UFR995" s="2335"/>
      <c r="UFS995" s="2335"/>
      <c r="UFT995" s="2335"/>
      <c r="UFU995" s="2335"/>
      <c r="UFV995" s="2335"/>
      <c r="UFW995" s="2335"/>
      <c r="UFX995" s="2335"/>
      <c r="UFY995" s="2335"/>
      <c r="UFZ995" s="2335"/>
      <c r="UGA995" s="2335"/>
      <c r="UGB995" s="2335"/>
      <c r="UGC995" s="2335"/>
      <c r="UGD995" s="2335"/>
      <c r="UGE995" s="2335"/>
      <c r="UGF995" s="2335"/>
      <c r="UGG995" s="2335"/>
      <c r="UGH995" s="2335"/>
      <c r="UGI995" s="2335"/>
      <c r="UGJ995" s="2335"/>
      <c r="UGK995" s="2335"/>
      <c r="UGL995" s="2335"/>
      <c r="UGM995" s="2335"/>
      <c r="UGN995" s="2335"/>
      <c r="UGO995" s="2335"/>
      <c r="UGP995" s="2335"/>
      <c r="UGQ995" s="2335"/>
      <c r="UGR995" s="2335"/>
      <c r="UGS995" s="2335"/>
      <c r="UGT995" s="2335"/>
      <c r="UGU995" s="2335"/>
      <c r="UGV995" s="2335"/>
      <c r="UGW995" s="2335"/>
      <c r="UGX995" s="2335"/>
      <c r="UGY995" s="2335"/>
      <c r="UGZ995" s="2335"/>
      <c r="UHA995" s="2335"/>
      <c r="UHB995" s="2335"/>
      <c r="UHC995" s="2335"/>
      <c r="UHD995" s="2335"/>
      <c r="UHE995" s="2335"/>
      <c r="UHF995" s="2335"/>
      <c r="UHG995" s="2335"/>
      <c r="UHH995" s="2335"/>
      <c r="UHI995" s="2335"/>
      <c r="UHJ995" s="2335"/>
      <c r="UHK995" s="2335"/>
      <c r="UHL995" s="2335"/>
      <c r="UHM995" s="2335"/>
      <c r="UHN995" s="2335"/>
      <c r="UHO995" s="2335"/>
      <c r="UHP995" s="2335"/>
      <c r="UHQ995" s="2335"/>
      <c r="UHR995" s="2335"/>
      <c r="UHS995" s="2335"/>
      <c r="UHT995" s="2335"/>
      <c r="UHU995" s="2335"/>
      <c r="UHV995" s="2335"/>
      <c r="UHW995" s="2335"/>
      <c r="UHX995" s="2335"/>
      <c r="UHY995" s="2335"/>
      <c r="UHZ995" s="2335"/>
      <c r="UIA995" s="2335"/>
      <c r="UIB995" s="2335"/>
      <c r="UIC995" s="2335"/>
      <c r="UID995" s="2335"/>
      <c r="UIE995" s="2335"/>
      <c r="UIF995" s="2335"/>
      <c r="UIG995" s="2335"/>
      <c r="UIH995" s="2335"/>
      <c r="UII995" s="2335"/>
      <c r="UIJ995" s="2335"/>
      <c r="UIK995" s="2335"/>
      <c r="UIL995" s="2335"/>
      <c r="UIM995" s="2335"/>
      <c r="UIN995" s="2335"/>
      <c r="UIO995" s="2335"/>
      <c r="UIP995" s="2335"/>
      <c r="UIQ995" s="2335"/>
      <c r="UIR995" s="2335"/>
      <c r="UIS995" s="2335"/>
      <c r="UIT995" s="2335"/>
      <c r="UIU995" s="2335"/>
      <c r="UIV995" s="2335"/>
      <c r="UIW995" s="2335"/>
      <c r="UIX995" s="2335"/>
      <c r="UIY995" s="2335"/>
      <c r="UIZ995" s="2335"/>
      <c r="UJA995" s="2335"/>
      <c r="UJB995" s="2335"/>
      <c r="UJC995" s="2335"/>
      <c r="UJD995" s="2335"/>
      <c r="UJE995" s="2335"/>
      <c r="UJF995" s="2335"/>
      <c r="UJG995" s="2335"/>
      <c r="UJH995" s="2335"/>
      <c r="UJI995" s="2335"/>
      <c r="UJJ995" s="2335"/>
      <c r="UJK995" s="2335"/>
      <c r="UJL995" s="2335"/>
      <c r="UJM995" s="2335"/>
      <c r="UJN995" s="2335"/>
      <c r="UJO995" s="2335"/>
      <c r="UJP995" s="2335"/>
      <c r="UJQ995" s="2335"/>
      <c r="UJR995" s="2335"/>
      <c r="UJS995" s="2335"/>
      <c r="UJT995" s="2335"/>
      <c r="UJU995" s="2335"/>
      <c r="UJV995" s="2335"/>
      <c r="UJW995" s="2335"/>
      <c r="UJX995" s="2335"/>
      <c r="UJY995" s="2335"/>
      <c r="UJZ995" s="2335"/>
      <c r="UKA995" s="2335"/>
      <c r="UKB995" s="2335"/>
      <c r="UKC995" s="2335"/>
      <c r="UKD995" s="2335"/>
      <c r="UKE995" s="2335"/>
      <c r="UKF995" s="2335"/>
      <c r="UKG995" s="2335"/>
      <c r="UKH995" s="2335"/>
      <c r="UKI995" s="2335"/>
      <c r="UKJ995" s="2335"/>
      <c r="UKK995" s="2335"/>
      <c r="UKL995" s="2335"/>
      <c r="UKM995" s="2335"/>
      <c r="UKN995" s="2335"/>
      <c r="UKO995" s="2335"/>
      <c r="UKP995" s="2335"/>
      <c r="UKQ995" s="2335"/>
      <c r="UKR995" s="2335"/>
      <c r="UKS995" s="2335"/>
      <c r="UKT995" s="2335"/>
      <c r="UKU995" s="2335"/>
      <c r="UKV995" s="2335"/>
      <c r="UKW995" s="2335"/>
      <c r="UKX995" s="2335"/>
      <c r="UKY995" s="2335"/>
      <c r="UKZ995" s="2335"/>
      <c r="ULA995" s="2335"/>
      <c r="ULB995" s="2335"/>
      <c r="ULC995" s="2335"/>
      <c r="ULD995" s="2335"/>
      <c r="ULE995" s="2335"/>
      <c r="ULF995" s="2335"/>
      <c r="ULG995" s="2335"/>
      <c r="ULH995" s="2335"/>
      <c r="ULI995" s="2335"/>
      <c r="ULJ995" s="2335"/>
      <c r="ULK995" s="2335"/>
      <c r="ULL995" s="2335"/>
      <c r="ULM995" s="2335"/>
      <c r="ULN995" s="2335"/>
      <c r="ULO995" s="2335"/>
      <c r="ULP995" s="2335"/>
      <c r="ULQ995" s="2335"/>
      <c r="ULR995" s="2335"/>
      <c r="ULS995" s="2335"/>
      <c r="ULT995" s="2335"/>
      <c r="ULU995" s="2335"/>
      <c r="ULV995" s="2335"/>
      <c r="ULW995" s="2335"/>
      <c r="ULX995" s="2335"/>
      <c r="ULY995" s="2335"/>
      <c r="ULZ995" s="2335"/>
      <c r="UMA995" s="2335"/>
      <c r="UMB995" s="2335"/>
      <c r="UMC995" s="2335"/>
      <c r="UMD995" s="2335"/>
      <c r="UME995" s="2335"/>
      <c r="UMF995" s="2335"/>
      <c r="UMG995" s="2335"/>
      <c r="UMH995" s="2335"/>
      <c r="UMI995" s="2335"/>
      <c r="UMJ995" s="2335"/>
      <c r="UMK995" s="2335"/>
      <c r="UML995" s="2335"/>
      <c r="UMM995" s="2335"/>
      <c r="UMN995" s="2335"/>
      <c r="UMO995" s="2335"/>
      <c r="UMP995" s="2335"/>
      <c r="UMQ995" s="2335"/>
      <c r="UMR995" s="2335"/>
      <c r="UMS995" s="2335"/>
      <c r="UMT995" s="2335"/>
      <c r="UMU995" s="2335"/>
      <c r="UMV995" s="2335"/>
      <c r="UMW995" s="2335"/>
      <c r="UMX995" s="2335"/>
      <c r="UMY995" s="2335"/>
      <c r="UMZ995" s="2335"/>
      <c r="UNA995" s="2335"/>
      <c r="UNB995" s="2335"/>
      <c r="UNC995" s="2335"/>
      <c r="UND995" s="2335"/>
      <c r="UNE995" s="2335"/>
      <c r="UNF995" s="2335"/>
      <c r="UNG995" s="2335"/>
      <c r="UNH995" s="2335"/>
      <c r="UNI995" s="2335"/>
      <c r="UNJ995" s="2335"/>
      <c r="UNK995" s="2335"/>
      <c r="UNL995" s="2335"/>
      <c r="UNM995" s="2335"/>
      <c r="UNN995" s="2335"/>
      <c r="UNO995" s="2335"/>
      <c r="UNP995" s="2335"/>
      <c r="UNQ995" s="2335"/>
      <c r="UNR995" s="2335"/>
      <c r="UNS995" s="2335"/>
      <c r="UNT995" s="2335"/>
      <c r="UNU995" s="2335"/>
      <c r="UNV995" s="2335"/>
      <c r="UNW995" s="2335"/>
      <c r="UNX995" s="2335"/>
      <c r="UNY995" s="2335"/>
      <c r="UNZ995" s="2335"/>
      <c r="UOA995" s="2335"/>
      <c r="UOB995" s="2335"/>
      <c r="UOC995" s="2335"/>
      <c r="UOD995" s="2335"/>
      <c r="UOE995" s="2335"/>
      <c r="UOF995" s="2335"/>
      <c r="UOG995" s="2335"/>
      <c r="UOH995" s="2335"/>
      <c r="UOI995" s="2335"/>
      <c r="UOJ995" s="2335"/>
      <c r="UOK995" s="2335"/>
      <c r="UOL995" s="2335"/>
      <c r="UOM995" s="2335"/>
      <c r="UON995" s="2335"/>
      <c r="UOO995" s="2335"/>
      <c r="UOP995" s="2335"/>
      <c r="UOQ995" s="2335"/>
      <c r="UOR995" s="2335"/>
      <c r="UOS995" s="2335"/>
      <c r="UOT995" s="2335"/>
      <c r="UOU995" s="2335"/>
      <c r="UOV995" s="2335"/>
      <c r="UOW995" s="2335"/>
      <c r="UOX995" s="2335"/>
      <c r="UOY995" s="2335"/>
      <c r="UOZ995" s="2335"/>
      <c r="UPA995" s="2335"/>
      <c r="UPB995" s="2335"/>
      <c r="UPC995" s="2335"/>
      <c r="UPD995" s="2335"/>
      <c r="UPE995" s="2335"/>
      <c r="UPF995" s="2335"/>
      <c r="UPG995" s="2335"/>
      <c r="UPH995" s="2335"/>
      <c r="UPI995" s="2335"/>
      <c r="UPJ995" s="2335"/>
      <c r="UPK995" s="2335"/>
      <c r="UPL995" s="2335"/>
      <c r="UPM995" s="2335"/>
      <c r="UPN995" s="2335"/>
      <c r="UPO995" s="2335"/>
      <c r="UPP995" s="2335"/>
      <c r="UPQ995" s="2335"/>
      <c r="UPR995" s="2335"/>
      <c r="UPS995" s="2335"/>
      <c r="UPT995" s="2335"/>
      <c r="UPU995" s="2335"/>
      <c r="UPV995" s="2335"/>
      <c r="UPW995" s="2335"/>
      <c r="UPX995" s="2335"/>
      <c r="UPY995" s="2335"/>
      <c r="UPZ995" s="2335"/>
      <c r="UQA995" s="2335"/>
      <c r="UQB995" s="2335"/>
      <c r="UQC995" s="2335"/>
      <c r="UQD995" s="2335"/>
      <c r="UQE995" s="2335"/>
      <c r="UQF995" s="2335"/>
      <c r="UQG995" s="2335"/>
      <c r="UQH995" s="2335"/>
      <c r="UQI995" s="2335"/>
      <c r="UQJ995" s="2335"/>
      <c r="UQK995" s="2335"/>
      <c r="UQL995" s="2335"/>
      <c r="UQM995" s="2335"/>
      <c r="UQN995" s="2335"/>
      <c r="UQO995" s="2335"/>
      <c r="UQP995" s="2335"/>
      <c r="UQQ995" s="2335"/>
      <c r="UQR995" s="2335"/>
      <c r="UQS995" s="2335"/>
      <c r="UQT995" s="2335"/>
      <c r="UQU995" s="2335"/>
      <c r="UQV995" s="2335"/>
      <c r="UQW995" s="2335"/>
      <c r="UQX995" s="2335"/>
      <c r="UQY995" s="2335"/>
      <c r="UQZ995" s="2335"/>
      <c r="URA995" s="2335"/>
      <c r="URB995" s="2335"/>
      <c r="URC995" s="2335"/>
      <c r="URD995" s="2335"/>
      <c r="URE995" s="2335"/>
      <c r="URF995" s="2335"/>
      <c r="URG995" s="2335"/>
      <c r="URH995" s="2335"/>
      <c r="URI995" s="2335"/>
      <c r="URJ995" s="2335"/>
      <c r="URK995" s="2335"/>
      <c r="URL995" s="2335"/>
      <c r="URM995" s="2335"/>
      <c r="URN995" s="2335"/>
      <c r="URO995" s="2335"/>
      <c r="URP995" s="2335"/>
      <c r="URQ995" s="2335"/>
      <c r="URR995" s="2335"/>
      <c r="URS995" s="2335"/>
      <c r="URT995" s="2335"/>
      <c r="URU995" s="2335"/>
      <c r="URV995" s="2335"/>
      <c r="URW995" s="2335"/>
      <c r="URX995" s="2335"/>
      <c r="URY995" s="2335"/>
      <c r="URZ995" s="2335"/>
      <c r="USA995" s="2335"/>
      <c r="USB995" s="2335"/>
      <c r="USC995" s="2335"/>
      <c r="USD995" s="2335"/>
      <c r="USE995" s="2335"/>
      <c r="USF995" s="2335"/>
      <c r="USG995" s="2335"/>
      <c r="USH995" s="2335"/>
      <c r="USI995" s="2335"/>
      <c r="USJ995" s="2335"/>
      <c r="USK995" s="2335"/>
      <c r="USL995" s="2335"/>
      <c r="USM995" s="2335"/>
      <c r="USN995" s="2335"/>
      <c r="USO995" s="2335"/>
      <c r="USP995" s="2335"/>
      <c r="USQ995" s="2335"/>
      <c r="USR995" s="2335"/>
      <c r="USS995" s="2335"/>
      <c r="UST995" s="2335"/>
      <c r="USU995" s="2335"/>
      <c r="USV995" s="2335"/>
      <c r="USW995" s="2335"/>
      <c r="USX995" s="2335"/>
      <c r="USY995" s="2335"/>
      <c r="USZ995" s="2335"/>
      <c r="UTA995" s="2335"/>
      <c r="UTB995" s="2335"/>
      <c r="UTC995" s="2335"/>
      <c r="UTD995" s="2335"/>
      <c r="UTE995" s="2335"/>
      <c r="UTF995" s="2335"/>
      <c r="UTG995" s="2335"/>
      <c r="UTH995" s="2335"/>
      <c r="UTI995" s="2335"/>
      <c r="UTJ995" s="2335"/>
      <c r="UTK995" s="2335"/>
      <c r="UTL995" s="2335"/>
      <c r="UTM995" s="2335"/>
      <c r="UTN995" s="2335"/>
      <c r="UTO995" s="2335"/>
      <c r="UTP995" s="2335"/>
      <c r="UTQ995" s="2335"/>
      <c r="UTR995" s="2335"/>
      <c r="UTS995" s="2335"/>
      <c r="UTT995" s="2335"/>
      <c r="UTU995" s="2335"/>
      <c r="UTV995" s="2335"/>
      <c r="UTW995" s="2335"/>
      <c r="UTX995" s="2335"/>
      <c r="UTY995" s="2335"/>
      <c r="UTZ995" s="2335"/>
      <c r="UUA995" s="2335"/>
      <c r="UUB995" s="2335"/>
      <c r="UUC995" s="2335"/>
      <c r="UUD995" s="2335"/>
      <c r="UUE995" s="2335"/>
      <c r="UUF995" s="2335"/>
      <c r="UUG995" s="2335"/>
      <c r="UUH995" s="2335"/>
      <c r="UUI995" s="2335"/>
      <c r="UUJ995" s="2335"/>
      <c r="UUK995" s="2335"/>
      <c r="UUL995" s="2335"/>
      <c r="UUM995" s="2335"/>
      <c r="UUN995" s="2335"/>
      <c r="UUO995" s="2335"/>
      <c r="UUP995" s="2335"/>
      <c r="UUQ995" s="2335"/>
      <c r="UUR995" s="2335"/>
      <c r="UUS995" s="2335"/>
      <c r="UUT995" s="2335"/>
      <c r="UUU995" s="2335"/>
      <c r="UUV995" s="2335"/>
      <c r="UUW995" s="2335"/>
      <c r="UUX995" s="2335"/>
      <c r="UUY995" s="2335"/>
      <c r="UUZ995" s="2335"/>
      <c r="UVA995" s="2335"/>
      <c r="UVB995" s="2335"/>
      <c r="UVC995" s="2335"/>
      <c r="UVD995" s="2335"/>
      <c r="UVE995" s="2335"/>
      <c r="UVF995" s="2335"/>
      <c r="UVG995" s="2335"/>
      <c r="UVH995" s="2335"/>
      <c r="UVI995" s="2335"/>
      <c r="UVJ995" s="2335"/>
      <c r="UVK995" s="2335"/>
      <c r="UVL995" s="2335"/>
      <c r="UVM995" s="2335"/>
      <c r="UVN995" s="2335"/>
      <c r="UVO995" s="2335"/>
      <c r="UVP995" s="2335"/>
      <c r="UVQ995" s="2335"/>
      <c r="UVR995" s="2335"/>
      <c r="UVS995" s="2335"/>
      <c r="UVT995" s="2335"/>
      <c r="UVU995" s="2335"/>
      <c r="UVV995" s="2335"/>
      <c r="UVW995" s="2335"/>
      <c r="UVX995" s="2335"/>
      <c r="UVY995" s="2335"/>
      <c r="UVZ995" s="2335"/>
      <c r="UWA995" s="2335"/>
      <c r="UWB995" s="2335"/>
      <c r="UWC995" s="2335"/>
      <c r="UWD995" s="2335"/>
      <c r="UWE995" s="2335"/>
      <c r="UWF995" s="2335"/>
      <c r="UWG995" s="2335"/>
      <c r="UWH995" s="2335"/>
      <c r="UWI995" s="2335"/>
      <c r="UWJ995" s="2335"/>
      <c r="UWK995" s="2335"/>
      <c r="UWL995" s="2335"/>
      <c r="UWM995" s="2335"/>
      <c r="UWN995" s="2335"/>
      <c r="UWO995" s="2335"/>
      <c r="UWP995" s="2335"/>
      <c r="UWQ995" s="2335"/>
      <c r="UWR995" s="2335"/>
      <c r="UWS995" s="2335"/>
      <c r="UWT995" s="2335"/>
      <c r="UWU995" s="2335"/>
      <c r="UWV995" s="2335"/>
      <c r="UWW995" s="2335"/>
      <c r="UWX995" s="2335"/>
      <c r="UWY995" s="2335"/>
      <c r="UWZ995" s="2335"/>
      <c r="UXA995" s="2335"/>
      <c r="UXB995" s="2335"/>
      <c r="UXC995" s="2335"/>
      <c r="UXD995" s="2335"/>
      <c r="UXE995" s="2335"/>
      <c r="UXF995" s="2335"/>
      <c r="UXG995" s="2335"/>
      <c r="UXH995" s="2335"/>
      <c r="UXI995" s="2335"/>
      <c r="UXJ995" s="2335"/>
      <c r="UXK995" s="2335"/>
      <c r="UXL995" s="2335"/>
      <c r="UXM995" s="2335"/>
      <c r="UXN995" s="2335"/>
      <c r="UXO995" s="2335"/>
      <c r="UXP995" s="2335"/>
      <c r="UXQ995" s="2335"/>
      <c r="UXR995" s="2335"/>
      <c r="UXS995" s="2335"/>
      <c r="UXT995" s="2335"/>
      <c r="UXU995" s="2335"/>
      <c r="UXV995" s="2335"/>
      <c r="UXW995" s="2335"/>
      <c r="UXX995" s="2335"/>
      <c r="UXY995" s="2335"/>
      <c r="UXZ995" s="2335"/>
      <c r="UYA995" s="2335"/>
      <c r="UYB995" s="2335"/>
      <c r="UYC995" s="2335"/>
      <c r="UYD995" s="2335"/>
      <c r="UYE995" s="2335"/>
      <c r="UYF995" s="2335"/>
      <c r="UYG995" s="2335"/>
      <c r="UYH995" s="2335"/>
      <c r="UYI995" s="2335"/>
      <c r="UYJ995" s="2335"/>
      <c r="UYK995" s="2335"/>
      <c r="UYL995" s="2335"/>
      <c r="UYM995" s="2335"/>
      <c r="UYN995" s="2335"/>
      <c r="UYO995" s="2335"/>
      <c r="UYP995" s="2335"/>
      <c r="UYQ995" s="2335"/>
      <c r="UYR995" s="2335"/>
      <c r="UYS995" s="2335"/>
      <c r="UYT995" s="2335"/>
      <c r="UYU995" s="2335"/>
      <c r="UYV995" s="2335"/>
      <c r="UYW995" s="2335"/>
      <c r="UYX995" s="2335"/>
      <c r="UYY995" s="2335"/>
      <c r="UYZ995" s="2335"/>
      <c r="UZA995" s="2335"/>
      <c r="UZB995" s="2335"/>
      <c r="UZC995" s="2335"/>
      <c r="UZD995" s="2335"/>
      <c r="UZE995" s="2335"/>
      <c r="UZF995" s="2335"/>
      <c r="UZG995" s="2335"/>
      <c r="UZH995" s="2335"/>
      <c r="UZI995" s="2335"/>
      <c r="UZJ995" s="2335"/>
      <c r="UZK995" s="2335"/>
      <c r="UZL995" s="2335"/>
      <c r="UZM995" s="2335"/>
      <c r="UZN995" s="2335"/>
      <c r="UZO995" s="2335"/>
      <c r="UZP995" s="2335"/>
      <c r="UZQ995" s="2335"/>
      <c r="UZR995" s="2335"/>
      <c r="UZS995" s="2335"/>
      <c r="UZT995" s="2335"/>
      <c r="UZU995" s="2335"/>
      <c r="UZV995" s="2335"/>
      <c r="UZW995" s="2335"/>
      <c r="UZX995" s="2335"/>
      <c r="UZY995" s="2335"/>
      <c r="UZZ995" s="2335"/>
      <c r="VAA995" s="2335"/>
      <c r="VAB995" s="2335"/>
      <c r="VAC995" s="2335"/>
      <c r="VAD995" s="2335"/>
      <c r="VAE995" s="2335"/>
      <c r="VAF995" s="2335"/>
      <c r="VAG995" s="2335"/>
      <c r="VAH995" s="2335"/>
      <c r="VAI995" s="2335"/>
      <c r="VAJ995" s="2335"/>
      <c r="VAK995" s="2335"/>
      <c r="VAL995" s="2335"/>
      <c r="VAM995" s="2335"/>
      <c r="VAN995" s="2335"/>
      <c r="VAO995" s="2335"/>
      <c r="VAP995" s="2335"/>
      <c r="VAQ995" s="2335"/>
      <c r="VAR995" s="2335"/>
      <c r="VAS995" s="2335"/>
      <c r="VAT995" s="2335"/>
      <c r="VAU995" s="2335"/>
      <c r="VAV995" s="2335"/>
      <c r="VAW995" s="2335"/>
      <c r="VAX995" s="2335"/>
      <c r="VAY995" s="2335"/>
      <c r="VAZ995" s="2335"/>
      <c r="VBA995" s="2335"/>
      <c r="VBB995" s="2335"/>
      <c r="VBC995" s="2335"/>
      <c r="VBD995" s="2335"/>
      <c r="VBE995" s="2335"/>
      <c r="VBF995" s="2335"/>
      <c r="VBG995" s="2335"/>
      <c r="VBH995" s="2335"/>
      <c r="VBI995" s="2335"/>
      <c r="VBJ995" s="2335"/>
      <c r="VBK995" s="2335"/>
      <c r="VBL995" s="2335"/>
      <c r="VBM995" s="2335"/>
      <c r="VBN995" s="2335"/>
      <c r="VBO995" s="2335"/>
      <c r="VBP995" s="2335"/>
      <c r="VBQ995" s="2335"/>
      <c r="VBR995" s="2335"/>
      <c r="VBS995" s="2335"/>
      <c r="VBT995" s="2335"/>
      <c r="VBU995" s="2335"/>
      <c r="VBV995" s="2335"/>
      <c r="VBW995" s="2335"/>
      <c r="VBX995" s="2335"/>
      <c r="VBY995" s="2335"/>
      <c r="VBZ995" s="2335"/>
      <c r="VCA995" s="2335"/>
      <c r="VCB995" s="2335"/>
      <c r="VCC995" s="2335"/>
      <c r="VCD995" s="2335"/>
      <c r="VCE995" s="2335"/>
      <c r="VCF995" s="2335"/>
      <c r="VCG995" s="2335"/>
      <c r="VCH995" s="2335"/>
      <c r="VCI995" s="2335"/>
      <c r="VCJ995" s="2335"/>
      <c r="VCK995" s="2335"/>
      <c r="VCL995" s="2335"/>
      <c r="VCM995" s="2335"/>
      <c r="VCN995" s="2335"/>
      <c r="VCO995" s="2335"/>
      <c r="VCP995" s="2335"/>
      <c r="VCQ995" s="2335"/>
      <c r="VCR995" s="2335"/>
      <c r="VCS995" s="2335"/>
      <c r="VCT995" s="2335"/>
      <c r="VCU995" s="2335"/>
      <c r="VCV995" s="2335"/>
      <c r="VCW995" s="2335"/>
      <c r="VCX995" s="2335"/>
      <c r="VCY995" s="2335"/>
      <c r="VCZ995" s="2335"/>
      <c r="VDA995" s="2335"/>
      <c r="VDB995" s="2335"/>
      <c r="VDC995" s="2335"/>
      <c r="VDD995" s="2335"/>
      <c r="VDE995" s="2335"/>
      <c r="VDF995" s="2335"/>
      <c r="VDG995" s="2335"/>
      <c r="VDH995" s="2335"/>
      <c r="VDI995" s="2335"/>
      <c r="VDJ995" s="2335"/>
      <c r="VDK995" s="2335"/>
      <c r="VDL995" s="2335"/>
      <c r="VDM995" s="2335"/>
      <c r="VDN995" s="2335"/>
      <c r="VDO995" s="2335"/>
      <c r="VDP995" s="2335"/>
      <c r="VDQ995" s="2335"/>
      <c r="VDR995" s="2335"/>
      <c r="VDS995" s="2335"/>
      <c r="VDT995" s="2335"/>
      <c r="VDU995" s="2335"/>
      <c r="VDV995" s="2335"/>
      <c r="VDW995" s="2335"/>
      <c r="VDX995" s="2335"/>
      <c r="VDY995" s="2335"/>
      <c r="VDZ995" s="2335"/>
      <c r="VEA995" s="2335"/>
      <c r="VEB995" s="2335"/>
      <c r="VEC995" s="2335"/>
      <c r="VED995" s="2335"/>
      <c r="VEE995" s="2335"/>
      <c r="VEF995" s="2335"/>
      <c r="VEG995" s="2335"/>
      <c r="VEH995" s="2335"/>
      <c r="VEI995" s="2335"/>
      <c r="VEJ995" s="2335"/>
      <c r="VEK995" s="2335"/>
      <c r="VEL995" s="2335"/>
      <c r="VEM995" s="2335"/>
      <c r="VEN995" s="2335"/>
      <c r="VEO995" s="2335"/>
      <c r="VEP995" s="2335"/>
      <c r="VEQ995" s="2335"/>
      <c r="VER995" s="2335"/>
      <c r="VES995" s="2335"/>
      <c r="VET995" s="2335"/>
      <c r="VEU995" s="2335"/>
      <c r="VEV995" s="2335"/>
      <c r="VEW995" s="2335"/>
      <c r="VEX995" s="2335"/>
      <c r="VEY995" s="2335"/>
      <c r="VEZ995" s="2335"/>
      <c r="VFA995" s="2335"/>
      <c r="VFB995" s="2335"/>
      <c r="VFC995" s="2335"/>
      <c r="VFD995" s="2335"/>
      <c r="VFE995" s="2335"/>
      <c r="VFF995" s="2335"/>
      <c r="VFG995" s="2335"/>
      <c r="VFH995" s="2335"/>
      <c r="VFI995" s="2335"/>
      <c r="VFJ995" s="2335"/>
      <c r="VFK995" s="2335"/>
      <c r="VFL995" s="2335"/>
      <c r="VFM995" s="2335"/>
      <c r="VFN995" s="2335"/>
      <c r="VFO995" s="2335"/>
      <c r="VFP995" s="2335"/>
      <c r="VFQ995" s="2335"/>
      <c r="VFR995" s="2335"/>
      <c r="VFS995" s="2335"/>
      <c r="VFT995" s="2335"/>
      <c r="VFU995" s="2335"/>
      <c r="VFV995" s="2335"/>
      <c r="VFW995" s="2335"/>
      <c r="VFX995" s="2335"/>
      <c r="VFY995" s="2335"/>
      <c r="VFZ995" s="2335"/>
      <c r="VGA995" s="2335"/>
      <c r="VGB995" s="2335"/>
      <c r="VGC995" s="2335"/>
      <c r="VGD995" s="2335"/>
      <c r="VGE995" s="2335"/>
      <c r="VGF995" s="2335"/>
      <c r="VGG995" s="2335"/>
      <c r="VGH995" s="2335"/>
      <c r="VGI995" s="2335"/>
      <c r="VGJ995" s="2335"/>
      <c r="VGK995" s="2335"/>
      <c r="VGL995" s="2335"/>
      <c r="VGM995" s="2335"/>
      <c r="VGN995" s="2335"/>
      <c r="VGO995" s="2335"/>
      <c r="VGP995" s="2335"/>
      <c r="VGQ995" s="2335"/>
      <c r="VGR995" s="2335"/>
      <c r="VGS995" s="2335"/>
      <c r="VGT995" s="2335"/>
      <c r="VGU995" s="2335"/>
      <c r="VGV995" s="2335"/>
      <c r="VGW995" s="2335"/>
      <c r="VGX995" s="2335"/>
      <c r="VGY995" s="2335"/>
      <c r="VGZ995" s="2335"/>
      <c r="VHA995" s="2335"/>
      <c r="VHB995" s="2335"/>
      <c r="VHC995" s="2335"/>
      <c r="VHD995" s="2335"/>
      <c r="VHE995" s="2335"/>
      <c r="VHF995" s="2335"/>
      <c r="VHG995" s="2335"/>
      <c r="VHH995" s="2335"/>
      <c r="VHI995" s="2335"/>
      <c r="VHJ995" s="2335"/>
      <c r="VHK995" s="2335"/>
      <c r="VHL995" s="2335"/>
      <c r="VHM995" s="2335"/>
      <c r="VHN995" s="2335"/>
      <c r="VHO995" s="2335"/>
      <c r="VHP995" s="2335"/>
      <c r="VHQ995" s="2335"/>
      <c r="VHR995" s="2335"/>
      <c r="VHS995" s="2335"/>
      <c r="VHT995" s="2335"/>
      <c r="VHU995" s="2335"/>
      <c r="VHV995" s="2335"/>
      <c r="VHW995" s="2335"/>
      <c r="VHX995" s="2335"/>
      <c r="VHY995" s="2335"/>
      <c r="VHZ995" s="2335"/>
      <c r="VIA995" s="2335"/>
      <c r="VIB995" s="2335"/>
      <c r="VIC995" s="2335"/>
      <c r="VID995" s="2335"/>
      <c r="VIE995" s="2335"/>
      <c r="VIF995" s="2335"/>
      <c r="VIG995" s="2335"/>
      <c r="VIH995" s="2335"/>
      <c r="VII995" s="2335"/>
      <c r="VIJ995" s="2335"/>
      <c r="VIK995" s="2335"/>
      <c r="VIL995" s="2335"/>
      <c r="VIM995" s="2335"/>
      <c r="VIN995" s="2335"/>
      <c r="VIO995" s="2335"/>
      <c r="VIP995" s="2335"/>
      <c r="VIQ995" s="2335"/>
      <c r="VIR995" s="2335"/>
      <c r="VIS995" s="2335"/>
      <c r="VIT995" s="2335"/>
      <c r="VIU995" s="2335"/>
      <c r="VIV995" s="2335"/>
      <c r="VIW995" s="2335"/>
      <c r="VIX995" s="2335"/>
      <c r="VIY995" s="2335"/>
      <c r="VIZ995" s="2335"/>
      <c r="VJA995" s="2335"/>
      <c r="VJB995" s="2335"/>
      <c r="VJC995" s="2335"/>
      <c r="VJD995" s="2335"/>
      <c r="VJE995" s="2335"/>
      <c r="VJF995" s="2335"/>
      <c r="VJG995" s="2335"/>
      <c r="VJH995" s="2335"/>
      <c r="VJI995" s="2335"/>
      <c r="VJJ995" s="2335"/>
      <c r="VJK995" s="2335"/>
      <c r="VJL995" s="2335"/>
      <c r="VJM995" s="2335"/>
      <c r="VJN995" s="2335"/>
      <c r="VJO995" s="2335"/>
      <c r="VJP995" s="2335"/>
      <c r="VJQ995" s="2335"/>
      <c r="VJR995" s="2335"/>
      <c r="VJS995" s="2335"/>
      <c r="VJT995" s="2335"/>
      <c r="VJU995" s="2335"/>
      <c r="VJV995" s="2335"/>
      <c r="VJW995" s="2335"/>
      <c r="VJX995" s="2335"/>
      <c r="VJY995" s="2335"/>
      <c r="VJZ995" s="2335"/>
      <c r="VKA995" s="2335"/>
      <c r="VKB995" s="2335"/>
      <c r="VKC995" s="2335"/>
      <c r="VKD995" s="2335"/>
      <c r="VKE995" s="2335"/>
      <c r="VKF995" s="2335"/>
      <c r="VKG995" s="2335"/>
      <c r="VKH995" s="2335"/>
      <c r="VKI995" s="2335"/>
      <c r="VKJ995" s="2335"/>
      <c r="VKK995" s="2335"/>
      <c r="VKL995" s="2335"/>
      <c r="VKM995" s="2335"/>
      <c r="VKN995" s="2335"/>
      <c r="VKO995" s="2335"/>
      <c r="VKP995" s="2335"/>
      <c r="VKQ995" s="2335"/>
      <c r="VKR995" s="2335"/>
      <c r="VKS995" s="2335"/>
      <c r="VKT995" s="2335"/>
      <c r="VKU995" s="2335"/>
      <c r="VKV995" s="2335"/>
      <c r="VKW995" s="2335"/>
      <c r="VKX995" s="2335"/>
      <c r="VKY995" s="2335"/>
      <c r="VKZ995" s="2335"/>
      <c r="VLA995" s="2335"/>
      <c r="VLB995" s="2335"/>
      <c r="VLC995" s="2335"/>
      <c r="VLD995" s="2335"/>
      <c r="VLE995" s="2335"/>
      <c r="VLF995" s="2335"/>
      <c r="VLG995" s="2335"/>
      <c r="VLH995" s="2335"/>
      <c r="VLI995" s="2335"/>
      <c r="VLJ995" s="2335"/>
      <c r="VLK995" s="2335"/>
      <c r="VLL995" s="2335"/>
      <c r="VLM995" s="2335"/>
      <c r="VLN995" s="2335"/>
      <c r="VLO995" s="2335"/>
      <c r="VLP995" s="2335"/>
      <c r="VLQ995" s="2335"/>
      <c r="VLR995" s="2335"/>
      <c r="VLS995" s="2335"/>
      <c r="VLT995" s="2335"/>
      <c r="VLU995" s="2335"/>
      <c r="VLV995" s="2335"/>
      <c r="VLW995" s="2335"/>
      <c r="VLX995" s="2335"/>
      <c r="VLY995" s="2335"/>
      <c r="VLZ995" s="2335"/>
      <c r="VMA995" s="2335"/>
      <c r="VMB995" s="2335"/>
      <c r="VMC995" s="2335"/>
      <c r="VMD995" s="2335"/>
      <c r="VME995" s="2335"/>
      <c r="VMF995" s="2335"/>
      <c r="VMG995" s="2335"/>
      <c r="VMH995" s="2335"/>
      <c r="VMI995" s="2335"/>
      <c r="VMJ995" s="2335"/>
      <c r="VMK995" s="2335"/>
      <c r="VML995" s="2335"/>
      <c r="VMM995" s="2335"/>
      <c r="VMN995" s="2335"/>
      <c r="VMO995" s="2335"/>
      <c r="VMP995" s="2335"/>
      <c r="VMQ995" s="2335"/>
      <c r="VMR995" s="2335"/>
      <c r="VMS995" s="2335"/>
      <c r="VMT995" s="2335"/>
      <c r="VMU995" s="2335"/>
      <c r="VMV995" s="2335"/>
      <c r="VMW995" s="2335"/>
      <c r="VMX995" s="2335"/>
      <c r="VMY995" s="2335"/>
      <c r="VMZ995" s="2335"/>
      <c r="VNA995" s="2335"/>
      <c r="VNB995" s="2335"/>
      <c r="VNC995" s="2335"/>
      <c r="VND995" s="2335"/>
      <c r="VNE995" s="2335"/>
      <c r="VNF995" s="2335"/>
      <c r="VNG995" s="2335"/>
      <c r="VNH995" s="2335"/>
      <c r="VNI995" s="2335"/>
      <c r="VNJ995" s="2335"/>
      <c r="VNK995" s="2335"/>
      <c r="VNL995" s="2335"/>
      <c r="VNM995" s="2335"/>
      <c r="VNN995" s="2335"/>
      <c r="VNO995" s="2335"/>
      <c r="VNP995" s="2335"/>
      <c r="VNQ995" s="2335"/>
      <c r="VNR995" s="2335"/>
      <c r="VNS995" s="2335"/>
      <c r="VNT995" s="2335"/>
      <c r="VNU995" s="2335"/>
      <c r="VNV995" s="2335"/>
      <c r="VNW995" s="2335"/>
      <c r="VNX995" s="2335"/>
      <c r="VNY995" s="2335"/>
      <c r="VNZ995" s="2335"/>
      <c r="VOA995" s="2335"/>
      <c r="VOB995" s="2335"/>
      <c r="VOC995" s="2335"/>
      <c r="VOD995" s="2335"/>
      <c r="VOE995" s="2335"/>
      <c r="VOF995" s="2335"/>
      <c r="VOG995" s="2335"/>
      <c r="VOH995" s="2335"/>
      <c r="VOI995" s="2335"/>
      <c r="VOJ995" s="2335"/>
      <c r="VOK995" s="2335"/>
      <c r="VOL995" s="2335"/>
      <c r="VOM995" s="2335"/>
      <c r="VON995" s="2335"/>
      <c r="VOO995" s="2335"/>
      <c r="VOP995" s="2335"/>
      <c r="VOQ995" s="2335"/>
      <c r="VOR995" s="2335"/>
      <c r="VOS995" s="2335"/>
      <c r="VOT995" s="2335"/>
      <c r="VOU995" s="2335"/>
      <c r="VOV995" s="2335"/>
      <c r="VOW995" s="2335"/>
      <c r="VOX995" s="2335"/>
      <c r="VOY995" s="2335"/>
      <c r="VOZ995" s="2335"/>
      <c r="VPA995" s="2335"/>
      <c r="VPB995" s="2335"/>
      <c r="VPC995" s="2335"/>
      <c r="VPD995" s="2335"/>
      <c r="VPE995" s="2335"/>
      <c r="VPF995" s="2335"/>
      <c r="VPG995" s="2335"/>
      <c r="VPH995" s="2335"/>
      <c r="VPI995" s="2335"/>
      <c r="VPJ995" s="2335"/>
      <c r="VPK995" s="2335"/>
      <c r="VPL995" s="2335"/>
      <c r="VPM995" s="2335"/>
      <c r="VPN995" s="2335"/>
      <c r="VPO995" s="2335"/>
      <c r="VPP995" s="2335"/>
      <c r="VPQ995" s="2335"/>
      <c r="VPR995" s="2335"/>
      <c r="VPS995" s="2335"/>
      <c r="VPT995" s="2335"/>
      <c r="VPU995" s="2335"/>
      <c r="VPV995" s="2335"/>
      <c r="VPW995" s="2335"/>
      <c r="VPX995" s="2335"/>
      <c r="VPY995" s="2335"/>
      <c r="VPZ995" s="2335"/>
      <c r="VQA995" s="2335"/>
      <c r="VQB995" s="2335"/>
      <c r="VQC995" s="2335"/>
      <c r="VQD995" s="2335"/>
      <c r="VQE995" s="2335"/>
      <c r="VQF995" s="2335"/>
      <c r="VQG995" s="2335"/>
      <c r="VQH995" s="2335"/>
      <c r="VQI995" s="2335"/>
      <c r="VQJ995" s="2335"/>
      <c r="VQK995" s="2335"/>
      <c r="VQL995" s="2335"/>
      <c r="VQM995" s="2335"/>
      <c r="VQN995" s="2335"/>
      <c r="VQO995" s="2335"/>
      <c r="VQP995" s="2335"/>
      <c r="VQQ995" s="2335"/>
      <c r="VQR995" s="2335"/>
      <c r="VQS995" s="2335"/>
      <c r="VQT995" s="2335"/>
      <c r="VQU995" s="2335"/>
      <c r="VQV995" s="2335"/>
      <c r="VQW995" s="2335"/>
      <c r="VQX995" s="2335"/>
      <c r="VQY995" s="2335"/>
      <c r="VQZ995" s="2335"/>
      <c r="VRA995" s="2335"/>
      <c r="VRB995" s="2335"/>
      <c r="VRC995" s="2335"/>
      <c r="VRD995" s="2335"/>
      <c r="VRE995" s="2335"/>
      <c r="VRF995" s="2335"/>
      <c r="VRG995" s="2335"/>
      <c r="VRH995" s="2335"/>
      <c r="VRI995" s="2335"/>
      <c r="VRJ995" s="2335"/>
      <c r="VRK995" s="2335"/>
      <c r="VRL995" s="2335"/>
      <c r="VRM995" s="2335"/>
      <c r="VRN995" s="2335"/>
      <c r="VRO995" s="2335"/>
      <c r="VRP995" s="2335"/>
      <c r="VRQ995" s="2335"/>
      <c r="VRR995" s="2335"/>
      <c r="VRS995" s="2335"/>
      <c r="VRT995" s="2335"/>
      <c r="VRU995" s="2335"/>
      <c r="VRV995" s="2335"/>
      <c r="VRW995" s="2335"/>
      <c r="VRX995" s="2335"/>
      <c r="VRY995" s="2335"/>
      <c r="VRZ995" s="2335"/>
      <c r="VSA995" s="2335"/>
      <c r="VSB995" s="2335"/>
      <c r="VSC995" s="2335"/>
      <c r="VSD995" s="2335"/>
      <c r="VSE995" s="2335"/>
      <c r="VSF995" s="2335"/>
      <c r="VSG995" s="2335"/>
      <c r="VSH995" s="2335"/>
      <c r="VSI995" s="2335"/>
      <c r="VSJ995" s="2335"/>
      <c r="VSK995" s="2335"/>
      <c r="VSL995" s="2335"/>
      <c r="VSM995" s="2335"/>
      <c r="VSN995" s="2335"/>
      <c r="VSO995" s="2335"/>
      <c r="VSP995" s="2335"/>
      <c r="VSQ995" s="2335"/>
      <c r="VSR995" s="2335"/>
      <c r="VSS995" s="2335"/>
      <c r="VST995" s="2335"/>
      <c r="VSU995" s="2335"/>
      <c r="VSV995" s="2335"/>
      <c r="VSW995" s="2335"/>
      <c r="VSX995" s="2335"/>
      <c r="VSY995" s="2335"/>
      <c r="VSZ995" s="2335"/>
      <c r="VTA995" s="2335"/>
      <c r="VTB995" s="2335"/>
      <c r="VTC995" s="2335"/>
      <c r="VTD995" s="2335"/>
      <c r="VTE995" s="2335"/>
      <c r="VTF995" s="2335"/>
      <c r="VTG995" s="2335"/>
      <c r="VTH995" s="2335"/>
      <c r="VTI995" s="2335"/>
      <c r="VTJ995" s="2335"/>
      <c r="VTK995" s="2335"/>
      <c r="VTL995" s="2335"/>
      <c r="VTM995" s="2335"/>
      <c r="VTN995" s="2335"/>
      <c r="VTO995" s="2335"/>
      <c r="VTP995" s="2335"/>
      <c r="VTQ995" s="2335"/>
      <c r="VTR995" s="2335"/>
      <c r="VTS995" s="2335"/>
      <c r="VTT995" s="2335"/>
      <c r="VTU995" s="2335"/>
      <c r="VTV995" s="2335"/>
      <c r="VTW995" s="2335"/>
      <c r="VTX995" s="2335"/>
      <c r="VTY995" s="2335"/>
      <c r="VTZ995" s="2335"/>
      <c r="VUA995" s="2335"/>
      <c r="VUB995" s="2335"/>
      <c r="VUC995" s="2335"/>
      <c r="VUD995" s="2335"/>
      <c r="VUE995" s="2335"/>
      <c r="VUF995" s="2335"/>
      <c r="VUG995" s="2335"/>
      <c r="VUH995" s="2335"/>
      <c r="VUI995" s="2335"/>
      <c r="VUJ995" s="2335"/>
      <c r="VUK995" s="2335"/>
      <c r="VUL995" s="2335"/>
      <c r="VUM995" s="2335"/>
      <c r="VUN995" s="2335"/>
      <c r="VUO995" s="2335"/>
      <c r="VUP995" s="2335"/>
      <c r="VUQ995" s="2335"/>
      <c r="VUR995" s="2335"/>
      <c r="VUS995" s="2335"/>
      <c r="VUT995" s="2335"/>
      <c r="VUU995" s="2335"/>
      <c r="VUV995" s="2335"/>
      <c r="VUW995" s="2335"/>
      <c r="VUX995" s="2335"/>
      <c r="VUY995" s="2335"/>
      <c r="VUZ995" s="2335"/>
      <c r="VVA995" s="2335"/>
      <c r="VVB995" s="2335"/>
      <c r="VVC995" s="2335"/>
      <c r="VVD995" s="2335"/>
      <c r="VVE995" s="2335"/>
      <c r="VVF995" s="2335"/>
      <c r="VVG995" s="2335"/>
      <c r="VVH995" s="2335"/>
      <c r="VVI995" s="2335"/>
      <c r="VVJ995" s="2335"/>
      <c r="VVK995" s="2335"/>
      <c r="VVL995" s="2335"/>
      <c r="VVM995" s="2335"/>
      <c r="VVN995" s="2335"/>
      <c r="VVO995" s="2335"/>
      <c r="VVP995" s="2335"/>
      <c r="VVQ995" s="2335"/>
      <c r="VVR995" s="2335"/>
      <c r="VVS995" s="2335"/>
      <c r="VVT995" s="2335"/>
      <c r="VVU995" s="2335"/>
      <c r="VVV995" s="2335"/>
      <c r="VVW995" s="2335"/>
      <c r="VVX995" s="2335"/>
      <c r="VVY995" s="2335"/>
      <c r="VVZ995" s="2335"/>
      <c r="VWA995" s="2335"/>
      <c r="VWB995" s="2335"/>
      <c r="VWC995" s="2335"/>
      <c r="VWD995" s="2335"/>
      <c r="VWE995" s="2335"/>
      <c r="VWF995" s="2335"/>
      <c r="VWG995" s="2335"/>
      <c r="VWH995" s="2335"/>
      <c r="VWI995" s="2335"/>
      <c r="VWJ995" s="2335"/>
      <c r="VWK995" s="2335"/>
      <c r="VWL995" s="2335"/>
      <c r="VWM995" s="2335"/>
      <c r="VWN995" s="2335"/>
      <c r="VWO995" s="2335"/>
      <c r="VWP995" s="2335"/>
      <c r="VWQ995" s="2335"/>
      <c r="VWR995" s="2335"/>
      <c r="VWS995" s="2335"/>
      <c r="VWT995" s="2335"/>
      <c r="VWU995" s="2335"/>
      <c r="VWV995" s="2335"/>
      <c r="VWW995" s="2335"/>
      <c r="VWX995" s="2335"/>
      <c r="VWY995" s="2335"/>
      <c r="VWZ995" s="2335"/>
      <c r="VXA995" s="2335"/>
      <c r="VXB995" s="2335"/>
      <c r="VXC995" s="2335"/>
      <c r="VXD995" s="2335"/>
      <c r="VXE995" s="2335"/>
      <c r="VXF995" s="2335"/>
      <c r="VXG995" s="2335"/>
      <c r="VXH995" s="2335"/>
      <c r="VXI995" s="2335"/>
      <c r="VXJ995" s="2335"/>
      <c r="VXK995" s="2335"/>
      <c r="VXL995" s="2335"/>
      <c r="VXM995" s="2335"/>
      <c r="VXN995" s="2335"/>
      <c r="VXO995" s="2335"/>
      <c r="VXP995" s="2335"/>
      <c r="VXQ995" s="2335"/>
      <c r="VXR995" s="2335"/>
      <c r="VXS995" s="2335"/>
      <c r="VXT995" s="2335"/>
      <c r="VXU995" s="2335"/>
      <c r="VXV995" s="2335"/>
      <c r="VXW995" s="2335"/>
      <c r="VXX995" s="2335"/>
      <c r="VXY995" s="2335"/>
      <c r="VXZ995" s="2335"/>
      <c r="VYA995" s="2335"/>
      <c r="VYB995" s="2335"/>
      <c r="VYC995" s="2335"/>
      <c r="VYD995" s="2335"/>
      <c r="VYE995" s="2335"/>
      <c r="VYF995" s="2335"/>
      <c r="VYG995" s="2335"/>
      <c r="VYH995" s="2335"/>
      <c r="VYI995" s="2335"/>
      <c r="VYJ995" s="2335"/>
      <c r="VYK995" s="2335"/>
      <c r="VYL995" s="2335"/>
      <c r="VYM995" s="2335"/>
      <c r="VYN995" s="2335"/>
      <c r="VYO995" s="2335"/>
      <c r="VYP995" s="2335"/>
      <c r="VYQ995" s="2335"/>
      <c r="VYR995" s="2335"/>
      <c r="VYS995" s="2335"/>
      <c r="VYT995" s="2335"/>
      <c r="VYU995" s="2335"/>
      <c r="VYV995" s="2335"/>
      <c r="VYW995" s="2335"/>
      <c r="VYX995" s="2335"/>
      <c r="VYY995" s="2335"/>
      <c r="VYZ995" s="2335"/>
      <c r="VZA995" s="2335"/>
      <c r="VZB995" s="2335"/>
      <c r="VZC995" s="2335"/>
      <c r="VZD995" s="2335"/>
      <c r="VZE995" s="2335"/>
      <c r="VZF995" s="2335"/>
      <c r="VZG995" s="2335"/>
      <c r="VZH995" s="2335"/>
      <c r="VZI995" s="2335"/>
      <c r="VZJ995" s="2335"/>
      <c r="VZK995" s="2335"/>
      <c r="VZL995" s="2335"/>
      <c r="VZM995" s="2335"/>
      <c r="VZN995" s="2335"/>
      <c r="VZO995" s="2335"/>
      <c r="VZP995" s="2335"/>
      <c r="VZQ995" s="2335"/>
      <c r="VZR995" s="2335"/>
      <c r="VZS995" s="2335"/>
      <c r="VZT995" s="2335"/>
      <c r="VZU995" s="2335"/>
      <c r="VZV995" s="2335"/>
      <c r="VZW995" s="2335"/>
      <c r="VZX995" s="2335"/>
      <c r="VZY995" s="2335"/>
      <c r="VZZ995" s="2335"/>
      <c r="WAA995" s="2335"/>
      <c r="WAB995" s="2335"/>
      <c r="WAC995" s="2335"/>
      <c r="WAD995" s="2335"/>
      <c r="WAE995" s="2335"/>
      <c r="WAF995" s="2335"/>
      <c r="WAG995" s="2335"/>
      <c r="WAH995" s="2335"/>
      <c r="WAI995" s="2335"/>
      <c r="WAJ995" s="2335"/>
      <c r="WAK995" s="2335"/>
      <c r="WAL995" s="2335"/>
      <c r="WAM995" s="2335"/>
      <c r="WAN995" s="2335"/>
      <c r="WAO995" s="2335"/>
      <c r="WAP995" s="2335"/>
      <c r="WAQ995" s="2335"/>
      <c r="WAR995" s="2335"/>
      <c r="WAS995" s="2335"/>
      <c r="WAT995" s="2335"/>
      <c r="WAU995" s="2335"/>
      <c r="WAV995" s="2335"/>
      <c r="WAW995" s="2335"/>
      <c r="WAX995" s="2335"/>
      <c r="WAY995" s="2335"/>
      <c r="WAZ995" s="2335"/>
      <c r="WBA995" s="2335"/>
      <c r="WBB995" s="2335"/>
      <c r="WBC995" s="2335"/>
      <c r="WBD995" s="2335"/>
      <c r="WBE995" s="2335"/>
      <c r="WBF995" s="2335"/>
      <c r="WBG995" s="2335"/>
      <c r="WBH995" s="2335"/>
      <c r="WBI995" s="2335"/>
      <c r="WBJ995" s="2335"/>
      <c r="WBK995" s="2335"/>
      <c r="WBL995" s="2335"/>
      <c r="WBM995" s="2335"/>
      <c r="WBN995" s="2335"/>
      <c r="WBO995" s="2335"/>
      <c r="WBP995" s="2335"/>
      <c r="WBQ995" s="2335"/>
      <c r="WBR995" s="2335"/>
      <c r="WBS995" s="2335"/>
      <c r="WBT995" s="2335"/>
      <c r="WBU995" s="2335"/>
      <c r="WBV995" s="2335"/>
      <c r="WBW995" s="2335"/>
      <c r="WBX995" s="2335"/>
      <c r="WBY995" s="2335"/>
      <c r="WBZ995" s="2335"/>
      <c r="WCA995" s="2335"/>
      <c r="WCB995" s="2335"/>
      <c r="WCC995" s="2335"/>
      <c r="WCD995" s="2335"/>
      <c r="WCE995" s="2335"/>
      <c r="WCF995" s="2335"/>
      <c r="WCG995" s="2335"/>
      <c r="WCH995" s="2335"/>
      <c r="WCI995" s="2335"/>
      <c r="WCJ995" s="2335"/>
      <c r="WCK995" s="2335"/>
      <c r="WCL995" s="2335"/>
      <c r="WCM995" s="2335"/>
      <c r="WCN995" s="2335"/>
      <c r="WCO995" s="2335"/>
      <c r="WCP995" s="2335"/>
      <c r="WCQ995" s="2335"/>
      <c r="WCR995" s="2335"/>
      <c r="WCS995" s="2335"/>
      <c r="WCT995" s="2335"/>
      <c r="WCU995" s="2335"/>
      <c r="WCV995" s="2335"/>
      <c r="WCW995" s="2335"/>
      <c r="WCX995" s="2335"/>
      <c r="WCY995" s="2335"/>
      <c r="WCZ995" s="2335"/>
      <c r="WDA995" s="2335"/>
      <c r="WDB995" s="2335"/>
      <c r="WDC995" s="2335"/>
      <c r="WDD995" s="2335"/>
      <c r="WDE995" s="2335"/>
      <c r="WDF995" s="2335"/>
      <c r="WDG995" s="2335"/>
      <c r="WDH995" s="2335"/>
      <c r="WDI995" s="2335"/>
      <c r="WDJ995" s="2335"/>
      <c r="WDK995" s="2335"/>
      <c r="WDL995" s="2335"/>
      <c r="WDM995" s="2335"/>
      <c r="WDN995" s="2335"/>
      <c r="WDO995" s="2335"/>
      <c r="WDP995" s="2335"/>
      <c r="WDQ995" s="2335"/>
      <c r="WDR995" s="2335"/>
      <c r="WDS995" s="2335"/>
      <c r="WDT995" s="2335"/>
      <c r="WDU995" s="2335"/>
      <c r="WDV995" s="2335"/>
      <c r="WDW995" s="2335"/>
      <c r="WDX995" s="2335"/>
      <c r="WDY995" s="2335"/>
      <c r="WDZ995" s="2335"/>
      <c r="WEA995" s="2335"/>
      <c r="WEB995" s="2335"/>
      <c r="WEC995" s="2335"/>
      <c r="WED995" s="2335"/>
      <c r="WEE995" s="2335"/>
      <c r="WEF995" s="2335"/>
      <c r="WEG995" s="2335"/>
      <c r="WEH995" s="2335"/>
      <c r="WEI995" s="2335"/>
      <c r="WEJ995" s="2335"/>
      <c r="WEK995" s="2335"/>
      <c r="WEL995" s="2335"/>
      <c r="WEM995" s="2335"/>
      <c r="WEN995" s="2335"/>
      <c r="WEO995" s="2335"/>
      <c r="WEP995" s="2335"/>
      <c r="WEQ995" s="2335"/>
      <c r="WER995" s="2335"/>
      <c r="WES995" s="2335"/>
      <c r="WET995" s="2335"/>
      <c r="WEU995" s="2335"/>
      <c r="WEV995" s="2335"/>
      <c r="WEW995" s="2335"/>
      <c r="WEX995" s="2335"/>
      <c r="WEY995" s="2335"/>
      <c r="WEZ995" s="2335"/>
      <c r="WFA995" s="2335"/>
      <c r="WFB995" s="2335"/>
      <c r="WFC995" s="2335"/>
      <c r="WFD995" s="2335"/>
      <c r="WFE995" s="2335"/>
      <c r="WFF995" s="2335"/>
      <c r="WFG995" s="2335"/>
      <c r="WFH995" s="2335"/>
      <c r="WFI995" s="2335"/>
      <c r="WFJ995" s="2335"/>
      <c r="WFK995" s="2335"/>
      <c r="WFL995" s="2335"/>
      <c r="WFM995" s="2335"/>
      <c r="WFN995" s="2335"/>
      <c r="WFO995" s="2335"/>
      <c r="WFP995" s="2335"/>
      <c r="WFQ995" s="2335"/>
      <c r="WFR995" s="2335"/>
      <c r="WFS995" s="2335"/>
      <c r="WFT995" s="2335"/>
      <c r="WFU995" s="2335"/>
      <c r="WFV995" s="2335"/>
      <c r="WFW995" s="2335"/>
      <c r="WFX995" s="2335"/>
      <c r="WFY995" s="2335"/>
      <c r="WFZ995" s="2335"/>
      <c r="WGA995" s="2335"/>
      <c r="WGB995" s="2335"/>
      <c r="WGC995" s="2335"/>
      <c r="WGD995" s="2335"/>
      <c r="WGE995" s="2335"/>
      <c r="WGF995" s="2335"/>
      <c r="WGG995" s="2335"/>
      <c r="WGH995" s="2335"/>
      <c r="WGI995" s="2335"/>
      <c r="WGJ995" s="2335"/>
      <c r="WGK995" s="2335"/>
      <c r="WGL995" s="2335"/>
      <c r="WGM995" s="2335"/>
      <c r="WGN995" s="2335"/>
      <c r="WGO995" s="2335"/>
      <c r="WGP995" s="2335"/>
      <c r="WGQ995" s="2335"/>
      <c r="WGR995" s="2335"/>
      <c r="WGS995" s="2335"/>
      <c r="WGT995" s="2335"/>
      <c r="WGU995" s="2335"/>
      <c r="WGV995" s="2335"/>
      <c r="WGW995" s="2335"/>
      <c r="WGX995" s="2335"/>
      <c r="WGY995" s="2335"/>
      <c r="WGZ995" s="2335"/>
      <c r="WHA995" s="2335"/>
      <c r="WHB995" s="2335"/>
      <c r="WHC995" s="2335"/>
      <c r="WHD995" s="2335"/>
      <c r="WHE995" s="2335"/>
      <c r="WHF995" s="2335"/>
      <c r="WHG995" s="2335"/>
      <c r="WHH995" s="2335"/>
      <c r="WHI995" s="2335"/>
      <c r="WHJ995" s="2335"/>
      <c r="WHK995" s="2335"/>
      <c r="WHL995" s="2335"/>
      <c r="WHM995" s="2335"/>
      <c r="WHN995" s="2335"/>
      <c r="WHO995" s="2335"/>
      <c r="WHP995" s="2335"/>
      <c r="WHQ995" s="2335"/>
      <c r="WHR995" s="2335"/>
      <c r="WHS995" s="2335"/>
      <c r="WHT995" s="2335"/>
      <c r="WHU995" s="2335"/>
      <c r="WHV995" s="2335"/>
      <c r="WHW995" s="2335"/>
      <c r="WHX995" s="2335"/>
      <c r="WHY995" s="2335"/>
      <c r="WHZ995" s="2335"/>
      <c r="WIA995" s="2335"/>
      <c r="WIB995" s="2335"/>
      <c r="WIC995" s="2335"/>
      <c r="WID995" s="2335"/>
      <c r="WIE995" s="2335"/>
      <c r="WIF995" s="2335"/>
      <c r="WIG995" s="2335"/>
      <c r="WIH995" s="2335"/>
      <c r="WII995" s="2335"/>
      <c r="WIJ995" s="2335"/>
      <c r="WIK995" s="2335"/>
      <c r="WIL995" s="2335"/>
      <c r="WIM995" s="2335"/>
      <c r="WIN995" s="2335"/>
      <c r="WIO995" s="2335"/>
      <c r="WIP995" s="2335"/>
      <c r="WIQ995" s="2335"/>
      <c r="WIR995" s="2335"/>
      <c r="WIS995" s="2335"/>
      <c r="WIT995" s="2335"/>
      <c r="WIU995" s="2335"/>
      <c r="WIV995" s="2335"/>
      <c r="WIW995" s="2335"/>
      <c r="WIX995" s="2335"/>
      <c r="WIY995" s="2335"/>
      <c r="WIZ995" s="2335"/>
      <c r="WJA995" s="2335"/>
      <c r="WJB995" s="2335"/>
      <c r="WJC995" s="2335"/>
      <c r="WJD995" s="2335"/>
      <c r="WJE995" s="2335"/>
      <c r="WJF995" s="2335"/>
      <c r="WJG995" s="2335"/>
      <c r="WJH995" s="2335"/>
      <c r="WJI995" s="2335"/>
      <c r="WJJ995" s="2335"/>
      <c r="WJK995" s="2335"/>
      <c r="WJL995" s="2335"/>
      <c r="WJM995" s="2335"/>
      <c r="WJN995" s="2335"/>
      <c r="WJO995" s="2335"/>
      <c r="WJP995" s="2335"/>
      <c r="WJQ995" s="2335"/>
      <c r="WJR995" s="2335"/>
      <c r="WJS995" s="2335"/>
      <c r="WJT995" s="2335"/>
      <c r="WJU995" s="2335"/>
      <c r="WJV995" s="2335"/>
      <c r="WJW995" s="2335"/>
      <c r="WJX995" s="2335"/>
      <c r="WJY995" s="2335"/>
      <c r="WJZ995" s="2335"/>
      <c r="WKA995" s="2335"/>
      <c r="WKB995" s="2335"/>
      <c r="WKC995" s="2335"/>
      <c r="WKD995" s="2335"/>
      <c r="WKE995" s="2335"/>
      <c r="WKF995" s="2335"/>
      <c r="WKG995" s="2335"/>
      <c r="WKH995" s="2335"/>
      <c r="WKI995" s="2335"/>
      <c r="WKJ995" s="2335"/>
      <c r="WKK995" s="2335"/>
      <c r="WKL995" s="2335"/>
      <c r="WKM995" s="2335"/>
      <c r="WKN995" s="2335"/>
      <c r="WKO995" s="2335"/>
      <c r="WKP995" s="2335"/>
      <c r="WKQ995" s="2335"/>
      <c r="WKR995" s="2335"/>
      <c r="WKS995" s="2335"/>
      <c r="WKT995" s="2335"/>
      <c r="WKU995" s="2335"/>
      <c r="WKV995" s="2335"/>
      <c r="WKW995" s="2335"/>
      <c r="WKX995" s="2335"/>
      <c r="WKY995" s="2335"/>
      <c r="WKZ995" s="2335"/>
      <c r="WLA995" s="2335"/>
      <c r="WLB995" s="2335"/>
      <c r="WLC995" s="2335"/>
      <c r="WLD995" s="2335"/>
      <c r="WLE995" s="2335"/>
      <c r="WLF995" s="2335"/>
      <c r="WLG995" s="2335"/>
      <c r="WLH995" s="2335"/>
      <c r="WLI995" s="2335"/>
      <c r="WLJ995" s="2335"/>
      <c r="WLK995" s="2335"/>
      <c r="WLL995" s="2335"/>
      <c r="WLM995" s="2335"/>
      <c r="WLN995" s="2335"/>
      <c r="WLO995" s="2335"/>
      <c r="WLP995" s="2335"/>
      <c r="WLQ995" s="2335"/>
      <c r="WLR995" s="2335"/>
      <c r="WLS995" s="2335"/>
      <c r="WLT995" s="2335"/>
      <c r="WLU995" s="2335"/>
      <c r="WLV995" s="2335"/>
      <c r="WLW995" s="2335"/>
      <c r="WLX995" s="2335"/>
      <c r="WLY995" s="2335"/>
      <c r="WLZ995" s="2335"/>
      <c r="WMA995" s="2335"/>
      <c r="WMB995" s="2335"/>
      <c r="WMC995" s="2335"/>
      <c r="WMD995" s="2335"/>
      <c r="WME995" s="2335"/>
      <c r="WMF995" s="2335"/>
      <c r="WMG995" s="2335"/>
      <c r="WMH995" s="2335"/>
      <c r="WMI995" s="2335"/>
      <c r="WMJ995" s="2335"/>
      <c r="WMK995" s="2335"/>
      <c r="WML995" s="2335"/>
      <c r="WMM995" s="2335"/>
      <c r="WMN995" s="2335"/>
      <c r="WMO995" s="2335"/>
      <c r="WMP995" s="2335"/>
      <c r="WMQ995" s="2335"/>
      <c r="WMR995" s="2335"/>
      <c r="WMS995" s="2335"/>
      <c r="WMT995" s="2335"/>
      <c r="WMU995" s="2335"/>
      <c r="WMV995" s="2335"/>
      <c r="WMW995" s="2335"/>
      <c r="WMX995" s="2335"/>
      <c r="WMY995" s="2335"/>
      <c r="WMZ995" s="2335"/>
      <c r="WNA995" s="2335"/>
      <c r="WNB995" s="2335"/>
      <c r="WNC995" s="2335"/>
      <c r="WND995" s="2335"/>
      <c r="WNE995" s="2335"/>
      <c r="WNF995" s="2335"/>
      <c r="WNG995" s="2335"/>
      <c r="WNH995" s="2335"/>
      <c r="WNI995" s="2335"/>
      <c r="WNJ995" s="2335"/>
      <c r="WNK995" s="2335"/>
      <c r="WNL995" s="2335"/>
      <c r="WNM995" s="2335"/>
      <c r="WNN995" s="2335"/>
      <c r="WNO995" s="2335"/>
      <c r="WNP995" s="2335"/>
      <c r="WNQ995" s="2335"/>
      <c r="WNR995" s="2335"/>
      <c r="WNS995" s="2335"/>
      <c r="WNT995" s="2335"/>
      <c r="WNU995" s="2335"/>
      <c r="WNV995" s="2335"/>
      <c r="WNW995" s="2335"/>
      <c r="WNX995" s="2335"/>
      <c r="WNY995" s="2335"/>
      <c r="WNZ995" s="2335"/>
      <c r="WOA995" s="2335"/>
      <c r="WOB995" s="2335"/>
      <c r="WOC995" s="2335"/>
      <c r="WOD995" s="2335"/>
      <c r="WOE995" s="2335"/>
      <c r="WOF995" s="2335"/>
      <c r="WOG995" s="2335"/>
      <c r="WOH995" s="2335"/>
      <c r="WOI995" s="2335"/>
      <c r="WOJ995" s="2335"/>
      <c r="WOK995" s="2335"/>
      <c r="WOL995" s="2335"/>
      <c r="WOM995" s="2335"/>
      <c r="WON995" s="2335"/>
      <c r="WOO995" s="2335"/>
      <c r="WOP995" s="2335"/>
      <c r="WOQ995" s="2335"/>
      <c r="WOR995" s="2335"/>
      <c r="WOS995" s="2335"/>
      <c r="WOT995" s="2335"/>
      <c r="WOU995" s="2335"/>
      <c r="WOV995" s="2335"/>
      <c r="WOW995" s="2335"/>
      <c r="WOX995" s="2335"/>
      <c r="WOY995" s="2335"/>
      <c r="WOZ995" s="2335"/>
      <c r="WPA995" s="2335"/>
      <c r="WPB995" s="2335"/>
      <c r="WPC995" s="2335"/>
      <c r="WPD995" s="2335"/>
      <c r="WPE995" s="2335"/>
      <c r="WPF995" s="2335"/>
      <c r="WPG995" s="2335"/>
      <c r="WPH995" s="2335"/>
      <c r="WPI995" s="2335"/>
      <c r="WPJ995" s="2335"/>
      <c r="WPK995" s="2335"/>
      <c r="WPL995" s="2335"/>
      <c r="WPM995" s="2335"/>
      <c r="WPN995" s="2335"/>
      <c r="WPO995" s="2335"/>
      <c r="WPP995" s="2335"/>
      <c r="WPQ995" s="2335"/>
      <c r="WPR995" s="2335"/>
      <c r="WPS995" s="2335"/>
      <c r="WPT995" s="2335"/>
      <c r="WPU995" s="2335"/>
      <c r="WPV995" s="2335"/>
      <c r="WPW995" s="2335"/>
      <c r="WPX995" s="2335"/>
      <c r="WPY995" s="2335"/>
      <c r="WPZ995" s="2335"/>
      <c r="WQA995" s="2335"/>
      <c r="WQB995" s="2335"/>
      <c r="WQC995" s="2335"/>
      <c r="WQD995" s="2335"/>
      <c r="WQE995" s="2335"/>
      <c r="WQF995" s="2335"/>
      <c r="WQG995" s="2335"/>
      <c r="WQH995" s="2335"/>
      <c r="WQI995" s="2335"/>
      <c r="WQJ995" s="2335"/>
      <c r="WQK995" s="2335"/>
      <c r="WQL995" s="2335"/>
      <c r="WQM995" s="2335"/>
      <c r="WQN995" s="2335"/>
      <c r="WQO995" s="2335"/>
      <c r="WQP995" s="2335"/>
      <c r="WQQ995" s="2335"/>
      <c r="WQR995" s="2335"/>
      <c r="WQS995" s="2335"/>
      <c r="WQT995" s="2335"/>
      <c r="WQU995" s="2335"/>
      <c r="WQV995" s="2335"/>
      <c r="WQW995" s="2335"/>
      <c r="WQX995" s="2335"/>
      <c r="WQY995" s="2335"/>
      <c r="WQZ995" s="2335"/>
      <c r="WRA995" s="2335"/>
      <c r="WRB995" s="2335"/>
      <c r="WRC995" s="2335"/>
      <c r="WRD995" s="2335"/>
      <c r="WRE995" s="2335"/>
      <c r="WRF995" s="2335"/>
      <c r="WRG995" s="2335"/>
      <c r="WRH995" s="2335"/>
      <c r="WRI995" s="2335"/>
      <c r="WRJ995" s="2335"/>
      <c r="WRK995" s="2335"/>
      <c r="WRL995" s="2335"/>
      <c r="WRM995" s="2335"/>
      <c r="WRN995" s="2335"/>
      <c r="WRO995" s="2335"/>
      <c r="WRP995" s="2335"/>
      <c r="WRQ995" s="2335"/>
      <c r="WRR995" s="2335"/>
      <c r="WRS995" s="2335"/>
      <c r="WRT995" s="2335"/>
      <c r="WRU995" s="2335"/>
      <c r="WRV995" s="2335"/>
      <c r="WRW995" s="2335"/>
      <c r="WRX995" s="2335"/>
      <c r="WRY995" s="2335"/>
      <c r="WRZ995" s="2335"/>
      <c r="WSA995" s="2335"/>
      <c r="WSB995" s="2335"/>
      <c r="WSC995" s="2335"/>
      <c r="WSD995" s="2335"/>
      <c r="WSE995" s="2335"/>
      <c r="WSF995" s="2335"/>
      <c r="WSG995" s="2335"/>
      <c r="WSH995" s="2335"/>
      <c r="WSI995" s="2335"/>
      <c r="WSJ995" s="2335"/>
      <c r="WSK995" s="2335"/>
      <c r="WSL995" s="2335"/>
      <c r="WSM995" s="2335"/>
      <c r="WSN995" s="2335"/>
      <c r="WSO995" s="2335"/>
      <c r="WSP995" s="2335"/>
      <c r="WSQ995" s="2335"/>
      <c r="WSR995" s="2335"/>
      <c r="WSS995" s="2335"/>
      <c r="WST995" s="2335"/>
      <c r="WSU995" s="2335"/>
      <c r="WSV995" s="2335"/>
      <c r="WSW995" s="2335"/>
      <c r="WSX995" s="2335"/>
      <c r="WSY995" s="2335"/>
      <c r="WSZ995" s="2335"/>
      <c r="WTA995" s="2335"/>
      <c r="WTB995" s="2335"/>
      <c r="WTC995" s="2335"/>
      <c r="WTD995" s="2335"/>
      <c r="WTE995" s="2335"/>
      <c r="WTF995" s="2335"/>
      <c r="WTG995" s="2335"/>
      <c r="WTH995" s="2335"/>
      <c r="WTI995" s="2335"/>
      <c r="WTJ995" s="2335"/>
      <c r="WTK995" s="2335"/>
      <c r="WTL995" s="2335"/>
      <c r="WTM995" s="2335"/>
      <c r="WTN995" s="2335"/>
      <c r="WTO995" s="2335"/>
      <c r="WTP995" s="2335"/>
      <c r="WTQ995" s="2335"/>
      <c r="WTR995" s="2335"/>
      <c r="WTS995" s="2335"/>
      <c r="WTT995" s="2335"/>
      <c r="WTU995" s="2335"/>
      <c r="WTV995" s="2335"/>
      <c r="WTW995" s="2335"/>
      <c r="WTX995" s="2335"/>
      <c r="WTY995" s="2335"/>
      <c r="WTZ995" s="2335"/>
      <c r="WUA995" s="2335"/>
      <c r="WUB995" s="2335"/>
      <c r="WUC995" s="2335"/>
      <c r="WUD995" s="2335"/>
      <c r="WUE995" s="2335"/>
      <c r="WUF995" s="2335"/>
      <c r="WUG995" s="2335"/>
      <c r="WUH995" s="2335"/>
      <c r="WUI995" s="2335"/>
      <c r="WUJ995" s="2335"/>
      <c r="WUK995" s="2335"/>
      <c r="WUL995" s="2335"/>
      <c r="WUM995" s="2335"/>
      <c r="WUN995" s="2335"/>
      <c r="WUO995" s="2335"/>
      <c r="WUP995" s="2335"/>
      <c r="WUQ995" s="2335"/>
      <c r="WUR995" s="2335"/>
      <c r="WUS995" s="2335"/>
      <c r="WUT995" s="2335"/>
      <c r="WUU995" s="2335"/>
      <c r="WUV995" s="2335"/>
      <c r="WUW995" s="2335"/>
      <c r="WUX995" s="2335"/>
      <c r="WUY995" s="2335"/>
      <c r="WUZ995" s="2335"/>
      <c r="WVA995" s="2335"/>
      <c r="WVB995" s="2335"/>
      <c r="WVC995" s="2335"/>
      <c r="WVD995" s="2335"/>
      <c r="WVE995" s="2335"/>
      <c r="WVF995" s="2335"/>
      <c r="WVG995" s="2335"/>
      <c r="WVH995" s="2335"/>
      <c r="WVI995" s="2335"/>
      <c r="WVJ995" s="2335"/>
      <c r="WVK995" s="2335"/>
      <c r="WVL995" s="2335"/>
      <c r="WVM995" s="2335"/>
      <c r="WVN995" s="2335"/>
      <c r="WVO995" s="2335"/>
      <c r="WVP995" s="2335"/>
      <c r="WVQ995" s="2335"/>
      <c r="WVR995" s="2335"/>
      <c r="WVS995" s="2335"/>
      <c r="WVT995" s="2335"/>
      <c r="WVU995" s="2335"/>
      <c r="WVV995" s="2335"/>
      <c r="WVW995" s="2335"/>
      <c r="WVX995" s="2335"/>
      <c r="WVY995" s="2335"/>
      <c r="WVZ995" s="2335"/>
      <c r="WWA995" s="2335"/>
      <c r="WWB995" s="2335"/>
      <c r="WWC995" s="2335"/>
      <c r="WWD995" s="2335"/>
      <c r="WWE995" s="2335"/>
      <c r="WWF995" s="2335"/>
      <c r="WWG995" s="2335"/>
      <c r="WWH995" s="2335"/>
      <c r="WWI995" s="2335"/>
      <c r="WWJ995" s="2335"/>
      <c r="WWK995" s="2335"/>
      <c r="WWL995" s="2335"/>
      <c r="WWM995" s="2335"/>
      <c r="WWN995" s="2335"/>
      <c r="WWO995" s="2335"/>
      <c r="WWP995" s="2335"/>
      <c r="WWQ995" s="2335"/>
      <c r="WWR995" s="2335"/>
      <c r="WWS995" s="2335"/>
      <c r="WWT995" s="2335"/>
      <c r="WWU995" s="2335"/>
      <c r="WWV995" s="2335"/>
      <c r="WWW995" s="2335"/>
      <c r="WWX995" s="2335"/>
      <c r="WWY995" s="2335"/>
      <c r="WWZ995" s="2335"/>
      <c r="WXA995" s="2335"/>
      <c r="WXB995" s="2335"/>
      <c r="WXC995" s="2335"/>
      <c r="WXD995" s="2335"/>
      <c r="WXE995" s="2335"/>
      <c r="WXF995" s="2335"/>
      <c r="WXG995" s="2335"/>
      <c r="WXH995" s="2335"/>
      <c r="WXI995" s="2335"/>
      <c r="WXJ995" s="2335"/>
      <c r="WXK995" s="2335"/>
      <c r="WXL995" s="2335"/>
      <c r="WXM995" s="2335"/>
      <c r="WXN995" s="2335"/>
      <c r="WXO995" s="2335"/>
      <c r="WXP995" s="2335"/>
      <c r="WXQ995" s="2335"/>
      <c r="WXR995" s="2335"/>
      <c r="WXS995" s="2335"/>
      <c r="WXT995" s="2335"/>
      <c r="WXU995" s="2335"/>
      <c r="WXV995" s="2335"/>
      <c r="WXW995" s="2335"/>
      <c r="WXX995" s="2335"/>
      <c r="WXY995" s="2335"/>
      <c r="WXZ995" s="2335"/>
      <c r="WYA995" s="2335"/>
      <c r="WYB995" s="2335"/>
      <c r="WYC995" s="2335"/>
      <c r="WYD995" s="2335"/>
      <c r="WYE995" s="2335"/>
      <c r="WYF995" s="2335"/>
      <c r="WYG995" s="2335"/>
      <c r="WYH995" s="2335"/>
      <c r="WYI995" s="2335"/>
      <c r="WYJ995" s="2335"/>
      <c r="WYK995" s="2335"/>
      <c r="WYL995" s="2335"/>
      <c r="WYM995" s="2335"/>
      <c r="WYN995" s="2335"/>
      <c r="WYO995" s="2335"/>
      <c r="WYP995" s="2335"/>
      <c r="WYQ995" s="2335"/>
      <c r="WYR995" s="2335"/>
      <c r="WYS995" s="2335"/>
      <c r="WYT995" s="2335"/>
      <c r="WYU995" s="2335"/>
      <c r="WYV995" s="2335"/>
      <c r="WYW995" s="2335"/>
      <c r="WYX995" s="2335"/>
      <c r="WYY995" s="2335"/>
      <c r="WYZ995" s="2335"/>
      <c r="WZA995" s="2335"/>
      <c r="WZB995" s="2335"/>
      <c r="WZC995" s="2335"/>
      <c r="WZD995" s="2335"/>
      <c r="WZE995" s="2335"/>
      <c r="WZF995" s="2335"/>
      <c r="WZG995" s="2335"/>
      <c r="WZH995" s="2335"/>
      <c r="WZI995" s="2335"/>
      <c r="WZJ995" s="2335"/>
      <c r="WZK995" s="2335"/>
      <c r="WZL995" s="2335"/>
      <c r="WZM995" s="2335"/>
      <c r="WZN995" s="2335"/>
      <c r="WZO995" s="2335"/>
      <c r="WZP995" s="2335"/>
      <c r="WZQ995" s="2335"/>
      <c r="WZR995" s="2335"/>
      <c r="WZS995" s="2335"/>
      <c r="WZT995" s="2335"/>
      <c r="WZU995" s="2335"/>
      <c r="WZV995" s="2335"/>
      <c r="WZW995" s="2335"/>
      <c r="WZX995" s="2335"/>
      <c r="WZY995" s="2335"/>
      <c r="WZZ995" s="2335"/>
      <c r="XAA995" s="2335"/>
      <c r="XAB995" s="2335"/>
      <c r="XAC995" s="2335"/>
      <c r="XAD995" s="2335"/>
      <c r="XAE995" s="2335"/>
      <c r="XAF995" s="2335"/>
      <c r="XAG995" s="2335"/>
      <c r="XAH995" s="2335"/>
      <c r="XAI995" s="2335"/>
      <c r="XAJ995" s="2335"/>
      <c r="XAK995" s="2335"/>
      <c r="XAL995" s="2335"/>
      <c r="XAM995" s="2335"/>
      <c r="XAN995" s="2335"/>
      <c r="XAO995" s="2335"/>
      <c r="XAP995" s="2335"/>
      <c r="XAQ995" s="2335"/>
      <c r="XAR995" s="2335"/>
      <c r="XAS995" s="2335"/>
      <c r="XAT995" s="2335"/>
      <c r="XAU995" s="2335"/>
      <c r="XAV995" s="2335"/>
      <c r="XAW995" s="2335"/>
      <c r="XAX995" s="2335"/>
      <c r="XAY995" s="2335"/>
      <c r="XAZ995" s="2335"/>
      <c r="XBA995" s="2335"/>
      <c r="XBB995" s="2335"/>
      <c r="XBC995" s="2335"/>
      <c r="XBD995" s="2335"/>
      <c r="XBE995" s="2335"/>
      <c r="XBF995" s="2335"/>
      <c r="XBG995" s="2335"/>
      <c r="XBH995" s="2335"/>
      <c r="XBI995" s="2335"/>
      <c r="XBJ995" s="2335"/>
      <c r="XBK995" s="2335"/>
      <c r="XBL995" s="2335"/>
      <c r="XBM995" s="2335"/>
      <c r="XBN995" s="2335"/>
      <c r="XBO995" s="2335"/>
      <c r="XBP995" s="2335"/>
      <c r="XBQ995" s="2335"/>
      <c r="XBR995" s="2335"/>
      <c r="XBS995" s="2335"/>
      <c r="XBT995" s="2335"/>
      <c r="XBU995" s="2335"/>
      <c r="XBV995" s="2335"/>
      <c r="XBW995" s="2335"/>
      <c r="XBX995" s="2335"/>
      <c r="XBY995" s="2335"/>
      <c r="XBZ995" s="2335"/>
      <c r="XCA995" s="2335"/>
      <c r="XCB995" s="2335"/>
      <c r="XCC995" s="2335"/>
      <c r="XCD995" s="2335"/>
      <c r="XCE995" s="2335"/>
      <c r="XCF995" s="2335"/>
      <c r="XCG995" s="2335"/>
      <c r="XCH995" s="2335"/>
      <c r="XCI995" s="2335"/>
      <c r="XCJ995" s="2335"/>
      <c r="XCK995" s="2335"/>
      <c r="XCL995" s="2335"/>
      <c r="XCM995" s="2335"/>
      <c r="XCN995" s="2335"/>
      <c r="XCO995" s="2335"/>
      <c r="XCP995" s="2335"/>
      <c r="XCQ995" s="2335"/>
      <c r="XCR995" s="2335"/>
      <c r="XCS995" s="2335"/>
      <c r="XCT995" s="2335"/>
      <c r="XCU995" s="2335"/>
      <c r="XCV995" s="2335"/>
      <c r="XCW995" s="2335"/>
      <c r="XCX995" s="2335"/>
      <c r="XCY995" s="2335"/>
      <c r="XCZ995" s="2335"/>
      <c r="XDA995" s="2335"/>
      <c r="XDB995" s="2335"/>
      <c r="XDC995" s="2335"/>
      <c r="XDD995" s="2335"/>
      <c r="XDE995" s="2335"/>
      <c r="XDF995" s="2335"/>
      <c r="XDG995" s="2335"/>
      <c r="XDH995" s="2335"/>
      <c r="XDI995" s="2335"/>
      <c r="XDJ995" s="2335"/>
      <c r="XDK995" s="2335"/>
      <c r="XDL995" s="2335"/>
      <c r="XDM995" s="2335"/>
      <c r="XDN995" s="2335"/>
      <c r="XDO995" s="2335"/>
      <c r="XDP995" s="2335"/>
      <c r="XDQ995" s="2335"/>
      <c r="XDR995" s="2335"/>
      <c r="XDS995" s="2335"/>
      <c r="XDT995" s="2335"/>
      <c r="XDU995" s="2335"/>
      <c r="XDV995" s="2335"/>
      <c r="XDW995" s="2335"/>
      <c r="XDX995" s="2335"/>
      <c r="XDY995" s="2335"/>
      <c r="XDZ995" s="2335"/>
      <c r="XEA995" s="2335"/>
      <c r="XEB995" s="2335"/>
      <c r="XEC995" s="2335"/>
      <c r="XED995" s="2335"/>
      <c r="XEE995" s="2335"/>
      <c r="XEF995" s="2335"/>
      <c r="XEG995" s="2335"/>
      <c r="XEH995" s="2335"/>
      <c r="XEI995" s="2335"/>
      <c r="XEJ995" s="2335"/>
      <c r="XEK995" s="2335"/>
      <c r="XEL995" s="2335"/>
      <c r="XEM995" s="2335"/>
      <c r="XEN995" s="2335"/>
      <c r="XEO995" s="2335"/>
      <c r="XEP995" s="2335"/>
      <c r="XEQ995" s="2335"/>
      <c r="XER995" s="2335"/>
      <c r="XES995" s="2335"/>
      <c r="XET995" s="2335"/>
      <c r="XEU995" s="2335"/>
      <c r="XEV995" s="2335"/>
      <c r="XEW995" s="2335"/>
      <c r="XEX995" s="2335"/>
      <c r="XEY995" s="2335"/>
      <c r="XEZ995" s="2335"/>
      <c r="XFA995" s="2335"/>
      <c r="XFB995" s="2335"/>
      <c r="XFC995" s="2335"/>
      <c r="XFD995" s="2335"/>
    </row>
    <row r="996" s="1936" customFormat="1" ht="20" customHeight="1" spans="1:1024 1025:16384">
      <c r="A996" s="2335"/>
      <c r="B996" s="2466"/>
      <c r="C996" s="2077"/>
      <c r="D996" s="1017" t="s">
        <v>3223</v>
      </c>
      <c r="E996" s="153">
        <v>6.75</v>
      </c>
      <c r="F996" s="1975" t="s">
        <v>3220</v>
      </c>
      <c r="G996" s="2470"/>
      <c r="H996" s="2146"/>
      <c r="I996" s="1762"/>
      <c r="J996" s="924" t="s">
        <v>1428</v>
      </c>
      <c r="K996" s="2471">
        <f>290/E996</f>
        <v>42.962962962963</v>
      </c>
      <c r="L996" s="2471">
        <f>33.8/E996/1.13</f>
        <v>4.43133398885611</v>
      </c>
      <c r="M996" s="2469">
        <f>46/E996/1.13</f>
        <v>6.03080957063258</v>
      </c>
      <c r="N996" s="2469">
        <v>16.3</v>
      </c>
      <c r="O996" s="2469">
        <f t="shared" si="101"/>
        <v>3.33333333333333</v>
      </c>
      <c r="P996" s="2469">
        <f>SUBTOTAL(109,K996:O996)</f>
        <v>73.058439855785</v>
      </c>
      <c r="Q996" s="266" t="s">
        <v>3225</v>
      </c>
      <c r="R996" s="651"/>
      <c r="S996" s="2335"/>
      <c r="T996" s="2335"/>
      <c r="U996" s="2335"/>
      <c r="V996" s="2335"/>
      <c r="W996" s="2337"/>
      <c r="X996" s="2335"/>
      <c r="Y996" s="2335"/>
      <c r="Z996" s="2335"/>
      <c r="AA996" s="2335"/>
      <c r="AB996" s="2337"/>
      <c r="AC996" s="2335"/>
      <c r="AD996" s="2335"/>
      <c r="AE996" s="2335"/>
      <c r="AF996" s="2335"/>
      <c r="AG996" s="2335"/>
      <c r="AH996" s="2335"/>
      <c r="AI996" s="2335"/>
      <c r="AJ996" s="2335"/>
      <c r="AK996" s="2335"/>
      <c r="AL996" s="2335"/>
      <c r="AM996" s="2335"/>
      <c r="AN996" s="2335"/>
      <c r="AO996" s="2335"/>
      <c r="AP996" s="2335"/>
      <c r="AQ996" s="2335"/>
      <c r="AR996" s="2335"/>
      <c r="AS996" s="2335"/>
      <c r="AT996" s="2335"/>
      <c r="AU996" s="2335"/>
      <c r="AV996" s="2335"/>
      <c r="AW996" s="2335"/>
      <c r="AX996" s="2335"/>
      <c r="AY996" s="2335"/>
      <c r="AZ996" s="2335"/>
      <c r="BA996" s="2335"/>
      <c r="BB996" s="2335"/>
      <c r="BC996" s="2335"/>
      <c r="BD996" s="2335"/>
      <c r="BE996" s="2335"/>
      <c r="BF996" s="2335"/>
      <c r="BG996" s="2335"/>
      <c r="BH996" s="2335"/>
      <c r="BI996" s="2335"/>
      <c r="BJ996" s="2335"/>
      <c r="BK996" s="2335"/>
      <c r="BL996" s="2335"/>
      <c r="BM996" s="2335"/>
      <c r="BN996" s="2335"/>
      <c r="BO996" s="2335"/>
      <c r="BP996" s="2335"/>
      <c r="BQ996" s="2335"/>
      <c r="BR996" s="2335"/>
      <c r="BS996" s="2335"/>
      <c r="BT996" s="2335"/>
      <c r="BU996" s="2335"/>
      <c r="BV996" s="2335"/>
      <c r="BW996" s="2335"/>
      <c r="BX996" s="2335"/>
      <c r="BY996" s="2335"/>
      <c r="BZ996" s="2335"/>
      <c r="CA996" s="2335"/>
      <c r="CB996" s="2335"/>
      <c r="CC996" s="2335"/>
      <c r="CD996" s="2335"/>
      <c r="CE996" s="2335"/>
      <c r="CF996" s="2335"/>
      <c r="CG996" s="2335"/>
      <c r="CH996" s="2335"/>
      <c r="CI996" s="2335"/>
      <c r="CJ996" s="2335"/>
      <c r="CK996" s="2335"/>
      <c r="CL996" s="2335"/>
      <c r="CM996" s="2335"/>
      <c r="CN996" s="2335"/>
      <c r="CO996" s="2335"/>
      <c r="CP996" s="2335"/>
      <c r="CQ996" s="2335"/>
      <c r="CR996" s="2335"/>
      <c r="CS996" s="2335"/>
      <c r="CT996" s="2335"/>
      <c r="CU996" s="2335"/>
      <c r="CV996" s="2335"/>
      <c r="CW996" s="2335"/>
      <c r="CX996" s="2335"/>
      <c r="CY996" s="2335"/>
      <c r="CZ996" s="2335"/>
      <c r="DA996" s="2335"/>
      <c r="DB996" s="2335"/>
      <c r="DC996" s="2335"/>
      <c r="DD996" s="2335"/>
      <c r="DE996" s="2335"/>
      <c r="DF996" s="2335"/>
      <c r="DG996" s="2335"/>
      <c r="DH996" s="2335"/>
      <c r="DI996" s="2335"/>
      <c r="DJ996" s="2335"/>
      <c r="DK996" s="2335"/>
      <c r="DL996" s="2335"/>
      <c r="DM996" s="2335"/>
      <c r="DN996" s="2335"/>
      <c r="DO996" s="2335"/>
      <c r="DP996" s="2335"/>
      <c r="DQ996" s="2335"/>
      <c r="DR996" s="2335"/>
      <c r="DS996" s="2335"/>
      <c r="DT996" s="2335"/>
      <c r="DU996" s="2335"/>
      <c r="DV996" s="2335"/>
      <c r="DW996" s="2335"/>
      <c r="DX996" s="2335"/>
      <c r="DY996" s="2335"/>
      <c r="DZ996" s="2335"/>
      <c r="EA996" s="2335"/>
      <c r="EB996" s="2335"/>
      <c r="EC996" s="2335"/>
      <c r="ED996" s="2335"/>
      <c r="EE996" s="2335"/>
      <c r="EF996" s="2335"/>
      <c r="EG996" s="2335"/>
      <c r="EH996" s="2335"/>
      <c r="EI996" s="2335"/>
      <c r="EJ996" s="2335"/>
      <c r="EK996" s="2335"/>
      <c r="EL996" s="2335"/>
      <c r="EM996" s="2335"/>
      <c r="EN996" s="2335"/>
      <c r="EO996" s="2335"/>
      <c r="EP996" s="2335"/>
      <c r="EQ996" s="2335"/>
      <c r="ER996" s="2335"/>
      <c r="ES996" s="2335"/>
      <c r="ET996" s="2335"/>
      <c r="EU996" s="2335"/>
      <c r="EV996" s="2335"/>
      <c r="EW996" s="2335"/>
      <c r="EX996" s="2335"/>
      <c r="EY996" s="2335"/>
      <c r="EZ996" s="2335"/>
      <c r="FA996" s="2335"/>
      <c r="FB996" s="2335"/>
      <c r="FC996" s="2335"/>
      <c r="FD996" s="2335"/>
      <c r="FE996" s="2335"/>
      <c r="FF996" s="2335"/>
      <c r="FG996" s="2335"/>
      <c r="FH996" s="2335"/>
      <c r="FI996" s="2335"/>
      <c r="FJ996" s="2335"/>
      <c r="FK996" s="2335"/>
      <c r="FL996" s="2335"/>
      <c r="FM996" s="2335"/>
      <c r="FN996" s="2335"/>
      <c r="FO996" s="2335"/>
      <c r="FP996" s="2335"/>
      <c r="FQ996" s="2335"/>
      <c r="FR996" s="2335"/>
      <c r="FS996" s="2335"/>
      <c r="FT996" s="2335"/>
      <c r="FU996" s="2335"/>
      <c r="FV996" s="2335"/>
      <c r="FW996" s="2335"/>
      <c r="FX996" s="2335"/>
      <c r="FY996" s="2335"/>
      <c r="FZ996" s="2335"/>
      <c r="GA996" s="2335"/>
      <c r="GB996" s="2335"/>
      <c r="GC996" s="2335"/>
      <c r="GD996" s="2335"/>
      <c r="GE996" s="2335"/>
      <c r="GF996" s="2335"/>
      <c r="GG996" s="2335"/>
      <c r="GH996" s="2335"/>
      <c r="GI996" s="2335"/>
      <c r="GJ996" s="2335"/>
      <c r="GK996" s="2335"/>
      <c r="GL996" s="2335"/>
      <c r="GM996" s="2335"/>
      <c r="GN996" s="2335"/>
      <c r="GO996" s="2335"/>
      <c r="GP996" s="2335"/>
      <c r="GQ996" s="2335"/>
      <c r="GR996" s="2335"/>
      <c r="GS996" s="2335"/>
      <c r="GT996" s="2335"/>
      <c r="GU996" s="2335"/>
      <c r="GV996" s="2335"/>
      <c r="GW996" s="2335"/>
      <c r="GX996" s="2335"/>
      <c r="GY996" s="2335"/>
      <c r="GZ996" s="2335"/>
      <c r="HA996" s="2335"/>
      <c r="HB996" s="2335"/>
      <c r="HC996" s="2335"/>
      <c r="HD996" s="2335"/>
      <c r="HE996" s="2335"/>
      <c r="HF996" s="2335"/>
      <c r="HG996" s="2335"/>
      <c r="HH996" s="2335"/>
      <c r="HI996" s="2335"/>
      <c r="HJ996" s="2335"/>
      <c r="HK996" s="2335"/>
      <c r="HL996" s="2335"/>
      <c r="HM996" s="2335"/>
      <c r="HN996" s="2335"/>
      <c r="HO996" s="2335"/>
      <c r="HP996" s="2335"/>
      <c r="HQ996" s="2335"/>
      <c r="HR996" s="2335"/>
      <c r="HS996" s="2335"/>
      <c r="HT996" s="2335"/>
      <c r="HU996" s="2335"/>
      <c r="HV996" s="2335"/>
      <c r="HW996" s="2335"/>
      <c r="HX996" s="2335"/>
      <c r="HY996" s="2335"/>
      <c r="HZ996" s="2335"/>
      <c r="IA996" s="2335"/>
      <c r="IB996" s="2335"/>
      <c r="IC996" s="2335"/>
      <c r="ID996" s="2335"/>
      <c r="IE996" s="2335"/>
      <c r="IF996" s="2335"/>
      <c r="IG996" s="2335"/>
      <c r="IH996" s="2335"/>
      <c r="II996" s="2335"/>
      <c r="IJ996" s="2335"/>
      <c r="IK996" s="2335"/>
      <c r="IL996" s="2335"/>
      <c r="IM996" s="2335"/>
      <c r="IN996" s="2335"/>
      <c r="IO996" s="2335"/>
      <c r="IP996" s="2335"/>
      <c r="IQ996" s="2335"/>
      <c r="IR996" s="2335"/>
      <c r="IS996" s="2335"/>
      <c r="IT996" s="2335"/>
      <c r="IU996" s="2335"/>
      <c r="IV996" s="2335"/>
      <c r="IW996" s="2335"/>
      <c r="IX996" s="2335"/>
      <c r="IY996" s="2335"/>
      <c r="IZ996" s="2335"/>
      <c r="JA996" s="2335"/>
      <c r="JB996" s="2335"/>
      <c r="JC996" s="2335"/>
      <c r="JD996" s="2335"/>
      <c r="JE996" s="2335"/>
      <c r="JF996" s="2335"/>
      <c r="JG996" s="2335"/>
      <c r="JH996" s="2335"/>
      <c r="JI996" s="2335"/>
      <c r="JJ996" s="2335"/>
      <c r="JK996" s="2335"/>
      <c r="JL996" s="2335"/>
      <c r="JM996" s="2335"/>
      <c r="JN996" s="2335"/>
      <c r="JO996" s="2335"/>
      <c r="JP996" s="2335"/>
      <c r="JQ996" s="2335"/>
      <c r="JR996" s="2335"/>
      <c r="JS996" s="2335"/>
      <c r="JT996" s="2335"/>
      <c r="JU996" s="2335"/>
      <c r="JV996" s="2335"/>
      <c r="JW996" s="2335"/>
      <c r="JX996" s="2335"/>
      <c r="JY996" s="2335"/>
      <c r="JZ996" s="2335"/>
      <c r="KA996" s="2335"/>
      <c r="KB996" s="2335"/>
      <c r="KC996" s="2335"/>
      <c r="KD996" s="2335"/>
      <c r="KE996" s="2335"/>
      <c r="KF996" s="2335"/>
      <c r="KG996" s="2335"/>
      <c r="KH996" s="2335"/>
      <c r="KI996" s="2335"/>
      <c r="KJ996" s="2335"/>
      <c r="KK996" s="2335"/>
      <c r="KL996" s="2335"/>
      <c r="KM996" s="2335"/>
      <c r="KN996" s="2335"/>
      <c r="KO996" s="2335"/>
      <c r="KP996" s="2335"/>
      <c r="KQ996" s="2335"/>
      <c r="KR996" s="2335"/>
      <c r="KS996" s="2335"/>
      <c r="KT996" s="2335"/>
      <c r="KU996" s="2335"/>
      <c r="KV996" s="2335"/>
      <c r="KW996" s="2335"/>
      <c r="KX996" s="2335"/>
      <c r="KY996" s="2335"/>
      <c r="KZ996" s="2335"/>
      <c r="LA996" s="2335"/>
      <c r="LB996" s="2335"/>
      <c r="LC996" s="2335"/>
      <c r="LD996" s="2335"/>
      <c r="LE996" s="2335"/>
      <c r="LF996" s="2335"/>
      <c r="LG996" s="2335"/>
      <c r="LH996" s="2335"/>
      <c r="LI996" s="2335"/>
      <c r="LJ996" s="2335"/>
      <c r="LK996" s="2335"/>
      <c r="LL996" s="2335"/>
      <c r="LM996" s="2335"/>
      <c r="LN996" s="2335"/>
      <c r="LO996" s="2335"/>
      <c r="LP996" s="2335"/>
      <c r="LQ996" s="2335"/>
      <c r="LR996" s="2335"/>
      <c r="LS996" s="2335"/>
      <c r="LT996" s="2335"/>
      <c r="LU996" s="2335"/>
      <c r="LV996" s="2335"/>
      <c r="LW996" s="2335"/>
      <c r="LX996" s="2335"/>
      <c r="LY996" s="2335"/>
      <c r="LZ996" s="2335"/>
      <c r="MA996" s="2335"/>
      <c r="MB996" s="2335"/>
      <c r="MC996" s="2335"/>
      <c r="MD996" s="2335"/>
      <c r="ME996" s="2335"/>
      <c r="MF996" s="2335"/>
      <c r="MG996" s="2335"/>
      <c r="MH996" s="2335"/>
      <c r="MI996" s="2335"/>
      <c r="MJ996" s="2335"/>
      <c r="MK996" s="2335"/>
      <c r="ML996" s="2335"/>
      <c r="MM996" s="2335"/>
      <c r="MN996" s="2335"/>
      <c r="MO996" s="2335"/>
      <c r="MP996" s="2335"/>
      <c r="MQ996" s="2335"/>
      <c r="MR996" s="2335"/>
      <c r="MS996" s="2335"/>
      <c r="MT996" s="2335"/>
      <c r="MU996" s="2335"/>
      <c r="MV996" s="2335"/>
      <c r="MW996" s="2335"/>
      <c r="MX996" s="2335"/>
      <c r="MY996" s="2335"/>
      <c r="MZ996" s="2335"/>
      <c r="NA996" s="2335"/>
      <c r="NB996" s="2335"/>
      <c r="NC996" s="2335"/>
      <c r="ND996" s="2335"/>
      <c r="NE996" s="2335"/>
      <c r="NF996" s="2335"/>
      <c r="NG996" s="2335"/>
      <c r="NH996" s="2335"/>
      <c r="NI996" s="2335"/>
      <c r="NJ996" s="2335"/>
      <c r="NK996" s="2335"/>
      <c r="NL996" s="2335"/>
      <c r="NM996" s="2335"/>
      <c r="NN996" s="2335"/>
      <c r="NO996" s="2335"/>
      <c r="NP996" s="2335"/>
      <c r="NQ996" s="2335"/>
      <c r="NR996" s="2335"/>
      <c r="NS996" s="2335"/>
      <c r="NT996" s="2335"/>
      <c r="NU996" s="2335"/>
      <c r="NV996" s="2335"/>
      <c r="NW996" s="2335"/>
      <c r="NX996" s="2335"/>
      <c r="NY996" s="2335"/>
      <c r="NZ996" s="2335"/>
      <c r="OA996" s="2335"/>
      <c r="OB996" s="2335"/>
      <c r="OC996" s="2335"/>
      <c r="OD996" s="2335"/>
      <c r="OE996" s="2335"/>
      <c r="OF996" s="2335"/>
      <c r="OG996" s="2335"/>
      <c r="OH996" s="2335"/>
      <c r="OI996" s="2335"/>
      <c r="OJ996" s="2335"/>
      <c r="OK996" s="2335"/>
      <c r="OL996" s="2335"/>
      <c r="OM996" s="2335"/>
      <c r="ON996" s="2335"/>
      <c r="OO996" s="2335"/>
      <c r="OP996" s="2335"/>
      <c r="OQ996" s="2335"/>
      <c r="OR996" s="2335"/>
      <c r="OS996" s="2335"/>
      <c r="OT996" s="2335"/>
      <c r="OU996" s="2335"/>
      <c r="OV996" s="2335"/>
      <c r="OW996" s="2335"/>
      <c r="OX996" s="2335"/>
      <c r="OY996" s="2335"/>
      <c r="OZ996" s="2335"/>
      <c r="PA996" s="2335"/>
      <c r="PB996" s="2335"/>
      <c r="PC996" s="2335"/>
      <c r="PD996" s="2335"/>
      <c r="PE996" s="2335"/>
      <c r="PF996" s="2335"/>
      <c r="PG996" s="2335"/>
      <c r="PH996" s="2335"/>
      <c r="PI996" s="2335"/>
      <c r="PJ996" s="2335"/>
      <c r="PK996" s="2335"/>
      <c r="PL996" s="2335"/>
      <c r="PM996" s="2335"/>
      <c r="PN996" s="2335"/>
      <c r="PO996" s="2335"/>
      <c r="PP996" s="2335"/>
      <c r="PQ996" s="2335"/>
      <c r="PR996" s="2335"/>
      <c r="PS996" s="2335"/>
      <c r="PT996" s="2335"/>
      <c r="PU996" s="2335"/>
      <c r="PV996" s="2335"/>
      <c r="PW996" s="2335"/>
      <c r="PX996" s="2335"/>
      <c r="PY996" s="2335"/>
      <c r="PZ996" s="2335"/>
      <c r="QA996" s="2335"/>
      <c r="QB996" s="2335"/>
      <c r="QC996" s="2335"/>
      <c r="QD996" s="2335"/>
      <c r="QE996" s="2335"/>
      <c r="QF996" s="2335"/>
      <c r="QG996" s="2335"/>
      <c r="QH996" s="2335"/>
      <c r="QI996" s="2335"/>
      <c r="QJ996" s="2335"/>
      <c r="QK996" s="2335"/>
      <c r="QL996" s="2335"/>
      <c r="QM996" s="2335"/>
      <c r="QN996" s="2335"/>
      <c r="QO996" s="2335"/>
      <c r="QP996" s="2335"/>
      <c r="QQ996" s="2335"/>
      <c r="QR996" s="2335"/>
      <c r="QS996" s="2335"/>
      <c r="QT996" s="2335"/>
      <c r="QU996" s="2335"/>
      <c r="QV996" s="2335"/>
      <c r="QW996" s="2335"/>
      <c r="QX996" s="2335"/>
      <c r="QY996" s="2335"/>
      <c r="QZ996" s="2335"/>
      <c r="RA996" s="2335"/>
      <c r="RB996" s="2335"/>
      <c r="RC996" s="2335"/>
      <c r="RD996" s="2335"/>
      <c r="RE996" s="2335"/>
      <c r="RF996" s="2335"/>
      <c r="RG996" s="2335"/>
      <c r="RH996" s="2335"/>
      <c r="RI996" s="2335"/>
      <c r="RJ996" s="2335"/>
      <c r="RK996" s="2335"/>
      <c r="RL996" s="2335"/>
      <c r="RM996" s="2335"/>
      <c r="RN996" s="2335"/>
      <c r="RO996" s="2335"/>
      <c r="RP996" s="2335"/>
      <c r="RQ996" s="2335"/>
      <c r="RR996" s="2335"/>
      <c r="RS996" s="2335"/>
      <c r="RT996" s="2335"/>
      <c r="RU996" s="2335"/>
      <c r="RV996" s="2335"/>
      <c r="RW996" s="2335"/>
      <c r="RX996" s="2335"/>
      <c r="RY996" s="2335"/>
      <c r="RZ996" s="2335"/>
      <c r="SA996" s="2335"/>
      <c r="SB996" s="2335"/>
      <c r="SC996" s="2335"/>
      <c r="SD996" s="2335"/>
      <c r="SE996" s="2335"/>
      <c r="SF996" s="2335"/>
      <c r="SG996" s="2335"/>
      <c r="SH996" s="2335"/>
      <c r="SI996" s="2335"/>
      <c r="SJ996" s="2335"/>
      <c r="SK996" s="2335"/>
      <c r="SL996" s="2335"/>
      <c r="SM996" s="2335"/>
      <c r="SN996" s="2335"/>
      <c r="SO996" s="2335"/>
      <c r="SP996" s="2335"/>
      <c r="SQ996" s="2335"/>
      <c r="SR996" s="2335"/>
      <c r="SS996" s="2335"/>
      <c r="ST996" s="2335"/>
      <c r="SU996" s="2335"/>
      <c r="SV996" s="2335"/>
      <c r="SW996" s="2335"/>
      <c r="SX996" s="2335"/>
      <c r="SY996" s="2335"/>
      <c r="SZ996" s="2335"/>
      <c r="TA996" s="2335"/>
      <c r="TB996" s="2335"/>
      <c r="TC996" s="2335"/>
      <c r="TD996" s="2335"/>
      <c r="TE996" s="2335"/>
      <c r="TF996" s="2335"/>
      <c r="TG996" s="2335"/>
      <c r="TH996" s="2335"/>
      <c r="TI996" s="2335"/>
      <c r="TJ996" s="2335"/>
      <c r="TK996" s="2335"/>
      <c r="TL996" s="2335"/>
      <c r="TM996" s="2335"/>
      <c r="TN996" s="2335"/>
      <c r="TO996" s="2335"/>
      <c r="TP996" s="2335"/>
      <c r="TQ996" s="2335"/>
      <c r="TR996" s="2335"/>
      <c r="TS996" s="2335"/>
      <c r="TT996" s="2335"/>
      <c r="TU996" s="2335"/>
      <c r="TV996" s="2335"/>
      <c r="TW996" s="2335"/>
      <c r="TX996" s="2335"/>
      <c r="TY996" s="2335"/>
      <c r="TZ996" s="2335"/>
      <c r="UA996" s="2335"/>
      <c r="UB996" s="2335"/>
      <c r="UC996" s="2335"/>
      <c r="UD996" s="2335"/>
      <c r="UE996" s="2335"/>
      <c r="UF996" s="2335"/>
      <c r="UG996" s="2335"/>
      <c r="UH996" s="2335"/>
      <c r="UI996" s="2335"/>
      <c r="UJ996" s="2335"/>
      <c r="UK996" s="2335"/>
      <c r="UL996" s="2335"/>
      <c r="UM996" s="2335"/>
      <c r="UN996" s="2335"/>
      <c r="UO996" s="2335"/>
      <c r="UP996" s="2335"/>
      <c r="UQ996" s="2335"/>
      <c r="UR996" s="2335"/>
      <c r="US996" s="2335"/>
      <c r="UT996" s="2335"/>
      <c r="UU996" s="2335"/>
      <c r="UV996" s="2335"/>
      <c r="UW996" s="2335"/>
      <c r="UX996" s="2335"/>
      <c r="UY996" s="2335"/>
      <c r="UZ996" s="2335"/>
      <c r="VA996" s="2335"/>
      <c r="VB996" s="2335"/>
      <c r="VC996" s="2335"/>
      <c r="VD996" s="2335"/>
      <c r="VE996" s="2335"/>
      <c r="VF996" s="2335"/>
      <c r="VG996" s="2335"/>
      <c r="VH996" s="2335"/>
      <c r="VI996" s="2335"/>
      <c r="VJ996" s="2335"/>
      <c r="VK996" s="2335"/>
      <c r="VL996" s="2335"/>
      <c r="VM996" s="2335"/>
      <c r="VN996" s="2335"/>
      <c r="VO996" s="2335"/>
      <c r="VP996" s="2335"/>
      <c r="VQ996" s="2335"/>
      <c r="VR996" s="2335"/>
      <c r="VS996" s="2335"/>
      <c r="VT996" s="2335"/>
      <c r="VU996" s="2335"/>
      <c r="VV996" s="2335"/>
      <c r="VW996" s="2335"/>
      <c r="VX996" s="2335"/>
      <c r="VY996" s="2335"/>
      <c r="VZ996" s="2335"/>
      <c r="WA996" s="2335"/>
      <c r="WB996" s="2335"/>
      <c r="WC996" s="2335"/>
      <c r="WD996" s="2335"/>
      <c r="WE996" s="2335"/>
      <c r="WF996" s="2335"/>
      <c r="WG996" s="2335"/>
      <c r="WH996" s="2335"/>
      <c r="WI996" s="2335"/>
      <c r="WJ996" s="2335"/>
      <c r="WK996" s="2335"/>
      <c r="WL996" s="2335"/>
      <c r="WM996" s="2335"/>
      <c r="WN996" s="2335"/>
      <c r="WO996" s="2335"/>
      <c r="WP996" s="2335"/>
      <c r="WQ996" s="2335"/>
      <c r="WR996" s="2335"/>
      <c r="WS996" s="2335"/>
      <c r="WT996" s="2335"/>
      <c r="WU996" s="2335"/>
      <c r="WV996" s="2335"/>
      <c r="WW996" s="2335"/>
      <c r="WX996" s="2335"/>
      <c r="WY996" s="2335"/>
      <c r="WZ996" s="2335"/>
      <c r="XA996" s="2335"/>
      <c r="XB996" s="2335"/>
      <c r="XC996" s="2335"/>
      <c r="XD996" s="2335"/>
      <c r="XE996" s="2335"/>
      <c r="XF996" s="2335"/>
      <c r="XG996" s="2335"/>
      <c r="XH996" s="2335"/>
      <c r="XI996" s="2335"/>
      <c r="XJ996" s="2335"/>
      <c r="XK996" s="2335"/>
      <c r="XL996" s="2335"/>
      <c r="XM996" s="2335"/>
      <c r="XN996" s="2335"/>
      <c r="XO996" s="2335"/>
      <c r="XP996" s="2335"/>
      <c r="XQ996" s="2335"/>
      <c r="XR996" s="2335"/>
      <c r="XS996" s="2335"/>
      <c r="XT996" s="2335"/>
      <c r="XU996" s="2335"/>
      <c r="XV996" s="2335"/>
      <c r="XW996" s="2335"/>
      <c r="XX996" s="2335"/>
      <c r="XY996" s="2335"/>
      <c r="XZ996" s="2335"/>
      <c r="YA996" s="2335"/>
      <c r="YB996" s="2335"/>
      <c r="YC996" s="2335"/>
      <c r="YD996" s="2335"/>
      <c r="YE996" s="2335"/>
      <c r="YF996" s="2335"/>
      <c r="YG996" s="2335"/>
      <c r="YH996" s="2335"/>
      <c r="YI996" s="2335"/>
      <c r="YJ996" s="2335"/>
      <c r="YK996" s="2335"/>
      <c r="YL996" s="2335"/>
      <c r="YM996" s="2335"/>
      <c r="YN996" s="2335"/>
      <c r="YO996" s="2335"/>
      <c r="YP996" s="2335"/>
      <c r="YQ996" s="2335"/>
      <c r="YR996" s="2335"/>
      <c r="YS996" s="2335"/>
      <c r="YT996" s="2335"/>
      <c r="YU996" s="2335"/>
      <c r="YV996" s="2335"/>
      <c r="YW996" s="2335"/>
      <c r="YX996" s="2335"/>
      <c r="YY996" s="2335"/>
      <c r="YZ996" s="2335"/>
      <c r="ZA996" s="2335"/>
      <c r="ZB996" s="2335"/>
      <c r="ZC996" s="2335"/>
      <c r="ZD996" s="2335"/>
      <c r="ZE996" s="2335"/>
      <c r="ZF996" s="2335"/>
      <c r="ZG996" s="2335"/>
      <c r="ZH996" s="2335"/>
      <c r="ZI996" s="2335"/>
      <c r="ZJ996" s="2335"/>
      <c r="ZK996" s="2335"/>
      <c r="ZL996" s="2335"/>
      <c r="ZM996" s="2335"/>
      <c r="ZN996" s="2335"/>
      <c r="ZO996" s="2335"/>
      <c r="ZP996" s="2335"/>
      <c r="ZQ996" s="2335"/>
      <c r="ZR996" s="2335"/>
      <c r="ZS996" s="2335"/>
      <c r="ZT996" s="2335"/>
      <c r="ZU996" s="2335"/>
      <c r="ZV996" s="2335"/>
      <c r="ZW996" s="2335"/>
      <c r="ZX996" s="2335"/>
      <c r="ZY996" s="2335"/>
      <c r="ZZ996" s="2335"/>
      <c r="AAA996" s="2335"/>
      <c r="AAB996" s="2335"/>
      <c r="AAC996" s="2335"/>
      <c r="AAD996" s="2335"/>
      <c r="AAE996" s="2335"/>
      <c r="AAF996" s="2335"/>
      <c r="AAG996" s="2335"/>
      <c r="AAH996" s="2335"/>
      <c r="AAI996" s="2335"/>
      <c r="AAJ996" s="2335"/>
      <c r="AAK996" s="2335"/>
      <c r="AAL996" s="2335"/>
      <c r="AAM996" s="2335"/>
      <c r="AAN996" s="2335"/>
      <c r="AAO996" s="2335"/>
      <c r="AAP996" s="2335"/>
      <c r="AAQ996" s="2335"/>
      <c r="AAR996" s="2335"/>
      <c r="AAS996" s="2335"/>
      <c r="AAT996" s="2335"/>
      <c r="AAU996" s="2335"/>
      <c r="AAV996" s="2335"/>
      <c r="AAW996" s="2335"/>
      <c r="AAX996" s="2335"/>
      <c r="AAY996" s="2335"/>
      <c r="AAZ996" s="2335"/>
      <c r="ABA996" s="2335"/>
      <c r="ABB996" s="2335"/>
      <c r="ABC996" s="2335"/>
      <c r="ABD996" s="2335"/>
      <c r="ABE996" s="2335"/>
      <c r="ABF996" s="2335"/>
      <c r="ABG996" s="2335"/>
      <c r="ABH996" s="2335"/>
      <c r="ABI996" s="2335"/>
      <c r="ABJ996" s="2335"/>
      <c r="ABK996" s="2335"/>
      <c r="ABL996" s="2335"/>
      <c r="ABM996" s="2335"/>
      <c r="ABN996" s="2335"/>
      <c r="ABO996" s="2335"/>
      <c r="ABP996" s="2335"/>
      <c r="ABQ996" s="2335"/>
      <c r="ABR996" s="2335"/>
      <c r="ABS996" s="2335"/>
      <c r="ABT996" s="2335"/>
      <c r="ABU996" s="2335"/>
      <c r="ABV996" s="2335"/>
      <c r="ABW996" s="2335"/>
      <c r="ABX996" s="2335"/>
      <c r="ABY996" s="2335"/>
      <c r="ABZ996" s="2335"/>
      <c r="ACA996" s="2335"/>
      <c r="ACB996" s="2335"/>
      <c r="ACC996" s="2335"/>
      <c r="ACD996" s="2335"/>
      <c r="ACE996" s="2335"/>
      <c r="ACF996" s="2335"/>
      <c r="ACG996" s="2335"/>
      <c r="ACH996" s="2335"/>
      <c r="ACI996" s="2335"/>
      <c r="ACJ996" s="2335"/>
      <c r="ACK996" s="2335"/>
      <c r="ACL996" s="2335"/>
      <c r="ACM996" s="2335"/>
      <c r="ACN996" s="2335"/>
      <c r="ACO996" s="2335"/>
      <c r="ACP996" s="2335"/>
      <c r="ACQ996" s="2335"/>
      <c r="ACR996" s="2335"/>
      <c r="ACS996" s="2335"/>
      <c r="ACT996" s="2335"/>
      <c r="ACU996" s="2335"/>
      <c r="ACV996" s="2335"/>
      <c r="ACW996" s="2335"/>
      <c r="ACX996" s="2335"/>
      <c r="ACY996" s="2335"/>
      <c r="ACZ996" s="2335"/>
      <c r="ADA996" s="2335"/>
      <c r="ADB996" s="2335"/>
      <c r="ADC996" s="2335"/>
      <c r="ADD996" s="2335"/>
      <c r="ADE996" s="2335"/>
      <c r="ADF996" s="2335"/>
      <c r="ADG996" s="2335"/>
      <c r="ADH996" s="2335"/>
      <c r="ADI996" s="2335"/>
      <c r="ADJ996" s="2335"/>
      <c r="ADK996" s="2335"/>
      <c r="ADL996" s="2335"/>
      <c r="ADM996" s="2335"/>
      <c r="ADN996" s="2335"/>
      <c r="ADO996" s="2335"/>
      <c r="ADP996" s="2335"/>
      <c r="ADQ996" s="2335"/>
      <c r="ADR996" s="2335"/>
      <c r="ADS996" s="2335"/>
      <c r="ADT996" s="2335"/>
      <c r="ADU996" s="2335"/>
      <c r="ADV996" s="2335"/>
      <c r="ADW996" s="2335"/>
      <c r="ADX996" s="2335"/>
      <c r="ADY996" s="2335"/>
      <c r="ADZ996" s="2335"/>
      <c r="AEA996" s="2335"/>
      <c r="AEB996" s="2335"/>
      <c r="AEC996" s="2335"/>
      <c r="AED996" s="2335"/>
      <c r="AEE996" s="2335"/>
      <c r="AEF996" s="2335"/>
      <c r="AEG996" s="2335"/>
      <c r="AEH996" s="2335"/>
      <c r="AEI996" s="2335"/>
      <c r="AEJ996" s="2335"/>
      <c r="AEK996" s="2335"/>
      <c r="AEL996" s="2335"/>
      <c r="AEM996" s="2335"/>
      <c r="AEN996" s="2335"/>
      <c r="AEO996" s="2335"/>
      <c r="AEP996" s="2335"/>
      <c r="AEQ996" s="2335"/>
      <c r="AER996" s="2335"/>
      <c r="AES996" s="2335"/>
      <c r="AET996" s="2335"/>
      <c r="AEU996" s="2335"/>
      <c r="AEV996" s="2335"/>
      <c r="AEW996" s="2335"/>
      <c r="AEX996" s="2335"/>
      <c r="AEY996" s="2335"/>
      <c r="AEZ996" s="2335"/>
      <c r="AFA996" s="2335"/>
      <c r="AFB996" s="2335"/>
      <c r="AFC996" s="2335"/>
      <c r="AFD996" s="2335"/>
      <c r="AFE996" s="2335"/>
      <c r="AFF996" s="2335"/>
      <c r="AFG996" s="2335"/>
      <c r="AFH996" s="2335"/>
      <c r="AFI996" s="2335"/>
      <c r="AFJ996" s="2335"/>
      <c r="AFK996" s="2335"/>
      <c r="AFL996" s="2335"/>
      <c r="AFM996" s="2335"/>
      <c r="AFN996" s="2335"/>
      <c r="AFO996" s="2335"/>
      <c r="AFP996" s="2335"/>
      <c r="AFQ996" s="2335"/>
      <c r="AFR996" s="2335"/>
      <c r="AFS996" s="2335"/>
      <c r="AFT996" s="2335"/>
      <c r="AFU996" s="2335"/>
      <c r="AFV996" s="2335"/>
      <c r="AFW996" s="2335"/>
      <c r="AFX996" s="2335"/>
      <c r="AFY996" s="2335"/>
      <c r="AFZ996" s="2335"/>
      <c r="AGA996" s="2335"/>
      <c r="AGB996" s="2335"/>
      <c r="AGC996" s="2335"/>
      <c r="AGD996" s="2335"/>
      <c r="AGE996" s="2335"/>
      <c r="AGF996" s="2335"/>
      <c r="AGG996" s="2335"/>
      <c r="AGH996" s="2335"/>
      <c r="AGI996" s="2335"/>
      <c r="AGJ996" s="2335"/>
      <c r="AGK996" s="2335"/>
      <c r="AGL996" s="2335"/>
      <c r="AGM996" s="2335"/>
      <c r="AGN996" s="2335"/>
      <c r="AGO996" s="2335"/>
      <c r="AGP996" s="2335"/>
      <c r="AGQ996" s="2335"/>
      <c r="AGR996" s="2335"/>
      <c r="AGS996" s="2335"/>
      <c r="AGT996" s="2335"/>
      <c r="AGU996" s="2335"/>
      <c r="AGV996" s="2335"/>
      <c r="AGW996" s="2335"/>
      <c r="AGX996" s="2335"/>
      <c r="AGY996" s="2335"/>
      <c r="AGZ996" s="2335"/>
      <c r="AHA996" s="2335"/>
      <c r="AHB996" s="2335"/>
      <c r="AHC996" s="2335"/>
      <c r="AHD996" s="2335"/>
      <c r="AHE996" s="2335"/>
      <c r="AHF996" s="2335"/>
      <c r="AHG996" s="2335"/>
      <c r="AHH996" s="2335"/>
      <c r="AHI996" s="2335"/>
      <c r="AHJ996" s="2335"/>
      <c r="AHK996" s="2335"/>
      <c r="AHL996" s="2335"/>
      <c r="AHM996" s="2335"/>
      <c r="AHN996" s="2335"/>
      <c r="AHO996" s="2335"/>
      <c r="AHP996" s="2335"/>
      <c r="AHQ996" s="2335"/>
      <c r="AHR996" s="2335"/>
      <c r="AHS996" s="2335"/>
      <c r="AHT996" s="2335"/>
      <c r="AHU996" s="2335"/>
      <c r="AHV996" s="2335"/>
      <c r="AHW996" s="2335"/>
      <c r="AHX996" s="2335"/>
      <c r="AHY996" s="2335"/>
      <c r="AHZ996" s="2335"/>
      <c r="AIA996" s="2335"/>
      <c r="AIB996" s="2335"/>
      <c r="AIC996" s="2335"/>
      <c r="AID996" s="2335"/>
      <c r="AIE996" s="2335"/>
      <c r="AIF996" s="2335"/>
      <c r="AIG996" s="2335"/>
      <c r="AIH996" s="2335"/>
      <c r="AII996" s="2335"/>
      <c r="AIJ996" s="2335"/>
      <c r="AIK996" s="2335"/>
      <c r="AIL996" s="2335"/>
      <c r="AIM996" s="2335"/>
      <c r="AIN996" s="2335"/>
      <c r="AIO996" s="2335"/>
      <c r="AIP996" s="2335"/>
      <c r="AIQ996" s="2335"/>
      <c r="AIR996" s="2335"/>
      <c r="AIS996" s="2335"/>
      <c r="AIT996" s="2335"/>
      <c r="AIU996" s="2335"/>
      <c r="AIV996" s="2335"/>
      <c r="AIW996" s="2335"/>
      <c r="AIX996" s="2335"/>
      <c r="AIY996" s="2335"/>
      <c r="AIZ996" s="2335"/>
      <c r="AJA996" s="2335"/>
      <c r="AJB996" s="2335"/>
      <c r="AJC996" s="2335"/>
      <c r="AJD996" s="2335"/>
      <c r="AJE996" s="2335"/>
      <c r="AJF996" s="2335"/>
      <c r="AJG996" s="2335"/>
      <c r="AJH996" s="2335"/>
      <c r="AJI996" s="2335"/>
      <c r="AJJ996" s="2335"/>
      <c r="AJK996" s="2335"/>
      <c r="AJL996" s="2335"/>
      <c r="AJM996" s="2335"/>
      <c r="AJN996" s="2335"/>
      <c r="AJO996" s="2335"/>
      <c r="AJP996" s="2335"/>
      <c r="AJQ996" s="2335"/>
      <c r="AJR996" s="2335"/>
      <c r="AJS996" s="2335"/>
      <c r="AJT996" s="2335"/>
      <c r="AJU996" s="2335"/>
      <c r="AJV996" s="2335"/>
      <c r="AJW996" s="2335"/>
      <c r="AJX996" s="2335"/>
      <c r="AJY996" s="2335"/>
      <c r="AJZ996" s="2335"/>
      <c r="AKA996" s="2335"/>
      <c r="AKB996" s="2335"/>
      <c r="AKC996" s="2335"/>
      <c r="AKD996" s="2335"/>
      <c r="AKE996" s="2335"/>
      <c r="AKF996" s="2335"/>
      <c r="AKG996" s="2335"/>
      <c r="AKH996" s="2335"/>
      <c r="AKI996" s="2335"/>
      <c r="AKJ996" s="2335"/>
      <c r="AKK996" s="2335"/>
      <c r="AKL996" s="2335"/>
      <c r="AKM996" s="2335"/>
      <c r="AKN996" s="2335"/>
      <c r="AKO996" s="2335"/>
      <c r="AKP996" s="2335"/>
      <c r="AKQ996" s="2335"/>
      <c r="AKR996" s="2335"/>
      <c r="AKS996" s="2335"/>
      <c r="AKT996" s="2335"/>
      <c r="AKU996" s="2335"/>
      <c r="AKV996" s="2335"/>
      <c r="AKW996" s="2335"/>
      <c r="AKX996" s="2335"/>
      <c r="AKY996" s="2335"/>
      <c r="AKZ996" s="2335"/>
      <c r="ALA996" s="2335"/>
      <c r="ALB996" s="2335"/>
      <c r="ALC996" s="2335"/>
      <c r="ALD996" s="2335"/>
      <c r="ALE996" s="2335"/>
      <c r="ALF996" s="2335"/>
      <c r="ALG996" s="2335"/>
      <c r="ALH996" s="2335"/>
      <c r="ALI996" s="2335"/>
      <c r="ALJ996" s="2335"/>
      <c r="ALK996" s="2335"/>
      <c r="ALL996" s="2335"/>
      <c r="ALM996" s="2335"/>
      <c r="ALN996" s="2335"/>
      <c r="ALO996" s="2335"/>
      <c r="ALP996" s="2335"/>
      <c r="ALQ996" s="2335"/>
      <c r="ALR996" s="2335"/>
      <c r="ALS996" s="2335"/>
      <c r="ALT996" s="2335"/>
      <c r="ALU996" s="2335"/>
      <c r="ALV996" s="2335"/>
      <c r="ALW996" s="2335"/>
      <c r="ALX996" s="2335"/>
      <c r="ALY996" s="2335"/>
      <c r="ALZ996" s="2335"/>
      <c r="AMA996" s="2335"/>
      <c r="AMB996" s="2335"/>
      <c r="AMC996" s="2335"/>
      <c r="AMD996" s="2335"/>
      <c r="AME996" s="2335"/>
      <c r="AMF996" s="2335"/>
      <c r="AMG996" s="2335"/>
      <c r="AMH996" s="2335"/>
      <c r="AMI996" s="2335"/>
      <c r="AMJ996" s="2335"/>
      <c r="AMK996" s="2335"/>
      <c r="AML996" s="2335"/>
      <c r="AMM996" s="2335"/>
      <c r="AMN996" s="2335"/>
      <c r="AMO996" s="2335"/>
      <c r="AMP996" s="2335"/>
      <c r="AMQ996" s="2335"/>
      <c r="AMR996" s="2335"/>
      <c r="AMS996" s="2335"/>
      <c r="AMT996" s="2335"/>
      <c r="AMU996" s="2335"/>
      <c r="AMV996" s="2335"/>
      <c r="AMW996" s="2335"/>
      <c r="AMX996" s="2335"/>
      <c r="AMY996" s="2335"/>
      <c r="AMZ996" s="2335"/>
      <c r="ANA996" s="2335"/>
      <c r="ANB996" s="2335"/>
      <c r="ANC996" s="2335"/>
      <c r="AND996" s="2335"/>
      <c r="ANE996" s="2335"/>
      <c r="ANF996" s="2335"/>
      <c r="ANG996" s="2335"/>
      <c r="ANH996" s="2335"/>
      <c r="ANI996" s="2335"/>
      <c r="ANJ996" s="2335"/>
      <c r="ANK996" s="2335"/>
      <c r="ANL996" s="2335"/>
      <c r="ANM996" s="2335"/>
      <c r="ANN996" s="2335"/>
      <c r="ANO996" s="2335"/>
      <c r="ANP996" s="2335"/>
      <c r="ANQ996" s="2335"/>
      <c r="ANR996" s="2335"/>
      <c r="ANS996" s="2335"/>
      <c r="ANT996" s="2335"/>
      <c r="ANU996" s="2335"/>
      <c r="ANV996" s="2335"/>
      <c r="ANW996" s="2335"/>
      <c r="ANX996" s="2335"/>
      <c r="ANY996" s="2335"/>
      <c r="ANZ996" s="2335"/>
      <c r="AOA996" s="2335"/>
      <c r="AOB996" s="2335"/>
      <c r="AOC996" s="2335"/>
      <c r="AOD996" s="2335"/>
      <c r="AOE996" s="2335"/>
      <c r="AOF996" s="2335"/>
      <c r="AOG996" s="2335"/>
      <c r="AOH996" s="2335"/>
      <c r="AOI996" s="2335"/>
      <c r="AOJ996" s="2335"/>
      <c r="AOK996" s="2335"/>
      <c r="AOL996" s="2335"/>
      <c r="AOM996" s="2335"/>
      <c r="AON996" s="2335"/>
      <c r="AOO996" s="2335"/>
      <c r="AOP996" s="2335"/>
      <c r="AOQ996" s="2335"/>
      <c r="AOR996" s="2335"/>
      <c r="AOS996" s="2335"/>
      <c r="AOT996" s="2335"/>
      <c r="AOU996" s="2335"/>
      <c r="AOV996" s="2335"/>
      <c r="AOW996" s="2335"/>
      <c r="AOX996" s="2335"/>
      <c r="AOY996" s="2335"/>
      <c r="AOZ996" s="2335"/>
      <c r="APA996" s="2335"/>
      <c r="APB996" s="2335"/>
      <c r="APC996" s="2335"/>
      <c r="APD996" s="2335"/>
      <c r="APE996" s="2335"/>
      <c r="APF996" s="2335"/>
      <c r="APG996" s="2335"/>
      <c r="APH996" s="2335"/>
      <c r="API996" s="2335"/>
      <c r="APJ996" s="2335"/>
      <c r="APK996" s="2335"/>
      <c r="APL996" s="2335"/>
      <c r="APM996" s="2335"/>
      <c r="APN996" s="2335"/>
      <c r="APO996" s="2335"/>
      <c r="APP996" s="2335"/>
      <c r="APQ996" s="2335"/>
      <c r="APR996" s="2335"/>
      <c r="APS996" s="2335"/>
      <c r="APT996" s="2335"/>
      <c r="APU996" s="2335"/>
      <c r="APV996" s="2335"/>
      <c r="APW996" s="2335"/>
      <c r="APX996" s="2335"/>
      <c r="APY996" s="2335"/>
      <c r="APZ996" s="2335"/>
      <c r="AQA996" s="2335"/>
      <c r="AQB996" s="2335"/>
      <c r="AQC996" s="2335"/>
      <c r="AQD996" s="2335"/>
      <c r="AQE996" s="2335"/>
      <c r="AQF996" s="2335"/>
      <c r="AQG996" s="2335"/>
      <c r="AQH996" s="2335"/>
      <c r="AQI996" s="2335"/>
      <c r="AQJ996" s="2335"/>
      <c r="AQK996" s="2335"/>
      <c r="AQL996" s="2335"/>
      <c r="AQM996" s="2335"/>
      <c r="AQN996" s="2335"/>
      <c r="AQO996" s="2335"/>
      <c r="AQP996" s="2335"/>
      <c r="AQQ996" s="2335"/>
      <c r="AQR996" s="2335"/>
      <c r="AQS996" s="2335"/>
      <c r="AQT996" s="2335"/>
      <c r="AQU996" s="2335"/>
      <c r="AQV996" s="2335"/>
      <c r="AQW996" s="2335"/>
      <c r="AQX996" s="2335"/>
      <c r="AQY996" s="2335"/>
      <c r="AQZ996" s="2335"/>
      <c r="ARA996" s="2335"/>
      <c r="ARB996" s="2335"/>
      <c r="ARC996" s="2335"/>
      <c r="ARD996" s="2335"/>
      <c r="ARE996" s="2335"/>
      <c r="ARF996" s="2335"/>
      <c r="ARG996" s="2335"/>
      <c r="ARH996" s="2335"/>
      <c r="ARI996" s="2335"/>
      <c r="ARJ996" s="2335"/>
      <c r="ARK996" s="2335"/>
      <c r="ARL996" s="2335"/>
      <c r="ARM996" s="2335"/>
      <c r="ARN996" s="2335"/>
      <c r="ARO996" s="2335"/>
      <c r="ARP996" s="2335"/>
      <c r="ARQ996" s="2335"/>
      <c r="ARR996" s="2335"/>
      <c r="ARS996" s="2335"/>
      <c r="ART996" s="2335"/>
      <c r="ARU996" s="2335"/>
      <c r="ARV996" s="2335"/>
      <c r="ARW996" s="2335"/>
      <c r="ARX996" s="2335"/>
      <c r="ARY996" s="2335"/>
      <c r="ARZ996" s="2335"/>
      <c r="ASA996" s="2335"/>
      <c r="ASB996" s="2335"/>
      <c r="ASC996" s="2335"/>
      <c r="ASD996" s="2335"/>
      <c r="ASE996" s="2335"/>
      <c r="ASF996" s="2335"/>
      <c r="ASG996" s="2335"/>
      <c r="ASH996" s="2335"/>
      <c r="ASI996" s="2335"/>
      <c r="ASJ996" s="2335"/>
      <c r="ASK996" s="2335"/>
      <c r="ASL996" s="2335"/>
      <c r="ASM996" s="2335"/>
      <c r="ASN996" s="2335"/>
      <c r="ASO996" s="2335"/>
      <c r="ASP996" s="2335"/>
      <c r="ASQ996" s="2335"/>
      <c r="ASR996" s="2335"/>
      <c r="ASS996" s="2335"/>
      <c r="AST996" s="2335"/>
      <c r="ASU996" s="2335"/>
      <c r="ASV996" s="2335"/>
      <c r="ASW996" s="2335"/>
      <c r="ASX996" s="2335"/>
      <c r="ASY996" s="2335"/>
      <c r="ASZ996" s="2335"/>
      <c r="ATA996" s="2335"/>
      <c r="ATB996" s="2335"/>
      <c r="ATC996" s="2335"/>
      <c r="ATD996" s="2335"/>
      <c r="ATE996" s="2335"/>
      <c r="ATF996" s="2335"/>
      <c r="ATG996" s="2335"/>
      <c r="ATH996" s="2335"/>
      <c r="ATI996" s="2335"/>
      <c r="ATJ996" s="2335"/>
      <c r="ATK996" s="2335"/>
      <c r="ATL996" s="2335"/>
      <c r="ATM996" s="2335"/>
      <c r="ATN996" s="2335"/>
      <c r="ATO996" s="2335"/>
      <c r="ATP996" s="2335"/>
      <c r="ATQ996" s="2335"/>
      <c r="ATR996" s="2335"/>
      <c r="ATS996" s="2335"/>
      <c r="ATT996" s="2335"/>
      <c r="ATU996" s="2335"/>
      <c r="ATV996" s="2335"/>
      <c r="ATW996" s="2335"/>
      <c r="ATX996" s="2335"/>
      <c r="ATY996" s="2335"/>
      <c r="ATZ996" s="2335"/>
      <c r="AUA996" s="2335"/>
      <c r="AUB996" s="2335"/>
      <c r="AUC996" s="2335"/>
      <c r="AUD996" s="2335"/>
      <c r="AUE996" s="2335"/>
      <c r="AUF996" s="2335"/>
      <c r="AUG996" s="2335"/>
      <c r="AUH996" s="2335"/>
      <c r="AUI996" s="2335"/>
      <c r="AUJ996" s="2335"/>
      <c r="AUK996" s="2335"/>
      <c r="AUL996" s="2335"/>
      <c r="AUM996" s="2335"/>
      <c r="AUN996" s="2335"/>
      <c r="AUO996" s="2335"/>
      <c r="AUP996" s="2335"/>
      <c r="AUQ996" s="2335"/>
      <c r="AUR996" s="2335"/>
      <c r="AUS996" s="2335"/>
      <c r="AUT996" s="2335"/>
      <c r="AUU996" s="2335"/>
      <c r="AUV996" s="2335"/>
      <c r="AUW996" s="2335"/>
      <c r="AUX996" s="2335"/>
      <c r="AUY996" s="2335"/>
      <c r="AUZ996" s="2335"/>
      <c r="AVA996" s="2335"/>
      <c r="AVB996" s="2335"/>
      <c r="AVC996" s="2335"/>
      <c r="AVD996" s="2335"/>
      <c r="AVE996" s="2335"/>
      <c r="AVF996" s="2335"/>
      <c r="AVG996" s="2335"/>
      <c r="AVH996" s="2335"/>
      <c r="AVI996" s="2335"/>
      <c r="AVJ996" s="2335"/>
      <c r="AVK996" s="2335"/>
      <c r="AVL996" s="2335"/>
      <c r="AVM996" s="2335"/>
      <c r="AVN996" s="2335"/>
      <c r="AVO996" s="2335"/>
      <c r="AVP996" s="2335"/>
      <c r="AVQ996" s="2335"/>
      <c r="AVR996" s="2335"/>
      <c r="AVS996" s="2335"/>
      <c r="AVT996" s="2335"/>
      <c r="AVU996" s="2335"/>
      <c r="AVV996" s="2335"/>
      <c r="AVW996" s="2335"/>
      <c r="AVX996" s="2335"/>
      <c r="AVY996" s="2335"/>
      <c r="AVZ996" s="2335"/>
      <c r="AWA996" s="2335"/>
      <c r="AWB996" s="2335"/>
      <c r="AWC996" s="2335"/>
      <c r="AWD996" s="2335"/>
      <c r="AWE996" s="2335"/>
      <c r="AWF996" s="2335"/>
      <c r="AWG996" s="2335"/>
      <c r="AWH996" s="2335"/>
      <c r="AWI996" s="2335"/>
      <c r="AWJ996" s="2335"/>
      <c r="AWK996" s="2335"/>
      <c r="AWL996" s="2335"/>
      <c r="AWM996" s="2335"/>
      <c r="AWN996" s="2335"/>
      <c r="AWO996" s="2335"/>
      <c r="AWP996" s="2335"/>
      <c r="AWQ996" s="2335"/>
      <c r="AWR996" s="2335"/>
      <c r="AWS996" s="2335"/>
      <c r="AWT996" s="2335"/>
      <c r="AWU996" s="2335"/>
      <c r="AWV996" s="2335"/>
      <c r="AWW996" s="2335"/>
      <c r="AWX996" s="2335"/>
      <c r="AWY996" s="2335"/>
      <c r="AWZ996" s="2335"/>
      <c r="AXA996" s="2335"/>
      <c r="AXB996" s="2335"/>
      <c r="AXC996" s="2335"/>
      <c r="AXD996" s="2335"/>
      <c r="AXE996" s="2335"/>
      <c r="AXF996" s="2335"/>
      <c r="AXG996" s="2335"/>
      <c r="AXH996" s="2335"/>
      <c r="AXI996" s="2335"/>
      <c r="AXJ996" s="2335"/>
      <c r="AXK996" s="2335"/>
      <c r="AXL996" s="2335"/>
      <c r="AXM996" s="2335"/>
      <c r="AXN996" s="2335"/>
      <c r="AXO996" s="2335"/>
      <c r="AXP996" s="2335"/>
      <c r="AXQ996" s="2335"/>
      <c r="AXR996" s="2335"/>
      <c r="AXS996" s="2335"/>
      <c r="AXT996" s="2335"/>
      <c r="AXU996" s="2335"/>
      <c r="AXV996" s="2335"/>
      <c r="AXW996" s="2335"/>
      <c r="AXX996" s="2335"/>
      <c r="AXY996" s="2335"/>
      <c r="AXZ996" s="2335"/>
      <c r="AYA996" s="2335"/>
      <c r="AYB996" s="2335"/>
      <c r="AYC996" s="2335"/>
      <c r="AYD996" s="2335"/>
      <c r="AYE996" s="2335"/>
      <c r="AYF996" s="2335"/>
      <c r="AYG996" s="2335"/>
      <c r="AYH996" s="2335"/>
      <c r="AYI996" s="2335"/>
      <c r="AYJ996" s="2335"/>
      <c r="AYK996" s="2335"/>
      <c r="AYL996" s="2335"/>
      <c r="AYM996" s="2335"/>
      <c r="AYN996" s="2335"/>
      <c r="AYO996" s="2335"/>
      <c r="AYP996" s="2335"/>
      <c r="AYQ996" s="2335"/>
      <c r="AYR996" s="2335"/>
      <c r="AYS996" s="2335"/>
      <c r="AYT996" s="2335"/>
      <c r="AYU996" s="2335"/>
      <c r="AYV996" s="2335"/>
      <c r="AYW996" s="2335"/>
      <c r="AYX996" s="2335"/>
      <c r="AYY996" s="2335"/>
      <c r="AYZ996" s="2335"/>
      <c r="AZA996" s="2335"/>
      <c r="AZB996" s="2335"/>
      <c r="AZC996" s="2335"/>
      <c r="AZD996" s="2335"/>
      <c r="AZE996" s="2335"/>
      <c r="AZF996" s="2335"/>
      <c r="AZG996" s="2335"/>
      <c r="AZH996" s="2335"/>
      <c r="AZI996" s="2335"/>
      <c r="AZJ996" s="2335"/>
      <c r="AZK996" s="2335"/>
      <c r="AZL996" s="2335"/>
      <c r="AZM996" s="2335"/>
      <c r="AZN996" s="2335"/>
      <c r="AZO996" s="2335"/>
      <c r="AZP996" s="2335"/>
      <c r="AZQ996" s="2335"/>
      <c r="AZR996" s="2335"/>
      <c r="AZS996" s="2335"/>
      <c r="AZT996" s="2335"/>
      <c r="AZU996" s="2335"/>
      <c r="AZV996" s="2335"/>
      <c r="AZW996" s="2335"/>
      <c r="AZX996" s="2335"/>
      <c r="AZY996" s="2335"/>
      <c r="AZZ996" s="2335"/>
      <c r="BAA996" s="2335"/>
      <c r="BAB996" s="2335"/>
      <c r="BAC996" s="2335"/>
      <c r="BAD996" s="2335"/>
      <c r="BAE996" s="2335"/>
      <c r="BAF996" s="2335"/>
      <c r="BAG996" s="2335"/>
      <c r="BAH996" s="2335"/>
      <c r="BAI996" s="2335"/>
      <c r="BAJ996" s="2335"/>
      <c r="BAK996" s="2335"/>
      <c r="BAL996" s="2335"/>
      <c r="BAM996" s="2335"/>
      <c r="BAN996" s="2335"/>
      <c r="BAO996" s="2335"/>
      <c r="BAP996" s="2335"/>
      <c r="BAQ996" s="2335"/>
      <c r="BAR996" s="2335"/>
      <c r="BAS996" s="2335"/>
      <c r="BAT996" s="2335"/>
      <c r="BAU996" s="2335"/>
      <c r="BAV996" s="2335"/>
      <c r="BAW996" s="2335"/>
      <c r="BAX996" s="2335"/>
      <c r="BAY996" s="2335"/>
      <c r="BAZ996" s="2335"/>
      <c r="BBA996" s="2335"/>
      <c r="BBB996" s="2335"/>
      <c r="BBC996" s="2335"/>
      <c r="BBD996" s="2335"/>
      <c r="BBE996" s="2335"/>
      <c r="BBF996" s="2335"/>
      <c r="BBG996" s="2335"/>
      <c r="BBH996" s="2335"/>
      <c r="BBI996" s="2335"/>
      <c r="BBJ996" s="2335"/>
      <c r="BBK996" s="2335"/>
      <c r="BBL996" s="2335"/>
      <c r="BBM996" s="2335"/>
      <c r="BBN996" s="2335"/>
      <c r="BBO996" s="2335"/>
      <c r="BBP996" s="2335"/>
      <c r="BBQ996" s="2335"/>
      <c r="BBR996" s="2335"/>
      <c r="BBS996" s="2335"/>
      <c r="BBT996" s="2335"/>
      <c r="BBU996" s="2335"/>
      <c r="BBV996" s="2335"/>
      <c r="BBW996" s="2335"/>
      <c r="BBX996" s="2335"/>
      <c r="BBY996" s="2335"/>
      <c r="BBZ996" s="2335"/>
      <c r="BCA996" s="2335"/>
      <c r="BCB996" s="2335"/>
      <c r="BCC996" s="2335"/>
      <c r="BCD996" s="2335"/>
      <c r="BCE996" s="2335"/>
      <c r="BCF996" s="2335"/>
      <c r="BCG996" s="2335"/>
      <c r="BCH996" s="2335"/>
      <c r="BCI996" s="2335"/>
      <c r="BCJ996" s="2335"/>
      <c r="BCK996" s="2335"/>
      <c r="BCL996" s="2335"/>
      <c r="BCM996" s="2335"/>
      <c r="BCN996" s="2335"/>
      <c r="BCO996" s="2335"/>
      <c r="BCP996" s="2335"/>
      <c r="BCQ996" s="2335"/>
      <c r="BCR996" s="2335"/>
      <c r="BCS996" s="2335"/>
      <c r="BCT996" s="2335"/>
      <c r="BCU996" s="2335"/>
      <c r="BCV996" s="2335"/>
      <c r="BCW996" s="2335"/>
      <c r="BCX996" s="2335"/>
      <c r="BCY996" s="2335"/>
      <c r="BCZ996" s="2335"/>
      <c r="BDA996" s="2335"/>
      <c r="BDB996" s="2335"/>
      <c r="BDC996" s="2335"/>
      <c r="BDD996" s="2335"/>
      <c r="BDE996" s="2335"/>
      <c r="BDF996" s="2335"/>
      <c r="BDG996" s="2335"/>
      <c r="BDH996" s="2335"/>
      <c r="BDI996" s="2335"/>
      <c r="BDJ996" s="2335"/>
      <c r="BDK996" s="2335"/>
      <c r="BDL996" s="2335"/>
      <c r="BDM996" s="2335"/>
      <c r="BDN996" s="2335"/>
      <c r="BDO996" s="2335"/>
      <c r="BDP996" s="2335"/>
      <c r="BDQ996" s="2335"/>
      <c r="BDR996" s="2335"/>
      <c r="BDS996" s="2335"/>
      <c r="BDT996" s="2335"/>
      <c r="BDU996" s="2335"/>
      <c r="BDV996" s="2335"/>
      <c r="BDW996" s="2335"/>
      <c r="BDX996" s="2335"/>
      <c r="BDY996" s="2335"/>
      <c r="BDZ996" s="2335"/>
      <c r="BEA996" s="2335"/>
      <c r="BEB996" s="2335"/>
      <c r="BEC996" s="2335"/>
      <c r="BED996" s="2335"/>
      <c r="BEE996" s="2335"/>
      <c r="BEF996" s="2335"/>
      <c r="BEG996" s="2335"/>
      <c r="BEH996" s="2335"/>
      <c r="BEI996" s="2335"/>
      <c r="BEJ996" s="2335"/>
      <c r="BEK996" s="2335"/>
      <c r="BEL996" s="2335"/>
      <c r="BEM996" s="2335"/>
      <c r="BEN996" s="2335"/>
      <c r="BEO996" s="2335"/>
      <c r="BEP996" s="2335"/>
      <c r="BEQ996" s="2335"/>
      <c r="BER996" s="2335"/>
      <c r="BES996" s="2335"/>
      <c r="BET996" s="2335"/>
      <c r="BEU996" s="2335"/>
      <c r="BEV996" s="2335"/>
      <c r="BEW996" s="2335"/>
      <c r="BEX996" s="2335"/>
      <c r="BEY996" s="2335"/>
      <c r="BEZ996" s="2335"/>
      <c r="BFA996" s="2335"/>
      <c r="BFB996" s="2335"/>
      <c r="BFC996" s="2335"/>
      <c r="BFD996" s="2335"/>
      <c r="BFE996" s="2335"/>
      <c r="BFF996" s="2335"/>
      <c r="BFG996" s="2335"/>
      <c r="BFH996" s="2335"/>
      <c r="BFI996" s="2335"/>
      <c r="BFJ996" s="2335"/>
      <c r="BFK996" s="2335"/>
      <c r="BFL996" s="2335"/>
      <c r="BFM996" s="2335"/>
      <c r="BFN996" s="2335"/>
      <c r="BFO996" s="2335"/>
      <c r="BFP996" s="2335"/>
      <c r="BFQ996" s="2335"/>
      <c r="BFR996" s="2335"/>
      <c r="BFS996" s="2335"/>
      <c r="BFT996" s="2335"/>
      <c r="BFU996" s="2335"/>
      <c r="BFV996" s="2335"/>
      <c r="BFW996" s="2335"/>
      <c r="BFX996" s="2335"/>
      <c r="BFY996" s="2335"/>
      <c r="BFZ996" s="2335"/>
      <c r="BGA996" s="2335"/>
      <c r="BGB996" s="2335"/>
      <c r="BGC996" s="2335"/>
      <c r="BGD996" s="2335"/>
      <c r="BGE996" s="2335"/>
      <c r="BGF996" s="2335"/>
      <c r="BGG996" s="2335"/>
      <c r="BGH996" s="2335"/>
      <c r="BGI996" s="2335"/>
      <c r="BGJ996" s="2335"/>
      <c r="BGK996" s="2335"/>
      <c r="BGL996" s="2335"/>
      <c r="BGM996" s="2335"/>
      <c r="BGN996" s="2335"/>
      <c r="BGO996" s="2335"/>
      <c r="BGP996" s="2335"/>
      <c r="BGQ996" s="2335"/>
      <c r="BGR996" s="2335"/>
      <c r="BGS996" s="2335"/>
      <c r="BGT996" s="2335"/>
      <c r="BGU996" s="2335"/>
      <c r="BGV996" s="2335"/>
      <c r="BGW996" s="2335"/>
      <c r="BGX996" s="2335"/>
      <c r="BGY996" s="2335"/>
      <c r="BGZ996" s="2335"/>
      <c r="BHA996" s="2335"/>
      <c r="BHB996" s="2335"/>
      <c r="BHC996" s="2335"/>
      <c r="BHD996" s="2335"/>
      <c r="BHE996" s="2335"/>
      <c r="BHF996" s="2335"/>
      <c r="BHG996" s="2335"/>
      <c r="BHH996" s="2335"/>
      <c r="BHI996" s="2335"/>
      <c r="BHJ996" s="2335"/>
      <c r="BHK996" s="2335"/>
      <c r="BHL996" s="2335"/>
      <c r="BHM996" s="2335"/>
      <c r="BHN996" s="2335"/>
      <c r="BHO996" s="2335"/>
      <c r="BHP996" s="2335"/>
      <c r="BHQ996" s="2335"/>
      <c r="BHR996" s="2335"/>
      <c r="BHS996" s="2335"/>
      <c r="BHT996" s="2335"/>
      <c r="BHU996" s="2335"/>
      <c r="BHV996" s="2335"/>
      <c r="BHW996" s="2335"/>
      <c r="BHX996" s="2335"/>
      <c r="BHY996" s="2335"/>
      <c r="BHZ996" s="2335"/>
      <c r="BIA996" s="2335"/>
      <c r="BIB996" s="2335"/>
      <c r="BIC996" s="2335"/>
      <c r="BID996" s="2335"/>
      <c r="BIE996" s="2335"/>
      <c r="BIF996" s="2335"/>
      <c r="BIG996" s="2335"/>
      <c r="BIH996" s="2335"/>
      <c r="BII996" s="2335"/>
      <c r="BIJ996" s="2335"/>
      <c r="BIK996" s="2335"/>
      <c r="BIL996" s="2335"/>
      <c r="BIM996" s="2335"/>
      <c r="BIN996" s="2335"/>
      <c r="BIO996" s="2335"/>
      <c r="BIP996" s="2335"/>
      <c r="BIQ996" s="2335"/>
      <c r="BIR996" s="2335"/>
      <c r="BIS996" s="2335"/>
      <c r="BIT996" s="2335"/>
      <c r="BIU996" s="2335"/>
      <c r="BIV996" s="2335"/>
      <c r="BIW996" s="2335"/>
      <c r="BIX996" s="2335"/>
      <c r="BIY996" s="2335"/>
      <c r="BIZ996" s="2335"/>
      <c r="BJA996" s="2335"/>
      <c r="BJB996" s="2335"/>
      <c r="BJC996" s="2335"/>
      <c r="BJD996" s="2335"/>
      <c r="BJE996" s="2335"/>
      <c r="BJF996" s="2335"/>
      <c r="BJG996" s="2335"/>
      <c r="BJH996" s="2335"/>
      <c r="BJI996" s="2335"/>
      <c r="BJJ996" s="2335"/>
      <c r="BJK996" s="2335"/>
      <c r="BJL996" s="2335"/>
      <c r="BJM996" s="2335"/>
      <c r="BJN996" s="2335"/>
      <c r="BJO996" s="2335"/>
      <c r="BJP996" s="2335"/>
      <c r="BJQ996" s="2335"/>
      <c r="BJR996" s="2335"/>
      <c r="BJS996" s="2335"/>
      <c r="BJT996" s="2335"/>
      <c r="BJU996" s="2335"/>
      <c r="BJV996" s="2335"/>
      <c r="BJW996" s="2335"/>
      <c r="BJX996" s="2335"/>
      <c r="BJY996" s="2335"/>
      <c r="BJZ996" s="2335"/>
      <c r="BKA996" s="2335"/>
      <c r="BKB996" s="2335"/>
      <c r="BKC996" s="2335"/>
      <c r="BKD996" s="2335"/>
      <c r="BKE996" s="2335"/>
      <c r="BKF996" s="2335"/>
      <c r="BKG996" s="2335"/>
      <c r="BKH996" s="2335"/>
      <c r="BKI996" s="2335"/>
      <c r="BKJ996" s="2335"/>
      <c r="BKK996" s="2335"/>
      <c r="BKL996" s="2335"/>
      <c r="BKM996" s="2335"/>
      <c r="BKN996" s="2335"/>
      <c r="BKO996" s="2335"/>
      <c r="BKP996" s="2335"/>
      <c r="BKQ996" s="2335"/>
      <c r="BKR996" s="2335"/>
      <c r="BKS996" s="2335"/>
      <c r="BKT996" s="2335"/>
      <c r="BKU996" s="2335"/>
      <c r="BKV996" s="2335"/>
      <c r="BKW996" s="2335"/>
      <c r="BKX996" s="2335"/>
      <c r="BKY996" s="2335"/>
      <c r="BKZ996" s="2335"/>
      <c r="BLA996" s="2335"/>
      <c r="BLB996" s="2335"/>
      <c r="BLC996" s="2335"/>
      <c r="BLD996" s="2335"/>
      <c r="BLE996" s="2335"/>
      <c r="BLF996" s="2335"/>
      <c r="BLG996" s="2335"/>
      <c r="BLH996" s="2335"/>
      <c r="BLI996" s="2335"/>
      <c r="BLJ996" s="2335"/>
      <c r="BLK996" s="2335"/>
      <c r="BLL996" s="2335"/>
      <c r="BLM996" s="2335"/>
      <c r="BLN996" s="2335"/>
      <c r="BLO996" s="2335"/>
      <c r="BLP996" s="2335"/>
      <c r="BLQ996" s="2335"/>
      <c r="BLR996" s="2335"/>
      <c r="BLS996" s="2335"/>
      <c r="BLT996" s="2335"/>
      <c r="BLU996" s="2335"/>
      <c r="BLV996" s="2335"/>
      <c r="BLW996" s="2335"/>
      <c r="BLX996" s="2335"/>
      <c r="BLY996" s="2335"/>
      <c r="BLZ996" s="2335"/>
      <c r="BMA996" s="2335"/>
      <c r="BMB996" s="2335"/>
      <c r="BMC996" s="2335"/>
      <c r="BMD996" s="2335"/>
      <c r="BME996" s="2335"/>
      <c r="BMF996" s="2335"/>
      <c r="BMG996" s="2335"/>
      <c r="BMH996" s="2335"/>
      <c r="BMI996" s="2335"/>
      <c r="BMJ996" s="2335"/>
      <c r="BMK996" s="2335"/>
      <c r="BML996" s="2335"/>
      <c r="BMM996" s="2335"/>
      <c r="BMN996" s="2335"/>
      <c r="BMO996" s="2335"/>
      <c r="BMP996" s="2335"/>
      <c r="BMQ996" s="2335"/>
      <c r="BMR996" s="2335"/>
      <c r="BMS996" s="2335"/>
      <c r="BMT996" s="2335"/>
      <c r="BMU996" s="2335"/>
      <c r="BMV996" s="2335"/>
      <c r="BMW996" s="2335"/>
      <c r="BMX996" s="2335"/>
      <c r="BMY996" s="2335"/>
      <c r="BMZ996" s="2335"/>
      <c r="BNA996" s="2335"/>
      <c r="BNB996" s="2335"/>
      <c r="BNC996" s="2335"/>
      <c r="BND996" s="2335"/>
      <c r="BNE996" s="2335"/>
      <c r="BNF996" s="2335"/>
      <c r="BNG996" s="2335"/>
      <c r="BNH996" s="2335"/>
      <c r="BNI996" s="2335"/>
      <c r="BNJ996" s="2335"/>
      <c r="BNK996" s="2335"/>
      <c r="BNL996" s="2335"/>
      <c r="BNM996" s="2335"/>
      <c r="BNN996" s="2335"/>
      <c r="BNO996" s="2335"/>
      <c r="BNP996" s="2335"/>
      <c r="BNQ996" s="2335"/>
      <c r="BNR996" s="2335"/>
      <c r="BNS996" s="2335"/>
      <c r="BNT996" s="2335"/>
      <c r="BNU996" s="2335"/>
      <c r="BNV996" s="2335"/>
      <c r="BNW996" s="2335"/>
      <c r="BNX996" s="2335"/>
      <c r="BNY996" s="2335"/>
      <c r="BNZ996" s="2335"/>
      <c r="BOA996" s="2335"/>
      <c r="BOB996" s="2335"/>
      <c r="BOC996" s="2335"/>
      <c r="BOD996" s="2335"/>
      <c r="BOE996" s="2335"/>
      <c r="BOF996" s="2335"/>
      <c r="BOG996" s="2335"/>
      <c r="BOH996" s="2335"/>
      <c r="BOI996" s="2335"/>
      <c r="BOJ996" s="2335"/>
      <c r="BOK996" s="2335"/>
      <c r="BOL996" s="2335"/>
      <c r="BOM996" s="2335"/>
      <c r="BON996" s="2335"/>
      <c r="BOO996" s="2335"/>
      <c r="BOP996" s="2335"/>
      <c r="BOQ996" s="2335"/>
      <c r="BOR996" s="2335"/>
      <c r="BOS996" s="2335"/>
      <c r="BOT996" s="2335"/>
      <c r="BOU996" s="2335"/>
      <c r="BOV996" s="2335"/>
      <c r="BOW996" s="2335"/>
      <c r="BOX996" s="2335"/>
      <c r="BOY996" s="2335"/>
      <c r="BOZ996" s="2335"/>
      <c r="BPA996" s="2335"/>
      <c r="BPB996" s="2335"/>
      <c r="BPC996" s="2335"/>
      <c r="BPD996" s="2335"/>
      <c r="BPE996" s="2335"/>
      <c r="BPF996" s="2335"/>
      <c r="BPG996" s="2335"/>
      <c r="BPH996" s="2335"/>
      <c r="BPI996" s="2335"/>
      <c r="BPJ996" s="2335"/>
      <c r="BPK996" s="2335"/>
      <c r="BPL996" s="2335"/>
      <c r="BPM996" s="2335"/>
      <c r="BPN996" s="2335"/>
      <c r="BPO996" s="2335"/>
      <c r="BPP996" s="2335"/>
      <c r="BPQ996" s="2335"/>
      <c r="BPR996" s="2335"/>
      <c r="BPS996" s="2335"/>
      <c r="BPT996" s="2335"/>
      <c r="BPU996" s="2335"/>
      <c r="BPV996" s="2335"/>
      <c r="BPW996" s="2335"/>
      <c r="BPX996" s="2335"/>
      <c r="BPY996" s="2335"/>
      <c r="BPZ996" s="2335"/>
      <c r="BQA996" s="2335"/>
      <c r="BQB996" s="2335"/>
      <c r="BQC996" s="2335"/>
      <c r="BQD996" s="2335"/>
      <c r="BQE996" s="2335"/>
      <c r="BQF996" s="2335"/>
      <c r="BQG996" s="2335"/>
      <c r="BQH996" s="2335"/>
      <c r="BQI996" s="2335"/>
      <c r="BQJ996" s="2335"/>
      <c r="BQK996" s="2335"/>
      <c r="BQL996" s="2335"/>
      <c r="BQM996" s="2335"/>
      <c r="BQN996" s="2335"/>
      <c r="BQO996" s="2335"/>
      <c r="BQP996" s="2335"/>
      <c r="BQQ996" s="2335"/>
      <c r="BQR996" s="2335"/>
      <c r="BQS996" s="2335"/>
      <c r="BQT996" s="2335"/>
      <c r="BQU996" s="2335"/>
      <c r="BQV996" s="2335"/>
      <c r="BQW996" s="2335"/>
      <c r="BQX996" s="2335"/>
      <c r="BQY996" s="2335"/>
      <c r="BQZ996" s="2335"/>
      <c r="BRA996" s="2335"/>
      <c r="BRB996" s="2335"/>
      <c r="BRC996" s="2335"/>
      <c r="BRD996" s="2335"/>
      <c r="BRE996" s="2335"/>
      <c r="BRF996" s="2335"/>
      <c r="BRG996" s="2335"/>
      <c r="BRH996" s="2335"/>
      <c r="BRI996" s="2335"/>
      <c r="BRJ996" s="2335"/>
      <c r="BRK996" s="2335"/>
      <c r="BRL996" s="2335"/>
      <c r="BRM996" s="2335"/>
      <c r="BRN996" s="2335"/>
      <c r="BRO996" s="2335"/>
      <c r="BRP996" s="2335"/>
      <c r="BRQ996" s="2335"/>
      <c r="BRR996" s="2335"/>
      <c r="BRS996" s="2335"/>
      <c r="BRT996" s="2335"/>
      <c r="BRU996" s="2335"/>
      <c r="BRV996" s="2335"/>
      <c r="BRW996" s="2335"/>
      <c r="BRX996" s="2335"/>
      <c r="BRY996" s="2335"/>
      <c r="BRZ996" s="2335"/>
      <c r="BSA996" s="2335"/>
      <c r="BSB996" s="2335"/>
      <c r="BSC996" s="2335"/>
      <c r="BSD996" s="2335"/>
      <c r="BSE996" s="2335"/>
      <c r="BSF996" s="2335"/>
      <c r="BSG996" s="2335"/>
      <c r="BSH996" s="2335"/>
      <c r="BSI996" s="2335"/>
      <c r="BSJ996" s="2335"/>
      <c r="BSK996" s="2335"/>
      <c r="BSL996" s="2335"/>
      <c r="BSM996" s="2335"/>
      <c r="BSN996" s="2335"/>
      <c r="BSO996" s="2335"/>
      <c r="BSP996" s="2335"/>
      <c r="BSQ996" s="2335"/>
      <c r="BSR996" s="2335"/>
      <c r="BSS996" s="2335"/>
      <c r="BST996" s="2335"/>
      <c r="BSU996" s="2335"/>
      <c r="BSV996" s="2335"/>
      <c r="BSW996" s="2335"/>
      <c r="BSX996" s="2335"/>
      <c r="BSY996" s="2335"/>
      <c r="BSZ996" s="2335"/>
      <c r="BTA996" s="2335"/>
      <c r="BTB996" s="2335"/>
      <c r="BTC996" s="2335"/>
      <c r="BTD996" s="2335"/>
      <c r="BTE996" s="2335"/>
      <c r="BTF996" s="2335"/>
      <c r="BTG996" s="2335"/>
      <c r="BTH996" s="2335"/>
      <c r="BTI996" s="2335"/>
      <c r="BTJ996" s="2335"/>
      <c r="BTK996" s="2335"/>
      <c r="BTL996" s="2335"/>
      <c r="BTM996" s="2335"/>
      <c r="BTN996" s="2335"/>
      <c r="BTO996" s="2335"/>
      <c r="BTP996" s="2335"/>
      <c r="BTQ996" s="2335"/>
      <c r="BTR996" s="2335"/>
      <c r="BTS996" s="2335"/>
      <c r="BTT996" s="2335"/>
      <c r="BTU996" s="2335"/>
      <c r="BTV996" s="2335"/>
      <c r="BTW996" s="2335"/>
      <c r="BTX996" s="2335"/>
      <c r="BTY996" s="2335"/>
      <c r="BTZ996" s="2335"/>
      <c r="BUA996" s="2335"/>
      <c r="BUB996" s="2335"/>
      <c r="BUC996" s="2335"/>
      <c r="BUD996" s="2335"/>
      <c r="BUE996" s="2335"/>
      <c r="BUF996" s="2335"/>
      <c r="BUG996" s="2335"/>
      <c r="BUH996" s="2335"/>
      <c r="BUI996" s="2335"/>
      <c r="BUJ996" s="2335"/>
      <c r="BUK996" s="2335"/>
      <c r="BUL996" s="2335"/>
      <c r="BUM996" s="2335"/>
      <c r="BUN996" s="2335"/>
      <c r="BUO996" s="2335"/>
      <c r="BUP996" s="2335"/>
      <c r="BUQ996" s="2335"/>
      <c r="BUR996" s="2335"/>
      <c r="BUS996" s="2335"/>
      <c r="BUT996" s="2335"/>
      <c r="BUU996" s="2335"/>
      <c r="BUV996" s="2335"/>
      <c r="BUW996" s="2335"/>
      <c r="BUX996" s="2335"/>
      <c r="BUY996" s="2335"/>
      <c r="BUZ996" s="2335"/>
      <c r="BVA996" s="2335"/>
      <c r="BVB996" s="2335"/>
      <c r="BVC996" s="2335"/>
      <c r="BVD996" s="2335"/>
      <c r="BVE996" s="2335"/>
      <c r="BVF996" s="2335"/>
      <c r="BVG996" s="2335"/>
      <c r="BVH996" s="2335"/>
      <c r="BVI996" s="2335"/>
      <c r="BVJ996" s="2335"/>
      <c r="BVK996" s="2335"/>
      <c r="BVL996" s="2335"/>
      <c r="BVM996" s="2335"/>
      <c r="BVN996" s="2335"/>
      <c r="BVO996" s="2335"/>
      <c r="BVP996" s="2335"/>
      <c r="BVQ996" s="2335"/>
      <c r="BVR996" s="2335"/>
      <c r="BVS996" s="2335"/>
      <c r="BVT996" s="2335"/>
      <c r="BVU996" s="2335"/>
      <c r="BVV996" s="2335"/>
      <c r="BVW996" s="2335"/>
      <c r="BVX996" s="2335"/>
      <c r="BVY996" s="2335"/>
      <c r="BVZ996" s="2335"/>
      <c r="BWA996" s="2335"/>
      <c r="BWB996" s="2335"/>
      <c r="BWC996" s="2335"/>
      <c r="BWD996" s="2335"/>
      <c r="BWE996" s="2335"/>
      <c r="BWF996" s="2335"/>
      <c r="BWG996" s="2335"/>
      <c r="BWH996" s="2335"/>
      <c r="BWI996" s="2335"/>
      <c r="BWJ996" s="2335"/>
      <c r="BWK996" s="2335"/>
      <c r="BWL996" s="2335"/>
      <c r="BWM996" s="2335"/>
      <c r="BWN996" s="2335"/>
      <c r="BWO996" s="2335"/>
      <c r="BWP996" s="2335"/>
      <c r="BWQ996" s="2335"/>
      <c r="BWR996" s="2335"/>
      <c r="BWS996" s="2335"/>
      <c r="BWT996" s="2335"/>
      <c r="BWU996" s="2335"/>
      <c r="BWV996" s="2335"/>
      <c r="BWW996" s="2335"/>
      <c r="BWX996" s="2335"/>
      <c r="BWY996" s="2335"/>
      <c r="BWZ996" s="2335"/>
      <c r="BXA996" s="2335"/>
      <c r="BXB996" s="2335"/>
      <c r="BXC996" s="2335"/>
      <c r="BXD996" s="2335"/>
      <c r="BXE996" s="2335"/>
      <c r="BXF996" s="2335"/>
      <c r="BXG996" s="2335"/>
      <c r="BXH996" s="2335"/>
      <c r="BXI996" s="2335"/>
      <c r="BXJ996" s="2335"/>
      <c r="BXK996" s="2335"/>
      <c r="BXL996" s="2335"/>
      <c r="BXM996" s="2335"/>
      <c r="BXN996" s="2335"/>
      <c r="BXO996" s="2335"/>
      <c r="BXP996" s="2335"/>
      <c r="BXQ996" s="2335"/>
      <c r="BXR996" s="2335"/>
      <c r="BXS996" s="2335"/>
      <c r="BXT996" s="2335"/>
      <c r="BXU996" s="2335"/>
      <c r="BXV996" s="2335"/>
      <c r="BXW996" s="2335"/>
      <c r="BXX996" s="2335"/>
      <c r="BXY996" s="2335"/>
      <c r="BXZ996" s="2335"/>
      <c r="BYA996" s="2335"/>
      <c r="BYB996" s="2335"/>
      <c r="BYC996" s="2335"/>
      <c r="BYD996" s="2335"/>
      <c r="BYE996" s="2335"/>
      <c r="BYF996" s="2335"/>
      <c r="BYG996" s="2335"/>
      <c r="BYH996" s="2335"/>
      <c r="BYI996" s="2335"/>
      <c r="BYJ996" s="2335"/>
      <c r="BYK996" s="2335"/>
      <c r="BYL996" s="2335"/>
      <c r="BYM996" s="2335"/>
      <c r="BYN996" s="2335"/>
      <c r="BYO996" s="2335"/>
      <c r="BYP996" s="2335"/>
      <c r="BYQ996" s="2335"/>
      <c r="BYR996" s="2335"/>
      <c r="BYS996" s="2335"/>
      <c r="BYT996" s="2335"/>
      <c r="BYU996" s="2335"/>
      <c r="BYV996" s="2335"/>
      <c r="BYW996" s="2335"/>
      <c r="BYX996" s="2335"/>
      <c r="BYY996" s="2335"/>
      <c r="BYZ996" s="2335"/>
      <c r="BZA996" s="2335"/>
      <c r="BZB996" s="2335"/>
      <c r="BZC996" s="2335"/>
      <c r="BZD996" s="2335"/>
      <c r="BZE996" s="2335"/>
      <c r="BZF996" s="2335"/>
      <c r="BZG996" s="2335"/>
      <c r="BZH996" s="2335"/>
      <c r="BZI996" s="2335"/>
      <c r="BZJ996" s="2335"/>
      <c r="BZK996" s="2335"/>
      <c r="BZL996" s="2335"/>
      <c r="BZM996" s="2335"/>
      <c r="BZN996" s="2335"/>
      <c r="BZO996" s="2335"/>
      <c r="BZP996" s="2335"/>
      <c r="BZQ996" s="2335"/>
      <c r="BZR996" s="2335"/>
      <c r="BZS996" s="2335"/>
      <c r="BZT996" s="2335"/>
      <c r="BZU996" s="2335"/>
      <c r="BZV996" s="2335"/>
      <c r="BZW996" s="2335"/>
      <c r="BZX996" s="2335"/>
      <c r="BZY996" s="2335"/>
      <c r="BZZ996" s="2335"/>
      <c r="CAA996" s="2335"/>
      <c r="CAB996" s="2335"/>
      <c r="CAC996" s="2335"/>
      <c r="CAD996" s="2335"/>
      <c r="CAE996" s="2335"/>
      <c r="CAF996" s="2335"/>
      <c r="CAG996" s="2335"/>
      <c r="CAH996" s="2335"/>
      <c r="CAI996" s="2335"/>
      <c r="CAJ996" s="2335"/>
      <c r="CAK996" s="2335"/>
      <c r="CAL996" s="2335"/>
      <c r="CAM996" s="2335"/>
      <c r="CAN996" s="2335"/>
      <c r="CAO996" s="2335"/>
      <c r="CAP996" s="2335"/>
      <c r="CAQ996" s="2335"/>
      <c r="CAR996" s="2335"/>
      <c r="CAS996" s="2335"/>
      <c r="CAT996" s="2335"/>
      <c r="CAU996" s="2335"/>
      <c r="CAV996" s="2335"/>
      <c r="CAW996" s="2335"/>
      <c r="CAX996" s="2335"/>
      <c r="CAY996" s="2335"/>
      <c r="CAZ996" s="2335"/>
      <c r="CBA996" s="2335"/>
      <c r="CBB996" s="2335"/>
      <c r="CBC996" s="2335"/>
      <c r="CBD996" s="2335"/>
      <c r="CBE996" s="2335"/>
      <c r="CBF996" s="2335"/>
      <c r="CBG996" s="2335"/>
      <c r="CBH996" s="2335"/>
      <c r="CBI996" s="2335"/>
      <c r="CBJ996" s="2335"/>
      <c r="CBK996" s="2335"/>
      <c r="CBL996" s="2335"/>
      <c r="CBM996" s="2335"/>
      <c r="CBN996" s="2335"/>
      <c r="CBO996" s="2335"/>
      <c r="CBP996" s="2335"/>
      <c r="CBQ996" s="2335"/>
      <c r="CBR996" s="2335"/>
      <c r="CBS996" s="2335"/>
      <c r="CBT996" s="2335"/>
      <c r="CBU996" s="2335"/>
      <c r="CBV996" s="2335"/>
      <c r="CBW996" s="2335"/>
      <c r="CBX996" s="2335"/>
      <c r="CBY996" s="2335"/>
      <c r="CBZ996" s="2335"/>
      <c r="CCA996" s="2335"/>
      <c r="CCB996" s="2335"/>
      <c r="CCC996" s="2335"/>
      <c r="CCD996" s="2335"/>
      <c r="CCE996" s="2335"/>
      <c r="CCF996" s="2335"/>
      <c r="CCG996" s="2335"/>
      <c r="CCH996" s="2335"/>
      <c r="CCI996" s="2335"/>
      <c r="CCJ996" s="2335"/>
      <c r="CCK996" s="2335"/>
      <c r="CCL996" s="2335"/>
      <c r="CCM996" s="2335"/>
      <c r="CCN996" s="2335"/>
      <c r="CCO996" s="2335"/>
      <c r="CCP996" s="2335"/>
      <c r="CCQ996" s="2335"/>
      <c r="CCR996" s="2335"/>
      <c r="CCS996" s="2335"/>
      <c r="CCT996" s="2335"/>
      <c r="CCU996" s="2335"/>
      <c r="CCV996" s="2335"/>
      <c r="CCW996" s="2335"/>
      <c r="CCX996" s="2335"/>
      <c r="CCY996" s="2335"/>
      <c r="CCZ996" s="2335"/>
      <c r="CDA996" s="2335"/>
      <c r="CDB996" s="2335"/>
      <c r="CDC996" s="2335"/>
      <c r="CDD996" s="2335"/>
      <c r="CDE996" s="2335"/>
      <c r="CDF996" s="2335"/>
      <c r="CDG996" s="2335"/>
      <c r="CDH996" s="2335"/>
      <c r="CDI996" s="2335"/>
      <c r="CDJ996" s="2335"/>
      <c r="CDK996" s="2335"/>
      <c r="CDL996" s="2335"/>
      <c r="CDM996" s="2335"/>
      <c r="CDN996" s="2335"/>
      <c r="CDO996" s="2335"/>
      <c r="CDP996" s="2335"/>
      <c r="CDQ996" s="2335"/>
      <c r="CDR996" s="2335"/>
      <c r="CDS996" s="2335"/>
      <c r="CDT996" s="2335"/>
      <c r="CDU996" s="2335"/>
      <c r="CDV996" s="2335"/>
      <c r="CDW996" s="2335"/>
      <c r="CDX996" s="2335"/>
      <c r="CDY996" s="2335"/>
      <c r="CDZ996" s="2335"/>
      <c r="CEA996" s="2335"/>
      <c r="CEB996" s="2335"/>
      <c r="CEC996" s="2335"/>
      <c r="CED996" s="2335"/>
      <c r="CEE996" s="2335"/>
      <c r="CEF996" s="2335"/>
      <c r="CEG996" s="2335"/>
      <c r="CEH996" s="2335"/>
      <c r="CEI996" s="2335"/>
      <c r="CEJ996" s="2335"/>
      <c r="CEK996" s="2335"/>
      <c r="CEL996" s="2335"/>
      <c r="CEM996" s="2335"/>
      <c r="CEN996" s="2335"/>
      <c r="CEO996" s="2335"/>
      <c r="CEP996" s="2335"/>
      <c r="CEQ996" s="2335"/>
      <c r="CER996" s="2335"/>
      <c r="CES996" s="2335"/>
      <c r="CET996" s="2335"/>
      <c r="CEU996" s="2335"/>
      <c r="CEV996" s="2335"/>
      <c r="CEW996" s="2335"/>
      <c r="CEX996" s="2335"/>
      <c r="CEY996" s="2335"/>
      <c r="CEZ996" s="2335"/>
      <c r="CFA996" s="2335"/>
      <c r="CFB996" s="2335"/>
      <c r="CFC996" s="2335"/>
      <c r="CFD996" s="2335"/>
      <c r="CFE996" s="2335"/>
      <c r="CFF996" s="2335"/>
      <c r="CFG996" s="2335"/>
      <c r="CFH996" s="2335"/>
      <c r="CFI996" s="2335"/>
      <c r="CFJ996" s="2335"/>
      <c r="CFK996" s="2335"/>
      <c r="CFL996" s="2335"/>
      <c r="CFM996" s="2335"/>
      <c r="CFN996" s="2335"/>
      <c r="CFO996" s="2335"/>
      <c r="CFP996" s="2335"/>
      <c r="CFQ996" s="2335"/>
      <c r="CFR996" s="2335"/>
      <c r="CFS996" s="2335"/>
      <c r="CFT996" s="2335"/>
      <c r="CFU996" s="2335"/>
      <c r="CFV996" s="2335"/>
      <c r="CFW996" s="2335"/>
      <c r="CFX996" s="2335"/>
      <c r="CFY996" s="2335"/>
      <c r="CFZ996" s="2335"/>
      <c r="CGA996" s="2335"/>
      <c r="CGB996" s="2335"/>
      <c r="CGC996" s="2335"/>
      <c r="CGD996" s="2335"/>
      <c r="CGE996" s="2335"/>
      <c r="CGF996" s="2335"/>
      <c r="CGG996" s="2335"/>
      <c r="CGH996" s="2335"/>
      <c r="CGI996" s="2335"/>
      <c r="CGJ996" s="2335"/>
      <c r="CGK996" s="2335"/>
      <c r="CGL996" s="2335"/>
      <c r="CGM996" s="2335"/>
      <c r="CGN996" s="2335"/>
      <c r="CGO996" s="2335"/>
      <c r="CGP996" s="2335"/>
      <c r="CGQ996" s="2335"/>
      <c r="CGR996" s="2335"/>
      <c r="CGS996" s="2335"/>
      <c r="CGT996" s="2335"/>
      <c r="CGU996" s="2335"/>
      <c r="CGV996" s="2335"/>
      <c r="CGW996" s="2335"/>
      <c r="CGX996" s="2335"/>
      <c r="CGY996" s="2335"/>
      <c r="CGZ996" s="2335"/>
      <c r="CHA996" s="2335"/>
      <c r="CHB996" s="2335"/>
      <c r="CHC996" s="2335"/>
      <c r="CHD996" s="2335"/>
      <c r="CHE996" s="2335"/>
      <c r="CHF996" s="2335"/>
      <c r="CHG996" s="2335"/>
      <c r="CHH996" s="2335"/>
      <c r="CHI996" s="2335"/>
      <c r="CHJ996" s="2335"/>
      <c r="CHK996" s="2335"/>
      <c r="CHL996" s="2335"/>
      <c r="CHM996" s="2335"/>
      <c r="CHN996" s="2335"/>
      <c r="CHO996" s="2335"/>
      <c r="CHP996" s="2335"/>
      <c r="CHQ996" s="2335"/>
      <c r="CHR996" s="2335"/>
      <c r="CHS996" s="2335"/>
      <c r="CHT996" s="2335"/>
      <c r="CHU996" s="2335"/>
      <c r="CHV996" s="2335"/>
      <c r="CHW996" s="2335"/>
      <c r="CHX996" s="2335"/>
      <c r="CHY996" s="2335"/>
      <c r="CHZ996" s="2335"/>
      <c r="CIA996" s="2335"/>
      <c r="CIB996" s="2335"/>
      <c r="CIC996" s="2335"/>
      <c r="CID996" s="2335"/>
      <c r="CIE996" s="2335"/>
      <c r="CIF996" s="2335"/>
      <c r="CIG996" s="2335"/>
      <c r="CIH996" s="2335"/>
      <c r="CII996" s="2335"/>
      <c r="CIJ996" s="2335"/>
      <c r="CIK996" s="2335"/>
      <c r="CIL996" s="2335"/>
      <c r="CIM996" s="2335"/>
      <c r="CIN996" s="2335"/>
      <c r="CIO996" s="2335"/>
      <c r="CIP996" s="2335"/>
      <c r="CIQ996" s="2335"/>
      <c r="CIR996" s="2335"/>
      <c r="CIS996" s="2335"/>
      <c r="CIT996" s="2335"/>
      <c r="CIU996" s="2335"/>
      <c r="CIV996" s="2335"/>
      <c r="CIW996" s="2335"/>
      <c r="CIX996" s="2335"/>
      <c r="CIY996" s="2335"/>
      <c r="CIZ996" s="2335"/>
      <c r="CJA996" s="2335"/>
      <c r="CJB996" s="2335"/>
      <c r="CJC996" s="2335"/>
      <c r="CJD996" s="2335"/>
      <c r="CJE996" s="2335"/>
      <c r="CJF996" s="2335"/>
      <c r="CJG996" s="2335"/>
      <c r="CJH996" s="2335"/>
      <c r="CJI996" s="2335"/>
      <c r="CJJ996" s="2335"/>
      <c r="CJK996" s="2335"/>
      <c r="CJL996" s="2335"/>
      <c r="CJM996" s="2335"/>
      <c r="CJN996" s="2335"/>
      <c r="CJO996" s="2335"/>
      <c r="CJP996" s="2335"/>
      <c r="CJQ996" s="2335"/>
      <c r="CJR996" s="2335"/>
      <c r="CJS996" s="2335"/>
      <c r="CJT996" s="2335"/>
      <c r="CJU996" s="2335"/>
      <c r="CJV996" s="2335"/>
      <c r="CJW996" s="2335"/>
      <c r="CJX996" s="2335"/>
      <c r="CJY996" s="2335"/>
      <c r="CJZ996" s="2335"/>
      <c r="CKA996" s="2335"/>
      <c r="CKB996" s="2335"/>
      <c r="CKC996" s="2335"/>
      <c r="CKD996" s="2335"/>
      <c r="CKE996" s="2335"/>
      <c r="CKF996" s="2335"/>
      <c r="CKG996" s="2335"/>
      <c r="CKH996" s="2335"/>
      <c r="CKI996" s="2335"/>
      <c r="CKJ996" s="2335"/>
      <c r="CKK996" s="2335"/>
      <c r="CKL996" s="2335"/>
      <c r="CKM996" s="2335"/>
      <c r="CKN996" s="2335"/>
      <c r="CKO996" s="2335"/>
      <c r="CKP996" s="2335"/>
      <c r="CKQ996" s="2335"/>
      <c r="CKR996" s="2335"/>
      <c r="CKS996" s="2335"/>
      <c r="CKT996" s="2335"/>
      <c r="CKU996" s="2335"/>
      <c r="CKV996" s="2335"/>
      <c r="CKW996" s="2335"/>
      <c r="CKX996" s="2335"/>
      <c r="CKY996" s="2335"/>
      <c r="CKZ996" s="2335"/>
      <c r="CLA996" s="2335"/>
      <c r="CLB996" s="2335"/>
      <c r="CLC996" s="2335"/>
      <c r="CLD996" s="2335"/>
      <c r="CLE996" s="2335"/>
      <c r="CLF996" s="2335"/>
      <c r="CLG996" s="2335"/>
      <c r="CLH996" s="2335"/>
      <c r="CLI996" s="2335"/>
      <c r="CLJ996" s="2335"/>
      <c r="CLK996" s="2335"/>
      <c r="CLL996" s="2335"/>
      <c r="CLM996" s="2335"/>
      <c r="CLN996" s="2335"/>
      <c r="CLO996" s="2335"/>
      <c r="CLP996" s="2335"/>
      <c r="CLQ996" s="2335"/>
      <c r="CLR996" s="2335"/>
      <c r="CLS996" s="2335"/>
      <c r="CLT996" s="2335"/>
      <c r="CLU996" s="2335"/>
      <c r="CLV996" s="2335"/>
      <c r="CLW996" s="2335"/>
      <c r="CLX996" s="2335"/>
      <c r="CLY996" s="2335"/>
      <c r="CLZ996" s="2335"/>
      <c r="CMA996" s="2335"/>
      <c r="CMB996" s="2335"/>
      <c r="CMC996" s="2335"/>
      <c r="CMD996" s="2335"/>
      <c r="CME996" s="2335"/>
      <c r="CMF996" s="2335"/>
      <c r="CMG996" s="2335"/>
      <c r="CMH996" s="2335"/>
      <c r="CMI996" s="2335"/>
      <c r="CMJ996" s="2335"/>
      <c r="CMK996" s="2335"/>
      <c r="CML996" s="2335"/>
      <c r="CMM996" s="2335"/>
      <c r="CMN996" s="2335"/>
      <c r="CMO996" s="2335"/>
      <c r="CMP996" s="2335"/>
      <c r="CMQ996" s="2335"/>
      <c r="CMR996" s="2335"/>
      <c r="CMS996" s="2335"/>
      <c r="CMT996" s="2335"/>
      <c r="CMU996" s="2335"/>
      <c r="CMV996" s="2335"/>
      <c r="CMW996" s="2335"/>
      <c r="CMX996" s="2335"/>
      <c r="CMY996" s="2335"/>
      <c r="CMZ996" s="2335"/>
      <c r="CNA996" s="2335"/>
      <c r="CNB996" s="2335"/>
      <c r="CNC996" s="2335"/>
      <c r="CND996" s="2335"/>
      <c r="CNE996" s="2335"/>
      <c r="CNF996" s="2335"/>
      <c r="CNG996" s="2335"/>
      <c r="CNH996" s="2335"/>
      <c r="CNI996" s="2335"/>
      <c r="CNJ996" s="2335"/>
      <c r="CNK996" s="2335"/>
      <c r="CNL996" s="2335"/>
      <c r="CNM996" s="2335"/>
      <c r="CNN996" s="2335"/>
      <c r="CNO996" s="2335"/>
      <c r="CNP996" s="2335"/>
      <c r="CNQ996" s="2335"/>
      <c r="CNR996" s="2335"/>
      <c r="CNS996" s="2335"/>
      <c r="CNT996" s="2335"/>
      <c r="CNU996" s="2335"/>
      <c r="CNV996" s="2335"/>
      <c r="CNW996" s="2335"/>
      <c r="CNX996" s="2335"/>
      <c r="CNY996" s="2335"/>
      <c r="CNZ996" s="2335"/>
      <c r="COA996" s="2335"/>
      <c r="COB996" s="2335"/>
      <c r="COC996" s="2335"/>
      <c r="COD996" s="2335"/>
      <c r="COE996" s="2335"/>
      <c r="COF996" s="2335"/>
      <c r="COG996" s="2335"/>
      <c r="COH996" s="2335"/>
      <c r="COI996" s="2335"/>
      <c r="COJ996" s="2335"/>
      <c r="COK996" s="2335"/>
      <c r="COL996" s="2335"/>
      <c r="COM996" s="2335"/>
      <c r="CON996" s="2335"/>
      <c r="COO996" s="2335"/>
      <c r="COP996" s="2335"/>
      <c r="COQ996" s="2335"/>
      <c r="COR996" s="2335"/>
      <c r="COS996" s="2335"/>
      <c r="COT996" s="2335"/>
      <c r="COU996" s="2335"/>
      <c r="COV996" s="2335"/>
      <c r="COW996" s="2335"/>
      <c r="COX996" s="2335"/>
      <c r="COY996" s="2335"/>
      <c r="COZ996" s="2335"/>
      <c r="CPA996" s="2335"/>
      <c r="CPB996" s="2335"/>
      <c r="CPC996" s="2335"/>
      <c r="CPD996" s="2335"/>
      <c r="CPE996" s="2335"/>
      <c r="CPF996" s="2335"/>
      <c r="CPG996" s="2335"/>
      <c r="CPH996" s="2335"/>
      <c r="CPI996" s="2335"/>
      <c r="CPJ996" s="2335"/>
      <c r="CPK996" s="2335"/>
      <c r="CPL996" s="2335"/>
      <c r="CPM996" s="2335"/>
      <c r="CPN996" s="2335"/>
      <c r="CPO996" s="2335"/>
      <c r="CPP996" s="2335"/>
      <c r="CPQ996" s="2335"/>
      <c r="CPR996" s="2335"/>
      <c r="CPS996" s="2335"/>
      <c r="CPT996" s="2335"/>
      <c r="CPU996" s="2335"/>
      <c r="CPV996" s="2335"/>
      <c r="CPW996" s="2335"/>
      <c r="CPX996" s="2335"/>
      <c r="CPY996" s="2335"/>
      <c r="CPZ996" s="2335"/>
      <c r="CQA996" s="2335"/>
      <c r="CQB996" s="2335"/>
      <c r="CQC996" s="2335"/>
      <c r="CQD996" s="2335"/>
      <c r="CQE996" s="2335"/>
      <c r="CQF996" s="2335"/>
      <c r="CQG996" s="2335"/>
      <c r="CQH996" s="2335"/>
      <c r="CQI996" s="2335"/>
      <c r="CQJ996" s="2335"/>
      <c r="CQK996" s="2335"/>
      <c r="CQL996" s="2335"/>
      <c r="CQM996" s="2335"/>
      <c r="CQN996" s="2335"/>
      <c r="CQO996" s="2335"/>
      <c r="CQP996" s="2335"/>
      <c r="CQQ996" s="2335"/>
      <c r="CQR996" s="2335"/>
      <c r="CQS996" s="2335"/>
      <c r="CQT996" s="2335"/>
      <c r="CQU996" s="2335"/>
      <c r="CQV996" s="2335"/>
      <c r="CQW996" s="2335"/>
      <c r="CQX996" s="2335"/>
      <c r="CQY996" s="2335"/>
      <c r="CQZ996" s="2335"/>
      <c r="CRA996" s="2335"/>
      <c r="CRB996" s="2335"/>
      <c r="CRC996" s="2335"/>
      <c r="CRD996" s="2335"/>
      <c r="CRE996" s="2335"/>
      <c r="CRF996" s="2335"/>
      <c r="CRG996" s="2335"/>
      <c r="CRH996" s="2335"/>
      <c r="CRI996" s="2335"/>
      <c r="CRJ996" s="2335"/>
      <c r="CRK996" s="2335"/>
      <c r="CRL996" s="2335"/>
      <c r="CRM996" s="2335"/>
      <c r="CRN996" s="2335"/>
      <c r="CRO996" s="2335"/>
      <c r="CRP996" s="2335"/>
      <c r="CRQ996" s="2335"/>
      <c r="CRR996" s="2335"/>
      <c r="CRS996" s="2335"/>
      <c r="CRT996" s="2335"/>
      <c r="CRU996" s="2335"/>
      <c r="CRV996" s="2335"/>
      <c r="CRW996" s="2335"/>
      <c r="CRX996" s="2335"/>
      <c r="CRY996" s="2335"/>
      <c r="CRZ996" s="2335"/>
      <c r="CSA996" s="2335"/>
      <c r="CSB996" s="2335"/>
      <c r="CSC996" s="2335"/>
      <c r="CSD996" s="2335"/>
      <c r="CSE996" s="2335"/>
      <c r="CSF996" s="2335"/>
      <c r="CSG996" s="2335"/>
      <c r="CSH996" s="2335"/>
      <c r="CSI996" s="2335"/>
      <c r="CSJ996" s="2335"/>
      <c r="CSK996" s="2335"/>
      <c r="CSL996" s="2335"/>
      <c r="CSM996" s="2335"/>
      <c r="CSN996" s="2335"/>
      <c r="CSO996" s="2335"/>
      <c r="CSP996" s="2335"/>
      <c r="CSQ996" s="2335"/>
      <c r="CSR996" s="2335"/>
      <c r="CSS996" s="2335"/>
      <c r="CST996" s="2335"/>
      <c r="CSU996" s="2335"/>
      <c r="CSV996" s="2335"/>
      <c r="CSW996" s="2335"/>
      <c r="CSX996" s="2335"/>
      <c r="CSY996" s="2335"/>
      <c r="CSZ996" s="2335"/>
      <c r="CTA996" s="2335"/>
      <c r="CTB996" s="2335"/>
      <c r="CTC996" s="2335"/>
      <c r="CTD996" s="2335"/>
      <c r="CTE996" s="2335"/>
      <c r="CTF996" s="2335"/>
      <c r="CTG996" s="2335"/>
      <c r="CTH996" s="2335"/>
      <c r="CTI996" s="2335"/>
      <c r="CTJ996" s="2335"/>
      <c r="CTK996" s="2335"/>
      <c r="CTL996" s="2335"/>
      <c r="CTM996" s="2335"/>
      <c r="CTN996" s="2335"/>
      <c r="CTO996" s="2335"/>
      <c r="CTP996" s="2335"/>
      <c r="CTQ996" s="2335"/>
      <c r="CTR996" s="2335"/>
      <c r="CTS996" s="2335"/>
      <c r="CTT996" s="2335"/>
      <c r="CTU996" s="2335"/>
      <c r="CTV996" s="2335"/>
      <c r="CTW996" s="2335"/>
      <c r="CTX996" s="2335"/>
      <c r="CTY996" s="2335"/>
      <c r="CTZ996" s="2335"/>
      <c r="CUA996" s="2335"/>
      <c r="CUB996" s="2335"/>
      <c r="CUC996" s="2335"/>
      <c r="CUD996" s="2335"/>
      <c r="CUE996" s="2335"/>
      <c r="CUF996" s="2335"/>
      <c r="CUG996" s="2335"/>
      <c r="CUH996" s="2335"/>
      <c r="CUI996" s="2335"/>
      <c r="CUJ996" s="2335"/>
      <c r="CUK996" s="2335"/>
      <c r="CUL996" s="2335"/>
      <c r="CUM996" s="2335"/>
      <c r="CUN996" s="2335"/>
      <c r="CUO996" s="2335"/>
      <c r="CUP996" s="2335"/>
      <c r="CUQ996" s="2335"/>
      <c r="CUR996" s="2335"/>
      <c r="CUS996" s="2335"/>
      <c r="CUT996" s="2335"/>
      <c r="CUU996" s="2335"/>
      <c r="CUV996" s="2335"/>
      <c r="CUW996" s="2335"/>
      <c r="CUX996" s="2335"/>
      <c r="CUY996" s="2335"/>
      <c r="CUZ996" s="2335"/>
      <c r="CVA996" s="2335"/>
      <c r="CVB996" s="2335"/>
      <c r="CVC996" s="2335"/>
      <c r="CVD996" s="2335"/>
      <c r="CVE996" s="2335"/>
      <c r="CVF996" s="2335"/>
      <c r="CVG996" s="2335"/>
      <c r="CVH996" s="2335"/>
      <c r="CVI996" s="2335"/>
      <c r="CVJ996" s="2335"/>
      <c r="CVK996" s="2335"/>
      <c r="CVL996" s="2335"/>
      <c r="CVM996" s="2335"/>
      <c r="CVN996" s="2335"/>
      <c r="CVO996" s="2335"/>
      <c r="CVP996" s="2335"/>
      <c r="CVQ996" s="2335"/>
      <c r="CVR996" s="2335"/>
      <c r="CVS996" s="2335"/>
      <c r="CVT996" s="2335"/>
      <c r="CVU996" s="2335"/>
      <c r="CVV996" s="2335"/>
      <c r="CVW996" s="2335"/>
      <c r="CVX996" s="2335"/>
      <c r="CVY996" s="2335"/>
      <c r="CVZ996" s="2335"/>
      <c r="CWA996" s="2335"/>
      <c r="CWB996" s="2335"/>
      <c r="CWC996" s="2335"/>
      <c r="CWD996" s="2335"/>
      <c r="CWE996" s="2335"/>
      <c r="CWF996" s="2335"/>
      <c r="CWG996" s="2335"/>
      <c r="CWH996" s="2335"/>
      <c r="CWI996" s="2335"/>
      <c r="CWJ996" s="2335"/>
      <c r="CWK996" s="2335"/>
      <c r="CWL996" s="2335"/>
      <c r="CWM996" s="2335"/>
      <c r="CWN996" s="2335"/>
      <c r="CWO996" s="2335"/>
      <c r="CWP996" s="2335"/>
      <c r="CWQ996" s="2335"/>
      <c r="CWR996" s="2335"/>
      <c r="CWS996" s="2335"/>
      <c r="CWT996" s="2335"/>
      <c r="CWU996" s="2335"/>
      <c r="CWV996" s="2335"/>
      <c r="CWW996" s="2335"/>
      <c r="CWX996" s="2335"/>
      <c r="CWY996" s="2335"/>
      <c r="CWZ996" s="2335"/>
      <c r="CXA996" s="2335"/>
      <c r="CXB996" s="2335"/>
      <c r="CXC996" s="2335"/>
      <c r="CXD996" s="2335"/>
      <c r="CXE996" s="2335"/>
      <c r="CXF996" s="2335"/>
      <c r="CXG996" s="2335"/>
      <c r="CXH996" s="2335"/>
      <c r="CXI996" s="2335"/>
      <c r="CXJ996" s="2335"/>
      <c r="CXK996" s="2335"/>
      <c r="CXL996" s="2335"/>
      <c r="CXM996" s="2335"/>
      <c r="CXN996" s="2335"/>
      <c r="CXO996" s="2335"/>
      <c r="CXP996" s="2335"/>
      <c r="CXQ996" s="2335"/>
      <c r="CXR996" s="2335"/>
      <c r="CXS996" s="2335"/>
      <c r="CXT996" s="2335"/>
      <c r="CXU996" s="2335"/>
      <c r="CXV996" s="2335"/>
      <c r="CXW996" s="2335"/>
      <c r="CXX996" s="2335"/>
      <c r="CXY996" s="2335"/>
      <c r="CXZ996" s="2335"/>
      <c r="CYA996" s="2335"/>
      <c r="CYB996" s="2335"/>
      <c r="CYC996" s="2335"/>
      <c r="CYD996" s="2335"/>
      <c r="CYE996" s="2335"/>
      <c r="CYF996" s="2335"/>
      <c r="CYG996" s="2335"/>
      <c r="CYH996" s="2335"/>
      <c r="CYI996" s="2335"/>
      <c r="CYJ996" s="2335"/>
      <c r="CYK996" s="2335"/>
      <c r="CYL996" s="2335"/>
      <c r="CYM996" s="2335"/>
      <c r="CYN996" s="2335"/>
      <c r="CYO996" s="2335"/>
      <c r="CYP996" s="2335"/>
      <c r="CYQ996" s="2335"/>
      <c r="CYR996" s="2335"/>
      <c r="CYS996" s="2335"/>
      <c r="CYT996" s="2335"/>
      <c r="CYU996" s="2335"/>
      <c r="CYV996" s="2335"/>
      <c r="CYW996" s="2335"/>
      <c r="CYX996" s="2335"/>
      <c r="CYY996" s="2335"/>
      <c r="CYZ996" s="2335"/>
      <c r="CZA996" s="2335"/>
      <c r="CZB996" s="2335"/>
      <c r="CZC996" s="2335"/>
      <c r="CZD996" s="2335"/>
      <c r="CZE996" s="2335"/>
      <c r="CZF996" s="2335"/>
      <c r="CZG996" s="2335"/>
      <c r="CZH996" s="2335"/>
      <c r="CZI996" s="2335"/>
      <c r="CZJ996" s="2335"/>
      <c r="CZK996" s="2335"/>
      <c r="CZL996" s="2335"/>
      <c r="CZM996" s="2335"/>
      <c r="CZN996" s="2335"/>
      <c r="CZO996" s="2335"/>
      <c r="CZP996" s="2335"/>
      <c r="CZQ996" s="2335"/>
      <c r="CZR996" s="2335"/>
      <c r="CZS996" s="2335"/>
      <c r="CZT996" s="2335"/>
      <c r="CZU996" s="2335"/>
      <c r="CZV996" s="2335"/>
      <c r="CZW996" s="2335"/>
      <c r="CZX996" s="2335"/>
      <c r="CZY996" s="2335"/>
      <c r="CZZ996" s="2335"/>
      <c r="DAA996" s="2335"/>
      <c r="DAB996" s="2335"/>
      <c r="DAC996" s="2335"/>
      <c r="DAD996" s="2335"/>
      <c r="DAE996" s="2335"/>
      <c r="DAF996" s="2335"/>
      <c r="DAG996" s="2335"/>
      <c r="DAH996" s="2335"/>
      <c r="DAI996" s="2335"/>
      <c r="DAJ996" s="2335"/>
      <c r="DAK996" s="2335"/>
      <c r="DAL996" s="2335"/>
      <c r="DAM996" s="2335"/>
      <c r="DAN996" s="2335"/>
      <c r="DAO996" s="2335"/>
      <c r="DAP996" s="2335"/>
      <c r="DAQ996" s="2335"/>
      <c r="DAR996" s="2335"/>
      <c r="DAS996" s="2335"/>
      <c r="DAT996" s="2335"/>
      <c r="DAU996" s="2335"/>
      <c r="DAV996" s="2335"/>
      <c r="DAW996" s="2335"/>
      <c r="DAX996" s="2335"/>
      <c r="DAY996" s="2335"/>
      <c r="DAZ996" s="2335"/>
      <c r="DBA996" s="2335"/>
      <c r="DBB996" s="2335"/>
      <c r="DBC996" s="2335"/>
      <c r="DBD996" s="2335"/>
      <c r="DBE996" s="2335"/>
      <c r="DBF996" s="2335"/>
      <c r="DBG996" s="2335"/>
      <c r="DBH996" s="2335"/>
      <c r="DBI996" s="2335"/>
      <c r="DBJ996" s="2335"/>
      <c r="DBK996" s="2335"/>
      <c r="DBL996" s="2335"/>
      <c r="DBM996" s="2335"/>
      <c r="DBN996" s="2335"/>
      <c r="DBO996" s="2335"/>
      <c r="DBP996" s="2335"/>
      <c r="DBQ996" s="2335"/>
      <c r="DBR996" s="2335"/>
      <c r="DBS996" s="2335"/>
      <c r="DBT996" s="2335"/>
      <c r="DBU996" s="2335"/>
      <c r="DBV996" s="2335"/>
      <c r="DBW996" s="2335"/>
      <c r="DBX996" s="2335"/>
      <c r="DBY996" s="2335"/>
      <c r="DBZ996" s="2335"/>
      <c r="DCA996" s="2335"/>
      <c r="DCB996" s="2335"/>
      <c r="DCC996" s="2335"/>
      <c r="DCD996" s="2335"/>
      <c r="DCE996" s="2335"/>
      <c r="DCF996" s="2335"/>
      <c r="DCG996" s="2335"/>
      <c r="DCH996" s="2335"/>
      <c r="DCI996" s="2335"/>
      <c r="DCJ996" s="2335"/>
      <c r="DCK996" s="2335"/>
      <c r="DCL996" s="2335"/>
      <c r="DCM996" s="2335"/>
      <c r="DCN996" s="2335"/>
      <c r="DCO996" s="2335"/>
      <c r="DCP996" s="2335"/>
      <c r="DCQ996" s="2335"/>
      <c r="DCR996" s="2335"/>
      <c r="DCS996" s="2335"/>
      <c r="DCT996" s="2335"/>
      <c r="DCU996" s="2335"/>
      <c r="DCV996" s="2335"/>
      <c r="DCW996" s="2335"/>
      <c r="DCX996" s="2335"/>
      <c r="DCY996" s="2335"/>
      <c r="DCZ996" s="2335"/>
      <c r="DDA996" s="2335"/>
      <c r="DDB996" s="2335"/>
      <c r="DDC996" s="2335"/>
      <c r="DDD996" s="2335"/>
      <c r="DDE996" s="2335"/>
      <c r="DDF996" s="2335"/>
      <c r="DDG996" s="2335"/>
      <c r="DDH996" s="2335"/>
      <c r="DDI996" s="2335"/>
      <c r="DDJ996" s="2335"/>
      <c r="DDK996" s="2335"/>
      <c r="DDL996" s="2335"/>
      <c r="DDM996" s="2335"/>
      <c r="DDN996" s="2335"/>
      <c r="DDO996" s="2335"/>
      <c r="DDP996" s="2335"/>
      <c r="DDQ996" s="2335"/>
      <c r="DDR996" s="2335"/>
      <c r="DDS996" s="2335"/>
      <c r="DDT996" s="2335"/>
      <c r="DDU996" s="2335"/>
      <c r="DDV996" s="2335"/>
      <c r="DDW996" s="2335"/>
      <c r="DDX996" s="2335"/>
      <c r="DDY996" s="2335"/>
      <c r="DDZ996" s="2335"/>
      <c r="DEA996" s="2335"/>
      <c r="DEB996" s="2335"/>
      <c r="DEC996" s="2335"/>
      <c r="DED996" s="2335"/>
      <c r="DEE996" s="2335"/>
      <c r="DEF996" s="2335"/>
      <c r="DEG996" s="2335"/>
      <c r="DEH996" s="2335"/>
      <c r="DEI996" s="2335"/>
      <c r="DEJ996" s="2335"/>
      <c r="DEK996" s="2335"/>
      <c r="DEL996" s="2335"/>
      <c r="DEM996" s="2335"/>
      <c r="DEN996" s="2335"/>
      <c r="DEO996" s="2335"/>
      <c r="DEP996" s="2335"/>
      <c r="DEQ996" s="2335"/>
      <c r="DER996" s="2335"/>
      <c r="DES996" s="2335"/>
      <c r="DET996" s="2335"/>
      <c r="DEU996" s="2335"/>
      <c r="DEV996" s="2335"/>
      <c r="DEW996" s="2335"/>
      <c r="DEX996" s="2335"/>
      <c r="DEY996" s="2335"/>
      <c r="DEZ996" s="2335"/>
      <c r="DFA996" s="2335"/>
      <c r="DFB996" s="2335"/>
      <c r="DFC996" s="2335"/>
      <c r="DFD996" s="2335"/>
      <c r="DFE996" s="2335"/>
      <c r="DFF996" s="2335"/>
      <c r="DFG996" s="2335"/>
      <c r="DFH996" s="2335"/>
      <c r="DFI996" s="2335"/>
      <c r="DFJ996" s="2335"/>
      <c r="DFK996" s="2335"/>
      <c r="DFL996" s="2335"/>
      <c r="DFM996" s="2335"/>
      <c r="DFN996" s="2335"/>
      <c r="DFO996" s="2335"/>
      <c r="DFP996" s="2335"/>
      <c r="DFQ996" s="2335"/>
      <c r="DFR996" s="2335"/>
      <c r="DFS996" s="2335"/>
      <c r="DFT996" s="2335"/>
      <c r="DFU996" s="2335"/>
      <c r="DFV996" s="2335"/>
      <c r="DFW996" s="2335"/>
      <c r="DFX996" s="2335"/>
      <c r="DFY996" s="2335"/>
      <c r="DFZ996" s="2335"/>
      <c r="DGA996" s="2335"/>
      <c r="DGB996" s="2335"/>
      <c r="DGC996" s="2335"/>
      <c r="DGD996" s="2335"/>
      <c r="DGE996" s="2335"/>
      <c r="DGF996" s="2335"/>
      <c r="DGG996" s="2335"/>
      <c r="DGH996" s="2335"/>
      <c r="DGI996" s="2335"/>
      <c r="DGJ996" s="2335"/>
      <c r="DGK996" s="2335"/>
      <c r="DGL996" s="2335"/>
      <c r="DGM996" s="2335"/>
      <c r="DGN996" s="2335"/>
      <c r="DGO996" s="2335"/>
      <c r="DGP996" s="2335"/>
      <c r="DGQ996" s="2335"/>
      <c r="DGR996" s="2335"/>
      <c r="DGS996" s="2335"/>
      <c r="DGT996" s="2335"/>
      <c r="DGU996" s="2335"/>
      <c r="DGV996" s="2335"/>
      <c r="DGW996" s="2335"/>
      <c r="DGX996" s="2335"/>
      <c r="DGY996" s="2335"/>
      <c r="DGZ996" s="2335"/>
      <c r="DHA996" s="2335"/>
      <c r="DHB996" s="2335"/>
      <c r="DHC996" s="2335"/>
      <c r="DHD996" s="2335"/>
      <c r="DHE996" s="2335"/>
      <c r="DHF996" s="2335"/>
      <c r="DHG996" s="2335"/>
      <c r="DHH996" s="2335"/>
      <c r="DHI996" s="2335"/>
      <c r="DHJ996" s="2335"/>
      <c r="DHK996" s="2335"/>
      <c r="DHL996" s="2335"/>
      <c r="DHM996" s="2335"/>
      <c r="DHN996" s="2335"/>
      <c r="DHO996" s="2335"/>
      <c r="DHP996" s="2335"/>
      <c r="DHQ996" s="2335"/>
      <c r="DHR996" s="2335"/>
      <c r="DHS996" s="2335"/>
      <c r="DHT996" s="2335"/>
      <c r="DHU996" s="2335"/>
      <c r="DHV996" s="2335"/>
      <c r="DHW996" s="2335"/>
      <c r="DHX996" s="2335"/>
      <c r="DHY996" s="2335"/>
      <c r="DHZ996" s="2335"/>
      <c r="DIA996" s="2335"/>
      <c r="DIB996" s="2335"/>
      <c r="DIC996" s="2335"/>
      <c r="DID996" s="2335"/>
      <c r="DIE996" s="2335"/>
      <c r="DIF996" s="2335"/>
      <c r="DIG996" s="2335"/>
      <c r="DIH996" s="2335"/>
      <c r="DII996" s="2335"/>
      <c r="DIJ996" s="2335"/>
      <c r="DIK996" s="2335"/>
      <c r="DIL996" s="2335"/>
      <c r="DIM996" s="2335"/>
      <c r="DIN996" s="2335"/>
      <c r="DIO996" s="2335"/>
      <c r="DIP996" s="2335"/>
      <c r="DIQ996" s="2335"/>
      <c r="DIR996" s="2335"/>
      <c r="DIS996" s="2335"/>
      <c r="DIT996" s="2335"/>
      <c r="DIU996" s="2335"/>
      <c r="DIV996" s="2335"/>
      <c r="DIW996" s="2335"/>
      <c r="DIX996" s="2335"/>
      <c r="DIY996" s="2335"/>
      <c r="DIZ996" s="2335"/>
      <c r="DJA996" s="2335"/>
      <c r="DJB996" s="2335"/>
      <c r="DJC996" s="2335"/>
      <c r="DJD996" s="2335"/>
      <c r="DJE996" s="2335"/>
      <c r="DJF996" s="2335"/>
      <c r="DJG996" s="2335"/>
      <c r="DJH996" s="2335"/>
      <c r="DJI996" s="2335"/>
      <c r="DJJ996" s="2335"/>
      <c r="DJK996" s="2335"/>
      <c r="DJL996" s="2335"/>
      <c r="DJM996" s="2335"/>
      <c r="DJN996" s="2335"/>
      <c r="DJO996" s="2335"/>
      <c r="DJP996" s="2335"/>
      <c r="DJQ996" s="2335"/>
      <c r="DJR996" s="2335"/>
      <c r="DJS996" s="2335"/>
      <c r="DJT996" s="2335"/>
      <c r="DJU996" s="2335"/>
      <c r="DJV996" s="2335"/>
      <c r="DJW996" s="2335"/>
      <c r="DJX996" s="2335"/>
      <c r="DJY996" s="2335"/>
      <c r="DJZ996" s="2335"/>
      <c r="DKA996" s="2335"/>
      <c r="DKB996" s="2335"/>
      <c r="DKC996" s="2335"/>
      <c r="DKD996" s="2335"/>
      <c r="DKE996" s="2335"/>
      <c r="DKF996" s="2335"/>
      <c r="DKG996" s="2335"/>
      <c r="DKH996" s="2335"/>
      <c r="DKI996" s="2335"/>
      <c r="DKJ996" s="2335"/>
      <c r="DKK996" s="2335"/>
      <c r="DKL996" s="2335"/>
      <c r="DKM996" s="2335"/>
      <c r="DKN996" s="2335"/>
      <c r="DKO996" s="2335"/>
      <c r="DKP996" s="2335"/>
      <c r="DKQ996" s="2335"/>
      <c r="DKR996" s="2335"/>
      <c r="DKS996" s="2335"/>
      <c r="DKT996" s="2335"/>
      <c r="DKU996" s="2335"/>
      <c r="DKV996" s="2335"/>
      <c r="DKW996" s="2335"/>
      <c r="DKX996" s="2335"/>
      <c r="DKY996" s="2335"/>
      <c r="DKZ996" s="2335"/>
      <c r="DLA996" s="2335"/>
      <c r="DLB996" s="2335"/>
      <c r="DLC996" s="2335"/>
      <c r="DLD996" s="2335"/>
      <c r="DLE996" s="2335"/>
      <c r="DLF996" s="2335"/>
      <c r="DLG996" s="2335"/>
      <c r="DLH996" s="2335"/>
      <c r="DLI996" s="2335"/>
      <c r="DLJ996" s="2335"/>
      <c r="DLK996" s="2335"/>
      <c r="DLL996" s="2335"/>
      <c r="DLM996" s="2335"/>
      <c r="DLN996" s="2335"/>
      <c r="DLO996" s="2335"/>
      <c r="DLP996" s="2335"/>
      <c r="DLQ996" s="2335"/>
      <c r="DLR996" s="2335"/>
      <c r="DLS996" s="2335"/>
      <c r="DLT996" s="2335"/>
      <c r="DLU996" s="2335"/>
      <c r="DLV996" s="2335"/>
      <c r="DLW996" s="2335"/>
      <c r="DLX996" s="2335"/>
      <c r="DLY996" s="2335"/>
      <c r="DLZ996" s="2335"/>
      <c r="DMA996" s="2335"/>
      <c r="DMB996" s="2335"/>
      <c r="DMC996" s="2335"/>
      <c r="DMD996" s="2335"/>
      <c r="DME996" s="2335"/>
      <c r="DMF996" s="2335"/>
      <c r="DMG996" s="2335"/>
      <c r="DMH996" s="2335"/>
      <c r="DMI996" s="2335"/>
      <c r="DMJ996" s="2335"/>
      <c r="DMK996" s="2335"/>
      <c r="DML996" s="2335"/>
      <c r="DMM996" s="2335"/>
      <c r="DMN996" s="2335"/>
      <c r="DMO996" s="2335"/>
      <c r="DMP996" s="2335"/>
      <c r="DMQ996" s="2335"/>
      <c r="DMR996" s="2335"/>
      <c r="DMS996" s="2335"/>
      <c r="DMT996" s="2335"/>
      <c r="DMU996" s="2335"/>
      <c r="DMV996" s="2335"/>
      <c r="DMW996" s="2335"/>
      <c r="DMX996" s="2335"/>
      <c r="DMY996" s="2335"/>
      <c r="DMZ996" s="2335"/>
      <c r="DNA996" s="2335"/>
      <c r="DNB996" s="2335"/>
      <c r="DNC996" s="2335"/>
      <c r="DND996" s="2335"/>
      <c r="DNE996" s="2335"/>
      <c r="DNF996" s="2335"/>
      <c r="DNG996" s="2335"/>
      <c r="DNH996" s="2335"/>
      <c r="DNI996" s="2335"/>
      <c r="DNJ996" s="2335"/>
      <c r="DNK996" s="2335"/>
      <c r="DNL996" s="2335"/>
      <c r="DNM996" s="2335"/>
      <c r="DNN996" s="2335"/>
      <c r="DNO996" s="2335"/>
      <c r="DNP996" s="2335"/>
      <c r="DNQ996" s="2335"/>
      <c r="DNR996" s="2335"/>
      <c r="DNS996" s="2335"/>
      <c r="DNT996" s="2335"/>
      <c r="DNU996" s="2335"/>
      <c r="DNV996" s="2335"/>
      <c r="DNW996" s="2335"/>
      <c r="DNX996" s="2335"/>
      <c r="DNY996" s="2335"/>
      <c r="DNZ996" s="2335"/>
      <c r="DOA996" s="2335"/>
      <c r="DOB996" s="2335"/>
      <c r="DOC996" s="2335"/>
      <c r="DOD996" s="2335"/>
      <c r="DOE996" s="2335"/>
      <c r="DOF996" s="2335"/>
      <c r="DOG996" s="2335"/>
      <c r="DOH996" s="2335"/>
      <c r="DOI996" s="2335"/>
      <c r="DOJ996" s="2335"/>
      <c r="DOK996" s="2335"/>
      <c r="DOL996" s="2335"/>
      <c r="DOM996" s="2335"/>
      <c r="DON996" s="2335"/>
      <c r="DOO996" s="2335"/>
      <c r="DOP996" s="2335"/>
      <c r="DOQ996" s="2335"/>
      <c r="DOR996" s="2335"/>
      <c r="DOS996" s="2335"/>
      <c r="DOT996" s="2335"/>
      <c r="DOU996" s="2335"/>
      <c r="DOV996" s="2335"/>
      <c r="DOW996" s="2335"/>
      <c r="DOX996" s="2335"/>
      <c r="DOY996" s="2335"/>
      <c r="DOZ996" s="2335"/>
      <c r="DPA996" s="2335"/>
      <c r="DPB996" s="2335"/>
      <c r="DPC996" s="2335"/>
      <c r="DPD996" s="2335"/>
      <c r="DPE996" s="2335"/>
      <c r="DPF996" s="2335"/>
      <c r="DPG996" s="2335"/>
      <c r="DPH996" s="2335"/>
      <c r="DPI996" s="2335"/>
      <c r="DPJ996" s="2335"/>
      <c r="DPK996" s="2335"/>
      <c r="DPL996" s="2335"/>
      <c r="DPM996" s="2335"/>
      <c r="DPN996" s="2335"/>
      <c r="DPO996" s="2335"/>
      <c r="DPP996" s="2335"/>
      <c r="DPQ996" s="2335"/>
      <c r="DPR996" s="2335"/>
      <c r="DPS996" s="2335"/>
      <c r="DPT996" s="2335"/>
      <c r="DPU996" s="2335"/>
      <c r="DPV996" s="2335"/>
      <c r="DPW996" s="2335"/>
      <c r="DPX996" s="2335"/>
      <c r="DPY996" s="2335"/>
      <c r="DPZ996" s="2335"/>
      <c r="DQA996" s="2335"/>
      <c r="DQB996" s="2335"/>
      <c r="DQC996" s="2335"/>
      <c r="DQD996" s="2335"/>
      <c r="DQE996" s="2335"/>
      <c r="DQF996" s="2335"/>
      <c r="DQG996" s="2335"/>
      <c r="DQH996" s="2335"/>
      <c r="DQI996" s="2335"/>
      <c r="DQJ996" s="2335"/>
      <c r="DQK996" s="2335"/>
      <c r="DQL996" s="2335"/>
      <c r="DQM996" s="2335"/>
      <c r="DQN996" s="2335"/>
      <c r="DQO996" s="2335"/>
      <c r="DQP996" s="2335"/>
      <c r="DQQ996" s="2335"/>
      <c r="DQR996" s="2335"/>
      <c r="DQS996" s="2335"/>
      <c r="DQT996" s="2335"/>
      <c r="DQU996" s="2335"/>
      <c r="DQV996" s="2335"/>
      <c r="DQW996" s="2335"/>
      <c r="DQX996" s="2335"/>
      <c r="DQY996" s="2335"/>
      <c r="DQZ996" s="2335"/>
      <c r="DRA996" s="2335"/>
      <c r="DRB996" s="2335"/>
      <c r="DRC996" s="2335"/>
      <c r="DRD996" s="2335"/>
      <c r="DRE996" s="2335"/>
      <c r="DRF996" s="2335"/>
      <c r="DRG996" s="2335"/>
      <c r="DRH996" s="2335"/>
      <c r="DRI996" s="2335"/>
      <c r="DRJ996" s="2335"/>
      <c r="DRK996" s="2335"/>
      <c r="DRL996" s="2335"/>
      <c r="DRM996" s="2335"/>
      <c r="DRN996" s="2335"/>
      <c r="DRO996" s="2335"/>
      <c r="DRP996" s="2335"/>
      <c r="DRQ996" s="2335"/>
      <c r="DRR996" s="2335"/>
      <c r="DRS996" s="2335"/>
      <c r="DRT996" s="2335"/>
      <c r="DRU996" s="2335"/>
      <c r="DRV996" s="2335"/>
      <c r="DRW996" s="2335"/>
      <c r="DRX996" s="2335"/>
      <c r="DRY996" s="2335"/>
      <c r="DRZ996" s="2335"/>
      <c r="DSA996" s="2335"/>
      <c r="DSB996" s="2335"/>
      <c r="DSC996" s="2335"/>
      <c r="DSD996" s="2335"/>
      <c r="DSE996" s="2335"/>
      <c r="DSF996" s="2335"/>
      <c r="DSG996" s="2335"/>
      <c r="DSH996" s="2335"/>
      <c r="DSI996" s="2335"/>
      <c r="DSJ996" s="2335"/>
      <c r="DSK996" s="2335"/>
      <c r="DSL996" s="2335"/>
      <c r="DSM996" s="2335"/>
      <c r="DSN996" s="2335"/>
      <c r="DSO996" s="2335"/>
      <c r="DSP996" s="2335"/>
      <c r="DSQ996" s="2335"/>
      <c r="DSR996" s="2335"/>
      <c r="DSS996" s="2335"/>
      <c r="DST996" s="2335"/>
      <c r="DSU996" s="2335"/>
      <c r="DSV996" s="2335"/>
      <c r="DSW996" s="2335"/>
      <c r="DSX996" s="2335"/>
      <c r="DSY996" s="2335"/>
      <c r="DSZ996" s="2335"/>
      <c r="DTA996" s="2335"/>
      <c r="DTB996" s="2335"/>
      <c r="DTC996" s="2335"/>
      <c r="DTD996" s="2335"/>
      <c r="DTE996" s="2335"/>
      <c r="DTF996" s="2335"/>
      <c r="DTG996" s="2335"/>
      <c r="DTH996" s="2335"/>
      <c r="DTI996" s="2335"/>
      <c r="DTJ996" s="2335"/>
      <c r="DTK996" s="2335"/>
      <c r="DTL996" s="2335"/>
      <c r="DTM996" s="2335"/>
      <c r="DTN996" s="2335"/>
      <c r="DTO996" s="2335"/>
      <c r="DTP996" s="2335"/>
      <c r="DTQ996" s="2335"/>
      <c r="DTR996" s="2335"/>
      <c r="DTS996" s="2335"/>
      <c r="DTT996" s="2335"/>
      <c r="DTU996" s="2335"/>
      <c r="DTV996" s="2335"/>
      <c r="DTW996" s="2335"/>
      <c r="DTX996" s="2335"/>
      <c r="DTY996" s="2335"/>
      <c r="DTZ996" s="2335"/>
      <c r="DUA996" s="2335"/>
      <c r="DUB996" s="2335"/>
      <c r="DUC996" s="2335"/>
      <c r="DUD996" s="2335"/>
      <c r="DUE996" s="2335"/>
      <c r="DUF996" s="2335"/>
      <c r="DUG996" s="2335"/>
      <c r="DUH996" s="2335"/>
      <c r="DUI996" s="2335"/>
      <c r="DUJ996" s="2335"/>
      <c r="DUK996" s="2335"/>
      <c r="DUL996" s="2335"/>
      <c r="DUM996" s="2335"/>
      <c r="DUN996" s="2335"/>
      <c r="DUO996" s="2335"/>
      <c r="DUP996" s="2335"/>
      <c r="DUQ996" s="2335"/>
      <c r="DUR996" s="2335"/>
      <c r="DUS996" s="2335"/>
      <c r="DUT996" s="2335"/>
      <c r="DUU996" s="2335"/>
      <c r="DUV996" s="2335"/>
      <c r="DUW996" s="2335"/>
      <c r="DUX996" s="2335"/>
      <c r="DUY996" s="2335"/>
      <c r="DUZ996" s="2335"/>
      <c r="DVA996" s="2335"/>
      <c r="DVB996" s="2335"/>
      <c r="DVC996" s="2335"/>
      <c r="DVD996" s="2335"/>
      <c r="DVE996" s="2335"/>
      <c r="DVF996" s="2335"/>
      <c r="DVG996" s="2335"/>
      <c r="DVH996" s="2335"/>
      <c r="DVI996" s="2335"/>
      <c r="DVJ996" s="2335"/>
      <c r="DVK996" s="2335"/>
      <c r="DVL996" s="2335"/>
      <c r="DVM996" s="2335"/>
      <c r="DVN996" s="2335"/>
      <c r="DVO996" s="2335"/>
      <c r="DVP996" s="2335"/>
      <c r="DVQ996" s="2335"/>
      <c r="DVR996" s="2335"/>
      <c r="DVS996" s="2335"/>
      <c r="DVT996" s="2335"/>
      <c r="DVU996" s="2335"/>
      <c r="DVV996" s="2335"/>
      <c r="DVW996" s="2335"/>
      <c r="DVX996" s="2335"/>
      <c r="DVY996" s="2335"/>
      <c r="DVZ996" s="2335"/>
      <c r="DWA996" s="2335"/>
      <c r="DWB996" s="2335"/>
      <c r="DWC996" s="2335"/>
      <c r="DWD996" s="2335"/>
      <c r="DWE996" s="2335"/>
      <c r="DWF996" s="2335"/>
      <c r="DWG996" s="2335"/>
      <c r="DWH996" s="2335"/>
      <c r="DWI996" s="2335"/>
      <c r="DWJ996" s="2335"/>
      <c r="DWK996" s="2335"/>
      <c r="DWL996" s="2335"/>
      <c r="DWM996" s="2335"/>
      <c r="DWN996" s="2335"/>
      <c r="DWO996" s="2335"/>
      <c r="DWP996" s="2335"/>
      <c r="DWQ996" s="2335"/>
      <c r="DWR996" s="2335"/>
      <c r="DWS996" s="2335"/>
      <c r="DWT996" s="2335"/>
      <c r="DWU996" s="2335"/>
      <c r="DWV996" s="2335"/>
      <c r="DWW996" s="2335"/>
      <c r="DWX996" s="2335"/>
      <c r="DWY996" s="2335"/>
      <c r="DWZ996" s="2335"/>
      <c r="DXA996" s="2335"/>
      <c r="DXB996" s="2335"/>
      <c r="DXC996" s="2335"/>
      <c r="DXD996" s="2335"/>
      <c r="DXE996" s="2335"/>
      <c r="DXF996" s="2335"/>
      <c r="DXG996" s="2335"/>
      <c r="DXH996" s="2335"/>
      <c r="DXI996" s="2335"/>
      <c r="DXJ996" s="2335"/>
      <c r="DXK996" s="2335"/>
      <c r="DXL996" s="2335"/>
      <c r="DXM996" s="2335"/>
      <c r="DXN996" s="2335"/>
      <c r="DXO996" s="2335"/>
      <c r="DXP996" s="2335"/>
      <c r="DXQ996" s="2335"/>
      <c r="DXR996" s="2335"/>
      <c r="DXS996" s="2335"/>
      <c r="DXT996" s="2335"/>
      <c r="DXU996" s="2335"/>
      <c r="DXV996" s="2335"/>
      <c r="DXW996" s="2335"/>
      <c r="DXX996" s="2335"/>
      <c r="DXY996" s="2335"/>
      <c r="DXZ996" s="2335"/>
      <c r="DYA996" s="2335"/>
      <c r="DYB996" s="2335"/>
      <c r="DYC996" s="2335"/>
      <c r="DYD996" s="2335"/>
      <c r="DYE996" s="2335"/>
      <c r="DYF996" s="2335"/>
      <c r="DYG996" s="2335"/>
      <c r="DYH996" s="2335"/>
      <c r="DYI996" s="2335"/>
      <c r="DYJ996" s="2335"/>
      <c r="DYK996" s="2335"/>
      <c r="DYL996" s="2335"/>
      <c r="DYM996" s="2335"/>
      <c r="DYN996" s="2335"/>
      <c r="DYO996" s="2335"/>
      <c r="DYP996" s="2335"/>
      <c r="DYQ996" s="2335"/>
      <c r="DYR996" s="2335"/>
      <c r="DYS996" s="2335"/>
      <c r="DYT996" s="2335"/>
      <c r="DYU996" s="2335"/>
      <c r="DYV996" s="2335"/>
      <c r="DYW996" s="2335"/>
      <c r="DYX996" s="2335"/>
      <c r="DYY996" s="2335"/>
      <c r="DYZ996" s="2335"/>
      <c r="DZA996" s="2335"/>
      <c r="DZB996" s="2335"/>
      <c r="DZC996" s="2335"/>
      <c r="DZD996" s="2335"/>
      <c r="DZE996" s="2335"/>
      <c r="DZF996" s="2335"/>
      <c r="DZG996" s="2335"/>
      <c r="DZH996" s="2335"/>
      <c r="DZI996" s="2335"/>
      <c r="DZJ996" s="2335"/>
      <c r="DZK996" s="2335"/>
      <c r="DZL996" s="2335"/>
      <c r="DZM996" s="2335"/>
      <c r="DZN996" s="2335"/>
      <c r="DZO996" s="2335"/>
      <c r="DZP996" s="2335"/>
      <c r="DZQ996" s="2335"/>
      <c r="DZR996" s="2335"/>
      <c r="DZS996" s="2335"/>
      <c r="DZT996" s="2335"/>
      <c r="DZU996" s="2335"/>
      <c r="DZV996" s="2335"/>
      <c r="DZW996" s="2335"/>
      <c r="DZX996" s="2335"/>
      <c r="DZY996" s="2335"/>
      <c r="DZZ996" s="2335"/>
      <c r="EAA996" s="2335"/>
      <c r="EAB996" s="2335"/>
      <c r="EAC996" s="2335"/>
      <c r="EAD996" s="2335"/>
      <c r="EAE996" s="2335"/>
      <c r="EAF996" s="2335"/>
      <c r="EAG996" s="2335"/>
      <c r="EAH996" s="2335"/>
      <c r="EAI996" s="2335"/>
      <c r="EAJ996" s="2335"/>
      <c r="EAK996" s="2335"/>
      <c r="EAL996" s="2335"/>
      <c r="EAM996" s="2335"/>
      <c r="EAN996" s="2335"/>
      <c r="EAO996" s="2335"/>
      <c r="EAP996" s="2335"/>
      <c r="EAQ996" s="2335"/>
      <c r="EAR996" s="2335"/>
      <c r="EAS996" s="2335"/>
      <c r="EAT996" s="2335"/>
      <c r="EAU996" s="2335"/>
      <c r="EAV996" s="2335"/>
      <c r="EAW996" s="2335"/>
      <c r="EAX996" s="2335"/>
      <c r="EAY996" s="2335"/>
      <c r="EAZ996" s="2335"/>
      <c r="EBA996" s="2335"/>
      <c r="EBB996" s="2335"/>
      <c r="EBC996" s="2335"/>
      <c r="EBD996" s="2335"/>
      <c r="EBE996" s="2335"/>
      <c r="EBF996" s="2335"/>
      <c r="EBG996" s="2335"/>
      <c r="EBH996" s="2335"/>
      <c r="EBI996" s="2335"/>
      <c r="EBJ996" s="2335"/>
      <c r="EBK996" s="2335"/>
      <c r="EBL996" s="2335"/>
      <c r="EBM996" s="2335"/>
      <c r="EBN996" s="2335"/>
      <c r="EBO996" s="2335"/>
      <c r="EBP996" s="2335"/>
      <c r="EBQ996" s="2335"/>
      <c r="EBR996" s="2335"/>
      <c r="EBS996" s="2335"/>
      <c r="EBT996" s="2335"/>
      <c r="EBU996" s="2335"/>
      <c r="EBV996" s="2335"/>
      <c r="EBW996" s="2335"/>
      <c r="EBX996" s="2335"/>
      <c r="EBY996" s="2335"/>
      <c r="EBZ996" s="2335"/>
      <c r="ECA996" s="2335"/>
      <c r="ECB996" s="2335"/>
      <c r="ECC996" s="2335"/>
      <c r="ECD996" s="2335"/>
      <c r="ECE996" s="2335"/>
      <c r="ECF996" s="2335"/>
      <c r="ECG996" s="2335"/>
      <c r="ECH996" s="2335"/>
      <c r="ECI996" s="2335"/>
      <c r="ECJ996" s="2335"/>
      <c r="ECK996" s="2335"/>
      <c r="ECL996" s="2335"/>
      <c r="ECM996" s="2335"/>
      <c r="ECN996" s="2335"/>
      <c r="ECO996" s="2335"/>
      <c r="ECP996" s="2335"/>
      <c r="ECQ996" s="2335"/>
      <c r="ECR996" s="2335"/>
      <c r="ECS996" s="2335"/>
      <c r="ECT996" s="2335"/>
      <c r="ECU996" s="2335"/>
      <c r="ECV996" s="2335"/>
      <c r="ECW996" s="2335"/>
      <c r="ECX996" s="2335"/>
      <c r="ECY996" s="2335"/>
      <c r="ECZ996" s="2335"/>
      <c r="EDA996" s="2335"/>
      <c r="EDB996" s="2335"/>
      <c r="EDC996" s="2335"/>
      <c r="EDD996" s="2335"/>
      <c r="EDE996" s="2335"/>
      <c r="EDF996" s="2335"/>
      <c r="EDG996" s="2335"/>
      <c r="EDH996" s="2335"/>
      <c r="EDI996" s="2335"/>
      <c r="EDJ996" s="2335"/>
      <c r="EDK996" s="2335"/>
      <c r="EDL996" s="2335"/>
      <c r="EDM996" s="2335"/>
      <c r="EDN996" s="2335"/>
      <c r="EDO996" s="2335"/>
      <c r="EDP996" s="2335"/>
      <c r="EDQ996" s="2335"/>
      <c r="EDR996" s="2335"/>
      <c r="EDS996" s="2335"/>
      <c r="EDT996" s="2335"/>
      <c r="EDU996" s="2335"/>
      <c r="EDV996" s="2335"/>
      <c r="EDW996" s="2335"/>
      <c r="EDX996" s="2335"/>
      <c r="EDY996" s="2335"/>
      <c r="EDZ996" s="2335"/>
      <c r="EEA996" s="2335"/>
      <c r="EEB996" s="2335"/>
      <c r="EEC996" s="2335"/>
      <c r="EED996" s="2335"/>
      <c r="EEE996" s="2335"/>
      <c r="EEF996" s="2335"/>
      <c r="EEG996" s="2335"/>
      <c r="EEH996" s="2335"/>
      <c r="EEI996" s="2335"/>
      <c r="EEJ996" s="2335"/>
      <c r="EEK996" s="2335"/>
      <c r="EEL996" s="2335"/>
      <c r="EEM996" s="2335"/>
      <c r="EEN996" s="2335"/>
      <c r="EEO996" s="2335"/>
      <c r="EEP996" s="2335"/>
      <c r="EEQ996" s="2335"/>
      <c r="EER996" s="2335"/>
      <c r="EES996" s="2335"/>
      <c r="EET996" s="2335"/>
      <c r="EEU996" s="2335"/>
      <c r="EEV996" s="2335"/>
      <c r="EEW996" s="2335"/>
      <c r="EEX996" s="2335"/>
      <c r="EEY996" s="2335"/>
      <c r="EEZ996" s="2335"/>
      <c r="EFA996" s="2335"/>
      <c r="EFB996" s="2335"/>
      <c r="EFC996" s="2335"/>
      <c r="EFD996" s="2335"/>
      <c r="EFE996" s="2335"/>
      <c r="EFF996" s="2335"/>
      <c r="EFG996" s="2335"/>
      <c r="EFH996" s="2335"/>
      <c r="EFI996" s="2335"/>
      <c r="EFJ996" s="2335"/>
      <c r="EFK996" s="2335"/>
      <c r="EFL996" s="2335"/>
      <c r="EFM996" s="2335"/>
      <c r="EFN996" s="2335"/>
      <c r="EFO996" s="2335"/>
      <c r="EFP996" s="2335"/>
      <c r="EFQ996" s="2335"/>
      <c r="EFR996" s="2335"/>
      <c r="EFS996" s="2335"/>
      <c r="EFT996" s="2335"/>
      <c r="EFU996" s="2335"/>
      <c r="EFV996" s="2335"/>
      <c r="EFW996" s="2335"/>
      <c r="EFX996" s="2335"/>
      <c r="EFY996" s="2335"/>
      <c r="EFZ996" s="2335"/>
      <c r="EGA996" s="2335"/>
      <c r="EGB996" s="2335"/>
      <c r="EGC996" s="2335"/>
      <c r="EGD996" s="2335"/>
      <c r="EGE996" s="2335"/>
      <c r="EGF996" s="2335"/>
      <c r="EGG996" s="2335"/>
      <c r="EGH996" s="2335"/>
      <c r="EGI996" s="2335"/>
      <c r="EGJ996" s="2335"/>
      <c r="EGK996" s="2335"/>
      <c r="EGL996" s="2335"/>
      <c r="EGM996" s="2335"/>
      <c r="EGN996" s="2335"/>
      <c r="EGO996" s="2335"/>
      <c r="EGP996" s="2335"/>
      <c r="EGQ996" s="2335"/>
      <c r="EGR996" s="2335"/>
      <c r="EGS996" s="2335"/>
      <c r="EGT996" s="2335"/>
      <c r="EGU996" s="2335"/>
      <c r="EGV996" s="2335"/>
      <c r="EGW996" s="2335"/>
      <c r="EGX996" s="2335"/>
      <c r="EGY996" s="2335"/>
      <c r="EGZ996" s="2335"/>
      <c r="EHA996" s="2335"/>
      <c r="EHB996" s="2335"/>
      <c r="EHC996" s="2335"/>
      <c r="EHD996" s="2335"/>
      <c r="EHE996" s="2335"/>
      <c r="EHF996" s="2335"/>
      <c r="EHG996" s="2335"/>
      <c r="EHH996" s="2335"/>
      <c r="EHI996" s="2335"/>
      <c r="EHJ996" s="2335"/>
      <c r="EHK996" s="2335"/>
      <c r="EHL996" s="2335"/>
      <c r="EHM996" s="2335"/>
      <c r="EHN996" s="2335"/>
      <c r="EHO996" s="2335"/>
      <c r="EHP996" s="2335"/>
      <c r="EHQ996" s="2335"/>
      <c r="EHR996" s="2335"/>
      <c r="EHS996" s="2335"/>
      <c r="EHT996" s="2335"/>
      <c r="EHU996" s="2335"/>
      <c r="EHV996" s="2335"/>
      <c r="EHW996" s="2335"/>
      <c r="EHX996" s="2335"/>
      <c r="EHY996" s="2335"/>
      <c r="EHZ996" s="2335"/>
      <c r="EIA996" s="2335"/>
      <c r="EIB996" s="2335"/>
      <c r="EIC996" s="2335"/>
      <c r="EID996" s="2335"/>
      <c r="EIE996" s="2335"/>
      <c r="EIF996" s="2335"/>
      <c r="EIG996" s="2335"/>
      <c r="EIH996" s="2335"/>
      <c r="EII996" s="2335"/>
      <c r="EIJ996" s="2335"/>
      <c r="EIK996" s="2335"/>
      <c r="EIL996" s="2335"/>
      <c r="EIM996" s="2335"/>
      <c r="EIN996" s="2335"/>
      <c r="EIO996" s="2335"/>
      <c r="EIP996" s="2335"/>
      <c r="EIQ996" s="2335"/>
      <c r="EIR996" s="2335"/>
      <c r="EIS996" s="2335"/>
      <c r="EIT996" s="2335"/>
      <c r="EIU996" s="2335"/>
      <c r="EIV996" s="2335"/>
      <c r="EIW996" s="2335"/>
      <c r="EIX996" s="2335"/>
      <c r="EIY996" s="2335"/>
      <c r="EIZ996" s="2335"/>
      <c r="EJA996" s="2335"/>
      <c r="EJB996" s="2335"/>
      <c r="EJC996" s="2335"/>
      <c r="EJD996" s="2335"/>
      <c r="EJE996" s="2335"/>
      <c r="EJF996" s="2335"/>
      <c r="EJG996" s="2335"/>
      <c r="EJH996" s="2335"/>
      <c r="EJI996" s="2335"/>
      <c r="EJJ996" s="2335"/>
      <c r="EJK996" s="2335"/>
      <c r="EJL996" s="2335"/>
      <c r="EJM996" s="2335"/>
      <c r="EJN996" s="2335"/>
      <c r="EJO996" s="2335"/>
      <c r="EJP996" s="2335"/>
      <c r="EJQ996" s="2335"/>
      <c r="EJR996" s="2335"/>
      <c r="EJS996" s="2335"/>
      <c r="EJT996" s="2335"/>
      <c r="EJU996" s="2335"/>
      <c r="EJV996" s="2335"/>
      <c r="EJW996" s="2335"/>
      <c r="EJX996" s="2335"/>
      <c r="EJY996" s="2335"/>
      <c r="EJZ996" s="2335"/>
      <c r="EKA996" s="2335"/>
      <c r="EKB996" s="2335"/>
      <c r="EKC996" s="2335"/>
      <c r="EKD996" s="2335"/>
      <c r="EKE996" s="2335"/>
      <c r="EKF996" s="2335"/>
      <c r="EKG996" s="2335"/>
      <c r="EKH996" s="2335"/>
      <c r="EKI996" s="2335"/>
      <c r="EKJ996" s="2335"/>
      <c r="EKK996" s="2335"/>
      <c r="EKL996" s="2335"/>
      <c r="EKM996" s="2335"/>
      <c r="EKN996" s="2335"/>
      <c r="EKO996" s="2335"/>
      <c r="EKP996" s="2335"/>
      <c r="EKQ996" s="2335"/>
      <c r="EKR996" s="2335"/>
      <c r="EKS996" s="2335"/>
      <c r="EKT996" s="2335"/>
      <c r="EKU996" s="2335"/>
      <c r="EKV996" s="2335"/>
      <c r="EKW996" s="2335"/>
      <c r="EKX996" s="2335"/>
      <c r="EKY996" s="2335"/>
      <c r="EKZ996" s="2335"/>
      <c r="ELA996" s="2335"/>
      <c r="ELB996" s="2335"/>
      <c r="ELC996" s="2335"/>
      <c r="ELD996" s="2335"/>
      <c r="ELE996" s="2335"/>
      <c r="ELF996" s="2335"/>
      <c r="ELG996" s="2335"/>
      <c r="ELH996" s="2335"/>
      <c r="ELI996" s="2335"/>
      <c r="ELJ996" s="2335"/>
      <c r="ELK996" s="2335"/>
      <c r="ELL996" s="2335"/>
      <c r="ELM996" s="2335"/>
      <c r="ELN996" s="2335"/>
      <c r="ELO996" s="2335"/>
      <c r="ELP996" s="2335"/>
      <c r="ELQ996" s="2335"/>
      <c r="ELR996" s="2335"/>
      <c r="ELS996" s="2335"/>
      <c r="ELT996" s="2335"/>
      <c r="ELU996" s="2335"/>
      <c r="ELV996" s="2335"/>
      <c r="ELW996" s="2335"/>
      <c r="ELX996" s="2335"/>
      <c r="ELY996" s="2335"/>
      <c r="ELZ996" s="2335"/>
      <c r="EMA996" s="2335"/>
      <c r="EMB996" s="2335"/>
      <c r="EMC996" s="2335"/>
      <c r="EMD996" s="2335"/>
      <c r="EME996" s="2335"/>
      <c r="EMF996" s="2335"/>
      <c r="EMG996" s="2335"/>
      <c r="EMH996" s="2335"/>
      <c r="EMI996" s="2335"/>
      <c r="EMJ996" s="2335"/>
      <c r="EMK996" s="2335"/>
      <c r="EML996" s="2335"/>
      <c r="EMM996" s="2335"/>
      <c r="EMN996" s="2335"/>
      <c r="EMO996" s="2335"/>
      <c r="EMP996" s="2335"/>
      <c r="EMQ996" s="2335"/>
      <c r="EMR996" s="2335"/>
      <c r="EMS996" s="2335"/>
      <c r="EMT996" s="2335"/>
      <c r="EMU996" s="2335"/>
      <c r="EMV996" s="2335"/>
      <c r="EMW996" s="2335"/>
      <c r="EMX996" s="2335"/>
      <c r="EMY996" s="2335"/>
      <c r="EMZ996" s="2335"/>
      <c r="ENA996" s="2335"/>
      <c r="ENB996" s="2335"/>
      <c r="ENC996" s="2335"/>
      <c r="END996" s="2335"/>
      <c r="ENE996" s="2335"/>
      <c r="ENF996" s="2335"/>
      <c r="ENG996" s="2335"/>
      <c r="ENH996" s="2335"/>
      <c r="ENI996" s="2335"/>
      <c r="ENJ996" s="2335"/>
      <c r="ENK996" s="2335"/>
      <c r="ENL996" s="2335"/>
      <c r="ENM996" s="2335"/>
      <c r="ENN996" s="2335"/>
      <c r="ENO996" s="2335"/>
      <c r="ENP996" s="2335"/>
      <c r="ENQ996" s="2335"/>
      <c r="ENR996" s="2335"/>
      <c r="ENS996" s="2335"/>
      <c r="ENT996" s="2335"/>
      <c r="ENU996" s="2335"/>
      <c r="ENV996" s="2335"/>
      <c r="ENW996" s="2335"/>
      <c r="ENX996" s="2335"/>
      <c r="ENY996" s="2335"/>
      <c r="ENZ996" s="2335"/>
      <c r="EOA996" s="2335"/>
      <c r="EOB996" s="2335"/>
      <c r="EOC996" s="2335"/>
      <c r="EOD996" s="2335"/>
      <c r="EOE996" s="2335"/>
      <c r="EOF996" s="2335"/>
      <c r="EOG996" s="2335"/>
      <c r="EOH996" s="2335"/>
      <c r="EOI996" s="2335"/>
      <c r="EOJ996" s="2335"/>
      <c r="EOK996" s="2335"/>
      <c r="EOL996" s="2335"/>
      <c r="EOM996" s="2335"/>
      <c r="EON996" s="2335"/>
      <c r="EOO996" s="2335"/>
      <c r="EOP996" s="2335"/>
      <c r="EOQ996" s="2335"/>
      <c r="EOR996" s="2335"/>
      <c r="EOS996" s="2335"/>
      <c r="EOT996" s="2335"/>
      <c r="EOU996" s="2335"/>
      <c r="EOV996" s="2335"/>
      <c r="EOW996" s="2335"/>
      <c r="EOX996" s="2335"/>
      <c r="EOY996" s="2335"/>
      <c r="EOZ996" s="2335"/>
      <c r="EPA996" s="2335"/>
      <c r="EPB996" s="2335"/>
      <c r="EPC996" s="2335"/>
      <c r="EPD996" s="2335"/>
      <c r="EPE996" s="2335"/>
      <c r="EPF996" s="2335"/>
      <c r="EPG996" s="2335"/>
      <c r="EPH996" s="2335"/>
      <c r="EPI996" s="2335"/>
      <c r="EPJ996" s="2335"/>
      <c r="EPK996" s="2335"/>
      <c r="EPL996" s="2335"/>
      <c r="EPM996" s="2335"/>
      <c r="EPN996" s="2335"/>
      <c r="EPO996" s="2335"/>
      <c r="EPP996" s="2335"/>
      <c r="EPQ996" s="2335"/>
      <c r="EPR996" s="2335"/>
      <c r="EPS996" s="2335"/>
      <c r="EPT996" s="2335"/>
      <c r="EPU996" s="2335"/>
      <c r="EPV996" s="2335"/>
      <c r="EPW996" s="2335"/>
      <c r="EPX996" s="2335"/>
      <c r="EPY996" s="2335"/>
      <c r="EPZ996" s="2335"/>
      <c r="EQA996" s="2335"/>
      <c r="EQB996" s="2335"/>
      <c r="EQC996" s="2335"/>
      <c r="EQD996" s="2335"/>
      <c r="EQE996" s="2335"/>
      <c r="EQF996" s="2335"/>
      <c r="EQG996" s="2335"/>
      <c r="EQH996" s="2335"/>
      <c r="EQI996" s="2335"/>
      <c r="EQJ996" s="2335"/>
      <c r="EQK996" s="2335"/>
      <c r="EQL996" s="2335"/>
      <c r="EQM996" s="2335"/>
      <c r="EQN996" s="2335"/>
      <c r="EQO996" s="2335"/>
      <c r="EQP996" s="2335"/>
      <c r="EQQ996" s="2335"/>
      <c r="EQR996" s="2335"/>
      <c r="EQS996" s="2335"/>
      <c r="EQT996" s="2335"/>
      <c r="EQU996" s="2335"/>
      <c r="EQV996" s="2335"/>
      <c r="EQW996" s="2335"/>
      <c r="EQX996" s="2335"/>
      <c r="EQY996" s="2335"/>
      <c r="EQZ996" s="2335"/>
      <c r="ERA996" s="2335"/>
      <c r="ERB996" s="2335"/>
      <c r="ERC996" s="2335"/>
      <c r="ERD996" s="2335"/>
      <c r="ERE996" s="2335"/>
      <c r="ERF996" s="2335"/>
      <c r="ERG996" s="2335"/>
      <c r="ERH996" s="2335"/>
      <c r="ERI996" s="2335"/>
      <c r="ERJ996" s="2335"/>
      <c r="ERK996" s="2335"/>
      <c r="ERL996" s="2335"/>
      <c r="ERM996" s="2335"/>
      <c r="ERN996" s="2335"/>
      <c r="ERO996" s="2335"/>
      <c r="ERP996" s="2335"/>
      <c r="ERQ996" s="2335"/>
      <c r="ERR996" s="2335"/>
      <c r="ERS996" s="2335"/>
      <c r="ERT996" s="2335"/>
      <c r="ERU996" s="2335"/>
      <c r="ERV996" s="2335"/>
      <c r="ERW996" s="2335"/>
      <c r="ERX996" s="2335"/>
      <c r="ERY996" s="2335"/>
      <c r="ERZ996" s="2335"/>
      <c r="ESA996" s="2335"/>
      <c r="ESB996" s="2335"/>
      <c r="ESC996" s="2335"/>
      <c r="ESD996" s="2335"/>
      <c r="ESE996" s="2335"/>
      <c r="ESF996" s="2335"/>
      <c r="ESG996" s="2335"/>
      <c r="ESH996" s="2335"/>
      <c r="ESI996" s="2335"/>
      <c r="ESJ996" s="2335"/>
      <c r="ESK996" s="2335"/>
      <c r="ESL996" s="2335"/>
      <c r="ESM996" s="2335"/>
      <c r="ESN996" s="2335"/>
      <c r="ESO996" s="2335"/>
      <c r="ESP996" s="2335"/>
      <c r="ESQ996" s="2335"/>
      <c r="ESR996" s="2335"/>
      <c r="ESS996" s="2335"/>
      <c r="EST996" s="2335"/>
      <c r="ESU996" s="2335"/>
      <c r="ESV996" s="2335"/>
      <c r="ESW996" s="2335"/>
      <c r="ESX996" s="2335"/>
      <c r="ESY996" s="2335"/>
      <c r="ESZ996" s="2335"/>
      <c r="ETA996" s="2335"/>
      <c r="ETB996" s="2335"/>
      <c r="ETC996" s="2335"/>
      <c r="ETD996" s="2335"/>
      <c r="ETE996" s="2335"/>
      <c r="ETF996" s="2335"/>
      <c r="ETG996" s="2335"/>
      <c r="ETH996" s="2335"/>
      <c r="ETI996" s="2335"/>
      <c r="ETJ996" s="2335"/>
      <c r="ETK996" s="2335"/>
      <c r="ETL996" s="2335"/>
      <c r="ETM996" s="2335"/>
      <c r="ETN996" s="2335"/>
      <c r="ETO996" s="2335"/>
      <c r="ETP996" s="2335"/>
      <c r="ETQ996" s="2335"/>
      <c r="ETR996" s="2335"/>
      <c r="ETS996" s="2335"/>
      <c r="ETT996" s="2335"/>
      <c r="ETU996" s="2335"/>
      <c r="ETV996" s="2335"/>
      <c r="ETW996" s="2335"/>
      <c r="ETX996" s="2335"/>
      <c r="ETY996" s="2335"/>
      <c r="ETZ996" s="2335"/>
      <c r="EUA996" s="2335"/>
      <c r="EUB996" s="2335"/>
      <c r="EUC996" s="2335"/>
      <c r="EUD996" s="2335"/>
      <c r="EUE996" s="2335"/>
      <c r="EUF996" s="2335"/>
      <c r="EUG996" s="2335"/>
      <c r="EUH996" s="2335"/>
      <c r="EUI996" s="2335"/>
      <c r="EUJ996" s="2335"/>
      <c r="EUK996" s="2335"/>
      <c r="EUL996" s="2335"/>
      <c r="EUM996" s="2335"/>
      <c r="EUN996" s="2335"/>
      <c r="EUO996" s="2335"/>
      <c r="EUP996" s="2335"/>
      <c r="EUQ996" s="2335"/>
      <c r="EUR996" s="2335"/>
      <c r="EUS996" s="2335"/>
      <c r="EUT996" s="2335"/>
      <c r="EUU996" s="2335"/>
      <c r="EUV996" s="2335"/>
      <c r="EUW996" s="2335"/>
      <c r="EUX996" s="2335"/>
      <c r="EUY996" s="2335"/>
      <c r="EUZ996" s="2335"/>
      <c r="EVA996" s="2335"/>
      <c r="EVB996" s="2335"/>
      <c r="EVC996" s="2335"/>
      <c r="EVD996" s="2335"/>
      <c r="EVE996" s="2335"/>
      <c r="EVF996" s="2335"/>
      <c r="EVG996" s="2335"/>
      <c r="EVH996" s="2335"/>
      <c r="EVI996" s="2335"/>
      <c r="EVJ996" s="2335"/>
      <c r="EVK996" s="2335"/>
      <c r="EVL996" s="2335"/>
      <c r="EVM996" s="2335"/>
      <c r="EVN996" s="2335"/>
      <c r="EVO996" s="2335"/>
      <c r="EVP996" s="2335"/>
      <c r="EVQ996" s="2335"/>
      <c r="EVR996" s="2335"/>
      <c r="EVS996" s="2335"/>
      <c r="EVT996" s="2335"/>
      <c r="EVU996" s="2335"/>
      <c r="EVV996" s="2335"/>
      <c r="EVW996" s="2335"/>
      <c r="EVX996" s="2335"/>
      <c r="EVY996" s="2335"/>
      <c r="EVZ996" s="2335"/>
      <c r="EWA996" s="2335"/>
      <c r="EWB996" s="2335"/>
      <c r="EWC996" s="2335"/>
      <c r="EWD996" s="2335"/>
      <c r="EWE996" s="2335"/>
      <c r="EWF996" s="2335"/>
      <c r="EWG996" s="2335"/>
      <c r="EWH996" s="2335"/>
      <c r="EWI996" s="2335"/>
      <c r="EWJ996" s="2335"/>
      <c r="EWK996" s="2335"/>
      <c r="EWL996" s="2335"/>
      <c r="EWM996" s="2335"/>
      <c r="EWN996" s="2335"/>
      <c r="EWO996" s="2335"/>
      <c r="EWP996" s="2335"/>
      <c r="EWQ996" s="2335"/>
      <c r="EWR996" s="2335"/>
      <c r="EWS996" s="2335"/>
      <c r="EWT996" s="2335"/>
      <c r="EWU996" s="2335"/>
      <c r="EWV996" s="2335"/>
      <c r="EWW996" s="2335"/>
      <c r="EWX996" s="2335"/>
      <c r="EWY996" s="2335"/>
      <c r="EWZ996" s="2335"/>
      <c r="EXA996" s="2335"/>
      <c r="EXB996" s="2335"/>
      <c r="EXC996" s="2335"/>
      <c r="EXD996" s="2335"/>
      <c r="EXE996" s="2335"/>
      <c r="EXF996" s="2335"/>
      <c r="EXG996" s="2335"/>
      <c r="EXH996" s="2335"/>
      <c r="EXI996" s="2335"/>
      <c r="EXJ996" s="2335"/>
      <c r="EXK996" s="2335"/>
      <c r="EXL996" s="2335"/>
      <c r="EXM996" s="2335"/>
      <c r="EXN996" s="2335"/>
      <c r="EXO996" s="2335"/>
      <c r="EXP996" s="2335"/>
      <c r="EXQ996" s="2335"/>
      <c r="EXR996" s="2335"/>
      <c r="EXS996" s="2335"/>
      <c r="EXT996" s="2335"/>
      <c r="EXU996" s="2335"/>
      <c r="EXV996" s="2335"/>
      <c r="EXW996" s="2335"/>
      <c r="EXX996" s="2335"/>
      <c r="EXY996" s="2335"/>
      <c r="EXZ996" s="2335"/>
      <c r="EYA996" s="2335"/>
      <c r="EYB996" s="2335"/>
      <c r="EYC996" s="2335"/>
      <c r="EYD996" s="2335"/>
      <c r="EYE996" s="2335"/>
      <c r="EYF996" s="2335"/>
      <c r="EYG996" s="2335"/>
      <c r="EYH996" s="2335"/>
      <c r="EYI996" s="2335"/>
      <c r="EYJ996" s="2335"/>
      <c r="EYK996" s="2335"/>
      <c r="EYL996" s="2335"/>
      <c r="EYM996" s="2335"/>
      <c r="EYN996" s="2335"/>
      <c r="EYO996" s="2335"/>
      <c r="EYP996" s="2335"/>
      <c r="EYQ996" s="2335"/>
      <c r="EYR996" s="2335"/>
      <c r="EYS996" s="2335"/>
      <c r="EYT996" s="2335"/>
      <c r="EYU996" s="2335"/>
      <c r="EYV996" s="2335"/>
      <c r="EYW996" s="2335"/>
      <c r="EYX996" s="2335"/>
      <c r="EYY996" s="2335"/>
      <c r="EYZ996" s="2335"/>
      <c r="EZA996" s="2335"/>
      <c r="EZB996" s="2335"/>
      <c r="EZC996" s="2335"/>
      <c r="EZD996" s="2335"/>
      <c r="EZE996" s="2335"/>
      <c r="EZF996" s="2335"/>
      <c r="EZG996" s="2335"/>
      <c r="EZH996" s="2335"/>
      <c r="EZI996" s="2335"/>
      <c r="EZJ996" s="2335"/>
      <c r="EZK996" s="2335"/>
      <c r="EZL996" s="2335"/>
      <c r="EZM996" s="2335"/>
      <c r="EZN996" s="2335"/>
      <c r="EZO996" s="2335"/>
      <c r="EZP996" s="2335"/>
      <c r="EZQ996" s="2335"/>
      <c r="EZR996" s="2335"/>
      <c r="EZS996" s="2335"/>
      <c r="EZT996" s="2335"/>
      <c r="EZU996" s="2335"/>
      <c r="EZV996" s="2335"/>
      <c r="EZW996" s="2335"/>
      <c r="EZX996" s="2335"/>
      <c r="EZY996" s="2335"/>
      <c r="EZZ996" s="2335"/>
      <c r="FAA996" s="2335"/>
      <c r="FAB996" s="2335"/>
      <c r="FAC996" s="2335"/>
      <c r="FAD996" s="2335"/>
      <c r="FAE996" s="2335"/>
      <c r="FAF996" s="2335"/>
      <c r="FAG996" s="2335"/>
      <c r="FAH996" s="2335"/>
      <c r="FAI996" s="2335"/>
      <c r="FAJ996" s="2335"/>
      <c r="FAK996" s="2335"/>
      <c r="FAL996" s="2335"/>
      <c r="FAM996" s="2335"/>
      <c r="FAN996" s="2335"/>
      <c r="FAO996" s="2335"/>
      <c r="FAP996" s="2335"/>
      <c r="FAQ996" s="2335"/>
      <c r="FAR996" s="2335"/>
      <c r="FAS996" s="2335"/>
      <c r="FAT996" s="2335"/>
      <c r="FAU996" s="2335"/>
      <c r="FAV996" s="2335"/>
      <c r="FAW996" s="2335"/>
      <c r="FAX996" s="2335"/>
      <c r="FAY996" s="2335"/>
      <c r="FAZ996" s="2335"/>
      <c r="FBA996" s="2335"/>
      <c r="FBB996" s="2335"/>
      <c r="FBC996" s="2335"/>
      <c r="FBD996" s="2335"/>
      <c r="FBE996" s="2335"/>
      <c r="FBF996" s="2335"/>
      <c r="FBG996" s="2335"/>
      <c r="FBH996" s="2335"/>
      <c r="FBI996" s="2335"/>
      <c r="FBJ996" s="2335"/>
      <c r="FBK996" s="2335"/>
      <c r="FBL996" s="2335"/>
      <c r="FBM996" s="2335"/>
      <c r="FBN996" s="2335"/>
      <c r="FBO996" s="2335"/>
      <c r="FBP996" s="2335"/>
      <c r="FBQ996" s="2335"/>
      <c r="FBR996" s="2335"/>
      <c r="FBS996" s="2335"/>
      <c r="FBT996" s="2335"/>
      <c r="FBU996" s="2335"/>
      <c r="FBV996" s="2335"/>
      <c r="FBW996" s="2335"/>
      <c r="FBX996" s="2335"/>
      <c r="FBY996" s="2335"/>
      <c r="FBZ996" s="2335"/>
      <c r="FCA996" s="2335"/>
      <c r="FCB996" s="2335"/>
      <c r="FCC996" s="2335"/>
      <c r="FCD996" s="2335"/>
      <c r="FCE996" s="2335"/>
      <c r="FCF996" s="2335"/>
      <c r="FCG996" s="2335"/>
      <c r="FCH996" s="2335"/>
      <c r="FCI996" s="2335"/>
      <c r="FCJ996" s="2335"/>
      <c r="FCK996" s="2335"/>
      <c r="FCL996" s="2335"/>
      <c r="FCM996" s="2335"/>
      <c r="FCN996" s="2335"/>
      <c r="FCO996" s="2335"/>
      <c r="FCP996" s="2335"/>
      <c r="FCQ996" s="2335"/>
      <c r="FCR996" s="2335"/>
      <c r="FCS996" s="2335"/>
      <c r="FCT996" s="2335"/>
      <c r="FCU996" s="2335"/>
      <c r="FCV996" s="2335"/>
      <c r="FCW996" s="2335"/>
      <c r="FCX996" s="2335"/>
      <c r="FCY996" s="2335"/>
      <c r="FCZ996" s="2335"/>
      <c r="FDA996" s="2335"/>
      <c r="FDB996" s="2335"/>
      <c r="FDC996" s="2335"/>
      <c r="FDD996" s="2335"/>
      <c r="FDE996" s="2335"/>
      <c r="FDF996" s="2335"/>
      <c r="FDG996" s="2335"/>
      <c r="FDH996" s="2335"/>
      <c r="FDI996" s="2335"/>
      <c r="FDJ996" s="2335"/>
      <c r="FDK996" s="2335"/>
      <c r="FDL996" s="2335"/>
      <c r="FDM996" s="2335"/>
      <c r="FDN996" s="2335"/>
      <c r="FDO996" s="2335"/>
      <c r="FDP996" s="2335"/>
      <c r="FDQ996" s="2335"/>
      <c r="FDR996" s="2335"/>
      <c r="FDS996" s="2335"/>
      <c r="FDT996" s="2335"/>
      <c r="FDU996" s="2335"/>
      <c r="FDV996" s="2335"/>
      <c r="FDW996" s="2335"/>
      <c r="FDX996" s="2335"/>
      <c r="FDY996" s="2335"/>
      <c r="FDZ996" s="2335"/>
      <c r="FEA996" s="2335"/>
      <c r="FEB996" s="2335"/>
      <c r="FEC996" s="2335"/>
      <c r="FED996" s="2335"/>
      <c r="FEE996" s="2335"/>
      <c r="FEF996" s="2335"/>
      <c r="FEG996" s="2335"/>
      <c r="FEH996" s="2335"/>
      <c r="FEI996" s="2335"/>
      <c r="FEJ996" s="2335"/>
      <c r="FEK996" s="2335"/>
      <c r="FEL996" s="2335"/>
      <c r="FEM996" s="2335"/>
      <c r="FEN996" s="2335"/>
      <c r="FEO996" s="2335"/>
      <c r="FEP996" s="2335"/>
      <c r="FEQ996" s="2335"/>
      <c r="FER996" s="2335"/>
      <c r="FES996" s="2335"/>
      <c r="FET996" s="2335"/>
      <c r="FEU996" s="2335"/>
      <c r="FEV996" s="2335"/>
      <c r="FEW996" s="2335"/>
      <c r="FEX996" s="2335"/>
      <c r="FEY996" s="2335"/>
      <c r="FEZ996" s="2335"/>
      <c r="FFA996" s="2335"/>
      <c r="FFB996" s="2335"/>
      <c r="FFC996" s="2335"/>
      <c r="FFD996" s="2335"/>
      <c r="FFE996" s="2335"/>
      <c r="FFF996" s="2335"/>
      <c r="FFG996" s="2335"/>
      <c r="FFH996" s="2335"/>
      <c r="FFI996" s="2335"/>
      <c r="FFJ996" s="2335"/>
      <c r="FFK996" s="2335"/>
      <c r="FFL996" s="2335"/>
      <c r="FFM996" s="2335"/>
      <c r="FFN996" s="2335"/>
      <c r="FFO996" s="2335"/>
      <c r="FFP996" s="2335"/>
      <c r="FFQ996" s="2335"/>
      <c r="FFR996" s="2335"/>
      <c r="FFS996" s="2335"/>
      <c r="FFT996" s="2335"/>
      <c r="FFU996" s="2335"/>
      <c r="FFV996" s="2335"/>
      <c r="FFW996" s="2335"/>
      <c r="FFX996" s="2335"/>
      <c r="FFY996" s="2335"/>
      <c r="FFZ996" s="2335"/>
      <c r="FGA996" s="2335"/>
      <c r="FGB996" s="2335"/>
      <c r="FGC996" s="2335"/>
      <c r="FGD996" s="2335"/>
      <c r="FGE996" s="2335"/>
      <c r="FGF996" s="2335"/>
      <c r="FGG996" s="2335"/>
      <c r="FGH996" s="2335"/>
      <c r="FGI996" s="2335"/>
      <c r="FGJ996" s="2335"/>
      <c r="FGK996" s="2335"/>
      <c r="FGL996" s="2335"/>
      <c r="FGM996" s="2335"/>
      <c r="FGN996" s="2335"/>
      <c r="FGO996" s="2335"/>
      <c r="FGP996" s="2335"/>
      <c r="FGQ996" s="2335"/>
      <c r="FGR996" s="2335"/>
      <c r="FGS996" s="2335"/>
      <c r="FGT996" s="2335"/>
      <c r="FGU996" s="2335"/>
      <c r="FGV996" s="2335"/>
      <c r="FGW996" s="2335"/>
      <c r="FGX996" s="2335"/>
      <c r="FGY996" s="2335"/>
      <c r="FGZ996" s="2335"/>
      <c r="FHA996" s="2335"/>
      <c r="FHB996" s="2335"/>
      <c r="FHC996" s="2335"/>
      <c r="FHD996" s="2335"/>
      <c r="FHE996" s="2335"/>
      <c r="FHF996" s="2335"/>
      <c r="FHG996" s="2335"/>
      <c r="FHH996" s="2335"/>
      <c r="FHI996" s="2335"/>
      <c r="FHJ996" s="2335"/>
      <c r="FHK996" s="2335"/>
      <c r="FHL996" s="2335"/>
      <c r="FHM996" s="2335"/>
      <c r="FHN996" s="2335"/>
      <c r="FHO996" s="2335"/>
      <c r="FHP996" s="2335"/>
      <c r="FHQ996" s="2335"/>
      <c r="FHR996" s="2335"/>
      <c r="FHS996" s="2335"/>
      <c r="FHT996" s="2335"/>
      <c r="FHU996" s="2335"/>
      <c r="FHV996" s="2335"/>
      <c r="FHW996" s="2335"/>
      <c r="FHX996" s="2335"/>
      <c r="FHY996" s="2335"/>
      <c r="FHZ996" s="2335"/>
      <c r="FIA996" s="2335"/>
      <c r="FIB996" s="2335"/>
      <c r="FIC996" s="2335"/>
      <c r="FID996" s="2335"/>
      <c r="FIE996" s="2335"/>
      <c r="FIF996" s="2335"/>
      <c r="FIG996" s="2335"/>
      <c r="FIH996" s="2335"/>
      <c r="FII996" s="2335"/>
      <c r="FIJ996" s="2335"/>
      <c r="FIK996" s="2335"/>
      <c r="FIL996" s="2335"/>
      <c r="FIM996" s="2335"/>
      <c r="FIN996" s="2335"/>
      <c r="FIO996" s="2335"/>
      <c r="FIP996" s="2335"/>
      <c r="FIQ996" s="2335"/>
      <c r="FIR996" s="2335"/>
      <c r="FIS996" s="2335"/>
      <c r="FIT996" s="2335"/>
      <c r="FIU996" s="2335"/>
      <c r="FIV996" s="2335"/>
      <c r="FIW996" s="2335"/>
      <c r="FIX996" s="2335"/>
      <c r="FIY996" s="2335"/>
      <c r="FIZ996" s="2335"/>
      <c r="FJA996" s="2335"/>
      <c r="FJB996" s="2335"/>
      <c r="FJC996" s="2335"/>
      <c r="FJD996" s="2335"/>
      <c r="FJE996" s="2335"/>
      <c r="FJF996" s="2335"/>
      <c r="FJG996" s="2335"/>
      <c r="FJH996" s="2335"/>
      <c r="FJI996" s="2335"/>
      <c r="FJJ996" s="2335"/>
      <c r="FJK996" s="2335"/>
      <c r="FJL996" s="2335"/>
      <c r="FJM996" s="2335"/>
      <c r="FJN996" s="2335"/>
      <c r="FJO996" s="2335"/>
      <c r="FJP996" s="2335"/>
      <c r="FJQ996" s="2335"/>
      <c r="FJR996" s="2335"/>
      <c r="FJS996" s="2335"/>
      <c r="FJT996" s="2335"/>
      <c r="FJU996" s="2335"/>
      <c r="FJV996" s="2335"/>
      <c r="FJW996" s="2335"/>
      <c r="FJX996" s="2335"/>
      <c r="FJY996" s="2335"/>
      <c r="FJZ996" s="2335"/>
      <c r="FKA996" s="2335"/>
      <c r="FKB996" s="2335"/>
      <c r="FKC996" s="2335"/>
      <c r="FKD996" s="2335"/>
      <c r="FKE996" s="2335"/>
      <c r="FKF996" s="2335"/>
      <c r="FKG996" s="2335"/>
      <c r="FKH996" s="2335"/>
      <c r="FKI996" s="2335"/>
      <c r="FKJ996" s="2335"/>
      <c r="FKK996" s="2335"/>
      <c r="FKL996" s="2335"/>
      <c r="FKM996" s="2335"/>
      <c r="FKN996" s="2335"/>
      <c r="FKO996" s="2335"/>
      <c r="FKP996" s="2335"/>
      <c r="FKQ996" s="2335"/>
      <c r="FKR996" s="2335"/>
      <c r="FKS996" s="2335"/>
      <c r="FKT996" s="2335"/>
      <c r="FKU996" s="2335"/>
      <c r="FKV996" s="2335"/>
      <c r="FKW996" s="2335"/>
      <c r="FKX996" s="2335"/>
      <c r="FKY996" s="2335"/>
      <c r="FKZ996" s="2335"/>
      <c r="FLA996" s="2335"/>
      <c r="FLB996" s="2335"/>
      <c r="FLC996" s="2335"/>
      <c r="FLD996" s="2335"/>
      <c r="FLE996" s="2335"/>
      <c r="FLF996" s="2335"/>
      <c r="FLG996" s="2335"/>
      <c r="FLH996" s="2335"/>
      <c r="FLI996" s="2335"/>
      <c r="FLJ996" s="2335"/>
      <c r="FLK996" s="2335"/>
      <c r="FLL996" s="2335"/>
      <c r="FLM996" s="2335"/>
      <c r="FLN996" s="2335"/>
      <c r="FLO996" s="2335"/>
      <c r="FLP996" s="2335"/>
      <c r="FLQ996" s="2335"/>
      <c r="FLR996" s="2335"/>
      <c r="FLS996" s="2335"/>
      <c r="FLT996" s="2335"/>
      <c r="FLU996" s="2335"/>
      <c r="FLV996" s="2335"/>
      <c r="FLW996" s="2335"/>
      <c r="FLX996" s="2335"/>
      <c r="FLY996" s="2335"/>
      <c r="FLZ996" s="2335"/>
      <c r="FMA996" s="2335"/>
      <c r="FMB996" s="2335"/>
      <c r="FMC996" s="2335"/>
      <c r="FMD996" s="2335"/>
      <c r="FME996" s="2335"/>
      <c r="FMF996" s="2335"/>
      <c r="FMG996" s="2335"/>
      <c r="FMH996" s="2335"/>
      <c r="FMI996" s="2335"/>
      <c r="FMJ996" s="2335"/>
      <c r="FMK996" s="2335"/>
      <c r="FML996" s="2335"/>
      <c r="FMM996" s="2335"/>
      <c r="FMN996" s="2335"/>
      <c r="FMO996" s="2335"/>
      <c r="FMP996" s="2335"/>
      <c r="FMQ996" s="2335"/>
      <c r="FMR996" s="2335"/>
      <c r="FMS996" s="2335"/>
      <c r="FMT996" s="2335"/>
      <c r="FMU996" s="2335"/>
      <c r="FMV996" s="2335"/>
      <c r="FMW996" s="2335"/>
      <c r="FMX996" s="2335"/>
      <c r="FMY996" s="2335"/>
      <c r="FMZ996" s="2335"/>
      <c r="FNA996" s="2335"/>
      <c r="FNB996" s="2335"/>
      <c r="FNC996" s="2335"/>
      <c r="FND996" s="2335"/>
      <c r="FNE996" s="2335"/>
      <c r="FNF996" s="2335"/>
      <c r="FNG996" s="2335"/>
      <c r="FNH996" s="2335"/>
      <c r="FNI996" s="2335"/>
      <c r="FNJ996" s="2335"/>
      <c r="FNK996" s="2335"/>
      <c r="FNL996" s="2335"/>
      <c r="FNM996" s="2335"/>
      <c r="FNN996" s="2335"/>
      <c r="FNO996" s="2335"/>
      <c r="FNP996" s="2335"/>
      <c r="FNQ996" s="2335"/>
      <c r="FNR996" s="2335"/>
      <c r="FNS996" s="2335"/>
      <c r="FNT996" s="2335"/>
      <c r="FNU996" s="2335"/>
      <c r="FNV996" s="2335"/>
      <c r="FNW996" s="2335"/>
      <c r="FNX996" s="2335"/>
      <c r="FNY996" s="2335"/>
      <c r="FNZ996" s="2335"/>
      <c r="FOA996" s="2335"/>
      <c r="FOB996" s="2335"/>
      <c r="FOC996" s="2335"/>
      <c r="FOD996" s="2335"/>
      <c r="FOE996" s="2335"/>
      <c r="FOF996" s="2335"/>
      <c r="FOG996" s="2335"/>
      <c r="FOH996" s="2335"/>
      <c r="FOI996" s="2335"/>
      <c r="FOJ996" s="2335"/>
      <c r="FOK996" s="2335"/>
      <c r="FOL996" s="2335"/>
      <c r="FOM996" s="2335"/>
      <c r="FON996" s="2335"/>
      <c r="FOO996" s="2335"/>
      <c r="FOP996" s="2335"/>
      <c r="FOQ996" s="2335"/>
      <c r="FOR996" s="2335"/>
      <c r="FOS996" s="2335"/>
      <c r="FOT996" s="2335"/>
      <c r="FOU996" s="2335"/>
      <c r="FOV996" s="2335"/>
      <c r="FOW996" s="2335"/>
      <c r="FOX996" s="2335"/>
      <c r="FOY996" s="2335"/>
      <c r="FOZ996" s="2335"/>
      <c r="FPA996" s="2335"/>
      <c r="FPB996" s="2335"/>
      <c r="FPC996" s="2335"/>
      <c r="FPD996" s="2335"/>
      <c r="FPE996" s="2335"/>
      <c r="FPF996" s="2335"/>
      <c r="FPG996" s="2335"/>
      <c r="FPH996" s="2335"/>
      <c r="FPI996" s="2335"/>
      <c r="FPJ996" s="2335"/>
      <c r="FPK996" s="2335"/>
      <c r="FPL996" s="2335"/>
      <c r="FPM996" s="2335"/>
      <c r="FPN996" s="2335"/>
      <c r="FPO996" s="2335"/>
      <c r="FPP996" s="2335"/>
      <c r="FPQ996" s="2335"/>
      <c r="FPR996" s="2335"/>
      <c r="FPS996" s="2335"/>
      <c r="FPT996" s="2335"/>
      <c r="FPU996" s="2335"/>
      <c r="FPV996" s="2335"/>
      <c r="FPW996" s="2335"/>
      <c r="FPX996" s="2335"/>
      <c r="FPY996" s="2335"/>
      <c r="FPZ996" s="2335"/>
      <c r="FQA996" s="2335"/>
      <c r="FQB996" s="2335"/>
      <c r="FQC996" s="2335"/>
      <c r="FQD996" s="2335"/>
      <c r="FQE996" s="2335"/>
      <c r="FQF996" s="2335"/>
      <c r="FQG996" s="2335"/>
      <c r="FQH996" s="2335"/>
      <c r="FQI996" s="2335"/>
      <c r="FQJ996" s="2335"/>
      <c r="FQK996" s="2335"/>
      <c r="FQL996" s="2335"/>
      <c r="FQM996" s="2335"/>
      <c r="FQN996" s="2335"/>
      <c r="FQO996" s="2335"/>
      <c r="FQP996" s="2335"/>
      <c r="FQQ996" s="2335"/>
      <c r="FQR996" s="2335"/>
      <c r="FQS996" s="2335"/>
      <c r="FQT996" s="2335"/>
      <c r="FQU996" s="2335"/>
      <c r="FQV996" s="2335"/>
      <c r="FQW996" s="2335"/>
      <c r="FQX996" s="2335"/>
      <c r="FQY996" s="2335"/>
      <c r="FQZ996" s="2335"/>
      <c r="FRA996" s="2335"/>
      <c r="FRB996" s="2335"/>
      <c r="FRC996" s="2335"/>
      <c r="FRD996" s="2335"/>
      <c r="FRE996" s="2335"/>
      <c r="FRF996" s="2335"/>
      <c r="FRG996" s="2335"/>
      <c r="FRH996" s="2335"/>
      <c r="FRI996" s="2335"/>
      <c r="FRJ996" s="2335"/>
      <c r="FRK996" s="2335"/>
      <c r="FRL996" s="2335"/>
      <c r="FRM996" s="2335"/>
      <c r="FRN996" s="2335"/>
      <c r="FRO996" s="2335"/>
      <c r="FRP996" s="2335"/>
      <c r="FRQ996" s="2335"/>
      <c r="FRR996" s="2335"/>
      <c r="FRS996" s="2335"/>
      <c r="FRT996" s="2335"/>
      <c r="FRU996" s="2335"/>
      <c r="FRV996" s="2335"/>
      <c r="FRW996" s="2335"/>
      <c r="FRX996" s="2335"/>
      <c r="FRY996" s="2335"/>
      <c r="FRZ996" s="2335"/>
      <c r="FSA996" s="2335"/>
      <c r="FSB996" s="2335"/>
      <c r="FSC996" s="2335"/>
      <c r="FSD996" s="2335"/>
      <c r="FSE996" s="2335"/>
      <c r="FSF996" s="2335"/>
      <c r="FSG996" s="2335"/>
      <c r="FSH996" s="2335"/>
      <c r="FSI996" s="2335"/>
      <c r="FSJ996" s="2335"/>
      <c r="FSK996" s="2335"/>
      <c r="FSL996" s="2335"/>
      <c r="FSM996" s="2335"/>
      <c r="FSN996" s="2335"/>
      <c r="FSO996" s="2335"/>
      <c r="FSP996" s="2335"/>
      <c r="FSQ996" s="2335"/>
      <c r="FSR996" s="2335"/>
      <c r="FSS996" s="2335"/>
      <c r="FST996" s="2335"/>
      <c r="FSU996" s="2335"/>
      <c r="FSV996" s="2335"/>
      <c r="FSW996" s="2335"/>
      <c r="FSX996" s="2335"/>
      <c r="FSY996" s="2335"/>
      <c r="FSZ996" s="2335"/>
      <c r="FTA996" s="2335"/>
      <c r="FTB996" s="2335"/>
      <c r="FTC996" s="2335"/>
      <c r="FTD996" s="2335"/>
      <c r="FTE996" s="2335"/>
      <c r="FTF996" s="2335"/>
      <c r="FTG996" s="2335"/>
      <c r="FTH996" s="2335"/>
      <c r="FTI996" s="2335"/>
      <c r="FTJ996" s="2335"/>
      <c r="FTK996" s="2335"/>
      <c r="FTL996" s="2335"/>
      <c r="FTM996" s="2335"/>
      <c r="FTN996" s="2335"/>
      <c r="FTO996" s="2335"/>
      <c r="FTP996" s="2335"/>
      <c r="FTQ996" s="2335"/>
      <c r="FTR996" s="2335"/>
      <c r="FTS996" s="2335"/>
      <c r="FTT996" s="2335"/>
      <c r="FTU996" s="2335"/>
      <c r="FTV996" s="2335"/>
      <c r="FTW996" s="2335"/>
      <c r="FTX996" s="2335"/>
      <c r="FTY996" s="2335"/>
      <c r="FTZ996" s="2335"/>
      <c r="FUA996" s="2335"/>
      <c r="FUB996" s="2335"/>
      <c r="FUC996" s="2335"/>
      <c r="FUD996" s="2335"/>
      <c r="FUE996" s="2335"/>
      <c r="FUF996" s="2335"/>
      <c r="FUG996" s="2335"/>
      <c r="FUH996" s="2335"/>
      <c r="FUI996" s="2335"/>
      <c r="FUJ996" s="2335"/>
      <c r="FUK996" s="2335"/>
      <c r="FUL996" s="2335"/>
      <c r="FUM996" s="2335"/>
      <c r="FUN996" s="2335"/>
      <c r="FUO996" s="2335"/>
      <c r="FUP996" s="2335"/>
      <c r="FUQ996" s="2335"/>
      <c r="FUR996" s="2335"/>
      <c r="FUS996" s="2335"/>
      <c r="FUT996" s="2335"/>
      <c r="FUU996" s="2335"/>
      <c r="FUV996" s="2335"/>
      <c r="FUW996" s="2335"/>
      <c r="FUX996" s="2335"/>
      <c r="FUY996" s="2335"/>
      <c r="FUZ996" s="2335"/>
      <c r="FVA996" s="2335"/>
      <c r="FVB996" s="2335"/>
      <c r="FVC996" s="2335"/>
      <c r="FVD996" s="2335"/>
      <c r="FVE996" s="2335"/>
      <c r="FVF996" s="2335"/>
      <c r="FVG996" s="2335"/>
      <c r="FVH996" s="2335"/>
      <c r="FVI996" s="2335"/>
      <c r="FVJ996" s="2335"/>
      <c r="FVK996" s="2335"/>
      <c r="FVL996" s="2335"/>
      <c r="FVM996" s="2335"/>
      <c r="FVN996" s="2335"/>
      <c r="FVO996" s="2335"/>
      <c r="FVP996" s="2335"/>
      <c r="FVQ996" s="2335"/>
      <c r="FVR996" s="2335"/>
      <c r="FVS996" s="2335"/>
      <c r="FVT996" s="2335"/>
      <c r="FVU996" s="2335"/>
      <c r="FVV996" s="2335"/>
      <c r="FVW996" s="2335"/>
      <c r="FVX996" s="2335"/>
      <c r="FVY996" s="2335"/>
      <c r="FVZ996" s="2335"/>
      <c r="FWA996" s="2335"/>
      <c r="FWB996" s="2335"/>
      <c r="FWC996" s="2335"/>
      <c r="FWD996" s="2335"/>
      <c r="FWE996" s="2335"/>
      <c r="FWF996" s="2335"/>
      <c r="FWG996" s="2335"/>
      <c r="FWH996" s="2335"/>
      <c r="FWI996" s="2335"/>
      <c r="FWJ996" s="2335"/>
      <c r="FWK996" s="2335"/>
      <c r="FWL996" s="2335"/>
      <c r="FWM996" s="2335"/>
      <c r="FWN996" s="2335"/>
      <c r="FWO996" s="2335"/>
      <c r="FWP996" s="2335"/>
      <c r="FWQ996" s="2335"/>
      <c r="FWR996" s="2335"/>
      <c r="FWS996" s="2335"/>
      <c r="FWT996" s="2335"/>
      <c r="FWU996" s="2335"/>
      <c r="FWV996" s="2335"/>
      <c r="FWW996" s="2335"/>
      <c r="FWX996" s="2335"/>
      <c r="FWY996" s="2335"/>
      <c r="FWZ996" s="2335"/>
      <c r="FXA996" s="2335"/>
      <c r="FXB996" s="2335"/>
      <c r="FXC996" s="2335"/>
      <c r="FXD996" s="2335"/>
      <c r="FXE996" s="2335"/>
      <c r="FXF996" s="2335"/>
      <c r="FXG996" s="2335"/>
      <c r="FXH996" s="2335"/>
      <c r="FXI996" s="2335"/>
      <c r="FXJ996" s="2335"/>
      <c r="FXK996" s="2335"/>
      <c r="FXL996" s="2335"/>
      <c r="FXM996" s="2335"/>
      <c r="FXN996" s="2335"/>
      <c r="FXO996" s="2335"/>
      <c r="FXP996" s="2335"/>
      <c r="FXQ996" s="2335"/>
      <c r="FXR996" s="2335"/>
      <c r="FXS996" s="2335"/>
      <c r="FXT996" s="2335"/>
      <c r="FXU996" s="2335"/>
      <c r="FXV996" s="2335"/>
      <c r="FXW996" s="2335"/>
      <c r="FXX996" s="2335"/>
      <c r="FXY996" s="2335"/>
      <c r="FXZ996" s="2335"/>
      <c r="FYA996" s="2335"/>
      <c r="FYB996" s="2335"/>
      <c r="FYC996" s="2335"/>
      <c r="FYD996" s="2335"/>
      <c r="FYE996" s="2335"/>
      <c r="FYF996" s="2335"/>
      <c r="FYG996" s="2335"/>
      <c r="FYH996" s="2335"/>
      <c r="FYI996" s="2335"/>
      <c r="FYJ996" s="2335"/>
      <c r="FYK996" s="2335"/>
      <c r="FYL996" s="2335"/>
      <c r="FYM996" s="2335"/>
      <c r="FYN996" s="2335"/>
      <c r="FYO996" s="2335"/>
      <c r="FYP996" s="2335"/>
      <c r="FYQ996" s="2335"/>
      <c r="FYR996" s="2335"/>
      <c r="FYS996" s="2335"/>
      <c r="FYT996" s="2335"/>
      <c r="FYU996" s="2335"/>
      <c r="FYV996" s="2335"/>
      <c r="FYW996" s="2335"/>
      <c r="FYX996" s="2335"/>
      <c r="FYY996" s="2335"/>
      <c r="FYZ996" s="2335"/>
      <c r="FZA996" s="2335"/>
      <c r="FZB996" s="2335"/>
      <c r="FZC996" s="2335"/>
      <c r="FZD996" s="2335"/>
      <c r="FZE996" s="2335"/>
      <c r="FZF996" s="2335"/>
      <c r="FZG996" s="2335"/>
      <c r="FZH996" s="2335"/>
      <c r="FZI996" s="2335"/>
      <c r="FZJ996" s="2335"/>
      <c r="FZK996" s="2335"/>
      <c r="FZL996" s="2335"/>
      <c r="FZM996" s="2335"/>
      <c r="FZN996" s="2335"/>
      <c r="FZO996" s="2335"/>
      <c r="FZP996" s="2335"/>
      <c r="FZQ996" s="2335"/>
      <c r="FZR996" s="2335"/>
      <c r="FZS996" s="2335"/>
      <c r="FZT996" s="2335"/>
      <c r="FZU996" s="2335"/>
      <c r="FZV996" s="2335"/>
      <c r="FZW996" s="2335"/>
      <c r="FZX996" s="2335"/>
      <c r="FZY996" s="2335"/>
      <c r="FZZ996" s="2335"/>
      <c r="GAA996" s="2335"/>
      <c r="GAB996" s="2335"/>
      <c r="GAC996" s="2335"/>
      <c r="GAD996" s="2335"/>
      <c r="GAE996" s="2335"/>
      <c r="GAF996" s="2335"/>
      <c r="GAG996" s="2335"/>
      <c r="GAH996" s="2335"/>
      <c r="GAI996" s="2335"/>
      <c r="GAJ996" s="2335"/>
      <c r="GAK996" s="2335"/>
      <c r="GAL996" s="2335"/>
      <c r="GAM996" s="2335"/>
      <c r="GAN996" s="2335"/>
      <c r="GAO996" s="2335"/>
      <c r="GAP996" s="2335"/>
      <c r="GAQ996" s="2335"/>
      <c r="GAR996" s="2335"/>
      <c r="GAS996" s="2335"/>
      <c r="GAT996" s="2335"/>
      <c r="GAU996" s="2335"/>
      <c r="GAV996" s="2335"/>
      <c r="GAW996" s="2335"/>
      <c r="GAX996" s="2335"/>
      <c r="GAY996" s="2335"/>
      <c r="GAZ996" s="2335"/>
      <c r="GBA996" s="2335"/>
      <c r="GBB996" s="2335"/>
      <c r="GBC996" s="2335"/>
      <c r="GBD996" s="2335"/>
      <c r="GBE996" s="2335"/>
      <c r="GBF996" s="2335"/>
      <c r="GBG996" s="2335"/>
      <c r="GBH996" s="2335"/>
      <c r="GBI996" s="2335"/>
      <c r="GBJ996" s="2335"/>
      <c r="GBK996" s="2335"/>
      <c r="GBL996" s="2335"/>
      <c r="GBM996" s="2335"/>
      <c r="GBN996" s="2335"/>
      <c r="GBO996" s="2335"/>
      <c r="GBP996" s="2335"/>
      <c r="GBQ996" s="2335"/>
      <c r="GBR996" s="2335"/>
      <c r="GBS996" s="2335"/>
      <c r="GBT996" s="2335"/>
      <c r="GBU996" s="2335"/>
      <c r="GBV996" s="2335"/>
      <c r="GBW996" s="2335"/>
      <c r="GBX996" s="2335"/>
      <c r="GBY996" s="2335"/>
      <c r="GBZ996" s="2335"/>
      <c r="GCA996" s="2335"/>
      <c r="GCB996" s="2335"/>
      <c r="GCC996" s="2335"/>
      <c r="GCD996" s="2335"/>
      <c r="GCE996" s="2335"/>
      <c r="GCF996" s="2335"/>
      <c r="GCG996" s="2335"/>
      <c r="GCH996" s="2335"/>
      <c r="GCI996" s="2335"/>
      <c r="GCJ996" s="2335"/>
      <c r="GCK996" s="2335"/>
      <c r="GCL996" s="2335"/>
      <c r="GCM996" s="2335"/>
      <c r="GCN996" s="2335"/>
      <c r="GCO996" s="2335"/>
      <c r="GCP996" s="2335"/>
      <c r="GCQ996" s="2335"/>
      <c r="GCR996" s="2335"/>
      <c r="GCS996" s="2335"/>
      <c r="GCT996" s="2335"/>
      <c r="GCU996" s="2335"/>
      <c r="GCV996" s="2335"/>
      <c r="GCW996" s="2335"/>
      <c r="GCX996" s="2335"/>
      <c r="GCY996" s="2335"/>
      <c r="GCZ996" s="2335"/>
      <c r="GDA996" s="2335"/>
      <c r="GDB996" s="2335"/>
      <c r="GDC996" s="2335"/>
      <c r="GDD996" s="2335"/>
      <c r="GDE996" s="2335"/>
      <c r="GDF996" s="2335"/>
      <c r="GDG996" s="2335"/>
      <c r="GDH996" s="2335"/>
      <c r="GDI996" s="2335"/>
      <c r="GDJ996" s="2335"/>
      <c r="GDK996" s="2335"/>
      <c r="GDL996" s="2335"/>
      <c r="GDM996" s="2335"/>
      <c r="GDN996" s="2335"/>
      <c r="GDO996" s="2335"/>
      <c r="GDP996" s="2335"/>
      <c r="GDQ996" s="2335"/>
      <c r="GDR996" s="2335"/>
      <c r="GDS996" s="2335"/>
      <c r="GDT996" s="2335"/>
      <c r="GDU996" s="2335"/>
      <c r="GDV996" s="2335"/>
      <c r="GDW996" s="2335"/>
      <c r="GDX996" s="2335"/>
      <c r="GDY996" s="2335"/>
      <c r="GDZ996" s="2335"/>
      <c r="GEA996" s="2335"/>
      <c r="GEB996" s="2335"/>
      <c r="GEC996" s="2335"/>
      <c r="GED996" s="2335"/>
      <c r="GEE996" s="2335"/>
      <c r="GEF996" s="2335"/>
      <c r="GEG996" s="2335"/>
      <c r="GEH996" s="2335"/>
      <c r="GEI996" s="2335"/>
      <c r="GEJ996" s="2335"/>
      <c r="GEK996" s="2335"/>
      <c r="GEL996" s="2335"/>
      <c r="GEM996" s="2335"/>
      <c r="GEN996" s="2335"/>
      <c r="GEO996" s="2335"/>
      <c r="GEP996" s="2335"/>
      <c r="GEQ996" s="2335"/>
      <c r="GER996" s="2335"/>
      <c r="GES996" s="2335"/>
      <c r="GET996" s="2335"/>
      <c r="GEU996" s="2335"/>
      <c r="GEV996" s="2335"/>
      <c r="GEW996" s="2335"/>
      <c r="GEX996" s="2335"/>
      <c r="GEY996" s="2335"/>
      <c r="GEZ996" s="2335"/>
      <c r="GFA996" s="2335"/>
      <c r="GFB996" s="2335"/>
      <c r="GFC996" s="2335"/>
      <c r="GFD996" s="2335"/>
      <c r="GFE996" s="2335"/>
      <c r="GFF996" s="2335"/>
      <c r="GFG996" s="2335"/>
      <c r="GFH996" s="2335"/>
      <c r="GFI996" s="2335"/>
      <c r="GFJ996" s="2335"/>
      <c r="GFK996" s="2335"/>
      <c r="GFL996" s="2335"/>
      <c r="GFM996" s="2335"/>
      <c r="GFN996" s="2335"/>
      <c r="GFO996" s="2335"/>
      <c r="GFP996" s="2335"/>
      <c r="GFQ996" s="2335"/>
      <c r="GFR996" s="2335"/>
      <c r="GFS996" s="2335"/>
      <c r="GFT996" s="2335"/>
      <c r="GFU996" s="2335"/>
      <c r="GFV996" s="2335"/>
      <c r="GFW996" s="2335"/>
      <c r="GFX996" s="2335"/>
      <c r="GFY996" s="2335"/>
      <c r="GFZ996" s="2335"/>
      <c r="GGA996" s="2335"/>
      <c r="GGB996" s="2335"/>
      <c r="GGC996" s="2335"/>
      <c r="GGD996" s="2335"/>
      <c r="GGE996" s="2335"/>
      <c r="GGF996" s="2335"/>
      <c r="GGG996" s="2335"/>
      <c r="GGH996" s="2335"/>
      <c r="GGI996" s="2335"/>
      <c r="GGJ996" s="2335"/>
      <c r="GGK996" s="2335"/>
      <c r="GGL996" s="2335"/>
      <c r="GGM996" s="2335"/>
      <c r="GGN996" s="2335"/>
      <c r="GGO996" s="2335"/>
      <c r="GGP996" s="2335"/>
      <c r="GGQ996" s="2335"/>
      <c r="GGR996" s="2335"/>
      <c r="GGS996" s="2335"/>
      <c r="GGT996" s="2335"/>
      <c r="GGU996" s="2335"/>
      <c r="GGV996" s="2335"/>
      <c r="GGW996" s="2335"/>
      <c r="GGX996" s="2335"/>
      <c r="GGY996" s="2335"/>
      <c r="GGZ996" s="2335"/>
      <c r="GHA996" s="2335"/>
      <c r="GHB996" s="2335"/>
      <c r="GHC996" s="2335"/>
      <c r="GHD996" s="2335"/>
      <c r="GHE996" s="2335"/>
      <c r="GHF996" s="2335"/>
      <c r="GHG996" s="2335"/>
      <c r="GHH996" s="2335"/>
      <c r="GHI996" s="2335"/>
      <c r="GHJ996" s="2335"/>
      <c r="GHK996" s="2335"/>
      <c r="GHL996" s="2335"/>
      <c r="GHM996" s="2335"/>
      <c r="GHN996" s="2335"/>
      <c r="GHO996" s="2335"/>
      <c r="GHP996" s="2335"/>
      <c r="GHQ996" s="2335"/>
      <c r="GHR996" s="2335"/>
      <c r="GHS996" s="2335"/>
      <c r="GHT996" s="2335"/>
      <c r="GHU996" s="2335"/>
      <c r="GHV996" s="2335"/>
      <c r="GHW996" s="2335"/>
      <c r="GHX996" s="2335"/>
      <c r="GHY996" s="2335"/>
      <c r="GHZ996" s="2335"/>
      <c r="GIA996" s="2335"/>
      <c r="GIB996" s="2335"/>
      <c r="GIC996" s="2335"/>
      <c r="GID996" s="2335"/>
      <c r="GIE996" s="2335"/>
      <c r="GIF996" s="2335"/>
      <c r="GIG996" s="2335"/>
      <c r="GIH996" s="2335"/>
      <c r="GII996" s="2335"/>
      <c r="GIJ996" s="2335"/>
      <c r="GIK996" s="2335"/>
      <c r="GIL996" s="2335"/>
      <c r="GIM996" s="2335"/>
      <c r="GIN996" s="2335"/>
      <c r="GIO996" s="2335"/>
      <c r="GIP996" s="2335"/>
      <c r="GIQ996" s="2335"/>
      <c r="GIR996" s="2335"/>
      <c r="GIS996" s="2335"/>
      <c r="GIT996" s="2335"/>
      <c r="GIU996" s="2335"/>
      <c r="GIV996" s="2335"/>
      <c r="GIW996" s="2335"/>
      <c r="GIX996" s="2335"/>
      <c r="GIY996" s="2335"/>
      <c r="GIZ996" s="2335"/>
      <c r="GJA996" s="2335"/>
      <c r="GJB996" s="2335"/>
      <c r="GJC996" s="2335"/>
      <c r="GJD996" s="2335"/>
      <c r="GJE996" s="2335"/>
      <c r="GJF996" s="2335"/>
      <c r="GJG996" s="2335"/>
      <c r="GJH996" s="2335"/>
      <c r="GJI996" s="2335"/>
      <c r="GJJ996" s="2335"/>
      <c r="GJK996" s="2335"/>
      <c r="GJL996" s="2335"/>
      <c r="GJM996" s="2335"/>
      <c r="GJN996" s="2335"/>
      <c r="GJO996" s="2335"/>
      <c r="GJP996" s="2335"/>
      <c r="GJQ996" s="2335"/>
      <c r="GJR996" s="2335"/>
      <c r="GJS996" s="2335"/>
      <c r="GJT996" s="2335"/>
      <c r="GJU996" s="2335"/>
      <c r="GJV996" s="2335"/>
      <c r="GJW996" s="2335"/>
      <c r="GJX996" s="2335"/>
      <c r="GJY996" s="2335"/>
      <c r="GJZ996" s="2335"/>
      <c r="GKA996" s="2335"/>
      <c r="GKB996" s="2335"/>
      <c r="GKC996" s="2335"/>
      <c r="GKD996" s="2335"/>
      <c r="GKE996" s="2335"/>
      <c r="GKF996" s="2335"/>
      <c r="GKG996" s="2335"/>
      <c r="GKH996" s="2335"/>
      <c r="GKI996" s="2335"/>
      <c r="GKJ996" s="2335"/>
      <c r="GKK996" s="2335"/>
      <c r="GKL996" s="2335"/>
      <c r="GKM996" s="2335"/>
      <c r="GKN996" s="2335"/>
      <c r="GKO996" s="2335"/>
      <c r="GKP996" s="2335"/>
      <c r="GKQ996" s="2335"/>
      <c r="GKR996" s="2335"/>
      <c r="GKS996" s="2335"/>
      <c r="GKT996" s="2335"/>
      <c r="GKU996" s="2335"/>
      <c r="GKV996" s="2335"/>
      <c r="GKW996" s="2335"/>
      <c r="GKX996" s="2335"/>
      <c r="GKY996" s="2335"/>
      <c r="GKZ996" s="2335"/>
      <c r="GLA996" s="2335"/>
      <c r="GLB996" s="2335"/>
      <c r="GLC996" s="2335"/>
      <c r="GLD996" s="2335"/>
      <c r="GLE996" s="2335"/>
      <c r="GLF996" s="2335"/>
      <c r="GLG996" s="2335"/>
      <c r="GLH996" s="2335"/>
      <c r="GLI996" s="2335"/>
      <c r="GLJ996" s="2335"/>
      <c r="GLK996" s="2335"/>
      <c r="GLL996" s="2335"/>
      <c r="GLM996" s="2335"/>
      <c r="GLN996" s="2335"/>
      <c r="GLO996" s="2335"/>
      <c r="GLP996" s="2335"/>
      <c r="GLQ996" s="2335"/>
      <c r="GLR996" s="2335"/>
      <c r="GLS996" s="2335"/>
      <c r="GLT996" s="2335"/>
      <c r="GLU996" s="2335"/>
      <c r="GLV996" s="2335"/>
      <c r="GLW996" s="2335"/>
      <c r="GLX996" s="2335"/>
      <c r="GLY996" s="2335"/>
      <c r="GLZ996" s="2335"/>
      <c r="GMA996" s="2335"/>
      <c r="GMB996" s="2335"/>
      <c r="GMC996" s="2335"/>
      <c r="GMD996" s="2335"/>
      <c r="GME996" s="2335"/>
      <c r="GMF996" s="2335"/>
      <c r="GMG996" s="2335"/>
      <c r="GMH996" s="2335"/>
      <c r="GMI996" s="2335"/>
      <c r="GMJ996" s="2335"/>
      <c r="GMK996" s="2335"/>
      <c r="GML996" s="2335"/>
      <c r="GMM996" s="2335"/>
      <c r="GMN996" s="2335"/>
      <c r="GMO996" s="2335"/>
      <c r="GMP996" s="2335"/>
      <c r="GMQ996" s="2335"/>
      <c r="GMR996" s="2335"/>
      <c r="GMS996" s="2335"/>
      <c r="GMT996" s="2335"/>
      <c r="GMU996" s="2335"/>
      <c r="GMV996" s="2335"/>
      <c r="GMW996" s="2335"/>
      <c r="GMX996" s="2335"/>
      <c r="GMY996" s="2335"/>
      <c r="GMZ996" s="2335"/>
      <c r="GNA996" s="2335"/>
      <c r="GNB996" s="2335"/>
      <c r="GNC996" s="2335"/>
      <c r="GND996" s="2335"/>
      <c r="GNE996" s="2335"/>
      <c r="GNF996" s="2335"/>
      <c r="GNG996" s="2335"/>
      <c r="GNH996" s="2335"/>
      <c r="GNI996" s="2335"/>
      <c r="GNJ996" s="2335"/>
      <c r="GNK996" s="2335"/>
      <c r="GNL996" s="2335"/>
      <c r="GNM996" s="2335"/>
      <c r="GNN996" s="2335"/>
      <c r="GNO996" s="2335"/>
      <c r="GNP996" s="2335"/>
      <c r="GNQ996" s="2335"/>
      <c r="GNR996" s="2335"/>
      <c r="GNS996" s="2335"/>
      <c r="GNT996" s="2335"/>
      <c r="GNU996" s="2335"/>
      <c r="GNV996" s="2335"/>
      <c r="GNW996" s="2335"/>
      <c r="GNX996" s="2335"/>
      <c r="GNY996" s="2335"/>
      <c r="GNZ996" s="2335"/>
      <c r="GOA996" s="2335"/>
      <c r="GOB996" s="2335"/>
      <c r="GOC996" s="2335"/>
      <c r="GOD996" s="2335"/>
      <c r="GOE996" s="2335"/>
      <c r="GOF996" s="2335"/>
      <c r="GOG996" s="2335"/>
      <c r="GOH996" s="2335"/>
      <c r="GOI996" s="2335"/>
      <c r="GOJ996" s="2335"/>
      <c r="GOK996" s="2335"/>
      <c r="GOL996" s="2335"/>
      <c r="GOM996" s="2335"/>
      <c r="GON996" s="2335"/>
      <c r="GOO996" s="2335"/>
      <c r="GOP996" s="2335"/>
      <c r="GOQ996" s="2335"/>
      <c r="GOR996" s="2335"/>
      <c r="GOS996" s="2335"/>
      <c r="GOT996" s="2335"/>
      <c r="GOU996" s="2335"/>
      <c r="GOV996" s="2335"/>
      <c r="GOW996" s="2335"/>
      <c r="GOX996" s="2335"/>
      <c r="GOY996" s="2335"/>
      <c r="GOZ996" s="2335"/>
      <c r="GPA996" s="2335"/>
      <c r="GPB996" s="2335"/>
      <c r="GPC996" s="2335"/>
      <c r="GPD996" s="2335"/>
      <c r="GPE996" s="2335"/>
      <c r="GPF996" s="2335"/>
      <c r="GPG996" s="2335"/>
      <c r="GPH996" s="2335"/>
      <c r="GPI996" s="2335"/>
      <c r="GPJ996" s="2335"/>
      <c r="GPK996" s="2335"/>
      <c r="GPL996" s="2335"/>
      <c r="GPM996" s="2335"/>
      <c r="GPN996" s="2335"/>
      <c r="GPO996" s="2335"/>
      <c r="GPP996" s="2335"/>
      <c r="GPQ996" s="2335"/>
      <c r="GPR996" s="2335"/>
      <c r="GPS996" s="2335"/>
      <c r="GPT996" s="2335"/>
      <c r="GPU996" s="2335"/>
      <c r="GPV996" s="2335"/>
      <c r="GPW996" s="2335"/>
      <c r="GPX996" s="2335"/>
      <c r="GPY996" s="2335"/>
      <c r="GPZ996" s="2335"/>
      <c r="GQA996" s="2335"/>
      <c r="GQB996" s="2335"/>
      <c r="GQC996" s="2335"/>
      <c r="GQD996" s="2335"/>
      <c r="GQE996" s="2335"/>
      <c r="GQF996" s="2335"/>
      <c r="GQG996" s="2335"/>
      <c r="GQH996" s="2335"/>
      <c r="GQI996" s="2335"/>
      <c r="GQJ996" s="2335"/>
      <c r="GQK996" s="2335"/>
      <c r="GQL996" s="2335"/>
      <c r="GQM996" s="2335"/>
      <c r="GQN996" s="2335"/>
      <c r="GQO996" s="2335"/>
      <c r="GQP996" s="2335"/>
      <c r="GQQ996" s="2335"/>
      <c r="GQR996" s="2335"/>
      <c r="GQS996" s="2335"/>
      <c r="GQT996" s="2335"/>
      <c r="GQU996" s="2335"/>
      <c r="GQV996" s="2335"/>
      <c r="GQW996" s="2335"/>
      <c r="GQX996" s="2335"/>
      <c r="GQY996" s="2335"/>
      <c r="GQZ996" s="2335"/>
      <c r="GRA996" s="2335"/>
      <c r="GRB996" s="2335"/>
      <c r="GRC996" s="2335"/>
      <c r="GRD996" s="2335"/>
      <c r="GRE996" s="2335"/>
      <c r="GRF996" s="2335"/>
      <c r="GRG996" s="2335"/>
      <c r="GRH996" s="2335"/>
      <c r="GRI996" s="2335"/>
      <c r="GRJ996" s="2335"/>
      <c r="GRK996" s="2335"/>
      <c r="GRL996" s="2335"/>
      <c r="GRM996" s="2335"/>
      <c r="GRN996" s="2335"/>
      <c r="GRO996" s="2335"/>
      <c r="GRP996" s="2335"/>
      <c r="GRQ996" s="2335"/>
      <c r="GRR996" s="2335"/>
      <c r="GRS996" s="2335"/>
      <c r="GRT996" s="2335"/>
      <c r="GRU996" s="2335"/>
      <c r="GRV996" s="2335"/>
      <c r="GRW996" s="2335"/>
      <c r="GRX996" s="2335"/>
      <c r="GRY996" s="2335"/>
      <c r="GRZ996" s="2335"/>
      <c r="GSA996" s="2335"/>
      <c r="GSB996" s="2335"/>
      <c r="GSC996" s="2335"/>
      <c r="GSD996" s="2335"/>
      <c r="GSE996" s="2335"/>
      <c r="GSF996" s="2335"/>
      <c r="GSG996" s="2335"/>
      <c r="GSH996" s="2335"/>
      <c r="GSI996" s="2335"/>
      <c r="GSJ996" s="2335"/>
      <c r="GSK996" s="2335"/>
      <c r="GSL996" s="2335"/>
      <c r="GSM996" s="2335"/>
      <c r="GSN996" s="2335"/>
      <c r="GSO996" s="2335"/>
      <c r="GSP996" s="2335"/>
      <c r="GSQ996" s="2335"/>
      <c r="GSR996" s="2335"/>
      <c r="GSS996" s="2335"/>
      <c r="GST996" s="2335"/>
      <c r="GSU996" s="2335"/>
      <c r="GSV996" s="2335"/>
      <c r="GSW996" s="2335"/>
      <c r="GSX996" s="2335"/>
      <c r="GSY996" s="2335"/>
      <c r="GSZ996" s="2335"/>
      <c r="GTA996" s="2335"/>
      <c r="GTB996" s="2335"/>
      <c r="GTC996" s="2335"/>
      <c r="GTD996" s="2335"/>
      <c r="GTE996" s="2335"/>
      <c r="GTF996" s="2335"/>
      <c r="GTG996" s="2335"/>
      <c r="GTH996" s="2335"/>
      <c r="GTI996" s="2335"/>
      <c r="GTJ996" s="2335"/>
      <c r="GTK996" s="2335"/>
      <c r="GTL996" s="2335"/>
      <c r="GTM996" s="2335"/>
      <c r="GTN996" s="2335"/>
      <c r="GTO996" s="2335"/>
      <c r="GTP996" s="2335"/>
      <c r="GTQ996" s="2335"/>
      <c r="GTR996" s="2335"/>
      <c r="GTS996" s="2335"/>
      <c r="GTT996" s="2335"/>
      <c r="GTU996" s="2335"/>
      <c r="GTV996" s="2335"/>
      <c r="GTW996" s="2335"/>
      <c r="GTX996" s="2335"/>
      <c r="GTY996" s="2335"/>
      <c r="GTZ996" s="2335"/>
      <c r="GUA996" s="2335"/>
      <c r="GUB996" s="2335"/>
      <c r="GUC996" s="2335"/>
      <c r="GUD996" s="2335"/>
      <c r="GUE996" s="2335"/>
      <c r="GUF996" s="2335"/>
      <c r="GUG996" s="2335"/>
      <c r="GUH996" s="2335"/>
      <c r="GUI996" s="2335"/>
      <c r="GUJ996" s="2335"/>
      <c r="GUK996" s="2335"/>
      <c r="GUL996" s="2335"/>
      <c r="GUM996" s="2335"/>
      <c r="GUN996" s="2335"/>
      <c r="GUO996" s="2335"/>
      <c r="GUP996" s="2335"/>
      <c r="GUQ996" s="2335"/>
      <c r="GUR996" s="2335"/>
      <c r="GUS996" s="2335"/>
      <c r="GUT996" s="2335"/>
      <c r="GUU996" s="2335"/>
      <c r="GUV996" s="2335"/>
      <c r="GUW996" s="2335"/>
      <c r="GUX996" s="2335"/>
      <c r="GUY996" s="2335"/>
      <c r="GUZ996" s="2335"/>
      <c r="GVA996" s="2335"/>
      <c r="GVB996" s="2335"/>
      <c r="GVC996" s="2335"/>
      <c r="GVD996" s="2335"/>
      <c r="GVE996" s="2335"/>
      <c r="GVF996" s="2335"/>
      <c r="GVG996" s="2335"/>
      <c r="GVH996" s="2335"/>
      <c r="GVI996" s="2335"/>
      <c r="GVJ996" s="2335"/>
      <c r="GVK996" s="2335"/>
      <c r="GVL996" s="2335"/>
      <c r="GVM996" s="2335"/>
      <c r="GVN996" s="2335"/>
      <c r="GVO996" s="2335"/>
      <c r="GVP996" s="2335"/>
      <c r="GVQ996" s="2335"/>
      <c r="GVR996" s="2335"/>
      <c r="GVS996" s="2335"/>
      <c r="GVT996" s="2335"/>
      <c r="GVU996" s="2335"/>
      <c r="GVV996" s="2335"/>
      <c r="GVW996" s="2335"/>
      <c r="GVX996" s="2335"/>
      <c r="GVY996" s="2335"/>
      <c r="GVZ996" s="2335"/>
      <c r="GWA996" s="2335"/>
      <c r="GWB996" s="2335"/>
      <c r="GWC996" s="2335"/>
      <c r="GWD996" s="2335"/>
      <c r="GWE996" s="2335"/>
      <c r="GWF996" s="2335"/>
      <c r="GWG996" s="2335"/>
      <c r="GWH996" s="2335"/>
      <c r="GWI996" s="2335"/>
      <c r="GWJ996" s="2335"/>
      <c r="GWK996" s="2335"/>
      <c r="GWL996" s="2335"/>
      <c r="GWM996" s="2335"/>
      <c r="GWN996" s="2335"/>
      <c r="GWO996" s="2335"/>
      <c r="GWP996" s="2335"/>
      <c r="GWQ996" s="2335"/>
      <c r="GWR996" s="2335"/>
      <c r="GWS996" s="2335"/>
      <c r="GWT996" s="2335"/>
      <c r="GWU996" s="2335"/>
      <c r="GWV996" s="2335"/>
      <c r="GWW996" s="2335"/>
      <c r="GWX996" s="2335"/>
      <c r="GWY996" s="2335"/>
      <c r="GWZ996" s="2335"/>
      <c r="GXA996" s="2335"/>
      <c r="GXB996" s="2335"/>
      <c r="GXC996" s="2335"/>
      <c r="GXD996" s="2335"/>
      <c r="GXE996" s="2335"/>
      <c r="GXF996" s="2335"/>
      <c r="GXG996" s="2335"/>
      <c r="GXH996" s="2335"/>
      <c r="GXI996" s="2335"/>
      <c r="GXJ996" s="2335"/>
      <c r="GXK996" s="2335"/>
      <c r="GXL996" s="2335"/>
      <c r="GXM996" s="2335"/>
      <c r="GXN996" s="2335"/>
      <c r="GXO996" s="2335"/>
      <c r="GXP996" s="2335"/>
      <c r="GXQ996" s="2335"/>
      <c r="GXR996" s="2335"/>
      <c r="GXS996" s="2335"/>
      <c r="GXT996" s="2335"/>
      <c r="GXU996" s="2335"/>
      <c r="GXV996" s="2335"/>
      <c r="GXW996" s="2335"/>
      <c r="GXX996" s="2335"/>
      <c r="GXY996" s="2335"/>
      <c r="GXZ996" s="2335"/>
      <c r="GYA996" s="2335"/>
      <c r="GYB996" s="2335"/>
      <c r="GYC996" s="2335"/>
      <c r="GYD996" s="2335"/>
      <c r="GYE996" s="2335"/>
      <c r="GYF996" s="2335"/>
      <c r="GYG996" s="2335"/>
      <c r="GYH996" s="2335"/>
      <c r="GYI996" s="2335"/>
      <c r="GYJ996" s="2335"/>
      <c r="GYK996" s="2335"/>
      <c r="GYL996" s="2335"/>
      <c r="GYM996" s="2335"/>
      <c r="GYN996" s="2335"/>
      <c r="GYO996" s="2335"/>
      <c r="GYP996" s="2335"/>
      <c r="GYQ996" s="2335"/>
      <c r="GYR996" s="2335"/>
      <c r="GYS996" s="2335"/>
      <c r="GYT996" s="2335"/>
      <c r="GYU996" s="2335"/>
      <c r="GYV996" s="2335"/>
      <c r="GYW996" s="2335"/>
      <c r="GYX996" s="2335"/>
      <c r="GYY996" s="2335"/>
      <c r="GYZ996" s="2335"/>
      <c r="GZA996" s="2335"/>
      <c r="GZB996" s="2335"/>
      <c r="GZC996" s="2335"/>
      <c r="GZD996" s="2335"/>
      <c r="GZE996" s="2335"/>
      <c r="GZF996" s="2335"/>
      <c r="GZG996" s="2335"/>
      <c r="GZH996" s="2335"/>
      <c r="GZI996" s="2335"/>
      <c r="GZJ996" s="2335"/>
      <c r="GZK996" s="2335"/>
      <c r="GZL996" s="2335"/>
      <c r="GZM996" s="2335"/>
      <c r="GZN996" s="2335"/>
      <c r="GZO996" s="2335"/>
      <c r="GZP996" s="2335"/>
      <c r="GZQ996" s="2335"/>
      <c r="GZR996" s="2335"/>
      <c r="GZS996" s="2335"/>
      <c r="GZT996" s="2335"/>
      <c r="GZU996" s="2335"/>
      <c r="GZV996" s="2335"/>
      <c r="GZW996" s="2335"/>
      <c r="GZX996" s="2335"/>
      <c r="GZY996" s="2335"/>
      <c r="GZZ996" s="2335"/>
      <c r="HAA996" s="2335"/>
      <c r="HAB996" s="2335"/>
      <c r="HAC996" s="2335"/>
      <c r="HAD996" s="2335"/>
      <c r="HAE996" s="2335"/>
      <c r="HAF996" s="2335"/>
      <c r="HAG996" s="2335"/>
      <c r="HAH996" s="2335"/>
      <c r="HAI996" s="2335"/>
      <c r="HAJ996" s="2335"/>
      <c r="HAK996" s="2335"/>
      <c r="HAL996" s="2335"/>
      <c r="HAM996" s="2335"/>
      <c r="HAN996" s="2335"/>
      <c r="HAO996" s="2335"/>
      <c r="HAP996" s="2335"/>
      <c r="HAQ996" s="2335"/>
      <c r="HAR996" s="2335"/>
      <c r="HAS996" s="2335"/>
      <c r="HAT996" s="2335"/>
      <c r="HAU996" s="2335"/>
      <c r="HAV996" s="2335"/>
      <c r="HAW996" s="2335"/>
      <c r="HAX996" s="2335"/>
      <c r="HAY996" s="2335"/>
      <c r="HAZ996" s="2335"/>
      <c r="HBA996" s="2335"/>
      <c r="HBB996" s="2335"/>
      <c r="HBC996" s="2335"/>
      <c r="HBD996" s="2335"/>
      <c r="HBE996" s="2335"/>
      <c r="HBF996" s="2335"/>
      <c r="HBG996" s="2335"/>
      <c r="HBH996" s="2335"/>
      <c r="HBI996" s="2335"/>
      <c r="HBJ996" s="2335"/>
      <c r="HBK996" s="2335"/>
      <c r="HBL996" s="2335"/>
      <c r="HBM996" s="2335"/>
      <c r="HBN996" s="2335"/>
      <c r="HBO996" s="2335"/>
      <c r="HBP996" s="2335"/>
      <c r="HBQ996" s="2335"/>
      <c r="HBR996" s="2335"/>
      <c r="HBS996" s="2335"/>
      <c r="HBT996" s="2335"/>
      <c r="HBU996" s="2335"/>
      <c r="HBV996" s="2335"/>
      <c r="HBW996" s="2335"/>
      <c r="HBX996" s="2335"/>
      <c r="HBY996" s="2335"/>
      <c r="HBZ996" s="2335"/>
      <c r="HCA996" s="2335"/>
      <c r="HCB996" s="2335"/>
      <c r="HCC996" s="2335"/>
      <c r="HCD996" s="2335"/>
      <c r="HCE996" s="2335"/>
      <c r="HCF996" s="2335"/>
      <c r="HCG996" s="2335"/>
      <c r="HCH996" s="2335"/>
      <c r="HCI996" s="2335"/>
      <c r="HCJ996" s="2335"/>
      <c r="HCK996" s="2335"/>
      <c r="HCL996" s="2335"/>
      <c r="HCM996" s="2335"/>
      <c r="HCN996" s="2335"/>
      <c r="HCO996" s="2335"/>
      <c r="HCP996" s="2335"/>
      <c r="HCQ996" s="2335"/>
      <c r="HCR996" s="2335"/>
      <c r="HCS996" s="2335"/>
      <c r="HCT996" s="2335"/>
      <c r="HCU996" s="2335"/>
      <c r="HCV996" s="2335"/>
      <c r="HCW996" s="2335"/>
      <c r="HCX996" s="2335"/>
      <c r="HCY996" s="2335"/>
      <c r="HCZ996" s="2335"/>
      <c r="HDA996" s="2335"/>
      <c r="HDB996" s="2335"/>
      <c r="HDC996" s="2335"/>
      <c r="HDD996" s="2335"/>
      <c r="HDE996" s="2335"/>
      <c r="HDF996" s="2335"/>
      <c r="HDG996" s="2335"/>
      <c r="HDH996" s="2335"/>
      <c r="HDI996" s="2335"/>
      <c r="HDJ996" s="2335"/>
      <c r="HDK996" s="2335"/>
      <c r="HDL996" s="2335"/>
      <c r="HDM996" s="2335"/>
      <c r="HDN996" s="2335"/>
      <c r="HDO996" s="2335"/>
      <c r="HDP996" s="2335"/>
      <c r="HDQ996" s="2335"/>
      <c r="HDR996" s="2335"/>
      <c r="HDS996" s="2335"/>
      <c r="HDT996" s="2335"/>
      <c r="HDU996" s="2335"/>
      <c r="HDV996" s="2335"/>
      <c r="HDW996" s="2335"/>
      <c r="HDX996" s="2335"/>
      <c r="HDY996" s="2335"/>
      <c r="HDZ996" s="2335"/>
      <c r="HEA996" s="2335"/>
      <c r="HEB996" s="2335"/>
      <c r="HEC996" s="2335"/>
      <c r="HED996" s="2335"/>
      <c r="HEE996" s="2335"/>
      <c r="HEF996" s="2335"/>
      <c r="HEG996" s="2335"/>
      <c r="HEH996" s="2335"/>
      <c r="HEI996" s="2335"/>
      <c r="HEJ996" s="2335"/>
      <c r="HEK996" s="2335"/>
      <c r="HEL996" s="2335"/>
      <c r="HEM996" s="2335"/>
      <c r="HEN996" s="2335"/>
      <c r="HEO996" s="2335"/>
      <c r="HEP996" s="2335"/>
      <c r="HEQ996" s="2335"/>
      <c r="HER996" s="2335"/>
      <c r="HES996" s="2335"/>
      <c r="HET996" s="2335"/>
      <c r="HEU996" s="2335"/>
      <c r="HEV996" s="2335"/>
      <c r="HEW996" s="2335"/>
      <c r="HEX996" s="2335"/>
      <c r="HEY996" s="2335"/>
      <c r="HEZ996" s="2335"/>
      <c r="HFA996" s="2335"/>
      <c r="HFB996" s="2335"/>
      <c r="HFC996" s="2335"/>
      <c r="HFD996" s="2335"/>
      <c r="HFE996" s="2335"/>
      <c r="HFF996" s="2335"/>
      <c r="HFG996" s="2335"/>
      <c r="HFH996" s="2335"/>
      <c r="HFI996" s="2335"/>
      <c r="HFJ996" s="2335"/>
      <c r="HFK996" s="2335"/>
      <c r="HFL996" s="2335"/>
      <c r="HFM996" s="2335"/>
      <c r="HFN996" s="2335"/>
      <c r="HFO996" s="2335"/>
      <c r="HFP996" s="2335"/>
      <c r="HFQ996" s="2335"/>
      <c r="HFR996" s="2335"/>
      <c r="HFS996" s="2335"/>
      <c r="HFT996" s="2335"/>
      <c r="HFU996" s="2335"/>
      <c r="HFV996" s="2335"/>
      <c r="HFW996" s="2335"/>
      <c r="HFX996" s="2335"/>
      <c r="HFY996" s="2335"/>
      <c r="HFZ996" s="2335"/>
      <c r="HGA996" s="2335"/>
      <c r="HGB996" s="2335"/>
      <c r="HGC996" s="2335"/>
      <c r="HGD996" s="2335"/>
      <c r="HGE996" s="2335"/>
      <c r="HGF996" s="2335"/>
      <c r="HGG996" s="2335"/>
      <c r="HGH996" s="2335"/>
      <c r="HGI996" s="2335"/>
      <c r="HGJ996" s="2335"/>
      <c r="HGK996" s="2335"/>
      <c r="HGL996" s="2335"/>
      <c r="HGM996" s="2335"/>
      <c r="HGN996" s="2335"/>
      <c r="HGO996" s="2335"/>
      <c r="HGP996" s="2335"/>
      <c r="HGQ996" s="2335"/>
      <c r="HGR996" s="2335"/>
      <c r="HGS996" s="2335"/>
      <c r="HGT996" s="2335"/>
      <c r="HGU996" s="2335"/>
      <c r="HGV996" s="2335"/>
      <c r="HGW996" s="2335"/>
      <c r="HGX996" s="2335"/>
      <c r="HGY996" s="2335"/>
      <c r="HGZ996" s="2335"/>
      <c r="HHA996" s="2335"/>
      <c r="HHB996" s="2335"/>
      <c r="HHC996" s="2335"/>
      <c r="HHD996" s="2335"/>
      <c r="HHE996" s="2335"/>
      <c r="HHF996" s="2335"/>
      <c r="HHG996" s="2335"/>
      <c r="HHH996" s="2335"/>
      <c r="HHI996" s="2335"/>
      <c r="HHJ996" s="2335"/>
      <c r="HHK996" s="2335"/>
      <c r="HHL996" s="2335"/>
      <c r="HHM996" s="2335"/>
      <c r="HHN996" s="2335"/>
      <c r="HHO996" s="2335"/>
      <c r="HHP996" s="2335"/>
      <c r="HHQ996" s="2335"/>
      <c r="HHR996" s="2335"/>
      <c r="HHS996" s="2335"/>
      <c r="HHT996" s="2335"/>
      <c r="HHU996" s="2335"/>
      <c r="HHV996" s="2335"/>
      <c r="HHW996" s="2335"/>
      <c r="HHX996" s="2335"/>
      <c r="HHY996" s="2335"/>
      <c r="HHZ996" s="2335"/>
      <c r="HIA996" s="2335"/>
      <c r="HIB996" s="2335"/>
      <c r="HIC996" s="2335"/>
      <c r="HID996" s="2335"/>
      <c r="HIE996" s="2335"/>
      <c r="HIF996" s="2335"/>
      <c r="HIG996" s="2335"/>
      <c r="HIH996" s="2335"/>
      <c r="HII996" s="2335"/>
      <c r="HIJ996" s="2335"/>
      <c r="HIK996" s="2335"/>
      <c r="HIL996" s="2335"/>
      <c r="HIM996" s="2335"/>
      <c r="HIN996" s="2335"/>
      <c r="HIO996" s="2335"/>
      <c r="HIP996" s="2335"/>
      <c r="HIQ996" s="2335"/>
      <c r="HIR996" s="2335"/>
      <c r="HIS996" s="2335"/>
      <c r="HIT996" s="2335"/>
      <c r="HIU996" s="2335"/>
      <c r="HIV996" s="2335"/>
      <c r="HIW996" s="2335"/>
      <c r="HIX996" s="2335"/>
      <c r="HIY996" s="2335"/>
      <c r="HIZ996" s="2335"/>
      <c r="HJA996" s="2335"/>
      <c r="HJB996" s="2335"/>
      <c r="HJC996" s="2335"/>
      <c r="HJD996" s="2335"/>
      <c r="HJE996" s="2335"/>
      <c r="HJF996" s="2335"/>
      <c r="HJG996" s="2335"/>
      <c r="HJH996" s="2335"/>
      <c r="HJI996" s="2335"/>
      <c r="HJJ996" s="2335"/>
      <c r="HJK996" s="2335"/>
      <c r="HJL996" s="2335"/>
      <c r="HJM996" s="2335"/>
      <c r="HJN996" s="2335"/>
      <c r="HJO996" s="2335"/>
      <c r="HJP996" s="2335"/>
      <c r="HJQ996" s="2335"/>
      <c r="HJR996" s="2335"/>
      <c r="HJS996" s="2335"/>
      <c r="HJT996" s="2335"/>
      <c r="HJU996" s="2335"/>
      <c r="HJV996" s="2335"/>
      <c r="HJW996" s="2335"/>
      <c r="HJX996" s="2335"/>
      <c r="HJY996" s="2335"/>
      <c r="HJZ996" s="2335"/>
      <c r="HKA996" s="2335"/>
      <c r="HKB996" s="2335"/>
      <c r="HKC996" s="2335"/>
      <c r="HKD996" s="2335"/>
      <c r="HKE996" s="2335"/>
      <c r="HKF996" s="2335"/>
      <c r="HKG996" s="2335"/>
      <c r="HKH996" s="2335"/>
      <c r="HKI996" s="2335"/>
      <c r="HKJ996" s="2335"/>
      <c r="HKK996" s="2335"/>
      <c r="HKL996" s="2335"/>
      <c r="HKM996" s="2335"/>
      <c r="HKN996" s="2335"/>
      <c r="HKO996" s="2335"/>
      <c r="HKP996" s="2335"/>
      <c r="HKQ996" s="2335"/>
      <c r="HKR996" s="2335"/>
      <c r="HKS996" s="2335"/>
      <c r="HKT996" s="2335"/>
      <c r="HKU996" s="2335"/>
      <c r="HKV996" s="2335"/>
      <c r="HKW996" s="2335"/>
      <c r="HKX996" s="2335"/>
      <c r="HKY996" s="2335"/>
      <c r="HKZ996" s="2335"/>
      <c r="HLA996" s="2335"/>
      <c r="HLB996" s="2335"/>
      <c r="HLC996" s="2335"/>
      <c r="HLD996" s="2335"/>
      <c r="HLE996" s="2335"/>
      <c r="HLF996" s="2335"/>
      <c r="HLG996" s="2335"/>
      <c r="HLH996" s="2335"/>
      <c r="HLI996" s="2335"/>
      <c r="HLJ996" s="2335"/>
      <c r="HLK996" s="2335"/>
      <c r="HLL996" s="2335"/>
      <c r="HLM996" s="2335"/>
      <c r="HLN996" s="2335"/>
      <c r="HLO996" s="2335"/>
      <c r="HLP996" s="2335"/>
      <c r="HLQ996" s="2335"/>
      <c r="HLR996" s="2335"/>
      <c r="HLS996" s="2335"/>
      <c r="HLT996" s="2335"/>
      <c r="HLU996" s="2335"/>
      <c r="HLV996" s="2335"/>
      <c r="HLW996" s="2335"/>
      <c r="HLX996" s="2335"/>
      <c r="HLY996" s="2335"/>
      <c r="HLZ996" s="2335"/>
      <c r="HMA996" s="2335"/>
      <c r="HMB996" s="2335"/>
      <c r="HMC996" s="2335"/>
      <c r="HMD996" s="2335"/>
      <c r="HME996" s="2335"/>
      <c r="HMF996" s="2335"/>
      <c r="HMG996" s="2335"/>
      <c r="HMH996" s="2335"/>
      <c r="HMI996" s="2335"/>
      <c r="HMJ996" s="2335"/>
      <c r="HMK996" s="2335"/>
      <c r="HML996" s="2335"/>
      <c r="HMM996" s="2335"/>
      <c r="HMN996" s="2335"/>
      <c r="HMO996" s="2335"/>
      <c r="HMP996" s="2335"/>
      <c r="HMQ996" s="2335"/>
      <c r="HMR996" s="2335"/>
      <c r="HMS996" s="2335"/>
      <c r="HMT996" s="2335"/>
      <c r="HMU996" s="2335"/>
      <c r="HMV996" s="2335"/>
      <c r="HMW996" s="2335"/>
      <c r="HMX996" s="2335"/>
      <c r="HMY996" s="2335"/>
      <c r="HMZ996" s="2335"/>
      <c r="HNA996" s="2335"/>
      <c r="HNB996" s="2335"/>
      <c r="HNC996" s="2335"/>
      <c r="HND996" s="2335"/>
      <c r="HNE996" s="2335"/>
      <c r="HNF996" s="2335"/>
      <c r="HNG996" s="2335"/>
      <c r="HNH996" s="2335"/>
      <c r="HNI996" s="2335"/>
      <c r="HNJ996" s="2335"/>
      <c r="HNK996" s="2335"/>
      <c r="HNL996" s="2335"/>
      <c r="HNM996" s="2335"/>
      <c r="HNN996" s="2335"/>
      <c r="HNO996" s="2335"/>
      <c r="HNP996" s="2335"/>
      <c r="HNQ996" s="2335"/>
      <c r="HNR996" s="2335"/>
      <c r="HNS996" s="2335"/>
      <c r="HNT996" s="2335"/>
      <c r="HNU996" s="2335"/>
      <c r="HNV996" s="2335"/>
      <c r="HNW996" s="2335"/>
      <c r="HNX996" s="2335"/>
      <c r="HNY996" s="2335"/>
      <c r="HNZ996" s="2335"/>
      <c r="HOA996" s="2335"/>
      <c r="HOB996" s="2335"/>
      <c r="HOC996" s="2335"/>
      <c r="HOD996" s="2335"/>
      <c r="HOE996" s="2335"/>
      <c r="HOF996" s="2335"/>
      <c r="HOG996" s="2335"/>
      <c r="HOH996" s="2335"/>
      <c r="HOI996" s="2335"/>
      <c r="HOJ996" s="2335"/>
      <c r="HOK996" s="2335"/>
      <c r="HOL996" s="2335"/>
      <c r="HOM996" s="2335"/>
      <c r="HON996" s="2335"/>
      <c r="HOO996" s="2335"/>
      <c r="HOP996" s="2335"/>
      <c r="HOQ996" s="2335"/>
      <c r="HOR996" s="2335"/>
      <c r="HOS996" s="2335"/>
      <c r="HOT996" s="2335"/>
      <c r="HOU996" s="2335"/>
      <c r="HOV996" s="2335"/>
      <c r="HOW996" s="2335"/>
      <c r="HOX996" s="2335"/>
      <c r="HOY996" s="2335"/>
      <c r="HOZ996" s="2335"/>
      <c r="HPA996" s="2335"/>
      <c r="HPB996" s="2335"/>
      <c r="HPC996" s="2335"/>
      <c r="HPD996" s="2335"/>
      <c r="HPE996" s="2335"/>
      <c r="HPF996" s="2335"/>
      <c r="HPG996" s="2335"/>
      <c r="HPH996" s="2335"/>
      <c r="HPI996" s="2335"/>
      <c r="HPJ996" s="2335"/>
      <c r="HPK996" s="2335"/>
      <c r="HPL996" s="2335"/>
      <c r="HPM996" s="2335"/>
      <c r="HPN996" s="2335"/>
      <c r="HPO996" s="2335"/>
      <c r="HPP996" s="2335"/>
      <c r="HPQ996" s="2335"/>
      <c r="HPR996" s="2335"/>
      <c r="HPS996" s="2335"/>
      <c r="HPT996" s="2335"/>
      <c r="HPU996" s="2335"/>
      <c r="HPV996" s="2335"/>
      <c r="HPW996" s="2335"/>
      <c r="HPX996" s="2335"/>
      <c r="HPY996" s="2335"/>
      <c r="HPZ996" s="2335"/>
      <c r="HQA996" s="2335"/>
      <c r="HQB996" s="2335"/>
      <c r="HQC996" s="2335"/>
      <c r="HQD996" s="2335"/>
      <c r="HQE996" s="2335"/>
      <c r="HQF996" s="2335"/>
      <c r="HQG996" s="2335"/>
      <c r="HQH996" s="2335"/>
      <c r="HQI996" s="2335"/>
      <c r="HQJ996" s="2335"/>
      <c r="HQK996" s="2335"/>
      <c r="HQL996" s="2335"/>
      <c r="HQM996" s="2335"/>
      <c r="HQN996" s="2335"/>
      <c r="HQO996" s="2335"/>
      <c r="HQP996" s="2335"/>
      <c r="HQQ996" s="2335"/>
      <c r="HQR996" s="2335"/>
      <c r="HQS996" s="2335"/>
      <c r="HQT996" s="2335"/>
      <c r="HQU996" s="2335"/>
      <c r="HQV996" s="2335"/>
      <c r="HQW996" s="2335"/>
      <c r="HQX996" s="2335"/>
      <c r="HQY996" s="2335"/>
      <c r="HQZ996" s="2335"/>
      <c r="HRA996" s="2335"/>
      <c r="HRB996" s="2335"/>
      <c r="HRC996" s="2335"/>
      <c r="HRD996" s="2335"/>
      <c r="HRE996" s="2335"/>
      <c r="HRF996" s="2335"/>
      <c r="HRG996" s="2335"/>
      <c r="HRH996" s="2335"/>
      <c r="HRI996" s="2335"/>
      <c r="HRJ996" s="2335"/>
      <c r="HRK996" s="2335"/>
      <c r="HRL996" s="2335"/>
      <c r="HRM996" s="2335"/>
      <c r="HRN996" s="2335"/>
      <c r="HRO996" s="2335"/>
      <c r="HRP996" s="2335"/>
      <c r="HRQ996" s="2335"/>
      <c r="HRR996" s="2335"/>
      <c r="HRS996" s="2335"/>
      <c r="HRT996" s="2335"/>
      <c r="HRU996" s="2335"/>
      <c r="HRV996" s="2335"/>
      <c r="HRW996" s="2335"/>
      <c r="HRX996" s="2335"/>
      <c r="HRY996" s="2335"/>
      <c r="HRZ996" s="2335"/>
      <c r="HSA996" s="2335"/>
      <c r="HSB996" s="2335"/>
      <c r="HSC996" s="2335"/>
      <c r="HSD996" s="2335"/>
      <c r="HSE996" s="2335"/>
      <c r="HSF996" s="2335"/>
      <c r="HSG996" s="2335"/>
      <c r="HSH996" s="2335"/>
      <c r="HSI996" s="2335"/>
      <c r="HSJ996" s="2335"/>
      <c r="HSK996" s="2335"/>
      <c r="HSL996" s="2335"/>
      <c r="HSM996" s="2335"/>
      <c r="HSN996" s="2335"/>
      <c r="HSO996" s="2335"/>
      <c r="HSP996" s="2335"/>
      <c r="HSQ996" s="2335"/>
      <c r="HSR996" s="2335"/>
      <c r="HSS996" s="2335"/>
      <c r="HST996" s="2335"/>
      <c r="HSU996" s="2335"/>
      <c r="HSV996" s="2335"/>
      <c r="HSW996" s="2335"/>
      <c r="HSX996" s="2335"/>
      <c r="HSY996" s="2335"/>
      <c r="HSZ996" s="2335"/>
      <c r="HTA996" s="2335"/>
      <c r="HTB996" s="2335"/>
      <c r="HTC996" s="2335"/>
      <c r="HTD996" s="2335"/>
      <c r="HTE996" s="2335"/>
      <c r="HTF996" s="2335"/>
      <c r="HTG996" s="2335"/>
      <c r="HTH996" s="2335"/>
      <c r="HTI996" s="2335"/>
      <c r="HTJ996" s="2335"/>
      <c r="HTK996" s="2335"/>
      <c r="HTL996" s="2335"/>
      <c r="HTM996" s="2335"/>
      <c r="HTN996" s="2335"/>
      <c r="HTO996" s="2335"/>
      <c r="HTP996" s="2335"/>
      <c r="HTQ996" s="2335"/>
      <c r="HTR996" s="2335"/>
      <c r="HTS996" s="2335"/>
      <c r="HTT996" s="2335"/>
      <c r="HTU996" s="2335"/>
      <c r="HTV996" s="2335"/>
      <c r="HTW996" s="2335"/>
      <c r="HTX996" s="2335"/>
      <c r="HTY996" s="2335"/>
      <c r="HTZ996" s="2335"/>
      <c r="HUA996" s="2335"/>
      <c r="HUB996" s="2335"/>
      <c r="HUC996" s="2335"/>
      <c r="HUD996" s="2335"/>
      <c r="HUE996" s="2335"/>
      <c r="HUF996" s="2335"/>
      <c r="HUG996" s="2335"/>
      <c r="HUH996" s="2335"/>
      <c r="HUI996" s="2335"/>
      <c r="HUJ996" s="2335"/>
      <c r="HUK996" s="2335"/>
      <c r="HUL996" s="2335"/>
      <c r="HUM996" s="2335"/>
      <c r="HUN996" s="2335"/>
      <c r="HUO996" s="2335"/>
      <c r="HUP996" s="2335"/>
      <c r="HUQ996" s="2335"/>
      <c r="HUR996" s="2335"/>
      <c r="HUS996" s="2335"/>
      <c r="HUT996" s="2335"/>
      <c r="HUU996" s="2335"/>
      <c r="HUV996" s="2335"/>
      <c r="HUW996" s="2335"/>
      <c r="HUX996" s="2335"/>
      <c r="HUY996" s="2335"/>
      <c r="HUZ996" s="2335"/>
      <c r="HVA996" s="2335"/>
      <c r="HVB996" s="2335"/>
      <c r="HVC996" s="2335"/>
      <c r="HVD996" s="2335"/>
      <c r="HVE996" s="2335"/>
      <c r="HVF996" s="2335"/>
      <c r="HVG996" s="2335"/>
      <c r="HVH996" s="2335"/>
      <c r="HVI996" s="2335"/>
      <c r="HVJ996" s="2335"/>
      <c r="HVK996" s="2335"/>
      <c r="HVL996" s="2335"/>
      <c r="HVM996" s="2335"/>
      <c r="HVN996" s="2335"/>
      <c r="HVO996" s="2335"/>
      <c r="HVP996" s="2335"/>
      <c r="HVQ996" s="2335"/>
      <c r="HVR996" s="2335"/>
      <c r="HVS996" s="2335"/>
      <c r="HVT996" s="2335"/>
      <c r="HVU996" s="2335"/>
      <c r="HVV996" s="2335"/>
      <c r="HVW996" s="2335"/>
      <c r="HVX996" s="2335"/>
      <c r="HVY996" s="2335"/>
      <c r="HVZ996" s="2335"/>
      <c r="HWA996" s="2335"/>
      <c r="HWB996" s="2335"/>
      <c r="HWC996" s="2335"/>
      <c r="HWD996" s="2335"/>
      <c r="HWE996" s="2335"/>
      <c r="HWF996" s="2335"/>
      <c r="HWG996" s="2335"/>
      <c r="HWH996" s="2335"/>
      <c r="HWI996" s="2335"/>
      <c r="HWJ996" s="2335"/>
      <c r="HWK996" s="2335"/>
      <c r="HWL996" s="2335"/>
      <c r="HWM996" s="2335"/>
      <c r="HWN996" s="2335"/>
      <c r="HWO996" s="2335"/>
      <c r="HWP996" s="2335"/>
      <c r="HWQ996" s="2335"/>
      <c r="HWR996" s="2335"/>
      <c r="HWS996" s="2335"/>
      <c r="HWT996" s="2335"/>
      <c r="HWU996" s="2335"/>
      <c r="HWV996" s="2335"/>
      <c r="HWW996" s="2335"/>
      <c r="HWX996" s="2335"/>
      <c r="HWY996" s="2335"/>
      <c r="HWZ996" s="2335"/>
      <c r="HXA996" s="2335"/>
      <c r="HXB996" s="2335"/>
      <c r="HXC996" s="2335"/>
      <c r="HXD996" s="2335"/>
      <c r="HXE996" s="2335"/>
      <c r="HXF996" s="2335"/>
      <c r="HXG996" s="2335"/>
      <c r="HXH996" s="2335"/>
      <c r="HXI996" s="2335"/>
      <c r="HXJ996" s="2335"/>
      <c r="HXK996" s="2335"/>
      <c r="HXL996" s="2335"/>
      <c r="HXM996" s="2335"/>
      <c r="HXN996" s="2335"/>
      <c r="HXO996" s="2335"/>
      <c r="HXP996" s="2335"/>
      <c r="HXQ996" s="2335"/>
      <c r="HXR996" s="2335"/>
      <c r="HXS996" s="2335"/>
      <c r="HXT996" s="2335"/>
      <c r="HXU996" s="2335"/>
      <c r="HXV996" s="2335"/>
      <c r="HXW996" s="2335"/>
      <c r="HXX996" s="2335"/>
      <c r="HXY996" s="2335"/>
      <c r="HXZ996" s="2335"/>
      <c r="HYA996" s="2335"/>
      <c r="HYB996" s="2335"/>
      <c r="HYC996" s="2335"/>
      <c r="HYD996" s="2335"/>
      <c r="HYE996" s="2335"/>
      <c r="HYF996" s="2335"/>
      <c r="HYG996" s="2335"/>
      <c r="HYH996" s="2335"/>
      <c r="HYI996" s="2335"/>
      <c r="HYJ996" s="2335"/>
      <c r="HYK996" s="2335"/>
      <c r="HYL996" s="2335"/>
      <c r="HYM996" s="2335"/>
      <c r="HYN996" s="2335"/>
      <c r="HYO996" s="2335"/>
      <c r="HYP996" s="2335"/>
      <c r="HYQ996" s="2335"/>
      <c r="HYR996" s="2335"/>
      <c r="HYS996" s="2335"/>
      <c r="HYT996" s="2335"/>
      <c r="HYU996" s="2335"/>
      <c r="HYV996" s="2335"/>
      <c r="HYW996" s="2335"/>
      <c r="HYX996" s="2335"/>
      <c r="HYY996" s="2335"/>
      <c r="HYZ996" s="2335"/>
      <c r="HZA996" s="2335"/>
      <c r="HZB996" s="2335"/>
      <c r="HZC996" s="2335"/>
      <c r="HZD996" s="2335"/>
      <c r="HZE996" s="2335"/>
      <c r="HZF996" s="2335"/>
      <c r="HZG996" s="2335"/>
      <c r="HZH996" s="2335"/>
      <c r="HZI996" s="2335"/>
      <c r="HZJ996" s="2335"/>
      <c r="HZK996" s="2335"/>
      <c r="HZL996" s="2335"/>
      <c r="HZM996" s="2335"/>
      <c r="HZN996" s="2335"/>
      <c r="HZO996" s="2335"/>
      <c r="HZP996" s="2335"/>
      <c r="HZQ996" s="2335"/>
      <c r="HZR996" s="2335"/>
      <c r="HZS996" s="2335"/>
      <c r="HZT996" s="2335"/>
      <c r="HZU996" s="2335"/>
      <c r="HZV996" s="2335"/>
      <c r="HZW996" s="2335"/>
      <c r="HZX996" s="2335"/>
      <c r="HZY996" s="2335"/>
      <c r="HZZ996" s="2335"/>
      <c r="IAA996" s="2335"/>
      <c r="IAB996" s="2335"/>
      <c r="IAC996" s="2335"/>
      <c r="IAD996" s="2335"/>
      <c r="IAE996" s="2335"/>
      <c r="IAF996" s="2335"/>
      <c r="IAG996" s="2335"/>
      <c r="IAH996" s="2335"/>
      <c r="IAI996" s="2335"/>
      <c r="IAJ996" s="2335"/>
      <c r="IAK996" s="2335"/>
      <c r="IAL996" s="2335"/>
      <c r="IAM996" s="2335"/>
      <c r="IAN996" s="2335"/>
      <c r="IAO996" s="2335"/>
      <c r="IAP996" s="2335"/>
      <c r="IAQ996" s="2335"/>
      <c r="IAR996" s="2335"/>
      <c r="IAS996" s="2335"/>
      <c r="IAT996" s="2335"/>
      <c r="IAU996" s="2335"/>
      <c r="IAV996" s="2335"/>
      <c r="IAW996" s="2335"/>
      <c r="IAX996" s="2335"/>
      <c r="IAY996" s="2335"/>
      <c r="IAZ996" s="2335"/>
      <c r="IBA996" s="2335"/>
      <c r="IBB996" s="2335"/>
      <c r="IBC996" s="2335"/>
      <c r="IBD996" s="2335"/>
      <c r="IBE996" s="2335"/>
      <c r="IBF996" s="2335"/>
      <c r="IBG996" s="2335"/>
      <c r="IBH996" s="2335"/>
      <c r="IBI996" s="2335"/>
      <c r="IBJ996" s="2335"/>
      <c r="IBK996" s="2335"/>
      <c r="IBL996" s="2335"/>
      <c r="IBM996" s="2335"/>
      <c r="IBN996" s="2335"/>
      <c r="IBO996" s="2335"/>
      <c r="IBP996" s="2335"/>
      <c r="IBQ996" s="2335"/>
      <c r="IBR996" s="2335"/>
      <c r="IBS996" s="2335"/>
      <c r="IBT996" s="2335"/>
      <c r="IBU996" s="2335"/>
      <c r="IBV996" s="2335"/>
      <c r="IBW996" s="2335"/>
      <c r="IBX996" s="2335"/>
      <c r="IBY996" s="2335"/>
      <c r="IBZ996" s="2335"/>
      <c r="ICA996" s="2335"/>
      <c r="ICB996" s="2335"/>
      <c r="ICC996" s="2335"/>
      <c r="ICD996" s="2335"/>
      <c r="ICE996" s="2335"/>
      <c r="ICF996" s="2335"/>
      <c r="ICG996" s="2335"/>
      <c r="ICH996" s="2335"/>
      <c r="ICI996" s="2335"/>
      <c r="ICJ996" s="2335"/>
      <c r="ICK996" s="2335"/>
      <c r="ICL996" s="2335"/>
      <c r="ICM996" s="2335"/>
      <c r="ICN996" s="2335"/>
      <c r="ICO996" s="2335"/>
      <c r="ICP996" s="2335"/>
      <c r="ICQ996" s="2335"/>
      <c r="ICR996" s="2335"/>
      <c r="ICS996" s="2335"/>
      <c r="ICT996" s="2335"/>
      <c r="ICU996" s="2335"/>
      <c r="ICV996" s="2335"/>
      <c r="ICW996" s="2335"/>
      <c r="ICX996" s="2335"/>
      <c r="ICY996" s="2335"/>
      <c r="ICZ996" s="2335"/>
      <c r="IDA996" s="2335"/>
      <c r="IDB996" s="2335"/>
      <c r="IDC996" s="2335"/>
      <c r="IDD996" s="2335"/>
      <c r="IDE996" s="2335"/>
      <c r="IDF996" s="2335"/>
      <c r="IDG996" s="2335"/>
      <c r="IDH996" s="2335"/>
      <c r="IDI996" s="2335"/>
      <c r="IDJ996" s="2335"/>
      <c r="IDK996" s="2335"/>
      <c r="IDL996" s="2335"/>
      <c r="IDM996" s="2335"/>
      <c r="IDN996" s="2335"/>
      <c r="IDO996" s="2335"/>
      <c r="IDP996" s="2335"/>
      <c r="IDQ996" s="2335"/>
      <c r="IDR996" s="2335"/>
      <c r="IDS996" s="2335"/>
      <c r="IDT996" s="2335"/>
      <c r="IDU996" s="2335"/>
      <c r="IDV996" s="2335"/>
      <c r="IDW996" s="2335"/>
      <c r="IDX996" s="2335"/>
      <c r="IDY996" s="2335"/>
      <c r="IDZ996" s="2335"/>
      <c r="IEA996" s="2335"/>
      <c r="IEB996" s="2335"/>
      <c r="IEC996" s="2335"/>
      <c r="IED996" s="2335"/>
      <c r="IEE996" s="2335"/>
      <c r="IEF996" s="2335"/>
      <c r="IEG996" s="2335"/>
      <c r="IEH996" s="2335"/>
      <c r="IEI996" s="2335"/>
      <c r="IEJ996" s="2335"/>
      <c r="IEK996" s="2335"/>
      <c r="IEL996" s="2335"/>
      <c r="IEM996" s="2335"/>
      <c r="IEN996" s="2335"/>
      <c r="IEO996" s="2335"/>
      <c r="IEP996" s="2335"/>
      <c r="IEQ996" s="2335"/>
      <c r="IER996" s="2335"/>
      <c r="IES996" s="2335"/>
      <c r="IET996" s="2335"/>
      <c r="IEU996" s="2335"/>
      <c r="IEV996" s="2335"/>
      <c r="IEW996" s="2335"/>
      <c r="IEX996" s="2335"/>
      <c r="IEY996" s="2335"/>
      <c r="IEZ996" s="2335"/>
      <c r="IFA996" s="2335"/>
      <c r="IFB996" s="2335"/>
      <c r="IFC996" s="2335"/>
      <c r="IFD996" s="2335"/>
      <c r="IFE996" s="2335"/>
      <c r="IFF996" s="2335"/>
      <c r="IFG996" s="2335"/>
      <c r="IFH996" s="2335"/>
      <c r="IFI996" s="2335"/>
      <c r="IFJ996" s="2335"/>
      <c r="IFK996" s="2335"/>
      <c r="IFL996" s="2335"/>
      <c r="IFM996" s="2335"/>
      <c r="IFN996" s="2335"/>
      <c r="IFO996" s="2335"/>
      <c r="IFP996" s="2335"/>
      <c r="IFQ996" s="2335"/>
      <c r="IFR996" s="2335"/>
      <c r="IFS996" s="2335"/>
      <c r="IFT996" s="2335"/>
      <c r="IFU996" s="2335"/>
      <c r="IFV996" s="2335"/>
      <c r="IFW996" s="2335"/>
      <c r="IFX996" s="2335"/>
      <c r="IFY996" s="2335"/>
      <c r="IFZ996" s="2335"/>
      <c r="IGA996" s="2335"/>
      <c r="IGB996" s="2335"/>
      <c r="IGC996" s="2335"/>
      <c r="IGD996" s="2335"/>
      <c r="IGE996" s="2335"/>
      <c r="IGF996" s="2335"/>
      <c r="IGG996" s="2335"/>
      <c r="IGH996" s="2335"/>
      <c r="IGI996" s="2335"/>
      <c r="IGJ996" s="2335"/>
      <c r="IGK996" s="2335"/>
      <c r="IGL996" s="2335"/>
      <c r="IGM996" s="2335"/>
      <c r="IGN996" s="2335"/>
      <c r="IGO996" s="2335"/>
      <c r="IGP996" s="2335"/>
      <c r="IGQ996" s="2335"/>
      <c r="IGR996" s="2335"/>
      <c r="IGS996" s="2335"/>
      <c r="IGT996" s="2335"/>
      <c r="IGU996" s="2335"/>
      <c r="IGV996" s="2335"/>
      <c r="IGW996" s="2335"/>
      <c r="IGX996" s="2335"/>
      <c r="IGY996" s="2335"/>
      <c r="IGZ996" s="2335"/>
      <c r="IHA996" s="2335"/>
      <c r="IHB996" s="2335"/>
      <c r="IHC996" s="2335"/>
      <c r="IHD996" s="2335"/>
      <c r="IHE996" s="2335"/>
      <c r="IHF996" s="2335"/>
      <c r="IHG996" s="2335"/>
      <c r="IHH996" s="2335"/>
      <c r="IHI996" s="2335"/>
      <c r="IHJ996" s="2335"/>
      <c r="IHK996" s="2335"/>
      <c r="IHL996" s="2335"/>
      <c r="IHM996" s="2335"/>
      <c r="IHN996" s="2335"/>
      <c r="IHO996" s="2335"/>
      <c r="IHP996" s="2335"/>
      <c r="IHQ996" s="2335"/>
      <c r="IHR996" s="2335"/>
      <c r="IHS996" s="2335"/>
      <c r="IHT996" s="2335"/>
      <c r="IHU996" s="2335"/>
      <c r="IHV996" s="2335"/>
      <c r="IHW996" s="2335"/>
      <c r="IHX996" s="2335"/>
      <c r="IHY996" s="2335"/>
      <c r="IHZ996" s="2335"/>
      <c r="IIA996" s="2335"/>
      <c r="IIB996" s="2335"/>
      <c r="IIC996" s="2335"/>
      <c r="IID996" s="2335"/>
      <c r="IIE996" s="2335"/>
      <c r="IIF996" s="2335"/>
      <c r="IIG996" s="2335"/>
      <c r="IIH996" s="2335"/>
      <c r="III996" s="2335"/>
      <c r="IIJ996" s="2335"/>
      <c r="IIK996" s="2335"/>
      <c r="IIL996" s="2335"/>
      <c r="IIM996" s="2335"/>
      <c r="IIN996" s="2335"/>
      <c r="IIO996" s="2335"/>
      <c r="IIP996" s="2335"/>
      <c r="IIQ996" s="2335"/>
      <c r="IIR996" s="2335"/>
      <c r="IIS996" s="2335"/>
      <c r="IIT996" s="2335"/>
      <c r="IIU996" s="2335"/>
      <c r="IIV996" s="2335"/>
      <c r="IIW996" s="2335"/>
      <c r="IIX996" s="2335"/>
      <c r="IIY996" s="2335"/>
      <c r="IIZ996" s="2335"/>
      <c r="IJA996" s="2335"/>
      <c r="IJB996" s="2335"/>
      <c r="IJC996" s="2335"/>
      <c r="IJD996" s="2335"/>
      <c r="IJE996" s="2335"/>
      <c r="IJF996" s="2335"/>
      <c r="IJG996" s="2335"/>
      <c r="IJH996" s="2335"/>
      <c r="IJI996" s="2335"/>
      <c r="IJJ996" s="2335"/>
      <c r="IJK996" s="2335"/>
      <c r="IJL996" s="2335"/>
      <c r="IJM996" s="2335"/>
      <c r="IJN996" s="2335"/>
      <c r="IJO996" s="2335"/>
      <c r="IJP996" s="2335"/>
      <c r="IJQ996" s="2335"/>
      <c r="IJR996" s="2335"/>
      <c r="IJS996" s="2335"/>
      <c r="IJT996" s="2335"/>
      <c r="IJU996" s="2335"/>
      <c r="IJV996" s="2335"/>
      <c r="IJW996" s="2335"/>
      <c r="IJX996" s="2335"/>
      <c r="IJY996" s="2335"/>
      <c r="IJZ996" s="2335"/>
      <c r="IKA996" s="2335"/>
      <c r="IKB996" s="2335"/>
      <c r="IKC996" s="2335"/>
      <c r="IKD996" s="2335"/>
      <c r="IKE996" s="2335"/>
      <c r="IKF996" s="2335"/>
      <c r="IKG996" s="2335"/>
      <c r="IKH996" s="2335"/>
      <c r="IKI996" s="2335"/>
      <c r="IKJ996" s="2335"/>
      <c r="IKK996" s="2335"/>
      <c r="IKL996" s="2335"/>
      <c r="IKM996" s="2335"/>
      <c r="IKN996" s="2335"/>
      <c r="IKO996" s="2335"/>
      <c r="IKP996" s="2335"/>
      <c r="IKQ996" s="2335"/>
      <c r="IKR996" s="2335"/>
      <c r="IKS996" s="2335"/>
      <c r="IKT996" s="2335"/>
      <c r="IKU996" s="2335"/>
      <c r="IKV996" s="2335"/>
      <c r="IKW996" s="2335"/>
      <c r="IKX996" s="2335"/>
      <c r="IKY996" s="2335"/>
      <c r="IKZ996" s="2335"/>
      <c r="ILA996" s="2335"/>
      <c r="ILB996" s="2335"/>
      <c r="ILC996" s="2335"/>
      <c r="ILD996" s="2335"/>
      <c r="ILE996" s="2335"/>
      <c r="ILF996" s="2335"/>
      <c r="ILG996" s="2335"/>
      <c r="ILH996" s="2335"/>
      <c r="ILI996" s="2335"/>
      <c r="ILJ996" s="2335"/>
      <c r="ILK996" s="2335"/>
      <c r="ILL996" s="2335"/>
      <c r="ILM996" s="2335"/>
      <c r="ILN996" s="2335"/>
      <c r="ILO996" s="2335"/>
      <c r="ILP996" s="2335"/>
      <c r="ILQ996" s="2335"/>
      <c r="ILR996" s="2335"/>
      <c r="ILS996" s="2335"/>
      <c r="ILT996" s="2335"/>
      <c r="ILU996" s="2335"/>
      <c r="ILV996" s="2335"/>
      <c r="ILW996" s="2335"/>
      <c r="ILX996" s="2335"/>
      <c r="ILY996" s="2335"/>
      <c r="ILZ996" s="2335"/>
      <c r="IMA996" s="2335"/>
      <c r="IMB996" s="2335"/>
      <c r="IMC996" s="2335"/>
      <c r="IMD996" s="2335"/>
      <c r="IME996" s="2335"/>
      <c r="IMF996" s="2335"/>
      <c r="IMG996" s="2335"/>
      <c r="IMH996" s="2335"/>
      <c r="IMI996" s="2335"/>
      <c r="IMJ996" s="2335"/>
      <c r="IMK996" s="2335"/>
      <c r="IML996" s="2335"/>
      <c r="IMM996" s="2335"/>
      <c r="IMN996" s="2335"/>
      <c r="IMO996" s="2335"/>
      <c r="IMP996" s="2335"/>
      <c r="IMQ996" s="2335"/>
      <c r="IMR996" s="2335"/>
      <c r="IMS996" s="2335"/>
      <c r="IMT996" s="2335"/>
      <c r="IMU996" s="2335"/>
      <c r="IMV996" s="2335"/>
      <c r="IMW996" s="2335"/>
      <c r="IMX996" s="2335"/>
      <c r="IMY996" s="2335"/>
      <c r="IMZ996" s="2335"/>
      <c r="INA996" s="2335"/>
      <c r="INB996" s="2335"/>
      <c r="INC996" s="2335"/>
      <c r="IND996" s="2335"/>
      <c r="INE996" s="2335"/>
      <c r="INF996" s="2335"/>
      <c r="ING996" s="2335"/>
      <c r="INH996" s="2335"/>
      <c r="INI996" s="2335"/>
      <c r="INJ996" s="2335"/>
      <c r="INK996" s="2335"/>
      <c r="INL996" s="2335"/>
      <c r="INM996" s="2335"/>
      <c r="INN996" s="2335"/>
      <c r="INO996" s="2335"/>
      <c r="INP996" s="2335"/>
      <c r="INQ996" s="2335"/>
      <c r="INR996" s="2335"/>
      <c r="INS996" s="2335"/>
      <c r="INT996" s="2335"/>
      <c r="INU996" s="2335"/>
      <c r="INV996" s="2335"/>
      <c r="INW996" s="2335"/>
      <c r="INX996" s="2335"/>
      <c r="INY996" s="2335"/>
      <c r="INZ996" s="2335"/>
      <c r="IOA996" s="2335"/>
      <c r="IOB996" s="2335"/>
      <c r="IOC996" s="2335"/>
      <c r="IOD996" s="2335"/>
      <c r="IOE996" s="2335"/>
      <c r="IOF996" s="2335"/>
      <c r="IOG996" s="2335"/>
      <c r="IOH996" s="2335"/>
      <c r="IOI996" s="2335"/>
      <c r="IOJ996" s="2335"/>
      <c r="IOK996" s="2335"/>
      <c r="IOL996" s="2335"/>
      <c r="IOM996" s="2335"/>
      <c r="ION996" s="2335"/>
      <c r="IOO996" s="2335"/>
      <c r="IOP996" s="2335"/>
      <c r="IOQ996" s="2335"/>
      <c r="IOR996" s="2335"/>
      <c r="IOS996" s="2335"/>
      <c r="IOT996" s="2335"/>
      <c r="IOU996" s="2335"/>
      <c r="IOV996" s="2335"/>
      <c r="IOW996" s="2335"/>
      <c r="IOX996" s="2335"/>
      <c r="IOY996" s="2335"/>
      <c r="IOZ996" s="2335"/>
      <c r="IPA996" s="2335"/>
      <c r="IPB996" s="2335"/>
      <c r="IPC996" s="2335"/>
      <c r="IPD996" s="2335"/>
      <c r="IPE996" s="2335"/>
      <c r="IPF996" s="2335"/>
      <c r="IPG996" s="2335"/>
      <c r="IPH996" s="2335"/>
      <c r="IPI996" s="2335"/>
      <c r="IPJ996" s="2335"/>
      <c r="IPK996" s="2335"/>
      <c r="IPL996" s="2335"/>
      <c r="IPM996" s="2335"/>
      <c r="IPN996" s="2335"/>
      <c r="IPO996" s="2335"/>
      <c r="IPP996" s="2335"/>
      <c r="IPQ996" s="2335"/>
      <c r="IPR996" s="2335"/>
      <c r="IPS996" s="2335"/>
      <c r="IPT996" s="2335"/>
      <c r="IPU996" s="2335"/>
      <c r="IPV996" s="2335"/>
      <c r="IPW996" s="2335"/>
      <c r="IPX996" s="2335"/>
      <c r="IPY996" s="2335"/>
      <c r="IPZ996" s="2335"/>
      <c r="IQA996" s="2335"/>
      <c r="IQB996" s="2335"/>
      <c r="IQC996" s="2335"/>
      <c r="IQD996" s="2335"/>
      <c r="IQE996" s="2335"/>
      <c r="IQF996" s="2335"/>
      <c r="IQG996" s="2335"/>
      <c r="IQH996" s="2335"/>
      <c r="IQI996" s="2335"/>
      <c r="IQJ996" s="2335"/>
      <c r="IQK996" s="2335"/>
      <c r="IQL996" s="2335"/>
      <c r="IQM996" s="2335"/>
      <c r="IQN996" s="2335"/>
      <c r="IQO996" s="2335"/>
      <c r="IQP996" s="2335"/>
      <c r="IQQ996" s="2335"/>
      <c r="IQR996" s="2335"/>
      <c r="IQS996" s="2335"/>
      <c r="IQT996" s="2335"/>
      <c r="IQU996" s="2335"/>
      <c r="IQV996" s="2335"/>
      <c r="IQW996" s="2335"/>
      <c r="IQX996" s="2335"/>
      <c r="IQY996" s="2335"/>
      <c r="IQZ996" s="2335"/>
      <c r="IRA996" s="2335"/>
      <c r="IRB996" s="2335"/>
      <c r="IRC996" s="2335"/>
      <c r="IRD996" s="2335"/>
      <c r="IRE996" s="2335"/>
      <c r="IRF996" s="2335"/>
      <c r="IRG996" s="2335"/>
      <c r="IRH996" s="2335"/>
      <c r="IRI996" s="2335"/>
      <c r="IRJ996" s="2335"/>
      <c r="IRK996" s="2335"/>
      <c r="IRL996" s="2335"/>
      <c r="IRM996" s="2335"/>
      <c r="IRN996" s="2335"/>
      <c r="IRO996" s="2335"/>
      <c r="IRP996" s="2335"/>
      <c r="IRQ996" s="2335"/>
      <c r="IRR996" s="2335"/>
      <c r="IRS996" s="2335"/>
      <c r="IRT996" s="2335"/>
      <c r="IRU996" s="2335"/>
      <c r="IRV996" s="2335"/>
      <c r="IRW996" s="2335"/>
      <c r="IRX996" s="2335"/>
      <c r="IRY996" s="2335"/>
      <c r="IRZ996" s="2335"/>
      <c r="ISA996" s="2335"/>
      <c r="ISB996" s="2335"/>
      <c r="ISC996" s="2335"/>
      <c r="ISD996" s="2335"/>
      <c r="ISE996" s="2335"/>
      <c r="ISF996" s="2335"/>
      <c r="ISG996" s="2335"/>
      <c r="ISH996" s="2335"/>
      <c r="ISI996" s="2335"/>
      <c r="ISJ996" s="2335"/>
      <c r="ISK996" s="2335"/>
      <c r="ISL996" s="2335"/>
      <c r="ISM996" s="2335"/>
      <c r="ISN996" s="2335"/>
      <c r="ISO996" s="2335"/>
      <c r="ISP996" s="2335"/>
      <c r="ISQ996" s="2335"/>
      <c r="ISR996" s="2335"/>
      <c r="ISS996" s="2335"/>
      <c r="IST996" s="2335"/>
      <c r="ISU996" s="2335"/>
      <c r="ISV996" s="2335"/>
      <c r="ISW996" s="2335"/>
      <c r="ISX996" s="2335"/>
      <c r="ISY996" s="2335"/>
      <c r="ISZ996" s="2335"/>
      <c r="ITA996" s="2335"/>
      <c r="ITB996" s="2335"/>
      <c r="ITC996" s="2335"/>
      <c r="ITD996" s="2335"/>
      <c r="ITE996" s="2335"/>
      <c r="ITF996" s="2335"/>
      <c r="ITG996" s="2335"/>
      <c r="ITH996" s="2335"/>
      <c r="ITI996" s="2335"/>
      <c r="ITJ996" s="2335"/>
      <c r="ITK996" s="2335"/>
      <c r="ITL996" s="2335"/>
      <c r="ITM996" s="2335"/>
      <c r="ITN996" s="2335"/>
      <c r="ITO996" s="2335"/>
      <c r="ITP996" s="2335"/>
      <c r="ITQ996" s="2335"/>
      <c r="ITR996" s="2335"/>
      <c r="ITS996" s="2335"/>
      <c r="ITT996" s="2335"/>
      <c r="ITU996" s="2335"/>
      <c r="ITV996" s="2335"/>
      <c r="ITW996" s="2335"/>
      <c r="ITX996" s="2335"/>
      <c r="ITY996" s="2335"/>
      <c r="ITZ996" s="2335"/>
      <c r="IUA996" s="2335"/>
      <c r="IUB996" s="2335"/>
      <c r="IUC996" s="2335"/>
      <c r="IUD996" s="2335"/>
      <c r="IUE996" s="2335"/>
      <c r="IUF996" s="2335"/>
      <c r="IUG996" s="2335"/>
      <c r="IUH996" s="2335"/>
      <c r="IUI996" s="2335"/>
      <c r="IUJ996" s="2335"/>
      <c r="IUK996" s="2335"/>
      <c r="IUL996" s="2335"/>
      <c r="IUM996" s="2335"/>
      <c r="IUN996" s="2335"/>
      <c r="IUO996" s="2335"/>
      <c r="IUP996" s="2335"/>
      <c r="IUQ996" s="2335"/>
      <c r="IUR996" s="2335"/>
      <c r="IUS996" s="2335"/>
      <c r="IUT996" s="2335"/>
      <c r="IUU996" s="2335"/>
      <c r="IUV996" s="2335"/>
      <c r="IUW996" s="2335"/>
      <c r="IUX996" s="2335"/>
      <c r="IUY996" s="2335"/>
      <c r="IUZ996" s="2335"/>
      <c r="IVA996" s="2335"/>
      <c r="IVB996" s="2335"/>
      <c r="IVC996" s="2335"/>
      <c r="IVD996" s="2335"/>
      <c r="IVE996" s="2335"/>
      <c r="IVF996" s="2335"/>
      <c r="IVG996" s="2335"/>
      <c r="IVH996" s="2335"/>
      <c r="IVI996" s="2335"/>
      <c r="IVJ996" s="2335"/>
      <c r="IVK996" s="2335"/>
      <c r="IVL996" s="2335"/>
      <c r="IVM996" s="2335"/>
      <c r="IVN996" s="2335"/>
      <c r="IVO996" s="2335"/>
      <c r="IVP996" s="2335"/>
      <c r="IVQ996" s="2335"/>
      <c r="IVR996" s="2335"/>
      <c r="IVS996" s="2335"/>
      <c r="IVT996" s="2335"/>
      <c r="IVU996" s="2335"/>
      <c r="IVV996" s="2335"/>
      <c r="IVW996" s="2335"/>
      <c r="IVX996" s="2335"/>
      <c r="IVY996" s="2335"/>
      <c r="IVZ996" s="2335"/>
      <c r="IWA996" s="2335"/>
      <c r="IWB996" s="2335"/>
      <c r="IWC996" s="2335"/>
      <c r="IWD996" s="2335"/>
      <c r="IWE996" s="2335"/>
      <c r="IWF996" s="2335"/>
      <c r="IWG996" s="2335"/>
      <c r="IWH996" s="2335"/>
      <c r="IWI996" s="2335"/>
      <c r="IWJ996" s="2335"/>
      <c r="IWK996" s="2335"/>
      <c r="IWL996" s="2335"/>
      <c r="IWM996" s="2335"/>
      <c r="IWN996" s="2335"/>
      <c r="IWO996" s="2335"/>
      <c r="IWP996" s="2335"/>
      <c r="IWQ996" s="2335"/>
      <c r="IWR996" s="2335"/>
      <c r="IWS996" s="2335"/>
      <c r="IWT996" s="2335"/>
      <c r="IWU996" s="2335"/>
      <c r="IWV996" s="2335"/>
      <c r="IWW996" s="2335"/>
      <c r="IWX996" s="2335"/>
      <c r="IWY996" s="2335"/>
      <c r="IWZ996" s="2335"/>
      <c r="IXA996" s="2335"/>
      <c r="IXB996" s="2335"/>
      <c r="IXC996" s="2335"/>
      <c r="IXD996" s="2335"/>
      <c r="IXE996" s="2335"/>
      <c r="IXF996" s="2335"/>
      <c r="IXG996" s="2335"/>
      <c r="IXH996" s="2335"/>
      <c r="IXI996" s="2335"/>
      <c r="IXJ996" s="2335"/>
      <c r="IXK996" s="2335"/>
      <c r="IXL996" s="2335"/>
      <c r="IXM996" s="2335"/>
      <c r="IXN996" s="2335"/>
      <c r="IXO996" s="2335"/>
      <c r="IXP996" s="2335"/>
      <c r="IXQ996" s="2335"/>
      <c r="IXR996" s="2335"/>
      <c r="IXS996" s="2335"/>
      <c r="IXT996" s="2335"/>
      <c r="IXU996" s="2335"/>
      <c r="IXV996" s="2335"/>
      <c r="IXW996" s="2335"/>
      <c r="IXX996" s="2335"/>
      <c r="IXY996" s="2335"/>
      <c r="IXZ996" s="2335"/>
      <c r="IYA996" s="2335"/>
      <c r="IYB996" s="2335"/>
      <c r="IYC996" s="2335"/>
      <c r="IYD996" s="2335"/>
      <c r="IYE996" s="2335"/>
      <c r="IYF996" s="2335"/>
      <c r="IYG996" s="2335"/>
      <c r="IYH996" s="2335"/>
      <c r="IYI996" s="2335"/>
      <c r="IYJ996" s="2335"/>
      <c r="IYK996" s="2335"/>
      <c r="IYL996" s="2335"/>
      <c r="IYM996" s="2335"/>
      <c r="IYN996" s="2335"/>
      <c r="IYO996" s="2335"/>
      <c r="IYP996" s="2335"/>
      <c r="IYQ996" s="2335"/>
      <c r="IYR996" s="2335"/>
      <c r="IYS996" s="2335"/>
      <c r="IYT996" s="2335"/>
      <c r="IYU996" s="2335"/>
      <c r="IYV996" s="2335"/>
      <c r="IYW996" s="2335"/>
      <c r="IYX996" s="2335"/>
      <c r="IYY996" s="2335"/>
      <c r="IYZ996" s="2335"/>
      <c r="IZA996" s="2335"/>
      <c r="IZB996" s="2335"/>
      <c r="IZC996" s="2335"/>
      <c r="IZD996" s="2335"/>
      <c r="IZE996" s="2335"/>
      <c r="IZF996" s="2335"/>
      <c r="IZG996" s="2335"/>
      <c r="IZH996" s="2335"/>
      <c r="IZI996" s="2335"/>
      <c r="IZJ996" s="2335"/>
      <c r="IZK996" s="2335"/>
      <c r="IZL996" s="2335"/>
      <c r="IZM996" s="2335"/>
      <c r="IZN996" s="2335"/>
      <c r="IZO996" s="2335"/>
      <c r="IZP996" s="2335"/>
      <c r="IZQ996" s="2335"/>
      <c r="IZR996" s="2335"/>
      <c r="IZS996" s="2335"/>
      <c r="IZT996" s="2335"/>
      <c r="IZU996" s="2335"/>
      <c r="IZV996" s="2335"/>
      <c r="IZW996" s="2335"/>
      <c r="IZX996" s="2335"/>
      <c r="IZY996" s="2335"/>
      <c r="IZZ996" s="2335"/>
      <c r="JAA996" s="2335"/>
      <c r="JAB996" s="2335"/>
      <c r="JAC996" s="2335"/>
      <c r="JAD996" s="2335"/>
      <c r="JAE996" s="2335"/>
      <c r="JAF996" s="2335"/>
      <c r="JAG996" s="2335"/>
      <c r="JAH996" s="2335"/>
      <c r="JAI996" s="2335"/>
      <c r="JAJ996" s="2335"/>
      <c r="JAK996" s="2335"/>
      <c r="JAL996" s="2335"/>
      <c r="JAM996" s="2335"/>
      <c r="JAN996" s="2335"/>
      <c r="JAO996" s="2335"/>
      <c r="JAP996" s="2335"/>
      <c r="JAQ996" s="2335"/>
      <c r="JAR996" s="2335"/>
      <c r="JAS996" s="2335"/>
      <c r="JAT996" s="2335"/>
      <c r="JAU996" s="2335"/>
      <c r="JAV996" s="2335"/>
      <c r="JAW996" s="2335"/>
      <c r="JAX996" s="2335"/>
      <c r="JAY996" s="2335"/>
      <c r="JAZ996" s="2335"/>
      <c r="JBA996" s="2335"/>
      <c r="JBB996" s="2335"/>
      <c r="JBC996" s="2335"/>
      <c r="JBD996" s="2335"/>
      <c r="JBE996" s="2335"/>
      <c r="JBF996" s="2335"/>
      <c r="JBG996" s="2335"/>
      <c r="JBH996" s="2335"/>
      <c r="JBI996" s="2335"/>
      <c r="JBJ996" s="2335"/>
      <c r="JBK996" s="2335"/>
      <c r="JBL996" s="2335"/>
      <c r="JBM996" s="2335"/>
      <c r="JBN996" s="2335"/>
      <c r="JBO996" s="2335"/>
      <c r="JBP996" s="2335"/>
      <c r="JBQ996" s="2335"/>
      <c r="JBR996" s="2335"/>
      <c r="JBS996" s="2335"/>
      <c r="JBT996" s="2335"/>
      <c r="JBU996" s="2335"/>
      <c r="JBV996" s="2335"/>
      <c r="JBW996" s="2335"/>
      <c r="JBX996" s="2335"/>
      <c r="JBY996" s="2335"/>
      <c r="JBZ996" s="2335"/>
      <c r="JCA996" s="2335"/>
      <c r="JCB996" s="2335"/>
      <c r="JCC996" s="2335"/>
      <c r="JCD996" s="2335"/>
      <c r="JCE996" s="2335"/>
      <c r="JCF996" s="2335"/>
      <c r="JCG996" s="2335"/>
      <c r="JCH996" s="2335"/>
      <c r="JCI996" s="2335"/>
      <c r="JCJ996" s="2335"/>
      <c r="JCK996" s="2335"/>
      <c r="JCL996" s="2335"/>
      <c r="JCM996" s="2335"/>
      <c r="JCN996" s="2335"/>
      <c r="JCO996" s="2335"/>
      <c r="JCP996" s="2335"/>
      <c r="JCQ996" s="2335"/>
      <c r="JCR996" s="2335"/>
      <c r="JCS996" s="2335"/>
      <c r="JCT996" s="2335"/>
      <c r="JCU996" s="2335"/>
      <c r="JCV996" s="2335"/>
      <c r="JCW996" s="2335"/>
      <c r="JCX996" s="2335"/>
      <c r="JCY996" s="2335"/>
      <c r="JCZ996" s="2335"/>
      <c r="JDA996" s="2335"/>
      <c r="JDB996" s="2335"/>
      <c r="JDC996" s="2335"/>
      <c r="JDD996" s="2335"/>
      <c r="JDE996" s="2335"/>
      <c r="JDF996" s="2335"/>
      <c r="JDG996" s="2335"/>
      <c r="JDH996" s="2335"/>
      <c r="JDI996" s="2335"/>
      <c r="JDJ996" s="2335"/>
      <c r="JDK996" s="2335"/>
      <c r="JDL996" s="2335"/>
      <c r="JDM996" s="2335"/>
      <c r="JDN996" s="2335"/>
      <c r="JDO996" s="2335"/>
      <c r="JDP996" s="2335"/>
      <c r="JDQ996" s="2335"/>
      <c r="JDR996" s="2335"/>
      <c r="JDS996" s="2335"/>
      <c r="JDT996" s="2335"/>
      <c r="JDU996" s="2335"/>
      <c r="JDV996" s="2335"/>
      <c r="JDW996" s="2335"/>
      <c r="JDX996" s="2335"/>
      <c r="JDY996" s="2335"/>
      <c r="JDZ996" s="2335"/>
      <c r="JEA996" s="2335"/>
      <c r="JEB996" s="2335"/>
      <c r="JEC996" s="2335"/>
      <c r="JED996" s="2335"/>
      <c r="JEE996" s="2335"/>
      <c r="JEF996" s="2335"/>
      <c r="JEG996" s="2335"/>
      <c r="JEH996" s="2335"/>
      <c r="JEI996" s="2335"/>
      <c r="JEJ996" s="2335"/>
      <c r="JEK996" s="2335"/>
      <c r="JEL996" s="2335"/>
      <c r="JEM996" s="2335"/>
      <c r="JEN996" s="2335"/>
      <c r="JEO996" s="2335"/>
      <c r="JEP996" s="2335"/>
      <c r="JEQ996" s="2335"/>
      <c r="JER996" s="2335"/>
      <c r="JES996" s="2335"/>
      <c r="JET996" s="2335"/>
      <c r="JEU996" s="2335"/>
      <c r="JEV996" s="2335"/>
      <c r="JEW996" s="2335"/>
      <c r="JEX996" s="2335"/>
      <c r="JEY996" s="2335"/>
      <c r="JEZ996" s="2335"/>
      <c r="JFA996" s="2335"/>
      <c r="JFB996" s="2335"/>
      <c r="JFC996" s="2335"/>
      <c r="JFD996" s="2335"/>
      <c r="JFE996" s="2335"/>
      <c r="JFF996" s="2335"/>
      <c r="JFG996" s="2335"/>
      <c r="JFH996" s="2335"/>
      <c r="JFI996" s="2335"/>
      <c r="JFJ996" s="2335"/>
      <c r="JFK996" s="2335"/>
      <c r="JFL996" s="2335"/>
      <c r="JFM996" s="2335"/>
      <c r="JFN996" s="2335"/>
      <c r="JFO996" s="2335"/>
      <c r="JFP996" s="2335"/>
      <c r="JFQ996" s="2335"/>
      <c r="JFR996" s="2335"/>
      <c r="JFS996" s="2335"/>
      <c r="JFT996" s="2335"/>
      <c r="JFU996" s="2335"/>
      <c r="JFV996" s="2335"/>
      <c r="JFW996" s="2335"/>
      <c r="JFX996" s="2335"/>
      <c r="JFY996" s="2335"/>
      <c r="JFZ996" s="2335"/>
      <c r="JGA996" s="2335"/>
      <c r="JGB996" s="2335"/>
      <c r="JGC996" s="2335"/>
      <c r="JGD996" s="2335"/>
      <c r="JGE996" s="2335"/>
      <c r="JGF996" s="2335"/>
      <c r="JGG996" s="2335"/>
      <c r="JGH996" s="2335"/>
      <c r="JGI996" s="2335"/>
      <c r="JGJ996" s="2335"/>
      <c r="JGK996" s="2335"/>
      <c r="JGL996" s="2335"/>
      <c r="JGM996" s="2335"/>
      <c r="JGN996" s="2335"/>
      <c r="JGO996" s="2335"/>
      <c r="JGP996" s="2335"/>
      <c r="JGQ996" s="2335"/>
      <c r="JGR996" s="2335"/>
      <c r="JGS996" s="2335"/>
      <c r="JGT996" s="2335"/>
      <c r="JGU996" s="2335"/>
      <c r="JGV996" s="2335"/>
      <c r="JGW996" s="2335"/>
      <c r="JGX996" s="2335"/>
      <c r="JGY996" s="2335"/>
      <c r="JGZ996" s="2335"/>
      <c r="JHA996" s="2335"/>
      <c r="JHB996" s="2335"/>
      <c r="JHC996" s="2335"/>
      <c r="JHD996" s="2335"/>
      <c r="JHE996" s="2335"/>
      <c r="JHF996" s="2335"/>
      <c r="JHG996" s="2335"/>
      <c r="JHH996" s="2335"/>
      <c r="JHI996" s="2335"/>
      <c r="JHJ996" s="2335"/>
      <c r="JHK996" s="2335"/>
      <c r="JHL996" s="2335"/>
      <c r="JHM996" s="2335"/>
      <c r="JHN996" s="2335"/>
      <c r="JHO996" s="2335"/>
      <c r="JHP996" s="2335"/>
      <c r="JHQ996" s="2335"/>
      <c r="JHR996" s="2335"/>
      <c r="JHS996" s="2335"/>
      <c r="JHT996" s="2335"/>
      <c r="JHU996" s="2335"/>
      <c r="JHV996" s="2335"/>
      <c r="JHW996" s="2335"/>
      <c r="JHX996" s="2335"/>
      <c r="JHY996" s="2335"/>
      <c r="JHZ996" s="2335"/>
      <c r="JIA996" s="2335"/>
      <c r="JIB996" s="2335"/>
      <c r="JIC996" s="2335"/>
      <c r="JID996" s="2335"/>
      <c r="JIE996" s="2335"/>
      <c r="JIF996" s="2335"/>
      <c r="JIG996" s="2335"/>
      <c r="JIH996" s="2335"/>
      <c r="JII996" s="2335"/>
      <c r="JIJ996" s="2335"/>
      <c r="JIK996" s="2335"/>
      <c r="JIL996" s="2335"/>
      <c r="JIM996" s="2335"/>
      <c r="JIN996" s="2335"/>
      <c r="JIO996" s="2335"/>
      <c r="JIP996" s="2335"/>
      <c r="JIQ996" s="2335"/>
      <c r="JIR996" s="2335"/>
      <c r="JIS996" s="2335"/>
      <c r="JIT996" s="2335"/>
      <c r="JIU996" s="2335"/>
      <c r="JIV996" s="2335"/>
      <c r="JIW996" s="2335"/>
      <c r="JIX996" s="2335"/>
      <c r="JIY996" s="2335"/>
      <c r="JIZ996" s="2335"/>
      <c r="JJA996" s="2335"/>
      <c r="JJB996" s="2335"/>
      <c r="JJC996" s="2335"/>
      <c r="JJD996" s="2335"/>
      <c r="JJE996" s="2335"/>
      <c r="JJF996" s="2335"/>
      <c r="JJG996" s="2335"/>
      <c r="JJH996" s="2335"/>
      <c r="JJI996" s="2335"/>
      <c r="JJJ996" s="2335"/>
      <c r="JJK996" s="2335"/>
      <c r="JJL996" s="2335"/>
      <c r="JJM996" s="2335"/>
      <c r="JJN996" s="2335"/>
      <c r="JJO996" s="2335"/>
      <c r="JJP996" s="2335"/>
      <c r="JJQ996" s="2335"/>
      <c r="JJR996" s="2335"/>
      <c r="JJS996" s="2335"/>
      <c r="JJT996" s="2335"/>
      <c r="JJU996" s="2335"/>
      <c r="JJV996" s="2335"/>
      <c r="JJW996" s="2335"/>
      <c r="JJX996" s="2335"/>
      <c r="JJY996" s="2335"/>
      <c r="JJZ996" s="2335"/>
      <c r="JKA996" s="2335"/>
      <c r="JKB996" s="2335"/>
      <c r="JKC996" s="2335"/>
      <c r="JKD996" s="2335"/>
      <c r="JKE996" s="2335"/>
      <c r="JKF996" s="2335"/>
      <c r="JKG996" s="2335"/>
      <c r="JKH996" s="2335"/>
      <c r="JKI996" s="2335"/>
      <c r="JKJ996" s="2335"/>
      <c r="JKK996" s="2335"/>
      <c r="JKL996" s="2335"/>
      <c r="JKM996" s="2335"/>
      <c r="JKN996" s="2335"/>
      <c r="JKO996" s="2335"/>
      <c r="JKP996" s="2335"/>
      <c r="JKQ996" s="2335"/>
      <c r="JKR996" s="2335"/>
      <c r="JKS996" s="2335"/>
      <c r="JKT996" s="2335"/>
      <c r="JKU996" s="2335"/>
      <c r="JKV996" s="2335"/>
      <c r="JKW996" s="2335"/>
      <c r="JKX996" s="2335"/>
      <c r="JKY996" s="2335"/>
      <c r="JKZ996" s="2335"/>
      <c r="JLA996" s="2335"/>
      <c r="JLB996" s="2335"/>
      <c r="JLC996" s="2335"/>
      <c r="JLD996" s="2335"/>
      <c r="JLE996" s="2335"/>
      <c r="JLF996" s="2335"/>
      <c r="JLG996" s="2335"/>
      <c r="JLH996" s="2335"/>
      <c r="JLI996" s="2335"/>
      <c r="JLJ996" s="2335"/>
      <c r="JLK996" s="2335"/>
      <c r="JLL996" s="2335"/>
      <c r="JLM996" s="2335"/>
      <c r="JLN996" s="2335"/>
      <c r="JLO996" s="2335"/>
      <c r="JLP996" s="2335"/>
      <c r="JLQ996" s="2335"/>
      <c r="JLR996" s="2335"/>
      <c r="JLS996" s="2335"/>
      <c r="JLT996" s="2335"/>
      <c r="JLU996" s="2335"/>
      <c r="JLV996" s="2335"/>
      <c r="JLW996" s="2335"/>
      <c r="JLX996" s="2335"/>
      <c r="JLY996" s="2335"/>
      <c r="JLZ996" s="2335"/>
      <c r="JMA996" s="2335"/>
      <c r="JMB996" s="2335"/>
      <c r="JMC996" s="2335"/>
      <c r="JMD996" s="2335"/>
      <c r="JME996" s="2335"/>
      <c r="JMF996" s="2335"/>
      <c r="JMG996" s="2335"/>
      <c r="JMH996" s="2335"/>
      <c r="JMI996" s="2335"/>
      <c r="JMJ996" s="2335"/>
      <c r="JMK996" s="2335"/>
      <c r="JML996" s="2335"/>
      <c r="JMM996" s="2335"/>
      <c r="JMN996" s="2335"/>
      <c r="JMO996" s="2335"/>
      <c r="JMP996" s="2335"/>
      <c r="JMQ996" s="2335"/>
      <c r="JMR996" s="2335"/>
      <c r="JMS996" s="2335"/>
      <c r="JMT996" s="2335"/>
      <c r="JMU996" s="2335"/>
      <c r="JMV996" s="2335"/>
      <c r="JMW996" s="2335"/>
      <c r="JMX996" s="2335"/>
      <c r="JMY996" s="2335"/>
      <c r="JMZ996" s="2335"/>
      <c r="JNA996" s="2335"/>
      <c r="JNB996" s="2335"/>
      <c r="JNC996" s="2335"/>
      <c r="JND996" s="2335"/>
      <c r="JNE996" s="2335"/>
      <c r="JNF996" s="2335"/>
      <c r="JNG996" s="2335"/>
      <c r="JNH996" s="2335"/>
      <c r="JNI996" s="2335"/>
      <c r="JNJ996" s="2335"/>
      <c r="JNK996" s="2335"/>
      <c r="JNL996" s="2335"/>
      <c r="JNM996" s="2335"/>
      <c r="JNN996" s="2335"/>
      <c r="JNO996" s="2335"/>
      <c r="JNP996" s="2335"/>
      <c r="JNQ996" s="2335"/>
      <c r="JNR996" s="2335"/>
      <c r="JNS996" s="2335"/>
      <c r="JNT996" s="2335"/>
      <c r="JNU996" s="2335"/>
      <c r="JNV996" s="2335"/>
      <c r="JNW996" s="2335"/>
      <c r="JNX996" s="2335"/>
      <c r="JNY996" s="2335"/>
      <c r="JNZ996" s="2335"/>
      <c r="JOA996" s="2335"/>
      <c r="JOB996" s="2335"/>
      <c r="JOC996" s="2335"/>
      <c r="JOD996" s="2335"/>
      <c r="JOE996" s="2335"/>
      <c r="JOF996" s="2335"/>
      <c r="JOG996" s="2335"/>
      <c r="JOH996" s="2335"/>
      <c r="JOI996" s="2335"/>
      <c r="JOJ996" s="2335"/>
      <c r="JOK996" s="2335"/>
      <c r="JOL996" s="2335"/>
      <c r="JOM996" s="2335"/>
      <c r="JON996" s="2335"/>
      <c r="JOO996" s="2335"/>
      <c r="JOP996" s="2335"/>
      <c r="JOQ996" s="2335"/>
      <c r="JOR996" s="2335"/>
      <c r="JOS996" s="2335"/>
      <c r="JOT996" s="2335"/>
      <c r="JOU996" s="2335"/>
      <c r="JOV996" s="2335"/>
      <c r="JOW996" s="2335"/>
      <c r="JOX996" s="2335"/>
      <c r="JOY996" s="2335"/>
      <c r="JOZ996" s="2335"/>
      <c r="JPA996" s="2335"/>
      <c r="JPB996" s="2335"/>
      <c r="JPC996" s="2335"/>
      <c r="JPD996" s="2335"/>
      <c r="JPE996" s="2335"/>
      <c r="JPF996" s="2335"/>
      <c r="JPG996" s="2335"/>
      <c r="JPH996" s="2335"/>
      <c r="JPI996" s="2335"/>
      <c r="JPJ996" s="2335"/>
      <c r="JPK996" s="2335"/>
      <c r="JPL996" s="2335"/>
      <c r="JPM996" s="2335"/>
      <c r="JPN996" s="2335"/>
      <c r="JPO996" s="2335"/>
      <c r="JPP996" s="2335"/>
      <c r="JPQ996" s="2335"/>
      <c r="JPR996" s="2335"/>
      <c r="JPS996" s="2335"/>
      <c r="JPT996" s="2335"/>
      <c r="JPU996" s="2335"/>
      <c r="JPV996" s="2335"/>
      <c r="JPW996" s="2335"/>
      <c r="JPX996" s="2335"/>
      <c r="JPY996" s="2335"/>
      <c r="JPZ996" s="2335"/>
      <c r="JQA996" s="2335"/>
      <c r="JQB996" s="2335"/>
      <c r="JQC996" s="2335"/>
      <c r="JQD996" s="2335"/>
      <c r="JQE996" s="2335"/>
      <c r="JQF996" s="2335"/>
      <c r="JQG996" s="2335"/>
      <c r="JQH996" s="2335"/>
      <c r="JQI996" s="2335"/>
      <c r="JQJ996" s="2335"/>
      <c r="JQK996" s="2335"/>
      <c r="JQL996" s="2335"/>
      <c r="JQM996" s="2335"/>
      <c r="JQN996" s="2335"/>
      <c r="JQO996" s="2335"/>
      <c r="JQP996" s="2335"/>
      <c r="JQQ996" s="2335"/>
      <c r="JQR996" s="2335"/>
      <c r="JQS996" s="2335"/>
      <c r="JQT996" s="2335"/>
      <c r="JQU996" s="2335"/>
      <c r="JQV996" s="2335"/>
      <c r="JQW996" s="2335"/>
      <c r="JQX996" s="2335"/>
      <c r="JQY996" s="2335"/>
      <c r="JQZ996" s="2335"/>
      <c r="JRA996" s="2335"/>
      <c r="JRB996" s="2335"/>
      <c r="JRC996" s="2335"/>
      <c r="JRD996" s="2335"/>
      <c r="JRE996" s="2335"/>
      <c r="JRF996" s="2335"/>
      <c r="JRG996" s="2335"/>
      <c r="JRH996" s="2335"/>
      <c r="JRI996" s="2335"/>
      <c r="JRJ996" s="2335"/>
      <c r="JRK996" s="2335"/>
      <c r="JRL996" s="2335"/>
      <c r="JRM996" s="2335"/>
      <c r="JRN996" s="2335"/>
      <c r="JRO996" s="2335"/>
      <c r="JRP996" s="2335"/>
      <c r="JRQ996" s="2335"/>
      <c r="JRR996" s="2335"/>
      <c r="JRS996" s="2335"/>
      <c r="JRT996" s="2335"/>
      <c r="JRU996" s="2335"/>
      <c r="JRV996" s="2335"/>
      <c r="JRW996" s="2335"/>
      <c r="JRX996" s="2335"/>
      <c r="JRY996" s="2335"/>
      <c r="JRZ996" s="2335"/>
      <c r="JSA996" s="2335"/>
      <c r="JSB996" s="2335"/>
      <c r="JSC996" s="2335"/>
      <c r="JSD996" s="2335"/>
      <c r="JSE996" s="2335"/>
      <c r="JSF996" s="2335"/>
      <c r="JSG996" s="2335"/>
      <c r="JSH996" s="2335"/>
      <c r="JSI996" s="2335"/>
      <c r="JSJ996" s="2335"/>
      <c r="JSK996" s="2335"/>
      <c r="JSL996" s="2335"/>
      <c r="JSM996" s="2335"/>
      <c r="JSN996" s="2335"/>
      <c r="JSO996" s="2335"/>
      <c r="JSP996" s="2335"/>
      <c r="JSQ996" s="2335"/>
      <c r="JSR996" s="2335"/>
      <c r="JSS996" s="2335"/>
      <c r="JST996" s="2335"/>
      <c r="JSU996" s="2335"/>
      <c r="JSV996" s="2335"/>
      <c r="JSW996" s="2335"/>
      <c r="JSX996" s="2335"/>
      <c r="JSY996" s="2335"/>
      <c r="JSZ996" s="2335"/>
      <c r="JTA996" s="2335"/>
      <c r="JTB996" s="2335"/>
      <c r="JTC996" s="2335"/>
      <c r="JTD996" s="2335"/>
      <c r="JTE996" s="2335"/>
      <c r="JTF996" s="2335"/>
      <c r="JTG996" s="2335"/>
      <c r="JTH996" s="2335"/>
      <c r="JTI996" s="2335"/>
      <c r="JTJ996" s="2335"/>
      <c r="JTK996" s="2335"/>
      <c r="JTL996" s="2335"/>
      <c r="JTM996" s="2335"/>
      <c r="JTN996" s="2335"/>
      <c r="JTO996" s="2335"/>
      <c r="JTP996" s="2335"/>
      <c r="JTQ996" s="2335"/>
      <c r="JTR996" s="2335"/>
      <c r="JTS996" s="2335"/>
      <c r="JTT996" s="2335"/>
      <c r="JTU996" s="2335"/>
      <c r="JTV996" s="2335"/>
      <c r="JTW996" s="2335"/>
      <c r="JTX996" s="2335"/>
      <c r="JTY996" s="2335"/>
      <c r="JTZ996" s="2335"/>
      <c r="JUA996" s="2335"/>
      <c r="JUB996" s="2335"/>
      <c r="JUC996" s="2335"/>
      <c r="JUD996" s="2335"/>
      <c r="JUE996" s="2335"/>
      <c r="JUF996" s="2335"/>
      <c r="JUG996" s="2335"/>
      <c r="JUH996" s="2335"/>
      <c r="JUI996" s="2335"/>
      <c r="JUJ996" s="2335"/>
      <c r="JUK996" s="2335"/>
      <c r="JUL996" s="2335"/>
      <c r="JUM996" s="2335"/>
      <c r="JUN996" s="2335"/>
      <c r="JUO996" s="2335"/>
      <c r="JUP996" s="2335"/>
      <c r="JUQ996" s="2335"/>
      <c r="JUR996" s="2335"/>
      <c r="JUS996" s="2335"/>
      <c r="JUT996" s="2335"/>
      <c r="JUU996" s="2335"/>
      <c r="JUV996" s="2335"/>
      <c r="JUW996" s="2335"/>
      <c r="JUX996" s="2335"/>
      <c r="JUY996" s="2335"/>
      <c r="JUZ996" s="2335"/>
      <c r="JVA996" s="2335"/>
      <c r="JVB996" s="2335"/>
      <c r="JVC996" s="2335"/>
      <c r="JVD996" s="2335"/>
      <c r="JVE996" s="2335"/>
      <c r="JVF996" s="2335"/>
      <c r="JVG996" s="2335"/>
      <c r="JVH996" s="2335"/>
      <c r="JVI996" s="2335"/>
      <c r="JVJ996" s="2335"/>
      <c r="JVK996" s="2335"/>
      <c r="JVL996" s="2335"/>
      <c r="JVM996" s="2335"/>
      <c r="JVN996" s="2335"/>
      <c r="JVO996" s="2335"/>
      <c r="JVP996" s="2335"/>
      <c r="JVQ996" s="2335"/>
      <c r="JVR996" s="2335"/>
      <c r="JVS996" s="2335"/>
      <c r="JVT996" s="2335"/>
      <c r="JVU996" s="2335"/>
      <c r="JVV996" s="2335"/>
      <c r="JVW996" s="2335"/>
      <c r="JVX996" s="2335"/>
      <c r="JVY996" s="2335"/>
      <c r="JVZ996" s="2335"/>
      <c r="JWA996" s="2335"/>
      <c r="JWB996" s="2335"/>
      <c r="JWC996" s="2335"/>
      <c r="JWD996" s="2335"/>
      <c r="JWE996" s="2335"/>
      <c r="JWF996" s="2335"/>
      <c r="JWG996" s="2335"/>
      <c r="JWH996" s="2335"/>
      <c r="JWI996" s="2335"/>
      <c r="JWJ996" s="2335"/>
      <c r="JWK996" s="2335"/>
      <c r="JWL996" s="2335"/>
      <c r="JWM996" s="2335"/>
      <c r="JWN996" s="2335"/>
      <c r="JWO996" s="2335"/>
      <c r="JWP996" s="2335"/>
      <c r="JWQ996" s="2335"/>
      <c r="JWR996" s="2335"/>
      <c r="JWS996" s="2335"/>
      <c r="JWT996" s="2335"/>
      <c r="JWU996" s="2335"/>
      <c r="JWV996" s="2335"/>
      <c r="JWW996" s="2335"/>
      <c r="JWX996" s="2335"/>
      <c r="JWY996" s="2335"/>
      <c r="JWZ996" s="2335"/>
      <c r="JXA996" s="2335"/>
      <c r="JXB996" s="2335"/>
      <c r="JXC996" s="2335"/>
      <c r="JXD996" s="2335"/>
      <c r="JXE996" s="2335"/>
      <c r="JXF996" s="2335"/>
      <c r="JXG996" s="2335"/>
      <c r="JXH996" s="2335"/>
      <c r="JXI996" s="2335"/>
      <c r="JXJ996" s="2335"/>
      <c r="JXK996" s="2335"/>
      <c r="JXL996" s="2335"/>
      <c r="JXM996" s="2335"/>
      <c r="JXN996" s="2335"/>
      <c r="JXO996" s="2335"/>
      <c r="JXP996" s="2335"/>
      <c r="JXQ996" s="2335"/>
      <c r="JXR996" s="2335"/>
      <c r="JXS996" s="2335"/>
      <c r="JXT996" s="2335"/>
      <c r="JXU996" s="2335"/>
      <c r="JXV996" s="2335"/>
      <c r="JXW996" s="2335"/>
      <c r="JXX996" s="2335"/>
      <c r="JXY996" s="2335"/>
      <c r="JXZ996" s="2335"/>
      <c r="JYA996" s="2335"/>
      <c r="JYB996" s="2335"/>
      <c r="JYC996" s="2335"/>
      <c r="JYD996" s="2335"/>
      <c r="JYE996" s="2335"/>
      <c r="JYF996" s="2335"/>
      <c r="JYG996" s="2335"/>
      <c r="JYH996" s="2335"/>
      <c r="JYI996" s="2335"/>
      <c r="JYJ996" s="2335"/>
      <c r="JYK996" s="2335"/>
      <c r="JYL996" s="2335"/>
      <c r="JYM996" s="2335"/>
      <c r="JYN996" s="2335"/>
      <c r="JYO996" s="2335"/>
      <c r="JYP996" s="2335"/>
      <c r="JYQ996" s="2335"/>
      <c r="JYR996" s="2335"/>
      <c r="JYS996" s="2335"/>
      <c r="JYT996" s="2335"/>
      <c r="JYU996" s="2335"/>
      <c r="JYV996" s="2335"/>
      <c r="JYW996" s="2335"/>
      <c r="JYX996" s="2335"/>
      <c r="JYY996" s="2335"/>
      <c r="JYZ996" s="2335"/>
      <c r="JZA996" s="2335"/>
      <c r="JZB996" s="2335"/>
      <c r="JZC996" s="2335"/>
      <c r="JZD996" s="2335"/>
      <c r="JZE996" s="2335"/>
      <c r="JZF996" s="2335"/>
      <c r="JZG996" s="2335"/>
      <c r="JZH996" s="2335"/>
      <c r="JZI996" s="2335"/>
      <c r="JZJ996" s="2335"/>
      <c r="JZK996" s="2335"/>
      <c r="JZL996" s="2335"/>
      <c r="JZM996" s="2335"/>
      <c r="JZN996" s="2335"/>
      <c r="JZO996" s="2335"/>
      <c r="JZP996" s="2335"/>
      <c r="JZQ996" s="2335"/>
      <c r="JZR996" s="2335"/>
      <c r="JZS996" s="2335"/>
      <c r="JZT996" s="2335"/>
      <c r="JZU996" s="2335"/>
      <c r="JZV996" s="2335"/>
      <c r="JZW996" s="2335"/>
      <c r="JZX996" s="2335"/>
      <c r="JZY996" s="2335"/>
      <c r="JZZ996" s="2335"/>
      <c r="KAA996" s="2335"/>
      <c r="KAB996" s="2335"/>
      <c r="KAC996" s="2335"/>
      <c r="KAD996" s="2335"/>
      <c r="KAE996" s="2335"/>
      <c r="KAF996" s="2335"/>
      <c r="KAG996" s="2335"/>
      <c r="KAH996" s="2335"/>
      <c r="KAI996" s="2335"/>
      <c r="KAJ996" s="2335"/>
      <c r="KAK996" s="2335"/>
      <c r="KAL996" s="2335"/>
      <c r="KAM996" s="2335"/>
      <c r="KAN996" s="2335"/>
      <c r="KAO996" s="2335"/>
      <c r="KAP996" s="2335"/>
      <c r="KAQ996" s="2335"/>
      <c r="KAR996" s="2335"/>
      <c r="KAS996" s="2335"/>
      <c r="KAT996" s="2335"/>
      <c r="KAU996" s="2335"/>
      <c r="KAV996" s="2335"/>
      <c r="KAW996" s="2335"/>
      <c r="KAX996" s="2335"/>
      <c r="KAY996" s="2335"/>
      <c r="KAZ996" s="2335"/>
      <c r="KBA996" s="2335"/>
      <c r="KBB996" s="2335"/>
      <c r="KBC996" s="2335"/>
      <c r="KBD996" s="2335"/>
      <c r="KBE996" s="2335"/>
      <c r="KBF996" s="2335"/>
      <c r="KBG996" s="2335"/>
      <c r="KBH996" s="2335"/>
      <c r="KBI996" s="2335"/>
      <c r="KBJ996" s="2335"/>
      <c r="KBK996" s="2335"/>
      <c r="KBL996" s="2335"/>
      <c r="KBM996" s="2335"/>
      <c r="KBN996" s="2335"/>
      <c r="KBO996" s="2335"/>
      <c r="KBP996" s="2335"/>
      <c r="KBQ996" s="2335"/>
      <c r="KBR996" s="2335"/>
      <c r="KBS996" s="2335"/>
      <c r="KBT996" s="2335"/>
      <c r="KBU996" s="2335"/>
      <c r="KBV996" s="2335"/>
      <c r="KBW996" s="2335"/>
      <c r="KBX996" s="2335"/>
      <c r="KBY996" s="2335"/>
      <c r="KBZ996" s="2335"/>
      <c r="KCA996" s="2335"/>
      <c r="KCB996" s="2335"/>
      <c r="KCC996" s="2335"/>
      <c r="KCD996" s="2335"/>
      <c r="KCE996" s="2335"/>
      <c r="KCF996" s="2335"/>
      <c r="KCG996" s="2335"/>
      <c r="KCH996" s="2335"/>
      <c r="KCI996" s="2335"/>
      <c r="KCJ996" s="2335"/>
      <c r="KCK996" s="2335"/>
      <c r="KCL996" s="2335"/>
      <c r="KCM996" s="2335"/>
      <c r="KCN996" s="2335"/>
      <c r="KCO996" s="2335"/>
      <c r="KCP996" s="2335"/>
      <c r="KCQ996" s="2335"/>
      <c r="KCR996" s="2335"/>
      <c r="KCS996" s="2335"/>
      <c r="KCT996" s="2335"/>
      <c r="KCU996" s="2335"/>
      <c r="KCV996" s="2335"/>
      <c r="KCW996" s="2335"/>
      <c r="KCX996" s="2335"/>
      <c r="KCY996" s="2335"/>
      <c r="KCZ996" s="2335"/>
      <c r="KDA996" s="2335"/>
      <c r="KDB996" s="2335"/>
      <c r="KDC996" s="2335"/>
      <c r="KDD996" s="2335"/>
      <c r="KDE996" s="2335"/>
      <c r="KDF996" s="2335"/>
      <c r="KDG996" s="2335"/>
      <c r="KDH996" s="2335"/>
      <c r="KDI996" s="2335"/>
      <c r="KDJ996" s="2335"/>
      <c r="KDK996" s="2335"/>
      <c r="KDL996" s="2335"/>
      <c r="KDM996" s="2335"/>
      <c r="KDN996" s="2335"/>
      <c r="KDO996" s="2335"/>
      <c r="KDP996" s="2335"/>
      <c r="KDQ996" s="2335"/>
      <c r="KDR996" s="2335"/>
      <c r="KDS996" s="2335"/>
      <c r="KDT996" s="2335"/>
      <c r="KDU996" s="2335"/>
      <c r="KDV996" s="2335"/>
      <c r="KDW996" s="2335"/>
      <c r="KDX996" s="2335"/>
      <c r="KDY996" s="2335"/>
      <c r="KDZ996" s="2335"/>
      <c r="KEA996" s="2335"/>
      <c r="KEB996" s="2335"/>
      <c r="KEC996" s="2335"/>
      <c r="KED996" s="2335"/>
      <c r="KEE996" s="2335"/>
      <c r="KEF996" s="2335"/>
      <c r="KEG996" s="2335"/>
      <c r="KEH996" s="2335"/>
      <c r="KEI996" s="2335"/>
      <c r="KEJ996" s="2335"/>
      <c r="KEK996" s="2335"/>
      <c r="KEL996" s="2335"/>
      <c r="KEM996" s="2335"/>
      <c r="KEN996" s="2335"/>
      <c r="KEO996" s="2335"/>
      <c r="KEP996" s="2335"/>
      <c r="KEQ996" s="2335"/>
      <c r="KER996" s="2335"/>
      <c r="KES996" s="2335"/>
      <c r="KET996" s="2335"/>
      <c r="KEU996" s="2335"/>
      <c r="KEV996" s="2335"/>
      <c r="KEW996" s="2335"/>
      <c r="KEX996" s="2335"/>
      <c r="KEY996" s="2335"/>
      <c r="KEZ996" s="2335"/>
      <c r="KFA996" s="2335"/>
      <c r="KFB996" s="2335"/>
      <c r="KFC996" s="2335"/>
      <c r="KFD996" s="2335"/>
      <c r="KFE996" s="2335"/>
      <c r="KFF996" s="2335"/>
      <c r="KFG996" s="2335"/>
      <c r="KFH996" s="2335"/>
      <c r="KFI996" s="2335"/>
      <c r="KFJ996" s="2335"/>
      <c r="KFK996" s="2335"/>
      <c r="KFL996" s="2335"/>
      <c r="KFM996" s="2335"/>
      <c r="KFN996" s="2335"/>
      <c r="KFO996" s="2335"/>
      <c r="KFP996" s="2335"/>
      <c r="KFQ996" s="2335"/>
      <c r="KFR996" s="2335"/>
      <c r="KFS996" s="2335"/>
      <c r="KFT996" s="2335"/>
      <c r="KFU996" s="2335"/>
      <c r="KFV996" s="2335"/>
      <c r="KFW996" s="2335"/>
      <c r="KFX996" s="2335"/>
      <c r="KFY996" s="2335"/>
      <c r="KFZ996" s="2335"/>
      <c r="KGA996" s="2335"/>
      <c r="KGB996" s="2335"/>
      <c r="KGC996" s="2335"/>
      <c r="KGD996" s="2335"/>
      <c r="KGE996" s="2335"/>
      <c r="KGF996" s="2335"/>
      <c r="KGG996" s="2335"/>
      <c r="KGH996" s="2335"/>
      <c r="KGI996" s="2335"/>
      <c r="KGJ996" s="2335"/>
      <c r="KGK996" s="2335"/>
      <c r="KGL996" s="2335"/>
      <c r="KGM996" s="2335"/>
      <c r="KGN996" s="2335"/>
      <c r="KGO996" s="2335"/>
      <c r="KGP996" s="2335"/>
      <c r="KGQ996" s="2335"/>
      <c r="KGR996" s="2335"/>
      <c r="KGS996" s="2335"/>
      <c r="KGT996" s="2335"/>
      <c r="KGU996" s="2335"/>
      <c r="KGV996" s="2335"/>
      <c r="KGW996" s="2335"/>
      <c r="KGX996" s="2335"/>
      <c r="KGY996" s="2335"/>
      <c r="KGZ996" s="2335"/>
      <c r="KHA996" s="2335"/>
      <c r="KHB996" s="2335"/>
      <c r="KHC996" s="2335"/>
      <c r="KHD996" s="2335"/>
      <c r="KHE996" s="2335"/>
      <c r="KHF996" s="2335"/>
      <c r="KHG996" s="2335"/>
      <c r="KHH996" s="2335"/>
      <c r="KHI996" s="2335"/>
      <c r="KHJ996" s="2335"/>
      <c r="KHK996" s="2335"/>
      <c r="KHL996" s="2335"/>
      <c r="KHM996" s="2335"/>
      <c r="KHN996" s="2335"/>
      <c r="KHO996" s="2335"/>
      <c r="KHP996" s="2335"/>
      <c r="KHQ996" s="2335"/>
      <c r="KHR996" s="2335"/>
      <c r="KHS996" s="2335"/>
      <c r="KHT996" s="2335"/>
      <c r="KHU996" s="2335"/>
      <c r="KHV996" s="2335"/>
      <c r="KHW996" s="2335"/>
      <c r="KHX996" s="2335"/>
      <c r="KHY996" s="2335"/>
      <c r="KHZ996" s="2335"/>
      <c r="KIA996" s="2335"/>
      <c r="KIB996" s="2335"/>
      <c r="KIC996" s="2335"/>
      <c r="KID996" s="2335"/>
      <c r="KIE996" s="2335"/>
      <c r="KIF996" s="2335"/>
      <c r="KIG996" s="2335"/>
      <c r="KIH996" s="2335"/>
      <c r="KII996" s="2335"/>
      <c r="KIJ996" s="2335"/>
      <c r="KIK996" s="2335"/>
      <c r="KIL996" s="2335"/>
      <c r="KIM996" s="2335"/>
      <c r="KIN996" s="2335"/>
      <c r="KIO996" s="2335"/>
      <c r="KIP996" s="2335"/>
      <c r="KIQ996" s="2335"/>
      <c r="KIR996" s="2335"/>
      <c r="KIS996" s="2335"/>
      <c r="KIT996" s="2335"/>
      <c r="KIU996" s="2335"/>
      <c r="KIV996" s="2335"/>
      <c r="KIW996" s="2335"/>
      <c r="KIX996" s="2335"/>
      <c r="KIY996" s="2335"/>
      <c r="KIZ996" s="2335"/>
      <c r="KJA996" s="2335"/>
      <c r="KJB996" s="2335"/>
      <c r="KJC996" s="2335"/>
      <c r="KJD996" s="2335"/>
      <c r="KJE996" s="2335"/>
      <c r="KJF996" s="2335"/>
      <c r="KJG996" s="2335"/>
      <c r="KJH996" s="2335"/>
      <c r="KJI996" s="2335"/>
      <c r="KJJ996" s="2335"/>
      <c r="KJK996" s="2335"/>
      <c r="KJL996" s="2335"/>
      <c r="KJM996" s="2335"/>
      <c r="KJN996" s="2335"/>
      <c r="KJO996" s="2335"/>
      <c r="KJP996" s="2335"/>
      <c r="KJQ996" s="2335"/>
      <c r="KJR996" s="2335"/>
      <c r="KJS996" s="2335"/>
      <c r="KJT996" s="2335"/>
      <c r="KJU996" s="2335"/>
      <c r="KJV996" s="2335"/>
      <c r="KJW996" s="2335"/>
      <c r="KJX996" s="2335"/>
      <c r="KJY996" s="2335"/>
      <c r="KJZ996" s="2335"/>
      <c r="KKA996" s="2335"/>
      <c r="KKB996" s="2335"/>
      <c r="KKC996" s="2335"/>
      <c r="KKD996" s="2335"/>
      <c r="KKE996" s="2335"/>
      <c r="KKF996" s="2335"/>
      <c r="KKG996" s="2335"/>
      <c r="KKH996" s="2335"/>
      <c r="KKI996" s="2335"/>
      <c r="KKJ996" s="2335"/>
      <c r="KKK996" s="2335"/>
      <c r="KKL996" s="2335"/>
      <c r="KKM996" s="2335"/>
      <c r="KKN996" s="2335"/>
      <c r="KKO996" s="2335"/>
      <c r="KKP996" s="2335"/>
      <c r="KKQ996" s="2335"/>
      <c r="KKR996" s="2335"/>
      <c r="KKS996" s="2335"/>
      <c r="KKT996" s="2335"/>
      <c r="KKU996" s="2335"/>
      <c r="KKV996" s="2335"/>
      <c r="KKW996" s="2335"/>
      <c r="KKX996" s="2335"/>
      <c r="KKY996" s="2335"/>
      <c r="KKZ996" s="2335"/>
      <c r="KLA996" s="2335"/>
      <c r="KLB996" s="2335"/>
      <c r="KLC996" s="2335"/>
      <c r="KLD996" s="2335"/>
      <c r="KLE996" s="2335"/>
      <c r="KLF996" s="2335"/>
      <c r="KLG996" s="2335"/>
      <c r="KLH996" s="2335"/>
      <c r="KLI996" s="2335"/>
      <c r="KLJ996" s="2335"/>
      <c r="KLK996" s="2335"/>
      <c r="KLL996" s="2335"/>
      <c r="KLM996" s="2335"/>
      <c r="KLN996" s="2335"/>
      <c r="KLO996" s="2335"/>
      <c r="KLP996" s="2335"/>
      <c r="KLQ996" s="2335"/>
      <c r="KLR996" s="2335"/>
      <c r="KLS996" s="2335"/>
      <c r="KLT996" s="2335"/>
      <c r="KLU996" s="2335"/>
      <c r="KLV996" s="2335"/>
      <c r="KLW996" s="2335"/>
      <c r="KLX996" s="2335"/>
      <c r="KLY996" s="2335"/>
      <c r="KLZ996" s="2335"/>
      <c r="KMA996" s="2335"/>
      <c r="KMB996" s="2335"/>
      <c r="KMC996" s="2335"/>
      <c r="KMD996" s="2335"/>
      <c r="KME996" s="2335"/>
      <c r="KMF996" s="2335"/>
      <c r="KMG996" s="2335"/>
      <c r="KMH996" s="2335"/>
      <c r="KMI996" s="2335"/>
      <c r="KMJ996" s="2335"/>
      <c r="KMK996" s="2335"/>
      <c r="KML996" s="2335"/>
      <c r="KMM996" s="2335"/>
      <c r="KMN996" s="2335"/>
      <c r="KMO996" s="2335"/>
      <c r="KMP996" s="2335"/>
      <c r="KMQ996" s="2335"/>
      <c r="KMR996" s="2335"/>
      <c r="KMS996" s="2335"/>
      <c r="KMT996" s="2335"/>
      <c r="KMU996" s="2335"/>
      <c r="KMV996" s="2335"/>
      <c r="KMW996" s="2335"/>
      <c r="KMX996" s="2335"/>
      <c r="KMY996" s="2335"/>
      <c r="KMZ996" s="2335"/>
      <c r="KNA996" s="2335"/>
      <c r="KNB996" s="2335"/>
      <c r="KNC996" s="2335"/>
      <c r="KND996" s="2335"/>
      <c r="KNE996" s="2335"/>
      <c r="KNF996" s="2335"/>
      <c r="KNG996" s="2335"/>
      <c r="KNH996" s="2335"/>
      <c r="KNI996" s="2335"/>
      <c r="KNJ996" s="2335"/>
      <c r="KNK996" s="2335"/>
      <c r="KNL996" s="2335"/>
      <c r="KNM996" s="2335"/>
      <c r="KNN996" s="2335"/>
      <c r="KNO996" s="2335"/>
      <c r="KNP996" s="2335"/>
      <c r="KNQ996" s="2335"/>
      <c r="KNR996" s="2335"/>
      <c r="KNS996" s="2335"/>
      <c r="KNT996" s="2335"/>
      <c r="KNU996" s="2335"/>
      <c r="KNV996" s="2335"/>
      <c r="KNW996" s="2335"/>
      <c r="KNX996" s="2335"/>
      <c r="KNY996" s="2335"/>
      <c r="KNZ996" s="2335"/>
      <c r="KOA996" s="2335"/>
      <c r="KOB996" s="2335"/>
      <c r="KOC996" s="2335"/>
      <c r="KOD996" s="2335"/>
      <c r="KOE996" s="2335"/>
      <c r="KOF996" s="2335"/>
      <c r="KOG996" s="2335"/>
      <c r="KOH996" s="2335"/>
      <c r="KOI996" s="2335"/>
      <c r="KOJ996" s="2335"/>
      <c r="KOK996" s="2335"/>
      <c r="KOL996" s="2335"/>
      <c r="KOM996" s="2335"/>
      <c r="KON996" s="2335"/>
      <c r="KOO996" s="2335"/>
      <c r="KOP996" s="2335"/>
      <c r="KOQ996" s="2335"/>
      <c r="KOR996" s="2335"/>
      <c r="KOS996" s="2335"/>
      <c r="KOT996" s="2335"/>
      <c r="KOU996" s="2335"/>
      <c r="KOV996" s="2335"/>
      <c r="KOW996" s="2335"/>
      <c r="KOX996" s="2335"/>
      <c r="KOY996" s="2335"/>
      <c r="KOZ996" s="2335"/>
      <c r="KPA996" s="2335"/>
      <c r="KPB996" s="2335"/>
      <c r="KPC996" s="2335"/>
      <c r="KPD996" s="2335"/>
      <c r="KPE996" s="2335"/>
      <c r="KPF996" s="2335"/>
      <c r="KPG996" s="2335"/>
      <c r="KPH996" s="2335"/>
      <c r="KPI996" s="2335"/>
      <c r="KPJ996" s="2335"/>
      <c r="KPK996" s="2335"/>
      <c r="KPL996" s="2335"/>
      <c r="KPM996" s="2335"/>
      <c r="KPN996" s="2335"/>
      <c r="KPO996" s="2335"/>
      <c r="KPP996" s="2335"/>
      <c r="KPQ996" s="2335"/>
      <c r="KPR996" s="2335"/>
      <c r="KPS996" s="2335"/>
      <c r="KPT996" s="2335"/>
      <c r="KPU996" s="2335"/>
      <c r="KPV996" s="2335"/>
      <c r="KPW996" s="2335"/>
      <c r="KPX996" s="2335"/>
      <c r="KPY996" s="2335"/>
      <c r="KPZ996" s="2335"/>
      <c r="KQA996" s="2335"/>
      <c r="KQB996" s="2335"/>
      <c r="KQC996" s="2335"/>
      <c r="KQD996" s="2335"/>
      <c r="KQE996" s="2335"/>
      <c r="KQF996" s="2335"/>
      <c r="KQG996" s="2335"/>
      <c r="KQH996" s="2335"/>
      <c r="KQI996" s="2335"/>
      <c r="KQJ996" s="2335"/>
      <c r="KQK996" s="2335"/>
      <c r="KQL996" s="2335"/>
      <c r="KQM996" s="2335"/>
      <c r="KQN996" s="2335"/>
      <c r="KQO996" s="2335"/>
      <c r="KQP996" s="2335"/>
      <c r="KQQ996" s="2335"/>
      <c r="KQR996" s="2335"/>
      <c r="KQS996" s="2335"/>
      <c r="KQT996" s="2335"/>
      <c r="KQU996" s="2335"/>
      <c r="KQV996" s="2335"/>
      <c r="KQW996" s="2335"/>
      <c r="KQX996" s="2335"/>
      <c r="KQY996" s="2335"/>
      <c r="KQZ996" s="2335"/>
      <c r="KRA996" s="2335"/>
      <c r="KRB996" s="2335"/>
      <c r="KRC996" s="2335"/>
      <c r="KRD996" s="2335"/>
      <c r="KRE996" s="2335"/>
      <c r="KRF996" s="2335"/>
      <c r="KRG996" s="2335"/>
      <c r="KRH996" s="2335"/>
      <c r="KRI996" s="2335"/>
      <c r="KRJ996" s="2335"/>
      <c r="KRK996" s="2335"/>
      <c r="KRL996" s="2335"/>
      <c r="KRM996" s="2335"/>
      <c r="KRN996" s="2335"/>
      <c r="KRO996" s="2335"/>
      <c r="KRP996" s="2335"/>
      <c r="KRQ996" s="2335"/>
      <c r="KRR996" s="2335"/>
      <c r="KRS996" s="2335"/>
      <c r="KRT996" s="2335"/>
      <c r="KRU996" s="2335"/>
      <c r="KRV996" s="2335"/>
      <c r="KRW996" s="2335"/>
      <c r="KRX996" s="2335"/>
      <c r="KRY996" s="2335"/>
      <c r="KRZ996" s="2335"/>
      <c r="KSA996" s="2335"/>
      <c r="KSB996" s="2335"/>
      <c r="KSC996" s="2335"/>
      <c r="KSD996" s="2335"/>
      <c r="KSE996" s="2335"/>
      <c r="KSF996" s="2335"/>
      <c r="KSG996" s="2335"/>
      <c r="KSH996" s="2335"/>
      <c r="KSI996" s="2335"/>
      <c r="KSJ996" s="2335"/>
      <c r="KSK996" s="2335"/>
      <c r="KSL996" s="2335"/>
      <c r="KSM996" s="2335"/>
      <c r="KSN996" s="2335"/>
      <c r="KSO996" s="2335"/>
      <c r="KSP996" s="2335"/>
      <c r="KSQ996" s="2335"/>
      <c r="KSR996" s="2335"/>
      <c r="KSS996" s="2335"/>
      <c r="KST996" s="2335"/>
      <c r="KSU996" s="2335"/>
      <c r="KSV996" s="2335"/>
      <c r="KSW996" s="2335"/>
      <c r="KSX996" s="2335"/>
      <c r="KSY996" s="2335"/>
      <c r="KSZ996" s="2335"/>
      <c r="KTA996" s="2335"/>
      <c r="KTB996" s="2335"/>
      <c r="KTC996" s="2335"/>
      <c r="KTD996" s="2335"/>
      <c r="KTE996" s="2335"/>
      <c r="KTF996" s="2335"/>
      <c r="KTG996" s="2335"/>
      <c r="KTH996" s="2335"/>
      <c r="KTI996" s="2335"/>
      <c r="KTJ996" s="2335"/>
      <c r="KTK996" s="2335"/>
      <c r="KTL996" s="2335"/>
      <c r="KTM996" s="2335"/>
      <c r="KTN996" s="2335"/>
      <c r="KTO996" s="2335"/>
      <c r="KTP996" s="2335"/>
      <c r="KTQ996" s="2335"/>
      <c r="KTR996" s="2335"/>
      <c r="KTS996" s="2335"/>
      <c r="KTT996" s="2335"/>
      <c r="KTU996" s="2335"/>
      <c r="KTV996" s="2335"/>
      <c r="KTW996" s="2335"/>
      <c r="KTX996" s="2335"/>
      <c r="KTY996" s="2335"/>
      <c r="KTZ996" s="2335"/>
      <c r="KUA996" s="2335"/>
      <c r="KUB996" s="2335"/>
      <c r="KUC996" s="2335"/>
      <c r="KUD996" s="2335"/>
      <c r="KUE996" s="2335"/>
      <c r="KUF996" s="2335"/>
      <c r="KUG996" s="2335"/>
      <c r="KUH996" s="2335"/>
      <c r="KUI996" s="2335"/>
      <c r="KUJ996" s="2335"/>
      <c r="KUK996" s="2335"/>
      <c r="KUL996" s="2335"/>
      <c r="KUM996" s="2335"/>
      <c r="KUN996" s="2335"/>
      <c r="KUO996" s="2335"/>
      <c r="KUP996" s="2335"/>
      <c r="KUQ996" s="2335"/>
      <c r="KUR996" s="2335"/>
      <c r="KUS996" s="2335"/>
      <c r="KUT996" s="2335"/>
      <c r="KUU996" s="2335"/>
      <c r="KUV996" s="2335"/>
      <c r="KUW996" s="2335"/>
      <c r="KUX996" s="2335"/>
      <c r="KUY996" s="2335"/>
      <c r="KUZ996" s="2335"/>
      <c r="KVA996" s="2335"/>
      <c r="KVB996" s="2335"/>
      <c r="KVC996" s="2335"/>
      <c r="KVD996" s="2335"/>
      <c r="KVE996" s="2335"/>
      <c r="KVF996" s="2335"/>
      <c r="KVG996" s="2335"/>
      <c r="KVH996" s="2335"/>
      <c r="KVI996" s="2335"/>
      <c r="KVJ996" s="2335"/>
      <c r="KVK996" s="2335"/>
      <c r="KVL996" s="2335"/>
      <c r="KVM996" s="2335"/>
      <c r="KVN996" s="2335"/>
      <c r="KVO996" s="2335"/>
      <c r="KVP996" s="2335"/>
      <c r="KVQ996" s="2335"/>
      <c r="KVR996" s="2335"/>
      <c r="KVS996" s="2335"/>
      <c r="KVT996" s="2335"/>
      <c r="KVU996" s="2335"/>
      <c r="KVV996" s="2335"/>
      <c r="KVW996" s="2335"/>
      <c r="KVX996" s="2335"/>
      <c r="KVY996" s="2335"/>
      <c r="KVZ996" s="2335"/>
      <c r="KWA996" s="2335"/>
      <c r="KWB996" s="2335"/>
      <c r="KWC996" s="2335"/>
      <c r="KWD996" s="2335"/>
      <c r="KWE996" s="2335"/>
      <c r="KWF996" s="2335"/>
      <c r="KWG996" s="2335"/>
      <c r="KWH996" s="2335"/>
      <c r="KWI996" s="2335"/>
      <c r="KWJ996" s="2335"/>
      <c r="KWK996" s="2335"/>
      <c r="KWL996" s="2335"/>
      <c r="KWM996" s="2335"/>
      <c r="KWN996" s="2335"/>
      <c r="KWO996" s="2335"/>
      <c r="KWP996" s="2335"/>
      <c r="KWQ996" s="2335"/>
      <c r="KWR996" s="2335"/>
      <c r="KWS996" s="2335"/>
      <c r="KWT996" s="2335"/>
      <c r="KWU996" s="2335"/>
      <c r="KWV996" s="2335"/>
      <c r="KWW996" s="2335"/>
      <c r="KWX996" s="2335"/>
      <c r="KWY996" s="2335"/>
      <c r="KWZ996" s="2335"/>
      <c r="KXA996" s="2335"/>
      <c r="KXB996" s="2335"/>
      <c r="KXC996" s="2335"/>
      <c r="KXD996" s="2335"/>
      <c r="KXE996" s="2335"/>
      <c r="KXF996" s="2335"/>
      <c r="KXG996" s="2335"/>
      <c r="KXH996" s="2335"/>
      <c r="KXI996" s="2335"/>
      <c r="KXJ996" s="2335"/>
      <c r="KXK996" s="2335"/>
      <c r="KXL996" s="2335"/>
      <c r="KXM996" s="2335"/>
      <c r="KXN996" s="2335"/>
      <c r="KXO996" s="2335"/>
      <c r="KXP996" s="2335"/>
      <c r="KXQ996" s="2335"/>
      <c r="KXR996" s="2335"/>
      <c r="KXS996" s="2335"/>
      <c r="KXT996" s="2335"/>
      <c r="KXU996" s="2335"/>
      <c r="KXV996" s="2335"/>
      <c r="KXW996" s="2335"/>
      <c r="KXX996" s="2335"/>
      <c r="KXY996" s="2335"/>
      <c r="KXZ996" s="2335"/>
      <c r="KYA996" s="2335"/>
      <c r="KYB996" s="2335"/>
      <c r="KYC996" s="2335"/>
      <c r="KYD996" s="2335"/>
      <c r="KYE996" s="2335"/>
      <c r="KYF996" s="2335"/>
      <c r="KYG996" s="2335"/>
      <c r="KYH996" s="2335"/>
      <c r="KYI996" s="2335"/>
      <c r="KYJ996" s="2335"/>
      <c r="KYK996" s="2335"/>
      <c r="KYL996" s="2335"/>
      <c r="KYM996" s="2335"/>
      <c r="KYN996" s="2335"/>
      <c r="KYO996" s="2335"/>
      <c r="KYP996" s="2335"/>
      <c r="KYQ996" s="2335"/>
      <c r="KYR996" s="2335"/>
      <c r="KYS996" s="2335"/>
      <c r="KYT996" s="2335"/>
      <c r="KYU996" s="2335"/>
      <c r="KYV996" s="2335"/>
      <c r="KYW996" s="2335"/>
      <c r="KYX996" s="2335"/>
      <c r="KYY996" s="2335"/>
      <c r="KYZ996" s="2335"/>
      <c r="KZA996" s="2335"/>
      <c r="KZB996" s="2335"/>
      <c r="KZC996" s="2335"/>
      <c r="KZD996" s="2335"/>
      <c r="KZE996" s="2335"/>
      <c r="KZF996" s="2335"/>
      <c r="KZG996" s="2335"/>
      <c r="KZH996" s="2335"/>
      <c r="KZI996" s="2335"/>
      <c r="KZJ996" s="2335"/>
      <c r="KZK996" s="2335"/>
      <c r="KZL996" s="2335"/>
      <c r="KZM996" s="2335"/>
      <c r="KZN996" s="2335"/>
      <c r="KZO996" s="2335"/>
      <c r="KZP996" s="2335"/>
      <c r="KZQ996" s="2335"/>
      <c r="KZR996" s="2335"/>
      <c r="KZS996" s="2335"/>
      <c r="KZT996" s="2335"/>
      <c r="KZU996" s="2335"/>
      <c r="KZV996" s="2335"/>
      <c r="KZW996" s="2335"/>
      <c r="KZX996" s="2335"/>
      <c r="KZY996" s="2335"/>
      <c r="KZZ996" s="2335"/>
      <c r="LAA996" s="2335"/>
      <c r="LAB996" s="2335"/>
      <c r="LAC996" s="2335"/>
      <c r="LAD996" s="2335"/>
      <c r="LAE996" s="2335"/>
      <c r="LAF996" s="2335"/>
      <c r="LAG996" s="2335"/>
      <c r="LAH996" s="2335"/>
      <c r="LAI996" s="2335"/>
      <c r="LAJ996" s="2335"/>
      <c r="LAK996" s="2335"/>
      <c r="LAL996" s="2335"/>
      <c r="LAM996" s="2335"/>
      <c r="LAN996" s="2335"/>
      <c r="LAO996" s="2335"/>
      <c r="LAP996" s="2335"/>
      <c r="LAQ996" s="2335"/>
      <c r="LAR996" s="2335"/>
      <c r="LAS996" s="2335"/>
      <c r="LAT996" s="2335"/>
      <c r="LAU996" s="2335"/>
      <c r="LAV996" s="2335"/>
      <c r="LAW996" s="2335"/>
      <c r="LAX996" s="2335"/>
      <c r="LAY996" s="2335"/>
      <c r="LAZ996" s="2335"/>
      <c r="LBA996" s="2335"/>
      <c r="LBB996" s="2335"/>
      <c r="LBC996" s="2335"/>
      <c r="LBD996" s="2335"/>
      <c r="LBE996" s="2335"/>
      <c r="LBF996" s="2335"/>
      <c r="LBG996" s="2335"/>
      <c r="LBH996" s="2335"/>
      <c r="LBI996" s="2335"/>
      <c r="LBJ996" s="2335"/>
      <c r="LBK996" s="2335"/>
      <c r="LBL996" s="2335"/>
      <c r="LBM996" s="2335"/>
      <c r="LBN996" s="2335"/>
      <c r="LBO996" s="2335"/>
      <c r="LBP996" s="2335"/>
      <c r="LBQ996" s="2335"/>
      <c r="LBR996" s="2335"/>
      <c r="LBS996" s="2335"/>
      <c r="LBT996" s="2335"/>
      <c r="LBU996" s="2335"/>
      <c r="LBV996" s="2335"/>
      <c r="LBW996" s="2335"/>
      <c r="LBX996" s="2335"/>
      <c r="LBY996" s="2335"/>
      <c r="LBZ996" s="2335"/>
      <c r="LCA996" s="2335"/>
      <c r="LCB996" s="2335"/>
      <c r="LCC996" s="2335"/>
      <c r="LCD996" s="2335"/>
      <c r="LCE996" s="2335"/>
      <c r="LCF996" s="2335"/>
      <c r="LCG996" s="2335"/>
      <c r="LCH996" s="2335"/>
      <c r="LCI996" s="2335"/>
      <c r="LCJ996" s="2335"/>
      <c r="LCK996" s="2335"/>
      <c r="LCL996" s="2335"/>
      <c r="LCM996" s="2335"/>
      <c r="LCN996" s="2335"/>
      <c r="LCO996" s="2335"/>
      <c r="LCP996" s="2335"/>
      <c r="LCQ996" s="2335"/>
      <c r="LCR996" s="2335"/>
      <c r="LCS996" s="2335"/>
      <c r="LCT996" s="2335"/>
      <c r="LCU996" s="2335"/>
      <c r="LCV996" s="2335"/>
      <c r="LCW996" s="2335"/>
      <c r="LCX996" s="2335"/>
      <c r="LCY996" s="2335"/>
      <c r="LCZ996" s="2335"/>
      <c r="LDA996" s="2335"/>
      <c r="LDB996" s="2335"/>
      <c r="LDC996" s="2335"/>
      <c r="LDD996" s="2335"/>
      <c r="LDE996" s="2335"/>
      <c r="LDF996" s="2335"/>
      <c r="LDG996" s="2335"/>
      <c r="LDH996" s="2335"/>
      <c r="LDI996" s="2335"/>
      <c r="LDJ996" s="2335"/>
      <c r="LDK996" s="2335"/>
      <c r="LDL996" s="2335"/>
      <c r="LDM996" s="2335"/>
      <c r="LDN996" s="2335"/>
      <c r="LDO996" s="2335"/>
      <c r="LDP996" s="2335"/>
      <c r="LDQ996" s="2335"/>
      <c r="LDR996" s="2335"/>
      <c r="LDS996" s="2335"/>
      <c r="LDT996" s="2335"/>
      <c r="LDU996" s="2335"/>
      <c r="LDV996" s="2335"/>
      <c r="LDW996" s="2335"/>
      <c r="LDX996" s="2335"/>
      <c r="LDY996" s="2335"/>
      <c r="LDZ996" s="2335"/>
      <c r="LEA996" s="2335"/>
      <c r="LEB996" s="2335"/>
      <c r="LEC996" s="2335"/>
      <c r="LED996" s="2335"/>
      <c r="LEE996" s="2335"/>
      <c r="LEF996" s="2335"/>
      <c r="LEG996" s="2335"/>
      <c r="LEH996" s="2335"/>
      <c r="LEI996" s="2335"/>
      <c r="LEJ996" s="2335"/>
      <c r="LEK996" s="2335"/>
      <c r="LEL996" s="2335"/>
      <c r="LEM996" s="2335"/>
      <c r="LEN996" s="2335"/>
      <c r="LEO996" s="2335"/>
      <c r="LEP996" s="2335"/>
      <c r="LEQ996" s="2335"/>
      <c r="LER996" s="2335"/>
      <c r="LES996" s="2335"/>
      <c r="LET996" s="2335"/>
      <c r="LEU996" s="2335"/>
      <c r="LEV996" s="2335"/>
      <c r="LEW996" s="2335"/>
      <c r="LEX996" s="2335"/>
      <c r="LEY996" s="2335"/>
      <c r="LEZ996" s="2335"/>
      <c r="LFA996" s="2335"/>
      <c r="LFB996" s="2335"/>
      <c r="LFC996" s="2335"/>
      <c r="LFD996" s="2335"/>
      <c r="LFE996" s="2335"/>
      <c r="LFF996" s="2335"/>
      <c r="LFG996" s="2335"/>
      <c r="LFH996" s="2335"/>
      <c r="LFI996" s="2335"/>
      <c r="LFJ996" s="2335"/>
      <c r="LFK996" s="2335"/>
      <c r="LFL996" s="2335"/>
      <c r="LFM996" s="2335"/>
      <c r="LFN996" s="2335"/>
      <c r="LFO996" s="2335"/>
      <c r="LFP996" s="2335"/>
      <c r="LFQ996" s="2335"/>
      <c r="LFR996" s="2335"/>
      <c r="LFS996" s="2335"/>
      <c r="LFT996" s="2335"/>
      <c r="LFU996" s="2335"/>
      <c r="LFV996" s="2335"/>
      <c r="LFW996" s="2335"/>
      <c r="LFX996" s="2335"/>
      <c r="LFY996" s="2335"/>
      <c r="LFZ996" s="2335"/>
      <c r="LGA996" s="2335"/>
      <c r="LGB996" s="2335"/>
      <c r="LGC996" s="2335"/>
      <c r="LGD996" s="2335"/>
      <c r="LGE996" s="2335"/>
      <c r="LGF996" s="2335"/>
      <c r="LGG996" s="2335"/>
      <c r="LGH996" s="2335"/>
      <c r="LGI996" s="2335"/>
      <c r="LGJ996" s="2335"/>
      <c r="LGK996" s="2335"/>
      <c r="LGL996" s="2335"/>
      <c r="LGM996" s="2335"/>
      <c r="LGN996" s="2335"/>
      <c r="LGO996" s="2335"/>
      <c r="LGP996" s="2335"/>
      <c r="LGQ996" s="2335"/>
      <c r="LGR996" s="2335"/>
      <c r="LGS996" s="2335"/>
      <c r="LGT996" s="2335"/>
      <c r="LGU996" s="2335"/>
      <c r="LGV996" s="2335"/>
      <c r="LGW996" s="2335"/>
      <c r="LGX996" s="2335"/>
      <c r="LGY996" s="2335"/>
      <c r="LGZ996" s="2335"/>
      <c r="LHA996" s="2335"/>
      <c r="LHB996" s="2335"/>
      <c r="LHC996" s="2335"/>
      <c r="LHD996" s="2335"/>
      <c r="LHE996" s="2335"/>
      <c r="LHF996" s="2335"/>
      <c r="LHG996" s="2335"/>
      <c r="LHH996" s="2335"/>
      <c r="LHI996" s="2335"/>
      <c r="LHJ996" s="2335"/>
      <c r="LHK996" s="2335"/>
      <c r="LHL996" s="2335"/>
      <c r="LHM996" s="2335"/>
      <c r="LHN996" s="2335"/>
      <c r="LHO996" s="2335"/>
      <c r="LHP996" s="2335"/>
      <c r="LHQ996" s="2335"/>
      <c r="LHR996" s="2335"/>
      <c r="LHS996" s="2335"/>
      <c r="LHT996" s="2335"/>
      <c r="LHU996" s="2335"/>
      <c r="LHV996" s="2335"/>
      <c r="LHW996" s="2335"/>
      <c r="LHX996" s="2335"/>
      <c r="LHY996" s="2335"/>
      <c r="LHZ996" s="2335"/>
      <c r="LIA996" s="2335"/>
      <c r="LIB996" s="2335"/>
      <c r="LIC996" s="2335"/>
      <c r="LID996" s="2335"/>
      <c r="LIE996" s="2335"/>
      <c r="LIF996" s="2335"/>
      <c r="LIG996" s="2335"/>
      <c r="LIH996" s="2335"/>
      <c r="LII996" s="2335"/>
      <c r="LIJ996" s="2335"/>
      <c r="LIK996" s="2335"/>
      <c r="LIL996" s="2335"/>
      <c r="LIM996" s="2335"/>
      <c r="LIN996" s="2335"/>
      <c r="LIO996" s="2335"/>
      <c r="LIP996" s="2335"/>
      <c r="LIQ996" s="2335"/>
      <c r="LIR996" s="2335"/>
      <c r="LIS996" s="2335"/>
      <c r="LIT996" s="2335"/>
      <c r="LIU996" s="2335"/>
      <c r="LIV996" s="2335"/>
      <c r="LIW996" s="2335"/>
      <c r="LIX996" s="2335"/>
      <c r="LIY996" s="2335"/>
      <c r="LIZ996" s="2335"/>
      <c r="LJA996" s="2335"/>
      <c r="LJB996" s="2335"/>
      <c r="LJC996" s="2335"/>
      <c r="LJD996" s="2335"/>
      <c r="LJE996" s="2335"/>
      <c r="LJF996" s="2335"/>
      <c r="LJG996" s="2335"/>
      <c r="LJH996" s="2335"/>
      <c r="LJI996" s="2335"/>
      <c r="LJJ996" s="2335"/>
      <c r="LJK996" s="2335"/>
      <c r="LJL996" s="2335"/>
      <c r="LJM996" s="2335"/>
      <c r="LJN996" s="2335"/>
      <c r="LJO996" s="2335"/>
      <c r="LJP996" s="2335"/>
      <c r="LJQ996" s="2335"/>
      <c r="LJR996" s="2335"/>
      <c r="LJS996" s="2335"/>
      <c r="LJT996" s="2335"/>
      <c r="LJU996" s="2335"/>
      <c r="LJV996" s="2335"/>
      <c r="LJW996" s="2335"/>
      <c r="LJX996" s="2335"/>
      <c r="LJY996" s="2335"/>
      <c r="LJZ996" s="2335"/>
      <c r="LKA996" s="2335"/>
      <c r="LKB996" s="2335"/>
      <c r="LKC996" s="2335"/>
      <c r="LKD996" s="2335"/>
      <c r="LKE996" s="2335"/>
      <c r="LKF996" s="2335"/>
      <c r="LKG996" s="2335"/>
      <c r="LKH996" s="2335"/>
      <c r="LKI996" s="2335"/>
      <c r="LKJ996" s="2335"/>
      <c r="LKK996" s="2335"/>
      <c r="LKL996" s="2335"/>
      <c r="LKM996" s="2335"/>
      <c r="LKN996" s="2335"/>
      <c r="LKO996" s="2335"/>
      <c r="LKP996" s="2335"/>
      <c r="LKQ996" s="2335"/>
      <c r="LKR996" s="2335"/>
      <c r="LKS996" s="2335"/>
      <c r="LKT996" s="2335"/>
      <c r="LKU996" s="2335"/>
      <c r="LKV996" s="2335"/>
      <c r="LKW996" s="2335"/>
      <c r="LKX996" s="2335"/>
      <c r="LKY996" s="2335"/>
      <c r="LKZ996" s="2335"/>
      <c r="LLA996" s="2335"/>
      <c r="LLB996" s="2335"/>
      <c r="LLC996" s="2335"/>
      <c r="LLD996" s="2335"/>
      <c r="LLE996" s="2335"/>
      <c r="LLF996" s="2335"/>
      <c r="LLG996" s="2335"/>
      <c r="LLH996" s="2335"/>
      <c r="LLI996" s="2335"/>
      <c r="LLJ996" s="2335"/>
      <c r="LLK996" s="2335"/>
      <c r="LLL996" s="2335"/>
      <c r="LLM996" s="2335"/>
      <c r="LLN996" s="2335"/>
      <c r="LLO996" s="2335"/>
      <c r="LLP996" s="2335"/>
      <c r="LLQ996" s="2335"/>
      <c r="LLR996" s="2335"/>
      <c r="LLS996" s="2335"/>
      <c r="LLT996" s="2335"/>
      <c r="LLU996" s="2335"/>
      <c r="LLV996" s="2335"/>
      <c r="LLW996" s="2335"/>
      <c r="LLX996" s="2335"/>
      <c r="LLY996" s="2335"/>
      <c r="LLZ996" s="2335"/>
      <c r="LMA996" s="2335"/>
      <c r="LMB996" s="2335"/>
      <c r="LMC996" s="2335"/>
      <c r="LMD996" s="2335"/>
      <c r="LME996" s="2335"/>
      <c r="LMF996" s="2335"/>
      <c r="LMG996" s="2335"/>
      <c r="LMH996" s="2335"/>
      <c r="LMI996" s="2335"/>
      <c r="LMJ996" s="2335"/>
      <c r="LMK996" s="2335"/>
      <c r="LML996" s="2335"/>
      <c r="LMM996" s="2335"/>
      <c r="LMN996" s="2335"/>
      <c r="LMO996" s="2335"/>
      <c r="LMP996" s="2335"/>
      <c r="LMQ996" s="2335"/>
      <c r="LMR996" s="2335"/>
      <c r="LMS996" s="2335"/>
      <c r="LMT996" s="2335"/>
      <c r="LMU996" s="2335"/>
      <c r="LMV996" s="2335"/>
      <c r="LMW996" s="2335"/>
      <c r="LMX996" s="2335"/>
      <c r="LMY996" s="2335"/>
      <c r="LMZ996" s="2335"/>
      <c r="LNA996" s="2335"/>
      <c r="LNB996" s="2335"/>
      <c r="LNC996" s="2335"/>
      <c r="LND996" s="2335"/>
      <c r="LNE996" s="2335"/>
      <c r="LNF996" s="2335"/>
      <c r="LNG996" s="2335"/>
      <c r="LNH996" s="2335"/>
      <c r="LNI996" s="2335"/>
      <c r="LNJ996" s="2335"/>
      <c r="LNK996" s="2335"/>
      <c r="LNL996" s="2335"/>
      <c r="LNM996" s="2335"/>
      <c r="LNN996" s="2335"/>
      <c r="LNO996" s="2335"/>
      <c r="LNP996" s="2335"/>
      <c r="LNQ996" s="2335"/>
      <c r="LNR996" s="2335"/>
      <c r="LNS996" s="2335"/>
      <c r="LNT996" s="2335"/>
      <c r="LNU996" s="2335"/>
      <c r="LNV996" s="2335"/>
      <c r="LNW996" s="2335"/>
      <c r="LNX996" s="2335"/>
      <c r="LNY996" s="2335"/>
      <c r="LNZ996" s="2335"/>
      <c r="LOA996" s="2335"/>
      <c r="LOB996" s="2335"/>
      <c r="LOC996" s="2335"/>
      <c r="LOD996" s="2335"/>
      <c r="LOE996" s="2335"/>
      <c r="LOF996" s="2335"/>
      <c r="LOG996" s="2335"/>
      <c r="LOH996" s="2335"/>
      <c r="LOI996" s="2335"/>
      <c r="LOJ996" s="2335"/>
      <c r="LOK996" s="2335"/>
      <c r="LOL996" s="2335"/>
      <c r="LOM996" s="2335"/>
      <c r="LON996" s="2335"/>
      <c r="LOO996" s="2335"/>
      <c r="LOP996" s="2335"/>
      <c r="LOQ996" s="2335"/>
      <c r="LOR996" s="2335"/>
      <c r="LOS996" s="2335"/>
      <c r="LOT996" s="2335"/>
      <c r="LOU996" s="2335"/>
      <c r="LOV996" s="2335"/>
      <c r="LOW996" s="2335"/>
      <c r="LOX996" s="2335"/>
      <c r="LOY996" s="2335"/>
      <c r="LOZ996" s="2335"/>
      <c r="LPA996" s="2335"/>
      <c r="LPB996" s="2335"/>
      <c r="LPC996" s="2335"/>
      <c r="LPD996" s="2335"/>
      <c r="LPE996" s="2335"/>
      <c r="LPF996" s="2335"/>
      <c r="LPG996" s="2335"/>
      <c r="LPH996" s="2335"/>
      <c r="LPI996" s="2335"/>
      <c r="LPJ996" s="2335"/>
      <c r="LPK996" s="2335"/>
      <c r="LPL996" s="2335"/>
      <c r="LPM996" s="2335"/>
      <c r="LPN996" s="2335"/>
      <c r="LPO996" s="2335"/>
      <c r="LPP996" s="2335"/>
      <c r="LPQ996" s="2335"/>
      <c r="LPR996" s="2335"/>
      <c r="LPS996" s="2335"/>
      <c r="LPT996" s="2335"/>
      <c r="LPU996" s="2335"/>
      <c r="LPV996" s="2335"/>
      <c r="LPW996" s="2335"/>
      <c r="LPX996" s="2335"/>
      <c r="LPY996" s="2335"/>
      <c r="LPZ996" s="2335"/>
      <c r="LQA996" s="2335"/>
      <c r="LQB996" s="2335"/>
      <c r="LQC996" s="2335"/>
      <c r="LQD996" s="2335"/>
      <c r="LQE996" s="2335"/>
      <c r="LQF996" s="2335"/>
      <c r="LQG996" s="2335"/>
      <c r="LQH996" s="2335"/>
      <c r="LQI996" s="2335"/>
      <c r="LQJ996" s="2335"/>
      <c r="LQK996" s="2335"/>
      <c r="LQL996" s="2335"/>
      <c r="LQM996" s="2335"/>
      <c r="LQN996" s="2335"/>
      <c r="LQO996" s="2335"/>
      <c r="LQP996" s="2335"/>
      <c r="LQQ996" s="2335"/>
      <c r="LQR996" s="2335"/>
      <c r="LQS996" s="2335"/>
      <c r="LQT996" s="2335"/>
      <c r="LQU996" s="2335"/>
      <c r="LQV996" s="2335"/>
      <c r="LQW996" s="2335"/>
      <c r="LQX996" s="2335"/>
      <c r="LQY996" s="2335"/>
      <c r="LQZ996" s="2335"/>
      <c r="LRA996" s="2335"/>
      <c r="LRB996" s="2335"/>
      <c r="LRC996" s="2335"/>
      <c r="LRD996" s="2335"/>
      <c r="LRE996" s="2335"/>
      <c r="LRF996" s="2335"/>
      <c r="LRG996" s="2335"/>
      <c r="LRH996" s="2335"/>
      <c r="LRI996" s="2335"/>
      <c r="LRJ996" s="2335"/>
      <c r="LRK996" s="2335"/>
      <c r="LRL996" s="2335"/>
      <c r="LRM996" s="2335"/>
      <c r="LRN996" s="2335"/>
      <c r="LRO996" s="2335"/>
      <c r="LRP996" s="2335"/>
      <c r="LRQ996" s="2335"/>
      <c r="LRR996" s="2335"/>
      <c r="LRS996" s="2335"/>
      <c r="LRT996" s="2335"/>
      <c r="LRU996" s="2335"/>
      <c r="LRV996" s="2335"/>
      <c r="LRW996" s="2335"/>
      <c r="LRX996" s="2335"/>
      <c r="LRY996" s="2335"/>
      <c r="LRZ996" s="2335"/>
      <c r="LSA996" s="2335"/>
      <c r="LSB996" s="2335"/>
      <c r="LSC996" s="2335"/>
      <c r="LSD996" s="2335"/>
      <c r="LSE996" s="2335"/>
      <c r="LSF996" s="2335"/>
      <c r="LSG996" s="2335"/>
      <c r="LSH996" s="2335"/>
      <c r="LSI996" s="2335"/>
      <c r="LSJ996" s="2335"/>
      <c r="LSK996" s="2335"/>
      <c r="LSL996" s="2335"/>
      <c r="LSM996" s="2335"/>
      <c r="LSN996" s="2335"/>
      <c r="LSO996" s="2335"/>
      <c r="LSP996" s="2335"/>
      <c r="LSQ996" s="2335"/>
      <c r="LSR996" s="2335"/>
      <c r="LSS996" s="2335"/>
      <c r="LST996" s="2335"/>
      <c r="LSU996" s="2335"/>
      <c r="LSV996" s="2335"/>
      <c r="LSW996" s="2335"/>
      <c r="LSX996" s="2335"/>
      <c r="LSY996" s="2335"/>
      <c r="LSZ996" s="2335"/>
      <c r="LTA996" s="2335"/>
      <c r="LTB996" s="2335"/>
      <c r="LTC996" s="2335"/>
      <c r="LTD996" s="2335"/>
      <c r="LTE996" s="2335"/>
      <c r="LTF996" s="2335"/>
      <c r="LTG996" s="2335"/>
      <c r="LTH996" s="2335"/>
      <c r="LTI996" s="2335"/>
      <c r="LTJ996" s="2335"/>
      <c r="LTK996" s="2335"/>
      <c r="LTL996" s="2335"/>
      <c r="LTM996" s="2335"/>
      <c r="LTN996" s="2335"/>
      <c r="LTO996" s="2335"/>
      <c r="LTP996" s="2335"/>
      <c r="LTQ996" s="2335"/>
      <c r="LTR996" s="2335"/>
      <c r="LTS996" s="2335"/>
      <c r="LTT996" s="2335"/>
      <c r="LTU996" s="2335"/>
      <c r="LTV996" s="2335"/>
      <c r="LTW996" s="2335"/>
      <c r="LTX996" s="2335"/>
      <c r="LTY996" s="2335"/>
      <c r="LTZ996" s="2335"/>
      <c r="LUA996" s="2335"/>
      <c r="LUB996" s="2335"/>
      <c r="LUC996" s="2335"/>
      <c r="LUD996" s="2335"/>
      <c r="LUE996" s="2335"/>
      <c r="LUF996" s="2335"/>
      <c r="LUG996" s="2335"/>
      <c r="LUH996" s="2335"/>
      <c r="LUI996" s="2335"/>
      <c r="LUJ996" s="2335"/>
      <c r="LUK996" s="2335"/>
      <c r="LUL996" s="2335"/>
      <c r="LUM996" s="2335"/>
      <c r="LUN996" s="2335"/>
      <c r="LUO996" s="2335"/>
      <c r="LUP996" s="2335"/>
      <c r="LUQ996" s="2335"/>
      <c r="LUR996" s="2335"/>
      <c r="LUS996" s="2335"/>
      <c r="LUT996" s="2335"/>
      <c r="LUU996" s="2335"/>
      <c r="LUV996" s="2335"/>
      <c r="LUW996" s="2335"/>
      <c r="LUX996" s="2335"/>
      <c r="LUY996" s="2335"/>
      <c r="LUZ996" s="2335"/>
      <c r="LVA996" s="2335"/>
      <c r="LVB996" s="2335"/>
      <c r="LVC996" s="2335"/>
      <c r="LVD996" s="2335"/>
      <c r="LVE996" s="2335"/>
      <c r="LVF996" s="2335"/>
      <c r="LVG996" s="2335"/>
      <c r="LVH996" s="2335"/>
      <c r="LVI996" s="2335"/>
      <c r="LVJ996" s="2335"/>
      <c r="LVK996" s="2335"/>
      <c r="LVL996" s="2335"/>
      <c r="LVM996" s="2335"/>
      <c r="LVN996" s="2335"/>
      <c r="LVO996" s="2335"/>
      <c r="LVP996" s="2335"/>
      <c r="LVQ996" s="2335"/>
      <c r="LVR996" s="2335"/>
      <c r="LVS996" s="2335"/>
      <c r="LVT996" s="2335"/>
      <c r="LVU996" s="2335"/>
      <c r="LVV996" s="2335"/>
      <c r="LVW996" s="2335"/>
      <c r="LVX996" s="2335"/>
      <c r="LVY996" s="2335"/>
      <c r="LVZ996" s="2335"/>
      <c r="LWA996" s="2335"/>
      <c r="LWB996" s="2335"/>
      <c r="LWC996" s="2335"/>
      <c r="LWD996" s="2335"/>
      <c r="LWE996" s="2335"/>
      <c r="LWF996" s="2335"/>
      <c r="LWG996" s="2335"/>
      <c r="LWH996" s="2335"/>
      <c r="LWI996" s="2335"/>
      <c r="LWJ996" s="2335"/>
      <c r="LWK996" s="2335"/>
      <c r="LWL996" s="2335"/>
      <c r="LWM996" s="2335"/>
      <c r="LWN996" s="2335"/>
      <c r="LWO996" s="2335"/>
      <c r="LWP996" s="2335"/>
      <c r="LWQ996" s="2335"/>
      <c r="LWR996" s="2335"/>
      <c r="LWS996" s="2335"/>
      <c r="LWT996" s="2335"/>
      <c r="LWU996" s="2335"/>
      <c r="LWV996" s="2335"/>
      <c r="LWW996" s="2335"/>
      <c r="LWX996" s="2335"/>
      <c r="LWY996" s="2335"/>
      <c r="LWZ996" s="2335"/>
      <c r="LXA996" s="2335"/>
      <c r="LXB996" s="2335"/>
      <c r="LXC996" s="2335"/>
      <c r="LXD996" s="2335"/>
      <c r="LXE996" s="2335"/>
      <c r="LXF996" s="2335"/>
      <c r="LXG996" s="2335"/>
      <c r="LXH996" s="2335"/>
      <c r="LXI996" s="2335"/>
      <c r="LXJ996" s="2335"/>
      <c r="LXK996" s="2335"/>
      <c r="LXL996" s="2335"/>
      <c r="LXM996" s="2335"/>
      <c r="LXN996" s="2335"/>
      <c r="LXO996" s="2335"/>
      <c r="LXP996" s="2335"/>
      <c r="LXQ996" s="2335"/>
      <c r="LXR996" s="2335"/>
      <c r="LXS996" s="2335"/>
      <c r="LXT996" s="2335"/>
      <c r="LXU996" s="2335"/>
      <c r="LXV996" s="2335"/>
      <c r="LXW996" s="2335"/>
      <c r="LXX996" s="2335"/>
      <c r="LXY996" s="2335"/>
      <c r="LXZ996" s="2335"/>
      <c r="LYA996" s="2335"/>
      <c r="LYB996" s="2335"/>
      <c r="LYC996" s="2335"/>
      <c r="LYD996" s="2335"/>
      <c r="LYE996" s="2335"/>
      <c r="LYF996" s="2335"/>
      <c r="LYG996" s="2335"/>
      <c r="LYH996" s="2335"/>
      <c r="LYI996" s="2335"/>
      <c r="LYJ996" s="2335"/>
      <c r="LYK996" s="2335"/>
      <c r="LYL996" s="2335"/>
      <c r="LYM996" s="2335"/>
      <c r="LYN996" s="2335"/>
      <c r="LYO996" s="2335"/>
      <c r="LYP996" s="2335"/>
      <c r="LYQ996" s="2335"/>
      <c r="LYR996" s="2335"/>
      <c r="LYS996" s="2335"/>
      <c r="LYT996" s="2335"/>
      <c r="LYU996" s="2335"/>
      <c r="LYV996" s="2335"/>
      <c r="LYW996" s="2335"/>
      <c r="LYX996" s="2335"/>
      <c r="LYY996" s="2335"/>
      <c r="LYZ996" s="2335"/>
      <c r="LZA996" s="2335"/>
      <c r="LZB996" s="2335"/>
      <c r="LZC996" s="2335"/>
      <c r="LZD996" s="2335"/>
      <c r="LZE996" s="2335"/>
      <c r="LZF996" s="2335"/>
      <c r="LZG996" s="2335"/>
      <c r="LZH996" s="2335"/>
      <c r="LZI996" s="2335"/>
      <c r="LZJ996" s="2335"/>
      <c r="LZK996" s="2335"/>
      <c r="LZL996" s="2335"/>
      <c r="LZM996" s="2335"/>
      <c r="LZN996" s="2335"/>
      <c r="LZO996" s="2335"/>
      <c r="LZP996" s="2335"/>
      <c r="LZQ996" s="2335"/>
      <c r="LZR996" s="2335"/>
      <c r="LZS996" s="2335"/>
      <c r="LZT996" s="2335"/>
      <c r="LZU996" s="2335"/>
      <c r="LZV996" s="2335"/>
      <c r="LZW996" s="2335"/>
      <c r="LZX996" s="2335"/>
      <c r="LZY996" s="2335"/>
      <c r="LZZ996" s="2335"/>
      <c r="MAA996" s="2335"/>
      <c r="MAB996" s="2335"/>
      <c r="MAC996" s="2335"/>
      <c r="MAD996" s="2335"/>
      <c r="MAE996" s="2335"/>
      <c r="MAF996" s="2335"/>
      <c r="MAG996" s="2335"/>
      <c r="MAH996" s="2335"/>
      <c r="MAI996" s="2335"/>
      <c r="MAJ996" s="2335"/>
      <c r="MAK996" s="2335"/>
      <c r="MAL996" s="2335"/>
      <c r="MAM996" s="2335"/>
      <c r="MAN996" s="2335"/>
      <c r="MAO996" s="2335"/>
      <c r="MAP996" s="2335"/>
      <c r="MAQ996" s="2335"/>
      <c r="MAR996" s="2335"/>
      <c r="MAS996" s="2335"/>
      <c r="MAT996" s="2335"/>
      <c r="MAU996" s="2335"/>
      <c r="MAV996" s="2335"/>
      <c r="MAW996" s="2335"/>
      <c r="MAX996" s="2335"/>
      <c r="MAY996" s="2335"/>
      <c r="MAZ996" s="2335"/>
      <c r="MBA996" s="2335"/>
      <c r="MBB996" s="2335"/>
      <c r="MBC996" s="2335"/>
      <c r="MBD996" s="2335"/>
      <c r="MBE996" s="2335"/>
      <c r="MBF996" s="2335"/>
      <c r="MBG996" s="2335"/>
      <c r="MBH996" s="2335"/>
      <c r="MBI996" s="2335"/>
      <c r="MBJ996" s="2335"/>
      <c r="MBK996" s="2335"/>
      <c r="MBL996" s="2335"/>
      <c r="MBM996" s="2335"/>
      <c r="MBN996" s="2335"/>
      <c r="MBO996" s="2335"/>
      <c r="MBP996" s="2335"/>
      <c r="MBQ996" s="2335"/>
      <c r="MBR996" s="2335"/>
      <c r="MBS996" s="2335"/>
      <c r="MBT996" s="2335"/>
      <c r="MBU996" s="2335"/>
      <c r="MBV996" s="2335"/>
      <c r="MBW996" s="2335"/>
      <c r="MBX996" s="2335"/>
      <c r="MBY996" s="2335"/>
      <c r="MBZ996" s="2335"/>
      <c r="MCA996" s="2335"/>
      <c r="MCB996" s="2335"/>
      <c r="MCC996" s="2335"/>
      <c r="MCD996" s="2335"/>
      <c r="MCE996" s="2335"/>
      <c r="MCF996" s="2335"/>
      <c r="MCG996" s="2335"/>
      <c r="MCH996" s="2335"/>
      <c r="MCI996" s="2335"/>
      <c r="MCJ996" s="2335"/>
      <c r="MCK996" s="2335"/>
      <c r="MCL996" s="2335"/>
      <c r="MCM996" s="2335"/>
      <c r="MCN996" s="2335"/>
      <c r="MCO996" s="2335"/>
      <c r="MCP996" s="2335"/>
      <c r="MCQ996" s="2335"/>
      <c r="MCR996" s="2335"/>
      <c r="MCS996" s="2335"/>
      <c r="MCT996" s="2335"/>
      <c r="MCU996" s="2335"/>
      <c r="MCV996" s="2335"/>
      <c r="MCW996" s="2335"/>
      <c r="MCX996" s="2335"/>
      <c r="MCY996" s="2335"/>
      <c r="MCZ996" s="2335"/>
      <c r="MDA996" s="2335"/>
      <c r="MDB996" s="2335"/>
      <c r="MDC996" s="2335"/>
      <c r="MDD996" s="2335"/>
      <c r="MDE996" s="2335"/>
      <c r="MDF996" s="2335"/>
      <c r="MDG996" s="2335"/>
      <c r="MDH996" s="2335"/>
      <c r="MDI996" s="2335"/>
      <c r="MDJ996" s="2335"/>
      <c r="MDK996" s="2335"/>
      <c r="MDL996" s="2335"/>
      <c r="MDM996" s="2335"/>
      <c r="MDN996" s="2335"/>
      <c r="MDO996" s="2335"/>
      <c r="MDP996" s="2335"/>
      <c r="MDQ996" s="2335"/>
      <c r="MDR996" s="2335"/>
      <c r="MDS996" s="2335"/>
      <c r="MDT996" s="2335"/>
      <c r="MDU996" s="2335"/>
      <c r="MDV996" s="2335"/>
      <c r="MDW996" s="2335"/>
      <c r="MDX996" s="2335"/>
      <c r="MDY996" s="2335"/>
      <c r="MDZ996" s="2335"/>
      <c r="MEA996" s="2335"/>
      <c r="MEB996" s="2335"/>
      <c r="MEC996" s="2335"/>
      <c r="MED996" s="2335"/>
      <c r="MEE996" s="2335"/>
      <c r="MEF996" s="2335"/>
      <c r="MEG996" s="2335"/>
      <c r="MEH996" s="2335"/>
      <c r="MEI996" s="2335"/>
      <c r="MEJ996" s="2335"/>
      <c r="MEK996" s="2335"/>
      <c r="MEL996" s="2335"/>
      <c r="MEM996" s="2335"/>
      <c r="MEN996" s="2335"/>
      <c r="MEO996" s="2335"/>
      <c r="MEP996" s="2335"/>
      <c r="MEQ996" s="2335"/>
      <c r="MER996" s="2335"/>
      <c r="MES996" s="2335"/>
      <c r="MET996" s="2335"/>
      <c r="MEU996" s="2335"/>
      <c r="MEV996" s="2335"/>
      <c r="MEW996" s="2335"/>
      <c r="MEX996" s="2335"/>
      <c r="MEY996" s="2335"/>
      <c r="MEZ996" s="2335"/>
      <c r="MFA996" s="2335"/>
      <c r="MFB996" s="2335"/>
      <c r="MFC996" s="2335"/>
      <c r="MFD996" s="2335"/>
      <c r="MFE996" s="2335"/>
      <c r="MFF996" s="2335"/>
      <c r="MFG996" s="2335"/>
      <c r="MFH996" s="2335"/>
      <c r="MFI996" s="2335"/>
      <c r="MFJ996" s="2335"/>
      <c r="MFK996" s="2335"/>
      <c r="MFL996" s="2335"/>
      <c r="MFM996" s="2335"/>
      <c r="MFN996" s="2335"/>
      <c r="MFO996" s="2335"/>
      <c r="MFP996" s="2335"/>
      <c r="MFQ996" s="2335"/>
      <c r="MFR996" s="2335"/>
      <c r="MFS996" s="2335"/>
      <c r="MFT996" s="2335"/>
      <c r="MFU996" s="2335"/>
      <c r="MFV996" s="2335"/>
      <c r="MFW996" s="2335"/>
      <c r="MFX996" s="2335"/>
      <c r="MFY996" s="2335"/>
      <c r="MFZ996" s="2335"/>
      <c r="MGA996" s="2335"/>
      <c r="MGB996" s="2335"/>
      <c r="MGC996" s="2335"/>
      <c r="MGD996" s="2335"/>
      <c r="MGE996" s="2335"/>
      <c r="MGF996" s="2335"/>
      <c r="MGG996" s="2335"/>
      <c r="MGH996" s="2335"/>
      <c r="MGI996" s="2335"/>
      <c r="MGJ996" s="2335"/>
      <c r="MGK996" s="2335"/>
      <c r="MGL996" s="2335"/>
      <c r="MGM996" s="2335"/>
      <c r="MGN996" s="2335"/>
      <c r="MGO996" s="2335"/>
      <c r="MGP996" s="2335"/>
      <c r="MGQ996" s="2335"/>
      <c r="MGR996" s="2335"/>
      <c r="MGS996" s="2335"/>
      <c r="MGT996" s="2335"/>
      <c r="MGU996" s="2335"/>
      <c r="MGV996" s="2335"/>
      <c r="MGW996" s="2335"/>
      <c r="MGX996" s="2335"/>
      <c r="MGY996" s="2335"/>
      <c r="MGZ996" s="2335"/>
      <c r="MHA996" s="2335"/>
      <c r="MHB996" s="2335"/>
      <c r="MHC996" s="2335"/>
      <c r="MHD996" s="2335"/>
      <c r="MHE996" s="2335"/>
      <c r="MHF996" s="2335"/>
      <c r="MHG996" s="2335"/>
      <c r="MHH996" s="2335"/>
      <c r="MHI996" s="2335"/>
      <c r="MHJ996" s="2335"/>
      <c r="MHK996" s="2335"/>
      <c r="MHL996" s="2335"/>
      <c r="MHM996" s="2335"/>
      <c r="MHN996" s="2335"/>
      <c r="MHO996" s="2335"/>
      <c r="MHP996" s="2335"/>
      <c r="MHQ996" s="2335"/>
      <c r="MHR996" s="2335"/>
      <c r="MHS996" s="2335"/>
      <c r="MHT996" s="2335"/>
      <c r="MHU996" s="2335"/>
      <c r="MHV996" s="2335"/>
      <c r="MHW996" s="2335"/>
      <c r="MHX996" s="2335"/>
      <c r="MHY996" s="2335"/>
      <c r="MHZ996" s="2335"/>
      <c r="MIA996" s="2335"/>
      <c r="MIB996" s="2335"/>
      <c r="MIC996" s="2335"/>
      <c r="MID996" s="2335"/>
      <c r="MIE996" s="2335"/>
      <c r="MIF996" s="2335"/>
      <c r="MIG996" s="2335"/>
      <c r="MIH996" s="2335"/>
      <c r="MII996" s="2335"/>
      <c r="MIJ996" s="2335"/>
      <c r="MIK996" s="2335"/>
      <c r="MIL996" s="2335"/>
      <c r="MIM996" s="2335"/>
      <c r="MIN996" s="2335"/>
      <c r="MIO996" s="2335"/>
      <c r="MIP996" s="2335"/>
      <c r="MIQ996" s="2335"/>
      <c r="MIR996" s="2335"/>
      <c r="MIS996" s="2335"/>
      <c r="MIT996" s="2335"/>
      <c r="MIU996" s="2335"/>
      <c r="MIV996" s="2335"/>
      <c r="MIW996" s="2335"/>
      <c r="MIX996" s="2335"/>
      <c r="MIY996" s="2335"/>
      <c r="MIZ996" s="2335"/>
      <c r="MJA996" s="2335"/>
      <c r="MJB996" s="2335"/>
      <c r="MJC996" s="2335"/>
      <c r="MJD996" s="2335"/>
      <c r="MJE996" s="2335"/>
      <c r="MJF996" s="2335"/>
      <c r="MJG996" s="2335"/>
      <c r="MJH996" s="2335"/>
      <c r="MJI996" s="2335"/>
      <c r="MJJ996" s="2335"/>
      <c r="MJK996" s="2335"/>
      <c r="MJL996" s="2335"/>
      <c r="MJM996" s="2335"/>
      <c r="MJN996" s="2335"/>
      <c r="MJO996" s="2335"/>
      <c r="MJP996" s="2335"/>
      <c r="MJQ996" s="2335"/>
      <c r="MJR996" s="2335"/>
      <c r="MJS996" s="2335"/>
      <c r="MJT996" s="2335"/>
      <c r="MJU996" s="2335"/>
      <c r="MJV996" s="2335"/>
      <c r="MJW996" s="2335"/>
      <c r="MJX996" s="2335"/>
      <c r="MJY996" s="2335"/>
      <c r="MJZ996" s="2335"/>
      <c r="MKA996" s="2335"/>
      <c r="MKB996" s="2335"/>
      <c r="MKC996" s="2335"/>
      <c r="MKD996" s="2335"/>
      <c r="MKE996" s="2335"/>
      <c r="MKF996" s="2335"/>
      <c r="MKG996" s="2335"/>
      <c r="MKH996" s="2335"/>
      <c r="MKI996" s="2335"/>
      <c r="MKJ996" s="2335"/>
      <c r="MKK996" s="2335"/>
      <c r="MKL996" s="2335"/>
      <c r="MKM996" s="2335"/>
      <c r="MKN996" s="2335"/>
      <c r="MKO996" s="2335"/>
      <c r="MKP996" s="2335"/>
      <c r="MKQ996" s="2335"/>
      <c r="MKR996" s="2335"/>
      <c r="MKS996" s="2335"/>
      <c r="MKT996" s="2335"/>
      <c r="MKU996" s="2335"/>
      <c r="MKV996" s="2335"/>
      <c r="MKW996" s="2335"/>
      <c r="MKX996" s="2335"/>
      <c r="MKY996" s="2335"/>
      <c r="MKZ996" s="2335"/>
      <c r="MLA996" s="2335"/>
      <c r="MLB996" s="2335"/>
      <c r="MLC996" s="2335"/>
      <c r="MLD996" s="2335"/>
      <c r="MLE996" s="2335"/>
      <c r="MLF996" s="2335"/>
      <c r="MLG996" s="2335"/>
      <c r="MLH996" s="2335"/>
      <c r="MLI996" s="2335"/>
      <c r="MLJ996" s="2335"/>
      <c r="MLK996" s="2335"/>
      <c r="MLL996" s="2335"/>
      <c r="MLM996" s="2335"/>
      <c r="MLN996" s="2335"/>
      <c r="MLO996" s="2335"/>
      <c r="MLP996" s="2335"/>
      <c r="MLQ996" s="2335"/>
      <c r="MLR996" s="2335"/>
      <c r="MLS996" s="2335"/>
      <c r="MLT996" s="2335"/>
      <c r="MLU996" s="2335"/>
      <c r="MLV996" s="2335"/>
      <c r="MLW996" s="2335"/>
      <c r="MLX996" s="2335"/>
      <c r="MLY996" s="2335"/>
      <c r="MLZ996" s="2335"/>
      <c r="MMA996" s="2335"/>
      <c r="MMB996" s="2335"/>
      <c r="MMC996" s="2335"/>
      <c r="MMD996" s="2335"/>
      <c r="MME996" s="2335"/>
      <c r="MMF996" s="2335"/>
      <c r="MMG996" s="2335"/>
      <c r="MMH996" s="2335"/>
      <c r="MMI996" s="2335"/>
      <c r="MMJ996" s="2335"/>
      <c r="MMK996" s="2335"/>
      <c r="MML996" s="2335"/>
      <c r="MMM996" s="2335"/>
      <c r="MMN996" s="2335"/>
      <c r="MMO996" s="2335"/>
      <c r="MMP996" s="2335"/>
      <c r="MMQ996" s="2335"/>
      <c r="MMR996" s="2335"/>
      <c r="MMS996" s="2335"/>
      <c r="MMT996" s="2335"/>
      <c r="MMU996" s="2335"/>
      <c r="MMV996" s="2335"/>
      <c r="MMW996" s="2335"/>
      <c r="MMX996" s="2335"/>
      <c r="MMY996" s="2335"/>
      <c r="MMZ996" s="2335"/>
      <c r="MNA996" s="2335"/>
      <c r="MNB996" s="2335"/>
      <c r="MNC996" s="2335"/>
      <c r="MND996" s="2335"/>
      <c r="MNE996" s="2335"/>
      <c r="MNF996" s="2335"/>
      <c r="MNG996" s="2335"/>
      <c r="MNH996" s="2335"/>
      <c r="MNI996" s="2335"/>
      <c r="MNJ996" s="2335"/>
      <c r="MNK996" s="2335"/>
      <c r="MNL996" s="2335"/>
      <c r="MNM996" s="2335"/>
      <c r="MNN996" s="2335"/>
      <c r="MNO996" s="2335"/>
      <c r="MNP996" s="2335"/>
      <c r="MNQ996" s="2335"/>
      <c r="MNR996" s="2335"/>
      <c r="MNS996" s="2335"/>
      <c r="MNT996" s="2335"/>
      <c r="MNU996" s="2335"/>
      <c r="MNV996" s="2335"/>
      <c r="MNW996" s="2335"/>
      <c r="MNX996" s="2335"/>
      <c r="MNY996" s="2335"/>
      <c r="MNZ996" s="2335"/>
      <c r="MOA996" s="2335"/>
      <c r="MOB996" s="2335"/>
      <c r="MOC996" s="2335"/>
      <c r="MOD996" s="2335"/>
      <c r="MOE996" s="2335"/>
      <c r="MOF996" s="2335"/>
      <c r="MOG996" s="2335"/>
      <c r="MOH996" s="2335"/>
      <c r="MOI996" s="2335"/>
      <c r="MOJ996" s="2335"/>
      <c r="MOK996" s="2335"/>
      <c r="MOL996" s="2335"/>
      <c r="MOM996" s="2335"/>
      <c r="MON996" s="2335"/>
      <c r="MOO996" s="2335"/>
      <c r="MOP996" s="2335"/>
      <c r="MOQ996" s="2335"/>
      <c r="MOR996" s="2335"/>
      <c r="MOS996" s="2335"/>
      <c r="MOT996" s="2335"/>
      <c r="MOU996" s="2335"/>
      <c r="MOV996" s="2335"/>
      <c r="MOW996" s="2335"/>
      <c r="MOX996" s="2335"/>
      <c r="MOY996" s="2335"/>
      <c r="MOZ996" s="2335"/>
      <c r="MPA996" s="2335"/>
      <c r="MPB996" s="2335"/>
      <c r="MPC996" s="2335"/>
      <c r="MPD996" s="2335"/>
      <c r="MPE996" s="2335"/>
      <c r="MPF996" s="2335"/>
      <c r="MPG996" s="2335"/>
      <c r="MPH996" s="2335"/>
      <c r="MPI996" s="2335"/>
      <c r="MPJ996" s="2335"/>
      <c r="MPK996" s="2335"/>
      <c r="MPL996" s="2335"/>
      <c r="MPM996" s="2335"/>
      <c r="MPN996" s="2335"/>
      <c r="MPO996" s="2335"/>
      <c r="MPP996" s="2335"/>
      <c r="MPQ996" s="2335"/>
      <c r="MPR996" s="2335"/>
      <c r="MPS996" s="2335"/>
      <c r="MPT996" s="2335"/>
      <c r="MPU996" s="2335"/>
      <c r="MPV996" s="2335"/>
      <c r="MPW996" s="2335"/>
      <c r="MPX996" s="2335"/>
      <c r="MPY996" s="2335"/>
      <c r="MPZ996" s="2335"/>
      <c r="MQA996" s="2335"/>
      <c r="MQB996" s="2335"/>
      <c r="MQC996" s="2335"/>
      <c r="MQD996" s="2335"/>
      <c r="MQE996" s="2335"/>
      <c r="MQF996" s="2335"/>
      <c r="MQG996" s="2335"/>
      <c r="MQH996" s="2335"/>
      <c r="MQI996" s="2335"/>
      <c r="MQJ996" s="2335"/>
      <c r="MQK996" s="2335"/>
      <c r="MQL996" s="2335"/>
      <c r="MQM996" s="2335"/>
      <c r="MQN996" s="2335"/>
      <c r="MQO996" s="2335"/>
      <c r="MQP996" s="2335"/>
      <c r="MQQ996" s="2335"/>
      <c r="MQR996" s="2335"/>
      <c r="MQS996" s="2335"/>
      <c r="MQT996" s="2335"/>
      <c r="MQU996" s="2335"/>
      <c r="MQV996" s="2335"/>
      <c r="MQW996" s="2335"/>
      <c r="MQX996" s="2335"/>
      <c r="MQY996" s="2335"/>
      <c r="MQZ996" s="2335"/>
      <c r="MRA996" s="2335"/>
      <c r="MRB996" s="2335"/>
      <c r="MRC996" s="2335"/>
      <c r="MRD996" s="2335"/>
      <c r="MRE996" s="2335"/>
      <c r="MRF996" s="2335"/>
      <c r="MRG996" s="2335"/>
      <c r="MRH996" s="2335"/>
      <c r="MRI996" s="2335"/>
      <c r="MRJ996" s="2335"/>
      <c r="MRK996" s="2335"/>
      <c r="MRL996" s="2335"/>
      <c r="MRM996" s="2335"/>
      <c r="MRN996" s="2335"/>
      <c r="MRO996" s="2335"/>
      <c r="MRP996" s="2335"/>
      <c r="MRQ996" s="2335"/>
      <c r="MRR996" s="2335"/>
      <c r="MRS996" s="2335"/>
      <c r="MRT996" s="2335"/>
      <c r="MRU996" s="2335"/>
      <c r="MRV996" s="2335"/>
      <c r="MRW996" s="2335"/>
      <c r="MRX996" s="2335"/>
      <c r="MRY996" s="2335"/>
      <c r="MRZ996" s="2335"/>
      <c r="MSA996" s="2335"/>
      <c r="MSB996" s="2335"/>
      <c r="MSC996" s="2335"/>
      <c r="MSD996" s="2335"/>
      <c r="MSE996" s="2335"/>
      <c r="MSF996" s="2335"/>
      <c r="MSG996" s="2335"/>
      <c r="MSH996" s="2335"/>
      <c r="MSI996" s="2335"/>
      <c r="MSJ996" s="2335"/>
      <c r="MSK996" s="2335"/>
      <c r="MSL996" s="2335"/>
      <c r="MSM996" s="2335"/>
      <c r="MSN996" s="2335"/>
      <c r="MSO996" s="2335"/>
      <c r="MSP996" s="2335"/>
      <c r="MSQ996" s="2335"/>
      <c r="MSR996" s="2335"/>
      <c r="MSS996" s="2335"/>
      <c r="MST996" s="2335"/>
      <c r="MSU996" s="2335"/>
      <c r="MSV996" s="2335"/>
      <c r="MSW996" s="2335"/>
      <c r="MSX996" s="2335"/>
      <c r="MSY996" s="2335"/>
      <c r="MSZ996" s="2335"/>
      <c r="MTA996" s="2335"/>
      <c r="MTB996" s="2335"/>
      <c r="MTC996" s="2335"/>
      <c r="MTD996" s="2335"/>
      <c r="MTE996" s="2335"/>
      <c r="MTF996" s="2335"/>
      <c r="MTG996" s="2335"/>
      <c r="MTH996" s="2335"/>
      <c r="MTI996" s="2335"/>
      <c r="MTJ996" s="2335"/>
      <c r="MTK996" s="2335"/>
      <c r="MTL996" s="2335"/>
      <c r="MTM996" s="2335"/>
      <c r="MTN996" s="2335"/>
      <c r="MTO996" s="2335"/>
      <c r="MTP996" s="2335"/>
      <c r="MTQ996" s="2335"/>
      <c r="MTR996" s="2335"/>
      <c r="MTS996" s="2335"/>
      <c r="MTT996" s="2335"/>
      <c r="MTU996" s="2335"/>
      <c r="MTV996" s="2335"/>
      <c r="MTW996" s="2335"/>
      <c r="MTX996" s="2335"/>
      <c r="MTY996" s="2335"/>
      <c r="MTZ996" s="2335"/>
      <c r="MUA996" s="2335"/>
      <c r="MUB996" s="2335"/>
      <c r="MUC996" s="2335"/>
      <c r="MUD996" s="2335"/>
      <c r="MUE996" s="2335"/>
      <c r="MUF996" s="2335"/>
      <c r="MUG996" s="2335"/>
      <c r="MUH996" s="2335"/>
      <c r="MUI996" s="2335"/>
      <c r="MUJ996" s="2335"/>
      <c r="MUK996" s="2335"/>
      <c r="MUL996" s="2335"/>
      <c r="MUM996" s="2335"/>
      <c r="MUN996" s="2335"/>
      <c r="MUO996" s="2335"/>
      <c r="MUP996" s="2335"/>
      <c r="MUQ996" s="2335"/>
      <c r="MUR996" s="2335"/>
      <c r="MUS996" s="2335"/>
      <c r="MUT996" s="2335"/>
      <c r="MUU996" s="2335"/>
      <c r="MUV996" s="2335"/>
      <c r="MUW996" s="2335"/>
      <c r="MUX996" s="2335"/>
      <c r="MUY996" s="2335"/>
      <c r="MUZ996" s="2335"/>
      <c r="MVA996" s="2335"/>
      <c r="MVB996" s="2335"/>
      <c r="MVC996" s="2335"/>
      <c r="MVD996" s="2335"/>
      <c r="MVE996" s="2335"/>
      <c r="MVF996" s="2335"/>
      <c r="MVG996" s="2335"/>
      <c r="MVH996" s="2335"/>
      <c r="MVI996" s="2335"/>
      <c r="MVJ996" s="2335"/>
      <c r="MVK996" s="2335"/>
      <c r="MVL996" s="2335"/>
      <c r="MVM996" s="2335"/>
      <c r="MVN996" s="2335"/>
      <c r="MVO996" s="2335"/>
      <c r="MVP996" s="2335"/>
      <c r="MVQ996" s="2335"/>
      <c r="MVR996" s="2335"/>
      <c r="MVS996" s="2335"/>
      <c r="MVT996" s="2335"/>
      <c r="MVU996" s="2335"/>
      <c r="MVV996" s="2335"/>
      <c r="MVW996" s="2335"/>
      <c r="MVX996" s="2335"/>
      <c r="MVY996" s="2335"/>
      <c r="MVZ996" s="2335"/>
      <c r="MWA996" s="2335"/>
      <c r="MWB996" s="2335"/>
      <c r="MWC996" s="2335"/>
      <c r="MWD996" s="2335"/>
      <c r="MWE996" s="2335"/>
      <c r="MWF996" s="2335"/>
      <c r="MWG996" s="2335"/>
      <c r="MWH996" s="2335"/>
      <c r="MWI996" s="2335"/>
      <c r="MWJ996" s="2335"/>
      <c r="MWK996" s="2335"/>
      <c r="MWL996" s="2335"/>
      <c r="MWM996" s="2335"/>
      <c r="MWN996" s="2335"/>
      <c r="MWO996" s="2335"/>
      <c r="MWP996" s="2335"/>
      <c r="MWQ996" s="2335"/>
      <c r="MWR996" s="2335"/>
      <c r="MWS996" s="2335"/>
      <c r="MWT996" s="2335"/>
      <c r="MWU996" s="2335"/>
      <c r="MWV996" s="2335"/>
      <c r="MWW996" s="2335"/>
      <c r="MWX996" s="2335"/>
      <c r="MWY996" s="2335"/>
      <c r="MWZ996" s="2335"/>
      <c r="MXA996" s="2335"/>
      <c r="MXB996" s="2335"/>
      <c r="MXC996" s="2335"/>
      <c r="MXD996" s="2335"/>
      <c r="MXE996" s="2335"/>
      <c r="MXF996" s="2335"/>
      <c r="MXG996" s="2335"/>
      <c r="MXH996" s="2335"/>
      <c r="MXI996" s="2335"/>
      <c r="MXJ996" s="2335"/>
      <c r="MXK996" s="2335"/>
      <c r="MXL996" s="2335"/>
      <c r="MXM996" s="2335"/>
      <c r="MXN996" s="2335"/>
      <c r="MXO996" s="2335"/>
      <c r="MXP996" s="2335"/>
      <c r="MXQ996" s="2335"/>
      <c r="MXR996" s="2335"/>
      <c r="MXS996" s="2335"/>
      <c r="MXT996" s="2335"/>
      <c r="MXU996" s="2335"/>
      <c r="MXV996" s="2335"/>
      <c r="MXW996" s="2335"/>
      <c r="MXX996" s="2335"/>
      <c r="MXY996" s="2335"/>
      <c r="MXZ996" s="2335"/>
      <c r="MYA996" s="2335"/>
      <c r="MYB996" s="2335"/>
      <c r="MYC996" s="2335"/>
      <c r="MYD996" s="2335"/>
      <c r="MYE996" s="2335"/>
      <c r="MYF996" s="2335"/>
      <c r="MYG996" s="2335"/>
      <c r="MYH996" s="2335"/>
      <c r="MYI996" s="2335"/>
      <c r="MYJ996" s="2335"/>
      <c r="MYK996" s="2335"/>
      <c r="MYL996" s="2335"/>
      <c r="MYM996" s="2335"/>
      <c r="MYN996" s="2335"/>
      <c r="MYO996" s="2335"/>
      <c r="MYP996" s="2335"/>
      <c r="MYQ996" s="2335"/>
      <c r="MYR996" s="2335"/>
      <c r="MYS996" s="2335"/>
      <c r="MYT996" s="2335"/>
      <c r="MYU996" s="2335"/>
      <c r="MYV996" s="2335"/>
      <c r="MYW996" s="2335"/>
      <c r="MYX996" s="2335"/>
      <c r="MYY996" s="2335"/>
      <c r="MYZ996" s="2335"/>
      <c r="MZA996" s="2335"/>
      <c r="MZB996" s="2335"/>
      <c r="MZC996" s="2335"/>
      <c r="MZD996" s="2335"/>
      <c r="MZE996" s="2335"/>
      <c r="MZF996" s="2335"/>
      <c r="MZG996" s="2335"/>
      <c r="MZH996" s="2335"/>
      <c r="MZI996" s="2335"/>
      <c r="MZJ996" s="2335"/>
      <c r="MZK996" s="2335"/>
      <c r="MZL996" s="2335"/>
      <c r="MZM996" s="2335"/>
      <c r="MZN996" s="2335"/>
      <c r="MZO996" s="2335"/>
      <c r="MZP996" s="2335"/>
      <c r="MZQ996" s="2335"/>
      <c r="MZR996" s="2335"/>
      <c r="MZS996" s="2335"/>
      <c r="MZT996" s="2335"/>
      <c r="MZU996" s="2335"/>
      <c r="MZV996" s="2335"/>
      <c r="MZW996" s="2335"/>
      <c r="MZX996" s="2335"/>
      <c r="MZY996" s="2335"/>
      <c r="MZZ996" s="2335"/>
      <c r="NAA996" s="2335"/>
      <c r="NAB996" s="2335"/>
      <c r="NAC996" s="2335"/>
      <c r="NAD996" s="2335"/>
      <c r="NAE996" s="2335"/>
      <c r="NAF996" s="2335"/>
      <c r="NAG996" s="2335"/>
      <c r="NAH996" s="2335"/>
      <c r="NAI996" s="2335"/>
      <c r="NAJ996" s="2335"/>
      <c r="NAK996" s="2335"/>
      <c r="NAL996" s="2335"/>
      <c r="NAM996" s="2335"/>
      <c r="NAN996" s="2335"/>
      <c r="NAO996" s="2335"/>
      <c r="NAP996" s="2335"/>
      <c r="NAQ996" s="2335"/>
      <c r="NAR996" s="2335"/>
      <c r="NAS996" s="2335"/>
      <c r="NAT996" s="2335"/>
      <c r="NAU996" s="2335"/>
      <c r="NAV996" s="2335"/>
      <c r="NAW996" s="2335"/>
      <c r="NAX996" s="2335"/>
      <c r="NAY996" s="2335"/>
      <c r="NAZ996" s="2335"/>
      <c r="NBA996" s="2335"/>
      <c r="NBB996" s="2335"/>
      <c r="NBC996" s="2335"/>
      <c r="NBD996" s="2335"/>
      <c r="NBE996" s="2335"/>
      <c r="NBF996" s="2335"/>
      <c r="NBG996" s="2335"/>
      <c r="NBH996" s="2335"/>
      <c r="NBI996" s="2335"/>
      <c r="NBJ996" s="2335"/>
      <c r="NBK996" s="2335"/>
      <c r="NBL996" s="2335"/>
      <c r="NBM996" s="2335"/>
      <c r="NBN996" s="2335"/>
      <c r="NBO996" s="2335"/>
      <c r="NBP996" s="2335"/>
      <c r="NBQ996" s="2335"/>
      <c r="NBR996" s="2335"/>
      <c r="NBS996" s="2335"/>
      <c r="NBT996" s="2335"/>
      <c r="NBU996" s="2335"/>
      <c r="NBV996" s="2335"/>
      <c r="NBW996" s="2335"/>
      <c r="NBX996" s="2335"/>
      <c r="NBY996" s="2335"/>
      <c r="NBZ996" s="2335"/>
      <c r="NCA996" s="2335"/>
      <c r="NCB996" s="2335"/>
      <c r="NCC996" s="2335"/>
      <c r="NCD996" s="2335"/>
      <c r="NCE996" s="2335"/>
      <c r="NCF996" s="2335"/>
      <c r="NCG996" s="2335"/>
      <c r="NCH996" s="2335"/>
      <c r="NCI996" s="2335"/>
      <c r="NCJ996" s="2335"/>
      <c r="NCK996" s="2335"/>
      <c r="NCL996" s="2335"/>
      <c r="NCM996" s="2335"/>
      <c r="NCN996" s="2335"/>
      <c r="NCO996" s="2335"/>
      <c r="NCP996" s="2335"/>
      <c r="NCQ996" s="2335"/>
      <c r="NCR996" s="2335"/>
      <c r="NCS996" s="2335"/>
      <c r="NCT996" s="2335"/>
      <c r="NCU996" s="2335"/>
      <c r="NCV996" s="2335"/>
      <c r="NCW996" s="2335"/>
      <c r="NCX996" s="2335"/>
      <c r="NCY996" s="2335"/>
      <c r="NCZ996" s="2335"/>
      <c r="NDA996" s="2335"/>
      <c r="NDB996" s="2335"/>
      <c r="NDC996" s="2335"/>
      <c r="NDD996" s="2335"/>
      <c r="NDE996" s="2335"/>
      <c r="NDF996" s="2335"/>
      <c r="NDG996" s="2335"/>
      <c r="NDH996" s="2335"/>
      <c r="NDI996" s="2335"/>
      <c r="NDJ996" s="2335"/>
      <c r="NDK996" s="2335"/>
      <c r="NDL996" s="2335"/>
      <c r="NDM996" s="2335"/>
      <c r="NDN996" s="2335"/>
      <c r="NDO996" s="2335"/>
      <c r="NDP996" s="2335"/>
      <c r="NDQ996" s="2335"/>
      <c r="NDR996" s="2335"/>
      <c r="NDS996" s="2335"/>
      <c r="NDT996" s="2335"/>
      <c r="NDU996" s="2335"/>
      <c r="NDV996" s="2335"/>
      <c r="NDW996" s="2335"/>
      <c r="NDX996" s="2335"/>
      <c r="NDY996" s="2335"/>
      <c r="NDZ996" s="2335"/>
      <c r="NEA996" s="2335"/>
      <c r="NEB996" s="2335"/>
      <c r="NEC996" s="2335"/>
      <c r="NED996" s="2335"/>
      <c r="NEE996" s="2335"/>
      <c r="NEF996" s="2335"/>
      <c r="NEG996" s="2335"/>
      <c r="NEH996" s="2335"/>
      <c r="NEI996" s="2335"/>
      <c r="NEJ996" s="2335"/>
      <c r="NEK996" s="2335"/>
      <c r="NEL996" s="2335"/>
      <c r="NEM996" s="2335"/>
      <c r="NEN996" s="2335"/>
      <c r="NEO996" s="2335"/>
      <c r="NEP996" s="2335"/>
      <c r="NEQ996" s="2335"/>
      <c r="NER996" s="2335"/>
      <c r="NES996" s="2335"/>
      <c r="NET996" s="2335"/>
      <c r="NEU996" s="2335"/>
      <c r="NEV996" s="2335"/>
      <c r="NEW996" s="2335"/>
      <c r="NEX996" s="2335"/>
      <c r="NEY996" s="2335"/>
      <c r="NEZ996" s="2335"/>
      <c r="NFA996" s="2335"/>
      <c r="NFB996" s="2335"/>
      <c r="NFC996" s="2335"/>
      <c r="NFD996" s="2335"/>
      <c r="NFE996" s="2335"/>
      <c r="NFF996" s="2335"/>
      <c r="NFG996" s="2335"/>
      <c r="NFH996" s="2335"/>
      <c r="NFI996" s="2335"/>
      <c r="NFJ996" s="2335"/>
      <c r="NFK996" s="2335"/>
      <c r="NFL996" s="2335"/>
      <c r="NFM996" s="2335"/>
      <c r="NFN996" s="2335"/>
      <c r="NFO996" s="2335"/>
      <c r="NFP996" s="2335"/>
      <c r="NFQ996" s="2335"/>
      <c r="NFR996" s="2335"/>
      <c r="NFS996" s="2335"/>
      <c r="NFT996" s="2335"/>
      <c r="NFU996" s="2335"/>
      <c r="NFV996" s="2335"/>
      <c r="NFW996" s="2335"/>
      <c r="NFX996" s="2335"/>
      <c r="NFY996" s="2335"/>
      <c r="NFZ996" s="2335"/>
      <c r="NGA996" s="2335"/>
      <c r="NGB996" s="2335"/>
      <c r="NGC996" s="2335"/>
      <c r="NGD996" s="2335"/>
      <c r="NGE996" s="2335"/>
      <c r="NGF996" s="2335"/>
      <c r="NGG996" s="2335"/>
      <c r="NGH996" s="2335"/>
      <c r="NGI996" s="2335"/>
      <c r="NGJ996" s="2335"/>
      <c r="NGK996" s="2335"/>
      <c r="NGL996" s="2335"/>
      <c r="NGM996" s="2335"/>
      <c r="NGN996" s="2335"/>
      <c r="NGO996" s="2335"/>
      <c r="NGP996" s="2335"/>
      <c r="NGQ996" s="2335"/>
      <c r="NGR996" s="2335"/>
      <c r="NGS996" s="2335"/>
      <c r="NGT996" s="2335"/>
      <c r="NGU996" s="2335"/>
      <c r="NGV996" s="2335"/>
      <c r="NGW996" s="2335"/>
      <c r="NGX996" s="2335"/>
      <c r="NGY996" s="2335"/>
      <c r="NGZ996" s="2335"/>
      <c r="NHA996" s="2335"/>
      <c r="NHB996" s="2335"/>
      <c r="NHC996" s="2335"/>
      <c r="NHD996" s="2335"/>
      <c r="NHE996" s="2335"/>
      <c r="NHF996" s="2335"/>
      <c r="NHG996" s="2335"/>
      <c r="NHH996" s="2335"/>
      <c r="NHI996" s="2335"/>
      <c r="NHJ996" s="2335"/>
      <c r="NHK996" s="2335"/>
      <c r="NHL996" s="2335"/>
      <c r="NHM996" s="2335"/>
      <c r="NHN996" s="2335"/>
      <c r="NHO996" s="2335"/>
      <c r="NHP996" s="2335"/>
      <c r="NHQ996" s="2335"/>
      <c r="NHR996" s="2335"/>
      <c r="NHS996" s="2335"/>
      <c r="NHT996" s="2335"/>
      <c r="NHU996" s="2335"/>
      <c r="NHV996" s="2335"/>
      <c r="NHW996" s="2335"/>
      <c r="NHX996" s="2335"/>
      <c r="NHY996" s="2335"/>
      <c r="NHZ996" s="2335"/>
      <c r="NIA996" s="2335"/>
      <c r="NIB996" s="2335"/>
      <c r="NIC996" s="2335"/>
      <c r="NID996" s="2335"/>
      <c r="NIE996" s="2335"/>
      <c r="NIF996" s="2335"/>
      <c r="NIG996" s="2335"/>
      <c r="NIH996" s="2335"/>
      <c r="NII996" s="2335"/>
      <c r="NIJ996" s="2335"/>
      <c r="NIK996" s="2335"/>
      <c r="NIL996" s="2335"/>
      <c r="NIM996" s="2335"/>
      <c r="NIN996" s="2335"/>
      <c r="NIO996" s="2335"/>
      <c r="NIP996" s="2335"/>
      <c r="NIQ996" s="2335"/>
      <c r="NIR996" s="2335"/>
      <c r="NIS996" s="2335"/>
      <c r="NIT996" s="2335"/>
      <c r="NIU996" s="2335"/>
      <c r="NIV996" s="2335"/>
      <c r="NIW996" s="2335"/>
      <c r="NIX996" s="2335"/>
      <c r="NIY996" s="2335"/>
      <c r="NIZ996" s="2335"/>
      <c r="NJA996" s="2335"/>
      <c r="NJB996" s="2335"/>
      <c r="NJC996" s="2335"/>
      <c r="NJD996" s="2335"/>
      <c r="NJE996" s="2335"/>
      <c r="NJF996" s="2335"/>
      <c r="NJG996" s="2335"/>
      <c r="NJH996" s="2335"/>
      <c r="NJI996" s="2335"/>
      <c r="NJJ996" s="2335"/>
      <c r="NJK996" s="2335"/>
      <c r="NJL996" s="2335"/>
      <c r="NJM996" s="2335"/>
      <c r="NJN996" s="2335"/>
      <c r="NJO996" s="2335"/>
      <c r="NJP996" s="2335"/>
      <c r="NJQ996" s="2335"/>
      <c r="NJR996" s="2335"/>
      <c r="NJS996" s="2335"/>
      <c r="NJT996" s="2335"/>
      <c r="NJU996" s="2335"/>
      <c r="NJV996" s="2335"/>
      <c r="NJW996" s="2335"/>
      <c r="NJX996" s="2335"/>
      <c r="NJY996" s="2335"/>
      <c r="NJZ996" s="2335"/>
      <c r="NKA996" s="2335"/>
      <c r="NKB996" s="2335"/>
      <c r="NKC996" s="2335"/>
      <c r="NKD996" s="2335"/>
      <c r="NKE996" s="2335"/>
      <c r="NKF996" s="2335"/>
      <c r="NKG996" s="2335"/>
      <c r="NKH996" s="2335"/>
      <c r="NKI996" s="2335"/>
      <c r="NKJ996" s="2335"/>
      <c r="NKK996" s="2335"/>
      <c r="NKL996" s="2335"/>
      <c r="NKM996" s="2335"/>
      <c r="NKN996" s="2335"/>
      <c r="NKO996" s="2335"/>
      <c r="NKP996" s="2335"/>
      <c r="NKQ996" s="2335"/>
      <c r="NKR996" s="2335"/>
      <c r="NKS996" s="2335"/>
      <c r="NKT996" s="2335"/>
      <c r="NKU996" s="2335"/>
      <c r="NKV996" s="2335"/>
      <c r="NKW996" s="2335"/>
      <c r="NKX996" s="2335"/>
      <c r="NKY996" s="2335"/>
      <c r="NKZ996" s="2335"/>
      <c r="NLA996" s="2335"/>
      <c r="NLB996" s="2335"/>
      <c r="NLC996" s="2335"/>
      <c r="NLD996" s="2335"/>
      <c r="NLE996" s="2335"/>
      <c r="NLF996" s="2335"/>
      <c r="NLG996" s="2335"/>
      <c r="NLH996" s="2335"/>
      <c r="NLI996" s="2335"/>
      <c r="NLJ996" s="2335"/>
      <c r="NLK996" s="2335"/>
      <c r="NLL996" s="2335"/>
      <c r="NLM996" s="2335"/>
      <c r="NLN996" s="2335"/>
      <c r="NLO996" s="2335"/>
      <c r="NLP996" s="2335"/>
      <c r="NLQ996" s="2335"/>
      <c r="NLR996" s="2335"/>
      <c r="NLS996" s="2335"/>
      <c r="NLT996" s="2335"/>
      <c r="NLU996" s="2335"/>
      <c r="NLV996" s="2335"/>
      <c r="NLW996" s="2335"/>
      <c r="NLX996" s="2335"/>
      <c r="NLY996" s="2335"/>
      <c r="NLZ996" s="2335"/>
      <c r="NMA996" s="2335"/>
      <c r="NMB996" s="2335"/>
      <c r="NMC996" s="2335"/>
      <c r="NMD996" s="2335"/>
      <c r="NME996" s="2335"/>
      <c r="NMF996" s="2335"/>
      <c r="NMG996" s="2335"/>
      <c r="NMH996" s="2335"/>
      <c r="NMI996" s="2335"/>
      <c r="NMJ996" s="2335"/>
      <c r="NMK996" s="2335"/>
      <c r="NML996" s="2335"/>
      <c r="NMM996" s="2335"/>
      <c r="NMN996" s="2335"/>
      <c r="NMO996" s="2335"/>
      <c r="NMP996" s="2335"/>
      <c r="NMQ996" s="2335"/>
      <c r="NMR996" s="2335"/>
      <c r="NMS996" s="2335"/>
      <c r="NMT996" s="2335"/>
      <c r="NMU996" s="2335"/>
      <c r="NMV996" s="2335"/>
      <c r="NMW996" s="2335"/>
      <c r="NMX996" s="2335"/>
      <c r="NMY996" s="2335"/>
      <c r="NMZ996" s="2335"/>
      <c r="NNA996" s="2335"/>
      <c r="NNB996" s="2335"/>
      <c r="NNC996" s="2335"/>
      <c r="NND996" s="2335"/>
      <c r="NNE996" s="2335"/>
      <c r="NNF996" s="2335"/>
      <c r="NNG996" s="2335"/>
      <c r="NNH996" s="2335"/>
      <c r="NNI996" s="2335"/>
      <c r="NNJ996" s="2335"/>
      <c r="NNK996" s="2335"/>
      <c r="NNL996" s="2335"/>
      <c r="NNM996" s="2335"/>
      <c r="NNN996" s="2335"/>
      <c r="NNO996" s="2335"/>
      <c r="NNP996" s="2335"/>
      <c r="NNQ996" s="2335"/>
      <c r="NNR996" s="2335"/>
      <c r="NNS996" s="2335"/>
      <c r="NNT996" s="2335"/>
      <c r="NNU996" s="2335"/>
      <c r="NNV996" s="2335"/>
      <c r="NNW996" s="2335"/>
      <c r="NNX996" s="2335"/>
      <c r="NNY996" s="2335"/>
      <c r="NNZ996" s="2335"/>
      <c r="NOA996" s="2335"/>
      <c r="NOB996" s="2335"/>
      <c r="NOC996" s="2335"/>
      <c r="NOD996" s="2335"/>
      <c r="NOE996" s="2335"/>
      <c r="NOF996" s="2335"/>
      <c r="NOG996" s="2335"/>
      <c r="NOH996" s="2335"/>
      <c r="NOI996" s="2335"/>
      <c r="NOJ996" s="2335"/>
      <c r="NOK996" s="2335"/>
      <c r="NOL996" s="2335"/>
      <c r="NOM996" s="2335"/>
      <c r="NON996" s="2335"/>
      <c r="NOO996" s="2335"/>
      <c r="NOP996" s="2335"/>
      <c r="NOQ996" s="2335"/>
      <c r="NOR996" s="2335"/>
      <c r="NOS996" s="2335"/>
      <c r="NOT996" s="2335"/>
      <c r="NOU996" s="2335"/>
      <c r="NOV996" s="2335"/>
      <c r="NOW996" s="2335"/>
      <c r="NOX996" s="2335"/>
      <c r="NOY996" s="2335"/>
      <c r="NOZ996" s="2335"/>
      <c r="NPA996" s="2335"/>
      <c r="NPB996" s="2335"/>
      <c r="NPC996" s="2335"/>
      <c r="NPD996" s="2335"/>
      <c r="NPE996" s="2335"/>
      <c r="NPF996" s="2335"/>
      <c r="NPG996" s="2335"/>
      <c r="NPH996" s="2335"/>
      <c r="NPI996" s="2335"/>
      <c r="NPJ996" s="2335"/>
      <c r="NPK996" s="2335"/>
      <c r="NPL996" s="2335"/>
      <c r="NPM996" s="2335"/>
      <c r="NPN996" s="2335"/>
      <c r="NPO996" s="2335"/>
      <c r="NPP996" s="2335"/>
      <c r="NPQ996" s="2335"/>
      <c r="NPR996" s="2335"/>
      <c r="NPS996" s="2335"/>
      <c r="NPT996" s="2335"/>
      <c r="NPU996" s="2335"/>
      <c r="NPV996" s="2335"/>
      <c r="NPW996" s="2335"/>
      <c r="NPX996" s="2335"/>
      <c r="NPY996" s="2335"/>
      <c r="NPZ996" s="2335"/>
      <c r="NQA996" s="2335"/>
      <c r="NQB996" s="2335"/>
      <c r="NQC996" s="2335"/>
      <c r="NQD996" s="2335"/>
      <c r="NQE996" s="2335"/>
      <c r="NQF996" s="2335"/>
      <c r="NQG996" s="2335"/>
      <c r="NQH996" s="2335"/>
      <c r="NQI996" s="2335"/>
      <c r="NQJ996" s="2335"/>
      <c r="NQK996" s="2335"/>
      <c r="NQL996" s="2335"/>
      <c r="NQM996" s="2335"/>
      <c r="NQN996" s="2335"/>
      <c r="NQO996" s="2335"/>
      <c r="NQP996" s="2335"/>
      <c r="NQQ996" s="2335"/>
      <c r="NQR996" s="2335"/>
      <c r="NQS996" s="2335"/>
      <c r="NQT996" s="2335"/>
      <c r="NQU996" s="2335"/>
      <c r="NQV996" s="2335"/>
      <c r="NQW996" s="2335"/>
      <c r="NQX996" s="2335"/>
      <c r="NQY996" s="2335"/>
      <c r="NQZ996" s="2335"/>
      <c r="NRA996" s="2335"/>
      <c r="NRB996" s="2335"/>
      <c r="NRC996" s="2335"/>
      <c r="NRD996" s="2335"/>
      <c r="NRE996" s="2335"/>
      <c r="NRF996" s="2335"/>
      <c r="NRG996" s="2335"/>
      <c r="NRH996" s="2335"/>
      <c r="NRI996" s="2335"/>
      <c r="NRJ996" s="2335"/>
      <c r="NRK996" s="2335"/>
      <c r="NRL996" s="2335"/>
      <c r="NRM996" s="2335"/>
      <c r="NRN996" s="2335"/>
      <c r="NRO996" s="2335"/>
      <c r="NRP996" s="2335"/>
      <c r="NRQ996" s="2335"/>
      <c r="NRR996" s="2335"/>
      <c r="NRS996" s="2335"/>
      <c r="NRT996" s="2335"/>
      <c r="NRU996" s="2335"/>
      <c r="NRV996" s="2335"/>
      <c r="NRW996" s="2335"/>
      <c r="NRX996" s="2335"/>
      <c r="NRY996" s="2335"/>
      <c r="NRZ996" s="2335"/>
      <c r="NSA996" s="2335"/>
      <c r="NSB996" s="2335"/>
      <c r="NSC996" s="2335"/>
      <c r="NSD996" s="2335"/>
      <c r="NSE996" s="2335"/>
      <c r="NSF996" s="2335"/>
      <c r="NSG996" s="2335"/>
      <c r="NSH996" s="2335"/>
      <c r="NSI996" s="2335"/>
      <c r="NSJ996" s="2335"/>
      <c r="NSK996" s="2335"/>
      <c r="NSL996" s="2335"/>
      <c r="NSM996" s="2335"/>
      <c r="NSN996" s="2335"/>
      <c r="NSO996" s="2335"/>
      <c r="NSP996" s="2335"/>
      <c r="NSQ996" s="2335"/>
      <c r="NSR996" s="2335"/>
      <c r="NSS996" s="2335"/>
      <c r="NST996" s="2335"/>
      <c r="NSU996" s="2335"/>
      <c r="NSV996" s="2335"/>
      <c r="NSW996" s="2335"/>
      <c r="NSX996" s="2335"/>
      <c r="NSY996" s="2335"/>
      <c r="NSZ996" s="2335"/>
      <c r="NTA996" s="2335"/>
      <c r="NTB996" s="2335"/>
      <c r="NTC996" s="2335"/>
      <c r="NTD996" s="2335"/>
      <c r="NTE996" s="2335"/>
      <c r="NTF996" s="2335"/>
      <c r="NTG996" s="2335"/>
      <c r="NTH996" s="2335"/>
      <c r="NTI996" s="2335"/>
      <c r="NTJ996" s="2335"/>
      <c r="NTK996" s="2335"/>
      <c r="NTL996" s="2335"/>
      <c r="NTM996" s="2335"/>
      <c r="NTN996" s="2335"/>
      <c r="NTO996" s="2335"/>
      <c r="NTP996" s="2335"/>
      <c r="NTQ996" s="2335"/>
      <c r="NTR996" s="2335"/>
      <c r="NTS996" s="2335"/>
      <c r="NTT996" s="2335"/>
      <c r="NTU996" s="2335"/>
      <c r="NTV996" s="2335"/>
      <c r="NTW996" s="2335"/>
      <c r="NTX996" s="2335"/>
      <c r="NTY996" s="2335"/>
      <c r="NTZ996" s="2335"/>
      <c r="NUA996" s="2335"/>
      <c r="NUB996" s="2335"/>
      <c r="NUC996" s="2335"/>
      <c r="NUD996" s="2335"/>
      <c r="NUE996" s="2335"/>
      <c r="NUF996" s="2335"/>
      <c r="NUG996" s="2335"/>
      <c r="NUH996" s="2335"/>
      <c r="NUI996" s="2335"/>
      <c r="NUJ996" s="2335"/>
      <c r="NUK996" s="2335"/>
      <c r="NUL996" s="2335"/>
      <c r="NUM996" s="2335"/>
      <c r="NUN996" s="2335"/>
      <c r="NUO996" s="2335"/>
      <c r="NUP996" s="2335"/>
      <c r="NUQ996" s="2335"/>
      <c r="NUR996" s="2335"/>
      <c r="NUS996" s="2335"/>
      <c r="NUT996" s="2335"/>
      <c r="NUU996" s="2335"/>
      <c r="NUV996" s="2335"/>
      <c r="NUW996" s="2335"/>
      <c r="NUX996" s="2335"/>
      <c r="NUY996" s="2335"/>
      <c r="NUZ996" s="2335"/>
      <c r="NVA996" s="2335"/>
      <c r="NVB996" s="2335"/>
      <c r="NVC996" s="2335"/>
      <c r="NVD996" s="2335"/>
      <c r="NVE996" s="2335"/>
      <c r="NVF996" s="2335"/>
      <c r="NVG996" s="2335"/>
      <c r="NVH996" s="2335"/>
      <c r="NVI996" s="2335"/>
      <c r="NVJ996" s="2335"/>
      <c r="NVK996" s="2335"/>
      <c r="NVL996" s="2335"/>
      <c r="NVM996" s="2335"/>
      <c r="NVN996" s="2335"/>
      <c r="NVO996" s="2335"/>
      <c r="NVP996" s="2335"/>
      <c r="NVQ996" s="2335"/>
      <c r="NVR996" s="2335"/>
      <c r="NVS996" s="2335"/>
      <c r="NVT996" s="2335"/>
      <c r="NVU996" s="2335"/>
      <c r="NVV996" s="2335"/>
      <c r="NVW996" s="2335"/>
      <c r="NVX996" s="2335"/>
      <c r="NVY996" s="2335"/>
      <c r="NVZ996" s="2335"/>
      <c r="NWA996" s="2335"/>
      <c r="NWB996" s="2335"/>
      <c r="NWC996" s="2335"/>
      <c r="NWD996" s="2335"/>
      <c r="NWE996" s="2335"/>
      <c r="NWF996" s="2335"/>
      <c r="NWG996" s="2335"/>
      <c r="NWH996" s="2335"/>
      <c r="NWI996" s="2335"/>
      <c r="NWJ996" s="2335"/>
      <c r="NWK996" s="2335"/>
      <c r="NWL996" s="2335"/>
      <c r="NWM996" s="2335"/>
      <c r="NWN996" s="2335"/>
      <c r="NWO996" s="2335"/>
      <c r="NWP996" s="2335"/>
      <c r="NWQ996" s="2335"/>
      <c r="NWR996" s="2335"/>
      <c r="NWS996" s="2335"/>
      <c r="NWT996" s="2335"/>
      <c r="NWU996" s="2335"/>
      <c r="NWV996" s="2335"/>
      <c r="NWW996" s="2335"/>
      <c r="NWX996" s="2335"/>
      <c r="NWY996" s="2335"/>
      <c r="NWZ996" s="2335"/>
      <c r="NXA996" s="2335"/>
      <c r="NXB996" s="2335"/>
      <c r="NXC996" s="2335"/>
      <c r="NXD996" s="2335"/>
      <c r="NXE996" s="2335"/>
      <c r="NXF996" s="2335"/>
      <c r="NXG996" s="2335"/>
      <c r="NXH996" s="2335"/>
      <c r="NXI996" s="2335"/>
      <c r="NXJ996" s="2335"/>
      <c r="NXK996" s="2335"/>
      <c r="NXL996" s="2335"/>
      <c r="NXM996" s="2335"/>
      <c r="NXN996" s="2335"/>
      <c r="NXO996" s="2335"/>
      <c r="NXP996" s="2335"/>
      <c r="NXQ996" s="2335"/>
      <c r="NXR996" s="2335"/>
      <c r="NXS996" s="2335"/>
      <c r="NXT996" s="2335"/>
      <c r="NXU996" s="2335"/>
      <c r="NXV996" s="2335"/>
      <c r="NXW996" s="2335"/>
      <c r="NXX996" s="2335"/>
      <c r="NXY996" s="2335"/>
      <c r="NXZ996" s="2335"/>
      <c r="NYA996" s="2335"/>
      <c r="NYB996" s="2335"/>
      <c r="NYC996" s="2335"/>
      <c r="NYD996" s="2335"/>
      <c r="NYE996" s="2335"/>
      <c r="NYF996" s="2335"/>
      <c r="NYG996" s="2335"/>
      <c r="NYH996" s="2335"/>
      <c r="NYI996" s="2335"/>
      <c r="NYJ996" s="2335"/>
      <c r="NYK996" s="2335"/>
      <c r="NYL996" s="2335"/>
      <c r="NYM996" s="2335"/>
      <c r="NYN996" s="2335"/>
      <c r="NYO996" s="2335"/>
      <c r="NYP996" s="2335"/>
      <c r="NYQ996" s="2335"/>
      <c r="NYR996" s="2335"/>
      <c r="NYS996" s="2335"/>
      <c r="NYT996" s="2335"/>
      <c r="NYU996" s="2335"/>
      <c r="NYV996" s="2335"/>
      <c r="NYW996" s="2335"/>
      <c r="NYX996" s="2335"/>
      <c r="NYY996" s="2335"/>
      <c r="NYZ996" s="2335"/>
      <c r="NZA996" s="2335"/>
      <c r="NZB996" s="2335"/>
      <c r="NZC996" s="2335"/>
      <c r="NZD996" s="2335"/>
      <c r="NZE996" s="2335"/>
      <c r="NZF996" s="2335"/>
      <c r="NZG996" s="2335"/>
      <c r="NZH996" s="2335"/>
      <c r="NZI996" s="2335"/>
      <c r="NZJ996" s="2335"/>
      <c r="NZK996" s="2335"/>
      <c r="NZL996" s="2335"/>
      <c r="NZM996" s="2335"/>
      <c r="NZN996" s="2335"/>
      <c r="NZO996" s="2335"/>
      <c r="NZP996" s="2335"/>
      <c r="NZQ996" s="2335"/>
      <c r="NZR996" s="2335"/>
      <c r="NZS996" s="2335"/>
      <c r="NZT996" s="2335"/>
      <c r="NZU996" s="2335"/>
      <c r="NZV996" s="2335"/>
      <c r="NZW996" s="2335"/>
      <c r="NZX996" s="2335"/>
      <c r="NZY996" s="2335"/>
      <c r="NZZ996" s="2335"/>
      <c r="OAA996" s="2335"/>
      <c r="OAB996" s="2335"/>
      <c r="OAC996" s="2335"/>
      <c r="OAD996" s="2335"/>
      <c r="OAE996" s="2335"/>
      <c r="OAF996" s="2335"/>
      <c r="OAG996" s="2335"/>
      <c r="OAH996" s="2335"/>
      <c r="OAI996" s="2335"/>
      <c r="OAJ996" s="2335"/>
      <c r="OAK996" s="2335"/>
      <c r="OAL996" s="2335"/>
      <c r="OAM996" s="2335"/>
      <c r="OAN996" s="2335"/>
      <c r="OAO996" s="2335"/>
      <c r="OAP996" s="2335"/>
      <c r="OAQ996" s="2335"/>
      <c r="OAR996" s="2335"/>
      <c r="OAS996" s="2335"/>
      <c r="OAT996" s="2335"/>
      <c r="OAU996" s="2335"/>
      <c r="OAV996" s="2335"/>
      <c r="OAW996" s="2335"/>
      <c r="OAX996" s="2335"/>
      <c r="OAY996" s="2335"/>
      <c r="OAZ996" s="2335"/>
      <c r="OBA996" s="2335"/>
      <c r="OBB996" s="2335"/>
      <c r="OBC996" s="2335"/>
      <c r="OBD996" s="2335"/>
      <c r="OBE996" s="2335"/>
      <c r="OBF996" s="2335"/>
      <c r="OBG996" s="2335"/>
      <c r="OBH996" s="2335"/>
      <c r="OBI996" s="2335"/>
      <c r="OBJ996" s="2335"/>
      <c r="OBK996" s="2335"/>
      <c r="OBL996" s="2335"/>
      <c r="OBM996" s="2335"/>
      <c r="OBN996" s="2335"/>
      <c r="OBO996" s="2335"/>
      <c r="OBP996" s="2335"/>
      <c r="OBQ996" s="2335"/>
      <c r="OBR996" s="2335"/>
      <c r="OBS996" s="2335"/>
      <c r="OBT996" s="2335"/>
      <c r="OBU996" s="2335"/>
      <c r="OBV996" s="2335"/>
      <c r="OBW996" s="2335"/>
      <c r="OBX996" s="2335"/>
      <c r="OBY996" s="2335"/>
      <c r="OBZ996" s="2335"/>
      <c r="OCA996" s="2335"/>
      <c r="OCB996" s="2335"/>
      <c r="OCC996" s="2335"/>
      <c r="OCD996" s="2335"/>
      <c r="OCE996" s="2335"/>
      <c r="OCF996" s="2335"/>
      <c r="OCG996" s="2335"/>
      <c r="OCH996" s="2335"/>
      <c r="OCI996" s="2335"/>
      <c r="OCJ996" s="2335"/>
      <c r="OCK996" s="2335"/>
      <c r="OCL996" s="2335"/>
      <c r="OCM996" s="2335"/>
      <c r="OCN996" s="2335"/>
      <c r="OCO996" s="2335"/>
      <c r="OCP996" s="2335"/>
      <c r="OCQ996" s="2335"/>
      <c r="OCR996" s="2335"/>
      <c r="OCS996" s="2335"/>
      <c r="OCT996" s="2335"/>
      <c r="OCU996" s="2335"/>
      <c r="OCV996" s="2335"/>
      <c r="OCW996" s="2335"/>
      <c r="OCX996" s="2335"/>
      <c r="OCY996" s="2335"/>
      <c r="OCZ996" s="2335"/>
      <c r="ODA996" s="2335"/>
      <c r="ODB996" s="2335"/>
      <c r="ODC996" s="2335"/>
      <c r="ODD996" s="2335"/>
      <c r="ODE996" s="2335"/>
      <c r="ODF996" s="2335"/>
      <c r="ODG996" s="2335"/>
      <c r="ODH996" s="2335"/>
      <c r="ODI996" s="2335"/>
      <c r="ODJ996" s="2335"/>
      <c r="ODK996" s="2335"/>
      <c r="ODL996" s="2335"/>
      <c r="ODM996" s="2335"/>
      <c r="ODN996" s="2335"/>
      <c r="ODO996" s="2335"/>
      <c r="ODP996" s="2335"/>
      <c r="ODQ996" s="2335"/>
      <c r="ODR996" s="2335"/>
      <c r="ODS996" s="2335"/>
      <c r="ODT996" s="2335"/>
      <c r="ODU996" s="2335"/>
      <c r="ODV996" s="2335"/>
      <c r="ODW996" s="2335"/>
      <c r="ODX996" s="2335"/>
      <c r="ODY996" s="2335"/>
      <c r="ODZ996" s="2335"/>
      <c r="OEA996" s="2335"/>
      <c r="OEB996" s="2335"/>
      <c r="OEC996" s="2335"/>
      <c r="OED996" s="2335"/>
      <c r="OEE996" s="2335"/>
      <c r="OEF996" s="2335"/>
      <c r="OEG996" s="2335"/>
      <c r="OEH996" s="2335"/>
      <c r="OEI996" s="2335"/>
      <c r="OEJ996" s="2335"/>
      <c r="OEK996" s="2335"/>
      <c r="OEL996" s="2335"/>
      <c r="OEM996" s="2335"/>
      <c r="OEN996" s="2335"/>
      <c r="OEO996" s="2335"/>
      <c r="OEP996" s="2335"/>
      <c r="OEQ996" s="2335"/>
      <c r="OER996" s="2335"/>
      <c r="OES996" s="2335"/>
      <c r="OET996" s="2335"/>
      <c r="OEU996" s="2335"/>
      <c r="OEV996" s="2335"/>
      <c r="OEW996" s="2335"/>
      <c r="OEX996" s="2335"/>
      <c r="OEY996" s="2335"/>
      <c r="OEZ996" s="2335"/>
      <c r="OFA996" s="2335"/>
      <c r="OFB996" s="2335"/>
      <c r="OFC996" s="2335"/>
      <c r="OFD996" s="2335"/>
      <c r="OFE996" s="2335"/>
      <c r="OFF996" s="2335"/>
      <c r="OFG996" s="2335"/>
      <c r="OFH996" s="2335"/>
      <c r="OFI996" s="2335"/>
      <c r="OFJ996" s="2335"/>
      <c r="OFK996" s="2335"/>
      <c r="OFL996" s="2335"/>
      <c r="OFM996" s="2335"/>
      <c r="OFN996" s="2335"/>
      <c r="OFO996" s="2335"/>
      <c r="OFP996" s="2335"/>
      <c r="OFQ996" s="2335"/>
      <c r="OFR996" s="2335"/>
      <c r="OFS996" s="2335"/>
      <c r="OFT996" s="2335"/>
      <c r="OFU996" s="2335"/>
      <c r="OFV996" s="2335"/>
      <c r="OFW996" s="2335"/>
      <c r="OFX996" s="2335"/>
      <c r="OFY996" s="2335"/>
      <c r="OFZ996" s="2335"/>
      <c r="OGA996" s="2335"/>
      <c r="OGB996" s="2335"/>
      <c r="OGC996" s="2335"/>
      <c r="OGD996" s="2335"/>
      <c r="OGE996" s="2335"/>
      <c r="OGF996" s="2335"/>
      <c r="OGG996" s="2335"/>
      <c r="OGH996" s="2335"/>
      <c r="OGI996" s="2335"/>
      <c r="OGJ996" s="2335"/>
      <c r="OGK996" s="2335"/>
      <c r="OGL996" s="2335"/>
      <c r="OGM996" s="2335"/>
      <c r="OGN996" s="2335"/>
      <c r="OGO996" s="2335"/>
      <c r="OGP996" s="2335"/>
      <c r="OGQ996" s="2335"/>
      <c r="OGR996" s="2335"/>
      <c r="OGS996" s="2335"/>
      <c r="OGT996" s="2335"/>
      <c r="OGU996" s="2335"/>
      <c r="OGV996" s="2335"/>
      <c r="OGW996" s="2335"/>
      <c r="OGX996" s="2335"/>
      <c r="OGY996" s="2335"/>
      <c r="OGZ996" s="2335"/>
      <c r="OHA996" s="2335"/>
      <c r="OHB996" s="2335"/>
      <c r="OHC996" s="2335"/>
      <c r="OHD996" s="2335"/>
      <c r="OHE996" s="2335"/>
      <c r="OHF996" s="2335"/>
      <c r="OHG996" s="2335"/>
      <c r="OHH996" s="2335"/>
      <c r="OHI996" s="2335"/>
      <c r="OHJ996" s="2335"/>
      <c r="OHK996" s="2335"/>
      <c r="OHL996" s="2335"/>
      <c r="OHM996" s="2335"/>
      <c r="OHN996" s="2335"/>
      <c r="OHO996" s="2335"/>
      <c r="OHP996" s="2335"/>
      <c r="OHQ996" s="2335"/>
      <c r="OHR996" s="2335"/>
      <c r="OHS996" s="2335"/>
      <c r="OHT996" s="2335"/>
      <c r="OHU996" s="2335"/>
      <c r="OHV996" s="2335"/>
      <c r="OHW996" s="2335"/>
      <c r="OHX996" s="2335"/>
      <c r="OHY996" s="2335"/>
      <c r="OHZ996" s="2335"/>
      <c r="OIA996" s="2335"/>
      <c r="OIB996" s="2335"/>
      <c r="OIC996" s="2335"/>
      <c r="OID996" s="2335"/>
      <c r="OIE996" s="2335"/>
      <c r="OIF996" s="2335"/>
      <c r="OIG996" s="2335"/>
      <c r="OIH996" s="2335"/>
      <c r="OII996" s="2335"/>
      <c r="OIJ996" s="2335"/>
      <c r="OIK996" s="2335"/>
      <c r="OIL996" s="2335"/>
      <c r="OIM996" s="2335"/>
      <c r="OIN996" s="2335"/>
      <c r="OIO996" s="2335"/>
      <c r="OIP996" s="2335"/>
      <c r="OIQ996" s="2335"/>
      <c r="OIR996" s="2335"/>
      <c r="OIS996" s="2335"/>
      <c r="OIT996" s="2335"/>
      <c r="OIU996" s="2335"/>
      <c r="OIV996" s="2335"/>
      <c r="OIW996" s="2335"/>
      <c r="OIX996" s="2335"/>
      <c r="OIY996" s="2335"/>
      <c r="OIZ996" s="2335"/>
      <c r="OJA996" s="2335"/>
      <c r="OJB996" s="2335"/>
      <c r="OJC996" s="2335"/>
      <c r="OJD996" s="2335"/>
      <c r="OJE996" s="2335"/>
      <c r="OJF996" s="2335"/>
      <c r="OJG996" s="2335"/>
      <c r="OJH996" s="2335"/>
      <c r="OJI996" s="2335"/>
      <c r="OJJ996" s="2335"/>
      <c r="OJK996" s="2335"/>
      <c r="OJL996" s="2335"/>
      <c r="OJM996" s="2335"/>
      <c r="OJN996" s="2335"/>
      <c r="OJO996" s="2335"/>
      <c r="OJP996" s="2335"/>
      <c r="OJQ996" s="2335"/>
      <c r="OJR996" s="2335"/>
      <c r="OJS996" s="2335"/>
      <c r="OJT996" s="2335"/>
      <c r="OJU996" s="2335"/>
      <c r="OJV996" s="2335"/>
      <c r="OJW996" s="2335"/>
      <c r="OJX996" s="2335"/>
      <c r="OJY996" s="2335"/>
      <c r="OJZ996" s="2335"/>
      <c r="OKA996" s="2335"/>
      <c r="OKB996" s="2335"/>
      <c r="OKC996" s="2335"/>
      <c r="OKD996" s="2335"/>
      <c r="OKE996" s="2335"/>
      <c r="OKF996" s="2335"/>
      <c r="OKG996" s="2335"/>
      <c r="OKH996" s="2335"/>
      <c r="OKI996" s="2335"/>
      <c r="OKJ996" s="2335"/>
      <c r="OKK996" s="2335"/>
      <c r="OKL996" s="2335"/>
      <c r="OKM996" s="2335"/>
      <c r="OKN996" s="2335"/>
      <c r="OKO996" s="2335"/>
      <c r="OKP996" s="2335"/>
      <c r="OKQ996" s="2335"/>
      <c r="OKR996" s="2335"/>
      <c r="OKS996" s="2335"/>
      <c r="OKT996" s="2335"/>
      <c r="OKU996" s="2335"/>
      <c r="OKV996" s="2335"/>
      <c r="OKW996" s="2335"/>
      <c r="OKX996" s="2335"/>
      <c r="OKY996" s="2335"/>
      <c r="OKZ996" s="2335"/>
      <c r="OLA996" s="2335"/>
      <c r="OLB996" s="2335"/>
      <c r="OLC996" s="2335"/>
      <c r="OLD996" s="2335"/>
      <c r="OLE996" s="2335"/>
      <c r="OLF996" s="2335"/>
      <c r="OLG996" s="2335"/>
      <c r="OLH996" s="2335"/>
      <c r="OLI996" s="2335"/>
      <c r="OLJ996" s="2335"/>
      <c r="OLK996" s="2335"/>
      <c r="OLL996" s="2335"/>
      <c r="OLM996" s="2335"/>
      <c r="OLN996" s="2335"/>
      <c r="OLO996" s="2335"/>
      <c r="OLP996" s="2335"/>
      <c r="OLQ996" s="2335"/>
      <c r="OLR996" s="2335"/>
      <c r="OLS996" s="2335"/>
      <c r="OLT996" s="2335"/>
      <c r="OLU996" s="2335"/>
      <c r="OLV996" s="2335"/>
      <c r="OLW996" s="2335"/>
      <c r="OLX996" s="2335"/>
      <c r="OLY996" s="2335"/>
      <c r="OLZ996" s="2335"/>
      <c r="OMA996" s="2335"/>
      <c r="OMB996" s="2335"/>
      <c r="OMC996" s="2335"/>
      <c r="OMD996" s="2335"/>
      <c r="OME996" s="2335"/>
      <c r="OMF996" s="2335"/>
      <c r="OMG996" s="2335"/>
      <c r="OMH996" s="2335"/>
      <c r="OMI996" s="2335"/>
      <c r="OMJ996" s="2335"/>
      <c r="OMK996" s="2335"/>
      <c r="OML996" s="2335"/>
      <c r="OMM996" s="2335"/>
      <c r="OMN996" s="2335"/>
      <c r="OMO996" s="2335"/>
      <c r="OMP996" s="2335"/>
      <c r="OMQ996" s="2335"/>
      <c r="OMR996" s="2335"/>
      <c r="OMS996" s="2335"/>
      <c r="OMT996" s="2335"/>
      <c r="OMU996" s="2335"/>
      <c r="OMV996" s="2335"/>
      <c r="OMW996" s="2335"/>
      <c r="OMX996" s="2335"/>
      <c r="OMY996" s="2335"/>
      <c r="OMZ996" s="2335"/>
      <c r="ONA996" s="2335"/>
      <c r="ONB996" s="2335"/>
      <c r="ONC996" s="2335"/>
      <c r="OND996" s="2335"/>
      <c r="ONE996" s="2335"/>
      <c r="ONF996" s="2335"/>
      <c r="ONG996" s="2335"/>
      <c r="ONH996" s="2335"/>
      <c r="ONI996" s="2335"/>
      <c r="ONJ996" s="2335"/>
      <c r="ONK996" s="2335"/>
      <c r="ONL996" s="2335"/>
      <c r="ONM996" s="2335"/>
      <c r="ONN996" s="2335"/>
      <c r="ONO996" s="2335"/>
      <c r="ONP996" s="2335"/>
      <c r="ONQ996" s="2335"/>
      <c r="ONR996" s="2335"/>
      <c r="ONS996" s="2335"/>
      <c r="ONT996" s="2335"/>
      <c r="ONU996" s="2335"/>
      <c r="ONV996" s="2335"/>
      <c r="ONW996" s="2335"/>
      <c r="ONX996" s="2335"/>
      <c r="ONY996" s="2335"/>
      <c r="ONZ996" s="2335"/>
      <c r="OOA996" s="2335"/>
      <c r="OOB996" s="2335"/>
      <c r="OOC996" s="2335"/>
      <c r="OOD996" s="2335"/>
      <c r="OOE996" s="2335"/>
      <c r="OOF996" s="2335"/>
      <c r="OOG996" s="2335"/>
      <c r="OOH996" s="2335"/>
      <c r="OOI996" s="2335"/>
      <c r="OOJ996" s="2335"/>
      <c r="OOK996" s="2335"/>
      <c r="OOL996" s="2335"/>
      <c r="OOM996" s="2335"/>
      <c r="OON996" s="2335"/>
      <c r="OOO996" s="2335"/>
      <c r="OOP996" s="2335"/>
      <c r="OOQ996" s="2335"/>
      <c r="OOR996" s="2335"/>
      <c r="OOS996" s="2335"/>
      <c r="OOT996" s="2335"/>
      <c r="OOU996" s="2335"/>
      <c r="OOV996" s="2335"/>
      <c r="OOW996" s="2335"/>
      <c r="OOX996" s="2335"/>
      <c r="OOY996" s="2335"/>
      <c r="OOZ996" s="2335"/>
      <c r="OPA996" s="2335"/>
      <c r="OPB996" s="2335"/>
      <c r="OPC996" s="2335"/>
      <c r="OPD996" s="2335"/>
      <c r="OPE996" s="2335"/>
      <c r="OPF996" s="2335"/>
      <c r="OPG996" s="2335"/>
      <c r="OPH996" s="2335"/>
      <c r="OPI996" s="2335"/>
      <c r="OPJ996" s="2335"/>
      <c r="OPK996" s="2335"/>
      <c r="OPL996" s="2335"/>
      <c r="OPM996" s="2335"/>
      <c r="OPN996" s="2335"/>
      <c r="OPO996" s="2335"/>
      <c r="OPP996" s="2335"/>
      <c r="OPQ996" s="2335"/>
      <c r="OPR996" s="2335"/>
      <c r="OPS996" s="2335"/>
      <c r="OPT996" s="2335"/>
      <c r="OPU996" s="2335"/>
      <c r="OPV996" s="2335"/>
      <c r="OPW996" s="2335"/>
      <c r="OPX996" s="2335"/>
      <c r="OPY996" s="2335"/>
      <c r="OPZ996" s="2335"/>
      <c r="OQA996" s="2335"/>
      <c r="OQB996" s="2335"/>
      <c r="OQC996" s="2335"/>
      <c r="OQD996" s="2335"/>
      <c r="OQE996" s="2335"/>
      <c r="OQF996" s="2335"/>
      <c r="OQG996" s="2335"/>
      <c r="OQH996" s="2335"/>
      <c r="OQI996" s="2335"/>
      <c r="OQJ996" s="2335"/>
      <c r="OQK996" s="2335"/>
      <c r="OQL996" s="2335"/>
      <c r="OQM996" s="2335"/>
      <c r="OQN996" s="2335"/>
      <c r="OQO996" s="2335"/>
      <c r="OQP996" s="2335"/>
      <c r="OQQ996" s="2335"/>
      <c r="OQR996" s="2335"/>
      <c r="OQS996" s="2335"/>
      <c r="OQT996" s="2335"/>
      <c r="OQU996" s="2335"/>
      <c r="OQV996" s="2335"/>
      <c r="OQW996" s="2335"/>
      <c r="OQX996" s="2335"/>
      <c r="OQY996" s="2335"/>
      <c r="OQZ996" s="2335"/>
      <c r="ORA996" s="2335"/>
      <c r="ORB996" s="2335"/>
      <c r="ORC996" s="2335"/>
      <c r="ORD996" s="2335"/>
      <c r="ORE996" s="2335"/>
      <c r="ORF996" s="2335"/>
      <c r="ORG996" s="2335"/>
      <c r="ORH996" s="2335"/>
      <c r="ORI996" s="2335"/>
      <c r="ORJ996" s="2335"/>
      <c r="ORK996" s="2335"/>
      <c r="ORL996" s="2335"/>
      <c r="ORM996" s="2335"/>
      <c r="ORN996" s="2335"/>
      <c r="ORO996" s="2335"/>
      <c r="ORP996" s="2335"/>
      <c r="ORQ996" s="2335"/>
      <c r="ORR996" s="2335"/>
      <c r="ORS996" s="2335"/>
      <c r="ORT996" s="2335"/>
      <c r="ORU996" s="2335"/>
      <c r="ORV996" s="2335"/>
      <c r="ORW996" s="2335"/>
      <c r="ORX996" s="2335"/>
      <c r="ORY996" s="2335"/>
      <c r="ORZ996" s="2335"/>
      <c r="OSA996" s="2335"/>
      <c r="OSB996" s="2335"/>
      <c r="OSC996" s="2335"/>
      <c r="OSD996" s="2335"/>
      <c r="OSE996" s="2335"/>
      <c r="OSF996" s="2335"/>
      <c r="OSG996" s="2335"/>
      <c r="OSH996" s="2335"/>
      <c r="OSI996" s="2335"/>
      <c r="OSJ996" s="2335"/>
      <c r="OSK996" s="2335"/>
      <c r="OSL996" s="2335"/>
      <c r="OSM996" s="2335"/>
      <c r="OSN996" s="2335"/>
      <c r="OSO996" s="2335"/>
      <c r="OSP996" s="2335"/>
      <c r="OSQ996" s="2335"/>
      <c r="OSR996" s="2335"/>
      <c r="OSS996" s="2335"/>
      <c r="OST996" s="2335"/>
      <c r="OSU996" s="2335"/>
      <c r="OSV996" s="2335"/>
      <c r="OSW996" s="2335"/>
      <c r="OSX996" s="2335"/>
      <c r="OSY996" s="2335"/>
      <c r="OSZ996" s="2335"/>
      <c r="OTA996" s="2335"/>
      <c r="OTB996" s="2335"/>
      <c r="OTC996" s="2335"/>
      <c r="OTD996" s="2335"/>
      <c r="OTE996" s="2335"/>
      <c r="OTF996" s="2335"/>
      <c r="OTG996" s="2335"/>
      <c r="OTH996" s="2335"/>
      <c r="OTI996" s="2335"/>
      <c r="OTJ996" s="2335"/>
      <c r="OTK996" s="2335"/>
      <c r="OTL996" s="2335"/>
      <c r="OTM996" s="2335"/>
      <c r="OTN996" s="2335"/>
      <c r="OTO996" s="2335"/>
      <c r="OTP996" s="2335"/>
      <c r="OTQ996" s="2335"/>
      <c r="OTR996" s="2335"/>
      <c r="OTS996" s="2335"/>
      <c r="OTT996" s="2335"/>
      <c r="OTU996" s="2335"/>
      <c r="OTV996" s="2335"/>
      <c r="OTW996" s="2335"/>
      <c r="OTX996" s="2335"/>
      <c r="OTY996" s="2335"/>
      <c r="OTZ996" s="2335"/>
      <c r="OUA996" s="2335"/>
      <c r="OUB996" s="2335"/>
      <c r="OUC996" s="2335"/>
      <c r="OUD996" s="2335"/>
      <c r="OUE996" s="2335"/>
      <c r="OUF996" s="2335"/>
      <c r="OUG996" s="2335"/>
      <c r="OUH996" s="2335"/>
      <c r="OUI996" s="2335"/>
      <c r="OUJ996" s="2335"/>
      <c r="OUK996" s="2335"/>
      <c r="OUL996" s="2335"/>
      <c r="OUM996" s="2335"/>
      <c r="OUN996" s="2335"/>
      <c r="OUO996" s="2335"/>
      <c r="OUP996" s="2335"/>
      <c r="OUQ996" s="2335"/>
      <c r="OUR996" s="2335"/>
      <c r="OUS996" s="2335"/>
      <c r="OUT996" s="2335"/>
      <c r="OUU996" s="2335"/>
      <c r="OUV996" s="2335"/>
      <c r="OUW996" s="2335"/>
      <c r="OUX996" s="2335"/>
      <c r="OUY996" s="2335"/>
      <c r="OUZ996" s="2335"/>
      <c r="OVA996" s="2335"/>
      <c r="OVB996" s="2335"/>
      <c r="OVC996" s="2335"/>
      <c r="OVD996" s="2335"/>
      <c r="OVE996" s="2335"/>
      <c r="OVF996" s="2335"/>
      <c r="OVG996" s="2335"/>
      <c r="OVH996" s="2335"/>
      <c r="OVI996" s="2335"/>
      <c r="OVJ996" s="2335"/>
      <c r="OVK996" s="2335"/>
      <c r="OVL996" s="2335"/>
      <c r="OVM996" s="2335"/>
      <c r="OVN996" s="2335"/>
      <c r="OVO996" s="2335"/>
      <c r="OVP996" s="2335"/>
      <c r="OVQ996" s="2335"/>
      <c r="OVR996" s="2335"/>
      <c r="OVS996" s="2335"/>
      <c r="OVT996" s="2335"/>
      <c r="OVU996" s="2335"/>
      <c r="OVV996" s="2335"/>
      <c r="OVW996" s="2335"/>
      <c r="OVX996" s="2335"/>
      <c r="OVY996" s="2335"/>
      <c r="OVZ996" s="2335"/>
      <c r="OWA996" s="2335"/>
      <c r="OWB996" s="2335"/>
      <c r="OWC996" s="2335"/>
      <c r="OWD996" s="2335"/>
      <c r="OWE996" s="2335"/>
      <c r="OWF996" s="2335"/>
      <c r="OWG996" s="2335"/>
      <c r="OWH996" s="2335"/>
      <c r="OWI996" s="2335"/>
      <c r="OWJ996" s="2335"/>
      <c r="OWK996" s="2335"/>
      <c r="OWL996" s="2335"/>
      <c r="OWM996" s="2335"/>
      <c r="OWN996" s="2335"/>
      <c r="OWO996" s="2335"/>
      <c r="OWP996" s="2335"/>
      <c r="OWQ996" s="2335"/>
      <c r="OWR996" s="2335"/>
      <c r="OWS996" s="2335"/>
      <c r="OWT996" s="2335"/>
      <c r="OWU996" s="2335"/>
      <c r="OWV996" s="2335"/>
      <c r="OWW996" s="2335"/>
      <c r="OWX996" s="2335"/>
      <c r="OWY996" s="2335"/>
      <c r="OWZ996" s="2335"/>
      <c r="OXA996" s="2335"/>
      <c r="OXB996" s="2335"/>
      <c r="OXC996" s="2335"/>
      <c r="OXD996" s="2335"/>
      <c r="OXE996" s="2335"/>
      <c r="OXF996" s="2335"/>
      <c r="OXG996" s="2335"/>
      <c r="OXH996" s="2335"/>
      <c r="OXI996" s="2335"/>
      <c r="OXJ996" s="2335"/>
      <c r="OXK996" s="2335"/>
      <c r="OXL996" s="2335"/>
      <c r="OXM996" s="2335"/>
      <c r="OXN996" s="2335"/>
      <c r="OXO996" s="2335"/>
      <c r="OXP996" s="2335"/>
      <c r="OXQ996" s="2335"/>
      <c r="OXR996" s="2335"/>
      <c r="OXS996" s="2335"/>
      <c r="OXT996" s="2335"/>
      <c r="OXU996" s="2335"/>
      <c r="OXV996" s="2335"/>
      <c r="OXW996" s="2335"/>
      <c r="OXX996" s="2335"/>
      <c r="OXY996" s="2335"/>
      <c r="OXZ996" s="2335"/>
      <c r="OYA996" s="2335"/>
      <c r="OYB996" s="2335"/>
      <c r="OYC996" s="2335"/>
      <c r="OYD996" s="2335"/>
      <c r="OYE996" s="2335"/>
      <c r="OYF996" s="2335"/>
      <c r="OYG996" s="2335"/>
      <c r="OYH996" s="2335"/>
      <c r="OYI996" s="2335"/>
      <c r="OYJ996" s="2335"/>
      <c r="OYK996" s="2335"/>
      <c r="OYL996" s="2335"/>
      <c r="OYM996" s="2335"/>
      <c r="OYN996" s="2335"/>
      <c r="OYO996" s="2335"/>
      <c r="OYP996" s="2335"/>
      <c r="OYQ996" s="2335"/>
      <c r="OYR996" s="2335"/>
      <c r="OYS996" s="2335"/>
      <c r="OYT996" s="2335"/>
      <c r="OYU996" s="2335"/>
      <c r="OYV996" s="2335"/>
      <c r="OYW996" s="2335"/>
      <c r="OYX996" s="2335"/>
      <c r="OYY996" s="2335"/>
      <c r="OYZ996" s="2335"/>
      <c r="OZA996" s="2335"/>
      <c r="OZB996" s="2335"/>
      <c r="OZC996" s="2335"/>
      <c r="OZD996" s="2335"/>
      <c r="OZE996" s="2335"/>
      <c r="OZF996" s="2335"/>
      <c r="OZG996" s="2335"/>
      <c r="OZH996" s="2335"/>
      <c r="OZI996" s="2335"/>
      <c r="OZJ996" s="2335"/>
      <c r="OZK996" s="2335"/>
      <c r="OZL996" s="2335"/>
      <c r="OZM996" s="2335"/>
      <c r="OZN996" s="2335"/>
      <c r="OZO996" s="2335"/>
      <c r="OZP996" s="2335"/>
      <c r="OZQ996" s="2335"/>
      <c r="OZR996" s="2335"/>
      <c r="OZS996" s="2335"/>
      <c r="OZT996" s="2335"/>
      <c r="OZU996" s="2335"/>
      <c r="OZV996" s="2335"/>
      <c r="OZW996" s="2335"/>
      <c r="OZX996" s="2335"/>
      <c r="OZY996" s="2335"/>
      <c r="OZZ996" s="2335"/>
      <c r="PAA996" s="2335"/>
      <c r="PAB996" s="2335"/>
      <c r="PAC996" s="2335"/>
      <c r="PAD996" s="2335"/>
      <c r="PAE996" s="2335"/>
      <c r="PAF996" s="2335"/>
      <c r="PAG996" s="2335"/>
      <c r="PAH996" s="2335"/>
      <c r="PAI996" s="2335"/>
      <c r="PAJ996" s="2335"/>
      <c r="PAK996" s="2335"/>
      <c r="PAL996" s="2335"/>
      <c r="PAM996" s="2335"/>
      <c r="PAN996" s="2335"/>
      <c r="PAO996" s="2335"/>
      <c r="PAP996" s="2335"/>
      <c r="PAQ996" s="2335"/>
      <c r="PAR996" s="2335"/>
      <c r="PAS996" s="2335"/>
      <c r="PAT996" s="2335"/>
      <c r="PAU996" s="2335"/>
      <c r="PAV996" s="2335"/>
      <c r="PAW996" s="2335"/>
      <c r="PAX996" s="2335"/>
      <c r="PAY996" s="2335"/>
      <c r="PAZ996" s="2335"/>
      <c r="PBA996" s="2335"/>
      <c r="PBB996" s="2335"/>
      <c r="PBC996" s="2335"/>
      <c r="PBD996" s="2335"/>
      <c r="PBE996" s="2335"/>
      <c r="PBF996" s="2335"/>
      <c r="PBG996" s="2335"/>
      <c r="PBH996" s="2335"/>
      <c r="PBI996" s="2335"/>
      <c r="PBJ996" s="2335"/>
      <c r="PBK996" s="2335"/>
      <c r="PBL996" s="2335"/>
      <c r="PBM996" s="2335"/>
      <c r="PBN996" s="2335"/>
      <c r="PBO996" s="2335"/>
      <c r="PBP996" s="2335"/>
      <c r="PBQ996" s="2335"/>
      <c r="PBR996" s="2335"/>
      <c r="PBS996" s="2335"/>
      <c r="PBT996" s="2335"/>
      <c r="PBU996" s="2335"/>
      <c r="PBV996" s="2335"/>
      <c r="PBW996" s="2335"/>
      <c r="PBX996" s="2335"/>
      <c r="PBY996" s="2335"/>
      <c r="PBZ996" s="2335"/>
      <c r="PCA996" s="2335"/>
      <c r="PCB996" s="2335"/>
      <c r="PCC996" s="2335"/>
      <c r="PCD996" s="2335"/>
      <c r="PCE996" s="2335"/>
      <c r="PCF996" s="2335"/>
      <c r="PCG996" s="2335"/>
      <c r="PCH996" s="2335"/>
      <c r="PCI996" s="2335"/>
      <c r="PCJ996" s="2335"/>
      <c r="PCK996" s="2335"/>
      <c r="PCL996" s="2335"/>
      <c r="PCM996" s="2335"/>
      <c r="PCN996" s="2335"/>
      <c r="PCO996" s="2335"/>
      <c r="PCP996" s="2335"/>
      <c r="PCQ996" s="2335"/>
      <c r="PCR996" s="2335"/>
      <c r="PCS996" s="2335"/>
      <c r="PCT996" s="2335"/>
      <c r="PCU996" s="2335"/>
      <c r="PCV996" s="2335"/>
      <c r="PCW996" s="2335"/>
      <c r="PCX996" s="2335"/>
      <c r="PCY996" s="2335"/>
      <c r="PCZ996" s="2335"/>
      <c r="PDA996" s="2335"/>
      <c r="PDB996" s="2335"/>
      <c r="PDC996" s="2335"/>
      <c r="PDD996" s="2335"/>
      <c r="PDE996" s="2335"/>
      <c r="PDF996" s="2335"/>
      <c r="PDG996" s="2335"/>
      <c r="PDH996" s="2335"/>
      <c r="PDI996" s="2335"/>
      <c r="PDJ996" s="2335"/>
      <c r="PDK996" s="2335"/>
      <c r="PDL996" s="2335"/>
      <c r="PDM996" s="2335"/>
      <c r="PDN996" s="2335"/>
      <c r="PDO996" s="2335"/>
      <c r="PDP996" s="2335"/>
      <c r="PDQ996" s="2335"/>
      <c r="PDR996" s="2335"/>
      <c r="PDS996" s="2335"/>
      <c r="PDT996" s="2335"/>
      <c r="PDU996" s="2335"/>
      <c r="PDV996" s="2335"/>
      <c r="PDW996" s="2335"/>
      <c r="PDX996" s="2335"/>
      <c r="PDY996" s="2335"/>
      <c r="PDZ996" s="2335"/>
      <c r="PEA996" s="2335"/>
      <c r="PEB996" s="2335"/>
      <c r="PEC996" s="2335"/>
      <c r="PED996" s="2335"/>
      <c r="PEE996" s="2335"/>
      <c r="PEF996" s="2335"/>
      <c r="PEG996" s="2335"/>
      <c r="PEH996" s="2335"/>
      <c r="PEI996" s="2335"/>
      <c r="PEJ996" s="2335"/>
      <c r="PEK996" s="2335"/>
      <c r="PEL996" s="2335"/>
      <c r="PEM996" s="2335"/>
      <c r="PEN996" s="2335"/>
      <c r="PEO996" s="2335"/>
      <c r="PEP996" s="2335"/>
      <c r="PEQ996" s="2335"/>
      <c r="PER996" s="2335"/>
      <c r="PES996" s="2335"/>
      <c r="PET996" s="2335"/>
      <c r="PEU996" s="2335"/>
      <c r="PEV996" s="2335"/>
      <c r="PEW996" s="2335"/>
      <c r="PEX996" s="2335"/>
      <c r="PEY996" s="2335"/>
      <c r="PEZ996" s="2335"/>
      <c r="PFA996" s="2335"/>
      <c r="PFB996" s="2335"/>
      <c r="PFC996" s="2335"/>
      <c r="PFD996" s="2335"/>
      <c r="PFE996" s="2335"/>
      <c r="PFF996" s="2335"/>
      <c r="PFG996" s="2335"/>
      <c r="PFH996" s="2335"/>
      <c r="PFI996" s="2335"/>
      <c r="PFJ996" s="2335"/>
      <c r="PFK996" s="2335"/>
      <c r="PFL996" s="2335"/>
      <c r="PFM996" s="2335"/>
      <c r="PFN996" s="2335"/>
      <c r="PFO996" s="2335"/>
      <c r="PFP996" s="2335"/>
      <c r="PFQ996" s="2335"/>
      <c r="PFR996" s="2335"/>
      <c r="PFS996" s="2335"/>
      <c r="PFT996" s="2335"/>
      <c r="PFU996" s="2335"/>
      <c r="PFV996" s="2335"/>
      <c r="PFW996" s="2335"/>
      <c r="PFX996" s="2335"/>
      <c r="PFY996" s="2335"/>
      <c r="PFZ996" s="2335"/>
      <c r="PGA996" s="2335"/>
      <c r="PGB996" s="2335"/>
      <c r="PGC996" s="2335"/>
      <c r="PGD996" s="2335"/>
      <c r="PGE996" s="2335"/>
      <c r="PGF996" s="2335"/>
      <c r="PGG996" s="2335"/>
      <c r="PGH996" s="2335"/>
      <c r="PGI996" s="2335"/>
      <c r="PGJ996" s="2335"/>
      <c r="PGK996" s="2335"/>
      <c r="PGL996" s="2335"/>
      <c r="PGM996" s="2335"/>
      <c r="PGN996" s="2335"/>
      <c r="PGO996" s="2335"/>
      <c r="PGP996" s="2335"/>
      <c r="PGQ996" s="2335"/>
      <c r="PGR996" s="2335"/>
      <c r="PGS996" s="2335"/>
      <c r="PGT996" s="2335"/>
      <c r="PGU996" s="2335"/>
      <c r="PGV996" s="2335"/>
      <c r="PGW996" s="2335"/>
      <c r="PGX996" s="2335"/>
      <c r="PGY996" s="2335"/>
      <c r="PGZ996" s="2335"/>
      <c r="PHA996" s="2335"/>
      <c r="PHB996" s="2335"/>
      <c r="PHC996" s="2335"/>
      <c r="PHD996" s="2335"/>
      <c r="PHE996" s="2335"/>
      <c r="PHF996" s="2335"/>
      <c r="PHG996" s="2335"/>
      <c r="PHH996" s="2335"/>
      <c r="PHI996" s="2335"/>
      <c r="PHJ996" s="2335"/>
      <c r="PHK996" s="2335"/>
      <c r="PHL996" s="2335"/>
      <c r="PHM996" s="2335"/>
      <c r="PHN996" s="2335"/>
      <c r="PHO996" s="2335"/>
      <c r="PHP996" s="2335"/>
      <c r="PHQ996" s="2335"/>
      <c r="PHR996" s="2335"/>
      <c r="PHS996" s="2335"/>
      <c r="PHT996" s="2335"/>
      <c r="PHU996" s="2335"/>
      <c r="PHV996" s="2335"/>
      <c r="PHW996" s="2335"/>
      <c r="PHX996" s="2335"/>
      <c r="PHY996" s="2335"/>
      <c r="PHZ996" s="2335"/>
      <c r="PIA996" s="2335"/>
      <c r="PIB996" s="2335"/>
      <c r="PIC996" s="2335"/>
      <c r="PID996" s="2335"/>
      <c r="PIE996" s="2335"/>
      <c r="PIF996" s="2335"/>
      <c r="PIG996" s="2335"/>
      <c r="PIH996" s="2335"/>
      <c r="PII996" s="2335"/>
      <c r="PIJ996" s="2335"/>
      <c r="PIK996" s="2335"/>
      <c r="PIL996" s="2335"/>
      <c r="PIM996" s="2335"/>
      <c r="PIN996" s="2335"/>
      <c r="PIO996" s="2335"/>
      <c r="PIP996" s="2335"/>
      <c r="PIQ996" s="2335"/>
      <c r="PIR996" s="2335"/>
      <c r="PIS996" s="2335"/>
      <c r="PIT996" s="2335"/>
      <c r="PIU996" s="2335"/>
      <c r="PIV996" s="2335"/>
      <c r="PIW996" s="2335"/>
      <c r="PIX996" s="2335"/>
      <c r="PIY996" s="2335"/>
      <c r="PIZ996" s="2335"/>
      <c r="PJA996" s="2335"/>
      <c r="PJB996" s="2335"/>
      <c r="PJC996" s="2335"/>
      <c r="PJD996" s="2335"/>
      <c r="PJE996" s="2335"/>
      <c r="PJF996" s="2335"/>
      <c r="PJG996" s="2335"/>
      <c r="PJH996" s="2335"/>
      <c r="PJI996" s="2335"/>
      <c r="PJJ996" s="2335"/>
      <c r="PJK996" s="2335"/>
      <c r="PJL996" s="2335"/>
      <c r="PJM996" s="2335"/>
      <c r="PJN996" s="2335"/>
      <c r="PJO996" s="2335"/>
      <c r="PJP996" s="2335"/>
      <c r="PJQ996" s="2335"/>
      <c r="PJR996" s="2335"/>
      <c r="PJS996" s="2335"/>
      <c r="PJT996" s="2335"/>
      <c r="PJU996" s="2335"/>
      <c r="PJV996" s="2335"/>
      <c r="PJW996" s="2335"/>
      <c r="PJX996" s="2335"/>
      <c r="PJY996" s="2335"/>
      <c r="PJZ996" s="2335"/>
      <c r="PKA996" s="2335"/>
      <c r="PKB996" s="2335"/>
      <c r="PKC996" s="2335"/>
      <c r="PKD996" s="2335"/>
      <c r="PKE996" s="2335"/>
      <c r="PKF996" s="2335"/>
      <c r="PKG996" s="2335"/>
      <c r="PKH996" s="2335"/>
      <c r="PKI996" s="2335"/>
      <c r="PKJ996" s="2335"/>
      <c r="PKK996" s="2335"/>
      <c r="PKL996" s="2335"/>
      <c r="PKM996" s="2335"/>
      <c r="PKN996" s="2335"/>
      <c r="PKO996" s="2335"/>
      <c r="PKP996" s="2335"/>
      <c r="PKQ996" s="2335"/>
      <c r="PKR996" s="2335"/>
      <c r="PKS996" s="2335"/>
      <c r="PKT996" s="2335"/>
      <c r="PKU996" s="2335"/>
      <c r="PKV996" s="2335"/>
      <c r="PKW996" s="2335"/>
      <c r="PKX996" s="2335"/>
      <c r="PKY996" s="2335"/>
      <c r="PKZ996" s="2335"/>
      <c r="PLA996" s="2335"/>
      <c r="PLB996" s="2335"/>
      <c r="PLC996" s="2335"/>
      <c r="PLD996" s="2335"/>
      <c r="PLE996" s="2335"/>
      <c r="PLF996" s="2335"/>
      <c r="PLG996" s="2335"/>
      <c r="PLH996" s="2335"/>
      <c r="PLI996" s="2335"/>
      <c r="PLJ996" s="2335"/>
      <c r="PLK996" s="2335"/>
      <c r="PLL996" s="2335"/>
      <c r="PLM996" s="2335"/>
      <c r="PLN996" s="2335"/>
      <c r="PLO996" s="2335"/>
      <c r="PLP996" s="2335"/>
      <c r="PLQ996" s="2335"/>
      <c r="PLR996" s="2335"/>
      <c r="PLS996" s="2335"/>
      <c r="PLT996" s="2335"/>
      <c r="PLU996" s="2335"/>
      <c r="PLV996" s="2335"/>
      <c r="PLW996" s="2335"/>
      <c r="PLX996" s="2335"/>
      <c r="PLY996" s="2335"/>
      <c r="PLZ996" s="2335"/>
      <c r="PMA996" s="2335"/>
      <c r="PMB996" s="2335"/>
      <c r="PMC996" s="2335"/>
      <c r="PMD996" s="2335"/>
      <c r="PME996" s="2335"/>
      <c r="PMF996" s="2335"/>
      <c r="PMG996" s="2335"/>
      <c r="PMH996" s="2335"/>
      <c r="PMI996" s="2335"/>
      <c r="PMJ996" s="2335"/>
      <c r="PMK996" s="2335"/>
      <c r="PML996" s="2335"/>
      <c r="PMM996" s="2335"/>
      <c r="PMN996" s="2335"/>
      <c r="PMO996" s="2335"/>
      <c r="PMP996" s="2335"/>
      <c r="PMQ996" s="2335"/>
      <c r="PMR996" s="2335"/>
      <c r="PMS996" s="2335"/>
      <c r="PMT996" s="2335"/>
      <c r="PMU996" s="2335"/>
      <c r="PMV996" s="2335"/>
      <c r="PMW996" s="2335"/>
      <c r="PMX996" s="2335"/>
      <c r="PMY996" s="2335"/>
      <c r="PMZ996" s="2335"/>
      <c r="PNA996" s="2335"/>
      <c r="PNB996" s="2335"/>
      <c r="PNC996" s="2335"/>
      <c r="PND996" s="2335"/>
      <c r="PNE996" s="2335"/>
      <c r="PNF996" s="2335"/>
      <c r="PNG996" s="2335"/>
      <c r="PNH996" s="2335"/>
      <c r="PNI996" s="2335"/>
      <c r="PNJ996" s="2335"/>
      <c r="PNK996" s="2335"/>
      <c r="PNL996" s="2335"/>
      <c r="PNM996" s="2335"/>
      <c r="PNN996" s="2335"/>
      <c r="PNO996" s="2335"/>
      <c r="PNP996" s="2335"/>
      <c r="PNQ996" s="2335"/>
      <c r="PNR996" s="2335"/>
      <c r="PNS996" s="2335"/>
      <c r="PNT996" s="2335"/>
      <c r="PNU996" s="2335"/>
      <c r="PNV996" s="2335"/>
      <c r="PNW996" s="2335"/>
      <c r="PNX996" s="2335"/>
      <c r="PNY996" s="2335"/>
      <c r="PNZ996" s="2335"/>
      <c r="POA996" s="2335"/>
      <c r="POB996" s="2335"/>
      <c r="POC996" s="2335"/>
      <c r="POD996" s="2335"/>
      <c r="POE996" s="2335"/>
      <c r="POF996" s="2335"/>
      <c r="POG996" s="2335"/>
      <c r="POH996" s="2335"/>
      <c r="POI996" s="2335"/>
      <c r="POJ996" s="2335"/>
      <c r="POK996" s="2335"/>
      <c r="POL996" s="2335"/>
      <c r="POM996" s="2335"/>
      <c r="PON996" s="2335"/>
      <c r="POO996" s="2335"/>
      <c r="POP996" s="2335"/>
      <c r="POQ996" s="2335"/>
      <c r="POR996" s="2335"/>
      <c r="POS996" s="2335"/>
      <c r="POT996" s="2335"/>
      <c r="POU996" s="2335"/>
      <c r="POV996" s="2335"/>
      <c r="POW996" s="2335"/>
      <c r="POX996" s="2335"/>
      <c r="POY996" s="2335"/>
      <c r="POZ996" s="2335"/>
      <c r="PPA996" s="2335"/>
      <c r="PPB996" s="2335"/>
      <c r="PPC996" s="2335"/>
      <c r="PPD996" s="2335"/>
      <c r="PPE996" s="2335"/>
      <c r="PPF996" s="2335"/>
      <c r="PPG996" s="2335"/>
      <c r="PPH996" s="2335"/>
      <c r="PPI996" s="2335"/>
      <c r="PPJ996" s="2335"/>
      <c r="PPK996" s="2335"/>
      <c r="PPL996" s="2335"/>
      <c r="PPM996" s="2335"/>
      <c r="PPN996" s="2335"/>
      <c r="PPO996" s="2335"/>
      <c r="PPP996" s="2335"/>
      <c r="PPQ996" s="2335"/>
      <c r="PPR996" s="2335"/>
      <c r="PPS996" s="2335"/>
      <c r="PPT996" s="2335"/>
      <c r="PPU996" s="2335"/>
      <c r="PPV996" s="2335"/>
      <c r="PPW996" s="2335"/>
      <c r="PPX996" s="2335"/>
      <c r="PPY996" s="2335"/>
      <c r="PPZ996" s="2335"/>
      <c r="PQA996" s="2335"/>
      <c r="PQB996" s="2335"/>
      <c r="PQC996" s="2335"/>
      <c r="PQD996" s="2335"/>
      <c r="PQE996" s="2335"/>
      <c r="PQF996" s="2335"/>
      <c r="PQG996" s="2335"/>
      <c r="PQH996" s="2335"/>
      <c r="PQI996" s="2335"/>
      <c r="PQJ996" s="2335"/>
      <c r="PQK996" s="2335"/>
      <c r="PQL996" s="2335"/>
      <c r="PQM996" s="2335"/>
      <c r="PQN996" s="2335"/>
      <c r="PQO996" s="2335"/>
      <c r="PQP996" s="2335"/>
      <c r="PQQ996" s="2335"/>
      <c r="PQR996" s="2335"/>
      <c r="PQS996" s="2335"/>
      <c r="PQT996" s="2335"/>
      <c r="PQU996" s="2335"/>
      <c r="PQV996" s="2335"/>
      <c r="PQW996" s="2335"/>
      <c r="PQX996" s="2335"/>
      <c r="PQY996" s="2335"/>
      <c r="PQZ996" s="2335"/>
      <c r="PRA996" s="2335"/>
      <c r="PRB996" s="2335"/>
      <c r="PRC996" s="2335"/>
      <c r="PRD996" s="2335"/>
      <c r="PRE996" s="2335"/>
      <c r="PRF996" s="2335"/>
      <c r="PRG996" s="2335"/>
      <c r="PRH996" s="2335"/>
      <c r="PRI996" s="2335"/>
      <c r="PRJ996" s="2335"/>
      <c r="PRK996" s="2335"/>
      <c r="PRL996" s="2335"/>
      <c r="PRM996" s="2335"/>
      <c r="PRN996" s="2335"/>
      <c r="PRO996" s="2335"/>
      <c r="PRP996" s="2335"/>
      <c r="PRQ996" s="2335"/>
      <c r="PRR996" s="2335"/>
      <c r="PRS996" s="2335"/>
      <c r="PRT996" s="2335"/>
      <c r="PRU996" s="2335"/>
      <c r="PRV996" s="2335"/>
      <c r="PRW996" s="2335"/>
      <c r="PRX996" s="2335"/>
      <c r="PRY996" s="2335"/>
      <c r="PRZ996" s="2335"/>
      <c r="PSA996" s="2335"/>
      <c r="PSB996" s="2335"/>
      <c r="PSC996" s="2335"/>
      <c r="PSD996" s="2335"/>
      <c r="PSE996" s="2335"/>
      <c r="PSF996" s="2335"/>
      <c r="PSG996" s="2335"/>
      <c r="PSH996" s="2335"/>
      <c r="PSI996" s="2335"/>
      <c r="PSJ996" s="2335"/>
      <c r="PSK996" s="2335"/>
      <c r="PSL996" s="2335"/>
      <c r="PSM996" s="2335"/>
      <c r="PSN996" s="2335"/>
      <c r="PSO996" s="2335"/>
      <c r="PSP996" s="2335"/>
      <c r="PSQ996" s="2335"/>
      <c r="PSR996" s="2335"/>
      <c r="PSS996" s="2335"/>
      <c r="PST996" s="2335"/>
      <c r="PSU996" s="2335"/>
      <c r="PSV996" s="2335"/>
      <c r="PSW996" s="2335"/>
      <c r="PSX996" s="2335"/>
      <c r="PSY996" s="2335"/>
      <c r="PSZ996" s="2335"/>
      <c r="PTA996" s="2335"/>
      <c r="PTB996" s="2335"/>
      <c r="PTC996" s="2335"/>
      <c r="PTD996" s="2335"/>
      <c r="PTE996" s="2335"/>
      <c r="PTF996" s="2335"/>
      <c r="PTG996" s="2335"/>
      <c r="PTH996" s="2335"/>
      <c r="PTI996" s="2335"/>
      <c r="PTJ996" s="2335"/>
      <c r="PTK996" s="2335"/>
      <c r="PTL996" s="2335"/>
      <c r="PTM996" s="2335"/>
      <c r="PTN996" s="2335"/>
      <c r="PTO996" s="2335"/>
      <c r="PTP996" s="2335"/>
      <c r="PTQ996" s="2335"/>
      <c r="PTR996" s="2335"/>
      <c r="PTS996" s="2335"/>
      <c r="PTT996" s="2335"/>
      <c r="PTU996" s="2335"/>
      <c r="PTV996" s="2335"/>
      <c r="PTW996" s="2335"/>
      <c r="PTX996" s="2335"/>
      <c r="PTY996" s="2335"/>
      <c r="PTZ996" s="2335"/>
      <c r="PUA996" s="2335"/>
      <c r="PUB996" s="2335"/>
      <c r="PUC996" s="2335"/>
      <c r="PUD996" s="2335"/>
      <c r="PUE996" s="2335"/>
      <c r="PUF996" s="2335"/>
      <c r="PUG996" s="2335"/>
      <c r="PUH996" s="2335"/>
      <c r="PUI996" s="2335"/>
      <c r="PUJ996" s="2335"/>
      <c r="PUK996" s="2335"/>
      <c r="PUL996" s="2335"/>
      <c r="PUM996" s="2335"/>
      <c r="PUN996" s="2335"/>
      <c r="PUO996" s="2335"/>
      <c r="PUP996" s="2335"/>
      <c r="PUQ996" s="2335"/>
      <c r="PUR996" s="2335"/>
      <c r="PUS996" s="2335"/>
      <c r="PUT996" s="2335"/>
      <c r="PUU996" s="2335"/>
      <c r="PUV996" s="2335"/>
      <c r="PUW996" s="2335"/>
      <c r="PUX996" s="2335"/>
      <c r="PUY996" s="2335"/>
      <c r="PUZ996" s="2335"/>
      <c r="PVA996" s="2335"/>
      <c r="PVB996" s="2335"/>
      <c r="PVC996" s="2335"/>
      <c r="PVD996" s="2335"/>
      <c r="PVE996" s="2335"/>
      <c r="PVF996" s="2335"/>
      <c r="PVG996" s="2335"/>
      <c r="PVH996" s="2335"/>
      <c r="PVI996" s="2335"/>
      <c r="PVJ996" s="2335"/>
      <c r="PVK996" s="2335"/>
      <c r="PVL996" s="2335"/>
      <c r="PVM996" s="2335"/>
      <c r="PVN996" s="2335"/>
      <c r="PVO996" s="2335"/>
      <c r="PVP996" s="2335"/>
      <c r="PVQ996" s="2335"/>
      <c r="PVR996" s="2335"/>
      <c r="PVS996" s="2335"/>
      <c r="PVT996" s="2335"/>
      <c r="PVU996" s="2335"/>
      <c r="PVV996" s="2335"/>
      <c r="PVW996" s="2335"/>
      <c r="PVX996" s="2335"/>
      <c r="PVY996" s="2335"/>
      <c r="PVZ996" s="2335"/>
      <c r="PWA996" s="2335"/>
      <c r="PWB996" s="2335"/>
      <c r="PWC996" s="2335"/>
      <c r="PWD996" s="2335"/>
      <c r="PWE996" s="2335"/>
      <c r="PWF996" s="2335"/>
      <c r="PWG996" s="2335"/>
      <c r="PWH996" s="2335"/>
      <c r="PWI996" s="2335"/>
      <c r="PWJ996" s="2335"/>
      <c r="PWK996" s="2335"/>
      <c r="PWL996" s="2335"/>
      <c r="PWM996" s="2335"/>
      <c r="PWN996" s="2335"/>
      <c r="PWO996" s="2335"/>
      <c r="PWP996" s="2335"/>
      <c r="PWQ996" s="2335"/>
      <c r="PWR996" s="2335"/>
      <c r="PWS996" s="2335"/>
      <c r="PWT996" s="2335"/>
      <c r="PWU996" s="2335"/>
      <c r="PWV996" s="2335"/>
      <c r="PWW996" s="2335"/>
      <c r="PWX996" s="2335"/>
      <c r="PWY996" s="2335"/>
      <c r="PWZ996" s="2335"/>
      <c r="PXA996" s="2335"/>
      <c r="PXB996" s="2335"/>
      <c r="PXC996" s="2335"/>
      <c r="PXD996" s="2335"/>
      <c r="PXE996" s="2335"/>
      <c r="PXF996" s="2335"/>
      <c r="PXG996" s="2335"/>
      <c r="PXH996" s="2335"/>
      <c r="PXI996" s="2335"/>
      <c r="PXJ996" s="2335"/>
      <c r="PXK996" s="2335"/>
      <c r="PXL996" s="2335"/>
      <c r="PXM996" s="2335"/>
      <c r="PXN996" s="2335"/>
      <c r="PXO996" s="2335"/>
      <c r="PXP996" s="2335"/>
      <c r="PXQ996" s="2335"/>
      <c r="PXR996" s="2335"/>
      <c r="PXS996" s="2335"/>
      <c r="PXT996" s="2335"/>
      <c r="PXU996" s="2335"/>
      <c r="PXV996" s="2335"/>
      <c r="PXW996" s="2335"/>
      <c r="PXX996" s="2335"/>
      <c r="PXY996" s="2335"/>
      <c r="PXZ996" s="2335"/>
      <c r="PYA996" s="2335"/>
      <c r="PYB996" s="2335"/>
      <c r="PYC996" s="2335"/>
      <c r="PYD996" s="2335"/>
      <c r="PYE996" s="2335"/>
      <c r="PYF996" s="2335"/>
      <c r="PYG996" s="2335"/>
      <c r="PYH996" s="2335"/>
      <c r="PYI996" s="2335"/>
      <c r="PYJ996" s="2335"/>
      <c r="PYK996" s="2335"/>
      <c r="PYL996" s="2335"/>
      <c r="PYM996" s="2335"/>
      <c r="PYN996" s="2335"/>
      <c r="PYO996" s="2335"/>
      <c r="PYP996" s="2335"/>
      <c r="PYQ996" s="2335"/>
      <c r="PYR996" s="2335"/>
      <c r="PYS996" s="2335"/>
      <c r="PYT996" s="2335"/>
      <c r="PYU996" s="2335"/>
      <c r="PYV996" s="2335"/>
      <c r="PYW996" s="2335"/>
      <c r="PYX996" s="2335"/>
      <c r="PYY996" s="2335"/>
      <c r="PYZ996" s="2335"/>
      <c r="PZA996" s="2335"/>
      <c r="PZB996" s="2335"/>
      <c r="PZC996" s="2335"/>
      <c r="PZD996" s="2335"/>
      <c r="PZE996" s="2335"/>
      <c r="PZF996" s="2335"/>
      <c r="PZG996" s="2335"/>
      <c r="PZH996" s="2335"/>
      <c r="PZI996" s="2335"/>
      <c r="PZJ996" s="2335"/>
      <c r="PZK996" s="2335"/>
      <c r="PZL996" s="2335"/>
      <c r="PZM996" s="2335"/>
      <c r="PZN996" s="2335"/>
      <c r="PZO996" s="2335"/>
      <c r="PZP996" s="2335"/>
      <c r="PZQ996" s="2335"/>
      <c r="PZR996" s="2335"/>
      <c r="PZS996" s="2335"/>
      <c r="PZT996" s="2335"/>
      <c r="PZU996" s="2335"/>
      <c r="PZV996" s="2335"/>
      <c r="PZW996" s="2335"/>
      <c r="PZX996" s="2335"/>
      <c r="PZY996" s="2335"/>
      <c r="PZZ996" s="2335"/>
      <c r="QAA996" s="2335"/>
      <c r="QAB996" s="2335"/>
      <c r="QAC996" s="2335"/>
      <c r="QAD996" s="2335"/>
      <c r="QAE996" s="2335"/>
      <c r="QAF996" s="2335"/>
      <c r="QAG996" s="2335"/>
      <c r="QAH996" s="2335"/>
      <c r="QAI996" s="2335"/>
      <c r="QAJ996" s="2335"/>
      <c r="QAK996" s="2335"/>
      <c r="QAL996" s="2335"/>
      <c r="QAM996" s="2335"/>
      <c r="QAN996" s="2335"/>
      <c r="QAO996" s="2335"/>
      <c r="QAP996" s="2335"/>
      <c r="QAQ996" s="2335"/>
      <c r="QAR996" s="2335"/>
      <c r="QAS996" s="2335"/>
      <c r="QAT996" s="2335"/>
      <c r="QAU996" s="2335"/>
      <c r="QAV996" s="2335"/>
      <c r="QAW996" s="2335"/>
      <c r="QAX996" s="2335"/>
      <c r="QAY996" s="2335"/>
      <c r="QAZ996" s="2335"/>
      <c r="QBA996" s="2335"/>
      <c r="QBB996" s="2335"/>
      <c r="QBC996" s="2335"/>
      <c r="QBD996" s="2335"/>
      <c r="QBE996" s="2335"/>
      <c r="QBF996" s="2335"/>
      <c r="QBG996" s="2335"/>
      <c r="QBH996" s="2335"/>
      <c r="QBI996" s="2335"/>
      <c r="QBJ996" s="2335"/>
      <c r="QBK996" s="2335"/>
      <c r="QBL996" s="2335"/>
      <c r="QBM996" s="2335"/>
      <c r="QBN996" s="2335"/>
      <c r="QBO996" s="2335"/>
      <c r="QBP996" s="2335"/>
      <c r="QBQ996" s="2335"/>
      <c r="QBR996" s="2335"/>
      <c r="QBS996" s="2335"/>
      <c r="QBT996" s="2335"/>
      <c r="QBU996" s="2335"/>
      <c r="QBV996" s="2335"/>
      <c r="QBW996" s="2335"/>
      <c r="QBX996" s="2335"/>
      <c r="QBY996" s="2335"/>
      <c r="QBZ996" s="2335"/>
      <c r="QCA996" s="2335"/>
      <c r="QCB996" s="2335"/>
      <c r="QCC996" s="2335"/>
      <c r="QCD996" s="2335"/>
      <c r="QCE996" s="2335"/>
      <c r="QCF996" s="2335"/>
      <c r="QCG996" s="2335"/>
      <c r="QCH996" s="2335"/>
      <c r="QCI996" s="2335"/>
      <c r="QCJ996" s="2335"/>
      <c r="QCK996" s="2335"/>
      <c r="QCL996" s="2335"/>
      <c r="QCM996" s="2335"/>
      <c r="QCN996" s="2335"/>
      <c r="QCO996" s="2335"/>
      <c r="QCP996" s="2335"/>
      <c r="QCQ996" s="2335"/>
      <c r="QCR996" s="2335"/>
      <c r="QCS996" s="2335"/>
      <c r="QCT996" s="2335"/>
      <c r="QCU996" s="2335"/>
      <c r="QCV996" s="2335"/>
      <c r="QCW996" s="2335"/>
      <c r="QCX996" s="2335"/>
      <c r="QCY996" s="2335"/>
      <c r="QCZ996" s="2335"/>
      <c r="QDA996" s="2335"/>
      <c r="QDB996" s="2335"/>
      <c r="QDC996" s="2335"/>
      <c r="QDD996" s="2335"/>
      <c r="QDE996" s="2335"/>
      <c r="QDF996" s="2335"/>
      <c r="QDG996" s="2335"/>
      <c r="QDH996" s="2335"/>
      <c r="QDI996" s="2335"/>
      <c r="QDJ996" s="2335"/>
      <c r="QDK996" s="2335"/>
      <c r="QDL996" s="2335"/>
      <c r="QDM996" s="2335"/>
      <c r="QDN996" s="2335"/>
      <c r="QDO996" s="2335"/>
      <c r="QDP996" s="2335"/>
      <c r="QDQ996" s="2335"/>
      <c r="QDR996" s="2335"/>
      <c r="QDS996" s="2335"/>
      <c r="QDT996" s="2335"/>
      <c r="QDU996" s="2335"/>
      <c r="QDV996" s="2335"/>
      <c r="QDW996" s="2335"/>
      <c r="QDX996" s="2335"/>
      <c r="QDY996" s="2335"/>
      <c r="QDZ996" s="2335"/>
      <c r="QEA996" s="2335"/>
      <c r="QEB996" s="2335"/>
      <c r="QEC996" s="2335"/>
      <c r="QED996" s="2335"/>
      <c r="QEE996" s="2335"/>
      <c r="QEF996" s="2335"/>
      <c r="QEG996" s="2335"/>
      <c r="QEH996" s="2335"/>
      <c r="QEI996" s="2335"/>
      <c r="QEJ996" s="2335"/>
      <c r="QEK996" s="2335"/>
      <c r="QEL996" s="2335"/>
      <c r="QEM996" s="2335"/>
      <c r="QEN996" s="2335"/>
      <c r="QEO996" s="2335"/>
      <c r="QEP996" s="2335"/>
      <c r="QEQ996" s="2335"/>
      <c r="QER996" s="2335"/>
      <c r="QES996" s="2335"/>
      <c r="QET996" s="2335"/>
      <c r="QEU996" s="2335"/>
      <c r="QEV996" s="2335"/>
      <c r="QEW996" s="2335"/>
      <c r="QEX996" s="2335"/>
      <c r="QEY996" s="2335"/>
      <c r="QEZ996" s="2335"/>
      <c r="QFA996" s="2335"/>
      <c r="QFB996" s="2335"/>
      <c r="QFC996" s="2335"/>
      <c r="QFD996" s="2335"/>
      <c r="QFE996" s="2335"/>
      <c r="QFF996" s="2335"/>
      <c r="QFG996" s="2335"/>
      <c r="QFH996" s="2335"/>
      <c r="QFI996" s="2335"/>
      <c r="QFJ996" s="2335"/>
      <c r="QFK996" s="2335"/>
      <c r="QFL996" s="2335"/>
      <c r="QFM996" s="2335"/>
      <c r="QFN996" s="2335"/>
      <c r="QFO996" s="2335"/>
      <c r="QFP996" s="2335"/>
      <c r="QFQ996" s="2335"/>
      <c r="QFR996" s="2335"/>
      <c r="QFS996" s="2335"/>
      <c r="QFT996" s="2335"/>
      <c r="QFU996" s="2335"/>
      <c r="QFV996" s="2335"/>
      <c r="QFW996" s="2335"/>
      <c r="QFX996" s="2335"/>
      <c r="QFY996" s="2335"/>
      <c r="QFZ996" s="2335"/>
      <c r="QGA996" s="2335"/>
      <c r="QGB996" s="2335"/>
      <c r="QGC996" s="2335"/>
      <c r="QGD996" s="2335"/>
      <c r="QGE996" s="2335"/>
      <c r="QGF996" s="2335"/>
      <c r="QGG996" s="2335"/>
      <c r="QGH996" s="2335"/>
      <c r="QGI996" s="2335"/>
      <c r="QGJ996" s="2335"/>
      <c r="QGK996" s="2335"/>
      <c r="QGL996" s="2335"/>
      <c r="QGM996" s="2335"/>
      <c r="QGN996" s="2335"/>
      <c r="QGO996" s="2335"/>
      <c r="QGP996" s="2335"/>
      <c r="QGQ996" s="2335"/>
      <c r="QGR996" s="2335"/>
      <c r="QGS996" s="2335"/>
      <c r="QGT996" s="2335"/>
      <c r="QGU996" s="2335"/>
      <c r="QGV996" s="2335"/>
      <c r="QGW996" s="2335"/>
      <c r="QGX996" s="2335"/>
      <c r="QGY996" s="2335"/>
      <c r="QGZ996" s="2335"/>
      <c r="QHA996" s="2335"/>
      <c r="QHB996" s="2335"/>
      <c r="QHC996" s="2335"/>
      <c r="QHD996" s="2335"/>
      <c r="QHE996" s="2335"/>
      <c r="QHF996" s="2335"/>
      <c r="QHG996" s="2335"/>
      <c r="QHH996" s="2335"/>
      <c r="QHI996" s="2335"/>
      <c r="QHJ996" s="2335"/>
      <c r="QHK996" s="2335"/>
      <c r="QHL996" s="2335"/>
      <c r="QHM996" s="2335"/>
      <c r="QHN996" s="2335"/>
      <c r="QHO996" s="2335"/>
      <c r="QHP996" s="2335"/>
      <c r="QHQ996" s="2335"/>
      <c r="QHR996" s="2335"/>
      <c r="QHS996" s="2335"/>
      <c r="QHT996" s="2335"/>
      <c r="QHU996" s="2335"/>
      <c r="QHV996" s="2335"/>
      <c r="QHW996" s="2335"/>
      <c r="QHX996" s="2335"/>
      <c r="QHY996" s="2335"/>
      <c r="QHZ996" s="2335"/>
      <c r="QIA996" s="2335"/>
      <c r="QIB996" s="2335"/>
      <c r="QIC996" s="2335"/>
      <c r="QID996" s="2335"/>
      <c r="QIE996" s="2335"/>
      <c r="QIF996" s="2335"/>
      <c r="QIG996" s="2335"/>
      <c r="QIH996" s="2335"/>
      <c r="QII996" s="2335"/>
      <c r="QIJ996" s="2335"/>
      <c r="QIK996" s="2335"/>
      <c r="QIL996" s="2335"/>
      <c r="QIM996" s="2335"/>
      <c r="QIN996" s="2335"/>
      <c r="QIO996" s="2335"/>
      <c r="QIP996" s="2335"/>
      <c r="QIQ996" s="2335"/>
      <c r="QIR996" s="2335"/>
      <c r="QIS996" s="2335"/>
      <c r="QIT996" s="2335"/>
      <c r="QIU996" s="2335"/>
      <c r="QIV996" s="2335"/>
      <c r="QIW996" s="2335"/>
      <c r="QIX996" s="2335"/>
      <c r="QIY996" s="2335"/>
      <c r="QIZ996" s="2335"/>
      <c r="QJA996" s="2335"/>
      <c r="QJB996" s="2335"/>
      <c r="QJC996" s="2335"/>
      <c r="QJD996" s="2335"/>
      <c r="QJE996" s="2335"/>
      <c r="QJF996" s="2335"/>
      <c r="QJG996" s="2335"/>
      <c r="QJH996" s="2335"/>
      <c r="QJI996" s="2335"/>
      <c r="QJJ996" s="2335"/>
      <c r="QJK996" s="2335"/>
      <c r="QJL996" s="2335"/>
      <c r="QJM996" s="2335"/>
      <c r="QJN996" s="2335"/>
      <c r="QJO996" s="2335"/>
      <c r="QJP996" s="2335"/>
      <c r="QJQ996" s="2335"/>
      <c r="QJR996" s="2335"/>
      <c r="QJS996" s="2335"/>
      <c r="QJT996" s="2335"/>
      <c r="QJU996" s="2335"/>
      <c r="QJV996" s="2335"/>
      <c r="QJW996" s="2335"/>
      <c r="QJX996" s="2335"/>
      <c r="QJY996" s="2335"/>
      <c r="QJZ996" s="2335"/>
      <c r="QKA996" s="2335"/>
      <c r="QKB996" s="2335"/>
      <c r="QKC996" s="2335"/>
      <c r="QKD996" s="2335"/>
      <c r="QKE996" s="2335"/>
      <c r="QKF996" s="2335"/>
      <c r="QKG996" s="2335"/>
      <c r="QKH996" s="2335"/>
      <c r="QKI996" s="2335"/>
      <c r="QKJ996" s="2335"/>
      <c r="QKK996" s="2335"/>
      <c r="QKL996" s="2335"/>
      <c r="QKM996" s="2335"/>
      <c r="QKN996" s="2335"/>
      <c r="QKO996" s="2335"/>
      <c r="QKP996" s="2335"/>
      <c r="QKQ996" s="2335"/>
      <c r="QKR996" s="2335"/>
      <c r="QKS996" s="2335"/>
      <c r="QKT996" s="2335"/>
      <c r="QKU996" s="2335"/>
      <c r="QKV996" s="2335"/>
      <c r="QKW996" s="2335"/>
      <c r="QKX996" s="2335"/>
      <c r="QKY996" s="2335"/>
      <c r="QKZ996" s="2335"/>
      <c r="QLA996" s="2335"/>
      <c r="QLB996" s="2335"/>
      <c r="QLC996" s="2335"/>
      <c r="QLD996" s="2335"/>
      <c r="QLE996" s="2335"/>
      <c r="QLF996" s="2335"/>
      <c r="QLG996" s="2335"/>
      <c r="QLH996" s="2335"/>
      <c r="QLI996" s="2335"/>
      <c r="QLJ996" s="2335"/>
      <c r="QLK996" s="2335"/>
      <c r="QLL996" s="2335"/>
      <c r="QLM996" s="2335"/>
      <c r="QLN996" s="2335"/>
      <c r="QLO996" s="2335"/>
      <c r="QLP996" s="2335"/>
      <c r="QLQ996" s="2335"/>
      <c r="QLR996" s="2335"/>
      <c r="QLS996" s="2335"/>
      <c r="QLT996" s="2335"/>
      <c r="QLU996" s="2335"/>
      <c r="QLV996" s="2335"/>
      <c r="QLW996" s="2335"/>
      <c r="QLX996" s="2335"/>
      <c r="QLY996" s="2335"/>
      <c r="QLZ996" s="2335"/>
      <c r="QMA996" s="2335"/>
      <c r="QMB996" s="2335"/>
      <c r="QMC996" s="2335"/>
      <c r="QMD996" s="2335"/>
      <c r="QME996" s="2335"/>
      <c r="QMF996" s="2335"/>
      <c r="QMG996" s="2335"/>
      <c r="QMH996" s="2335"/>
      <c r="QMI996" s="2335"/>
      <c r="QMJ996" s="2335"/>
      <c r="QMK996" s="2335"/>
      <c r="QML996" s="2335"/>
      <c r="QMM996" s="2335"/>
      <c r="QMN996" s="2335"/>
      <c r="QMO996" s="2335"/>
      <c r="QMP996" s="2335"/>
      <c r="QMQ996" s="2335"/>
      <c r="QMR996" s="2335"/>
      <c r="QMS996" s="2335"/>
      <c r="QMT996" s="2335"/>
      <c r="QMU996" s="2335"/>
      <c r="QMV996" s="2335"/>
      <c r="QMW996" s="2335"/>
      <c r="QMX996" s="2335"/>
      <c r="QMY996" s="2335"/>
      <c r="QMZ996" s="2335"/>
      <c r="QNA996" s="2335"/>
      <c r="QNB996" s="2335"/>
      <c r="QNC996" s="2335"/>
      <c r="QND996" s="2335"/>
      <c r="QNE996" s="2335"/>
      <c r="QNF996" s="2335"/>
      <c r="QNG996" s="2335"/>
      <c r="QNH996" s="2335"/>
      <c r="QNI996" s="2335"/>
      <c r="QNJ996" s="2335"/>
      <c r="QNK996" s="2335"/>
      <c r="QNL996" s="2335"/>
      <c r="QNM996" s="2335"/>
      <c r="QNN996" s="2335"/>
      <c r="QNO996" s="2335"/>
      <c r="QNP996" s="2335"/>
      <c r="QNQ996" s="2335"/>
      <c r="QNR996" s="2335"/>
      <c r="QNS996" s="2335"/>
      <c r="QNT996" s="2335"/>
      <c r="QNU996" s="2335"/>
      <c r="QNV996" s="2335"/>
      <c r="QNW996" s="2335"/>
      <c r="QNX996" s="2335"/>
      <c r="QNY996" s="2335"/>
      <c r="QNZ996" s="2335"/>
      <c r="QOA996" s="2335"/>
      <c r="QOB996" s="2335"/>
      <c r="QOC996" s="2335"/>
      <c r="QOD996" s="2335"/>
      <c r="QOE996" s="2335"/>
      <c r="QOF996" s="2335"/>
      <c r="QOG996" s="2335"/>
      <c r="QOH996" s="2335"/>
      <c r="QOI996" s="2335"/>
      <c r="QOJ996" s="2335"/>
      <c r="QOK996" s="2335"/>
      <c r="QOL996" s="2335"/>
      <c r="QOM996" s="2335"/>
      <c r="QON996" s="2335"/>
      <c r="QOO996" s="2335"/>
      <c r="QOP996" s="2335"/>
      <c r="QOQ996" s="2335"/>
      <c r="QOR996" s="2335"/>
      <c r="QOS996" s="2335"/>
      <c r="QOT996" s="2335"/>
      <c r="QOU996" s="2335"/>
      <c r="QOV996" s="2335"/>
      <c r="QOW996" s="2335"/>
      <c r="QOX996" s="2335"/>
      <c r="QOY996" s="2335"/>
      <c r="QOZ996" s="2335"/>
      <c r="QPA996" s="2335"/>
      <c r="QPB996" s="2335"/>
      <c r="QPC996" s="2335"/>
      <c r="QPD996" s="2335"/>
      <c r="QPE996" s="2335"/>
      <c r="QPF996" s="2335"/>
      <c r="QPG996" s="2335"/>
      <c r="QPH996" s="2335"/>
      <c r="QPI996" s="2335"/>
      <c r="QPJ996" s="2335"/>
      <c r="QPK996" s="2335"/>
      <c r="QPL996" s="2335"/>
      <c r="QPM996" s="2335"/>
      <c r="QPN996" s="2335"/>
      <c r="QPO996" s="2335"/>
      <c r="QPP996" s="2335"/>
      <c r="QPQ996" s="2335"/>
      <c r="QPR996" s="2335"/>
      <c r="QPS996" s="2335"/>
      <c r="QPT996" s="2335"/>
      <c r="QPU996" s="2335"/>
      <c r="QPV996" s="2335"/>
      <c r="QPW996" s="2335"/>
      <c r="QPX996" s="2335"/>
      <c r="QPY996" s="2335"/>
      <c r="QPZ996" s="2335"/>
      <c r="QQA996" s="2335"/>
      <c r="QQB996" s="2335"/>
      <c r="QQC996" s="2335"/>
      <c r="QQD996" s="2335"/>
      <c r="QQE996" s="2335"/>
      <c r="QQF996" s="2335"/>
      <c r="QQG996" s="2335"/>
      <c r="QQH996" s="2335"/>
      <c r="QQI996" s="2335"/>
      <c r="QQJ996" s="2335"/>
      <c r="QQK996" s="2335"/>
      <c r="QQL996" s="2335"/>
      <c r="QQM996" s="2335"/>
      <c r="QQN996" s="2335"/>
      <c r="QQO996" s="2335"/>
      <c r="QQP996" s="2335"/>
      <c r="QQQ996" s="2335"/>
      <c r="QQR996" s="2335"/>
      <c r="QQS996" s="2335"/>
      <c r="QQT996" s="2335"/>
      <c r="QQU996" s="2335"/>
      <c r="QQV996" s="2335"/>
      <c r="QQW996" s="2335"/>
      <c r="QQX996" s="2335"/>
      <c r="QQY996" s="2335"/>
      <c r="QQZ996" s="2335"/>
      <c r="QRA996" s="2335"/>
      <c r="QRB996" s="2335"/>
      <c r="QRC996" s="2335"/>
      <c r="QRD996" s="2335"/>
      <c r="QRE996" s="2335"/>
      <c r="QRF996" s="2335"/>
      <c r="QRG996" s="2335"/>
      <c r="QRH996" s="2335"/>
      <c r="QRI996" s="2335"/>
      <c r="QRJ996" s="2335"/>
      <c r="QRK996" s="2335"/>
      <c r="QRL996" s="2335"/>
      <c r="QRM996" s="2335"/>
      <c r="QRN996" s="2335"/>
      <c r="QRO996" s="2335"/>
      <c r="QRP996" s="2335"/>
      <c r="QRQ996" s="2335"/>
      <c r="QRR996" s="2335"/>
      <c r="QRS996" s="2335"/>
      <c r="QRT996" s="2335"/>
      <c r="QRU996" s="2335"/>
      <c r="QRV996" s="2335"/>
      <c r="QRW996" s="2335"/>
      <c r="QRX996" s="2335"/>
      <c r="QRY996" s="2335"/>
      <c r="QRZ996" s="2335"/>
      <c r="QSA996" s="2335"/>
      <c r="QSB996" s="2335"/>
      <c r="QSC996" s="2335"/>
      <c r="QSD996" s="2335"/>
      <c r="QSE996" s="2335"/>
      <c r="QSF996" s="2335"/>
      <c r="QSG996" s="2335"/>
      <c r="QSH996" s="2335"/>
      <c r="QSI996" s="2335"/>
      <c r="QSJ996" s="2335"/>
      <c r="QSK996" s="2335"/>
      <c r="QSL996" s="2335"/>
      <c r="QSM996" s="2335"/>
      <c r="QSN996" s="2335"/>
      <c r="QSO996" s="2335"/>
      <c r="QSP996" s="2335"/>
      <c r="QSQ996" s="2335"/>
      <c r="QSR996" s="2335"/>
      <c r="QSS996" s="2335"/>
      <c r="QST996" s="2335"/>
      <c r="QSU996" s="2335"/>
      <c r="QSV996" s="2335"/>
      <c r="QSW996" s="2335"/>
      <c r="QSX996" s="2335"/>
      <c r="QSY996" s="2335"/>
      <c r="QSZ996" s="2335"/>
      <c r="QTA996" s="2335"/>
      <c r="QTB996" s="2335"/>
      <c r="QTC996" s="2335"/>
      <c r="QTD996" s="2335"/>
      <c r="QTE996" s="2335"/>
      <c r="QTF996" s="2335"/>
      <c r="QTG996" s="2335"/>
      <c r="QTH996" s="2335"/>
      <c r="QTI996" s="2335"/>
      <c r="QTJ996" s="2335"/>
      <c r="QTK996" s="2335"/>
      <c r="QTL996" s="2335"/>
      <c r="QTM996" s="2335"/>
      <c r="QTN996" s="2335"/>
      <c r="QTO996" s="2335"/>
      <c r="QTP996" s="2335"/>
      <c r="QTQ996" s="2335"/>
      <c r="QTR996" s="2335"/>
      <c r="QTS996" s="2335"/>
      <c r="QTT996" s="2335"/>
      <c r="QTU996" s="2335"/>
      <c r="QTV996" s="2335"/>
      <c r="QTW996" s="2335"/>
      <c r="QTX996" s="2335"/>
      <c r="QTY996" s="2335"/>
      <c r="QTZ996" s="2335"/>
      <c r="QUA996" s="2335"/>
      <c r="QUB996" s="2335"/>
      <c r="QUC996" s="2335"/>
      <c r="QUD996" s="2335"/>
      <c r="QUE996" s="2335"/>
      <c r="QUF996" s="2335"/>
      <c r="QUG996" s="2335"/>
      <c r="QUH996" s="2335"/>
      <c r="QUI996" s="2335"/>
      <c r="QUJ996" s="2335"/>
      <c r="QUK996" s="2335"/>
      <c r="QUL996" s="2335"/>
      <c r="QUM996" s="2335"/>
      <c r="QUN996" s="2335"/>
      <c r="QUO996" s="2335"/>
      <c r="QUP996" s="2335"/>
      <c r="QUQ996" s="2335"/>
      <c r="QUR996" s="2335"/>
      <c r="QUS996" s="2335"/>
      <c r="QUT996" s="2335"/>
      <c r="QUU996" s="2335"/>
      <c r="QUV996" s="2335"/>
      <c r="QUW996" s="2335"/>
      <c r="QUX996" s="2335"/>
      <c r="QUY996" s="2335"/>
      <c r="QUZ996" s="2335"/>
      <c r="QVA996" s="2335"/>
      <c r="QVB996" s="2335"/>
      <c r="QVC996" s="2335"/>
      <c r="QVD996" s="2335"/>
      <c r="QVE996" s="2335"/>
      <c r="QVF996" s="2335"/>
      <c r="QVG996" s="2335"/>
      <c r="QVH996" s="2335"/>
      <c r="QVI996" s="2335"/>
      <c r="QVJ996" s="2335"/>
      <c r="QVK996" s="2335"/>
      <c r="QVL996" s="2335"/>
      <c r="QVM996" s="2335"/>
      <c r="QVN996" s="2335"/>
      <c r="QVO996" s="2335"/>
      <c r="QVP996" s="2335"/>
      <c r="QVQ996" s="2335"/>
      <c r="QVR996" s="2335"/>
      <c r="QVS996" s="2335"/>
      <c r="QVT996" s="2335"/>
      <c r="QVU996" s="2335"/>
      <c r="QVV996" s="2335"/>
      <c r="QVW996" s="2335"/>
      <c r="QVX996" s="2335"/>
      <c r="QVY996" s="2335"/>
      <c r="QVZ996" s="2335"/>
      <c r="QWA996" s="2335"/>
      <c r="QWB996" s="2335"/>
      <c r="QWC996" s="2335"/>
      <c r="QWD996" s="2335"/>
      <c r="QWE996" s="2335"/>
      <c r="QWF996" s="2335"/>
      <c r="QWG996" s="2335"/>
      <c r="QWH996" s="2335"/>
      <c r="QWI996" s="2335"/>
      <c r="QWJ996" s="2335"/>
      <c r="QWK996" s="2335"/>
      <c r="QWL996" s="2335"/>
      <c r="QWM996" s="2335"/>
      <c r="QWN996" s="2335"/>
      <c r="QWO996" s="2335"/>
      <c r="QWP996" s="2335"/>
      <c r="QWQ996" s="2335"/>
      <c r="QWR996" s="2335"/>
      <c r="QWS996" s="2335"/>
      <c r="QWT996" s="2335"/>
      <c r="QWU996" s="2335"/>
      <c r="QWV996" s="2335"/>
      <c r="QWW996" s="2335"/>
      <c r="QWX996" s="2335"/>
      <c r="QWY996" s="2335"/>
      <c r="QWZ996" s="2335"/>
      <c r="QXA996" s="2335"/>
      <c r="QXB996" s="2335"/>
      <c r="QXC996" s="2335"/>
      <c r="QXD996" s="2335"/>
      <c r="QXE996" s="2335"/>
      <c r="QXF996" s="2335"/>
      <c r="QXG996" s="2335"/>
      <c r="QXH996" s="2335"/>
      <c r="QXI996" s="2335"/>
      <c r="QXJ996" s="2335"/>
      <c r="QXK996" s="2335"/>
      <c r="QXL996" s="2335"/>
      <c r="QXM996" s="2335"/>
      <c r="QXN996" s="2335"/>
      <c r="QXO996" s="2335"/>
      <c r="QXP996" s="2335"/>
      <c r="QXQ996" s="2335"/>
      <c r="QXR996" s="2335"/>
      <c r="QXS996" s="2335"/>
      <c r="QXT996" s="2335"/>
      <c r="QXU996" s="2335"/>
      <c r="QXV996" s="2335"/>
      <c r="QXW996" s="2335"/>
      <c r="QXX996" s="2335"/>
      <c r="QXY996" s="2335"/>
      <c r="QXZ996" s="2335"/>
      <c r="QYA996" s="2335"/>
      <c r="QYB996" s="2335"/>
      <c r="QYC996" s="2335"/>
      <c r="QYD996" s="2335"/>
      <c r="QYE996" s="2335"/>
      <c r="QYF996" s="2335"/>
      <c r="QYG996" s="2335"/>
      <c r="QYH996" s="2335"/>
      <c r="QYI996" s="2335"/>
      <c r="QYJ996" s="2335"/>
      <c r="QYK996" s="2335"/>
      <c r="QYL996" s="2335"/>
      <c r="QYM996" s="2335"/>
      <c r="QYN996" s="2335"/>
      <c r="QYO996" s="2335"/>
      <c r="QYP996" s="2335"/>
      <c r="QYQ996" s="2335"/>
      <c r="QYR996" s="2335"/>
      <c r="QYS996" s="2335"/>
      <c r="QYT996" s="2335"/>
      <c r="QYU996" s="2335"/>
      <c r="QYV996" s="2335"/>
      <c r="QYW996" s="2335"/>
      <c r="QYX996" s="2335"/>
      <c r="QYY996" s="2335"/>
      <c r="QYZ996" s="2335"/>
      <c r="QZA996" s="2335"/>
      <c r="QZB996" s="2335"/>
      <c r="QZC996" s="2335"/>
      <c r="QZD996" s="2335"/>
      <c r="QZE996" s="2335"/>
      <c r="QZF996" s="2335"/>
      <c r="QZG996" s="2335"/>
      <c r="QZH996" s="2335"/>
      <c r="QZI996" s="2335"/>
      <c r="QZJ996" s="2335"/>
      <c r="QZK996" s="2335"/>
      <c r="QZL996" s="2335"/>
      <c r="QZM996" s="2335"/>
      <c r="QZN996" s="2335"/>
      <c r="QZO996" s="2335"/>
      <c r="QZP996" s="2335"/>
      <c r="QZQ996" s="2335"/>
      <c r="QZR996" s="2335"/>
      <c r="QZS996" s="2335"/>
      <c r="QZT996" s="2335"/>
      <c r="QZU996" s="2335"/>
      <c r="QZV996" s="2335"/>
      <c r="QZW996" s="2335"/>
      <c r="QZX996" s="2335"/>
      <c r="QZY996" s="2335"/>
      <c r="QZZ996" s="2335"/>
      <c r="RAA996" s="2335"/>
      <c r="RAB996" s="2335"/>
      <c r="RAC996" s="2335"/>
      <c r="RAD996" s="2335"/>
      <c r="RAE996" s="2335"/>
      <c r="RAF996" s="2335"/>
      <c r="RAG996" s="2335"/>
      <c r="RAH996" s="2335"/>
      <c r="RAI996" s="2335"/>
      <c r="RAJ996" s="2335"/>
      <c r="RAK996" s="2335"/>
      <c r="RAL996" s="2335"/>
      <c r="RAM996" s="2335"/>
      <c r="RAN996" s="2335"/>
      <c r="RAO996" s="2335"/>
      <c r="RAP996" s="2335"/>
      <c r="RAQ996" s="2335"/>
      <c r="RAR996" s="2335"/>
      <c r="RAS996" s="2335"/>
      <c r="RAT996" s="2335"/>
      <c r="RAU996" s="2335"/>
      <c r="RAV996" s="2335"/>
      <c r="RAW996" s="2335"/>
      <c r="RAX996" s="2335"/>
      <c r="RAY996" s="2335"/>
      <c r="RAZ996" s="2335"/>
      <c r="RBA996" s="2335"/>
      <c r="RBB996" s="2335"/>
      <c r="RBC996" s="2335"/>
      <c r="RBD996" s="2335"/>
      <c r="RBE996" s="2335"/>
      <c r="RBF996" s="2335"/>
      <c r="RBG996" s="2335"/>
      <c r="RBH996" s="2335"/>
      <c r="RBI996" s="2335"/>
      <c r="RBJ996" s="2335"/>
      <c r="RBK996" s="2335"/>
      <c r="RBL996" s="2335"/>
      <c r="RBM996" s="2335"/>
      <c r="RBN996" s="2335"/>
      <c r="RBO996" s="2335"/>
      <c r="RBP996" s="2335"/>
      <c r="RBQ996" s="2335"/>
      <c r="RBR996" s="2335"/>
      <c r="RBS996" s="2335"/>
      <c r="RBT996" s="2335"/>
      <c r="RBU996" s="2335"/>
      <c r="RBV996" s="2335"/>
      <c r="RBW996" s="2335"/>
      <c r="RBX996" s="2335"/>
      <c r="RBY996" s="2335"/>
      <c r="RBZ996" s="2335"/>
      <c r="RCA996" s="2335"/>
      <c r="RCB996" s="2335"/>
      <c r="RCC996" s="2335"/>
      <c r="RCD996" s="2335"/>
      <c r="RCE996" s="2335"/>
      <c r="RCF996" s="2335"/>
      <c r="RCG996" s="2335"/>
      <c r="RCH996" s="2335"/>
      <c r="RCI996" s="2335"/>
      <c r="RCJ996" s="2335"/>
      <c r="RCK996" s="2335"/>
      <c r="RCL996" s="2335"/>
      <c r="RCM996" s="2335"/>
      <c r="RCN996" s="2335"/>
      <c r="RCO996" s="2335"/>
      <c r="RCP996" s="2335"/>
      <c r="RCQ996" s="2335"/>
      <c r="RCR996" s="2335"/>
      <c r="RCS996" s="2335"/>
      <c r="RCT996" s="2335"/>
      <c r="RCU996" s="2335"/>
      <c r="RCV996" s="2335"/>
      <c r="RCW996" s="2335"/>
      <c r="RCX996" s="2335"/>
      <c r="RCY996" s="2335"/>
      <c r="RCZ996" s="2335"/>
      <c r="RDA996" s="2335"/>
      <c r="RDB996" s="2335"/>
      <c r="RDC996" s="2335"/>
      <c r="RDD996" s="2335"/>
      <c r="RDE996" s="2335"/>
      <c r="RDF996" s="2335"/>
      <c r="RDG996" s="2335"/>
      <c r="RDH996" s="2335"/>
      <c r="RDI996" s="2335"/>
      <c r="RDJ996" s="2335"/>
      <c r="RDK996" s="2335"/>
      <c r="RDL996" s="2335"/>
      <c r="RDM996" s="2335"/>
      <c r="RDN996" s="2335"/>
      <c r="RDO996" s="2335"/>
      <c r="RDP996" s="2335"/>
      <c r="RDQ996" s="2335"/>
      <c r="RDR996" s="2335"/>
      <c r="RDS996" s="2335"/>
      <c r="RDT996" s="2335"/>
      <c r="RDU996" s="2335"/>
      <c r="RDV996" s="2335"/>
      <c r="RDW996" s="2335"/>
      <c r="RDX996" s="2335"/>
      <c r="RDY996" s="2335"/>
      <c r="RDZ996" s="2335"/>
      <c r="REA996" s="2335"/>
      <c r="REB996" s="2335"/>
      <c r="REC996" s="2335"/>
      <c r="RED996" s="2335"/>
      <c r="REE996" s="2335"/>
      <c r="REF996" s="2335"/>
      <c r="REG996" s="2335"/>
      <c r="REH996" s="2335"/>
      <c r="REI996" s="2335"/>
      <c r="REJ996" s="2335"/>
      <c r="REK996" s="2335"/>
      <c r="REL996" s="2335"/>
      <c r="REM996" s="2335"/>
      <c r="REN996" s="2335"/>
      <c r="REO996" s="2335"/>
      <c r="REP996" s="2335"/>
      <c r="REQ996" s="2335"/>
      <c r="RER996" s="2335"/>
      <c r="RES996" s="2335"/>
      <c r="RET996" s="2335"/>
      <c r="REU996" s="2335"/>
      <c r="REV996" s="2335"/>
      <c r="REW996" s="2335"/>
      <c r="REX996" s="2335"/>
      <c r="REY996" s="2335"/>
      <c r="REZ996" s="2335"/>
      <c r="RFA996" s="2335"/>
      <c r="RFB996" s="2335"/>
      <c r="RFC996" s="2335"/>
      <c r="RFD996" s="2335"/>
      <c r="RFE996" s="2335"/>
      <c r="RFF996" s="2335"/>
      <c r="RFG996" s="2335"/>
      <c r="RFH996" s="2335"/>
      <c r="RFI996" s="2335"/>
      <c r="RFJ996" s="2335"/>
      <c r="RFK996" s="2335"/>
      <c r="RFL996" s="2335"/>
      <c r="RFM996" s="2335"/>
      <c r="RFN996" s="2335"/>
      <c r="RFO996" s="2335"/>
      <c r="RFP996" s="2335"/>
      <c r="RFQ996" s="2335"/>
      <c r="RFR996" s="2335"/>
      <c r="RFS996" s="2335"/>
      <c r="RFT996" s="2335"/>
      <c r="RFU996" s="2335"/>
      <c r="RFV996" s="2335"/>
      <c r="RFW996" s="2335"/>
      <c r="RFX996" s="2335"/>
      <c r="RFY996" s="2335"/>
      <c r="RFZ996" s="2335"/>
      <c r="RGA996" s="2335"/>
      <c r="RGB996" s="2335"/>
      <c r="RGC996" s="2335"/>
      <c r="RGD996" s="2335"/>
      <c r="RGE996" s="2335"/>
      <c r="RGF996" s="2335"/>
      <c r="RGG996" s="2335"/>
      <c r="RGH996" s="2335"/>
      <c r="RGI996" s="2335"/>
      <c r="RGJ996" s="2335"/>
      <c r="RGK996" s="2335"/>
      <c r="RGL996" s="2335"/>
      <c r="RGM996" s="2335"/>
      <c r="RGN996" s="2335"/>
      <c r="RGO996" s="2335"/>
      <c r="RGP996" s="2335"/>
      <c r="RGQ996" s="2335"/>
      <c r="RGR996" s="2335"/>
      <c r="RGS996" s="2335"/>
      <c r="RGT996" s="2335"/>
      <c r="RGU996" s="2335"/>
      <c r="RGV996" s="2335"/>
      <c r="RGW996" s="2335"/>
      <c r="RGX996" s="2335"/>
      <c r="RGY996" s="2335"/>
      <c r="RGZ996" s="2335"/>
      <c r="RHA996" s="2335"/>
      <c r="RHB996" s="2335"/>
      <c r="RHC996" s="2335"/>
      <c r="RHD996" s="2335"/>
      <c r="RHE996" s="2335"/>
      <c r="RHF996" s="2335"/>
      <c r="RHG996" s="2335"/>
      <c r="RHH996" s="2335"/>
      <c r="RHI996" s="2335"/>
      <c r="RHJ996" s="2335"/>
      <c r="RHK996" s="2335"/>
      <c r="RHL996" s="2335"/>
      <c r="RHM996" s="2335"/>
      <c r="RHN996" s="2335"/>
      <c r="RHO996" s="2335"/>
      <c r="RHP996" s="2335"/>
      <c r="RHQ996" s="2335"/>
      <c r="RHR996" s="2335"/>
      <c r="RHS996" s="2335"/>
      <c r="RHT996" s="2335"/>
      <c r="RHU996" s="2335"/>
      <c r="RHV996" s="2335"/>
      <c r="RHW996" s="2335"/>
      <c r="RHX996" s="2335"/>
      <c r="RHY996" s="2335"/>
      <c r="RHZ996" s="2335"/>
      <c r="RIA996" s="2335"/>
      <c r="RIB996" s="2335"/>
      <c r="RIC996" s="2335"/>
      <c r="RID996" s="2335"/>
      <c r="RIE996" s="2335"/>
      <c r="RIF996" s="2335"/>
      <c r="RIG996" s="2335"/>
      <c r="RIH996" s="2335"/>
      <c r="RII996" s="2335"/>
      <c r="RIJ996" s="2335"/>
      <c r="RIK996" s="2335"/>
      <c r="RIL996" s="2335"/>
      <c r="RIM996" s="2335"/>
      <c r="RIN996" s="2335"/>
      <c r="RIO996" s="2335"/>
      <c r="RIP996" s="2335"/>
      <c r="RIQ996" s="2335"/>
      <c r="RIR996" s="2335"/>
      <c r="RIS996" s="2335"/>
      <c r="RIT996" s="2335"/>
      <c r="RIU996" s="2335"/>
      <c r="RIV996" s="2335"/>
      <c r="RIW996" s="2335"/>
      <c r="RIX996" s="2335"/>
      <c r="RIY996" s="2335"/>
      <c r="RIZ996" s="2335"/>
      <c r="RJA996" s="2335"/>
      <c r="RJB996" s="2335"/>
      <c r="RJC996" s="2335"/>
      <c r="RJD996" s="2335"/>
      <c r="RJE996" s="2335"/>
      <c r="RJF996" s="2335"/>
      <c r="RJG996" s="2335"/>
      <c r="RJH996" s="2335"/>
      <c r="RJI996" s="2335"/>
      <c r="RJJ996" s="2335"/>
      <c r="RJK996" s="2335"/>
      <c r="RJL996" s="2335"/>
      <c r="RJM996" s="2335"/>
      <c r="RJN996" s="2335"/>
      <c r="RJO996" s="2335"/>
      <c r="RJP996" s="2335"/>
      <c r="RJQ996" s="2335"/>
      <c r="RJR996" s="2335"/>
      <c r="RJS996" s="2335"/>
      <c r="RJT996" s="2335"/>
      <c r="RJU996" s="2335"/>
      <c r="RJV996" s="2335"/>
      <c r="RJW996" s="2335"/>
      <c r="RJX996" s="2335"/>
      <c r="RJY996" s="2335"/>
      <c r="RJZ996" s="2335"/>
      <c r="RKA996" s="2335"/>
      <c r="RKB996" s="2335"/>
      <c r="RKC996" s="2335"/>
      <c r="RKD996" s="2335"/>
      <c r="RKE996" s="2335"/>
      <c r="RKF996" s="2335"/>
      <c r="RKG996" s="2335"/>
      <c r="RKH996" s="2335"/>
      <c r="RKI996" s="2335"/>
      <c r="RKJ996" s="2335"/>
      <c r="RKK996" s="2335"/>
      <c r="RKL996" s="2335"/>
      <c r="RKM996" s="2335"/>
      <c r="RKN996" s="2335"/>
      <c r="RKO996" s="2335"/>
      <c r="RKP996" s="2335"/>
      <c r="RKQ996" s="2335"/>
      <c r="RKR996" s="2335"/>
      <c r="RKS996" s="2335"/>
      <c r="RKT996" s="2335"/>
      <c r="RKU996" s="2335"/>
      <c r="RKV996" s="2335"/>
      <c r="RKW996" s="2335"/>
      <c r="RKX996" s="2335"/>
      <c r="RKY996" s="2335"/>
      <c r="RKZ996" s="2335"/>
      <c r="RLA996" s="2335"/>
      <c r="RLB996" s="2335"/>
      <c r="RLC996" s="2335"/>
      <c r="RLD996" s="2335"/>
      <c r="RLE996" s="2335"/>
      <c r="RLF996" s="2335"/>
      <c r="RLG996" s="2335"/>
      <c r="RLH996" s="2335"/>
      <c r="RLI996" s="2335"/>
      <c r="RLJ996" s="2335"/>
      <c r="RLK996" s="2335"/>
      <c r="RLL996" s="2335"/>
      <c r="RLM996" s="2335"/>
      <c r="RLN996" s="2335"/>
      <c r="RLO996" s="2335"/>
      <c r="RLP996" s="2335"/>
      <c r="RLQ996" s="2335"/>
      <c r="RLR996" s="2335"/>
      <c r="RLS996" s="2335"/>
      <c r="RLT996" s="2335"/>
      <c r="RLU996" s="2335"/>
      <c r="RLV996" s="2335"/>
      <c r="RLW996" s="2335"/>
      <c r="RLX996" s="2335"/>
      <c r="RLY996" s="2335"/>
      <c r="RLZ996" s="2335"/>
      <c r="RMA996" s="2335"/>
      <c r="RMB996" s="2335"/>
      <c r="RMC996" s="2335"/>
      <c r="RMD996" s="2335"/>
      <c r="RME996" s="2335"/>
      <c r="RMF996" s="2335"/>
      <c r="RMG996" s="2335"/>
      <c r="RMH996" s="2335"/>
      <c r="RMI996" s="2335"/>
      <c r="RMJ996" s="2335"/>
      <c r="RMK996" s="2335"/>
      <c r="RML996" s="2335"/>
      <c r="RMM996" s="2335"/>
      <c r="RMN996" s="2335"/>
      <c r="RMO996" s="2335"/>
      <c r="RMP996" s="2335"/>
      <c r="RMQ996" s="2335"/>
      <c r="RMR996" s="2335"/>
      <c r="RMS996" s="2335"/>
      <c r="RMT996" s="2335"/>
      <c r="RMU996" s="2335"/>
      <c r="RMV996" s="2335"/>
      <c r="RMW996" s="2335"/>
      <c r="RMX996" s="2335"/>
      <c r="RMY996" s="2335"/>
      <c r="RMZ996" s="2335"/>
      <c r="RNA996" s="2335"/>
      <c r="RNB996" s="2335"/>
      <c r="RNC996" s="2335"/>
      <c r="RND996" s="2335"/>
      <c r="RNE996" s="2335"/>
      <c r="RNF996" s="2335"/>
      <c r="RNG996" s="2335"/>
      <c r="RNH996" s="2335"/>
      <c r="RNI996" s="2335"/>
      <c r="RNJ996" s="2335"/>
      <c r="RNK996" s="2335"/>
      <c r="RNL996" s="2335"/>
      <c r="RNM996" s="2335"/>
      <c r="RNN996" s="2335"/>
      <c r="RNO996" s="2335"/>
      <c r="RNP996" s="2335"/>
      <c r="RNQ996" s="2335"/>
      <c r="RNR996" s="2335"/>
      <c r="RNS996" s="2335"/>
      <c r="RNT996" s="2335"/>
      <c r="RNU996" s="2335"/>
      <c r="RNV996" s="2335"/>
      <c r="RNW996" s="2335"/>
      <c r="RNX996" s="2335"/>
      <c r="RNY996" s="2335"/>
      <c r="RNZ996" s="2335"/>
      <c r="ROA996" s="2335"/>
      <c r="ROB996" s="2335"/>
      <c r="ROC996" s="2335"/>
      <c r="ROD996" s="2335"/>
      <c r="ROE996" s="2335"/>
      <c r="ROF996" s="2335"/>
      <c r="ROG996" s="2335"/>
      <c r="ROH996" s="2335"/>
      <c r="ROI996" s="2335"/>
      <c r="ROJ996" s="2335"/>
      <c r="ROK996" s="2335"/>
      <c r="ROL996" s="2335"/>
      <c r="ROM996" s="2335"/>
      <c r="RON996" s="2335"/>
      <c r="ROO996" s="2335"/>
      <c r="ROP996" s="2335"/>
      <c r="ROQ996" s="2335"/>
      <c r="ROR996" s="2335"/>
      <c r="ROS996" s="2335"/>
      <c r="ROT996" s="2335"/>
      <c r="ROU996" s="2335"/>
      <c r="ROV996" s="2335"/>
      <c r="ROW996" s="2335"/>
      <c r="ROX996" s="2335"/>
      <c r="ROY996" s="2335"/>
      <c r="ROZ996" s="2335"/>
      <c r="RPA996" s="2335"/>
      <c r="RPB996" s="2335"/>
      <c r="RPC996" s="2335"/>
      <c r="RPD996" s="2335"/>
      <c r="RPE996" s="2335"/>
      <c r="RPF996" s="2335"/>
      <c r="RPG996" s="2335"/>
      <c r="RPH996" s="2335"/>
      <c r="RPI996" s="2335"/>
      <c r="RPJ996" s="2335"/>
      <c r="RPK996" s="2335"/>
      <c r="RPL996" s="2335"/>
      <c r="RPM996" s="2335"/>
      <c r="RPN996" s="2335"/>
      <c r="RPO996" s="2335"/>
      <c r="RPP996" s="2335"/>
      <c r="RPQ996" s="2335"/>
      <c r="RPR996" s="2335"/>
      <c r="RPS996" s="2335"/>
      <c r="RPT996" s="2335"/>
      <c r="RPU996" s="2335"/>
      <c r="RPV996" s="2335"/>
      <c r="RPW996" s="2335"/>
      <c r="RPX996" s="2335"/>
      <c r="RPY996" s="2335"/>
      <c r="RPZ996" s="2335"/>
      <c r="RQA996" s="2335"/>
      <c r="RQB996" s="2335"/>
      <c r="RQC996" s="2335"/>
      <c r="RQD996" s="2335"/>
      <c r="RQE996" s="2335"/>
      <c r="RQF996" s="2335"/>
      <c r="RQG996" s="2335"/>
      <c r="RQH996" s="2335"/>
      <c r="RQI996" s="2335"/>
      <c r="RQJ996" s="2335"/>
      <c r="RQK996" s="2335"/>
      <c r="RQL996" s="2335"/>
      <c r="RQM996" s="2335"/>
      <c r="RQN996" s="2335"/>
      <c r="RQO996" s="2335"/>
      <c r="RQP996" s="2335"/>
      <c r="RQQ996" s="2335"/>
      <c r="RQR996" s="2335"/>
      <c r="RQS996" s="2335"/>
      <c r="RQT996" s="2335"/>
      <c r="RQU996" s="2335"/>
      <c r="RQV996" s="2335"/>
      <c r="RQW996" s="2335"/>
      <c r="RQX996" s="2335"/>
      <c r="RQY996" s="2335"/>
      <c r="RQZ996" s="2335"/>
      <c r="RRA996" s="2335"/>
      <c r="RRB996" s="2335"/>
      <c r="RRC996" s="2335"/>
      <c r="RRD996" s="2335"/>
      <c r="RRE996" s="2335"/>
      <c r="RRF996" s="2335"/>
      <c r="RRG996" s="2335"/>
      <c r="RRH996" s="2335"/>
      <c r="RRI996" s="2335"/>
      <c r="RRJ996" s="2335"/>
      <c r="RRK996" s="2335"/>
      <c r="RRL996" s="2335"/>
      <c r="RRM996" s="2335"/>
      <c r="RRN996" s="2335"/>
      <c r="RRO996" s="2335"/>
      <c r="RRP996" s="2335"/>
      <c r="RRQ996" s="2335"/>
      <c r="RRR996" s="2335"/>
      <c r="RRS996" s="2335"/>
      <c r="RRT996" s="2335"/>
      <c r="RRU996" s="2335"/>
      <c r="RRV996" s="2335"/>
      <c r="RRW996" s="2335"/>
      <c r="RRX996" s="2335"/>
      <c r="RRY996" s="2335"/>
      <c r="RRZ996" s="2335"/>
      <c r="RSA996" s="2335"/>
      <c r="RSB996" s="2335"/>
      <c r="RSC996" s="2335"/>
      <c r="RSD996" s="2335"/>
      <c r="RSE996" s="2335"/>
      <c r="RSF996" s="2335"/>
      <c r="RSG996" s="2335"/>
      <c r="RSH996" s="2335"/>
      <c r="RSI996" s="2335"/>
      <c r="RSJ996" s="2335"/>
      <c r="RSK996" s="2335"/>
      <c r="RSL996" s="2335"/>
      <c r="RSM996" s="2335"/>
      <c r="RSN996" s="2335"/>
      <c r="RSO996" s="2335"/>
      <c r="RSP996" s="2335"/>
      <c r="RSQ996" s="2335"/>
      <c r="RSR996" s="2335"/>
      <c r="RSS996" s="2335"/>
      <c r="RST996" s="2335"/>
      <c r="RSU996" s="2335"/>
      <c r="RSV996" s="2335"/>
      <c r="RSW996" s="2335"/>
      <c r="RSX996" s="2335"/>
      <c r="RSY996" s="2335"/>
      <c r="RSZ996" s="2335"/>
      <c r="RTA996" s="2335"/>
      <c r="RTB996" s="2335"/>
      <c r="RTC996" s="2335"/>
      <c r="RTD996" s="2335"/>
      <c r="RTE996" s="2335"/>
      <c r="RTF996" s="2335"/>
      <c r="RTG996" s="2335"/>
      <c r="RTH996" s="2335"/>
      <c r="RTI996" s="2335"/>
      <c r="RTJ996" s="2335"/>
      <c r="RTK996" s="2335"/>
      <c r="RTL996" s="2335"/>
      <c r="RTM996" s="2335"/>
      <c r="RTN996" s="2335"/>
      <c r="RTO996" s="2335"/>
      <c r="RTP996" s="2335"/>
      <c r="RTQ996" s="2335"/>
      <c r="RTR996" s="2335"/>
      <c r="RTS996" s="2335"/>
      <c r="RTT996" s="2335"/>
      <c r="RTU996" s="2335"/>
      <c r="RTV996" s="2335"/>
      <c r="RTW996" s="2335"/>
      <c r="RTX996" s="2335"/>
      <c r="RTY996" s="2335"/>
      <c r="RTZ996" s="2335"/>
      <c r="RUA996" s="2335"/>
      <c r="RUB996" s="2335"/>
      <c r="RUC996" s="2335"/>
      <c r="RUD996" s="2335"/>
      <c r="RUE996" s="2335"/>
      <c r="RUF996" s="2335"/>
      <c r="RUG996" s="2335"/>
      <c r="RUH996" s="2335"/>
      <c r="RUI996" s="2335"/>
      <c r="RUJ996" s="2335"/>
      <c r="RUK996" s="2335"/>
      <c r="RUL996" s="2335"/>
      <c r="RUM996" s="2335"/>
      <c r="RUN996" s="2335"/>
      <c r="RUO996" s="2335"/>
      <c r="RUP996" s="2335"/>
      <c r="RUQ996" s="2335"/>
      <c r="RUR996" s="2335"/>
      <c r="RUS996" s="2335"/>
      <c r="RUT996" s="2335"/>
      <c r="RUU996" s="2335"/>
      <c r="RUV996" s="2335"/>
      <c r="RUW996" s="2335"/>
      <c r="RUX996" s="2335"/>
      <c r="RUY996" s="2335"/>
      <c r="RUZ996" s="2335"/>
      <c r="RVA996" s="2335"/>
      <c r="RVB996" s="2335"/>
      <c r="RVC996" s="2335"/>
      <c r="RVD996" s="2335"/>
      <c r="RVE996" s="2335"/>
      <c r="RVF996" s="2335"/>
      <c r="RVG996" s="2335"/>
      <c r="RVH996" s="2335"/>
      <c r="RVI996" s="2335"/>
      <c r="RVJ996" s="2335"/>
      <c r="RVK996" s="2335"/>
      <c r="RVL996" s="2335"/>
      <c r="RVM996" s="2335"/>
      <c r="RVN996" s="2335"/>
      <c r="RVO996" s="2335"/>
      <c r="RVP996" s="2335"/>
      <c r="RVQ996" s="2335"/>
      <c r="RVR996" s="2335"/>
      <c r="RVS996" s="2335"/>
      <c r="RVT996" s="2335"/>
      <c r="RVU996" s="2335"/>
      <c r="RVV996" s="2335"/>
      <c r="RVW996" s="2335"/>
      <c r="RVX996" s="2335"/>
      <c r="RVY996" s="2335"/>
      <c r="RVZ996" s="2335"/>
      <c r="RWA996" s="2335"/>
      <c r="RWB996" s="2335"/>
      <c r="RWC996" s="2335"/>
      <c r="RWD996" s="2335"/>
      <c r="RWE996" s="2335"/>
      <c r="RWF996" s="2335"/>
      <c r="RWG996" s="2335"/>
      <c r="RWH996" s="2335"/>
      <c r="RWI996" s="2335"/>
      <c r="RWJ996" s="2335"/>
      <c r="RWK996" s="2335"/>
      <c r="RWL996" s="2335"/>
      <c r="RWM996" s="2335"/>
      <c r="RWN996" s="2335"/>
      <c r="RWO996" s="2335"/>
      <c r="RWP996" s="2335"/>
      <c r="RWQ996" s="2335"/>
      <c r="RWR996" s="2335"/>
      <c r="RWS996" s="2335"/>
      <c r="RWT996" s="2335"/>
      <c r="RWU996" s="2335"/>
      <c r="RWV996" s="2335"/>
      <c r="RWW996" s="2335"/>
      <c r="RWX996" s="2335"/>
      <c r="RWY996" s="2335"/>
      <c r="RWZ996" s="2335"/>
      <c r="RXA996" s="2335"/>
      <c r="RXB996" s="2335"/>
      <c r="RXC996" s="2335"/>
      <c r="RXD996" s="2335"/>
      <c r="RXE996" s="2335"/>
      <c r="RXF996" s="2335"/>
      <c r="RXG996" s="2335"/>
      <c r="RXH996" s="2335"/>
      <c r="RXI996" s="2335"/>
      <c r="RXJ996" s="2335"/>
      <c r="RXK996" s="2335"/>
      <c r="RXL996" s="2335"/>
      <c r="RXM996" s="2335"/>
      <c r="RXN996" s="2335"/>
      <c r="RXO996" s="2335"/>
      <c r="RXP996" s="2335"/>
      <c r="RXQ996" s="2335"/>
      <c r="RXR996" s="2335"/>
      <c r="RXS996" s="2335"/>
      <c r="RXT996" s="2335"/>
      <c r="RXU996" s="2335"/>
      <c r="RXV996" s="2335"/>
      <c r="RXW996" s="2335"/>
      <c r="RXX996" s="2335"/>
      <c r="RXY996" s="2335"/>
      <c r="RXZ996" s="2335"/>
      <c r="RYA996" s="2335"/>
      <c r="RYB996" s="2335"/>
      <c r="RYC996" s="2335"/>
      <c r="RYD996" s="2335"/>
      <c r="RYE996" s="2335"/>
      <c r="RYF996" s="2335"/>
      <c r="RYG996" s="2335"/>
      <c r="RYH996" s="2335"/>
      <c r="RYI996" s="2335"/>
      <c r="RYJ996" s="2335"/>
      <c r="RYK996" s="2335"/>
      <c r="RYL996" s="2335"/>
      <c r="RYM996" s="2335"/>
      <c r="RYN996" s="2335"/>
      <c r="RYO996" s="2335"/>
      <c r="RYP996" s="2335"/>
      <c r="RYQ996" s="2335"/>
      <c r="RYR996" s="2335"/>
      <c r="RYS996" s="2335"/>
      <c r="RYT996" s="2335"/>
      <c r="RYU996" s="2335"/>
      <c r="RYV996" s="2335"/>
      <c r="RYW996" s="2335"/>
      <c r="RYX996" s="2335"/>
      <c r="RYY996" s="2335"/>
      <c r="RYZ996" s="2335"/>
      <c r="RZA996" s="2335"/>
      <c r="RZB996" s="2335"/>
      <c r="RZC996" s="2335"/>
      <c r="RZD996" s="2335"/>
      <c r="RZE996" s="2335"/>
      <c r="RZF996" s="2335"/>
      <c r="RZG996" s="2335"/>
      <c r="RZH996" s="2335"/>
      <c r="RZI996" s="2335"/>
      <c r="RZJ996" s="2335"/>
      <c r="RZK996" s="2335"/>
      <c r="RZL996" s="2335"/>
      <c r="RZM996" s="2335"/>
      <c r="RZN996" s="2335"/>
      <c r="RZO996" s="2335"/>
      <c r="RZP996" s="2335"/>
      <c r="RZQ996" s="2335"/>
      <c r="RZR996" s="2335"/>
      <c r="RZS996" s="2335"/>
      <c r="RZT996" s="2335"/>
      <c r="RZU996" s="2335"/>
      <c r="RZV996" s="2335"/>
      <c r="RZW996" s="2335"/>
      <c r="RZX996" s="2335"/>
      <c r="RZY996" s="2335"/>
      <c r="RZZ996" s="2335"/>
      <c r="SAA996" s="2335"/>
      <c r="SAB996" s="2335"/>
      <c r="SAC996" s="2335"/>
      <c r="SAD996" s="2335"/>
      <c r="SAE996" s="2335"/>
      <c r="SAF996" s="2335"/>
      <c r="SAG996" s="2335"/>
      <c r="SAH996" s="2335"/>
      <c r="SAI996" s="2335"/>
      <c r="SAJ996" s="2335"/>
      <c r="SAK996" s="2335"/>
      <c r="SAL996" s="2335"/>
      <c r="SAM996" s="2335"/>
      <c r="SAN996" s="2335"/>
      <c r="SAO996" s="2335"/>
      <c r="SAP996" s="2335"/>
      <c r="SAQ996" s="2335"/>
      <c r="SAR996" s="2335"/>
      <c r="SAS996" s="2335"/>
      <c r="SAT996" s="2335"/>
      <c r="SAU996" s="2335"/>
      <c r="SAV996" s="2335"/>
      <c r="SAW996" s="2335"/>
      <c r="SAX996" s="2335"/>
      <c r="SAY996" s="2335"/>
      <c r="SAZ996" s="2335"/>
      <c r="SBA996" s="2335"/>
      <c r="SBB996" s="2335"/>
      <c r="SBC996" s="2335"/>
      <c r="SBD996" s="2335"/>
      <c r="SBE996" s="2335"/>
      <c r="SBF996" s="2335"/>
      <c r="SBG996" s="2335"/>
      <c r="SBH996" s="2335"/>
      <c r="SBI996" s="2335"/>
      <c r="SBJ996" s="2335"/>
      <c r="SBK996" s="2335"/>
      <c r="SBL996" s="2335"/>
      <c r="SBM996" s="2335"/>
      <c r="SBN996" s="2335"/>
      <c r="SBO996" s="2335"/>
      <c r="SBP996" s="2335"/>
      <c r="SBQ996" s="2335"/>
      <c r="SBR996" s="2335"/>
      <c r="SBS996" s="2335"/>
      <c r="SBT996" s="2335"/>
      <c r="SBU996" s="2335"/>
      <c r="SBV996" s="2335"/>
      <c r="SBW996" s="2335"/>
      <c r="SBX996" s="2335"/>
      <c r="SBY996" s="2335"/>
      <c r="SBZ996" s="2335"/>
      <c r="SCA996" s="2335"/>
      <c r="SCB996" s="2335"/>
      <c r="SCC996" s="2335"/>
      <c r="SCD996" s="2335"/>
      <c r="SCE996" s="2335"/>
      <c r="SCF996" s="2335"/>
      <c r="SCG996" s="2335"/>
      <c r="SCH996" s="2335"/>
      <c r="SCI996" s="2335"/>
      <c r="SCJ996" s="2335"/>
      <c r="SCK996" s="2335"/>
      <c r="SCL996" s="2335"/>
      <c r="SCM996" s="2335"/>
      <c r="SCN996" s="2335"/>
      <c r="SCO996" s="2335"/>
      <c r="SCP996" s="2335"/>
      <c r="SCQ996" s="2335"/>
      <c r="SCR996" s="2335"/>
      <c r="SCS996" s="2335"/>
      <c r="SCT996" s="2335"/>
      <c r="SCU996" s="2335"/>
      <c r="SCV996" s="2335"/>
      <c r="SCW996" s="2335"/>
      <c r="SCX996" s="2335"/>
      <c r="SCY996" s="2335"/>
      <c r="SCZ996" s="2335"/>
      <c r="SDA996" s="2335"/>
      <c r="SDB996" s="2335"/>
      <c r="SDC996" s="2335"/>
      <c r="SDD996" s="2335"/>
      <c r="SDE996" s="2335"/>
      <c r="SDF996" s="2335"/>
      <c r="SDG996" s="2335"/>
      <c r="SDH996" s="2335"/>
      <c r="SDI996" s="2335"/>
      <c r="SDJ996" s="2335"/>
      <c r="SDK996" s="2335"/>
      <c r="SDL996" s="2335"/>
      <c r="SDM996" s="2335"/>
      <c r="SDN996" s="2335"/>
      <c r="SDO996" s="2335"/>
      <c r="SDP996" s="2335"/>
      <c r="SDQ996" s="2335"/>
      <c r="SDR996" s="2335"/>
      <c r="SDS996" s="2335"/>
      <c r="SDT996" s="2335"/>
      <c r="SDU996" s="2335"/>
      <c r="SDV996" s="2335"/>
      <c r="SDW996" s="2335"/>
      <c r="SDX996" s="2335"/>
      <c r="SDY996" s="2335"/>
      <c r="SDZ996" s="2335"/>
      <c r="SEA996" s="2335"/>
      <c r="SEB996" s="2335"/>
      <c r="SEC996" s="2335"/>
      <c r="SED996" s="2335"/>
      <c r="SEE996" s="2335"/>
      <c r="SEF996" s="2335"/>
      <c r="SEG996" s="2335"/>
      <c r="SEH996" s="2335"/>
      <c r="SEI996" s="2335"/>
      <c r="SEJ996" s="2335"/>
      <c r="SEK996" s="2335"/>
      <c r="SEL996" s="2335"/>
      <c r="SEM996" s="2335"/>
      <c r="SEN996" s="2335"/>
      <c r="SEO996" s="2335"/>
      <c r="SEP996" s="2335"/>
      <c r="SEQ996" s="2335"/>
      <c r="SER996" s="2335"/>
      <c r="SES996" s="2335"/>
      <c r="SET996" s="2335"/>
      <c r="SEU996" s="2335"/>
      <c r="SEV996" s="2335"/>
      <c r="SEW996" s="2335"/>
      <c r="SEX996" s="2335"/>
      <c r="SEY996" s="2335"/>
      <c r="SEZ996" s="2335"/>
      <c r="SFA996" s="2335"/>
      <c r="SFB996" s="2335"/>
      <c r="SFC996" s="2335"/>
      <c r="SFD996" s="2335"/>
      <c r="SFE996" s="2335"/>
      <c r="SFF996" s="2335"/>
      <c r="SFG996" s="2335"/>
      <c r="SFH996" s="2335"/>
      <c r="SFI996" s="2335"/>
      <c r="SFJ996" s="2335"/>
      <c r="SFK996" s="2335"/>
      <c r="SFL996" s="2335"/>
      <c r="SFM996" s="2335"/>
      <c r="SFN996" s="2335"/>
      <c r="SFO996" s="2335"/>
      <c r="SFP996" s="2335"/>
      <c r="SFQ996" s="2335"/>
      <c r="SFR996" s="2335"/>
      <c r="SFS996" s="2335"/>
      <c r="SFT996" s="2335"/>
      <c r="SFU996" s="2335"/>
      <c r="SFV996" s="2335"/>
      <c r="SFW996" s="2335"/>
      <c r="SFX996" s="2335"/>
      <c r="SFY996" s="2335"/>
      <c r="SFZ996" s="2335"/>
      <c r="SGA996" s="2335"/>
      <c r="SGB996" s="2335"/>
      <c r="SGC996" s="2335"/>
      <c r="SGD996" s="2335"/>
      <c r="SGE996" s="2335"/>
      <c r="SGF996" s="2335"/>
      <c r="SGG996" s="2335"/>
      <c r="SGH996" s="2335"/>
      <c r="SGI996" s="2335"/>
      <c r="SGJ996" s="2335"/>
      <c r="SGK996" s="2335"/>
      <c r="SGL996" s="2335"/>
      <c r="SGM996" s="2335"/>
      <c r="SGN996" s="2335"/>
      <c r="SGO996" s="2335"/>
      <c r="SGP996" s="2335"/>
      <c r="SGQ996" s="2335"/>
      <c r="SGR996" s="2335"/>
      <c r="SGS996" s="2335"/>
      <c r="SGT996" s="2335"/>
      <c r="SGU996" s="2335"/>
      <c r="SGV996" s="2335"/>
      <c r="SGW996" s="2335"/>
      <c r="SGX996" s="2335"/>
      <c r="SGY996" s="2335"/>
      <c r="SGZ996" s="2335"/>
      <c r="SHA996" s="2335"/>
      <c r="SHB996" s="2335"/>
      <c r="SHC996" s="2335"/>
      <c r="SHD996" s="2335"/>
      <c r="SHE996" s="2335"/>
      <c r="SHF996" s="2335"/>
      <c r="SHG996" s="2335"/>
      <c r="SHH996" s="2335"/>
      <c r="SHI996" s="2335"/>
      <c r="SHJ996" s="2335"/>
      <c r="SHK996" s="2335"/>
      <c r="SHL996" s="2335"/>
      <c r="SHM996" s="2335"/>
      <c r="SHN996" s="2335"/>
      <c r="SHO996" s="2335"/>
      <c r="SHP996" s="2335"/>
      <c r="SHQ996" s="2335"/>
      <c r="SHR996" s="2335"/>
      <c r="SHS996" s="2335"/>
      <c r="SHT996" s="2335"/>
      <c r="SHU996" s="2335"/>
      <c r="SHV996" s="2335"/>
      <c r="SHW996" s="2335"/>
      <c r="SHX996" s="2335"/>
      <c r="SHY996" s="2335"/>
      <c r="SHZ996" s="2335"/>
      <c r="SIA996" s="2335"/>
      <c r="SIB996" s="2335"/>
      <c r="SIC996" s="2335"/>
      <c r="SID996" s="2335"/>
      <c r="SIE996" s="2335"/>
      <c r="SIF996" s="2335"/>
      <c r="SIG996" s="2335"/>
      <c r="SIH996" s="2335"/>
      <c r="SII996" s="2335"/>
      <c r="SIJ996" s="2335"/>
      <c r="SIK996" s="2335"/>
      <c r="SIL996" s="2335"/>
      <c r="SIM996" s="2335"/>
      <c r="SIN996" s="2335"/>
      <c r="SIO996" s="2335"/>
      <c r="SIP996" s="2335"/>
      <c r="SIQ996" s="2335"/>
      <c r="SIR996" s="2335"/>
      <c r="SIS996" s="2335"/>
      <c r="SIT996" s="2335"/>
      <c r="SIU996" s="2335"/>
      <c r="SIV996" s="2335"/>
      <c r="SIW996" s="2335"/>
      <c r="SIX996" s="2335"/>
      <c r="SIY996" s="2335"/>
      <c r="SIZ996" s="2335"/>
      <c r="SJA996" s="2335"/>
      <c r="SJB996" s="2335"/>
      <c r="SJC996" s="2335"/>
      <c r="SJD996" s="2335"/>
      <c r="SJE996" s="2335"/>
      <c r="SJF996" s="2335"/>
      <c r="SJG996" s="2335"/>
      <c r="SJH996" s="2335"/>
      <c r="SJI996" s="2335"/>
      <c r="SJJ996" s="2335"/>
      <c r="SJK996" s="2335"/>
      <c r="SJL996" s="2335"/>
      <c r="SJM996" s="2335"/>
      <c r="SJN996" s="2335"/>
      <c r="SJO996" s="2335"/>
      <c r="SJP996" s="2335"/>
      <c r="SJQ996" s="2335"/>
      <c r="SJR996" s="2335"/>
      <c r="SJS996" s="2335"/>
      <c r="SJT996" s="2335"/>
      <c r="SJU996" s="2335"/>
      <c r="SJV996" s="2335"/>
      <c r="SJW996" s="2335"/>
      <c r="SJX996" s="2335"/>
      <c r="SJY996" s="2335"/>
      <c r="SJZ996" s="2335"/>
      <c r="SKA996" s="2335"/>
      <c r="SKB996" s="2335"/>
      <c r="SKC996" s="2335"/>
      <c r="SKD996" s="2335"/>
      <c r="SKE996" s="2335"/>
      <c r="SKF996" s="2335"/>
      <c r="SKG996" s="2335"/>
      <c r="SKH996" s="2335"/>
      <c r="SKI996" s="2335"/>
      <c r="SKJ996" s="2335"/>
      <c r="SKK996" s="2335"/>
      <c r="SKL996" s="2335"/>
      <c r="SKM996" s="2335"/>
      <c r="SKN996" s="2335"/>
      <c r="SKO996" s="2335"/>
      <c r="SKP996" s="2335"/>
      <c r="SKQ996" s="2335"/>
      <c r="SKR996" s="2335"/>
      <c r="SKS996" s="2335"/>
      <c r="SKT996" s="2335"/>
      <c r="SKU996" s="2335"/>
      <c r="SKV996" s="2335"/>
      <c r="SKW996" s="2335"/>
      <c r="SKX996" s="2335"/>
      <c r="SKY996" s="2335"/>
      <c r="SKZ996" s="2335"/>
      <c r="SLA996" s="2335"/>
      <c r="SLB996" s="2335"/>
      <c r="SLC996" s="2335"/>
      <c r="SLD996" s="2335"/>
      <c r="SLE996" s="2335"/>
      <c r="SLF996" s="2335"/>
      <c r="SLG996" s="2335"/>
      <c r="SLH996" s="2335"/>
      <c r="SLI996" s="2335"/>
      <c r="SLJ996" s="2335"/>
      <c r="SLK996" s="2335"/>
      <c r="SLL996" s="2335"/>
      <c r="SLM996" s="2335"/>
      <c r="SLN996" s="2335"/>
      <c r="SLO996" s="2335"/>
      <c r="SLP996" s="2335"/>
      <c r="SLQ996" s="2335"/>
      <c r="SLR996" s="2335"/>
      <c r="SLS996" s="2335"/>
      <c r="SLT996" s="2335"/>
      <c r="SLU996" s="2335"/>
      <c r="SLV996" s="2335"/>
      <c r="SLW996" s="2335"/>
      <c r="SLX996" s="2335"/>
      <c r="SLY996" s="2335"/>
      <c r="SLZ996" s="2335"/>
      <c r="SMA996" s="2335"/>
      <c r="SMB996" s="2335"/>
      <c r="SMC996" s="2335"/>
      <c r="SMD996" s="2335"/>
      <c r="SME996" s="2335"/>
      <c r="SMF996" s="2335"/>
      <c r="SMG996" s="2335"/>
      <c r="SMH996" s="2335"/>
      <c r="SMI996" s="2335"/>
      <c r="SMJ996" s="2335"/>
      <c r="SMK996" s="2335"/>
      <c r="SML996" s="2335"/>
      <c r="SMM996" s="2335"/>
      <c r="SMN996" s="2335"/>
      <c r="SMO996" s="2335"/>
      <c r="SMP996" s="2335"/>
      <c r="SMQ996" s="2335"/>
      <c r="SMR996" s="2335"/>
      <c r="SMS996" s="2335"/>
      <c r="SMT996" s="2335"/>
      <c r="SMU996" s="2335"/>
      <c r="SMV996" s="2335"/>
      <c r="SMW996" s="2335"/>
      <c r="SMX996" s="2335"/>
      <c r="SMY996" s="2335"/>
      <c r="SMZ996" s="2335"/>
      <c r="SNA996" s="2335"/>
      <c r="SNB996" s="2335"/>
      <c r="SNC996" s="2335"/>
      <c r="SND996" s="2335"/>
      <c r="SNE996" s="2335"/>
      <c r="SNF996" s="2335"/>
      <c r="SNG996" s="2335"/>
      <c r="SNH996" s="2335"/>
      <c r="SNI996" s="2335"/>
      <c r="SNJ996" s="2335"/>
      <c r="SNK996" s="2335"/>
      <c r="SNL996" s="2335"/>
      <c r="SNM996" s="2335"/>
      <c r="SNN996" s="2335"/>
      <c r="SNO996" s="2335"/>
      <c r="SNP996" s="2335"/>
      <c r="SNQ996" s="2335"/>
      <c r="SNR996" s="2335"/>
      <c r="SNS996" s="2335"/>
      <c r="SNT996" s="2335"/>
      <c r="SNU996" s="2335"/>
      <c r="SNV996" s="2335"/>
      <c r="SNW996" s="2335"/>
      <c r="SNX996" s="2335"/>
      <c r="SNY996" s="2335"/>
      <c r="SNZ996" s="2335"/>
      <c r="SOA996" s="2335"/>
      <c r="SOB996" s="2335"/>
      <c r="SOC996" s="2335"/>
      <c r="SOD996" s="2335"/>
      <c r="SOE996" s="2335"/>
      <c r="SOF996" s="2335"/>
      <c r="SOG996" s="2335"/>
      <c r="SOH996" s="2335"/>
      <c r="SOI996" s="2335"/>
      <c r="SOJ996" s="2335"/>
      <c r="SOK996" s="2335"/>
      <c r="SOL996" s="2335"/>
      <c r="SOM996" s="2335"/>
      <c r="SON996" s="2335"/>
      <c r="SOO996" s="2335"/>
      <c r="SOP996" s="2335"/>
      <c r="SOQ996" s="2335"/>
      <c r="SOR996" s="2335"/>
      <c r="SOS996" s="2335"/>
      <c r="SOT996" s="2335"/>
      <c r="SOU996" s="2335"/>
      <c r="SOV996" s="2335"/>
      <c r="SOW996" s="2335"/>
      <c r="SOX996" s="2335"/>
      <c r="SOY996" s="2335"/>
      <c r="SOZ996" s="2335"/>
      <c r="SPA996" s="2335"/>
      <c r="SPB996" s="2335"/>
      <c r="SPC996" s="2335"/>
      <c r="SPD996" s="2335"/>
      <c r="SPE996" s="2335"/>
      <c r="SPF996" s="2335"/>
      <c r="SPG996" s="2335"/>
      <c r="SPH996" s="2335"/>
      <c r="SPI996" s="2335"/>
      <c r="SPJ996" s="2335"/>
      <c r="SPK996" s="2335"/>
      <c r="SPL996" s="2335"/>
      <c r="SPM996" s="2335"/>
      <c r="SPN996" s="2335"/>
      <c r="SPO996" s="2335"/>
      <c r="SPP996" s="2335"/>
      <c r="SPQ996" s="2335"/>
      <c r="SPR996" s="2335"/>
      <c r="SPS996" s="2335"/>
      <c r="SPT996" s="2335"/>
      <c r="SPU996" s="2335"/>
      <c r="SPV996" s="2335"/>
      <c r="SPW996" s="2335"/>
      <c r="SPX996" s="2335"/>
      <c r="SPY996" s="2335"/>
      <c r="SPZ996" s="2335"/>
      <c r="SQA996" s="2335"/>
      <c r="SQB996" s="2335"/>
      <c r="SQC996" s="2335"/>
      <c r="SQD996" s="2335"/>
      <c r="SQE996" s="2335"/>
      <c r="SQF996" s="2335"/>
      <c r="SQG996" s="2335"/>
      <c r="SQH996" s="2335"/>
      <c r="SQI996" s="2335"/>
      <c r="SQJ996" s="2335"/>
      <c r="SQK996" s="2335"/>
      <c r="SQL996" s="2335"/>
      <c r="SQM996" s="2335"/>
      <c r="SQN996" s="2335"/>
      <c r="SQO996" s="2335"/>
      <c r="SQP996" s="2335"/>
      <c r="SQQ996" s="2335"/>
      <c r="SQR996" s="2335"/>
      <c r="SQS996" s="2335"/>
      <c r="SQT996" s="2335"/>
      <c r="SQU996" s="2335"/>
      <c r="SQV996" s="2335"/>
      <c r="SQW996" s="2335"/>
      <c r="SQX996" s="2335"/>
      <c r="SQY996" s="2335"/>
      <c r="SQZ996" s="2335"/>
      <c r="SRA996" s="2335"/>
      <c r="SRB996" s="2335"/>
      <c r="SRC996" s="2335"/>
      <c r="SRD996" s="2335"/>
      <c r="SRE996" s="2335"/>
      <c r="SRF996" s="2335"/>
      <c r="SRG996" s="2335"/>
      <c r="SRH996" s="2335"/>
      <c r="SRI996" s="2335"/>
      <c r="SRJ996" s="2335"/>
      <c r="SRK996" s="2335"/>
      <c r="SRL996" s="2335"/>
      <c r="SRM996" s="2335"/>
      <c r="SRN996" s="2335"/>
      <c r="SRO996" s="2335"/>
      <c r="SRP996" s="2335"/>
      <c r="SRQ996" s="2335"/>
      <c r="SRR996" s="2335"/>
      <c r="SRS996" s="2335"/>
      <c r="SRT996" s="2335"/>
      <c r="SRU996" s="2335"/>
      <c r="SRV996" s="2335"/>
      <c r="SRW996" s="2335"/>
      <c r="SRX996" s="2335"/>
      <c r="SRY996" s="2335"/>
      <c r="SRZ996" s="2335"/>
      <c r="SSA996" s="2335"/>
      <c r="SSB996" s="2335"/>
      <c r="SSC996" s="2335"/>
      <c r="SSD996" s="2335"/>
      <c r="SSE996" s="2335"/>
      <c r="SSF996" s="2335"/>
      <c r="SSG996" s="2335"/>
      <c r="SSH996" s="2335"/>
      <c r="SSI996" s="2335"/>
      <c r="SSJ996" s="2335"/>
      <c r="SSK996" s="2335"/>
      <c r="SSL996" s="2335"/>
      <c r="SSM996" s="2335"/>
      <c r="SSN996" s="2335"/>
      <c r="SSO996" s="2335"/>
      <c r="SSP996" s="2335"/>
      <c r="SSQ996" s="2335"/>
      <c r="SSR996" s="2335"/>
      <c r="SSS996" s="2335"/>
      <c r="SST996" s="2335"/>
      <c r="SSU996" s="2335"/>
      <c r="SSV996" s="2335"/>
      <c r="SSW996" s="2335"/>
      <c r="SSX996" s="2335"/>
      <c r="SSY996" s="2335"/>
      <c r="SSZ996" s="2335"/>
      <c r="STA996" s="2335"/>
      <c r="STB996" s="2335"/>
      <c r="STC996" s="2335"/>
      <c r="STD996" s="2335"/>
      <c r="STE996" s="2335"/>
      <c r="STF996" s="2335"/>
      <c r="STG996" s="2335"/>
      <c r="STH996" s="2335"/>
      <c r="STI996" s="2335"/>
      <c r="STJ996" s="2335"/>
      <c r="STK996" s="2335"/>
      <c r="STL996" s="2335"/>
      <c r="STM996" s="2335"/>
      <c r="STN996" s="2335"/>
      <c r="STO996" s="2335"/>
      <c r="STP996" s="2335"/>
      <c r="STQ996" s="2335"/>
      <c r="STR996" s="2335"/>
      <c r="STS996" s="2335"/>
      <c r="STT996" s="2335"/>
      <c r="STU996" s="2335"/>
      <c r="STV996" s="2335"/>
      <c r="STW996" s="2335"/>
      <c r="STX996" s="2335"/>
      <c r="STY996" s="2335"/>
      <c r="STZ996" s="2335"/>
      <c r="SUA996" s="2335"/>
      <c r="SUB996" s="2335"/>
      <c r="SUC996" s="2335"/>
      <c r="SUD996" s="2335"/>
      <c r="SUE996" s="2335"/>
      <c r="SUF996" s="2335"/>
      <c r="SUG996" s="2335"/>
      <c r="SUH996" s="2335"/>
      <c r="SUI996" s="2335"/>
      <c r="SUJ996" s="2335"/>
      <c r="SUK996" s="2335"/>
      <c r="SUL996" s="2335"/>
      <c r="SUM996" s="2335"/>
      <c r="SUN996" s="2335"/>
      <c r="SUO996" s="2335"/>
      <c r="SUP996" s="2335"/>
      <c r="SUQ996" s="2335"/>
      <c r="SUR996" s="2335"/>
      <c r="SUS996" s="2335"/>
      <c r="SUT996" s="2335"/>
      <c r="SUU996" s="2335"/>
      <c r="SUV996" s="2335"/>
      <c r="SUW996" s="2335"/>
      <c r="SUX996" s="2335"/>
      <c r="SUY996" s="2335"/>
      <c r="SUZ996" s="2335"/>
      <c r="SVA996" s="2335"/>
      <c r="SVB996" s="2335"/>
      <c r="SVC996" s="2335"/>
      <c r="SVD996" s="2335"/>
      <c r="SVE996" s="2335"/>
      <c r="SVF996" s="2335"/>
      <c r="SVG996" s="2335"/>
      <c r="SVH996" s="2335"/>
      <c r="SVI996" s="2335"/>
      <c r="SVJ996" s="2335"/>
      <c r="SVK996" s="2335"/>
      <c r="SVL996" s="2335"/>
      <c r="SVM996" s="2335"/>
      <c r="SVN996" s="2335"/>
      <c r="SVO996" s="2335"/>
      <c r="SVP996" s="2335"/>
      <c r="SVQ996" s="2335"/>
      <c r="SVR996" s="2335"/>
      <c r="SVS996" s="2335"/>
      <c r="SVT996" s="2335"/>
      <c r="SVU996" s="2335"/>
      <c r="SVV996" s="2335"/>
      <c r="SVW996" s="2335"/>
      <c r="SVX996" s="2335"/>
      <c r="SVY996" s="2335"/>
      <c r="SVZ996" s="2335"/>
      <c r="SWA996" s="2335"/>
      <c r="SWB996" s="2335"/>
      <c r="SWC996" s="2335"/>
      <c r="SWD996" s="2335"/>
      <c r="SWE996" s="2335"/>
      <c r="SWF996" s="2335"/>
      <c r="SWG996" s="2335"/>
      <c r="SWH996" s="2335"/>
      <c r="SWI996" s="2335"/>
      <c r="SWJ996" s="2335"/>
      <c r="SWK996" s="2335"/>
      <c r="SWL996" s="2335"/>
      <c r="SWM996" s="2335"/>
      <c r="SWN996" s="2335"/>
      <c r="SWO996" s="2335"/>
      <c r="SWP996" s="2335"/>
      <c r="SWQ996" s="2335"/>
      <c r="SWR996" s="2335"/>
      <c r="SWS996" s="2335"/>
      <c r="SWT996" s="2335"/>
      <c r="SWU996" s="2335"/>
      <c r="SWV996" s="2335"/>
      <c r="SWW996" s="2335"/>
      <c r="SWX996" s="2335"/>
      <c r="SWY996" s="2335"/>
      <c r="SWZ996" s="2335"/>
      <c r="SXA996" s="2335"/>
      <c r="SXB996" s="2335"/>
      <c r="SXC996" s="2335"/>
      <c r="SXD996" s="2335"/>
      <c r="SXE996" s="2335"/>
      <c r="SXF996" s="2335"/>
      <c r="SXG996" s="2335"/>
      <c r="SXH996" s="2335"/>
      <c r="SXI996" s="2335"/>
      <c r="SXJ996" s="2335"/>
      <c r="SXK996" s="2335"/>
      <c r="SXL996" s="2335"/>
      <c r="SXM996" s="2335"/>
      <c r="SXN996" s="2335"/>
      <c r="SXO996" s="2335"/>
      <c r="SXP996" s="2335"/>
      <c r="SXQ996" s="2335"/>
      <c r="SXR996" s="2335"/>
      <c r="SXS996" s="2335"/>
      <c r="SXT996" s="2335"/>
      <c r="SXU996" s="2335"/>
      <c r="SXV996" s="2335"/>
      <c r="SXW996" s="2335"/>
      <c r="SXX996" s="2335"/>
      <c r="SXY996" s="2335"/>
      <c r="SXZ996" s="2335"/>
      <c r="SYA996" s="2335"/>
      <c r="SYB996" s="2335"/>
      <c r="SYC996" s="2335"/>
      <c r="SYD996" s="2335"/>
      <c r="SYE996" s="2335"/>
      <c r="SYF996" s="2335"/>
      <c r="SYG996" s="2335"/>
      <c r="SYH996" s="2335"/>
      <c r="SYI996" s="2335"/>
      <c r="SYJ996" s="2335"/>
      <c r="SYK996" s="2335"/>
      <c r="SYL996" s="2335"/>
      <c r="SYM996" s="2335"/>
      <c r="SYN996" s="2335"/>
      <c r="SYO996" s="2335"/>
      <c r="SYP996" s="2335"/>
      <c r="SYQ996" s="2335"/>
      <c r="SYR996" s="2335"/>
      <c r="SYS996" s="2335"/>
      <c r="SYT996" s="2335"/>
      <c r="SYU996" s="2335"/>
      <c r="SYV996" s="2335"/>
      <c r="SYW996" s="2335"/>
      <c r="SYX996" s="2335"/>
      <c r="SYY996" s="2335"/>
      <c r="SYZ996" s="2335"/>
      <c r="SZA996" s="2335"/>
      <c r="SZB996" s="2335"/>
      <c r="SZC996" s="2335"/>
      <c r="SZD996" s="2335"/>
      <c r="SZE996" s="2335"/>
      <c r="SZF996" s="2335"/>
      <c r="SZG996" s="2335"/>
      <c r="SZH996" s="2335"/>
      <c r="SZI996" s="2335"/>
      <c r="SZJ996" s="2335"/>
      <c r="SZK996" s="2335"/>
      <c r="SZL996" s="2335"/>
      <c r="SZM996" s="2335"/>
      <c r="SZN996" s="2335"/>
      <c r="SZO996" s="2335"/>
      <c r="SZP996" s="2335"/>
      <c r="SZQ996" s="2335"/>
      <c r="SZR996" s="2335"/>
      <c r="SZS996" s="2335"/>
      <c r="SZT996" s="2335"/>
      <c r="SZU996" s="2335"/>
      <c r="SZV996" s="2335"/>
      <c r="SZW996" s="2335"/>
      <c r="SZX996" s="2335"/>
      <c r="SZY996" s="2335"/>
      <c r="SZZ996" s="2335"/>
      <c r="TAA996" s="2335"/>
      <c r="TAB996" s="2335"/>
      <c r="TAC996" s="2335"/>
      <c r="TAD996" s="2335"/>
      <c r="TAE996" s="2335"/>
      <c r="TAF996" s="2335"/>
      <c r="TAG996" s="2335"/>
      <c r="TAH996" s="2335"/>
      <c r="TAI996" s="2335"/>
      <c r="TAJ996" s="2335"/>
      <c r="TAK996" s="2335"/>
      <c r="TAL996" s="2335"/>
      <c r="TAM996" s="2335"/>
      <c r="TAN996" s="2335"/>
      <c r="TAO996" s="2335"/>
      <c r="TAP996" s="2335"/>
      <c r="TAQ996" s="2335"/>
      <c r="TAR996" s="2335"/>
      <c r="TAS996" s="2335"/>
      <c r="TAT996" s="2335"/>
      <c r="TAU996" s="2335"/>
      <c r="TAV996" s="2335"/>
      <c r="TAW996" s="2335"/>
      <c r="TAX996" s="2335"/>
      <c r="TAY996" s="2335"/>
      <c r="TAZ996" s="2335"/>
      <c r="TBA996" s="2335"/>
      <c r="TBB996" s="2335"/>
      <c r="TBC996" s="2335"/>
      <c r="TBD996" s="2335"/>
      <c r="TBE996" s="2335"/>
      <c r="TBF996" s="2335"/>
      <c r="TBG996" s="2335"/>
      <c r="TBH996" s="2335"/>
      <c r="TBI996" s="2335"/>
      <c r="TBJ996" s="2335"/>
      <c r="TBK996" s="2335"/>
      <c r="TBL996" s="2335"/>
      <c r="TBM996" s="2335"/>
      <c r="TBN996" s="2335"/>
      <c r="TBO996" s="2335"/>
      <c r="TBP996" s="2335"/>
      <c r="TBQ996" s="2335"/>
      <c r="TBR996" s="2335"/>
      <c r="TBS996" s="2335"/>
      <c r="TBT996" s="2335"/>
      <c r="TBU996" s="2335"/>
      <c r="TBV996" s="2335"/>
      <c r="TBW996" s="2335"/>
      <c r="TBX996" s="2335"/>
      <c r="TBY996" s="2335"/>
      <c r="TBZ996" s="2335"/>
      <c r="TCA996" s="2335"/>
      <c r="TCB996" s="2335"/>
      <c r="TCC996" s="2335"/>
      <c r="TCD996" s="2335"/>
      <c r="TCE996" s="2335"/>
      <c r="TCF996" s="2335"/>
      <c r="TCG996" s="2335"/>
      <c r="TCH996" s="2335"/>
      <c r="TCI996" s="2335"/>
      <c r="TCJ996" s="2335"/>
      <c r="TCK996" s="2335"/>
      <c r="TCL996" s="2335"/>
      <c r="TCM996" s="2335"/>
      <c r="TCN996" s="2335"/>
      <c r="TCO996" s="2335"/>
      <c r="TCP996" s="2335"/>
      <c r="TCQ996" s="2335"/>
      <c r="TCR996" s="2335"/>
      <c r="TCS996" s="2335"/>
      <c r="TCT996" s="2335"/>
      <c r="TCU996" s="2335"/>
      <c r="TCV996" s="2335"/>
      <c r="TCW996" s="2335"/>
      <c r="TCX996" s="2335"/>
      <c r="TCY996" s="2335"/>
      <c r="TCZ996" s="2335"/>
      <c r="TDA996" s="2335"/>
      <c r="TDB996" s="2335"/>
      <c r="TDC996" s="2335"/>
      <c r="TDD996" s="2335"/>
      <c r="TDE996" s="2335"/>
      <c r="TDF996" s="2335"/>
      <c r="TDG996" s="2335"/>
      <c r="TDH996" s="2335"/>
      <c r="TDI996" s="2335"/>
      <c r="TDJ996" s="2335"/>
      <c r="TDK996" s="2335"/>
      <c r="TDL996" s="2335"/>
      <c r="TDM996" s="2335"/>
      <c r="TDN996" s="2335"/>
      <c r="TDO996" s="2335"/>
      <c r="TDP996" s="2335"/>
      <c r="TDQ996" s="2335"/>
      <c r="TDR996" s="2335"/>
      <c r="TDS996" s="2335"/>
      <c r="TDT996" s="2335"/>
      <c r="TDU996" s="2335"/>
      <c r="TDV996" s="2335"/>
      <c r="TDW996" s="2335"/>
      <c r="TDX996" s="2335"/>
      <c r="TDY996" s="2335"/>
      <c r="TDZ996" s="2335"/>
      <c r="TEA996" s="2335"/>
      <c r="TEB996" s="2335"/>
      <c r="TEC996" s="2335"/>
      <c r="TED996" s="2335"/>
      <c r="TEE996" s="2335"/>
      <c r="TEF996" s="2335"/>
      <c r="TEG996" s="2335"/>
      <c r="TEH996" s="2335"/>
      <c r="TEI996" s="2335"/>
      <c r="TEJ996" s="2335"/>
      <c r="TEK996" s="2335"/>
      <c r="TEL996" s="2335"/>
      <c r="TEM996" s="2335"/>
      <c r="TEN996" s="2335"/>
      <c r="TEO996" s="2335"/>
      <c r="TEP996" s="2335"/>
      <c r="TEQ996" s="2335"/>
      <c r="TER996" s="2335"/>
      <c r="TES996" s="2335"/>
      <c r="TET996" s="2335"/>
      <c r="TEU996" s="2335"/>
      <c r="TEV996" s="2335"/>
      <c r="TEW996" s="2335"/>
      <c r="TEX996" s="2335"/>
      <c r="TEY996" s="2335"/>
      <c r="TEZ996" s="2335"/>
      <c r="TFA996" s="2335"/>
      <c r="TFB996" s="2335"/>
      <c r="TFC996" s="2335"/>
      <c r="TFD996" s="2335"/>
      <c r="TFE996" s="2335"/>
      <c r="TFF996" s="2335"/>
      <c r="TFG996" s="2335"/>
      <c r="TFH996" s="2335"/>
      <c r="TFI996" s="2335"/>
      <c r="TFJ996" s="2335"/>
      <c r="TFK996" s="2335"/>
      <c r="TFL996" s="2335"/>
      <c r="TFM996" s="2335"/>
      <c r="TFN996" s="2335"/>
      <c r="TFO996" s="2335"/>
      <c r="TFP996" s="2335"/>
      <c r="TFQ996" s="2335"/>
      <c r="TFR996" s="2335"/>
      <c r="TFS996" s="2335"/>
      <c r="TFT996" s="2335"/>
      <c r="TFU996" s="2335"/>
      <c r="TFV996" s="2335"/>
      <c r="TFW996" s="2335"/>
      <c r="TFX996" s="2335"/>
      <c r="TFY996" s="2335"/>
      <c r="TFZ996" s="2335"/>
      <c r="TGA996" s="2335"/>
      <c r="TGB996" s="2335"/>
      <c r="TGC996" s="2335"/>
      <c r="TGD996" s="2335"/>
      <c r="TGE996" s="2335"/>
      <c r="TGF996" s="2335"/>
      <c r="TGG996" s="2335"/>
      <c r="TGH996" s="2335"/>
      <c r="TGI996" s="2335"/>
      <c r="TGJ996" s="2335"/>
      <c r="TGK996" s="2335"/>
      <c r="TGL996" s="2335"/>
      <c r="TGM996" s="2335"/>
      <c r="TGN996" s="2335"/>
      <c r="TGO996" s="2335"/>
      <c r="TGP996" s="2335"/>
      <c r="TGQ996" s="2335"/>
      <c r="TGR996" s="2335"/>
      <c r="TGS996" s="2335"/>
      <c r="TGT996" s="2335"/>
      <c r="TGU996" s="2335"/>
      <c r="TGV996" s="2335"/>
      <c r="TGW996" s="2335"/>
      <c r="TGX996" s="2335"/>
      <c r="TGY996" s="2335"/>
      <c r="TGZ996" s="2335"/>
      <c r="THA996" s="2335"/>
      <c r="THB996" s="2335"/>
      <c r="THC996" s="2335"/>
      <c r="THD996" s="2335"/>
      <c r="THE996" s="2335"/>
      <c r="THF996" s="2335"/>
      <c r="THG996" s="2335"/>
      <c r="THH996" s="2335"/>
      <c r="THI996" s="2335"/>
      <c r="THJ996" s="2335"/>
      <c r="THK996" s="2335"/>
      <c r="THL996" s="2335"/>
      <c r="THM996" s="2335"/>
      <c r="THN996" s="2335"/>
      <c r="THO996" s="2335"/>
      <c r="THP996" s="2335"/>
      <c r="THQ996" s="2335"/>
      <c r="THR996" s="2335"/>
      <c r="THS996" s="2335"/>
      <c r="THT996" s="2335"/>
      <c r="THU996" s="2335"/>
      <c r="THV996" s="2335"/>
      <c r="THW996" s="2335"/>
      <c r="THX996" s="2335"/>
      <c r="THY996" s="2335"/>
      <c r="THZ996" s="2335"/>
      <c r="TIA996" s="2335"/>
      <c r="TIB996" s="2335"/>
      <c r="TIC996" s="2335"/>
      <c r="TID996" s="2335"/>
      <c r="TIE996" s="2335"/>
      <c r="TIF996" s="2335"/>
      <c r="TIG996" s="2335"/>
      <c r="TIH996" s="2335"/>
      <c r="TII996" s="2335"/>
      <c r="TIJ996" s="2335"/>
      <c r="TIK996" s="2335"/>
      <c r="TIL996" s="2335"/>
      <c r="TIM996" s="2335"/>
      <c r="TIN996" s="2335"/>
      <c r="TIO996" s="2335"/>
      <c r="TIP996" s="2335"/>
      <c r="TIQ996" s="2335"/>
      <c r="TIR996" s="2335"/>
      <c r="TIS996" s="2335"/>
      <c r="TIT996" s="2335"/>
      <c r="TIU996" s="2335"/>
      <c r="TIV996" s="2335"/>
      <c r="TIW996" s="2335"/>
      <c r="TIX996" s="2335"/>
      <c r="TIY996" s="2335"/>
      <c r="TIZ996" s="2335"/>
      <c r="TJA996" s="2335"/>
      <c r="TJB996" s="2335"/>
      <c r="TJC996" s="2335"/>
      <c r="TJD996" s="2335"/>
      <c r="TJE996" s="2335"/>
      <c r="TJF996" s="2335"/>
      <c r="TJG996" s="2335"/>
      <c r="TJH996" s="2335"/>
      <c r="TJI996" s="2335"/>
      <c r="TJJ996" s="2335"/>
      <c r="TJK996" s="2335"/>
      <c r="TJL996" s="2335"/>
      <c r="TJM996" s="2335"/>
      <c r="TJN996" s="2335"/>
      <c r="TJO996" s="2335"/>
      <c r="TJP996" s="2335"/>
      <c r="TJQ996" s="2335"/>
      <c r="TJR996" s="2335"/>
      <c r="TJS996" s="2335"/>
      <c r="TJT996" s="2335"/>
      <c r="TJU996" s="2335"/>
      <c r="TJV996" s="2335"/>
      <c r="TJW996" s="2335"/>
      <c r="TJX996" s="2335"/>
      <c r="TJY996" s="2335"/>
      <c r="TJZ996" s="2335"/>
      <c r="TKA996" s="2335"/>
      <c r="TKB996" s="2335"/>
      <c r="TKC996" s="2335"/>
      <c r="TKD996" s="2335"/>
      <c r="TKE996" s="2335"/>
      <c r="TKF996" s="2335"/>
      <c r="TKG996" s="2335"/>
      <c r="TKH996" s="2335"/>
      <c r="TKI996" s="2335"/>
      <c r="TKJ996" s="2335"/>
      <c r="TKK996" s="2335"/>
      <c r="TKL996" s="2335"/>
      <c r="TKM996" s="2335"/>
      <c r="TKN996" s="2335"/>
      <c r="TKO996" s="2335"/>
      <c r="TKP996" s="2335"/>
      <c r="TKQ996" s="2335"/>
      <c r="TKR996" s="2335"/>
      <c r="TKS996" s="2335"/>
      <c r="TKT996" s="2335"/>
      <c r="TKU996" s="2335"/>
      <c r="TKV996" s="2335"/>
      <c r="TKW996" s="2335"/>
      <c r="TKX996" s="2335"/>
      <c r="TKY996" s="2335"/>
      <c r="TKZ996" s="2335"/>
      <c r="TLA996" s="2335"/>
      <c r="TLB996" s="2335"/>
      <c r="TLC996" s="2335"/>
      <c r="TLD996" s="2335"/>
      <c r="TLE996" s="2335"/>
      <c r="TLF996" s="2335"/>
      <c r="TLG996" s="2335"/>
      <c r="TLH996" s="2335"/>
      <c r="TLI996" s="2335"/>
      <c r="TLJ996" s="2335"/>
      <c r="TLK996" s="2335"/>
      <c r="TLL996" s="2335"/>
      <c r="TLM996" s="2335"/>
      <c r="TLN996" s="2335"/>
      <c r="TLO996" s="2335"/>
      <c r="TLP996" s="2335"/>
      <c r="TLQ996" s="2335"/>
      <c r="TLR996" s="2335"/>
      <c r="TLS996" s="2335"/>
      <c r="TLT996" s="2335"/>
      <c r="TLU996" s="2335"/>
      <c r="TLV996" s="2335"/>
      <c r="TLW996" s="2335"/>
      <c r="TLX996" s="2335"/>
      <c r="TLY996" s="2335"/>
      <c r="TLZ996" s="2335"/>
      <c r="TMA996" s="2335"/>
      <c r="TMB996" s="2335"/>
      <c r="TMC996" s="2335"/>
      <c r="TMD996" s="2335"/>
      <c r="TME996" s="2335"/>
      <c r="TMF996" s="2335"/>
      <c r="TMG996" s="2335"/>
      <c r="TMH996" s="2335"/>
      <c r="TMI996" s="2335"/>
      <c r="TMJ996" s="2335"/>
      <c r="TMK996" s="2335"/>
      <c r="TML996" s="2335"/>
      <c r="TMM996" s="2335"/>
      <c r="TMN996" s="2335"/>
      <c r="TMO996" s="2335"/>
      <c r="TMP996" s="2335"/>
      <c r="TMQ996" s="2335"/>
      <c r="TMR996" s="2335"/>
      <c r="TMS996" s="2335"/>
      <c r="TMT996" s="2335"/>
      <c r="TMU996" s="2335"/>
      <c r="TMV996" s="2335"/>
      <c r="TMW996" s="2335"/>
      <c r="TMX996" s="2335"/>
      <c r="TMY996" s="2335"/>
      <c r="TMZ996" s="2335"/>
      <c r="TNA996" s="2335"/>
      <c r="TNB996" s="2335"/>
      <c r="TNC996" s="2335"/>
      <c r="TND996" s="2335"/>
      <c r="TNE996" s="2335"/>
      <c r="TNF996" s="2335"/>
      <c r="TNG996" s="2335"/>
      <c r="TNH996" s="2335"/>
      <c r="TNI996" s="2335"/>
      <c r="TNJ996" s="2335"/>
      <c r="TNK996" s="2335"/>
      <c r="TNL996" s="2335"/>
      <c r="TNM996" s="2335"/>
      <c r="TNN996" s="2335"/>
      <c r="TNO996" s="2335"/>
      <c r="TNP996" s="2335"/>
      <c r="TNQ996" s="2335"/>
      <c r="TNR996" s="2335"/>
      <c r="TNS996" s="2335"/>
      <c r="TNT996" s="2335"/>
      <c r="TNU996" s="2335"/>
      <c r="TNV996" s="2335"/>
      <c r="TNW996" s="2335"/>
      <c r="TNX996" s="2335"/>
      <c r="TNY996" s="2335"/>
      <c r="TNZ996" s="2335"/>
      <c r="TOA996" s="2335"/>
      <c r="TOB996" s="2335"/>
      <c r="TOC996" s="2335"/>
      <c r="TOD996" s="2335"/>
      <c r="TOE996" s="2335"/>
      <c r="TOF996" s="2335"/>
      <c r="TOG996" s="2335"/>
      <c r="TOH996" s="2335"/>
      <c r="TOI996" s="2335"/>
      <c r="TOJ996" s="2335"/>
      <c r="TOK996" s="2335"/>
      <c r="TOL996" s="2335"/>
      <c r="TOM996" s="2335"/>
      <c r="TON996" s="2335"/>
      <c r="TOO996" s="2335"/>
      <c r="TOP996" s="2335"/>
      <c r="TOQ996" s="2335"/>
      <c r="TOR996" s="2335"/>
      <c r="TOS996" s="2335"/>
      <c r="TOT996" s="2335"/>
      <c r="TOU996" s="2335"/>
      <c r="TOV996" s="2335"/>
      <c r="TOW996" s="2335"/>
      <c r="TOX996" s="2335"/>
      <c r="TOY996" s="2335"/>
      <c r="TOZ996" s="2335"/>
      <c r="TPA996" s="2335"/>
      <c r="TPB996" s="2335"/>
      <c r="TPC996" s="2335"/>
      <c r="TPD996" s="2335"/>
      <c r="TPE996" s="2335"/>
      <c r="TPF996" s="2335"/>
      <c r="TPG996" s="2335"/>
      <c r="TPH996" s="2335"/>
      <c r="TPI996" s="2335"/>
      <c r="TPJ996" s="2335"/>
      <c r="TPK996" s="2335"/>
      <c r="TPL996" s="2335"/>
      <c r="TPM996" s="2335"/>
      <c r="TPN996" s="2335"/>
      <c r="TPO996" s="2335"/>
      <c r="TPP996" s="2335"/>
      <c r="TPQ996" s="2335"/>
      <c r="TPR996" s="2335"/>
      <c r="TPS996" s="2335"/>
      <c r="TPT996" s="2335"/>
      <c r="TPU996" s="2335"/>
      <c r="TPV996" s="2335"/>
      <c r="TPW996" s="2335"/>
      <c r="TPX996" s="2335"/>
      <c r="TPY996" s="2335"/>
      <c r="TPZ996" s="2335"/>
      <c r="TQA996" s="2335"/>
      <c r="TQB996" s="2335"/>
      <c r="TQC996" s="2335"/>
      <c r="TQD996" s="2335"/>
      <c r="TQE996" s="2335"/>
      <c r="TQF996" s="2335"/>
      <c r="TQG996" s="2335"/>
      <c r="TQH996" s="2335"/>
      <c r="TQI996" s="2335"/>
      <c r="TQJ996" s="2335"/>
      <c r="TQK996" s="2335"/>
      <c r="TQL996" s="2335"/>
      <c r="TQM996" s="2335"/>
      <c r="TQN996" s="2335"/>
      <c r="TQO996" s="2335"/>
      <c r="TQP996" s="2335"/>
      <c r="TQQ996" s="2335"/>
      <c r="TQR996" s="2335"/>
      <c r="TQS996" s="2335"/>
      <c r="TQT996" s="2335"/>
      <c r="TQU996" s="2335"/>
      <c r="TQV996" s="2335"/>
      <c r="TQW996" s="2335"/>
      <c r="TQX996" s="2335"/>
      <c r="TQY996" s="2335"/>
      <c r="TQZ996" s="2335"/>
      <c r="TRA996" s="2335"/>
      <c r="TRB996" s="2335"/>
      <c r="TRC996" s="2335"/>
      <c r="TRD996" s="2335"/>
      <c r="TRE996" s="2335"/>
      <c r="TRF996" s="2335"/>
      <c r="TRG996" s="2335"/>
      <c r="TRH996" s="2335"/>
      <c r="TRI996" s="2335"/>
      <c r="TRJ996" s="2335"/>
      <c r="TRK996" s="2335"/>
      <c r="TRL996" s="2335"/>
      <c r="TRM996" s="2335"/>
      <c r="TRN996" s="2335"/>
      <c r="TRO996" s="2335"/>
      <c r="TRP996" s="2335"/>
      <c r="TRQ996" s="2335"/>
      <c r="TRR996" s="2335"/>
      <c r="TRS996" s="2335"/>
      <c r="TRT996" s="2335"/>
      <c r="TRU996" s="2335"/>
      <c r="TRV996" s="2335"/>
      <c r="TRW996" s="2335"/>
      <c r="TRX996" s="2335"/>
      <c r="TRY996" s="2335"/>
      <c r="TRZ996" s="2335"/>
      <c r="TSA996" s="2335"/>
      <c r="TSB996" s="2335"/>
      <c r="TSC996" s="2335"/>
      <c r="TSD996" s="2335"/>
      <c r="TSE996" s="2335"/>
      <c r="TSF996" s="2335"/>
      <c r="TSG996" s="2335"/>
      <c r="TSH996" s="2335"/>
      <c r="TSI996" s="2335"/>
      <c r="TSJ996" s="2335"/>
      <c r="TSK996" s="2335"/>
      <c r="TSL996" s="2335"/>
      <c r="TSM996" s="2335"/>
      <c r="TSN996" s="2335"/>
      <c r="TSO996" s="2335"/>
      <c r="TSP996" s="2335"/>
      <c r="TSQ996" s="2335"/>
      <c r="TSR996" s="2335"/>
      <c r="TSS996" s="2335"/>
      <c r="TST996" s="2335"/>
      <c r="TSU996" s="2335"/>
      <c r="TSV996" s="2335"/>
      <c r="TSW996" s="2335"/>
      <c r="TSX996" s="2335"/>
      <c r="TSY996" s="2335"/>
      <c r="TSZ996" s="2335"/>
      <c r="TTA996" s="2335"/>
      <c r="TTB996" s="2335"/>
      <c r="TTC996" s="2335"/>
      <c r="TTD996" s="2335"/>
      <c r="TTE996" s="2335"/>
      <c r="TTF996" s="2335"/>
      <c r="TTG996" s="2335"/>
      <c r="TTH996" s="2335"/>
      <c r="TTI996" s="2335"/>
      <c r="TTJ996" s="2335"/>
      <c r="TTK996" s="2335"/>
      <c r="TTL996" s="2335"/>
      <c r="TTM996" s="2335"/>
      <c r="TTN996" s="2335"/>
      <c r="TTO996" s="2335"/>
      <c r="TTP996" s="2335"/>
      <c r="TTQ996" s="2335"/>
      <c r="TTR996" s="2335"/>
      <c r="TTS996" s="2335"/>
      <c r="TTT996" s="2335"/>
      <c r="TTU996" s="2335"/>
      <c r="TTV996" s="2335"/>
      <c r="TTW996" s="2335"/>
      <c r="TTX996" s="2335"/>
      <c r="TTY996" s="2335"/>
      <c r="TTZ996" s="2335"/>
      <c r="TUA996" s="2335"/>
      <c r="TUB996" s="2335"/>
      <c r="TUC996" s="2335"/>
      <c r="TUD996" s="2335"/>
      <c r="TUE996" s="2335"/>
      <c r="TUF996" s="2335"/>
      <c r="TUG996" s="2335"/>
      <c r="TUH996" s="2335"/>
      <c r="TUI996" s="2335"/>
      <c r="TUJ996" s="2335"/>
      <c r="TUK996" s="2335"/>
      <c r="TUL996" s="2335"/>
      <c r="TUM996" s="2335"/>
      <c r="TUN996" s="2335"/>
      <c r="TUO996" s="2335"/>
      <c r="TUP996" s="2335"/>
      <c r="TUQ996" s="2335"/>
      <c r="TUR996" s="2335"/>
      <c r="TUS996" s="2335"/>
      <c r="TUT996" s="2335"/>
      <c r="TUU996" s="2335"/>
      <c r="TUV996" s="2335"/>
      <c r="TUW996" s="2335"/>
      <c r="TUX996" s="2335"/>
      <c r="TUY996" s="2335"/>
      <c r="TUZ996" s="2335"/>
      <c r="TVA996" s="2335"/>
      <c r="TVB996" s="2335"/>
      <c r="TVC996" s="2335"/>
      <c r="TVD996" s="2335"/>
      <c r="TVE996" s="2335"/>
      <c r="TVF996" s="2335"/>
      <c r="TVG996" s="2335"/>
      <c r="TVH996" s="2335"/>
      <c r="TVI996" s="2335"/>
      <c r="TVJ996" s="2335"/>
      <c r="TVK996" s="2335"/>
      <c r="TVL996" s="2335"/>
      <c r="TVM996" s="2335"/>
      <c r="TVN996" s="2335"/>
      <c r="TVO996" s="2335"/>
      <c r="TVP996" s="2335"/>
      <c r="TVQ996" s="2335"/>
      <c r="TVR996" s="2335"/>
      <c r="TVS996" s="2335"/>
      <c r="TVT996" s="2335"/>
      <c r="TVU996" s="2335"/>
      <c r="TVV996" s="2335"/>
      <c r="TVW996" s="2335"/>
      <c r="TVX996" s="2335"/>
      <c r="TVY996" s="2335"/>
      <c r="TVZ996" s="2335"/>
      <c r="TWA996" s="2335"/>
      <c r="TWB996" s="2335"/>
      <c r="TWC996" s="2335"/>
      <c r="TWD996" s="2335"/>
      <c r="TWE996" s="2335"/>
      <c r="TWF996" s="2335"/>
      <c r="TWG996" s="2335"/>
      <c r="TWH996" s="2335"/>
      <c r="TWI996" s="2335"/>
      <c r="TWJ996" s="2335"/>
      <c r="TWK996" s="2335"/>
      <c r="TWL996" s="2335"/>
      <c r="TWM996" s="2335"/>
      <c r="TWN996" s="2335"/>
      <c r="TWO996" s="2335"/>
      <c r="TWP996" s="2335"/>
      <c r="TWQ996" s="2335"/>
      <c r="TWR996" s="2335"/>
      <c r="TWS996" s="2335"/>
      <c r="TWT996" s="2335"/>
      <c r="TWU996" s="2335"/>
      <c r="TWV996" s="2335"/>
      <c r="TWW996" s="2335"/>
      <c r="TWX996" s="2335"/>
      <c r="TWY996" s="2335"/>
      <c r="TWZ996" s="2335"/>
      <c r="TXA996" s="2335"/>
      <c r="TXB996" s="2335"/>
      <c r="TXC996" s="2335"/>
      <c r="TXD996" s="2335"/>
      <c r="TXE996" s="2335"/>
      <c r="TXF996" s="2335"/>
      <c r="TXG996" s="2335"/>
      <c r="TXH996" s="2335"/>
      <c r="TXI996" s="2335"/>
      <c r="TXJ996" s="2335"/>
      <c r="TXK996" s="2335"/>
      <c r="TXL996" s="2335"/>
      <c r="TXM996" s="2335"/>
      <c r="TXN996" s="2335"/>
      <c r="TXO996" s="2335"/>
      <c r="TXP996" s="2335"/>
      <c r="TXQ996" s="2335"/>
      <c r="TXR996" s="2335"/>
      <c r="TXS996" s="2335"/>
      <c r="TXT996" s="2335"/>
      <c r="TXU996" s="2335"/>
      <c r="TXV996" s="2335"/>
      <c r="TXW996" s="2335"/>
      <c r="TXX996" s="2335"/>
      <c r="TXY996" s="2335"/>
      <c r="TXZ996" s="2335"/>
      <c r="TYA996" s="2335"/>
      <c r="TYB996" s="2335"/>
      <c r="TYC996" s="2335"/>
      <c r="TYD996" s="2335"/>
      <c r="TYE996" s="2335"/>
      <c r="TYF996" s="2335"/>
      <c r="TYG996" s="2335"/>
      <c r="TYH996" s="2335"/>
      <c r="TYI996" s="2335"/>
      <c r="TYJ996" s="2335"/>
      <c r="TYK996" s="2335"/>
      <c r="TYL996" s="2335"/>
      <c r="TYM996" s="2335"/>
      <c r="TYN996" s="2335"/>
      <c r="TYO996" s="2335"/>
      <c r="TYP996" s="2335"/>
      <c r="TYQ996" s="2335"/>
      <c r="TYR996" s="2335"/>
      <c r="TYS996" s="2335"/>
      <c r="TYT996" s="2335"/>
      <c r="TYU996" s="2335"/>
      <c r="TYV996" s="2335"/>
      <c r="TYW996" s="2335"/>
      <c r="TYX996" s="2335"/>
      <c r="TYY996" s="2335"/>
      <c r="TYZ996" s="2335"/>
      <c r="TZA996" s="2335"/>
      <c r="TZB996" s="2335"/>
      <c r="TZC996" s="2335"/>
      <c r="TZD996" s="2335"/>
      <c r="TZE996" s="2335"/>
      <c r="TZF996" s="2335"/>
      <c r="TZG996" s="2335"/>
      <c r="TZH996" s="2335"/>
      <c r="TZI996" s="2335"/>
      <c r="TZJ996" s="2335"/>
      <c r="TZK996" s="2335"/>
      <c r="TZL996" s="2335"/>
      <c r="TZM996" s="2335"/>
      <c r="TZN996" s="2335"/>
      <c r="TZO996" s="2335"/>
      <c r="TZP996" s="2335"/>
      <c r="TZQ996" s="2335"/>
      <c r="TZR996" s="2335"/>
      <c r="TZS996" s="2335"/>
      <c r="TZT996" s="2335"/>
      <c r="TZU996" s="2335"/>
      <c r="TZV996" s="2335"/>
      <c r="TZW996" s="2335"/>
      <c r="TZX996" s="2335"/>
      <c r="TZY996" s="2335"/>
      <c r="TZZ996" s="2335"/>
      <c r="UAA996" s="2335"/>
      <c r="UAB996" s="2335"/>
      <c r="UAC996" s="2335"/>
      <c r="UAD996" s="2335"/>
      <c r="UAE996" s="2335"/>
      <c r="UAF996" s="2335"/>
      <c r="UAG996" s="2335"/>
      <c r="UAH996" s="2335"/>
      <c r="UAI996" s="2335"/>
      <c r="UAJ996" s="2335"/>
      <c r="UAK996" s="2335"/>
      <c r="UAL996" s="2335"/>
      <c r="UAM996" s="2335"/>
      <c r="UAN996" s="2335"/>
      <c r="UAO996" s="2335"/>
      <c r="UAP996" s="2335"/>
      <c r="UAQ996" s="2335"/>
      <c r="UAR996" s="2335"/>
      <c r="UAS996" s="2335"/>
      <c r="UAT996" s="2335"/>
      <c r="UAU996" s="2335"/>
      <c r="UAV996" s="2335"/>
      <c r="UAW996" s="2335"/>
      <c r="UAX996" s="2335"/>
      <c r="UAY996" s="2335"/>
      <c r="UAZ996" s="2335"/>
      <c r="UBA996" s="2335"/>
      <c r="UBB996" s="2335"/>
      <c r="UBC996" s="2335"/>
      <c r="UBD996" s="2335"/>
      <c r="UBE996" s="2335"/>
      <c r="UBF996" s="2335"/>
      <c r="UBG996" s="2335"/>
      <c r="UBH996" s="2335"/>
      <c r="UBI996" s="2335"/>
      <c r="UBJ996" s="2335"/>
      <c r="UBK996" s="2335"/>
      <c r="UBL996" s="2335"/>
      <c r="UBM996" s="2335"/>
      <c r="UBN996" s="2335"/>
      <c r="UBO996" s="2335"/>
      <c r="UBP996" s="2335"/>
      <c r="UBQ996" s="2335"/>
      <c r="UBR996" s="2335"/>
      <c r="UBS996" s="2335"/>
      <c r="UBT996" s="2335"/>
      <c r="UBU996" s="2335"/>
      <c r="UBV996" s="2335"/>
      <c r="UBW996" s="2335"/>
      <c r="UBX996" s="2335"/>
      <c r="UBY996" s="2335"/>
      <c r="UBZ996" s="2335"/>
      <c r="UCA996" s="2335"/>
      <c r="UCB996" s="2335"/>
      <c r="UCC996" s="2335"/>
      <c r="UCD996" s="2335"/>
      <c r="UCE996" s="2335"/>
      <c r="UCF996" s="2335"/>
      <c r="UCG996" s="2335"/>
      <c r="UCH996" s="2335"/>
      <c r="UCI996" s="2335"/>
      <c r="UCJ996" s="2335"/>
      <c r="UCK996" s="2335"/>
      <c r="UCL996" s="2335"/>
      <c r="UCM996" s="2335"/>
      <c r="UCN996" s="2335"/>
      <c r="UCO996" s="2335"/>
      <c r="UCP996" s="2335"/>
      <c r="UCQ996" s="2335"/>
      <c r="UCR996" s="2335"/>
      <c r="UCS996" s="2335"/>
      <c r="UCT996" s="2335"/>
      <c r="UCU996" s="2335"/>
      <c r="UCV996" s="2335"/>
      <c r="UCW996" s="2335"/>
      <c r="UCX996" s="2335"/>
      <c r="UCY996" s="2335"/>
      <c r="UCZ996" s="2335"/>
      <c r="UDA996" s="2335"/>
      <c r="UDB996" s="2335"/>
      <c r="UDC996" s="2335"/>
      <c r="UDD996" s="2335"/>
      <c r="UDE996" s="2335"/>
      <c r="UDF996" s="2335"/>
      <c r="UDG996" s="2335"/>
      <c r="UDH996" s="2335"/>
      <c r="UDI996" s="2335"/>
      <c r="UDJ996" s="2335"/>
      <c r="UDK996" s="2335"/>
      <c r="UDL996" s="2335"/>
      <c r="UDM996" s="2335"/>
      <c r="UDN996" s="2335"/>
      <c r="UDO996" s="2335"/>
      <c r="UDP996" s="2335"/>
      <c r="UDQ996" s="2335"/>
      <c r="UDR996" s="2335"/>
      <c r="UDS996" s="2335"/>
      <c r="UDT996" s="2335"/>
      <c r="UDU996" s="2335"/>
      <c r="UDV996" s="2335"/>
      <c r="UDW996" s="2335"/>
      <c r="UDX996" s="2335"/>
      <c r="UDY996" s="2335"/>
      <c r="UDZ996" s="2335"/>
      <c r="UEA996" s="2335"/>
      <c r="UEB996" s="2335"/>
      <c r="UEC996" s="2335"/>
      <c r="UED996" s="2335"/>
      <c r="UEE996" s="2335"/>
      <c r="UEF996" s="2335"/>
      <c r="UEG996" s="2335"/>
      <c r="UEH996" s="2335"/>
      <c r="UEI996" s="2335"/>
      <c r="UEJ996" s="2335"/>
      <c r="UEK996" s="2335"/>
      <c r="UEL996" s="2335"/>
      <c r="UEM996" s="2335"/>
      <c r="UEN996" s="2335"/>
      <c r="UEO996" s="2335"/>
      <c r="UEP996" s="2335"/>
      <c r="UEQ996" s="2335"/>
      <c r="UER996" s="2335"/>
      <c r="UES996" s="2335"/>
      <c r="UET996" s="2335"/>
      <c r="UEU996" s="2335"/>
      <c r="UEV996" s="2335"/>
      <c r="UEW996" s="2335"/>
      <c r="UEX996" s="2335"/>
      <c r="UEY996" s="2335"/>
      <c r="UEZ996" s="2335"/>
      <c r="UFA996" s="2335"/>
      <c r="UFB996" s="2335"/>
      <c r="UFC996" s="2335"/>
      <c r="UFD996" s="2335"/>
      <c r="UFE996" s="2335"/>
      <c r="UFF996" s="2335"/>
      <c r="UFG996" s="2335"/>
      <c r="UFH996" s="2335"/>
      <c r="UFI996" s="2335"/>
      <c r="UFJ996" s="2335"/>
      <c r="UFK996" s="2335"/>
      <c r="UFL996" s="2335"/>
      <c r="UFM996" s="2335"/>
      <c r="UFN996" s="2335"/>
      <c r="UFO996" s="2335"/>
      <c r="UFP996" s="2335"/>
      <c r="UFQ996" s="2335"/>
      <c r="UFR996" s="2335"/>
      <c r="UFS996" s="2335"/>
      <c r="UFT996" s="2335"/>
      <c r="UFU996" s="2335"/>
      <c r="UFV996" s="2335"/>
      <c r="UFW996" s="2335"/>
      <c r="UFX996" s="2335"/>
      <c r="UFY996" s="2335"/>
      <c r="UFZ996" s="2335"/>
      <c r="UGA996" s="2335"/>
      <c r="UGB996" s="2335"/>
      <c r="UGC996" s="2335"/>
      <c r="UGD996" s="2335"/>
      <c r="UGE996" s="2335"/>
      <c r="UGF996" s="2335"/>
      <c r="UGG996" s="2335"/>
      <c r="UGH996" s="2335"/>
      <c r="UGI996" s="2335"/>
      <c r="UGJ996" s="2335"/>
      <c r="UGK996" s="2335"/>
      <c r="UGL996" s="2335"/>
      <c r="UGM996" s="2335"/>
      <c r="UGN996" s="2335"/>
      <c r="UGO996" s="2335"/>
      <c r="UGP996" s="2335"/>
      <c r="UGQ996" s="2335"/>
      <c r="UGR996" s="2335"/>
      <c r="UGS996" s="2335"/>
      <c r="UGT996" s="2335"/>
      <c r="UGU996" s="2335"/>
      <c r="UGV996" s="2335"/>
      <c r="UGW996" s="2335"/>
      <c r="UGX996" s="2335"/>
      <c r="UGY996" s="2335"/>
      <c r="UGZ996" s="2335"/>
      <c r="UHA996" s="2335"/>
      <c r="UHB996" s="2335"/>
      <c r="UHC996" s="2335"/>
      <c r="UHD996" s="2335"/>
      <c r="UHE996" s="2335"/>
      <c r="UHF996" s="2335"/>
      <c r="UHG996" s="2335"/>
      <c r="UHH996" s="2335"/>
      <c r="UHI996" s="2335"/>
      <c r="UHJ996" s="2335"/>
      <c r="UHK996" s="2335"/>
      <c r="UHL996" s="2335"/>
      <c r="UHM996" s="2335"/>
      <c r="UHN996" s="2335"/>
      <c r="UHO996" s="2335"/>
      <c r="UHP996" s="2335"/>
      <c r="UHQ996" s="2335"/>
      <c r="UHR996" s="2335"/>
      <c r="UHS996" s="2335"/>
      <c r="UHT996" s="2335"/>
      <c r="UHU996" s="2335"/>
      <c r="UHV996" s="2335"/>
      <c r="UHW996" s="2335"/>
      <c r="UHX996" s="2335"/>
      <c r="UHY996" s="2335"/>
      <c r="UHZ996" s="2335"/>
      <c r="UIA996" s="2335"/>
      <c r="UIB996" s="2335"/>
      <c r="UIC996" s="2335"/>
      <c r="UID996" s="2335"/>
      <c r="UIE996" s="2335"/>
      <c r="UIF996" s="2335"/>
      <c r="UIG996" s="2335"/>
      <c r="UIH996" s="2335"/>
      <c r="UII996" s="2335"/>
      <c r="UIJ996" s="2335"/>
      <c r="UIK996" s="2335"/>
      <c r="UIL996" s="2335"/>
      <c r="UIM996" s="2335"/>
      <c r="UIN996" s="2335"/>
      <c r="UIO996" s="2335"/>
      <c r="UIP996" s="2335"/>
      <c r="UIQ996" s="2335"/>
      <c r="UIR996" s="2335"/>
      <c r="UIS996" s="2335"/>
      <c r="UIT996" s="2335"/>
      <c r="UIU996" s="2335"/>
      <c r="UIV996" s="2335"/>
      <c r="UIW996" s="2335"/>
      <c r="UIX996" s="2335"/>
      <c r="UIY996" s="2335"/>
      <c r="UIZ996" s="2335"/>
      <c r="UJA996" s="2335"/>
      <c r="UJB996" s="2335"/>
      <c r="UJC996" s="2335"/>
      <c r="UJD996" s="2335"/>
      <c r="UJE996" s="2335"/>
      <c r="UJF996" s="2335"/>
      <c r="UJG996" s="2335"/>
      <c r="UJH996" s="2335"/>
      <c r="UJI996" s="2335"/>
      <c r="UJJ996" s="2335"/>
      <c r="UJK996" s="2335"/>
      <c r="UJL996" s="2335"/>
      <c r="UJM996" s="2335"/>
      <c r="UJN996" s="2335"/>
      <c r="UJO996" s="2335"/>
      <c r="UJP996" s="2335"/>
      <c r="UJQ996" s="2335"/>
      <c r="UJR996" s="2335"/>
      <c r="UJS996" s="2335"/>
      <c r="UJT996" s="2335"/>
      <c r="UJU996" s="2335"/>
      <c r="UJV996" s="2335"/>
      <c r="UJW996" s="2335"/>
      <c r="UJX996" s="2335"/>
      <c r="UJY996" s="2335"/>
      <c r="UJZ996" s="2335"/>
      <c r="UKA996" s="2335"/>
      <c r="UKB996" s="2335"/>
      <c r="UKC996" s="2335"/>
      <c r="UKD996" s="2335"/>
      <c r="UKE996" s="2335"/>
      <c r="UKF996" s="2335"/>
      <c r="UKG996" s="2335"/>
      <c r="UKH996" s="2335"/>
      <c r="UKI996" s="2335"/>
      <c r="UKJ996" s="2335"/>
      <c r="UKK996" s="2335"/>
      <c r="UKL996" s="2335"/>
      <c r="UKM996" s="2335"/>
      <c r="UKN996" s="2335"/>
      <c r="UKO996" s="2335"/>
      <c r="UKP996" s="2335"/>
      <c r="UKQ996" s="2335"/>
      <c r="UKR996" s="2335"/>
      <c r="UKS996" s="2335"/>
      <c r="UKT996" s="2335"/>
      <c r="UKU996" s="2335"/>
      <c r="UKV996" s="2335"/>
      <c r="UKW996" s="2335"/>
      <c r="UKX996" s="2335"/>
      <c r="UKY996" s="2335"/>
      <c r="UKZ996" s="2335"/>
      <c r="ULA996" s="2335"/>
      <c r="ULB996" s="2335"/>
      <c r="ULC996" s="2335"/>
      <c r="ULD996" s="2335"/>
      <c r="ULE996" s="2335"/>
      <c r="ULF996" s="2335"/>
      <c r="ULG996" s="2335"/>
      <c r="ULH996" s="2335"/>
      <c r="ULI996" s="2335"/>
      <c r="ULJ996" s="2335"/>
      <c r="ULK996" s="2335"/>
      <c r="ULL996" s="2335"/>
      <c r="ULM996" s="2335"/>
      <c r="ULN996" s="2335"/>
      <c r="ULO996" s="2335"/>
      <c r="ULP996" s="2335"/>
      <c r="ULQ996" s="2335"/>
      <c r="ULR996" s="2335"/>
      <c r="ULS996" s="2335"/>
      <c r="ULT996" s="2335"/>
      <c r="ULU996" s="2335"/>
      <c r="ULV996" s="2335"/>
      <c r="ULW996" s="2335"/>
      <c r="ULX996" s="2335"/>
      <c r="ULY996" s="2335"/>
      <c r="ULZ996" s="2335"/>
      <c r="UMA996" s="2335"/>
      <c r="UMB996" s="2335"/>
      <c r="UMC996" s="2335"/>
      <c r="UMD996" s="2335"/>
      <c r="UME996" s="2335"/>
      <c r="UMF996" s="2335"/>
      <c r="UMG996" s="2335"/>
      <c r="UMH996" s="2335"/>
      <c r="UMI996" s="2335"/>
      <c r="UMJ996" s="2335"/>
      <c r="UMK996" s="2335"/>
      <c r="UML996" s="2335"/>
      <c r="UMM996" s="2335"/>
      <c r="UMN996" s="2335"/>
      <c r="UMO996" s="2335"/>
      <c r="UMP996" s="2335"/>
      <c r="UMQ996" s="2335"/>
      <c r="UMR996" s="2335"/>
      <c r="UMS996" s="2335"/>
      <c r="UMT996" s="2335"/>
      <c r="UMU996" s="2335"/>
      <c r="UMV996" s="2335"/>
      <c r="UMW996" s="2335"/>
      <c r="UMX996" s="2335"/>
      <c r="UMY996" s="2335"/>
      <c r="UMZ996" s="2335"/>
      <c r="UNA996" s="2335"/>
      <c r="UNB996" s="2335"/>
      <c r="UNC996" s="2335"/>
      <c r="UND996" s="2335"/>
      <c r="UNE996" s="2335"/>
      <c r="UNF996" s="2335"/>
      <c r="UNG996" s="2335"/>
      <c r="UNH996" s="2335"/>
      <c r="UNI996" s="2335"/>
      <c r="UNJ996" s="2335"/>
      <c r="UNK996" s="2335"/>
      <c r="UNL996" s="2335"/>
      <c r="UNM996" s="2335"/>
      <c r="UNN996" s="2335"/>
      <c r="UNO996" s="2335"/>
      <c r="UNP996" s="2335"/>
      <c r="UNQ996" s="2335"/>
      <c r="UNR996" s="2335"/>
      <c r="UNS996" s="2335"/>
      <c r="UNT996" s="2335"/>
      <c r="UNU996" s="2335"/>
      <c r="UNV996" s="2335"/>
      <c r="UNW996" s="2335"/>
      <c r="UNX996" s="2335"/>
      <c r="UNY996" s="2335"/>
      <c r="UNZ996" s="2335"/>
      <c r="UOA996" s="2335"/>
      <c r="UOB996" s="2335"/>
      <c r="UOC996" s="2335"/>
      <c r="UOD996" s="2335"/>
      <c r="UOE996" s="2335"/>
      <c r="UOF996" s="2335"/>
      <c r="UOG996" s="2335"/>
      <c r="UOH996" s="2335"/>
      <c r="UOI996" s="2335"/>
      <c r="UOJ996" s="2335"/>
      <c r="UOK996" s="2335"/>
      <c r="UOL996" s="2335"/>
      <c r="UOM996" s="2335"/>
      <c r="UON996" s="2335"/>
      <c r="UOO996" s="2335"/>
      <c r="UOP996" s="2335"/>
      <c r="UOQ996" s="2335"/>
      <c r="UOR996" s="2335"/>
      <c r="UOS996" s="2335"/>
      <c r="UOT996" s="2335"/>
      <c r="UOU996" s="2335"/>
      <c r="UOV996" s="2335"/>
      <c r="UOW996" s="2335"/>
      <c r="UOX996" s="2335"/>
      <c r="UOY996" s="2335"/>
      <c r="UOZ996" s="2335"/>
      <c r="UPA996" s="2335"/>
      <c r="UPB996" s="2335"/>
      <c r="UPC996" s="2335"/>
      <c r="UPD996" s="2335"/>
      <c r="UPE996" s="2335"/>
      <c r="UPF996" s="2335"/>
      <c r="UPG996" s="2335"/>
      <c r="UPH996" s="2335"/>
      <c r="UPI996" s="2335"/>
      <c r="UPJ996" s="2335"/>
      <c r="UPK996" s="2335"/>
      <c r="UPL996" s="2335"/>
      <c r="UPM996" s="2335"/>
      <c r="UPN996" s="2335"/>
      <c r="UPO996" s="2335"/>
      <c r="UPP996" s="2335"/>
      <c r="UPQ996" s="2335"/>
      <c r="UPR996" s="2335"/>
      <c r="UPS996" s="2335"/>
      <c r="UPT996" s="2335"/>
      <c r="UPU996" s="2335"/>
      <c r="UPV996" s="2335"/>
      <c r="UPW996" s="2335"/>
      <c r="UPX996" s="2335"/>
      <c r="UPY996" s="2335"/>
      <c r="UPZ996" s="2335"/>
      <c r="UQA996" s="2335"/>
      <c r="UQB996" s="2335"/>
      <c r="UQC996" s="2335"/>
      <c r="UQD996" s="2335"/>
      <c r="UQE996" s="2335"/>
      <c r="UQF996" s="2335"/>
      <c r="UQG996" s="2335"/>
      <c r="UQH996" s="2335"/>
      <c r="UQI996" s="2335"/>
      <c r="UQJ996" s="2335"/>
      <c r="UQK996" s="2335"/>
      <c r="UQL996" s="2335"/>
      <c r="UQM996" s="2335"/>
      <c r="UQN996" s="2335"/>
      <c r="UQO996" s="2335"/>
      <c r="UQP996" s="2335"/>
      <c r="UQQ996" s="2335"/>
      <c r="UQR996" s="2335"/>
      <c r="UQS996" s="2335"/>
      <c r="UQT996" s="2335"/>
      <c r="UQU996" s="2335"/>
      <c r="UQV996" s="2335"/>
      <c r="UQW996" s="2335"/>
      <c r="UQX996" s="2335"/>
      <c r="UQY996" s="2335"/>
      <c r="UQZ996" s="2335"/>
      <c r="URA996" s="2335"/>
      <c r="URB996" s="2335"/>
      <c r="URC996" s="2335"/>
      <c r="URD996" s="2335"/>
      <c r="URE996" s="2335"/>
      <c r="URF996" s="2335"/>
      <c r="URG996" s="2335"/>
      <c r="URH996" s="2335"/>
      <c r="URI996" s="2335"/>
      <c r="URJ996" s="2335"/>
      <c r="URK996" s="2335"/>
      <c r="URL996" s="2335"/>
      <c r="URM996" s="2335"/>
      <c r="URN996" s="2335"/>
      <c r="URO996" s="2335"/>
      <c r="URP996" s="2335"/>
      <c r="URQ996" s="2335"/>
      <c r="URR996" s="2335"/>
      <c r="URS996" s="2335"/>
      <c r="URT996" s="2335"/>
      <c r="URU996" s="2335"/>
      <c r="URV996" s="2335"/>
      <c r="URW996" s="2335"/>
      <c r="URX996" s="2335"/>
      <c r="URY996" s="2335"/>
      <c r="URZ996" s="2335"/>
      <c r="USA996" s="2335"/>
      <c r="USB996" s="2335"/>
      <c r="USC996" s="2335"/>
      <c r="USD996" s="2335"/>
      <c r="USE996" s="2335"/>
      <c r="USF996" s="2335"/>
      <c r="USG996" s="2335"/>
      <c r="USH996" s="2335"/>
      <c r="USI996" s="2335"/>
      <c r="USJ996" s="2335"/>
      <c r="USK996" s="2335"/>
      <c r="USL996" s="2335"/>
      <c r="USM996" s="2335"/>
      <c r="USN996" s="2335"/>
      <c r="USO996" s="2335"/>
      <c r="USP996" s="2335"/>
      <c r="USQ996" s="2335"/>
      <c r="USR996" s="2335"/>
      <c r="USS996" s="2335"/>
      <c r="UST996" s="2335"/>
      <c r="USU996" s="2335"/>
      <c r="USV996" s="2335"/>
      <c r="USW996" s="2335"/>
      <c r="USX996" s="2335"/>
      <c r="USY996" s="2335"/>
      <c r="USZ996" s="2335"/>
      <c r="UTA996" s="2335"/>
      <c r="UTB996" s="2335"/>
      <c r="UTC996" s="2335"/>
      <c r="UTD996" s="2335"/>
      <c r="UTE996" s="2335"/>
      <c r="UTF996" s="2335"/>
      <c r="UTG996" s="2335"/>
      <c r="UTH996" s="2335"/>
      <c r="UTI996" s="2335"/>
      <c r="UTJ996" s="2335"/>
      <c r="UTK996" s="2335"/>
      <c r="UTL996" s="2335"/>
      <c r="UTM996" s="2335"/>
      <c r="UTN996" s="2335"/>
      <c r="UTO996" s="2335"/>
      <c r="UTP996" s="2335"/>
      <c r="UTQ996" s="2335"/>
      <c r="UTR996" s="2335"/>
      <c r="UTS996" s="2335"/>
      <c r="UTT996" s="2335"/>
      <c r="UTU996" s="2335"/>
      <c r="UTV996" s="2335"/>
      <c r="UTW996" s="2335"/>
      <c r="UTX996" s="2335"/>
      <c r="UTY996" s="2335"/>
      <c r="UTZ996" s="2335"/>
      <c r="UUA996" s="2335"/>
      <c r="UUB996" s="2335"/>
      <c r="UUC996" s="2335"/>
      <c r="UUD996" s="2335"/>
      <c r="UUE996" s="2335"/>
      <c r="UUF996" s="2335"/>
      <c r="UUG996" s="2335"/>
      <c r="UUH996" s="2335"/>
      <c r="UUI996" s="2335"/>
      <c r="UUJ996" s="2335"/>
      <c r="UUK996" s="2335"/>
      <c r="UUL996" s="2335"/>
      <c r="UUM996" s="2335"/>
      <c r="UUN996" s="2335"/>
      <c r="UUO996" s="2335"/>
      <c r="UUP996" s="2335"/>
      <c r="UUQ996" s="2335"/>
      <c r="UUR996" s="2335"/>
      <c r="UUS996" s="2335"/>
      <c r="UUT996" s="2335"/>
      <c r="UUU996" s="2335"/>
      <c r="UUV996" s="2335"/>
      <c r="UUW996" s="2335"/>
      <c r="UUX996" s="2335"/>
      <c r="UUY996" s="2335"/>
      <c r="UUZ996" s="2335"/>
      <c r="UVA996" s="2335"/>
      <c r="UVB996" s="2335"/>
      <c r="UVC996" s="2335"/>
      <c r="UVD996" s="2335"/>
      <c r="UVE996" s="2335"/>
      <c r="UVF996" s="2335"/>
      <c r="UVG996" s="2335"/>
      <c r="UVH996" s="2335"/>
      <c r="UVI996" s="2335"/>
      <c r="UVJ996" s="2335"/>
      <c r="UVK996" s="2335"/>
      <c r="UVL996" s="2335"/>
      <c r="UVM996" s="2335"/>
      <c r="UVN996" s="2335"/>
      <c r="UVO996" s="2335"/>
      <c r="UVP996" s="2335"/>
      <c r="UVQ996" s="2335"/>
      <c r="UVR996" s="2335"/>
      <c r="UVS996" s="2335"/>
      <c r="UVT996" s="2335"/>
      <c r="UVU996" s="2335"/>
      <c r="UVV996" s="2335"/>
      <c r="UVW996" s="2335"/>
      <c r="UVX996" s="2335"/>
      <c r="UVY996" s="2335"/>
      <c r="UVZ996" s="2335"/>
      <c r="UWA996" s="2335"/>
      <c r="UWB996" s="2335"/>
      <c r="UWC996" s="2335"/>
      <c r="UWD996" s="2335"/>
      <c r="UWE996" s="2335"/>
      <c r="UWF996" s="2335"/>
      <c r="UWG996" s="2335"/>
      <c r="UWH996" s="2335"/>
      <c r="UWI996" s="2335"/>
      <c r="UWJ996" s="2335"/>
      <c r="UWK996" s="2335"/>
      <c r="UWL996" s="2335"/>
      <c r="UWM996" s="2335"/>
      <c r="UWN996" s="2335"/>
      <c r="UWO996" s="2335"/>
      <c r="UWP996" s="2335"/>
      <c r="UWQ996" s="2335"/>
      <c r="UWR996" s="2335"/>
      <c r="UWS996" s="2335"/>
      <c r="UWT996" s="2335"/>
      <c r="UWU996" s="2335"/>
      <c r="UWV996" s="2335"/>
      <c r="UWW996" s="2335"/>
      <c r="UWX996" s="2335"/>
      <c r="UWY996" s="2335"/>
      <c r="UWZ996" s="2335"/>
      <c r="UXA996" s="2335"/>
      <c r="UXB996" s="2335"/>
      <c r="UXC996" s="2335"/>
      <c r="UXD996" s="2335"/>
      <c r="UXE996" s="2335"/>
      <c r="UXF996" s="2335"/>
      <c r="UXG996" s="2335"/>
      <c r="UXH996" s="2335"/>
      <c r="UXI996" s="2335"/>
      <c r="UXJ996" s="2335"/>
      <c r="UXK996" s="2335"/>
      <c r="UXL996" s="2335"/>
      <c r="UXM996" s="2335"/>
      <c r="UXN996" s="2335"/>
      <c r="UXO996" s="2335"/>
      <c r="UXP996" s="2335"/>
      <c r="UXQ996" s="2335"/>
      <c r="UXR996" s="2335"/>
      <c r="UXS996" s="2335"/>
      <c r="UXT996" s="2335"/>
      <c r="UXU996" s="2335"/>
      <c r="UXV996" s="2335"/>
      <c r="UXW996" s="2335"/>
      <c r="UXX996" s="2335"/>
      <c r="UXY996" s="2335"/>
      <c r="UXZ996" s="2335"/>
      <c r="UYA996" s="2335"/>
      <c r="UYB996" s="2335"/>
      <c r="UYC996" s="2335"/>
      <c r="UYD996" s="2335"/>
      <c r="UYE996" s="2335"/>
      <c r="UYF996" s="2335"/>
      <c r="UYG996" s="2335"/>
      <c r="UYH996" s="2335"/>
      <c r="UYI996" s="2335"/>
      <c r="UYJ996" s="2335"/>
      <c r="UYK996" s="2335"/>
      <c r="UYL996" s="2335"/>
      <c r="UYM996" s="2335"/>
      <c r="UYN996" s="2335"/>
      <c r="UYO996" s="2335"/>
      <c r="UYP996" s="2335"/>
      <c r="UYQ996" s="2335"/>
      <c r="UYR996" s="2335"/>
      <c r="UYS996" s="2335"/>
      <c r="UYT996" s="2335"/>
      <c r="UYU996" s="2335"/>
      <c r="UYV996" s="2335"/>
      <c r="UYW996" s="2335"/>
      <c r="UYX996" s="2335"/>
      <c r="UYY996" s="2335"/>
      <c r="UYZ996" s="2335"/>
      <c r="UZA996" s="2335"/>
      <c r="UZB996" s="2335"/>
      <c r="UZC996" s="2335"/>
      <c r="UZD996" s="2335"/>
      <c r="UZE996" s="2335"/>
      <c r="UZF996" s="2335"/>
      <c r="UZG996" s="2335"/>
      <c r="UZH996" s="2335"/>
      <c r="UZI996" s="2335"/>
      <c r="UZJ996" s="2335"/>
      <c r="UZK996" s="2335"/>
      <c r="UZL996" s="2335"/>
      <c r="UZM996" s="2335"/>
      <c r="UZN996" s="2335"/>
      <c r="UZO996" s="2335"/>
      <c r="UZP996" s="2335"/>
      <c r="UZQ996" s="2335"/>
      <c r="UZR996" s="2335"/>
      <c r="UZS996" s="2335"/>
      <c r="UZT996" s="2335"/>
      <c r="UZU996" s="2335"/>
      <c r="UZV996" s="2335"/>
      <c r="UZW996" s="2335"/>
      <c r="UZX996" s="2335"/>
      <c r="UZY996" s="2335"/>
      <c r="UZZ996" s="2335"/>
      <c r="VAA996" s="2335"/>
      <c r="VAB996" s="2335"/>
      <c r="VAC996" s="2335"/>
      <c r="VAD996" s="2335"/>
      <c r="VAE996" s="2335"/>
      <c r="VAF996" s="2335"/>
      <c r="VAG996" s="2335"/>
      <c r="VAH996" s="2335"/>
      <c r="VAI996" s="2335"/>
      <c r="VAJ996" s="2335"/>
      <c r="VAK996" s="2335"/>
      <c r="VAL996" s="2335"/>
      <c r="VAM996" s="2335"/>
      <c r="VAN996" s="2335"/>
      <c r="VAO996" s="2335"/>
      <c r="VAP996" s="2335"/>
      <c r="VAQ996" s="2335"/>
      <c r="VAR996" s="2335"/>
      <c r="VAS996" s="2335"/>
      <c r="VAT996" s="2335"/>
      <c r="VAU996" s="2335"/>
      <c r="VAV996" s="2335"/>
      <c r="VAW996" s="2335"/>
      <c r="VAX996" s="2335"/>
      <c r="VAY996" s="2335"/>
      <c r="VAZ996" s="2335"/>
      <c r="VBA996" s="2335"/>
      <c r="VBB996" s="2335"/>
      <c r="VBC996" s="2335"/>
      <c r="VBD996" s="2335"/>
      <c r="VBE996" s="2335"/>
      <c r="VBF996" s="2335"/>
      <c r="VBG996" s="2335"/>
      <c r="VBH996" s="2335"/>
      <c r="VBI996" s="2335"/>
      <c r="VBJ996" s="2335"/>
      <c r="VBK996" s="2335"/>
      <c r="VBL996" s="2335"/>
      <c r="VBM996" s="2335"/>
      <c r="VBN996" s="2335"/>
      <c r="VBO996" s="2335"/>
      <c r="VBP996" s="2335"/>
      <c r="VBQ996" s="2335"/>
      <c r="VBR996" s="2335"/>
      <c r="VBS996" s="2335"/>
      <c r="VBT996" s="2335"/>
      <c r="VBU996" s="2335"/>
      <c r="VBV996" s="2335"/>
      <c r="VBW996" s="2335"/>
      <c r="VBX996" s="2335"/>
      <c r="VBY996" s="2335"/>
      <c r="VBZ996" s="2335"/>
      <c r="VCA996" s="2335"/>
      <c r="VCB996" s="2335"/>
      <c r="VCC996" s="2335"/>
      <c r="VCD996" s="2335"/>
      <c r="VCE996" s="2335"/>
      <c r="VCF996" s="2335"/>
      <c r="VCG996" s="2335"/>
      <c r="VCH996" s="2335"/>
      <c r="VCI996" s="2335"/>
      <c r="VCJ996" s="2335"/>
      <c r="VCK996" s="2335"/>
      <c r="VCL996" s="2335"/>
      <c r="VCM996" s="2335"/>
      <c r="VCN996" s="2335"/>
      <c r="VCO996" s="2335"/>
      <c r="VCP996" s="2335"/>
      <c r="VCQ996" s="2335"/>
      <c r="VCR996" s="2335"/>
      <c r="VCS996" s="2335"/>
      <c r="VCT996" s="2335"/>
      <c r="VCU996" s="2335"/>
      <c r="VCV996" s="2335"/>
      <c r="VCW996" s="2335"/>
      <c r="VCX996" s="2335"/>
      <c r="VCY996" s="2335"/>
      <c r="VCZ996" s="2335"/>
      <c r="VDA996" s="2335"/>
      <c r="VDB996" s="2335"/>
      <c r="VDC996" s="2335"/>
      <c r="VDD996" s="2335"/>
      <c r="VDE996" s="2335"/>
      <c r="VDF996" s="2335"/>
      <c r="VDG996" s="2335"/>
      <c r="VDH996" s="2335"/>
      <c r="VDI996" s="2335"/>
      <c r="VDJ996" s="2335"/>
      <c r="VDK996" s="2335"/>
      <c r="VDL996" s="2335"/>
      <c r="VDM996" s="2335"/>
      <c r="VDN996" s="2335"/>
      <c r="VDO996" s="2335"/>
      <c r="VDP996" s="2335"/>
      <c r="VDQ996" s="2335"/>
      <c r="VDR996" s="2335"/>
      <c r="VDS996" s="2335"/>
      <c r="VDT996" s="2335"/>
      <c r="VDU996" s="2335"/>
      <c r="VDV996" s="2335"/>
      <c r="VDW996" s="2335"/>
      <c r="VDX996" s="2335"/>
      <c r="VDY996" s="2335"/>
      <c r="VDZ996" s="2335"/>
      <c r="VEA996" s="2335"/>
      <c r="VEB996" s="2335"/>
      <c r="VEC996" s="2335"/>
      <c r="VED996" s="2335"/>
      <c r="VEE996" s="2335"/>
      <c r="VEF996" s="2335"/>
      <c r="VEG996" s="2335"/>
      <c r="VEH996" s="2335"/>
      <c r="VEI996" s="2335"/>
      <c r="VEJ996" s="2335"/>
      <c r="VEK996" s="2335"/>
      <c r="VEL996" s="2335"/>
      <c r="VEM996" s="2335"/>
      <c r="VEN996" s="2335"/>
      <c r="VEO996" s="2335"/>
      <c r="VEP996" s="2335"/>
      <c r="VEQ996" s="2335"/>
      <c r="VER996" s="2335"/>
      <c r="VES996" s="2335"/>
      <c r="VET996" s="2335"/>
      <c r="VEU996" s="2335"/>
      <c r="VEV996" s="2335"/>
      <c r="VEW996" s="2335"/>
      <c r="VEX996" s="2335"/>
      <c r="VEY996" s="2335"/>
      <c r="VEZ996" s="2335"/>
      <c r="VFA996" s="2335"/>
      <c r="VFB996" s="2335"/>
      <c r="VFC996" s="2335"/>
      <c r="VFD996" s="2335"/>
      <c r="VFE996" s="2335"/>
      <c r="VFF996" s="2335"/>
      <c r="VFG996" s="2335"/>
      <c r="VFH996" s="2335"/>
      <c r="VFI996" s="2335"/>
      <c r="VFJ996" s="2335"/>
      <c r="VFK996" s="2335"/>
      <c r="VFL996" s="2335"/>
      <c r="VFM996" s="2335"/>
      <c r="VFN996" s="2335"/>
      <c r="VFO996" s="2335"/>
      <c r="VFP996" s="2335"/>
      <c r="VFQ996" s="2335"/>
      <c r="VFR996" s="2335"/>
      <c r="VFS996" s="2335"/>
      <c r="VFT996" s="2335"/>
      <c r="VFU996" s="2335"/>
      <c r="VFV996" s="2335"/>
      <c r="VFW996" s="2335"/>
      <c r="VFX996" s="2335"/>
      <c r="VFY996" s="2335"/>
      <c r="VFZ996" s="2335"/>
      <c r="VGA996" s="2335"/>
      <c r="VGB996" s="2335"/>
      <c r="VGC996" s="2335"/>
      <c r="VGD996" s="2335"/>
      <c r="VGE996" s="2335"/>
      <c r="VGF996" s="2335"/>
      <c r="VGG996" s="2335"/>
      <c r="VGH996" s="2335"/>
      <c r="VGI996" s="2335"/>
      <c r="VGJ996" s="2335"/>
      <c r="VGK996" s="2335"/>
      <c r="VGL996" s="2335"/>
      <c r="VGM996" s="2335"/>
      <c r="VGN996" s="2335"/>
      <c r="VGO996" s="2335"/>
      <c r="VGP996" s="2335"/>
      <c r="VGQ996" s="2335"/>
      <c r="VGR996" s="2335"/>
      <c r="VGS996" s="2335"/>
      <c r="VGT996" s="2335"/>
      <c r="VGU996" s="2335"/>
      <c r="VGV996" s="2335"/>
      <c r="VGW996" s="2335"/>
      <c r="VGX996" s="2335"/>
      <c r="VGY996" s="2335"/>
      <c r="VGZ996" s="2335"/>
      <c r="VHA996" s="2335"/>
      <c r="VHB996" s="2335"/>
      <c r="VHC996" s="2335"/>
      <c r="VHD996" s="2335"/>
      <c r="VHE996" s="2335"/>
      <c r="VHF996" s="2335"/>
      <c r="VHG996" s="2335"/>
      <c r="VHH996" s="2335"/>
      <c r="VHI996" s="2335"/>
      <c r="VHJ996" s="2335"/>
      <c r="VHK996" s="2335"/>
      <c r="VHL996" s="2335"/>
      <c r="VHM996" s="2335"/>
      <c r="VHN996" s="2335"/>
      <c r="VHO996" s="2335"/>
      <c r="VHP996" s="2335"/>
      <c r="VHQ996" s="2335"/>
      <c r="VHR996" s="2335"/>
      <c r="VHS996" s="2335"/>
      <c r="VHT996" s="2335"/>
      <c r="VHU996" s="2335"/>
      <c r="VHV996" s="2335"/>
      <c r="VHW996" s="2335"/>
      <c r="VHX996" s="2335"/>
      <c r="VHY996" s="2335"/>
      <c r="VHZ996" s="2335"/>
      <c r="VIA996" s="2335"/>
      <c r="VIB996" s="2335"/>
      <c r="VIC996" s="2335"/>
      <c r="VID996" s="2335"/>
      <c r="VIE996" s="2335"/>
      <c r="VIF996" s="2335"/>
      <c r="VIG996" s="2335"/>
      <c r="VIH996" s="2335"/>
      <c r="VII996" s="2335"/>
      <c r="VIJ996" s="2335"/>
      <c r="VIK996" s="2335"/>
      <c r="VIL996" s="2335"/>
      <c r="VIM996" s="2335"/>
      <c r="VIN996" s="2335"/>
      <c r="VIO996" s="2335"/>
      <c r="VIP996" s="2335"/>
      <c r="VIQ996" s="2335"/>
      <c r="VIR996" s="2335"/>
      <c r="VIS996" s="2335"/>
      <c r="VIT996" s="2335"/>
      <c r="VIU996" s="2335"/>
      <c r="VIV996" s="2335"/>
      <c r="VIW996" s="2335"/>
      <c r="VIX996" s="2335"/>
      <c r="VIY996" s="2335"/>
      <c r="VIZ996" s="2335"/>
      <c r="VJA996" s="2335"/>
      <c r="VJB996" s="2335"/>
      <c r="VJC996" s="2335"/>
      <c r="VJD996" s="2335"/>
      <c r="VJE996" s="2335"/>
      <c r="VJF996" s="2335"/>
      <c r="VJG996" s="2335"/>
      <c r="VJH996" s="2335"/>
      <c r="VJI996" s="2335"/>
      <c r="VJJ996" s="2335"/>
      <c r="VJK996" s="2335"/>
      <c r="VJL996" s="2335"/>
      <c r="VJM996" s="2335"/>
      <c r="VJN996" s="2335"/>
      <c r="VJO996" s="2335"/>
      <c r="VJP996" s="2335"/>
      <c r="VJQ996" s="2335"/>
      <c r="VJR996" s="2335"/>
      <c r="VJS996" s="2335"/>
      <c r="VJT996" s="2335"/>
      <c r="VJU996" s="2335"/>
      <c r="VJV996" s="2335"/>
      <c r="VJW996" s="2335"/>
      <c r="VJX996" s="2335"/>
      <c r="VJY996" s="2335"/>
      <c r="VJZ996" s="2335"/>
      <c r="VKA996" s="2335"/>
      <c r="VKB996" s="2335"/>
      <c r="VKC996" s="2335"/>
      <c r="VKD996" s="2335"/>
      <c r="VKE996" s="2335"/>
      <c r="VKF996" s="2335"/>
      <c r="VKG996" s="2335"/>
      <c r="VKH996" s="2335"/>
      <c r="VKI996" s="2335"/>
      <c r="VKJ996" s="2335"/>
      <c r="VKK996" s="2335"/>
      <c r="VKL996" s="2335"/>
      <c r="VKM996" s="2335"/>
      <c r="VKN996" s="2335"/>
      <c r="VKO996" s="2335"/>
      <c r="VKP996" s="2335"/>
      <c r="VKQ996" s="2335"/>
      <c r="VKR996" s="2335"/>
      <c r="VKS996" s="2335"/>
      <c r="VKT996" s="2335"/>
      <c r="VKU996" s="2335"/>
      <c r="VKV996" s="2335"/>
      <c r="VKW996" s="2335"/>
      <c r="VKX996" s="2335"/>
      <c r="VKY996" s="2335"/>
      <c r="VKZ996" s="2335"/>
      <c r="VLA996" s="2335"/>
      <c r="VLB996" s="2335"/>
      <c r="VLC996" s="2335"/>
      <c r="VLD996" s="2335"/>
      <c r="VLE996" s="2335"/>
      <c r="VLF996" s="2335"/>
      <c r="VLG996" s="2335"/>
      <c r="VLH996" s="2335"/>
      <c r="VLI996" s="2335"/>
      <c r="VLJ996" s="2335"/>
      <c r="VLK996" s="2335"/>
      <c r="VLL996" s="2335"/>
      <c r="VLM996" s="2335"/>
      <c r="VLN996" s="2335"/>
      <c r="VLO996" s="2335"/>
      <c r="VLP996" s="2335"/>
      <c r="VLQ996" s="2335"/>
      <c r="VLR996" s="2335"/>
      <c r="VLS996" s="2335"/>
      <c r="VLT996" s="2335"/>
      <c r="VLU996" s="2335"/>
      <c r="VLV996" s="2335"/>
      <c r="VLW996" s="2335"/>
      <c r="VLX996" s="2335"/>
      <c r="VLY996" s="2335"/>
      <c r="VLZ996" s="2335"/>
      <c r="VMA996" s="2335"/>
      <c r="VMB996" s="2335"/>
      <c r="VMC996" s="2335"/>
      <c r="VMD996" s="2335"/>
      <c r="VME996" s="2335"/>
      <c r="VMF996" s="2335"/>
      <c r="VMG996" s="2335"/>
      <c r="VMH996" s="2335"/>
      <c r="VMI996" s="2335"/>
      <c r="VMJ996" s="2335"/>
      <c r="VMK996" s="2335"/>
      <c r="VML996" s="2335"/>
      <c r="VMM996" s="2335"/>
      <c r="VMN996" s="2335"/>
      <c r="VMO996" s="2335"/>
      <c r="VMP996" s="2335"/>
      <c r="VMQ996" s="2335"/>
      <c r="VMR996" s="2335"/>
      <c r="VMS996" s="2335"/>
      <c r="VMT996" s="2335"/>
      <c r="VMU996" s="2335"/>
      <c r="VMV996" s="2335"/>
      <c r="VMW996" s="2335"/>
      <c r="VMX996" s="2335"/>
      <c r="VMY996" s="2335"/>
      <c r="VMZ996" s="2335"/>
      <c r="VNA996" s="2335"/>
      <c r="VNB996" s="2335"/>
      <c r="VNC996" s="2335"/>
      <c r="VND996" s="2335"/>
      <c r="VNE996" s="2335"/>
      <c r="VNF996" s="2335"/>
      <c r="VNG996" s="2335"/>
      <c r="VNH996" s="2335"/>
      <c r="VNI996" s="2335"/>
      <c r="VNJ996" s="2335"/>
      <c r="VNK996" s="2335"/>
      <c r="VNL996" s="2335"/>
      <c r="VNM996" s="2335"/>
      <c r="VNN996" s="2335"/>
      <c r="VNO996" s="2335"/>
      <c r="VNP996" s="2335"/>
      <c r="VNQ996" s="2335"/>
      <c r="VNR996" s="2335"/>
      <c r="VNS996" s="2335"/>
      <c r="VNT996" s="2335"/>
      <c r="VNU996" s="2335"/>
      <c r="VNV996" s="2335"/>
      <c r="VNW996" s="2335"/>
      <c r="VNX996" s="2335"/>
      <c r="VNY996" s="2335"/>
      <c r="VNZ996" s="2335"/>
      <c r="VOA996" s="2335"/>
      <c r="VOB996" s="2335"/>
      <c r="VOC996" s="2335"/>
      <c r="VOD996" s="2335"/>
      <c r="VOE996" s="2335"/>
      <c r="VOF996" s="2335"/>
      <c r="VOG996" s="2335"/>
      <c r="VOH996" s="2335"/>
      <c r="VOI996" s="2335"/>
      <c r="VOJ996" s="2335"/>
      <c r="VOK996" s="2335"/>
      <c r="VOL996" s="2335"/>
      <c r="VOM996" s="2335"/>
      <c r="VON996" s="2335"/>
      <c r="VOO996" s="2335"/>
      <c r="VOP996" s="2335"/>
      <c r="VOQ996" s="2335"/>
      <c r="VOR996" s="2335"/>
      <c r="VOS996" s="2335"/>
      <c r="VOT996" s="2335"/>
      <c r="VOU996" s="2335"/>
      <c r="VOV996" s="2335"/>
      <c r="VOW996" s="2335"/>
      <c r="VOX996" s="2335"/>
      <c r="VOY996" s="2335"/>
      <c r="VOZ996" s="2335"/>
      <c r="VPA996" s="2335"/>
      <c r="VPB996" s="2335"/>
      <c r="VPC996" s="2335"/>
      <c r="VPD996" s="2335"/>
      <c r="VPE996" s="2335"/>
      <c r="VPF996" s="2335"/>
      <c r="VPG996" s="2335"/>
      <c r="VPH996" s="2335"/>
      <c r="VPI996" s="2335"/>
      <c r="VPJ996" s="2335"/>
      <c r="VPK996" s="2335"/>
      <c r="VPL996" s="2335"/>
      <c r="VPM996" s="2335"/>
      <c r="VPN996" s="2335"/>
      <c r="VPO996" s="2335"/>
      <c r="VPP996" s="2335"/>
      <c r="VPQ996" s="2335"/>
      <c r="VPR996" s="2335"/>
      <c r="VPS996" s="2335"/>
      <c r="VPT996" s="2335"/>
      <c r="VPU996" s="2335"/>
      <c r="VPV996" s="2335"/>
      <c r="VPW996" s="2335"/>
      <c r="VPX996" s="2335"/>
      <c r="VPY996" s="2335"/>
      <c r="VPZ996" s="2335"/>
      <c r="VQA996" s="2335"/>
      <c r="VQB996" s="2335"/>
      <c r="VQC996" s="2335"/>
      <c r="VQD996" s="2335"/>
      <c r="VQE996" s="2335"/>
      <c r="VQF996" s="2335"/>
      <c r="VQG996" s="2335"/>
      <c r="VQH996" s="2335"/>
      <c r="VQI996" s="2335"/>
      <c r="VQJ996" s="2335"/>
      <c r="VQK996" s="2335"/>
      <c r="VQL996" s="2335"/>
      <c r="VQM996" s="2335"/>
      <c r="VQN996" s="2335"/>
      <c r="VQO996" s="2335"/>
      <c r="VQP996" s="2335"/>
      <c r="VQQ996" s="2335"/>
      <c r="VQR996" s="2335"/>
      <c r="VQS996" s="2335"/>
      <c r="VQT996" s="2335"/>
      <c r="VQU996" s="2335"/>
      <c r="VQV996" s="2335"/>
      <c r="VQW996" s="2335"/>
      <c r="VQX996" s="2335"/>
      <c r="VQY996" s="2335"/>
      <c r="VQZ996" s="2335"/>
      <c r="VRA996" s="2335"/>
      <c r="VRB996" s="2335"/>
      <c r="VRC996" s="2335"/>
      <c r="VRD996" s="2335"/>
      <c r="VRE996" s="2335"/>
      <c r="VRF996" s="2335"/>
      <c r="VRG996" s="2335"/>
      <c r="VRH996" s="2335"/>
      <c r="VRI996" s="2335"/>
      <c r="VRJ996" s="2335"/>
      <c r="VRK996" s="2335"/>
      <c r="VRL996" s="2335"/>
      <c r="VRM996" s="2335"/>
      <c r="VRN996" s="2335"/>
      <c r="VRO996" s="2335"/>
      <c r="VRP996" s="2335"/>
      <c r="VRQ996" s="2335"/>
      <c r="VRR996" s="2335"/>
      <c r="VRS996" s="2335"/>
      <c r="VRT996" s="2335"/>
      <c r="VRU996" s="2335"/>
      <c r="VRV996" s="2335"/>
      <c r="VRW996" s="2335"/>
      <c r="VRX996" s="2335"/>
      <c r="VRY996" s="2335"/>
      <c r="VRZ996" s="2335"/>
      <c r="VSA996" s="2335"/>
      <c r="VSB996" s="2335"/>
      <c r="VSC996" s="2335"/>
      <c r="VSD996" s="2335"/>
      <c r="VSE996" s="2335"/>
      <c r="VSF996" s="2335"/>
      <c r="VSG996" s="2335"/>
      <c r="VSH996" s="2335"/>
      <c r="VSI996" s="2335"/>
      <c r="VSJ996" s="2335"/>
      <c r="VSK996" s="2335"/>
      <c r="VSL996" s="2335"/>
      <c r="VSM996" s="2335"/>
      <c r="VSN996" s="2335"/>
      <c r="VSO996" s="2335"/>
      <c r="VSP996" s="2335"/>
      <c r="VSQ996" s="2335"/>
      <c r="VSR996" s="2335"/>
      <c r="VSS996" s="2335"/>
      <c r="VST996" s="2335"/>
      <c r="VSU996" s="2335"/>
      <c r="VSV996" s="2335"/>
      <c r="VSW996" s="2335"/>
      <c r="VSX996" s="2335"/>
      <c r="VSY996" s="2335"/>
      <c r="VSZ996" s="2335"/>
      <c r="VTA996" s="2335"/>
      <c r="VTB996" s="2335"/>
      <c r="VTC996" s="2335"/>
      <c r="VTD996" s="2335"/>
      <c r="VTE996" s="2335"/>
      <c r="VTF996" s="2335"/>
      <c r="VTG996" s="2335"/>
      <c r="VTH996" s="2335"/>
      <c r="VTI996" s="2335"/>
      <c r="VTJ996" s="2335"/>
      <c r="VTK996" s="2335"/>
      <c r="VTL996" s="2335"/>
      <c r="VTM996" s="2335"/>
      <c r="VTN996" s="2335"/>
      <c r="VTO996" s="2335"/>
      <c r="VTP996" s="2335"/>
      <c r="VTQ996" s="2335"/>
      <c r="VTR996" s="2335"/>
      <c r="VTS996" s="2335"/>
      <c r="VTT996" s="2335"/>
      <c r="VTU996" s="2335"/>
      <c r="VTV996" s="2335"/>
      <c r="VTW996" s="2335"/>
      <c r="VTX996" s="2335"/>
      <c r="VTY996" s="2335"/>
      <c r="VTZ996" s="2335"/>
      <c r="VUA996" s="2335"/>
      <c r="VUB996" s="2335"/>
      <c r="VUC996" s="2335"/>
      <c r="VUD996" s="2335"/>
      <c r="VUE996" s="2335"/>
      <c r="VUF996" s="2335"/>
      <c r="VUG996" s="2335"/>
      <c r="VUH996" s="2335"/>
      <c r="VUI996" s="2335"/>
      <c r="VUJ996" s="2335"/>
      <c r="VUK996" s="2335"/>
      <c r="VUL996" s="2335"/>
      <c r="VUM996" s="2335"/>
      <c r="VUN996" s="2335"/>
      <c r="VUO996" s="2335"/>
      <c r="VUP996" s="2335"/>
      <c r="VUQ996" s="2335"/>
      <c r="VUR996" s="2335"/>
      <c r="VUS996" s="2335"/>
      <c r="VUT996" s="2335"/>
      <c r="VUU996" s="2335"/>
      <c r="VUV996" s="2335"/>
      <c r="VUW996" s="2335"/>
      <c r="VUX996" s="2335"/>
      <c r="VUY996" s="2335"/>
      <c r="VUZ996" s="2335"/>
      <c r="VVA996" s="2335"/>
      <c r="VVB996" s="2335"/>
      <c r="VVC996" s="2335"/>
      <c r="VVD996" s="2335"/>
      <c r="VVE996" s="2335"/>
      <c r="VVF996" s="2335"/>
      <c r="VVG996" s="2335"/>
      <c r="VVH996" s="2335"/>
      <c r="VVI996" s="2335"/>
      <c r="VVJ996" s="2335"/>
      <c r="VVK996" s="2335"/>
      <c r="VVL996" s="2335"/>
      <c r="VVM996" s="2335"/>
      <c r="VVN996" s="2335"/>
      <c r="VVO996" s="2335"/>
      <c r="VVP996" s="2335"/>
      <c r="VVQ996" s="2335"/>
      <c r="VVR996" s="2335"/>
      <c r="VVS996" s="2335"/>
      <c r="VVT996" s="2335"/>
      <c r="VVU996" s="2335"/>
      <c r="VVV996" s="2335"/>
      <c r="VVW996" s="2335"/>
      <c r="VVX996" s="2335"/>
      <c r="VVY996" s="2335"/>
      <c r="VVZ996" s="2335"/>
      <c r="VWA996" s="2335"/>
      <c r="VWB996" s="2335"/>
      <c r="VWC996" s="2335"/>
      <c r="VWD996" s="2335"/>
      <c r="VWE996" s="2335"/>
      <c r="VWF996" s="2335"/>
      <c r="VWG996" s="2335"/>
      <c r="VWH996" s="2335"/>
      <c r="VWI996" s="2335"/>
      <c r="VWJ996" s="2335"/>
      <c r="VWK996" s="2335"/>
      <c r="VWL996" s="2335"/>
      <c r="VWM996" s="2335"/>
      <c r="VWN996" s="2335"/>
      <c r="VWO996" s="2335"/>
      <c r="VWP996" s="2335"/>
      <c r="VWQ996" s="2335"/>
      <c r="VWR996" s="2335"/>
      <c r="VWS996" s="2335"/>
      <c r="VWT996" s="2335"/>
      <c r="VWU996" s="2335"/>
      <c r="VWV996" s="2335"/>
      <c r="VWW996" s="2335"/>
      <c r="VWX996" s="2335"/>
      <c r="VWY996" s="2335"/>
      <c r="VWZ996" s="2335"/>
      <c r="VXA996" s="2335"/>
      <c r="VXB996" s="2335"/>
      <c r="VXC996" s="2335"/>
      <c r="VXD996" s="2335"/>
      <c r="VXE996" s="2335"/>
      <c r="VXF996" s="2335"/>
      <c r="VXG996" s="2335"/>
      <c r="VXH996" s="2335"/>
      <c r="VXI996" s="2335"/>
      <c r="VXJ996" s="2335"/>
      <c r="VXK996" s="2335"/>
      <c r="VXL996" s="2335"/>
      <c r="VXM996" s="2335"/>
      <c r="VXN996" s="2335"/>
      <c r="VXO996" s="2335"/>
      <c r="VXP996" s="2335"/>
      <c r="VXQ996" s="2335"/>
      <c r="VXR996" s="2335"/>
      <c r="VXS996" s="2335"/>
      <c r="VXT996" s="2335"/>
      <c r="VXU996" s="2335"/>
      <c r="VXV996" s="2335"/>
      <c r="VXW996" s="2335"/>
      <c r="VXX996" s="2335"/>
      <c r="VXY996" s="2335"/>
      <c r="VXZ996" s="2335"/>
      <c r="VYA996" s="2335"/>
      <c r="VYB996" s="2335"/>
      <c r="VYC996" s="2335"/>
      <c r="VYD996" s="2335"/>
      <c r="VYE996" s="2335"/>
      <c r="VYF996" s="2335"/>
      <c r="VYG996" s="2335"/>
      <c r="VYH996" s="2335"/>
      <c r="VYI996" s="2335"/>
      <c r="VYJ996" s="2335"/>
      <c r="VYK996" s="2335"/>
      <c r="VYL996" s="2335"/>
      <c r="VYM996" s="2335"/>
      <c r="VYN996" s="2335"/>
      <c r="VYO996" s="2335"/>
      <c r="VYP996" s="2335"/>
      <c r="VYQ996" s="2335"/>
      <c r="VYR996" s="2335"/>
      <c r="VYS996" s="2335"/>
      <c r="VYT996" s="2335"/>
      <c r="VYU996" s="2335"/>
      <c r="VYV996" s="2335"/>
      <c r="VYW996" s="2335"/>
      <c r="VYX996" s="2335"/>
      <c r="VYY996" s="2335"/>
      <c r="VYZ996" s="2335"/>
      <c r="VZA996" s="2335"/>
      <c r="VZB996" s="2335"/>
      <c r="VZC996" s="2335"/>
      <c r="VZD996" s="2335"/>
      <c r="VZE996" s="2335"/>
      <c r="VZF996" s="2335"/>
      <c r="VZG996" s="2335"/>
      <c r="VZH996" s="2335"/>
      <c r="VZI996" s="2335"/>
      <c r="VZJ996" s="2335"/>
      <c r="VZK996" s="2335"/>
      <c r="VZL996" s="2335"/>
      <c r="VZM996" s="2335"/>
      <c r="VZN996" s="2335"/>
      <c r="VZO996" s="2335"/>
      <c r="VZP996" s="2335"/>
      <c r="VZQ996" s="2335"/>
      <c r="VZR996" s="2335"/>
      <c r="VZS996" s="2335"/>
      <c r="VZT996" s="2335"/>
      <c r="VZU996" s="2335"/>
      <c r="VZV996" s="2335"/>
      <c r="VZW996" s="2335"/>
      <c r="VZX996" s="2335"/>
      <c r="VZY996" s="2335"/>
      <c r="VZZ996" s="2335"/>
      <c r="WAA996" s="2335"/>
      <c r="WAB996" s="2335"/>
      <c r="WAC996" s="2335"/>
      <c r="WAD996" s="2335"/>
      <c r="WAE996" s="2335"/>
      <c r="WAF996" s="2335"/>
      <c r="WAG996" s="2335"/>
      <c r="WAH996" s="2335"/>
      <c r="WAI996" s="2335"/>
      <c r="WAJ996" s="2335"/>
      <c r="WAK996" s="2335"/>
      <c r="WAL996" s="2335"/>
      <c r="WAM996" s="2335"/>
      <c r="WAN996" s="2335"/>
      <c r="WAO996" s="2335"/>
      <c r="WAP996" s="2335"/>
      <c r="WAQ996" s="2335"/>
      <c r="WAR996" s="2335"/>
      <c r="WAS996" s="2335"/>
      <c r="WAT996" s="2335"/>
      <c r="WAU996" s="2335"/>
      <c r="WAV996" s="2335"/>
      <c r="WAW996" s="2335"/>
      <c r="WAX996" s="2335"/>
      <c r="WAY996" s="2335"/>
      <c r="WAZ996" s="2335"/>
      <c r="WBA996" s="2335"/>
      <c r="WBB996" s="2335"/>
      <c r="WBC996" s="2335"/>
      <c r="WBD996" s="2335"/>
      <c r="WBE996" s="2335"/>
      <c r="WBF996" s="2335"/>
      <c r="WBG996" s="2335"/>
      <c r="WBH996" s="2335"/>
      <c r="WBI996" s="2335"/>
      <c r="WBJ996" s="2335"/>
      <c r="WBK996" s="2335"/>
      <c r="WBL996" s="2335"/>
      <c r="WBM996" s="2335"/>
      <c r="WBN996" s="2335"/>
      <c r="WBO996" s="2335"/>
      <c r="WBP996" s="2335"/>
      <c r="WBQ996" s="2335"/>
      <c r="WBR996" s="2335"/>
      <c r="WBS996" s="2335"/>
      <c r="WBT996" s="2335"/>
      <c r="WBU996" s="2335"/>
      <c r="WBV996" s="2335"/>
      <c r="WBW996" s="2335"/>
      <c r="WBX996" s="2335"/>
      <c r="WBY996" s="2335"/>
      <c r="WBZ996" s="2335"/>
      <c r="WCA996" s="2335"/>
      <c r="WCB996" s="2335"/>
      <c r="WCC996" s="2335"/>
      <c r="WCD996" s="2335"/>
      <c r="WCE996" s="2335"/>
      <c r="WCF996" s="2335"/>
      <c r="WCG996" s="2335"/>
      <c r="WCH996" s="2335"/>
      <c r="WCI996" s="2335"/>
      <c r="WCJ996" s="2335"/>
      <c r="WCK996" s="2335"/>
      <c r="WCL996" s="2335"/>
      <c r="WCM996" s="2335"/>
      <c r="WCN996" s="2335"/>
      <c r="WCO996" s="2335"/>
      <c r="WCP996" s="2335"/>
      <c r="WCQ996" s="2335"/>
      <c r="WCR996" s="2335"/>
      <c r="WCS996" s="2335"/>
      <c r="WCT996" s="2335"/>
      <c r="WCU996" s="2335"/>
      <c r="WCV996" s="2335"/>
      <c r="WCW996" s="2335"/>
      <c r="WCX996" s="2335"/>
      <c r="WCY996" s="2335"/>
      <c r="WCZ996" s="2335"/>
      <c r="WDA996" s="2335"/>
      <c r="WDB996" s="2335"/>
      <c r="WDC996" s="2335"/>
      <c r="WDD996" s="2335"/>
      <c r="WDE996" s="2335"/>
      <c r="WDF996" s="2335"/>
      <c r="WDG996" s="2335"/>
      <c r="WDH996" s="2335"/>
      <c r="WDI996" s="2335"/>
      <c r="WDJ996" s="2335"/>
      <c r="WDK996" s="2335"/>
      <c r="WDL996" s="2335"/>
      <c r="WDM996" s="2335"/>
      <c r="WDN996" s="2335"/>
      <c r="WDO996" s="2335"/>
      <c r="WDP996" s="2335"/>
      <c r="WDQ996" s="2335"/>
      <c r="WDR996" s="2335"/>
      <c r="WDS996" s="2335"/>
      <c r="WDT996" s="2335"/>
      <c r="WDU996" s="2335"/>
      <c r="WDV996" s="2335"/>
      <c r="WDW996" s="2335"/>
      <c r="WDX996" s="2335"/>
      <c r="WDY996" s="2335"/>
      <c r="WDZ996" s="2335"/>
      <c r="WEA996" s="2335"/>
      <c r="WEB996" s="2335"/>
      <c r="WEC996" s="2335"/>
      <c r="WED996" s="2335"/>
      <c r="WEE996" s="2335"/>
      <c r="WEF996" s="2335"/>
      <c r="WEG996" s="2335"/>
      <c r="WEH996" s="2335"/>
      <c r="WEI996" s="2335"/>
      <c r="WEJ996" s="2335"/>
      <c r="WEK996" s="2335"/>
      <c r="WEL996" s="2335"/>
      <c r="WEM996" s="2335"/>
      <c r="WEN996" s="2335"/>
      <c r="WEO996" s="2335"/>
      <c r="WEP996" s="2335"/>
      <c r="WEQ996" s="2335"/>
      <c r="WER996" s="2335"/>
      <c r="WES996" s="2335"/>
      <c r="WET996" s="2335"/>
      <c r="WEU996" s="2335"/>
      <c r="WEV996" s="2335"/>
      <c r="WEW996" s="2335"/>
      <c r="WEX996" s="2335"/>
      <c r="WEY996" s="2335"/>
      <c r="WEZ996" s="2335"/>
      <c r="WFA996" s="2335"/>
      <c r="WFB996" s="2335"/>
      <c r="WFC996" s="2335"/>
      <c r="WFD996" s="2335"/>
      <c r="WFE996" s="2335"/>
      <c r="WFF996" s="2335"/>
      <c r="WFG996" s="2335"/>
      <c r="WFH996" s="2335"/>
      <c r="WFI996" s="2335"/>
      <c r="WFJ996" s="2335"/>
      <c r="WFK996" s="2335"/>
      <c r="WFL996" s="2335"/>
      <c r="WFM996" s="2335"/>
      <c r="WFN996" s="2335"/>
      <c r="WFO996" s="2335"/>
      <c r="WFP996" s="2335"/>
      <c r="WFQ996" s="2335"/>
      <c r="WFR996" s="2335"/>
      <c r="WFS996" s="2335"/>
      <c r="WFT996" s="2335"/>
      <c r="WFU996" s="2335"/>
      <c r="WFV996" s="2335"/>
      <c r="WFW996" s="2335"/>
      <c r="WFX996" s="2335"/>
      <c r="WFY996" s="2335"/>
      <c r="WFZ996" s="2335"/>
      <c r="WGA996" s="2335"/>
      <c r="WGB996" s="2335"/>
      <c r="WGC996" s="2335"/>
      <c r="WGD996" s="2335"/>
      <c r="WGE996" s="2335"/>
      <c r="WGF996" s="2335"/>
      <c r="WGG996" s="2335"/>
      <c r="WGH996" s="2335"/>
      <c r="WGI996" s="2335"/>
      <c r="WGJ996" s="2335"/>
      <c r="WGK996" s="2335"/>
      <c r="WGL996" s="2335"/>
      <c r="WGM996" s="2335"/>
      <c r="WGN996" s="2335"/>
      <c r="WGO996" s="2335"/>
      <c r="WGP996" s="2335"/>
      <c r="WGQ996" s="2335"/>
      <c r="WGR996" s="2335"/>
      <c r="WGS996" s="2335"/>
      <c r="WGT996" s="2335"/>
      <c r="WGU996" s="2335"/>
      <c r="WGV996" s="2335"/>
      <c r="WGW996" s="2335"/>
      <c r="WGX996" s="2335"/>
      <c r="WGY996" s="2335"/>
      <c r="WGZ996" s="2335"/>
      <c r="WHA996" s="2335"/>
      <c r="WHB996" s="2335"/>
      <c r="WHC996" s="2335"/>
      <c r="WHD996" s="2335"/>
      <c r="WHE996" s="2335"/>
      <c r="WHF996" s="2335"/>
      <c r="WHG996" s="2335"/>
      <c r="WHH996" s="2335"/>
      <c r="WHI996" s="2335"/>
      <c r="WHJ996" s="2335"/>
      <c r="WHK996" s="2335"/>
      <c r="WHL996" s="2335"/>
      <c r="WHM996" s="2335"/>
      <c r="WHN996" s="2335"/>
      <c r="WHO996" s="2335"/>
      <c r="WHP996" s="2335"/>
      <c r="WHQ996" s="2335"/>
      <c r="WHR996" s="2335"/>
      <c r="WHS996" s="2335"/>
      <c r="WHT996" s="2335"/>
      <c r="WHU996" s="2335"/>
      <c r="WHV996" s="2335"/>
      <c r="WHW996" s="2335"/>
      <c r="WHX996" s="2335"/>
      <c r="WHY996" s="2335"/>
      <c r="WHZ996" s="2335"/>
      <c r="WIA996" s="2335"/>
      <c r="WIB996" s="2335"/>
      <c r="WIC996" s="2335"/>
      <c r="WID996" s="2335"/>
      <c r="WIE996" s="2335"/>
      <c r="WIF996" s="2335"/>
      <c r="WIG996" s="2335"/>
      <c r="WIH996" s="2335"/>
      <c r="WII996" s="2335"/>
      <c r="WIJ996" s="2335"/>
      <c r="WIK996" s="2335"/>
      <c r="WIL996" s="2335"/>
      <c r="WIM996" s="2335"/>
      <c r="WIN996" s="2335"/>
      <c r="WIO996" s="2335"/>
      <c r="WIP996" s="2335"/>
      <c r="WIQ996" s="2335"/>
      <c r="WIR996" s="2335"/>
      <c r="WIS996" s="2335"/>
      <c r="WIT996" s="2335"/>
      <c r="WIU996" s="2335"/>
      <c r="WIV996" s="2335"/>
      <c r="WIW996" s="2335"/>
      <c r="WIX996" s="2335"/>
      <c r="WIY996" s="2335"/>
      <c r="WIZ996" s="2335"/>
      <c r="WJA996" s="2335"/>
      <c r="WJB996" s="2335"/>
      <c r="WJC996" s="2335"/>
      <c r="WJD996" s="2335"/>
      <c r="WJE996" s="2335"/>
      <c r="WJF996" s="2335"/>
      <c r="WJG996" s="2335"/>
      <c r="WJH996" s="2335"/>
      <c r="WJI996" s="2335"/>
      <c r="WJJ996" s="2335"/>
      <c r="WJK996" s="2335"/>
      <c r="WJL996" s="2335"/>
      <c r="WJM996" s="2335"/>
      <c r="WJN996" s="2335"/>
      <c r="WJO996" s="2335"/>
      <c r="WJP996" s="2335"/>
      <c r="WJQ996" s="2335"/>
      <c r="WJR996" s="2335"/>
      <c r="WJS996" s="2335"/>
      <c r="WJT996" s="2335"/>
      <c r="WJU996" s="2335"/>
      <c r="WJV996" s="2335"/>
      <c r="WJW996" s="2335"/>
      <c r="WJX996" s="2335"/>
      <c r="WJY996" s="2335"/>
      <c r="WJZ996" s="2335"/>
      <c r="WKA996" s="2335"/>
      <c r="WKB996" s="2335"/>
      <c r="WKC996" s="2335"/>
      <c r="WKD996" s="2335"/>
      <c r="WKE996" s="2335"/>
      <c r="WKF996" s="2335"/>
      <c r="WKG996" s="2335"/>
      <c r="WKH996" s="2335"/>
      <c r="WKI996" s="2335"/>
      <c r="WKJ996" s="2335"/>
      <c r="WKK996" s="2335"/>
      <c r="WKL996" s="2335"/>
      <c r="WKM996" s="2335"/>
      <c r="WKN996" s="2335"/>
      <c r="WKO996" s="2335"/>
      <c r="WKP996" s="2335"/>
      <c r="WKQ996" s="2335"/>
      <c r="WKR996" s="2335"/>
      <c r="WKS996" s="2335"/>
      <c r="WKT996" s="2335"/>
      <c r="WKU996" s="2335"/>
      <c r="WKV996" s="2335"/>
      <c r="WKW996" s="2335"/>
      <c r="WKX996" s="2335"/>
      <c r="WKY996" s="2335"/>
      <c r="WKZ996" s="2335"/>
      <c r="WLA996" s="2335"/>
      <c r="WLB996" s="2335"/>
      <c r="WLC996" s="2335"/>
      <c r="WLD996" s="2335"/>
      <c r="WLE996" s="2335"/>
      <c r="WLF996" s="2335"/>
      <c r="WLG996" s="2335"/>
      <c r="WLH996" s="2335"/>
      <c r="WLI996" s="2335"/>
      <c r="WLJ996" s="2335"/>
      <c r="WLK996" s="2335"/>
      <c r="WLL996" s="2335"/>
      <c r="WLM996" s="2335"/>
      <c r="WLN996" s="2335"/>
      <c r="WLO996" s="2335"/>
      <c r="WLP996" s="2335"/>
      <c r="WLQ996" s="2335"/>
      <c r="WLR996" s="2335"/>
      <c r="WLS996" s="2335"/>
      <c r="WLT996" s="2335"/>
      <c r="WLU996" s="2335"/>
      <c r="WLV996" s="2335"/>
      <c r="WLW996" s="2335"/>
      <c r="WLX996" s="2335"/>
      <c r="WLY996" s="2335"/>
      <c r="WLZ996" s="2335"/>
      <c r="WMA996" s="2335"/>
      <c r="WMB996" s="2335"/>
      <c r="WMC996" s="2335"/>
      <c r="WMD996" s="2335"/>
      <c r="WME996" s="2335"/>
      <c r="WMF996" s="2335"/>
      <c r="WMG996" s="2335"/>
      <c r="WMH996" s="2335"/>
      <c r="WMI996" s="2335"/>
      <c r="WMJ996" s="2335"/>
      <c r="WMK996" s="2335"/>
      <c r="WML996" s="2335"/>
      <c r="WMM996" s="2335"/>
      <c r="WMN996" s="2335"/>
      <c r="WMO996" s="2335"/>
      <c r="WMP996" s="2335"/>
      <c r="WMQ996" s="2335"/>
      <c r="WMR996" s="2335"/>
      <c r="WMS996" s="2335"/>
      <c r="WMT996" s="2335"/>
      <c r="WMU996" s="2335"/>
      <c r="WMV996" s="2335"/>
      <c r="WMW996" s="2335"/>
      <c r="WMX996" s="2335"/>
      <c r="WMY996" s="2335"/>
      <c r="WMZ996" s="2335"/>
      <c r="WNA996" s="2335"/>
      <c r="WNB996" s="2335"/>
      <c r="WNC996" s="2335"/>
      <c r="WND996" s="2335"/>
      <c r="WNE996" s="2335"/>
      <c r="WNF996" s="2335"/>
      <c r="WNG996" s="2335"/>
      <c r="WNH996" s="2335"/>
      <c r="WNI996" s="2335"/>
      <c r="WNJ996" s="2335"/>
      <c r="WNK996" s="2335"/>
      <c r="WNL996" s="2335"/>
      <c r="WNM996" s="2335"/>
      <c r="WNN996" s="2335"/>
      <c r="WNO996" s="2335"/>
      <c r="WNP996" s="2335"/>
      <c r="WNQ996" s="2335"/>
      <c r="WNR996" s="2335"/>
      <c r="WNS996" s="2335"/>
      <c r="WNT996" s="2335"/>
      <c r="WNU996" s="2335"/>
      <c r="WNV996" s="2335"/>
      <c r="WNW996" s="2335"/>
      <c r="WNX996" s="2335"/>
      <c r="WNY996" s="2335"/>
      <c r="WNZ996" s="2335"/>
      <c r="WOA996" s="2335"/>
      <c r="WOB996" s="2335"/>
      <c r="WOC996" s="2335"/>
      <c r="WOD996" s="2335"/>
      <c r="WOE996" s="2335"/>
      <c r="WOF996" s="2335"/>
      <c r="WOG996" s="2335"/>
      <c r="WOH996" s="2335"/>
      <c r="WOI996" s="2335"/>
      <c r="WOJ996" s="2335"/>
      <c r="WOK996" s="2335"/>
      <c r="WOL996" s="2335"/>
      <c r="WOM996" s="2335"/>
      <c r="WON996" s="2335"/>
      <c r="WOO996" s="2335"/>
      <c r="WOP996" s="2335"/>
      <c r="WOQ996" s="2335"/>
      <c r="WOR996" s="2335"/>
      <c r="WOS996" s="2335"/>
      <c r="WOT996" s="2335"/>
      <c r="WOU996" s="2335"/>
      <c r="WOV996" s="2335"/>
      <c r="WOW996" s="2335"/>
      <c r="WOX996" s="2335"/>
      <c r="WOY996" s="2335"/>
      <c r="WOZ996" s="2335"/>
      <c r="WPA996" s="2335"/>
      <c r="WPB996" s="2335"/>
      <c r="WPC996" s="2335"/>
      <c r="WPD996" s="2335"/>
      <c r="WPE996" s="2335"/>
      <c r="WPF996" s="2335"/>
      <c r="WPG996" s="2335"/>
      <c r="WPH996" s="2335"/>
      <c r="WPI996" s="2335"/>
      <c r="WPJ996" s="2335"/>
      <c r="WPK996" s="2335"/>
      <c r="WPL996" s="2335"/>
      <c r="WPM996" s="2335"/>
      <c r="WPN996" s="2335"/>
      <c r="WPO996" s="2335"/>
      <c r="WPP996" s="2335"/>
      <c r="WPQ996" s="2335"/>
      <c r="WPR996" s="2335"/>
      <c r="WPS996" s="2335"/>
      <c r="WPT996" s="2335"/>
      <c r="WPU996" s="2335"/>
      <c r="WPV996" s="2335"/>
      <c r="WPW996" s="2335"/>
      <c r="WPX996" s="2335"/>
      <c r="WPY996" s="2335"/>
      <c r="WPZ996" s="2335"/>
      <c r="WQA996" s="2335"/>
      <c r="WQB996" s="2335"/>
      <c r="WQC996" s="2335"/>
      <c r="WQD996" s="2335"/>
      <c r="WQE996" s="2335"/>
      <c r="WQF996" s="2335"/>
      <c r="WQG996" s="2335"/>
      <c r="WQH996" s="2335"/>
      <c r="WQI996" s="2335"/>
      <c r="WQJ996" s="2335"/>
      <c r="WQK996" s="2335"/>
      <c r="WQL996" s="2335"/>
      <c r="WQM996" s="2335"/>
      <c r="WQN996" s="2335"/>
      <c r="WQO996" s="2335"/>
      <c r="WQP996" s="2335"/>
      <c r="WQQ996" s="2335"/>
      <c r="WQR996" s="2335"/>
      <c r="WQS996" s="2335"/>
      <c r="WQT996" s="2335"/>
      <c r="WQU996" s="2335"/>
      <c r="WQV996" s="2335"/>
      <c r="WQW996" s="2335"/>
      <c r="WQX996" s="2335"/>
      <c r="WQY996" s="2335"/>
      <c r="WQZ996" s="2335"/>
      <c r="WRA996" s="2335"/>
      <c r="WRB996" s="2335"/>
      <c r="WRC996" s="2335"/>
      <c r="WRD996" s="2335"/>
      <c r="WRE996" s="2335"/>
      <c r="WRF996" s="2335"/>
      <c r="WRG996" s="2335"/>
      <c r="WRH996" s="2335"/>
      <c r="WRI996" s="2335"/>
      <c r="WRJ996" s="2335"/>
      <c r="WRK996" s="2335"/>
      <c r="WRL996" s="2335"/>
      <c r="WRM996" s="2335"/>
      <c r="WRN996" s="2335"/>
      <c r="WRO996" s="2335"/>
      <c r="WRP996" s="2335"/>
      <c r="WRQ996" s="2335"/>
      <c r="WRR996" s="2335"/>
      <c r="WRS996" s="2335"/>
      <c r="WRT996" s="2335"/>
      <c r="WRU996" s="2335"/>
      <c r="WRV996" s="2335"/>
      <c r="WRW996" s="2335"/>
      <c r="WRX996" s="2335"/>
      <c r="WRY996" s="2335"/>
      <c r="WRZ996" s="2335"/>
      <c r="WSA996" s="2335"/>
      <c r="WSB996" s="2335"/>
      <c r="WSC996" s="2335"/>
      <c r="WSD996" s="2335"/>
      <c r="WSE996" s="2335"/>
      <c r="WSF996" s="2335"/>
      <c r="WSG996" s="2335"/>
      <c r="WSH996" s="2335"/>
      <c r="WSI996" s="2335"/>
      <c r="WSJ996" s="2335"/>
      <c r="WSK996" s="2335"/>
      <c r="WSL996" s="2335"/>
      <c r="WSM996" s="2335"/>
      <c r="WSN996" s="2335"/>
      <c r="WSO996" s="2335"/>
      <c r="WSP996" s="2335"/>
      <c r="WSQ996" s="2335"/>
      <c r="WSR996" s="2335"/>
      <c r="WSS996" s="2335"/>
      <c r="WST996" s="2335"/>
      <c r="WSU996" s="2335"/>
      <c r="WSV996" s="2335"/>
      <c r="WSW996" s="2335"/>
      <c r="WSX996" s="2335"/>
      <c r="WSY996" s="2335"/>
      <c r="WSZ996" s="2335"/>
      <c r="WTA996" s="2335"/>
      <c r="WTB996" s="2335"/>
      <c r="WTC996" s="2335"/>
      <c r="WTD996" s="2335"/>
      <c r="WTE996" s="2335"/>
      <c r="WTF996" s="2335"/>
      <c r="WTG996" s="2335"/>
      <c r="WTH996" s="2335"/>
      <c r="WTI996" s="2335"/>
      <c r="WTJ996" s="2335"/>
      <c r="WTK996" s="2335"/>
      <c r="WTL996" s="2335"/>
      <c r="WTM996" s="2335"/>
      <c r="WTN996" s="2335"/>
      <c r="WTO996" s="2335"/>
      <c r="WTP996" s="2335"/>
      <c r="WTQ996" s="2335"/>
      <c r="WTR996" s="2335"/>
      <c r="WTS996" s="2335"/>
      <c r="WTT996" s="2335"/>
      <c r="WTU996" s="2335"/>
      <c r="WTV996" s="2335"/>
      <c r="WTW996" s="2335"/>
      <c r="WTX996" s="2335"/>
      <c r="WTY996" s="2335"/>
      <c r="WTZ996" s="2335"/>
      <c r="WUA996" s="2335"/>
      <c r="WUB996" s="2335"/>
      <c r="WUC996" s="2335"/>
      <c r="WUD996" s="2335"/>
      <c r="WUE996" s="2335"/>
      <c r="WUF996" s="2335"/>
      <c r="WUG996" s="2335"/>
      <c r="WUH996" s="2335"/>
      <c r="WUI996" s="2335"/>
      <c r="WUJ996" s="2335"/>
      <c r="WUK996" s="2335"/>
      <c r="WUL996" s="2335"/>
      <c r="WUM996" s="2335"/>
      <c r="WUN996" s="2335"/>
      <c r="WUO996" s="2335"/>
      <c r="WUP996" s="2335"/>
      <c r="WUQ996" s="2335"/>
      <c r="WUR996" s="2335"/>
      <c r="WUS996" s="2335"/>
      <c r="WUT996" s="2335"/>
      <c r="WUU996" s="2335"/>
      <c r="WUV996" s="2335"/>
      <c r="WUW996" s="2335"/>
      <c r="WUX996" s="2335"/>
      <c r="WUY996" s="2335"/>
      <c r="WUZ996" s="2335"/>
      <c r="WVA996" s="2335"/>
      <c r="WVB996" s="2335"/>
      <c r="WVC996" s="2335"/>
      <c r="WVD996" s="2335"/>
      <c r="WVE996" s="2335"/>
      <c r="WVF996" s="2335"/>
      <c r="WVG996" s="2335"/>
      <c r="WVH996" s="2335"/>
      <c r="WVI996" s="2335"/>
      <c r="WVJ996" s="2335"/>
      <c r="WVK996" s="2335"/>
      <c r="WVL996" s="2335"/>
      <c r="WVM996" s="2335"/>
      <c r="WVN996" s="2335"/>
      <c r="WVO996" s="2335"/>
      <c r="WVP996" s="2335"/>
      <c r="WVQ996" s="2335"/>
      <c r="WVR996" s="2335"/>
      <c r="WVS996" s="2335"/>
      <c r="WVT996" s="2335"/>
      <c r="WVU996" s="2335"/>
      <c r="WVV996" s="2335"/>
      <c r="WVW996" s="2335"/>
      <c r="WVX996" s="2335"/>
      <c r="WVY996" s="2335"/>
      <c r="WVZ996" s="2335"/>
      <c r="WWA996" s="2335"/>
      <c r="WWB996" s="2335"/>
      <c r="WWC996" s="2335"/>
      <c r="WWD996" s="2335"/>
      <c r="WWE996" s="2335"/>
      <c r="WWF996" s="2335"/>
      <c r="WWG996" s="2335"/>
      <c r="WWH996" s="2335"/>
      <c r="WWI996" s="2335"/>
      <c r="WWJ996" s="2335"/>
      <c r="WWK996" s="2335"/>
      <c r="WWL996" s="2335"/>
      <c r="WWM996" s="2335"/>
      <c r="WWN996" s="2335"/>
      <c r="WWO996" s="2335"/>
      <c r="WWP996" s="2335"/>
      <c r="WWQ996" s="2335"/>
      <c r="WWR996" s="2335"/>
      <c r="WWS996" s="2335"/>
      <c r="WWT996" s="2335"/>
      <c r="WWU996" s="2335"/>
      <c r="WWV996" s="2335"/>
      <c r="WWW996" s="2335"/>
      <c r="WWX996" s="2335"/>
      <c r="WWY996" s="2335"/>
      <c r="WWZ996" s="2335"/>
      <c r="WXA996" s="2335"/>
      <c r="WXB996" s="2335"/>
      <c r="WXC996" s="2335"/>
      <c r="WXD996" s="2335"/>
      <c r="WXE996" s="2335"/>
      <c r="WXF996" s="2335"/>
      <c r="WXG996" s="2335"/>
      <c r="WXH996" s="2335"/>
      <c r="WXI996" s="2335"/>
      <c r="WXJ996" s="2335"/>
      <c r="WXK996" s="2335"/>
      <c r="WXL996" s="2335"/>
      <c r="WXM996" s="2335"/>
      <c r="WXN996" s="2335"/>
      <c r="WXO996" s="2335"/>
      <c r="WXP996" s="2335"/>
      <c r="WXQ996" s="2335"/>
      <c r="WXR996" s="2335"/>
      <c r="WXS996" s="2335"/>
      <c r="WXT996" s="2335"/>
      <c r="WXU996" s="2335"/>
      <c r="WXV996" s="2335"/>
      <c r="WXW996" s="2335"/>
      <c r="WXX996" s="2335"/>
      <c r="WXY996" s="2335"/>
      <c r="WXZ996" s="2335"/>
      <c r="WYA996" s="2335"/>
      <c r="WYB996" s="2335"/>
      <c r="WYC996" s="2335"/>
      <c r="WYD996" s="2335"/>
      <c r="WYE996" s="2335"/>
      <c r="WYF996" s="2335"/>
      <c r="WYG996" s="2335"/>
      <c r="WYH996" s="2335"/>
      <c r="WYI996" s="2335"/>
      <c r="WYJ996" s="2335"/>
      <c r="WYK996" s="2335"/>
      <c r="WYL996" s="2335"/>
      <c r="WYM996" s="2335"/>
      <c r="WYN996" s="2335"/>
      <c r="WYO996" s="2335"/>
      <c r="WYP996" s="2335"/>
      <c r="WYQ996" s="2335"/>
      <c r="WYR996" s="2335"/>
      <c r="WYS996" s="2335"/>
      <c r="WYT996" s="2335"/>
      <c r="WYU996" s="2335"/>
      <c r="WYV996" s="2335"/>
      <c r="WYW996" s="2335"/>
      <c r="WYX996" s="2335"/>
      <c r="WYY996" s="2335"/>
      <c r="WYZ996" s="2335"/>
      <c r="WZA996" s="2335"/>
      <c r="WZB996" s="2335"/>
      <c r="WZC996" s="2335"/>
      <c r="WZD996" s="2335"/>
      <c r="WZE996" s="2335"/>
      <c r="WZF996" s="2335"/>
      <c r="WZG996" s="2335"/>
      <c r="WZH996" s="2335"/>
      <c r="WZI996" s="2335"/>
      <c r="WZJ996" s="2335"/>
      <c r="WZK996" s="2335"/>
      <c r="WZL996" s="2335"/>
      <c r="WZM996" s="2335"/>
      <c r="WZN996" s="2335"/>
      <c r="WZO996" s="2335"/>
      <c r="WZP996" s="2335"/>
      <c r="WZQ996" s="2335"/>
      <c r="WZR996" s="2335"/>
      <c r="WZS996" s="2335"/>
      <c r="WZT996" s="2335"/>
      <c r="WZU996" s="2335"/>
      <c r="WZV996" s="2335"/>
      <c r="WZW996" s="2335"/>
      <c r="WZX996" s="2335"/>
      <c r="WZY996" s="2335"/>
      <c r="WZZ996" s="2335"/>
      <c r="XAA996" s="2335"/>
      <c r="XAB996" s="2335"/>
      <c r="XAC996" s="2335"/>
      <c r="XAD996" s="2335"/>
      <c r="XAE996" s="2335"/>
      <c r="XAF996" s="2335"/>
      <c r="XAG996" s="2335"/>
      <c r="XAH996" s="2335"/>
      <c r="XAI996" s="2335"/>
      <c r="XAJ996" s="2335"/>
      <c r="XAK996" s="2335"/>
      <c r="XAL996" s="2335"/>
      <c r="XAM996" s="2335"/>
      <c r="XAN996" s="2335"/>
      <c r="XAO996" s="2335"/>
      <c r="XAP996" s="2335"/>
      <c r="XAQ996" s="2335"/>
      <c r="XAR996" s="2335"/>
      <c r="XAS996" s="2335"/>
      <c r="XAT996" s="2335"/>
      <c r="XAU996" s="2335"/>
      <c r="XAV996" s="2335"/>
      <c r="XAW996" s="2335"/>
      <c r="XAX996" s="2335"/>
      <c r="XAY996" s="2335"/>
      <c r="XAZ996" s="2335"/>
      <c r="XBA996" s="2335"/>
      <c r="XBB996" s="2335"/>
      <c r="XBC996" s="2335"/>
      <c r="XBD996" s="2335"/>
      <c r="XBE996" s="2335"/>
      <c r="XBF996" s="2335"/>
      <c r="XBG996" s="2335"/>
      <c r="XBH996" s="2335"/>
      <c r="XBI996" s="2335"/>
      <c r="XBJ996" s="2335"/>
      <c r="XBK996" s="2335"/>
      <c r="XBL996" s="2335"/>
      <c r="XBM996" s="2335"/>
      <c r="XBN996" s="2335"/>
      <c r="XBO996" s="2335"/>
      <c r="XBP996" s="2335"/>
      <c r="XBQ996" s="2335"/>
      <c r="XBR996" s="2335"/>
      <c r="XBS996" s="2335"/>
      <c r="XBT996" s="2335"/>
      <c r="XBU996" s="2335"/>
      <c r="XBV996" s="2335"/>
      <c r="XBW996" s="2335"/>
      <c r="XBX996" s="2335"/>
      <c r="XBY996" s="2335"/>
      <c r="XBZ996" s="2335"/>
      <c r="XCA996" s="2335"/>
      <c r="XCB996" s="2335"/>
      <c r="XCC996" s="2335"/>
      <c r="XCD996" s="2335"/>
      <c r="XCE996" s="2335"/>
      <c r="XCF996" s="2335"/>
      <c r="XCG996" s="2335"/>
      <c r="XCH996" s="2335"/>
      <c r="XCI996" s="2335"/>
      <c r="XCJ996" s="2335"/>
      <c r="XCK996" s="2335"/>
      <c r="XCL996" s="2335"/>
      <c r="XCM996" s="2335"/>
      <c r="XCN996" s="2335"/>
      <c r="XCO996" s="2335"/>
      <c r="XCP996" s="2335"/>
      <c r="XCQ996" s="2335"/>
      <c r="XCR996" s="2335"/>
      <c r="XCS996" s="2335"/>
      <c r="XCT996" s="2335"/>
      <c r="XCU996" s="2335"/>
      <c r="XCV996" s="2335"/>
      <c r="XCW996" s="2335"/>
      <c r="XCX996" s="2335"/>
      <c r="XCY996" s="2335"/>
      <c r="XCZ996" s="2335"/>
      <c r="XDA996" s="2335"/>
      <c r="XDB996" s="2335"/>
      <c r="XDC996" s="2335"/>
      <c r="XDD996" s="2335"/>
      <c r="XDE996" s="2335"/>
      <c r="XDF996" s="2335"/>
      <c r="XDG996" s="2335"/>
      <c r="XDH996" s="2335"/>
      <c r="XDI996" s="2335"/>
      <c r="XDJ996" s="2335"/>
      <c r="XDK996" s="2335"/>
      <c r="XDL996" s="2335"/>
      <c r="XDM996" s="2335"/>
      <c r="XDN996" s="2335"/>
      <c r="XDO996" s="2335"/>
      <c r="XDP996" s="2335"/>
      <c r="XDQ996" s="2335"/>
      <c r="XDR996" s="2335"/>
      <c r="XDS996" s="2335"/>
      <c r="XDT996" s="2335"/>
      <c r="XDU996" s="2335"/>
      <c r="XDV996" s="2335"/>
      <c r="XDW996" s="2335"/>
      <c r="XDX996" s="2335"/>
      <c r="XDY996" s="2335"/>
      <c r="XDZ996" s="2335"/>
      <c r="XEA996" s="2335"/>
      <c r="XEB996" s="2335"/>
      <c r="XEC996" s="2335"/>
      <c r="XED996" s="2335"/>
      <c r="XEE996" s="2335"/>
      <c r="XEF996" s="2335"/>
      <c r="XEG996" s="2335"/>
      <c r="XEH996" s="2335"/>
      <c r="XEI996" s="2335"/>
      <c r="XEJ996" s="2335"/>
      <c r="XEK996" s="2335"/>
      <c r="XEL996" s="2335"/>
      <c r="XEM996" s="2335"/>
      <c r="XEN996" s="2335"/>
      <c r="XEO996" s="2335"/>
      <c r="XEP996" s="2335"/>
      <c r="XEQ996" s="2335"/>
      <c r="XER996" s="2335"/>
      <c r="XES996" s="2335"/>
      <c r="XET996" s="2335"/>
      <c r="XEU996" s="2335"/>
      <c r="XEV996" s="2335"/>
      <c r="XEW996" s="2335"/>
      <c r="XEX996" s="2335"/>
      <c r="XEY996" s="2335"/>
      <c r="XEZ996" s="2335"/>
      <c r="XFA996" s="2335"/>
      <c r="XFB996" s="2335"/>
      <c r="XFC996" s="2335"/>
      <c r="XFD996" s="2335"/>
    </row>
    <row r="997" s="1936" customFormat="1" ht="20" customHeight="1" spans="1:1024 1025:16384">
      <c r="A997" s="2335"/>
      <c r="B997" s="2466"/>
      <c r="C997" s="2077"/>
      <c r="D997" s="1017" t="s">
        <v>3226</v>
      </c>
      <c r="E997" s="153">
        <v>6.75</v>
      </c>
      <c r="F997" s="1975" t="s">
        <v>3227</v>
      </c>
      <c r="G997" s="1082"/>
      <c r="H997" s="219"/>
      <c r="I997" s="153"/>
      <c r="J997" s="924" t="s">
        <v>1428</v>
      </c>
      <c r="K997" s="2471">
        <f>300/E997</f>
        <v>44.4444444444444</v>
      </c>
      <c r="L997" s="2471">
        <f>30.6/E997/1.13</f>
        <v>4.0117994100295</v>
      </c>
      <c r="M997" s="2469">
        <f>53/E997/1.13</f>
        <v>6.9485414618158</v>
      </c>
      <c r="N997" s="2469">
        <v>15.5</v>
      </c>
      <c r="O997" s="2469">
        <f t="shared" si="101"/>
        <v>3.33333333333333</v>
      </c>
      <c r="P997" s="2469">
        <f>SUBTOTAL(109,K997:O997)</f>
        <v>74.238118649623</v>
      </c>
      <c r="Q997" s="266" t="s">
        <v>3228</v>
      </c>
      <c r="R997" s="651"/>
      <c r="S997" s="2335"/>
      <c r="T997" s="2335"/>
      <c r="U997" s="2335"/>
      <c r="V997" s="2335"/>
      <c r="W997" s="2337"/>
      <c r="X997" s="2335"/>
      <c r="Y997" s="2335"/>
      <c r="Z997" s="2335"/>
      <c r="AA997" s="2335"/>
      <c r="AB997" s="2337"/>
      <c r="AC997" s="2335"/>
      <c r="AD997" s="2335"/>
      <c r="AE997" s="2335"/>
      <c r="AF997" s="2335"/>
      <c r="AG997" s="2335"/>
      <c r="AH997" s="2335"/>
      <c r="AI997" s="2335"/>
      <c r="AJ997" s="2335"/>
      <c r="AK997" s="2335"/>
      <c r="AL997" s="2335"/>
      <c r="AM997" s="2335"/>
      <c r="AN997" s="2335"/>
      <c r="AO997" s="2335"/>
      <c r="AP997" s="2335"/>
      <c r="AQ997" s="2335"/>
      <c r="AR997" s="2335"/>
      <c r="AS997" s="2335"/>
      <c r="AT997" s="2335"/>
      <c r="AU997" s="2335"/>
      <c r="AV997" s="2335"/>
      <c r="AW997" s="2335"/>
      <c r="AX997" s="2335"/>
      <c r="AY997" s="2335"/>
      <c r="AZ997" s="2335"/>
      <c r="BA997" s="2335"/>
      <c r="BB997" s="2335"/>
      <c r="BC997" s="2335"/>
      <c r="BD997" s="2335"/>
      <c r="BE997" s="2335"/>
      <c r="BF997" s="2335"/>
      <c r="BG997" s="2335"/>
      <c r="BH997" s="2335"/>
      <c r="BI997" s="2335"/>
      <c r="BJ997" s="2335"/>
      <c r="BK997" s="2335"/>
      <c r="BL997" s="2335"/>
      <c r="BM997" s="2335"/>
      <c r="BN997" s="2335"/>
      <c r="BO997" s="2335"/>
      <c r="BP997" s="2335"/>
      <c r="BQ997" s="2335"/>
      <c r="BR997" s="2335"/>
      <c r="BS997" s="2335"/>
      <c r="BT997" s="2335"/>
      <c r="BU997" s="2335"/>
      <c r="BV997" s="2335"/>
      <c r="BW997" s="2335"/>
      <c r="BX997" s="2335"/>
      <c r="BY997" s="2335"/>
      <c r="BZ997" s="2335"/>
      <c r="CA997" s="2335"/>
      <c r="CB997" s="2335"/>
      <c r="CC997" s="2335"/>
      <c r="CD997" s="2335"/>
      <c r="CE997" s="2335"/>
      <c r="CF997" s="2335"/>
      <c r="CG997" s="2335"/>
      <c r="CH997" s="2335"/>
      <c r="CI997" s="2335"/>
      <c r="CJ997" s="2335"/>
      <c r="CK997" s="2335"/>
      <c r="CL997" s="2335"/>
      <c r="CM997" s="2335"/>
      <c r="CN997" s="2335"/>
      <c r="CO997" s="2335"/>
      <c r="CP997" s="2335"/>
      <c r="CQ997" s="2335"/>
      <c r="CR997" s="2335"/>
      <c r="CS997" s="2335"/>
      <c r="CT997" s="2335"/>
      <c r="CU997" s="2335"/>
      <c r="CV997" s="2335"/>
      <c r="CW997" s="2335"/>
      <c r="CX997" s="2335"/>
      <c r="CY997" s="2335"/>
      <c r="CZ997" s="2335"/>
      <c r="DA997" s="2335"/>
      <c r="DB997" s="2335"/>
      <c r="DC997" s="2335"/>
      <c r="DD997" s="2335"/>
      <c r="DE997" s="2335"/>
      <c r="DF997" s="2335"/>
      <c r="DG997" s="2335"/>
      <c r="DH997" s="2335"/>
      <c r="DI997" s="2335"/>
      <c r="DJ997" s="2335"/>
      <c r="DK997" s="2335"/>
      <c r="DL997" s="2335"/>
      <c r="DM997" s="2335"/>
      <c r="DN997" s="2335"/>
      <c r="DO997" s="2335"/>
      <c r="DP997" s="2335"/>
      <c r="DQ997" s="2335"/>
      <c r="DR997" s="2335"/>
      <c r="DS997" s="2335"/>
      <c r="DT997" s="2335"/>
      <c r="DU997" s="2335"/>
      <c r="DV997" s="2335"/>
      <c r="DW997" s="2335"/>
      <c r="DX997" s="2335"/>
      <c r="DY997" s="2335"/>
      <c r="DZ997" s="2335"/>
      <c r="EA997" s="2335"/>
      <c r="EB997" s="2335"/>
      <c r="EC997" s="2335"/>
      <c r="ED997" s="2335"/>
      <c r="EE997" s="2335"/>
      <c r="EF997" s="2335"/>
      <c r="EG997" s="2335"/>
      <c r="EH997" s="2335"/>
      <c r="EI997" s="2335"/>
      <c r="EJ997" s="2335"/>
      <c r="EK997" s="2335"/>
      <c r="EL997" s="2335"/>
      <c r="EM997" s="2335"/>
      <c r="EN997" s="2335"/>
      <c r="EO997" s="2335"/>
      <c r="EP997" s="2335"/>
      <c r="EQ997" s="2335"/>
      <c r="ER997" s="2335"/>
      <c r="ES997" s="2335"/>
      <c r="ET997" s="2335"/>
      <c r="EU997" s="2335"/>
      <c r="EV997" s="2335"/>
      <c r="EW997" s="2335"/>
      <c r="EX997" s="2335"/>
      <c r="EY997" s="2335"/>
      <c r="EZ997" s="2335"/>
      <c r="FA997" s="2335"/>
      <c r="FB997" s="2335"/>
      <c r="FC997" s="2335"/>
      <c r="FD997" s="2335"/>
      <c r="FE997" s="2335"/>
      <c r="FF997" s="2335"/>
      <c r="FG997" s="2335"/>
      <c r="FH997" s="2335"/>
      <c r="FI997" s="2335"/>
      <c r="FJ997" s="2335"/>
      <c r="FK997" s="2335"/>
      <c r="FL997" s="2335"/>
      <c r="FM997" s="2335"/>
      <c r="FN997" s="2335"/>
      <c r="FO997" s="2335"/>
      <c r="FP997" s="2335"/>
      <c r="FQ997" s="2335"/>
      <c r="FR997" s="2335"/>
      <c r="FS997" s="2335"/>
      <c r="FT997" s="2335"/>
      <c r="FU997" s="2335"/>
      <c r="FV997" s="2335"/>
      <c r="FW997" s="2335"/>
      <c r="FX997" s="2335"/>
      <c r="FY997" s="2335"/>
      <c r="FZ997" s="2335"/>
      <c r="GA997" s="2335"/>
      <c r="GB997" s="2335"/>
      <c r="GC997" s="2335"/>
      <c r="GD997" s="2335"/>
      <c r="GE997" s="2335"/>
      <c r="GF997" s="2335"/>
      <c r="GG997" s="2335"/>
      <c r="GH997" s="2335"/>
      <c r="GI997" s="2335"/>
      <c r="GJ997" s="2335"/>
      <c r="GK997" s="2335"/>
      <c r="GL997" s="2335"/>
      <c r="GM997" s="2335"/>
      <c r="GN997" s="2335"/>
      <c r="GO997" s="2335"/>
      <c r="GP997" s="2335"/>
      <c r="GQ997" s="2335"/>
      <c r="GR997" s="2335"/>
      <c r="GS997" s="2335"/>
      <c r="GT997" s="2335"/>
      <c r="GU997" s="2335"/>
      <c r="GV997" s="2335"/>
      <c r="GW997" s="2335"/>
      <c r="GX997" s="2335"/>
      <c r="GY997" s="2335"/>
      <c r="GZ997" s="2335"/>
      <c r="HA997" s="2335"/>
      <c r="HB997" s="2335"/>
      <c r="HC997" s="2335"/>
      <c r="HD997" s="2335"/>
      <c r="HE997" s="2335"/>
      <c r="HF997" s="2335"/>
      <c r="HG997" s="2335"/>
      <c r="HH997" s="2335"/>
      <c r="HI997" s="2335"/>
      <c r="HJ997" s="2335"/>
      <c r="HK997" s="2335"/>
      <c r="HL997" s="2335"/>
      <c r="HM997" s="2335"/>
      <c r="HN997" s="2335"/>
      <c r="HO997" s="2335"/>
      <c r="HP997" s="2335"/>
      <c r="HQ997" s="2335"/>
      <c r="HR997" s="2335"/>
      <c r="HS997" s="2335"/>
      <c r="HT997" s="2335"/>
      <c r="HU997" s="2335"/>
      <c r="HV997" s="2335"/>
      <c r="HW997" s="2335"/>
      <c r="HX997" s="2335"/>
      <c r="HY997" s="2335"/>
      <c r="HZ997" s="2335"/>
      <c r="IA997" s="2335"/>
      <c r="IB997" s="2335"/>
      <c r="IC997" s="2335"/>
      <c r="ID997" s="2335"/>
      <c r="IE997" s="2335"/>
      <c r="IF997" s="2335"/>
      <c r="IG997" s="2335"/>
      <c r="IH997" s="2335"/>
      <c r="II997" s="2335"/>
      <c r="IJ997" s="2335"/>
      <c r="IK997" s="2335"/>
      <c r="IL997" s="2335"/>
      <c r="IM997" s="2335"/>
      <c r="IN997" s="2335"/>
      <c r="IO997" s="2335"/>
      <c r="IP997" s="2335"/>
      <c r="IQ997" s="2335"/>
      <c r="IR997" s="2335"/>
      <c r="IS997" s="2335"/>
      <c r="IT997" s="2335"/>
      <c r="IU997" s="2335"/>
      <c r="IV997" s="2335"/>
      <c r="IW997" s="2335"/>
      <c r="IX997" s="2335"/>
      <c r="IY997" s="2335"/>
      <c r="IZ997" s="2335"/>
      <c r="JA997" s="2335"/>
      <c r="JB997" s="2335"/>
      <c r="JC997" s="2335"/>
      <c r="JD997" s="2335"/>
      <c r="JE997" s="2335"/>
      <c r="JF997" s="2335"/>
      <c r="JG997" s="2335"/>
      <c r="JH997" s="2335"/>
      <c r="JI997" s="2335"/>
      <c r="JJ997" s="2335"/>
      <c r="JK997" s="2335"/>
      <c r="JL997" s="2335"/>
      <c r="JM997" s="2335"/>
      <c r="JN997" s="2335"/>
      <c r="JO997" s="2335"/>
      <c r="JP997" s="2335"/>
      <c r="JQ997" s="2335"/>
      <c r="JR997" s="2335"/>
      <c r="JS997" s="2335"/>
      <c r="JT997" s="2335"/>
      <c r="JU997" s="2335"/>
      <c r="JV997" s="2335"/>
      <c r="JW997" s="2335"/>
      <c r="JX997" s="2335"/>
      <c r="JY997" s="2335"/>
      <c r="JZ997" s="2335"/>
      <c r="KA997" s="2335"/>
      <c r="KB997" s="2335"/>
      <c r="KC997" s="2335"/>
      <c r="KD997" s="2335"/>
      <c r="KE997" s="2335"/>
      <c r="KF997" s="2335"/>
      <c r="KG997" s="2335"/>
      <c r="KH997" s="2335"/>
      <c r="KI997" s="2335"/>
      <c r="KJ997" s="2335"/>
      <c r="KK997" s="2335"/>
      <c r="KL997" s="2335"/>
      <c r="KM997" s="2335"/>
      <c r="KN997" s="2335"/>
      <c r="KO997" s="2335"/>
      <c r="KP997" s="2335"/>
      <c r="KQ997" s="2335"/>
      <c r="KR997" s="2335"/>
      <c r="KS997" s="2335"/>
      <c r="KT997" s="2335"/>
      <c r="KU997" s="2335"/>
      <c r="KV997" s="2335"/>
      <c r="KW997" s="2335"/>
      <c r="KX997" s="2335"/>
      <c r="KY997" s="2335"/>
      <c r="KZ997" s="2335"/>
      <c r="LA997" s="2335"/>
      <c r="LB997" s="2335"/>
      <c r="LC997" s="2335"/>
      <c r="LD997" s="2335"/>
      <c r="LE997" s="2335"/>
      <c r="LF997" s="2335"/>
      <c r="LG997" s="2335"/>
      <c r="LH997" s="2335"/>
      <c r="LI997" s="2335"/>
      <c r="LJ997" s="2335"/>
      <c r="LK997" s="2335"/>
      <c r="LL997" s="2335"/>
      <c r="LM997" s="2335"/>
      <c r="LN997" s="2335"/>
      <c r="LO997" s="2335"/>
      <c r="LP997" s="2335"/>
      <c r="LQ997" s="2335"/>
      <c r="LR997" s="2335"/>
      <c r="LS997" s="2335"/>
      <c r="LT997" s="2335"/>
      <c r="LU997" s="2335"/>
      <c r="LV997" s="2335"/>
      <c r="LW997" s="2335"/>
      <c r="LX997" s="2335"/>
      <c r="LY997" s="2335"/>
      <c r="LZ997" s="2335"/>
      <c r="MA997" s="2335"/>
      <c r="MB997" s="2335"/>
      <c r="MC997" s="2335"/>
      <c r="MD997" s="2335"/>
      <c r="ME997" s="2335"/>
      <c r="MF997" s="2335"/>
      <c r="MG997" s="2335"/>
      <c r="MH997" s="2335"/>
      <c r="MI997" s="2335"/>
      <c r="MJ997" s="2335"/>
      <c r="MK997" s="2335"/>
      <c r="ML997" s="2335"/>
      <c r="MM997" s="2335"/>
      <c r="MN997" s="2335"/>
      <c r="MO997" s="2335"/>
      <c r="MP997" s="2335"/>
      <c r="MQ997" s="2335"/>
      <c r="MR997" s="2335"/>
      <c r="MS997" s="2335"/>
      <c r="MT997" s="2335"/>
      <c r="MU997" s="2335"/>
      <c r="MV997" s="2335"/>
      <c r="MW997" s="2335"/>
      <c r="MX997" s="2335"/>
      <c r="MY997" s="2335"/>
      <c r="MZ997" s="2335"/>
      <c r="NA997" s="2335"/>
      <c r="NB997" s="2335"/>
      <c r="NC997" s="2335"/>
      <c r="ND997" s="2335"/>
      <c r="NE997" s="2335"/>
      <c r="NF997" s="2335"/>
      <c r="NG997" s="2335"/>
      <c r="NH997" s="2335"/>
      <c r="NI997" s="2335"/>
      <c r="NJ997" s="2335"/>
      <c r="NK997" s="2335"/>
      <c r="NL997" s="2335"/>
      <c r="NM997" s="2335"/>
      <c r="NN997" s="2335"/>
      <c r="NO997" s="2335"/>
      <c r="NP997" s="2335"/>
      <c r="NQ997" s="2335"/>
      <c r="NR997" s="2335"/>
      <c r="NS997" s="2335"/>
      <c r="NT997" s="2335"/>
      <c r="NU997" s="2335"/>
      <c r="NV997" s="2335"/>
      <c r="NW997" s="2335"/>
      <c r="NX997" s="2335"/>
      <c r="NY997" s="2335"/>
      <c r="NZ997" s="2335"/>
      <c r="OA997" s="2335"/>
      <c r="OB997" s="2335"/>
      <c r="OC997" s="2335"/>
      <c r="OD997" s="2335"/>
      <c r="OE997" s="2335"/>
      <c r="OF997" s="2335"/>
      <c r="OG997" s="2335"/>
      <c r="OH997" s="2335"/>
      <c r="OI997" s="2335"/>
      <c r="OJ997" s="2335"/>
      <c r="OK997" s="2335"/>
      <c r="OL997" s="2335"/>
      <c r="OM997" s="2335"/>
      <c r="ON997" s="2335"/>
      <c r="OO997" s="2335"/>
      <c r="OP997" s="2335"/>
      <c r="OQ997" s="2335"/>
      <c r="OR997" s="2335"/>
      <c r="OS997" s="2335"/>
      <c r="OT997" s="2335"/>
      <c r="OU997" s="2335"/>
      <c r="OV997" s="2335"/>
      <c r="OW997" s="2335"/>
      <c r="OX997" s="2335"/>
      <c r="OY997" s="2335"/>
      <c r="OZ997" s="2335"/>
      <c r="PA997" s="2335"/>
      <c r="PB997" s="2335"/>
      <c r="PC997" s="2335"/>
      <c r="PD997" s="2335"/>
      <c r="PE997" s="2335"/>
      <c r="PF997" s="2335"/>
      <c r="PG997" s="2335"/>
      <c r="PH997" s="2335"/>
      <c r="PI997" s="2335"/>
      <c r="PJ997" s="2335"/>
      <c r="PK997" s="2335"/>
      <c r="PL997" s="2335"/>
      <c r="PM997" s="2335"/>
      <c r="PN997" s="2335"/>
      <c r="PO997" s="2335"/>
      <c r="PP997" s="2335"/>
      <c r="PQ997" s="2335"/>
      <c r="PR997" s="2335"/>
      <c r="PS997" s="2335"/>
      <c r="PT997" s="2335"/>
      <c r="PU997" s="2335"/>
      <c r="PV997" s="2335"/>
      <c r="PW997" s="2335"/>
      <c r="PX997" s="2335"/>
      <c r="PY997" s="2335"/>
      <c r="PZ997" s="2335"/>
      <c r="QA997" s="2335"/>
      <c r="QB997" s="2335"/>
      <c r="QC997" s="2335"/>
      <c r="QD997" s="2335"/>
      <c r="QE997" s="2335"/>
      <c r="QF997" s="2335"/>
      <c r="QG997" s="2335"/>
      <c r="QH997" s="2335"/>
      <c r="QI997" s="2335"/>
      <c r="QJ997" s="2335"/>
      <c r="QK997" s="2335"/>
      <c r="QL997" s="2335"/>
      <c r="QM997" s="2335"/>
      <c r="QN997" s="2335"/>
      <c r="QO997" s="2335"/>
      <c r="QP997" s="2335"/>
      <c r="QQ997" s="2335"/>
      <c r="QR997" s="2335"/>
      <c r="QS997" s="2335"/>
      <c r="QT997" s="2335"/>
      <c r="QU997" s="2335"/>
      <c r="QV997" s="2335"/>
      <c r="QW997" s="2335"/>
      <c r="QX997" s="2335"/>
      <c r="QY997" s="2335"/>
      <c r="QZ997" s="2335"/>
      <c r="RA997" s="2335"/>
      <c r="RB997" s="2335"/>
      <c r="RC997" s="2335"/>
      <c r="RD997" s="2335"/>
      <c r="RE997" s="2335"/>
      <c r="RF997" s="2335"/>
      <c r="RG997" s="2335"/>
      <c r="RH997" s="2335"/>
      <c r="RI997" s="2335"/>
      <c r="RJ997" s="2335"/>
      <c r="RK997" s="2335"/>
      <c r="RL997" s="2335"/>
      <c r="RM997" s="2335"/>
      <c r="RN997" s="2335"/>
      <c r="RO997" s="2335"/>
      <c r="RP997" s="2335"/>
      <c r="RQ997" s="2335"/>
      <c r="RR997" s="2335"/>
      <c r="RS997" s="2335"/>
      <c r="RT997" s="2335"/>
      <c r="RU997" s="2335"/>
      <c r="RV997" s="2335"/>
      <c r="RW997" s="2335"/>
      <c r="RX997" s="2335"/>
      <c r="RY997" s="2335"/>
      <c r="RZ997" s="2335"/>
      <c r="SA997" s="2335"/>
      <c r="SB997" s="2335"/>
      <c r="SC997" s="2335"/>
      <c r="SD997" s="2335"/>
      <c r="SE997" s="2335"/>
      <c r="SF997" s="2335"/>
      <c r="SG997" s="2335"/>
      <c r="SH997" s="2335"/>
      <c r="SI997" s="2335"/>
      <c r="SJ997" s="2335"/>
      <c r="SK997" s="2335"/>
      <c r="SL997" s="2335"/>
      <c r="SM997" s="2335"/>
      <c r="SN997" s="2335"/>
      <c r="SO997" s="2335"/>
      <c r="SP997" s="2335"/>
      <c r="SQ997" s="2335"/>
      <c r="SR997" s="2335"/>
      <c r="SS997" s="2335"/>
      <c r="ST997" s="2335"/>
      <c r="SU997" s="2335"/>
      <c r="SV997" s="2335"/>
      <c r="SW997" s="2335"/>
      <c r="SX997" s="2335"/>
      <c r="SY997" s="2335"/>
      <c r="SZ997" s="2335"/>
      <c r="TA997" s="2335"/>
      <c r="TB997" s="2335"/>
      <c r="TC997" s="2335"/>
      <c r="TD997" s="2335"/>
      <c r="TE997" s="2335"/>
      <c r="TF997" s="2335"/>
      <c r="TG997" s="2335"/>
      <c r="TH997" s="2335"/>
      <c r="TI997" s="2335"/>
      <c r="TJ997" s="2335"/>
      <c r="TK997" s="2335"/>
      <c r="TL997" s="2335"/>
      <c r="TM997" s="2335"/>
      <c r="TN997" s="2335"/>
      <c r="TO997" s="2335"/>
      <c r="TP997" s="2335"/>
      <c r="TQ997" s="2335"/>
      <c r="TR997" s="2335"/>
      <c r="TS997" s="2335"/>
      <c r="TT997" s="2335"/>
      <c r="TU997" s="2335"/>
      <c r="TV997" s="2335"/>
      <c r="TW997" s="2335"/>
      <c r="TX997" s="2335"/>
      <c r="TY997" s="2335"/>
      <c r="TZ997" s="2335"/>
      <c r="UA997" s="2335"/>
      <c r="UB997" s="2335"/>
      <c r="UC997" s="2335"/>
      <c r="UD997" s="2335"/>
      <c r="UE997" s="2335"/>
      <c r="UF997" s="2335"/>
      <c r="UG997" s="2335"/>
      <c r="UH997" s="2335"/>
      <c r="UI997" s="2335"/>
      <c r="UJ997" s="2335"/>
      <c r="UK997" s="2335"/>
      <c r="UL997" s="2335"/>
      <c r="UM997" s="2335"/>
      <c r="UN997" s="2335"/>
      <c r="UO997" s="2335"/>
      <c r="UP997" s="2335"/>
      <c r="UQ997" s="2335"/>
      <c r="UR997" s="2335"/>
      <c r="US997" s="2335"/>
      <c r="UT997" s="2335"/>
      <c r="UU997" s="2335"/>
      <c r="UV997" s="2335"/>
      <c r="UW997" s="2335"/>
      <c r="UX997" s="2335"/>
      <c r="UY997" s="2335"/>
      <c r="UZ997" s="2335"/>
      <c r="VA997" s="2335"/>
      <c r="VB997" s="2335"/>
      <c r="VC997" s="2335"/>
      <c r="VD997" s="2335"/>
      <c r="VE997" s="2335"/>
      <c r="VF997" s="2335"/>
      <c r="VG997" s="2335"/>
      <c r="VH997" s="2335"/>
      <c r="VI997" s="2335"/>
      <c r="VJ997" s="2335"/>
      <c r="VK997" s="2335"/>
      <c r="VL997" s="2335"/>
      <c r="VM997" s="2335"/>
      <c r="VN997" s="2335"/>
      <c r="VO997" s="2335"/>
      <c r="VP997" s="2335"/>
      <c r="VQ997" s="2335"/>
      <c r="VR997" s="2335"/>
      <c r="VS997" s="2335"/>
      <c r="VT997" s="2335"/>
      <c r="VU997" s="2335"/>
      <c r="VV997" s="2335"/>
      <c r="VW997" s="2335"/>
      <c r="VX997" s="2335"/>
      <c r="VY997" s="2335"/>
      <c r="VZ997" s="2335"/>
      <c r="WA997" s="2335"/>
      <c r="WB997" s="2335"/>
      <c r="WC997" s="2335"/>
      <c r="WD997" s="2335"/>
      <c r="WE997" s="2335"/>
      <c r="WF997" s="2335"/>
      <c r="WG997" s="2335"/>
      <c r="WH997" s="2335"/>
      <c r="WI997" s="2335"/>
      <c r="WJ997" s="2335"/>
      <c r="WK997" s="2335"/>
      <c r="WL997" s="2335"/>
      <c r="WM997" s="2335"/>
      <c r="WN997" s="2335"/>
      <c r="WO997" s="2335"/>
      <c r="WP997" s="2335"/>
      <c r="WQ997" s="2335"/>
      <c r="WR997" s="2335"/>
      <c r="WS997" s="2335"/>
      <c r="WT997" s="2335"/>
      <c r="WU997" s="2335"/>
      <c r="WV997" s="2335"/>
      <c r="WW997" s="2335"/>
      <c r="WX997" s="2335"/>
      <c r="WY997" s="2335"/>
      <c r="WZ997" s="2335"/>
      <c r="XA997" s="2335"/>
      <c r="XB997" s="2335"/>
      <c r="XC997" s="2335"/>
      <c r="XD997" s="2335"/>
      <c r="XE997" s="2335"/>
      <c r="XF997" s="2335"/>
      <c r="XG997" s="2335"/>
      <c r="XH997" s="2335"/>
      <c r="XI997" s="2335"/>
      <c r="XJ997" s="2335"/>
      <c r="XK997" s="2335"/>
      <c r="XL997" s="2335"/>
      <c r="XM997" s="2335"/>
      <c r="XN997" s="2335"/>
      <c r="XO997" s="2335"/>
      <c r="XP997" s="2335"/>
      <c r="XQ997" s="2335"/>
      <c r="XR997" s="2335"/>
      <c r="XS997" s="2335"/>
      <c r="XT997" s="2335"/>
      <c r="XU997" s="2335"/>
      <c r="XV997" s="2335"/>
      <c r="XW997" s="2335"/>
      <c r="XX997" s="2335"/>
      <c r="XY997" s="2335"/>
      <c r="XZ997" s="2335"/>
      <c r="YA997" s="2335"/>
      <c r="YB997" s="2335"/>
      <c r="YC997" s="2335"/>
      <c r="YD997" s="2335"/>
      <c r="YE997" s="2335"/>
      <c r="YF997" s="2335"/>
      <c r="YG997" s="2335"/>
      <c r="YH997" s="2335"/>
      <c r="YI997" s="2335"/>
      <c r="YJ997" s="2335"/>
      <c r="YK997" s="2335"/>
      <c r="YL997" s="2335"/>
      <c r="YM997" s="2335"/>
      <c r="YN997" s="2335"/>
      <c r="YO997" s="2335"/>
      <c r="YP997" s="2335"/>
      <c r="YQ997" s="2335"/>
      <c r="YR997" s="2335"/>
      <c r="YS997" s="2335"/>
      <c r="YT997" s="2335"/>
      <c r="YU997" s="2335"/>
      <c r="YV997" s="2335"/>
      <c r="YW997" s="2335"/>
      <c r="YX997" s="2335"/>
      <c r="YY997" s="2335"/>
      <c r="YZ997" s="2335"/>
      <c r="ZA997" s="2335"/>
      <c r="ZB997" s="2335"/>
      <c r="ZC997" s="2335"/>
      <c r="ZD997" s="2335"/>
      <c r="ZE997" s="2335"/>
      <c r="ZF997" s="2335"/>
      <c r="ZG997" s="2335"/>
      <c r="ZH997" s="2335"/>
      <c r="ZI997" s="2335"/>
      <c r="ZJ997" s="2335"/>
      <c r="ZK997" s="2335"/>
      <c r="ZL997" s="2335"/>
      <c r="ZM997" s="2335"/>
      <c r="ZN997" s="2335"/>
      <c r="ZO997" s="2335"/>
      <c r="ZP997" s="2335"/>
      <c r="ZQ997" s="2335"/>
      <c r="ZR997" s="2335"/>
      <c r="ZS997" s="2335"/>
      <c r="ZT997" s="2335"/>
      <c r="ZU997" s="2335"/>
      <c r="ZV997" s="2335"/>
      <c r="ZW997" s="2335"/>
      <c r="ZX997" s="2335"/>
      <c r="ZY997" s="2335"/>
      <c r="ZZ997" s="2335"/>
      <c r="AAA997" s="2335"/>
      <c r="AAB997" s="2335"/>
      <c r="AAC997" s="2335"/>
      <c r="AAD997" s="2335"/>
      <c r="AAE997" s="2335"/>
      <c r="AAF997" s="2335"/>
      <c r="AAG997" s="2335"/>
      <c r="AAH997" s="2335"/>
      <c r="AAI997" s="2335"/>
      <c r="AAJ997" s="2335"/>
      <c r="AAK997" s="2335"/>
      <c r="AAL997" s="2335"/>
      <c r="AAM997" s="2335"/>
      <c r="AAN997" s="2335"/>
      <c r="AAO997" s="2335"/>
      <c r="AAP997" s="2335"/>
      <c r="AAQ997" s="2335"/>
      <c r="AAR997" s="2335"/>
      <c r="AAS997" s="2335"/>
      <c r="AAT997" s="2335"/>
      <c r="AAU997" s="2335"/>
      <c r="AAV997" s="2335"/>
      <c r="AAW997" s="2335"/>
      <c r="AAX997" s="2335"/>
      <c r="AAY997" s="2335"/>
      <c r="AAZ997" s="2335"/>
      <c r="ABA997" s="2335"/>
      <c r="ABB997" s="2335"/>
      <c r="ABC997" s="2335"/>
      <c r="ABD997" s="2335"/>
      <c r="ABE997" s="2335"/>
      <c r="ABF997" s="2335"/>
      <c r="ABG997" s="2335"/>
      <c r="ABH997" s="2335"/>
      <c r="ABI997" s="2335"/>
      <c r="ABJ997" s="2335"/>
      <c r="ABK997" s="2335"/>
      <c r="ABL997" s="2335"/>
      <c r="ABM997" s="2335"/>
      <c r="ABN997" s="2335"/>
      <c r="ABO997" s="2335"/>
      <c r="ABP997" s="2335"/>
      <c r="ABQ997" s="2335"/>
      <c r="ABR997" s="2335"/>
      <c r="ABS997" s="2335"/>
      <c r="ABT997" s="2335"/>
      <c r="ABU997" s="2335"/>
      <c r="ABV997" s="2335"/>
      <c r="ABW997" s="2335"/>
      <c r="ABX997" s="2335"/>
      <c r="ABY997" s="2335"/>
      <c r="ABZ997" s="2335"/>
      <c r="ACA997" s="2335"/>
      <c r="ACB997" s="2335"/>
      <c r="ACC997" s="2335"/>
      <c r="ACD997" s="2335"/>
      <c r="ACE997" s="2335"/>
      <c r="ACF997" s="2335"/>
      <c r="ACG997" s="2335"/>
      <c r="ACH997" s="2335"/>
      <c r="ACI997" s="2335"/>
      <c r="ACJ997" s="2335"/>
      <c r="ACK997" s="2335"/>
      <c r="ACL997" s="2335"/>
      <c r="ACM997" s="2335"/>
      <c r="ACN997" s="2335"/>
      <c r="ACO997" s="2335"/>
      <c r="ACP997" s="2335"/>
      <c r="ACQ997" s="2335"/>
      <c r="ACR997" s="2335"/>
      <c r="ACS997" s="2335"/>
      <c r="ACT997" s="2335"/>
      <c r="ACU997" s="2335"/>
      <c r="ACV997" s="2335"/>
      <c r="ACW997" s="2335"/>
      <c r="ACX997" s="2335"/>
      <c r="ACY997" s="2335"/>
      <c r="ACZ997" s="2335"/>
      <c r="ADA997" s="2335"/>
      <c r="ADB997" s="2335"/>
      <c r="ADC997" s="2335"/>
      <c r="ADD997" s="2335"/>
      <c r="ADE997" s="2335"/>
      <c r="ADF997" s="2335"/>
      <c r="ADG997" s="2335"/>
      <c r="ADH997" s="2335"/>
      <c r="ADI997" s="2335"/>
      <c r="ADJ997" s="2335"/>
      <c r="ADK997" s="2335"/>
      <c r="ADL997" s="2335"/>
      <c r="ADM997" s="2335"/>
      <c r="ADN997" s="2335"/>
      <c r="ADO997" s="2335"/>
      <c r="ADP997" s="2335"/>
      <c r="ADQ997" s="2335"/>
      <c r="ADR997" s="2335"/>
      <c r="ADS997" s="2335"/>
      <c r="ADT997" s="2335"/>
      <c r="ADU997" s="2335"/>
      <c r="ADV997" s="2335"/>
      <c r="ADW997" s="2335"/>
      <c r="ADX997" s="2335"/>
      <c r="ADY997" s="2335"/>
      <c r="ADZ997" s="2335"/>
      <c r="AEA997" s="2335"/>
      <c r="AEB997" s="2335"/>
      <c r="AEC997" s="2335"/>
      <c r="AED997" s="2335"/>
      <c r="AEE997" s="2335"/>
      <c r="AEF997" s="2335"/>
      <c r="AEG997" s="2335"/>
      <c r="AEH997" s="2335"/>
      <c r="AEI997" s="2335"/>
      <c r="AEJ997" s="2335"/>
      <c r="AEK997" s="2335"/>
      <c r="AEL997" s="2335"/>
      <c r="AEM997" s="2335"/>
      <c r="AEN997" s="2335"/>
      <c r="AEO997" s="2335"/>
      <c r="AEP997" s="2335"/>
      <c r="AEQ997" s="2335"/>
      <c r="AER997" s="2335"/>
      <c r="AES997" s="2335"/>
      <c r="AET997" s="2335"/>
      <c r="AEU997" s="2335"/>
      <c r="AEV997" s="2335"/>
      <c r="AEW997" s="2335"/>
      <c r="AEX997" s="2335"/>
      <c r="AEY997" s="2335"/>
      <c r="AEZ997" s="2335"/>
      <c r="AFA997" s="2335"/>
      <c r="AFB997" s="2335"/>
      <c r="AFC997" s="2335"/>
      <c r="AFD997" s="2335"/>
      <c r="AFE997" s="2335"/>
      <c r="AFF997" s="2335"/>
      <c r="AFG997" s="2335"/>
      <c r="AFH997" s="2335"/>
      <c r="AFI997" s="2335"/>
      <c r="AFJ997" s="2335"/>
      <c r="AFK997" s="2335"/>
      <c r="AFL997" s="2335"/>
      <c r="AFM997" s="2335"/>
      <c r="AFN997" s="2335"/>
      <c r="AFO997" s="2335"/>
      <c r="AFP997" s="2335"/>
      <c r="AFQ997" s="2335"/>
      <c r="AFR997" s="2335"/>
      <c r="AFS997" s="2335"/>
      <c r="AFT997" s="2335"/>
      <c r="AFU997" s="2335"/>
      <c r="AFV997" s="2335"/>
      <c r="AFW997" s="2335"/>
      <c r="AFX997" s="2335"/>
      <c r="AFY997" s="2335"/>
      <c r="AFZ997" s="2335"/>
      <c r="AGA997" s="2335"/>
      <c r="AGB997" s="2335"/>
      <c r="AGC997" s="2335"/>
      <c r="AGD997" s="2335"/>
      <c r="AGE997" s="2335"/>
      <c r="AGF997" s="2335"/>
      <c r="AGG997" s="2335"/>
      <c r="AGH997" s="2335"/>
      <c r="AGI997" s="2335"/>
      <c r="AGJ997" s="2335"/>
      <c r="AGK997" s="2335"/>
      <c r="AGL997" s="2335"/>
      <c r="AGM997" s="2335"/>
      <c r="AGN997" s="2335"/>
      <c r="AGO997" s="2335"/>
      <c r="AGP997" s="2335"/>
      <c r="AGQ997" s="2335"/>
      <c r="AGR997" s="2335"/>
      <c r="AGS997" s="2335"/>
      <c r="AGT997" s="2335"/>
      <c r="AGU997" s="2335"/>
      <c r="AGV997" s="2335"/>
      <c r="AGW997" s="2335"/>
      <c r="AGX997" s="2335"/>
      <c r="AGY997" s="2335"/>
      <c r="AGZ997" s="2335"/>
      <c r="AHA997" s="2335"/>
      <c r="AHB997" s="2335"/>
      <c r="AHC997" s="2335"/>
      <c r="AHD997" s="2335"/>
      <c r="AHE997" s="2335"/>
      <c r="AHF997" s="2335"/>
      <c r="AHG997" s="2335"/>
      <c r="AHH997" s="2335"/>
      <c r="AHI997" s="2335"/>
      <c r="AHJ997" s="2335"/>
      <c r="AHK997" s="2335"/>
      <c r="AHL997" s="2335"/>
      <c r="AHM997" s="2335"/>
      <c r="AHN997" s="2335"/>
      <c r="AHO997" s="2335"/>
      <c r="AHP997" s="2335"/>
      <c r="AHQ997" s="2335"/>
      <c r="AHR997" s="2335"/>
      <c r="AHS997" s="2335"/>
      <c r="AHT997" s="2335"/>
      <c r="AHU997" s="2335"/>
      <c r="AHV997" s="2335"/>
      <c r="AHW997" s="2335"/>
      <c r="AHX997" s="2335"/>
      <c r="AHY997" s="2335"/>
      <c r="AHZ997" s="2335"/>
      <c r="AIA997" s="2335"/>
      <c r="AIB997" s="2335"/>
      <c r="AIC997" s="2335"/>
      <c r="AID997" s="2335"/>
      <c r="AIE997" s="2335"/>
      <c r="AIF997" s="2335"/>
      <c r="AIG997" s="2335"/>
      <c r="AIH997" s="2335"/>
      <c r="AII997" s="2335"/>
      <c r="AIJ997" s="2335"/>
      <c r="AIK997" s="2335"/>
      <c r="AIL997" s="2335"/>
      <c r="AIM997" s="2335"/>
      <c r="AIN997" s="2335"/>
      <c r="AIO997" s="2335"/>
      <c r="AIP997" s="2335"/>
      <c r="AIQ997" s="2335"/>
      <c r="AIR997" s="2335"/>
      <c r="AIS997" s="2335"/>
      <c r="AIT997" s="2335"/>
      <c r="AIU997" s="2335"/>
      <c r="AIV997" s="2335"/>
      <c r="AIW997" s="2335"/>
      <c r="AIX997" s="2335"/>
      <c r="AIY997" s="2335"/>
      <c r="AIZ997" s="2335"/>
      <c r="AJA997" s="2335"/>
      <c r="AJB997" s="2335"/>
      <c r="AJC997" s="2335"/>
      <c r="AJD997" s="2335"/>
      <c r="AJE997" s="2335"/>
      <c r="AJF997" s="2335"/>
      <c r="AJG997" s="2335"/>
      <c r="AJH997" s="2335"/>
      <c r="AJI997" s="2335"/>
      <c r="AJJ997" s="2335"/>
      <c r="AJK997" s="2335"/>
      <c r="AJL997" s="2335"/>
      <c r="AJM997" s="2335"/>
      <c r="AJN997" s="2335"/>
      <c r="AJO997" s="2335"/>
      <c r="AJP997" s="2335"/>
      <c r="AJQ997" s="2335"/>
      <c r="AJR997" s="2335"/>
      <c r="AJS997" s="2335"/>
      <c r="AJT997" s="2335"/>
      <c r="AJU997" s="2335"/>
      <c r="AJV997" s="2335"/>
      <c r="AJW997" s="2335"/>
      <c r="AJX997" s="2335"/>
      <c r="AJY997" s="2335"/>
      <c r="AJZ997" s="2335"/>
      <c r="AKA997" s="2335"/>
      <c r="AKB997" s="2335"/>
      <c r="AKC997" s="2335"/>
      <c r="AKD997" s="2335"/>
      <c r="AKE997" s="2335"/>
      <c r="AKF997" s="2335"/>
      <c r="AKG997" s="2335"/>
      <c r="AKH997" s="2335"/>
      <c r="AKI997" s="2335"/>
      <c r="AKJ997" s="2335"/>
      <c r="AKK997" s="2335"/>
      <c r="AKL997" s="2335"/>
      <c r="AKM997" s="2335"/>
      <c r="AKN997" s="2335"/>
      <c r="AKO997" s="2335"/>
      <c r="AKP997" s="2335"/>
      <c r="AKQ997" s="2335"/>
      <c r="AKR997" s="2335"/>
      <c r="AKS997" s="2335"/>
      <c r="AKT997" s="2335"/>
      <c r="AKU997" s="2335"/>
      <c r="AKV997" s="2335"/>
      <c r="AKW997" s="2335"/>
      <c r="AKX997" s="2335"/>
      <c r="AKY997" s="2335"/>
      <c r="AKZ997" s="2335"/>
      <c r="ALA997" s="2335"/>
      <c r="ALB997" s="2335"/>
      <c r="ALC997" s="2335"/>
      <c r="ALD997" s="2335"/>
      <c r="ALE997" s="2335"/>
      <c r="ALF997" s="2335"/>
      <c r="ALG997" s="2335"/>
      <c r="ALH997" s="2335"/>
      <c r="ALI997" s="2335"/>
      <c r="ALJ997" s="2335"/>
      <c r="ALK997" s="2335"/>
      <c r="ALL997" s="2335"/>
      <c r="ALM997" s="2335"/>
      <c r="ALN997" s="2335"/>
      <c r="ALO997" s="2335"/>
      <c r="ALP997" s="2335"/>
      <c r="ALQ997" s="2335"/>
      <c r="ALR997" s="2335"/>
      <c r="ALS997" s="2335"/>
      <c r="ALT997" s="2335"/>
      <c r="ALU997" s="2335"/>
      <c r="ALV997" s="2335"/>
      <c r="ALW997" s="2335"/>
      <c r="ALX997" s="2335"/>
      <c r="ALY997" s="2335"/>
      <c r="ALZ997" s="2335"/>
      <c r="AMA997" s="2335"/>
      <c r="AMB997" s="2335"/>
      <c r="AMC997" s="2335"/>
      <c r="AMD997" s="2335"/>
      <c r="AME997" s="2335"/>
      <c r="AMF997" s="2335"/>
      <c r="AMG997" s="2335"/>
      <c r="AMH997" s="2335"/>
      <c r="AMI997" s="2335"/>
      <c r="AMJ997" s="2335"/>
      <c r="AMK997" s="2335"/>
      <c r="AML997" s="2335"/>
      <c r="AMM997" s="2335"/>
      <c r="AMN997" s="2335"/>
      <c r="AMO997" s="2335"/>
      <c r="AMP997" s="2335"/>
      <c r="AMQ997" s="2335"/>
      <c r="AMR997" s="2335"/>
      <c r="AMS997" s="2335"/>
      <c r="AMT997" s="2335"/>
      <c r="AMU997" s="2335"/>
      <c r="AMV997" s="2335"/>
      <c r="AMW997" s="2335"/>
      <c r="AMX997" s="2335"/>
      <c r="AMY997" s="2335"/>
      <c r="AMZ997" s="2335"/>
      <c r="ANA997" s="2335"/>
      <c r="ANB997" s="2335"/>
      <c r="ANC997" s="2335"/>
      <c r="AND997" s="2335"/>
      <c r="ANE997" s="2335"/>
      <c r="ANF997" s="2335"/>
      <c r="ANG997" s="2335"/>
      <c r="ANH997" s="2335"/>
      <c r="ANI997" s="2335"/>
      <c r="ANJ997" s="2335"/>
      <c r="ANK997" s="2335"/>
      <c r="ANL997" s="2335"/>
      <c r="ANM997" s="2335"/>
      <c r="ANN997" s="2335"/>
      <c r="ANO997" s="2335"/>
      <c r="ANP997" s="2335"/>
      <c r="ANQ997" s="2335"/>
      <c r="ANR997" s="2335"/>
      <c r="ANS997" s="2335"/>
      <c r="ANT997" s="2335"/>
      <c r="ANU997" s="2335"/>
      <c r="ANV997" s="2335"/>
      <c r="ANW997" s="2335"/>
      <c r="ANX997" s="2335"/>
      <c r="ANY997" s="2335"/>
      <c r="ANZ997" s="2335"/>
      <c r="AOA997" s="2335"/>
      <c r="AOB997" s="2335"/>
      <c r="AOC997" s="2335"/>
      <c r="AOD997" s="2335"/>
      <c r="AOE997" s="2335"/>
      <c r="AOF997" s="2335"/>
      <c r="AOG997" s="2335"/>
      <c r="AOH997" s="2335"/>
      <c r="AOI997" s="2335"/>
      <c r="AOJ997" s="2335"/>
      <c r="AOK997" s="2335"/>
      <c r="AOL997" s="2335"/>
      <c r="AOM997" s="2335"/>
      <c r="AON997" s="2335"/>
      <c r="AOO997" s="2335"/>
      <c r="AOP997" s="2335"/>
      <c r="AOQ997" s="2335"/>
      <c r="AOR997" s="2335"/>
      <c r="AOS997" s="2335"/>
      <c r="AOT997" s="2335"/>
      <c r="AOU997" s="2335"/>
      <c r="AOV997" s="2335"/>
      <c r="AOW997" s="2335"/>
      <c r="AOX997" s="2335"/>
      <c r="AOY997" s="2335"/>
      <c r="AOZ997" s="2335"/>
      <c r="APA997" s="2335"/>
      <c r="APB997" s="2335"/>
      <c r="APC997" s="2335"/>
      <c r="APD997" s="2335"/>
      <c r="APE997" s="2335"/>
      <c r="APF997" s="2335"/>
      <c r="APG997" s="2335"/>
      <c r="APH997" s="2335"/>
      <c r="API997" s="2335"/>
      <c r="APJ997" s="2335"/>
      <c r="APK997" s="2335"/>
      <c r="APL997" s="2335"/>
      <c r="APM997" s="2335"/>
      <c r="APN997" s="2335"/>
      <c r="APO997" s="2335"/>
      <c r="APP997" s="2335"/>
      <c r="APQ997" s="2335"/>
      <c r="APR997" s="2335"/>
      <c r="APS997" s="2335"/>
      <c r="APT997" s="2335"/>
      <c r="APU997" s="2335"/>
      <c r="APV997" s="2335"/>
      <c r="APW997" s="2335"/>
      <c r="APX997" s="2335"/>
      <c r="APY997" s="2335"/>
      <c r="APZ997" s="2335"/>
      <c r="AQA997" s="2335"/>
      <c r="AQB997" s="2335"/>
      <c r="AQC997" s="2335"/>
      <c r="AQD997" s="2335"/>
      <c r="AQE997" s="2335"/>
      <c r="AQF997" s="2335"/>
      <c r="AQG997" s="2335"/>
      <c r="AQH997" s="2335"/>
      <c r="AQI997" s="2335"/>
      <c r="AQJ997" s="2335"/>
      <c r="AQK997" s="2335"/>
      <c r="AQL997" s="2335"/>
      <c r="AQM997" s="2335"/>
      <c r="AQN997" s="2335"/>
      <c r="AQO997" s="2335"/>
      <c r="AQP997" s="2335"/>
      <c r="AQQ997" s="2335"/>
      <c r="AQR997" s="2335"/>
      <c r="AQS997" s="2335"/>
      <c r="AQT997" s="2335"/>
      <c r="AQU997" s="2335"/>
      <c r="AQV997" s="2335"/>
      <c r="AQW997" s="2335"/>
      <c r="AQX997" s="2335"/>
      <c r="AQY997" s="2335"/>
      <c r="AQZ997" s="2335"/>
      <c r="ARA997" s="2335"/>
      <c r="ARB997" s="2335"/>
      <c r="ARC997" s="2335"/>
      <c r="ARD997" s="2335"/>
      <c r="ARE997" s="2335"/>
      <c r="ARF997" s="2335"/>
      <c r="ARG997" s="2335"/>
      <c r="ARH997" s="2335"/>
      <c r="ARI997" s="2335"/>
      <c r="ARJ997" s="2335"/>
      <c r="ARK997" s="2335"/>
      <c r="ARL997" s="2335"/>
      <c r="ARM997" s="2335"/>
      <c r="ARN997" s="2335"/>
      <c r="ARO997" s="2335"/>
      <c r="ARP997" s="2335"/>
      <c r="ARQ997" s="2335"/>
      <c r="ARR997" s="2335"/>
      <c r="ARS997" s="2335"/>
      <c r="ART997" s="2335"/>
      <c r="ARU997" s="2335"/>
      <c r="ARV997" s="2335"/>
      <c r="ARW997" s="2335"/>
      <c r="ARX997" s="2335"/>
      <c r="ARY997" s="2335"/>
      <c r="ARZ997" s="2335"/>
      <c r="ASA997" s="2335"/>
      <c r="ASB997" s="2335"/>
      <c r="ASC997" s="2335"/>
      <c r="ASD997" s="2335"/>
      <c r="ASE997" s="2335"/>
      <c r="ASF997" s="2335"/>
      <c r="ASG997" s="2335"/>
      <c r="ASH997" s="2335"/>
      <c r="ASI997" s="2335"/>
      <c r="ASJ997" s="2335"/>
      <c r="ASK997" s="2335"/>
      <c r="ASL997" s="2335"/>
      <c r="ASM997" s="2335"/>
      <c r="ASN997" s="2335"/>
      <c r="ASO997" s="2335"/>
      <c r="ASP997" s="2335"/>
      <c r="ASQ997" s="2335"/>
      <c r="ASR997" s="2335"/>
      <c r="ASS997" s="2335"/>
      <c r="AST997" s="2335"/>
      <c r="ASU997" s="2335"/>
      <c r="ASV997" s="2335"/>
      <c r="ASW997" s="2335"/>
      <c r="ASX997" s="2335"/>
      <c r="ASY997" s="2335"/>
      <c r="ASZ997" s="2335"/>
      <c r="ATA997" s="2335"/>
      <c r="ATB997" s="2335"/>
      <c r="ATC997" s="2335"/>
      <c r="ATD997" s="2335"/>
      <c r="ATE997" s="2335"/>
      <c r="ATF997" s="2335"/>
      <c r="ATG997" s="2335"/>
      <c r="ATH997" s="2335"/>
      <c r="ATI997" s="2335"/>
      <c r="ATJ997" s="2335"/>
      <c r="ATK997" s="2335"/>
      <c r="ATL997" s="2335"/>
      <c r="ATM997" s="2335"/>
      <c r="ATN997" s="2335"/>
      <c r="ATO997" s="2335"/>
      <c r="ATP997" s="2335"/>
      <c r="ATQ997" s="2335"/>
      <c r="ATR997" s="2335"/>
      <c r="ATS997" s="2335"/>
      <c r="ATT997" s="2335"/>
      <c r="ATU997" s="2335"/>
      <c r="ATV997" s="2335"/>
      <c r="ATW997" s="2335"/>
      <c r="ATX997" s="2335"/>
      <c r="ATY997" s="2335"/>
      <c r="ATZ997" s="2335"/>
      <c r="AUA997" s="2335"/>
      <c r="AUB997" s="2335"/>
      <c r="AUC997" s="2335"/>
      <c r="AUD997" s="2335"/>
      <c r="AUE997" s="2335"/>
      <c r="AUF997" s="2335"/>
      <c r="AUG997" s="2335"/>
      <c r="AUH997" s="2335"/>
      <c r="AUI997" s="2335"/>
      <c r="AUJ997" s="2335"/>
      <c r="AUK997" s="2335"/>
      <c r="AUL997" s="2335"/>
      <c r="AUM997" s="2335"/>
      <c r="AUN997" s="2335"/>
      <c r="AUO997" s="2335"/>
      <c r="AUP997" s="2335"/>
      <c r="AUQ997" s="2335"/>
      <c r="AUR997" s="2335"/>
      <c r="AUS997" s="2335"/>
      <c r="AUT997" s="2335"/>
      <c r="AUU997" s="2335"/>
      <c r="AUV997" s="2335"/>
      <c r="AUW997" s="2335"/>
      <c r="AUX997" s="2335"/>
      <c r="AUY997" s="2335"/>
      <c r="AUZ997" s="2335"/>
      <c r="AVA997" s="2335"/>
      <c r="AVB997" s="2335"/>
      <c r="AVC997" s="2335"/>
      <c r="AVD997" s="2335"/>
      <c r="AVE997" s="2335"/>
      <c r="AVF997" s="2335"/>
      <c r="AVG997" s="2335"/>
      <c r="AVH997" s="2335"/>
      <c r="AVI997" s="2335"/>
      <c r="AVJ997" s="2335"/>
      <c r="AVK997" s="2335"/>
      <c r="AVL997" s="2335"/>
      <c r="AVM997" s="2335"/>
      <c r="AVN997" s="2335"/>
      <c r="AVO997" s="2335"/>
      <c r="AVP997" s="2335"/>
      <c r="AVQ997" s="2335"/>
      <c r="AVR997" s="2335"/>
      <c r="AVS997" s="2335"/>
      <c r="AVT997" s="2335"/>
      <c r="AVU997" s="2335"/>
      <c r="AVV997" s="2335"/>
      <c r="AVW997" s="2335"/>
      <c r="AVX997" s="2335"/>
      <c r="AVY997" s="2335"/>
      <c r="AVZ997" s="2335"/>
      <c r="AWA997" s="2335"/>
      <c r="AWB997" s="2335"/>
      <c r="AWC997" s="2335"/>
      <c r="AWD997" s="2335"/>
      <c r="AWE997" s="2335"/>
      <c r="AWF997" s="2335"/>
      <c r="AWG997" s="2335"/>
      <c r="AWH997" s="2335"/>
      <c r="AWI997" s="2335"/>
      <c r="AWJ997" s="2335"/>
      <c r="AWK997" s="2335"/>
      <c r="AWL997" s="2335"/>
      <c r="AWM997" s="2335"/>
      <c r="AWN997" s="2335"/>
      <c r="AWO997" s="2335"/>
      <c r="AWP997" s="2335"/>
      <c r="AWQ997" s="2335"/>
      <c r="AWR997" s="2335"/>
      <c r="AWS997" s="2335"/>
      <c r="AWT997" s="2335"/>
      <c r="AWU997" s="2335"/>
      <c r="AWV997" s="2335"/>
      <c r="AWW997" s="2335"/>
      <c r="AWX997" s="2335"/>
      <c r="AWY997" s="2335"/>
      <c r="AWZ997" s="2335"/>
      <c r="AXA997" s="2335"/>
      <c r="AXB997" s="2335"/>
      <c r="AXC997" s="2335"/>
      <c r="AXD997" s="2335"/>
      <c r="AXE997" s="2335"/>
      <c r="AXF997" s="2335"/>
      <c r="AXG997" s="2335"/>
      <c r="AXH997" s="2335"/>
      <c r="AXI997" s="2335"/>
      <c r="AXJ997" s="2335"/>
      <c r="AXK997" s="2335"/>
      <c r="AXL997" s="2335"/>
      <c r="AXM997" s="2335"/>
      <c r="AXN997" s="2335"/>
      <c r="AXO997" s="2335"/>
      <c r="AXP997" s="2335"/>
      <c r="AXQ997" s="2335"/>
      <c r="AXR997" s="2335"/>
      <c r="AXS997" s="2335"/>
      <c r="AXT997" s="2335"/>
      <c r="AXU997" s="2335"/>
      <c r="AXV997" s="2335"/>
      <c r="AXW997" s="2335"/>
      <c r="AXX997" s="2335"/>
      <c r="AXY997" s="2335"/>
      <c r="AXZ997" s="2335"/>
      <c r="AYA997" s="2335"/>
      <c r="AYB997" s="2335"/>
      <c r="AYC997" s="2335"/>
      <c r="AYD997" s="2335"/>
      <c r="AYE997" s="2335"/>
      <c r="AYF997" s="2335"/>
      <c r="AYG997" s="2335"/>
      <c r="AYH997" s="2335"/>
      <c r="AYI997" s="2335"/>
      <c r="AYJ997" s="2335"/>
      <c r="AYK997" s="2335"/>
      <c r="AYL997" s="2335"/>
      <c r="AYM997" s="2335"/>
      <c r="AYN997" s="2335"/>
      <c r="AYO997" s="2335"/>
      <c r="AYP997" s="2335"/>
      <c r="AYQ997" s="2335"/>
      <c r="AYR997" s="2335"/>
      <c r="AYS997" s="2335"/>
      <c r="AYT997" s="2335"/>
      <c r="AYU997" s="2335"/>
      <c r="AYV997" s="2335"/>
      <c r="AYW997" s="2335"/>
      <c r="AYX997" s="2335"/>
      <c r="AYY997" s="2335"/>
      <c r="AYZ997" s="2335"/>
      <c r="AZA997" s="2335"/>
      <c r="AZB997" s="2335"/>
      <c r="AZC997" s="2335"/>
      <c r="AZD997" s="2335"/>
      <c r="AZE997" s="2335"/>
      <c r="AZF997" s="2335"/>
      <c r="AZG997" s="2335"/>
      <c r="AZH997" s="2335"/>
      <c r="AZI997" s="2335"/>
      <c r="AZJ997" s="2335"/>
      <c r="AZK997" s="2335"/>
      <c r="AZL997" s="2335"/>
      <c r="AZM997" s="2335"/>
      <c r="AZN997" s="2335"/>
      <c r="AZO997" s="2335"/>
      <c r="AZP997" s="2335"/>
      <c r="AZQ997" s="2335"/>
      <c r="AZR997" s="2335"/>
      <c r="AZS997" s="2335"/>
      <c r="AZT997" s="2335"/>
      <c r="AZU997" s="2335"/>
      <c r="AZV997" s="2335"/>
      <c r="AZW997" s="2335"/>
      <c r="AZX997" s="2335"/>
      <c r="AZY997" s="2335"/>
      <c r="AZZ997" s="2335"/>
      <c r="BAA997" s="2335"/>
      <c r="BAB997" s="2335"/>
      <c r="BAC997" s="2335"/>
      <c r="BAD997" s="2335"/>
      <c r="BAE997" s="2335"/>
      <c r="BAF997" s="2335"/>
      <c r="BAG997" s="2335"/>
      <c r="BAH997" s="2335"/>
      <c r="BAI997" s="2335"/>
      <c r="BAJ997" s="2335"/>
      <c r="BAK997" s="2335"/>
      <c r="BAL997" s="2335"/>
      <c r="BAM997" s="2335"/>
      <c r="BAN997" s="2335"/>
      <c r="BAO997" s="2335"/>
      <c r="BAP997" s="2335"/>
      <c r="BAQ997" s="2335"/>
      <c r="BAR997" s="2335"/>
      <c r="BAS997" s="2335"/>
      <c r="BAT997" s="2335"/>
      <c r="BAU997" s="2335"/>
      <c r="BAV997" s="2335"/>
      <c r="BAW997" s="2335"/>
      <c r="BAX997" s="2335"/>
      <c r="BAY997" s="2335"/>
      <c r="BAZ997" s="2335"/>
      <c r="BBA997" s="2335"/>
      <c r="BBB997" s="2335"/>
      <c r="BBC997" s="2335"/>
      <c r="BBD997" s="2335"/>
      <c r="BBE997" s="2335"/>
      <c r="BBF997" s="2335"/>
      <c r="BBG997" s="2335"/>
      <c r="BBH997" s="2335"/>
      <c r="BBI997" s="2335"/>
      <c r="BBJ997" s="2335"/>
      <c r="BBK997" s="2335"/>
      <c r="BBL997" s="2335"/>
      <c r="BBM997" s="2335"/>
      <c r="BBN997" s="2335"/>
      <c r="BBO997" s="2335"/>
      <c r="BBP997" s="2335"/>
      <c r="BBQ997" s="2335"/>
      <c r="BBR997" s="2335"/>
      <c r="BBS997" s="2335"/>
      <c r="BBT997" s="2335"/>
      <c r="BBU997" s="2335"/>
      <c r="BBV997" s="2335"/>
      <c r="BBW997" s="2335"/>
      <c r="BBX997" s="2335"/>
      <c r="BBY997" s="2335"/>
      <c r="BBZ997" s="2335"/>
      <c r="BCA997" s="2335"/>
      <c r="BCB997" s="2335"/>
      <c r="BCC997" s="2335"/>
      <c r="BCD997" s="2335"/>
      <c r="BCE997" s="2335"/>
      <c r="BCF997" s="2335"/>
      <c r="BCG997" s="2335"/>
      <c r="BCH997" s="2335"/>
      <c r="BCI997" s="2335"/>
      <c r="BCJ997" s="2335"/>
      <c r="BCK997" s="2335"/>
      <c r="BCL997" s="2335"/>
      <c r="BCM997" s="2335"/>
      <c r="BCN997" s="2335"/>
      <c r="BCO997" s="2335"/>
      <c r="BCP997" s="2335"/>
      <c r="BCQ997" s="2335"/>
      <c r="BCR997" s="2335"/>
      <c r="BCS997" s="2335"/>
      <c r="BCT997" s="2335"/>
      <c r="BCU997" s="2335"/>
      <c r="BCV997" s="2335"/>
      <c r="BCW997" s="2335"/>
      <c r="BCX997" s="2335"/>
      <c r="BCY997" s="2335"/>
      <c r="BCZ997" s="2335"/>
      <c r="BDA997" s="2335"/>
      <c r="BDB997" s="2335"/>
      <c r="BDC997" s="2335"/>
      <c r="BDD997" s="2335"/>
      <c r="BDE997" s="2335"/>
      <c r="BDF997" s="2335"/>
      <c r="BDG997" s="2335"/>
      <c r="BDH997" s="2335"/>
      <c r="BDI997" s="2335"/>
      <c r="BDJ997" s="2335"/>
      <c r="BDK997" s="2335"/>
      <c r="BDL997" s="2335"/>
      <c r="BDM997" s="2335"/>
      <c r="BDN997" s="2335"/>
      <c r="BDO997" s="2335"/>
      <c r="BDP997" s="2335"/>
      <c r="BDQ997" s="2335"/>
      <c r="BDR997" s="2335"/>
      <c r="BDS997" s="2335"/>
      <c r="BDT997" s="2335"/>
      <c r="BDU997" s="2335"/>
      <c r="BDV997" s="2335"/>
      <c r="BDW997" s="2335"/>
      <c r="BDX997" s="2335"/>
      <c r="BDY997" s="2335"/>
      <c r="BDZ997" s="2335"/>
      <c r="BEA997" s="2335"/>
      <c r="BEB997" s="2335"/>
      <c r="BEC997" s="2335"/>
      <c r="BED997" s="2335"/>
      <c r="BEE997" s="2335"/>
      <c r="BEF997" s="2335"/>
      <c r="BEG997" s="2335"/>
      <c r="BEH997" s="2335"/>
      <c r="BEI997" s="2335"/>
      <c r="BEJ997" s="2335"/>
      <c r="BEK997" s="2335"/>
      <c r="BEL997" s="2335"/>
      <c r="BEM997" s="2335"/>
      <c r="BEN997" s="2335"/>
      <c r="BEO997" s="2335"/>
      <c r="BEP997" s="2335"/>
      <c r="BEQ997" s="2335"/>
      <c r="BER997" s="2335"/>
      <c r="BES997" s="2335"/>
      <c r="BET997" s="2335"/>
      <c r="BEU997" s="2335"/>
      <c r="BEV997" s="2335"/>
      <c r="BEW997" s="2335"/>
      <c r="BEX997" s="2335"/>
      <c r="BEY997" s="2335"/>
      <c r="BEZ997" s="2335"/>
      <c r="BFA997" s="2335"/>
      <c r="BFB997" s="2335"/>
      <c r="BFC997" s="2335"/>
      <c r="BFD997" s="2335"/>
      <c r="BFE997" s="2335"/>
      <c r="BFF997" s="2335"/>
      <c r="BFG997" s="2335"/>
      <c r="BFH997" s="2335"/>
      <c r="BFI997" s="2335"/>
      <c r="BFJ997" s="2335"/>
      <c r="BFK997" s="2335"/>
      <c r="BFL997" s="2335"/>
      <c r="BFM997" s="2335"/>
      <c r="BFN997" s="2335"/>
      <c r="BFO997" s="2335"/>
      <c r="BFP997" s="2335"/>
      <c r="BFQ997" s="2335"/>
      <c r="BFR997" s="2335"/>
      <c r="BFS997" s="2335"/>
      <c r="BFT997" s="2335"/>
      <c r="BFU997" s="2335"/>
      <c r="BFV997" s="2335"/>
      <c r="BFW997" s="2335"/>
      <c r="BFX997" s="2335"/>
      <c r="BFY997" s="2335"/>
      <c r="BFZ997" s="2335"/>
      <c r="BGA997" s="2335"/>
      <c r="BGB997" s="2335"/>
      <c r="BGC997" s="2335"/>
      <c r="BGD997" s="2335"/>
      <c r="BGE997" s="2335"/>
      <c r="BGF997" s="2335"/>
      <c r="BGG997" s="2335"/>
      <c r="BGH997" s="2335"/>
      <c r="BGI997" s="2335"/>
      <c r="BGJ997" s="2335"/>
      <c r="BGK997" s="2335"/>
      <c r="BGL997" s="2335"/>
      <c r="BGM997" s="2335"/>
      <c r="BGN997" s="2335"/>
      <c r="BGO997" s="2335"/>
      <c r="BGP997" s="2335"/>
      <c r="BGQ997" s="2335"/>
      <c r="BGR997" s="2335"/>
      <c r="BGS997" s="2335"/>
      <c r="BGT997" s="2335"/>
      <c r="BGU997" s="2335"/>
      <c r="BGV997" s="2335"/>
      <c r="BGW997" s="2335"/>
      <c r="BGX997" s="2335"/>
      <c r="BGY997" s="2335"/>
      <c r="BGZ997" s="2335"/>
      <c r="BHA997" s="2335"/>
      <c r="BHB997" s="2335"/>
      <c r="BHC997" s="2335"/>
      <c r="BHD997" s="2335"/>
      <c r="BHE997" s="2335"/>
      <c r="BHF997" s="2335"/>
      <c r="BHG997" s="2335"/>
      <c r="BHH997" s="2335"/>
      <c r="BHI997" s="2335"/>
      <c r="BHJ997" s="2335"/>
      <c r="BHK997" s="2335"/>
      <c r="BHL997" s="2335"/>
      <c r="BHM997" s="2335"/>
      <c r="BHN997" s="2335"/>
      <c r="BHO997" s="2335"/>
      <c r="BHP997" s="2335"/>
      <c r="BHQ997" s="2335"/>
      <c r="BHR997" s="2335"/>
      <c r="BHS997" s="2335"/>
      <c r="BHT997" s="2335"/>
      <c r="BHU997" s="2335"/>
      <c r="BHV997" s="2335"/>
      <c r="BHW997" s="2335"/>
      <c r="BHX997" s="2335"/>
      <c r="BHY997" s="2335"/>
      <c r="BHZ997" s="2335"/>
      <c r="BIA997" s="2335"/>
      <c r="BIB997" s="2335"/>
      <c r="BIC997" s="2335"/>
      <c r="BID997" s="2335"/>
      <c r="BIE997" s="2335"/>
      <c r="BIF997" s="2335"/>
      <c r="BIG997" s="2335"/>
      <c r="BIH997" s="2335"/>
      <c r="BII997" s="2335"/>
      <c r="BIJ997" s="2335"/>
      <c r="BIK997" s="2335"/>
      <c r="BIL997" s="2335"/>
      <c r="BIM997" s="2335"/>
      <c r="BIN997" s="2335"/>
      <c r="BIO997" s="2335"/>
      <c r="BIP997" s="2335"/>
      <c r="BIQ997" s="2335"/>
      <c r="BIR997" s="2335"/>
      <c r="BIS997" s="2335"/>
      <c r="BIT997" s="2335"/>
      <c r="BIU997" s="2335"/>
      <c r="BIV997" s="2335"/>
      <c r="BIW997" s="2335"/>
      <c r="BIX997" s="2335"/>
      <c r="BIY997" s="2335"/>
      <c r="BIZ997" s="2335"/>
      <c r="BJA997" s="2335"/>
      <c r="BJB997" s="2335"/>
      <c r="BJC997" s="2335"/>
      <c r="BJD997" s="2335"/>
      <c r="BJE997" s="2335"/>
      <c r="BJF997" s="2335"/>
      <c r="BJG997" s="2335"/>
      <c r="BJH997" s="2335"/>
      <c r="BJI997" s="2335"/>
      <c r="BJJ997" s="2335"/>
      <c r="BJK997" s="2335"/>
      <c r="BJL997" s="2335"/>
      <c r="BJM997" s="2335"/>
      <c r="BJN997" s="2335"/>
      <c r="BJO997" s="2335"/>
      <c r="BJP997" s="2335"/>
      <c r="BJQ997" s="2335"/>
      <c r="BJR997" s="2335"/>
      <c r="BJS997" s="2335"/>
      <c r="BJT997" s="2335"/>
      <c r="BJU997" s="2335"/>
      <c r="BJV997" s="2335"/>
      <c r="BJW997" s="2335"/>
      <c r="BJX997" s="2335"/>
      <c r="BJY997" s="2335"/>
      <c r="BJZ997" s="2335"/>
      <c r="BKA997" s="2335"/>
      <c r="BKB997" s="2335"/>
      <c r="BKC997" s="2335"/>
      <c r="BKD997" s="2335"/>
      <c r="BKE997" s="2335"/>
      <c r="BKF997" s="2335"/>
      <c r="BKG997" s="2335"/>
      <c r="BKH997" s="2335"/>
      <c r="BKI997" s="2335"/>
      <c r="BKJ997" s="2335"/>
      <c r="BKK997" s="2335"/>
      <c r="BKL997" s="2335"/>
      <c r="BKM997" s="2335"/>
      <c r="BKN997" s="2335"/>
      <c r="BKO997" s="2335"/>
      <c r="BKP997" s="2335"/>
      <c r="BKQ997" s="2335"/>
      <c r="BKR997" s="2335"/>
      <c r="BKS997" s="2335"/>
      <c r="BKT997" s="2335"/>
      <c r="BKU997" s="2335"/>
      <c r="BKV997" s="2335"/>
      <c r="BKW997" s="2335"/>
      <c r="BKX997" s="2335"/>
      <c r="BKY997" s="2335"/>
      <c r="BKZ997" s="2335"/>
      <c r="BLA997" s="2335"/>
      <c r="BLB997" s="2335"/>
      <c r="BLC997" s="2335"/>
      <c r="BLD997" s="2335"/>
      <c r="BLE997" s="2335"/>
      <c r="BLF997" s="2335"/>
      <c r="BLG997" s="2335"/>
      <c r="BLH997" s="2335"/>
      <c r="BLI997" s="2335"/>
      <c r="BLJ997" s="2335"/>
      <c r="BLK997" s="2335"/>
      <c r="BLL997" s="2335"/>
      <c r="BLM997" s="2335"/>
      <c r="BLN997" s="2335"/>
      <c r="BLO997" s="2335"/>
      <c r="BLP997" s="2335"/>
      <c r="BLQ997" s="2335"/>
      <c r="BLR997" s="2335"/>
      <c r="BLS997" s="2335"/>
      <c r="BLT997" s="2335"/>
      <c r="BLU997" s="2335"/>
      <c r="BLV997" s="2335"/>
      <c r="BLW997" s="2335"/>
      <c r="BLX997" s="2335"/>
      <c r="BLY997" s="2335"/>
      <c r="BLZ997" s="2335"/>
      <c r="BMA997" s="2335"/>
      <c r="BMB997" s="2335"/>
      <c r="BMC997" s="2335"/>
      <c r="BMD997" s="2335"/>
      <c r="BME997" s="2335"/>
      <c r="BMF997" s="2335"/>
      <c r="BMG997" s="2335"/>
      <c r="BMH997" s="2335"/>
      <c r="BMI997" s="2335"/>
      <c r="BMJ997" s="2335"/>
      <c r="BMK997" s="2335"/>
      <c r="BML997" s="2335"/>
      <c r="BMM997" s="2335"/>
      <c r="BMN997" s="2335"/>
      <c r="BMO997" s="2335"/>
      <c r="BMP997" s="2335"/>
      <c r="BMQ997" s="2335"/>
      <c r="BMR997" s="2335"/>
      <c r="BMS997" s="2335"/>
      <c r="BMT997" s="2335"/>
      <c r="BMU997" s="2335"/>
      <c r="BMV997" s="2335"/>
      <c r="BMW997" s="2335"/>
      <c r="BMX997" s="2335"/>
      <c r="BMY997" s="2335"/>
      <c r="BMZ997" s="2335"/>
      <c r="BNA997" s="2335"/>
      <c r="BNB997" s="2335"/>
      <c r="BNC997" s="2335"/>
      <c r="BND997" s="2335"/>
      <c r="BNE997" s="2335"/>
      <c r="BNF997" s="2335"/>
      <c r="BNG997" s="2335"/>
      <c r="BNH997" s="2335"/>
      <c r="BNI997" s="2335"/>
      <c r="BNJ997" s="2335"/>
      <c r="BNK997" s="2335"/>
      <c r="BNL997" s="2335"/>
      <c r="BNM997" s="2335"/>
      <c r="BNN997" s="2335"/>
      <c r="BNO997" s="2335"/>
      <c r="BNP997" s="2335"/>
      <c r="BNQ997" s="2335"/>
      <c r="BNR997" s="2335"/>
      <c r="BNS997" s="2335"/>
      <c r="BNT997" s="2335"/>
      <c r="BNU997" s="2335"/>
      <c r="BNV997" s="2335"/>
      <c r="BNW997" s="2335"/>
      <c r="BNX997" s="2335"/>
      <c r="BNY997" s="2335"/>
      <c r="BNZ997" s="2335"/>
      <c r="BOA997" s="2335"/>
      <c r="BOB997" s="2335"/>
      <c r="BOC997" s="2335"/>
      <c r="BOD997" s="2335"/>
      <c r="BOE997" s="2335"/>
      <c r="BOF997" s="2335"/>
      <c r="BOG997" s="2335"/>
      <c r="BOH997" s="2335"/>
      <c r="BOI997" s="2335"/>
      <c r="BOJ997" s="2335"/>
      <c r="BOK997" s="2335"/>
      <c r="BOL997" s="2335"/>
      <c r="BOM997" s="2335"/>
      <c r="BON997" s="2335"/>
      <c r="BOO997" s="2335"/>
      <c r="BOP997" s="2335"/>
      <c r="BOQ997" s="2335"/>
      <c r="BOR997" s="2335"/>
      <c r="BOS997" s="2335"/>
      <c r="BOT997" s="2335"/>
      <c r="BOU997" s="2335"/>
      <c r="BOV997" s="2335"/>
      <c r="BOW997" s="2335"/>
      <c r="BOX997" s="2335"/>
      <c r="BOY997" s="2335"/>
      <c r="BOZ997" s="2335"/>
      <c r="BPA997" s="2335"/>
      <c r="BPB997" s="2335"/>
      <c r="BPC997" s="2335"/>
      <c r="BPD997" s="2335"/>
      <c r="BPE997" s="2335"/>
      <c r="BPF997" s="2335"/>
      <c r="BPG997" s="2335"/>
      <c r="BPH997" s="2335"/>
      <c r="BPI997" s="2335"/>
      <c r="BPJ997" s="2335"/>
      <c r="BPK997" s="2335"/>
      <c r="BPL997" s="2335"/>
      <c r="BPM997" s="2335"/>
      <c r="BPN997" s="2335"/>
      <c r="BPO997" s="2335"/>
      <c r="BPP997" s="2335"/>
      <c r="BPQ997" s="2335"/>
      <c r="BPR997" s="2335"/>
      <c r="BPS997" s="2335"/>
      <c r="BPT997" s="2335"/>
      <c r="BPU997" s="2335"/>
      <c r="BPV997" s="2335"/>
      <c r="BPW997" s="2335"/>
      <c r="BPX997" s="2335"/>
      <c r="BPY997" s="2335"/>
      <c r="BPZ997" s="2335"/>
      <c r="BQA997" s="2335"/>
      <c r="BQB997" s="2335"/>
      <c r="BQC997" s="2335"/>
      <c r="BQD997" s="2335"/>
      <c r="BQE997" s="2335"/>
      <c r="BQF997" s="2335"/>
      <c r="BQG997" s="2335"/>
      <c r="BQH997" s="2335"/>
      <c r="BQI997" s="2335"/>
      <c r="BQJ997" s="2335"/>
      <c r="BQK997" s="2335"/>
      <c r="BQL997" s="2335"/>
      <c r="BQM997" s="2335"/>
      <c r="BQN997" s="2335"/>
      <c r="BQO997" s="2335"/>
      <c r="BQP997" s="2335"/>
      <c r="BQQ997" s="2335"/>
      <c r="BQR997" s="2335"/>
      <c r="BQS997" s="2335"/>
      <c r="BQT997" s="2335"/>
      <c r="BQU997" s="2335"/>
      <c r="BQV997" s="2335"/>
      <c r="BQW997" s="2335"/>
      <c r="BQX997" s="2335"/>
      <c r="BQY997" s="2335"/>
      <c r="BQZ997" s="2335"/>
      <c r="BRA997" s="2335"/>
      <c r="BRB997" s="2335"/>
      <c r="BRC997" s="2335"/>
      <c r="BRD997" s="2335"/>
      <c r="BRE997" s="2335"/>
      <c r="BRF997" s="2335"/>
      <c r="BRG997" s="2335"/>
      <c r="BRH997" s="2335"/>
      <c r="BRI997" s="2335"/>
      <c r="BRJ997" s="2335"/>
      <c r="BRK997" s="2335"/>
      <c r="BRL997" s="2335"/>
      <c r="BRM997" s="2335"/>
      <c r="BRN997" s="2335"/>
      <c r="BRO997" s="2335"/>
      <c r="BRP997" s="2335"/>
      <c r="BRQ997" s="2335"/>
      <c r="BRR997" s="2335"/>
      <c r="BRS997" s="2335"/>
      <c r="BRT997" s="2335"/>
      <c r="BRU997" s="2335"/>
      <c r="BRV997" s="2335"/>
      <c r="BRW997" s="2335"/>
      <c r="BRX997" s="2335"/>
      <c r="BRY997" s="2335"/>
      <c r="BRZ997" s="2335"/>
      <c r="BSA997" s="2335"/>
      <c r="BSB997" s="2335"/>
      <c r="BSC997" s="2335"/>
      <c r="BSD997" s="2335"/>
      <c r="BSE997" s="2335"/>
      <c r="BSF997" s="2335"/>
      <c r="BSG997" s="2335"/>
      <c r="BSH997" s="2335"/>
      <c r="BSI997" s="2335"/>
      <c r="BSJ997" s="2335"/>
      <c r="BSK997" s="2335"/>
      <c r="BSL997" s="2335"/>
      <c r="BSM997" s="2335"/>
      <c r="BSN997" s="2335"/>
      <c r="BSO997" s="2335"/>
      <c r="BSP997" s="2335"/>
      <c r="BSQ997" s="2335"/>
      <c r="BSR997" s="2335"/>
      <c r="BSS997" s="2335"/>
      <c r="BST997" s="2335"/>
      <c r="BSU997" s="2335"/>
      <c r="BSV997" s="2335"/>
      <c r="BSW997" s="2335"/>
      <c r="BSX997" s="2335"/>
      <c r="BSY997" s="2335"/>
      <c r="BSZ997" s="2335"/>
      <c r="BTA997" s="2335"/>
      <c r="BTB997" s="2335"/>
      <c r="BTC997" s="2335"/>
      <c r="BTD997" s="2335"/>
      <c r="BTE997" s="2335"/>
      <c r="BTF997" s="2335"/>
      <c r="BTG997" s="2335"/>
      <c r="BTH997" s="2335"/>
      <c r="BTI997" s="2335"/>
      <c r="BTJ997" s="2335"/>
      <c r="BTK997" s="2335"/>
      <c r="BTL997" s="2335"/>
      <c r="BTM997" s="2335"/>
      <c r="BTN997" s="2335"/>
      <c r="BTO997" s="2335"/>
      <c r="BTP997" s="2335"/>
      <c r="BTQ997" s="2335"/>
      <c r="BTR997" s="2335"/>
      <c r="BTS997" s="2335"/>
      <c r="BTT997" s="2335"/>
      <c r="BTU997" s="2335"/>
      <c r="BTV997" s="2335"/>
      <c r="BTW997" s="2335"/>
      <c r="BTX997" s="2335"/>
      <c r="BTY997" s="2335"/>
      <c r="BTZ997" s="2335"/>
      <c r="BUA997" s="2335"/>
      <c r="BUB997" s="2335"/>
      <c r="BUC997" s="2335"/>
      <c r="BUD997" s="2335"/>
      <c r="BUE997" s="2335"/>
      <c r="BUF997" s="2335"/>
      <c r="BUG997" s="2335"/>
      <c r="BUH997" s="2335"/>
      <c r="BUI997" s="2335"/>
      <c r="BUJ997" s="2335"/>
      <c r="BUK997" s="2335"/>
      <c r="BUL997" s="2335"/>
      <c r="BUM997" s="2335"/>
      <c r="BUN997" s="2335"/>
      <c r="BUO997" s="2335"/>
      <c r="BUP997" s="2335"/>
      <c r="BUQ997" s="2335"/>
      <c r="BUR997" s="2335"/>
      <c r="BUS997" s="2335"/>
      <c r="BUT997" s="2335"/>
      <c r="BUU997" s="2335"/>
      <c r="BUV997" s="2335"/>
      <c r="BUW997" s="2335"/>
      <c r="BUX997" s="2335"/>
      <c r="BUY997" s="2335"/>
      <c r="BUZ997" s="2335"/>
      <c r="BVA997" s="2335"/>
      <c r="BVB997" s="2335"/>
      <c r="BVC997" s="2335"/>
      <c r="BVD997" s="2335"/>
      <c r="BVE997" s="2335"/>
      <c r="BVF997" s="2335"/>
      <c r="BVG997" s="2335"/>
      <c r="BVH997" s="2335"/>
      <c r="BVI997" s="2335"/>
      <c r="BVJ997" s="2335"/>
      <c r="BVK997" s="2335"/>
      <c r="BVL997" s="2335"/>
      <c r="BVM997" s="2335"/>
      <c r="BVN997" s="2335"/>
      <c r="BVO997" s="2335"/>
      <c r="BVP997" s="2335"/>
      <c r="BVQ997" s="2335"/>
      <c r="BVR997" s="2335"/>
      <c r="BVS997" s="2335"/>
      <c r="BVT997" s="2335"/>
      <c r="BVU997" s="2335"/>
      <c r="BVV997" s="2335"/>
      <c r="BVW997" s="2335"/>
      <c r="BVX997" s="2335"/>
      <c r="BVY997" s="2335"/>
      <c r="BVZ997" s="2335"/>
      <c r="BWA997" s="2335"/>
      <c r="BWB997" s="2335"/>
      <c r="BWC997" s="2335"/>
      <c r="BWD997" s="2335"/>
      <c r="BWE997" s="2335"/>
      <c r="BWF997" s="2335"/>
      <c r="BWG997" s="2335"/>
      <c r="BWH997" s="2335"/>
      <c r="BWI997" s="2335"/>
      <c r="BWJ997" s="2335"/>
      <c r="BWK997" s="2335"/>
      <c r="BWL997" s="2335"/>
      <c r="BWM997" s="2335"/>
      <c r="BWN997" s="2335"/>
      <c r="BWO997" s="2335"/>
      <c r="BWP997" s="2335"/>
      <c r="BWQ997" s="2335"/>
      <c r="BWR997" s="2335"/>
      <c r="BWS997" s="2335"/>
      <c r="BWT997" s="2335"/>
      <c r="BWU997" s="2335"/>
      <c r="BWV997" s="2335"/>
      <c r="BWW997" s="2335"/>
      <c r="BWX997" s="2335"/>
      <c r="BWY997" s="2335"/>
      <c r="BWZ997" s="2335"/>
      <c r="BXA997" s="2335"/>
      <c r="BXB997" s="2335"/>
      <c r="BXC997" s="2335"/>
      <c r="BXD997" s="2335"/>
      <c r="BXE997" s="2335"/>
      <c r="BXF997" s="2335"/>
      <c r="BXG997" s="2335"/>
      <c r="BXH997" s="2335"/>
      <c r="BXI997" s="2335"/>
      <c r="BXJ997" s="2335"/>
      <c r="BXK997" s="2335"/>
      <c r="BXL997" s="2335"/>
      <c r="BXM997" s="2335"/>
      <c r="BXN997" s="2335"/>
      <c r="BXO997" s="2335"/>
      <c r="BXP997" s="2335"/>
      <c r="BXQ997" s="2335"/>
      <c r="BXR997" s="2335"/>
      <c r="BXS997" s="2335"/>
      <c r="BXT997" s="2335"/>
      <c r="BXU997" s="2335"/>
      <c r="BXV997" s="2335"/>
      <c r="BXW997" s="2335"/>
      <c r="BXX997" s="2335"/>
      <c r="BXY997" s="2335"/>
      <c r="BXZ997" s="2335"/>
      <c r="BYA997" s="2335"/>
      <c r="BYB997" s="2335"/>
      <c r="BYC997" s="2335"/>
      <c r="BYD997" s="2335"/>
      <c r="BYE997" s="2335"/>
      <c r="BYF997" s="2335"/>
      <c r="BYG997" s="2335"/>
      <c r="BYH997" s="2335"/>
      <c r="BYI997" s="2335"/>
      <c r="BYJ997" s="2335"/>
      <c r="BYK997" s="2335"/>
      <c r="BYL997" s="2335"/>
      <c r="BYM997" s="2335"/>
      <c r="BYN997" s="2335"/>
      <c r="BYO997" s="2335"/>
      <c r="BYP997" s="2335"/>
      <c r="BYQ997" s="2335"/>
      <c r="BYR997" s="2335"/>
      <c r="BYS997" s="2335"/>
      <c r="BYT997" s="2335"/>
      <c r="BYU997" s="2335"/>
      <c r="BYV997" s="2335"/>
      <c r="BYW997" s="2335"/>
      <c r="BYX997" s="2335"/>
      <c r="BYY997" s="2335"/>
      <c r="BYZ997" s="2335"/>
      <c r="BZA997" s="2335"/>
      <c r="BZB997" s="2335"/>
      <c r="BZC997" s="2335"/>
      <c r="BZD997" s="2335"/>
      <c r="BZE997" s="2335"/>
      <c r="BZF997" s="2335"/>
      <c r="BZG997" s="2335"/>
      <c r="BZH997" s="2335"/>
      <c r="BZI997" s="2335"/>
      <c r="BZJ997" s="2335"/>
      <c r="BZK997" s="2335"/>
      <c r="BZL997" s="2335"/>
      <c r="BZM997" s="2335"/>
      <c r="BZN997" s="2335"/>
      <c r="BZO997" s="2335"/>
      <c r="BZP997" s="2335"/>
      <c r="BZQ997" s="2335"/>
      <c r="BZR997" s="2335"/>
      <c r="BZS997" s="2335"/>
      <c r="BZT997" s="2335"/>
      <c r="BZU997" s="2335"/>
      <c r="BZV997" s="2335"/>
      <c r="BZW997" s="2335"/>
      <c r="BZX997" s="2335"/>
      <c r="BZY997" s="2335"/>
      <c r="BZZ997" s="2335"/>
      <c r="CAA997" s="2335"/>
      <c r="CAB997" s="2335"/>
      <c r="CAC997" s="2335"/>
      <c r="CAD997" s="2335"/>
      <c r="CAE997" s="2335"/>
      <c r="CAF997" s="2335"/>
      <c r="CAG997" s="2335"/>
      <c r="CAH997" s="2335"/>
      <c r="CAI997" s="2335"/>
      <c r="CAJ997" s="2335"/>
      <c r="CAK997" s="2335"/>
      <c r="CAL997" s="2335"/>
      <c r="CAM997" s="2335"/>
      <c r="CAN997" s="2335"/>
      <c r="CAO997" s="2335"/>
      <c r="CAP997" s="2335"/>
      <c r="CAQ997" s="2335"/>
      <c r="CAR997" s="2335"/>
      <c r="CAS997" s="2335"/>
      <c r="CAT997" s="2335"/>
      <c r="CAU997" s="2335"/>
      <c r="CAV997" s="2335"/>
      <c r="CAW997" s="2335"/>
      <c r="CAX997" s="2335"/>
      <c r="CAY997" s="2335"/>
      <c r="CAZ997" s="2335"/>
      <c r="CBA997" s="2335"/>
      <c r="CBB997" s="2335"/>
      <c r="CBC997" s="2335"/>
      <c r="CBD997" s="2335"/>
      <c r="CBE997" s="2335"/>
      <c r="CBF997" s="2335"/>
      <c r="CBG997" s="2335"/>
      <c r="CBH997" s="2335"/>
      <c r="CBI997" s="2335"/>
      <c r="CBJ997" s="2335"/>
      <c r="CBK997" s="2335"/>
      <c r="CBL997" s="2335"/>
      <c r="CBM997" s="2335"/>
      <c r="CBN997" s="2335"/>
      <c r="CBO997" s="2335"/>
      <c r="CBP997" s="2335"/>
      <c r="CBQ997" s="2335"/>
      <c r="CBR997" s="2335"/>
      <c r="CBS997" s="2335"/>
      <c r="CBT997" s="2335"/>
      <c r="CBU997" s="2335"/>
      <c r="CBV997" s="2335"/>
      <c r="CBW997" s="2335"/>
      <c r="CBX997" s="2335"/>
      <c r="CBY997" s="2335"/>
      <c r="CBZ997" s="2335"/>
      <c r="CCA997" s="2335"/>
      <c r="CCB997" s="2335"/>
      <c r="CCC997" s="2335"/>
      <c r="CCD997" s="2335"/>
      <c r="CCE997" s="2335"/>
      <c r="CCF997" s="2335"/>
      <c r="CCG997" s="2335"/>
      <c r="CCH997" s="2335"/>
      <c r="CCI997" s="2335"/>
      <c r="CCJ997" s="2335"/>
      <c r="CCK997" s="2335"/>
      <c r="CCL997" s="2335"/>
      <c r="CCM997" s="2335"/>
      <c r="CCN997" s="2335"/>
      <c r="CCO997" s="2335"/>
      <c r="CCP997" s="2335"/>
      <c r="CCQ997" s="2335"/>
      <c r="CCR997" s="2335"/>
      <c r="CCS997" s="2335"/>
      <c r="CCT997" s="2335"/>
      <c r="CCU997" s="2335"/>
      <c r="CCV997" s="2335"/>
      <c r="CCW997" s="2335"/>
      <c r="CCX997" s="2335"/>
      <c r="CCY997" s="2335"/>
      <c r="CCZ997" s="2335"/>
      <c r="CDA997" s="2335"/>
      <c r="CDB997" s="2335"/>
      <c r="CDC997" s="2335"/>
      <c r="CDD997" s="2335"/>
      <c r="CDE997" s="2335"/>
      <c r="CDF997" s="2335"/>
      <c r="CDG997" s="2335"/>
      <c r="CDH997" s="2335"/>
      <c r="CDI997" s="2335"/>
      <c r="CDJ997" s="2335"/>
      <c r="CDK997" s="2335"/>
      <c r="CDL997" s="2335"/>
      <c r="CDM997" s="2335"/>
      <c r="CDN997" s="2335"/>
      <c r="CDO997" s="2335"/>
      <c r="CDP997" s="2335"/>
      <c r="CDQ997" s="2335"/>
      <c r="CDR997" s="2335"/>
      <c r="CDS997" s="2335"/>
      <c r="CDT997" s="2335"/>
      <c r="CDU997" s="2335"/>
      <c r="CDV997" s="2335"/>
      <c r="CDW997" s="2335"/>
      <c r="CDX997" s="2335"/>
      <c r="CDY997" s="2335"/>
      <c r="CDZ997" s="2335"/>
      <c r="CEA997" s="2335"/>
      <c r="CEB997" s="2335"/>
      <c r="CEC997" s="2335"/>
      <c r="CED997" s="2335"/>
      <c r="CEE997" s="2335"/>
      <c r="CEF997" s="2335"/>
      <c r="CEG997" s="2335"/>
      <c r="CEH997" s="2335"/>
      <c r="CEI997" s="2335"/>
      <c r="CEJ997" s="2335"/>
      <c r="CEK997" s="2335"/>
      <c r="CEL997" s="2335"/>
      <c r="CEM997" s="2335"/>
      <c r="CEN997" s="2335"/>
      <c r="CEO997" s="2335"/>
      <c r="CEP997" s="2335"/>
      <c r="CEQ997" s="2335"/>
      <c r="CER997" s="2335"/>
      <c r="CES997" s="2335"/>
      <c r="CET997" s="2335"/>
      <c r="CEU997" s="2335"/>
      <c r="CEV997" s="2335"/>
      <c r="CEW997" s="2335"/>
      <c r="CEX997" s="2335"/>
      <c r="CEY997" s="2335"/>
      <c r="CEZ997" s="2335"/>
      <c r="CFA997" s="2335"/>
      <c r="CFB997" s="2335"/>
      <c r="CFC997" s="2335"/>
      <c r="CFD997" s="2335"/>
      <c r="CFE997" s="2335"/>
      <c r="CFF997" s="2335"/>
      <c r="CFG997" s="2335"/>
      <c r="CFH997" s="2335"/>
      <c r="CFI997" s="2335"/>
      <c r="CFJ997" s="2335"/>
      <c r="CFK997" s="2335"/>
      <c r="CFL997" s="2335"/>
      <c r="CFM997" s="2335"/>
      <c r="CFN997" s="2335"/>
      <c r="CFO997" s="2335"/>
      <c r="CFP997" s="2335"/>
      <c r="CFQ997" s="2335"/>
      <c r="CFR997" s="2335"/>
      <c r="CFS997" s="2335"/>
      <c r="CFT997" s="2335"/>
      <c r="CFU997" s="2335"/>
      <c r="CFV997" s="2335"/>
      <c r="CFW997" s="2335"/>
      <c r="CFX997" s="2335"/>
      <c r="CFY997" s="2335"/>
      <c r="CFZ997" s="2335"/>
      <c r="CGA997" s="2335"/>
      <c r="CGB997" s="2335"/>
      <c r="CGC997" s="2335"/>
      <c r="CGD997" s="2335"/>
      <c r="CGE997" s="2335"/>
      <c r="CGF997" s="2335"/>
      <c r="CGG997" s="2335"/>
      <c r="CGH997" s="2335"/>
      <c r="CGI997" s="2335"/>
      <c r="CGJ997" s="2335"/>
      <c r="CGK997" s="2335"/>
      <c r="CGL997" s="2335"/>
      <c r="CGM997" s="2335"/>
      <c r="CGN997" s="2335"/>
      <c r="CGO997" s="2335"/>
      <c r="CGP997" s="2335"/>
      <c r="CGQ997" s="2335"/>
      <c r="CGR997" s="2335"/>
      <c r="CGS997" s="2335"/>
      <c r="CGT997" s="2335"/>
      <c r="CGU997" s="2335"/>
      <c r="CGV997" s="2335"/>
      <c r="CGW997" s="2335"/>
      <c r="CGX997" s="2335"/>
      <c r="CGY997" s="2335"/>
      <c r="CGZ997" s="2335"/>
      <c r="CHA997" s="2335"/>
      <c r="CHB997" s="2335"/>
      <c r="CHC997" s="2335"/>
      <c r="CHD997" s="2335"/>
      <c r="CHE997" s="2335"/>
      <c r="CHF997" s="2335"/>
      <c r="CHG997" s="2335"/>
      <c r="CHH997" s="2335"/>
      <c r="CHI997" s="2335"/>
      <c r="CHJ997" s="2335"/>
      <c r="CHK997" s="2335"/>
      <c r="CHL997" s="2335"/>
      <c r="CHM997" s="2335"/>
      <c r="CHN997" s="2335"/>
      <c r="CHO997" s="2335"/>
      <c r="CHP997" s="2335"/>
      <c r="CHQ997" s="2335"/>
      <c r="CHR997" s="2335"/>
      <c r="CHS997" s="2335"/>
      <c r="CHT997" s="2335"/>
      <c r="CHU997" s="2335"/>
      <c r="CHV997" s="2335"/>
      <c r="CHW997" s="2335"/>
      <c r="CHX997" s="2335"/>
      <c r="CHY997" s="2335"/>
      <c r="CHZ997" s="2335"/>
      <c r="CIA997" s="2335"/>
      <c r="CIB997" s="2335"/>
      <c r="CIC997" s="2335"/>
      <c r="CID997" s="2335"/>
      <c r="CIE997" s="2335"/>
      <c r="CIF997" s="2335"/>
      <c r="CIG997" s="2335"/>
      <c r="CIH997" s="2335"/>
      <c r="CII997" s="2335"/>
      <c r="CIJ997" s="2335"/>
      <c r="CIK997" s="2335"/>
      <c r="CIL997" s="2335"/>
      <c r="CIM997" s="2335"/>
      <c r="CIN997" s="2335"/>
      <c r="CIO997" s="2335"/>
      <c r="CIP997" s="2335"/>
      <c r="CIQ997" s="2335"/>
      <c r="CIR997" s="2335"/>
      <c r="CIS997" s="2335"/>
      <c r="CIT997" s="2335"/>
      <c r="CIU997" s="2335"/>
      <c r="CIV997" s="2335"/>
      <c r="CIW997" s="2335"/>
      <c r="CIX997" s="2335"/>
      <c r="CIY997" s="2335"/>
      <c r="CIZ997" s="2335"/>
      <c r="CJA997" s="2335"/>
      <c r="CJB997" s="2335"/>
      <c r="CJC997" s="2335"/>
      <c r="CJD997" s="2335"/>
      <c r="CJE997" s="2335"/>
      <c r="CJF997" s="2335"/>
      <c r="CJG997" s="2335"/>
      <c r="CJH997" s="2335"/>
      <c r="CJI997" s="2335"/>
      <c r="CJJ997" s="2335"/>
      <c r="CJK997" s="2335"/>
      <c r="CJL997" s="2335"/>
      <c r="CJM997" s="2335"/>
      <c r="CJN997" s="2335"/>
      <c r="CJO997" s="2335"/>
      <c r="CJP997" s="2335"/>
      <c r="CJQ997" s="2335"/>
      <c r="CJR997" s="2335"/>
      <c r="CJS997" s="2335"/>
      <c r="CJT997" s="2335"/>
      <c r="CJU997" s="2335"/>
      <c r="CJV997" s="2335"/>
      <c r="CJW997" s="2335"/>
      <c r="CJX997" s="2335"/>
      <c r="CJY997" s="2335"/>
      <c r="CJZ997" s="2335"/>
      <c r="CKA997" s="2335"/>
      <c r="CKB997" s="2335"/>
      <c r="CKC997" s="2335"/>
      <c r="CKD997" s="2335"/>
      <c r="CKE997" s="2335"/>
      <c r="CKF997" s="2335"/>
      <c r="CKG997" s="2335"/>
      <c r="CKH997" s="2335"/>
      <c r="CKI997" s="2335"/>
      <c r="CKJ997" s="2335"/>
      <c r="CKK997" s="2335"/>
      <c r="CKL997" s="2335"/>
      <c r="CKM997" s="2335"/>
      <c r="CKN997" s="2335"/>
      <c r="CKO997" s="2335"/>
      <c r="CKP997" s="2335"/>
      <c r="CKQ997" s="2335"/>
      <c r="CKR997" s="2335"/>
      <c r="CKS997" s="2335"/>
      <c r="CKT997" s="2335"/>
      <c r="CKU997" s="2335"/>
      <c r="CKV997" s="2335"/>
      <c r="CKW997" s="2335"/>
      <c r="CKX997" s="2335"/>
      <c r="CKY997" s="2335"/>
      <c r="CKZ997" s="2335"/>
      <c r="CLA997" s="2335"/>
      <c r="CLB997" s="2335"/>
      <c r="CLC997" s="2335"/>
      <c r="CLD997" s="2335"/>
      <c r="CLE997" s="2335"/>
      <c r="CLF997" s="2335"/>
      <c r="CLG997" s="2335"/>
      <c r="CLH997" s="2335"/>
      <c r="CLI997" s="2335"/>
      <c r="CLJ997" s="2335"/>
      <c r="CLK997" s="2335"/>
      <c r="CLL997" s="2335"/>
      <c r="CLM997" s="2335"/>
      <c r="CLN997" s="2335"/>
      <c r="CLO997" s="2335"/>
      <c r="CLP997" s="2335"/>
      <c r="CLQ997" s="2335"/>
      <c r="CLR997" s="2335"/>
      <c r="CLS997" s="2335"/>
      <c r="CLT997" s="2335"/>
      <c r="CLU997" s="2335"/>
      <c r="CLV997" s="2335"/>
      <c r="CLW997" s="2335"/>
      <c r="CLX997" s="2335"/>
      <c r="CLY997" s="2335"/>
      <c r="CLZ997" s="2335"/>
      <c r="CMA997" s="2335"/>
      <c r="CMB997" s="2335"/>
      <c r="CMC997" s="2335"/>
      <c r="CMD997" s="2335"/>
      <c r="CME997" s="2335"/>
      <c r="CMF997" s="2335"/>
      <c r="CMG997" s="2335"/>
      <c r="CMH997" s="2335"/>
      <c r="CMI997" s="2335"/>
      <c r="CMJ997" s="2335"/>
      <c r="CMK997" s="2335"/>
      <c r="CML997" s="2335"/>
      <c r="CMM997" s="2335"/>
      <c r="CMN997" s="2335"/>
      <c r="CMO997" s="2335"/>
      <c r="CMP997" s="2335"/>
      <c r="CMQ997" s="2335"/>
      <c r="CMR997" s="2335"/>
      <c r="CMS997" s="2335"/>
      <c r="CMT997" s="2335"/>
      <c r="CMU997" s="2335"/>
      <c r="CMV997" s="2335"/>
      <c r="CMW997" s="2335"/>
      <c r="CMX997" s="2335"/>
      <c r="CMY997" s="2335"/>
      <c r="CMZ997" s="2335"/>
      <c r="CNA997" s="2335"/>
      <c r="CNB997" s="2335"/>
      <c r="CNC997" s="2335"/>
      <c r="CND997" s="2335"/>
      <c r="CNE997" s="2335"/>
      <c r="CNF997" s="2335"/>
      <c r="CNG997" s="2335"/>
      <c r="CNH997" s="2335"/>
      <c r="CNI997" s="2335"/>
      <c r="CNJ997" s="2335"/>
      <c r="CNK997" s="2335"/>
      <c r="CNL997" s="2335"/>
      <c r="CNM997" s="2335"/>
      <c r="CNN997" s="2335"/>
      <c r="CNO997" s="2335"/>
      <c r="CNP997" s="2335"/>
      <c r="CNQ997" s="2335"/>
      <c r="CNR997" s="2335"/>
      <c r="CNS997" s="2335"/>
      <c r="CNT997" s="2335"/>
      <c r="CNU997" s="2335"/>
      <c r="CNV997" s="2335"/>
      <c r="CNW997" s="2335"/>
      <c r="CNX997" s="2335"/>
      <c r="CNY997" s="2335"/>
      <c r="CNZ997" s="2335"/>
      <c r="COA997" s="2335"/>
      <c r="COB997" s="2335"/>
      <c r="COC997" s="2335"/>
      <c r="COD997" s="2335"/>
      <c r="COE997" s="2335"/>
      <c r="COF997" s="2335"/>
      <c r="COG997" s="2335"/>
      <c r="COH997" s="2335"/>
      <c r="COI997" s="2335"/>
      <c r="COJ997" s="2335"/>
      <c r="COK997" s="2335"/>
      <c r="COL997" s="2335"/>
      <c r="COM997" s="2335"/>
      <c r="CON997" s="2335"/>
      <c r="COO997" s="2335"/>
      <c r="COP997" s="2335"/>
      <c r="COQ997" s="2335"/>
      <c r="COR997" s="2335"/>
      <c r="COS997" s="2335"/>
      <c r="COT997" s="2335"/>
      <c r="COU997" s="2335"/>
      <c r="COV997" s="2335"/>
      <c r="COW997" s="2335"/>
      <c r="COX997" s="2335"/>
      <c r="COY997" s="2335"/>
      <c r="COZ997" s="2335"/>
      <c r="CPA997" s="2335"/>
      <c r="CPB997" s="2335"/>
      <c r="CPC997" s="2335"/>
      <c r="CPD997" s="2335"/>
      <c r="CPE997" s="2335"/>
      <c r="CPF997" s="2335"/>
      <c r="CPG997" s="2335"/>
      <c r="CPH997" s="2335"/>
      <c r="CPI997" s="2335"/>
      <c r="CPJ997" s="2335"/>
      <c r="CPK997" s="2335"/>
      <c r="CPL997" s="2335"/>
      <c r="CPM997" s="2335"/>
      <c r="CPN997" s="2335"/>
      <c r="CPO997" s="2335"/>
      <c r="CPP997" s="2335"/>
      <c r="CPQ997" s="2335"/>
      <c r="CPR997" s="2335"/>
      <c r="CPS997" s="2335"/>
      <c r="CPT997" s="2335"/>
      <c r="CPU997" s="2335"/>
      <c r="CPV997" s="2335"/>
      <c r="CPW997" s="2335"/>
      <c r="CPX997" s="2335"/>
      <c r="CPY997" s="2335"/>
      <c r="CPZ997" s="2335"/>
      <c r="CQA997" s="2335"/>
      <c r="CQB997" s="2335"/>
      <c r="CQC997" s="2335"/>
      <c r="CQD997" s="2335"/>
      <c r="CQE997" s="2335"/>
      <c r="CQF997" s="2335"/>
      <c r="CQG997" s="2335"/>
      <c r="CQH997" s="2335"/>
      <c r="CQI997" s="2335"/>
      <c r="CQJ997" s="2335"/>
      <c r="CQK997" s="2335"/>
      <c r="CQL997" s="2335"/>
      <c r="CQM997" s="2335"/>
      <c r="CQN997" s="2335"/>
      <c r="CQO997" s="2335"/>
      <c r="CQP997" s="2335"/>
      <c r="CQQ997" s="2335"/>
      <c r="CQR997" s="2335"/>
      <c r="CQS997" s="2335"/>
      <c r="CQT997" s="2335"/>
      <c r="CQU997" s="2335"/>
      <c r="CQV997" s="2335"/>
      <c r="CQW997" s="2335"/>
      <c r="CQX997" s="2335"/>
      <c r="CQY997" s="2335"/>
      <c r="CQZ997" s="2335"/>
      <c r="CRA997" s="2335"/>
      <c r="CRB997" s="2335"/>
      <c r="CRC997" s="2335"/>
      <c r="CRD997" s="2335"/>
      <c r="CRE997" s="2335"/>
      <c r="CRF997" s="2335"/>
      <c r="CRG997" s="2335"/>
      <c r="CRH997" s="2335"/>
      <c r="CRI997" s="2335"/>
      <c r="CRJ997" s="2335"/>
      <c r="CRK997" s="2335"/>
      <c r="CRL997" s="2335"/>
      <c r="CRM997" s="2335"/>
      <c r="CRN997" s="2335"/>
      <c r="CRO997" s="2335"/>
      <c r="CRP997" s="2335"/>
      <c r="CRQ997" s="2335"/>
      <c r="CRR997" s="2335"/>
      <c r="CRS997" s="2335"/>
      <c r="CRT997" s="2335"/>
      <c r="CRU997" s="2335"/>
      <c r="CRV997" s="2335"/>
      <c r="CRW997" s="2335"/>
      <c r="CRX997" s="2335"/>
      <c r="CRY997" s="2335"/>
      <c r="CRZ997" s="2335"/>
      <c r="CSA997" s="2335"/>
      <c r="CSB997" s="2335"/>
      <c r="CSC997" s="2335"/>
      <c r="CSD997" s="2335"/>
      <c r="CSE997" s="2335"/>
      <c r="CSF997" s="2335"/>
      <c r="CSG997" s="2335"/>
      <c r="CSH997" s="2335"/>
      <c r="CSI997" s="2335"/>
      <c r="CSJ997" s="2335"/>
      <c r="CSK997" s="2335"/>
      <c r="CSL997" s="2335"/>
      <c r="CSM997" s="2335"/>
      <c r="CSN997" s="2335"/>
      <c r="CSO997" s="2335"/>
      <c r="CSP997" s="2335"/>
      <c r="CSQ997" s="2335"/>
      <c r="CSR997" s="2335"/>
      <c r="CSS997" s="2335"/>
      <c r="CST997" s="2335"/>
      <c r="CSU997" s="2335"/>
      <c r="CSV997" s="2335"/>
      <c r="CSW997" s="2335"/>
      <c r="CSX997" s="2335"/>
      <c r="CSY997" s="2335"/>
      <c r="CSZ997" s="2335"/>
      <c r="CTA997" s="2335"/>
      <c r="CTB997" s="2335"/>
      <c r="CTC997" s="2335"/>
      <c r="CTD997" s="2335"/>
      <c r="CTE997" s="2335"/>
      <c r="CTF997" s="2335"/>
      <c r="CTG997" s="2335"/>
      <c r="CTH997" s="2335"/>
      <c r="CTI997" s="2335"/>
      <c r="CTJ997" s="2335"/>
      <c r="CTK997" s="2335"/>
      <c r="CTL997" s="2335"/>
      <c r="CTM997" s="2335"/>
      <c r="CTN997" s="2335"/>
      <c r="CTO997" s="2335"/>
      <c r="CTP997" s="2335"/>
      <c r="CTQ997" s="2335"/>
      <c r="CTR997" s="2335"/>
      <c r="CTS997" s="2335"/>
      <c r="CTT997" s="2335"/>
      <c r="CTU997" s="2335"/>
      <c r="CTV997" s="2335"/>
      <c r="CTW997" s="2335"/>
      <c r="CTX997" s="2335"/>
      <c r="CTY997" s="2335"/>
      <c r="CTZ997" s="2335"/>
      <c r="CUA997" s="2335"/>
      <c r="CUB997" s="2335"/>
      <c r="CUC997" s="2335"/>
      <c r="CUD997" s="2335"/>
      <c r="CUE997" s="2335"/>
      <c r="CUF997" s="2335"/>
      <c r="CUG997" s="2335"/>
      <c r="CUH997" s="2335"/>
      <c r="CUI997" s="2335"/>
      <c r="CUJ997" s="2335"/>
      <c r="CUK997" s="2335"/>
      <c r="CUL997" s="2335"/>
      <c r="CUM997" s="2335"/>
      <c r="CUN997" s="2335"/>
      <c r="CUO997" s="2335"/>
      <c r="CUP997" s="2335"/>
      <c r="CUQ997" s="2335"/>
      <c r="CUR997" s="2335"/>
      <c r="CUS997" s="2335"/>
      <c r="CUT997" s="2335"/>
      <c r="CUU997" s="2335"/>
      <c r="CUV997" s="2335"/>
      <c r="CUW997" s="2335"/>
      <c r="CUX997" s="2335"/>
      <c r="CUY997" s="2335"/>
      <c r="CUZ997" s="2335"/>
      <c r="CVA997" s="2335"/>
      <c r="CVB997" s="2335"/>
      <c r="CVC997" s="2335"/>
      <c r="CVD997" s="2335"/>
      <c r="CVE997" s="2335"/>
      <c r="CVF997" s="2335"/>
      <c r="CVG997" s="2335"/>
      <c r="CVH997" s="2335"/>
      <c r="CVI997" s="2335"/>
      <c r="CVJ997" s="2335"/>
      <c r="CVK997" s="2335"/>
      <c r="CVL997" s="2335"/>
      <c r="CVM997" s="2335"/>
      <c r="CVN997" s="2335"/>
      <c r="CVO997" s="2335"/>
      <c r="CVP997" s="2335"/>
      <c r="CVQ997" s="2335"/>
      <c r="CVR997" s="2335"/>
      <c r="CVS997" s="2335"/>
      <c r="CVT997" s="2335"/>
      <c r="CVU997" s="2335"/>
      <c r="CVV997" s="2335"/>
      <c r="CVW997" s="2335"/>
      <c r="CVX997" s="2335"/>
      <c r="CVY997" s="2335"/>
      <c r="CVZ997" s="2335"/>
      <c r="CWA997" s="2335"/>
      <c r="CWB997" s="2335"/>
      <c r="CWC997" s="2335"/>
      <c r="CWD997" s="2335"/>
      <c r="CWE997" s="2335"/>
      <c r="CWF997" s="2335"/>
      <c r="CWG997" s="2335"/>
      <c r="CWH997" s="2335"/>
      <c r="CWI997" s="2335"/>
      <c r="CWJ997" s="2335"/>
      <c r="CWK997" s="2335"/>
      <c r="CWL997" s="2335"/>
      <c r="CWM997" s="2335"/>
      <c r="CWN997" s="2335"/>
      <c r="CWO997" s="2335"/>
      <c r="CWP997" s="2335"/>
      <c r="CWQ997" s="2335"/>
      <c r="CWR997" s="2335"/>
      <c r="CWS997" s="2335"/>
      <c r="CWT997" s="2335"/>
      <c r="CWU997" s="2335"/>
      <c r="CWV997" s="2335"/>
      <c r="CWW997" s="2335"/>
      <c r="CWX997" s="2335"/>
      <c r="CWY997" s="2335"/>
      <c r="CWZ997" s="2335"/>
      <c r="CXA997" s="2335"/>
      <c r="CXB997" s="2335"/>
      <c r="CXC997" s="2335"/>
      <c r="CXD997" s="2335"/>
      <c r="CXE997" s="2335"/>
      <c r="CXF997" s="2335"/>
      <c r="CXG997" s="2335"/>
      <c r="CXH997" s="2335"/>
      <c r="CXI997" s="2335"/>
      <c r="CXJ997" s="2335"/>
      <c r="CXK997" s="2335"/>
      <c r="CXL997" s="2335"/>
      <c r="CXM997" s="2335"/>
      <c r="CXN997" s="2335"/>
      <c r="CXO997" s="2335"/>
      <c r="CXP997" s="2335"/>
      <c r="CXQ997" s="2335"/>
      <c r="CXR997" s="2335"/>
      <c r="CXS997" s="2335"/>
      <c r="CXT997" s="2335"/>
      <c r="CXU997" s="2335"/>
      <c r="CXV997" s="2335"/>
      <c r="CXW997" s="2335"/>
      <c r="CXX997" s="2335"/>
      <c r="CXY997" s="2335"/>
      <c r="CXZ997" s="2335"/>
      <c r="CYA997" s="2335"/>
      <c r="CYB997" s="2335"/>
      <c r="CYC997" s="2335"/>
      <c r="CYD997" s="2335"/>
      <c r="CYE997" s="2335"/>
      <c r="CYF997" s="2335"/>
      <c r="CYG997" s="2335"/>
      <c r="CYH997" s="2335"/>
      <c r="CYI997" s="2335"/>
      <c r="CYJ997" s="2335"/>
      <c r="CYK997" s="2335"/>
      <c r="CYL997" s="2335"/>
      <c r="CYM997" s="2335"/>
      <c r="CYN997" s="2335"/>
      <c r="CYO997" s="2335"/>
      <c r="CYP997" s="2335"/>
      <c r="CYQ997" s="2335"/>
      <c r="CYR997" s="2335"/>
      <c r="CYS997" s="2335"/>
      <c r="CYT997" s="2335"/>
      <c r="CYU997" s="2335"/>
      <c r="CYV997" s="2335"/>
      <c r="CYW997" s="2335"/>
      <c r="CYX997" s="2335"/>
      <c r="CYY997" s="2335"/>
      <c r="CYZ997" s="2335"/>
      <c r="CZA997" s="2335"/>
      <c r="CZB997" s="2335"/>
      <c r="CZC997" s="2335"/>
      <c r="CZD997" s="2335"/>
      <c r="CZE997" s="2335"/>
      <c r="CZF997" s="2335"/>
      <c r="CZG997" s="2335"/>
      <c r="CZH997" s="2335"/>
      <c r="CZI997" s="2335"/>
      <c r="CZJ997" s="2335"/>
      <c r="CZK997" s="2335"/>
      <c r="CZL997" s="2335"/>
      <c r="CZM997" s="2335"/>
      <c r="CZN997" s="2335"/>
      <c r="CZO997" s="2335"/>
      <c r="CZP997" s="2335"/>
      <c r="CZQ997" s="2335"/>
      <c r="CZR997" s="2335"/>
      <c r="CZS997" s="2335"/>
      <c r="CZT997" s="2335"/>
      <c r="CZU997" s="2335"/>
      <c r="CZV997" s="2335"/>
      <c r="CZW997" s="2335"/>
      <c r="CZX997" s="2335"/>
      <c r="CZY997" s="2335"/>
      <c r="CZZ997" s="2335"/>
      <c r="DAA997" s="2335"/>
      <c r="DAB997" s="2335"/>
      <c r="DAC997" s="2335"/>
      <c r="DAD997" s="2335"/>
      <c r="DAE997" s="2335"/>
      <c r="DAF997" s="2335"/>
      <c r="DAG997" s="2335"/>
      <c r="DAH997" s="2335"/>
      <c r="DAI997" s="2335"/>
      <c r="DAJ997" s="2335"/>
      <c r="DAK997" s="2335"/>
      <c r="DAL997" s="2335"/>
      <c r="DAM997" s="2335"/>
      <c r="DAN997" s="2335"/>
      <c r="DAO997" s="2335"/>
      <c r="DAP997" s="2335"/>
      <c r="DAQ997" s="2335"/>
      <c r="DAR997" s="2335"/>
      <c r="DAS997" s="2335"/>
      <c r="DAT997" s="2335"/>
      <c r="DAU997" s="2335"/>
      <c r="DAV997" s="2335"/>
      <c r="DAW997" s="2335"/>
      <c r="DAX997" s="2335"/>
      <c r="DAY997" s="2335"/>
      <c r="DAZ997" s="2335"/>
      <c r="DBA997" s="2335"/>
      <c r="DBB997" s="2335"/>
      <c r="DBC997" s="2335"/>
      <c r="DBD997" s="2335"/>
      <c r="DBE997" s="2335"/>
      <c r="DBF997" s="2335"/>
      <c r="DBG997" s="2335"/>
      <c r="DBH997" s="2335"/>
      <c r="DBI997" s="2335"/>
      <c r="DBJ997" s="2335"/>
      <c r="DBK997" s="2335"/>
      <c r="DBL997" s="2335"/>
      <c r="DBM997" s="2335"/>
      <c r="DBN997" s="2335"/>
      <c r="DBO997" s="2335"/>
      <c r="DBP997" s="2335"/>
      <c r="DBQ997" s="2335"/>
      <c r="DBR997" s="2335"/>
      <c r="DBS997" s="2335"/>
      <c r="DBT997" s="2335"/>
      <c r="DBU997" s="2335"/>
      <c r="DBV997" s="2335"/>
      <c r="DBW997" s="2335"/>
      <c r="DBX997" s="2335"/>
      <c r="DBY997" s="2335"/>
      <c r="DBZ997" s="2335"/>
      <c r="DCA997" s="2335"/>
      <c r="DCB997" s="2335"/>
      <c r="DCC997" s="2335"/>
      <c r="DCD997" s="2335"/>
      <c r="DCE997" s="2335"/>
      <c r="DCF997" s="2335"/>
      <c r="DCG997" s="2335"/>
      <c r="DCH997" s="2335"/>
      <c r="DCI997" s="2335"/>
      <c r="DCJ997" s="2335"/>
      <c r="DCK997" s="2335"/>
      <c r="DCL997" s="2335"/>
      <c r="DCM997" s="2335"/>
      <c r="DCN997" s="2335"/>
      <c r="DCO997" s="2335"/>
      <c r="DCP997" s="2335"/>
      <c r="DCQ997" s="2335"/>
      <c r="DCR997" s="2335"/>
      <c r="DCS997" s="2335"/>
      <c r="DCT997" s="2335"/>
      <c r="DCU997" s="2335"/>
      <c r="DCV997" s="2335"/>
      <c r="DCW997" s="2335"/>
      <c r="DCX997" s="2335"/>
      <c r="DCY997" s="2335"/>
      <c r="DCZ997" s="2335"/>
      <c r="DDA997" s="2335"/>
      <c r="DDB997" s="2335"/>
      <c r="DDC997" s="2335"/>
      <c r="DDD997" s="2335"/>
      <c r="DDE997" s="2335"/>
      <c r="DDF997" s="2335"/>
      <c r="DDG997" s="2335"/>
      <c r="DDH997" s="2335"/>
      <c r="DDI997" s="2335"/>
      <c r="DDJ997" s="2335"/>
      <c r="DDK997" s="2335"/>
      <c r="DDL997" s="2335"/>
      <c r="DDM997" s="2335"/>
      <c r="DDN997" s="2335"/>
      <c r="DDO997" s="2335"/>
      <c r="DDP997" s="2335"/>
      <c r="DDQ997" s="2335"/>
      <c r="DDR997" s="2335"/>
      <c r="DDS997" s="2335"/>
      <c r="DDT997" s="2335"/>
      <c r="DDU997" s="2335"/>
      <c r="DDV997" s="2335"/>
      <c r="DDW997" s="2335"/>
      <c r="DDX997" s="2335"/>
      <c r="DDY997" s="2335"/>
      <c r="DDZ997" s="2335"/>
      <c r="DEA997" s="2335"/>
      <c r="DEB997" s="2335"/>
      <c r="DEC997" s="2335"/>
      <c r="DED997" s="2335"/>
      <c r="DEE997" s="2335"/>
      <c r="DEF997" s="2335"/>
      <c r="DEG997" s="2335"/>
      <c r="DEH997" s="2335"/>
      <c r="DEI997" s="2335"/>
      <c r="DEJ997" s="2335"/>
      <c r="DEK997" s="2335"/>
      <c r="DEL997" s="2335"/>
      <c r="DEM997" s="2335"/>
      <c r="DEN997" s="2335"/>
      <c r="DEO997" s="2335"/>
      <c r="DEP997" s="2335"/>
      <c r="DEQ997" s="2335"/>
      <c r="DER997" s="2335"/>
      <c r="DES997" s="2335"/>
      <c r="DET997" s="2335"/>
      <c r="DEU997" s="2335"/>
      <c r="DEV997" s="2335"/>
      <c r="DEW997" s="2335"/>
      <c r="DEX997" s="2335"/>
      <c r="DEY997" s="2335"/>
      <c r="DEZ997" s="2335"/>
      <c r="DFA997" s="2335"/>
      <c r="DFB997" s="2335"/>
      <c r="DFC997" s="2335"/>
      <c r="DFD997" s="2335"/>
      <c r="DFE997" s="2335"/>
      <c r="DFF997" s="2335"/>
      <c r="DFG997" s="2335"/>
      <c r="DFH997" s="2335"/>
      <c r="DFI997" s="2335"/>
      <c r="DFJ997" s="2335"/>
      <c r="DFK997" s="2335"/>
      <c r="DFL997" s="2335"/>
      <c r="DFM997" s="2335"/>
      <c r="DFN997" s="2335"/>
      <c r="DFO997" s="2335"/>
      <c r="DFP997" s="2335"/>
      <c r="DFQ997" s="2335"/>
      <c r="DFR997" s="2335"/>
      <c r="DFS997" s="2335"/>
      <c r="DFT997" s="2335"/>
      <c r="DFU997" s="2335"/>
      <c r="DFV997" s="2335"/>
      <c r="DFW997" s="2335"/>
      <c r="DFX997" s="2335"/>
      <c r="DFY997" s="2335"/>
      <c r="DFZ997" s="2335"/>
      <c r="DGA997" s="2335"/>
      <c r="DGB997" s="2335"/>
      <c r="DGC997" s="2335"/>
      <c r="DGD997" s="2335"/>
      <c r="DGE997" s="2335"/>
      <c r="DGF997" s="2335"/>
      <c r="DGG997" s="2335"/>
      <c r="DGH997" s="2335"/>
      <c r="DGI997" s="2335"/>
      <c r="DGJ997" s="2335"/>
      <c r="DGK997" s="2335"/>
      <c r="DGL997" s="2335"/>
      <c r="DGM997" s="2335"/>
      <c r="DGN997" s="2335"/>
      <c r="DGO997" s="2335"/>
      <c r="DGP997" s="2335"/>
      <c r="DGQ997" s="2335"/>
      <c r="DGR997" s="2335"/>
      <c r="DGS997" s="2335"/>
      <c r="DGT997" s="2335"/>
      <c r="DGU997" s="2335"/>
      <c r="DGV997" s="2335"/>
      <c r="DGW997" s="2335"/>
      <c r="DGX997" s="2335"/>
      <c r="DGY997" s="2335"/>
      <c r="DGZ997" s="2335"/>
      <c r="DHA997" s="2335"/>
      <c r="DHB997" s="2335"/>
      <c r="DHC997" s="2335"/>
      <c r="DHD997" s="2335"/>
      <c r="DHE997" s="2335"/>
      <c r="DHF997" s="2335"/>
      <c r="DHG997" s="2335"/>
      <c r="DHH997" s="2335"/>
      <c r="DHI997" s="2335"/>
      <c r="DHJ997" s="2335"/>
      <c r="DHK997" s="2335"/>
      <c r="DHL997" s="2335"/>
      <c r="DHM997" s="2335"/>
      <c r="DHN997" s="2335"/>
      <c r="DHO997" s="2335"/>
      <c r="DHP997" s="2335"/>
      <c r="DHQ997" s="2335"/>
      <c r="DHR997" s="2335"/>
      <c r="DHS997" s="2335"/>
      <c r="DHT997" s="2335"/>
      <c r="DHU997" s="2335"/>
      <c r="DHV997" s="2335"/>
      <c r="DHW997" s="2335"/>
      <c r="DHX997" s="2335"/>
      <c r="DHY997" s="2335"/>
      <c r="DHZ997" s="2335"/>
      <c r="DIA997" s="2335"/>
      <c r="DIB997" s="2335"/>
      <c r="DIC997" s="2335"/>
      <c r="DID997" s="2335"/>
      <c r="DIE997" s="2335"/>
      <c r="DIF997" s="2335"/>
      <c r="DIG997" s="2335"/>
      <c r="DIH997" s="2335"/>
      <c r="DII997" s="2335"/>
      <c r="DIJ997" s="2335"/>
      <c r="DIK997" s="2335"/>
      <c r="DIL997" s="2335"/>
      <c r="DIM997" s="2335"/>
      <c r="DIN997" s="2335"/>
      <c r="DIO997" s="2335"/>
      <c r="DIP997" s="2335"/>
      <c r="DIQ997" s="2335"/>
      <c r="DIR997" s="2335"/>
      <c r="DIS997" s="2335"/>
      <c r="DIT997" s="2335"/>
      <c r="DIU997" s="2335"/>
      <c r="DIV997" s="2335"/>
      <c r="DIW997" s="2335"/>
      <c r="DIX997" s="2335"/>
      <c r="DIY997" s="2335"/>
      <c r="DIZ997" s="2335"/>
      <c r="DJA997" s="2335"/>
      <c r="DJB997" s="2335"/>
      <c r="DJC997" s="2335"/>
      <c r="DJD997" s="2335"/>
      <c r="DJE997" s="2335"/>
      <c r="DJF997" s="2335"/>
      <c r="DJG997" s="2335"/>
      <c r="DJH997" s="2335"/>
      <c r="DJI997" s="2335"/>
      <c r="DJJ997" s="2335"/>
      <c r="DJK997" s="2335"/>
      <c r="DJL997" s="2335"/>
      <c r="DJM997" s="2335"/>
      <c r="DJN997" s="2335"/>
      <c r="DJO997" s="2335"/>
      <c r="DJP997" s="2335"/>
      <c r="DJQ997" s="2335"/>
      <c r="DJR997" s="2335"/>
      <c r="DJS997" s="2335"/>
      <c r="DJT997" s="2335"/>
      <c r="DJU997" s="2335"/>
      <c r="DJV997" s="2335"/>
      <c r="DJW997" s="2335"/>
      <c r="DJX997" s="2335"/>
      <c r="DJY997" s="2335"/>
      <c r="DJZ997" s="2335"/>
      <c r="DKA997" s="2335"/>
      <c r="DKB997" s="2335"/>
      <c r="DKC997" s="2335"/>
      <c r="DKD997" s="2335"/>
      <c r="DKE997" s="2335"/>
      <c r="DKF997" s="2335"/>
      <c r="DKG997" s="2335"/>
      <c r="DKH997" s="2335"/>
      <c r="DKI997" s="2335"/>
      <c r="DKJ997" s="2335"/>
      <c r="DKK997" s="2335"/>
      <c r="DKL997" s="2335"/>
      <c r="DKM997" s="2335"/>
      <c r="DKN997" s="2335"/>
      <c r="DKO997" s="2335"/>
      <c r="DKP997" s="2335"/>
      <c r="DKQ997" s="2335"/>
      <c r="DKR997" s="2335"/>
      <c r="DKS997" s="2335"/>
      <c r="DKT997" s="2335"/>
      <c r="DKU997" s="2335"/>
      <c r="DKV997" s="2335"/>
      <c r="DKW997" s="2335"/>
      <c r="DKX997" s="2335"/>
      <c r="DKY997" s="2335"/>
      <c r="DKZ997" s="2335"/>
      <c r="DLA997" s="2335"/>
      <c r="DLB997" s="2335"/>
      <c r="DLC997" s="2335"/>
      <c r="DLD997" s="2335"/>
      <c r="DLE997" s="2335"/>
      <c r="DLF997" s="2335"/>
      <c r="DLG997" s="2335"/>
      <c r="DLH997" s="2335"/>
      <c r="DLI997" s="2335"/>
      <c r="DLJ997" s="2335"/>
      <c r="DLK997" s="2335"/>
      <c r="DLL997" s="2335"/>
      <c r="DLM997" s="2335"/>
      <c r="DLN997" s="2335"/>
      <c r="DLO997" s="2335"/>
      <c r="DLP997" s="2335"/>
      <c r="DLQ997" s="2335"/>
      <c r="DLR997" s="2335"/>
      <c r="DLS997" s="2335"/>
      <c r="DLT997" s="2335"/>
      <c r="DLU997" s="2335"/>
      <c r="DLV997" s="2335"/>
      <c r="DLW997" s="2335"/>
      <c r="DLX997" s="2335"/>
      <c r="DLY997" s="2335"/>
      <c r="DLZ997" s="2335"/>
      <c r="DMA997" s="2335"/>
      <c r="DMB997" s="2335"/>
      <c r="DMC997" s="2335"/>
      <c r="DMD997" s="2335"/>
      <c r="DME997" s="2335"/>
      <c r="DMF997" s="2335"/>
      <c r="DMG997" s="2335"/>
      <c r="DMH997" s="2335"/>
      <c r="DMI997" s="2335"/>
      <c r="DMJ997" s="2335"/>
      <c r="DMK997" s="2335"/>
      <c r="DML997" s="2335"/>
      <c r="DMM997" s="2335"/>
      <c r="DMN997" s="2335"/>
      <c r="DMO997" s="2335"/>
      <c r="DMP997" s="2335"/>
      <c r="DMQ997" s="2335"/>
      <c r="DMR997" s="2335"/>
      <c r="DMS997" s="2335"/>
      <c r="DMT997" s="2335"/>
      <c r="DMU997" s="2335"/>
      <c r="DMV997" s="2335"/>
      <c r="DMW997" s="2335"/>
      <c r="DMX997" s="2335"/>
      <c r="DMY997" s="2335"/>
      <c r="DMZ997" s="2335"/>
      <c r="DNA997" s="2335"/>
      <c r="DNB997" s="2335"/>
      <c r="DNC997" s="2335"/>
      <c r="DND997" s="2335"/>
      <c r="DNE997" s="2335"/>
      <c r="DNF997" s="2335"/>
      <c r="DNG997" s="2335"/>
      <c r="DNH997" s="2335"/>
      <c r="DNI997" s="2335"/>
      <c r="DNJ997" s="2335"/>
      <c r="DNK997" s="2335"/>
      <c r="DNL997" s="2335"/>
      <c r="DNM997" s="2335"/>
      <c r="DNN997" s="2335"/>
      <c r="DNO997" s="2335"/>
      <c r="DNP997" s="2335"/>
      <c r="DNQ997" s="2335"/>
      <c r="DNR997" s="2335"/>
      <c r="DNS997" s="2335"/>
      <c r="DNT997" s="2335"/>
      <c r="DNU997" s="2335"/>
      <c r="DNV997" s="2335"/>
      <c r="DNW997" s="2335"/>
      <c r="DNX997" s="2335"/>
      <c r="DNY997" s="2335"/>
      <c r="DNZ997" s="2335"/>
      <c r="DOA997" s="2335"/>
      <c r="DOB997" s="2335"/>
      <c r="DOC997" s="2335"/>
      <c r="DOD997" s="2335"/>
      <c r="DOE997" s="2335"/>
      <c r="DOF997" s="2335"/>
      <c r="DOG997" s="2335"/>
      <c r="DOH997" s="2335"/>
      <c r="DOI997" s="2335"/>
      <c r="DOJ997" s="2335"/>
      <c r="DOK997" s="2335"/>
      <c r="DOL997" s="2335"/>
      <c r="DOM997" s="2335"/>
      <c r="DON997" s="2335"/>
      <c r="DOO997" s="2335"/>
      <c r="DOP997" s="2335"/>
      <c r="DOQ997" s="2335"/>
      <c r="DOR997" s="2335"/>
      <c r="DOS997" s="2335"/>
      <c r="DOT997" s="2335"/>
      <c r="DOU997" s="2335"/>
      <c r="DOV997" s="2335"/>
      <c r="DOW997" s="2335"/>
      <c r="DOX997" s="2335"/>
      <c r="DOY997" s="2335"/>
      <c r="DOZ997" s="2335"/>
      <c r="DPA997" s="2335"/>
      <c r="DPB997" s="2335"/>
      <c r="DPC997" s="2335"/>
      <c r="DPD997" s="2335"/>
      <c r="DPE997" s="2335"/>
      <c r="DPF997" s="2335"/>
      <c r="DPG997" s="2335"/>
      <c r="DPH997" s="2335"/>
      <c r="DPI997" s="2335"/>
      <c r="DPJ997" s="2335"/>
      <c r="DPK997" s="2335"/>
      <c r="DPL997" s="2335"/>
      <c r="DPM997" s="2335"/>
      <c r="DPN997" s="2335"/>
      <c r="DPO997" s="2335"/>
      <c r="DPP997" s="2335"/>
      <c r="DPQ997" s="2335"/>
      <c r="DPR997" s="2335"/>
      <c r="DPS997" s="2335"/>
      <c r="DPT997" s="2335"/>
      <c r="DPU997" s="2335"/>
      <c r="DPV997" s="2335"/>
      <c r="DPW997" s="2335"/>
      <c r="DPX997" s="2335"/>
      <c r="DPY997" s="2335"/>
      <c r="DPZ997" s="2335"/>
      <c r="DQA997" s="2335"/>
      <c r="DQB997" s="2335"/>
      <c r="DQC997" s="2335"/>
      <c r="DQD997" s="2335"/>
      <c r="DQE997" s="2335"/>
      <c r="DQF997" s="2335"/>
      <c r="DQG997" s="2335"/>
      <c r="DQH997" s="2335"/>
      <c r="DQI997" s="2335"/>
      <c r="DQJ997" s="2335"/>
      <c r="DQK997" s="2335"/>
      <c r="DQL997" s="2335"/>
      <c r="DQM997" s="2335"/>
      <c r="DQN997" s="2335"/>
      <c r="DQO997" s="2335"/>
      <c r="DQP997" s="2335"/>
      <c r="DQQ997" s="2335"/>
      <c r="DQR997" s="2335"/>
      <c r="DQS997" s="2335"/>
      <c r="DQT997" s="2335"/>
      <c r="DQU997" s="2335"/>
      <c r="DQV997" s="2335"/>
      <c r="DQW997" s="2335"/>
      <c r="DQX997" s="2335"/>
      <c r="DQY997" s="2335"/>
      <c r="DQZ997" s="2335"/>
      <c r="DRA997" s="2335"/>
      <c r="DRB997" s="2335"/>
      <c r="DRC997" s="2335"/>
      <c r="DRD997" s="2335"/>
      <c r="DRE997" s="2335"/>
      <c r="DRF997" s="2335"/>
      <c r="DRG997" s="2335"/>
      <c r="DRH997" s="2335"/>
      <c r="DRI997" s="2335"/>
      <c r="DRJ997" s="2335"/>
      <c r="DRK997" s="2335"/>
      <c r="DRL997" s="2335"/>
      <c r="DRM997" s="2335"/>
      <c r="DRN997" s="2335"/>
      <c r="DRO997" s="2335"/>
      <c r="DRP997" s="2335"/>
      <c r="DRQ997" s="2335"/>
      <c r="DRR997" s="2335"/>
      <c r="DRS997" s="2335"/>
      <c r="DRT997" s="2335"/>
      <c r="DRU997" s="2335"/>
      <c r="DRV997" s="2335"/>
      <c r="DRW997" s="2335"/>
      <c r="DRX997" s="2335"/>
      <c r="DRY997" s="2335"/>
      <c r="DRZ997" s="2335"/>
      <c r="DSA997" s="2335"/>
      <c r="DSB997" s="2335"/>
      <c r="DSC997" s="2335"/>
      <c r="DSD997" s="2335"/>
      <c r="DSE997" s="2335"/>
      <c r="DSF997" s="2335"/>
      <c r="DSG997" s="2335"/>
      <c r="DSH997" s="2335"/>
      <c r="DSI997" s="2335"/>
      <c r="DSJ997" s="2335"/>
      <c r="DSK997" s="2335"/>
      <c r="DSL997" s="2335"/>
      <c r="DSM997" s="2335"/>
      <c r="DSN997" s="2335"/>
      <c r="DSO997" s="2335"/>
      <c r="DSP997" s="2335"/>
      <c r="DSQ997" s="2335"/>
      <c r="DSR997" s="2335"/>
      <c r="DSS997" s="2335"/>
      <c r="DST997" s="2335"/>
      <c r="DSU997" s="2335"/>
      <c r="DSV997" s="2335"/>
      <c r="DSW997" s="2335"/>
      <c r="DSX997" s="2335"/>
      <c r="DSY997" s="2335"/>
      <c r="DSZ997" s="2335"/>
      <c r="DTA997" s="2335"/>
      <c r="DTB997" s="2335"/>
      <c r="DTC997" s="2335"/>
      <c r="DTD997" s="2335"/>
      <c r="DTE997" s="2335"/>
      <c r="DTF997" s="2335"/>
      <c r="DTG997" s="2335"/>
      <c r="DTH997" s="2335"/>
      <c r="DTI997" s="2335"/>
      <c r="DTJ997" s="2335"/>
      <c r="DTK997" s="2335"/>
      <c r="DTL997" s="2335"/>
      <c r="DTM997" s="2335"/>
      <c r="DTN997" s="2335"/>
      <c r="DTO997" s="2335"/>
      <c r="DTP997" s="2335"/>
      <c r="DTQ997" s="2335"/>
      <c r="DTR997" s="2335"/>
      <c r="DTS997" s="2335"/>
      <c r="DTT997" s="2335"/>
      <c r="DTU997" s="2335"/>
      <c r="DTV997" s="2335"/>
      <c r="DTW997" s="2335"/>
      <c r="DTX997" s="2335"/>
      <c r="DTY997" s="2335"/>
      <c r="DTZ997" s="2335"/>
      <c r="DUA997" s="2335"/>
      <c r="DUB997" s="2335"/>
      <c r="DUC997" s="2335"/>
      <c r="DUD997" s="2335"/>
      <c r="DUE997" s="2335"/>
      <c r="DUF997" s="2335"/>
      <c r="DUG997" s="2335"/>
      <c r="DUH997" s="2335"/>
      <c r="DUI997" s="2335"/>
      <c r="DUJ997" s="2335"/>
      <c r="DUK997" s="2335"/>
      <c r="DUL997" s="2335"/>
      <c r="DUM997" s="2335"/>
      <c r="DUN997" s="2335"/>
      <c r="DUO997" s="2335"/>
      <c r="DUP997" s="2335"/>
      <c r="DUQ997" s="2335"/>
      <c r="DUR997" s="2335"/>
      <c r="DUS997" s="2335"/>
      <c r="DUT997" s="2335"/>
      <c r="DUU997" s="2335"/>
      <c r="DUV997" s="2335"/>
      <c r="DUW997" s="2335"/>
      <c r="DUX997" s="2335"/>
      <c r="DUY997" s="2335"/>
      <c r="DUZ997" s="2335"/>
      <c r="DVA997" s="2335"/>
      <c r="DVB997" s="2335"/>
      <c r="DVC997" s="2335"/>
      <c r="DVD997" s="2335"/>
      <c r="DVE997" s="2335"/>
      <c r="DVF997" s="2335"/>
      <c r="DVG997" s="2335"/>
      <c r="DVH997" s="2335"/>
      <c r="DVI997" s="2335"/>
      <c r="DVJ997" s="2335"/>
      <c r="DVK997" s="2335"/>
      <c r="DVL997" s="2335"/>
      <c r="DVM997" s="2335"/>
      <c r="DVN997" s="2335"/>
      <c r="DVO997" s="2335"/>
      <c r="DVP997" s="2335"/>
      <c r="DVQ997" s="2335"/>
      <c r="DVR997" s="2335"/>
      <c r="DVS997" s="2335"/>
      <c r="DVT997" s="2335"/>
      <c r="DVU997" s="2335"/>
      <c r="DVV997" s="2335"/>
      <c r="DVW997" s="2335"/>
      <c r="DVX997" s="2335"/>
      <c r="DVY997" s="2335"/>
      <c r="DVZ997" s="2335"/>
      <c r="DWA997" s="2335"/>
      <c r="DWB997" s="2335"/>
      <c r="DWC997" s="2335"/>
      <c r="DWD997" s="2335"/>
      <c r="DWE997" s="2335"/>
      <c r="DWF997" s="2335"/>
      <c r="DWG997" s="2335"/>
      <c r="DWH997" s="2335"/>
      <c r="DWI997" s="2335"/>
      <c r="DWJ997" s="2335"/>
      <c r="DWK997" s="2335"/>
      <c r="DWL997" s="2335"/>
      <c r="DWM997" s="2335"/>
      <c r="DWN997" s="2335"/>
      <c r="DWO997" s="2335"/>
      <c r="DWP997" s="2335"/>
      <c r="DWQ997" s="2335"/>
      <c r="DWR997" s="2335"/>
      <c r="DWS997" s="2335"/>
      <c r="DWT997" s="2335"/>
      <c r="DWU997" s="2335"/>
      <c r="DWV997" s="2335"/>
      <c r="DWW997" s="2335"/>
      <c r="DWX997" s="2335"/>
      <c r="DWY997" s="2335"/>
      <c r="DWZ997" s="2335"/>
      <c r="DXA997" s="2335"/>
      <c r="DXB997" s="2335"/>
      <c r="DXC997" s="2335"/>
      <c r="DXD997" s="2335"/>
      <c r="DXE997" s="2335"/>
      <c r="DXF997" s="2335"/>
      <c r="DXG997" s="2335"/>
      <c r="DXH997" s="2335"/>
      <c r="DXI997" s="2335"/>
      <c r="DXJ997" s="2335"/>
      <c r="DXK997" s="2335"/>
      <c r="DXL997" s="2335"/>
      <c r="DXM997" s="2335"/>
      <c r="DXN997" s="2335"/>
      <c r="DXO997" s="2335"/>
      <c r="DXP997" s="2335"/>
      <c r="DXQ997" s="2335"/>
      <c r="DXR997" s="2335"/>
      <c r="DXS997" s="2335"/>
      <c r="DXT997" s="2335"/>
      <c r="DXU997" s="2335"/>
      <c r="DXV997" s="2335"/>
      <c r="DXW997" s="2335"/>
      <c r="DXX997" s="2335"/>
      <c r="DXY997" s="2335"/>
      <c r="DXZ997" s="2335"/>
      <c r="DYA997" s="2335"/>
      <c r="DYB997" s="2335"/>
      <c r="DYC997" s="2335"/>
      <c r="DYD997" s="2335"/>
      <c r="DYE997" s="2335"/>
      <c r="DYF997" s="2335"/>
      <c r="DYG997" s="2335"/>
      <c r="DYH997" s="2335"/>
      <c r="DYI997" s="2335"/>
      <c r="DYJ997" s="2335"/>
      <c r="DYK997" s="2335"/>
      <c r="DYL997" s="2335"/>
      <c r="DYM997" s="2335"/>
      <c r="DYN997" s="2335"/>
      <c r="DYO997" s="2335"/>
      <c r="DYP997" s="2335"/>
      <c r="DYQ997" s="2335"/>
      <c r="DYR997" s="2335"/>
      <c r="DYS997" s="2335"/>
      <c r="DYT997" s="2335"/>
      <c r="DYU997" s="2335"/>
      <c r="DYV997" s="2335"/>
      <c r="DYW997" s="2335"/>
      <c r="DYX997" s="2335"/>
      <c r="DYY997" s="2335"/>
      <c r="DYZ997" s="2335"/>
      <c r="DZA997" s="2335"/>
      <c r="DZB997" s="2335"/>
      <c r="DZC997" s="2335"/>
      <c r="DZD997" s="2335"/>
      <c r="DZE997" s="2335"/>
      <c r="DZF997" s="2335"/>
      <c r="DZG997" s="2335"/>
      <c r="DZH997" s="2335"/>
      <c r="DZI997" s="2335"/>
      <c r="DZJ997" s="2335"/>
      <c r="DZK997" s="2335"/>
      <c r="DZL997" s="2335"/>
      <c r="DZM997" s="2335"/>
      <c r="DZN997" s="2335"/>
      <c r="DZO997" s="2335"/>
      <c r="DZP997" s="2335"/>
      <c r="DZQ997" s="2335"/>
      <c r="DZR997" s="2335"/>
      <c r="DZS997" s="2335"/>
      <c r="DZT997" s="2335"/>
      <c r="DZU997" s="2335"/>
      <c r="DZV997" s="2335"/>
      <c r="DZW997" s="2335"/>
      <c r="DZX997" s="2335"/>
      <c r="DZY997" s="2335"/>
      <c r="DZZ997" s="2335"/>
      <c r="EAA997" s="2335"/>
      <c r="EAB997" s="2335"/>
      <c r="EAC997" s="2335"/>
      <c r="EAD997" s="2335"/>
      <c r="EAE997" s="2335"/>
      <c r="EAF997" s="2335"/>
      <c r="EAG997" s="2335"/>
      <c r="EAH997" s="2335"/>
      <c r="EAI997" s="2335"/>
      <c r="EAJ997" s="2335"/>
      <c r="EAK997" s="2335"/>
      <c r="EAL997" s="2335"/>
      <c r="EAM997" s="2335"/>
      <c r="EAN997" s="2335"/>
      <c r="EAO997" s="2335"/>
      <c r="EAP997" s="2335"/>
      <c r="EAQ997" s="2335"/>
      <c r="EAR997" s="2335"/>
      <c r="EAS997" s="2335"/>
      <c r="EAT997" s="2335"/>
      <c r="EAU997" s="2335"/>
      <c r="EAV997" s="2335"/>
      <c r="EAW997" s="2335"/>
      <c r="EAX997" s="2335"/>
      <c r="EAY997" s="2335"/>
      <c r="EAZ997" s="2335"/>
      <c r="EBA997" s="2335"/>
      <c r="EBB997" s="2335"/>
      <c r="EBC997" s="2335"/>
      <c r="EBD997" s="2335"/>
      <c r="EBE997" s="2335"/>
      <c r="EBF997" s="2335"/>
      <c r="EBG997" s="2335"/>
      <c r="EBH997" s="2335"/>
      <c r="EBI997" s="2335"/>
      <c r="EBJ997" s="2335"/>
      <c r="EBK997" s="2335"/>
      <c r="EBL997" s="2335"/>
      <c r="EBM997" s="2335"/>
      <c r="EBN997" s="2335"/>
      <c r="EBO997" s="2335"/>
      <c r="EBP997" s="2335"/>
      <c r="EBQ997" s="2335"/>
      <c r="EBR997" s="2335"/>
      <c r="EBS997" s="2335"/>
      <c r="EBT997" s="2335"/>
      <c r="EBU997" s="2335"/>
      <c r="EBV997" s="2335"/>
      <c r="EBW997" s="2335"/>
      <c r="EBX997" s="2335"/>
      <c r="EBY997" s="2335"/>
      <c r="EBZ997" s="2335"/>
      <c r="ECA997" s="2335"/>
      <c r="ECB997" s="2335"/>
      <c r="ECC997" s="2335"/>
      <c r="ECD997" s="2335"/>
      <c r="ECE997" s="2335"/>
      <c r="ECF997" s="2335"/>
      <c r="ECG997" s="2335"/>
      <c r="ECH997" s="2335"/>
      <c r="ECI997" s="2335"/>
      <c r="ECJ997" s="2335"/>
      <c r="ECK997" s="2335"/>
      <c r="ECL997" s="2335"/>
      <c r="ECM997" s="2335"/>
      <c r="ECN997" s="2335"/>
      <c r="ECO997" s="2335"/>
      <c r="ECP997" s="2335"/>
      <c r="ECQ997" s="2335"/>
      <c r="ECR997" s="2335"/>
      <c r="ECS997" s="2335"/>
      <c r="ECT997" s="2335"/>
      <c r="ECU997" s="2335"/>
      <c r="ECV997" s="2335"/>
      <c r="ECW997" s="2335"/>
      <c r="ECX997" s="2335"/>
      <c r="ECY997" s="2335"/>
      <c r="ECZ997" s="2335"/>
      <c r="EDA997" s="2335"/>
      <c r="EDB997" s="2335"/>
      <c r="EDC997" s="2335"/>
      <c r="EDD997" s="2335"/>
      <c r="EDE997" s="2335"/>
      <c r="EDF997" s="2335"/>
      <c r="EDG997" s="2335"/>
      <c r="EDH997" s="2335"/>
      <c r="EDI997" s="2335"/>
      <c r="EDJ997" s="2335"/>
      <c r="EDK997" s="2335"/>
      <c r="EDL997" s="2335"/>
      <c r="EDM997" s="2335"/>
      <c r="EDN997" s="2335"/>
      <c r="EDO997" s="2335"/>
      <c r="EDP997" s="2335"/>
      <c r="EDQ997" s="2335"/>
      <c r="EDR997" s="2335"/>
      <c r="EDS997" s="2335"/>
      <c r="EDT997" s="2335"/>
      <c r="EDU997" s="2335"/>
      <c r="EDV997" s="2335"/>
      <c r="EDW997" s="2335"/>
      <c r="EDX997" s="2335"/>
      <c r="EDY997" s="2335"/>
      <c r="EDZ997" s="2335"/>
      <c r="EEA997" s="2335"/>
      <c r="EEB997" s="2335"/>
      <c r="EEC997" s="2335"/>
      <c r="EED997" s="2335"/>
      <c r="EEE997" s="2335"/>
      <c r="EEF997" s="2335"/>
      <c r="EEG997" s="2335"/>
      <c r="EEH997" s="2335"/>
      <c r="EEI997" s="2335"/>
      <c r="EEJ997" s="2335"/>
      <c r="EEK997" s="2335"/>
      <c r="EEL997" s="2335"/>
      <c r="EEM997" s="2335"/>
      <c r="EEN997" s="2335"/>
      <c r="EEO997" s="2335"/>
      <c r="EEP997" s="2335"/>
      <c r="EEQ997" s="2335"/>
      <c r="EER997" s="2335"/>
      <c r="EES997" s="2335"/>
      <c r="EET997" s="2335"/>
      <c r="EEU997" s="2335"/>
      <c r="EEV997" s="2335"/>
      <c r="EEW997" s="2335"/>
      <c r="EEX997" s="2335"/>
      <c r="EEY997" s="2335"/>
      <c r="EEZ997" s="2335"/>
      <c r="EFA997" s="2335"/>
      <c r="EFB997" s="2335"/>
      <c r="EFC997" s="2335"/>
      <c r="EFD997" s="2335"/>
      <c r="EFE997" s="2335"/>
      <c r="EFF997" s="2335"/>
      <c r="EFG997" s="2335"/>
      <c r="EFH997" s="2335"/>
      <c r="EFI997" s="2335"/>
      <c r="EFJ997" s="2335"/>
      <c r="EFK997" s="2335"/>
      <c r="EFL997" s="2335"/>
      <c r="EFM997" s="2335"/>
      <c r="EFN997" s="2335"/>
      <c r="EFO997" s="2335"/>
      <c r="EFP997" s="2335"/>
      <c r="EFQ997" s="2335"/>
      <c r="EFR997" s="2335"/>
      <c r="EFS997" s="2335"/>
      <c r="EFT997" s="2335"/>
      <c r="EFU997" s="2335"/>
      <c r="EFV997" s="2335"/>
      <c r="EFW997" s="2335"/>
      <c r="EFX997" s="2335"/>
      <c r="EFY997" s="2335"/>
      <c r="EFZ997" s="2335"/>
      <c r="EGA997" s="2335"/>
      <c r="EGB997" s="2335"/>
      <c r="EGC997" s="2335"/>
      <c r="EGD997" s="2335"/>
      <c r="EGE997" s="2335"/>
      <c r="EGF997" s="2335"/>
      <c r="EGG997" s="2335"/>
      <c r="EGH997" s="2335"/>
      <c r="EGI997" s="2335"/>
      <c r="EGJ997" s="2335"/>
      <c r="EGK997" s="2335"/>
      <c r="EGL997" s="2335"/>
      <c r="EGM997" s="2335"/>
      <c r="EGN997" s="2335"/>
      <c r="EGO997" s="2335"/>
      <c r="EGP997" s="2335"/>
      <c r="EGQ997" s="2335"/>
      <c r="EGR997" s="2335"/>
      <c r="EGS997" s="2335"/>
      <c r="EGT997" s="2335"/>
      <c r="EGU997" s="2335"/>
      <c r="EGV997" s="2335"/>
      <c r="EGW997" s="2335"/>
      <c r="EGX997" s="2335"/>
      <c r="EGY997" s="2335"/>
      <c r="EGZ997" s="2335"/>
      <c r="EHA997" s="2335"/>
      <c r="EHB997" s="2335"/>
      <c r="EHC997" s="2335"/>
      <c r="EHD997" s="2335"/>
      <c r="EHE997" s="2335"/>
      <c r="EHF997" s="2335"/>
      <c r="EHG997" s="2335"/>
      <c r="EHH997" s="2335"/>
      <c r="EHI997" s="2335"/>
      <c r="EHJ997" s="2335"/>
      <c r="EHK997" s="2335"/>
      <c r="EHL997" s="2335"/>
      <c r="EHM997" s="2335"/>
      <c r="EHN997" s="2335"/>
      <c r="EHO997" s="2335"/>
      <c r="EHP997" s="2335"/>
      <c r="EHQ997" s="2335"/>
      <c r="EHR997" s="2335"/>
      <c r="EHS997" s="2335"/>
      <c r="EHT997" s="2335"/>
      <c r="EHU997" s="2335"/>
      <c r="EHV997" s="2335"/>
      <c r="EHW997" s="2335"/>
      <c r="EHX997" s="2335"/>
      <c r="EHY997" s="2335"/>
      <c r="EHZ997" s="2335"/>
      <c r="EIA997" s="2335"/>
      <c r="EIB997" s="2335"/>
      <c r="EIC997" s="2335"/>
      <c r="EID997" s="2335"/>
      <c r="EIE997" s="2335"/>
      <c r="EIF997" s="2335"/>
      <c r="EIG997" s="2335"/>
      <c r="EIH997" s="2335"/>
      <c r="EII997" s="2335"/>
      <c r="EIJ997" s="2335"/>
      <c r="EIK997" s="2335"/>
      <c r="EIL997" s="2335"/>
      <c r="EIM997" s="2335"/>
      <c r="EIN997" s="2335"/>
      <c r="EIO997" s="2335"/>
      <c r="EIP997" s="2335"/>
      <c r="EIQ997" s="2335"/>
      <c r="EIR997" s="2335"/>
      <c r="EIS997" s="2335"/>
      <c r="EIT997" s="2335"/>
      <c r="EIU997" s="2335"/>
      <c r="EIV997" s="2335"/>
      <c r="EIW997" s="2335"/>
      <c r="EIX997" s="2335"/>
      <c r="EIY997" s="2335"/>
      <c r="EIZ997" s="2335"/>
      <c r="EJA997" s="2335"/>
      <c r="EJB997" s="2335"/>
      <c r="EJC997" s="2335"/>
      <c r="EJD997" s="2335"/>
      <c r="EJE997" s="2335"/>
      <c r="EJF997" s="2335"/>
      <c r="EJG997" s="2335"/>
      <c r="EJH997" s="2335"/>
      <c r="EJI997" s="2335"/>
      <c r="EJJ997" s="2335"/>
      <c r="EJK997" s="2335"/>
      <c r="EJL997" s="2335"/>
      <c r="EJM997" s="2335"/>
      <c r="EJN997" s="2335"/>
      <c r="EJO997" s="2335"/>
      <c r="EJP997" s="2335"/>
      <c r="EJQ997" s="2335"/>
      <c r="EJR997" s="2335"/>
      <c r="EJS997" s="2335"/>
      <c r="EJT997" s="2335"/>
      <c r="EJU997" s="2335"/>
      <c r="EJV997" s="2335"/>
      <c r="EJW997" s="2335"/>
      <c r="EJX997" s="2335"/>
      <c r="EJY997" s="2335"/>
      <c r="EJZ997" s="2335"/>
      <c r="EKA997" s="2335"/>
      <c r="EKB997" s="2335"/>
      <c r="EKC997" s="2335"/>
      <c r="EKD997" s="2335"/>
      <c r="EKE997" s="2335"/>
      <c r="EKF997" s="2335"/>
      <c r="EKG997" s="2335"/>
      <c r="EKH997" s="2335"/>
      <c r="EKI997" s="2335"/>
      <c r="EKJ997" s="2335"/>
      <c r="EKK997" s="2335"/>
      <c r="EKL997" s="2335"/>
      <c r="EKM997" s="2335"/>
      <c r="EKN997" s="2335"/>
      <c r="EKO997" s="2335"/>
      <c r="EKP997" s="2335"/>
      <c r="EKQ997" s="2335"/>
      <c r="EKR997" s="2335"/>
      <c r="EKS997" s="2335"/>
      <c r="EKT997" s="2335"/>
      <c r="EKU997" s="2335"/>
      <c r="EKV997" s="2335"/>
      <c r="EKW997" s="2335"/>
      <c r="EKX997" s="2335"/>
      <c r="EKY997" s="2335"/>
      <c r="EKZ997" s="2335"/>
      <c r="ELA997" s="2335"/>
      <c r="ELB997" s="2335"/>
      <c r="ELC997" s="2335"/>
      <c r="ELD997" s="2335"/>
      <c r="ELE997" s="2335"/>
      <c r="ELF997" s="2335"/>
      <c r="ELG997" s="2335"/>
      <c r="ELH997" s="2335"/>
      <c r="ELI997" s="2335"/>
      <c r="ELJ997" s="2335"/>
      <c r="ELK997" s="2335"/>
      <c r="ELL997" s="2335"/>
      <c r="ELM997" s="2335"/>
      <c r="ELN997" s="2335"/>
      <c r="ELO997" s="2335"/>
      <c r="ELP997" s="2335"/>
      <c r="ELQ997" s="2335"/>
      <c r="ELR997" s="2335"/>
      <c r="ELS997" s="2335"/>
      <c r="ELT997" s="2335"/>
      <c r="ELU997" s="2335"/>
      <c r="ELV997" s="2335"/>
      <c r="ELW997" s="2335"/>
      <c r="ELX997" s="2335"/>
      <c r="ELY997" s="2335"/>
      <c r="ELZ997" s="2335"/>
      <c r="EMA997" s="2335"/>
      <c r="EMB997" s="2335"/>
      <c r="EMC997" s="2335"/>
      <c r="EMD997" s="2335"/>
      <c r="EME997" s="2335"/>
      <c r="EMF997" s="2335"/>
      <c r="EMG997" s="2335"/>
      <c r="EMH997" s="2335"/>
      <c r="EMI997" s="2335"/>
      <c r="EMJ997" s="2335"/>
      <c r="EMK997" s="2335"/>
      <c r="EML997" s="2335"/>
      <c r="EMM997" s="2335"/>
      <c r="EMN997" s="2335"/>
      <c r="EMO997" s="2335"/>
      <c r="EMP997" s="2335"/>
      <c r="EMQ997" s="2335"/>
      <c r="EMR997" s="2335"/>
      <c r="EMS997" s="2335"/>
      <c r="EMT997" s="2335"/>
      <c r="EMU997" s="2335"/>
      <c r="EMV997" s="2335"/>
      <c r="EMW997" s="2335"/>
      <c r="EMX997" s="2335"/>
      <c r="EMY997" s="2335"/>
      <c r="EMZ997" s="2335"/>
      <c r="ENA997" s="2335"/>
      <c r="ENB997" s="2335"/>
      <c r="ENC997" s="2335"/>
      <c r="END997" s="2335"/>
      <c r="ENE997" s="2335"/>
      <c r="ENF997" s="2335"/>
      <c r="ENG997" s="2335"/>
      <c r="ENH997" s="2335"/>
      <c r="ENI997" s="2335"/>
      <c r="ENJ997" s="2335"/>
      <c r="ENK997" s="2335"/>
      <c r="ENL997" s="2335"/>
      <c r="ENM997" s="2335"/>
      <c r="ENN997" s="2335"/>
      <c r="ENO997" s="2335"/>
      <c r="ENP997" s="2335"/>
      <c r="ENQ997" s="2335"/>
      <c r="ENR997" s="2335"/>
      <c r="ENS997" s="2335"/>
      <c r="ENT997" s="2335"/>
      <c r="ENU997" s="2335"/>
      <c r="ENV997" s="2335"/>
      <c r="ENW997" s="2335"/>
      <c r="ENX997" s="2335"/>
      <c r="ENY997" s="2335"/>
      <c r="ENZ997" s="2335"/>
      <c r="EOA997" s="2335"/>
      <c r="EOB997" s="2335"/>
      <c r="EOC997" s="2335"/>
      <c r="EOD997" s="2335"/>
      <c r="EOE997" s="2335"/>
      <c r="EOF997" s="2335"/>
      <c r="EOG997" s="2335"/>
      <c r="EOH997" s="2335"/>
      <c r="EOI997" s="2335"/>
      <c r="EOJ997" s="2335"/>
      <c r="EOK997" s="2335"/>
      <c r="EOL997" s="2335"/>
      <c r="EOM997" s="2335"/>
      <c r="EON997" s="2335"/>
      <c r="EOO997" s="2335"/>
      <c r="EOP997" s="2335"/>
      <c r="EOQ997" s="2335"/>
      <c r="EOR997" s="2335"/>
      <c r="EOS997" s="2335"/>
      <c r="EOT997" s="2335"/>
      <c r="EOU997" s="2335"/>
      <c r="EOV997" s="2335"/>
      <c r="EOW997" s="2335"/>
      <c r="EOX997" s="2335"/>
      <c r="EOY997" s="2335"/>
      <c r="EOZ997" s="2335"/>
      <c r="EPA997" s="2335"/>
      <c r="EPB997" s="2335"/>
      <c r="EPC997" s="2335"/>
      <c r="EPD997" s="2335"/>
      <c r="EPE997" s="2335"/>
      <c r="EPF997" s="2335"/>
      <c r="EPG997" s="2335"/>
      <c r="EPH997" s="2335"/>
      <c r="EPI997" s="2335"/>
      <c r="EPJ997" s="2335"/>
      <c r="EPK997" s="2335"/>
      <c r="EPL997" s="2335"/>
      <c r="EPM997" s="2335"/>
      <c r="EPN997" s="2335"/>
      <c r="EPO997" s="2335"/>
      <c r="EPP997" s="2335"/>
      <c r="EPQ997" s="2335"/>
      <c r="EPR997" s="2335"/>
      <c r="EPS997" s="2335"/>
      <c r="EPT997" s="2335"/>
      <c r="EPU997" s="2335"/>
      <c r="EPV997" s="2335"/>
      <c r="EPW997" s="2335"/>
      <c r="EPX997" s="2335"/>
      <c r="EPY997" s="2335"/>
      <c r="EPZ997" s="2335"/>
      <c r="EQA997" s="2335"/>
      <c r="EQB997" s="2335"/>
      <c r="EQC997" s="2335"/>
      <c r="EQD997" s="2335"/>
      <c r="EQE997" s="2335"/>
      <c r="EQF997" s="2335"/>
      <c r="EQG997" s="2335"/>
      <c r="EQH997" s="2335"/>
      <c r="EQI997" s="2335"/>
      <c r="EQJ997" s="2335"/>
      <c r="EQK997" s="2335"/>
      <c r="EQL997" s="2335"/>
      <c r="EQM997" s="2335"/>
      <c r="EQN997" s="2335"/>
      <c r="EQO997" s="2335"/>
      <c r="EQP997" s="2335"/>
      <c r="EQQ997" s="2335"/>
      <c r="EQR997" s="2335"/>
      <c r="EQS997" s="2335"/>
      <c r="EQT997" s="2335"/>
      <c r="EQU997" s="2335"/>
      <c r="EQV997" s="2335"/>
      <c r="EQW997" s="2335"/>
      <c r="EQX997" s="2335"/>
      <c r="EQY997" s="2335"/>
      <c r="EQZ997" s="2335"/>
      <c r="ERA997" s="2335"/>
      <c r="ERB997" s="2335"/>
      <c r="ERC997" s="2335"/>
      <c r="ERD997" s="2335"/>
      <c r="ERE997" s="2335"/>
      <c r="ERF997" s="2335"/>
      <c r="ERG997" s="2335"/>
      <c r="ERH997" s="2335"/>
      <c r="ERI997" s="2335"/>
      <c r="ERJ997" s="2335"/>
      <c r="ERK997" s="2335"/>
      <c r="ERL997" s="2335"/>
      <c r="ERM997" s="2335"/>
      <c r="ERN997" s="2335"/>
      <c r="ERO997" s="2335"/>
      <c r="ERP997" s="2335"/>
      <c r="ERQ997" s="2335"/>
      <c r="ERR997" s="2335"/>
      <c r="ERS997" s="2335"/>
      <c r="ERT997" s="2335"/>
      <c r="ERU997" s="2335"/>
      <c r="ERV997" s="2335"/>
      <c r="ERW997" s="2335"/>
      <c r="ERX997" s="2335"/>
      <c r="ERY997" s="2335"/>
      <c r="ERZ997" s="2335"/>
      <c r="ESA997" s="2335"/>
      <c r="ESB997" s="2335"/>
      <c r="ESC997" s="2335"/>
      <c r="ESD997" s="2335"/>
      <c r="ESE997" s="2335"/>
      <c r="ESF997" s="2335"/>
      <c r="ESG997" s="2335"/>
      <c r="ESH997" s="2335"/>
      <c r="ESI997" s="2335"/>
      <c r="ESJ997" s="2335"/>
      <c r="ESK997" s="2335"/>
      <c r="ESL997" s="2335"/>
      <c r="ESM997" s="2335"/>
      <c r="ESN997" s="2335"/>
      <c r="ESO997" s="2335"/>
      <c r="ESP997" s="2335"/>
      <c r="ESQ997" s="2335"/>
      <c r="ESR997" s="2335"/>
      <c r="ESS997" s="2335"/>
      <c r="EST997" s="2335"/>
      <c r="ESU997" s="2335"/>
      <c r="ESV997" s="2335"/>
      <c r="ESW997" s="2335"/>
      <c r="ESX997" s="2335"/>
      <c r="ESY997" s="2335"/>
      <c r="ESZ997" s="2335"/>
      <c r="ETA997" s="2335"/>
      <c r="ETB997" s="2335"/>
      <c r="ETC997" s="2335"/>
      <c r="ETD997" s="2335"/>
      <c r="ETE997" s="2335"/>
      <c r="ETF997" s="2335"/>
      <c r="ETG997" s="2335"/>
      <c r="ETH997" s="2335"/>
      <c r="ETI997" s="2335"/>
      <c r="ETJ997" s="2335"/>
      <c r="ETK997" s="2335"/>
      <c r="ETL997" s="2335"/>
      <c r="ETM997" s="2335"/>
      <c r="ETN997" s="2335"/>
      <c r="ETO997" s="2335"/>
      <c r="ETP997" s="2335"/>
      <c r="ETQ997" s="2335"/>
      <c r="ETR997" s="2335"/>
      <c r="ETS997" s="2335"/>
      <c r="ETT997" s="2335"/>
      <c r="ETU997" s="2335"/>
      <c r="ETV997" s="2335"/>
      <c r="ETW997" s="2335"/>
      <c r="ETX997" s="2335"/>
      <c r="ETY997" s="2335"/>
      <c r="ETZ997" s="2335"/>
      <c r="EUA997" s="2335"/>
      <c r="EUB997" s="2335"/>
      <c r="EUC997" s="2335"/>
      <c r="EUD997" s="2335"/>
      <c r="EUE997" s="2335"/>
      <c r="EUF997" s="2335"/>
      <c r="EUG997" s="2335"/>
      <c r="EUH997" s="2335"/>
      <c r="EUI997" s="2335"/>
      <c r="EUJ997" s="2335"/>
      <c r="EUK997" s="2335"/>
      <c r="EUL997" s="2335"/>
      <c r="EUM997" s="2335"/>
      <c r="EUN997" s="2335"/>
      <c r="EUO997" s="2335"/>
      <c r="EUP997" s="2335"/>
      <c r="EUQ997" s="2335"/>
      <c r="EUR997" s="2335"/>
      <c r="EUS997" s="2335"/>
      <c r="EUT997" s="2335"/>
      <c r="EUU997" s="2335"/>
      <c r="EUV997" s="2335"/>
      <c r="EUW997" s="2335"/>
      <c r="EUX997" s="2335"/>
      <c r="EUY997" s="2335"/>
      <c r="EUZ997" s="2335"/>
      <c r="EVA997" s="2335"/>
      <c r="EVB997" s="2335"/>
      <c r="EVC997" s="2335"/>
      <c r="EVD997" s="2335"/>
      <c r="EVE997" s="2335"/>
      <c r="EVF997" s="2335"/>
      <c r="EVG997" s="2335"/>
      <c r="EVH997" s="2335"/>
      <c r="EVI997" s="2335"/>
      <c r="EVJ997" s="2335"/>
      <c r="EVK997" s="2335"/>
      <c r="EVL997" s="2335"/>
      <c r="EVM997" s="2335"/>
      <c r="EVN997" s="2335"/>
      <c r="EVO997" s="2335"/>
      <c r="EVP997" s="2335"/>
      <c r="EVQ997" s="2335"/>
      <c r="EVR997" s="2335"/>
      <c r="EVS997" s="2335"/>
      <c r="EVT997" s="2335"/>
      <c r="EVU997" s="2335"/>
      <c r="EVV997" s="2335"/>
      <c r="EVW997" s="2335"/>
      <c r="EVX997" s="2335"/>
      <c r="EVY997" s="2335"/>
      <c r="EVZ997" s="2335"/>
      <c r="EWA997" s="2335"/>
      <c r="EWB997" s="2335"/>
      <c r="EWC997" s="2335"/>
      <c r="EWD997" s="2335"/>
      <c r="EWE997" s="2335"/>
      <c r="EWF997" s="2335"/>
      <c r="EWG997" s="2335"/>
      <c r="EWH997" s="2335"/>
      <c r="EWI997" s="2335"/>
      <c r="EWJ997" s="2335"/>
      <c r="EWK997" s="2335"/>
      <c r="EWL997" s="2335"/>
      <c r="EWM997" s="2335"/>
      <c r="EWN997" s="2335"/>
      <c r="EWO997" s="2335"/>
      <c r="EWP997" s="2335"/>
      <c r="EWQ997" s="2335"/>
      <c r="EWR997" s="2335"/>
      <c r="EWS997" s="2335"/>
      <c r="EWT997" s="2335"/>
      <c r="EWU997" s="2335"/>
      <c r="EWV997" s="2335"/>
      <c r="EWW997" s="2335"/>
      <c r="EWX997" s="2335"/>
      <c r="EWY997" s="2335"/>
      <c r="EWZ997" s="2335"/>
      <c r="EXA997" s="2335"/>
      <c r="EXB997" s="2335"/>
      <c r="EXC997" s="2335"/>
      <c r="EXD997" s="2335"/>
      <c r="EXE997" s="2335"/>
      <c r="EXF997" s="2335"/>
      <c r="EXG997" s="2335"/>
      <c r="EXH997" s="2335"/>
      <c r="EXI997" s="2335"/>
      <c r="EXJ997" s="2335"/>
      <c r="EXK997" s="2335"/>
      <c r="EXL997" s="2335"/>
      <c r="EXM997" s="2335"/>
      <c r="EXN997" s="2335"/>
      <c r="EXO997" s="2335"/>
      <c r="EXP997" s="2335"/>
      <c r="EXQ997" s="2335"/>
      <c r="EXR997" s="2335"/>
      <c r="EXS997" s="2335"/>
      <c r="EXT997" s="2335"/>
      <c r="EXU997" s="2335"/>
      <c r="EXV997" s="2335"/>
      <c r="EXW997" s="2335"/>
      <c r="EXX997" s="2335"/>
      <c r="EXY997" s="2335"/>
      <c r="EXZ997" s="2335"/>
      <c r="EYA997" s="2335"/>
      <c r="EYB997" s="2335"/>
      <c r="EYC997" s="2335"/>
      <c r="EYD997" s="2335"/>
      <c r="EYE997" s="2335"/>
      <c r="EYF997" s="2335"/>
      <c r="EYG997" s="2335"/>
      <c r="EYH997" s="2335"/>
      <c r="EYI997" s="2335"/>
      <c r="EYJ997" s="2335"/>
      <c r="EYK997" s="2335"/>
      <c r="EYL997" s="2335"/>
      <c r="EYM997" s="2335"/>
      <c r="EYN997" s="2335"/>
      <c r="EYO997" s="2335"/>
      <c r="EYP997" s="2335"/>
      <c r="EYQ997" s="2335"/>
      <c r="EYR997" s="2335"/>
      <c r="EYS997" s="2335"/>
      <c r="EYT997" s="2335"/>
      <c r="EYU997" s="2335"/>
      <c r="EYV997" s="2335"/>
      <c r="EYW997" s="2335"/>
      <c r="EYX997" s="2335"/>
      <c r="EYY997" s="2335"/>
      <c r="EYZ997" s="2335"/>
      <c r="EZA997" s="2335"/>
      <c r="EZB997" s="2335"/>
      <c r="EZC997" s="2335"/>
      <c r="EZD997" s="2335"/>
      <c r="EZE997" s="2335"/>
      <c r="EZF997" s="2335"/>
      <c r="EZG997" s="2335"/>
      <c r="EZH997" s="2335"/>
      <c r="EZI997" s="2335"/>
      <c r="EZJ997" s="2335"/>
      <c r="EZK997" s="2335"/>
      <c r="EZL997" s="2335"/>
      <c r="EZM997" s="2335"/>
      <c r="EZN997" s="2335"/>
      <c r="EZO997" s="2335"/>
      <c r="EZP997" s="2335"/>
      <c r="EZQ997" s="2335"/>
      <c r="EZR997" s="2335"/>
      <c r="EZS997" s="2335"/>
      <c r="EZT997" s="2335"/>
      <c r="EZU997" s="2335"/>
      <c r="EZV997" s="2335"/>
      <c r="EZW997" s="2335"/>
      <c r="EZX997" s="2335"/>
      <c r="EZY997" s="2335"/>
      <c r="EZZ997" s="2335"/>
      <c r="FAA997" s="2335"/>
      <c r="FAB997" s="2335"/>
      <c r="FAC997" s="2335"/>
      <c r="FAD997" s="2335"/>
      <c r="FAE997" s="2335"/>
      <c r="FAF997" s="2335"/>
      <c r="FAG997" s="2335"/>
      <c r="FAH997" s="2335"/>
      <c r="FAI997" s="2335"/>
      <c r="FAJ997" s="2335"/>
      <c r="FAK997" s="2335"/>
      <c r="FAL997" s="2335"/>
      <c r="FAM997" s="2335"/>
      <c r="FAN997" s="2335"/>
      <c r="FAO997" s="2335"/>
      <c r="FAP997" s="2335"/>
      <c r="FAQ997" s="2335"/>
      <c r="FAR997" s="2335"/>
      <c r="FAS997" s="2335"/>
      <c r="FAT997" s="2335"/>
      <c r="FAU997" s="2335"/>
      <c r="FAV997" s="2335"/>
      <c r="FAW997" s="2335"/>
      <c r="FAX997" s="2335"/>
      <c r="FAY997" s="2335"/>
      <c r="FAZ997" s="2335"/>
      <c r="FBA997" s="2335"/>
      <c r="FBB997" s="2335"/>
      <c r="FBC997" s="2335"/>
      <c r="FBD997" s="2335"/>
      <c r="FBE997" s="2335"/>
      <c r="FBF997" s="2335"/>
      <c r="FBG997" s="2335"/>
      <c r="FBH997" s="2335"/>
      <c r="FBI997" s="2335"/>
      <c r="FBJ997" s="2335"/>
      <c r="FBK997" s="2335"/>
      <c r="FBL997" s="2335"/>
      <c r="FBM997" s="2335"/>
      <c r="FBN997" s="2335"/>
      <c r="FBO997" s="2335"/>
      <c r="FBP997" s="2335"/>
      <c r="FBQ997" s="2335"/>
      <c r="FBR997" s="2335"/>
      <c r="FBS997" s="2335"/>
      <c r="FBT997" s="2335"/>
      <c r="FBU997" s="2335"/>
      <c r="FBV997" s="2335"/>
      <c r="FBW997" s="2335"/>
      <c r="FBX997" s="2335"/>
      <c r="FBY997" s="2335"/>
      <c r="FBZ997" s="2335"/>
      <c r="FCA997" s="2335"/>
      <c r="FCB997" s="2335"/>
      <c r="FCC997" s="2335"/>
      <c r="FCD997" s="2335"/>
      <c r="FCE997" s="2335"/>
      <c r="FCF997" s="2335"/>
      <c r="FCG997" s="2335"/>
      <c r="FCH997" s="2335"/>
      <c r="FCI997" s="2335"/>
      <c r="FCJ997" s="2335"/>
      <c r="FCK997" s="2335"/>
      <c r="FCL997" s="2335"/>
      <c r="FCM997" s="2335"/>
      <c r="FCN997" s="2335"/>
      <c r="FCO997" s="2335"/>
      <c r="FCP997" s="2335"/>
      <c r="FCQ997" s="2335"/>
      <c r="FCR997" s="2335"/>
      <c r="FCS997" s="2335"/>
      <c r="FCT997" s="2335"/>
      <c r="FCU997" s="2335"/>
      <c r="FCV997" s="2335"/>
      <c r="FCW997" s="2335"/>
      <c r="FCX997" s="2335"/>
      <c r="FCY997" s="2335"/>
      <c r="FCZ997" s="2335"/>
      <c r="FDA997" s="2335"/>
      <c r="FDB997" s="2335"/>
      <c r="FDC997" s="2335"/>
      <c r="FDD997" s="2335"/>
      <c r="FDE997" s="2335"/>
      <c r="FDF997" s="2335"/>
      <c r="FDG997" s="2335"/>
      <c r="FDH997" s="2335"/>
      <c r="FDI997" s="2335"/>
      <c r="FDJ997" s="2335"/>
      <c r="FDK997" s="2335"/>
      <c r="FDL997" s="2335"/>
      <c r="FDM997" s="2335"/>
      <c r="FDN997" s="2335"/>
      <c r="FDO997" s="2335"/>
      <c r="FDP997" s="2335"/>
      <c r="FDQ997" s="2335"/>
      <c r="FDR997" s="2335"/>
      <c r="FDS997" s="2335"/>
      <c r="FDT997" s="2335"/>
      <c r="FDU997" s="2335"/>
      <c r="FDV997" s="2335"/>
      <c r="FDW997" s="2335"/>
      <c r="FDX997" s="2335"/>
      <c r="FDY997" s="2335"/>
      <c r="FDZ997" s="2335"/>
      <c r="FEA997" s="2335"/>
      <c r="FEB997" s="2335"/>
      <c r="FEC997" s="2335"/>
      <c r="FED997" s="2335"/>
      <c r="FEE997" s="2335"/>
      <c r="FEF997" s="2335"/>
      <c r="FEG997" s="2335"/>
      <c r="FEH997" s="2335"/>
      <c r="FEI997" s="2335"/>
      <c r="FEJ997" s="2335"/>
      <c r="FEK997" s="2335"/>
      <c r="FEL997" s="2335"/>
      <c r="FEM997" s="2335"/>
      <c r="FEN997" s="2335"/>
      <c r="FEO997" s="2335"/>
      <c r="FEP997" s="2335"/>
      <c r="FEQ997" s="2335"/>
      <c r="FER997" s="2335"/>
      <c r="FES997" s="2335"/>
      <c r="FET997" s="2335"/>
      <c r="FEU997" s="2335"/>
      <c r="FEV997" s="2335"/>
      <c r="FEW997" s="2335"/>
      <c r="FEX997" s="2335"/>
      <c r="FEY997" s="2335"/>
      <c r="FEZ997" s="2335"/>
      <c r="FFA997" s="2335"/>
      <c r="FFB997" s="2335"/>
      <c r="FFC997" s="2335"/>
      <c r="FFD997" s="2335"/>
      <c r="FFE997" s="2335"/>
      <c r="FFF997" s="2335"/>
      <c r="FFG997" s="2335"/>
      <c r="FFH997" s="2335"/>
      <c r="FFI997" s="2335"/>
      <c r="FFJ997" s="2335"/>
      <c r="FFK997" s="2335"/>
      <c r="FFL997" s="2335"/>
      <c r="FFM997" s="2335"/>
      <c r="FFN997" s="2335"/>
      <c r="FFO997" s="2335"/>
      <c r="FFP997" s="2335"/>
      <c r="FFQ997" s="2335"/>
      <c r="FFR997" s="2335"/>
      <c r="FFS997" s="2335"/>
      <c r="FFT997" s="2335"/>
      <c r="FFU997" s="2335"/>
      <c r="FFV997" s="2335"/>
      <c r="FFW997" s="2335"/>
      <c r="FFX997" s="2335"/>
      <c r="FFY997" s="2335"/>
      <c r="FFZ997" s="2335"/>
      <c r="FGA997" s="2335"/>
      <c r="FGB997" s="2335"/>
      <c r="FGC997" s="2335"/>
      <c r="FGD997" s="2335"/>
      <c r="FGE997" s="2335"/>
      <c r="FGF997" s="2335"/>
      <c r="FGG997" s="2335"/>
      <c r="FGH997" s="2335"/>
      <c r="FGI997" s="2335"/>
      <c r="FGJ997" s="2335"/>
      <c r="FGK997" s="2335"/>
      <c r="FGL997" s="2335"/>
      <c r="FGM997" s="2335"/>
      <c r="FGN997" s="2335"/>
      <c r="FGO997" s="2335"/>
      <c r="FGP997" s="2335"/>
      <c r="FGQ997" s="2335"/>
      <c r="FGR997" s="2335"/>
      <c r="FGS997" s="2335"/>
      <c r="FGT997" s="2335"/>
      <c r="FGU997" s="2335"/>
      <c r="FGV997" s="2335"/>
      <c r="FGW997" s="2335"/>
      <c r="FGX997" s="2335"/>
      <c r="FGY997" s="2335"/>
      <c r="FGZ997" s="2335"/>
      <c r="FHA997" s="2335"/>
      <c r="FHB997" s="2335"/>
      <c r="FHC997" s="2335"/>
      <c r="FHD997" s="2335"/>
      <c r="FHE997" s="2335"/>
      <c r="FHF997" s="2335"/>
      <c r="FHG997" s="2335"/>
      <c r="FHH997" s="2335"/>
      <c r="FHI997" s="2335"/>
      <c r="FHJ997" s="2335"/>
      <c r="FHK997" s="2335"/>
      <c r="FHL997" s="2335"/>
      <c r="FHM997" s="2335"/>
      <c r="FHN997" s="2335"/>
      <c r="FHO997" s="2335"/>
      <c r="FHP997" s="2335"/>
      <c r="FHQ997" s="2335"/>
      <c r="FHR997" s="2335"/>
      <c r="FHS997" s="2335"/>
      <c r="FHT997" s="2335"/>
      <c r="FHU997" s="2335"/>
      <c r="FHV997" s="2335"/>
      <c r="FHW997" s="2335"/>
      <c r="FHX997" s="2335"/>
      <c r="FHY997" s="2335"/>
      <c r="FHZ997" s="2335"/>
      <c r="FIA997" s="2335"/>
      <c r="FIB997" s="2335"/>
      <c r="FIC997" s="2335"/>
      <c r="FID997" s="2335"/>
      <c r="FIE997" s="2335"/>
      <c r="FIF997" s="2335"/>
      <c r="FIG997" s="2335"/>
      <c r="FIH997" s="2335"/>
      <c r="FII997" s="2335"/>
      <c r="FIJ997" s="2335"/>
      <c r="FIK997" s="2335"/>
      <c r="FIL997" s="2335"/>
      <c r="FIM997" s="2335"/>
      <c r="FIN997" s="2335"/>
      <c r="FIO997" s="2335"/>
      <c r="FIP997" s="2335"/>
      <c r="FIQ997" s="2335"/>
      <c r="FIR997" s="2335"/>
      <c r="FIS997" s="2335"/>
      <c r="FIT997" s="2335"/>
      <c r="FIU997" s="2335"/>
      <c r="FIV997" s="2335"/>
      <c r="FIW997" s="2335"/>
      <c r="FIX997" s="2335"/>
      <c r="FIY997" s="2335"/>
      <c r="FIZ997" s="2335"/>
      <c r="FJA997" s="2335"/>
      <c r="FJB997" s="2335"/>
      <c r="FJC997" s="2335"/>
      <c r="FJD997" s="2335"/>
      <c r="FJE997" s="2335"/>
      <c r="FJF997" s="2335"/>
      <c r="FJG997" s="2335"/>
      <c r="FJH997" s="2335"/>
      <c r="FJI997" s="2335"/>
      <c r="FJJ997" s="2335"/>
      <c r="FJK997" s="2335"/>
      <c r="FJL997" s="2335"/>
      <c r="FJM997" s="2335"/>
      <c r="FJN997" s="2335"/>
      <c r="FJO997" s="2335"/>
      <c r="FJP997" s="2335"/>
      <c r="FJQ997" s="2335"/>
      <c r="FJR997" s="2335"/>
      <c r="FJS997" s="2335"/>
      <c r="FJT997" s="2335"/>
      <c r="FJU997" s="2335"/>
      <c r="FJV997" s="2335"/>
      <c r="FJW997" s="2335"/>
      <c r="FJX997" s="2335"/>
      <c r="FJY997" s="2335"/>
      <c r="FJZ997" s="2335"/>
      <c r="FKA997" s="2335"/>
      <c r="FKB997" s="2335"/>
      <c r="FKC997" s="2335"/>
      <c r="FKD997" s="2335"/>
      <c r="FKE997" s="2335"/>
      <c r="FKF997" s="2335"/>
      <c r="FKG997" s="2335"/>
      <c r="FKH997" s="2335"/>
      <c r="FKI997" s="2335"/>
      <c r="FKJ997" s="2335"/>
      <c r="FKK997" s="2335"/>
      <c r="FKL997" s="2335"/>
      <c r="FKM997" s="2335"/>
      <c r="FKN997" s="2335"/>
      <c r="FKO997" s="2335"/>
      <c r="FKP997" s="2335"/>
      <c r="FKQ997" s="2335"/>
      <c r="FKR997" s="2335"/>
      <c r="FKS997" s="2335"/>
      <c r="FKT997" s="2335"/>
      <c r="FKU997" s="2335"/>
      <c r="FKV997" s="2335"/>
      <c r="FKW997" s="2335"/>
      <c r="FKX997" s="2335"/>
      <c r="FKY997" s="2335"/>
      <c r="FKZ997" s="2335"/>
      <c r="FLA997" s="2335"/>
      <c r="FLB997" s="2335"/>
      <c r="FLC997" s="2335"/>
      <c r="FLD997" s="2335"/>
      <c r="FLE997" s="2335"/>
      <c r="FLF997" s="2335"/>
      <c r="FLG997" s="2335"/>
      <c r="FLH997" s="2335"/>
      <c r="FLI997" s="2335"/>
      <c r="FLJ997" s="2335"/>
      <c r="FLK997" s="2335"/>
      <c r="FLL997" s="2335"/>
      <c r="FLM997" s="2335"/>
      <c r="FLN997" s="2335"/>
      <c r="FLO997" s="2335"/>
      <c r="FLP997" s="2335"/>
      <c r="FLQ997" s="2335"/>
      <c r="FLR997" s="2335"/>
      <c r="FLS997" s="2335"/>
      <c r="FLT997" s="2335"/>
      <c r="FLU997" s="2335"/>
      <c r="FLV997" s="2335"/>
      <c r="FLW997" s="2335"/>
      <c r="FLX997" s="2335"/>
      <c r="FLY997" s="2335"/>
      <c r="FLZ997" s="2335"/>
      <c r="FMA997" s="2335"/>
      <c r="FMB997" s="2335"/>
      <c r="FMC997" s="2335"/>
      <c r="FMD997" s="2335"/>
      <c r="FME997" s="2335"/>
      <c r="FMF997" s="2335"/>
      <c r="FMG997" s="2335"/>
      <c r="FMH997" s="2335"/>
      <c r="FMI997" s="2335"/>
      <c r="FMJ997" s="2335"/>
      <c r="FMK997" s="2335"/>
      <c r="FML997" s="2335"/>
      <c r="FMM997" s="2335"/>
      <c r="FMN997" s="2335"/>
      <c r="FMO997" s="2335"/>
      <c r="FMP997" s="2335"/>
      <c r="FMQ997" s="2335"/>
      <c r="FMR997" s="2335"/>
      <c r="FMS997" s="2335"/>
      <c r="FMT997" s="2335"/>
      <c r="FMU997" s="2335"/>
      <c r="FMV997" s="2335"/>
      <c r="FMW997" s="2335"/>
      <c r="FMX997" s="2335"/>
      <c r="FMY997" s="2335"/>
      <c r="FMZ997" s="2335"/>
      <c r="FNA997" s="2335"/>
      <c r="FNB997" s="2335"/>
      <c r="FNC997" s="2335"/>
      <c r="FND997" s="2335"/>
      <c r="FNE997" s="2335"/>
      <c r="FNF997" s="2335"/>
      <c r="FNG997" s="2335"/>
      <c r="FNH997" s="2335"/>
      <c r="FNI997" s="2335"/>
      <c r="FNJ997" s="2335"/>
      <c r="FNK997" s="2335"/>
      <c r="FNL997" s="2335"/>
      <c r="FNM997" s="2335"/>
      <c r="FNN997" s="2335"/>
      <c r="FNO997" s="2335"/>
      <c r="FNP997" s="2335"/>
      <c r="FNQ997" s="2335"/>
      <c r="FNR997" s="2335"/>
      <c r="FNS997" s="2335"/>
      <c r="FNT997" s="2335"/>
      <c r="FNU997" s="2335"/>
      <c r="FNV997" s="2335"/>
      <c r="FNW997" s="2335"/>
      <c r="FNX997" s="2335"/>
      <c r="FNY997" s="2335"/>
      <c r="FNZ997" s="2335"/>
      <c r="FOA997" s="2335"/>
      <c r="FOB997" s="2335"/>
      <c r="FOC997" s="2335"/>
      <c r="FOD997" s="2335"/>
      <c r="FOE997" s="2335"/>
      <c r="FOF997" s="2335"/>
      <c r="FOG997" s="2335"/>
      <c r="FOH997" s="2335"/>
      <c r="FOI997" s="2335"/>
      <c r="FOJ997" s="2335"/>
      <c r="FOK997" s="2335"/>
      <c r="FOL997" s="2335"/>
      <c r="FOM997" s="2335"/>
      <c r="FON997" s="2335"/>
      <c r="FOO997" s="2335"/>
      <c r="FOP997" s="2335"/>
      <c r="FOQ997" s="2335"/>
      <c r="FOR997" s="2335"/>
      <c r="FOS997" s="2335"/>
      <c r="FOT997" s="2335"/>
      <c r="FOU997" s="2335"/>
      <c r="FOV997" s="2335"/>
      <c r="FOW997" s="2335"/>
      <c r="FOX997" s="2335"/>
      <c r="FOY997" s="2335"/>
      <c r="FOZ997" s="2335"/>
      <c r="FPA997" s="2335"/>
      <c r="FPB997" s="2335"/>
      <c r="FPC997" s="2335"/>
      <c r="FPD997" s="2335"/>
      <c r="FPE997" s="2335"/>
      <c r="FPF997" s="2335"/>
      <c r="FPG997" s="2335"/>
      <c r="FPH997" s="2335"/>
      <c r="FPI997" s="2335"/>
      <c r="FPJ997" s="2335"/>
      <c r="FPK997" s="2335"/>
      <c r="FPL997" s="2335"/>
      <c r="FPM997" s="2335"/>
      <c r="FPN997" s="2335"/>
      <c r="FPO997" s="2335"/>
      <c r="FPP997" s="2335"/>
      <c r="FPQ997" s="2335"/>
      <c r="FPR997" s="2335"/>
      <c r="FPS997" s="2335"/>
      <c r="FPT997" s="2335"/>
      <c r="FPU997" s="2335"/>
      <c r="FPV997" s="2335"/>
      <c r="FPW997" s="2335"/>
      <c r="FPX997" s="2335"/>
      <c r="FPY997" s="2335"/>
      <c r="FPZ997" s="2335"/>
      <c r="FQA997" s="2335"/>
      <c r="FQB997" s="2335"/>
      <c r="FQC997" s="2335"/>
      <c r="FQD997" s="2335"/>
      <c r="FQE997" s="2335"/>
      <c r="FQF997" s="2335"/>
      <c r="FQG997" s="2335"/>
      <c r="FQH997" s="2335"/>
      <c r="FQI997" s="2335"/>
      <c r="FQJ997" s="2335"/>
      <c r="FQK997" s="2335"/>
      <c r="FQL997" s="2335"/>
      <c r="FQM997" s="2335"/>
      <c r="FQN997" s="2335"/>
      <c r="FQO997" s="2335"/>
      <c r="FQP997" s="2335"/>
      <c r="FQQ997" s="2335"/>
      <c r="FQR997" s="2335"/>
      <c r="FQS997" s="2335"/>
      <c r="FQT997" s="2335"/>
      <c r="FQU997" s="2335"/>
      <c r="FQV997" s="2335"/>
      <c r="FQW997" s="2335"/>
      <c r="FQX997" s="2335"/>
      <c r="FQY997" s="2335"/>
      <c r="FQZ997" s="2335"/>
      <c r="FRA997" s="2335"/>
      <c r="FRB997" s="2335"/>
      <c r="FRC997" s="2335"/>
      <c r="FRD997" s="2335"/>
      <c r="FRE997" s="2335"/>
      <c r="FRF997" s="2335"/>
      <c r="FRG997" s="2335"/>
      <c r="FRH997" s="2335"/>
      <c r="FRI997" s="2335"/>
      <c r="FRJ997" s="2335"/>
      <c r="FRK997" s="2335"/>
      <c r="FRL997" s="2335"/>
      <c r="FRM997" s="2335"/>
      <c r="FRN997" s="2335"/>
      <c r="FRO997" s="2335"/>
      <c r="FRP997" s="2335"/>
      <c r="FRQ997" s="2335"/>
      <c r="FRR997" s="2335"/>
      <c r="FRS997" s="2335"/>
      <c r="FRT997" s="2335"/>
      <c r="FRU997" s="2335"/>
      <c r="FRV997" s="2335"/>
      <c r="FRW997" s="2335"/>
      <c r="FRX997" s="2335"/>
      <c r="FRY997" s="2335"/>
      <c r="FRZ997" s="2335"/>
      <c r="FSA997" s="2335"/>
      <c r="FSB997" s="2335"/>
      <c r="FSC997" s="2335"/>
      <c r="FSD997" s="2335"/>
      <c r="FSE997" s="2335"/>
      <c r="FSF997" s="2335"/>
      <c r="FSG997" s="2335"/>
      <c r="FSH997" s="2335"/>
      <c r="FSI997" s="2335"/>
      <c r="FSJ997" s="2335"/>
      <c r="FSK997" s="2335"/>
      <c r="FSL997" s="2335"/>
      <c r="FSM997" s="2335"/>
      <c r="FSN997" s="2335"/>
      <c r="FSO997" s="2335"/>
      <c r="FSP997" s="2335"/>
      <c r="FSQ997" s="2335"/>
      <c r="FSR997" s="2335"/>
      <c r="FSS997" s="2335"/>
      <c r="FST997" s="2335"/>
      <c r="FSU997" s="2335"/>
      <c r="FSV997" s="2335"/>
      <c r="FSW997" s="2335"/>
      <c r="FSX997" s="2335"/>
      <c r="FSY997" s="2335"/>
      <c r="FSZ997" s="2335"/>
      <c r="FTA997" s="2335"/>
      <c r="FTB997" s="2335"/>
      <c r="FTC997" s="2335"/>
      <c r="FTD997" s="2335"/>
      <c r="FTE997" s="2335"/>
      <c r="FTF997" s="2335"/>
      <c r="FTG997" s="2335"/>
      <c r="FTH997" s="2335"/>
      <c r="FTI997" s="2335"/>
      <c r="FTJ997" s="2335"/>
      <c r="FTK997" s="2335"/>
      <c r="FTL997" s="2335"/>
      <c r="FTM997" s="2335"/>
      <c r="FTN997" s="2335"/>
      <c r="FTO997" s="2335"/>
      <c r="FTP997" s="2335"/>
      <c r="FTQ997" s="2335"/>
      <c r="FTR997" s="2335"/>
      <c r="FTS997" s="2335"/>
      <c r="FTT997" s="2335"/>
      <c r="FTU997" s="2335"/>
      <c r="FTV997" s="2335"/>
      <c r="FTW997" s="2335"/>
      <c r="FTX997" s="2335"/>
      <c r="FTY997" s="2335"/>
      <c r="FTZ997" s="2335"/>
      <c r="FUA997" s="2335"/>
      <c r="FUB997" s="2335"/>
      <c r="FUC997" s="2335"/>
      <c r="FUD997" s="2335"/>
      <c r="FUE997" s="2335"/>
      <c r="FUF997" s="2335"/>
      <c r="FUG997" s="2335"/>
      <c r="FUH997" s="2335"/>
      <c r="FUI997" s="2335"/>
      <c r="FUJ997" s="2335"/>
      <c r="FUK997" s="2335"/>
      <c r="FUL997" s="2335"/>
      <c r="FUM997" s="2335"/>
      <c r="FUN997" s="2335"/>
      <c r="FUO997" s="2335"/>
      <c r="FUP997" s="2335"/>
      <c r="FUQ997" s="2335"/>
      <c r="FUR997" s="2335"/>
      <c r="FUS997" s="2335"/>
      <c r="FUT997" s="2335"/>
      <c r="FUU997" s="2335"/>
      <c r="FUV997" s="2335"/>
      <c r="FUW997" s="2335"/>
      <c r="FUX997" s="2335"/>
      <c r="FUY997" s="2335"/>
      <c r="FUZ997" s="2335"/>
      <c r="FVA997" s="2335"/>
      <c r="FVB997" s="2335"/>
      <c r="FVC997" s="2335"/>
      <c r="FVD997" s="2335"/>
      <c r="FVE997" s="2335"/>
      <c r="FVF997" s="2335"/>
      <c r="FVG997" s="2335"/>
      <c r="FVH997" s="2335"/>
      <c r="FVI997" s="2335"/>
      <c r="FVJ997" s="2335"/>
      <c r="FVK997" s="2335"/>
      <c r="FVL997" s="2335"/>
      <c r="FVM997" s="2335"/>
      <c r="FVN997" s="2335"/>
      <c r="FVO997" s="2335"/>
      <c r="FVP997" s="2335"/>
      <c r="FVQ997" s="2335"/>
      <c r="FVR997" s="2335"/>
      <c r="FVS997" s="2335"/>
      <c r="FVT997" s="2335"/>
      <c r="FVU997" s="2335"/>
      <c r="FVV997" s="2335"/>
      <c r="FVW997" s="2335"/>
      <c r="FVX997" s="2335"/>
      <c r="FVY997" s="2335"/>
      <c r="FVZ997" s="2335"/>
      <c r="FWA997" s="2335"/>
      <c r="FWB997" s="2335"/>
      <c r="FWC997" s="2335"/>
      <c r="FWD997" s="2335"/>
      <c r="FWE997" s="2335"/>
      <c r="FWF997" s="2335"/>
      <c r="FWG997" s="2335"/>
      <c r="FWH997" s="2335"/>
      <c r="FWI997" s="2335"/>
      <c r="FWJ997" s="2335"/>
      <c r="FWK997" s="2335"/>
      <c r="FWL997" s="2335"/>
      <c r="FWM997" s="2335"/>
      <c r="FWN997" s="2335"/>
      <c r="FWO997" s="2335"/>
      <c r="FWP997" s="2335"/>
      <c r="FWQ997" s="2335"/>
      <c r="FWR997" s="2335"/>
      <c r="FWS997" s="2335"/>
      <c r="FWT997" s="2335"/>
      <c r="FWU997" s="2335"/>
      <c r="FWV997" s="2335"/>
      <c r="FWW997" s="2335"/>
      <c r="FWX997" s="2335"/>
      <c r="FWY997" s="2335"/>
      <c r="FWZ997" s="2335"/>
      <c r="FXA997" s="2335"/>
      <c r="FXB997" s="2335"/>
      <c r="FXC997" s="2335"/>
      <c r="FXD997" s="2335"/>
      <c r="FXE997" s="2335"/>
      <c r="FXF997" s="2335"/>
      <c r="FXG997" s="2335"/>
      <c r="FXH997" s="2335"/>
      <c r="FXI997" s="2335"/>
      <c r="FXJ997" s="2335"/>
      <c r="FXK997" s="2335"/>
      <c r="FXL997" s="2335"/>
      <c r="FXM997" s="2335"/>
      <c r="FXN997" s="2335"/>
      <c r="FXO997" s="2335"/>
      <c r="FXP997" s="2335"/>
      <c r="FXQ997" s="2335"/>
      <c r="FXR997" s="2335"/>
      <c r="FXS997" s="2335"/>
      <c r="FXT997" s="2335"/>
      <c r="FXU997" s="2335"/>
      <c r="FXV997" s="2335"/>
      <c r="FXW997" s="2335"/>
      <c r="FXX997" s="2335"/>
      <c r="FXY997" s="2335"/>
      <c r="FXZ997" s="2335"/>
      <c r="FYA997" s="2335"/>
      <c r="FYB997" s="2335"/>
      <c r="FYC997" s="2335"/>
      <c r="FYD997" s="2335"/>
      <c r="FYE997" s="2335"/>
      <c r="FYF997" s="2335"/>
      <c r="FYG997" s="2335"/>
      <c r="FYH997" s="2335"/>
      <c r="FYI997" s="2335"/>
      <c r="FYJ997" s="2335"/>
      <c r="FYK997" s="2335"/>
      <c r="FYL997" s="2335"/>
      <c r="FYM997" s="2335"/>
      <c r="FYN997" s="2335"/>
      <c r="FYO997" s="2335"/>
      <c r="FYP997" s="2335"/>
      <c r="FYQ997" s="2335"/>
      <c r="FYR997" s="2335"/>
      <c r="FYS997" s="2335"/>
      <c r="FYT997" s="2335"/>
      <c r="FYU997" s="2335"/>
      <c r="FYV997" s="2335"/>
      <c r="FYW997" s="2335"/>
      <c r="FYX997" s="2335"/>
      <c r="FYY997" s="2335"/>
      <c r="FYZ997" s="2335"/>
      <c r="FZA997" s="2335"/>
      <c r="FZB997" s="2335"/>
      <c r="FZC997" s="2335"/>
      <c r="FZD997" s="2335"/>
      <c r="FZE997" s="2335"/>
      <c r="FZF997" s="2335"/>
      <c r="FZG997" s="2335"/>
      <c r="FZH997" s="2335"/>
      <c r="FZI997" s="2335"/>
      <c r="FZJ997" s="2335"/>
      <c r="FZK997" s="2335"/>
      <c r="FZL997" s="2335"/>
      <c r="FZM997" s="2335"/>
      <c r="FZN997" s="2335"/>
      <c r="FZO997" s="2335"/>
      <c r="FZP997" s="2335"/>
      <c r="FZQ997" s="2335"/>
      <c r="FZR997" s="2335"/>
      <c r="FZS997" s="2335"/>
      <c r="FZT997" s="2335"/>
      <c r="FZU997" s="2335"/>
      <c r="FZV997" s="2335"/>
      <c r="FZW997" s="2335"/>
      <c r="FZX997" s="2335"/>
      <c r="FZY997" s="2335"/>
      <c r="FZZ997" s="2335"/>
      <c r="GAA997" s="2335"/>
      <c r="GAB997" s="2335"/>
      <c r="GAC997" s="2335"/>
      <c r="GAD997" s="2335"/>
      <c r="GAE997" s="2335"/>
      <c r="GAF997" s="2335"/>
      <c r="GAG997" s="2335"/>
      <c r="GAH997" s="2335"/>
      <c r="GAI997" s="2335"/>
      <c r="GAJ997" s="2335"/>
      <c r="GAK997" s="2335"/>
      <c r="GAL997" s="2335"/>
      <c r="GAM997" s="2335"/>
      <c r="GAN997" s="2335"/>
      <c r="GAO997" s="2335"/>
      <c r="GAP997" s="2335"/>
      <c r="GAQ997" s="2335"/>
      <c r="GAR997" s="2335"/>
      <c r="GAS997" s="2335"/>
      <c r="GAT997" s="2335"/>
      <c r="GAU997" s="2335"/>
      <c r="GAV997" s="2335"/>
      <c r="GAW997" s="2335"/>
      <c r="GAX997" s="2335"/>
      <c r="GAY997" s="2335"/>
      <c r="GAZ997" s="2335"/>
      <c r="GBA997" s="2335"/>
      <c r="GBB997" s="2335"/>
      <c r="GBC997" s="2335"/>
      <c r="GBD997" s="2335"/>
      <c r="GBE997" s="2335"/>
      <c r="GBF997" s="2335"/>
      <c r="GBG997" s="2335"/>
      <c r="GBH997" s="2335"/>
      <c r="GBI997" s="2335"/>
      <c r="GBJ997" s="2335"/>
      <c r="GBK997" s="2335"/>
      <c r="GBL997" s="2335"/>
      <c r="GBM997" s="2335"/>
      <c r="GBN997" s="2335"/>
      <c r="GBO997" s="2335"/>
      <c r="GBP997" s="2335"/>
      <c r="GBQ997" s="2335"/>
      <c r="GBR997" s="2335"/>
      <c r="GBS997" s="2335"/>
      <c r="GBT997" s="2335"/>
      <c r="GBU997" s="2335"/>
      <c r="GBV997" s="2335"/>
      <c r="GBW997" s="2335"/>
      <c r="GBX997" s="2335"/>
      <c r="GBY997" s="2335"/>
      <c r="GBZ997" s="2335"/>
      <c r="GCA997" s="2335"/>
      <c r="GCB997" s="2335"/>
      <c r="GCC997" s="2335"/>
      <c r="GCD997" s="2335"/>
      <c r="GCE997" s="2335"/>
      <c r="GCF997" s="2335"/>
      <c r="GCG997" s="2335"/>
      <c r="GCH997" s="2335"/>
      <c r="GCI997" s="2335"/>
      <c r="GCJ997" s="2335"/>
      <c r="GCK997" s="2335"/>
      <c r="GCL997" s="2335"/>
      <c r="GCM997" s="2335"/>
      <c r="GCN997" s="2335"/>
      <c r="GCO997" s="2335"/>
      <c r="GCP997" s="2335"/>
      <c r="GCQ997" s="2335"/>
      <c r="GCR997" s="2335"/>
      <c r="GCS997" s="2335"/>
      <c r="GCT997" s="2335"/>
      <c r="GCU997" s="2335"/>
      <c r="GCV997" s="2335"/>
      <c r="GCW997" s="2335"/>
      <c r="GCX997" s="2335"/>
      <c r="GCY997" s="2335"/>
      <c r="GCZ997" s="2335"/>
      <c r="GDA997" s="2335"/>
      <c r="GDB997" s="2335"/>
      <c r="GDC997" s="2335"/>
      <c r="GDD997" s="2335"/>
      <c r="GDE997" s="2335"/>
      <c r="GDF997" s="2335"/>
      <c r="GDG997" s="2335"/>
      <c r="GDH997" s="2335"/>
      <c r="GDI997" s="2335"/>
      <c r="GDJ997" s="2335"/>
      <c r="GDK997" s="2335"/>
      <c r="GDL997" s="2335"/>
      <c r="GDM997" s="2335"/>
      <c r="GDN997" s="2335"/>
      <c r="GDO997" s="2335"/>
      <c r="GDP997" s="2335"/>
      <c r="GDQ997" s="2335"/>
      <c r="GDR997" s="2335"/>
      <c r="GDS997" s="2335"/>
      <c r="GDT997" s="2335"/>
      <c r="GDU997" s="2335"/>
      <c r="GDV997" s="2335"/>
      <c r="GDW997" s="2335"/>
      <c r="GDX997" s="2335"/>
      <c r="GDY997" s="2335"/>
      <c r="GDZ997" s="2335"/>
      <c r="GEA997" s="2335"/>
      <c r="GEB997" s="2335"/>
      <c r="GEC997" s="2335"/>
      <c r="GED997" s="2335"/>
      <c r="GEE997" s="2335"/>
      <c r="GEF997" s="2335"/>
      <c r="GEG997" s="2335"/>
      <c r="GEH997" s="2335"/>
      <c r="GEI997" s="2335"/>
      <c r="GEJ997" s="2335"/>
      <c r="GEK997" s="2335"/>
      <c r="GEL997" s="2335"/>
      <c r="GEM997" s="2335"/>
      <c r="GEN997" s="2335"/>
      <c r="GEO997" s="2335"/>
      <c r="GEP997" s="2335"/>
      <c r="GEQ997" s="2335"/>
      <c r="GER997" s="2335"/>
      <c r="GES997" s="2335"/>
      <c r="GET997" s="2335"/>
      <c r="GEU997" s="2335"/>
      <c r="GEV997" s="2335"/>
      <c r="GEW997" s="2335"/>
      <c r="GEX997" s="2335"/>
      <c r="GEY997" s="2335"/>
      <c r="GEZ997" s="2335"/>
      <c r="GFA997" s="2335"/>
      <c r="GFB997" s="2335"/>
      <c r="GFC997" s="2335"/>
      <c r="GFD997" s="2335"/>
      <c r="GFE997" s="2335"/>
      <c r="GFF997" s="2335"/>
      <c r="GFG997" s="2335"/>
      <c r="GFH997" s="2335"/>
      <c r="GFI997" s="2335"/>
      <c r="GFJ997" s="2335"/>
      <c r="GFK997" s="2335"/>
      <c r="GFL997" s="2335"/>
      <c r="GFM997" s="2335"/>
      <c r="GFN997" s="2335"/>
      <c r="GFO997" s="2335"/>
      <c r="GFP997" s="2335"/>
      <c r="GFQ997" s="2335"/>
      <c r="GFR997" s="2335"/>
      <c r="GFS997" s="2335"/>
      <c r="GFT997" s="2335"/>
      <c r="GFU997" s="2335"/>
      <c r="GFV997" s="2335"/>
      <c r="GFW997" s="2335"/>
      <c r="GFX997" s="2335"/>
      <c r="GFY997" s="2335"/>
      <c r="GFZ997" s="2335"/>
      <c r="GGA997" s="2335"/>
      <c r="GGB997" s="2335"/>
      <c r="GGC997" s="2335"/>
      <c r="GGD997" s="2335"/>
      <c r="GGE997" s="2335"/>
      <c r="GGF997" s="2335"/>
      <c r="GGG997" s="2335"/>
      <c r="GGH997" s="2335"/>
      <c r="GGI997" s="2335"/>
      <c r="GGJ997" s="2335"/>
      <c r="GGK997" s="2335"/>
      <c r="GGL997" s="2335"/>
      <c r="GGM997" s="2335"/>
      <c r="GGN997" s="2335"/>
      <c r="GGO997" s="2335"/>
      <c r="GGP997" s="2335"/>
      <c r="GGQ997" s="2335"/>
      <c r="GGR997" s="2335"/>
      <c r="GGS997" s="2335"/>
      <c r="GGT997" s="2335"/>
      <c r="GGU997" s="2335"/>
      <c r="GGV997" s="2335"/>
      <c r="GGW997" s="2335"/>
      <c r="GGX997" s="2335"/>
      <c r="GGY997" s="2335"/>
      <c r="GGZ997" s="2335"/>
      <c r="GHA997" s="2335"/>
      <c r="GHB997" s="2335"/>
      <c r="GHC997" s="2335"/>
      <c r="GHD997" s="2335"/>
      <c r="GHE997" s="2335"/>
      <c r="GHF997" s="2335"/>
      <c r="GHG997" s="2335"/>
      <c r="GHH997" s="2335"/>
      <c r="GHI997" s="2335"/>
      <c r="GHJ997" s="2335"/>
      <c r="GHK997" s="2335"/>
      <c r="GHL997" s="2335"/>
      <c r="GHM997" s="2335"/>
      <c r="GHN997" s="2335"/>
      <c r="GHO997" s="2335"/>
      <c r="GHP997" s="2335"/>
      <c r="GHQ997" s="2335"/>
      <c r="GHR997" s="2335"/>
      <c r="GHS997" s="2335"/>
      <c r="GHT997" s="2335"/>
      <c r="GHU997" s="2335"/>
      <c r="GHV997" s="2335"/>
      <c r="GHW997" s="2335"/>
      <c r="GHX997" s="2335"/>
      <c r="GHY997" s="2335"/>
      <c r="GHZ997" s="2335"/>
      <c r="GIA997" s="2335"/>
      <c r="GIB997" s="2335"/>
      <c r="GIC997" s="2335"/>
      <c r="GID997" s="2335"/>
      <c r="GIE997" s="2335"/>
      <c r="GIF997" s="2335"/>
      <c r="GIG997" s="2335"/>
      <c r="GIH997" s="2335"/>
      <c r="GII997" s="2335"/>
      <c r="GIJ997" s="2335"/>
      <c r="GIK997" s="2335"/>
      <c r="GIL997" s="2335"/>
      <c r="GIM997" s="2335"/>
      <c r="GIN997" s="2335"/>
      <c r="GIO997" s="2335"/>
      <c r="GIP997" s="2335"/>
      <c r="GIQ997" s="2335"/>
      <c r="GIR997" s="2335"/>
      <c r="GIS997" s="2335"/>
      <c r="GIT997" s="2335"/>
      <c r="GIU997" s="2335"/>
      <c r="GIV997" s="2335"/>
      <c r="GIW997" s="2335"/>
      <c r="GIX997" s="2335"/>
      <c r="GIY997" s="2335"/>
      <c r="GIZ997" s="2335"/>
      <c r="GJA997" s="2335"/>
      <c r="GJB997" s="2335"/>
      <c r="GJC997" s="2335"/>
      <c r="GJD997" s="2335"/>
      <c r="GJE997" s="2335"/>
      <c r="GJF997" s="2335"/>
      <c r="GJG997" s="2335"/>
      <c r="GJH997" s="2335"/>
      <c r="GJI997" s="2335"/>
      <c r="GJJ997" s="2335"/>
      <c r="GJK997" s="2335"/>
      <c r="GJL997" s="2335"/>
      <c r="GJM997" s="2335"/>
      <c r="GJN997" s="2335"/>
      <c r="GJO997" s="2335"/>
      <c r="GJP997" s="2335"/>
      <c r="GJQ997" s="2335"/>
      <c r="GJR997" s="2335"/>
      <c r="GJS997" s="2335"/>
      <c r="GJT997" s="2335"/>
      <c r="GJU997" s="2335"/>
      <c r="GJV997" s="2335"/>
      <c r="GJW997" s="2335"/>
      <c r="GJX997" s="2335"/>
      <c r="GJY997" s="2335"/>
      <c r="GJZ997" s="2335"/>
      <c r="GKA997" s="2335"/>
      <c r="GKB997" s="2335"/>
      <c r="GKC997" s="2335"/>
      <c r="GKD997" s="2335"/>
      <c r="GKE997" s="2335"/>
      <c r="GKF997" s="2335"/>
      <c r="GKG997" s="2335"/>
      <c r="GKH997" s="2335"/>
      <c r="GKI997" s="2335"/>
      <c r="GKJ997" s="2335"/>
      <c r="GKK997" s="2335"/>
      <c r="GKL997" s="2335"/>
      <c r="GKM997" s="2335"/>
      <c r="GKN997" s="2335"/>
      <c r="GKO997" s="2335"/>
      <c r="GKP997" s="2335"/>
      <c r="GKQ997" s="2335"/>
      <c r="GKR997" s="2335"/>
      <c r="GKS997" s="2335"/>
      <c r="GKT997" s="2335"/>
      <c r="GKU997" s="2335"/>
      <c r="GKV997" s="2335"/>
      <c r="GKW997" s="2335"/>
      <c r="GKX997" s="2335"/>
      <c r="GKY997" s="2335"/>
      <c r="GKZ997" s="2335"/>
      <c r="GLA997" s="2335"/>
      <c r="GLB997" s="2335"/>
      <c r="GLC997" s="2335"/>
      <c r="GLD997" s="2335"/>
      <c r="GLE997" s="2335"/>
      <c r="GLF997" s="2335"/>
      <c r="GLG997" s="2335"/>
      <c r="GLH997" s="2335"/>
      <c r="GLI997" s="2335"/>
      <c r="GLJ997" s="2335"/>
      <c r="GLK997" s="2335"/>
      <c r="GLL997" s="2335"/>
      <c r="GLM997" s="2335"/>
      <c r="GLN997" s="2335"/>
      <c r="GLO997" s="2335"/>
      <c r="GLP997" s="2335"/>
      <c r="GLQ997" s="2335"/>
      <c r="GLR997" s="2335"/>
      <c r="GLS997" s="2335"/>
      <c r="GLT997" s="2335"/>
      <c r="GLU997" s="2335"/>
      <c r="GLV997" s="2335"/>
      <c r="GLW997" s="2335"/>
      <c r="GLX997" s="2335"/>
      <c r="GLY997" s="2335"/>
      <c r="GLZ997" s="2335"/>
      <c r="GMA997" s="2335"/>
      <c r="GMB997" s="2335"/>
      <c r="GMC997" s="2335"/>
      <c r="GMD997" s="2335"/>
      <c r="GME997" s="2335"/>
      <c r="GMF997" s="2335"/>
      <c r="GMG997" s="2335"/>
      <c r="GMH997" s="2335"/>
      <c r="GMI997" s="2335"/>
      <c r="GMJ997" s="2335"/>
      <c r="GMK997" s="2335"/>
      <c r="GML997" s="2335"/>
      <c r="GMM997" s="2335"/>
      <c r="GMN997" s="2335"/>
      <c r="GMO997" s="2335"/>
      <c r="GMP997" s="2335"/>
      <c r="GMQ997" s="2335"/>
      <c r="GMR997" s="2335"/>
      <c r="GMS997" s="2335"/>
      <c r="GMT997" s="2335"/>
      <c r="GMU997" s="2335"/>
      <c r="GMV997" s="2335"/>
      <c r="GMW997" s="2335"/>
      <c r="GMX997" s="2335"/>
      <c r="GMY997" s="2335"/>
      <c r="GMZ997" s="2335"/>
      <c r="GNA997" s="2335"/>
      <c r="GNB997" s="2335"/>
      <c r="GNC997" s="2335"/>
      <c r="GND997" s="2335"/>
      <c r="GNE997" s="2335"/>
      <c r="GNF997" s="2335"/>
      <c r="GNG997" s="2335"/>
      <c r="GNH997" s="2335"/>
      <c r="GNI997" s="2335"/>
      <c r="GNJ997" s="2335"/>
      <c r="GNK997" s="2335"/>
      <c r="GNL997" s="2335"/>
      <c r="GNM997" s="2335"/>
      <c r="GNN997" s="2335"/>
      <c r="GNO997" s="2335"/>
      <c r="GNP997" s="2335"/>
      <c r="GNQ997" s="2335"/>
      <c r="GNR997" s="2335"/>
      <c r="GNS997" s="2335"/>
      <c r="GNT997" s="2335"/>
      <c r="GNU997" s="2335"/>
      <c r="GNV997" s="2335"/>
      <c r="GNW997" s="2335"/>
      <c r="GNX997" s="2335"/>
      <c r="GNY997" s="2335"/>
      <c r="GNZ997" s="2335"/>
      <c r="GOA997" s="2335"/>
      <c r="GOB997" s="2335"/>
      <c r="GOC997" s="2335"/>
      <c r="GOD997" s="2335"/>
      <c r="GOE997" s="2335"/>
      <c r="GOF997" s="2335"/>
      <c r="GOG997" s="2335"/>
      <c r="GOH997" s="2335"/>
      <c r="GOI997" s="2335"/>
      <c r="GOJ997" s="2335"/>
      <c r="GOK997" s="2335"/>
      <c r="GOL997" s="2335"/>
      <c r="GOM997" s="2335"/>
      <c r="GON997" s="2335"/>
      <c r="GOO997" s="2335"/>
      <c r="GOP997" s="2335"/>
      <c r="GOQ997" s="2335"/>
      <c r="GOR997" s="2335"/>
      <c r="GOS997" s="2335"/>
      <c r="GOT997" s="2335"/>
      <c r="GOU997" s="2335"/>
      <c r="GOV997" s="2335"/>
      <c r="GOW997" s="2335"/>
      <c r="GOX997" s="2335"/>
      <c r="GOY997" s="2335"/>
      <c r="GOZ997" s="2335"/>
      <c r="GPA997" s="2335"/>
      <c r="GPB997" s="2335"/>
      <c r="GPC997" s="2335"/>
      <c r="GPD997" s="2335"/>
      <c r="GPE997" s="2335"/>
      <c r="GPF997" s="2335"/>
      <c r="GPG997" s="2335"/>
      <c r="GPH997" s="2335"/>
      <c r="GPI997" s="2335"/>
      <c r="GPJ997" s="2335"/>
      <c r="GPK997" s="2335"/>
      <c r="GPL997" s="2335"/>
      <c r="GPM997" s="2335"/>
      <c r="GPN997" s="2335"/>
      <c r="GPO997" s="2335"/>
      <c r="GPP997" s="2335"/>
      <c r="GPQ997" s="2335"/>
      <c r="GPR997" s="2335"/>
      <c r="GPS997" s="2335"/>
      <c r="GPT997" s="2335"/>
      <c r="GPU997" s="2335"/>
      <c r="GPV997" s="2335"/>
      <c r="GPW997" s="2335"/>
      <c r="GPX997" s="2335"/>
      <c r="GPY997" s="2335"/>
      <c r="GPZ997" s="2335"/>
      <c r="GQA997" s="2335"/>
      <c r="GQB997" s="2335"/>
      <c r="GQC997" s="2335"/>
      <c r="GQD997" s="2335"/>
      <c r="GQE997" s="2335"/>
      <c r="GQF997" s="2335"/>
      <c r="GQG997" s="2335"/>
      <c r="GQH997" s="2335"/>
      <c r="GQI997" s="2335"/>
      <c r="GQJ997" s="2335"/>
      <c r="GQK997" s="2335"/>
      <c r="GQL997" s="2335"/>
      <c r="GQM997" s="2335"/>
      <c r="GQN997" s="2335"/>
      <c r="GQO997" s="2335"/>
      <c r="GQP997" s="2335"/>
      <c r="GQQ997" s="2335"/>
      <c r="GQR997" s="2335"/>
      <c r="GQS997" s="2335"/>
      <c r="GQT997" s="2335"/>
      <c r="GQU997" s="2335"/>
      <c r="GQV997" s="2335"/>
      <c r="GQW997" s="2335"/>
      <c r="GQX997" s="2335"/>
      <c r="GQY997" s="2335"/>
      <c r="GQZ997" s="2335"/>
      <c r="GRA997" s="2335"/>
      <c r="GRB997" s="2335"/>
      <c r="GRC997" s="2335"/>
      <c r="GRD997" s="2335"/>
      <c r="GRE997" s="2335"/>
      <c r="GRF997" s="2335"/>
      <c r="GRG997" s="2335"/>
      <c r="GRH997" s="2335"/>
      <c r="GRI997" s="2335"/>
      <c r="GRJ997" s="2335"/>
      <c r="GRK997" s="2335"/>
      <c r="GRL997" s="2335"/>
      <c r="GRM997" s="2335"/>
      <c r="GRN997" s="2335"/>
      <c r="GRO997" s="2335"/>
      <c r="GRP997" s="2335"/>
      <c r="GRQ997" s="2335"/>
      <c r="GRR997" s="2335"/>
      <c r="GRS997" s="2335"/>
      <c r="GRT997" s="2335"/>
      <c r="GRU997" s="2335"/>
      <c r="GRV997" s="2335"/>
      <c r="GRW997" s="2335"/>
      <c r="GRX997" s="2335"/>
      <c r="GRY997" s="2335"/>
      <c r="GRZ997" s="2335"/>
      <c r="GSA997" s="2335"/>
      <c r="GSB997" s="2335"/>
      <c r="GSC997" s="2335"/>
      <c r="GSD997" s="2335"/>
      <c r="GSE997" s="2335"/>
      <c r="GSF997" s="2335"/>
      <c r="GSG997" s="2335"/>
      <c r="GSH997" s="2335"/>
      <c r="GSI997" s="2335"/>
      <c r="GSJ997" s="2335"/>
      <c r="GSK997" s="2335"/>
      <c r="GSL997" s="2335"/>
      <c r="GSM997" s="2335"/>
      <c r="GSN997" s="2335"/>
      <c r="GSO997" s="2335"/>
      <c r="GSP997" s="2335"/>
      <c r="GSQ997" s="2335"/>
      <c r="GSR997" s="2335"/>
      <c r="GSS997" s="2335"/>
      <c r="GST997" s="2335"/>
      <c r="GSU997" s="2335"/>
      <c r="GSV997" s="2335"/>
      <c r="GSW997" s="2335"/>
      <c r="GSX997" s="2335"/>
      <c r="GSY997" s="2335"/>
      <c r="GSZ997" s="2335"/>
      <c r="GTA997" s="2335"/>
      <c r="GTB997" s="2335"/>
      <c r="GTC997" s="2335"/>
      <c r="GTD997" s="2335"/>
      <c r="GTE997" s="2335"/>
      <c r="GTF997" s="2335"/>
      <c r="GTG997" s="2335"/>
      <c r="GTH997" s="2335"/>
      <c r="GTI997" s="2335"/>
      <c r="GTJ997" s="2335"/>
      <c r="GTK997" s="2335"/>
      <c r="GTL997" s="2335"/>
      <c r="GTM997" s="2335"/>
      <c r="GTN997" s="2335"/>
      <c r="GTO997" s="2335"/>
      <c r="GTP997" s="2335"/>
      <c r="GTQ997" s="2335"/>
      <c r="GTR997" s="2335"/>
      <c r="GTS997" s="2335"/>
      <c r="GTT997" s="2335"/>
      <c r="GTU997" s="2335"/>
      <c r="GTV997" s="2335"/>
      <c r="GTW997" s="2335"/>
      <c r="GTX997" s="2335"/>
      <c r="GTY997" s="2335"/>
      <c r="GTZ997" s="2335"/>
      <c r="GUA997" s="2335"/>
      <c r="GUB997" s="2335"/>
      <c r="GUC997" s="2335"/>
      <c r="GUD997" s="2335"/>
      <c r="GUE997" s="2335"/>
      <c r="GUF997" s="2335"/>
      <c r="GUG997" s="2335"/>
      <c r="GUH997" s="2335"/>
      <c r="GUI997" s="2335"/>
      <c r="GUJ997" s="2335"/>
      <c r="GUK997" s="2335"/>
      <c r="GUL997" s="2335"/>
      <c r="GUM997" s="2335"/>
      <c r="GUN997" s="2335"/>
      <c r="GUO997" s="2335"/>
      <c r="GUP997" s="2335"/>
      <c r="GUQ997" s="2335"/>
      <c r="GUR997" s="2335"/>
      <c r="GUS997" s="2335"/>
      <c r="GUT997" s="2335"/>
      <c r="GUU997" s="2335"/>
      <c r="GUV997" s="2335"/>
      <c r="GUW997" s="2335"/>
      <c r="GUX997" s="2335"/>
      <c r="GUY997" s="2335"/>
      <c r="GUZ997" s="2335"/>
      <c r="GVA997" s="2335"/>
      <c r="GVB997" s="2335"/>
      <c r="GVC997" s="2335"/>
      <c r="GVD997" s="2335"/>
      <c r="GVE997" s="2335"/>
      <c r="GVF997" s="2335"/>
      <c r="GVG997" s="2335"/>
      <c r="GVH997" s="2335"/>
      <c r="GVI997" s="2335"/>
      <c r="GVJ997" s="2335"/>
      <c r="GVK997" s="2335"/>
      <c r="GVL997" s="2335"/>
      <c r="GVM997" s="2335"/>
      <c r="GVN997" s="2335"/>
      <c r="GVO997" s="2335"/>
      <c r="GVP997" s="2335"/>
      <c r="GVQ997" s="2335"/>
      <c r="GVR997" s="2335"/>
      <c r="GVS997" s="2335"/>
      <c r="GVT997" s="2335"/>
      <c r="GVU997" s="2335"/>
      <c r="GVV997" s="2335"/>
      <c r="GVW997" s="2335"/>
      <c r="GVX997" s="2335"/>
      <c r="GVY997" s="2335"/>
      <c r="GVZ997" s="2335"/>
      <c r="GWA997" s="2335"/>
      <c r="GWB997" s="2335"/>
      <c r="GWC997" s="2335"/>
      <c r="GWD997" s="2335"/>
      <c r="GWE997" s="2335"/>
      <c r="GWF997" s="2335"/>
      <c r="GWG997" s="2335"/>
      <c r="GWH997" s="2335"/>
      <c r="GWI997" s="2335"/>
      <c r="GWJ997" s="2335"/>
      <c r="GWK997" s="2335"/>
      <c r="GWL997" s="2335"/>
      <c r="GWM997" s="2335"/>
      <c r="GWN997" s="2335"/>
      <c r="GWO997" s="2335"/>
      <c r="GWP997" s="2335"/>
      <c r="GWQ997" s="2335"/>
      <c r="GWR997" s="2335"/>
      <c r="GWS997" s="2335"/>
      <c r="GWT997" s="2335"/>
      <c r="GWU997" s="2335"/>
      <c r="GWV997" s="2335"/>
      <c r="GWW997" s="2335"/>
      <c r="GWX997" s="2335"/>
      <c r="GWY997" s="2335"/>
      <c r="GWZ997" s="2335"/>
      <c r="GXA997" s="2335"/>
      <c r="GXB997" s="2335"/>
      <c r="GXC997" s="2335"/>
      <c r="GXD997" s="2335"/>
      <c r="GXE997" s="2335"/>
      <c r="GXF997" s="2335"/>
      <c r="GXG997" s="2335"/>
      <c r="GXH997" s="2335"/>
      <c r="GXI997" s="2335"/>
      <c r="GXJ997" s="2335"/>
      <c r="GXK997" s="2335"/>
      <c r="GXL997" s="2335"/>
      <c r="GXM997" s="2335"/>
      <c r="GXN997" s="2335"/>
      <c r="GXO997" s="2335"/>
      <c r="GXP997" s="2335"/>
      <c r="GXQ997" s="2335"/>
      <c r="GXR997" s="2335"/>
      <c r="GXS997" s="2335"/>
      <c r="GXT997" s="2335"/>
      <c r="GXU997" s="2335"/>
      <c r="GXV997" s="2335"/>
      <c r="GXW997" s="2335"/>
      <c r="GXX997" s="2335"/>
      <c r="GXY997" s="2335"/>
      <c r="GXZ997" s="2335"/>
      <c r="GYA997" s="2335"/>
      <c r="GYB997" s="2335"/>
      <c r="GYC997" s="2335"/>
      <c r="GYD997" s="2335"/>
      <c r="GYE997" s="2335"/>
      <c r="GYF997" s="2335"/>
      <c r="GYG997" s="2335"/>
      <c r="GYH997" s="2335"/>
      <c r="GYI997" s="2335"/>
      <c r="GYJ997" s="2335"/>
      <c r="GYK997" s="2335"/>
      <c r="GYL997" s="2335"/>
      <c r="GYM997" s="2335"/>
      <c r="GYN997" s="2335"/>
      <c r="GYO997" s="2335"/>
      <c r="GYP997" s="2335"/>
      <c r="GYQ997" s="2335"/>
      <c r="GYR997" s="2335"/>
      <c r="GYS997" s="2335"/>
      <c r="GYT997" s="2335"/>
      <c r="GYU997" s="2335"/>
      <c r="GYV997" s="2335"/>
      <c r="GYW997" s="2335"/>
      <c r="GYX997" s="2335"/>
      <c r="GYY997" s="2335"/>
      <c r="GYZ997" s="2335"/>
      <c r="GZA997" s="2335"/>
      <c r="GZB997" s="2335"/>
      <c r="GZC997" s="2335"/>
      <c r="GZD997" s="2335"/>
      <c r="GZE997" s="2335"/>
      <c r="GZF997" s="2335"/>
      <c r="GZG997" s="2335"/>
      <c r="GZH997" s="2335"/>
      <c r="GZI997" s="2335"/>
      <c r="GZJ997" s="2335"/>
      <c r="GZK997" s="2335"/>
      <c r="GZL997" s="2335"/>
      <c r="GZM997" s="2335"/>
      <c r="GZN997" s="2335"/>
      <c r="GZO997" s="2335"/>
      <c r="GZP997" s="2335"/>
      <c r="GZQ997" s="2335"/>
      <c r="GZR997" s="2335"/>
      <c r="GZS997" s="2335"/>
      <c r="GZT997" s="2335"/>
      <c r="GZU997" s="2335"/>
      <c r="GZV997" s="2335"/>
      <c r="GZW997" s="2335"/>
      <c r="GZX997" s="2335"/>
      <c r="GZY997" s="2335"/>
      <c r="GZZ997" s="2335"/>
      <c r="HAA997" s="2335"/>
      <c r="HAB997" s="2335"/>
      <c r="HAC997" s="2335"/>
      <c r="HAD997" s="2335"/>
      <c r="HAE997" s="2335"/>
      <c r="HAF997" s="2335"/>
      <c r="HAG997" s="2335"/>
      <c r="HAH997" s="2335"/>
      <c r="HAI997" s="2335"/>
      <c r="HAJ997" s="2335"/>
      <c r="HAK997" s="2335"/>
      <c r="HAL997" s="2335"/>
      <c r="HAM997" s="2335"/>
      <c r="HAN997" s="2335"/>
      <c r="HAO997" s="2335"/>
      <c r="HAP997" s="2335"/>
      <c r="HAQ997" s="2335"/>
      <c r="HAR997" s="2335"/>
      <c r="HAS997" s="2335"/>
      <c r="HAT997" s="2335"/>
      <c r="HAU997" s="2335"/>
      <c r="HAV997" s="2335"/>
      <c r="HAW997" s="2335"/>
      <c r="HAX997" s="2335"/>
      <c r="HAY997" s="2335"/>
      <c r="HAZ997" s="2335"/>
      <c r="HBA997" s="2335"/>
      <c r="HBB997" s="2335"/>
      <c r="HBC997" s="2335"/>
      <c r="HBD997" s="2335"/>
      <c r="HBE997" s="2335"/>
      <c r="HBF997" s="2335"/>
      <c r="HBG997" s="2335"/>
      <c r="HBH997" s="2335"/>
      <c r="HBI997" s="2335"/>
      <c r="HBJ997" s="2335"/>
      <c r="HBK997" s="2335"/>
      <c r="HBL997" s="2335"/>
      <c r="HBM997" s="2335"/>
      <c r="HBN997" s="2335"/>
      <c r="HBO997" s="2335"/>
      <c r="HBP997" s="2335"/>
      <c r="HBQ997" s="2335"/>
      <c r="HBR997" s="2335"/>
      <c r="HBS997" s="2335"/>
      <c r="HBT997" s="2335"/>
      <c r="HBU997" s="2335"/>
      <c r="HBV997" s="2335"/>
      <c r="HBW997" s="2335"/>
      <c r="HBX997" s="2335"/>
      <c r="HBY997" s="2335"/>
      <c r="HBZ997" s="2335"/>
      <c r="HCA997" s="2335"/>
      <c r="HCB997" s="2335"/>
      <c r="HCC997" s="2335"/>
      <c r="HCD997" s="2335"/>
      <c r="HCE997" s="2335"/>
      <c r="HCF997" s="2335"/>
      <c r="HCG997" s="2335"/>
      <c r="HCH997" s="2335"/>
      <c r="HCI997" s="2335"/>
      <c r="HCJ997" s="2335"/>
      <c r="HCK997" s="2335"/>
      <c r="HCL997" s="2335"/>
      <c r="HCM997" s="2335"/>
      <c r="HCN997" s="2335"/>
      <c r="HCO997" s="2335"/>
      <c r="HCP997" s="2335"/>
      <c r="HCQ997" s="2335"/>
      <c r="HCR997" s="2335"/>
      <c r="HCS997" s="2335"/>
      <c r="HCT997" s="2335"/>
      <c r="HCU997" s="2335"/>
      <c r="HCV997" s="2335"/>
      <c r="HCW997" s="2335"/>
      <c r="HCX997" s="2335"/>
      <c r="HCY997" s="2335"/>
      <c r="HCZ997" s="2335"/>
      <c r="HDA997" s="2335"/>
      <c r="HDB997" s="2335"/>
      <c r="HDC997" s="2335"/>
      <c r="HDD997" s="2335"/>
      <c r="HDE997" s="2335"/>
      <c r="HDF997" s="2335"/>
      <c r="HDG997" s="2335"/>
      <c r="HDH997" s="2335"/>
      <c r="HDI997" s="2335"/>
      <c r="HDJ997" s="2335"/>
      <c r="HDK997" s="2335"/>
      <c r="HDL997" s="2335"/>
      <c r="HDM997" s="2335"/>
      <c r="HDN997" s="2335"/>
      <c r="HDO997" s="2335"/>
      <c r="HDP997" s="2335"/>
      <c r="HDQ997" s="2335"/>
      <c r="HDR997" s="2335"/>
      <c r="HDS997" s="2335"/>
      <c r="HDT997" s="2335"/>
      <c r="HDU997" s="2335"/>
      <c r="HDV997" s="2335"/>
      <c r="HDW997" s="2335"/>
      <c r="HDX997" s="2335"/>
      <c r="HDY997" s="2335"/>
      <c r="HDZ997" s="2335"/>
      <c r="HEA997" s="2335"/>
      <c r="HEB997" s="2335"/>
      <c r="HEC997" s="2335"/>
      <c r="HED997" s="2335"/>
      <c r="HEE997" s="2335"/>
      <c r="HEF997" s="2335"/>
      <c r="HEG997" s="2335"/>
      <c r="HEH997" s="2335"/>
      <c r="HEI997" s="2335"/>
      <c r="HEJ997" s="2335"/>
      <c r="HEK997" s="2335"/>
      <c r="HEL997" s="2335"/>
      <c r="HEM997" s="2335"/>
      <c r="HEN997" s="2335"/>
      <c r="HEO997" s="2335"/>
      <c r="HEP997" s="2335"/>
      <c r="HEQ997" s="2335"/>
      <c r="HER997" s="2335"/>
      <c r="HES997" s="2335"/>
      <c r="HET997" s="2335"/>
      <c r="HEU997" s="2335"/>
      <c r="HEV997" s="2335"/>
      <c r="HEW997" s="2335"/>
      <c r="HEX997" s="2335"/>
      <c r="HEY997" s="2335"/>
      <c r="HEZ997" s="2335"/>
      <c r="HFA997" s="2335"/>
      <c r="HFB997" s="2335"/>
      <c r="HFC997" s="2335"/>
      <c r="HFD997" s="2335"/>
      <c r="HFE997" s="2335"/>
      <c r="HFF997" s="2335"/>
      <c r="HFG997" s="2335"/>
      <c r="HFH997" s="2335"/>
      <c r="HFI997" s="2335"/>
      <c r="HFJ997" s="2335"/>
      <c r="HFK997" s="2335"/>
      <c r="HFL997" s="2335"/>
      <c r="HFM997" s="2335"/>
      <c r="HFN997" s="2335"/>
      <c r="HFO997" s="2335"/>
      <c r="HFP997" s="2335"/>
      <c r="HFQ997" s="2335"/>
      <c r="HFR997" s="2335"/>
      <c r="HFS997" s="2335"/>
      <c r="HFT997" s="2335"/>
      <c r="HFU997" s="2335"/>
      <c r="HFV997" s="2335"/>
      <c r="HFW997" s="2335"/>
      <c r="HFX997" s="2335"/>
      <c r="HFY997" s="2335"/>
      <c r="HFZ997" s="2335"/>
      <c r="HGA997" s="2335"/>
      <c r="HGB997" s="2335"/>
      <c r="HGC997" s="2335"/>
      <c r="HGD997" s="2335"/>
      <c r="HGE997" s="2335"/>
      <c r="HGF997" s="2335"/>
      <c r="HGG997" s="2335"/>
      <c r="HGH997" s="2335"/>
      <c r="HGI997" s="2335"/>
      <c r="HGJ997" s="2335"/>
      <c r="HGK997" s="2335"/>
      <c r="HGL997" s="2335"/>
      <c r="HGM997" s="2335"/>
      <c r="HGN997" s="2335"/>
      <c r="HGO997" s="2335"/>
      <c r="HGP997" s="2335"/>
      <c r="HGQ997" s="2335"/>
      <c r="HGR997" s="2335"/>
      <c r="HGS997" s="2335"/>
      <c r="HGT997" s="2335"/>
      <c r="HGU997" s="2335"/>
      <c r="HGV997" s="2335"/>
      <c r="HGW997" s="2335"/>
      <c r="HGX997" s="2335"/>
      <c r="HGY997" s="2335"/>
      <c r="HGZ997" s="2335"/>
      <c r="HHA997" s="2335"/>
      <c r="HHB997" s="2335"/>
      <c r="HHC997" s="2335"/>
      <c r="HHD997" s="2335"/>
      <c r="HHE997" s="2335"/>
      <c r="HHF997" s="2335"/>
      <c r="HHG997" s="2335"/>
      <c r="HHH997" s="2335"/>
      <c r="HHI997" s="2335"/>
      <c r="HHJ997" s="2335"/>
      <c r="HHK997" s="2335"/>
      <c r="HHL997" s="2335"/>
      <c r="HHM997" s="2335"/>
      <c r="HHN997" s="2335"/>
      <c r="HHO997" s="2335"/>
      <c r="HHP997" s="2335"/>
      <c r="HHQ997" s="2335"/>
      <c r="HHR997" s="2335"/>
      <c r="HHS997" s="2335"/>
      <c r="HHT997" s="2335"/>
      <c r="HHU997" s="2335"/>
      <c r="HHV997" s="2335"/>
      <c r="HHW997" s="2335"/>
      <c r="HHX997" s="2335"/>
      <c r="HHY997" s="2335"/>
      <c r="HHZ997" s="2335"/>
      <c r="HIA997" s="2335"/>
      <c r="HIB997" s="2335"/>
      <c r="HIC997" s="2335"/>
      <c r="HID997" s="2335"/>
      <c r="HIE997" s="2335"/>
      <c r="HIF997" s="2335"/>
      <c r="HIG997" s="2335"/>
      <c r="HIH997" s="2335"/>
      <c r="HII997" s="2335"/>
      <c r="HIJ997" s="2335"/>
      <c r="HIK997" s="2335"/>
      <c r="HIL997" s="2335"/>
      <c r="HIM997" s="2335"/>
      <c r="HIN997" s="2335"/>
      <c r="HIO997" s="2335"/>
      <c r="HIP997" s="2335"/>
      <c r="HIQ997" s="2335"/>
      <c r="HIR997" s="2335"/>
      <c r="HIS997" s="2335"/>
      <c r="HIT997" s="2335"/>
      <c r="HIU997" s="2335"/>
      <c r="HIV997" s="2335"/>
      <c r="HIW997" s="2335"/>
      <c r="HIX997" s="2335"/>
      <c r="HIY997" s="2335"/>
      <c r="HIZ997" s="2335"/>
      <c r="HJA997" s="2335"/>
      <c r="HJB997" s="2335"/>
      <c r="HJC997" s="2335"/>
      <c r="HJD997" s="2335"/>
      <c r="HJE997" s="2335"/>
      <c r="HJF997" s="2335"/>
      <c r="HJG997" s="2335"/>
      <c r="HJH997" s="2335"/>
      <c r="HJI997" s="2335"/>
      <c r="HJJ997" s="2335"/>
      <c r="HJK997" s="2335"/>
      <c r="HJL997" s="2335"/>
      <c r="HJM997" s="2335"/>
      <c r="HJN997" s="2335"/>
      <c r="HJO997" s="2335"/>
      <c r="HJP997" s="2335"/>
      <c r="HJQ997" s="2335"/>
      <c r="HJR997" s="2335"/>
      <c r="HJS997" s="2335"/>
      <c r="HJT997" s="2335"/>
      <c r="HJU997" s="2335"/>
      <c r="HJV997" s="2335"/>
      <c r="HJW997" s="2335"/>
      <c r="HJX997" s="2335"/>
      <c r="HJY997" s="2335"/>
      <c r="HJZ997" s="2335"/>
      <c r="HKA997" s="2335"/>
      <c r="HKB997" s="2335"/>
      <c r="HKC997" s="2335"/>
      <c r="HKD997" s="2335"/>
      <c r="HKE997" s="2335"/>
      <c r="HKF997" s="2335"/>
      <c r="HKG997" s="2335"/>
      <c r="HKH997" s="2335"/>
      <c r="HKI997" s="2335"/>
      <c r="HKJ997" s="2335"/>
      <c r="HKK997" s="2335"/>
      <c r="HKL997" s="2335"/>
      <c r="HKM997" s="2335"/>
      <c r="HKN997" s="2335"/>
      <c r="HKO997" s="2335"/>
      <c r="HKP997" s="2335"/>
      <c r="HKQ997" s="2335"/>
      <c r="HKR997" s="2335"/>
      <c r="HKS997" s="2335"/>
      <c r="HKT997" s="2335"/>
      <c r="HKU997" s="2335"/>
      <c r="HKV997" s="2335"/>
      <c r="HKW997" s="2335"/>
      <c r="HKX997" s="2335"/>
      <c r="HKY997" s="2335"/>
      <c r="HKZ997" s="2335"/>
      <c r="HLA997" s="2335"/>
      <c r="HLB997" s="2335"/>
      <c r="HLC997" s="2335"/>
      <c r="HLD997" s="2335"/>
      <c r="HLE997" s="2335"/>
      <c r="HLF997" s="2335"/>
      <c r="HLG997" s="2335"/>
      <c r="HLH997" s="2335"/>
      <c r="HLI997" s="2335"/>
      <c r="HLJ997" s="2335"/>
      <c r="HLK997" s="2335"/>
      <c r="HLL997" s="2335"/>
      <c r="HLM997" s="2335"/>
      <c r="HLN997" s="2335"/>
      <c r="HLO997" s="2335"/>
      <c r="HLP997" s="2335"/>
      <c r="HLQ997" s="2335"/>
      <c r="HLR997" s="2335"/>
      <c r="HLS997" s="2335"/>
      <c r="HLT997" s="2335"/>
      <c r="HLU997" s="2335"/>
      <c r="HLV997" s="2335"/>
      <c r="HLW997" s="2335"/>
      <c r="HLX997" s="2335"/>
      <c r="HLY997" s="2335"/>
      <c r="HLZ997" s="2335"/>
      <c r="HMA997" s="2335"/>
      <c r="HMB997" s="2335"/>
      <c r="HMC997" s="2335"/>
      <c r="HMD997" s="2335"/>
      <c r="HME997" s="2335"/>
      <c r="HMF997" s="2335"/>
      <c r="HMG997" s="2335"/>
      <c r="HMH997" s="2335"/>
      <c r="HMI997" s="2335"/>
      <c r="HMJ997" s="2335"/>
      <c r="HMK997" s="2335"/>
      <c r="HML997" s="2335"/>
      <c r="HMM997" s="2335"/>
      <c r="HMN997" s="2335"/>
      <c r="HMO997" s="2335"/>
      <c r="HMP997" s="2335"/>
      <c r="HMQ997" s="2335"/>
      <c r="HMR997" s="2335"/>
      <c r="HMS997" s="2335"/>
      <c r="HMT997" s="2335"/>
      <c r="HMU997" s="2335"/>
      <c r="HMV997" s="2335"/>
      <c r="HMW997" s="2335"/>
      <c r="HMX997" s="2335"/>
      <c r="HMY997" s="2335"/>
      <c r="HMZ997" s="2335"/>
      <c r="HNA997" s="2335"/>
      <c r="HNB997" s="2335"/>
      <c r="HNC997" s="2335"/>
      <c r="HND997" s="2335"/>
      <c r="HNE997" s="2335"/>
      <c r="HNF997" s="2335"/>
      <c r="HNG997" s="2335"/>
      <c r="HNH997" s="2335"/>
      <c r="HNI997" s="2335"/>
      <c r="HNJ997" s="2335"/>
      <c r="HNK997" s="2335"/>
      <c r="HNL997" s="2335"/>
      <c r="HNM997" s="2335"/>
      <c r="HNN997" s="2335"/>
      <c r="HNO997" s="2335"/>
      <c r="HNP997" s="2335"/>
      <c r="HNQ997" s="2335"/>
      <c r="HNR997" s="2335"/>
      <c r="HNS997" s="2335"/>
      <c r="HNT997" s="2335"/>
      <c r="HNU997" s="2335"/>
      <c r="HNV997" s="2335"/>
      <c r="HNW997" s="2335"/>
      <c r="HNX997" s="2335"/>
      <c r="HNY997" s="2335"/>
      <c r="HNZ997" s="2335"/>
      <c r="HOA997" s="2335"/>
      <c r="HOB997" s="2335"/>
      <c r="HOC997" s="2335"/>
      <c r="HOD997" s="2335"/>
      <c r="HOE997" s="2335"/>
      <c r="HOF997" s="2335"/>
      <c r="HOG997" s="2335"/>
      <c r="HOH997" s="2335"/>
      <c r="HOI997" s="2335"/>
      <c r="HOJ997" s="2335"/>
      <c r="HOK997" s="2335"/>
      <c r="HOL997" s="2335"/>
      <c r="HOM997" s="2335"/>
      <c r="HON997" s="2335"/>
      <c r="HOO997" s="2335"/>
      <c r="HOP997" s="2335"/>
      <c r="HOQ997" s="2335"/>
      <c r="HOR997" s="2335"/>
      <c r="HOS997" s="2335"/>
      <c r="HOT997" s="2335"/>
      <c r="HOU997" s="2335"/>
      <c r="HOV997" s="2335"/>
      <c r="HOW997" s="2335"/>
      <c r="HOX997" s="2335"/>
      <c r="HOY997" s="2335"/>
      <c r="HOZ997" s="2335"/>
      <c r="HPA997" s="2335"/>
      <c r="HPB997" s="2335"/>
      <c r="HPC997" s="2335"/>
      <c r="HPD997" s="2335"/>
      <c r="HPE997" s="2335"/>
      <c r="HPF997" s="2335"/>
      <c r="HPG997" s="2335"/>
      <c r="HPH997" s="2335"/>
      <c r="HPI997" s="2335"/>
      <c r="HPJ997" s="2335"/>
      <c r="HPK997" s="2335"/>
      <c r="HPL997" s="2335"/>
      <c r="HPM997" s="2335"/>
      <c r="HPN997" s="2335"/>
      <c r="HPO997" s="2335"/>
      <c r="HPP997" s="2335"/>
      <c r="HPQ997" s="2335"/>
      <c r="HPR997" s="2335"/>
      <c r="HPS997" s="2335"/>
      <c r="HPT997" s="2335"/>
      <c r="HPU997" s="2335"/>
      <c r="HPV997" s="2335"/>
      <c r="HPW997" s="2335"/>
      <c r="HPX997" s="2335"/>
      <c r="HPY997" s="2335"/>
      <c r="HPZ997" s="2335"/>
      <c r="HQA997" s="2335"/>
      <c r="HQB997" s="2335"/>
      <c r="HQC997" s="2335"/>
      <c r="HQD997" s="2335"/>
      <c r="HQE997" s="2335"/>
      <c r="HQF997" s="2335"/>
      <c r="HQG997" s="2335"/>
      <c r="HQH997" s="2335"/>
      <c r="HQI997" s="2335"/>
      <c r="HQJ997" s="2335"/>
      <c r="HQK997" s="2335"/>
      <c r="HQL997" s="2335"/>
      <c r="HQM997" s="2335"/>
      <c r="HQN997" s="2335"/>
      <c r="HQO997" s="2335"/>
      <c r="HQP997" s="2335"/>
      <c r="HQQ997" s="2335"/>
      <c r="HQR997" s="2335"/>
      <c r="HQS997" s="2335"/>
      <c r="HQT997" s="2335"/>
      <c r="HQU997" s="2335"/>
      <c r="HQV997" s="2335"/>
      <c r="HQW997" s="2335"/>
      <c r="HQX997" s="2335"/>
      <c r="HQY997" s="2335"/>
      <c r="HQZ997" s="2335"/>
      <c r="HRA997" s="2335"/>
      <c r="HRB997" s="2335"/>
      <c r="HRC997" s="2335"/>
      <c r="HRD997" s="2335"/>
      <c r="HRE997" s="2335"/>
      <c r="HRF997" s="2335"/>
      <c r="HRG997" s="2335"/>
      <c r="HRH997" s="2335"/>
      <c r="HRI997" s="2335"/>
      <c r="HRJ997" s="2335"/>
      <c r="HRK997" s="2335"/>
      <c r="HRL997" s="2335"/>
      <c r="HRM997" s="2335"/>
      <c r="HRN997" s="2335"/>
      <c r="HRO997" s="2335"/>
      <c r="HRP997" s="2335"/>
      <c r="HRQ997" s="2335"/>
      <c r="HRR997" s="2335"/>
      <c r="HRS997" s="2335"/>
      <c r="HRT997" s="2335"/>
      <c r="HRU997" s="2335"/>
      <c r="HRV997" s="2335"/>
      <c r="HRW997" s="2335"/>
      <c r="HRX997" s="2335"/>
      <c r="HRY997" s="2335"/>
      <c r="HRZ997" s="2335"/>
      <c r="HSA997" s="2335"/>
      <c r="HSB997" s="2335"/>
      <c r="HSC997" s="2335"/>
      <c r="HSD997" s="2335"/>
      <c r="HSE997" s="2335"/>
      <c r="HSF997" s="2335"/>
      <c r="HSG997" s="2335"/>
      <c r="HSH997" s="2335"/>
      <c r="HSI997" s="2335"/>
      <c r="HSJ997" s="2335"/>
      <c r="HSK997" s="2335"/>
      <c r="HSL997" s="2335"/>
      <c r="HSM997" s="2335"/>
      <c r="HSN997" s="2335"/>
      <c r="HSO997" s="2335"/>
      <c r="HSP997" s="2335"/>
      <c r="HSQ997" s="2335"/>
      <c r="HSR997" s="2335"/>
      <c r="HSS997" s="2335"/>
      <c r="HST997" s="2335"/>
      <c r="HSU997" s="2335"/>
      <c r="HSV997" s="2335"/>
      <c r="HSW997" s="2335"/>
      <c r="HSX997" s="2335"/>
      <c r="HSY997" s="2335"/>
      <c r="HSZ997" s="2335"/>
      <c r="HTA997" s="2335"/>
      <c r="HTB997" s="2335"/>
      <c r="HTC997" s="2335"/>
      <c r="HTD997" s="2335"/>
      <c r="HTE997" s="2335"/>
      <c r="HTF997" s="2335"/>
      <c r="HTG997" s="2335"/>
      <c r="HTH997" s="2335"/>
      <c r="HTI997" s="2335"/>
      <c r="HTJ997" s="2335"/>
      <c r="HTK997" s="2335"/>
      <c r="HTL997" s="2335"/>
      <c r="HTM997" s="2335"/>
      <c r="HTN997" s="2335"/>
      <c r="HTO997" s="2335"/>
      <c r="HTP997" s="2335"/>
      <c r="HTQ997" s="2335"/>
      <c r="HTR997" s="2335"/>
      <c r="HTS997" s="2335"/>
      <c r="HTT997" s="2335"/>
      <c r="HTU997" s="2335"/>
      <c r="HTV997" s="2335"/>
      <c r="HTW997" s="2335"/>
      <c r="HTX997" s="2335"/>
      <c r="HTY997" s="2335"/>
      <c r="HTZ997" s="2335"/>
      <c r="HUA997" s="2335"/>
      <c r="HUB997" s="2335"/>
      <c r="HUC997" s="2335"/>
      <c r="HUD997" s="2335"/>
      <c r="HUE997" s="2335"/>
      <c r="HUF997" s="2335"/>
      <c r="HUG997" s="2335"/>
      <c r="HUH997" s="2335"/>
      <c r="HUI997" s="2335"/>
      <c r="HUJ997" s="2335"/>
      <c r="HUK997" s="2335"/>
      <c r="HUL997" s="2335"/>
      <c r="HUM997" s="2335"/>
      <c r="HUN997" s="2335"/>
      <c r="HUO997" s="2335"/>
      <c r="HUP997" s="2335"/>
      <c r="HUQ997" s="2335"/>
      <c r="HUR997" s="2335"/>
      <c r="HUS997" s="2335"/>
      <c r="HUT997" s="2335"/>
      <c r="HUU997" s="2335"/>
      <c r="HUV997" s="2335"/>
      <c r="HUW997" s="2335"/>
      <c r="HUX997" s="2335"/>
      <c r="HUY997" s="2335"/>
      <c r="HUZ997" s="2335"/>
      <c r="HVA997" s="2335"/>
      <c r="HVB997" s="2335"/>
      <c r="HVC997" s="2335"/>
      <c r="HVD997" s="2335"/>
      <c r="HVE997" s="2335"/>
      <c r="HVF997" s="2335"/>
      <c r="HVG997" s="2335"/>
      <c r="HVH997" s="2335"/>
      <c r="HVI997" s="2335"/>
      <c r="HVJ997" s="2335"/>
      <c r="HVK997" s="2335"/>
      <c r="HVL997" s="2335"/>
      <c r="HVM997" s="2335"/>
      <c r="HVN997" s="2335"/>
      <c r="HVO997" s="2335"/>
      <c r="HVP997" s="2335"/>
      <c r="HVQ997" s="2335"/>
      <c r="HVR997" s="2335"/>
      <c r="HVS997" s="2335"/>
      <c r="HVT997" s="2335"/>
      <c r="HVU997" s="2335"/>
      <c r="HVV997" s="2335"/>
      <c r="HVW997" s="2335"/>
      <c r="HVX997" s="2335"/>
      <c r="HVY997" s="2335"/>
      <c r="HVZ997" s="2335"/>
      <c r="HWA997" s="2335"/>
      <c r="HWB997" s="2335"/>
      <c r="HWC997" s="2335"/>
      <c r="HWD997" s="2335"/>
      <c r="HWE997" s="2335"/>
      <c r="HWF997" s="2335"/>
      <c r="HWG997" s="2335"/>
      <c r="HWH997" s="2335"/>
      <c r="HWI997" s="2335"/>
      <c r="HWJ997" s="2335"/>
      <c r="HWK997" s="2335"/>
      <c r="HWL997" s="2335"/>
      <c r="HWM997" s="2335"/>
      <c r="HWN997" s="2335"/>
      <c r="HWO997" s="2335"/>
      <c r="HWP997" s="2335"/>
      <c r="HWQ997" s="2335"/>
      <c r="HWR997" s="2335"/>
      <c r="HWS997" s="2335"/>
      <c r="HWT997" s="2335"/>
      <c r="HWU997" s="2335"/>
      <c r="HWV997" s="2335"/>
      <c r="HWW997" s="2335"/>
      <c r="HWX997" s="2335"/>
      <c r="HWY997" s="2335"/>
      <c r="HWZ997" s="2335"/>
      <c r="HXA997" s="2335"/>
      <c r="HXB997" s="2335"/>
      <c r="HXC997" s="2335"/>
      <c r="HXD997" s="2335"/>
      <c r="HXE997" s="2335"/>
      <c r="HXF997" s="2335"/>
      <c r="HXG997" s="2335"/>
      <c r="HXH997" s="2335"/>
      <c r="HXI997" s="2335"/>
      <c r="HXJ997" s="2335"/>
      <c r="HXK997" s="2335"/>
      <c r="HXL997" s="2335"/>
      <c r="HXM997" s="2335"/>
      <c r="HXN997" s="2335"/>
      <c r="HXO997" s="2335"/>
      <c r="HXP997" s="2335"/>
      <c r="HXQ997" s="2335"/>
      <c r="HXR997" s="2335"/>
      <c r="HXS997" s="2335"/>
      <c r="HXT997" s="2335"/>
      <c r="HXU997" s="2335"/>
      <c r="HXV997" s="2335"/>
      <c r="HXW997" s="2335"/>
      <c r="HXX997" s="2335"/>
      <c r="HXY997" s="2335"/>
      <c r="HXZ997" s="2335"/>
      <c r="HYA997" s="2335"/>
      <c r="HYB997" s="2335"/>
      <c r="HYC997" s="2335"/>
      <c r="HYD997" s="2335"/>
      <c r="HYE997" s="2335"/>
      <c r="HYF997" s="2335"/>
      <c r="HYG997" s="2335"/>
      <c r="HYH997" s="2335"/>
      <c r="HYI997" s="2335"/>
      <c r="HYJ997" s="2335"/>
      <c r="HYK997" s="2335"/>
      <c r="HYL997" s="2335"/>
      <c r="HYM997" s="2335"/>
      <c r="HYN997" s="2335"/>
      <c r="HYO997" s="2335"/>
      <c r="HYP997" s="2335"/>
      <c r="HYQ997" s="2335"/>
      <c r="HYR997" s="2335"/>
      <c r="HYS997" s="2335"/>
      <c r="HYT997" s="2335"/>
      <c r="HYU997" s="2335"/>
      <c r="HYV997" s="2335"/>
      <c r="HYW997" s="2335"/>
      <c r="HYX997" s="2335"/>
      <c r="HYY997" s="2335"/>
      <c r="HYZ997" s="2335"/>
      <c r="HZA997" s="2335"/>
      <c r="HZB997" s="2335"/>
      <c r="HZC997" s="2335"/>
      <c r="HZD997" s="2335"/>
      <c r="HZE997" s="2335"/>
      <c r="HZF997" s="2335"/>
      <c r="HZG997" s="2335"/>
      <c r="HZH997" s="2335"/>
      <c r="HZI997" s="2335"/>
      <c r="HZJ997" s="2335"/>
      <c r="HZK997" s="2335"/>
      <c r="HZL997" s="2335"/>
      <c r="HZM997" s="2335"/>
      <c r="HZN997" s="2335"/>
      <c r="HZO997" s="2335"/>
      <c r="HZP997" s="2335"/>
      <c r="HZQ997" s="2335"/>
      <c r="HZR997" s="2335"/>
      <c r="HZS997" s="2335"/>
      <c r="HZT997" s="2335"/>
      <c r="HZU997" s="2335"/>
      <c r="HZV997" s="2335"/>
      <c r="HZW997" s="2335"/>
      <c r="HZX997" s="2335"/>
      <c r="HZY997" s="2335"/>
      <c r="HZZ997" s="2335"/>
      <c r="IAA997" s="2335"/>
      <c r="IAB997" s="2335"/>
      <c r="IAC997" s="2335"/>
      <c r="IAD997" s="2335"/>
      <c r="IAE997" s="2335"/>
      <c r="IAF997" s="2335"/>
      <c r="IAG997" s="2335"/>
      <c r="IAH997" s="2335"/>
      <c r="IAI997" s="2335"/>
      <c r="IAJ997" s="2335"/>
      <c r="IAK997" s="2335"/>
      <c r="IAL997" s="2335"/>
      <c r="IAM997" s="2335"/>
      <c r="IAN997" s="2335"/>
      <c r="IAO997" s="2335"/>
      <c r="IAP997" s="2335"/>
      <c r="IAQ997" s="2335"/>
      <c r="IAR997" s="2335"/>
      <c r="IAS997" s="2335"/>
      <c r="IAT997" s="2335"/>
      <c r="IAU997" s="2335"/>
      <c r="IAV997" s="2335"/>
      <c r="IAW997" s="2335"/>
      <c r="IAX997" s="2335"/>
      <c r="IAY997" s="2335"/>
      <c r="IAZ997" s="2335"/>
      <c r="IBA997" s="2335"/>
      <c r="IBB997" s="2335"/>
      <c r="IBC997" s="2335"/>
      <c r="IBD997" s="2335"/>
      <c r="IBE997" s="2335"/>
      <c r="IBF997" s="2335"/>
      <c r="IBG997" s="2335"/>
      <c r="IBH997" s="2335"/>
      <c r="IBI997" s="2335"/>
      <c r="IBJ997" s="2335"/>
      <c r="IBK997" s="2335"/>
      <c r="IBL997" s="2335"/>
      <c r="IBM997" s="2335"/>
      <c r="IBN997" s="2335"/>
      <c r="IBO997" s="2335"/>
      <c r="IBP997" s="2335"/>
      <c r="IBQ997" s="2335"/>
      <c r="IBR997" s="2335"/>
      <c r="IBS997" s="2335"/>
      <c r="IBT997" s="2335"/>
      <c r="IBU997" s="2335"/>
      <c r="IBV997" s="2335"/>
      <c r="IBW997" s="2335"/>
      <c r="IBX997" s="2335"/>
      <c r="IBY997" s="2335"/>
      <c r="IBZ997" s="2335"/>
      <c r="ICA997" s="2335"/>
      <c r="ICB997" s="2335"/>
      <c r="ICC997" s="2335"/>
      <c r="ICD997" s="2335"/>
      <c r="ICE997" s="2335"/>
      <c r="ICF997" s="2335"/>
      <c r="ICG997" s="2335"/>
      <c r="ICH997" s="2335"/>
      <c r="ICI997" s="2335"/>
      <c r="ICJ997" s="2335"/>
      <c r="ICK997" s="2335"/>
      <c r="ICL997" s="2335"/>
      <c r="ICM997" s="2335"/>
      <c r="ICN997" s="2335"/>
      <c r="ICO997" s="2335"/>
      <c r="ICP997" s="2335"/>
      <c r="ICQ997" s="2335"/>
      <c r="ICR997" s="2335"/>
      <c r="ICS997" s="2335"/>
      <c r="ICT997" s="2335"/>
      <c r="ICU997" s="2335"/>
      <c r="ICV997" s="2335"/>
      <c r="ICW997" s="2335"/>
      <c r="ICX997" s="2335"/>
      <c r="ICY997" s="2335"/>
      <c r="ICZ997" s="2335"/>
      <c r="IDA997" s="2335"/>
      <c r="IDB997" s="2335"/>
      <c r="IDC997" s="2335"/>
      <c r="IDD997" s="2335"/>
      <c r="IDE997" s="2335"/>
      <c r="IDF997" s="2335"/>
      <c r="IDG997" s="2335"/>
      <c r="IDH997" s="2335"/>
      <c r="IDI997" s="2335"/>
      <c r="IDJ997" s="2335"/>
      <c r="IDK997" s="2335"/>
      <c r="IDL997" s="2335"/>
      <c r="IDM997" s="2335"/>
      <c r="IDN997" s="2335"/>
      <c r="IDO997" s="2335"/>
      <c r="IDP997" s="2335"/>
      <c r="IDQ997" s="2335"/>
      <c r="IDR997" s="2335"/>
      <c r="IDS997" s="2335"/>
      <c r="IDT997" s="2335"/>
      <c r="IDU997" s="2335"/>
      <c r="IDV997" s="2335"/>
      <c r="IDW997" s="2335"/>
      <c r="IDX997" s="2335"/>
      <c r="IDY997" s="2335"/>
      <c r="IDZ997" s="2335"/>
      <c r="IEA997" s="2335"/>
      <c r="IEB997" s="2335"/>
      <c r="IEC997" s="2335"/>
      <c r="IED997" s="2335"/>
      <c r="IEE997" s="2335"/>
      <c r="IEF997" s="2335"/>
      <c r="IEG997" s="2335"/>
      <c r="IEH997" s="2335"/>
      <c r="IEI997" s="2335"/>
      <c r="IEJ997" s="2335"/>
      <c r="IEK997" s="2335"/>
      <c r="IEL997" s="2335"/>
      <c r="IEM997" s="2335"/>
      <c r="IEN997" s="2335"/>
      <c r="IEO997" s="2335"/>
      <c r="IEP997" s="2335"/>
      <c r="IEQ997" s="2335"/>
      <c r="IER997" s="2335"/>
      <c r="IES997" s="2335"/>
      <c r="IET997" s="2335"/>
      <c r="IEU997" s="2335"/>
      <c r="IEV997" s="2335"/>
      <c r="IEW997" s="2335"/>
      <c r="IEX997" s="2335"/>
      <c r="IEY997" s="2335"/>
      <c r="IEZ997" s="2335"/>
      <c r="IFA997" s="2335"/>
      <c r="IFB997" s="2335"/>
      <c r="IFC997" s="2335"/>
      <c r="IFD997" s="2335"/>
      <c r="IFE997" s="2335"/>
      <c r="IFF997" s="2335"/>
      <c r="IFG997" s="2335"/>
      <c r="IFH997" s="2335"/>
      <c r="IFI997" s="2335"/>
      <c r="IFJ997" s="2335"/>
      <c r="IFK997" s="2335"/>
      <c r="IFL997" s="2335"/>
      <c r="IFM997" s="2335"/>
      <c r="IFN997" s="2335"/>
      <c r="IFO997" s="2335"/>
      <c r="IFP997" s="2335"/>
      <c r="IFQ997" s="2335"/>
      <c r="IFR997" s="2335"/>
      <c r="IFS997" s="2335"/>
      <c r="IFT997" s="2335"/>
      <c r="IFU997" s="2335"/>
      <c r="IFV997" s="2335"/>
      <c r="IFW997" s="2335"/>
      <c r="IFX997" s="2335"/>
      <c r="IFY997" s="2335"/>
      <c r="IFZ997" s="2335"/>
      <c r="IGA997" s="2335"/>
      <c r="IGB997" s="2335"/>
      <c r="IGC997" s="2335"/>
      <c r="IGD997" s="2335"/>
      <c r="IGE997" s="2335"/>
      <c r="IGF997" s="2335"/>
      <c r="IGG997" s="2335"/>
      <c r="IGH997" s="2335"/>
      <c r="IGI997" s="2335"/>
      <c r="IGJ997" s="2335"/>
      <c r="IGK997" s="2335"/>
      <c r="IGL997" s="2335"/>
      <c r="IGM997" s="2335"/>
      <c r="IGN997" s="2335"/>
      <c r="IGO997" s="2335"/>
      <c r="IGP997" s="2335"/>
      <c r="IGQ997" s="2335"/>
      <c r="IGR997" s="2335"/>
      <c r="IGS997" s="2335"/>
      <c r="IGT997" s="2335"/>
      <c r="IGU997" s="2335"/>
      <c r="IGV997" s="2335"/>
      <c r="IGW997" s="2335"/>
      <c r="IGX997" s="2335"/>
      <c r="IGY997" s="2335"/>
      <c r="IGZ997" s="2335"/>
      <c r="IHA997" s="2335"/>
      <c r="IHB997" s="2335"/>
      <c r="IHC997" s="2335"/>
      <c r="IHD997" s="2335"/>
      <c r="IHE997" s="2335"/>
      <c r="IHF997" s="2335"/>
      <c r="IHG997" s="2335"/>
      <c r="IHH997" s="2335"/>
      <c r="IHI997" s="2335"/>
      <c r="IHJ997" s="2335"/>
      <c r="IHK997" s="2335"/>
      <c r="IHL997" s="2335"/>
      <c r="IHM997" s="2335"/>
      <c r="IHN997" s="2335"/>
      <c r="IHO997" s="2335"/>
      <c r="IHP997" s="2335"/>
      <c r="IHQ997" s="2335"/>
      <c r="IHR997" s="2335"/>
      <c r="IHS997" s="2335"/>
      <c r="IHT997" s="2335"/>
      <c r="IHU997" s="2335"/>
      <c r="IHV997" s="2335"/>
      <c r="IHW997" s="2335"/>
      <c r="IHX997" s="2335"/>
      <c r="IHY997" s="2335"/>
      <c r="IHZ997" s="2335"/>
      <c r="IIA997" s="2335"/>
      <c r="IIB997" s="2335"/>
      <c r="IIC997" s="2335"/>
      <c r="IID997" s="2335"/>
      <c r="IIE997" s="2335"/>
      <c r="IIF997" s="2335"/>
      <c r="IIG997" s="2335"/>
      <c r="IIH997" s="2335"/>
      <c r="III997" s="2335"/>
      <c r="IIJ997" s="2335"/>
      <c r="IIK997" s="2335"/>
      <c r="IIL997" s="2335"/>
      <c r="IIM997" s="2335"/>
      <c r="IIN997" s="2335"/>
      <c r="IIO997" s="2335"/>
      <c r="IIP997" s="2335"/>
      <c r="IIQ997" s="2335"/>
      <c r="IIR997" s="2335"/>
      <c r="IIS997" s="2335"/>
      <c r="IIT997" s="2335"/>
      <c r="IIU997" s="2335"/>
      <c r="IIV997" s="2335"/>
      <c r="IIW997" s="2335"/>
      <c r="IIX997" s="2335"/>
      <c r="IIY997" s="2335"/>
      <c r="IIZ997" s="2335"/>
      <c r="IJA997" s="2335"/>
      <c r="IJB997" s="2335"/>
      <c r="IJC997" s="2335"/>
      <c r="IJD997" s="2335"/>
      <c r="IJE997" s="2335"/>
      <c r="IJF997" s="2335"/>
      <c r="IJG997" s="2335"/>
      <c r="IJH997" s="2335"/>
      <c r="IJI997" s="2335"/>
      <c r="IJJ997" s="2335"/>
      <c r="IJK997" s="2335"/>
      <c r="IJL997" s="2335"/>
      <c r="IJM997" s="2335"/>
      <c r="IJN997" s="2335"/>
      <c r="IJO997" s="2335"/>
      <c r="IJP997" s="2335"/>
      <c r="IJQ997" s="2335"/>
      <c r="IJR997" s="2335"/>
      <c r="IJS997" s="2335"/>
      <c r="IJT997" s="2335"/>
      <c r="IJU997" s="2335"/>
      <c r="IJV997" s="2335"/>
      <c r="IJW997" s="2335"/>
      <c r="IJX997" s="2335"/>
      <c r="IJY997" s="2335"/>
      <c r="IJZ997" s="2335"/>
      <c r="IKA997" s="2335"/>
      <c r="IKB997" s="2335"/>
      <c r="IKC997" s="2335"/>
      <c r="IKD997" s="2335"/>
      <c r="IKE997" s="2335"/>
      <c r="IKF997" s="2335"/>
      <c r="IKG997" s="2335"/>
      <c r="IKH997" s="2335"/>
      <c r="IKI997" s="2335"/>
      <c r="IKJ997" s="2335"/>
      <c r="IKK997" s="2335"/>
      <c r="IKL997" s="2335"/>
      <c r="IKM997" s="2335"/>
      <c r="IKN997" s="2335"/>
      <c r="IKO997" s="2335"/>
      <c r="IKP997" s="2335"/>
      <c r="IKQ997" s="2335"/>
      <c r="IKR997" s="2335"/>
      <c r="IKS997" s="2335"/>
      <c r="IKT997" s="2335"/>
      <c r="IKU997" s="2335"/>
      <c r="IKV997" s="2335"/>
      <c r="IKW997" s="2335"/>
      <c r="IKX997" s="2335"/>
      <c r="IKY997" s="2335"/>
      <c r="IKZ997" s="2335"/>
      <c r="ILA997" s="2335"/>
      <c r="ILB997" s="2335"/>
      <c r="ILC997" s="2335"/>
      <c r="ILD997" s="2335"/>
      <c r="ILE997" s="2335"/>
      <c r="ILF997" s="2335"/>
      <c r="ILG997" s="2335"/>
      <c r="ILH997" s="2335"/>
      <c r="ILI997" s="2335"/>
      <c r="ILJ997" s="2335"/>
      <c r="ILK997" s="2335"/>
      <c r="ILL997" s="2335"/>
      <c r="ILM997" s="2335"/>
      <c r="ILN997" s="2335"/>
      <c r="ILO997" s="2335"/>
      <c r="ILP997" s="2335"/>
      <c r="ILQ997" s="2335"/>
      <c r="ILR997" s="2335"/>
      <c r="ILS997" s="2335"/>
      <c r="ILT997" s="2335"/>
      <c r="ILU997" s="2335"/>
      <c r="ILV997" s="2335"/>
      <c r="ILW997" s="2335"/>
      <c r="ILX997" s="2335"/>
      <c r="ILY997" s="2335"/>
      <c r="ILZ997" s="2335"/>
      <c r="IMA997" s="2335"/>
      <c r="IMB997" s="2335"/>
      <c r="IMC997" s="2335"/>
      <c r="IMD997" s="2335"/>
      <c r="IME997" s="2335"/>
      <c r="IMF997" s="2335"/>
      <c r="IMG997" s="2335"/>
      <c r="IMH997" s="2335"/>
      <c r="IMI997" s="2335"/>
      <c r="IMJ997" s="2335"/>
      <c r="IMK997" s="2335"/>
      <c r="IML997" s="2335"/>
      <c r="IMM997" s="2335"/>
      <c r="IMN997" s="2335"/>
      <c r="IMO997" s="2335"/>
      <c r="IMP997" s="2335"/>
      <c r="IMQ997" s="2335"/>
      <c r="IMR997" s="2335"/>
      <c r="IMS997" s="2335"/>
      <c r="IMT997" s="2335"/>
      <c r="IMU997" s="2335"/>
      <c r="IMV997" s="2335"/>
      <c r="IMW997" s="2335"/>
      <c r="IMX997" s="2335"/>
      <c r="IMY997" s="2335"/>
      <c r="IMZ997" s="2335"/>
      <c r="INA997" s="2335"/>
      <c r="INB997" s="2335"/>
      <c r="INC997" s="2335"/>
      <c r="IND997" s="2335"/>
      <c r="INE997" s="2335"/>
      <c r="INF997" s="2335"/>
      <c r="ING997" s="2335"/>
      <c r="INH997" s="2335"/>
      <c r="INI997" s="2335"/>
      <c r="INJ997" s="2335"/>
      <c r="INK997" s="2335"/>
      <c r="INL997" s="2335"/>
      <c r="INM997" s="2335"/>
      <c r="INN997" s="2335"/>
      <c r="INO997" s="2335"/>
      <c r="INP997" s="2335"/>
      <c r="INQ997" s="2335"/>
      <c r="INR997" s="2335"/>
      <c r="INS997" s="2335"/>
      <c r="INT997" s="2335"/>
      <c r="INU997" s="2335"/>
      <c r="INV997" s="2335"/>
      <c r="INW997" s="2335"/>
      <c r="INX997" s="2335"/>
      <c r="INY997" s="2335"/>
      <c r="INZ997" s="2335"/>
      <c r="IOA997" s="2335"/>
      <c r="IOB997" s="2335"/>
      <c r="IOC997" s="2335"/>
      <c r="IOD997" s="2335"/>
      <c r="IOE997" s="2335"/>
      <c r="IOF997" s="2335"/>
      <c r="IOG997" s="2335"/>
      <c r="IOH997" s="2335"/>
      <c r="IOI997" s="2335"/>
      <c r="IOJ997" s="2335"/>
      <c r="IOK997" s="2335"/>
      <c r="IOL997" s="2335"/>
      <c r="IOM997" s="2335"/>
      <c r="ION997" s="2335"/>
      <c r="IOO997" s="2335"/>
      <c r="IOP997" s="2335"/>
      <c r="IOQ997" s="2335"/>
      <c r="IOR997" s="2335"/>
      <c r="IOS997" s="2335"/>
      <c r="IOT997" s="2335"/>
      <c r="IOU997" s="2335"/>
      <c r="IOV997" s="2335"/>
      <c r="IOW997" s="2335"/>
      <c r="IOX997" s="2335"/>
      <c r="IOY997" s="2335"/>
      <c r="IOZ997" s="2335"/>
      <c r="IPA997" s="2335"/>
      <c r="IPB997" s="2335"/>
      <c r="IPC997" s="2335"/>
      <c r="IPD997" s="2335"/>
      <c r="IPE997" s="2335"/>
      <c r="IPF997" s="2335"/>
      <c r="IPG997" s="2335"/>
      <c r="IPH997" s="2335"/>
      <c r="IPI997" s="2335"/>
      <c r="IPJ997" s="2335"/>
      <c r="IPK997" s="2335"/>
      <c r="IPL997" s="2335"/>
      <c r="IPM997" s="2335"/>
      <c r="IPN997" s="2335"/>
      <c r="IPO997" s="2335"/>
      <c r="IPP997" s="2335"/>
      <c r="IPQ997" s="2335"/>
      <c r="IPR997" s="2335"/>
      <c r="IPS997" s="2335"/>
      <c r="IPT997" s="2335"/>
      <c r="IPU997" s="2335"/>
      <c r="IPV997" s="2335"/>
      <c r="IPW997" s="2335"/>
      <c r="IPX997" s="2335"/>
      <c r="IPY997" s="2335"/>
      <c r="IPZ997" s="2335"/>
      <c r="IQA997" s="2335"/>
      <c r="IQB997" s="2335"/>
      <c r="IQC997" s="2335"/>
      <c r="IQD997" s="2335"/>
      <c r="IQE997" s="2335"/>
      <c r="IQF997" s="2335"/>
      <c r="IQG997" s="2335"/>
      <c r="IQH997" s="2335"/>
      <c r="IQI997" s="2335"/>
      <c r="IQJ997" s="2335"/>
      <c r="IQK997" s="2335"/>
      <c r="IQL997" s="2335"/>
      <c r="IQM997" s="2335"/>
      <c r="IQN997" s="2335"/>
      <c r="IQO997" s="2335"/>
      <c r="IQP997" s="2335"/>
      <c r="IQQ997" s="2335"/>
      <c r="IQR997" s="2335"/>
      <c r="IQS997" s="2335"/>
      <c r="IQT997" s="2335"/>
      <c r="IQU997" s="2335"/>
      <c r="IQV997" s="2335"/>
      <c r="IQW997" s="2335"/>
      <c r="IQX997" s="2335"/>
      <c r="IQY997" s="2335"/>
      <c r="IQZ997" s="2335"/>
      <c r="IRA997" s="2335"/>
      <c r="IRB997" s="2335"/>
      <c r="IRC997" s="2335"/>
      <c r="IRD997" s="2335"/>
      <c r="IRE997" s="2335"/>
      <c r="IRF997" s="2335"/>
      <c r="IRG997" s="2335"/>
      <c r="IRH997" s="2335"/>
      <c r="IRI997" s="2335"/>
      <c r="IRJ997" s="2335"/>
      <c r="IRK997" s="2335"/>
      <c r="IRL997" s="2335"/>
      <c r="IRM997" s="2335"/>
      <c r="IRN997" s="2335"/>
      <c r="IRO997" s="2335"/>
      <c r="IRP997" s="2335"/>
      <c r="IRQ997" s="2335"/>
      <c r="IRR997" s="2335"/>
      <c r="IRS997" s="2335"/>
      <c r="IRT997" s="2335"/>
      <c r="IRU997" s="2335"/>
      <c r="IRV997" s="2335"/>
      <c r="IRW997" s="2335"/>
      <c r="IRX997" s="2335"/>
      <c r="IRY997" s="2335"/>
      <c r="IRZ997" s="2335"/>
      <c r="ISA997" s="2335"/>
      <c r="ISB997" s="2335"/>
      <c r="ISC997" s="2335"/>
      <c r="ISD997" s="2335"/>
      <c r="ISE997" s="2335"/>
      <c r="ISF997" s="2335"/>
      <c r="ISG997" s="2335"/>
      <c r="ISH997" s="2335"/>
      <c r="ISI997" s="2335"/>
      <c r="ISJ997" s="2335"/>
      <c r="ISK997" s="2335"/>
      <c r="ISL997" s="2335"/>
      <c r="ISM997" s="2335"/>
      <c r="ISN997" s="2335"/>
      <c r="ISO997" s="2335"/>
      <c r="ISP997" s="2335"/>
      <c r="ISQ997" s="2335"/>
      <c r="ISR997" s="2335"/>
      <c r="ISS997" s="2335"/>
      <c r="IST997" s="2335"/>
      <c r="ISU997" s="2335"/>
      <c r="ISV997" s="2335"/>
      <c r="ISW997" s="2335"/>
      <c r="ISX997" s="2335"/>
      <c r="ISY997" s="2335"/>
      <c r="ISZ997" s="2335"/>
      <c r="ITA997" s="2335"/>
      <c r="ITB997" s="2335"/>
      <c r="ITC997" s="2335"/>
      <c r="ITD997" s="2335"/>
      <c r="ITE997" s="2335"/>
      <c r="ITF997" s="2335"/>
      <c r="ITG997" s="2335"/>
      <c r="ITH997" s="2335"/>
      <c r="ITI997" s="2335"/>
      <c r="ITJ997" s="2335"/>
      <c r="ITK997" s="2335"/>
      <c r="ITL997" s="2335"/>
      <c r="ITM997" s="2335"/>
      <c r="ITN997" s="2335"/>
      <c r="ITO997" s="2335"/>
      <c r="ITP997" s="2335"/>
      <c r="ITQ997" s="2335"/>
      <c r="ITR997" s="2335"/>
      <c r="ITS997" s="2335"/>
      <c r="ITT997" s="2335"/>
      <c r="ITU997" s="2335"/>
      <c r="ITV997" s="2335"/>
      <c r="ITW997" s="2335"/>
      <c r="ITX997" s="2335"/>
      <c r="ITY997" s="2335"/>
      <c r="ITZ997" s="2335"/>
      <c r="IUA997" s="2335"/>
      <c r="IUB997" s="2335"/>
      <c r="IUC997" s="2335"/>
      <c r="IUD997" s="2335"/>
      <c r="IUE997" s="2335"/>
      <c r="IUF997" s="2335"/>
      <c r="IUG997" s="2335"/>
      <c r="IUH997" s="2335"/>
      <c r="IUI997" s="2335"/>
      <c r="IUJ997" s="2335"/>
      <c r="IUK997" s="2335"/>
      <c r="IUL997" s="2335"/>
      <c r="IUM997" s="2335"/>
      <c r="IUN997" s="2335"/>
      <c r="IUO997" s="2335"/>
      <c r="IUP997" s="2335"/>
      <c r="IUQ997" s="2335"/>
      <c r="IUR997" s="2335"/>
      <c r="IUS997" s="2335"/>
      <c r="IUT997" s="2335"/>
      <c r="IUU997" s="2335"/>
      <c r="IUV997" s="2335"/>
      <c r="IUW997" s="2335"/>
      <c r="IUX997" s="2335"/>
      <c r="IUY997" s="2335"/>
      <c r="IUZ997" s="2335"/>
      <c r="IVA997" s="2335"/>
      <c r="IVB997" s="2335"/>
      <c r="IVC997" s="2335"/>
      <c r="IVD997" s="2335"/>
      <c r="IVE997" s="2335"/>
      <c r="IVF997" s="2335"/>
      <c r="IVG997" s="2335"/>
      <c r="IVH997" s="2335"/>
      <c r="IVI997" s="2335"/>
      <c r="IVJ997" s="2335"/>
      <c r="IVK997" s="2335"/>
      <c r="IVL997" s="2335"/>
      <c r="IVM997" s="2335"/>
      <c r="IVN997" s="2335"/>
      <c r="IVO997" s="2335"/>
      <c r="IVP997" s="2335"/>
      <c r="IVQ997" s="2335"/>
      <c r="IVR997" s="2335"/>
      <c r="IVS997" s="2335"/>
      <c r="IVT997" s="2335"/>
      <c r="IVU997" s="2335"/>
      <c r="IVV997" s="2335"/>
      <c r="IVW997" s="2335"/>
      <c r="IVX997" s="2335"/>
      <c r="IVY997" s="2335"/>
      <c r="IVZ997" s="2335"/>
      <c r="IWA997" s="2335"/>
      <c r="IWB997" s="2335"/>
      <c r="IWC997" s="2335"/>
      <c r="IWD997" s="2335"/>
      <c r="IWE997" s="2335"/>
      <c r="IWF997" s="2335"/>
      <c r="IWG997" s="2335"/>
      <c r="IWH997" s="2335"/>
      <c r="IWI997" s="2335"/>
      <c r="IWJ997" s="2335"/>
      <c r="IWK997" s="2335"/>
      <c r="IWL997" s="2335"/>
      <c r="IWM997" s="2335"/>
      <c r="IWN997" s="2335"/>
      <c r="IWO997" s="2335"/>
      <c r="IWP997" s="2335"/>
      <c r="IWQ997" s="2335"/>
      <c r="IWR997" s="2335"/>
      <c r="IWS997" s="2335"/>
      <c r="IWT997" s="2335"/>
      <c r="IWU997" s="2335"/>
      <c r="IWV997" s="2335"/>
      <c r="IWW997" s="2335"/>
      <c r="IWX997" s="2335"/>
      <c r="IWY997" s="2335"/>
      <c r="IWZ997" s="2335"/>
      <c r="IXA997" s="2335"/>
      <c r="IXB997" s="2335"/>
      <c r="IXC997" s="2335"/>
      <c r="IXD997" s="2335"/>
      <c r="IXE997" s="2335"/>
      <c r="IXF997" s="2335"/>
      <c r="IXG997" s="2335"/>
      <c r="IXH997" s="2335"/>
      <c r="IXI997" s="2335"/>
      <c r="IXJ997" s="2335"/>
      <c r="IXK997" s="2335"/>
      <c r="IXL997" s="2335"/>
      <c r="IXM997" s="2335"/>
      <c r="IXN997" s="2335"/>
      <c r="IXO997" s="2335"/>
      <c r="IXP997" s="2335"/>
      <c r="IXQ997" s="2335"/>
      <c r="IXR997" s="2335"/>
      <c r="IXS997" s="2335"/>
      <c r="IXT997" s="2335"/>
      <c r="IXU997" s="2335"/>
      <c r="IXV997" s="2335"/>
      <c r="IXW997" s="2335"/>
      <c r="IXX997" s="2335"/>
      <c r="IXY997" s="2335"/>
      <c r="IXZ997" s="2335"/>
      <c r="IYA997" s="2335"/>
      <c r="IYB997" s="2335"/>
      <c r="IYC997" s="2335"/>
      <c r="IYD997" s="2335"/>
      <c r="IYE997" s="2335"/>
      <c r="IYF997" s="2335"/>
      <c r="IYG997" s="2335"/>
      <c r="IYH997" s="2335"/>
      <c r="IYI997" s="2335"/>
      <c r="IYJ997" s="2335"/>
      <c r="IYK997" s="2335"/>
      <c r="IYL997" s="2335"/>
      <c r="IYM997" s="2335"/>
      <c r="IYN997" s="2335"/>
      <c r="IYO997" s="2335"/>
      <c r="IYP997" s="2335"/>
      <c r="IYQ997" s="2335"/>
      <c r="IYR997" s="2335"/>
      <c r="IYS997" s="2335"/>
      <c r="IYT997" s="2335"/>
      <c r="IYU997" s="2335"/>
      <c r="IYV997" s="2335"/>
      <c r="IYW997" s="2335"/>
      <c r="IYX997" s="2335"/>
      <c r="IYY997" s="2335"/>
      <c r="IYZ997" s="2335"/>
      <c r="IZA997" s="2335"/>
      <c r="IZB997" s="2335"/>
      <c r="IZC997" s="2335"/>
      <c r="IZD997" s="2335"/>
      <c r="IZE997" s="2335"/>
      <c r="IZF997" s="2335"/>
      <c r="IZG997" s="2335"/>
      <c r="IZH997" s="2335"/>
      <c r="IZI997" s="2335"/>
      <c r="IZJ997" s="2335"/>
      <c r="IZK997" s="2335"/>
      <c r="IZL997" s="2335"/>
      <c r="IZM997" s="2335"/>
      <c r="IZN997" s="2335"/>
      <c r="IZO997" s="2335"/>
      <c r="IZP997" s="2335"/>
      <c r="IZQ997" s="2335"/>
      <c r="IZR997" s="2335"/>
      <c r="IZS997" s="2335"/>
      <c r="IZT997" s="2335"/>
      <c r="IZU997" s="2335"/>
      <c r="IZV997" s="2335"/>
      <c r="IZW997" s="2335"/>
      <c r="IZX997" s="2335"/>
      <c r="IZY997" s="2335"/>
      <c r="IZZ997" s="2335"/>
      <c r="JAA997" s="2335"/>
      <c r="JAB997" s="2335"/>
      <c r="JAC997" s="2335"/>
      <c r="JAD997" s="2335"/>
      <c r="JAE997" s="2335"/>
      <c r="JAF997" s="2335"/>
      <c r="JAG997" s="2335"/>
      <c r="JAH997" s="2335"/>
      <c r="JAI997" s="2335"/>
      <c r="JAJ997" s="2335"/>
      <c r="JAK997" s="2335"/>
      <c r="JAL997" s="2335"/>
      <c r="JAM997" s="2335"/>
      <c r="JAN997" s="2335"/>
      <c r="JAO997" s="2335"/>
      <c r="JAP997" s="2335"/>
      <c r="JAQ997" s="2335"/>
      <c r="JAR997" s="2335"/>
      <c r="JAS997" s="2335"/>
      <c r="JAT997" s="2335"/>
      <c r="JAU997" s="2335"/>
      <c r="JAV997" s="2335"/>
      <c r="JAW997" s="2335"/>
      <c r="JAX997" s="2335"/>
      <c r="JAY997" s="2335"/>
      <c r="JAZ997" s="2335"/>
      <c r="JBA997" s="2335"/>
      <c r="JBB997" s="2335"/>
      <c r="JBC997" s="2335"/>
      <c r="JBD997" s="2335"/>
      <c r="JBE997" s="2335"/>
      <c r="JBF997" s="2335"/>
      <c r="JBG997" s="2335"/>
      <c r="JBH997" s="2335"/>
      <c r="JBI997" s="2335"/>
      <c r="JBJ997" s="2335"/>
      <c r="JBK997" s="2335"/>
      <c r="JBL997" s="2335"/>
      <c r="JBM997" s="2335"/>
      <c r="JBN997" s="2335"/>
      <c r="JBO997" s="2335"/>
      <c r="JBP997" s="2335"/>
      <c r="JBQ997" s="2335"/>
      <c r="JBR997" s="2335"/>
      <c r="JBS997" s="2335"/>
      <c r="JBT997" s="2335"/>
      <c r="JBU997" s="2335"/>
      <c r="JBV997" s="2335"/>
      <c r="JBW997" s="2335"/>
      <c r="JBX997" s="2335"/>
      <c r="JBY997" s="2335"/>
      <c r="JBZ997" s="2335"/>
      <c r="JCA997" s="2335"/>
      <c r="JCB997" s="2335"/>
      <c r="JCC997" s="2335"/>
      <c r="JCD997" s="2335"/>
      <c r="JCE997" s="2335"/>
      <c r="JCF997" s="2335"/>
      <c r="JCG997" s="2335"/>
      <c r="JCH997" s="2335"/>
      <c r="JCI997" s="2335"/>
      <c r="JCJ997" s="2335"/>
      <c r="JCK997" s="2335"/>
      <c r="JCL997" s="2335"/>
      <c r="JCM997" s="2335"/>
      <c r="JCN997" s="2335"/>
      <c r="JCO997" s="2335"/>
      <c r="JCP997" s="2335"/>
      <c r="JCQ997" s="2335"/>
      <c r="JCR997" s="2335"/>
      <c r="JCS997" s="2335"/>
      <c r="JCT997" s="2335"/>
      <c r="JCU997" s="2335"/>
      <c r="JCV997" s="2335"/>
      <c r="JCW997" s="2335"/>
      <c r="JCX997" s="2335"/>
      <c r="JCY997" s="2335"/>
      <c r="JCZ997" s="2335"/>
      <c r="JDA997" s="2335"/>
      <c r="JDB997" s="2335"/>
      <c r="JDC997" s="2335"/>
      <c r="JDD997" s="2335"/>
      <c r="JDE997" s="2335"/>
      <c r="JDF997" s="2335"/>
      <c r="JDG997" s="2335"/>
      <c r="JDH997" s="2335"/>
      <c r="JDI997" s="2335"/>
      <c r="JDJ997" s="2335"/>
      <c r="JDK997" s="2335"/>
      <c r="JDL997" s="2335"/>
      <c r="JDM997" s="2335"/>
      <c r="JDN997" s="2335"/>
      <c r="JDO997" s="2335"/>
      <c r="JDP997" s="2335"/>
      <c r="JDQ997" s="2335"/>
      <c r="JDR997" s="2335"/>
      <c r="JDS997" s="2335"/>
      <c r="JDT997" s="2335"/>
      <c r="JDU997" s="2335"/>
      <c r="JDV997" s="2335"/>
      <c r="JDW997" s="2335"/>
      <c r="JDX997" s="2335"/>
      <c r="JDY997" s="2335"/>
      <c r="JDZ997" s="2335"/>
      <c r="JEA997" s="2335"/>
      <c r="JEB997" s="2335"/>
      <c r="JEC997" s="2335"/>
      <c r="JED997" s="2335"/>
      <c r="JEE997" s="2335"/>
      <c r="JEF997" s="2335"/>
      <c r="JEG997" s="2335"/>
      <c r="JEH997" s="2335"/>
      <c r="JEI997" s="2335"/>
      <c r="JEJ997" s="2335"/>
      <c r="JEK997" s="2335"/>
      <c r="JEL997" s="2335"/>
      <c r="JEM997" s="2335"/>
      <c r="JEN997" s="2335"/>
      <c r="JEO997" s="2335"/>
      <c r="JEP997" s="2335"/>
      <c r="JEQ997" s="2335"/>
      <c r="JER997" s="2335"/>
      <c r="JES997" s="2335"/>
      <c r="JET997" s="2335"/>
      <c r="JEU997" s="2335"/>
      <c r="JEV997" s="2335"/>
      <c r="JEW997" s="2335"/>
      <c r="JEX997" s="2335"/>
      <c r="JEY997" s="2335"/>
      <c r="JEZ997" s="2335"/>
      <c r="JFA997" s="2335"/>
      <c r="JFB997" s="2335"/>
      <c r="JFC997" s="2335"/>
      <c r="JFD997" s="2335"/>
      <c r="JFE997" s="2335"/>
      <c r="JFF997" s="2335"/>
      <c r="JFG997" s="2335"/>
      <c r="JFH997" s="2335"/>
      <c r="JFI997" s="2335"/>
      <c r="JFJ997" s="2335"/>
      <c r="JFK997" s="2335"/>
      <c r="JFL997" s="2335"/>
      <c r="JFM997" s="2335"/>
      <c r="JFN997" s="2335"/>
      <c r="JFO997" s="2335"/>
      <c r="JFP997" s="2335"/>
      <c r="JFQ997" s="2335"/>
      <c r="JFR997" s="2335"/>
      <c r="JFS997" s="2335"/>
      <c r="JFT997" s="2335"/>
      <c r="JFU997" s="2335"/>
      <c r="JFV997" s="2335"/>
      <c r="JFW997" s="2335"/>
      <c r="JFX997" s="2335"/>
      <c r="JFY997" s="2335"/>
      <c r="JFZ997" s="2335"/>
      <c r="JGA997" s="2335"/>
      <c r="JGB997" s="2335"/>
      <c r="JGC997" s="2335"/>
      <c r="JGD997" s="2335"/>
      <c r="JGE997" s="2335"/>
      <c r="JGF997" s="2335"/>
      <c r="JGG997" s="2335"/>
      <c r="JGH997" s="2335"/>
      <c r="JGI997" s="2335"/>
      <c r="JGJ997" s="2335"/>
      <c r="JGK997" s="2335"/>
      <c r="JGL997" s="2335"/>
      <c r="JGM997" s="2335"/>
      <c r="JGN997" s="2335"/>
      <c r="JGO997" s="2335"/>
      <c r="JGP997" s="2335"/>
      <c r="JGQ997" s="2335"/>
      <c r="JGR997" s="2335"/>
      <c r="JGS997" s="2335"/>
      <c r="JGT997" s="2335"/>
      <c r="JGU997" s="2335"/>
      <c r="JGV997" s="2335"/>
      <c r="JGW997" s="2335"/>
      <c r="JGX997" s="2335"/>
      <c r="JGY997" s="2335"/>
      <c r="JGZ997" s="2335"/>
      <c r="JHA997" s="2335"/>
      <c r="JHB997" s="2335"/>
      <c r="JHC997" s="2335"/>
      <c r="JHD997" s="2335"/>
      <c r="JHE997" s="2335"/>
      <c r="JHF997" s="2335"/>
      <c r="JHG997" s="2335"/>
      <c r="JHH997" s="2335"/>
      <c r="JHI997" s="2335"/>
      <c r="JHJ997" s="2335"/>
      <c r="JHK997" s="2335"/>
      <c r="JHL997" s="2335"/>
      <c r="JHM997" s="2335"/>
      <c r="JHN997" s="2335"/>
      <c r="JHO997" s="2335"/>
      <c r="JHP997" s="2335"/>
      <c r="JHQ997" s="2335"/>
      <c r="JHR997" s="2335"/>
      <c r="JHS997" s="2335"/>
      <c r="JHT997" s="2335"/>
      <c r="JHU997" s="2335"/>
      <c r="JHV997" s="2335"/>
      <c r="JHW997" s="2335"/>
      <c r="JHX997" s="2335"/>
      <c r="JHY997" s="2335"/>
      <c r="JHZ997" s="2335"/>
      <c r="JIA997" s="2335"/>
      <c r="JIB997" s="2335"/>
      <c r="JIC997" s="2335"/>
      <c r="JID997" s="2335"/>
      <c r="JIE997" s="2335"/>
      <c r="JIF997" s="2335"/>
      <c r="JIG997" s="2335"/>
      <c r="JIH997" s="2335"/>
      <c r="JII997" s="2335"/>
      <c r="JIJ997" s="2335"/>
      <c r="JIK997" s="2335"/>
      <c r="JIL997" s="2335"/>
      <c r="JIM997" s="2335"/>
      <c r="JIN997" s="2335"/>
      <c r="JIO997" s="2335"/>
      <c r="JIP997" s="2335"/>
      <c r="JIQ997" s="2335"/>
      <c r="JIR997" s="2335"/>
      <c r="JIS997" s="2335"/>
      <c r="JIT997" s="2335"/>
      <c r="JIU997" s="2335"/>
      <c r="JIV997" s="2335"/>
      <c r="JIW997" s="2335"/>
      <c r="JIX997" s="2335"/>
      <c r="JIY997" s="2335"/>
      <c r="JIZ997" s="2335"/>
      <c r="JJA997" s="2335"/>
      <c r="JJB997" s="2335"/>
      <c r="JJC997" s="2335"/>
      <c r="JJD997" s="2335"/>
      <c r="JJE997" s="2335"/>
      <c r="JJF997" s="2335"/>
      <c r="JJG997" s="2335"/>
      <c r="JJH997" s="2335"/>
      <c r="JJI997" s="2335"/>
      <c r="JJJ997" s="2335"/>
      <c r="JJK997" s="2335"/>
      <c r="JJL997" s="2335"/>
      <c r="JJM997" s="2335"/>
      <c r="JJN997" s="2335"/>
      <c r="JJO997" s="2335"/>
      <c r="JJP997" s="2335"/>
      <c r="JJQ997" s="2335"/>
      <c r="JJR997" s="2335"/>
      <c r="JJS997" s="2335"/>
      <c r="JJT997" s="2335"/>
      <c r="JJU997" s="2335"/>
      <c r="JJV997" s="2335"/>
      <c r="JJW997" s="2335"/>
      <c r="JJX997" s="2335"/>
      <c r="JJY997" s="2335"/>
      <c r="JJZ997" s="2335"/>
      <c r="JKA997" s="2335"/>
      <c r="JKB997" s="2335"/>
      <c r="JKC997" s="2335"/>
      <c r="JKD997" s="2335"/>
      <c r="JKE997" s="2335"/>
      <c r="JKF997" s="2335"/>
      <c r="JKG997" s="2335"/>
      <c r="JKH997" s="2335"/>
      <c r="JKI997" s="2335"/>
      <c r="JKJ997" s="2335"/>
      <c r="JKK997" s="2335"/>
      <c r="JKL997" s="2335"/>
      <c r="JKM997" s="2335"/>
      <c r="JKN997" s="2335"/>
      <c r="JKO997" s="2335"/>
      <c r="JKP997" s="2335"/>
      <c r="JKQ997" s="2335"/>
      <c r="JKR997" s="2335"/>
      <c r="JKS997" s="2335"/>
      <c r="JKT997" s="2335"/>
      <c r="JKU997" s="2335"/>
      <c r="JKV997" s="2335"/>
      <c r="JKW997" s="2335"/>
      <c r="JKX997" s="2335"/>
      <c r="JKY997" s="2335"/>
      <c r="JKZ997" s="2335"/>
      <c r="JLA997" s="2335"/>
      <c r="JLB997" s="2335"/>
      <c r="JLC997" s="2335"/>
      <c r="JLD997" s="2335"/>
      <c r="JLE997" s="2335"/>
      <c r="JLF997" s="2335"/>
      <c r="JLG997" s="2335"/>
      <c r="JLH997" s="2335"/>
      <c r="JLI997" s="2335"/>
      <c r="JLJ997" s="2335"/>
      <c r="JLK997" s="2335"/>
      <c r="JLL997" s="2335"/>
      <c r="JLM997" s="2335"/>
      <c r="JLN997" s="2335"/>
      <c r="JLO997" s="2335"/>
      <c r="JLP997" s="2335"/>
      <c r="JLQ997" s="2335"/>
      <c r="JLR997" s="2335"/>
      <c r="JLS997" s="2335"/>
      <c r="JLT997" s="2335"/>
      <c r="JLU997" s="2335"/>
      <c r="JLV997" s="2335"/>
      <c r="JLW997" s="2335"/>
      <c r="JLX997" s="2335"/>
      <c r="JLY997" s="2335"/>
      <c r="JLZ997" s="2335"/>
      <c r="JMA997" s="2335"/>
      <c r="JMB997" s="2335"/>
      <c r="JMC997" s="2335"/>
      <c r="JMD997" s="2335"/>
      <c r="JME997" s="2335"/>
      <c r="JMF997" s="2335"/>
      <c r="JMG997" s="2335"/>
      <c r="JMH997" s="2335"/>
      <c r="JMI997" s="2335"/>
      <c r="JMJ997" s="2335"/>
      <c r="JMK997" s="2335"/>
      <c r="JML997" s="2335"/>
      <c r="JMM997" s="2335"/>
      <c r="JMN997" s="2335"/>
      <c r="JMO997" s="2335"/>
      <c r="JMP997" s="2335"/>
      <c r="JMQ997" s="2335"/>
      <c r="JMR997" s="2335"/>
      <c r="JMS997" s="2335"/>
      <c r="JMT997" s="2335"/>
      <c r="JMU997" s="2335"/>
      <c r="JMV997" s="2335"/>
      <c r="JMW997" s="2335"/>
      <c r="JMX997" s="2335"/>
      <c r="JMY997" s="2335"/>
      <c r="JMZ997" s="2335"/>
      <c r="JNA997" s="2335"/>
      <c r="JNB997" s="2335"/>
      <c r="JNC997" s="2335"/>
      <c r="JND997" s="2335"/>
      <c r="JNE997" s="2335"/>
      <c r="JNF997" s="2335"/>
      <c r="JNG997" s="2335"/>
      <c r="JNH997" s="2335"/>
      <c r="JNI997" s="2335"/>
      <c r="JNJ997" s="2335"/>
      <c r="JNK997" s="2335"/>
      <c r="JNL997" s="2335"/>
      <c r="JNM997" s="2335"/>
      <c r="JNN997" s="2335"/>
      <c r="JNO997" s="2335"/>
      <c r="JNP997" s="2335"/>
      <c r="JNQ997" s="2335"/>
      <c r="JNR997" s="2335"/>
      <c r="JNS997" s="2335"/>
      <c r="JNT997" s="2335"/>
      <c r="JNU997" s="2335"/>
      <c r="JNV997" s="2335"/>
      <c r="JNW997" s="2335"/>
      <c r="JNX997" s="2335"/>
      <c r="JNY997" s="2335"/>
      <c r="JNZ997" s="2335"/>
      <c r="JOA997" s="2335"/>
      <c r="JOB997" s="2335"/>
      <c r="JOC997" s="2335"/>
      <c r="JOD997" s="2335"/>
      <c r="JOE997" s="2335"/>
      <c r="JOF997" s="2335"/>
      <c r="JOG997" s="2335"/>
      <c r="JOH997" s="2335"/>
      <c r="JOI997" s="2335"/>
      <c r="JOJ997" s="2335"/>
      <c r="JOK997" s="2335"/>
      <c r="JOL997" s="2335"/>
      <c r="JOM997" s="2335"/>
      <c r="JON997" s="2335"/>
      <c r="JOO997" s="2335"/>
      <c r="JOP997" s="2335"/>
      <c r="JOQ997" s="2335"/>
      <c r="JOR997" s="2335"/>
      <c r="JOS997" s="2335"/>
      <c r="JOT997" s="2335"/>
      <c r="JOU997" s="2335"/>
      <c r="JOV997" s="2335"/>
      <c r="JOW997" s="2335"/>
      <c r="JOX997" s="2335"/>
      <c r="JOY997" s="2335"/>
      <c r="JOZ997" s="2335"/>
      <c r="JPA997" s="2335"/>
      <c r="JPB997" s="2335"/>
      <c r="JPC997" s="2335"/>
      <c r="JPD997" s="2335"/>
      <c r="JPE997" s="2335"/>
      <c r="JPF997" s="2335"/>
      <c r="JPG997" s="2335"/>
      <c r="JPH997" s="2335"/>
      <c r="JPI997" s="2335"/>
      <c r="JPJ997" s="2335"/>
      <c r="JPK997" s="2335"/>
      <c r="JPL997" s="2335"/>
      <c r="JPM997" s="2335"/>
      <c r="JPN997" s="2335"/>
      <c r="JPO997" s="2335"/>
      <c r="JPP997" s="2335"/>
      <c r="JPQ997" s="2335"/>
      <c r="JPR997" s="2335"/>
      <c r="JPS997" s="2335"/>
      <c r="JPT997" s="2335"/>
      <c r="JPU997" s="2335"/>
      <c r="JPV997" s="2335"/>
      <c r="JPW997" s="2335"/>
      <c r="JPX997" s="2335"/>
      <c r="JPY997" s="2335"/>
      <c r="JPZ997" s="2335"/>
      <c r="JQA997" s="2335"/>
      <c r="JQB997" s="2335"/>
      <c r="JQC997" s="2335"/>
      <c r="JQD997" s="2335"/>
      <c r="JQE997" s="2335"/>
      <c r="JQF997" s="2335"/>
      <c r="JQG997" s="2335"/>
      <c r="JQH997" s="2335"/>
      <c r="JQI997" s="2335"/>
      <c r="JQJ997" s="2335"/>
      <c r="JQK997" s="2335"/>
      <c r="JQL997" s="2335"/>
      <c r="JQM997" s="2335"/>
      <c r="JQN997" s="2335"/>
      <c r="JQO997" s="2335"/>
      <c r="JQP997" s="2335"/>
      <c r="JQQ997" s="2335"/>
      <c r="JQR997" s="2335"/>
      <c r="JQS997" s="2335"/>
      <c r="JQT997" s="2335"/>
      <c r="JQU997" s="2335"/>
      <c r="JQV997" s="2335"/>
      <c r="JQW997" s="2335"/>
      <c r="JQX997" s="2335"/>
      <c r="JQY997" s="2335"/>
      <c r="JQZ997" s="2335"/>
      <c r="JRA997" s="2335"/>
      <c r="JRB997" s="2335"/>
      <c r="JRC997" s="2335"/>
      <c r="JRD997" s="2335"/>
      <c r="JRE997" s="2335"/>
      <c r="JRF997" s="2335"/>
      <c r="JRG997" s="2335"/>
      <c r="JRH997" s="2335"/>
      <c r="JRI997" s="2335"/>
      <c r="JRJ997" s="2335"/>
      <c r="JRK997" s="2335"/>
      <c r="JRL997" s="2335"/>
      <c r="JRM997" s="2335"/>
      <c r="JRN997" s="2335"/>
      <c r="JRO997" s="2335"/>
      <c r="JRP997" s="2335"/>
      <c r="JRQ997" s="2335"/>
      <c r="JRR997" s="2335"/>
      <c r="JRS997" s="2335"/>
      <c r="JRT997" s="2335"/>
      <c r="JRU997" s="2335"/>
      <c r="JRV997" s="2335"/>
      <c r="JRW997" s="2335"/>
      <c r="JRX997" s="2335"/>
      <c r="JRY997" s="2335"/>
      <c r="JRZ997" s="2335"/>
      <c r="JSA997" s="2335"/>
      <c r="JSB997" s="2335"/>
      <c r="JSC997" s="2335"/>
      <c r="JSD997" s="2335"/>
      <c r="JSE997" s="2335"/>
      <c r="JSF997" s="2335"/>
      <c r="JSG997" s="2335"/>
      <c r="JSH997" s="2335"/>
      <c r="JSI997" s="2335"/>
      <c r="JSJ997" s="2335"/>
      <c r="JSK997" s="2335"/>
      <c r="JSL997" s="2335"/>
      <c r="JSM997" s="2335"/>
      <c r="JSN997" s="2335"/>
      <c r="JSO997" s="2335"/>
      <c r="JSP997" s="2335"/>
      <c r="JSQ997" s="2335"/>
      <c r="JSR997" s="2335"/>
      <c r="JSS997" s="2335"/>
      <c r="JST997" s="2335"/>
      <c r="JSU997" s="2335"/>
      <c r="JSV997" s="2335"/>
      <c r="JSW997" s="2335"/>
      <c r="JSX997" s="2335"/>
      <c r="JSY997" s="2335"/>
      <c r="JSZ997" s="2335"/>
      <c r="JTA997" s="2335"/>
      <c r="JTB997" s="2335"/>
      <c r="JTC997" s="2335"/>
      <c r="JTD997" s="2335"/>
      <c r="JTE997" s="2335"/>
      <c r="JTF997" s="2335"/>
      <c r="JTG997" s="2335"/>
      <c r="JTH997" s="2335"/>
      <c r="JTI997" s="2335"/>
      <c r="JTJ997" s="2335"/>
      <c r="JTK997" s="2335"/>
      <c r="JTL997" s="2335"/>
      <c r="JTM997" s="2335"/>
      <c r="JTN997" s="2335"/>
      <c r="JTO997" s="2335"/>
      <c r="JTP997" s="2335"/>
      <c r="JTQ997" s="2335"/>
      <c r="JTR997" s="2335"/>
      <c r="JTS997" s="2335"/>
      <c r="JTT997" s="2335"/>
      <c r="JTU997" s="2335"/>
      <c r="JTV997" s="2335"/>
      <c r="JTW997" s="2335"/>
      <c r="JTX997" s="2335"/>
      <c r="JTY997" s="2335"/>
      <c r="JTZ997" s="2335"/>
      <c r="JUA997" s="2335"/>
      <c r="JUB997" s="2335"/>
      <c r="JUC997" s="2335"/>
      <c r="JUD997" s="2335"/>
      <c r="JUE997" s="2335"/>
      <c r="JUF997" s="2335"/>
      <c r="JUG997" s="2335"/>
      <c r="JUH997" s="2335"/>
      <c r="JUI997" s="2335"/>
      <c r="JUJ997" s="2335"/>
      <c r="JUK997" s="2335"/>
      <c r="JUL997" s="2335"/>
      <c r="JUM997" s="2335"/>
      <c r="JUN997" s="2335"/>
      <c r="JUO997" s="2335"/>
      <c r="JUP997" s="2335"/>
      <c r="JUQ997" s="2335"/>
      <c r="JUR997" s="2335"/>
      <c r="JUS997" s="2335"/>
      <c r="JUT997" s="2335"/>
      <c r="JUU997" s="2335"/>
      <c r="JUV997" s="2335"/>
      <c r="JUW997" s="2335"/>
      <c r="JUX997" s="2335"/>
      <c r="JUY997" s="2335"/>
      <c r="JUZ997" s="2335"/>
      <c r="JVA997" s="2335"/>
      <c r="JVB997" s="2335"/>
      <c r="JVC997" s="2335"/>
      <c r="JVD997" s="2335"/>
      <c r="JVE997" s="2335"/>
      <c r="JVF997" s="2335"/>
      <c r="JVG997" s="2335"/>
      <c r="JVH997" s="2335"/>
      <c r="JVI997" s="2335"/>
      <c r="JVJ997" s="2335"/>
      <c r="JVK997" s="2335"/>
      <c r="JVL997" s="2335"/>
      <c r="JVM997" s="2335"/>
      <c r="JVN997" s="2335"/>
      <c r="JVO997" s="2335"/>
      <c r="JVP997" s="2335"/>
      <c r="JVQ997" s="2335"/>
      <c r="JVR997" s="2335"/>
      <c r="JVS997" s="2335"/>
      <c r="JVT997" s="2335"/>
      <c r="JVU997" s="2335"/>
      <c r="JVV997" s="2335"/>
      <c r="JVW997" s="2335"/>
      <c r="JVX997" s="2335"/>
      <c r="JVY997" s="2335"/>
      <c r="JVZ997" s="2335"/>
      <c r="JWA997" s="2335"/>
      <c r="JWB997" s="2335"/>
      <c r="JWC997" s="2335"/>
      <c r="JWD997" s="2335"/>
      <c r="JWE997" s="2335"/>
      <c r="JWF997" s="2335"/>
      <c r="JWG997" s="2335"/>
      <c r="JWH997" s="2335"/>
      <c r="JWI997" s="2335"/>
      <c r="JWJ997" s="2335"/>
      <c r="JWK997" s="2335"/>
      <c r="JWL997" s="2335"/>
      <c r="JWM997" s="2335"/>
      <c r="JWN997" s="2335"/>
      <c r="JWO997" s="2335"/>
      <c r="JWP997" s="2335"/>
      <c r="JWQ997" s="2335"/>
      <c r="JWR997" s="2335"/>
      <c r="JWS997" s="2335"/>
      <c r="JWT997" s="2335"/>
      <c r="JWU997" s="2335"/>
      <c r="JWV997" s="2335"/>
      <c r="JWW997" s="2335"/>
      <c r="JWX997" s="2335"/>
      <c r="JWY997" s="2335"/>
      <c r="JWZ997" s="2335"/>
      <c r="JXA997" s="2335"/>
      <c r="JXB997" s="2335"/>
      <c r="JXC997" s="2335"/>
      <c r="JXD997" s="2335"/>
      <c r="JXE997" s="2335"/>
      <c r="JXF997" s="2335"/>
      <c r="JXG997" s="2335"/>
      <c r="JXH997" s="2335"/>
      <c r="JXI997" s="2335"/>
      <c r="JXJ997" s="2335"/>
      <c r="JXK997" s="2335"/>
      <c r="JXL997" s="2335"/>
      <c r="JXM997" s="2335"/>
      <c r="JXN997" s="2335"/>
      <c r="JXO997" s="2335"/>
      <c r="JXP997" s="2335"/>
      <c r="JXQ997" s="2335"/>
      <c r="JXR997" s="2335"/>
      <c r="JXS997" s="2335"/>
      <c r="JXT997" s="2335"/>
      <c r="JXU997" s="2335"/>
      <c r="JXV997" s="2335"/>
      <c r="JXW997" s="2335"/>
      <c r="JXX997" s="2335"/>
      <c r="JXY997" s="2335"/>
      <c r="JXZ997" s="2335"/>
      <c r="JYA997" s="2335"/>
      <c r="JYB997" s="2335"/>
      <c r="JYC997" s="2335"/>
      <c r="JYD997" s="2335"/>
      <c r="JYE997" s="2335"/>
      <c r="JYF997" s="2335"/>
      <c r="JYG997" s="2335"/>
      <c r="JYH997" s="2335"/>
      <c r="JYI997" s="2335"/>
      <c r="JYJ997" s="2335"/>
      <c r="JYK997" s="2335"/>
      <c r="JYL997" s="2335"/>
      <c r="JYM997" s="2335"/>
      <c r="JYN997" s="2335"/>
      <c r="JYO997" s="2335"/>
      <c r="JYP997" s="2335"/>
      <c r="JYQ997" s="2335"/>
      <c r="JYR997" s="2335"/>
      <c r="JYS997" s="2335"/>
      <c r="JYT997" s="2335"/>
      <c r="JYU997" s="2335"/>
      <c r="JYV997" s="2335"/>
      <c r="JYW997" s="2335"/>
      <c r="JYX997" s="2335"/>
      <c r="JYY997" s="2335"/>
      <c r="JYZ997" s="2335"/>
      <c r="JZA997" s="2335"/>
      <c r="JZB997" s="2335"/>
      <c r="JZC997" s="2335"/>
      <c r="JZD997" s="2335"/>
      <c r="JZE997" s="2335"/>
      <c r="JZF997" s="2335"/>
      <c r="JZG997" s="2335"/>
      <c r="JZH997" s="2335"/>
      <c r="JZI997" s="2335"/>
      <c r="JZJ997" s="2335"/>
      <c r="JZK997" s="2335"/>
      <c r="JZL997" s="2335"/>
      <c r="JZM997" s="2335"/>
      <c r="JZN997" s="2335"/>
      <c r="JZO997" s="2335"/>
      <c r="JZP997" s="2335"/>
      <c r="JZQ997" s="2335"/>
      <c r="JZR997" s="2335"/>
      <c r="JZS997" s="2335"/>
      <c r="JZT997" s="2335"/>
      <c r="JZU997" s="2335"/>
      <c r="JZV997" s="2335"/>
      <c r="JZW997" s="2335"/>
      <c r="JZX997" s="2335"/>
      <c r="JZY997" s="2335"/>
      <c r="JZZ997" s="2335"/>
      <c r="KAA997" s="2335"/>
      <c r="KAB997" s="2335"/>
      <c r="KAC997" s="2335"/>
      <c r="KAD997" s="2335"/>
      <c r="KAE997" s="2335"/>
      <c r="KAF997" s="2335"/>
      <c r="KAG997" s="2335"/>
      <c r="KAH997" s="2335"/>
      <c r="KAI997" s="2335"/>
      <c r="KAJ997" s="2335"/>
      <c r="KAK997" s="2335"/>
      <c r="KAL997" s="2335"/>
      <c r="KAM997" s="2335"/>
      <c r="KAN997" s="2335"/>
      <c r="KAO997" s="2335"/>
      <c r="KAP997" s="2335"/>
      <c r="KAQ997" s="2335"/>
      <c r="KAR997" s="2335"/>
      <c r="KAS997" s="2335"/>
      <c r="KAT997" s="2335"/>
      <c r="KAU997" s="2335"/>
      <c r="KAV997" s="2335"/>
      <c r="KAW997" s="2335"/>
      <c r="KAX997" s="2335"/>
      <c r="KAY997" s="2335"/>
      <c r="KAZ997" s="2335"/>
      <c r="KBA997" s="2335"/>
      <c r="KBB997" s="2335"/>
      <c r="KBC997" s="2335"/>
      <c r="KBD997" s="2335"/>
      <c r="KBE997" s="2335"/>
      <c r="KBF997" s="2335"/>
      <c r="KBG997" s="2335"/>
      <c r="KBH997" s="2335"/>
      <c r="KBI997" s="2335"/>
      <c r="KBJ997" s="2335"/>
      <c r="KBK997" s="2335"/>
      <c r="KBL997" s="2335"/>
      <c r="KBM997" s="2335"/>
      <c r="KBN997" s="2335"/>
      <c r="KBO997" s="2335"/>
      <c r="KBP997" s="2335"/>
      <c r="KBQ997" s="2335"/>
      <c r="KBR997" s="2335"/>
      <c r="KBS997" s="2335"/>
      <c r="KBT997" s="2335"/>
      <c r="KBU997" s="2335"/>
      <c r="KBV997" s="2335"/>
      <c r="KBW997" s="2335"/>
      <c r="KBX997" s="2335"/>
      <c r="KBY997" s="2335"/>
      <c r="KBZ997" s="2335"/>
      <c r="KCA997" s="2335"/>
      <c r="KCB997" s="2335"/>
      <c r="KCC997" s="2335"/>
      <c r="KCD997" s="2335"/>
      <c r="KCE997" s="2335"/>
      <c r="KCF997" s="2335"/>
      <c r="KCG997" s="2335"/>
      <c r="KCH997" s="2335"/>
      <c r="KCI997" s="2335"/>
      <c r="KCJ997" s="2335"/>
      <c r="KCK997" s="2335"/>
      <c r="KCL997" s="2335"/>
      <c r="KCM997" s="2335"/>
      <c r="KCN997" s="2335"/>
      <c r="KCO997" s="2335"/>
      <c r="KCP997" s="2335"/>
      <c r="KCQ997" s="2335"/>
      <c r="KCR997" s="2335"/>
      <c r="KCS997" s="2335"/>
      <c r="KCT997" s="2335"/>
      <c r="KCU997" s="2335"/>
      <c r="KCV997" s="2335"/>
      <c r="KCW997" s="2335"/>
      <c r="KCX997" s="2335"/>
      <c r="KCY997" s="2335"/>
      <c r="KCZ997" s="2335"/>
      <c r="KDA997" s="2335"/>
      <c r="KDB997" s="2335"/>
      <c r="KDC997" s="2335"/>
      <c r="KDD997" s="2335"/>
      <c r="KDE997" s="2335"/>
      <c r="KDF997" s="2335"/>
      <c r="KDG997" s="2335"/>
      <c r="KDH997" s="2335"/>
      <c r="KDI997" s="2335"/>
      <c r="KDJ997" s="2335"/>
      <c r="KDK997" s="2335"/>
      <c r="KDL997" s="2335"/>
      <c r="KDM997" s="2335"/>
      <c r="KDN997" s="2335"/>
      <c r="KDO997" s="2335"/>
      <c r="KDP997" s="2335"/>
      <c r="KDQ997" s="2335"/>
      <c r="KDR997" s="2335"/>
      <c r="KDS997" s="2335"/>
      <c r="KDT997" s="2335"/>
      <c r="KDU997" s="2335"/>
      <c r="KDV997" s="2335"/>
      <c r="KDW997" s="2335"/>
      <c r="KDX997" s="2335"/>
      <c r="KDY997" s="2335"/>
      <c r="KDZ997" s="2335"/>
      <c r="KEA997" s="2335"/>
      <c r="KEB997" s="2335"/>
      <c r="KEC997" s="2335"/>
      <c r="KED997" s="2335"/>
      <c r="KEE997" s="2335"/>
      <c r="KEF997" s="2335"/>
      <c r="KEG997" s="2335"/>
      <c r="KEH997" s="2335"/>
      <c r="KEI997" s="2335"/>
      <c r="KEJ997" s="2335"/>
      <c r="KEK997" s="2335"/>
      <c r="KEL997" s="2335"/>
      <c r="KEM997" s="2335"/>
      <c r="KEN997" s="2335"/>
      <c r="KEO997" s="2335"/>
      <c r="KEP997" s="2335"/>
      <c r="KEQ997" s="2335"/>
      <c r="KER997" s="2335"/>
      <c r="KES997" s="2335"/>
      <c r="KET997" s="2335"/>
      <c r="KEU997" s="2335"/>
      <c r="KEV997" s="2335"/>
      <c r="KEW997" s="2335"/>
      <c r="KEX997" s="2335"/>
      <c r="KEY997" s="2335"/>
      <c r="KEZ997" s="2335"/>
      <c r="KFA997" s="2335"/>
      <c r="KFB997" s="2335"/>
      <c r="KFC997" s="2335"/>
      <c r="KFD997" s="2335"/>
      <c r="KFE997" s="2335"/>
      <c r="KFF997" s="2335"/>
      <c r="KFG997" s="2335"/>
      <c r="KFH997" s="2335"/>
      <c r="KFI997" s="2335"/>
      <c r="KFJ997" s="2335"/>
      <c r="KFK997" s="2335"/>
      <c r="KFL997" s="2335"/>
      <c r="KFM997" s="2335"/>
      <c r="KFN997" s="2335"/>
      <c r="KFO997" s="2335"/>
      <c r="KFP997" s="2335"/>
      <c r="KFQ997" s="2335"/>
      <c r="KFR997" s="2335"/>
      <c r="KFS997" s="2335"/>
      <c r="KFT997" s="2335"/>
      <c r="KFU997" s="2335"/>
      <c r="KFV997" s="2335"/>
      <c r="KFW997" s="2335"/>
      <c r="KFX997" s="2335"/>
      <c r="KFY997" s="2335"/>
      <c r="KFZ997" s="2335"/>
      <c r="KGA997" s="2335"/>
      <c r="KGB997" s="2335"/>
      <c r="KGC997" s="2335"/>
      <c r="KGD997" s="2335"/>
      <c r="KGE997" s="2335"/>
      <c r="KGF997" s="2335"/>
      <c r="KGG997" s="2335"/>
      <c r="KGH997" s="2335"/>
      <c r="KGI997" s="2335"/>
      <c r="KGJ997" s="2335"/>
      <c r="KGK997" s="2335"/>
      <c r="KGL997" s="2335"/>
      <c r="KGM997" s="2335"/>
      <c r="KGN997" s="2335"/>
      <c r="KGO997" s="2335"/>
      <c r="KGP997" s="2335"/>
      <c r="KGQ997" s="2335"/>
      <c r="KGR997" s="2335"/>
      <c r="KGS997" s="2335"/>
      <c r="KGT997" s="2335"/>
      <c r="KGU997" s="2335"/>
      <c r="KGV997" s="2335"/>
      <c r="KGW997" s="2335"/>
      <c r="KGX997" s="2335"/>
      <c r="KGY997" s="2335"/>
      <c r="KGZ997" s="2335"/>
      <c r="KHA997" s="2335"/>
      <c r="KHB997" s="2335"/>
      <c r="KHC997" s="2335"/>
      <c r="KHD997" s="2335"/>
      <c r="KHE997" s="2335"/>
      <c r="KHF997" s="2335"/>
      <c r="KHG997" s="2335"/>
      <c r="KHH997" s="2335"/>
      <c r="KHI997" s="2335"/>
      <c r="KHJ997" s="2335"/>
      <c r="KHK997" s="2335"/>
      <c r="KHL997" s="2335"/>
      <c r="KHM997" s="2335"/>
      <c r="KHN997" s="2335"/>
      <c r="KHO997" s="2335"/>
      <c r="KHP997" s="2335"/>
      <c r="KHQ997" s="2335"/>
      <c r="KHR997" s="2335"/>
      <c r="KHS997" s="2335"/>
      <c r="KHT997" s="2335"/>
      <c r="KHU997" s="2335"/>
      <c r="KHV997" s="2335"/>
      <c r="KHW997" s="2335"/>
      <c r="KHX997" s="2335"/>
      <c r="KHY997" s="2335"/>
      <c r="KHZ997" s="2335"/>
      <c r="KIA997" s="2335"/>
      <c r="KIB997" s="2335"/>
      <c r="KIC997" s="2335"/>
      <c r="KID997" s="2335"/>
      <c r="KIE997" s="2335"/>
      <c r="KIF997" s="2335"/>
      <c r="KIG997" s="2335"/>
      <c r="KIH997" s="2335"/>
      <c r="KII997" s="2335"/>
      <c r="KIJ997" s="2335"/>
      <c r="KIK997" s="2335"/>
      <c r="KIL997" s="2335"/>
      <c r="KIM997" s="2335"/>
      <c r="KIN997" s="2335"/>
      <c r="KIO997" s="2335"/>
      <c r="KIP997" s="2335"/>
      <c r="KIQ997" s="2335"/>
      <c r="KIR997" s="2335"/>
      <c r="KIS997" s="2335"/>
      <c r="KIT997" s="2335"/>
      <c r="KIU997" s="2335"/>
      <c r="KIV997" s="2335"/>
      <c r="KIW997" s="2335"/>
      <c r="KIX997" s="2335"/>
      <c r="KIY997" s="2335"/>
      <c r="KIZ997" s="2335"/>
      <c r="KJA997" s="2335"/>
      <c r="KJB997" s="2335"/>
      <c r="KJC997" s="2335"/>
      <c r="KJD997" s="2335"/>
      <c r="KJE997" s="2335"/>
      <c r="KJF997" s="2335"/>
      <c r="KJG997" s="2335"/>
      <c r="KJH997" s="2335"/>
      <c r="KJI997" s="2335"/>
      <c r="KJJ997" s="2335"/>
      <c r="KJK997" s="2335"/>
      <c r="KJL997" s="2335"/>
      <c r="KJM997" s="2335"/>
      <c r="KJN997" s="2335"/>
      <c r="KJO997" s="2335"/>
      <c r="KJP997" s="2335"/>
      <c r="KJQ997" s="2335"/>
      <c r="KJR997" s="2335"/>
      <c r="KJS997" s="2335"/>
      <c r="KJT997" s="2335"/>
      <c r="KJU997" s="2335"/>
      <c r="KJV997" s="2335"/>
      <c r="KJW997" s="2335"/>
      <c r="KJX997" s="2335"/>
      <c r="KJY997" s="2335"/>
      <c r="KJZ997" s="2335"/>
      <c r="KKA997" s="2335"/>
      <c r="KKB997" s="2335"/>
      <c r="KKC997" s="2335"/>
      <c r="KKD997" s="2335"/>
      <c r="KKE997" s="2335"/>
      <c r="KKF997" s="2335"/>
      <c r="KKG997" s="2335"/>
      <c r="KKH997" s="2335"/>
      <c r="KKI997" s="2335"/>
      <c r="KKJ997" s="2335"/>
      <c r="KKK997" s="2335"/>
      <c r="KKL997" s="2335"/>
      <c r="KKM997" s="2335"/>
      <c r="KKN997" s="2335"/>
      <c r="KKO997" s="2335"/>
      <c r="KKP997" s="2335"/>
      <c r="KKQ997" s="2335"/>
      <c r="KKR997" s="2335"/>
      <c r="KKS997" s="2335"/>
      <c r="KKT997" s="2335"/>
      <c r="KKU997" s="2335"/>
      <c r="KKV997" s="2335"/>
      <c r="KKW997" s="2335"/>
      <c r="KKX997" s="2335"/>
      <c r="KKY997" s="2335"/>
      <c r="KKZ997" s="2335"/>
      <c r="KLA997" s="2335"/>
      <c r="KLB997" s="2335"/>
      <c r="KLC997" s="2335"/>
      <c r="KLD997" s="2335"/>
      <c r="KLE997" s="2335"/>
      <c r="KLF997" s="2335"/>
      <c r="KLG997" s="2335"/>
      <c r="KLH997" s="2335"/>
      <c r="KLI997" s="2335"/>
      <c r="KLJ997" s="2335"/>
      <c r="KLK997" s="2335"/>
      <c r="KLL997" s="2335"/>
      <c r="KLM997" s="2335"/>
      <c r="KLN997" s="2335"/>
      <c r="KLO997" s="2335"/>
      <c r="KLP997" s="2335"/>
      <c r="KLQ997" s="2335"/>
      <c r="KLR997" s="2335"/>
      <c r="KLS997" s="2335"/>
      <c r="KLT997" s="2335"/>
      <c r="KLU997" s="2335"/>
      <c r="KLV997" s="2335"/>
      <c r="KLW997" s="2335"/>
      <c r="KLX997" s="2335"/>
      <c r="KLY997" s="2335"/>
      <c r="KLZ997" s="2335"/>
      <c r="KMA997" s="2335"/>
      <c r="KMB997" s="2335"/>
      <c r="KMC997" s="2335"/>
      <c r="KMD997" s="2335"/>
      <c r="KME997" s="2335"/>
      <c r="KMF997" s="2335"/>
      <c r="KMG997" s="2335"/>
      <c r="KMH997" s="2335"/>
      <c r="KMI997" s="2335"/>
      <c r="KMJ997" s="2335"/>
      <c r="KMK997" s="2335"/>
      <c r="KML997" s="2335"/>
      <c r="KMM997" s="2335"/>
      <c r="KMN997" s="2335"/>
      <c r="KMO997" s="2335"/>
      <c r="KMP997" s="2335"/>
      <c r="KMQ997" s="2335"/>
      <c r="KMR997" s="2335"/>
      <c r="KMS997" s="2335"/>
      <c r="KMT997" s="2335"/>
      <c r="KMU997" s="2335"/>
      <c r="KMV997" s="2335"/>
      <c r="KMW997" s="2335"/>
      <c r="KMX997" s="2335"/>
      <c r="KMY997" s="2335"/>
      <c r="KMZ997" s="2335"/>
      <c r="KNA997" s="2335"/>
      <c r="KNB997" s="2335"/>
      <c r="KNC997" s="2335"/>
      <c r="KND997" s="2335"/>
      <c r="KNE997" s="2335"/>
      <c r="KNF997" s="2335"/>
      <c r="KNG997" s="2335"/>
      <c r="KNH997" s="2335"/>
      <c r="KNI997" s="2335"/>
      <c r="KNJ997" s="2335"/>
      <c r="KNK997" s="2335"/>
      <c r="KNL997" s="2335"/>
      <c r="KNM997" s="2335"/>
      <c r="KNN997" s="2335"/>
      <c r="KNO997" s="2335"/>
      <c r="KNP997" s="2335"/>
      <c r="KNQ997" s="2335"/>
      <c r="KNR997" s="2335"/>
      <c r="KNS997" s="2335"/>
      <c r="KNT997" s="2335"/>
      <c r="KNU997" s="2335"/>
      <c r="KNV997" s="2335"/>
      <c r="KNW997" s="2335"/>
      <c r="KNX997" s="2335"/>
      <c r="KNY997" s="2335"/>
      <c r="KNZ997" s="2335"/>
      <c r="KOA997" s="2335"/>
      <c r="KOB997" s="2335"/>
      <c r="KOC997" s="2335"/>
      <c r="KOD997" s="2335"/>
      <c r="KOE997" s="2335"/>
      <c r="KOF997" s="2335"/>
      <c r="KOG997" s="2335"/>
      <c r="KOH997" s="2335"/>
      <c r="KOI997" s="2335"/>
      <c r="KOJ997" s="2335"/>
      <c r="KOK997" s="2335"/>
      <c r="KOL997" s="2335"/>
      <c r="KOM997" s="2335"/>
      <c r="KON997" s="2335"/>
      <c r="KOO997" s="2335"/>
      <c r="KOP997" s="2335"/>
      <c r="KOQ997" s="2335"/>
      <c r="KOR997" s="2335"/>
      <c r="KOS997" s="2335"/>
      <c r="KOT997" s="2335"/>
      <c r="KOU997" s="2335"/>
      <c r="KOV997" s="2335"/>
      <c r="KOW997" s="2335"/>
      <c r="KOX997" s="2335"/>
      <c r="KOY997" s="2335"/>
      <c r="KOZ997" s="2335"/>
      <c r="KPA997" s="2335"/>
      <c r="KPB997" s="2335"/>
      <c r="KPC997" s="2335"/>
      <c r="KPD997" s="2335"/>
      <c r="KPE997" s="2335"/>
      <c r="KPF997" s="2335"/>
      <c r="KPG997" s="2335"/>
      <c r="KPH997" s="2335"/>
      <c r="KPI997" s="2335"/>
      <c r="KPJ997" s="2335"/>
      <c r="KPK997" s="2335"/>
      <c r="KPL997" s="2335"/>
      <c r="KPM997" s="2335"/>
      <c r="KPN997" s="2335"/>
      <c r="KPO997" s="2335"/>
      <c r="KPP997" s="2335"/>
      <c r="KPQ997" s="2335"/>
      <c r="KPR997" s="2335"/>
      <c r="KPS997" s="2335"/>
      <c r="KPT997" s="2335"/>
      <c r="KPU997" s="2335"/>
      <c r="KPV997" s="2335"/>
      <c r="KPW997" s="2335"/>
      <c r="KPX997" s="2335"/>
      <c r="KPY997" s="2335"/>
      <c r="KPZ997" s="2335"/>
      <c r="KQA997" s="2335"/>
      <c r="KQB997" s="2335"/>
      <c r="KQC997" s="2335"/>
      <c r="KQD997" s="2335"/>
      <c r="KQE997" s="2335"/>
      <c r="KQF997" s="2335"/>
      <c r="KQG997" s="2335"/>
      <c r="KQH997" s="2335"/>
      <c r="KQI997" s="2335"/>
      <c r="KQJ997" s="2335"/>
      <c r="KQK997" s="2335"/>
      <c r="KQL997" s="2335"/>
      <c r="KQM997" s="2335"/>
      <c r="KQN997" s="2335"/>
      <c r="KQO997" s="2335"/>
      <c r="KQP997" s="2335"/>
      <c r="KQQ997" s="2335"/>
      <c r="KQR997" s="2335"/>
      <c r="KQS997" s="2335"/>
      <c r="KQT997" s="2335"/>
      <c r="KQU997" s="2335"/>
      <c r="KQV997" s="2335"/>
      <c r="KQW997" s="2335"/>
      <c r="KQX997" s="2335"/>
      <c r="KQY997" s="2335"/>
      <c r="KQZ997" s="2335"/>
      <c r="KRA997" s="2335"/>
      <c r="KRB997" s="2335"/>
      <c r="KRC997" s="2335"/>
      <c r="KRD997" s="2335"/>
      <c r="KRE997" s="2335"/>
      <c r="KRF997" s="2335"/>
      <c r="KRG997" s="2335"/>
      <c r="KRH997" s="2335"/>
      <c r="KRI997" s="2335"/>
      <c r="KRJ997" s="2335"/>
      <c r="KRK997" s="2335"/>
      <c r="KRL997" s="2335"/>
      <c r="KRM997" s="2335"/>
      <c r="KRN997" s="2335"/>
      <c r="KRO997" s="2335"/>
      <c r="KRP997" s="2335"/>
      <c r="KRQ997" s="2335"/>
      <c r="KRR997" s="2335"/>
      <c r="KRS997" s="2335"/>
      <c r="KRT997" s="2335"/>
      <c r="KRU997" s="2335"/>
      <c r="KRV997" s="2335"/>
      <c r="KRW997" s="2335"/>
      <c r="KRX997" s="2335"/>
      <c r="KRY997" s="2335"/>
      <c r="KRZ997" s="2335"/>
      <c r="KSA997" s="2335"/>
      <c r="KSB997" s="2335"/>
      <c r="KSC997" s="2335"/>
      <c r="KSD997" s="2335"/>
      <c r="KSE997" s="2335"/>
      <c r="KSF997" s="2335"/>
      <c r="KSG997" s="2335"/>
      <c r="KSH997" s="2335"/>
      <c r="KSI997" s="2335"/>
      <c r="KSJ997" s="2335"/>
      <c r="KSK997" s="2335"/>
      <c r="KSL997" s="2335"/>
      <c r="KSM997" s="2335"/>
      <c r="KSN997" s="2335"/>
      <c r="KSO997" s="2335"/>
      <c r="KSP997" s="2335"/>
      <c r="KSQ997" s="2335"/>
      <c r="KSR997" s="2335"/>
      <c r="KSS997" s="2335"/>
      <c r="KST997" s="2335"/>
      <c r="KSU997" s="2335"/>
      <c r="KSV997" s="2335"/>
      <c r="KSW997" s="2335"/>
      <c r="KSX997" s="2335"/>
      <c r="KSY997" s="2335"/>
      <c r="KSZ997" s="2335"/>
      <c r="KTA997" s="2335"/>
      <c r="KTB997" s="2335"/>
      <c r="KTC997" s="2335"/>
      <c r="KTD997" s="2335"/>
      <c r="KTE997" s="2335"/>
      <c r="KTF997" s="2335"/>
      <c r="KTG997" s="2335"/>
      <c r="KTH997" s="2335"/>
      <c r="KTI997" s="2335"/>
      <c r="KTJ997" s="2335"/>
      <c r="KTK997" s="2335"/>
      <c r="KTL997" s="2335"/>
      <c r="KTM997" s="2335"/>
      <c r="KTN997" s="2335"/>
      <c r="KTO997" s="2335"/>
      <c r="KTP997" s="2335"/>
      <c r="KTQ997" s="2335"/>
      <c r="KTR997" s="2335"/>
      <c r="KTS997" s="2335"/>
      <c r="KTT997" s="2335"/>
      <c r="KTU997" s="2335"/>
      <c r="KTV997" s="2335"/>
      <c r="KTW997" s="2335"/>
      <c r="KTX997" s="2335"/>
      <c r="KTY997" s="2335"/>
      <c r="KTZ997" s="2335"/>
      <c r="KUA997" s="2335"/>
      <c r="KUB997" s="2335"/>
      <c r="KUC997" s="2335"/>
      <c r="KUD997" s="2335"/>
      <c r="KUE997" s="2335"/>
      <c r="KUF997" s="2335"/>
      <c r="KUG997" s="2335"/>
      <c r="KUH997" s="2335"/>
      <c r="KUI997" s="2335"/>
      <c r="KUJ997" s="2335"/>
      <c r="KUK997" s="2335"/>
      <c r="KUL997" s="2335"/>
      <c r="KUM997" s="2335"/>
      <c r="KUN997" s="2335"/>
      <c r="KUO997" s="2335"/>
      <c r="KUP997" s="2335"/>
      <c r="KUQ997" s="2335"/>
      <c r="KUR997" s="2335"/>
      <c r="KUS997" s="2335"/>
      <c r="KUT997" s="2335"/>
      <c r="KUU997" s="2335"/>
      <c r="KUV997" s="2335"/>
      <c r="KUW997" s="2335"/>
      <c r="KUX997" s="2335"/>
      <c r="KUY997" s="2335"/>
      <c r="KUZ997" s="2335"/>
      <c r="KVA997" s="2335"/>
      <c r="KVB997" s="2335"/>
      <c r="KVC997" s="2335"/>
      <c r="KVD997" s="2335"/>
      <c r="KVE997" s="2335"/>
      <c r="KVF997" s="2335"/>
      <c r="KVG997" s="2335"/>
      <c r="KVH997" s="2335"/>
      <c r="KVI997" s="2335"/>
      <c r="KVJ997" s="2335"/>
      <c r="KVK997" s="2335"/>
      <c r="KVL997" s="2335"/>
      <c r="KVM997" s="2335"/>
      <c r="KVN997" s="2335"/>
      <c r="KVO997" s="2335"/>
      <c r="KVP997" s="2335"/>
      <c r="KVQ997" s="2335"/>
      <c r="KVR997" s="2335"/>
      <c r="KVS997" s="2335"/>
      <c r="KVT997" s="2335"/>
      <c r="KVU997" s="2335"/>
      <c r="KVV997" s="2335"/>
      <c r="KVW997" s="2335"/>
      <c r="KVX997" s="2335"/>
      <c r="KVY997" s="2335"/>
      <c r="KVZ997" s="2335"/>
      <c r="KWA997" s="2335"/>
      <c r="KWB997" s="2335"/>
      <c r="KWC997" s="2335"/>
      <c r="KWD997" s="2335"/>
      <c r="KWE997" s="2335"/>
      <c r="KWF997" s="2335"/>
      <c r="KWG997" s="2335"/>
      <c r="KWH997" s="2335"/>
      <c r="KWI997" s="2335"/>
      <c r="KWJ997" s="2335"/>
      <c r="KWK997" s="2335"/>
      <c r="KWL997" s="2335"/>
      <c r="KWM997" s="2335"/>
      <c r="KWN997" s="2335"/>
      <c r="KWO997" s="2335"/>
      <c r="KWP997" s="2335"/>
      <c r="KWQ997" s="2335"/>
      <c r="KWR997" s="2335"/>
      <c r="KWS997" s="2335"/>
      <c r="KWT997" s="2335"/>
      <c r="KWU997" s="2335"/>
      <c r="KWV997" s="2335"/>
      <c r="KWW997" s="2335"/>
      <c r="KWX997" s="2335"/>
      <c r="KWY997" s="2335"/>
      <c r="KWZ997" s="2335"/>
      <c r="KXA997" s="2335"/>
      <c r="KXB997" s="2335"/>
      <c r="KXC997" s="2335"/>
      <c r="KXD997" s="2335"/>
      <c r="KXE997" s="2335"/>
      <c r="KXF997" s="2335"/>
      <c r="KXG997" s="2335"/>
      <c r="KXH997" s="2335"/>
      <c r="KXI997" s="2335"/>
      <c r="KXJ997" s="2335"/>
      <c r="KXK997" s="2335"/>
      <c r="KXL997" s="2335"/>
      <c r="KXM997" s="2335"/>
      <c r="KXN997" s="2335"/>
      <c r="KXO997" s="2335"/>
      <c r="KXP997" s="2335"/>
      <c r="KXQ997" s="2335"/>
      <c r="KXR997" s="2335"/>
      <c r="KXS997" s="2335"/>
      <c r="KXT997" s="2335"/>
      <c r="KXU997" s="2335"/>
      <c r="KXV997" s="2335"/>
      <c r="KXW997" s="2335"/>
      <c r="KXX997" s="2335"/>
      <c r="KXY997" s="2335"/>
      <c r="KXZ997" s="2335"/>
      <c r="KYA997" s="2335"/>
      <c r="KYB997" s="2335"/>
      <c r="KYC997" s="2335"/>
      <c r="KYD997" s="2335"/>
      <c r="KYE997" s="2335"/>
      <c r="KYF997" s="2335"/>
      <c r="KYG997" s="2335"/>
      <c r="KYH997" s="2335"/>
      <c r="KYI997" s="2335"/>
      <c r="KYJ997" s="2335"/>
      <c r="KYK997" s="2335"/>
      <c r="KYL997" s="2335"/>
      <c r="KYM997" s="2335"/>
      <c r="KYN997" s="2335"/>
      <c r="KYO997" s="2335"/>
      <c r="KYP997" s="2335"/>
      <c r="KYQ997" s="2335"/>
      <c r="KYR997" s="2335"/>
      <c r="KYS997" s="2335"/>
      <c r="KYT997" s="2335"/>
      <c r="KYU997" s="2335"/>
      <c r="KYV997" s="2335"/>
      <c r="KYW997" s="2335"/>
      <c r="KYX997" s="2335"/>
      <c r="KYY997" s="2335"/>
      <c r="KYZ997" s="2335"/>
      <c r="KZA997" s="2335"/>
      <c r="KZB997" s="2335"/>
      <c r="KZC997" s="2335"/>
      <c r="KZD997" s="2335"/>
      <c r="KZE997" s="2335"/>
      <c r="KZF997" s="2335"/>
      <c r="KZG997" s="2335"/>
      <c r="KZH997" s="2335"/>
      <c r="KZI997" s="2335"/>
      <c r="KZJ997" s="2335"/>
      <c r="KZK997" s="2335"/>
      <c r="KZL997" s="2335"/>
      <c r="KZM997" s="2335"/>
      <c r="KZN997" s="2335"/>
      <c r="KZO997" s="2335"/>
      <c r="KZP997" s="2335"/>
      <c r="KZQ997" s="2335"/>
      <c r="KZR997" s="2335"/>
      <c r="KZS997" s="2335"/>
      <c r="KZT997" s="2335"/>
      <c r="KZU997" s="2335"/>
      <c r="KZV997" s="2335"/>
      <c r="KZW997" s="2335"/>
      <c r="KZX997" s="2335"/>
      <c r="KZY997" s="2335"/>
      <c r="KZZ997" s="2335"/>
      <c r="LAA997" s="2335"/>
      <c r="LAB997" s="2335"/>
      <c r="LAC997" s="2335"/>
      <c r="LAD997" s="2335"/>
      <c r="LAE997" s="2335"/>
      <c r="LAF997" s="2335"/>
      <c r="LAG997" s="2335"/>
      <c r="LAH997" s="2335"/>
      <c r="LAI997" s="2335"/>
      <c r="LAJ997" s="2335"/>
      <c r="LAK997" s="2335"/>
      <c r="LAL997" s="2335"/>
      <c r="LAM997" s="2335"/>
      <c r="LAN997" s="2335"/>
      <c r="LAO997" s="2335"/>
      <c r="LAP997" s="2335"/>
      <c r="LAQ997" s="2335"/>
      <c r="LAR997" s="2335"/>
      <c r="LAS997" s="2335"/>
      <c r="LAT997" s="2335"/>
      <c r="LAU997" s="2335"/>
      <c r="LAV997" s="2335"/>
      <c r="LAW997" s="2335"/>
      <c r="LAX997" s="2335"/>
      <c r="LAY997" s="2335"/>
      <c r="LAZ997" s="2335"/>
      <c r="LBA997" s="2335"/>
      <c r="LBB997" s="2335"/>
      <c r="LBC997" s="2335"/>
      <c r="LBD997" s="2335"/>
      <c r="LBE997" s="2335"/>
      <c r="LBF997" s="2335"/>
      <c r="LBG997" s="2335"/>
      <c r="LBH997" s="2335"/>
      <c r="LBI997" s="2335"/>
      <c r="LBJ997" s="2335"/>
      <c r="LBK997" s="2335"/>
      <c r="LBL997" s="2335"/>
      <c r="LBM997" s="2335"/>
      <c r="LBN997" s="2335"/>
      <c r="LBO997" s="2335"/>
      <c r="LBP997" s="2335"/>
      <c r="LBQ997" s="2335"/>
      <c r="LBR997" s="2335"/>
      <c r="LBS997" s="2335"/>
      <c r="LBT997" s="2335"/>
      <c r="LBU997" s="2335"/>
      <c r="LBV997" s="2335"/>
      <c r="LBW997" s="2335"/>
      <c r="LBX997" s="2335"/>
      <c r="LBY997" s="2335"/>
      <c r="LBZ997" s="2335"/>
      <c r="LCA997" s="2335"/>
      <c r="LCB997" s="2335"/>
      <c r="LCC997" s="2335"/>
      <c r="LCD997" s="2335"/>
      <c r="LCE997" s="2335"/>
      <c r="LCF997" s="2335"/>
      <c r="LCG997" s="2335"/>
      <c r="LCH997" s="2335"/>
      <c r="LCI997" s="2335"/>
      <c r="LCJ997" s="2335"/>
      <c r="LCK997" s="2335"/>
      <c r="LCL997" s="2335"/>
      <c r="LCM997" s="2335"/>
      <c r="LCN997" s="2335"/>
      <c r="LCO997" s="2335"/>
      <c r="LCP997" s="2335"/>
      <c r="LCQ997" s="2335"/>
      <c r="LCR997" s="2335"/>
      <c r="LCS997" s="2335"/>
      <c r="LCT997" s="2335"/>
      <c r="LCU997" s="2335"/>
      <c r="LCV997" s="2335"/>
      <c r="LCW997" s="2335"/>
      <c r="LCX997" s="2335"/>
      <c r="LCY997" s="2335"/>
      <c r="LCZ997" s="2335"/>
      <c r="LDA997" s="2335"/>
      <c r="LDB997" s="2335"/>
      <c r="LDC997" s="2335"/>
      <c r="LDD997" s="2335"/>
      <c r="LDE997" s="2335"/>
      <c r="LDF997" s="2335"/>
      <c r="LDG997" s="2335"/>
      <c r="LDH997" s="2335"/>
      <c r="LDI997" s="2335"/>
      <c r="LDJ997" s="2335"/>
      <c r="LDK997" s="2335"/>
      <c r="LDL997" s="2335"/>
      <c r="LDM997" s="2335"/>
      <c r="LDN997" s="2335"/>
      <c r="LDO997" s="2335"/>
      <c r="LDP997" s="2335"/>
      <c r="LDQ997" s="2335"/>
      <c r="LDR997" s="2335"/>
      <c r="LDS997" s="2335"/>
      <c r="LDT997" s="2335"/>
      <c r="LDU997" s="2335"/>
      <c r="LDV997" s="2335"/>
      <c r="LDW997" s="2335"/>
      <c r="LDX997" s="2335"/>
      <c r="LDY997" s="2335"/>
      <c r="LDZ997" s="2335"/>
      <c r="LEA997" s="2335"/>
      <c r="LEB997" s="2335"/>
      <c r="LEC997" s="2335"/>
      <c r="LED997" s="2335"/>
      <c r="LEE997" s="2335"/>
      <c r="LEF997" s="2335"/>
      <c r="LEG997" s="2335"/>
      <c r="LEH997" s="2335"/>
      <c r="LEI997" s="2335"/>
      <c r="LEJ997" s="2335"/>
      <c r="LEK997" s="2335"/>
      <c r="LEL997" s="2335"/>
      <c r="LEM997" s="2335"/>
      <c r="LEN997" s="2335"/>
      <c r="LEO997" s="2335"/>
      <c r="LEP997" s="2335"/>
      <c r="LEQ997" s="2335"/>
      <c r="LER997" s="2335"/>
      <c r="LES997" s="2335"/>
      <c r="LET997" s="2335"/>
      <c r="LEU997" s="2335"/>
      <c r="LEV997" s="2335"/>
      <c r="LEW997" s="2335"/>
      <c r="LEX997" s="2335"/>
      <c r="LEY997" s="2335"/>
      <c r="LEZ997" s="2335"/>
      <c r="LFA997" s="2335"/>
      <c r="LFB997" s="2335"/>
      <c r="LFC997" s="2335"/>
      <c r="LFD997" s="2335"/>
      <c r="LFE997" s="2335"/>
      <c r="LFF997" s="2335"/>
      <c r="LFG997" s="2335"/>
      <c r="LFH997" s="2335"/>
      <c r="LFI997" s="2335"/>
      <c r="LFJ997" s="2335"/>
      <c r="LFK997" s="2335"/>
      <c r="LFL997" s="2335"/>
      <c r="LFM997" s="2335"/>
      <c r="LFN997" s="2335"/>
      <c r="LFO997" s="2335"/>
      <c r="LFP997" s="2335"/>
      <c r="LFQ997" s="2335"/>
      <c r="LFR997" s="2335"/>
      <c r="LFS997" s="2335"/>
      <c r="LFT997" s="2335"/>
      <c r="LFU997" s="2335"/>
      <c r="LFV997" s="2335"/>
      <c r="LFW997" s="2335"/>
      <c r="LFX997" s="2335"/>
      <c r="LFY997" s="2335"/>
      <c r="LFZ997" s="2335"/>
      <c r="LGA997" s="2335"/>
      <c r="LGB997" s="2335"/>
      <c r="LGC997" s="2335"/>
      <c r="LGD997" s="2335"/>
      <c r="LGE997" s="2335"/>
      <c r="LGF997" s="2335"/>
      <c r="LGG997" s="2335"/>
      <c r="LGH997" s="2335"/>
      <c r="LGI997" s="2335"/>
      <c r="LGJ997" s="2335"/>
      <c r="LGK997" s="2335"/>
      <c r="LGL997" s="2335"/>
      <c r="LGM997" s="2335"/>
      <c r="LGN997" s="2335"/>
      <c r="LGO997" s="2335"/>
      <c r="LGP997" s="2335"/>
      <c r="LGQ997" s="2335"/>
      <c r="LGR997" s="2335"/>
      <c r="LGS997" s="2335"/>
      <c r="LGT997" s="2335"/>
      <c r="LGU997" s="2335"/>
      <c r="LGV997" s="2335"/>
      <c r="LGW997" s="2335"/>
      <c r="LGX997" s="2335"/>
      <c r="LGY997" s="2335"/>
      <c r="LGZ997" s="2335"/>
      <c r="LHA997" s="2335"/>
      <c r="LHB997" s="2335"/>
      <c r="LHC997" s="2335"/>
      <c r="LHD997" s="2335"/>
      <c r="LHE997" s="2335"/>
      <c r="LHF997" s="2335"/>
      <c r="LHG997" s="2335"/>
      <c r="LHH997" s="2335"/>
      <c r="LHI997" s="2335"/>
      <c r="LHJ997" s="2335"/>
      <c r="LHK997" s="2335"/>
      <c r="LHL997" s="2335"/>
      <c r="LHM997" s="2335"/>
      <c r="LHN997" s="2335"/>
      <c r="LHO997" s="2335"/>
      <c r="LHP997" s="2335"/>
      <c r="LHQ997" s="2335"/>
      <c r="LHR997" s="2335"/>
      <c r="LHS997" s="2335"/>
      <c r="LHT997" s="2335"/>
      <c r="LHU997" s="2335"/>
      <c r="LHV997" s="2335"/>
      <c r="LHW997" s="2335"/>
      <c r="LHX997" s="2335"/>
      <c r="LHY997" s="2335"/>
      <c r="LHZ997" s="2335"/>
      <c r="LIA997" s="2335"/>
      <c r="LIB997" s="2335"/>
      <c r="LIC997" s="2335"/>
      <c r="LID997" s="2335"/>
      <c r="LIE997" s="2335"/>
      <c r="LIF997" s="2335"/>
      <c r="LIG997" s="2335"/>
      <c r="LIH997" s="2335"/>
      <c r="LII997" s="2335"/>
      <c r="LIJ997" s="2335"/>
      <c r="LIK997" s="2335"/>
      <c r="LIL997" s="2335"/>
      <c r="LIM997" s="2335"/>
      <c r="LIN997" s="2335"/>
      <c r="LIO997" s="2335"/>
      <c r="LIP997" s="2335"/>
      <c r="LIQ997" s="2335"/>
      <c r="LIR997" s="2335"/>
      <c r="LIS997" s="2335"/>
      <c r="LIT997" s="2335"/>
      <c r="LIU997" s="2335"/>
      <c r="LIV997" s="2335"/>
      <c r="LIW997" s="2335"/>
      <c r="LIX997" s="2335"/>
      <c r="LIY997" s="2335"/>
      <c r="LIZ997" s="2335"/>
      <c r="LJA997" s="2335"/>
      <c r="LJB997" s="2335"/>
      <c r="LJC997" s="2335"/>
      <c r="LJD997" s="2335"/>
      <c r="LJE997" s="2335"/>
      <c r="LJF997" s="2335"/>
      <c r="LJG997" s="2335"/>
      <c r="LJH997" s="2335"/>
      <c r="LJI997" s="2335"/>
      <c r="LJJ997" s="2335"/>
      <c r="LJK997" s="2335"/>
      <c r="LJL997" s="2335"/>
      <c r="LJM997" s="2335"/>
      <c r="LJN997" s="2335"/>
      <c r="LJO997" s="2335"/>
      <c r="LJP997" s="2335"/>
      <c r="LJQ997" s="2335"/>
      <c r="LJR997" s="2335"/>
      <c r="LJS997" s="2335"/>
      <c r="LJT997" s="2335"/>
      <c r="LJU997" s="2335"/>
      <c r="LJV997" s="2335"/>
      <c r="LJW997" s="2335"/>
      <c r="LJX997" s="2335"/>
      <c r="LJY997" s="2335"/>
      <c r="LJZ997" s="2335"/>
      <c r="LKA997" s="2335"/>
      <c r="LKB997" s="2335"/>
      <c r="LKC997" s="2335"/>
      <c r="LKD997" s="2335"/>
      <c r="LKE997" s="2335"/>
      <c r="LKF997" s="2335"/>
      <c r="LKG997" s="2335"/>
      <c r="LKH997" s="2335"/>
      <c r="LKI997" s="2335"/>
      <c r="LKJ997" s="2335"/>
      <c r="LKK997" s="2335"/>
      <c r="LKL997" s="2335"/>
      <c r="LKM997" s="2335"/>
      <c r="LKN997" s="2335"/>
      <c r="LKO997" s="2335"/>
      <c r="LKP997" s="2335"/>
      <c r="LKQ997" s="2335"/>
      <c r="LKR997" s="2335"/>
      <c r="LKS997" s="2335"/>
      <c r="LKT997" s="2335"/>
      <c r="LKU997" s="2335"/>
      <c r="LKV997" s="2335"/>
      <c r="LKW997" s="2335"/>
      <c r="LKX997" s="2335"/>
      <c r="LKY997" s="2335"/>
      <c r="LKZ997" s="2335"/>
      <c r="LLA997" s="2335"/>
      <c r="LLB997" s="2335"/>
      <c r="LLC997" s="2335"/>
      <c r="LLD997" s="2335"/>
      <c r="LLE997" s="2335"/>
      <c r="LLF997" s="2335"/>
      <c r="LLG997" s="2335"/>
      <c r="LLH997" s="2335"/>
      <c r="LLI997" s="2335"/>
      <c r="LLJ997" s="2335"/>
      <c r="LLK997" s="2335"/>
      <c r="LLL997" s="2335"/>
      <c r="LLM997" s="2335"/>
      <c r="LLN997" s="2335"/>
      <c r="LLO997" s="2335"/>
      <c r="LLP997" s="2335"/>
      <c r="LLQ997" s="2335"/>
      <c r="LLR997" s="2335"/>
      <c r="LLS997" s="2335"/>
      <c r="LLT997" s="2335"/>
      <c r="LLU997" s="2335"/>
      <c r="LLV997" s="2335"/>
      <c r="LLW997" s="2335"/>
      <c r="LLX997" s="2335"/>
      <c r="LLY997" s="2335"/>
      <c r="LLZ997" s="2335"/>
      <c r="LMA997" s="2335"/>
      <c r="LMB997" s="2335"/>
      <c r="LMC997" s="2335"/>
      <c r="LMD997" s="2335"/>
      <c r="LME997" s="2335"/>
      <c r="LMF997" s="2335"/>
      <c r="LMG997" s="2335"/>
      <c r="LMH997" s="2335"/>
      <c r="LMI997" s="2335"/>
      <c r="LMJ997" s="2335"/>
      <c r="LMK997" s="2335"/>
      <c r="LML997" s="2335"/>
      <c r="LMM997" s="2335"/>
      <c r="LMN997" s="2335"/>
      <c r="LMO997" s="2335"/>
      <c r="LMP997" s="2335"/>
      <c r="LMQ997" s="2335"/>
      <c r="LMR997" s="2335"/>
      <c r="LMS997" s="2335"/>
      <c r="LMT997" s="2335"/>
      <c r="LMU997" s="2335"/>
      <c r="LMV997" s="2335"/>
      <c r="LMW997" s="2335"/>
      <c r="LMX997" s="2335"/>
      <c r="LMY997" s="2335"/>
      <c r="LMZ997" s="2335"/>
      <c r="LNA997" s="2335"/>
      <c r="LNB997" s="2335"/>
      <c r="LNC997" s="2335"/>
      <c r="LND997" s="2335"/>
      <c r="LNE997" s="2335"/>
      <c r="LNF997" s="2335"/>
      <c r="LNG997" s="2335"/>
      <c r="LNH997" s="2335"/>
      <c r="LNI997" s="2335"/>
      <c r="LNJ997" s="2335"/>
      <c r="LNK997" s="2335"/>
      <c r="LNL997" s="2335"/>
      <c r="LNM997" s="2335"/>
      <c r="LNN997" s="2335"/>
      <c r="LNO997" s="2335"/>
      <c r="LNP997" s="2335"/>
      <c r="LNQ997" s="2335"/>
      <c r="LNR997" s="2335"/>
      <c r="LNS997" s="2335"/>
      <c r="LNT997" s="2335"/>
      <c r="LNU997" s="2335"/>
      <c r="LNV997" s="2335"/>
      <c r="LNW997" s="2335"/>
      <c r="LNX997" s="2335"/>
      <c r="LNY997" s="2335"/>
      <c r="LNZ997" s="2335"/>
      <c r="LOA997" s="2335"/>
      <c r="LOB997" s="2335"/>
      <c r="LOC997" s="2335"/>
      <c r="LOD997" s="2335"/>
      <c r="LOE997" s="2335"/>
      <c r="LOF997" s="2335"/>
      <c r="LOG997" s="2335"/>
      <c r="LOH997" s="2335"/>
      <c r="LOI997" s="2335"/>
      <c r="LOJ997" s="2335"/>
      <c r="LOK997" s="2335"/>
      <c r="LOL997" s="2335"/>
      <c r="LOM997" s="2335"/>
      <c r="LON997" s="2335"/>
      <c r="LOO997" s="2335"/>
      <c r="LOP997" s="2335"/>
      <c r="LOQ997" s="2335"/>
      <c r="LOR997" s="2335"/>
      <c r="LOS997" s="2335"/>
      <c r="LOT997" s="2335"/>
      <c r="LOU997" s="2335"/>
      <c r="LOV997" s="2335"/>
      <c r="LOW997" s="2335"/>
      <c r="LOX997" s="2335"/>
      <c r="LOY997" s="2335"/>
      <c r="LOZ997" s="2335"/>
      <c r="LPA997" s="2335"/>
      <c r="LPB997" s="2335"/>
      <c r="LPC997" s="2335"/>
      <c r="LPD997" s="2335"/>
      <c r="LPE997" s="2335"/>
      <c r="LPF997" s="2335"/>
      <c r="LPG997" s="2335"/>
      <c r="LPH997" s="2335"/>
      <c r="LPI997" s="2335"/>
      <c r="LPJ997" s="2335"/>
      <c r="LPK997" s="2335"/>
      <c r="LPL997" s="2335"/>
      <c r="LPM997" s="2335"/>
      <c r="LPN997" s="2335"/>
      <c r="LPO997" s="2335"/>
      <c r="LPP997" s="2335"/>
      <c r="LPQ997" s="2335"/>
      <c r="LPR997" s="2335"/>
      <c r="LPS997" s="2335"/>
      <c r="LPT997" s="2335"/>
      <c r="LPU997" s="2335"/>
      <c r="LPV997" s="2335"/>
      <c r="LPW997" s="2335"/>
      <c r="LPX997" s="2335"/>
      <c r="LPY997" s="2335"/>
      <c r="LPZ997" s="2335"/>
      <c r="LQA997" s="2335"/>
      <c r="LQB997" s="2335"/>
      <c r="LQC997" s="2335"/>
      <c r="LQD997" s="2335"/>
      <c r="LQE997" s="2335"/>
      <c r="LQF997" s="2335"/>
      <c r="LQG997" s="2335"/>
      <c r="LQH997" s="2335"/>
      <c r="LQI997" s="2335"/>
      <c r="LQJ997" s="2335"/>
      <c r="LQK997" s="2335"/>
      <c r="LQL997" s="2335"/>
      <c r="LQM997" s="2335"/>
      <c r="LQN997" s="2335"/>
      <c r="LQO997" s="2335"/>
      <c r="LQP997" s="2335"/>
      <c r="LQQ997" s="2335"/>
      <c r="LQR997" s="2335"/>
      <c r="LQS997" s="2335"/>
      <c r="LQT997" s="2335"/>
      <c r="LQU997" s="2335"/>
      <c r="LQV997" s="2335"/>
      <c r="LQW997" s="2335"/>
      <c r="LQX997" s="2335"/>
      <c r="LQY997" s="2335"/>
      <c r="LQZ997" s="2335"/>
      <c r="LRA997" s="2335"/>
      <c r="LRB997" s="2335"/>
      <c r="LRC997" s="2335"/>
      <c r="LRD997" s="2335"/>
      <c r="LRE997" s="2335"/>
      <c r="LRF997" s="2335"/>
      <c r="LRG997" s="2335"/>
      <c r="LRH997" s="2335"/>
      <c r="LRI997" s="2335"/>
      <c r="LRJ997" s="2335"/>
      <c r="LRK997" s="2335"/>
      <c r="LRL997" s="2335"/>
      <c r="LRM997" s="2335"/>
      <c r="LRN997" s="2335"/>
      <c r="LRO997" s="2335"/>
      <c r="LRP997" s="2335"/>
      <c r="LRQ997" s="2335"/>
      <c r="LRR997" s="2335"/>
      <c r="LRS997" s="2335"/>
      <c r="LRT997" s="2335"/>
      <c r="LRU997" s="2335"/>
      <c r="LRV997" s="2335"/>
      <c r="LRW997" s="2335"/>
      <c r="LRX997" s="2335"/>
      <c r="LRY997" s="2335"/>
      <c r="LRZ997" s="2335"/>
      <c r="LSA997" s="2335"/>
      <c r="LSB997" s="2335"/>
      <c r="LSC997" s="2335"/>
      <c r="LSD997" s="2335"/>
      <c r="LSE997" s="2335"/>
      <c r="LSF997" s="2335"/>
      <c r="LSG997" s="2335"/>
      <c r="LSH997" s="2335"/>
      <c r="LSI997" s="2335"/>
      <c r="LSJ997" s="2335"/>
      <c r="LSK997" s="2335"/>
      <c r="LSL997" s="2335"/>
      <c r="LSM997" s="2335"/>
      <c r="LSN997" s="2335"/>
      <c r="LSO997" s="2335"/>
      <c r="LSP997" s="2335"/>
      <c r="LSQ997" s="2335"/>
      <c r="LSR997" s="2335"/>
      <c r="LSS997" s="2335"/>
      <c r="LST997" s="2335"/>
      <c r="LSU997" s="2335"/>
      <c r="LSV997" s="2335"/>
      <c r="LSW997" s="2335"/>
      <c r="LSX997" s="2335"/>
      <c r="LSY997" s="2335"/>
      <c r="LSZ997" s="2335"/>
      <c r="LTA997" s="2335"/>
      <c r="LTB997" s="2335"/>
      <c r="LTC997" s="2335"/>
      <c r="LTD997" s="2335"/>
      <c r="LTE997" s="2335"/>
      <c r="LTF997" s="2335"/>
      <c r="LTG997" s="2335"/>
      <c r="LTH997" s="2335"/>
      <c r="LTI997" s="2335"/>
      <c r="LTJ997" s="2335"/>
      <c r="LTK997" s="2335"/>
      <c r="LTL997" s="2335"/>
      <c r="LTM997" s="2335"/>
      <c r="LTN997" s="2335"/>
      <c r="LTO997" s="2335"/>
      <c r="LTP997" s="2335"/>
      <c r="LTQ997" s="2335"/>
      <c r="LTR997" s="2335"/>
      <c r="LTS997" s="2335"/>
      <c r="LTT997" s="2335"/>
      <c r="LTU997" s="2335"/>
      <c r="LTV997" s="2335"/>
      <c r="LTW997" s="2335"/>
      <c r="LTX997" s="2335"/>
      <c r="LTY997" s="2335"/>
      <c r="LTZ997" s="2335"/>
      <c r="LUA997" s="2335"/>
      <c r="LUB997" s="2335"/>
      <c r="LUC997" s="2335"/>
      <c r="LUD997" s="2335"/>
      <c r="LUE997" s="2335"/>
      <c r="LUF997" s="2335"/>
      <c r="LUG997" s="2335"/>
      <c r="LUH997" s="2335"/>
      <c r="LUI997" s="2335"/>
      <c r="LUJ997" s="2335"/>
      <c r="LUK997" s="2335"/>
      <c r="LUL997" s="2335"/>
      <c r="LUM997" s="2335"/>
      <c r="LUN997" s="2335"/>
      <c r="LUO997" s="2335"/>
      <c r="LUP997" s="2335"/>
      <c r="LUQ997" s="2335"/>
      <c r="LUR997" s="2335"/>
      <c r="LUS997" s="2335"/>
      <c r="LUT997" s="2335"/>
      <c r="LUU997" s="2335"/>
      <c r="LUV997" s="2335"/>
      <c r="LUW997" s="2335"/>
      <c r="LUX997" s="2335"/>
      <c r="LUY997" s="2335"/>
      <c r="LUZ997" s="2335"/>
      <c r="LVA997" s="2335"/>
      <c r="LVB997" s="2335"/>
      <c r="LVC997" s="2335"/>
      <c r="LVD997" s="2335"/>
      <c r="LVE997" s="2335"/>
      <c r="LVF997" s="2335"/>
      <c r="LVG997" s="2335"/>
      <c r="LVH997" s="2335"/>
      <c r="LVI997" s="2335"/>
      <c r="LVJ997" s="2335"/>
      <c r="LVK997" s="2335"/>
      <c r="LVL997" s="2335"/>
      <c r="LVM997" s="2335"/>
      <c r="LVN997" s="2335"/>
      <c r="LVO997" s="2335"/>
      <c r="LVP997" s="2335"/>
      <c r="LVQ997" s="2335"/>
      <c r="LVR997" s="2335"/>
      <c r="LVS997" s="2335"/>
      <c r="LVT997" s="2335"/>
      <c r="LVU997" s="2335"/>
      <c r="LVV997" s="2335"/>
      <c r="LVW997" s="2335"/>
      <c r="LVX997" s="2335"/>
      <c r="LVY997" s="2335"/>
      <c r="LVZ997" s="2335"/>
      <c r="LWA997" s="2335"/>
      <c r="LWB997" s="2335"/>
      <c r="LWC997" s="2335"/>
      <c r="LWD997" s="2335"/>
      <c r="LWE997" s="2335"/>
      <c r="LWF997" s="2335"/>
      <c r="LWG997" s="2335"/>
      <c r="LWH997" s="2335"/>
      <c r="LWI997" s="2335"/>
      <c r="LWJ997" s="2335"/>
      <c r="LWK997" s="2335"/>
      <c r="LWL997" s="2335"/>
      <c r="LWM997" s="2335"/>
      <c r="LWN997" s="2335"/>
      <c r="LWO997" s="2335"/>
      <c r="LWP997" s="2335"/>
      <c r="LWQ997" s="2335"/>
      <c r="LWR997" s="2335"/>
      <c r="LWS997" s="2335"/>
      <c r="LWT997" s="2335"/>
      <c r="LWU997" s="2335"/>
      <c r="LWV997" s="2335"/>
      <c r="LWW997" s="2335"/>
      <c r="LWX997" s="2335"/>
      <c r="LWY997" s="2335"/>
      <c r="LWZ997" s="2335"/>
      <c r="LXA997" s="2335"/>
      <c r="LXB997" s="2335"/>
      <c r="LXC997" s="2335"/>
      <c r="LXD997" s="2335"/>
      <c r="LXE997" s="2335"/>
      <c r="LXF997" s="2335"/>
      <c r="LXG997" s="2335"/>
      <c r="LXH997" s="2335"/>
      <c r="LXI997" s="2335"/>
      <c r="LXJ997" s="2335"/>
      <c r="LXK997" s="2335"/>
      <c r="LXL997" s="2335"/>
      <c r="LXM997" s="2335"/>
      <c r="LXN997" s="2335"/>
      <c r="LXO997" s="2335"/>
      <c r="LXP997" s="2335"/>
      <c r="LXQ997" s="2335"/>
      <c r="LXR997" s="2335"/>
      <c r="LXS997" s="2335"/>
      <c r="LXT997" s="2335"/>
      <c r="LXU997" s="2335"/>
      <c r="LXV997" s="2335"/>
      <c r="LXW997" s="2335"/>
      <c r="LXX997" s="2335"/>
      <c r="LXY997" s="2335"/>
      <c r="LXZ997" s="2335"/>
      <c r="LYA997" s="2335"/>
      <c r="LYB997" s="2335"/>
      <c r="LYC997" s="2335"/>
      <c r="LYD997" s="2335"/>
      <c r="LYE997" s="2335"/>
      <c r="LYF997" s="2335"/>
      <c r="LYG997" s="2335"/>
      <c r="LYH997" s="2335"/>
      <c r="LYI997" s="2335"/>
      <c r="LYJ997" s="2335"/>
      <c r="LYK997" s="2335"/>
      <c r="LYL997" s="2335"/>
      <c r="LYM997" s="2335"/>
      <c r="LYN997" s="2335"/>
      <c r="LYO997" s="2335"/>
      <c r="LYP997" s="2335"/>
      <c r="LYQ997" s="2335"/>
      <c r="LYR997" s="2335"/>
      <c r="LYS997" s="2335"/>
      <c r="LYT997" s="2335"/>
      <c r="LYU997" s="2335"/>
      <c r="LYV997" s="2335"/>
      <c r="LYW997" s="2335"/>
      <c r="LYX997" s="2335"/>
      <c r="LYY997" s="2335"/>
      <c r="LYZ997" s="2335"/>
      <c r="LZA997" s="2335"/>
      <c r="LZB997" s="2335"/>
      <c r="LZC997" s="2335"/>
      <c r="LZD997" s="2335"/>
      <c r="LZE997" s="2335"/>
      <c r="LZF997" s="2335"/>
      <c r="LZG997" s="2335"/>
      <c r="LZH997" s="2335"/>
      <c r="LZI997" s="2335"/>
      <c r="LZJ997" s="2335"/>
      <c r="LZK997" s="2335"/>
      <c r="LZL997" s="2335"/>
      <c r="LZM997" s="2335"/>
      <c r="LZN997" s="2335"/>
      <c r="LZO997" s="2335"/>
      <c r="LZP997" s="2335"/>
      <c r="LZQ997" s="2335"/>
      <c r="LZR997" s="2335"/>
      <c r="LZS997" s="2335"/>
      <c r="LZT997" s="2335"/>
      <c r="LZU997" s="2335"/>
      <c r="LZV997" s="2335"/>
      <c r="LZW997" s="2335"/>
      <c r="LZX997" s="2335"/>
      <c r="LZY997" s="2335"/>
      <c r="LZZ997" s="2335"/>
      <c r="MAA997" s="2335"/>
      <c r="MAB997" s="2335"/>
      <c r="MAC997" s="2335"/>
      <c r="MAD997" s="2335"/>
      <c r="MAE997" s="2335"/>
      <c r="MAF997" s="2335"/>
      <c r="MAG997" s="2335"/>
      <c r="MAH997" s="2335"/>
      <c r="MAI997" s="2335"/>
      <c r="MAJ997" s="2335"/>
      <c r="MAK997" s="2335"/>
      <c r="MAL997" s="2335"/>
      <c r="MAM997" s="2335"/>
      <c r="MAN997" s="2335"/>
      <c r="MAO997" s="2335"/>
      <c r="MAP997" s="2335"/>
      <c r="MAQ997" s="2335"/>
      <c r="MAR997" s="2335"/>
      <c r="MAS997" s="2335"/>
      <c r="MAT997" s="2335"/>
      <c r="MAU997" s="2335"/>
      <c r="MAV997" s="2335"/>
      <c r="MAW997" s="2335"/>
      <c r="MAX997" s="2335"/>
      <c r="MAY997" s="2335"/>
      <c r="MAZ997" s="2335"/>
      <c r="MBA997" s="2335"/>
      <c r="MBB997" s="2335"/>
      <c r="MBC997" s="2335"/>
      <c r="MBD997" s="2335"/>
      <c r="MBE997" s="2335"/>
      <c r="MBF997" s="2335"/>
      <c r="MBG997" s="2335"/>
      <c r="MBH997" s="2335"/>
      <c r="MBI997" s="2335"/>
      <c r="MBJ997" s="2335"/>
      <c r="MBK997" s="2335"/>
      <c r="MBL997" s="2335"/>
      <c r="MBM997" s="2335"/>
      <c r="MBN997" s="2335"/>
      <c r="MBO997" s="2335"/>
      <c r="MBP997" s="2335"/>
      <c r="MBQ997" s="2335"/>
      <c r="MBR997" s="2335"/>
      <c r="MBS997" s="2335"/>
      <c r="MBT997" s="2335"/>
      <c r="MBU997" s="2335"/>
      <c r="MBV997" s="2335"/>
      <c r="MBW997" s="2335"/>
      <c r="MBX997" s="2335"/>
      <c r="MBY997" s="2335"/>
      <c r="MBZ997" s="2335"/>
      <c r="MCA997" s="2335"/>
      <c r="MCB997" s="2335"/>
      <c r="MCC997" s="2335"/>
      <c r="MCD997" s="2335"/>
      <c r="MCE997" s="2335"/>
      <c r="MCF997" s="2335"/>
      <c r="MCG997" s="2335"/>
      <c r="MCH997" s="2335"/>
      <c r="MCI997" s="2335"/>
      <c r="MCJ997" s="2335"/>
      <c r="MCK997" s="2335"/>
      <c r="MCL997" s="2335"/>
      <c r="MCM997" s="2335"/>
      <c r="MCN997" s="2335"/>
      <c r="MCO997" s="2335"/>
      <c r="MCP997" s="2335"/>
      <c r="MCQ997" s="2335"/>
      <c r="MCR997" s="2335"/>
      <c r="MCS997" s="2335"/>
      <c r="MCT997" s="2335"/>
      <c r="MCU997" s="2335"/>
      <c r="MCV997" s="2335"/>
      <c r="MCW997" s="2335"/>
      <c r="MCX997" s="2335"/>
      <c r="MCY997" s="2335"/>
      <c r="MCZ997" s="2335"/>
      <c r="MDA997" s="2335"/>
      <c r="MDB997" s="2335"/>
      <c r="MDC997" s="2335"/>
      <c r="MDD997" s="2335"/>
      <c r="MDE997" s="2335"/>
      <c r="MDF997" s="2335"/>
      <c r="MDG997" s="2335"/>
      <c r="MDH997" s="2335"/>
      <c r="MDI997" s="2335"/>
      <c r="MDJ997" s="2335"/>
      <c r="MDK997" s="2335"/>
      <c r="MDL997" s="2335"/>
      <c r="MDM997" s="2335"/>
      <c r="MDN997" s="2335"/>
      <c r="MDO997" s="2335"/>
      <c r="MDP997" s="2335"/>
      <c r="MDQ997" s="2335"/>
      <c r="MDR997" s="2335"/>
      <c r="MDS997" s="2335"/>
      <c r="MDT997" s="2335"/>
      <c r="MDU997" s="2335"/>
      <c r="MDV997" s="2335"/>
      <c r="MDW997" s="2335"/>
      <c r="MDX997" s="2335"/>
      <c r="MDY997" s="2335"/>
      <c r="MDZ997" s="2335"/>
      <c r="MEA997" s="2335"/>
      <c r="MEB997" s="2335"/>
      <c r="MEC997" s="2335"/>
      <c r="MED997" s="2335"/>
      <c r="MEE997" s="2335"/>
      <c r="MEF997" s="2335"/>
      <c r="MEG997" s="2335"/>
      <c r="MEH997" s="2335"/>
      <c r="MEI997" s="2335"/>
      <c r="MEJ997" s="2335"/>
      <c r="MEK997" s="2335"/>
      <c r="MEL997" s="2335"/>
      <c r="MEM997" s="2335"/>
      <c r="MEN997" s="2335"/>
      <c r="MEO997" s="2335"/>
      <c r="MEP997" s="2335"/>
      <c r="MEQ997" s="2335"/>
      <c r="MER997" s="2335"/>
      <c r="MES997" s="2335"/>
      <c r="MET997" s="2335"/>
      <c r="MEU997" s="2335"/>
      <c r="MEV997" s="2335"/>
      <c r="MEW997" s="2335"/>
      <c r="MEX997" s="2335"/>
      <c r="MEY997" s="2335"/>
      <c r="MEZ997" s="2335"/>
      <c r="MFA997" s="2335"/>
      <c r="MFB997" s="2335"/>
      <c r="MFC997" s="2335"/>
      <c r="MFD997" s="2335"/>
      <c r="MFE997" s="2335"/>
      <c r="MFF997" s="2335"/>
      <c r="MFG997" s="2335"/>
      <c r="MFH997" s="2335"/>
      <c r="MFI997" s="2335"/>
      <c r="MFJ997" s="2335"/>
      <c r="MFK997" s="2335"/>
      <c r="MFL997" s="2335"/>
      <c r="MFM997" s="2335"/>
      <c r="MFN997" s="2335"/>
      <c r="MFO997" s="2335"/>
      <c r="MFP997" s="2335"/>
      <c r="MFQ997" s="2335"/>
      <c r="MFR997" s="2335"/>
      <c r="MFS997" s="2335"/>
      <c r="MFT997" s="2335"/>
      <c r="MFU997" s="2335"/>
      <c r="MFV997" s="2335"/>
      <c r="MFW997" s="2335"/>
      <c r="MFX997" s="2335"/>
      <c r="MFY997" s="2335"/>
      <c r="MFZ997" s="2335"/>
      <c r="MGA997" s="2335"/>
      <c r="MGB997" s="2335"/>
      <c r="MGC997" s="2335"/>
      <c r="MGD997" s="2335"/>
      <c r="MGE997" s="2335"/>
      <c r="MGF997" s="2335"/>
      <c r="MGG997" s="2335"/>
      <c r="MGH997" s="2335"/>
      <c r="MGI997" s="2335"/>
      <c r="MGJ997" s="2335"/>
      <c r="MGK997" s="2335"/>
      <c r="MGL997" s="2335"/>
      <c r="MGM997" s="2335"/>
      <c r="MGN997" s="2335"/>
      <c r="MGO997" s="2335"/>
      <c r="MGP997" s="2335"/>
      <c r="MGQ997" s="2335"/>
      <c r="MGR997" s="2335"/>
      <c r="MGS997" s="2335"/>
      <c r="MGT997" s="2335"/>
      <c r="MGU997" s="2335"/>
      <c r="MGV997" s="2335"/>
      <c r="MGW997" s="2335"/>
      <c r="MGX997" s="2335"/>
      <c r="MGY997" s="2335"/>
      <c r="MGZ997" s="2335"/>
      <c r="MHA997" s="2335"/>
      <c r="MHB997" s="2335"/>
      <c r="MHC997" s="2335"/>
      <c r="MHD997" s="2335"/>
      <c r="MHE997" s="2335"/>
      <c r="MHF997" s="2335"/>
      <c r="MHG997" s="2335"/>
      <c r="MHH997" s="2335"/>
      <c r="MHI997" s="2335"/>
      <c r="MHJ997" s="2335"/>
      <c r="MHK997" s="2335"/>
      <c r="MHL997" s="2335"/>
      <c r="MHM997" s="2335"/>
      <c r="MHN997" s="2335"/>
      <c r="MHO997" s="2335"/>
      <c r="MHP997" s="2335"/>
      <c r="MHQ997" s="2335"/>
      <c r="MHR997" s="2335"/>
      <c r="MHS997" s="2335"/>
      <c r="MHT997" s="2335"/>
      <c r="MHU997" s="2335"/>
      <c r="MHV997" s="2335"/>
      <c r="MHW997" s="2335"/>
      <c r="MHX997" s="2335"/>
      <c r="MHY997" s="2335"/>
      <c r="MHZ997" s="2335"/>
      <c r="MIA997" s="2335"/>
      <c r="MIB997" s="2335"/>
      <c r="MIC997" s="2335"/>
      <c r="MID997" s="2335"/>
      <c r="MIE997" s="2335"/>
      <c r="MIF997" s="2335"/>
      <c r="MIG997" s="2335"/>
      <c r="MIH997" s="2335"/>
      <c r="MII997" s="2335"/>
      <c r="MIJ997" s="2335"/>
      <c r="MIK997" s="2335"/>
      <c r="MIL997" s="2335"/>
      <c r="MIM997" s="2335"/>
      <c r="MIN997" s="2335"/>
      <c r="MIO997" s="2335"/>
      <c r="MIP997" s="2335"/>
      <c r="MIQ997" s="2335"/>
      <c r="MIR997" s="2335"/>
      <c r="MIS997" s="2335"/>
      <c r="MIT997" s="2335"/>
      <c r="MIU997" s="2335"/>
      <c r="MIV997" s="2335"/>
      <c r="MIW997" s="2335"/>
      <c r="MIX997" s="2335"/>
      <c r="MIY997" s="2335"/>
      <c r="MIZ997" s="2335"/>
      <c r="MJA997" s="2335"/>
      <c r="MJB997" s="2335"/>
      <c r="MJC997" s="2335"/>
      <c r="MJD997" s="2335"/>
      <c r="MJE997" s="2335"/>
      <c r="MJF997" s="2335"/>
      <c r="MJG997" s="2335"/>
      <c r="MJH997" s="2335"/>
      <c r="MJI997" s="2335"/>
      <c r="MJJ997" s="2335"/>
      <c r="MJK997" s="2335"/>
      <c r="MJL997" s="2335"/>
      <c r="MJM997" s="2335"/>
      <c r="MJN997" s="2335"/>
      <c r="MJO997" s="2335"/>
      <c r="MJP997" s="2335"/>
      <c r="MJQ997" s="2335"/>
      <c r="MJR997" s="2335"/>
      <c r="MJS997" s="2335"/>
      <c r="MJT997" s="2335"/>
      <c r="MJU997" s="2335"/>
      <c r="MJV997" s="2335"/>
      <c r="MJW997" s="2335"/>
      <c r="MJX997" s="2335"/>
      <c r="MJY997" s="2335"/>
      <c r="MJZ997" s="2335"/>
      <c r="MKA997" s="2335"/>
      <c r="MKB997" s="2335"/>
      <c r="MKC997" s="2335"/>
      <c r="MKD997" s="2335"/>
      <c r="MKE997" s="2335"/>
      <c r="MKF997" s="2335"/>
      <c r="MKG997" s="2335"/>
      <c r="MKH997" s="2335"/>
      <c r="MKI997" s="2335"/>
      <c r="MKJ997" s="2335"/>
      <c r="MKK997" s="2335"/>
      <c r="MKL997" s="2335"/>
      <c r="MKM997" s="2335"/>
      <c r="MKN997" s="2335"/>
      <c r="MKO997" s="2335"/>
      <c r="MKP997" s="2335"/>
      <c r="MKQ997" s="2335"/>
      <c r="MKR997" s="2335"/>
      <c r="MKS997" s="2335"/>
      <c r="MKT997" s="2335"/>
      <c r="MKU997" s="2335"/>
      <c r="MKV997" s="2335"/>
      <c r="MKW997" s="2335"/>
      <c r="MKX997" s="2335"/>
      <c r="MKY997" s="2335"/>
      <c r="MKZ997" s="2335"/>
      <c r="MLA997" s="2335"/>
      <c r="MLB997" s="2335"/>
      <c r="MLC997" s="2335"/>
      <c r="MLD997" s="2335"/>
      <c r="MLE997" s="2335"/>
      <c r="MLF997" s="2335"/>
      <c r="MLG997" s="2335"/>
      <c r="MLH997" s="2335"/>
      <c r="MLI997" s="2335"/>
      <c r="MLJ997" s="2335"/>
      <c r="MLK997" s="2335"/>
      <c r="MLL997" s="2335"/>
      <c r="MLM997" s="2335"/>
      <c r="MLN997" s="2335"/>
      <c r="MLO997" s="2335"/>
      <c r="MLP997" s="2335"/>
      <c r="MLQ997" s="2335"/>
      <c r="MLR997" s="2335"/>
      <c r="MLS997" s="2335"/>
      <c r="MLT997" s="2335"/>
      <c r="MLU997" s="2335"/>
      <c r="MLV997" s="2335"/>
      <c r="MLW997" s="2335"/>
      <c r="MLX997" s="2335"/>
      <c r="MLY997" s="2335"/>
      <c r="MLZ997" s="2335"/>
      <c r="MMA997" s="2335"/>
      <c r="MMB997" s="2335"/>
      <c r="MMC997" s="2335"/>
      <c r="MMD997" s="2335"/>
      <c r="MME997" s="2335"/>
      <c r="MMF997" s="2335"/>
      <c r="MMG997" s="2335"/>
      <c r="MMH997" s="2335"/>
      <c r="MMI997" s="2335"/>
      <c r="MMJ997" s="2335"/>
      <c r="MMK997" s="2335"/>
      <c r="MML997" s="2335"/>
      <c r="MMM997" s="2335"/>
      <c r="MMN997" s="2335"/>
      <c r="MMO997" s="2335"/>
      <c r="MMP997" s="2335"/>
      <c r="MMQ997" s="2335"/>
      <c r="MMR997" s="2335"/>
      <c r="MMS997" s="2335"/>
      <c r="MMT997" s="2335"/>
      <c r="MMU997" s="2335"/>
      <c r="MMV997" s="2335"/>
      <c r="MMW997" s="2335"/>
      <c r="MMX997" s="2335"/>
      <c r="MMY997" s="2335"/>
      <c r="MMZ997" s="2335"/>
      <c r="MNA997" s="2335"/>
      <c r="MNB997" s="2335"/>
      <c r="MNC997" s="2335"/>
      <c r="MND997" s="2335"/>
      <c r="MNE997" s="2335"/>
      <c r="MNF997" s="2335"/>
      <c r="MNG997" s="2335"/>
      <c r="MNH997" s="2335"/>
      <c r="MNI997" s="2335"/>
      <c r="MNJ997" s="2335"/>
      <c r="MNK997" s="2335"/>
      <c r="MNL997" s="2335"/>
      <c r="MNM997" s="2335"/>
      <c r="MNN997" s="2335"/>
      <c r="MNO997" s="2335"/>
      <c r="MNP997" s="2335"/>
      <c r="MNQ997" s="2335"/>
      <c r="MNR997" s="2335"/>
      <c r="MNS997" s="2335"/>
      <c r="MNT997" s="2335"/>
      <c r="MNU997" s="2335"/>
      <c r="MNV997" s="2335"/>
      <c r="MNW997" s="2335"/>
      <c r="MNX997" s="2335"/>
      <c r="MNY997" s="2335"/>
      <c r="MNZ997" s="2335"/>
      <c r="MOA997" s="2335"/>
      <c r="MOB997" s="2335"/>
      <c r="MOC997" s="2335"/>
      <c r="MOD997" s="2335"/>
      <c r="MOE997" s="2335"/>
      <c r="MOF997" s="2335"/>
      <c r="MOG997" s="2335"/>
      <c r="MOH997" s="2335"/>
      <c r="MOI997" s="2335"/>
      <c r="MOJ997" s="2335"/>
      <c r="MOK997" s="2335"/>
      <c r="MOL997" s="2335"/>
      <c r="MOM997" s="2335"/>
      <c r="MON997" s="2335"/>
      <c r="MOO997" s="2335"/>
      <c r="MOP997" s="2335"/>
      <c r="MOQ997" s="2335"/>
      <c r="MOR997" s="2335"/>
      <c r="MOS997" s="2335"/>
      <c r="MOT997" s="2335"/>
      <c r="MOU997" s="2335"/>
      <c r="MOV997" s="2335"/>
      <c r="MOW997" s="2335"/>
      <c r="MOX997" s="2335"/>
      <c r="MOY997" s="2335"/>
      <c r="MOZ997" s="2335"/>
      <c r="MPA997" s="2335"/>
      <c r="MPB997" s="2335"/>
      <c r="MPC997" s="2335"/>
      <c r="MPD997" s="2335"/>
      <c r="MPE997" s="2335"/>
      <c r="MPF997" s="2335"/>
      <c r="MPG997" s="2335"/>
      <c r="MPH997" s="2335"/>
      <c r="MPI997" s="2335"/>
      <c r="MPJ997" s="2335"/>
      <c r="MPK997" s="2335"/>
      <c r="MPL997" s="2335"/>
      <c r="MPM997" s="2335"/>
      <c r="MPN997" s="2335"/>
      <c r="MPO997" s="2335"/>
      <c r="MPP997" s="2335"/>
      <c r="MPQ997" s="2335"/>
      <c r="MPR997" s="2335"/>
      <c r="MPS997" s="2335"/>
      <c r="MPT997" s="2335"/>
      <c r="MPU997" s="2335"/>
      <c r="MPV997" s="2335"/>
      <c r="MPW997" s="2335"/>
      <c r="MPX997" s="2335"/>
      <c r="MPY997" s="2335"/>
      <c r="MPZ997" s="2335"/>
      <c r="MQA997" s="2335"/>
      <c r="MQB997" s="2335"/>
      <c r="MQC997" s="2335"/>
      <c r="MQD997" s="2335"/>
      <c r="MQE997" s="2335"/>
      <c r="MQF997" s="2335"/>
      <c r="MQG997" s="2335"/>
      <c r="MQH997" s="2335"/>
      <c r="MQI997" s="2335"/>
      <c r="MQJ997" s="2335"/>
      <c r="MQK997" s="2335"/>
      <c r="MQL997" s="2335"/>
      <c r="MQM997" s="2335"/>
      <c r="MQN997" s="2335"/>
      <c r="MQO997" s="2335"/>
      <c r="MQP997" s="2335"/>
      <c r="MQQ997" s="2335"/>
      <c r="MQR997" s="2335"/>
      <c r="MQS997" s="2335"/>
      <c r="MQT997" s="2335"/>
      <c r="MQU997" s="2335"/>
      <c r="MQV997" s="2335"/>
      <c r="MQW997" s="2335"/>
      <c r="MQX997" s="2335"/>
      <c r="MQY997" s="2335"/>
      <c r="MQZ997" s="2335"/>
      <c r="MRA997" s="2335"/>
      <c r="MRB997" s="2335"/>
      <c r="MRC997" s="2335"/>
      <c r="MRD997" s="2335"/>
      <c r="MRE997" s="2335"/>
      <c r="MRF997" s="2335"/>
      <c r="MRG997" s="2335"/>
      <c r="MRH997" s="2335"/>
      <c r="MRI997" s="2335"/>
      <c r="MRJ997" s="2335"/>
      <c r="MRK997" s="2335"/>
      <c r="MRL997" s="2335"/>
      <c r="MRM997" s="2335"/>
      <c r="MRN997" s="2335"/>
      <c r="MRO997" s="2335"/>
      <c r="MRP997" s="2335"/>
      <c r="MRQ997" s="2335"/>
      <c r="MRR997" s="2335"/>
      <c r="MRS997" s="2335"/>
      <c r="MRT997" s="2335"/>
      <c r="MRU997" s="2335"/>
      <c r="MRV997" s="2335"/>
      <c r="MRW997" s="2335"/>
      <c r="MRX997" s="2335"/>
      <c r="MRY997" s="2335"/>
      <c r="MRZ997" s="2335"/>
      <c r="MSA997" s="2335"/>
      <c r="MSB997" s="2335"/>
      <c r="MSC997" s="2335"/>
      <c r="MSD997" s="2335"/>
      <c r="MSE997" s="2335"/>
      <c r="MSF997" s="2335"/>
      <c r="MSG997" s="2335"/>
      <c r="MSH997" s="2335"/>
      <c r="MSI997" s="2335"/>
      <c r="MSJ997" s="2335"/>
      <c r="MSK997" s="2335"/>
      <c r="MSL997" s="2335"/>
      <c r="MSM997" s="2335"/>
      <c r="MSN997" s="2335"/>
      <c r="MSO997" s="2335"/>
      <c r="MSP997" s="2335"/>
      <c r="MSQ997" s="2335"/>
      <c r="MSR997" s="2335"/>
      <c r="MSS997" s="2335"/>
      <c r="MST997" s="2335"/>
      <c r="MSU997" s="2335"/>
      <c r="MSV997" s="2335"/>
      <c r="MSW997" s="2335"/>
      <c r="MSX997" s="2335"/>
      <c r="MSY997" s="2335"/>
      <c r="MSZ997" s="2335"/>
      <c r="MTA997" s="2335"/>
      <c r="MTB997" s="2335"/>
      <c r="MTC997" s="2335"/>
      <c r="MTD997" s="2335"/>
      <c r="MTE997" s="2335"/>
      <c r="MTF997" s="2335"/>
      <c r="MTG997" s="2335"/>
      <c r="MTH997" s="2335"/>
      <c r="MTI997" s="2335"/>
      <c r="MTJ997" s="2335"/>
      <c r="MTK997" s="2335"/>
      <c r="MTL997" s="2335"/>
      <c r="MTM997" s="2335"/>
      <c r="MTN997" s="2335"/>
      <c r="MTO997" s="2335"/>
      <c r="MTP997" s="2335"/>
      <c r="MTQ997" s="2335"/>
      <c r="MTR997" s="2335"/>
      <c r="MTS997" s="2335"/>
      <c r="MTT997" s="2335"/>
      <c r="MTU997" s="2335"/>
      <c r="MTV997" s="2335"/>
      <c r="MTW997" s="2335"/>
      <c r="MTX997" s="2335"/>
      <c r="MTY997" s="2335"/>
      <c r="MTZ997" s="2335"/>
      <c r="MUA997" s="2335"/>
      <c r="MUB997" s="2335"/>
      <c r="MUC997" s="2335"/>
      <c r="MUD997" s="2335"/>
      <c r="MUE997" s="2335"/>
      <c r="MUF997" s="2335"/>
      <c r="MUG997" s="2335"/>
      <c r="MUH997" s="2335"/>
      <c r="MUI997" s="2335"/>
      <c r="MUJ997" s="2335"/>
      <c r="MUK997" s="2335"/>
      <c r="MUL997" s="2335"/>
      <c r="MUM997" s="2335"/>
      <c r="MUN997" s="2335"/>
      <c r="MUO997" s="2335"/>
      <c r="MUP997" s="2335"/>
      <c r="MUQ997" s="2335"/>
      <c r="MUR997" s="2335"/>
      <c r="MUS997" s="2335"/>
      <c r="MUT997" s="2335"/>
      <c r="MUU997" s="2335"/>
      <c r="MUV997" s="2335"/>
      <c r="MUW997" s="2335"/>
      <c r="MUX997" s="2335"/>
      <c r="MUY997" s="2335"/>
      <c r="MUZ997" s="2335"/>
      <c r="MVA997" s="2335"/>
      <c r="MVB997" s="2335"/>
      <c r="MVC997" s="2335"/>
      <c r="MVD997" s="2335"/>
      <c r="MVE997" s="2335"/>
      <c r="MVF997" s="2335"/>
      <c r="MVG997" s="2335"/>
      <c r="MVH997" s="2335"/>
      <c r="MVI997" s="2335"/>
      <c r="MVJ997" s="2335"/>
      <c r="MVK997" s="2335"/>
      <c r="MVL997" s="2335"/>
      <c r="MVM997" s="2335"/>
      <c r="MVN997" s="2335"/>
      <c r="MVO997" s="2335"/>
      <c r="MVP997" s="2335"/>
      <c r="MVQ997" s="2335"/>
      <c r="MVR997" s="2335"/>
      <c r="MVS997" s="2335"/>
      <c r="MVT997" s="2335"/>
      <c r="MVU997" s="2335"/>
      <c r="MVV997" s="2335"/>
      <c r="MVW997" s="2335"/>
      <c r="MVX997" s="2335"/>
      <c r="MVY997" s="2335"/>
      <c r="MVZ997" s="2335"/>
      <c r="MWA997" s="2335"/>
      <c r="MWB997" s="2335"/>
      <c r="MWC997" s="2335"/>
      <c r="MWD997" s="2335"/>
      <c r="MWE997" s="2335"/>
      <c r="MWF997" s="2335"/>
      <c r="MWG997" s="2335"/>
      <c r="MWH997" s="2335"/>
      <c r="MWI997" s="2335"/>
      <c r="MWJ997" s="2335"/>
      <c r="MWK997" s="2335"/>
      <c r="MWL997" s="2335"/>
      <c r="MWM997" s="2335"/>
      <c r="MWN997" s="2335"/>
      <c r="MWO997" s="2335"/>
      <c r="MWP997" s="2335"/>
      <c r="MWQ997" s="2335"/>
      <c r="MWR997" s="2335"/>
      <c r="MWS997" s="2335"/>
      <c r="MWT997" s="2335"/>
      <c r="MWU997" s="2335"/>
      <c r="MWV997" s="2335"/>
      <c r="MWW997" s="2335"/>
      <c r="MWX997" s="2335"/>
      <c r="MWY997" s="2335"/>
      <c r="MWZ997" s="2335"/>
      <c r="MXA997" s="2335"/>
      <c r="MXB997" s="2335"/>
      <c r="MXC997" s="2335"/>
      <c r="MXD997" s="2335"/>
      <c r="MXE997" s="2335"/>
      <c r="MXF997" s="2335"/>
      <c r="MXG997" s="2335"/>
      <c r="MXH997" s="2335"/>
      <c r="MXI997" s="2335"/>
      <c r="MXJ997" s="2335"/>
      <c r="MXK997" s="2335"/>
      <c r="MXL997" s="2335"/>
      <c r="MXM997" s="2335"/>
      <c r="MXN997" s="2335"/>
      <c r="MXO997" s="2335"/>
      <c r="MXP997" s="2335"/>
      <c r="MXQ997" s="2335"/>
      <c r="MXR997" s="2335"/>
      <c r="MXS997" s="2335"/>
      <c r="MXT997" s="2335"/>
      <c r="MXU997" s="2335"/>
      <c r="MXV997" s="2335"/>
      <c r="MXW997" s="2335"/>
      <c r="MXX997" s="2335"/>
      <c r="MXY997" s="2335"/>
      <c r="MXZ997" s="2335"/>
      <c r="MYA997" s="2335"/>
      <c r="MYB997" s="2335"/>
      <c r="MYC997" s="2335"/>
      <c r="MYD997" s="2335"/>
      <c r="MYE997" s="2335"/>
      <c r="MYF997" s="2335"/>
      <c r="MYG997" s="2335"/>
      <c r="MYH997" s="2335"/>
      <c r="MYI997" s="2335"/>
      <c r="MYJ997" s="2335"/>
      <c r="MYK997" s="2335"/>
      <c r="MYL997" s="2335"/>
      <c r="MYM997" s="2335"/>
      <c r="MYN997" s="2335"/>
      <c r="MYO997" s="2335"/>
      <c r="MYP997" s="2335"/>
      <c r="MYQ997" s="2335"/>
      <c r="MYR997" s="2335"/>
      <c r="MYS997" s="2335"/>
      <c r="MYT997" s="2335"/>
      <c r="MYU997" s="2335"/>
      <c r="MYV997" s="2335"/>
      <c r="MYW997" s="2335"/>
      <c r="MYX997" s="2335"/>
      <c r="MYY997" s="2335"/>
      <c r="MYZ997" s="2335"/>
      <c r="MZA997" s="2335"/>
      <c r="MZB997" s="2335"/>
      <c r="MZC997" s="2335"/>
      <c r="MZD997" s="2335"/>
      <c r="MZE997" s="2335"/>
      <c r="MZF997" s="2335"/>
      <c r="MZG997" s="2335"/>
      <c r="MZH997" s="2335"/>
      <c r="MZI997" s="2335"/>
      <c r="MZJ997" s="2335"/>
      <c r="MZK997" s="2335"/>
      <c r="MZL997" s="2335"/>
      <c r="MZM997" s="2335"/>
      <c r="MZN997" s="2335"/>
      <c r="MZO997" s="2335"/>
      <c r="MZP997" s="2335"/>
      <c r="MZQ997" s="2335"/>
      <c r="MZR997" s="2335"/>
      <c r="MZS997" s="2335"/>
      <c r="MZT997" s="2335"/>
      <c r="MZU997" s="2335"/>
      <c r="MZV997" s="2335"/>
      <c r="MZW997" s="2335"/>
      <c r="MZX997" s="2335"/>
      <c r="MZY997" s="2335"/>
      <c r="MZZ997" s="2335"/>
      <c r="NAA997" s="2335"/>
      <c r="NAB997" s="2335"/>
      <c r="NAC997" s="2335"/>
      <c r="NAD997" s="2335"/>
      <c r="NAE997" s="2335"/>
      <c r="NAF997" s="2335"/>
      <c r="NAG997" s="2335"/>
      <c r="NAH997" s="2335"/>
      <c r="NAI997" s="2335"/>
      <c r="NAJ997" s="2335"/>
      <c r="NAK997" s="2335"/>
      <c r="NAL997" s="2335"/>
      <c r="NAM997" s="2335"/>
      <c r="NAN997" s="2335"/>
      <c r="NAO997" s="2335"/>
      <c r="NAP997" s="2335"/>
      <c r="NAQ997" s="2335"/>
      <c r="NAR997" s="2335"/>
      <c r="NAS997" s="2335"/>
      <c r="NAT997" s="2335"/>
      <c r="NAU997" s="2335"/>
      <c r="NAV997" s="2335"/>
      <c r="NAW997" s="2335"/>
      <c r="NAX997" s="2335"/>
      <c r="NAY997" s="2335"/>
      <c r="NAZ997" s="2335"/>
      <c r="NBA997" s="2335"/>
      <c r="NBB997" s="2335"/>
      <c r="NBC997" s="2335"/>
      <c r="NBD997" s="2335"/>
      <c r="NBE997" s="2335"/>
      <c r="NBF997" s="2335"/>
      <c r="NBG997" s="2335"/>
      <c r="NBH997" s="2335"/>
      <c r="NBI997" s="2335"/>
      <c r="NBJ997" s="2335"/>
      <c r="NBK997" s="2335"/>
      <c r="NBL997" s="2335"/>
      <c r="NBM997" s="2335"/>
      <c r="NBN997" s="2335"/>
      <c r="NBO997" s="2335"/>
      <c r="NBP997" s="2335"/>
      <c r="NBQ997" s="2335"/>
      <c r="NBR997" s="2335"/>
      <c r="NBS997" s="2335"/>
      <c r="NBT997" s="2335"/>
      <c r="NBU997" s="2335"/>
      <c r="NBV997" s="2335"/>
      <c r="NBW997" s="2335"/>
      <c r="NBX997" s="2335"/>
      <c r="NBY997" s="2335"/>
      <c r="NBZ997" s="2335"/>
      <c r="NCA997" s="2335"/>
      <c r="NCB997" s="2335"/>
      <c r="NCC997" s="2335"/>
      <c r="NCD997" s="2335"/>
      <c r="NCE997" s="2335"/>
      <c r="NCF997" s="2335"/>
      <c r="NCG997" s="2335"/>
      <c r="NCH997" s="2335"/>
      <c r="NCI997" s="2335"/>
      <c r="NCJ997" s="2335"/>
      <c r="NCK997" s="2335"/>
      <c r="NCL997" s="2335"/>
      <c r="NCM997" s="2335"/>
      <c r="NCN997" s="2335"/>
      <c r="NCO997" s="2335"/>
      <c r="NCP997" s="2335"/>
      <c r="NCQ997" s="2335"/>
      <c r="NCR997" s="2335"/>
      <c r="NCS997" s="2335"/>
      <c r="NCT997" s="2335"/>
      <c r="NCU997" s="2335"/>
      <c r="NCV997" s="2335"/>
      <c r="NCW997" s="2335"/>
      <c r="NCX997" s="2335"/>
      <c r="NCY997" s="2335"/>
      <c r="NCZ997" s="2335"/>
      <c r="NDA997" s="2335"/>
      <c r="NDB997" s="2335"/>
      <c r="NDC997" s="2335"/>
      <c r="NDD997" s="2335"/>
      <c r="NDE997" s="2335"/>
      <c r="NDF997" s="2335"/>
      <c r="NDG997" s="2335"/>
      <c r="NDH997" s="2335"/>
      <c r="NDI997" s="2335"/>
      <c r="NDJ997" s="2335"/>
      <c r="NDK997" s="2335"/>
      <c r="NDL997" s="2335"/>
      <c r="NDM997" s="2335"/>
      <c r="NDN997" s="2335"/>
      <c r="NDO997" s="2335"/>
      <c r="NDP997" s="2335"/>
      <c r="NDQ997" s="2335"/>
      <c r="NDR997" s="2335"/>
      <c r="NDS997" s="2335"/>
      <c r="NDT997" s="2335"/>
      <c r="NDU997" s="2335"/>
      <c r="NDV997" s="2335"/>
      <c r="NDW997" s="2335"/>
      <c r="NDX997" s="2335"/>
      <c r="NDY997" s="2335"/>
      <c r="NDZ997" s="2335"/>
      <c r="NEA997" s="2335"/>
      <c r="NEB997" s="2335"/>
      <c r="NEC997" s="2335"/>
      <c r="NED997" s="2335"/>
      <c r="NEE997" s="2335"/>
      <c r="NEF997" s="2335"/>
      <c r="NEG997" s="2335"/>
      <c r="NEH997" s="2335"/>
      <c r="NEI997" s="2335"/>
      <c r="NEJ997" s="2335"/>
      <c r="NEK997" s="2335"/>
      <c r="NEL997" s="2335"/>
      <c r="NEM997" s="2335"/>
      <c r="NEN997" s="2335"/>
      <c r="NEO997" s="2335"/>
      <c r="NEP997" s="2335"/>
      <c r="NEQ997" s="2335"/>
      <c r="NER997" s="2335"/>
      <c r="NES997" s="2335"/>
      <c r="NET997" s="2335"/>
      <c r="NEU997" s="2335"/>
      <c r="NEV997" s="2335"/>
      <c r="NEW997" s="2335"/>
      <c r="NEX997" s="2335"/>
      <c r="NEY997" s="2335"/>
      <c r="NEZ997" s="2335"/>
      <c r="NFA997" s="2335"/>
      <c r="NFB997" s="2335"/>
      <c r="NFC997" s="2335"/>
      <c r="NFD997" s="2335"/>
      <c r="NFE997" s="2335"/>
      <c r="NFF997" s="2335"/>
      <c r="NFG997" s="2335"/>
      <c r="NFH997" s="2335"/>
      <c r="NFI997" s="2335"/>
      <c r="NFJ997" s="2335"/>
      <c r="NFK997" s="2335"/>
      <c r="NFL997" s="2335"/>
      <c r="NFM997" s="2335"/>
      <c r="NFN997" s="2335"/>
      <c r="NFO997" s="2335"/>
      <c r="NFP997" s="2335"/>
      <c r="NFQ997" s="2335"/>
      <c r="NFR997" s="2335"/>
      <c r="NFS997" s="2335"/>
      <c r="NFT997" s="2335"/>
      <c r="NFU997" s="2335"/>
      <c r="NFV997" s="2335"/>
      <c r="NFW997" s="2335"/>
      <c r="NFX997" s="2335"/>
      <c r="NFY997" s="2335"/>
      <c r="NFZ997" s="2335"/>
      <c r="NGA997" s="2335"/>
      <c r="NGB997" s="2335"/>
      <c r="NGC997" s="2335"/>
      <c r="NGD997" s="2335"/>
      <c r="NGE997" s="2335"/>
      <c r="NGF997" s="2335"/>
      <c r="NGG997" s="2335"/>
      <c r="NGH997" s="2335"/>
      <c r="NGI997" s="2335"/>
      <c r="NGJ997" s="2335"/>
      <c r="NGK997" s="2335"/>
      <c r="NGL997" s="2335"/>
      <c r="NGM997" s="2335"/>
      <c r="NGN997" s="2335"/>
      <c r="NGO997" s="2335"/>
      <c r="NGP997" s="2335"/>
      <c r="NGQ997" s="2335"/>
      <c r="NGR997" s="2335"/>
      <c r="NGS997" s="2335"/>
      <c r="NGT997" s="2335"/>
      <c r="NGU997" s="2335"/>
      <c r="NGV997" s="2335"/>
      <c r="NGW997" s="2335"/>
      <c r="NGX997" s="2335"/>
      <c r="NGY997" s="2335"/>
      <c r="NGZ997" s="2335"/>
      <c r="NHA997" s="2335"/>
      <c r="NHB997" s="2335"/>
      <c r="NHC997" s="2335"/>
      <c r="NHD997" s="2335"/>
      <c r="NHE997" s="2335"/>
      <c r="NHF997" s="2335"/>
      <c r="NHG997" s="2335"/>
      <c r="NHH997" s="2335"/>
      <c r="NHI997" s="2335"/>
      <c r="NHJ997" s="2335"/>
      <c r="NHK997" s="2335"/>
      <c r="NHL997" s="2335"/>
      <c r="NHM997" s="2335"/>
      <c r="NHN997" s="2335"/>
      <c r="NHO997" s="2335"/>
      <c r="NHP997" s="2335"/>
      <c r="NHQ997" s="2335"/>
      <c r="NHR997" s="2335"/>
      <c r="NHS997" s="2335"/>
      <c r="NHT997" s="2335"/>
      <c r="NHU997" s="2335"/>
      <c r="NHV997" s="2335"/>
      <c r="NHW997" s="2335"/>
      <c r="NHX997" s="2335"/>
      <c r="NHY997" s="2335"/>
      <c r="NHZ997" s="2335"/>
      <c r="NIA997" s="2335"/>
      <c r="NIB997" s="2335"/>
      <c r="NIC997" s="2335"/>
      <c r="NID997" s="2335"/>
      <c r="NIE997" s="2335"/>
      <c r="NIF997" s="2335"/>
      <c r="NIG997" s="2335"/>
      <c r="NIH997" s="2335"/>
      <c r="NII997" s="2335"/>
      <c r="NIJ997" s="2335"/>
      <c r="NIK997" s="2335"/>
      <c r="NIL997" s="2335"/>
      <c r="NIM997" s="2335"/>
      <c r="NIN997" s="2335"/>
      <c r="NIO997" s="2335"/>
      <c r="NIP997" s="2335"/>
      <c r="NIQ997" s="2335"/>
      <c r="NIR997" s="2335"/>
      <c r="NIS997" s="2335"/>
      <c r="NIT997" s="2335"/>
      <c r="NIU997" s="2335"/>
      <c r="NIV997" s="2335"/>
      <c r="NIW997" s="2335"/>
      <c r="NIX997" s="2335"/>
      <c r="NIY997" s="2335"/>
      <c r="NIZ997" s="2335"/>
      <c r="NJA997" s="2335"/>
      <c r="NJB997" s="2335"/>
      <c r="NJC997" s="2335"/>
      <c r="NJD997" s="2335"/>
      <c r="NJE997" s="2335"/>
      <c r="NJF997" s="2335"/>
      <c r="NJG997" s="2335"/>
      <c r="NJH997" s="2335"/>
      <c r="NJI997" s="2335"/>
      <c r="NJJ997" s="2335"/>
      <c r="NJK997" s="2335"/>
      <c r="NJL997" s="2335"/>
      <c r="NJM997" s="2335"/>
      <c r="NJN997" s="2335"/>
      <c r="NJO997" s="2335"/>
      <c r="NJP997" s="2335"/>
      <c r="NJQ997" s="2335"/>
      <c r="NJR997" s="2335"/>
      <c r="NJS997" s="2335"/>
      <c r="NJT997" s="2335"/>
      <c r="NJU997" s="2335"/>
      <c r="NJV997" s="2335"/>
      <c r="NJW997" s="2335"/>
      <c r="NJX997" s="2335"/>
      <c r="NJY997" s="2335"/>
      <c r="NJZ997" s="2335"/>
      <c r="NKA997" s="2335"/>
      <c r="NKB997" s="2335"/>
      <c r="NKC997" s="2335"/>
      <c r="NKD997" s="2335"/>
      <c r="NKE997" s="2335"/>
      <c r="NKF997" s="2335"/>
      <c r="NKG997" s="2335"/>
      <c r="NKH997" s="2335"/>
      <c r="NKI997" s="2335"/>
      <c r="NKJ997" s="2335"/>
      <c r="NKK997" s="2335"/>
      <c r="NKL997" s="2335"/>
      <c r="NKM997" s="2335"/>
      <c r="NKN997" s="2335"/>
      <c r="NKO997" s="2335"/>
      <c r="NKP997" s="2335"/>
      <c r="NKQ997" s="2335"/>
      <c r="NKR997" s="2335"/>
      <c r="NKS997" s="2335"/>
      <c r="NKT997" s="2335"/>
      <c r="NKU997" s="2335"/>
      <c r="NKV997" s="2335"/>
      <c r="NKW997" s="2335"/>
      <c r="NKX997" s="2335"/>
      <c r="NKY997" s="2335"/>
      <c r="NKZ997" s="2335"/>
      <c r="NLA997" s="2335"/>
      <c r="NLB997" s="2335"/>
      <c r="NLC997" s="2335"/>
      <c r="NLD997" s="2335"/>
      <c r="NLE997" s="2335"/>
      <c r="NLF997" s="2335"/>
      <c r="NLG997" s="2335"/>
      <c r="NLH997" s="2335"/>
      <c r="NLI997" s="2335"/>
      <c r="NLJ997" s="2335"/>
      <c r="NLK997" s="2335"/>
      <c r="NLL997" s="2335"/>
      <c r="NLM997" s="2335"/>
      <c r="NLN997" s="2335"/>
      <c r="NLO997" s="2335"/>
      <c r="NLP997" s="2335"/>
      <c r="NLQ997" s="2335"/>
      <c r="NLR997" s="2335"/>
      <c r="NLS997" s="2335"/>
      <c r="NLT997" s="2335"/>
      <c r="NLU997" s="2335"/>
      <c r="NLV997" s="2335"/>
      <c r="NLW997" s="2335"/>
      <c r="NLX997" s="2335"/>
      <c r="NLY997" s="2335"/>
      <c r="NLZ997" s="2335"/>
      <c r="NMA997" s="2335"/>
      <c r="NMB997" s="2335"/>
      <c r="NMC997" s="2335"/>
      <c r="NMD997" s="2335"/>
      <c r="NME997" s="2335"/>
      <c r="NMF997" s="2335"/>
      <c r="NMG997" s="2335"/>
      <c r="NMH997" s="2335"/>
      <c r="NMI997" s="2335"/>
      <c r="NMJ997" s="2335"/>
      <c r="NMK997" s="2335"/>
      <c r="NML997" s="2335"/>
      <c r="NMM997" s="2335"/>
      <c r="NMN997" s="2335"/>
      <c r="NMO997" s="2335"/>
      <c r="NMP997" s="2335"/>
      <c r="NMQ997" s="2335"/>
      <c r="NMR997" s="2335"/>
      <c r="NMS997" s="2335"/>
      <c r="NMT997" s="2335"/>
      <c r="NMU997" s="2335"/>
      <c r="NMV997" s="2335"/>
      <c r="NMW997" s="2335"/>
      <c r="NMX997" s="2335"/>
      <c r="NMY997" s="2335"/>
      <c r="NMZ997" s="2335"/>
      <c r="NNA997" s="2335"/>
      <c r="NNB997" s="2335"/>
      <c r="NNC997" s="2335"/>
      <c r="NND997" s="2335"/>
      <c r="NNE997" s="2335"/>
      <c r="NNF997" s="2335"/>
      <c r="NNG997" s="2335"/>
      <c r="NNH997" s="2335"/>
      <c r="NNI997" s="2335"/>
      <c r="NNJ997" s="2335"/>
      <c r="NNK997" s="2335"/>
      <c r="NNL997" s="2335"/>
      <c r="NNM997" s="2335"/>
      <c r="NNN997" s="2335"/>
      <c r="NNO997" s="2335"/>
      <c r="NNP997" s="2335"/>
      <c r="NNQ997" s="2335"/>
      <c r="NNR997" s="2335"/>
      <c r="NNS997" s="2335"/>
      <c r="NNT997" s="2335"/>
      <c r="NNU997" s="2335"/>
      <c r="NNV997" s="2335"/>
      <c r="NNW997" s="2335"/>
      <c r="NNX997" s="2335"/>
      <c r="NNY997" s="2335"/>
      <c r="NNZ997" s="2335"/>
      <c r="NOA997" s="2335"/>
      <c r="NOB997" s="2335"/>
      <c r="NOC997" s="2335"/>
      <c r="NOD997" s="2335"/>
      <c r="NOE997" s="2335"/>
      <c r="NOF997" s="2335"/>
      <c r="NOG997" s="2335"/>
      <c r="NOH997" s="2335"/>
      <c r="NOI997" s="2335"/>
      <c r="NOJ997" s="2335"/>
      <c r="NOK997" s="2335"/>
      <c r="NOL997" s="2335"/>
      <c r="NOM997" s="2335"/>
      <c r="NON997" s="2335"/>
      <c r="NOO997" s="2335"/>
      <c r="NOP997" s="2335"/>
      <c r="NOQ997" s="2335"/>
      <c r="NOR997" s="2335"/>
      <c r="NOS997" s="2335"/>
      <c r="NOT997" s="2335"/>
      <c r="NOU997" s="2335"/>
      <c r="NOV997" s="2335"/>
      <c r="NOW997" s="2335"/>
      <c r="NOX997" s="2335"/>
      <c r="NOY997" s="2335"/>
      <c r="NOZ997" s="2335"/>
      <c r="NPA997" s="2335"/>
      <c r="NPB997" s="2335"/>
      <c r="NPC997" s="2335"/>
      <c r="NPD997" s="2335"/>
      <c r="NPE997" s="2335"/>
      <c r="NPF997" s="2335"/>
      <c r="NPG997" s="2335"/>
      <c r="NPH997" s="2335"/>
      <c r="NPI997" s="2335"/>
      <c r="NPJ997" s="2335"/>
      <c r="NPK997" s="2335"/>
      <c r="NPL997" s="2335"/>
      <c r="NPM997" s="2335"/>
      <c r="NPN997" s="2335"/>
      <c r="NPO997" s="2335"/>
      <c r="NPP997" s="2335"/>
      <c r="NPQ997" s="2335"/>
      <c r="NPR997" s="2335"/>
      <c r="NPS997" s="2335"/>
      <c r="NPT997" s="2335"/>
      <c r="NPU997" s="2335"/>
      <c r="NPV997" s="2335"/>
      <c r="NPW997" s="2335"/>
      <c r="NPX997" s="2335"/>
      <c r="NPY997" s="2335"/>
      <c r="NPZ997" s="2335"/>
      <c r="NQA997" s="2335"/>
      <c r="NQB997" s="2335"/>
      <c r="NQC997" s="2335"/>
      <c r="NQD997" s="2335"/>
      <c r="NQE997" s="2335"/>
      <c r="NQF997" s="2335"/>
      <c r="NQG997" s="2335"/>
      <c r="NQH997" s="2335"/>
      <c r="NQI997" s="2335"/>
      <c r="NQJ997" s="2335"/>
      <c r="NQK997" s="2335"/>
      <c r="NQL997" s="2335"/>
      <c r="NQM997" s="2335"/>
      <c r="NQN997" s="2335"/>
      <c r="NQO997" s="2335"/>
      <c r="NQP997" s="2335"/>
      <c r="NQQ997" s="2335"/>
      <c r="NQR997" s="2335"/>
      <c r="NQS997" s="2335"/>
      <c r="NQT997" s="2335"/>
      <c r="NQU997" s="2335"/>
      <c r="NQV997" s="2335"/>
      <c r="NQW997" s="2335"/>
      <c r="NQX997" s="2335"/>
      <c r="NQY997" s="2335"/>
      <c r="NQZ997" s="2335"/>
      <c r="NRA997" s="2335"/>
      <c r="NRB997" s="2335"/>
      <c r="NRC997" s="2335"/>
      <c r="NRD997" s="2335"/>
      <c r="NRE997" s="2335"/>
      <c r="NRF997" s="2335"/>
      <c r="NRG997" s="2335"/>
      <c r="NRH997" s="2335"/>
      <c r="NRI997" s="2335"/>
      <c r="NRJ997" s="2335"/>
      <c r="NRK997" s="2335"/>
      <c r="NRL997" s="2335"/>
      <c r="NRM997" s="2335"/>
      <c r="NRN997" s="2335"/>
      <c r="NRO997" s="2335"/>
      <c r="NRP997" s="2335"/>
      <c r="NRQ997" s="2335"/>
      <c r="NRR997" s="2335"/>
      <c r="NRS997" s="2335"/>
      <c r="NRT997" s="2335"/>
      <c r="NRU997" s="2335"/>
      <c r="NRV997" s="2335"/>
      <c r="NRW997" s="2335"/>
      <c r="NRX997" s="2335"/>
      <c r="NRY997" s="2335"/>
      <c r="NRZ997" s="2335"/>
      <c r="NSA997" s="2335"/>
      <c r="NSB997" s="2335"/>
      <c r="NSC997" s="2335"/>
      <c r="NSD997" s="2335"/>
      <c r="NSE997" s="2335"/>
      <c r="NSF997" s="2335"/>
      <c r="NSG997" s="2335"/>
      <c r="NSH997" s="2335"/>
      <c r="NSI997" s="2335"/>
      <c r="NSJ997" s="2335"/>
      <c r="NSK997" s="2335"/>
      <c r="NSL997" s="2335"/>
      <c r="NSM997" s="2335"/>
      <c r="NSN997" s="2335"/>
      <c r="NSO997" s="2335"/>
      <c r="NSP997" s="2335"/>
      <c r="NSQ997" s="2335"/>
      <c r="NSR997" s="2335"/>
      <c r="NSS997" s="2335"/>
      <c r="NST997" s="2335"/>
      <c r="NSU997" s="2335"/>
      <c r="NSV997" s="2335"/>
      <c r="NSW997" s="2335"/>
      <c r="NSX997" s="2335"/>
      <c r="NSY997" s="2335"/>
      <c r="NSZ997" s="2335"/>
      <c r="NTA997" s="2335"/>
      <c r="NTB997" s="2335"/>
      <c r="NTC997" s="2335"/>
      <c r="NTD997" s="2335"/>
      <c r="NTE997" s="2335"/>
      <c r="NTF997" s="2335"/>
      <c r="NTG997" s="2335"/>
      <c r="NTH997" s="2335"/>
      <c r="NTI997" s="2335"/>
      <c r="NTJ997" s="2335"/>
      <c r="NTK997" s="2335"/>
      <c r="NTL997" s="2335"/>
      <c r="NTM997" s="2335"/>
      <c r="NTN997" s="2335"/>
      <c r="NTO997" s="2335"/>
      <c r="NTP997" s="2335"/>
      <c r="NTQ997" s="2335"/>
      <c r="NTR997" s="2335"/>
      <c r="NTS997" s="2335"/>
      <c r="NTT997" s="2335"/>
      <c r="NTU997" s="2335"/>
      <c r="NTV997" s="2335"/>
      <c r="NTW997" s="2335"/>
      <c r="NTX997" s="2335"/>
      <c r="NTY997" s="2335"/>
      <c r="NTZ997" s="2335"/>
      <c r="NUA997" s="2335"/>
      <c r="NUB997" s="2335"/>
      <c r="NUC997" s="2335"/>
      <c r="NUD997" s="2335"/>
      <c r="NUE997" s="2335"/>
      <c r="NUF997" s="2335"/>
      <c r="NUG997" s="2335"/>
      <c r="NUH997" s="2335"/>
      <c r="NUI997" s="2335"/>
      <c r="NUJ997" s="2335"/>
      <c r="NUK997" s="2335"/>
      <c r="NUL997" s="2335"/>
      <c r="NUM997" s="2335"/>
      <c r="NUN997" s="2335"/>
      <c r="NUO997" s="2335"/>
      <c r="NUP997" s="2335"/>
      <c r="NUQ997" s="2335"/>
      <c r="NUR997" s="2335"/>
      <c r="NUS997" s="2335"/>
      <c r="NUT997" s="2335"/>
      <c r="NUU997" s="2335"/>
      <c r="NUV997" s="2335"/>
      <c r="NUW997" s="2335"/>
      <c r="NUX997" s="2335"/>
      <c r="NUY997" s="2335"/>
      <c r="NUZ997" s="2335"/>
      <c r="NVA997" s="2335"/>
      <c r="NVB997" s="2335"/>
      <c r="NVC997" s="2335"/>
      <c r="NVD997" s="2335"/>
      <c r="NVE997" s="2335"/>
      <c r="NVF997" s="2335"/>
      <c r="NVG997" s="2335"/>
      <c r="NVH997" s="2335"/>
      <c r="NVI997" s="2335"/>
      <c r="NVJ997" s="2335"/>
      <c r="NVK997" s="2335"/>
      <c r="NVL997" s="2335"/>
      <c r="NVM997" s="2335"/>
      <c r="NVN997" s="2335"/>
      <c r="NVO997" s="2335"/>
      <c r="NVP997" s="2335"/>
      <c r="NVQ997" s="2335"/>
      <c r="NVR997" s="2335"/>
      <c r="NVS997" s="2335"/>
      <c r="NVT997" s="2335"/>
      <c r="NVU997" s="2335"/>
      <c r="NVV997" s="2335"/>
      <c r="NVW997" s="2335"/>
      <c r="NVX997" s="2335"/>
      <c r="NVY997" s="2335"/>
      <c r="NVZ997" s="2335"/>
      <c r="NWA997" s="2335"/>
      <c r="NWB997" s="2335"/>
      <c r="NWC997" s="2335"/>
      <c r="NWD997" s="2335"/>
      <c r="NWE997" s="2335"/>
      <c r="NWF997" s="2335"/>
      <c r="NWG997" s="2335"/>
      <c r="NWH997" s="2335"/>
      <c r="NWI997" s="2335"/>
      <c r="NWJ997" s="2335"/>
      <c r="NWK997" s="2335"/>
      <c r="NWL997" s="2335"/>
      <c r="NWM997" s="2335"/>
      <c r="NWN997" s="2335"/>
      <c r="NWO997" s="2335"/>
      <c r="NWP997" s="2335"/>
      <c r="NWQ997" s="2335"/>
      <c r="NWR997" s="2335"/>
      <c r="NWS997" s="2335"/>
      <c r="NWT997" s="2335"/>
      <c r="NWU997" s="2335"/>
      <c r="NWV997" s="2335"/>
      <c r="NWW997" s="2335"/>
      <c r="NWX997" s="2335"/>
      <c r="NWY997" s="2335"/>
      <c r="NWZ997" s="2335"/>
      <c r="NXA997" s="2335"/>
      <c r="NXB997" s="2335"/>
      <c r="NXC997" s="2335"/>
      <c r="NXD997" s="2335"/>
      <c r="NXE997" s="2335"/>
      <c r="NXF997" s="2335"/>
      <c r="NXG997" s="2335"/>
      <c r="NXH997" s="2335"/>
      <c r="NXI997" s="2335"/>
      <c r="NXJ997" s="2335"/>
      <c r="NXK997" s="2335"/>
      <c r="NXL997" s="2335"/>
      <c r="NXM997" s="2335"/>
      <c r="NXN997" s="2335"/>
      <c r="NXO997" s="2335"/>
      <c r="NXP997" s="2335"/>
      <c r="NXQ997" s="2335"/>
      <c r="NXR997" s="2335"/>
      <c r="NXS997" s="2335"/>
      <c r="NXT997" s="2335"/>
      <c r="NXU997" s="2335"/>
      <c r="NXV997" s="2335"/>
      <c r="NXW997" s="2335"/>
      <c r="NXX997" s="2335"/>
      <c r="NXY997" s="2335"/>
      <c r="NXZ997" s="2335"/>
      <c r="NYA997" s="2335"/>
      <c r="NYB997" s="2335"/>
      <c r="NYC997" s="2335"/>
      <c r="NYD997" s="2335"/>
      <c r="NYE997" s="2335"/>
      <c r="NYF997" s="2335"/>
      <c r="NYG997" s="2335"/>
      <c r="NYH997" s="2335"/>
      <c r="NYI997" s="2335"/>
      <c r="NYJ997" s="2335"/>
      <c r="NYK997" s="2335"/>
      <c r="NYL997" s="2335"/>
      <c r="NYM997" s="2335"/>
      <c r="NYN997" s="2335"/>
      <c r="NYO997" s="2335"/>
      <c r="NYP997" s="2335"/>
      <c r="NYQ997" s="2335"/>
      <c r="NYR997" s="2335"/>
      <c r="NYS997" s="2335"/>
      <c r="NYT997" s="2335"/>
      <c r="NYU997" s="2335"/>
      <c r="NYV997" s="2335"/>
      <c r="NYW997" s="2335"/>
      <c r="NYX997" s="2335"/>
      <c r="NYY997" s="2335"/>
      <c r="NYZ997" s="2335"/>
      <c r="NZA997" s="2335"/>
      <c r="NZB997" s="2335"/>
      <c r="NZC997" s="2335"/>
      <c r="NZD997" s="2335"/>
      <c r="NZE997" s="2335"/>
      <c r="NZF997" s="2335"/>
      <c r="NZG997" s="2335"/>
      <c r="NZH997" s="2335"/>
      <c r="NZI997" s="2335"/>
      <c r="NZJ997" s="2335"/>
      <c r="NZK997" s="2335"/>
      <c r="NZL997" s="2335"/>
      <c r="NZM997" s="2335"/>
      <c r="NZN997" s="2335"/>
      <c r="NZO997" s="2335"/>
      <c r="NZP997" s="2335"/>
      <c r="NZQ997" s="2335"/>
      <c r="NZR997" s="2335"/>
      <c r="NZS997" s="2335"/>
      <c r="NZT997" s="2335"/>
      <c r="NZU997" s="2335"/>
      <c r="NZV997" s="2335"/>
      <c r="NZW997" s="2335"/>
      <c r="NZX997" s="2335"/>
      <c r="NZY997" s="2335"/>
      <c r="NZZ997" s="2335"/>
      <c r="OAA997" s="2335"/>
      <c r="OAB997" s="2335"/>
      <c r="OAC997" s="2335"/>
      <c r="OAD997" s="2335"/>
      <c r="OAE997" s="2335"/>
      <c r="OAF997" s="2335"/>
      <c r="OAG997" s="2335"/>
      <c r="OAH997" s="2335"/>
      <c r="OAI997" s="2335"/>
      <c r="OAJ997" s="2335"/>
      <c r="OAK997" s="2335"/>
      <c r="OAL997" s="2335"/>
      <c r="OAM997" s="2335"/>
      <c r="OAN997" s="2335"/>
      <c r="OAO997" s="2335"/>
      <c r="OAP997" s="2335"/>
      <c r="OAQ997" s="2335"/>
      <c r="OAR997" s="2335"/>
      <c r="OAS997" s="2335"/>
      <c r="OAT997" s="2335"/>
      <c r="OAU997" s="2335"/>
      <c r="OAV997" s="2335"/>
      <c r="OAW997" s="2335"/>
      <c r="OAX997" s="2335"/>
      <c r="OAY997" s="2335"/>
      <c r="OAZ997" s="2335"/>
      <c r="OBA997" s="2335"/>
      <c r="OBB997" s="2335"/>
      <c r="OBC997" s="2335"/>
      <c r="OBD997" s="2335"/>
      <c r="OBE997" s="2335"/>
      <c r="OBF997" s="2335"/>
      <c r="OBG997" s="2335"/>
      <c r="OBH997" s="2335"/>
      <c r="OBI997" s="2335"/>
      <c r="OBJ997" s="2335"/>
      <c r="OBK997" s="2335"/>
      <c r="OBL997" s="2335"/>
      <c r="OBM997" s="2335"/>
      <c r="OBN997" s="2335"/>
      <c r="OBO997" s="2335"/>
      <c r="OBP997" s="2335"/>
      <c r="OBQ997" s="2335"/>
      <c r="OBR997" s="2335"/>
      <c r="OBS997" s="2335"/>
      <c r="OBT997" s="2335"/>
      <c r="OBU997" s="2335"/>
      <c r="OBV997" s="2335"/>
      <c r="OBW997" s="2335"/>
      <c r="OBX997" s="2335"/>
      <c r="OBY997" s="2335"/>
      <c r="OBZ997" s="2335"/>
      <c r="OCA997" s="2335"/>
      <c r="OCB997" s="2335"/>
      <c r="OCC997" s="2335"/>
      <c r="OCD997" s="2335"/>
      <c r="OCE997" s="2335"/>
      <c r="OCF997" s="2335"/>
      <c r="OCG997" s="2335"/>
      <c r="OCH997" s="2335"/>
      <c r="OCI997" s="2335"/>
      <c r="OCJ997" s="2335"/>
      <c r="OCK997" s="2335"/>
      <c r="OCL997" s="2335"/>
      <c r="OCM997" s="2335"/>
      <c r="OCN997" s="2335"/>
      <c r="OCO997" s="2335"/>
      <c r="OCP997" s="2335"/>
      <c r="OCQ997" s="2335"/>
      <c r="OCR997" s="2335"/>
      <c r="OCS997" s="2335"/>
      <c r="OCT997" s="2335"/>
      <c r="OCU997" s="2335"/>
      <c r="OCV997" s="2335"/>
      <c r="OCW997" s="2335"/>
      <c r="OCX997" s="2335"/>
      <c r="OCY997" s="2335"/>
      <c r="OCZ997" s="2335"/>
      <c r="ODA997" s="2335"/>
      <c r="ODB997" s="2335"/>
      <c r="ODC997" s="2335"/>
      <c r="ODD997" s="2335"/>
      <c r="ODE997" s="2335"/>
      <c r="ODF997" s="2335"/>
      <c r="ODG997" s="2335"/>
      <c r="ODH997" s="2335"/>
      <c r="ODI997" s="2335"/>
      <c r="ODJ997" s="2335"/>
      <c r="ODK997" s="2335"/>
      <c r="ODL997" s="2335"/>
      <c r="ODM997" s="2335"/>
      <c r="ODN997" s="2335"/>
      <c r="ODO997" s="2335"/>
      <c r="ODP997" s="2335"/>
      <c r="ODQ997" s="2335"/>
      <c r="ODR997" s="2335"/>
      <c r="ODS997" s="2335"/>
      <c r="ODT997" s="2335"/>
      <c r="ODU997" s="2335"/>
      <c r="ODV997" s="2335"/>
      <c r="ODW997" s="2335"/>
      <c r="ODX997" s="2335"/>
      <c r="ODY997" s="2335"/>
      <c r="ODZ997" s="2335"/>
      <c r="OEA997" s="2335"/>
      <c r="OEB997" s="2335"/>
      <c r="OEC997" s="2335"/>
      <c r="OED997" s="2335"/>
      <c r="OEE997" s="2335"/>
      <c r="OEF997" s="2335"/>
      <c r="OEG997" s="2335"/>
      <c r="OEH997" s="2335"/>
      <c r="OEI997" s="2335"/>
      <c r="OEJ997" s="2335"/>
      <c r="OEK997" s="2335"/>
      <c r="OEL997" s="2335"/>
      <c r="OEM997" s="2335"/>
      <c r="OEN997" s="2335"/>
      <c r="OEO997" s="2335"/>
      <c r="OEP997" s="2335"/>
      <c r="OEQ997" s="2335"/>
      <c r="OER997" s="2335"/>
      <c r="OES997" s="2335"/>
      <c r="OET997" s="2335"/>
      <c r="OEU997" s="2335"/>
      <c r="OEV997" s="2335"/>
      <c r="OEW997" s="2335"/>
      <c r="OEX997" s="2335"/>
      <c r="OEY997" s="2335"/>
      <c r="OEZ997" s="2335"/>
      <c r="OFA997" s="2335"/>
      <c r="OFB997" s="2335"/>
      <c r="OFC997" s="2335"/>
      <c r="OFD997" s="2335"/>
      <c r="OFE997" s="2335"/>
      <c r="OFF997" s="2335"/>
      <c r="OFG997" s="2335"/>
      <c r="OFH997" s="2335"/>
      <c r="OFI997" s="2335"/>
      <c r="OFJ997" s="2335"/>
      <c r="OFK997" s="2335"/>
      <c r="OFL997" s="2335"/>
      <c r="OFM997" s="2335"/>
      <c r="OFN997" s="2335"/>
      <c r="OFO997" s="2335"/>
      <c r="OFP997" s="2335"/>
      <c r="OFQ997" s="2335"/>
      <c r="OFR997" s="2335"/>
      <c r="OFS997" s="2335"/>
      <c r="OFT997" s="2335"/>
      <c r="OFU997" s="2335"/>
      <c r="OFV997" s="2335"/>
      <c r="OFW997" s="2335"/>
      <c r="OFX997" s="2335"/>
      <c r="OFY997" s="2335"/>
      <c r="OFZ997" s="2335"/>
      <c r="OGA997" s="2335"/>
      <c r="OGB997" s="2335"/>
      <c r="OGC997" s="2335"/>
      <c r="OGD997" s="2335"/>
      <c r="OGE997" s="2335"/>
      <c r="OGF997" s="2335"/>
      <c r="OGG997" s="2335"/>
      <c r="OGH997" s="2335"/>
      <c r="OGI997" s="2335"/>
      <c r="OGJ997" s="2335"/>
      <c r="OGK997" s="2335"/>
      <c r="OGL997" s="2335"/>
      <c r="OGM997" s="2335"/>
      <c r="OGN997" s="2335"/>
      <c r="OGO997" s="2335"/>
      <c r="OGP997" s="2335"/>
      <c r="OGQ997" s="2335"/>
      <c r="OGR997" s="2335"/>
      <c r="OGS997" s="2335"/>
      <c r="OGT997" s="2335"/>
      <c r="OGU997" s="2335"/>
      <c r="OGV997" s="2335"/>
      <c r="OGW997" s="2335"/>
      <c r="OGX997" s="2335"/>
      <c r="OGY997" s="2335"/>
      <c r="OGZ997" s="2335"/>
      <c r="OHA997" s="2335"/>
      <c r="OHB997" s="2335"/>
      <c r="OHC997" s="2335"/>
      <c r="OHD997" s="2335"/>
      <c r="OHE997" s="2335"/>
      <c r="OHF997" s="2335"/>
      <c r="OHG997" s="2335"/>
      <c r="OHH997" s="2335"/>
      <c r="OHI997" s="2335"/>
      <c r="OHJ997" s="2335"/>
      <c r="OHK997" s="2335"/>
      <c r="OHL997" s="2335"/>
      <c r="OHM997" s="2335"/>
      <c r="OHN997" s="2335"/>
      <c r="OHO997" s="2335"/>
      <c r="OHP997" s="2335"/>
      <c r="OHQ997" s="2335"/>
      <c r="OHR997" s="2335"/>
      <c r="OHS997" s="2335"/>
      <c r="OHT997" s="2335"/>
      <c r="OHU997" s="2335"/>
      <c r="OHV997" s="2335"/>
      <c r="OHW997" s="2335"/>
      <c r="OHX997" s="2335"/>
      <c r="OHY997" s="2335"/>
      <c r="OHZ997" s="2335"/>
      <c r="OIA997" s="2335"/>
      <c r="OIB997" s="2335"/>
      <c r="OIC997" s="2335"/>
      <c r="OID997" s="2335"/>
      <c r="OIE997" s="2335"/>
      <c r="OIF997" s="2335"/>
      <c r="OIG997" s="2335"/>
      <c r="OIH997" s="2335"/>
      <c r="OII997" s="2335"/>
      <c r="OIJ997" s="2335"/>
      <c r="OIK997" s="2335"/>
      <c r="OIL997" s="2335"/>
      <c r="OIM997" s="2335"/>
      <c r="OIN997" s="2335"/>
      <c r="OIO997" s="2335"/>
      <c r="OIP997" s="2335"/>
      <c r="OIQ997" s="2335"/>
      <c r="OIR997" s="2335"/>
      <c r="OIS997" s="2335"/>
      <c r="OIT997" s="2335"/>
      <c r="OIU997" s="2335"/>
      <c r="OIV997" s="2335"/>
      <c r="OIW997" s="2335"/>
      <c r="OIX997" s="2335"/>
      <c r="OIY997" s="2335"/>
      <c r="OIZ997" s="2335"/>
      <c r="OJA997" s="2335"/>
      <c r="OJB997" s="2335"/>
      <c r="OJC997" s="2335"/>
      <c r="OJD997" s="2335"/>
      <c r="OJE997" s="2335"/>
      <c r="OJF997" s="2335"/>
      <c r="OJG997" s="2335"/>
      <c r="OJH997" s="2335"/>
      <c r="OJI997" s="2335"/>
      <c r="OJJ997" s="2335"/>
      <c r="OJK997" s="2335"/>
      <c r="OJL997" s="2335"/>
      <c r="OJM997" s="2335"/>
      <c r="OJN997" s="2335"/>
      <c r="OJO997" s="2335"/>
      <c r="OJP997" s="2335"/>
      <c r="OJQ997" s="2335"/>
      <c r="OJR997" s="2335"/>
      <c r="OJS997" s="2335"/>
      <c r="OJT997" s="2335"/>
      <c r="OJU997" s="2335"/>
      <c r="OJV997" s="2335"/>
      <c r="OJW997" s="2335"/>
      <c r="OJX997" s="2335"/>
      <c r="OJY997" s="2335"/>
      <c r="OJZ997" s="2335"/>
      <c r="OKA997" s="2335"/>
      <c r="OKB997" s="2335"/>
      <c r="OKC997" s="2335"/>
      <c r="OKD997" s="2335"/>
      <c r="OKE997" s="2335"/>
      <c r="OKF997" s="2335"/>
      <c r="OKG997" s="2335"/>
      <c r="OKH997" s="2335"/>
      <c r="OKI997" s="2335"/>
      <c r="OKJ997" s="2335"/>
      <c r="OKK997" s="2335"/>
      <c r="OKL997" s="2335"/>
      <c r="OKM997" s="2335"/>
      <c r="OKN997" s="2335"/>
      <c r="OKO997" s="2335"/>
      <c r="OKP997" s="2335"/>
      <c r="OKQ997" s="2335"/>
      <c r="OKR997" s="2335"/>
      <c r="OKS997" s="2335"/>
      <c r="OKT997" s="2335"/>
      <c r="OKU997" s="2335"/>
      <c r="OKV997" s="2335"/>
      <c r="OKW997" s="2335"/>
      <c r="OKX997" s="2335"/>
      <c r="OKY997" s="2335"/>
      <c r="OKZ997" s="2335"/>
      <c r="OLA997" s="2335"/>
      <c r="OLB997" s="2335"/>
      <c r="OLC997" s="2335"/>
      <c r="OLD997" s="2335"/>
      <c r="OLE997" s="2335"/>
      <c r="OLF997" s="2335"/>
      <c r="OLG997" s="2335"/>
      <c r="OLH997" s="2335"/>
      <c r="OLI997" s="2335"/>
      <c r="OLJ997" s="2335"/>
      <c r="OLK997" s="2335"/>
      <c r="OLL997" s="2335"/>
      <c r="OLM997" s="2335"/>
      <c r="OLN997" s="2335"/>
      <c r="OLO997" s="2335"/>
      <c r="OLP997" s="2335"/>
      <c r="OLQ997" s="2335"/>
      <c r="OLR997" s="2335"/>
      <c r="OLS997" s="2335"/>
      <c r="OLT997" s="2335"/>
      <c r="OLU997" s="2335"/>
      <c r="OLV997" s="2335"/>
      <c r="OLW997" s="2335"/>
      <c r="OLX997" s="2335"/>
      <c r="OLY997" s="2335"/>
      <c r="OLZ997" s="2335"/>
      <c r="OMA997" s="2335"/>
      <c r="OMB997" s="2335"/>
      <c r="OMC997" s="2335"/>
      <c r="OMD997" s="2335"/>
      <c r="OME997" s="2335"/>
      <c r="OMF997" s="2335"/>
      <c r="OMG997" s="2335"/>
      <c r="OMH997" s="2335"/>
      <c r="OMI997" s="2335"/>
      <c r="OMJ997" s="2335"/>
      <c r="OMK997" s="2335"/>
      <c r="OML997" s="2335"/>
      <c r="OMM997" s="2335"/>
      <c r="OMN997" s="2335"/>
      <c r="OMO997" s="2335"/>
      <c r="OMP997" s="2335"/>
      <c r="OMQ997" s="2335"/>
      <c r="OMR997" s="2335"/>
      <c r="OMS997" s="2335"/>
      <c r="OMT997" s="2335"/>
      <c r="OMU997" s="2335"/>
      <c r="OMV997" s="2335"/>
      <c r="OMW997" s="2335"/>
      <c r="OMX997" s="2335"/>
      <c r="OMY997" s="2335"/>
      <c r="OMZ997" s="2335"/>
      <c r="ONA997" s="2335"/>
      <c r="ONB997" s="2335"/>
      <c r="ONC997" s="2335"/>
      <c r="OND997" s="2335"/>
      <c r="ONE997" s="2335"/>
      <c r="ONF997" s="2335"/>
      <c r="ONG997" s="2335"/>
      <c r="ONH997" s="2335"/>
      <c r="ONI997" s="2335"/>
      <c r="ONJ997" s="2335"/>
      <c r="ONK997" s="2335"/>
      <c r="ONL997" s="2335"/>
      <c r="ONM997" s="2335"/>
      <c r="ONN997" s="2335"/>
      <c r="ONO997" s="2335"/>
      <c r="ONP997" s="2335"/>
      <c r="ONQ997" s="2335"/>
      <c r="ONR997" s="2335"/>
      <c r="ONS997" s="2335"/>
      <c r="ONT997" s="2335"/>
      <c r="ONU997" s="2335"/>
      <c r="ONV997" s="2335"/>
      <c r="ONW997" s="2335"/>
      <c r="ONX997" s="2335"/>
      <c r="ONY997" s="2335"/>
      <c r="ONZ997" s="2335"/>
      <c r="OOA997" s="2335"/>
      <c r="OOB997" s="2335"/>
      <c r="OOC997" s="2335"/>
      <c r="OOD997" s="2335"/>
      <c r="OOE997" s="2335"/>
      <c r="OOF997" s="2335"/>
      <c r="OOG997" s="2335"/>
      <c r="OOH997" s="2335"/>
      <c r="OOI997" s="2335"/>
      <c r="OOJ997" s="2335"/>
      <c r="OOK997" s="2335"/>
      <c r="OOL997" s="2335"/>
      <c r="OOM997" s="2335"/>
      <c r="OON997" s="2335"/>
      <c r="OOO997" s="2335"/>
      <c r="OOP997" s="2335"/>
      <c r="OOQ997" s="2335"/>
      <c r="OOR997" s="2335"/>
      <c r="OOS997" s="2335"/>
      <c r="OOT997" s="2335"/>
      <c r="OOU997" s="2335"/>
      <c r="OOV997" s="2335"/>
      <c r="OOW997" s="2335"/>
      <c r="OOX997" s="2335"/>
      <c r="OOY997" s="2335"/>
      <c r="OOZ997" s="2335"/>
      <c r="OPA997" s="2335"/>
      <c r="OPB997" s="2335"/>
      <c r="OPC997" s="2335"/>
      <c r="OPD997" s="2335"/>
      <c r="OPE997" s="2335"/>
      <c r="OPF997" s="2335"/>
      <c r="OPG997" s="2335"/>
      <c r="OPH997" s="2335"/>
      <c r="OPI997" s="2335"/>
      <c r="OPJ997" s="2335"/>
      <c r="OPK997" s="2335"/>
      <c r="OPL997" s="2335"/>
      <c r="OPM997" s="2335"/>
      <c r="OPN997" s="2335"/>
      <c r="OPO997" s="2335"/>
      <c r="OPP997" s="2335"/>
      <c r="OPQ997" s="2335"/>
      <c r="OPR997" s="2335"/>
      <c r="OPS997" s="2335"/>
      <c r="OPT997" s="2335"/>
      <c r="OPU997" s="2335"/>
      <c r="OPV997" s="2335"/>
      <c r="OPW997" s="2335"/>
      <c r="OPX997" s="2335"/>
      <c r="OPY997" s="2335"/>
      <c r="OPZ997" s="2335"/>
      <c r="OQA997" s="2335"/>
      <c r="OQB997" s="2335"/>
      <c r="OQC997" s="2335"/>
      <c r="OQD997" s="2335"/>
      <c r="OQE997" s="2335"/>
      <c r="OQF997" s="2335"/>
      <c r="OQG997" s="2335"/>
      <c r="OQH997" s="2335"/>
      <c r="OQI997" s="2335"/>
      <c r="OQJ997" s="2335"/>
      <c r="OQK997" s="2335"/>
      <c r="OQL997" s="2335"/>
      <c r="OQM997" s="2335"/>
      <c r="OQN997" s="2335"/>
      <c r="OQO997" s="2335"/>
      <c r="OQP997" s="2335"/>
      <c r="OQQ997" s="2335"/>
      <c r="OQR997" s="2335"/>
      <c r="OQS997" s="2335"/>
      <c r="OQT997" s="2335"/>
      <c r="OQU997" s="2335"/>
      <c r="OQV997" s="2335"/>
      <c r="OQW997" s="2335"/>
      <c r="OQX997" s="2335"/>
      <c r="OQY997" s="2335"/>
      <c r="OQZ997" s="2335"/>
      <c r="ORA997" s="2335"/>
      <c r="ORB997" s="2335"/>
      <c r="ORC997" s="2335"/>
      <c r="ORD997" s="2335"/>
      <c r="ORE997" s="2335"/>
      <c r="ORF997" s="2335"/>
      <c r="ORG997" s="2335"/>
      <c r="ORH997" s="2335"/>
      <c r="ORI997" s="2335"/>
      <c r="ORJ997" s="2335"/>
      <c r="ORK997" s="2335"/>
      <c r="ORL997" s="2335"/>
      <c r="ORM997" s="2335"/>
      <c r="ORN997" s="2335"/>
      <c r="ORO997" s="2335"/>
      <c r="ORP997" s="2335"/>
      <c r="ORQ997" s="2335"/>
      <c r="ORR997" s="2335"/>
      <c r="ORS997" s="2335"/>
      <c r="ORT997" s="2335"/>
      <c r="ORU997" s="2335"/>
      <c r="ORV997" s="2335"/>
      <c r="ORW997" s="2335"/>
      <c r="ORX997" s="2335"/>
      <c r="ORY997" s="2335"/>
      <c r="ORZ997" s="2335"/>
      <c r="OSA997" s="2335"/>
      <c r="OSB997" s="2335"/>
      <c r="OSC997" s="2335"/>
      <c r="OSD997" s="2335"/>
      <c r="OSE997" s="2335"/>
      <c r="OSF997" s="2335"/>
      <c r="OSG997" s="2335"/>
      <c r="OSH997" s="2335"/>
      <c r="OSI997" s="2335"/>
      <c r="OSJ997" s="2335"/>
      <c r="OSK997" s="2335"/>
      <c r="OSL997" s="2335"/>
      <c r="OSM997" s="2335"/>
      <c r="OSN997" s="2335"/>
      <c r="OSO997" s="2335"/>
      <c r="OSP997" s="2335"/>
      <c r="OSQ997" s="2335"/>
      <c r="OSR997" s="2335"/>
      <c r="OSS997" s="2335"/>
      <c r="OST997" s="2335"/>
      <c r="OSU997" s="2335"/>
      <c r="OSV997" s="2335"/>
      <c r="OSW997" s="2335"/>
      <c r="OSX997" s="2335"/>
      <c r="OSY997" s="2335"/>
      <c r="OSZ997" s="2335"/>
      <c r="OTA997" s="2335"/>
      <c r="OTB997" s="2335"/>
      <c r="OTC997" s="2335"/>
      <c r="OTD997" s="2335"/>
      <c r="OTE997" s="2335"/>
      <c r="OTF997" s="2335"/>
      <c r="OTG997" s="2335"/>
      <c r="OTH997" s="2335"/>
      <c r="OTI997" s="2335"/>
      <c r="OTJ997" s="2335"/>
      <c r="OTK997" s="2335"/>
      <c r="OTL997" s="2335"/>
      <c r="OTM997" s="2335"/>
      <c r="OTN997" s="2335"/>
      <c r="OTO997" s="2335"/>
      <c r="OTP997" s="2335"/>
      <c r="OTQ997" s="2335"/>
      <c r="OTR997" s="2335"/>
      <c r="OTS997" s="2335"/>
      <c r="OTT997" s="2335"/>
      <c r="OTU997" s="2335"/>
      <c r="OTV997" s="2335"/>
      <c r="OTW997" s="2335"/>
      <c r="OTX997" s="2335"/>
      <c r="OTY997" s="2335"/>
      <c r="OTZ997" s="2335"/>
      <c r="OUA997" s="2335"/>
      <c r="OUB997" s="2335"/>
      <c r="OUC997" s="2335"/>
      <c r="OUD997" s="2335"/>
      <c r="OUE997" s="2335"/>
      <c r="OUF997" s="2335"/>
      <c r="OUG997" s="2335"/>
      <c r="OUH997" s="2335"/>
      <c r="OUI997" s="2335"/>
      <c r="OUJ997" s="2335"/>
      <c r="OUK997" s="2335"/>
      <c r="OUL997" s="2335"/>
      <c r="OUM997" s="2335"/>
      <c r="OUN997" s="2335"/>
      <c r="OUO997" s="2335"/>
      <c r="OUP997" s="2335"/>
      <c r="OUQ997" s="2335"/>
      <c r="OUR997" s="2335"/>
      <c r="OUS997" s="2335"/>
      <c r="OUT997" s="2335"/>
      <c r="OUU997" s="2335"/>
      <c r="OUV997" s="2335"/>
      <c r="OUW997" s="2335"/>
      <c r="OUX997" s="2335"/>
      <c r="OUY997" s="2335"/>
      <c r="OUZ997" s="2335"/>
      <c r="OVA997" s="2335"/>
      <c r="OVB997" s="2335"/>
      <c r="OVC997" s="2335"/>
      <c r="OVD997" s="2335"/>
      <c r="OVE997" s="2335"/>
      <c r="OVF997" s="2335"/>
      <c r="OVG997" s="2335"/>
      <c r="OVH997" s="2335"/>
      <c r="OVI997" s="2335"/>
      <c r="OVJ997" s="2335"/>
      <c r="OVK997" s="2335"/>
      <c r="OVL997" s="2335"/>
      <c r="OVM997" s="2335"/>
      <c r="OVN997" s="2335"/>
      <c r="OVO997" s="2335"/>
      <c r="OVP997" s="2335"/>
      <c r="OVQ997" s="2335"/>
      <c r="OVR997" s="2335"/>
      <c r="OVS997" s="2335"/>
      <c r="OVT997" s="2335"/>
      <c r="OVU997" s="2335"/>
      <c r="OVV997" s="2335"/>
      <c r="OVW997" s="2335"/>
      <c r="OVX997" s="2335"/>
      <c r="OVY997" s="2335"/>
      <c r="OVZ997" s="2335"/>
      <c r="OWA997" s="2335"/>
      <c r="OWB997" s="2335"/>
      <c r="OWC997" s="2335"/>
      <c r="OWD997" s="2335"/>
      <c r="OWE997" s="2335"/>
      <c r="OWF997" s="2335"/>
      <c r="OWG997" s="2335"/>
      <c r="OWH997" s="2335"/>
      <c r="OWI997" s="2335"/>
      <c r="OWJ997" s="2335"/>
      <c r="OWK997" s="2335"/>
      <c r="OWL997" s="2335"/>
      <c r="OWM997" s="2335"/>
      <c r="OWN997" s="2335"/>
      <c r="OWO997" s="2335"/>
      <c r="OWP997" s="2335"/>
      <c r="OWQ997" s="2335"/>
      <c r="OWR997" s="2335"/>
      <c r="OWS997" s="2335"/>
      <c r="OWT997" s="2335"/>
      <c r="OWU997" s="2335"/>
      <c r="OWV997" s="2335"/>
      <c r="OWW997" s="2335"/>
      <c r="OWX997" s="2335"/>
      <c r="OWY997" s="2335"/>
      <c r="OWZ997" s="2335"/>
      <c r="OXA997" s="2335"/>
      <c r="OXB997" s="2335"/>
      <c r="OXC997" s="2335"/>
      <c r="OXD997" s="2335"/>
      <c r="OXE997" s="2335"/>
      <c r="OXF997" s="2335"/>
      <c r="OXG997" s="2335"/>
      <c r="OXH997" s="2335"/>
      <c r="OXI997" s="2335"/>
      <c r="OXJ997" s="2335"/>
      <c r="OXK997" s="2335"/>
      <c r="OXL997" s="2335"/>
      <c r="OXM997" s="2335"/>
      <c r="OXN997" s="2335"/>
      <c r="OXO997" s="2335"/>
      <c r="OXP997" s="2335"/>
      <c r="OXQ997" s="2335"/>
      <c r="OXR997" s="2335"/>
      <c r="OXS997" s="2335"/>
      <c r="OXT997" s="2335"/>
      <c r="OXU997" s="2335"/>
      <c r="OXV997" s="2335"/>
      <c r="OXW997" s="2335"/>
      <c r="OXX997" s="2335"/>
      <c r="OXY997" s="2335"/>
      <c r="OXZ997" s="2335"/>
      <c r="OYA997" s="2335"/>
      <c r="OYB997" s="2335"/>
      <c r="OYC997" s="2335"/>
      <c r="OYD997" s="2335"/>
      <c r="OYE997" s="2335"/>
      <c r="OYF997" s="2335"/>
      <c r="OYG997" s="2335"/>
      <c r="OYH997" s="2335"/>
      <c r="OYI997" s="2335"/>
      <c r="OYJ997" s="2335"/>
      <c r="OYK997" s="2335"/>
      <c r="OYL997" s="2335"/>
      <c r="OYM997" s="2335"/>
      <c r="OYN997" s="2335"/>
      <c r="OYO997" s="2335"/>
      <c r="OYP997" s="2335"/>
      <c r="OYQ997" s="2335"/>
      <c r="OYR997" s="2335"/>
      <c r="OYS997" s="2335"/>
      <c r="OYT997" s="2335"/>
      <c r="OYU997" s="2335"/>
      <c r="OYV997" s="2335"/>
      <c r="OYW997" s="2335"/>
      <c r="OYX997" s="2335"/>
      <c r="OYY997" s="2335"/>
      <c r="OYZ997" s="2335"/>
      <c r="OZA997" s="2335"/>
      <c r="OZB997" s="2335"/>
      <c r="OZC997" s="2335"/>
      <c r="OZD997" s="2335"/>
      <c r="OZE997" s="2335"/>
      <c r="OZF997" s="2335"/>
      <c r="OZG997" s="2335"/>
      <c r="OZH997" s="2335"/>
      <c r="OZI997" s="2335"/>
      <c r="OZJ997" s="2335"/>
      <c r="OZK997" s="2335"/>
      <c r="OZL997" s="2335"/>
      <c r="OZM997" s="2335"/>
      <c r="OZN997" s="2335"/>
      <c r="OZO997" s="2335"/>
      <c r="OZP997" s="2335"/>
      <c r="OZQ997" s="2335"/>
      <c r="OZR997" s="2335"/>
      <c r="OZS997" s="2335"/>
      <c r="OZT997" s="2335"/>
      <c r="OZU997" s="2335"/>
      <c r="OZV997" s="2335"/>
      <c r="OZW997" s="2335"/>
      <c r="OZX997" s="2335"/>
      <c r="OZY997" s="2335"/>
      <c r="OZZ997" s="2335"/>
      <c r="PAA997" s="2335"/>
      <c r="PAB997" s="2335"/>
      <c r="PAC997" s="2335"/>
      <c r="PAD997" s="2335"/>
      <c r="PAE997" s="2335"/>
      <c r="PAF997" s="2335"/>
      <c r="PAG997" s="2335"/>
      <c r="PAH997" s="2335"/>
      <c r="PAI997" s="2335"/>
      <c r="PAJ997" s="2335"/>
      <c r="PAK997" s="2335"/>
      <c r="PAL997" s="2335"/>
      <c r="PAM997" s="2335"/>
      <c r="PAN997" s="2335"/>
      <c r="PAO997" s="2335"/>
      <c r="PAP997" s="2335"/>
      <c r="PAQ997" s="2335"/>
      <c r="PAR997" s="2335"/>
      <c r="PAS997" s="2335"/>
      <c r="PAT997" s="2335"/>
      <c r="PAU997" s="2335"/>
      <c r="PAV997" s="2335"/>
      <c r="PAW997" s="2335"/>
      <c r="PAX997" s="2335"/>
      <c r="PAY997" s="2335"/>
      <c r="PAZ997" s="2335"/>
      <c r="PBA997" s="2335"/>
      <c r="PBB997" s="2335"/>
      <c r="PBC997" s="2335"/>
      <c r="PBD997" s="2335"/>
      <c r="PBE997" s="2335"/>
      <c r="PBF997" s="2335"/>
      <c r="PBG997" s="2335"/>
      <c r="PBH997" s="2335"/>
      <c r="PBI997" s="2335"/>
      <c r="PBJ997" s="2335"/>
      <c r="PBK997" s="2335"/>
      <c r="PBL997" s="2335"/>
      <c r="PBM997" s="2335"/>
      <c r="PBN997" s="2335"/>
      <c r="PBO997" s="2335"/>
      <c r="PBP997" s="2335"/>
      <c r="PBQ997" s="2335"/>
      <c r="PBR997" s="2335"/>
      <c r="PBS997" s="2335"/>
      <c r="PBT997" s="2335"/>
      <c r="PBU997" s="2335"/>
      <c r="PBV997" s="2335"/>
      <c r="PBW997" s="2335"/>
      <c r="PBX997" s="2335"/>
      <c r="PBY997" s="2335"/>
      <c r="PBZ997" s="2335"/>
      <c r="PCA997" s="2335"/>
      <c r="PCB997" s="2335"/>
      <c r="PCC997" s="2335"/>
      <c r="PCD997" s="2335"/>
      <c r="PCE997" s="2335"/>
      <c r="PCF997" s="2335"/>
      <c r="PCG997" s="2335"/>
      <c r="PCH997" s="2335"/>
      <c r="PCI997" s="2335"/>
      <c r="PCJ997" s="2335"/>
      <c r="PCK997" s="2335"/>
      <c r="PCL997" s="2335"/>
      <c r="PCM997" s="2335"/>
      <c r="PCN997" s="2335"/>
      <c r="PCO997" s="2335"/>
      <c r="PCP997" s="2335"/>
      <c r="PCQ997" s="2335"/>
      <c r="PCR997" s="2335"/>
      <c r="PCS997" s="2335"/>
      <c r="PCT997" s="2335"/>
      <c r="PCU997" s="2335"/>
      <c r="PCV997" s="2335"/>
      <c r="PCW997" s="2335"/>
      <c r="PCX997" s="2335"/>
      <c r="PCY997" s="2335"/>
      <c r="PCZ997" s="2335"/>
      <c r="PDA997" s="2335"/>
      <c r="PDB997" s="2335"/>
      <c r="PDC997" s="2335"/>
      <c r="PDD997" s="2335"/>
      <c r="PDE997" s="2335"/>
      <c r="PDF997" s="2335"/>
      <c r="PDG997" s="2335"/>
      <c r="PDH997" s="2335"/>
      <c r="PDI997" s="2335"/>
      <c r="PDJ997" s="2335"/>
      <c r="PDK997" s="2335"/>
      <c r="PDL997" s="2335"/>
      <c r="PDM997" s="2335"/>
      <c r="PDN997" s="2335"/>
      <c r="PDO997" s="2335"/>
      <c r="PDP997" s="2335"/>
      <c r="PDQ997" s="2335"/>
      <c r="PDR997" s="2335"/>
      <c r="PDS997" s="2335"/>
      <c r="PDT997" s="2335"/>
      <c r="PDU997" s="2335"/>
      <c r="PDV997" s="2335"/>
      <c r="PDW997" s="2335"/>
      <c r="PDX997" s="2335"/>
      <c r="PDY997" s="2335"/>
      <c r="PDZ997" s="2335"/>
      <c r="PEA997" s="2335"/>
      <c r="PEB997" s="2335"/>
      <c r="PEC997" s="2335"/>
      <c r="PED997" s="2335"/>
      <c r="PEE997" s="2335"/>
      <c r="PEF997" s="2335"/>
      <c r="PEG997" s="2335"/>
      <c r="PEH997" s="2335"/>
      <c r="PEI997" s="2335"/>
      <c r="PEJ997" s="2335"/>
      <c r="PEK997" s="2335"/>
      <c r="PEL997" s="2335"/>
      <c r="PEM997" s="2335"/>
      <c r="PEN997" s="2335"/>
      <c r="PEO997" s="2335"/>
      <c r="PEP997" s="2335"/>
      <c r="PEQ997" s="2335"/>
      <c r="PER997" s="2335"/>
      <c r="PES997" s="2335"/>
      <c r="PET997" s="2335"/>
      <c r="PEU997" s="2335"/>
      <c r="PEV997" s="2335"/>
      <c r="PEW997" s="2335"/>
      <c r="PEX997" s="2335"/>
      <c r="PEY997" s="2335"/>
      <c r="PEZ997" s="2335"/>
      <c r="PFA997" s="2335"/>
      <c r="PFB997" s="2335"/>
      <c r="PFC997" s="2335"/>
      <c r="PFD997" s="2335"/>
      <c r="PFE997" s="2335"/>
      <c r="PFF997" s="2335"/>
      <c r="PFG997" s="2335"/>
      <c r="PFH997" s="2335"/>
      <c r="PFI997" s="2335"/>
      <c r="PFJ997" s="2335"/>
      <c r="PFK997" s="2335"/>
      <c r="PFL997" s="2335"/>
      <c r="PFM997" s="2335"/>
      <c r="PFN997" s="2335"/>
      <c r="PFO997" s="2335"/>
      <c r="PFP997" s="2335"/>
      <c r="PFQ997" s="2335"/>
      <c r="PFR997" s="2335"/>
      <c r="PFS997" s="2335"/>
      <c r="PFT997" s="2335"/>
      <c r="PFU997" s="2335"/>
      <c r="PFV997" s="2335"/>
      <c r="PFW997" s="2335"/>
      <c r="PFX997" s="2335"/>
      <c r="PFY997" s="2335"/>
      <c r="PFZ997" s="2335"/>
      <c r="PGA997" s="2335"/>
      <c r="PGB997" s="2335"/>
      <c r="PGC997" s="2335"/>
      <c r="PGD997" s="2335"/>
      <c r="PGE997" s="2335"/>
      <c r="PGF997" s="2335"/>
      <c r="PGG997" s="2335"/>
      <c r="PGH997" s="2335"/>
      <c r="PGI997" s="2335"/>
      <c r="PGJ997" s="2335"/>
      <c r="PGK997" s="2335"/>
      <c r="PGL997" s="2335"/>
      <c r="PGM997" s="2335"/>
      <c r="PGN997" s="2335"/>
      <c r="PGO997" s="2335"/>
      <c r="PGP997" s="2335"/>
      <c r="PGQ997" s="2335"/>
      <c r="PGR997" s="2335"/>
      <c r="PGS997" s="2335"/>
      <c r="PGT997" s="2335"/>
      <c r="PGU997" s="2335"/>
      <c r="PGV997" s="2335"/>
      <c r="PGW997" s="2335"/>
      <c r="PGX997" s="2335"/>
      <c r="PGY997" s="2335"/>
      <c r="PGZ997" s="2335"/>
      <c r="PHA997" s="2335"/>
      <c r="PHB997" s="2335"/>
      <c r="PHC997" s="2335"/>
      <c r="PHD997" s="2335"/>
      <c r="PHE997" s="2335"/>
      <c r="PHF997" s="2335"/>
      <c r="PHG997" s="2335"/>
      <c r="PHH997" s="2335"/>
      <c r="PHI997" s="2335"/>
      <c r="PHJ997" s="2335"/>
      <c r="PHK997" s="2335"/>
      <c r="PHL997" s="2335"/>
      <c r="PHM997" s="2335"/>
      <c r="PHN997" s="2335"/>
      <c r="PHO997" s="2335"/>
      <c r="PHP997" s="2335"/>
      <c r="PHQ997" s="2335"/>
      <c r="PHR997" s="2335"/>
      <c r="PHS997" s="2335"/>
      <c r="PHT997" s="2335"/>
      <c r="PHU997" s="2335"/>
      <c r="PHV997" s="2335"/>
      <c r="PHW997" s="2335"/>
      <c r="PHX997" s="2335"/>
      <c r="PHY997" s="2335"/>
      <c r="PHZ997" s="2335"/>
      <c r="PIA997" s="2335"/>
      <c r="PIB997" s="2335"/>
      <c r="PIC997" s="2335"/>
      <c r="PID997" s="2335"/>
      <c r="PIE997" s="2335"/>
      <c r="PIF997" s="2335"/>
      <c r="PIG997" s="2335"/>
      <c r="PIH997" s="2335"/>
      <c r="PII997" s="2335"/>
      <c r="PIJ997" s="2335"/>
      <c r="PIK997" s="2335"/>
      <c r="PIL997" s="2335"/>
      <c r="PIM997" s="2335"/>
      <c r="PIN997" s="2335"/>
      <c r="PIO997" s="2335"/>
      <c r="PIP997" s="2335"/>
      <c r="PIQ997" s="2335"/>
      <c r="PIR997" s="2335"/>
      <c r="PIS997" s="2335"/>
      <c r="PIT997" s="2335"/>
      <c r="PIU997" s="2335"/>
      <c r="PIV997" s="2335"/>
      <c r="PIW997" s="2335"/>
      <c r="PIX997" s="2335"/>
      <c r="PIY997" s="2335"/>
      <c r="PIZ997" s="2335"/>
      <c r="PJA997" s="2335"/>
      <c r="PJB997" s="2335"/>
      <c r="PJC997" s="2335"/>
      <c r="PJD997" s="2335"/>
      <c r="PJE997" s="2335"/>
      <c r="PJF997" s="2335"/>
      <c r="PJG997" s="2335"/>
      <c r="PJH997" s="2335"/>
      <c r="PJI997" s="2335"/>
      <c r="PJJ997" s="2335"/>
      <c r="PJK997" s="2335"/>
      <c r="PJL997" s="2335"/>
      <c r="PJM997" s="2335"/>
      <c r="PJN997" s="2335"/>
      <c r="PJO997" s="2335"/>
      <c r="PJP997" s="2335"/>
      <c r="PJQ997" s="2335"/>
      <c r="PJR997" s="2335"/>
      <c r="PJS997" s="2335"/>
      <c r="PJT997" s="2335"/>
      <c r="PJU997" s="2335"/>
      <c r="PJV997" s="2335"/>
      <c r="PJW997" s="2335"/>
      <c r="PJX997" s="2335"/>
      <c r="PJY997" s="2335"/>
      <c r="PJZ997" s="2335"/>
      <c r="PKA997" s="2335"/>
      <c r="PKB997" s="2335"/>
      <c r="PKC997" s="2335"/>
      <c r="PKD997" s="2335"/>
      <c r="PKE997" s="2335"/>
      <c r="PKF997" s="2335"/>
      <c r="PKG997" s="2335"/>
      <c r="PKH997" s="2335"/>
      <c r="PKI997" s="2335"/>
      <c r="PKJ997" s="2335"/>
      <c r="PKK997" s="2335"/>
      <c r="PKL997" s="2335"/>
      <c r="PKM997" s="2335"/>
      <c r="PKN997" s="2335"/>
      <c r="PKO997" s="2335"/>
      <c r="PKP997" s="2335"/>
      <c r="PKQ997" s="2335"/>
      <c r="PKR997" s="2335"/>
      <c r="PKS997" s="2335"/>
      <c r="PKT997" s="2335"/>
      <c r="PKU997" s="2335"/>
      <c r="PKV997" s="2335"/>
      <c r="PKW997" s="2335"/>
      <c r="PKX997" s="2335"/>
      <c r="PKY997" s="2335"/>
      <c r="PKZ997" s="2335"/>
      <c r="PLA997" s="2335"/>
      <c r="PLB997" s="2335"/>
      <c r="PLC997" s="2335"/>
      <c r="PLD997" s="2335"/>
      <c r="PLE997" s="2335"/>
      <c r="PLF997" s="2335"/>
      <c r="PLG997" s="2335"/>
      <c r="PLH997" s="2335"/>
      <c r="PLI997" s="2335"/>
      <c r="PLJ997" s="2335"/>
      <c r="PLK997" s="2335"/>
      <c r="PLL997" s="2335"/>
      <c r="PLM997" s="2335"/>
      <c r="PLN997" s="2335"/>
      <c r="PLO997" s="2335"/>
      <c r="PLP997" s="2335"/>
      <c r="PLQ997" s="2335"/>
      <c r="PLR997" s="2335"/>
      <c r="PLS997" s="2335"/>
      <c r="PLT997" s="2335"/>
      <c r="PLU997" s="2335"/>
      <c r="PLV997" s="2335"/>
      <c r="PLW997" s="2335"/>
      <c r="PLX997" s="2335"/>
      <c r="PLY997" s="2335"/>
      <c r="PLZ997" s="2335"/>
      <c r="PMA997" s="2335"/>
      <c r="PMB997" s="2335"/>
      <c r="PMC997" s="2335"/>
      <c r="PMD997" s="2335"/>
      <c r="PME997" s="2335"/>
      <c r="PMF997" s="2335"/>
      <c r="PMG997" s="2335"/>
      <c r="PMH997" s="2335"/>
      <c r="PMI997" s="2335"/>
      <c r="PMJ997" s="2335"/>
      <c r="PMK997" s="2335"/>
      <c r="PML997" s="2335"/>
      <c r="PMM997" s="2335"/>
      <c r="PMN997" s="2335"/>
      <c r="PMO997" s="2335"/>
      <c r="PMP997" s="2335"/>
      <c r="PMQ997" s="2335"/>
      <c r="PMR997" s="2335"/>
      <c r="PMS997" s="2335"/>
      <c r="PMT997" s="2335"/>
      <c r="PMU997" s="2335"/>
      <c r="PMV997" s="2335"/>
      <c r="PMW997" s="2335"/>
      <c r="PMX997" s="2335"/>
      <c r="PMY997" s="2335"/>
      <c r="PMZ997" s="2335"/>
      <c r="PNA997" s="2335"/>
      <c r="PNB997" s="2335"/>
      <c r="PNC997" s="2335"/>
      <c r="PND997" s="2335"/>
      <c r="PNE997" s="2335"/>
      <c r="PNF997" s="2335"/>
      <c r="PNG997" s="2335"/>
      <c r="PNH997" s="2335"/>
      <c r="PNI997" s="2335"/>
      <c r="PNJ997" s="2335"/>
      <c r="PNK997" s="2335"/>
      <c r="PNL997" s="2335"/>
      <c r="PNM997" s="2335"/>
      <c r="PNN997" s="2335"/>
      <c r="PNO997" s="2335"/>
      <c r="PNP997" s="2335"/>
      <c r="PNQ997" s="2335"/>
      <c r="PNR997" s="2335"/>
      <c r="PNS997" s="2335"/>
      <c r="PNT997" s="2335"/>
      <c r="PNU997" s="2335"/>
      <c r="PNV997" s="2335"/>
      <c r="PNW997" s="2335"/>
      <c r="PNX997" s="2335"/>
      <c r="PNY997" s="2335"/>
      <c r="PNZ997" s="2335"/>
      <c r="POA997" s="2335"/>
      <c r="POB997" s="2335"/>
      <c r="POC997" s="2335"/>
      <c r="POD997" s="2335"/>
      <c r="POE997" s="2335"/>
      <c r="POF997" s="2335"/>
      <c r="POG997" s="2335"/>
      <c r="POH997" s="2335"/>
      <c r="POI997" s="2335"/>
      <c r="POJ997" s="2335"/>
      <c r="POK997" s="2335"/>
      <c r="POL997" s="2335"/>
      <c r="POM997" s="2335"/>
      <c r="PON997" s="2335"/>
      <c r="POO997" s="2335"/>
      <c r="POP997" s="2335"/>
      <c r="POQ997" s="2335"/>
      <c r="POR997" s="2335"/>
      <c r="POS997" s="2335"/>
      <c r="POT997" s="2335"/>
      <c r="POU997" s="2335"/>
      <c r="POV997" s="2335"/>
      <c r="POW997" s="2335"/>
      <c r="POX997" s="2335"/>
      <c r="POY997" s="2335"/>
      <c r="POZ997" s="2335"/>
      <c r="PPA997" s="2335"/>
      <c r="PPB997" s="2335"/>
      <c r="PPC997" s="2335"/>
      <c r="PPD997" s="2335"/>
      <c r="PPE997" s="2335"/>
      <c r="PPF997" s="2335"/>
      <c r="PPG997" s="2335"/>
      <c r="PPH997" s="2335"/>
      <c r="PPI997" s="2335"/>
      <c r="PPJ997" s="2335"/>
      <c r="PPK997" s="2335"/>
      <c r="PPL997" s="2335"/>
      <c r="PPM997" s="2335"/>
      <c r="PPN997" s="2335"/>
      <c r="PPO997" s="2335"/>
      <c r="PPP997" s="2335"/>
      <c r="PPQ997" s="2335"/>
      <c r="PPR997" s="2335"/>
      <c r="PPS997" s="2335"/>
      <c r="PPT997" s="2335"/>
      <c r="PPU997" s="2335"/>
      <c r="PPV997" s="2335"/>
      <c r="PPW997" s="2335"/>
      <c r="PPX997" s="2335"/>
      <c r="PPY997" s="2335"/>
      <c r="PPZ997" s="2335"/>
      <c r="PQA997" s="2335"/>
      <c r="PQB997" s="2335"/>
      <c r="PQC997" s="2335"/>
      <c r="PQD997" s="2335"/>
      <c r="PQE997" s="2335"/>
      <c r="PQF997" s="2335"/>
      <c r="PQG997" s="2335"/>
      <c r="PQH997" s="2335"/>
      <c r="PQI997" s="2335"/>
      <c r="PQJ997" s="2335"/>
      <c r="PQK997" s="2335"/>
      <c r="PQL997" s="2335"/>
      <c r="PQM997" s="2335"/>
      <c r="PQN997" s="2335"/>
      <c r="PQO997" s="2335"/>
      <c r="PQP997" s="2335"/>
      <c r="PQQ997" s="2335"/>
      <c r="PQR997" s="2335"/>
      <c r="PQS997" s="2335"/>
      <c r="PQT997" s="2335"/>
      <c r="PQU997" s="2335"/>
      <c r="PQV997" s="2335"/>
      <c r="PQW997" s="2335"/>
      <c r="PQX997" s="2335"/>
      <c r="PQY997" s="2335"/>
      <c r="PQZ997" s="2335"/>
      <c r="PRA997" s="2335"/>
      <c r="PRB997" s="2335"/>
      <c r="PRC997" s="2335"/>
      <c r="PRD997" s="2335"/>
      <c r="PRE997" s="2335"/>
      <c r="PRF997" s="2335"/>
      <c r="PRG997" s="2335"/>
      <c r="PRH997" s="2335"/>
      <c r="PRI997" s="2335"/>
      <c r="PRJ997" s="2335"/>
      <c r="PRK997" s="2335"/>
      <c r="PRL997" s="2335"/>
      <c r="PRM997" s="2335"/>
      <c r="PRN997" s="2335"/>
      <c r="PRO997" s="2335"/>
      <c r="PRP997" s="2335"/>
      <c r="PRQ997" s="2335"/>
      <c r="PRR997" s="2335"/>
      <c r="PRS997" s="2335"/>
      <c r="PRT997" s="2335"/>
      <c r="PRU997" s="2335"/>
      <c r="PRV997" s="2335"/>
      <c r="PRW997" s="2335"/>
      <c r="PRX997" s="2335"/>
      <c r="PRY997" s="2335"/>
      <c r="PRZ997" s="2335"/>
      <c r="PSA997" s="2335"/>
      <c r="PSB997" s="2335"/>
      <c r="PSC997" s="2335"/>
      <c r="PSD997" s="2335"/>
      <c r="PSE997" s="2335"/>
      <c r="PSF997" s="2335"/>
      <c r="PSG997" s="2335"/>
      <c r="PSH997" s="2335"/>
      <c r="PSI997" s="2335"/>
      <c r="PSJ997" s="2335"/>
      <c r="PSK997" s="2335"/>
      <c r="PSL997" s="2335"/>
      <c r="PSM997" s="2335"/>
      <c r="PSN997" s="2335"/>
      <c r="PSO997" s="2335"/>
      <c r="PSP997" s="2335"/>
      <c r="PSQ997" s="2335"/>
      <c r="PSR997" s="2335"/>
      <c r="PSS997" s="2335"/>
      <c r="PST997" s="2335"/>
      <c r="PSU997" s="2335"/>
      <c r="PSV997" s="2335"/>
      <c r="PSW997" s="2335"/>
      <c r="PSX997" s="2335"/>
      <c r="PSY997" s="2335"/>
      <c r="PSZ997" s="2335"/>
      <c r="PTA997" s="2335"/>
      <c r="PTB997" s="2335"/>
      <c r="PTC997" s="2335"/>
      <c r="PTD997" s="2335"/>
      <c r="PTE997" s="2335"/>
      <c r="PTF997" s="2335"/>
      <c r="PTG997" s="2335"/>
      <c r="PTH997" s="2335"/>
      <c r="PTI997" s="2335"/>
      <c r="PTJ997" s="2335"/>
      <c r="PTK997" s="2335"/>
      <c r="PTL997" s="2335"/>
      <c r="PTM997" s="2335"/>
      <c r="PTN997" s="2335"/>
      <c r="PTO997" s="2335"/>
      <c r="PTP997" s="2335"/>
      <c r="PTQ997" s="2335"/>
      <c r="PTR997" s="2335"/>
      <c r="PTS997" s="2335"/>
      <c r="PTT997" s="2335"/>
      <c r="PTU997" s="2335"/>
      <c r="PTV997" s="2335"/>
      <c r="PTW997" s="2335"/>
      <c r="PTX997" s="2335"/>
      <c r="PTY997" s="2335"/>
      <c r="PTZ997" s="2335"/>
      <c r="PUA997" s="2335"/>
      <c r="PUB997" s="2335"/>
      <c r="PUC997" s="2335"/>
      <c r="PUD997" s="2335"/>
      <c r="PUE997" s="2335"/>
      <c r="PUF997" s="2335"/>
      <c r="PUG997" s="2335"/>
      <c r="PUH997" s="2335"/>
      <c r="PUI997" s="2335"/>
      <c r="PUJ997" s="2335"/>
      <c r="PUK997" s="2335"/>
      <c r="PUL997" s="2335"/>
      <c r="PUM997" s="2335"/>
      <c r="PUN997" s="2335"/>
      <c r="PUO997" s="2335"/>
      <c r="PUP997" s="2335"/>
      <c r="PUQ997" s="2335"/>
      <c r="PUR997" s="2335"/>
      <c r="PUS997" s="2335"/>
      <c r="PUT997" s="2335"/>
      <c r="PUU997" s="2335"/>
      <c r="PUV997" s="2335"/>
      <c r="PUW997" s="2335"/>
      <c r="PUX997" s="2335"/>
      <c r="PUY997" s="2335"/>
      <c r="PUZ997" s="2335"/>
      <c r="PVA997" s="2335"/>
      <c r="PVB997" s="2335"/>
      <c r="PVC997" s="2335"/>
      <c r="PVD997" s="2335"/>
      <c r="PVE997" s="2335"/>
      <c r="PVF997" s="2335"/>
      <c r="PVG997" s="2335"/>
      <c r="PVH997" s="2335"/>
      <c r="PVI997" s="2335"/>
      <c r="PVJ997" s="2335"/>
      <c r="PVK997" s="2335"/>
      <c r="PVL997" s="2335"/>
      <c r="PVM997" s="2335"/>
      <c r="PVN997" s="2335"/>
      <c r="PVO997" s="2335"/>
      <c r="PVP997" s="2335"/>
      <c r="PVQ997" s="2335"/>
      <c r="PVR997" s="2335"/>
      <c r="PVS997" s="2335"/>
      <c r="PVT997" s="2335"/>
      <c r="PVU997" s="2335"/>
      <c r="PVV997" s="2335"/>
      <c r="PVW997" s="2335"/>
      <c r="PVX997" s="2335"/>
      <c r="PVY997" s="2335"/>
      <c r="PVZ997" s="2335"/>
      <c r="PWA997" s="2335"/>
      <c r="PWB997" s="2335"/>
      <c r="PWC997" s="2335"/>
      <c r="PWD997" s="2335"/>
      <c r="PWE997" s="2335"/>
      <c r="PWF997" s="2335"/>
      <c r="PWG997" s="2335"/>
      <c r="PWH997" s="2335"/>
      <c r="PWI997" s="2335"/>
      <c r="PWJ997" s="2335"/>
      <c r="PWK997" s="2335"/>
      <c r="PWL997" s="2335"/>
      <c r="PWM997" s="2335"/>
      <c r="PWN997" s="2335"/>
      <c r="PWO997" s="2335"/>
      <c r="PWP997" s="2335"/>
      <c r="PWQ997" s="2335"/>
      <c r="PWR997" s="2335"/>
      <c r="PWS997" s="2335"/>
      <c r="PWT997" s="2335"/>
      <c r="PWU997" s="2335"/>
      <c r="PWV997" s="2335"/>
      <c r="PWW997" s="2335"/>
      <c r="PWX997" s="2335"/>
      <c r="PWY997" s="2335"/>
      <c r="PWZ997" s="2335"/>
      <c r="PXA997" s="2335"/>
      <c r="PXB997" s="2335"/>
      <c r="PXC997" s="2335"/>
      <c r="PXD997" s="2335"/>
      <c r="PXE997" s="2335"/>
      <c r="PXF997" s="2335"/>
      <c r="PXG997" s="2335"/>
      <c r="PXH997" s="2335"/>
      <c r="PXI997" s="2335"/>
      <c r="PXJ997" s="2335"/>
      <c r="PXK997" s="2335"/>
      <c r="PXL997" s="2335"/>
      <c r="PXM997" s="2335"/>
      <c r="PXN997" s="2335"/>
      <c r="PXO997" s="2335"/>
      <c r="PXP997" s="2335"/>
      <c r="PXQ997" s="2335"/>
      <c r="PXR997" s="2335"/>
      <c r="PXS997" s="2335"/>
      <c r="PXT997" s="2335"/>
      <c r="PXU997" s="2335"/>
      <c r="PXV997" s="2335"/>
      <c r="PXW997" s="2335"/>
      <c r="PXX997" s="2335"/>
      <c r="PXY997" s="2335"/>
      <c r="PXZ997" s="2335"/>
      <c r="PYA997" s="2335"/>
      <c r="PYB997" s="2335"/>
      <c r="PYC997" s="2335"/>
      <c r="PYD997" s="2335"/>
      <c r="PYE997" s="2335"/>
      <c r="PYF997" s="2335"/>
      <c r="PYG997" s="2335"/>
      <c r="PYH997" s="2335"/>
      <c r="PYI997" s="2335"/>
      <c r="PYJ997" s="2335"/>
      <c r="PYK997" s="2335"/>
      <c r="PYL997" s="2335"/>
      <c r="PYM997" s="2335"/>
      <c r="PYN997" s="2335"/>
      <c r="PYO997" s="2335"/>
      <c r="PYP997" s="2335"/>
      <c r="PYQ997" s="2335"/>
      <c r="PYR997" s="2335"/>
      <c r="PYS997" s="2335"/>
      <c r="PYT997" s="2335"/>
      <c r="PYU997" s="2335"/>
      <c r="PYV997" s="2335"/>
      <c r="PYW997" s="2335"/>
      <c r="PYX997" s="2335"/>
      <c r="PYY997" s="2335"/>
      <c r="PYZ997" s="2335"/>
      <c r="PZA997" s="2335"/>
      <c r="PZB997" s="2335"/>
      <c r="PZC997" s="2335"/>
      <c r="PZD997" s="2335"/>
      <c r="PZE997" s="2335"/>
      <c r="PZF997" s="2335"/>
      <c r="PZG997" s="2335"/>
      <c r="PZH997" s="2335"/>
      <c r="PZI997" s="2335"/>
      <c r="PZJ997" s="2335"/>
      <c r="PZK997" s="2335"/>
      <c r="PZL997" s="2335"/>
      <c r="PZM997" s="2335"/>
      <c r="PZN997" s="2335"/>
      <c r="PZO997" s="2335"/>
      <c r="PZP997" s="2335"/>
      <c r="PZQ997" s="2335"/>
      <c r="PZR997" s="2335"/>
      <c r="PZS997" s="2335"/>
      <c r="PZT997" s="2335"/>
      <c r="PZU997" s="2335"/>
      <c r="PZV997" s="2335"/>
      <c r="PZW997" s="2335"/>
      <c r="PZX997" s="2335"/>
      <c r="PZY997" s="2335"/>
      <c r="PZZ997" s="2335"/>
      <c r="QAA997" s="2335"/>
      <c r="QAB997" s="2335"/>
      <c r="QAC997" s="2335"/>
      <c r="QAD997" s="2335"/>
      <c r="QAE997" s="2335"/>
      <c r="QAF997" s="2335"/>
      <c r="QAG997" s="2335"/>
      <c r="QAH997" s="2335"/>
      <c r="QAI997" s="2335"/>
      <c r="QAJ997" s="2335"/>
      <c r="QAK997" s="2335"/>
      <c r="QAL997" s="2335"/>
      <c r="QAM997" s="2335"/>
      <c r="QAN997" s="2335"/>
      <c r="QAO997" s="2335"/>
      <c r="QAP997" s="2335"/>
      <c r="QAQ997" s="2335"/>
      <c r="QAR997" s="2335"/>
      <c r="QAS997" s="2335"/>
      <c r="QAT997" s="2335"/>
      <c r="QAU997" s="2335"/>
      <c r="QAV997" s="2335"/>
      <c r="QAW997" s="2335"/>
      <c r="QAX997" s="2335"/>
      <c r="QAY997" s="2335"/>
      <c r="QAZ997" s="2335"/>
      <c r="QBA997" s="2335"/>
      <c r="QBB997" s="2335"/>
      <c r="QBC997" s="2335"/>
      <c r="QBD997" s="2335"/>
      <c r="QBE997" s="2335"/>
      <c r="QBF997" s="2335"/>
      <c r="QBG997" s="2335"/>
      <c r="QBH997" s="2335"/>
      <c r="QBI997" s="2335"/>
      <c r="QBJ997" s="2335"/>
      <c r="QBK997" s="2335"/>
      <c r="QBL997" s="2335"/>
      <c r="QBM997" s="2335"/>
      <c r="QBN997" s="2335"/>
      <c r="QBO997" s="2335"/>
      <c r="QBP997" s="2335"/>
      <c r="QBQ997" s="2335"/>
      <c r="QBR997" s="2335"/>
      <c r="QBS997" s="2335"/>
      <c r="QBT997" s="2335"/>
      <c r="QBU997" s="2335"/>
      <c r="QBV997" s="2335"/>
      <c r="QBW997" s="2335"/>
      <c r="QBX997" s="2335"/>
      <c r="QBY997" s="2335"/>
      <c r="QBZ997" s="2335"/>
      <c r="QCA997" s="2335"/>
      <c r="QCB997" s="2335"/>
      <c r="QCC997" s="2335"/>
      <c r="QCD997" s="2335"/>
      <c r="QCE997" s="2335"/>
      <c r="QCF997" s="2335"/>
      <c r="QCG997" s="2335"/>
      <c r="QCH997" s="2335"/>
      <c r="QCI997" s="2335"/>
      <c r="QCJ997" s="2335"/>
      <c r="QCK997" s="2335"/>
      <c r="QCL997" s="2335"/>
      <c r="QCM997" s="2335"/>
      <c r="QCN997" s="2335"/>
      <c r="QCO997" s="2335"/>
      <c r="QCP997" s="2335"/>
      <c r="QCQ997" s="2335"/>
      <c r="QCR997" s="2335"/>
      <c r="QCS997" s="2335"/>
      <c r="QCT997" s="2335"/>
      <c r="QCU997" s="2335"/>
      <c r="QCV997" s="2335"/>
      <c r="QCW997" s="2335"/>
      <c r="QCX997" s="2335"/>
      <c r="QCY997" s="2335"/>
      <c r="QCZ997" s="2335"/>
      <c r="QDA997" s="2335"/>
      <c r="QDB997" s="2335"/>
      <c r="QDC997" s="2335"/>
      <c r="QDD997" s="2335"/>
      <c r="QDE997" s="2335"/>
      <c r="QDF997" s="2335"/>
      <c r="QDG997" s="2335"/>
      <c r="QDH997" s="2335"/>
      <c r="QDI997" s="2335"/>
      <c r="QDJ997" s="2335"/>
      <c r="QDK997" s="2335"/>
      <c r="QDL997" s="2335"/>
      <c r="QDM997" s="2335"/>
      <c r="QDN997" s="2335"/>
      <c r="QDO997" s="2335"/>
      <c r="QDP997" s="2335"/>
      <c r="QDQ997" s="2335"/>
      <c r="QDR997" s="2335"/>
      <c r="QDS997" s="2335"/>
      <c r="QDT997" s="2335"/>
      <c r="QDU997" s="2335"/>
      <c r="QDV997" s="2335"/>
      <c r="QDW997" s="2335"/>
      <c r="QDX997" s="2335"/>
      <c r="QDY997" s="2335"/>
      <c r="QDZ997" s="2335"/>
      <c r="QEA997" s="2335"/>
      <c r="QEB997" s="2335"/>
      <c r="QEC997" s="2335"/>
      <c r="QED997" s="2335"/>
      <c r="QEE997" s="2335"/>
      <c r="QEF997" s="2335"/>
      <c r="QEG997" s="2335"/>
      <c r="QEH997" s="2335"/>
      <c r="QEI997" s="2335"/>
      <c r="QEJ997" s="2335"/>
      <c r="QEK997" s="2335"/>
      <c r="QEL997" s="2335"/>
      <c r="QEM997" s="2335"/>
      <c r="QEN997" s="2335"/>
      <c r="QEO997" s="2335"/>
      <c r="QEP997" s="2335"/>
      <c r="QEQ997" s="2335"/>
      <c r="QER997" s="2335"/>
      <c r="QES997" s="2335"/>
      <c r="QET997" s="2335"/>
      <c r="QEU997" s="2335"/>
      <c r="QEV997" s="2335"/>
      <c r="QEW997" s="2335"/>
      <c r="QEX997" s="2335"/>
      <c r="QEY997" s="2335"/>
      <c r="QEZ997" s="2335"/>
      <c r="QFA997" s="2335"/>
      <c r="QFB997" s="2335"/>
      <c r="QFC997" s="2335"/>
      <c r="QFD997" s="2335"/>
      <c r="QFE997" s="2335"/>
      <c r="QFF997" s="2335"/>
      <c r="QFG997" s="2335"/>
      <c r="QFH997" s="2335"/>
      <c r="QFI997" s="2335"/>
      <c r="QFJ997" s="2335"/>
      <c r="QFK997" s="2335"/>
      <c r="QFL997" s="2335"/>
      <c r="QFM997" s="2335"/>
      <c r="QFN997" s="2335"/>
      <c r="QFO997" s="2335"/>
      <c r="QFP997" s="2335"/>
      <c r="QFQ997" s="2335"/>
      <c r="QFR997" s="2335"/>
      <c r="QFS997" s="2335"/>
      <c r="QFT997" s="2335"/>
      <c r="QFU997" s="2335"/>
      <c r="QFV997" s="2335"/>
      <c r="QFW997" s="2335"/>
      <c r="QFX997" s="2335"/>
      <c r="QFY997" s="2335"/>
      <c r="QFZ997" s="2335"/>
      <c r="QGA997" s="2335"/>
      <c r="QGB997" s="2335"/>
      <c r="QGC997" s="2335"/>
      <c r="QGD997" s="2335"/>
      <c r="QGE997" s="2335"/>
      <c r="QGF997" s="2335"/>
      <c r="QGG997" s="2335"/>
      <c r="QGH997" s="2335"/>
      <c r="QGI997" s="2335"/>
      <c r="QGJ997" s="2335"/>
      <c r="QGK997" s="2335"/>
      <c r="QGL997" s="2335"/>
      <c r="QGM997" s="2335"/>
      <c r="QGN997" s="2335"/>
      <c r="QGO997" s="2335"/>
      <c r="QGP997" s="2335"/>
      <c r="QGQ997" s="2335"/>
      <c r="QGR997" s="2335"/>
      <c r="QGS997" s="2335"/>
      <c r="QGT997" s="2335"/>
      <c r="QGU997" s="2335"/>
      <c r="QGV997" s="2335"/>
      <c r="QGW997" s="2335"/>
      <c r="QGX997" s="2335"/>
      <c r="QGY997" s="2335"/>
      <c r="QGZ997" s="2335"/>
      <c r="QHA997" s="2335"/>
      <c r="QHB997" s="2335"/>
      <c r="QHC997" s="2335"/>
      <c r="QHD997" s="2335"/>
      <c r="QHE997" s="2335"/>
      <c r="QHF997" s="2335"/>
      <c r="QHG997" s="2335"/>
      <c r="QHH997" s="2335"/>
      <c r="QHI997" s="2335"/>
      <c r="QHJ997" s="2335"/>
      <c r="QHK997" s="2335"/>
      <c r="QHL997" s="2335"/>
      <c r="QHM997" s="2335"/>
      <c r="QHN997" s="2335"/>
      <c r="QHO997" s="2335"/>
      <c r="QHP997" s="2335"/>
      <c r="QHQ997" s="2335"/>
      <c r="QHR997" s="2335"/>
      <c r="QHS997" s="2335"/>
      <c r="QHT997" s="2335"/>
      <c r="QHU997" s="2335"/>
      <c r="QHV997" s="2335"/>
      <c r="QHW997" s="2335"/>
      <c r="QHX997" s="2335"/>
      <c r="QHY997" s="2335"/>
      <c r="QHZ997" s="2335"/>
      <c r="QIA997" s="2335"/>
      <c r="QIB997" s="2335"/>
      <c r="QIC997" s="2335"/>
      <c r="QID997" s="2335"/>
      <c r="QIE997" s="2335"/>
      <c r="QIF997" s="2335"/>
      <c r="QIG997" s="2335"/>
      <c r="QIH997" s="2335"/>
      <c r="QII997" s="2335"/>
      <c r="QIJ997" s="2335"/>
      <c r="QIK997" s="2335"/>
      <c r="QIL997" s="2335"/>
      <c r="QIM997" s="2335"/>
      <c r="QIN997" s="2335"/>
      <c r="QIO997" s="2335"/>
      <c r="QIP997" s="2335"/>
      <c r="QIQ997" s="2335"/>
      <c r="QIR997" s="2335"/>
      <c r="QIS997" s="2335"/>
      <c r="QIT997" s="2335"/>
      <c r="QIU997" s="2335"/>
      <c r="QIV997" s="2335"/>
      <c r="QIW997" s="2335"/>
      <c r="QIX997" s="2335"/>
      <c r="QIY997" s="2335"/>
      <c r="QIZ997" s="2335"/>
      <c r="QJA997" s="2335"/>
      <c r="QJB997" s="2335"/>
      <c r="QJC997" s="2335"/>
      <c r="QJD997" s="2335"/>
      <c r="QJE997" s="2335"/>
      <c r="QJF997" s="2335"/>
      <c r="QJG997" s="2335"/>
      <c r="QJH997" s="2335"/>
      <c r="QJI997" s="2335"/>
      <c r="QJJ997" s="2335"/>
      <c r="QJK997" s="2335"/>
      <c r="QJL997" s="2335"/>
      <c r="QJM997" s="2335"/>
      <c r="QJN997" s="2335"/>
      <c r="QJO997" s="2335"/>
      <c r="QJP997" s="2335"/>
      <c r="QJQ997" s="2335"/>
      <c r="QJR997" s="2335"/>
      <c r="QJS997" s="2335"/>
      <c r="QJT997" s="2335"/>
      <c r="QJU997" s="2335"/>
      <c r="QJV997" s="2335"/>
      <c r="QJW997" s="2335"/>
      <c r="QJX997" s="2335"/>
      <c r="QJY997" s="2335"/>
      <c r="QJZ997" s="2335"/>
      <c r="QKA997" s="2335"/>
      <c r="QKB997" s="2335"/>
      <c r="QKC997" s="2335"/>
      <c r="QKD997" s="2335"/>
      <c r="QKE997" s="2335"/>
      <c r="QKF997" s="2335"/>
      <c r="QKG997" s="2335"/>
      <c r="QKH997" s="2335"/>
      <c r="QKI997" s="2335"/>
      <c r="QKJ997" s="2335"/>
      <c r="QKK997" s="2335"/>
      <c r="QKL997" s="2335"/>
      <c r="QKM997" s="2335"/>
      <c r="QKN997" s="2335"/>
      <c r="QKO997" s="2335"/>
      <c r="QKP997" s="2335"/>
      <c r="QKQ997" s="2335"/>
      <c r="QKR997" s="2335"/>
      <c r="QKS997" s="2335"/>
      <c r="QKT997" s="2335"/>
      <c r="QKU997" s="2335"/>
      <c r="QKV997" s="2335"/>
      <c r="QKW997" s="2335"/>
      <c r="QKX997" s="2335"/>
      <c r="QKY997" s="2335"/>
      <c r="QKZ997" s="2335"/>
      <c r="QLA997" s="2335"/>
      <c r="QLB997" s="2335"/>
      <c r="QLC997" s="2335"/>
      <c r="QLD997" s="2335"/>
      <c r="QLE997" s="2335"/>
      <c r="QLF997" s="2335"/>
      <c r="QLG997" s="2335"/>
      <c r="QLH997" s="2335"/>
      <c r="QLI997" s="2335"/>
      <c r="QLJ997" s="2335"/>
      <c r="QLK997" s="2335"/>
      <c r="QLL997" s="2335"/>
      <c r="QLM997" s="2335"/>
      <c r="QLN997" s="2335"/>
      <c r="QLO997" s="2335"/>
      <c r="QLP997" s="2335"/>
      <c r="QLQ997" s="2335"/>
      <c r="QLR997" s="2335"/>
      <c r="QLS997" s="2335"/>
      <c r="QLT997" s="2335"/>
      <c r="QLU997" s="2335"/>
      <c r="QLV997" s="2335"/>
      <c r="QLW997" s="2335"/>
      <c r="QLX997" s="2335"/>
      <c r="QLY997" s="2335"/>
      <c r="QLZ997" s="2335"/>
      <c r="QMA997" s="2335"/>
      <c r="QMB997" s="2335"/>
      <c r="QMC997" s="2335"/>
      <c r="QMD997" s="2335"/>
      <c r="QME997" s="2335"/>
      <c r="QMF997" s="2335"/>
      <c r="QMG997" s="2335"/>
      <c r="QMH997" s="2335"/>
      <c r="QMI997" s="2335"/>
      <c r="QMJ997" s="2335"/>
      <c r="QMK997" s="2335"/>
      <c r="QML997" s="2335"/>
      <c r="QMM997" s="2335"/>
      <c r="QMN997" s="2335"/>
      <c r="QMO997" s="2335"/>
      <c r="QMP997" s="2335"/>
      <c r="QMQ997" s="2335"/>
      <c r="QMR997" s="2335"/>
      <c r="QMS997" s="2335"/>
      <c r="QMT997" s="2335"/>
      <c r="QMU997" s="2335"/>
      <c r="QMV997" s="2335"/>
      <c r="QMW997" s="2335"/>
      <c r="QMX997" s="2335"/>
      <c r="QMY997" s="2335"/>
      <c r="QMZ997" s="2335"/>
      <c r="QNA997" s="2335"/>
      <c r="QNB997" s="2335"/>
      <c r="QNC997" s="2335"/>
      <c r="QND997" s="2335"/>
      <c r="QNE997" s="2335"/>
      <c r="QNF997" s="2335"/>
      <c r="QNG997" s="2335"/>
      <c r="QNH997" s="2335"/>
      <c r="QNI997" s="2335"/>
      <c r="QNJ997" s="2335"/>
      <c r="QNK997" s="2335"/>
      <c r="QNL997" s="2335"/>
      <c r="QNM997" s="2335"/>
      <c r="QNN997" s="2335"/>
      <c r="QNO997" s="2335"/>
      <c r="QNP997" s="2335"/>
      <c r="QNQ997" s="2335"/>
      <c r="QNR997" s="2335"/>
      <c r="QNS997" s="2335"/>
      <c r="QNT997" s="2335"/>
      <c r="QNU997" s="2335"/>
      <c r="QNV997" s="2335"/>
      <c r="QNW997" s="2335"/>
      <c r="QNX997" s="2335"/>
      <c r="QNY997" s="2335"/>
      <c r="QNZ997" s="2335"/>
      <c r="QOA997" s="2335"/>
      <c r="QOB997" s="2335"/>
      <c r="QOC997" s="2335"/>
      <c r="QOD997" s="2335"/>
      <c r="QOE997" s="2335"/>
      <c r="QOF997" s="2335"/>
      <c r="QOG997" s="2335"/>
      <c r="QOH997" s="2335"/>
      <c r="QOI997" s="2335"/>
      <c r="QOJ997" s="2335"/>
      <c r="QOK997" s="2335"/>
      <c r="QOL997" s="2335"/>
      <c r="QOM997" s="2335"/>
      <c r="QON997" s="2335"/>
      <c r="QOO997" s="2335"/>
      <c r="QOP997" s="2335"/>
      <c r="QOQ997" s="2335"/>
      <c r="QOR997" s="2335"/>
      <c r="QOS997" s="2335"/>
      <c r="QOT997" s="2335"/>
      <c r="QOU997" s="2335"/>
      <c r="QOV997" s="2335"/>
      <c r="QOW997" s="2335"/>
      <c r="QOX997" s="2335"/>
      <c r="QOY997" s="2335"/>
      <c r="QOZ997" s="2335"/>
      <c r="QPA997" s="2335"/>
      <c r="QPB997" s="2335"/>
      <c r="QPC997" s="2335"/>
      <c r="QPD997" s="2335"/>
      <c r="QPE997" s="2335"/>
      <c r="QPF997" s="2335"/>
      <c r="QPG997" s="2335"/>
      <c r="QPH997" s="2335"/>
      <c r="QPI997" s="2335"/>
      <c r="QPJ997" s="2335"/>
      <c r="QPK997" s="2335"/>
      <c r="QPL997" s="2335"/>
      <c r="QPM997" s="2335"/>
      <c r="QPN997" s="2335"/>
      <c r="QPO997" s="2335"/>
      <c r="QPP997" s="2335"/>
      <c r="QPQ997" s="2335"/>
      <c r="QPR997" s="2335"/>
      <c r="QPS997" s="2335"/>
      <c r="QPT997" s="2335"/>
      <c r="QPU997" s="2335"/>
      <c r="QPV997" s="2335"/>
      <c r="QPW997" s="2335"/>
      <c r="QPX997" s="2335"/>
      <c r="QPY997" s="2335"/>
      <c r="QPZ997" s="2335"/>
      <c r="QQA997" s="2335"/>
      <c r="QQB997" s="2335"/>
      <c r="QQC997" s="2335"/>
      <c r="QQD997" s="2335"/>
      <c r="QQE997" s="2335"/>
      <c r="QQF997" s="2335"/>
      <c r="QQG997" s="2335"/>
      <c r="QQH997" s="2335"/>
      <c r="QQI997" s="2335"/>
      <c r="QQJ997" s="2335"/>
      <c r="QQK997" s="2335"/>
      <c r="QQL997" s="2335"/>
      <c r="QQM997" s="2335"/>
      <c r="QQN997" s="2335"/>
      <c r="QQO997" s="2335"/>
      <c r="QQP997" s="2335"/>
      <c r="QQQ997" s="2335"/>
      <c r="QQR997" s="2335"/>
      <c r="QQS997" s="2335"/>
      <c r="QQT997" s="2335"/>
      <c r="QQU997" s="2335"/>
      <c r="QQV997" s="2335"/>
      <c r="QQW997" s="2335"/>
      <c r="QQX997" s="2335"/>
      <c r="QQY997" s="2335"/>
      <c r="QQZ997" s="2335"/>
      <c r="QRA997" s="2335"/>
      <c r="QRB997" s="2335"/>
      <c r="QRC997" s="2335"/>
      <c r="QRD997" s="2335"/>
      <c r="QRE997" s="2335"/>
      <c r="QRF997" s="2335"/>
      <c r="QRG997" s="2335"/>
      <c r="QRH997" s="2335"/>
      <c r="QRI997" s="2335"/>
      <c r="QRJ997" s="2335"/>
      <c r="QRK997" s="2335"/>
      <c r="QRL997" s="2335"/>
      <c r="QRM997" s="2335"/>
      <c r="QRN997" s="2335"/>
      <c r="QRO997" s="2335"/>
      <c r="QRP997" s="2335"/>
      <c r="QRQ997" s="2335"/>
      <c r="QRR997" s="2335"/>
      <c r="QRS997" s="2335"/>
      <c r="QRT997" s="2335"/>
      <c r="QRU997" s="2335"/>
      <c r="QRV997" s="2335"/>
      <c r="QRW997" s="2335"/>
      <c r="QRX997" s="2335"/>
      <c r="QRY997" s="2335"/>
      <c r="QRZ997" s="2335"/>
      <c r="QSA997" s="2335"/>
      <c r="QSB997" s="2335"/>
      <c r="QSC997" s="2335"/>
      <c r="QSD997" s="2335"/>
      <c r="QSE997" s="2335"/>
      <c r="QSF997" s="2335"/>
      <c r="QSG997" s="2335"/>
      <c r="QSH997" s="2335"/>
      <c r="QSI997" s="2335"/>
      <c r="QSJ997" s="2335"/>
      <c r="QSK997" s="2335"/>
      <c r="QSL997" s="2335"/>
      <c r="QSM997" s="2335"/>
      <c r="QSN997" s="2335"/>
      <c r="QSO997" s="2335"/>
      <c r="QSP997" s="2335"/>
      <c r="QSQ997" s="2335"/>
      <c r="QSR997" s="2335"/>
      <c r="QSS997" s="2335"/>
      <c r="QST997" s="2335"/>
      <c r="QSU997" s="2335"/>
      <c r="QSV997" s="2335"/>
      <c r="QSW997" s="2335"/>
      <c r="QSX997" s="2335"/>
      <c r="QSY997" s="2335"/>
      <c r="QSZ997" s="2335"/>
      <c r="QTA997" s="2335"/>
      <c r="QTB997" s="2335"/>
      <c r="QTC997" s="2335"/>
      <c r="QTD997" s="2335"/>
      <c r="QTE997" s="2335"/>
      <c r="QTF997" s="2335"/>
      <c r="QTG997" s="2335"/>
      <c r="QTH997" s="2335"/>
      <c r="QTI997" s="2335"/>
      <c r="QTJ997" s="2335"/>
      <c r="QTK997" s="2335"/>
      <c r="QTL997" s="2335"/>
      <c r="QTM997" s="2335"/>
      <c r="QTN997" s="2335"/>
      <c r="QTO997" s="2335"/>
      <c r="QTP997" s="2335"/>
      <c r="QTQ997" s="2335"/>
      <c r="QTR997" s="2335"/>
      <c r="QTS997" s="2335"/>
      <c r="QTT997" s="2335"/>
      <c r="QTU997" s="2335"/>
      <c r="QTV997" s="2335"/>
      <c r="QTW997" s="2335"/>
      <c r="QTX997" s="2335"/>
      <c r="QTY997" s="2335"/>
      <c r="QTZ997" s="2335"/>
      <c r="QUA997" s="2335"/>
      <c r="QUB997" s="2335"/>
      <c r="QUC997" s="2335"/>
      <c r="QUD997" s="2335"/>
      <c r="QUE997" s="2335"/>
      <c r="QUF997" s="2335"/>
      <c r="QUG997" s="2335"/>
      <c r="QUH997" s="2335"/>
      <c r="QUI997" s="2335"/>
      <c r="QUJ997" s="2335"/>
      <c r="QUK997" s="2335"/>
      <c r="QUL997" s="2335"/>
      <c r="QUM997" s="2335"/>
      <c r="QUN997" s="2335"/>
      <c r="QUO997" s="2335"/>
      <c r="QUP997" s="2335"/>
      <c r="QUQ997" s="2335"/>
      <c r="QUR997" s="2335"/>
      <c r="QUS997" s="2335"/>
      <c r="QUT997" s="2335"/>
      <c r="QUU997" s="2335"/>
      <c r="QUV997" s="2335"/>
      <c r="QUW997" s="2335"/>
      <c r="QUX997" s="2335"/>
      <c r="QUY997" s="2335"/>
      <c r="QUZ997" s="2335"/>
      <c r="QVA997" s="2335"/>
      <c r="QVB997" s="2335"/>
      <c r="QVC997" s="2335"/>
      <c r="QVD997" s="2335"/>
      <c r="QVE997" s="2335"/>
      <c r="QVF997" s="2335"/>
      <c r="QVG997" s="2335"/>
      <c r="QVH997" s="2335"/>
      <c r="QVI997" s="2335"/>
      <c r="QVJ997" s="2335"/>
      <c r="QVK997" s="2335"/>
      <c r="QVL997" s="2335"/>
      <c r="QVM997" s="2335"/>
      <c r="QVN997" s="2335"/>
      <c r="QVO997" s="2335"/>
      <c r="QVP997" s="2335"/>
      <c r="QVQ997" s="2335"/>
      <c r="QVR997" s="2335"/>
      <c r="QVS997" s="2335"/>
      <c r="QVT997" s="2335"/>
      <c r="QVU997" s="2335"/>
      <c r="QVV997" s="2335"/>
      <c r="QVW997" s="2335"/>
      <c r="QVX997" s="2335"/>
      <c r="QVY997" s="2335"/>
      <c r="QVZ997" s="2335"/>
      <c r="QWA997" s="2335"/>
      <c r="QWB997" s="2335"/>
      <c r="QWC997" s="2335"/>
      <c r="QWD997" s="2335"/>
      <c r="QWE997" s="2335"/>
      <c r="QWF997" s="2335"/>
      <c r="QWG997" s="2335"/>
      <c r="QWH997" s="2335"/>
      <c r="QWI997" s="2335"/>
      <c r="QWJ997" s="2335"/>
      <c r="QWK997" s="2335"/>
      <c r="QWL997" s="2335"/>
      <c r="QWM997" s="2335"/>
      <c r="QWN997" s="2335"/>
      <c r="QWO997" s="2335"/>
      <c r="QWP997" s="2335"/>
      <c r="QWQ997" s="2335"/>
      <c r="QWR997" s="2335"/>
      <c r="QWS997" s="2335"/>
      <c r="QWT997" s="2335"/>
      <c r="QWU997" s="2335"/>
      <c r="QWV997" s="2335"/>
      <c r="QWW997" s="2335"/>
      <c r="QWX997" s="2335"/>
      <c r="QWY997" s="2335"/>
      <c r="QWZ997" s="2335"/>
      <c r="QXA997" s="2335"/>
      <c r="QXB997" s="2335"/>
      <c r="QXC997" s="2335"/>
      <c r="QXD997" s="2335"/>
      <c r="QXE997" s="2335"/>
      <c r="QXF997" s="2335"/>
      <c r="QXG997" s="2335"/>
      <c r="QXH997" s="2335"/>
      <c r="QXI997" s="2335"/>
      <c r="QXJ997" s="2335"/>
      <c r="QXK997" s="2335"/>
      <c r="QXL997" s="2335"/>
      <c r="QXM997" s="2335"/>
      <c r="QXN997" s="2335"/>
      <c r="QXO997" s="2335"/>
      <c r="QXP997" s="2335"/>
      <c r="QXQ997" s="2335"/>
      <c r="QXR997" s="2335"/>
      <c r="QXS997" s="2335"/>
      <c r="QXT997" s="2335"/>
      <c r="QXU997" s="2335"/>
      <c r="QXV997" s="2335"/>
      <c r="QXW997" s="2335"/>
      <c r="QXX997" s="2335"/>
      <c r="QXY997" s="2335"/>
      <c r="QXZ997" s="2335"/>
      <c r="QYA997" s="2335"/>
      <c r="QYB997" s="2335"/>
      <c r="QYC997" s="2335"/>
      <c r="QYD997" s="2335"/>
      <c r="QYE997" s="2335"/>
      <c r="QYF997" s="2335"/>
      <c r="QYG997" s="2335"/>
      <c r="QYH997" s="2335"/>
      <c r="QYI997" s="2335"/>
      <c r="QYJ997" s="2335"/>
      <c r="QYK997" s="2335"/>
      <c r="QYL997" s="2335"/>
      <c r="QYM997" s="2335"/>
      <c r="QYN997" s="2335"/>
      <c r="QYO997" s="2335"/>
      <c r="QYP997" s="2335"/>
      <c r="QYQ997" s="2335"/>
      <c r="QYR997" s="2335"/>
      <c r="QYS997" s="2335"/>
      <c r="QYT997" s="2335"/>
      <c r="QYU997" s="2335"/>
      <c r="QYV997" s="2335"/>
      <c r="QYW997" s="2335"/>
      <c r="QYX997" s="2335"/>
      <c r="QYY997" s="2335"/>
      <c r="QYZ997" s="2335"/>
      <c r="QZA997" s="2335"/>
      <c r="QZB997" s="2335"/>
      <c r="QZC997" s="2335"/>
      <c r="QZD997" s="2335"/>
      <c r="QZE997" s="2335"/>
      <c r="QZF997" s="2335"/>
      <c r="QZG997" s="2335"/>
      <c r="QZH997" s="2335"/>
      <c r="QZI997" s="2335"/>
      <c r="QZJ997" s="2335"/>
      <c r="QZK997" s="2335"/>
      <c r="QZL997" s="2335"/>
      <c r="QZM997" s="2335"/>
      <c r="QZN997" s="2335"/>
      <c r="QZO997" s="2335"/>
      <c r="QZP997" s="2335"/>
      <c r="QZQ997" s="2335"/>
      <c r="QZR997" s="2335"/>
      <c r="QZS997" s="2335"/>
      <c r="QZT997" s="2335"/>
      <c r="QZU997" s="2335"/>
      <c r="QZV997" s="2335"/>
      <c r="QZW997" s="2335"/>
      <c r="QZX997" s="2335"/>
      <c r="QZY997" s="2335"/>
      <c r="QZZ997" s="2335"/>
      <c r="RAA997" s="2335"/>
      <c r="RAB997" s="2335"/>
      <c r="RAC997" s="2335"/>
      <c r="RAD997" s="2335"/>
      <c r="RAE997" s="2335"/>
      <c r="RAF997" s="2335"/>
      <c r="RAG997" s="2335"/>
      <c r="RAH997" s="2335"/>
      <c r="RAI997" s="2335"/>
      <c r="RAJ997" s="2335"/>
      <c r="RAK997" s="2335"/>
      <c r="RAL997" s="2335"/>
      <c r="RAM997" s="2335"/>
      <c r="RAN997" s="2335"/>
      <c r="RAO997" s="2335"/>
      <c r="RAP997" s="2335"/>
      <c r="RAQ997" s="2335"/>
      <c r="RAR997" s="2335"/>
      <c r="RAS997" s="2335"/>
      <c r="RAT997" s="2335"/>
      <c r="RAU997" s="2335"/>
      <c r="RAV997" s="2335"/>
      <c r="RAW997" s="2335"/>
      <c r="RAX997" s="2335"/>
      <c r="RAY997" s="2335"/>
      <c r="RAZ997" s="2335"/>
      <c r="RBA997" s="2335"/>
      <c r="RBB997" s="2335"/>
      <c r="RBC997" s="2335"/>
      <c r="RBD997" s="2335"/>
      <c r="RBE997" s="2335"/>
      <c r="RBF997" s="2335"/>
      <c r="RBG997" s="2335"/>
      <c r="RBH997" s="2335"/>
      <c r="RBI997" s="2335"/>
      <c r="RBJ997" s="2335"/>
      <c r="RBK997" s="2335"/>
      <c r="RBL997" s="2335"/>
      <c r="RBM997" s="2335"/>
      <c r="RBN997" s="2335"/>
      <c r="RBO997" s="2335"/>
      <c r="RBP997" s="2335"/>
      <c r="RBQ997" s="2335"/>
      <c r="RBR997" s="2335"/>
      <c r="RBS997" s="2335"/>
      <c r="RBT997" s="2335"/>
      <c r="RBU997" s="2335"/>
      <c r="RBV997" s="2335"/>
      <c r="RBW997" s="2335"/>
      <c r="RBX997" s="2335"/>
      <c r="RBY997" s="2335"/>
      <c r="RBZ997" s="2335"/>
      <c r="RCA997" s="2335"/>
      <c r="RCB997" s="2335"/>
      <c r="RCC997" s="2335"/>
      <c r="RCD997" s="2335"/>
      <c r="RCE997" s="2335"/>
      <c r="RCF997" s="2335"/>
      <c r="RCG997" s="2335"/>
      <c r="RCH997" s="2335"/>
      <c r="RCI997" s="2335"/>
      <c r="RCJ997" s="2335"/>
      <c r="RCK997" s="2335"/>
      <c r="RCL997" s="2335"/>
      <c r="RCM997" s="2335"/>
      <c r="RCN997" s="2335"/>
      <c r="RCO997" s="2335"/>
      <c r="RCP997" s="2335"/>
      <c r="RCQ997" s="2335"/>
      <c r="RCR997" s="2335"/>
      <c r="RCS997" s="2335"/>
      <c r="RCT997" s="2335"/>
      <c r="RCU997" s="2335"/>
      <c r="RCV997" s="2335"/>
      <c r="RCW997" s="2335"/>
      <c r="RCX997" s="2335"/>
      <c r="RCY997" s="2335"/>
      <c r="RCZ997" s="2335"/>
      <c r="RDA997" s="2335"/>
      <c r="RDB997" s="2335"/>
      <c r="RDC997" s="2335"/>
      <c r="RDD997" s="2335"/>
      <c r="RDE997" s="2335"/>
      <c r="RDF997" s="2335"/>
      <c r="RDG997" s="2335"/>
      <c r="RDH997" s="2335"/>
      <c r="RDI997" s="2335"/>
      <c r="RDJ997" s="2335"/>
      <c r="RDK997" s="2335"/>
      <c r="RDL997" s="2335"/>
      <c r="RDM997" s="2335"/>
      <c r="RDN997" s="2335"/>
      <c r="RDO997" s="2335"/>
      <c r="RDP997" s="2335"/>
      <c r="RDQ997" s="2335"/>
      <c r="RDR997" s="2335"/>
      <c r="RDS997" s="2335"/>
      <c r="RDT997" s="2335"/>
      <c r="RDU997" s="2335"/>
      <c r="RDV997" s="2335"/>
      <c r="RDW997" s="2335"/>
      <c r="RDX997" s="2335"/>
      <c r="RDY997" s="2335"/>
      <c r="RDZ997" s="2335"/>
      <c r="REA997" s="2335"/>
      <c r="REB997" s="2335"/>
      <c r="REC997" s="2335"/>
      <c r="RED997" s="2335"/>
      <c r="REE997" s="2335"/>
      <c r="REF997" s="2335"/>
      <c r="REG997" s="2335"/>
      <c r="REH997" s="2335"/>
      <c r="REI997" s="2335"/>
      <c r="REJ997" s="2335"/>
      <c r="REK997" s="2335"/>
      <c r="REL997" s="2335"/>
      <c r="REM997" s="2335"/>
      <c r="REN997" s="2335"/>
      <c r="REO997" s="2335"/>
      <c r="REP997" s="2335"/>
      <c r="REQ997" s="2335"/>
      <c r="RER997" s="2335"/>
      <c r="RES997" s="2335"/>
      <c r="RET997" s="2335"/>
      <c r="REU997" s="2335"/>
      <c r="REV997" s="2335"/>
      <c r="REW997" s="2335"/>
      <c r="REX997" s="2335"/>
      <c r="REY997" s="2335"/>
      <c r="REZ997" s="2335"/>
      <c r="RFA997" s="2335"/>
      <c r="RFB997" s="2335"/>
      <c r="RFC997" s="2335"/>
      <c r="RFD997" s="2335"/>
      <c r="RFE997" s="2335"/>
      <c r="RFF997" s="2335"/>
      <c r="RFG997" s="2335"/>
      <c r="RFH997" s="2335"/>
      <c r="RFI997" s="2335"/>
      <c r="RFJ997" s="2335"/>
      <c r="RFK997" s="2335"/>
      <c r="RFL997" s="2335"/>
      <c r="RFM997" s="2335"/>
      <c r="RFN997" s="2335"/>
      <c r="RFO997" s="2335"/>
      <c r="RFP997" s="2335"/>
      <c r="RFQ997" s="2335"/>
      <c r="RFR997" s="2335"/>
      <c r="RFS997" s="2335"/>
      <c r="RFT997" s="2335"/>
      <c r="RFU997" s="2335"/>
      <c r="RFV997" s="2335"/>
      <c r="RFW997" s="2335"/>
      <c r="RFX997" s="2335"/>
      <c r="RFY997" s="2335"/>
      <c r="RFZ997" s="2335"/>
      <c r="RGA997" s="2335"/>
      <c r="RGB997" s="2335"/>
      <c r="RGC997" s="2335"/>
      <c r="RGD997" s="2335"/>
      <c r="RGE997" s="2335"/>
      <c r="RGF997" s="2335"/>
      <c r="RGG997" s="2335"/>
      <c r="RGH997" s="2335"/>
      <c r="RGI997" s="2335"/>
      <c r="RGJ997" s="2335"/>
      <c r="RGK997" s="2335"/>
      <c r="RGL997" s="2335"/>
      <c r="RGM997" s="2335"/>
      <c r="RGN997" s="2335"/>
      <c r="RGO997" s="2335"/>
      <c r="RGP997" s="2335"/>
      <c r="RGQ997" s="2335"/>
      <c r="RGR997" s="2335"/>
      <c r="RGS997" s="2335"/>
      <c r="RGT997" s="2335"/>
      <c r="RGU997" s="2335"/>
      <c r="RGV997" s="2335"/>
      <c r="RGW997" s="2335"/>
      <c r="RGX997" s="2335"/>
      <c r="RGY997" s="2335"/>
      <c r="RGZ997" s="2335"/>
      <c r="RHA997" s="2335"/>
      <c r="RHB997" s="2335"/>
      <c r="RHC997" s="2335"/>
      <c r="RHD997" s="2335"/>
      <c r="RHE997" s="2335"/>
      <c r="RHF997" s="2335"/>
      <c r="RHG997" s="2335"/>
      <c r="RHH997" s="2335"/>
      <c r="RHI997" s="2335"/>
      <c r="RHJ997" s="2335"/>
      <c r="RHK997" s="2335"/>
      <c r="RHL997" s="2335"/>
      <c r="RHM997" s="2335"/>
      <c r="RHN997" s="2335"/>
      <c r="RHO997" s="2335"/>
      <c r="RHP997" s="2335"/>
      <c r="RHQ997" s="2335"/>
      <c r="RHR997" s="2335"/>
      <c r="RHS997" s="2335"/>
      <c r="RHT997" s="2335"/>
      <c r="RHU997" s="2335"/>
      <c r="RHV997" s="2335"/>
      <c r="RHW997" s="2335"/>
      <c r="RHX997" s="2335"/>
      <c r="RHY997" s="2335"/>
      <c r="RHZ997" s="2335"/>
      <c r="RIA997" s="2335"/>
      <c r="RIB997" s="2335"/>
      <c r="RIC997" s="2335"/>
      <c r="RID997" s="2335"/>
      <c r="RIE997" s="2335"/>
      <c r="RIF997" s="2335"/>
      <c r="RIG997" s="2335"/>
      <c r="RIH997" s="2335"/>
      <c r="RII997" s="2335"/>
      <c r="RIJ997" s="2335"/>
      <c r="RIK997" s="2335"/>
      <c r="RIL997" s="2335"/>
      <c r="RIM997" s="2335"/>
      <c r="RIN997" s="2335"/>
      <c r="RIO997" s="2335"/>
      <c r="RIP997" s="2335"/>
      <c r="RIQ997" s="2335"/>
      <c r="RIR997" s="2335"/>
      <c r="RIS997" s="2335"/>
      <c r="RIT997" s="2335"/>
      <c r="RIU997" s="2335"/>
      <c r="RIV997" s="2335"/>
      <c r="RIW997" s="2335"/>
      <c r="RIX997" s="2335"/>
      <c r="RIY997" s="2335"/>
      <c r="RIZ997" s="2335"/>
      <c r="RJA997" s="2335"/>
      <c r="RJB997" s="2335"/>
      <c r="RJC997" s="2335"/>
      <c r="RJD997" s="2335"/>
      <c r="RJE997" s="2335"/>
      <c r="RJF997" s="2335"/>
      <c r="RJG997" s="2335"/>
      <c r="RJH997" s="2335"/>
      <c r="RJI997" s="2335"/>
      <c r="RJJ997" s="2335"/>
      <c r="RJK997" s="2335"/>
      <c r="RJL997" s="2335"/>
      <c r="RJM997" s="2335"/>
      <c r="RJN997" s="2335"/>
      <c r="RJO997" s="2335"/>
      <c r="RJP997" s="2335"/>
      <c r="RJQ997" s="2335"/>
      <c r="RJR997" s="2335"/>
      <c r="RJS997" s="2335"/>
      <c r="RJT997" s="2335"/>
      <c r="RJU997" s="2335"/>
      <c r="RJV997" s="2335"/>
      <c r="RJW997" s="2335"/>
      <c r="RJX997" s="2335"/>
      <c r="RJY997" s="2335"/>
      <c r="RJZ997" s="2335"/>
      <c r="RKA997" s="2335"/>
      <c r="RKB997" s="2335"/>
      <c r="RKC997" s="2335"/>
      <c r="RKD997" s="2335"/>
      <c r="RKE997" s="2335"/>
      <c r="RKF997" s="2335"/>
      <c r="RKG997" s="2335"/>
      <c r="RKH997" s="2335"/>
      <c r="RKI997" s="2335"/>
      <c r="RKJ997" s="2335"/>
      <c r="RKK997" s="2335"/>
      <c r="RKL997" s="2335"/>
      <c r="RKM997" s="2335"/>
      <c r="RKN997" s="2335"/>
      <c r="RKO997" s="2335"/>
      <c r="RKP997" s="2335"/>
      <c r="RKQ997" s="2335"/>
      <c r="RKR997" s="2335"/>
      <c r="RKS997" s="2335"/>
      <c r="RKT997" s="2335"/>
      <c r="RKU997" s="2335"/>
      <c r="RKV997" s="2335"/>
      <c r="RKW997" s="2335"/>
      <c r="RKX997" s="2335"/>
      <c r="RKY997" s="2335"/>
      <c r="RKZ997" s="2335"/>
      <c r="RLA997" s="2335"/>
      <c r="RLB997" s="2335"/>
      <c r="RLC997" s="2335"/>
      <c r="RLD997" s="2335"/>
      <c r="RLE997" s="2335"/>
      <c r="RLF997" s="2335"/>
      <c r="RLG997" s="2335"/>
      <c r="RLH997" s="2335"/>
      <c r="RLI997" s="2335"/>
      <c r="RLJ997" s="2335"/>
      <c r="RLK997" s="2335"/>
      <c r="RLL997" s="2335"/>
      <c r="RLM997" s="2335"/>
      <c r="RLN997" s="2335"/>
      <c r="RLO997" s="2335"/>
      <c r="RLP997" s="2335"/>
      <c r="RLQ997" s="2335"/>
      <c r="RLR997" s="2335"/>
      <c r="RLS997" s="2335"/>
      <c r="RLT997" s="2335"/>
      <c r="RLU997" s="2335"/>
      <c r="RLV997" s="2335"/>
      <c r="RLW997" s="2335"/>
      <c r="RLX997" s="2335"/>
      <c r="RLY997" s="2335"/>
      <c r="RLZ997" s="2335"/>
      <c r="RMA997" s="2335"/>
      <c r="RMB997" s="2335"/>
      <c r="RMC997" s="2335"/>
      <c r="RMD997" s="2335"/>
      <c r="RME997" s="2335"/>
      <c r="RMF997" s="2335"/>
      <c r="RMG997" s="2335"/>
      <c r="RMH997" s="2335"/>
      <c r="RMI997" s="2335"/>
      <c r="RMJ997" s="2335"/>
      <c r="RMK997" s="2335"/>
      <c r="RML997" s="2335"/>
      <c r="RMM997" s="2335"/>
      <c r="RMN997" s="2335"/>
      <c r="RMO997" s="2335"/>
      <c r="RMP997" s="2335"/>
      <c r="RMQ997" s="2335"/>
      <c r="RMR997" s="2335"/>
      <c r="RMS997" s="2335"/>
      <c r="RMT997" s="2335"/>
      <c r="RMU997" s="2335"/>
      <c r="RMV997" s="2335"/>
      <c r="RMW997" s="2335"/>
      <c r="RMX997" s="2335"/>
      <c r="RMY997" s="2335"/>
      <c r="RMZ997" s="2335"/>
      <c r="RNA997" s="2335"/>
      <c r="RNB997" s="2335"/>
      <c r="RNC997" s="2335"/>
      <c r="RND997" s="2335"/>
      <c r="RNE997" s="2335"/>
      <c r="RNF997" s="2335"/>
      <c r="RNG997" s="2335"/>
      <c r="RNH997" s="2335"/>
      <c r="RNI997" s="2335"/>
      <c r="RNJ997" s="2335"/>
      <c r="RNK997" s="2335"/>
      <c r="RNL997" s="2335"/>
      <c r="RNM997" s="2335"/>
      <c r="RNN997" s="2335"/>
      <c r="RNO997" s="2335"/>
      <c r="RNP997" s="2335"/>
      <c r="RNQ997" s="2335"/>
      <c r="RNR997" s="2335"/>
      <c r="RNS997" s="2335"/>
      <c r="RNT997" s="2335"/>
      <c r="RNU997" s="2335"/>
      <c r="RNV997" s="2335"/>
      <c r="RNW997" s="2335"/>
      <c r="RNX997" s="2335"/>
      <c r="RNY997" s="2335"/>
      <c r="RNZ997" s="2335"/>
      <c r="ROA997" s="2335"/>
      <c r="ROB997" s="2335"/>
      <c r="ROC997" s="2335"/>
      <c r="ROD997" s="2335"/>
      <c r="ROE997" s="2335"/>
      <c r="ROF997" s="2335"/>
      <c r="ROG997" s="2335"/>
      <c r="ROH997" s="2335"/>
      <c r="ROI997" s="2335"/>
      <c r="ROJ997" s="2335"/>
      <c r="ROK997" s="2335"/>
      <c r="ROL997" s="2335"/>
      <c r="ROM997" s="2335"/>
      <c r="RON997" s="2335"/>
      <c r="ROO997" s="2335"/>
      <c r="ROP997" s="2335"/>
      <c r="ROQ997" s="2335"/>
      <c r="ROR997" s="2335"/>
      <c r="ROS997" s="2335"/>
      <c r="ROT997" s="2335"/>
      <c r="ROU997" s="2335"/>
      <c r="ROV997" s="2335"/>
      <c r="ROW997" s="2335"/>
      <c r="ROX997" s="2335"/>
      <c r="ROY997" s="2335"/>
      <c r="ROZ997" s="2335"/>
      <c r="RPA997" s="2335"/>
      <c r="RPB997" s="2335"/>
      <c r="RPC997" s="2335"/>
      <c r="RPD997" s="2335"/>
      <c r="RPE997" s="2335"/>
      <c r="RPF997" s="2335"/>
      <c r="RPG997" s="2335"/>
      <c r="RPH997" s="2335"/>
      <c r="RPI997" s="2335"/>
      <c r="RPJ997" s="2335"/>
      <c r="RPK997" s="2335"/>
      <c r="RPL997" s="2335"/>
      <c r="RPM997" s="2335"/>
      <c r="RPN997" s="2335"/>
      <c r="RPO997" s="2335"/>
      <c r="RPP997" s="2335"/>
      <c r="RPQ997" s="2335"/>
      <c r="RPR997" s="2335"/>
      <c r="RPS997" s="2335"/>
      <c r="RPT997" s="2335"/>
      <c r="RPU997" s="2335"/>
      <c r="RPV997" s="2335"/>
      <c r="RPW997" s="2335"/>
      <c r="RPX997" s="2335"/>
      <c r="RPY997" s="2335"/>
      <c r="RPZ997" s="2335"/>
      <c r="RQA997" s="2335"/>
      <c r="RQB997" s="2335"/>
      <c r="RQC997" s="2335"/>
      <c r="RQD997" s="2335"/>
      <c r="RQE997" s="2335"/>
      <c r="RQF997" s="2335"/>
      <c r="RQG997" s="2335"/>
      <c r="RQH997" s="2335"/>
      <c r="RQI997" s="2335"/>
      <c r="RQJ997" s="2335"/>
      <c r="RQK997" s="2335"/>
      <c r="RQL997" s="2335"/>
      <c r="RQM997" s="2335"/>
      <c r="RQN997" s="2335"/>
      <c r="RQO997" s="2335"/>
      <c r="RQP997" s="2335"/>
      <c r="RQQ997" s="2335"/>
      <c r="RQR997" s="2335"/>
      <c r="RQS997" s="2335"/>
      <c r="RQT997" s="2335"/>
      <c r="RQU997" s="2335"/>
      <c r="RQV997" s="2335"/>
      <c r="RQW997" s="2335"/>
      <c r="RQX997" s="2335"/>
      <c r="RQY997" s="2335"/>
      <c r="RQZ997" s="2335"/>
      <c r="RRA997" s="2335"/>
      <c r="RRB997" s="2335"/>
      <c r="RRC997" s="2335"/>
      <c r="RRD997" s="2335"/>
      <c r="RRE997" s="2335"/>
      <c r="RRF997" s="2335"/>
      <c r="RRG997" s="2335"/>
      <c r="RRH997" s="2335"/>
      <c r="RRI997" s="2335"/>
      <c r="RRJ997" s="2335"/>
      <c r="RRK997" s="2335"/>
      <c r="RRL997" s="2335"/>
      <c r="RRM997" s="2335"/>
      <c r="RRN997" s="2335"/>
      <c r="RRO997" s="2335"/>
      <c r="RRP997" s="2335"/>
      <c r="RRQ997" s="2335"/>
      <c r="RRR997" s="2335"/>
      <c r="RRS997" s="2335"/>
      <c r="RRT997" s="2335"/>
      <c r="RRU997" s="2335"/>
      <c r="RRV997" s="2335"/>
      <c r="RRW997" s="2335"/>
      <c r="RRX997" s="2335"/>
      <c r="RRY997" s="2335"/>
      <c r="RRZ997" s="2335"/>
      <c r="RSA997" s="2335"/>
      <c r="RSB997" s="2335"/>
      <c r="RSC997" s="2335"/>
      <c r="RSD997" s="2335"/>
      <c r="RSE997" s="2335"/>
      <c r="RSF997" s="2335"/>
      <c r="RSG997" s="2335"/>
      <c r="RSH997" s="2335"/>
      <c r="RSI997" s="2335"/>
      <c r="RSJ997" s="2335"/>
      <c r="RSK997" s="2335"/>
      <c r="RSL997" s="2335"/>
      <c r="RSM997" s="2335"/>
      <c r="RSN997" s="2335"/>
      <c r="RSO997" s="2335"/>
      <c r="RSP997" s="2335"/>
      <c r="RSQ997" s="2335"/>
      <c r="RSR997" s="2335"/>
      <c r="RSS997" s="2335"/>
      <c r="RST997" s="2335"/>
      <c r="RSU997" s="2335"/>
      <c r="RSV997" s="2335"/>
      <c r="RSW997" s="2335"/>
      <c r="RSX997" s="2335"/>
      <c r="RSY997" s="2335"/>
      <c r="RSZ997" s="2335"/>
      <c r="RTA997" s="2335"/>
      <c r="RTB997" s="2335"/>
      <c r="RTC997" s="2335"/>
      <c r="RTD997" s="2335"/>
      <c r="RTE997" s="2335"/>
      <c r="RTF997" s="2335"/>
      <c r="RTG997" s="2335"/>
      <c r="RTH997" s="2335"/>
      <c r="RTI997" s="2335"/>
      <c r="RTJ997" s="2335"/>
      <c r="RTK997" s="2335"/>
      <c r="RTL997" s="2335"/>
      <c r="RTM997" s="2335"/>
      <c r="RTN997" s="2335"/>
      <c r="RTO997" s="2335"/>
      <c r="RTP997" s="2335"/>
      <c r="RTQ997" s="2335"/>
      <c r="RTR997" s="2335"/>
      <c r="RTS997" s="2335"/>
      <c r="RTT997" s="2335"/>
      <c r="RTU997" s="2335"/>
      <c r="RTV997" s="2335"/>
      <c r="RTW997" s="2335"/>
      <c r="RTX997" s="2335"/>
      <c r="RTY997" s="2335"/>
      <c r="RTZ997" s="2335"/>
      <c r="RUA997" s="2335"/>
      <c r="RUB997" s="2335"/>
      <c r="RUC997" s="2335"/>
      <c r="RUD997" s="2335"/>
      <c r="RUE997" s="2335"/>
      <c r="RUF997" s="2335"/>
      <c r="RUG997" s="2335"/>
      <c r="RUH997" s="2335"/>
      <c r="RUI997" s="2335"/>
      <c r="RUJ997" s="2335"/>
      <c r="RUK997" s="2335"/>
      <c r="RUL997" s="2335"/>
      <c r="RUM997" s="2335"/>
      <c r="RUN997" s="2335"/>
      <c r="RUO997" s="2335"/>
      <c r="RUP997" s="2335"/>
      <c r="RUQ997" s="2335"/>
      <c r="RUR997" s="2335"/>
      <c r="RUS997" s="2335"/>
      <c r="RUT997" s="2335"/>
      <c r="RUU997" s="2335"/>
      <c r="RUV997" s="2335"/>
      <c r="RUW997" s="2335"/>
      <c r="RUX997" s="2335"/>
      <c r="RUY997" s="2335"/>
      <c r="RUZ997" s="2335"/>
      <c r="RVA997" s="2335"/>
      <c r="RVB997" s="2335"/>
      <c r="RVC997" s="2335"/>
      <c r="RVD997" s="2335"/>
      <c r="RVE997" s="2335"/>
      <c r="RVF997" s="2335"/>
      <c r="RVG997" s="2335"/>
      <c r="RVH997" s="2335"/>
      <c r="RVI997" s="2335"/>
      <c r="RVJ997" s="2335"/>
      <c r="RVK997" s="2335"/>
      <c r="RVL997" s="2335"/>
      <c r="RVM997" s="2335"/>
      <c r="RVN997" s="2335"/>
      <c r="RVO997" s="2335"/>
      <c r="RVP997" s="2335"/>
      <c r="RVQ997" s="2335"/>
      <c r="RVR997" s="2335"/>
      <c r="RVS997" s="2335"/>
      <c r="RVT997" s="2335"/>
      <c r="RVU997" s="2335"/>
      <c r="RVV997" s="2335"/>
      <c r="RVW997" s="2335"/>
      <c r="RVX997" s="2335"/>
      <c r="RVY997" s="2335"/>
      <c r="RVZ997" s="2335"/>
      <c r="RWA997" s="2335"/>
      <c r="RWB997" s="2335"/>
      <c r="RWC997" s="2335"/>
      <c r="RWD997" s="2335"/>
      <c r="RWE997" s="2335"/>
      <c r="RWF997" s="2335"/>
      <c r="RWG997" s="2335"/>
      <c r="RWH997" s="2335"/>
      <c r="RWI997" s="2335"/>
      <c r="RWJ997" s="2335"/>
      <c r="RWK997" s="2335"/>
      <c r="RWL997" s="2335"/>
      <c r="RWM997" s="2335"/>
      <c r="RWN997" s="2335"/>
      <c r="RWO997" s="2335"/>
      <c r="RWP997" s="2335"/>
      <c r="RWQ997" s="2335"/>
      <c r="RWR997" s="2335"/>
      <c r="RWS997" s="2335"/>
      <c r="RWT997" s="2335"/>
      <c r="RWU997" s="2335"/>
      <c r="RWV997" s="2335"/>
      <c r="RWW997" s="2335"/>
      <c r="RWX997" s="2335"/>
      <c r="RWY997" s="2335"/>
      <c r="RWZ997" s="2335"/>
      <c r="RXA997" s="2335"/>
      <c r="RXB997" s="2335"/>
      <c r="RXC997" s="2335"/>
      <c r="RXD997" s="2335"/>
      <c r="RXE997" s="2335"/>
      <c r="RXF997" s="2335"/>
      <c r="RXG997" s="2335"/>
      <c r="RXH997" s="2335"/>
      <c r="RXI997" s="2335"/>
      <c r="RXJ997" s="2335"/>
      <c r="RXK997" s="2335"/>
      <c r="RXL997" s="2335"/>
      <c r="RXM997" s="2335"/>
      <c r="RXN997" s="2335"/>
      <c r="RXO997" s="2335"/>
      <c r="RXP997" s="2335"/>
      <c r="RXQ997" s="2335"/>
      <c r="RXR997" s="2335"/>
      <c r="RXS997" s="2335"/>
      <c r="RXT997" s="2335"/>
      <c r="RXU997" s="2335"/>
      <c r="RXV997" s="2335"/>
      <c r="RXW997" s="2335"/>
      <c r="RXX997" s="2335"/>
      <c r="RXY997" s="2335"/>
      <c r="RXZ997" s="2335"/>
      <c r="RYA997" s="2335"/>
      <c r="RYB997" s="2335"/>
      <c r="RYC997" s="2335"/>
      <c r="RYD997" s="2335"/>
      <c r="RYE997" s="2335"/>
      <c r="RYF997" s="2335"/>
      <c r="RYG997" s="2335"/>
      <c r="RYH997" s="2335"/>
      <c r="RYI997" s="2335"/>
      <c r="RYJ997" s="2335"/>
      <c r="RYK997" s="2335"/>
      <c r="RYL997" s="2335"/>
      <c r="RYM997" s="2335"/>
      <c r="RYN997" s="2335"/>
      <c r="RYO997" s="2335"/>
      <c r="RYP997" s="2335"/>
      <c r="RYQ997" s="2335"/>
      <c r="RYR997" s="2335"/>
      <c r="RYS997" s="2335"/>
      <c r="RYT997" s="2335"/>
      <c r="RYU997" s="2335"/>
      <c r="RYV997" s="2335"/>
      <c r="RYW997" s="2335"/>
      <c r="RYX997" s="2335"/>
      <c r="RYY997" s="2335"/>
      <c r="RYZ997" s="2335"/>
      <c r="RZA997" s="2335"/>
      <c r="RZB997" s="2335"/>
      <c r="RZC997" s="2335"/>
      <c r="RZD997" s="2335"/>
      <c r="RZE997" s="2335"/>
      <c r="RZF997" s="2335"/>
      <c r="RZG997" s="2335"/>
      <c r="RZH997" s="2335"/>
      <c r="RZI997" s="2335"/>
      <c r="RZJ997" s="2335"/>
      <c r="RZK997" s="2335"/>
      <c r="RZL997" s="2335"/>
      <c r="RZM997" s="2335"/>
      <c r="RZN997" s="2335"/>
      <c r="RZO997" s="2335"/>
      <c r="RZP997" s="2335"/>
      <c r="RZQ997" s="2335"/>
      <c r="RZR997" s="2335"/>
      <c r="RZS997" s="2335"/>
      <c r="RZT997" s="2335"/>
      <c r="RZU997" s="2335"/>
      <c r="RZV997" s="2335"/>
      <c r="RZW997" s="2335"/>
      <c r="RZX997" s="2335"/>
      <c r="RZY997" s="2335"/>
      <c r="RZZ997" s="2335"/>
      <c r="SAA997" s="2335"/>
      <c r="SAB997" s="2335"/>
      <c r="SAC997" s="2335"/>
      <c r="SAD997" s="2335"/>
      <c r="SAE997" s="2335"/>
      <c r="SAF997" s="2335"/>
      <c r="SAG997" s="2335"/>
      <c r="SAH997" s="2335"/>
      <c r="SAI997" s="2335"/>
      <c r="SAJ997" s="2335"/>
      <c r="SAK997" s="2335"/>
      <c r="SAL997" s="2335"/>
      <c r="SAM997" s="2335"/>
      <c r="SAN997" s="2335"/>
      <c r="SAO997" s="2335"/>
      <c r="SAP997" s="2335"/>
      <c r="SAQ997" s="2335"/>
      <c r="SAR997" s="2335"/>
      <c r="SAS997" s="2335"/>
      <c r="SAT997" s="2335"/>
      <c r="SAU997" s="2335"/>
      <c r="SAV997" s="2335"/>
      <c r="SAW997" s="2335"/>
      <c r="SAX997" s="2335"/>
      <c r="SAY997" s="2335"/>
      <c r="SAZ997" s="2335"/>
      <c r="SBA997" s="2335"/>
      <c r="SBB997" s="2335"/>
      <c r="SBC997" s="2335"/>
      <c r="SBD997" s="2335"/>
      <c r="SBE997" s="2335"/>
      <c r="SBF997" s="2335"/>
      <c r="SBG997" s="2335"/>
      <c r="SBH997" s="2335"/>
      <c r="SBI997" s="2335"/>
      <c r="SBJ997" s="2335"/>
      <c r="SBK997" s="2335"/>
      <c r="SBL997" s="2335"/>
      <c r="SBM997" s="2335"/>
      <c r="SBN997" s="2335"/>
      <c r="SBO997" s="2335"/>
      <c r="SBP997" s="2335"/>
      <c r="SBQ997" s="2335"/>
      <c r="SBR997" s="2335"/>
      <c r="SBS997" s="2335"/>
      <c r="SBT997" s="2335"/>
      <c r="SBU997" s="2335"/>
      <c r="SBV997" s="2335"/>
      <c r="SBW997" s="2335"/>
      <c r="SBX997" s="2335"/>
      <c r="SBY997" s="2335"/>
      <c r="SBZ997" s="2335"/>
      <c r="SCA997" s="2335"/>
      <c r="SCB997" s="2335"/>
      <c r="SCC997" s="2335"/>
      <c r="SCD997" s="2335"/>
      <c r="SCE997" s="2335"/>
      <c r="SCF997" s="2335"/>
      <c r="SCG997" s="2335"/>
      <c r="SCH997" s="2335"/>
      <c r="SCI997" s="2335"/>
      <c r="SCJ997" s="2335"/>
      <c r="SCK997" s="2335"/>
      <c r="SCL997" s="2335"/>
      <c r="SCM997" s="2335"/>
      <c r="SCN997" s="2335"/>
      <c r="SCO997" s="2335"/>
      <c r="SCP997" s="2335"/>
      <c r="SCQ997" s="2335"/>
      <c r="SCR997" s="2335"/>
      <c r="SCS997" s="2335"/>
      <c r="SCT997" s="2335"/>
      <c r="SCU997" s="2335"/>
      <c r="SCV997" s="2335"/>
      <c r="SCW997" s="2335"/>
      <c r="SCX997" s="2335"/>
      <c r="SCY997" s="2335"/>
      <c r="SCZ997" s="2335"/>
      <c r="SDA997" s="2335"/>
      <c r="SDB997" s="2335"/>
      <c r="SDC997" s="2335"/>
      <c r="SDD997" s="2335"/>
      <c r="SDE997" s="2335"/>
      <c r="SDF997" s="2335"/>
      <c r="SDG997" s="2335"/>
      <c r="SDH997" s="2335"/>
      <c r="SDI997" s="2335"/>
      <c r="SDJ997" s="2335"/>
      <c r="SDK997" s="2335"/>
      <c r="SDL997" s="2335"/>
      <c r="SDM997" s="2335"/>
      <c r="SDN997" s="2335"/>
      <c r="SDO997" s="2335"/>
      <c r="SDP997" s="2335"/>
      <c r="SDQ997" s="2335"/>
      <c r="SDR997" s="2335"/>
      <c r="SDS997" s="2335"/>
      <c r="SDT997" s="2335"/>
      <c r="SDU997" s="2335"/>
      <c r="SDV997" s="2335"/>
      <c r="SDW997" s="2335"/>
      <c r="SDX997" s="2335"/>
      <c r="SDY997" s="2335"/>
      <c r="SDZ997" s="2335"/>
      <c r="SEA997" s="2335"/>
      <c r="SEB997" s="2335"/>
      <c r="SEC997" s="2335"/>
      <c r="SED997" s="2335"/>
      <c r="SEE997" s="2335"/>
      <c r="SEF997" s="2335"/>
      <c r="SEG997" s="2335"/>
      <c r="SEH997" s="2335"/>
      <c r="SEI997" s="2335"/>
      <c r="SEJ997" s="2335"/>
      <c r="SEK997" s="2335"/>
      <c r="SEL997" s="2335"/>
      <c r="SEM997" s="2335"/>
      <c r="SEN997" s="2335"/>
      <c r="SEO997" s="2335"/>
      <c r="SEP997" s="2335"/>
      <c r="SEQ997" s="2335"/>
      <c r="SER997" s="2335"/>
      <c r="SES997" s="2335"/>
      <c r="SET997" s="2335"/>
      <c r="SEU997" s="2335"/>
      <c r="SEV997" s="2335"/>
      <c r="SEW997" s="2335"/>
      <c r="SEX997" s="2335"/>
      <c r="SEY997" s="2335"/>
      <c r="SEZ997" s="2335"/>
      <c r="SFA997" s="2335"/>
      <c r="SFB997" s="2335"/>
      <c r="SFC997" s="2335"/>
      <c r="SFD997" s="2335"/>
      <c r="SFE997" s="2335"/>
      <c r="SFF997" s="2335"/>
      <c r="SFG997" s="2335"/>
      <c r="SFH997" s="2335"/>
      <c r="SFI997" s="2335"/>
      <c r="SFJ997" s="2335"/>
      <c r="SFK997" s="2335"/>
      <c r="SFL997" s="2335"/>
      <c r="SFM997" s="2335"/>
      <c r="SFN997" s="2335"/>
      <c r="SFO997" s="2335"/>
      <c r="SFP997" s="2335"/>
      <c r="SFQ997" s="2335"/>
      <c r="SFR997" s="2335"/>
      <c r="SFS997" s="2335"/>
      <c r="SFT997" s="2335"/>
      <c r="SFU997" s="2335"/>
      <c r="SFV997" s="2335"/>
      <c r="SFW997" s="2335"/>
      <c r="SFX997" s="2335"/>
      <c r="SFY997" s="2335"/>
      <c r="SFZ997" s="2335"/>
      <c r="SGA997" s="2335"/>
      <c r="SGB997" s="2335"/>
      <c r="SGC997" s="2335"/>
      <c r="SGD997" s="2335"/>
      <c r="SGE997" s="2335"/>
      <c r="SGF997" s="2335"/>
      <c r="SGG997" s="2335"/>
      <c r="SGH997" s="2335"/>
      <c r="SGI997" s="2335"/>
      <c r="SGJ997" s="2335"/>
      <c r="SGK997" s="2335"/>
      <c r="SGL997" s="2335"/>
      <c r="SGM997" s="2335"/>
      <c r="SGN997" s="2335"/>
      <c r="SGO997" s="2335"/>
      <c r="SGP997" s="2335"/>
      <c r="SGQ997" s="2335"/>
      <c r="SGR997" s="2335"/>
      <c r="SGS997" s="2335"/>
      <c r="SGT997" s="2335"/>
      <c r="SGU997" s="2335"/>
      <c r="SGV997" s="2335"/>
      <c r="SGW997" s="2335"/>
      <c r="SGX997" s="2335"/>
      <c r="SGY997" s="2335"/>
      <c r="SGZ997" s="2335"/>
      <c r="SHA997" s="2335"/>
      <c r="SHB997" s="2335"/>
      <c r="SHC997" s="2335"/>
      <c r="SHD997" s="2335"/>
      <c r="SHE997" s="2335"/>
      <c r="SHF997" s="2335"/>
      <c r="SHG997" s="2335"/>
      <c r="SHH997" s="2335"/>
      <c r="SHI997" s="2335"/>
      <c r="SHJ997" s="2335"/>
      <c r="SHK997" s="2335"/>
      <c r="SHL997" s="2335"/>
      <c r="SHM997" s="2335"/>
      <c r="SHN997" s="2335"/>
      <c r="SHO997" s="2335"/>
      <c r="SHP997" s="2335"/>
      <c r="SHQ997" s="2335"/>
      <c r="SHR997" s="2335"/>
      <c r="SHS997" s="2335"/>
      <c r="SHT997" s="2335"/>
      <c r="SHU997" s="2335"/>
      <c r="SHV997" s="2335"/>
      <c r="SHW997" s="2335"/>
      <c r="SHX997" s="2335"/>
      <c r="SHY997" s="2335"/>
      <c r="SHZ997" s="2335"/>
      <c r="SIA997" s="2335"/>
      <c r="SIB997" s="2335"/>
      <c r="SIC997" s="2335"/>
      <c r="SID997" s="2335"/>
      <c r="SIE997" s="2335"/>
      <c r="SIF997" s="2335"/>
      <c r="SIG997" s="2335"/>
      <c r="SIH997" s="2335"/>
      <c r="SII997" s="2335"/>
      <c r="SIJ997" s="2335"/>
      <c r="SIK997" s="2335"/>
      <c r="SIL997" s="2335"/>
      <c r="SIM997" s="2335"/>
      <c r="SIN997" s="2335"/>
      <c r="SIO997" s="2335"/>
      <c r="SIP997" s="2335"/>
      <c r="SIQ997" s="2335"/>
      <c r="SIR997" s="2335"/>
      <c r="SIS997" s="2335"/>
      <c r="SIT997" s="2335"/>
      <c r="SIU997" s="2335"/>
      <c r="SIV997" s="2335"/>
      <c r="SIW997" s="2335"/>
      <c r="SIX997" s="2335"/>
      <c r="SIY997" s="2335"/>
      <c r="SIZ997" s="2335"/>
      <c r="SJA997" s="2335"/>
      <c r="SJB997" s="2335"/>
      <c r="SJC997" s="2335"/>
      <c r="SJD997" s="2335"/>
      <c r="SJE997" s="2335"/>
      <c r="SJF997" s="2335"/>
      <c r="SJG997" s="2335"/>
      <c r="SJH997" s="2335"/>
      <c r="SJI997" s="2335"/>
      <c r="SJJ997" s="2335"/>
      <c r="SJK997" s="2335"/>
      <c r="SJL997" s="2335"/>
      <c r="SJM997" s="2335"/>
      <c r="SJN997" s="2335"/>
      <c r="SJO997" s="2335"/>
      <c r="SJP997" s="2335"/>
      <c r="SJQ997" s="2335"/>
      <c r="SJR997" s="2335"/>
      <c r="SJS997" s="2335"/>
      <c r="SJT997" s="2335"/>
      <c r="SJU997" s="2335"/>
      <c r="SJV997" s="2335"/>
      <c r="SJW997" s="2335"/>
      <c r="SJX997" s="2335"/>
      <c r="SJY997" s="2335"/>
      <c r="SJZ997" s="2335"/>
      <c r="SKA997" s="2335"/>
      <c r="SKB997" s="2335"/>
      <c r="SKC997" s="2335"/>
      <c r="SKD997" s="2335"/>
      <c r="SKE997" s="2335"/>
      <c r="SKF997" s="2335"/>
      <c r="SKG997" s="2335"/>
      <c r="SKH997" s="2335"/>
      <c r="SKI997" s="2335"/>
      <c r="SKJ997" s="2335"/>
      <c r="SKK997" s="2335"/>
      <c r="SKL997" s="2335"/>
      <c r="SKM997" s="2335"/>
      <c r="SKN997" s="2335"/>
      <c r="SKO997" s="2335"/>
      <c r="SKP997" s="2335"/>
      <c r="SKQ997" s="2335"/>
      <c r="SKR997" s="2335"/>
      <c r="SKS997" s="2335"/>
      <c r="SKT997" s="2335"/>
      <c r="SKU997" s="2335"/>
      <c r="SKV997" s="2335"/>
      <c r="SKW997" s="2335"/>
      <c r="SKX997" s="2335"/>
      <c r="SKY997" s="2335"/>
      <c r="SKZ997" s="2335"/>
      <c r="SLA997" s="2335"/>
      <c r="SLB997" s="2335"/>
      <c r="SLC997" s="2335"/>
      <c r="SLD997" s="2335"/>
      <c r="SLE997" s="2335"/>
      <c r="SLF997" s="2335"/>
      <c r="SLG997" s="2335"/>
      <c r="SLH997" s="2335"/>
      <c r="SLI997" s="2335"/>
      <c r="SLJ997" s="2335"/>
      <c r="SLK997" s="2335"/>
      <c r="SLL997" s="2335"/>
      <c r="SLM997" s="2335"/>
      <c r="SLN997" s="2335"/>
      <c r="SLO997" s="2335"/>
      <c r="SLP997" s="2335"/>
      <c r="SLQ997" s="2335"/>
      <c r="SLR997" s="2335"/>
      <c r="SLS997" s="2335"/>
      <c r="SLT997" s="2335"/>
      <c r="SLU997" s="2335"/>
      <c r="SLV997" s="2335"/>
      <c r="SLW997" s="2335"/>
      <c r="SLX997" s="2335"/>
      <c r="SLY997" s="2335"/>
      <c r="SLZ997" s="2335"/>
      <c r="SMA997" s="2335"/>
      <c r="SMB997" s="2335"/>
      <c r="SMC997" s="2335"/>
      <c r="SMD997" s="2335"/>
      <c r="SME997" s="2335"/>
      <c r="SMF997" s="2335"/>
      <c r="SMG997" s="2335"/>
      <c r="SMH997" s="2335"/>
      <c r="SMI997" s="2335"/>
      <c r="SMJ997" s="2335"/>
      <c r="SMK997" s="2335"/>
      <c r="SML997" s="2335"/>
      <c r="SMM997" s="2335"/>
      <c r="SMN997" s="2335"/>
      <c r="SMO997" s="2335"/>
      <c r="SMP997" s="2335"/>
      <c r="SMQ997" s="2335"/>
      <c r="SMR997" s="2335"/>
      <c r="SMS997" s="2335"/>
      <c r="SMT997" s="2335"/>
      <c r="SMU997" s="2335"/>
      <c r="SMV997" s="2335"/>
      <c r="SMW997" s="2335"/>
      <c r="SMX997" s="2335"/>
      <c r="SMY997" s="2335"/>
      <c r="SMZ997" s="2335"/>
      <c r="SNA997" s="2335"/>
      <c r="SNB997" s="2335"/>
      <c r="SNC997" s="2335"/>
      <c r="SND997" s="2335"/>
      <c r="SNE997" s="2335"/>
      <c r="SNF997" s="2335"/>
      <c r="SNG997" s="2335"/>
      <c r="SNH997" s="2335"/>
      <c r="SNI997" s="2335"/>
      <c r="SNJ997" s="2335"/>
      <c r="SNK997" s="2335"/>
      <c r="SNL997" s="2335"/>
      <c r="SNM997" s="2335"/>
      <c r="SNN997" s="2335"/>
      <c r="SNO997" s="2335"/>
      <c r="SNP997" s="2335"/>
      <c r="SNQ997" s="2335"/>
      <c r="SNR997" s="2335"/>
      <c r="SNS997" s="2335"/>
      <c r="SNT997" s="2335"/>
      <c r="SNU997" s="2335"/>
      <c r="SNV997" s="2335"/>
      <c r="SNW997" s="2335"/>
      <c r="SNX997" s="2335"/>
      <c r="SNY997" s="2335"/>
      <c r="SNZ997" s="2335"/>
      <c r="SOA997" s="2335"/>
      <c r="SOB997" s="2335"/>
      <c r="SOC997" s="2335"/>
      <c r="SOD997" s="2335"/>
      <c r="SOE997" s="2335"/>
      <c r="SOF997" s="2335"/>
      <c r="SOG997" s="2335"/>
      <c r="SOH997" s="2335"/>
      <c r="SOI997" s="2335"/>
      <c r="SOJ997" s="2335"/>
      <c r="SOK997" s="2335"/>
      <c r="SOL997" s="2335"/>
      <c r="SOM997" s="2335"/>
      <c r="SON997" s="2335"/>
      <c r="SOO997" s="2335"/>
      <c r="SOP997" s="2335"/>
      <c r="SOQ997" s="2335"/>
      <c r="SOR997" s="2335"/>
      <c r="SOS997" s="2335"/>
      <c r="SOT997" s="2335"/>
      <c r="SOU997" s="2335"/>
      <c r="SOV997" s="2335"/>
      <c r="SOW997" s="2335"/>
      <c r="SOX997" s="2335"/>
      <c r="SOY997" s="2335"/>
      <c r="SOZ997" s="2335"/>
      <c r="SPA997" s="2335"/>
      <c r="SPB997" s="2335"/>
      <c r="SPC997" s="2335"/>
      <c r="SPD997" s="2335"/>
      <c r="SPE997" s="2335"/>
      <c r="SPF997" s="2335"/>
      <c r="SPG997" s="2335"/>
      <c r="SPH997" s="2335"/>
      <c r="SPI997" s="2335"/>
      <c r="SPJ997" s="2335"/>
      <c r="SPK997" s="2335"/>
      <c r="SPL997" s="2335"/>
      <c r="SPM997" s="2335"/>
      <c r="SPN997" s="2335"/>
      <c r="SPO997" s="2335"/>
      <c r="SPP997" s="2335"/>
      <c r="SPQ997" s="2335"/>
      <c r="SPR997" s="2335"/>
      <c r="SPS997" s="2335"/>
      <c r="SPT997" s="2335"/>
      <c r="SPU997" s="2335"/>
      <c r="SPV997" s="2335"/>
      <c r="SPW997" s="2335"/>
      <c r="SPX997" s="2335"/>
      <c r="SPY997" s="2335"/>
      <c r="SPZ997" s="2335"/>
      <c r="SQA997" s="2335"/>
      <c r="SQB997" s="2335"/>
      <c r="SQC997" s="2335"/>
      <c r="SQD997" s="2335"/>
      <c r="SQE997" s="2335"/>
      <c r="SQF997" s="2335"/>
      <c r="SQG997" s="2335"/>
      <c r="SQH997" s="2335"/>
      <c r="SQI997" s="2335"/>
      <c r="SQJ997" s="2335"/>
      <c r="SQK997" s="2335"/>
      <c r="SQL997" s="2335"/>
      <c r="SQM997" s="2335"/>
      <c r="SQN997" s="2335"/>
      <c r="SQO997" s="2335"/>
      <c r="SQP997" s="2335"/>
      <c r="SQQ997" s="2335"/>
      <c r="SQR997" s="2335"/>
      <c r="SQS997" s="2335"/>
      <c r="SQT997" s="2335"/>
      <c r="SQU997" s="2335"/>
      <c r="SQV997" s="2335"/>
      <c r="SQW997" s="2335"/>
      <c r="SQX997" s="2335"/>
      <c r="SQY997" s="2335"/>
      <c r="SQZ997" s="2335"/>
      <c r="SRA997" s="2335"/>
      <c r="SRB997" s="2335"/>
      <c r="SRC997" s="2335"/>
      <c r="SRD997" s="2335"/>
      <c r="SRE997" s="2335"/>
      <c r="SRF997" s="2335"/>
      <c r="SRG997" s="2335"/>
      <c r="SRH997" s="2335"/>
      <c r="SRI997" s="2335"/>
      <c r="SRJ997" s="2335"/>
      <c r="SRK997" s="2335"/>
      <c r="SRL997" s="2335"/>
      <c r="SRM997" s="2335"/>
      <c r="SRN997" s="2335"/>
      <c r="SRO997" s="2335"/>
      <c r="SRP997" s="2335"/>
      <c r="SRQ997" s="2335"/>
      <c r="SRR997" s="2335"/>
      <c r="SRS997" s="2335"/>
      <c r="SRT997" s="2335"/>
      <c r="SRU997" s="2335"/>
      <c r="SRV997" s="2335"/>
      <c r="SRW997" s="2335"/>
      <c r="SRX997" s="2335"/>
      <c r="SRY997" s="2335"/>
      <c r="SRZ997" s="2335"/>
      <c r="SSA997" s="2335"/>
      <c r="SSB997" s="2335"/>
      <c r="SSC997" s="2335"/>
      <c r="SSD997" s="2335"/>
      <c r="SSE997" s="2335"/>
      <c r="SSF997" s="2335"/>
      <c r="SSG997" s="2335"/>
      <c r="SSH997" s="2335"/>
      <c r="SSI997" s="2335"/>
      <c r="SSJ997" s="2335"/>
      <c r="SSK997" s="2335"/>
      <c r="SSL997" s="2335"/>
      <c r="SSM997" s="2335"/>
      <c r="SSN997" s="2335"/>
      <c r="SSO997" s="2335"/>
      <c r="SSP997" s="2335"/>
      <c r="SSQ997" s="2335"/>
      <c r="SSR997" s="2335"/>
      <c r="SSS997" s="2335"/>
      <c r="SST997" s="2335"/>
      <c r="SSU997" s="2335"/>
      <c r="SSV997" s="2335"/>
      <c r="SSW997" s="2335"/>
      <c r="SSX997" s="2335"/>
      <c r="SSY997" s="2335"/>
      <c r="SSZ997" s="2335"/>
      <c r="STA997" s="2335"/>
      <c r="STB997" s="2335"/>
      <c r="STC997" s="2335"/>
      <c r="STD997" s="2335"/>
      <c r="STE997" s="2335"/>
      <c r="STF997" s="2335"/>
      <c r="STG997" s="2335"/>
      <c r="STH997" s="2335"/>
      <c r="STI997" s="2335"/>
      <c r="STJ997" s="2335"/>
      <c r="STK997" s="2335"/>
      <c r="STL997" s="2335"/>
      <c r="STM997" s="2335"/>
      <c r="STN997" s="2335"/>
      <c r="STO997" s="2335"/>
      <c r="STP997" s="2335"/>
      <c r="STQ997" s="2335"/>
      <c r="STR997" s="2335"/>
      <c r="STS997" s="2335"/>
      <c r="STT997" s="2335"/>
      <c r="STU997" s="2335"/>
      <c r="STV997" s="2335"/>
      <c r="STW997" s="2335"/>
      <c r="STX997" s="2335"/>
      <c r="STY997" s="2335"/>
      <c r="STZ997" s="2335"/>
      <c r="SUA997" s="2335"/>
      <c r="SUB997" s="2335"/>
      <c r="SUC997" s="2335"/>
      <c r="SUD997" s="2335"/>
      <c r="SUE997" s="2335"/>
      <c r="SUF997" s="2335"/>
      <c r="SUG997" s="2335"/>
      <c r="SUH997" s="2335"/>
      <c r="SUI997" s="2335"/>
      <c r="SUJ997" s="2335"/>
      <c r="SUK997" s="2335"/>
      <c r="SUL997" s="2335"/>
      <c r="SUM997" s="2335"/>
      <c r="SUN997" s="2335"/>
      <c r="SUO997" s="2335"/>
      <c r="SUP997" s="2335"/>
      <c r="SUQ997" s="2335"/>
      <c r="SUR997" s="2335"/>
      <c r="SUS997" s="2335"/>
      <c r="SUT997" s="2335"/>
      <c r="SUU997" s="2335"/>
      <c r="SUV997" s="2335"/>
      <c r="SUW997" s="2335"/>
      <c r="SUX997" s="2335"/>
      <c r="SUY997" s="2335"/>
      <c r="SUZ997" s="2335"/>
      <c r="SVA997" s="2335"/>
      <c r="SVB997" s="2335"/>
      <c r="SVC997" s="2335"/>
      <c r="SVD997" s="2335"/>
      <c r="SVE997" s="2335"/>
      <c r="SVF997" s="2335"/>
      <c r="SVG997" s="2335"/>
      <c r="SVH997" s="2335"/>
      <c r="SVI997" s="2335"/>
      <c r="SVJ997" s="2335"/>
      <c r="SVK997" s="2335"/>
      <c r="SVL997" s="2335"/>
      <c r="SVM997" s="2335"/>
      <c r="SVN997" s="2335"/>
      <c r="SVO997" s="2335"/>
      <c r="SVP997" s="2335"/>
      <c r="SVQ997" s="2335"/>
      <c r="SVR997" s="2335"/>
      <c r="SVS997" s="2335"/>
      <c r="SVT997" s="2335"/>
      <c r="SVU997" s="2335"/>
      <c r="SVV997" s="2335"/>
      <c r="SVW997" s="2335"/>
      <c r="SVX997" s="2335"/>
      <c r="SVY997" s="2335"/>
      <c r="SVZ997" s="2335"/>
      <c r="SWA997" s="2335"/>
      <c r="SWB997" s="2335"/>
      <c r="SWC997" s="2335"/>
      <c r="SWD997" s="2335"/>
      <c r="SWE997" s="2335"/>
      <c r="SWF997" s="2335"/>
      <c r="SWG997" s="2335"/>
      <c r="SWH997" s="2335"/>
      <c r="SWI997" s="2335"/>
      <c r="SWJ997" s="2335"/>
      <c r="SWK997" s="2335"/>
      <c r="SWL997" s="2335"/>
      <c r="SWM997" s="2335"/>
      <c r="SWN997" s="2335"/>
      <c r="SWO997" s="2335"/>
      <c r="SWP997" s="2335"/>
      <c r="SWQ997" s="2335"/>
      <c r="SWR997" s="2335"/>
      <c r="SWS997" s="2335"/>
      <c r="SWT997" s="2335"/>
      <c r="SWU997" s="2335"/>
      <c r="SWV997" s="2335"/>
      <c r="SWW997" s="2335"/>
      <c r="SWX997" s="2335"/>
      <c r="SWY997" s="2335"/>
      <c r="SWZ997" s="2335"/>
      <c r="SXA997" s="2335"/>
      <c r="SXB997" s="2335"/>
      <c r="SXC997" s="2335"/>
      <c r="SXD997" s="2335"/>
      <c r="SXE997" s="2335"/>
      <c r="SXF997" s="2335"/>
      <c r="SXG997" s="2335"/>
      <c r="SXH997" s="2335"/>
      <c r="SXI997" s="2335"/>
      <c r="SXJ997" s="2335"/>
      <c r="SXK997" s="2335"/>
      <c r="SXL997" s="2335"/>
      <c r="SXM997" s="2335"/>
      <c r="SXN997" s="2335"/>
      <c r="SXO997" s="2335"/>
      <c r="SXP997" s="2335"/>
      <c r="SXQ997" s="2335"/>
      <c r="SXR997" s="2335"/>
      <c r="SXS997" s="2335"/>
      <c r="SXT997" s="2335"/>
      <c r="SXU997" s="2335"/>
      <c r="SXV997" s="2335"/>
      <c r="SXW997" s="2335"/>
      <c r="SXX997" s="2335"/>
      <c r="SXY997" s="2335"/>
      <c r="SXZ997" s="2335"/>
      <c r="SYA997" s="2335"/>
      <c r="SYB997" s="2335"/>
      <c r="SYC997" s="2335"/>
      <c r="SYD997" s="2335"/>
      <c r="SYE997" s="2335"/>
      <c r="SYF997" s="2335"/>
      <c r="SYG997" s="2335"/>
      <c r="SYH997" s="2335"/>
      <c r="SYI997" s="2335"/>
      <c r="SYJ997" s="2335"/>
      <c r="SYK997" s="2335"/>
      <c r="SYL997" s="2335"/>
      <c r="SYM997" s="2335"/>
      <c r="SYN997" s="2335"/>
      <c r="SYO997" s="2335"/>
      <c r="SYP997" s="2335"/>
      <c r="SYQ997" s="2335"/>
      <c r="SYR997" s="2335"/>
      <c r="SYS997" s="2335"/>
      <c r="SYT997" s="2335"/>
      <c r="SYU997" s="2335"/>
      <c r="SYV997" s="2335"/>
      <c r="SYW997" s="2335"/>
      <c r="SYX997" s="2335"/>
      <c r="SYY997" s="2335"/>
      <c r="SYZ997" s="2335"/>
      <c r="SZA997" s="2335"/>
      <c r="SZB997" s="2335"/>
      <c r="SZC997" s="2335"/>
      <c r="SZD997" s="2335"/>
      <c r="SZE997" s="2335"/>
      <c r="SZF997" s="2335"/>
      <c r="SZG997" s="2335"/>
      <c r="SZH997" s="2335"/>
      <c r="SZI997" s="2335"/>
      <c r="SZJ997" s="2335"/>
      <c r="SZK997" s="2335"/>
      <c r="SZL997" s="2335"/>
      <c r="SZM997" s="2335"/>
      <c r="SZN997" s="2335"/>
      <c r="SZO997" s="2335"/>
      <c r="SZP997" s="2335"/>
      <c r="SZQ997" s="2335"/>
      <c r="SZR997" s="2335"/>
      <c r="SZS997" s="2335"/>
      <c r="SZT997" s="2335"/>
      <c r="SZU997" s="2335"/>
      <c r="SZV997" s="2335"/>
      <c r="SZW997" s="2335"/>
      <c r="SZX997" s="2335"/>
      <c r="SZY997" s="2335"/>
      <c r="SZZ997" s="2335"/>
      <c r="TAA997" s="2335"/>
      <c r="TAB997" s="2335"/>
      <c r="TAC997" s="2335"/>
      <c r="TAD997" s="2335"/>
      <c r="TAE997" s="2335"/>
      <c r="TAF997" s="2335"/>
      <c r="TAG997" s="2335"/>
      <c r="TAH997" s="2335"/>
      <c r="TAI997" s="2335"/>
      <c r="TAJ997" s="2335"/>
      <c r="TAK997" s="2335"/>
      <c r="TAL997" s="2335"/>
      <c r="TAM997" s="2335"/>
      <c r="TAN997" s="2335"/>
      <c r="TAO997" s="2335"/>
      <c r="TAP997" s="2335"/>
      <c r="TAQ997" s="2335"/>
      <c r="TAR997" s="2335"/>
      <c r="TAS997" s="2335"/>
      <c r="TAT997" s="2335"/>
      <c r="TAU997" s="2335"/>
      <c r="TAV997" s="2335"/>
      <c r="TAW997" s="2335"/>
      <c r="TAX997" s="2335"/>
      <c r="TAY997" s="2335"/>
      <c r="TAZ997" s="2335"/>
      <c r="TBA997" s="2335"/>
      <c r="TBB997" s="2335"/>
      <c r="TBC997" s="2335"/>
      <c r="TBD997" s="2335"/>
      <c r="TBE997" s="2335"/>
      <c r="TBF997" s="2335"/>
      <c r="TBG997" s="2335"/>
      <c r="TBH997" s="2335"/>
      <c r="TBI997" s="2335"/>
      <c r="TBJ997" s="2335"/>
      <c r="TBK997" s="2335"/>
      <c r="TBL997" s="2335"/>
      <c r="TBM997" s="2335"/>
      <c r="TBN997" s="2335"/>
      <c r="TBO997" s="2335"/>
      <c r="TBP997" s="2335"/>
      <c r="TBQ997" s="2335"/>
      <c r="TBR997" s="2335"/>
      <c r="TBS997" s="2335"/>
      <c r="TBT997" s="2335"/>
      <c r="TBU997" s="2335"/>
      <c r="TBV997" s="2335"/>
      <c r="TBW997" s="2335"/>
      <c r="TBX997" s="2335"/>
      <c r="TBY997" s="2335"/>
      <c r="TBZ997" s="2335"/>
      <c r="TCA997" s="2335"/>
      <c r="TCB997" s="2335"/>
      <c r="TCC997" s="2335"/>
      <c r="TCD997" s="2335"/>
      <c r="TCE997" s="2335"/>
      <c r="TCF997" s="2335"/>
      <c r="TCG997" s="2335"/>
      <c r="TCH997" s="2335"/>
      <c r="TCI997" s="2335"/>
      <c r="TCJ997" s="2335"/>
      <c r="TCK997" s="2335"/>
      <c r="TCL997" s="2335"/>
      <c r="TCM997" s="2335"/>
      <c r="TCN997" s="2335"/>
      <c r="TCO997" s="2335"/>
      <c r="TCP997" s="2335"/>
      <c r="TCQ997" s="2335"/>
      <c r="TCR997" s="2335"/>
      <c r="TCS997" s="2335"/>
      <c r="TCT997" s="2335"/>
      <c r="TCU997" s="2335"/>
      <c r="TCV997" s="2335"/>
      <c r="TCW997" s="2335"/>
      <c r="TCX997" s="2335"/>
      <c r="TCY997" s="2335"/>
      <c r="TCZ997" s="2335"/>
      <c r="TDA997" s="2335"/>
      <c r="TDB997" s="2335"/>
      <c r="TDC997" s="2335"/>
      <c r="TDD997" s="2335"/>
      <c r="TDE997" s="2335"/>
      <c r="TDF997" s="2335"/>
      <c r="TDG997" s="2335"/>
      <c r="TDH997" s="2335"/>
      <c r="TDI997" s="2335"/>
      <c r="TDJ997" s="2335"/>
      <c r="TDK997" s="2335"/>
      <c r="TDL997" s="2335"/>
      <c r="TDM997" s="2335"/>
      <c r="TDN997" s="2335"/>
      <c r="TDO997" s="2335"/>
      <c r="TDP997" s="2335"/>
      <c r="TDQ997" s="2335"/>
      <c r="TDR997" s="2335"/>
      <c r="TDS997" s="2335"/>
      <c r="TDT997" s="2335"/>
      <c r="TDU997" s="2335"/>
      <c r="TDV997" s="2335"/>
      <c r="TDW997" s="2335"/>
      <c r="TDX997" s="2335"/>
      <c r="TDY997" s="2335"/>
      <c r="TDZ997" s="2335"/>
      <c r="TEA997" s="2335"/>
      <c r="TEB997" s="2335"/>
      <c r="TEC997" s="2335"/>
      <c r="TED997" s="2335"/>
      <c r="TEE997" s="2335"/>
      <c r="TEF997" s="2335"/>
      <c r="TEG997" s="2335"/>
      <c r="TEH997" s="2335"/>
      <c r="TEI997" s="2335"/>
      <c r="TEJ997" s="2335"/>
      <c r="TEK997" s="2335"/>
      <c r="TEL997" s="2335"/>
      <c r="TEM997" s="2335"/>
      <c r="TEN997" s="2335"/>
      <c r="TEO997" s="2335"/>
      <c r="TEP997" s="2335"/>
      <c r="TEQ997" s="2335"/>
      <c r="TER997" s="2335"/>
      <c r="TES997" s="2335"/>
      <c r="TET997" s="2335"/>
      <c r="TEU997" s="2335"/>
      <c r="TEV997" s="2335"/>
      <c r="TEW997" s="2335"/>
      <c r="TEX997" s="2335"/>
      <c r="TEY997" s="2335"/>
      <c r="TEZ997" s="2335"/>
      <c r="TFA997" s="2335"/>
      <c r="TFB997" s="2335"/>
      <c r="TFC997" s="2335"/>
      <c r="TFD997" s="2335"/>
      <c r="TFE997" s="2335"/>
      <c r="TFF997" s="2335"/>
      <c r="TFG997" s="2335"/>
      <c r="TFH997" s="2335"/>
      <c r="TFI997" s="2335"/>
      <c r="TFJ997" s="2335"/>
      <c r="TFK997" s="2335"/>
      <c r="TFL997" s="2335"/>
      <c r="TFM997" s="2335"/>
      <c r="TFN997" s="2335"/>
      <c r="TFO997" s="2335"/>
      <c r="TFP997" s="2335"/>
      <c r="TFQ997" s="2335"/>
      <c r="TFR997" s="2335"/>
      <c r="TFS997" s="2335"/>
      <c r="TFT997" s="2335"/>
      <c r="TFU997" s="2335"/>
      <c r="TFV997" s="2335"/>
      <c r="TFW997" s="2335"/>
      <c r="TFX997" s="2335"/>
      <c r="TFY997" s="2335"/>
      <c r="TFZ997" s="2335"/>
      <c r="TGA997" s="2335"/>
      <c r="TGB997" s="2335"/>
      <c r="TGC997" s="2335"/>
      <c r="TGD997" s="2335"/>
      <c r="TGE997" s="2335"/>
      <c r="TGF997" s="2335"/>
      <c r="TGG997" s="2335"/>
      <c r="TGH997" s="2335"/>
      <c r="TGI997" s="2335"/>
      <c r="TGJ997" s="2335"/>
      <c r="TGK997" s="2335"/>
      <c r="TGL997" s="2335"/>
      <c r="TGM997" s="2335"/>
      <c r="TGN997" s="2335"/>
      <c r="TGO997" s="2335"/>
      <c r="TGP997" s="2335"/>
      <c r="TGQ997" s="2335"/>
      <c r="TGR997" s="2335"/>
      <c r="TGS997" s="2335"/>
      <c r="TGT997" s="2335"/>
      <c r="TGU997" s="2335"/>
      <c r="TGV997" s="2335"/>
      <c r="TGW997" s="2335"/>
      <c r="TGX997" s="2335"/>
      <c r="TGY997" s="2335"/>
      <c r="TGZ997" s="2335"/>
      <c r="THA997" s="2335"/>
      <c r="THB997" s="2335"/>
      <c r="THC997" s="2335"/>
      <c r="THD997" s="2335"/>
      <c r="THE997" s="2335"/>
      <c r="THF997" s="2335"/>
      <c r="THG997" s="2335"/>
      <c r="THH997" s="2335"/>
      <c r="THI997" s="2335"/>
      <c r="THJ997" s="2335"/>
      <c r="THK997" s="2335"/>
      <c r="THL997" s="2335"/>
      <c r="THM997" s="2335"/>
      <c r="THN997" s="2335"/>
      <c r="THO997" s="2335"/>
      <c r="THP997" s="2335"/>
      <c r="THQ997" s="2335"/>
      <c r="THR997" s="2335"/>
      <c r="THS997" s="2335"/>
      <c r="THT997" s="2335"/>
      <c r="THU997" s="2335"/>
      <c r="THV997" s="2335"/>
      <c r="THW997" s="2335"/>
      <c r="THX997" s="2335"/>
      <c r="THY997" s="2335"/>
      <c r="THZ997" s="2335"/>
      <c r="TIA997" s="2335"/>
      <c r="TIB997" s="2335"/>
      <c r="TIC997" s="2335"/>
      <c r="TID997" s="2335"/>
      <c r="TIE997" s="2335"/>
      <c r="TIF997" s="2335"/>
      <c r="TIG997" s="2335"/>
      <c r="TIH997" s="2335"/>
      <c r="TII997" s="2335"/>
      <c r="TIJ997" s="2335"/>
      <c r="TIK997" s="2335"/>
      <c r="TIL997" s="2335"/>
      <c r="TIM997" s="2335"/>
      <c r="TIN997" s="2335"/>
      <c r="TIO997" s="2335"/>
      <c r="TIP997" s="2335"/>
      <c r="TIQ997" s="2335"/>
      <c r="TIR997" s="2335"/>
      <c r="TIS997" s="2335"/>
      <c r="TIT997" s="2335"/>
      <c r="TIU997" s="2335"/>
      <c r="TIV997" s="2335"/>
      <c r="TIW997" s="2335"/>
      <c r="TIX997" s="2335"/>
      <c r="TIY997" s="2335"/>
      <c r="TIZ997" s="2335"/>
      <c r="TJA997" s="2335"/>
      <c r="TJB997" s="2335"/>
      <c r="TJC997" s="2335"/>
      <c r="TJD997" s="2335"/>
      <c r="TJE997" s="2335"/>
      <c r="TJF997" s="2335"/>
      <c r="TJG997" s="2335"/>
      <c r="TJH997" s="2335"/>
      <c r="TJI997" s="2335"/>
      <c r="TJJ997" s="2335"/>
      <c r="TJK997" s="2335"/>
      <c r="TJL997" s="2335"/>
      <c r="TJM997" s="2335"/>
      <c r="TJN997" s="2335"/>
      <c r="TJO997" s="2335"/>
      <c r="TJP997" s="2335"/>
      <c r="TJQ997" s="2335"/>
      <c r="TJR997" s="2335"/>
      <c r="TJS997" s="2335"/>
      <c r="TJT997" s="2335"/>
      <c r="TJU997" s="2335"/>
      <c r="TJV997" s="2335"/>
      <c r="TJW997" s="2335"/>
      <c r="TJX997" s="2335"/>
      <c r="TJY997" s="2335"/>
      <c r="TJZ997" s="2335"/>
      <c r="TKA997" s="2335"/>
      <c r="TKB997" s="2335"/>
      <c r="TKC997" s="2335"/>
      <c r="TKD997" s="2335"/>
      <c r="TKE997" s="2335"/>
      <c r="TKF997" s="2335"/>
      <c r="TKG997" s="2335"/>
      <c r="TKH997" s="2335"/>
      <c r="TKI997" s="2335"/>
      <c r="TKJ997" s="2335"/>
      <c r="TKK997" s="2335"/>
      <c r="TKL997" s="2335"/>
      <c r="TKM997" s="2335"/>
      <c r="TKN997" s="2335"/>
      <c r="TKO997" s="2335"/>
      <c r="TKP997" s="2335"/>
      <c r="TKQ997" s="2335"/>
      <c r="TKR997" s="2335"/>
      <c r="TKS997" s="2335"/>
      <c r="TKT997" s="2335"/>
      <c r="TKU997" s="2335"/>
      <c r="TKV997" s="2335"/>
      <c r="TKW997" s="2335"/>
      <c r="TKX997" s="2335"/>
      <c r="TKY997" s="2335"/>
      <c r="TKZ997" s="2335"/>
      <c r="TLA997" s="2335"/>
      <c r="TLB997" s="2335"/>
      <c r="TLC997" s="2335"/>
      <c r="TLD997" s="2335"/>
      <c r="TLE997" s="2335"/>
      <c r="TLF997" s="2335"/>
      <c r="TLG997" s="2335"/>
      <c r="TLH997" s="2335"/>
      <c r="TLI997" s="2335"/>
      <c r="TLJ997" s="2335"/>
      <c r="TLK997" s="2335"/>
      <c r="TLL997" s="2335"/>
      <c r="TLM997" s="2335"/>
      <c r="TLN997" s="2335"/>
      <c r="TLO997" s="2335"/>
      <c r="TLP997" s="2335"/>
      <c r="TLQ997" s="2335"/>
      <c r="TLR997" s="2335"/>
      <c r="TLS997" s="2335"/>
      <c r="TLT997" s="2335"/>
      <c r="TLU997" s="2335"/>
      <c r="TLV997" s="2335"/>
      <c r="TLW997" s="2335"/>
      <c r="TLX997" s="2335"/>
      <c r="TLY997" s="2335"/>
      <c r="TLZ997" s="2335"/>
      <c r="TMA997" s="2335"/>
      <c r="TMB997" s="2335"/>
      <c r="TMC997" s="2335"/>
      <c r="TMD997" s="2335"/>
      <c r="TME997" s="2335"/>
      <c r="TMF997" s="2335"/>
      <c r="TMG997" s="2335"/>
      <c r="TMH997" s="2335"/>
      <c r="TMI997" s="2335"/>
      <c r="TMJ997" s="2335"/>
      <c r="TMK997" s="2335"/>
      <c r="TML997" s="2335"/>
      <c r="TMM997" s="2335"/>
      <c r="TMN997" s="2335"/>
      <c r="TMO997" s="2335"/>
      <c r="TMP997" s="2335"/>
      <c r="TMQ997" s="2335"/>
      <c r="TMR997" s="2335"/>
      <c r="TMS997" s="2335"/>
      <c r="TMT997" s="2335"/>
      <c r="TMU997" s="2335"/>
      <c r="TMV997" s="2335"/>
      <c r="TMW997" s="2335"/>
      <c r="TMX997" s="2335"/>
      <c r="TMY997" s="2335"/>
      <c r="TMZ997" s="2335"/>
      <c r="TNA997" s="2335"/>
      <c r="TNB997" s="2335"/>
      <c r="TNC997" s="2335"/>
      <c r="TND997" s="2335"/>
      <c r="TNE997" s="2335"/>
      <c r="TNF997" s="2335"/>
      <c r="TNG997" s="2335"/>
      <c r="TNH997" s="2335"/>
      <c r="TNI997" s="2335"/>
      <c r="TNJ997" s="2335"/>
      <c r="TNK997" s="2335"/>
      <c r="TNL997" s="2335"/>
      <c r="TNM997" s="2335"/>
      <c r="TNN997" s="2335"/>
      <c r="TNO997" s="2335"/>
      <c r="TNP997" s="2335"/>
      <c r="TNQ997" s="2335"/>
      <c r="TNR997" s="2335"/>
      <c r="TNS997" s="2335"/>
      <c r="TNT997" s="2335"/>
      <c r="TNU997" s="2335"/>
      <c r="TNV997" s="2335"/>
      <c r="TNW997" s="2335"/>
      <c r="TNX997" s="2335"/>
      <c r="TNY997" s="2335"/>
      <c r="TNZ997" s="2335"/>
      <c r="TOA997" s="2335"/>
      <c r="TOB997" s="2335"/>
      <c r="TOC997" s="2335"/>
      <c r="TOD997" s="2335"/>
      <c r="TOE997" s="2335"/>
      <c r="TOF997" s="2335"/>
      <c r="TOG997" s="2335"/>
      <c r="TOH997" s="2335"/>
      <c r="TOI997" s="2335"/>
      <c r="TOJ997" s="2335"/>
      <c r="TOK997" s="2335"/>
      <c r="TOL997" s="2335"/>
      <c r="TOM997" s="2335"/>
      <c r="TON997" s="2335"/>
      <c r="TOO997" s="2335"/>
      <c r="TOP997" s="2335"/>
      <c r="TOQ997" s="2335"/>
      <c r="TOR997" s="2335"/>
      <c r="TOS997" s="2335"/>
      <c r="TOT997" s="2335"/>
      <c r="TOU997" s="2335"/>
      <c r="TOV997" s="2335"/>
      <c r="TOW997" s="2335"/>
      <c r="TOX997" s="2335"/>
      <c r="TOY997" s="2335"/>
      <c r="TOZ997" s="2335"/>
      <c r="TPA997" s="2335"/>
      <c r="TPB997" s="2335"/>
      <c r="TPC997" s="2335"/>
      <c r="TPD997" s="2335"/>
      <c r="TPE997" s="2335"/>
      <c r="TPF997" s="2335"/>
      <c r="TPG997" s="2335"/>
      <c r="TPH997" s="2335"/>
      <c r="TPI997" s="2335"/>
      <c r="TPJ997" s="2335"/>
      <c r="TPK997" s="2335"/>
      <c r="TPL997" s="2335"/>
      <c r="TPM997" s="2335"/>
      <c r="TPN997" s="2335"/>
      <c r="TPO997" s="2335"/>
      <c r="TPP997" s="2335"/>
      <c r="TPQ997" s="2335"/>
      <c r="TPR997" s="2335"/>
      <c r="TPS997" s="2335"/>
      <c r="TPT997" s="2335"/>
      <c r="TPU997" s="2335"/>
      <c r="TPV997" s="2335"/>
      <c r="TPW997" s="2335"/>
      <c r="TPX997" s="2335"/>
      <c r="TPY997" s="2335"/>
      <c r="TPZ997" s="2335"/>
      <c r="TQA997" s="2335"/>
      <c r="TQB997" s="2335"/>
      <c r="TQC997" s="2335"/>
      <c r="TQD997" s="2335"/>
      <c r="TQE997" s="2335"/>
      <c r="TQF997" s="2335"/>
      <c r="TQG997" s="2335"/>
      <c r="TQH997" s="2335"/>
      <c r="TQI997" s="2335"/>
      <c r="TQJ997" s="2335"/>
      <c r="TQK997" s="2335"/>
      <c r="TQL997" s="2335"/>
      <c r="TQM997" s="2335"/>
      <c r="TQN997" s="2335"/>
      <c r="TQO997" s="2335"/>
      <c r="TQP997" s="2335"/>
      <c r="TQQ997" s="2335"/>
      <c r="TQR997" s="2335"/>
      <c r="TQS997" s="2335"/>
      <c r="TQT997" s="2335"/>
      <c r="TQU997" s="2335"/>
      <c r="TQV997" s="2335"/>
      <c r="TQW997" s="2335"/>
      <c r="TQX997" s="2335"/>
      <c r="TQY997" s="2335"/>
      <c r="TQZ997" s="2335"/>
      <c r="TRA997" s="2335"/>
      <c r="TRB997" s="2335"/>
      <c r="TRC997" s="2335"/>
      <c r="TRD997" s="2335"/>
      <c r="TRE997" s="2335"/>
      <c r="TRF997" s="2335"/>
      <c r="TRG997" s="2335"/>
      <c r="TRH997" s="2335"/>
      <c r="TRI997" s="2335"/>
      <c r="TRJ997" s="2335"/>
      <c r="TRK997" s="2335"/>
      <c r="TRL997" s="2335"/>
      <c r="TRM997" s="2335"/>
      <c r="TRN997" s="2335"/>
      <c r="TRO997" s="2335"/>
      <c r="TRP997" s="2335"/>
      <c r="TRQ997" s="2335"/>
      <c r="TRR997" s="2335"/>
      <c r="TRS997" s="2335"/>
      <c r="TRT997" s="2335"/>
      <c r="TRU997" s="2335"/>
      <c r="TRV997" s="2335"/>
      <c r="TRW997" s="2335"/>
      <c r="TRX997" s="2335"/>
      <c r="TRY997" s="2335"/>
      <c r="TRZ997" s="2335"/>
      <c r="TSA997" s="2335"/>
      <c r="TSB997" s="2335"/>
      <c r="TSC997" s="2335"/>
      <c r="TSD997" s="2335"/>
      <c r="TSE997" s="2335"/>
      <c r="TSF997" s="2335"/>
      <c r="TSG997" s="2335"/>
      <c r="TSH997" s="2335"/>
      <c r="TSI997" s="2335"/>
      <c r="TSJ997" s="2335"/>
      <c r="TSK997" s="2335"/>
      <c r="TSL997" s="2335"/>
      <c r="TSM997" s="2335"/>
      <c r="TSN997" s="2335"/>
      <c r="TSO997" s="2335"/>
      <c r="TSP997" s="2335"/>
      <c r="TSQ997" s="2335"/>
      <c r="TSR997" s="2335"/>
      <c r="TSS997" s="2335"/>
      <c r="TST997" s="2335"/>
      <c r="TSU997" s="2335"/>
      <c r="TSV997" s="2335"/>
      <c r="TSW997" s="2335"/>
      <c r="TSX997" s="2335"/>
      <c r="TSY997" s="2335"/>
      <c r="TSZ997" s="2335"/>
      <c r="TTA997" s="2335"/>
      <c r="TTB997" s="2335"/>
      <c r="TTC997" s="2335"/>
      <c r="TTD997" s="2335"/>
      <c r="TTE997" s="2335"/>
      <c r="TTF997" s="2335"/>
      <c r="TTG997" s="2335"/>
      <c r="TTH997" s="2335"/>
      <c r="TTI997" s="2335"/>
      <c r="TTJ997" s="2335"/>
      <c r="TTK997" s="2335"/>
      <c r="TTL997" s="2335"/>
      <c r="TTM997" s="2335"/>
      <c r="TTN997" s="2335"/>
      <c r="TTO997" s="2335"/>
      <c r="TTP997" s="2335"/>
      <c r="TTQ997" s="2335"/>
      <c r="TTR997" s="2335"/>
      <c r="TTS997" s="2335"/>
      <c r="TTT997" s="2335"/>
      <c r="TTU997" s="2335"/>
      <c r="TTV997" s="2335"/>
      <c r="TTW997" s="2335"/>
      <c r="TTX997" s="2335"/>
      <c r="TTY997" s="2335"/>
      <c r="TTZ997" s="2335"/>
      <c r="TUA997" s="2335"/>
      <c r="TUB997" s="2335"/>
      <c r="TUC997" s="2335"/>
      <c r="TUD997" s="2335"/>
      <c r="TUE997" s="2335"/>
      <c r="TUF997" s="2335"/>
      <c r="TUG997" s="2335"/>
      <c r="TUH997" s="2335"/>
      <c r="TUI997" s="2335"/>
      <c r="TUJ997" s="2335"/>
      <c r="TUK997" s="2335"/>
      <c r="TUL997" s="2335"/>
      <c r="TUM997" s="2335"/>
      <c r="TUN997" s="2335"/>
      <c r="TUO997" s="2335"/>
      <c r="TUP997" s="2335"/>
      <c r="TUQ997" s="2335"/>
      <c r="TUR997" s="2335"/>
      <c r="TUS997" s="2335"/>
      <c r="TUT997" s="2335"/>
      <c r="TUU997" s="2335"/>
      <c r="TUV997" s="2335"/>
      <c r="TUW997" s="2335"/>
      <c r="TUX997" s="2335"/>
      <c r="TUY997" s="2335"/>
      <c r="TUZ997" s="2335"/>
      <c r="TVA997" s="2335"/>
      <c r="TVB997" s="2335"/>
      <c r="TVC997" s="2335"/>
      <c r="TVD997" s="2335"/>
      <c r="TVE997" s="2335"/>
      <c r="TVF997" s="2335"/>
      <c r="TVG997" s="2335"/>
      <c r="TVH997" s="2335"/>
      <c r="TVI997" s="2335"/>
      <c r="TVJ997" s="2335"/>
      <c r="TVK997" s="2335"/>
      <c r="TVL997" s="2335"/>
      <c r="TVM997" s="2335"/>
      <c r="TVN997" s="2335"/>
      <c r="TVO997" s="2335"/>
      <c r="TVP997" s="2335"/>
      <c r="TVQ997" s="2335"/>
      <c r="TVR997" s="2335"/>
      <c r="TVS997" s="2335"/>
      <c r="TVT997" s="2335"/>
      <c r="TVU997" s="2335"/>
      <c r="TVV997" s="2335"/>
      <c r="TVW997" s="2335"/>
      <c r="TVX997" s="2335"/>
      <c r="TVY997" s="2335"/>
      <c r="TVZ997" s="2335"/>
      <c r="TWA997" s="2335"/>
      <c r="TWB997" s="2335"/>
      <c r="TWC997" s="2335"/>
      <c r="TWD997" s="2335"/>
      <c r="TWE997" s="2335"/>
      <c r="TWF997" s="2335"/>
      <c r="TWG997" s="2335"/>
      <c r="TWH997" s="2335"/>
      <c r="TWI997" s="2335"/>
      <c r="TWJ997" s="2335"/>
      <c r="TWK997" s="2335"/>
      <c r="TWL997" s="2335"/>
      <c r="TWM997" s="2335"/>
      <c r="TWN997" s="2335"/>
      <c r="TWO997" s="2335"/>
      <c r="TWP997" s="2335"/>
      <c r="TWQ997" s="2335"/>
      <c r="TWR997" s="2335"/>
      <c r="TWS997" s="2335"/>
      <c r="TWT997" s="2335"/>
      <c r="TWU997" s="2335"/>
      <c r="TWV997" s="2335"/>
      <c r="TWW997" s="2335"/>
      <c r="TWX997" s="2335"/>
      <c r="TWY997" s="2335"/>
      <c r="TWZ997" s="2335"/>
      <c r="TXA997" s="2335"/>
      <c r="TXB997" s="2335"/>
      <c r="TXC997" s="2335"/>
      <c r="TXD997" s="2335"/>
      <c r="TXE997" s="2335"/>
      <c r="TXF997" s="2335"/>
      <c r="TXG997" s="2335"/>
      <c r="TXH997" s="2335"/>
      <c r="TXI997" s="2335"/>
      <c r="TXJ997" s="2335"/>
      <c r="TXK997" s="2335"/>
      <c r="TXL997" s="2335"/>
      <c r="TXM997" s="2335"/>
      <c r="TXN997" s="2335"/>
      <c r="TXO997" s="2335"/>
      <c r="TXP997" s="2335"/>
      <c r="TXQ997" s="2335"/>
      <c r="TXR997" s="2335"/>
      <c r="TXS997" s="2335"/>
      <c r="TXT997" s="2335"/>
      <c r="TXU997" s="2335"/>
      <c r="TXV997" s="2335"/>
      <c r="TXW997" s="2335"/>
      <c r="TXX997" s="2335"/>
      <c r="TXY997" s="2335"/>
      <c r="TXZ997" s="2335"/>
      <c r="TYA997" s="2335"/>
      <c r="TYB997" s="2335"/>
      <c r="TYC997" s="2335"/>
      <c r="TYD997" s="2335"/>
      <c r="TYE997" s="2335"/>
      <c r="TYF997" s="2335"/>
      <c r="TYG997" s="2335"/>
      <c r="TYH997" s="2335"/>
      <c r="TYI997" s="2335"/>
      <c r="TYJ997" s="2335"/>
      <c r="TYK997" s="2335"/>
      <c r="TYL997" s="2335"/>
      <c r="TYM997" s="2335"/>
      <c r="TYN997" s="2335"/>
      <c r="TYO997" s="2335"/>
      <c r="TYP997" s="2335"/>
      <c r="TYQ997" s="2335"/>
      <c r="TYR997" s="2335"/>
      <c r="TYS997" s="2335"/>
      <c r="TYT997" s="2335"/>
      <c r="TYU997" s="2335"/>
      <c r="TYV997" s="2335"/>
      <c r="TYW997" s="2335"/>
      <c r="TYX997" s="2335"/>
      <c r="TYY997" s="2335"/>
      <c r="TYZ997" s="2335"/>
      <c r="TZA997" s="2335"/>
      <c r="TZB997" s="2335"/>
      <c r="TZC997" s="2335"/>
      <c r="TZD997" s="2335"/>
      <c r="TZE997" s="2335"/>
      <c r="TZF997" s="2335"/>
      <c r="TZG997" s="2335"/>
      <c r="TZH997" s="2335"/>
      <c r="TZI997" s="2335"/>
      <c r="TZJ997" s="2335"/>
      <c r="TZK997" s="2335"/>
      <c r="TZL997" s="2335"/>
      <c r="TZM997" s="2335"/>
      <c r="TZN997" s="2335"/>
      <c r="TZO997" s="2335"/>
      <c r="TZP997" s="2335"/>
      <c r="TZQ997" s="2335"/>
      <c r="TZR997" s="2335"/>
      <c r="TZS997" s="2335"/>
      <c r="TZT997" s="2335"/>
      <c r="TZU997" s="2335"/>
      <c r="TZV997" s="2335"/>
      <c r="TZW997" s="2335"/>
      <c r="TZX997" s="2335"/>
      <c r="TZY997" s="2335"/>
      <c r="TZZ997" s="2335"/>
      <c r="UAA997" s="2335"/>
      <c r="UAB997" s="2335"/>
      <c r="UAC997" s="2335"/>
      <c r="UAD997" s="2335"/>
      <c r="UAE997" s="2335"/>
      <c r="UAF997" s="2335"/>
      <c r="UAG997" s="2335"/>
      <c r="UAH997" s="2335"/>
      <c r="UAI997" s="2335"/>
      <c r="UAJ997" s="2335"/>
      <c r="UAK997" s="2335"/>
      <c r="UAL997" s="2335"/>
      <c r="UAM997" s="2335"/>
      <c r="UAN997" s="2335"/>
      <c r="UAO997" s="2335"/>
      <c r="UAP997" s="2335"/>
      <c r="UAQ997" s="2335"/>
      <c r="UAR997" s="2335"/>
      <c r="UAS997" s="2335"/>
      <c r="UAT997" s="2335"/>
      <c r="UAU997" s="2335"/>
      <c r="UAV997" s="2335"/>
      <c r="UAW997" s="2335"/>
      <c r="UAX997" s="2335"/>
      <c r="UAY997" s="2335"/>
      <c r="UAZ997" s="2335"/>
      <c r="UBA997" s="2335"/>
      <c r="UBB997" s="2335"/>
      <c r="UBC997" s="2335"/>
      <c r="UBD997" s="2335"/>
      <c r="UBE997" s="2335"/>
      <c r="UBF997" s="2335"/>
      <c r="UBG997" s="2335"/>
      <c r="UBH997" s="2335"/>
      <c r="UBI997" s="2335"/>
      <c r="UBJ997" s="2335"/>
      <c r="UBK997" s="2335"/>
      <c r="UBL997" s="2335"/>
      <c r="UBM997" s="2335"/>
      <c r="UBN997" s="2335"/>
      <c r="UBO997" s="2335"/>
      <c r="UBP997" s="2335"/>
      <c r="UBQ997" s="2335"/>
      <c r="UBR997" s="2335"/>
      <c r="UBS997" s="2335"/>
      <c r="UBT997" s="2335"/>
      <c r="UBU997" s="2335"/>
      <c r="UBV997" s="2335"/>
      <c r="UBW997" s="2335"/>
      <c r="UBX997" s="2335"/>
      <c r="UBY997" s="2335"/>
      <c r="UBZ997" s="2335"/>
      <c r="UCA997" s="2335"/>
      <c r="UCB997" s="2335"/>
      <c r="UCC997" s="2335"/>
      <c r="UCD997" s="2335"/>
      <c r="UCE997" s="2335"/>
      <c r="UCF997" s="2335"/>
      <c r="UCG997" s="2335"/>
      <c r="UCH997" s="2335"/>
      <c r="UCI997" s="2335"/>
      <c r="UCJ997" s="2335"/>
      <c r="UCK997" s="2335"/>
      <c r="UCL997" s="2335"/>
      <c r="UCM997" s="2335"/>
      <c r="UCN997" s="2335"/>
      <c r="UCO997" s="2335"/>
      <c r="UCP997" s="2335"/>
      <c r="UCQ997" s="2335"/>
      <c r="UCR997" s="2335"/>
      <c r="UCS997" s="2335"/>
      <c r="UCT997" s="2335"/>
      <c r="UCU997" s="2335"/>
      <c r="UCV997" s="2335"/>
      <c r="UCW997" s="2335"/>
      <c r="UCX997" s="2335"/>
      <c r="UCY997" s="2335"/>
      <c r="UCZ997" s="2335"/>
      <c r="UDA997" s="2335"/>
      <c r="UDB997" s="2335"/>
      <c r="UDC997" s="2335"/>
      <c r="UDD997" s="2335"/>
      <c r="UDE997" s="2335"/>
      <c r="UDF997" s="2335"/>
      <c r="UDG997" s="2335"/>
      <c r="UDH997" s="2335"/>
      <c r="UDI997" s="2335"/>
      <c r="UDJ997" s="2335"/>
      <c r="UDK997" s="2335"/>
      <c r="UDL997" s="2335"/>
      <c r="UDM997" s="2335"/>
      <c r="UDN997" s="2335"/>
      <c r="UDO997" s="2335"/>
      <c r="UDP997" s="2335"/>
      <c r="UDQ997" s="2335"/>
      <c r="UDR997" s="2335"/>
      <c r="UDS997" s="2335"/>
      <c r="UDT997" s="2335"/>
      <c r="UDU997" s="2335"/>
      <c r="UDV997" s="2335"/>
      <c r="UDW997" s="2335"/>
      <c r="UDX997" s="2335"/>
      <c r="UDY997" s="2335"/>
      <c r="UDZ997" s="2335"/>
      <c r="UEA997" s="2335"/>
      <c r="UEB997" s="2335"/>
      <c r="UEC997" s="2335"/>
      <c r="UED997" s="2335"/>
      <c r="UEE997" s="2335"/>
      <c r="UEF997" s="2335"/>
      <c r="UEG997" s="2335"/>
      <c r="UEH997" s="2335"/>
      <c r="UEI997" s="2335"/>
      <c r="UEJ997" s="2335"/>
      <c r="UEK997" s="2335"/>
      <c r="UEL997" s="2335"/>
      <c r="UEM997" s="2335"/>
      <c r="UEN997" s="2335"/>
      <c r="UEO997" s="2335"/>
      <c r="UEP997" s="2335"/>
      <c r="UEQ997" s="2335"/>
      <c r="UER997" s="2335"/>
      <c r="UES997" s="2335"/>
      <c r="UET997" s="2335"/>
      <c r="UEU997" s="2335"/>
      <c r="UEV997" s="2335"/>
      <c r="UEW997" s="2335"/>
      <c r="UEX997" s="2335"/>
      <c r="UEY997" s="2335"/>
      <c r="UEZ997" s="2335"/>
      <c r="UFA997" s="2335"/>
      <c r="UFB997" s="2335"/>
      <c r="UFC997" s="2335"/>
      <c r="UFD997" s="2335"/>
      <c r="UFE997" s="2335"/>
      <c r="UFF997" s="2335"/>
      <c r="UFG997" s="2335"/>
      <c r="UFH997" s="2335"/>
      <c r="UFI997" s="2335"/>
      <c r="UFJ997" s="2335"/>
      <c r="UFK997" s="2335"/>
      <c r="UFL997" s="2335"/>
      <c r="UFM997" s="2335"/>
      <c r="UFN997" s="2335"/>
      <c r="UFO997" s="2335"/>
      <c r="UFP997" s="2335"/>
      <c r="UFQ997" s="2335"/>
      <c r="UFR997" s="2335"/>
      <c r="UFS997" s="2335"/>
      <c r="UFT997" s="2335"/>
      <c r="UFU997" s="2335"/>
      <c r="UFV997" s="2335"/>
      <c r="UFW997" s="2335"/>
      <c r="UFX997" s="2335"/>
      <c r="UFY997" s="2335"/>
      <c r="UFZ997" s="2335"/>
      <c r="UGA997" s="2335"/>
      <c r="UGB997" s="2335"/>
      <c r="UGC997" s="2335"/>
      <c r="UGD997" s="2335"/>
      <c r="UGE997" s="2335"/>
      <c r="UGF997" s="2335"/>
      <c r="UGG997" s="2335"/>
      <c r="UGH997" s="2335"/>
      <c r="UGI997" s="2335"/>
      <c r="UGJ997" s="2335"/>
      <c r="UGK997" s="2335"/>
      <c r="UGL997" s="2335"/>
      <c r="UGM997" s="2335"/>
      <c r="UGN997" s="2335"/>
      <c r="UGO997" s="2335"/>
      <c r="UGP997" s="2335"/>
      <c r="UGQ997" s="2335"/>
      <c r="UGR997" s="2335"/>
      <c r="UGS997" s="2335"/>
      <c r="UGT997" s="2335"/>
      <c r="UGU997" s="2335"/>
      <c r="UGV997" s="2335"/>
      <c r="UGW997" s="2335"/>
      <c r="UGX997" s="2335"/>
      <c r="UGY997" s="2335"/>
      <c r="UGZ997" s="2335"/>
      <c r="UHA997" s="2335"/>
      <c r="UHB997" s="2335"/>
      <c r="UHC997" s="2335"/>
      <c r="UHD997" s="2335"/>
      <c r="UHE997" s="2335"/>
      <c r="UHF997" s="2335"/>
      <c r="UHG997" s="2335"/>
      <c r="UHH997" s="2335"/>
      <c r="UHI997" s="2335"/>
      <c r="UHJ997" s="2335"/>
      <c r="UHK997" s="2335"/>
      <c r="UHL997" s="2335"/>
      <c r="UHM997" s="2335"/>
      <c r="UHN997" s="2335"/>
      <c r="UHO997" s="2335"/>
      <c r="UHP997" s="2335"/>
      <c r="UHQ997" s="2335"/>
      <c r="UHR997" s="2335"/>
      <c r="UHS997" s="2335"/>
      <c r="UHT997" s="2335"/>
      <c r="UHU997" s="2335"/>
      <c r="UHV997" s="2335"/>
      <c r="UHW997" s="2335"/>
      <c r="UHX997" s="2335"/>
      <c r="UHY997" s="2335"/>
      <c r="UHZ997" s="2335"/>
      <c r="UIA997" s="2335"/>
      <c r="UIB997" s="2335"/>
      <c r="UIC997" s="2335"/>
      <c r="UID997" s="2335"/>
      <c r="UIE997" s="2335"/>
      <c r="UIF997" s="2335"/>
      <c r="UIG997" s="2335"/>
      <c r="UIH997" s="2335"/>
      <c r="UII997" s="2335"/>
      <c r="UIJ997" s="2335"/>
      <c r="UIK997" s="2335"/>
      <c r="UIL997" s="2335"/>
      <c r="UIM997" s="2335"/>
      <c r="UIN997" s="2335"/>
      <c r="UIO997" s="2335"/>
      <c r="UIP997" s="2335"/>
      <c r="UIQ997" s="2335"/>
      <c r="UIR997" s="2335"/>
      <c r="UIS997" s="2335"/>
      <c r="UIT997" s="2335"/>
      <c r="UIU997" s="2335"/>
      <c r="UIV997" s="2335"/>
      <c r="UIW997" s="2335"/>
      <c r="UIX997" s="2335"/>
      <c r="UIY997" s="2335"/>
      <c r="UIZ997" s="2335"/>
      <c r="UJA997" s="2335"/>
      <c r="UJB997" s="2335"/>
      <c r="UJC997" s="2335"/>
      <c r="UJD997" s="2335"/>
      <c r="UJE997" s="2335"/>
      <c r="UJF997" s="2335"/>
      <c r="UJG997" s="2335"/>
      <c r="UJH997" s="2335"/>
      <c r="UJI997" s="2335"/>
      <c r="UJJ997" s="2335"/>
      <c r="UJK997" s="2335"/>
      <c r="UJL997" s="2335"/>
      <c r="UJM997" s="2335"/>
      <c r="UJN997" s="2335"/>
      <c r="UJO997" s="2335"/>
      <c r="UJP997" s="2335"/>
      <c r="UJQ997" s="2335"/>
      <c r="UJR997" s="2335"/>
      <c r="UJS997" s="2335"/>
      <c r="UJT997" s="2335"/>
      <c r="UJU997" s="2335"/>
      <c r="UJV997" s="2335"/>
      <c r="UJW997" s="2335"/>
      <c r="UJX997" s="2335"/>
      <c r="UJY997" s="2335"/>
      <c r="UJZ997" s="2335"/>
      <c r="UKA997" s="2335"/>
      <c r="UKB997" s="2335"/>
      <c r="UKC997" s="2335"/>
      <c r="UKD997" s="2335"/>
      <c r="UKE997" s="2335"/>
      <c r="UKF997" s="2335"/>
      <c r="UKG997" s="2335"/>
      <c r="UKH997" s="2335"/>
      <c r="UKI997" s="2335"/>
      <c r="UKJ997" s="2335"/>
      <c r="UKK997" s="2335"/>
      <c r="UKL997" s="2335"/>
      <c r="UKM997" s="2335"/>
      <c r="UKN997" s="2335"/>
      <c r="UKO997" s="2335"/>
      <c r="UKP997" s="2335"/>
      <c r="UKQ997" s="2335"/>
      <c r="UKR997" s="2335"/>
      <c r="UKS997" s="2335"/>
      <c r="UKT997" s="2335"/>
      <c r="UKU997" s="2335"/>
      <c r="UKV997" s="2335"/>
      <c r="UKW997" s="2335"/>
      <c r="UKX997" s="2335"/>
      <c r="UKY997" s="2335"/>
      <c r="UKZ997" s="2335"/>
      <c r="ULA997" s="2335"/>
      <c r="ULB997" s="2335"/>
      <c r="ULC997" s="2335"/>
      <c r="ULD997" s="2335"/>
      <c r="ULE997" s="2335"/>
      <c r="ULF997" s="2335"/>
      <c r="ULG997" s="2335"/>
      <c r="ULH997" s="2335"/>
      <c r="ULI997" s="2335"/>
      <c r="ULJ997" s="2335"/>
      <c r="ULK997" s="2335"/>
      <c r="ULL997" s="2335"/>
      <c r="ULM997" s="2335"/>
      <c r="ULN997" s="2335"/>
      <c r="ULO997" s="2335"/>
      <c r="ULP997" s="2335"/>
      <c r="ULQ997" s="2335"/>
      <c r="ULR997" s="2335"/>
      <c r="ULS997" s="2335"/>
      <c r="ULT997" s="2335"/>
      <c r="ULU997" s="2335"/>
      <c r="ULV997" s="2335"/>
      <c r="ULW997" s="2335"/>
      <c r="ULX997" s="2335"/>
      <c r="ULY997" s="2335"/>
      <c r="ULZ997" s="2335"/>
      <c r="UMA997" s="2335"/>
      <c r="UMB997" s="2335"/>
      <c r="UMC997" s="2335"/>
      <c r="UMD997" s="2335"/>
      <c r="UME997" s="2335"/>
      <c r="UMF997" s="2335"/>
      <c r="UMG997" s="2335"/>
      <c r="UMH997" s="2335"/>
      <c r="UMI997" s="2335"/>
      <c r="UMJ997" s="2335"/>
      <c r="UMK997" s="2335"/>
      <c r="UML997" s="2335"/>
      <c r="UMM997" s="2335"/>
      <c r="UMN997" s="2335"/>
      <c r="UMO997" s="2335"/>
      <c r="UMP997" s="2335"/>
      <c r="UMQ997" s="2335"/>
      <c r="UMR997" s="2335"/>
      <c r="UMS997" s="2335"/>
      <c r="UMT997" s="2335"/>
      <c r="UMU997" s="2335"/>
      <c r="UMV997" s="2335"/>
      <c r="UMW997" s="2335"/>
      <c r="UMX997" s="2335"/>
      <c r="UMY997" s="2335"/>
      <c r="UMZ997" s="2335"/>
      <c r="UNA997" s="2335"/>
      <c r="UNB997" s="2335"/>
      <c r="UNC997" s="2335"/>
      <c r="UND997" s="2335"/>
      <c r="UNE997" s="2335"/>
      <c r="UNF997" s="2335"/>
      <c r="UNG997" s="2335"/>
      <c r="UNH997" s="2335"/>
      <c r="UNI997" s="2335"/>
      <c r="UNJ997" s="2335"/>
      <c r="UNK997" s="2335"/>
      <c r="UNL997" s="2335"/>
      <c r="UNM997" s="2335"/>
      <c r="UNN997" s="2335"/>
      <c r="UNO997" s="2335"/>
      <c r="UNP997" s="2335"/>
      <c r="UNQ997" s="2335"/>
      <c r="UNR997" s="2335"/>
      <c r="UNS997" s="2335"/>
      <c r="UNT997" s="2335"/>
      <c r="UNU997" s="2335"/>
      <c r="UNV997" s="2335"/>
      <c r="UNW997" s="2335"/>
      <c r="UNX997" s="2335"/>
      <c r="UNY997" s="2335"/>
      <c r="UNZ997" s="2335"/>
      <c r="UOA997" s="2335"/>
      <c r="UOB997" s="2335"/>
      <c r="UOC997" s="2335"/>
      <c r="UOD997" s="2335"/>
      <c r="UOE997" s="2335"/>
      <c r="UOF997" s="2335"/>
      <c r="UOG997" s="2335"/>
      <c r="UOH997" s="2335"/>
      <c r="UOI997" s="2335"/>
      <c r="UOJ997" s="2335"/>
      <c r="UOK997" s="2335"/>
      <c r="UOL997" s="2335"/>
      <c r="UOM997" s="2335"/>
      <c r="UON997" s="2335"/>
      <c r="UOO997" s="2335"/>
      <c r="UOP997" s="2335"/>
      <c r="UOQ997" s="2335"/>
      <c r="UOR997" s="2335"/>
      <c r="UOS997" s="2335"/>
      <c r="UOT997" s="2335"/>
      <c r="UOU997" s="2335"/>
      <c r="UOV997" s="2335"/>
      <c r="UOW997" s="2335"/>
      <c r="UOX997" s="2335"/>
      <c r="UOY997" s="2335"/>
      <c r="UOZ997" s="2335"/>
      <c r="UPA997" s="2335"/>
      <c r="UPB997" s="2335"/>
      <c r="UPC997" s="2335"/>
      <c r="UPD997" s="2335"/>
      <c r="UPE997" s="2335"/>
      <c r="UPF997" s="2335"/>
      <c r="UPG997" s="2335"/>
      <c r="UPH997" s="2335"/>
      <c r="UPI997" s="2335"/>
      <c r="UPJ997" s="2335"/>
      <c r="UPK997" s="2335"/>
      <c r="UPL997" s="2335"/>
      <c r="UPM997" s="2335"/>
      <c r="UPN997" s="2335"/>
      <c r="UPO997" s="2335"/>
      <c r="UPP997" s="2335"/>
      <c r="UPQ997" s="2335"/>
      <c r="UPR997" s="2335"/>
      <c r="UPS997" s="2335"/>
      <c r="UPT997" s="2335"/>
      <c r="UPU997" s="2335"/>
      <c r="UPV997" s="2335"/>
      <c r="UPW997" s="2335"/>
      <c r="UPX997" s="2335"/>
      <c r="UPY997" s="2335"/>
      <c r="UPZ997" s="2335"/>
      <c r="UQA997" s="2335"/>
      <c r="UQB997" s="2335"/>
      <c r="UQC997" s="2335"/>
      <c r="UQD997" s="2335"/>
      <c r="UQE997" s="2335"/>
      <c r="UQF997" s="2335"/>
      <c r="UQG997" s="2335"/>
      <c r="UQH997" s="2335"/>
      <c r="UQI997" s="2335"/>
      <c r="UQJ997" s="2335"/>
      <c r="UQK997" s="2335"/>
      <c r="UQL997" s="2335"/>
      <c r="UQM997" s="2335"/>
      <c r="UQN997" s="2335"/>
      <c r="UQO997" s="2335"/>
      <c r="UQP997" s="2335"/>
      <c r="UQQ997" s="2335"/>
      <c r="UQR997" s="2335"/>
      <c r="UQS997" s="2335"/>
      <c r="UQT997" s="2335"/>
      <c r="UQU997" s="2335"/>
      <c r="UQV997" s="2335"/>
      <c r="UQW997" s="2335"/>
      <c r="UQX997" s="2335"/>
      <c r="UQY997" s="2335"/>
      <c r="UQZ997" s="2335"/>
      <c r="URA997" s="2335"/>
      <c r="URB997" s="2335"/>
      <c r="URC997" s="2335"/>
      <c r="URD997" s="2335"/>
      <c r="URE997" s="2335"/>
      <c r="URF997" s="2335"/>
      <c r="URG997" s="2335"/>
      <c r="URH997" s="2335"/>
      <c r="URI997" s="2335"/>
      <c r="URJ997" s="2335"/>
      <c r="URK997" s="2335"/>
      <c r="URL997" s="2335"/>
      <c r="URM997" s="2335"/>
      <c r="URN997" s="2335"/>
      <c r="URO997" s="2335"/>
      <c r="URP997" s="2335"/>
      <c r="URQ997" s="2335"/>
      <c r="URR997" s="2335"/>
      <c r="URS997" s="2335"/>
      <c r="URT997" s="2335"/>
      <c r="URU997" s="2335"/>
      <c r="URV997" s="2335"/>
      <c r="URW997" s="2335"/>
      <c r="URX997" s="2335"/>
      <c r="URY997" s="2335"/>
      <c r="URZ997" s="2335"/>
      <c r="USA997" s="2335"/>
      <c r="USB997" s="2335"/>
      <c r="USC997" s="2335"/>
      <c r="USD997" s="2335"/>
      <c r="USE997" s="2335"/>
      <c r="USF997" s="2335"/>
      <c r="USG997" s="2335"/>
      <c r="USH997" s="2335"/>
      <c r="USI997" s="2335"/>
      <c r="USJ997" s="2335"/>
      <c r="USK997" s="2335"/>
      <c r="USL997" s="2335"/>
      <c r="USM997" s="2335"/>
      <c r="USN997" s="2335"/>
      <c r="USO997" s="2335"/>
      <c r="USP997" s="2335"/>
      <c r="USQ997" s="2335"/>
      <c r="USR997" s="2335"/>
      <c r="USS997" s="2335"/>
      <c r="UST997" s="2335"/>
      <c r="USU997" s="2335"/>
      <c r="USV997" s="2335"/>
      <c r="USW997" s="2335"/>
      <c r="USX997" s="2335"/>
      <c r="USY997" s="2335"/>
      <c r="USZ997" s="2335"/>
      <c r="UTA997" s="2335"/>
      <c r="UTB997" s="2335"/>
      <c r="UTC997" s="2335"/>
      <c r="UTD997" s="2335"/>
      <c r="UTE997" s="2335"/>
      <c r="UTF997" s="2335"/>
      <c r="UTG997" s="2335"/>
      <c r="UTH997" s="2335"/>
      <c r="UTI997" s="2335"/>
      <c r="UTJ997" s="2335"/>
      <c r="UTK997" s="2335"/>
      <c r="UTL997" s="2335"/>
      <c r="UTM997" s="2335"/>
      <c r="UTN997" s="2335"/>
      <c r="UTO997" s="2335"/>
      <c r="UTP997" s="2335"/>
      <c r="UTQ997" s="2335"/>
      <c r="UTR997" s="2335"/>
      <c r="UTS997" s="2335"/>
      <c r="UTT997" s="2335"/>
      <c r="UTU997" s="2335"/>
      <c r="UTV997" s="2335"/>
      <c r="UTW997" s="2335"/>
      <c r="UTX997" s="2335"/>
      <c r="UTY997" s="2335"/>
      <c r="UTZ997" s="2335"/>
      <c r="UUA997" s="2335"/>
      <c r="UUB997" s="2335"/>
      <c r="UUC997" s="2335"/>
      <c r="UUD997" s="2335"/>
      <c r="UUE997" s="2335"/>
      <c r="UUF997" s="2335"/>
      <c r="UUG997" s="2335"/>
      <c r="UUH997" s="2335"/>
      <c r="UUI997" s="2335"/>
      <c r="UUJ997" s="2335"/>
      <c r="UUK997" s="2335"/>
      <c r="UUL997" s="2335"/>
      <c r="UUM997" s="2335"/>
      <c r="UUN997" s="2335"/>
      <c r="UUO997" s="2335"/>
      <c r="UUP997" s="2335"/>
      <c r="UUQ997" s="2335"/>
      <c r="UUR997" s="2335"/>
      <c r="UUS997" s="2335"/>
      <c r="UUT997" s="2335"/>
      <c r="UUU997" s="2335"/>
      <c r="UUV997" s="2335"/>
      <c r="UUW997" s="2335"/>
      <c r="UUX997" s="2335"/>
      <c r="UUY997" s="2335"/>
      <c r="UUZ997" s="2335"/>
      <c r="UVA997" s="2335"/>
      <c r="UVB997" s="2335"/>
      <c r="UVC997" s="2335"/>
      <c r="UVD997" s="2335"/>
      <c r="UVE997" s="2335"/>
      <c r="UVF997" s="2335"/>
      <c r="UVG997" s="2335"/>
      <c r="UVH997" s="2335"/>
      <c r="UVI997" s="2335"/>
      <c r="UVJ997" s="2335"/>
      <c r="UVK997" s="2335"/>
      <c r="UVL997" s="2335"/>
      <c r="UVM997" s="2335"/>
      <c r="UVN997" s="2335"/>
      <c r="UVO997" s="2335"/>
      <c r="UVP997" s="2335"/>
      <c r="UVQ997" s="2335"/>
      <c r="UVR997" s="2335"/>
      <c r="UVS997" s="2335"/>
      <c r="UVT997" s="2335"/>
      <c r="UVU997" s="2335"/>
      <c r="UVV997" s="2335"/>
      <c r="UVW997" s="2335"/>
      <c r="UVX997" s="2335"/>
      <c r="UVY997" s="2335"/>
      <c r="UVZ997" s="2335"/>
      <c r="UWA997" s="2335"/>
      <c r="UWB997" s="2335"/>
      <c r="UWC997" s="2335"/>
      <c r="UWD997" s="2335"/>
      <c r="UWE997" s="2335"/>
      <c r="UWF997" s="2335"/>
      <c r="UWG997" s="2335"/>
      <c r="UWH997" s="2335"/>
      <c r="UWI997" s="2335"/>
      <c r="UWJ997" s="2335"/>
      <c r="UWK997" s="2335"/>
      <c r="UWL997" s="2335"/>
      <c r="UWM997" s="2335"/>
      <c r="UWN997" s="2335"/>
      <c r="UWO997" s="2335"/>
      <c r="UWP997" s="2335"/>
      <c r="UWQ997" s="2335"/>
      <c r="UWR997" s="2335"/>
      <c r="UWS997" s="2335"/>
      <c r="UWT997" s="2335"/>
      <c r="UWU997" s="2335"/>
      <c r="UWV997" s="2335"/>
      <c r="UWW997" s="2335"/>
      <c r="UWX997" s="2335"/>
      <c r="UWY997" s="2335"/>
      <c r="UWZ997" s="2335"/>
      <c r="UXA997" s="2335"/>
      <c r="UXB997" s="2335"/>
      <c r="UXC997" s="2335"/>
      <c r="UXD997" s="2335"/>
      <c r="UXE997" s="2335"/>
      <c r="UXF997" s="2335"/>
      <c r="UXG997" s="2335"/>
      <c r="UXH997" s="2335"/>
      <c r="UXI997" s="2335"/>
      <c r="UXJ997" s="2335"/>
      <c r="UXK997" s="2335"/>
      <c r="UXL997" s="2335"/>
      <c r="UXM997" s="2335"/>
      <c r="UXN997" s="2335"/>
      <c r="UXO997" s="2335"/>
      <c r="UXP997" s="2335"/>
      <c r="UXQ997" s="2335"/>
      <c r="UXR997" s="2335"/>
      <c r="UXS997" s="2335"/>
      <c r="UXT997" s="2335"/>
      <c r="UXU997" s="2335"/>
      <c r="UXV997" s="2335"/>
      <c r="UXW997" s="2335"/>
      <c r="UXX997" s="2335"/>
      <c r="UXY997" s="2335"/>
      <c r="UXZ997" s="2335"/>
      <c r="UYA997" s="2335"/>
      <c r="UYB997" s="2335"/>
      <c r="UYC997" s="2335"/>
      <c r="UYD997" s="2335"/>
      <c r="UYE997" s="2335"/>
      <c r="UYF997" s="2335"/>
      <c r="UYG997" s="2335"/>
      <c r="UYH997" s="2335"/>
      <c r="UYI997" s="2335"/>
      <c r="UYJ997" s="2335"/>
      <c r="UYK997" s="2335"/>
      <c r="UYL997" s="2335"/>
      <c r="UYM997" s="2335"/>
      <c r="UYN997" s="2335"/>
      <c r="UYO997" s="2335"/>
      <c r="UYP997" s="2335"/>
      <c r="UYQ997" s="2335"/>
      <c r="UYR997" s="2335"/>
      <c r="UYS997" s="2335"/>
      <c r="UYT997" s="2335"/>
      <c r="UYU997" s="2335"/>
      <c r="UYV997" s="2335"/>
      <c r="UYW997" s="2335"/>
      <c r="UYX997" s="2335"/>
      <c r="UYY997" s="2335"/>
      <c r="UYZ997" s="2335"/>
      <c r="UZA997" s="2335"/>
      <c r="UZB997" s="2335"/>
      <c r="UZC997" s="2335"/>
      <c r="UZD997" s="2335"/>
      <c r="UZE997" s="2335"/>
      <c r="UZF997" s="2335"/>
      <c r="UZG997" s="2335"/>
      <c r="UZH997" s="2335"/>
      <c r="UZI997" s="2335"/>
      <c r="UZJ997" s="2335"/>
      <c r="UZK997" s="2335"/>
      <c r="UZL997" s="2335"/>
      <c r="UZM997" s="2335"/>
      <c r="UZN997" s="2335"/>
      <c r="UZO997" s="2335"/>
      <c r="UZP997" s="2335"/>
      <c r="UZQ997" s="2335"/>
      <c r="UZR997" s="2335"/>
      <c r="UZS997" s="2335"/>
      <c r="UZT997" s="2335"/>
      <c r="UZU997" s="2335"/>
      <c r="UZV997" s="2335"/>
      <c r="UZW997" s="2335"/>
      <c r="UZX997" s="2335"/>
      <c r="UZY997" s="2335"/>
      <c r="UZZ997" s="2335"/>
      <c r="VAA997" s="2335"/>
      <c r="VAB997" s="2335"/>
      <c r="VAC997" s="2335"/>
      <c r="VAD997" s="2335"/>
      <c r="VAE997" s="2335"/>
      <c r="VAF997" s="2335"/>
      <c r="VAG997" s="2335"/>
      <c r="VAH997" s="2335"/>
      <c r="VAI997" s="2335"/>
      <c r="VAJ997" s="2335"/>
      <c r="VAK997" s="2335"/>
      <c r="VAL997" s="2335"/>
      <c r="VAM997" s="2335"/>
      <c r="VAN997" s="2335"/>
      <c r="VAO997" s="2335"/>
      <c r="VAP997" s="2335"/>
      <c r="VAQ997" s="2335"/>
      <c r="VAR997" s="2335"/>
      <c r="VAS997" s="2335"/>
      <c r="VAT997" s="2335"/>
      <c r="VAU997" s="2335"/>
      <c r="VAV997" s="2335"/>
      <c r="VAW997" s="2335"/>
      <c r="VAX997" s="2335"/>
      <c r="VAY997" s="2335"/>
      <c r="VAZ997" s="2335"/>
      <c r="VBA997" s="2335"/>
      <c r="VBB997" s="2335"/>
      <c r="VBC997" s="2335"/>
      <c r="VBD997" s="2335"/>
      <c r="VBE997" s="2335"/>
      <c r="VBF997" s="2335"/>
      <c r="VBG997" s="2335"/>
      <c r="VBH997" s="2335"/>
      <c r="VBI997" s="2335"/>
      <c r="VBJ997" s="2335"/>
      <c r="VBK997" s="2335"/>
      <c r="VBL997" s="2335"/>
      <c r="VBM997" s="2335"/>
      <c r="VBN997" s="2335"/>
      <c r="VBO997" s="2335"/>
      <c r="VBP997" s="2335"/>
      <c r="VBQ997" s="2335"/>
      <c r="VBR997" s="2335"/>
      <c r="VBS997" s="2335"/>
      <c r="VBT997" s="2335"/>
      <c r="VBU997" s="2335"/>
      <c r="VBV997" s="2335"/>
      <c r="VBW997" s="2335"/>
      <c r="VBX997" s="2335"/>
      <c r="VBY997" s="2335"/>
      <c r="VBZ997" s="2335"/>
      <c r="VCA997" s="2335"/>
      <c r="VCB997" s="2335"/>
      <c r="VCC997" s="2335"/>
      <c r="VCD997" s="2335"/>
      <c r="VCE997" s="2335"/>
      <c r="VCF997" s="2335"/>
      <c r="VCG997" s="2335"/>
      <c r="VCH997" s="2335"/>
      <c r="VCI997" s="2335"/>
      <c r="VCJ997" s="2335"/>
      <c r="VCK997" s="2335"/>
      <c r="VCL997" s="2335"/>
      <c r="VCM997" s="2335"/>
      <c r="VCN997" s="2335"/>
      <c r="VCO997" s="2335"/>
      <c r="VCP997" s="2335"/>
      <c r="VCQ997" s="2335"/>
      <c r="VCR997" s="2335"/>
      <c r="VCS997" s="2335"/>
      <c r="VCT997" s="2335"/>
      <c r="VCU997" s="2335"/>
      <c r="VCV997" s="2335"/>
      <c r="VCW997" s="2335"/>
      <c r="VCX997" s="2335"/>
      <c r="VCY997" s="2335"/>
      <c r="VCZ997" s="2335"/>
      <c r="VDA997" s="2335"/>
      <c r="VDB997" s="2335"/>
      <c r="VDC997" s="2335"/>
      <c r="VDD997" s="2335"/>
      <c r="VDE997" s="2335"/>
      <c r="VDF997" s="2335"/>
      <c r="VDG997" s="2335"/>
      <c r="VDH997" s="2335"/>
      <c r="VDI997" s="2335"/>
      <c r="VDJ997" s="2335"/>
      <c r="VDK997" s="2335"/>
      <c r="VDL997" s="2335"/>
      <c r="VDM997" s="2335"/>
      <c r="VDN997" s="2335"/>
      <c r="VDO997" s="2335"/>
      <c r="VDP997" s="2335"/>
      <c r="VDQ997" s="2335"/>
      <c r="VDR997" s="2335"/>
      <c r="VDS997" s="2335"/>
      <c r="VDT997" s="2335"/>
      <c r="VDU997" s="2335"/>
      <c r="VDV997" s="2335"/>
      <c r="VDW997" s="2335"/>
      <c r="VDX997" s="2335"/>
      <c r="VDY997" s="2335"/>
      <c r="VDZ997" s="2335"/>
      <c r="VEA997" s="2335"/>
      <c r="VEB997" s="2335"/>
      <c r="VEC997" s="2335"/>
      <c r="VED997" s="2335"/>
      <c r="VEE997" s="2335"/>
      <c r="VEF997" s="2335"/>
      <c r="VEG997" s="2335"/>
      <c r="VEH997" s="2335"/>
      <c r="VEI997" s="2335"/>
      <c r="VEJ997" s="2335"/>
      <c r="VEK997" s="2335"/>
      <c r="VEL997" s="2335"/>
      <c r="VEM997" s="2335"/>
      <c r="VEN997" s="2335"/>
      <c r="VEO997" s="2335"/>
      <c r="VEP997" s="2335"/>
      <c r="VEQ997" s="2335"/>
      <c r="VER997" s="2335"/>
      <c r="VES997" s="2335"/>
      <c r="VET997" s="2335"/>
      <c r="VEU997" s="2335"/>
      <c r="VEV997" s="2335"/>
      <c r="VEW997" s="2335"/>
      <c r="VEX997" s="2335"/>
      <c r="VEY997" s="2335"/>
      <c r="VEZ997" s="2335"/>
      <c r="VFA997" s="2335"/>
      <c r="VFB997" s="2335"/>
      <c r="VFC997" s="2335"/>
      <c r="VFD997" s="2335"/>
      <c r="VFE997" s="2335"/>
      <c r="VFF997" s="2335"/>
      <c r="VFG997" s="2335"/>
      <c r="VFH997" s="2335"/>
      <c r="VFI997" s="2335"/>
      <c r="VFJ997" s="2335"/>
      <c r="VFK997" s="2335"/>
      <c r="VFL997" s="2335"/>
      <c r="VFM997" s="2335"/>
      <c r="VFN997" s="2335"/>
      <c r="VFO997" s="2335"/>
      <c r="VFP997" s="2335"/>
      <c r="VFQ997" s="2335"/>
      <c r="VFR997" s="2335"/>
      <c r="VFS997" s="2335"/>
      <c r="VFT997" s="2335"/>
      <c r="VFU997" s="2335"/>
      <c r="VFV997" s="2335"/>
      <c r="VFW997" s="2335"/>
      <c r="VFX997" s="2335"/>
      <c r="VFY997" s="2335"/>
      <c r="VFZ997" s="2335"/>
      <c r="VGA997" s="2335"/>
      <c r="VGB997" s="2335"/>
      <c r="VGC997" s="2335"/>
      <c r="VGD997" s="2335"/>
      <c r="VGE997" s="2335"/>
      <c r="VGF997" s="2335"/>
      <c r="VGG997" s="2335"/>
      <c r="VGH997" s="2335"/>
      <c r="VGI997" s="2335"/>
      <c r="VGJ997" s="2335"/>
      <c r="VGK997" s="2335"/>
      <c r="VGL997" s="2335"/>
      <c r="VGM997" s="2335"/>
      <c r="VGN997" s="2335"/>
      <c r="VGO997" s="2335"/>
      <c r="VGP997" s="2335"/>
      <c r="VGQ997" s="2335"/>
      <c r="VGR997" s="2335"/>
      <c r="VGS997" s="2335"/>
      <c r="VGT997" s="2335"/>
      <c r="VGU997" s="2335"/>
      <c r="VGV997" s="2335"/>
      <c r="VGW997" s="2335"/>
      <c r="VGX997" s="2335"/>
      <c r="VGY997" s="2335"/>
      <c r="VGZ997" s="2335"/>
      <c r="VHA997" s="2335"/>
      <c r="VHB997" s="2335"/>
      <c r="VHC997" s="2335"/>
      <c r="VHD997" s="2335"/>
      <c r="VHE997" s="2335"/>
      <c r="VHF997" s="2335"/>
      <c r="VHG997" s="2335"/>
      <c r="VHH997" s="2335"/>
      <c r="VHI997" s="2335"/>
      <c r="VHJ997" s="2335"/>
      <c r="VHK997" s="2335"/>
      <c r="VHL997" s="2335"/>
      <c r="VHM997" s="2335"/>
      <c r="VHN997" s="2335"/>
      <c r="VHO997" s="2335"/>
      <c r="VHP997" s="2335"/>
      <c r="VHQ997" s="2335"/>
      <c r="VHR997" s="2335"/>
      <c r="VHS997" s="2335"/>
      <c r="VHT997" s="2335"/>
      <c r="VHU997" s="2335"/>
      <c r="VHV997" s="2335"/>
      <c r="VHW997" s="2335"/>
      <c r="VHX997" s="2335"/>
      <c r="VHY997" s="2335"/>
      <c r="VHZ997" s="2335"/>
      <c r="VIA997" s="2335"/>
      <c r="VIB997" s="2335"/>
      <c r="VIC997" s="2335"/>
      <c r="VID997" s="2335"/>
      <c r="VIE997" s="2335"/>
      <c r="VIF997" s="2335"/>
      <c r="VIG997" s="2335"/>
      <c r="VIH997" s="2335"/>
      <c r="VII997" s="2335"/>
      <c r="VIJ997" s="2335"/>
      <c r="VIK997" s="2335"/>
      <c r="VIL997" s="2335"/>
      <c r="VIM997" s="2335"/>
      <c r="VIN997" s="2335"/>
      <c r="VIO997" s="2335"/>
      <c r="VIP997" s="2335"/>
      <c r="VIQ997" s="2335"/>
      <c r="VIR997" s="2335"/>
      <c r="VIS997" s="2335"/>
      <c r="VIT997" s="2335"/>
      <c r="VIU997" s="2335"/>
      <c r="VIV997" s="2335"/>
      <c r="VIW997" s="2335"/>
      <c r="VIX997" s="2335"/>
      <c r="VIY997" s="2335"/>
      <c r="VIZ997" s="2335"/>
      <c r="VJA997" s="2335"/>
      <c r="VJB997" s="2335"/>
      <c r="VJC997" s="2335"/>
      <c r="VJD997" s="2335"/>
      <c r="VJE997" s="2335"/>
      <c r="VJF997" s="2335"/>
      <c r="VJG997" s="2335"/>
      <c r="VJH997" s="2335"/>
      <c r="VJI997" s="2335"/>
      <c r="VJJ997" s="2335"/>
      <c r="VJK997" s="2335"/>
      <c r="VJL997" s="2335"/>
      <c r="VJM997" s="2335"/>
      <c r="VJN997" s="2335"/>
      <c r="VJO997" s="2335"/>
      <c r="VJP997" s="2335"/>
      <c r="VJQ997" s="2335"/>
      <c r="VJR997" s="2335"/>
      <c r="VJS997" s="2335"/>
      <c r="VJT997" s="2335"/>
      <c r="VJU997" s="2335"/>
      <c r="VJV997" s="2335"/>
      <c r="VJW997" s="2335"/>
      <c r="VJX997" s="2335"/>
      <c r="VJY997" s="2335"/>
      <c r="VJZ997" s="2335"/>
      <c r="VKA997" s="2335"/>
      <c r="VKB997" s="2335"/>
      <c r="VKC997" s="2335"/>
      <c r="VKD997" s="2335"/>
      <c r="VKE997" s="2335"/>
      <c r="VKF997" s="2335"/>
      <c r="VKG997" s="2335"/>
      <c r="VKH997" s="2335"/>
      <c r="VKI997" s="2335"/>
      <c r="VKJ997" s="2335"/>
      <c r="VKK997" s="2335"/>
      <c r="VKL997" s="2335"/>
      <c r="VKM997" s="2335"/>
      <c r="VKN997" s="2335"/>
      <c r="VKO997" s="2335"/>
      <c r="VKP997" s="2335"/>
      <c r="VKQ997" s="2335"/>
      <c r="VKR997" s="2335"/>
      <c r="VKS997" s="2335"/>
      <c r="VKT997" s="2335"/>
      <c r="VKU997" s="2335"/>
      <c r="VKV997" s="2335"/>
      <c r="VKW997" s="2335"/>
      <c r="VKX997" s="2335"/>
      <c r="VKY997" s="2335"/>
      <c r="VKZ997" s="2335"/>
      <c r="VLA997" s="2335"/>
      <c r="VLB997" s="2335"/>
      <c r="VLC997" s="2335"/>
      <c r="VLD997" s="2335"/>
      <c r="VLE997" s="2335"/>
      <c r="VLF997" s="2335"/>
      <c r="VLG997" s="2335"/>
      <c r="VLH997" s="2335"/>
      <c r="VLI997" s="2335"/>
      <c r="VLJ997" s="2335"/>
      <c r="VLK997" s="2335"/>
      <c r="VLL997" s="2335"/>
      <c r="VLM997" s="2335"/>
      <c r="VLN997" s="2335"/>
      <c r="VLO997" s="2335"/>
      <c r="VLP997" s="2335"/>
      <c r="VLQ997" s="2335"/>
      <c r="VLR997" s="2335"/>
      <c r="VLS997" s="2335"/>
      <c r="VLT997" s="2335"/>
      <c r="VLU997" s="2335"/>
      <c r="VLV997" s="2335"/>
      <c r="VLW997" s="2335"/>
      <c r="VLX997" s="2335"/>
      <c r="VLY997" s="2335"/>
      <c r="VLZ997" s="2335"/>
      <c r="VMA997" s="2335"/>
      <c r="VMB997" s="2335"/>
      <c r="VMC997" s="2335"/>
      <c r="VMD997" s="2335"/>
      <c r="VME997" s="2335"/>
      <c r="VMF997" s="2335"/>
      <c r="VMG997" s="2335"/>
      <c r="VMH997" s="2335"/>
      <c r="VMI997" s="2335"/>
      <c r="VMJ997" s="2335"/>
      <c r="VMK997" s="2335"/>
      <c r="VML997" s="2335"/>
      <c r="VMM997" s="2335"/>
      <c r="VMN997" s="2335"/>
      <c r="VMO997" s="2335"/>
      <c r="VMP997" s="2335"/>
      <c r="VMQ997" s="2335"/>
      <c r="VMR997" s="2335"/>
      <c r="VMS997" s="2335"/>
      <c r="VMT997" s="2335"/>
      <c r="VMU997" s="2335"/>
      <c r="VMV997" s="2335"/>
      <c r="VMW997" s="2335"/>
      <c r="VMX997" s="2335"/>
      <c r="VMY997" s="2335"/>
      <c r="VMZ997" s="2335"/>
      <c r="VNA997" s="2335"/>
      <c r="VNB997" s="2335"/>
      <c r="VNC997" s="2335"/>
      <c r="VND997" s="2335"/>
      <c r="VNE997" s="2335"/>
      <c r="VNF997" s="2335"/>
      <c r="VNG997" s="2335"/>
      <c r="VNH997" s="2335"/>
      <c r="VNI997" s="2335"/>
      <c r="VNJ997" s="2335"/>
      <c r="VNK997" s="2335"/>
      <c r="VNL997" s="2335"/>
      <c r="VNM997" s="2335"/>
      <c r="VNN997" s="2335"/>
      <c r="VNO997" s="2335"/>
      <c r="VNP997" s="2335"/>
      <c r="VNQ997" s="2335"/>
      <c r="VNR997" s="2335"/>
      <c r="VNS997" s="2335"/>
      <c r="VNT997" s="2335"/>
      <c r="VNU997" s="2335"/>
      <c r="VNV997" s="2335"/>
      <c r="VNW997" s="2335"/>
      <c r="VNX997" s="2335"/>
      <c r="VNY997" s="2335"/>
      <c r="VNZ997" s="2335"/>
      <c r="VOA997" s="2335"/>
      <c r="VOB997" s="2335"/>
      <c r="VOC997" s="2335"/>
      <c r="VOD997" s="2335"/>
      <c r="VOE997" s="2335"/>
      <c r="VOF997" s="2335"/>
      <c r="VOG997" s="2335"/>
      <c r="VOH997" s="2335"/>
      <c r="VOI997" s="2335"/>
      <c r="VOJ997" s="2335"/>
      <c r="VOK997" s="2335"/>
      <c r="VOL997" s="2335"/>
      <c r="VOM997" s="2335"/>
      <c r="VON997" s="2335"/>
      <c r="VOO997" s="2335"/>
      <c r="VOP997" s="2335"/>
      <c r="VOQ997" s="2335"/>
      <c r="VOR997" s="2335"/>
      <c r="VOS997" s="2335"/>
      <c r="VOT997" s="2335"/>
      <c r="VOU997" s="2335"/>
      <c r="VOV997" s="2335"/>
      <c r="VOW997" s="2335"/>
      <c r="VOX997" s="2335"/>
      <c r="VOY997" s="2335"/>
      <c r="VOZ997" s="2335"/>
      <c r="VPA997" s="2335"/>
      <c r="VPB997" s="2335"/>
      <c r="VPC997" s="2335"/>
      <c r="VPD997" s="2335"/>
      <c r="VPE997" s="2335"/>
      <c r="VPF997" s="2335"/>
      <c r="VPG997" s="2335"/>
      <c r="VPH997" s="2335"/>
      <c r="VPI997" s="2335"/>
      <c r="VPJ997" s="2335"/>
      <c r="VPK997" s="2335"/>
      <c r="VPL997" s="2335"/>
      <c r="VPM997" s="2335"/>
      <c r="VPN997" s="2335"/>
      <c r="VPO997" s="2335"/>
      <c r="VPP997" s="2335"/>
      <c r="VPQ997" s="2335"/>
      <c r="VPR997" s="2335"/>
      <c r="VPS997" s="2335"/>
      <c r="VPT997" s="2335"/>
      <c r="VPU997" s="2335"/>
      <c r="VPV997" s="2335"/>
      <c r="VPW997" s="2335"/>
      <c r="VPX997" s="2335"/>
      <c r="VPY997" s="2335"/>
      <c r="VPZ997" s="2335"/>
      <c r="VQA997" s="2335"/>
      <c r="VQB997" s="2335"/>
      <c r="VQC997" s="2335"/>
      <c r="VQD997" s="2335"/>
      <c r="VQE997" s="2335"/>
      <c r="VQF997" s="2335"/>
      <c r="VQG997" s="2335"/>
      <c r="VQH997" s="2335"/>
      <c r="VQI997" s="2335"/>
      <c r="VQJ997" s="2335"/>
      <c r="VQK997" s="2335"/>
      <c r="VQL997" s="2335"/>
      <c r="VQM997" s="2335"/>
      <c r="VQN997" s="2335"/>
      <c r="VQO997" s="2335"/>
      <c r="VQP997" s="2335"/>
      <c r="VQQ997" s="2335"/>
      <c r="VQR997" s="2335"/>
      <c r="VQS997" s="2335"/>
      <c r="VQT997" s="2335"/>
      <c r="VQU997" s="2335"/>
      <c r="VQV997" s="2335"/>
      <c r="VQW997" s="2335"/>
      <c r="VQX997" s="2335"/>
      <c r="VQY997" s="2335"/>
      <c r="VQZ997" s="2335"/>
      <c r="VRA997" s="2335"/>
      <c r="VRB997" s="2335"/>
      <c r="VRC997" s="2335"/>
      <c r="VRD997" s="2335"/>
      <c r="VRE997" s="2335"/>
      <c r="VRF997" s="2335"/>
      <c r="VRG997" s="2335"/>
      <c r="VRH997" s="2335"/>
      <c r="VRI997" s="2335"/>
      <c r="VRJ997" s="2335"/>
      <c r="VRK997" s="2335"/>
      <c r="VRL997" s="2335"/>
      <c r="VRM997" s="2335"/>
      <c r="VRN997" s="2335"/>
      <c r="VRO997" s="2335"/>
      <c r="VRP997" s="2335"/>
      <c r="VRQ997" s="2335"/>
      <c r="VRR997" s="2335"/>
      <c r="VRS997" s="2335"/>
      <c r="VRT997" s="2335"/>
      <c r="VRU997" s="2335"/>
      <c r="VRV997" s="2335"/>
      <c r="VRW997" s="2335"/>
      <c r="VRX997" s="2335"/>
      <c r="VRY997" s="2335"/>
      <c r="VRZ997" s="2335"/>
      <c r="VSA997" s="2335"/>
      <c r="VSB997" s="2335"/>
      <c r="VSC997" s="2335"/>
      <c r="VSD997" s="2335"/>
      <c r="VSE997" s="2335"/>
      <c r="VSF997" s="2335"/>
      <c r="VSG997" s="2335"/>
      <c r="VSH997" s="2335"/>
      <c r="VSI997" s="2335"/>
      <c r="VSJ997" s="2335"/>
      <c r="VSK997" s="2335"/>
      <c r="VSL997" s="2335"/>
      <c r="VSM997" s="2335"/>
      <c r="VSN997" s="2335"/>
      <c r="VSO997" s="2335"/>
      <c r="VSP997" s="2335"/>
      <c r="VSQ997" s="2335"/>
      <c r="VSR997" s="2335"/>
      <c r="VSS997" s="2335"/>
      <c r="VST997" s="2335"/>
      <c r="VSU997" s="2335"/>
      <c r="VSV997" s="2335"/>
      <c r="VSW997" s="2335"/>
      <c r="VSX997" s="2335"/>
      <c r="VSY997" s="2335"/>
      <c r="VSZ997" s="2335"/>
      <c r="VTA997" s="2335"/>
      <c r="VTB997" s="2335"/>
      <c r="VTC997" s="2335"/>
      <c r="VTD997" s="2335"/>
      <c r="VTE997" s="2335"/>
      <c r="VTF997" s="2335"/>
      <c r="VTG997" s="2335"/>
      <c r="VTH997" s="2335"/>
      <c r="VTI997" s="2335"/>
      <c r="VTJ997" s="2335"/>
      <c r="VTK997" s="2335"/>
      <c r="VTL997" s="2335"/>
      <c r="VTM997" s="2335"/>
      <c r="VTN997" s="2335"/>
      <c r="VTO997" s="2335"/>
      <c r="VTP997" s="2335"/>
      <c r="VTQ997" s="2335"/>
      <c r="VTR997" s="2335"/>
      <c r="VTS997" s="2335"/>
      <c r="VTT997" s="2335"/>
      <c r="VTU997" s="2335"/>
      <c r="VTV997" s="2335"/>
      <c r="VTW997" s="2335"/>
      <c r="VTX997" s="2335"/>
      <c r="VTY997" s="2335"/>
      <c r="VTZ997" s="2335"/>
      <c r="VUA997" s="2335"/>
      <c r="VUB997" s="2335"/>
      <c r="VUC997" s="2335"/>
      <c r="VUD997" s="2335"/>
      <c r="VUE997" s="2335"/>
      <c r="VUF997" s="2335"/>
      <c r="VUG997" s="2335"/>
      <c r="VUH997" s="2335"/>
      <c r="VUI997" s="2335"/>
      <c r="VUJ997" s="2335"/>
      <c r="VUK997" s="2335"/>
      <c r="VUL997" s="2335"/>
      <c r="VUM997" s="2335"/>
      <c r="VUN997" s="2335"/>
      <c r="VUO997" s="2335"/>
      <c r="VUP997" s="2335"/>
      <c r="VUQ997" s="2335"/>
      <c r="VUR997" s="2335"/>
      <c r="VUS997" s="2335"/>
      <c r="VUT997" s="2335"/>
      <c r="VUU997" s="2335"/>
      <c r="VUV997" s="2335"/>
      <c r="VUW997" s="2335"/>
      <c r="VUX997" s="2335"/>
      <c r="VUY997" s="2335"/>
      <c r="VUZ997" s="2335"/>
      <c r="VVA997" s="2335"/>
      <c r="VVB997" s="2335"/>
      <c r="VVC997" s="2335"/>
      <c r="VVD997" s="2335"/>
      <c r="VVE997" s="2335"/>
      <c r="VVF997" s="2335"/>
      <c r="VVG997" s="2335"/>
      <c r="VVH997" s="2335"/>
      <c r="VVI997" s="2335"/>
      <c r="VVJ997" s="2335"/>
      <c r="VVK997" s="2335"/>
      <c r="VVL997" s="2335"/>
      <c r="VVM997" s="2335"/>
      <c r="VVN997" s="2335"/>
      <c r="VVO997" s="2335"/>
      <c r="VVP997" s="2335"/>
      <c r="VVQ997" s="2335"/>
      <c r="VVR997" s="2335"/>
      <c r="VVS997" s="2335"/>
      <c r="VVT997" s="2335"/>
      <c r="VVU997" s="2335"/>
      <c r="VVV997" s="2335"/>
      <c r="VVW997" s="2335"/>
      <c r="VVX997" s="2335"/>
      <c r="VVY997" s="2335"/>
      <c r="VVZ997" s="2335"/>
      <c r="VWA997" s="2335"/>
      <c r="VWB997" s="2335"/>
      <c r="VWC997" s="2335"/>
      <c r="VWD997" s="2335"/>
      <c r="VWE997" s="2335"/>
      <c r="VWF997" s="2335"/>
      <c r="VWG997" s="2335"/>
      <c r="VWH997" s="2335"/>
      <c r="VWI997" s="2335"/>
      <c r="VWJ997" s="2335"/>
      <c r="VWK997" s="2335"/>
      <c r="VWL997" s="2335"/>
      <c r="VWM997" s="2335"/>
      <c r="VWN997" s="2335"/>
      <c r="VWO997" s="2335"/>
      <c r="VWP997" s="2335"/>
      <c r="VWQ997" s="2335"/>
      <c r="VWR997" s="2335"/>
      <c r="VWS997" s="2335"/>
      <c r="VWT997" s="2335"/>
      <c r="VWU997" s="2335"/>
      <c r="VWV997" s="2335"/>
      <c r="VWW997" s="2335"/>
      <c r="VWX997" s="2335"/>
      <c r="VWY997" s="2335"/>
      <c r="VWZ997" s="2335"/>
      <c r="VXA997" s="2335"/>
      <c r="VXB997" s="2335"/>
      <c r="VXC997" s="2335"/>
      <c r="VXD997" s="2335"/>
      <c r="VXE997" s="2335"/>
      <c r="VXF997" s="2335"/>
      <c r="VXG997" s="2335"/>
      <c r="VXH997" s="2335"/>
      <c r="VXI997" s="2335"/>
      <c r="VXJ997" s="2335"/>
      <c r="VXK997" s="2335"/>
      <c r="VXL997" s="2335"/>
      <c r="VXM997" s="2335"/>
      <c r="VXN997" s="2335"/>
      <c r="VXO997" s="2335"/>
      <c r="VXP997" s="2335"/>
      <c r="VXQ997" s="2335"/>
      <c r="VXR997" s="2335"/>
      <c r="VXS997" s="2335"/>
      <c r="VXT997" s="2335"/>
      <c r="VXU997" s="2335"/>
      <c r="VXV997" s="2335"/>
      <c r="VXW997" s="2335"/>
      <c r="VXX997" s="2335"/>
      <c r="VXY997" s="2335"/>
      <c r="VXZ997" s="2335"/>
      <c r="VYA997" s="2335"/>
      <c r="VYB997" s="2335"/>
      <c r="VYC997" s="2335"/>
      <c r="VYD997" s="2335"/>
      <c r="VYE997" s="2335"/>
      <c r="VYF997" s="2335"/>
      <c r="VYG997" s="2335"/>
      <c r="VYH997" s="2335"/>
      <c r="VYI997" s="2335"/>
      <c r="VYJ997" s="2335"/>
      <c r="VYK997" s="2335"/>
      <c r="VYL997" s="2335"/>
      <c r="VYM997" s="2335"/>
      <c r="VYN997" s="2335"/>
      <c r="VYO997" s="2335"/>
      <c r="VYP997" s="2335"/>
      <c r="VYQ997" s="2335"/>
      <c r="VYR997" s="2335"/>
      <c r="VYS997" s="2335"/>
      <c r="VYT997" s="2335"/>
      <c r="VYU997" s="2335"/>
      <c r="VYV997" s="2335"/>
      <c r="VYW997" s="2335"/>
      <c r="VYX997" s="2335"/>
      <c r="VYY997" s="2335"/>
      <c r="VYZ997" s="2335"/>
      <c r="VZA997" s="2335"/>
      <c r="VZB997" s="2335"/>
      <c r="VZC997" s="2335"/>
      <c r="VZD997" s="2335"/>
      <c r="VZE997" s="2335"/>
      <c r="VZF997" s="2335"/>
      <c r="VZG997" s="2335"/>
      <c r="VZH997" s="2335"/>
      <c r="VZI997" s="2335"/>
      <c r="VZJ997" s="2335"/>
      <c r="VZK997" s="2335"/>
      <c r="VZL997" s="2335"/>
      <c r="VZM997" s="2335"/>
      <c r="VZN997" s="2335"/>
      <c r="VZO997" s="2335"/>
      <c r="VZP997" s="2335"/>
      <c r="VZQ997" s="2335"/>
      <c r="VZR997" s="2335"/>
      <c r="VZS997" s="2335"/>
      <c r="VZT997" s="2335"/>
      <c r="VZU997" s="2335"/>
      <c r="VZV997" s="2335"/>
      <c r="VZW997" s="2335"/>
      <c r="VZX997" s="2335"/>
      <c r="VZY997" s="2335"/>
      <c r="VZZ997" s="2335"/>
      <c r="WAA997" s="2335"/>
      <c r="WAB997" s="2335"/>
      <c r="WAC997" s="2335"/>
      <c r="WAD997" s="2335"/>
      <c r="WAE997" s="2335"/>
      <c r="WAF997" s="2335"/>
      <c r="WAG997" s="2335"/>
      <c r="WAH997" s="2335"/>
      <c r="WAI997" s="2335"/>
      <c r="WAJ997" s="2335"/>
      <c r="WAK997" s="2335"/>
      <c r="WAL997" s="2335"/>
      <c r="WAM997" s="2335"/>
      <c r="WAN997" s="2335"/>
      <c r="WAO997" s="2335"/>
      <c r="WAP997" s="2335"/>
      <c r="WAQ997" s="2335"/>
      <c r="WAR997" s="2335"/>
      <c r="WAS997" s="2335"/>
      <c r="WAT997" s="2335"/>
      <c r="WAU997" s="2335"/>
      <c r="WAV997" s="2335"/>
      <c r="WAW997" s="2335"/>
      <c r="WAX997" s="2335"/>
      <c r="WAY997" s="2335"/>
      <c r="WAZ997" s="2335"/>
      <c r="WBA997" s="2335"/>
      <c r="WBB997" s="2335"/>
      <c r="WBC997" s="2335"/>
      <c r="WBD997" s="2335"/>
      <c r="WBE997" s="2335"/>
      <c r="WBF997" s="2335"/>
      <c r="WBG997" s="2335"/>
      <c r="WBH997" s="2335"/>
      <c r="WBI997" s="2335"/>
      <c r="WBJ997" s="2335"/>
      <c r="WBK997" s="2335"/>
      <c r="WBL997" s="2335"/>
      <c r="WBM997" s="2335"/>
      <c r="WBN997" s="2335"/>
      <c r="WBO997" s="2335"/>
      <c r="WBP997" s="2335"/>
      <c r="WBQ997" s="2335"/>
      <c r="WBR997" s="2335"/>
      <c r="WBS997" s="2335"/>
      <c r="WBT997" s="2335"/>
      <c r="WBU997" s="2335"/>
      <c r="WBV997" s="2335"/>
      <c r="WBW997" s="2335"/>
      <c r="WBX997" s="2335"/>
      <c r="WBY997" s="2335"/>
      <c r="WBZ997" s="2335"/>
      <c r="WCA997" s="2335"/>
      <c r="WCB997" s="2335"/>
      <c r="WCC997" s="2335"/>
      <c r="WCD997" s="2335"/>
      <c r="WCE997" s="2335"/>
      <c r="WCF997" s="2335"/>
      <c r="WCG997" s="2335"/>
      <c r="WCH997" s="2335"/>
      <c r="WCI997" s="2335"/>
      <c r="WCJ997" s="2335"/>
      <c r="WCK997" s="2335"/>
      <c r="WCL997" s="2335"/>
      <c r="WCM997" s="2335"/>
      <c r="WCN997" s="2335"/>
      <c r="WCO997" s="2335"/>
      <c r="WCP997" s="2335"/>
      <c r="WCQ997" s="2335"/>
      <c r="WCR997" s="2335"/>
      <c r="WCS997" s="2335"/>
      <c r="WCT997" s="2335"/>
      <c r="WCU997" s="2335"/>
      <c r="WCV997" s="2335"/>
      <c r="WCW997" s="2335"/>
      <c r="WCX997" s="2335"/>
      <c r="WCY997" s="2335"/>
      <c r="WCZ997" s="2335"/>
      <c r="WDA997" s="2335"/>
      <c r="WDB997" s="2335"/>
      <c r="WDC997" s="2335"/>
      <c r="WDD997" s="2335"/>
      <c r="WDE997" s="2335"/>
      <c r="WDF997" s="2335"/>
      <c r="WDG997" s="2335"/>
      <c r="WDH997" s="2335"/>
      <c r="WDI997" s="2335"/>
      <c r="WDJ997" s="2335"/>
      <c r="WDK997" s="2335"/>
      <c r="WDL997" s="2335"/>
      <c r="WDM997" s="2335"/>
      <c r="WDN997" s="2335"/>
      <c r="WDO997" s="2335"/>
      <c r="WDP997" s="2335"/>
      <c r="WDQ997" s="2335"/>
      <c r="WDR997" s="2335"/>
      <c r="WDS997" s="2335"/>
      <c r="WDT997" s="2335"/>
      <c r="WDU997" s="2335"/>
      <c r="WDV997" s="2335"/>
      <c r="WDW997" s="2335"/>
      <c r="WDX997" s="2335"/>
      <c r="WDY997" s="2335"/>
      <c r="WDZ997" s="2335"/>
      <c r="WEA997" s="2335"/>
      <c r="WEB997" s="2335"/>
      <c r="WEC997" s="2335"/>
      <c r="WED997" s="2335"/>
      <c r="WEE997" s="2335"/>
      <c r="WEF997" s="2335"/>
      <c r="WEG997" s="2335"/>
      <c r="WEH997" s="2335"/>
      <c r="WEI997" s="2335"/>
      <c r="WEJ997" s="2335"/>
      <c r="WEK997" s="2335"/>
      <c r="WEL997" s="2335"/>
      <c r="WEM997" s="2335"/>
      <c r="WEN997" s="2335"/>
      <c r="WEO997" s="2335"/>
      <c r="WEP997" s="2335"/>
      <c r="WEQ997" s="2335"/>
      <c r="WER997" s="2335"/>
      <c r="WES997" s="2335"/>
      <c r="WET997" s="2335"/>
      <c r="WEU997" s="2335"/>
      <c r="WEV997" s="2335"/>
      <c r="WEW997" s="2335"/>
      <c r="WEX997" s="2335"/>
      <c r="WEY997" s="2335"/>
      <c r="WEZ997" s="2335"/>
      <c r="WFA997" s="2335"/>
      <c r="WFB997" s="2335"/>
      <c r="WFC997" s="2335"/>
      <c r="WFD997" s="2335"/>
      <c r="WFE997" s="2335"/>
      <c r="WFF997" s="2335"/>
      <c r="WFG997" s="2335"/>
      <c r="WFH997" s="2335"/>
      <c r="WFI997" s="2335"/>
      <c r="WFJ997" s="2335"/>
      <c r="WFK997" s="2335"/>
      <c r="WFL997" s="2335"/>
      <c r="WFM997" s="2335"/>
      <c r="WFN997" s="2335"/>
      <c r="WFO997" s="2335"/>
      <c r="WFP997" s="2335"/>
      <c r="WFQ997" s="2335"/>
      <c r="WFR997" s="2335"/>
      <c r="WFS997" s="2335"/>
      <c r="WFT997" s="2335"/>
      <c r="WFU997" s="2335"/>
      <c r="WFV997" s="2335"/>
      <c r="WFW997" s="2335"/>
      <c r="WFX997" s="2335"/>
      <c r="WFY997" s="2335"/>
      <c r="WFZ997" s="2335"/>
      <c r="WGA997" s="2335"/>
      <c r="WGB997" s="2335"/>
      <c r="WGC997" s="2335"/>
      <c r="WGD997" s="2335"/>
      <c r="WGE997" s="2335"/>
      <c r="WGF997" s="2335"/>
      <c r="WGG997" s="2335"/>
      <c r="WGH997" s="2335"/>
      <c r="WGI997" s="2335"/>
      <c r="WGJ997" s="2335"/>
      <c r="WGK997" s="2335"/>
      <c r="WGL997" s="2335"/>
      <c r="WGM997" s="2335"/>
      <c r="WGN997" s="2335"/>
      <c r="WGO997" s="2335"/>
      <c r="WGP997" s="2335"/>
      <c r="WGQ997" s="2335"/>
      <c r="WGR997" s="2335"/>
      <c r="WGS997" s="2335"/>
      <c r="WGT997" s="2335"/>
      <c r="WGU997" s="2335"/>
      <c r="WGV997" s="2335"/>
      <c r="WGW997" s="2335"/>
      <c r="WGX997" s="2335"/>
      <c r="WGY997" s="2335"/>
      <c r="WGZ997" s="2335"/>
      <c r="WHA997" s="2335"/>
      <c r="WHB997" s="2335"/>
      <c r="WHC997" s="2335"/>
      <c r="WHD997" s="2335"/>
      <c r="WHE997" s="2335"/>
      <c r="WHF997" s="2335"/>
      <c r="WHG997" s="2335"/>
      <c r="WHH997" s="2335"/>
      <c r="WHI997" s="2335"/>
      <c r="WHJ997" s="2335"/>
      <c r="WHK997" s="2335"/>
      <c r="WHL997" s="2335"/>
      <c r="WHM997" s="2335"/>
      <c r="WHN997" s="2335"/>
      <c r="WHO997" s="2335"/>
      <c r="WHP997" s="2335"/>
      <c r="WHQ997" s="2335"/>
      <c r="WHR997" s="2335"/>
      <c r="WHS997" s="2335"/>
      <c r="WHT997" s="2335"/>
      <c r="WHU997" s="2335"/>
      <c r="WHV997" s="2335"/>
      <c r="WHW997" s="2335"/>
      <c r="WHX997" s="2335"/>
      <c r="WHY997" s="2335"/>
      <c r="WHZ997" s="2335"/>
      <c r="WIA997" s="2335"/>
      <c r="WIB997" s="2335"/>
      <c r="WIC997" s="2335"/>
      <c r="WID997" s="2335"/>
      <c r="WIE997" s="2335"/>
      <c r="WIF997" s="2335"/>
      <c r="WIG997" s="2335"/>
      <c r="WIH997" s="2335"/>
      <c r="WII997" s="2335"/>
      <c r="WIJ997" s="2335"/>
      <c r="WIK997" s="2335"/>
      <c r="WIL997" s="2335"/>
      <c r="WIM997" s="2335"/>
      <c r="WIN997" s="2335"/>
      <c r="WIO997" s="2335"/>
      <c r="WIP997" s="2335"/>
      <c r="WIQ997" s="2335"/>
      <c r="WIR997" s="2335"/>
      <c r="WIS997" s="2335"/>
      <c r="WIT997" s="2335"/>
      <c r="WIU997" s="2335"/>
      <c r="WIV997" s="2335"/>
      <c r="WIW997" s="2335"/>
      <c r="WIX997" s="2335"/>
      <c r="WIY997" s="2335"/>
      <c r="WIZ997" s="2335"/>
      <c r="WJA997" s="2335"/>
      <c r="WJB997" s="2335"/>
      <c r="WJC997" s="2335"/>
      <c r="WJD997" s="2335"/>
      <c r="WJE997" s="2335"/>
      <c r="WJF997" s="2335"/>
      <c r="WJG997" s="2335"/>
      <c r="WJH997" s="2335"/>
      <c r="WJI997" s="2335"/>
      <c r="WJJ997" s="2335"/>
      <c r="WJK997" s="2335"/>
      <c r="WJL997" s="2335"/>
      <c r="WJM997" s="2335"/>
      <c r="WJN997" s="2335"/>
      <c r="WJO997" s="2335"/>
      <c r="WJP997" s="2335"/>
      <c r="WJQ997" s="2335"/>
      <c r="WJR997" s="2335"/>
      <c r="WJS997" s="2335"/>
      <c r="WJT997" s="2335"/>
      <c r="WJU997" s="2335"/>
      <c r="WJV997" s="2335"/>
      <c r="WJW997" s="2335"/>
      <c r="WJX997" s="2335"/>
      <c r="WJY997" s="2335"/>
      <c r="WJZ997" s="2335"/>
      <c r="WKA997" s="2335"/>
      <c r="WKB997" s="2335"/>
      <c r="WKC997" s="2335"/>
      <c r="WKD997" s="2335"/>
      <c r="WKE997" s="2335"/>
      <c r="WKF997" s="2335"/>
      <c r="WKG997" s="2335"/>
      <c r="WKH997" s="2335"/>
      <c r="WKI997" s="2335"/>
      <c r="WKJ997" s="2335"/>
      <c r="WKK997" s="2335"/>
      <c r="WKL997" s="2335"/>
      <c r="WKM997" s="2335"/>
      <c r="WKN997" s="2335"/>
      <c r="WKO997" s="2335"/>
      <c r="WKP997" s="2335"/>
      <c r="WKQ997" s="2335"/>
      <c r="WKR997" s="2335"/>
      <c r="WKS997" s="2335"/>
      <c r="WKT997" s="2335"/>
      <c r="WKU997" s="2335"/>
      <c r="WKV997" s="2335"/>
      <c r="WKW997" s="2335"/>
      <c r="WKX997" s="2335"/>
      <c r="WKY997" s="2335"/>
      <c r="WKZ997" s="2335"/>
      <c r="WLA997" s="2335"/>
      <c r="WLB997" s="2335"/>
      <c r="WLC997" s="2335"/>
      <c r="WLD997" s="2335"/>
      <c r="WLE997" s="2335"/>
      <c r="WLF997" s="2335"/>
      <c r="WLG997" s="2335"/>
      <c r="WLH997" s="2335"/>
      <c r="WLI997" s="2335"/>
      <c r="WLJ997" s="2335"/>
      <c r="WLK997" s="2335"/>
      <c r="WLL997" s="2335"/>
      <c r="WLM997" s="2335"/>
      <c r="WLN997" s="2335"/>
      <c r="WLO997" s="2335"/>
      <c r="WLP997" s="2335"/>
      <c r="WLQ997" s="2335"/>
      <c r="WLR997" s="2335"/>
      <c r="WLS997" s="2335"/>
      <c r="WLT997" s="2335"/>
      <c r="WLU997" s="2335"/>
      <c r="WLV997" s="2335"/>
      <c r="WLW997" s="2335"/>
      <c r="WLX997" s="2335"/>
      <c r="WLY997" s="2335"/>
      <c r="WLZ997" s="2335"/>
      <c r="WMA997" s="2335"/>
      <c r="WMB997" s="2335"/>
      <c r="WMC997" s="2335"/>
      <c r="WMD997" s="2335"/>
      <c r="WME997" s="2335"/>
      <c r="WMF997" s="2335"/>
      <c r="WMG997" s="2335"/>
      <c r="WMH997" s="2335"/>
      <c r="WMI997" s="2335"/>
      <c r="WMJ997" s="2335"/>
      <c r="WMK997" s="2335"/>
      <c r="WML997" s="2335"/>
      <c r="WMM997" s="2335"/>
      <c r="WMN997" s="2335"/>
      <c r="WMO997" s="2335"/>
      <c r="WMP997" s="2335"/>
      <c r="WMQ997" s="2335"/>
      <c r="WMR997" s="2335"/>
      <c r="WMS997" s="2335"/>
      <c r="WMT997" s="2335"/>
      <c r="WMU997" s="2335"/>
      <c r="WMV997" s="2335"/>
      <c r="WMW997" s="2335"/>
      <c r="WMX997" s="2335"/>
      <c r="WMY997" s="2335"/>
      <c r="WMZ997" s="2335"/>
      <c r="WNA997" s="2335"/>
      <c r="WNB997" s="2335"/>
      <c r="WNC997" s="2335"/>
      <c r="WND997" s="2335"/>
      <c r="WNE997" s="2335"/>
      <c r="WNF997" s="2335"/>
      <c r="WNG997" s="2335"/>
      <c r="WNH997" s="2335"/>
      <c r="WNI997" s="2335"/>
      <c r="WNJ997" s="2335"/>
      <c r="WNK997" s="2335"/>
      <c r="WNL997" s="2335"/>
      <c r="WNM997" s="2335"/>
      <c r="WNN997" s="2335"/>
      <c r="WNO997" s="2335"/>
      <c r="WNP997" s="2335"/>
      <c r="WNQ997" s="2335"/>
      <c r="WNR997" s="2335"/>
      <c r="WNS997" s="2335"/>
      <c r="WNT997" s="2335"/>
      <c r="WNU997" s="2335"/>
      <c r="WNV997" s="2335"/>
      <c r="WNW997" s="2335"/>
      <c r="WNX997" s="2335"/>
      <c r="WNY997" s="2335"/>
      <c r="WNZ997" s="2335"/>
      <c r="WOA997" s="2335"/>
      <c r="WOB997" s="2335"/>
      <c r="WOC997" s="2335"/>
      <c r="WOD997" s="2335"/>
      <c r="WOE997" s="2335"/>
      <c r="WOF997" s="2335"/>
      <c r="WOG997" s="2335"/>
      <c r="WOH997" s="2335"/>
      <c r="WOI997" s="2335"/>
      <c r="WOJ997" s="2335"/>
      <c r="WOK997" s="2335"/>
      <c r="WOL997" s="2335"/>
      <c r="WOM997" s="2335"/>
      <c r="WON997" s="2335"/>
      <c r="WOO997" s="2335"/>
      <c r="WOP997" s="2335"/>
      <c r="WOQ997" s="2335"/>
      <c r="WOR997" s="2335"/>
      <c r="WOS997" s="2335"/>
      <c r="WOT997" s="2335"/>
      <c r="WOU997" s="2335"/>
      <c r="WOV997" s="2335"/>
      <c r="WOW997" s="2335"/>
      <c r="WOX997" s="2335"/>
      <c r="WOY997" s="2335"/>
      <c r="WOZ997" s="2335"/>
      <c r="WPA997" s="2335"/>
      <c r="WPB997" s="2335"/>
      <c r="WPC997" s="2335"/>
      <c r="WPD997" s="2335"/>
      <c r="WPE997" s="2335"/>
      <c r="WPF997" s="2335"/>
      <c r="WPG997" s="2335"/>
      <c r="WPH997" s="2335"/>
      <c r="WPI997" s="2335"/>
      <c r="WPJ997" s="2335"/>
      <c r="WPK997" s="2335"/>
      <c r="WPL997" s="2335"/>
      <c r="WPM997" s="2335"/>
      <c r="WPN997" s="2335"/>
      <c r="WPO997" s="2335"/>
      <c r="WPP997" s="2335"/>
      <c r="WPQ997" s="2335"/>
      <c r="WPR997" s="2335"/>
      <c r="WPS997" s="2335"/>
      <c r="WPT997" s="2335"/>
      <c r="WPU997" s="2335"/>
      <c r="WPV997" s="2335"/>
      <c r="WPW997" s="2335"/>
      <c r="WPX997" s="2335"/>
      <c r="WPY997" s="2335"/>
      <c r="WPZ997" s="2335"/>
      <c r="WQA997" s="2335"/>
      <c r="WQB997" s="2335"/>
      <c r="WQC997" s="2335"/>
      <c r="WQD997" s="2335"/>
      <c r="WQE997" s="2335"/>
      <c r="WQF997" s="2335"/>
      <c r="WQG997" s="2335"/>
      <c r="WQH997" s="2335"/>
      <c r="WQI997" s="2335"/>
      <c r="WQJ997" s="2335"/>
      <c r="WQK997" s="2335"/>
      <c r="WQL997" s="2335"/>
      <c r="WQM997" s="2335"/>
      <c r="WQN997" s="2335"/>
      <c r="WQO997" s="2335"/>
      <c r="WQP997" s="2335"/>
      <c r="WQQ997" s="2335"/>
      <c r="WQR997" s="2335"/>
      <c r="WQS997" s="2335"/>
      <c r="WQT997" s="2335"/>
      <c r="WQU997" s="2335"/>
      <c r="WQV997" s="2335"/>
      <c r="WQW997" s="2335"/>
      <c r="WQX997" s="2335"/>
      <c r="WQY997" s="2335"/>
      <c r="WQZ997" s="2335"/>
      <c r="WRA997" s="2335"/>
      <c r="WRB997" s="2335"/>
      <c r="WRC997" s="2335"/>
      <c r="WRD997" s="2335"/>
      <c r="WRE997" s="2335"/>
      <c r="WRF997" s="2335"/>
      <c r="WRG997" s="2335"/>
      <c r="WRH997" s="2335"/>
      <c r="WRI997" s="2335"/>
      <c r="WRJ997" s="2335"/>
      <c r="WRK997" s="2335"/>
      <c r="WRL997" s="2335"/>
      <c r="WRM997" s="2335"/>
      <c r="WRN997" s="2335"/>
      <c r="WRO997" s="2335"/>
      <c r="WRP997" s="2335"/>
      <c r="WRQ997" s="2335"/>
      <c r="WRR997" s="2335"/>
      <c r="WRS997" s="2335"/>
      <c r="WRT997" s="2335"/>
      <c r="WRU997" s="2335"/>
      <c r="WRV997" s="2335"/>
      <c r="WRW997" s="2335"/>
      <c r="WRX997" s="2335"/>
      <c r="WRY997" s="2335"/>
      <c r="WRZ997" s="2335"/>
      <c r="WSA997" s="2335"/>
      <c r="WSB997" s="2335"/>
      <c r="WSC997" s="2335"/>
      <c r="WSD997" s="2335"/>
      <c r="WSE997" s="2335"/>
      <c r="WSF997" s="2335"/>
      <c r="WSG997" s="2335"/>
      <c r="WSH997" s="2335"/>
      <c r="WSI997" s="2335"/>
      <c r="WSJ997" s="2335"/>
      <c r="WSK997" s="2335"/>
      <c r="WSL997" s="2335"/>
      <c r="WSM997" s="2335"/>
      <c r="WSN997" s="2335"/>
      <c r="WSO997" s="2335"/>
      <c r="WSP997" s="2335"/>
      <c r="WSQ997" s="2335"/>
      <c r="WSR997" s="2335"/>
      <c r="WSS997" s="2335"/>
      <c r="WST997" s="2335"/>
      <c r="WSU997" s="2335"/>
      <c r="WSV997" s="2335"/>
      <c r="WSW997" s="2335"/>
      <c r="WSX997" s="2335"/>
      <c r="WSY997" s="2335"/>
      <c r="WSZ997" s="2335"/>
      <c r="WTA997" s="2335"/>
      <c r="WTB997" s="2335"/>
      <c r="WTC997" s="2335"/>
      <c r="WTD997" s="2335"/>
      <c r="WTE997" s="2335"/>
      <c r="WTF997" s="2335"/>
      <c r="WTG997" s="2335"/>
      <c r="WTH997" s="2335"/>
      <c r="WTI997" s="2335"/>
      <c r="WTJ997" s="2335"/>
      <c r="WTK997" s="2335"/>
      <c r="WTL997" s="2335"/>
      <c r="WTM997" s="2335"/>
      <c r="WTN997" s="2335"/>
      <c r="WTO997" s="2335"/>
      <c r="WTP997" s="2335"/>
      <c r="WTQ997" s="2335"/>
      <c r="WTR997" s="2335"/>
      <c r="WTS997" s="2335"/>
      <c r="WTT997" s="2335"/>
      <c r="WTU997" s="2335"/>
      <c r="WTV997" s="2335"/>
      <c r="WTW997" s="2335"/>
      <c r="WTX997" s="2335"/>
      <c r="WTY997" s="2335"/>
      <c r="WTZ997" s="2335"/>
      <c r="WUA997" s="2335"/>
      <c r="WUB997" s="2335"/>
      <c r="WUC997" s="2335"/>
      <c r="WUD997" s="2335"/>
      <c r="WUE997" s="2335"/>
      <c r="WUF997" s="2335"/>
      <c r="WUG997" s="2335"/>
      <c r="WUH997" s="2335"/>
      <c r="WUI997" s="2335"/>
      <c r="WUJ997" s="2335"/>
      <c r="WUK997" s="2335"/>
      <c r="WUL997" s="2335"/>
      <c r="WUM997" s="2335"/>
      <c r="WUN997" s="2335"/>
      <c r="WUO997" s="2335"/>
      <c r="WUP997" s="2335"/>
      <c r="WUQ997" s="2335"/>
      <c r="WUR997" s="2335"/>
      <c r="WUS997" s="2335"/>
      <c r="WUT997" s="2335"/>
      <c r="WUU997" s="2335"/>
      <c r="WUV997" s="2335"/>
      <c r="WUW997" s="2335"/>
      <c r="WUX997" s="2335"/>
      <c r="WUY997" s="2335"/>
      <c r="WUZ997" s="2335"/>
      <c r="WVA997" s="2335"/>
      <c r="WVB997" s="2335"/>
      <c r="WVC997" s="2335"/>
      <c r="WVD997" s="2335"/>
      <c r="WVE997" s="2335"/>
      <c r="WVF997" s="2335"/>
      <c r="WVG997" s="2335"/>
      <c r="WVH997" s="2335"/>
      <c r="WVI997" s="2335"/>
      <c r="WVJ997" s="2335"/>
      <c r="WVK997" s="2335"/>
      <c r="WVL997" s="2335"/>
      <c r="WVM997" s="2335"/>
      <c r="WVN997" s="2335"/>
      <c r="WVO997" s="2335"/>
      <c r="WVP997" s="2335"/>
      <c r="WVQ997" s="2335"/>
      <c r="WVR997" s="2335"/>
      <c r="WVS997" s="2335"/>
      <c r="WVT997" s="2335"/>
      <c r="WVU997" s="2335"/>
      <c r="WVV997" s="2335"/>
      <c r="WVW997" s="2335"/>
      <c r="WVX997" s="2335"/>
      <c r="WVY997" s="2335"/>
      <c r="WVZ997" s="2335"/>
      <c r="WWA997" s="2335"/>
      <c r="WWB997" s="2335"/>
      <c r="WWC997" s="2335"/>
      <c r="WWD997" s="2335"/>
      <c r="WWE997" s="2335"/>
      <c r="WWF997" s="2335"/>
      <c r="WWG997" s="2335"/>
      <c r="WWH997" s="2335"/>
      <c r="WWI997" s="2335"/>
      <c r="WWJ997" s="2335"/>
      <c r="WWK997" s="2335"/>
      <c r="WWL997" s="2335"/>
      <c r="WWM997" s="2335"/>
      <c r="WWN997" s="2335"/>
      <c r="WWO997" s="2335"/>
      <c r="WWP997" s="2335"/>
      <c r="WWQ997" s="2335"/>
      <c r="WWR997" s="2335"/>
      <c r="WWS997" s="2335"/>
      <c r="WWT997" s="2335"/>
      <c r="WWU997" s="2335"/>
      <c r="WWV997" s="2335"/>
      <c r="WWW997" s="2335"/>
      <c r="WWX997" s="2335"/>
      <c r="WWY997" s="2335"/>
      <c r="WWZ997" s="2335"/>
      <c r="WXA997" s="2335"/>
      <c r="WXB997" s="2335"/>
      <c r="WXC997" s="2335"/>
      <c r="WXD997" s="2335"/>
      <c r="WXE997" s="2335"/>
      <c r="WXF997" s="2335"/>
      <c r="WXG997" s="2335"/>
      <c r="WXH997" s="2335"/>
      <c r="WXI997" s="2335"/>
      <c r="WXJ997" s="2335"/>
      <c r="WXK997" s="2335"/>
      <c r="WXL997" s="2335"/>
      <c r="WXM997" s="2335"/>
      <c r="WXN997" s="2335"/>
      <c r="WXO997" s="2335"/>
      <c r="WXP997" s="2335"/>
      <c r="WXQ997" s="2335"/>
      <c r="WXR997" s="2335"/>
      <c r="WXS997" s="2335"/>
      <c r="WXT997" s="2335"/>
      <c r="WXU997" s="2335"/>
      <c r="WXV997" s="2335"/>
      <c r="WXW997" s="2335"/>
      <c r="WXX997" s="2335"/>
      <c r="WXY997" s="2335"/>
      <c r="WXZ997" s="2335"/>
      <c r="WYA997" s="2335"/>
      <c r="WYB997" s="2335"/>
      <c r="WYC997" s="2335"/>
      <c r="WYD997" s="2335"/>
      <c r="WYE997" s="2335"/>
      <c r="WYF997" s="2335"/>
      <c r="WYG997" s="2335"/>
      <c r="WYH997" s="2335"/>
      <c r="WYI997" s="2335"/>
      <c r="WYJ997" s="2335"/>
      <c r="WYK997" s="2335"/>
      <c r="WYL997" s="2335"/>
      <c r="WYM997" s="2335"/>
      <c r="WYN997" s="2335"/>
      <c r="WYO997" s="2335"/>
      <c r="WYP997" s="2335"/>
      <c r="WYQ997" s="2335"/>
      <c r="WYR997" s="2335"/>
      <c r="WYS997" s="2335"/>
      <c r="WYT997" s="2335"/>
      <c r="WYU997" s="2335"/>
      <c r="WYV997" s="2335"/>
      <c r="WYW997" s="2335"/>
      <c r="WYX997" s="2335"/>
      <c r="WYY997" s="2335"/>
      <c r="WYZ997" s="2335"/>
      <c r="WZA997" s="2335"/>
      <c r="WZB997" s="2335"/>
      <c r="WZC997" s="2335"/>
      <c r="WZD997" s="2335"/>
      <c r="WZE997" s="2335"/>
      <c r="WZF997" s="2335"/>
      <c r="WZG997" s="2335"/>
      <c r="WZH997" s="2335"/>
      <c r="WZI997" s="2335"/>
      <c r="WZJ997" s="2335"/>
      <c r="WZK997" s="2335"/>
      <c r="WZL997" s="2335"/>
      <c r="WZM997" s="2335"/>
      <c r="WZN997" s="2335"/>
      <c r="WZO997" s="2335"/>
      <c r="WZP997" s="2335"/>
      <c r="WZQ997" s="2335"/>
      <c r="WZR997" s="2335"/>
      <c r="WZS997" s="2335"/>
      <c r="WZT997" s="2335"/>
      <c r="WZU997" s="2335"/>
      <c r="WZV997" s="2335"/>
      <c r="WZW997" s="2335"/>
      <c r="WZX997" s="2335"/>
      <c r="WZY997" s="2335"/>
      <c r="WZZ997" s="2335"/>
      <c r="XAA997" s="2335"/>
      <c r="XAB997" s="2335"/>
      <c r="XAC997" s="2335"/>
      <c r="XAD997" s="2335"/>
      <c r="XAE997" s="2335"/>
      <c r="XAF997" s="2335"/>
      <c r="XAG997" s="2335"/>
      <c r="XAH997" s="2335"/>
      <c r="XAI997" s="2335"/>
      <c r="XAJ997" s="2335"/>
      <c r="XAK997" s="2335"/>
      <c r="XAL997" s="2335"/>
      <c r="XAM997" s="2335"/>
      <c r="XAN997" s="2335"/>
      <c r="XAO997" s="2335"/>
      <c r="XAP997" s="2335"/>
      <c r="XAQ997" s="2335"/>
      <c r="XAR997" s="2335"/>
      <c r="XAS997" s="2335"/>
      <c r="XAT997" s="2335"/>
      <c r="XAU997" s="2335"/>
      <c r="XAV997" s="2335"/>
      <c r="XAW997" s="2335"/>
      <c r="XAX997" s="2335"/>
      <c r="XAY997" s="2335"/>
      <c r="XAZ997" s="2335"/>
      <c r="XBA997" s="2335"/>
      <c r="XBB997" s="2335"/>
      <c r="XBC997" s="2335"/>
      <c r="XBD997" s="2335"/>
      <c r="XBE997" s="2335"/>
      <c r="XBF997" s="2335"/>
      <c r="XBG997" s="2335"/>
      <c r="XBH997" s="2335"/>
      <c r="XBI997" s="2335"/>
      <c r="XBJ997" s="2335"/>
      <c r="XBK997" s="2335"/>
      <c r="XBL997" s="2335"/>
      <c r="XBM997" s="2335"/>
      <c r="XBN997" s="2335"/>
      <c r="XBO997" s="2335"/>
      <c r="XBP997" s="2335"/>
      <c r="XBQ997" s="2335"/>
      <c r="XBR997" s="2335"/>
      <c r="XBS997" s="2335"/>
      <c r="XBT997" s="2335"/>
      <c r="XBU997" s="2335"/>
      <c r="XBV997" s="2335"/>
      <c r="XBW997" s="2335"/>
      <c r="XBX997" s="2335"/>
      <c r="XBY997" s="2335"/>
      <c r="XBZ997" s="2335"/>
      <c r="XCA997" s="2335"/>
      <c r="XCB997" s="2335"/>
      <c r="XCC997" s="2335"/>
      <c r="XCD997" s="2335"/>
      <c r="XCE997" s="2335"/>
      <c r="XCF997" s="2335"/>
      <c r="XCG997" s="2335"/>
      <c r="XCH997" s="2335"/>
      <c r="XCI997" s="2335"/>
      <c r="XCJ997" s="2335"/>
      <c r="XCK997" s="2335"/>
      <c r="XCL997" s="2335"/>
      <c r="XCM997" s="2335"/>
      <c r="XCN997" s="2335"/>
      <c r="XCO997" s="2335"/>
      <c r="XCP997" s="2335"/>
      <c r="XCQ997" s="2335"/>
      <c r="XCR997" s="2335"/>
      <c r="XCS997" s="2335"/>
      <c r="XCT997" s="2335"/>
      <c r="XCU997" s="2335"/>
      <c r="XCV997" s="2335"/>
      <c r="XCW997" s="2335"/>
      <c r="XCX997" s="2335"/>
      <c r="XCY997" s="2335"/>
      <c r="XCZ997" s="2335"/>
      <c r="XDA997" s="2335"/>
      <c r="XDB997" s="2335"/>
      <c r="XDC997" s="2335"/>
      <c r="XDD997" s="2335"/>
      <c r="XDE997" s="2335"/>
      <c r="XDF997" s="2335"/>
      <c r="XDG997" s="2335"/>
      <c r="XDH997" s="2335"/>
      <c r="XDI997" s="2335"/>
      <c r="XDJ997" s="2335"/>
      <c r="XDK997" s="2335"/>
      <c r="XDL997" s="2335"/>
      <c r="XDM997" s="2335"/>
      <c r="XDN997" s="2335"/>
      <c r="XDO997" s="2335"/>
      <c r="XDP997" s="2335"/>
      <c r="XDQ997" s="2335"/>
      <c r="XDR997" s="2335"/>
      <c r="XDS997" s="2335"/>
      <c r="XDT997" s="2335"/>
      <c r="XDU997" s="2335"/>
      <c r="XDV997" s="2335"/>
      <c r="XDW997" s="2335"/>
      <c r="XDX997" s="2335"/>
      <c r="XDY997" s="2335"/>
      <c r="XDZ997" s="2335"/>
      <c r="XEA997" s="2335"/>
      <c r="XEB997" s="2335"/>
      <c r="XEC997" s="2335"/>
      <c r="XED997" s="2335"/>
      <c r="XEE997" s="2335"/>
      <c r="XEF997" s="2335"/>
      <c r="XEG997" s="2335"/>
      <c r="XEH997" s="2335"/>
      <c r="XEI997" s="2335"/>
      <c r="XEJ997" s="2335"/>
      <c r="XEK997" s="2335"/>
      <c r="XEL997" s="2335"/>
      <c r="XEM997" s="2335"/>
      <c r="XEN997" s="2335"/>
      <c r="XEO997" s="2335"/>
      <c r="XEP997" s="2335"/>
      <c r="XEQ997" s="2335"/>
      <c r="XER997" s="2335"/>
      <c r="XES997" s="2335"/>
      <c r="XET997" s="2335"/>
      <c r="XEU997" s="2335"/>
      <c r="XEV997" s="2335"/>
      <c r="XEW997" s="2335"/>
      <c r="XEX997" s="2335"/>
      <c r="XEY997" s="2335"/>
      <c r="XEZ997" s="2335"/>
      <c r="XFA997" s="2335"/>
      <c r="XFB997" s="2335"/>
      <c r="XFC997" s="2335"/>
      <c r="XFD997" s="2335"/>
    </row>
    <row r="998" s="1936" customFormat="1" ht="16" customHeight="1" spans="1:1024 1025:16384">
      <c r="B998" s="2466"/>
      <c r="C998" s="2077"/>
      <c r="D998" s="1017">
        <v>46283</v>
      </c>
      <c r="E998" s="153">
        <v>6.7</v>
      </c>
      <c r="F998" s="2472" t="s">
        <v>3227</v>
      </c>
      <c r="G998" s="1082"/>
      <c r="H998" s="219"/>
      <c r="I998" s="153"/>
      <c r="J998" s="924" t="s">
        <v>1428</v>
      </c>
      <c r="K998" s="2468" t="s">
        <v>712</v>
      </c>
      <c r="L998" s="924" t="s">
        <v>1428</v>
      </c>
      <c r="M998" s="2469">
        <f>58.45/E998/1.13</f>
        <v>7.72024831594241</v>
      </c>
      <c r="N998" s="2469">
        <v>16.3</v>
      </c>
      <c r="O998" s="2469">
        <f t="shared" si="101"/>
        <v>3.35820895522388</v>
      </c>
      <c r="P998" s="2469">
        <f>SUBTOTAL(109,L998:O998)</f>
        <v>27.3784572711663</v>
      </c>
      <c r="Q998" s="266" t="s">
        <v>3229</v>
      </c>
      <c r="R998" s="651"/>
      <c r="W998" s="2320"/>
      <c r="AB998" s="2320"/>
    </row>
    <row r="999" s="1936" customFormat="1" ht="16" customHeight="1" spans="1:1024 1025:16384">
      <c r="B999" s="2466"/>
      <c r="C999" s="2077"/>
      <c r="D999" s="1017"/>
      <c r="E999" s="153">
        <v>6.75</v>
      </c>
      <c r="F999" s="1975" t="s">
        <v>3230</v>
      </c>
      <c r="G999" s="1082"/>
      <c r="H999" s="219"/>
      <c r="I999" s="153"/>
      <c r="J999" s="924" t="s">
        <v>1428</v>
      </c>
      <c r="K999" s="2468" t="s">
        <v>712</v>
      </c>
      <c r="L999" s="924" t="s">
        <v>1428</v>
      </c>
      <c r="M999" s="319">
        <f>52/E999/1.13*1.05</f>
        <v>7.15830875122911</v>
      </c>
      <c r="N999" s="319">
        <v>16.3</v>
      </c>
      <c r="O999" s="320">
        <f t="shared" si="101"/>
        <v>3.33333333333333</v>
      </c>
      <c r="P999" s="320">
        <f>SUBTOTAL(109,L999:O999)</f>
        <v>26.7916420845624</v>
      </c>
      <c r="Q999" s="219"/>
      <c r="R999" s="651"/>
      <c r="W999" s="2320"/>
      <c r="AB999" s="2320"/>
    </row>
    <row r="1000" s="1936" customFormat="1" ht="16" customHeight="1" spans="1:1024 1025:16384">
      <c r="B1000" s="2466"/>
      <c r="C1000" s="2077"/>
      <c r="D1000" s="1017"/>
      <c r="E1000" s="153">
        <v>6.78</v>
      </c>
      <c r="F1000" s="1975" t="s">
        <v>3231</v>
      </c>
      <c r="G1000" s="1082"/>
      <c r="H1000" s="219"/>
      <c r="I1000" s="153"/>
      <c r="J1000" s="924" t="s">
        <v>1428</v>
      </c>
      <c r="K1000" s="2468" t="s">
        <v>712</v>
      </c>
      <c r="L1000" s="924" t="s">
        <v>1428</v>
      </c>
      <c r="M1000" s="319">
        <f>52/E1000/1.13*1.05</f>
        <v>7.12663481870154</v>
      </c>
      <c r="N1000" s="319">
        <v>16.6</v>
      </c>
      <c r="O1000" s="320">
        <f t="shared" si="101"/>
        <v>3.31858407079646</v>
      </c>
      <c r="P1000" s="320">
        <f>SUBTOTAL(109,L1000:O1000)</f>
        <v>27.045218889498</v>
      </c>
      <c r="Q1000" s="219"/>
      <c r="R1000" s="651"/>
      <c r="W1000" s="2320"/>
      <c r="AB1000" s="2320"/>
    </row>
    <row r="1001" s="1936" customFormat="1" ht="16" customHeight="1" spans="1:1024 1025:16384">
      <c r="B1001" s="2466"/>
      <c r="C1001" s="2077"/>
      <c r="D1001" s="1017"/>
      <c r="E1001" s="153"/>
      <c r="F1001" s="1975" t="s">
        <v>3232</v>
      </c>
      <c r="G1001" s="1082"/>
      <c r="H1001" s="219"/>
      <c r="I1001" s="153"/>
      <c r="J1001" s="1975"/>
      <c r="K1001" s="2224"/>
      <c r="L1001" s="2225"/>
      <c r="M1001" s="319">
        <v>7.1056741280583</v>
      </c>
      <c r="N1001" s="319">
        <v>16.6425</v>
      </c>
      <c r="O1001" s="320">
        <v>3.30882352941176</v>
      </c>
      <c r="P1001" s="320">
        <v>27.0569976574701</v>
      </c>
      <c r="Q1001" s="219"/>
      <c r="R1001" s="651"/>
      <c r="W1001" s="2320"/>
      <c r="AB1001" s="2320"/>
    </row>
    <row r="1002" s="1936" customFormat="1" ht="16" customHeight="1" spans="1:1024 1025:16384">
      <c r="B1002" s="2466"/>
      <c r="C1002" s="2077"/>
      <c r="D1002" s="1017">
        <v>46205</v>
      </c>
      <c r="E1002" s="153">
        <v>6.8</v>
      </c>
      <c r="F1002" s="1975" t="s">
        <v>3233</v>
      </c>
      <c r="G1002" s="1082"/>
      <c r="H1002" s="219"/>
      <c r="I1002" s="153"/>
      <c r="J1002" s="1975" t="s">
        <v>1428</v>
      </c>
      <c r="K1002" s="2224" t="s">
        <v>712</v>
      </c>
      <c r="L1002" s="2225" t="s">
        <v>1428</v>
      </c>
      <c r="M1002" s="319">
        <f>49.32/E1002/1.13</f>
        <v>6.41853201457574</v>
      </c>
      <c r="N1002" s="319">
        <v>16</v>
      </c>
      <c r="O1002" s="320">
        <f t="shared" ref="O1002:O1007" si="102">22.5/E1002</f>
        <v>3.30882352941176</v>
      </c>
      <c r="P1002" s="320">
        <f t="shared" ref="P1002:P1007" si="103">SUBTOTAL(109,L1002:O1002)</f>
        <v>25.7273555439875</v>
      </c>
      <c r="Q1002" s="219"/>
      <c r="R1002" s="651"/>
      <c r="W1002" s="2320"/>
      <c r="AB1002" s="2320"/>
    </row>
    <row r="1003" ht="16" customHeight="1" spans="1:1024 1025:16384">
      <c r="A1003" s="839">
        <v>1</v>
      </c>
      <c r="B1003" s="2466"/>
      <c r="C1003" s="2077"/>
      <c r="D1003" s="1017">
        <v>46171</v>
      </c>
      <c r="E1003" s="153">
        <v>6.7863</v>
      </c>
      <c r="F1003" s="153" t="s">
        <v>3234</v>
      </c>
      <c r="G1003" s="1082"/>
      <c r="H1003" s="219"/>
      <c r="I1003" s="153"/>
      <c r="J1003" s="2467" t="s">
        <v>1428</v>
      </c>
      <c r="K1003" s="2048" t="s">
        <v>712</v>
      </c>
      <c r="L1003" s="727" t="s">
        <v>1428</v>
      </c>
      <c r="M1003" s="319">
        <f t="shared" ref="M1003:M1008" si="104">49.32/E1003/1.13</f>
        <v>6.43148957445369</v>
      </c>
      <c r="N1003" s="727">
        <v>14.2</v>
      </c>
      <c r="O1003" s="320">
        <f t="shared" si="102"/>
        <v>3.31550329339994</v>
      </c>
      <c r="P1003" s="320">
        <f t="shared" si="103"/>
        <v>23.9469928678536</v>
      </c>
      <c r="Q1003" s="219" t="s">
        <v>3235</v>
      </c>
      <c r="R1003" s="266"/>
    </row>
    <row r="1004" ht="16" customHeight="1" spans="1:1024 1025:16384">
      <c r="A1004" s="839">
        <v>1</v>
      </c>
      <c r="B1004" s="2466"/>
      <c r="C1004" s="2077"/>
      <c r="D1004" s="1017">
        <v>46162</v>
      </c>
      <c r="E1004" s="153">
        <v>6.8191</v>
      </c>
      <c r="F1004" s="153" t="s">
        <v>3236</v>
      </c>
      <c r="G1004" s="1082"/>
      <c r="H1004" s="219"/>
      <c r="I1004" s="153"/>
      <c r="J1004" s="2467"/>
      <c r="K1004" s="2048"/>
      <c r="L1004" s="727"/>
      <c r="M1004" s="319">
        <f t="shared" si="104"/>
        <v>6.40055398793317</v>
      </c>
      <c r="N1004" s="727">
        <v>13.5</v>
      </c>
      <c r="O1004" s="320">
        <f t="shared" si="102"/>
        <v>3.29955565983781</v>
      </c>
      <c r="P1004" s="320">
        <f t="shared" si="103"/>
        <v>23.200109647771</v>
      </c>
      <c r="Q1004" s="219"/>
      <c r="R1004" s="266"/>
    </row>
    <row r="1005" ht="16" customHeight="1" spans="1:1024 1025:16384">
      <c r="A1005" s="839">
        <v>1</v>
      </c>
      <c r="B1005" s="2466"/>
      <c r="C1005" s="2077"/>
      <c r="D1005" s="1017">
        <v>46162</v>
      </c>
      <c r="E1005" s="153">
        <v>6.8191</v>
      </c>
      <c r="F1005" s="153" t="s">
        <v>3237</v>
      </c>
      <c r="G1005" s="1082"/>
      <c r="H1005" s="219"/>
      <c r="I1005" s="153"/>
      <c r="J1005" s="2467"/>
      <c r="K1005" s="2048"/>
      <c r="L1005" s="727"/>
      <c r="M1005" s="319">
        <f t="shared" si="104"/>
        <v>6.40055398793317</v>
      </c>
      <c r="N1005" s="727">
        <v>13.4</v>
      </c>
      <c r="O1005" s="320">
        <f t="shared" si="102"/>
        <v>3.29955565983781</v>
      </c>
      <c r="P1005" s="320">
        <f t="shared" si="103"/>
        <v>23.100109647771</v>
      </c>
      <c r="Q1005" s="219"/>
      <c r="R1005" s="266"/>
    </row>
    <row r="1006" ht="16" customHeight="1" spans="1:1024 1025:16384">
      <c r="A1006" s="839">
        <v>1</v>
      </c>
      <c r="B1006" s="2466"/>
      <c r="C1006" s="2077"/>
      <c r="D1006" s="1017"/>
      <c r="E1006" s="153">
        <v>6.7986</v>
      </c>
      <c r="F1006" s="153" t="s">
        <v>3238</v>
      </c>
      <c r="G1006" s="1082" t="s">
        <v>1581</v>
      </c>
      <c r="H1006" s="219"/>
      <c r="I1006" s="153"/>
      <c r="J1006" s="2467"/>
      <c r="K1006" s="2048"/>
      <c r="L1006" s="727"/>
      <c r="M1006" s="319">
        <f t="shared" si="104"/>
        <v>6.41985374917116</v>
      </c>
      <c r="N1006" s="727">
        <v>14.2</v>
      </c>
      <c r="O1006" s="320">
        <f t="shared" si="102"/>
        <v>3.30950489806725</v>
      </c>
      <c r="P1006" s="320">
        <f t="shared" si="103"/>
        <v>23.9293586472384</v>
      </c>
      <c r="Q1006" s="266"/>
      <c r="R1006" s="266"/>
    </row>
    <row r="1007" ht="16" customHeight="1" spans="1:1024 1025:16384">
      <c r="A1007" s="839">
        <v>1</v>
      </c>
      <c r="B1007" s="2466"/>
      <c r="C1007" s="2077" t="s">
        <v>2816</v>
      </c>
      <c r="D1007" s="1017">
        <v>46150</v>
      </c>
      <c r="E1007" s="153">
        <v>6.8216</v>
      </c>
      <c r="F1007" s="153" t="s">
        <v>3239</v>
      </c>
      <c r="G1007" s="1082"/>
      <c r="H1007" s="219" t="s">
        <v>1897</v>
      </c>
      <c r="I1007" s="153"/>
      <c r="J1007" s="2467"/>
      <c r="K1007" s="2048"/>
      <c r="L1007" s="727"/>
      <c r="M1007" s="319">
        <f t="shared" si="104"/>
        <v>6.39820829411209</v>
      </c>
      <c r="N1007" s="727">
        <v>21.2</v>
      </c>
      <c r="O1007" s="320">
        <f t="shared" si="102"/>
        <v>3.29834642899027</v>
      </c>
      <c r="P1007" s="320">
        <f t="shared" si="103"/>
        <v>30.8965547231024</v>
      </c>
      <c r="Q1007" s="266" t="s">
        <v>3240</v>
      </c>
      <c r="R1007" s="266" t="s">
        <v>3241</v>
      </c>
    </row>
    <row r="1008" ht="16" customHeight="1" spans="1:1024 1025:16384">
      <c r="A1008" s="839">
        <v>1</v>
      </c>
      <c r="B1008" s="2466"/>
      <c r="C1008" s="2077" t="s">
        <v>1868</v>
      </c>
      <c r="D1008" s="1017">
        <v>46135</v>
      </c>
      <c r="E1008" s="153">
        <v>6.8225</v>
      </c>
      <c r="F1008" s="153" t="s">
        <v>3242</v>
      </c>
      <c r="G1008" s="1082" t="s">
        <v>1645</v>
      </c>
      <c r="H1008" s="219" t="s">
        <v>1870</v>
      </c>
      <c r="I1008" s="153" t="s">
        <v>2156</v>
      </c>
      <c r="J1008" s="2467" t="s">
        <v>1876</v>
      </c>
      <c r="K1008" s="2048" t="s">
        <v>712</v>
      </c>
      <c r="L1008" s="727">
        <f>26.17/E1008/1.13</f>
        <v>3.39454628587735</v>
      </c>
      <c r="M1008" s="319">
        <f t="shared" si="104"/>
        <v>6.39736426516893</v>
      </c>
      <c r="N1008" s="727">
        <v>13.4</v>
      </c>
      <c r="O1008" s="320">
        <f>22.36/E1008</f>
        <v>3.27739098570905</v>
      </c>
      <c r="P1008" s="320">
        <f>SUM(L1008:O1008)</f>
        <v>26.4693015367553</v>
      </c>
      <c r="Q1008" s="219" t="s">
        <v>3243</v>
      </c>
      <c r="R1008" s="266" t="s">
        <v>3244</v>
      </c>
    </row>
    <row r="1009" ht="16" customHeight="1" spans="1:28">
      <c r="A1009" s="839"/>
      <c r="B1009" s="2465" t="s">
        <v>1794</v>
      </c>
      <c r="E1009" s="2284">
        <v>6.78</v>
      </c>
      <c r="F1009" s="976" t="s">
        <v>3245</v>
      </c>
      <c r="J1009" s="924" t="s">
        <v>1428</v>
      </c>
      <c r="K1009" s="2468" t="s">
        <v>712</v>
      </c>
      <c r="L1009" s="924" t="s">
        <v>1428</v>
      </c>
      <c r="M1009" s="727">
        <f>79.5/E1009/1.13</f>
        <v>10.3766935547028</v>
      </c>
      <c r="N1009" s="727">
        <f>17.05*1.05</f>
        <v>17.9025</v>
      </c>
      <c r="O1009" s="1985">
        <v>3.51031154014919</v>
      </c>
      <c r="P1009" s="320">
        <f>SUM(L1009:O1009)</f>
        <v>31.789505094852</v>
      </c>
      <c r="Q1009" s="1244"/>
    </row>
    <row r="1010" ht="16" customHeight="1" spans="1:28">
      <c r="A1010" s="839">
        <v>1</v>
      </c>
      <c r="B1010" s="2294" t="s">
        <v>1794</v>
      </c>
      <c r="C1010" s="2294"/>
      <c r="D1010" s="2295">
        <v>20251128</v>
      </c>
      <c r="E1010" s="2033">
        <v>6.837</v>
      </c>
      <c r="F1010" s="1988" t="s">
        <v>1799</v>
      </c>
      <c r="G1010" s="2105" t="s">
        <v>1629</v>
      </c>
      <c r="H1010" s="2266" t="s">
        <v>3246</v>
      </c>
      <c r="I1010" s="2033" t="s">
        <v>1511</v>
      </c>
      <c r="J1010" s="2033" t="s">
        <v>1507</v>
      </c>
      <c r="K1010" s="2033" t="s">
        <v>712</v>
      </c>
      <c r="L1010" s="2033" t="s">
        <v>1507</v>
      </c>
      <c r="M1010" s="2260">
        <v>7.08922430140011</v>
      </c>
      <c r="N1010" s="2260">
        <v>20.7905786001418</v>
      </c>
      <c r="O1010" s="2302">
        <v>3.51031154014919</v>
      </c>
      <c r="P1010" s="2260">
        <v>31.3901144416911</v>
      </c>
      <c r="R1010" s="1988" t="s">
        <v>3247</v>
      </c>
    </row>
    <row r="1011" ht="16" customHeight="1" spans="1:28">
      <c r="A1011" s="839">
        <v>1</v>
      </c>
      <c r="B1011" s="2473" t="s">
        <v>1794</v>
      </c>
      <c r="C1011" s="2474"/>
      <c r="D1011" s="2475">
        <v>46182</v>
      </c>
      <c r="E1011" s="2476">
        <v>6.7851</v>
      </c>
      <c r="F1011" s="2035" t="s">
        <v>3248</v>
      </c>
      <c r="G1011" s="2477"/>
      <c r="H1011" s="2478"/>
      <c r="I1011" s="2479"/>
      <c r="J1011" s="2290"/>
      <c r="K1011" s="2290"/>
      <c r="L1011" s="2290"/>
      <c r="M1011" s="2480">
        <f>66.68/E1011/1.13+4000/312/E1011/1.13</f>
        <v>10.3689608295158</v>
      </c>
      <c r="N1011" s="2480">
        <v>14.9</v>
      </c>
      <c r="O1011" s="2481">
        <v>3.51031154014919</v>
      </c>
      <c r="P1011" s="2480">
        <v>31.3901144416911</v>
      </c>
      <c r="Q1011" s="187" t="s">
        <v>3249</v>
      </c>
      <c r="R1011" s="2293"/>
    </row>
    <row r="1012" ht="16" customHeight="1" spans="1:28">
      <c r="A1012" s="839">
        <v>1</v>
      </c>
      <c r="B1012" s="976" t="s">
        <v>1794</v>
      </c>
      <c r="C1012" s="976" t="s">
        <v>3250</v>
      </c>
      <c r="D1012" s="2226">
        <v>46150</v>
      </c>
      <c r="E1012" s="977">
        <v>6.8216</v>
      </c>
      <c r="F1012" s="977" t="s">
        <v>1796</v>
      </c>
      <c r="G1012" s="1982" t="s">
        <v>1645</v>
      </c>
      <c r="H1012" s="1983" t="s">
        <v>3251</v>
      </c>
      <c r="M1012" s="727">
        <f>55.57/E1012/1.13</f>
        <v>7.20901125109102</v>
      </c>
      <c r="N1012" s="727">
        <v>16</v>
      </c>
      <c r="O1012" s="1985">
        <v>3.51031154014919</v>
      </c>
      <c r="P1012" s="1563">
        <f>SUM(M1012:O1012)</f>
        <v>26.7193227912402</v>
      </c>
      <c r="Q1012" s="791"/>
      <c r="R1012" s="992"/>
    </row>
    <row r="1013" s="839" customFormat="1" ht="16" customHeight="1" spans="1:28">
      <c r="A1013" s="839">
        <v>1</v>
      </c>
      <c r="B1013" s="777" t="s">
        <v>1794</v>
      </c>
      <c r="C1013" s="2482"/>
      <c r="D1013" s="2483">
        <v>46181</v>
      </c>
      <c r="E1013" s="2482">
        <v>6.7853</v>
      </c>
      <c r="F1013" s="2035" t="s">
        <v>3252</v>
      </c>
      <c r="G1013" s="2484"/>
      <c r="H1013" s="2485"/>
      <c r="I1013" s="2290"/>
      <c r="J1013" s="2290"/>
      <c r="K1013" s="2290"/>
      <c r="L1013" s="2486"/>
      <c r="M1013" s="2034">
        <f>66.68/E1013/1.13</f>
        <v>8.69657193602672</v>
      </c>
      <c r="N1013" s="2034">
        <v>16.6</v>
      </c>
      <c r="O1013" s="2034">
        <v>3.51031154014919</v>
      </c>
      <c r="P1013" s="2034">
        <f>SUBTOTAL(109,M1013:O1013)</f>
        <v>28.8068834761759</v>
      </c>
      <c r="Q1013" s="2487"/>
      <c r="R1013" s="2293"/>
      <c r="W1013" s="1940"/>
      <c r="AB1013" s="1940"/>
    </row>
    <row r="1014" ht="16" customHeight="1" spans="1:28">
      <c r="A1014" s="839">
        <v>1</v>
      </c>
      <c r="B1014" s="2105" t="s">
        <v>1651</v>
      </c>
      <c r="C1014" s="2033"/>
      <c r="D1014" s="2488">
        <v>46083</v>
      </c>
      <c r="E1014" s="2033">
        <v>6.837</v>
      </c>
      <c r="F1014" s="1988" t="s">
        <v>1652</v>
      </c>
      <c r="G1014" s="2296" t="s">
        <v>1565</v>
      </c>
      <c r="H1014" s="2266" t="s">
        <v>2282</v>
      </c>
      <c r="I1014" s="2033" t="s">
        <v>1653</v>
      </c>
      <c r="J1014" s="2033" t="s">
        <v>1654</v>
      </c>
      <c r="K1014" s="2033" t="s">
        <v>712</v>
      </c>
      <c r="L1014" s="2104">
        <f>27/E1014/1.13</f>
        <v>3.49477918820163</v>
      </c>
      <c r="M1014" s="1987">
        <f>31.73/7.13/1.13</f>
        <v>3.93823927316958</v>
      </c>
      <c r="N1014" s="1987">
        <v>19.9532435278631</v>
      </c>
      <c r="O1014" s="2297">
        <f>21.54/6.91</f>
        <v>3.11722141823444</v>
      </c>
      <c r="P1014" s="1987">
        <f t="shared" ref="P1014:P1016" si="105">SUM(K1014:O1014)</f>
        <v>30.5034834074688</v>
      </c>
      <c r="Q1014" s="2489" t="s">
        <v>1526</v>
      </c>
      <c r="R1014" s="1988" t="s">
        <v>3253</v>
      </c>
    </row>
    <row r="1015" ht="16" customHeight="1" spans="1:28">
      <c r="A1015" s="839">
        <v>1</v>
      </c>
      <c r="B1015" s="2490" t="s">
        <v>1651</v>
      </c>
      <c r="C1015" s="2491" t="s">
        <v>3254</v>
      </c>
      <c r="D1015" s="2492">
        <v>46151</v>
      </c>
      <c r="E1015" s="2493">
        <v>6.8</v>
      </c>
      <c r="F1015" s="2494" t="s">
        <v>3255</v>
      </c>
      <c r="G1015" s="2493"/>
      <c r="H1015" s="2495" t="s">
        <v>3256</v>
      </c>
      <c r="I1015" s="2496"/>
      <c r="J1015" s="2496" t="s">
        <v>1428</v>
      </c>
      <c r="K1015" s="2497" t="s">
        <v>712</v>
      </c>
      <c r="L1015" s="2496" t="s">
        <v>1428</v>
      </c>
      <c r="M1015" s="2498">
        <f>46.27/E1015/1.13</f>
        <v>6.02160333159813</v>
      </c>
      <c r="N1015" s="2498">
        <v>22.1</v>
      </c>
      <c r="O1015" s="2499">
        <f>21.54/E1015</f>
        <v>3.16764705882353</v>
      </c>
      <c r="P1015" s="2500">
        <f t="shared" si="105"/>
        <v>31.2892503904217</v>
      </c>
      <c r="R1015" s="2376" t="s">
        <v>3257</v>
      </c>
    </row>
    <row r="1016" ht="16" customHeight="1" spans="1:28">
      <c r="A1016" s="839"/>
      <c r="B1016" s="2490" t="s">
        <v>1651</v>
      </c>
      <c r="C1016" s="2491" t="s">
        <v>3254</v>
      </c>
      <c r="D1016" s="2492">
        <v>46294</v>
      </c>
      <c r="E1016" s="2493">
        <v>6.7</v>
      </c>
      <c r="F1016" s="2494" t="s">
        <v>3255</v>
      </c>
      <c r="G1016" s="2493"/>
      <c r="H1016" s="2495" t="s">
        <v>3256</v>
      </c>
      <c r="I1016" s="2496"/>
      <c r="J1016" s="2501" t="s">
        <v>1428</v>
      </c>
      <c r="K1016" s="2502" t="s">
        <v>712</v>
      </c>
      <c r="L1016" s="2501" t="s">
        <v>1428</v>
      </c>
      <c r="M1016" s="2503">
        <f>55.99/E1016/1.13</f>
        <v>7.39532426363757</v>
      </c>
      <c r="N1016" s="2503">
        <v>22.1</v>
      </c>
      <c r="O1016" s="2504">
        <f>21.54/E1016</f>
        <v>3.21492537313433</v>
      </c>
      <c r="P1016" s="2505">
        <f t="shared" si="105"/>
        <v>32.7102496367719</v>
      </c>
      <c r="R1016" s="2376" t="s">
        <v>3257</v>
      </c>
      <c r="S1016" s="1745"/>
      <c r="T1016" s="990"/>
    </row>
    <row r="1017" ht="16" customHeight="1" spans="1:28">
      <c r="A1017" s="839">
        <v>1</v>
      </c>
      <c r="B1017" s="2294" t="s">
        <v>1837</v>
      </c>
      <c r="D1017" s="2239">
        <v>46155</v>
      </c>
      <c r="E1017" s="2284">
        <v>6.8</v>
      </c>
      <c r="F1017" s="2033" t="s">
        <v>1839</v>
      </c>
      <c r="G1017" s="2105" t="s">
        <v>1565</v>
      </c>
      <c r="H1017" s="2266" t="s">
        <v>3258</v>
      </c>
      <c r="I1017" s="2033" t="s">
        <v>1506</v>
      </c>
      <c r="J1017" s="2033" t="s">
        <v>1507</v>
      </c>
      <c r="K1017" s="2033" t="s">
        <v>712</v>
      </c>
      <c r="L1017" s="2033" t="s">
        <v>1507</v>
      </c>
      <c r="M1017" s="1987">
        <f>87.09/E1017/1.13</f>
        <v>11.3339406559084</v>
      </c>
      <c r="N1017" s="1987">
        <v>11.804709667983</v>
      </c>
      <c r="O1017" s="1987">
        <v>3.07749446102225</v>
      </c>
      <c r="P1017" s="1987">
        <v>21.2194037236109</v>
      </c>
      <c r="Q1017" s="1989" t="s">
        <v>3259</v>
      </c>
      <c r="R1017" s="1457"/>
      <c r="S1017" s="1745"/>
      <c r="T1017" s="990"/>
    </row>
    <row r="1018" ht="16" customHeight="1" spans="1:28">
      <c r="A1018" s="839">
        <v>1</v>
      </c>
      <c r="B1018" s="2465" t="s">
        <v>1837</v>
      </c>
      <c r="C1018" s="1978"/>
      <c r="D1018" s="2506">
        <v>46155</v>
      </c>
      <c r="E1018" s="1983">
        <v>6.8</v>
      </c>
      <c r="F1018" s="1980" t="s">
        <v>3260</v>
      </c>
      <c r="G1018" s="1980"/>
      <c r="H1018" s="1980"/>
      <c r="I1018" s="1980"/>
      <c r="J1018" s="1985" t="s">
        <v>1428</v>
      </c>
      <c r="K1018" s="1985" t="s">
        <v>712</v>
      </c>
      <c r="L1018" s="1985" t="s">
        <v>1428</v>
      </c>
      <c r="M1018" s="1985">
        <f>87.09/E1018/1.13</f>
        <v>11.3339406559084</v>
      </c>
      <c r="N1018" s="1980">
        <v>14.9</v>
      </c>
      <c r="O1018" s="1985">
        <v>3.07749446102225</v>
      </c>
      <c r="P1018" s="1985">
        <f>SUBTOTAL(109,M1018:O1018)</f>
        <v>29.3114351169306</v>
      </c>
    </row>
    <row r="1019" ht="16" customHeight="1" spans="1:28">
      <c r="A1019" s="839">
        <v>1</v>
      </c>
      <c r="B1019" s="976" t="s">
        <v>3261</v>
      </c>
      <c r="C1019" s="2243" t="s">
        <v>1891</v>
      </c>
      <c r="D1019" s="2244">
        <v>46163</v>
      </c>
      <c r="E1019" s="2284">
        <v>6.8191</v>
      </c>
      <c r="F1019" s="2507" t="s">
        <v>3262</v>
      </c>
      <c r="M1019" s="727">
        <f>29.08/E1019/1.13</f>
        <v>3.77388706344478</v>
      </c>
      <c r="N1019" s="727">
        <v>16.9</v>
      </c>
      <c r="O1019" s="1985">
        <f>22/E1019</f>
        <v>3.2262322007303</v>
      </c>
      <c r="P1019" s="1563">
        <f>SUM(M1019:O1019)</f>
        <v>23.9001192641751</v>
      </c>
      <c r="R1019" s="2381" t="s">
        <v>3263</v>
      </c>
    </row>
    <row r="1020" ht="16" customHeight="1" spans="1:28">
      <c r="A1020" s="839"/>
      <c r="B1020" s="1978" t="s">
        <v>1780</v>
      </c>
      <c r="C1020" s="2243"/>
      <c r="D1020" s="2244"/>
      <c r="E1020" s="2284"/>
      <c r="F1020" s="1978" t="s">
        <v>3264</v>
      </c>
      <c r="G1020" s="2284"/>
      <c r="H1020" s="2284"/>
      <c r="I1020" s="1243"/>
      <c r="J1020" s="1243"/>
      <c r="K1020" s="2285"/>
      <c r="L1020" s="2285"/>
      <c r="M1020" s="727">
        <f>87.28/6.78/1.13</f>
        <v>11.3921737541442</v>
      </c>
      <c r="N1020" s="727">
        <v>20.6</v>
      </c>
      <c r="O1020" s="1985">
        <v>3.29</v>
      </c>
      <c r="P1020" s="1563">
        <f>SUM(M1020:O1020)</f>
        <v>35.2821737541442</v>
      </c>
      <c r="R1020" s="2381"/>
    </row>
    <row r="1021" ht="16" customHeight="1" spans="1:28">
      <c r="A1021" s="839">
        <v>1</v>
      </c>
      <c r="B1021" s="1988" t="s">
        <v>1780</v>
      </c>
      <c r="C1021" s="1988" t="s">
        <v>1781</v>
      </c>
      <c r="D1021" s="2295">
        <v>20251118</v>
      </c>
      <c r="E1021" s="2033">
        <v>6.8</v>
      </c>
      <c r="F1021" s="2508" t="s">
        <v>1782</v>
      </c>
      <c r="G1021" s="2105" t="s">
        <v>1565</v>
      </c>
      <c r="H1021" s="2266" t="s">
        <v>1783</v>
      </c>
      <c r="I1021" s="2509" t="s">
        <v>1506</v>
      </c>
      <c r="J1021" s="2032" t="s">
        <v>1784</v>
      </c>
      <c r="K1021" s="2033" t="s">
        <v>712</v>
      </c>
      <c r="L1021" s="2510">
        <f>17.55/7.13/1.13</f>
        <v>2.17825714604873</v>
      </c>
      <c r="M1021" s="2104">
        <f>55.2/E1021/1.13</f>
        <v>7.18375845913587</v>
      </c>
      <c r="N1021" s="1987">
        <v>15.1458525630683</v>
      </c>
      <c r="O1021" s="1987">
        <f>22.36/E1021</f>
        <v>3.28823529411765</v>
      </c>
      <c r="P1021" s="1987">
        <f t="shared" ref="P1021:P1027" si="106">SUM(K1021:O1021)</f>
        <v>27.7961034623705</v>
      </c>
      <c r="Q1021" s="1988" t="s">
        <v>1785</v>
      </c>
      <c r="R1021" s="1988" t="s">
        <v>3265</v>
      </c>
    </row>
    <row r="1022" ht="16" customHeight="1" spans="1:28">
      <c r="A1022" s="839">
        <v>1</v>
      </c>
      <c r="B1022" s="1978" t="s">
        <v>1780</v>
      </c>
      <c r="C1022" s="1978" t="s">
        <v>1781</v>
      </c>
      <c r="D1022" s="2244">
        <v>46176</v>
      </c>
      <c r="E1022" s="2284">
        <v>6.7693</v>
      </c>
      <c r="F1022" s="977" t="s">
        <v>1787</v>
      </c>
      <c r="M1022" s="2232">
        <f>55.2/E1022/1.13*1.2</f>
        <v>8.65960572386342</v>
      </c>
      <c r="N1022" s="2232">
        <v>16.5</v>
      </c>
      <c r="O1022" s="2511">
        <f>22.36/E1022</f>
        <v>3.303148035986</v>
      </c>
      <c r="P1022" s="2511">
        <f t="shared" si="106"/>
        <v>28.4627537598494</v>
      </c>
      <c r="R1022" s="2386" t="s">
        <v>3265</v>
      </c>
    </row>
    <row r="1023" ht="16" customHeight="1" spans="1:28">
      <c r="A1023" s="839"/>
      <c r="B1023" s="1978" t="s">
        <v>1362</v>
      </c>
      <c r="C1023" s="2512"/>
      <c r="D1023" s="2244"/>
      <c r="E1023" s="2284">
        <v>6.73</v>
      </c>
      <c r="F1023" s="977" t="s">
        <v>3266</v>
      </c>
      <c r="J1023" s="924" t="s">
        <v>1428</v>
      </c>
      <c r="K1023" s="2513" t="s">
        <v>712</v>
      </c>
      <c r="L1023" s="924" t="s">
        <v>1428</v>
      </c>
      <c r="M1023" s="727">
        <f>140.61/6.73/1.13</f>
        <v>18.489394995332</v>
      </c>
      <c r="N1023" s="727">
        <v>49.6</v>
      </c>
      <c r="O1023" s="1985">
        <f>25/E1023</f>
        <v>3.7147102526003</v>
      </c>
      <c r="P1023" s="1985">
        <f t="shared" si="106"/>
        <v>71.8041052479323</v>
      </c>
      <c r="R1023" s="2386"/>
    </row>
    <row r="1024" ht="16" customHeight="1" spans="1:28">
      <c r="A1024" s="839"/>
      <c r="B1024" s="1978" t="s">
        <v>1362</v>
      </c>
      <c r="C1024" s="2512" t="s">
        <v>3267</v>
      </c>
      <c r="D1024" s="2244">
        <v>46286</v>
      </c>
      <c r="E1024" s="2284">
        <v>6.7</v>
      </c>
      <c r="F1024" s="977" t="s">
        <v>3268</v>
      </c>
      <c r="G1024" s="2284" t="s">
        <v>1617</v>
      </c>
      <c r="J1024" s="924" t="s">
        <v>1428</v>
      </c>
      <c r="K1024" s="2513" t="s">
        <v>712</v>
      </c>
      <c r="L1024" s="924" t="s">
        <v>1428</v>
      </c>
      <c r="M1024" s="727">
        <f>140.61/6.73/1.13</f>
        <v>18.489394995332</v>
      </c>
      <c r="N1024" s="727">
        <v>48.4</v>
      </c>
      <c r="O1024" s="1985">
        <f>25/6.75</f>
        <v>3.7037037037037</v>
      </c>
      <c r="P1024" s="1985">
        <f t="shared" si="106"/>
        <v>70.5930986990357</v>
      </c>
      <c r="Q1024" s="791" t="s">
        <v>3269</v>
      </c>
      <c r="R1024" s="2386" t="s">
        <v>3270</v>
      </c>
    </row>
    <row r="1025" ht="16" customHeight="1" spans="1:28">
      <c r="A1025" s="839"/>
      <c r="B1025" s="1978" t="s">
        <v>1362</v>
      </c>
      <c r="C1025" s="2512" t="s">
        <v>3267</v>
      </c>
      <c r="D1025" s="2244">
        <v>46248</v>
      </c>
      <c r="E1025" s="2284">
        <v>6.75</v>
      </c>
      <c r="F1025" s="977" t="s">
        <v>3268</v>
      </c>
      <c r="G1025" s="1938" t="s">
        <v>1617</v>
      </c>
      <c r="J1025" s="924" t="s">
        <v>1428</v>
      </c>
      <c r="K1025" s="2513" t="s">
        <v>712</v>
      </c>
      <c r="L1025" s="924" t="s">
        <v>1428</v>
      </c>
      <c r="M1025" s="727">
        <f>92/E1025/1.13</f>
        <v>12.0616191412652</v>
      </c>
      <c r="N1025" s="727">
        <v>48</v>
      </c>
      <c r="O1025" s="1985">
        <f>25/6.75</f>
        <v>3.7037037037037</v>
      </c>
      <c r="P1025" s="1985">
        <f t="shared" si="106"/>
        <v>63.7653228449689</v>
      </c>
      <c r="Q1025" s="791" t="s">
        <v>3269</v>
      </c>
      <c r="R1025" s="1978" t="s">
        <v>3271</v>
      </c>
    </row>
    <row r="1026" ht="16" customHeight="1" spans="1:28">
      <c r="A1026" s="991">
        <v>1</v>
      </c>
      <c r="B1026" s="976" t="s">
        <v>1362</v>
      </c>
      <c r="E1026" s="2284">
        <v>6.7693</v>
      </c>
      <c r="F1026" s="2514" t="s">
        <v>3272</v>
      </c>
      <c r="M1026" s="2233"/>
      <c r="N1026" s="2233">
        <v>35.4</v>
      </c>
      <c r="O1026" s="2515">
        <f>29/E1026</f>
        <v>4.28404709497289</v>
      </c>
      <c r="P1026" s="2516">
        <f t="shared" si="106"/>
        <v>39.6840470949729</v>
      </c>
      <c r="R1026" s="2389" t="s">
        <v>3273</v>
      </c>
    </row>
    <row r="1027" ht="16" customHeight="1" spans="1:28">
      <c r="A1027" s="991">
        <v>1</v>
      </c>
      <c r="B1027" s="976" t="s">
        <v>3274</v>
      </c>
      <c r="E1027" s="2284">
        <v>6.7693</v>
      </c>
      <c r="F1027" s="2514" t="s">
        <v>3272</v>
      </c>
      <c r="M1027" s="727"/>
      <c r="N1027" s="727">
        <v>10.4</v>
      </c>
      <c r="O1027" s="154">
        <f>4/E1027</f>
        <v>0.590903047582468</v>
      </c>
      <c r="P1027" s="1985">
        <f t="shared" si="106"/>
        <v>10.9909030475825</v>
      </c>
      <c r="R1027" s="2263"/>
    </row>
    <row r="1028" ht="16" customHeight="1" spans="1:28">
      <c r="A1028" s="991">
        <v>1</v>
      </c>
      <c r="B1028" s="2517" t="s">
        <v>3275</v>
      </c>
      <c r="C1028" s="2517"/>
      <c r="D1028" s="2518"/>
      <c r="E1028" s="2518">
        <v>6.76</v>
      </c>
      <c r="F1028" s="2518" t="s">
        <v>3276</v>
      </c>
      <c r="G1028" s="2518" t="s">
        <v>1617</v>
      </c>
      <c r="H1028" s="2266" t="s">
        <v>3277</v>
      </c>
      <c r="I1028" s="1692"/>
      <c r="J1028" s="1692" t="s">
        <v>1552</v>
      </c>
      <c r="K1028" s="2519" t="s">
        <v>712</v>
      </c>
      <c r="L1028" s="2520"/>
      <c r="M1028" s="2521"/>
      <c r="N1028" s="2521">
        <v>22.5</v>
      </c>
      <c r="O1028" s="2522"/>
      <c r="P1028" s="2269"/>
      <c r="Q1028" s="2391"/>
      <c r="R1028" s="1930" t="s">
        <v>3278</v>
      </c>
    </row>
    <row r="1029" ht="16" customHeight="1" spans="1:28">
      <c r="A1029" s="839">
        <v>1</v>
      </c>
      <c r="B1029" s="2523" t="s">
        <v>1884</v>
      </c>
      <c r="C1029" s="2524" t="s">
        <v>1541</v>
      </c>
      <c r="D1029" s="2252">
        <v>46157</v>
      </c>
      <c r="E1029" s="2295">
        <v>6.8</v>
      </c>
      <c r="F1029" s="2525" t="s">
        <v>2016</v>
      </c>
      <c r="G1029" s="1989" t="s">
        <v>1551</v>
      </c>
      <c r="H1029" s="2266" t="s">
        <v>1886</v>
      </c>
      <c r="I1029" s="2509" t="s">
        <v>1887</v>
      </c>
      <c r="J1029" s="2509" t="s">
        <v>1871</v>
      </c>
      <c r="K1029" s="2526" t="s">
        <v>712</v>
      </c>
      <c r="L1029" s="2527" t="s">
        <v>1507</v>
      </c>
      <c r="M1029" s="2104">
        <f>43.86/E1029/1.13</f>
        <v>5.70796460176991</v>
      </c>
      <c r="N1029" s="2104">
        <v>20.9</v>
      </c>
      <c r="O1029" s="1987">
        <f>22/E1029</f>
        <v>3.23529411764706</v>
      </c>
      <c r="P1029" s="2528">
        <f>SUBTOTAL(109,L1029:O1029)</f>
        <v>29.843258719417</v>
      </c>
      <c r="Q1029" s="2529" t="s">
        <v>1888</v>
      </c>
      <c r="R1029" s="1989" t="s">
        <v>1889</v>
      </c>
    </row>
    <row r="1030" ht="16" customHeight="1" spans="1:28">
      <c r="A1030" s="839">
        <v>1</v>
      </c>
      <c r="B1030" s="2125"/>
      <c r="C1030" s="2530"/>
      <c r="D1030" s="2531">
        <v>46203</v>
      </c>
      <c r="E1030" s="2532">
        <v>6.7</v>
      </c>
      <c r="F1030" s="2125" t="s">
        <v>3279</v>
      </c>
      <c r="G1030" s="2533"/>
      <c r="H1030" s="2534"/>
      <c r="I1030" s="2125"/>
      <c r="J1030" s="2535" t="s">
        <v>1428</v>
      </c>
      <c r="K1030" s="2536" t="s">
        <v>712</v>
      </c>
      <c r="L1030" s="2537" t="s">
        <v>1428</v>
      </c>
      <c r="M1030" s="2232">
        <f>52.26/E1030/1.13</f>
        <v>6.90265486725664</v>
      </c>
      <c r="N1030" s="2538">
        <v>16.5</v>
      </c>
      <c r="O1030" s="2511">
        <f t="shared" ref="O1030:O1035" si="107">22/E1030</f>
        <v>3.28358208955224</v>
      </c>
      <c r="P1030" s="2539">
        <f t="shared" ref="P1030:P1039" si="108">SUBTOTAL(109,L1030:O1030)</f>
        <v>26.6862369568089</v>
      </c>
      <c r="Q1030" s="2398"/>
      <c r="R1030" s="2399"/>
    </row>
    <row r="1031" customFormat="1" ht="16" customHeight="1" spans="1:28">
      <c r="A1031" s="839"/>
      <c r="B1031" s="1975"/>
      <c r="C1031" s="2530"/>
      <c r="D1031" s="2531"/>
      <c r="E1031" s="2532">
        <v>6.73</v>
      </c>
      <c r="F1031" s="1975" t="s">
        <v>3280</v>
      </c>
      <c r="G1031" s="2540"/>
      <c r="H1031" s="1984"/>
      <c r="I1031" s="1975"/>
      <c r="J1031" s="1975" t="s">
        <v>1428</v>
      </c>
      <c r="K1031" s="2224" t="s">
        <v>712</v>
      </c>
      <c r="L1031" s="1975" t="s">
        <v>1428</v>
      </c>
      <c r="M1031" s="727">
        <f>52.26/E1031/1.13</f>
        <v>6.87188523188997</v>
      </c>
      <c r="N1031" s="2111">
        <v>16.1</v>
      </c>
      <c r="O1031" s="1985">
        <f t="shared" si="107"/>
        <v>3.26894502228826</v>
      </c>
      <c r="P1031" s="2541">
        <f>SUBTOTAL(109,M1031:O1031)</f>
        <v>26.2408302541782</v>
      </c>
      <c r="Q1031" s="2398"/>
      <c r="R1031" s="2399"/>
      <c r="W1031" s="1940"/>
      <c r="AB1031" s="1940"/>
    </row>
    <row r="1032" customFormat="1" ht="16" customHeight="1" spans="1:28">
      <c r="A1032" s="839"/>
      <c r="B1032" s="1975"/>
      <c r="C1032" s="2530"/>
      <c r="D1032" s="2542"/>
      <c r="E1032" s="153">
        <v>6.7</v>
      </c>
      <c r="F1032" s="2085" t="s">
        <v>3281</v>
      </c>
      <c r="G1032" s="2470"/>
      <c r="H1032" s="2146"/>
      <c r="I1032" s="1762"/>
      <c r="J1032" s="726" t="s">
        <v>1428</v>
      </c>
      <c r="K1032" s="2543" t="s">
        <v>712</v>
      </c>
      <c r="L1032" s="726" t="s">
        <v>1428</v>
      </c>
      <c r="M1032" s="2544">
        <f>57.6/6.7/1.13</f>
        <v>7.60797781006472</v>
      </c>
      <c r="N1032" s="2544">
        <v>16.1</v>
      </c>
      <c r="O1032" s="2544">
        <f>22.5/E1032</f>
        <v>3.35820895522388</v>
      </c>
      <c r="P1032" s="2544">
        <f>SUBTOTAL(109,K1032:O1032)</f>
        <v>27.0661867652886</v>
      </c>
      <c r="Q1032" s="2398"/>
      <c r="R1032" s="2399"/>
      <c r="W1032" s="1940"/>
      <c r="AB1032" s="1940"/>
    </row>
    <row r="1033" customFormat="1" ht="16" customHeight="1" spans="1:28">
      <c r="A1033" s="839"/>
      <c r="B1033" s="1975"/>
      <c r="C1033" s="2545"/>
      <c r="D1033" s="2546"/>
      <c r="E1033" s="2547">
        <v>6.7</v>
      </c>
      <c r="F1033" s="1975" t="s">
        <v>3282</v>
      </c>
      <c r="G1033" s="2540"/>
      <c r="H1033" s="1984"/>
      <c r="I1033" s="1975"/>
      <c r="J1033" s="1975" t="s">
        <v>1428</v>
      </c>
      <c r="K1033" s="2224" t="s">
        <v>712</v>
      </c>
      <c r="L1033" s="1975" t="s">
        <v>1428</v>
      </c>
      <c r="M1033" s="2544">
        <f>57.6/E1033/1.13</f>
        <v>7.60797781006472</v>
      </c>
      <c r="N1033" s="2544">
        <v>16.1</v>
      </c>
      <c r="O1033" s="2544">
        <f>22.5/E1033</f>
        <v>3.35820895522388</v>
      </c>
      <c r="P1033" s="2544">
        <f>SUBTOTAL(109,M1033:O1033)</f>
        <v>27.0661867652886</v>
      </c>
      <c r="Q1033" s="2398"/>
      <c r="R1033" s="2399"/>
      <c r="W1033" s="1940"/>
      <c r="AB1033" s="1940"/>
    </row>
    <row r="1034" customFormat="1" ht="16" customHeight="1" spans="1:28">
      <c r="A1034" s="839"/>
      <c r="B1034" s="2125"/>
      <c r="C1034" s="2530"/>
      <c r="D1034" s="2531">
        <v>46253</v>
      </c>
      <c r="E1034" s="2532">
        <v>6.75</v>
      </c>
      <c r="F1034" s="2125" t="s">
        <v>3283</v>
      </c>
      <c r="G1034" s="2533"/>
      <c r="H1034" s="2534"/>
      <c r="I1034" s="2125"/>
      <c r="J1034" s="2548" t="s">
        <v>1428</v>
      </c>
      <c r="K1034" s="2549" t="s">
        <v>712</v>
      </c>
      <c r="L1034" s="2550" t="s">
        <v>1428</v>
      </c>
      <c r="M1034" s="2551">
        <f>51.33/E1034/1.13</f>
        <v>6.72959685349066</v>
      </c>
      <c r="N1034" s="2538">
        <v>16.3</v>
      </c>
      <c r="O1034" s="2552">
        <f t="shared" si="107"/>
        <v>3.25925925925926</v>
      </c>
      <c r="P1034" s="2553">
        <f t="shared" si="108"/>
        <v>26.2888561127499</v>
      </c>
      <c r="Q1034" s="2398"/>
      <c r="R1034" s="2399"/>
      <c r="W1034" s="1940"/>
      <c r="AB1034" s="1940"/>
    </row>
    <row r="1035" customFormat="1" ht="16" customHeight="1" spans="1:28">
      <c r="A1035" s="839"/>
      <c r="B1035" s="2125"/>
      <c r="C1035" s="2530"/>
      <c r="D1035" s="2531"/>
      <c r="E1035" s="2532">
        <v>6.7</v>
      </c>
      <c r="F1035" s="2125" t="s">
        <v>3284</v>
      </c>
      <c r="G1035" s="2533"/>
      <c r="H1035" s="2534"/>
      <c r="I1035" s="2125"/>
      <c r="J1035" s="2548" t="s">
        <v>1428</v>
      </c>
      <c r="K1035" s="2549" t="s">
        <v>712</v>
      </c>
      <c r="L1035" s="2550" t="s">
        <v>1428</v>
      </c>
      <c r="M1035" s="2551">
        <f>57.6/E1035/1.13</f>
        <v>7.60797781006472</v>
      </c>
      <c r="N1035" s="2538">
        <v>16.1</v>
      </c>
      <c r="O1035" s="2552">
        <v>0.3</v>
      </c>
      <c r="P1035" s="2553">
        <f t="shared" si="108"/>
        <v>24.0079778100647</v>
      </c>
      <c r="Q1035" s="2466" t="s">
        <v>1270</v>
      </c>
      <c r="R1035" s="2399"/>
      <c r="W1035" s="1940"/>
      <c r="AB1035" s="1940"/>
    </row>
    <row r="1036" customFormat="1" ht="16" customHeight="1" spans="1:28">
      <c r="A1036" s="839"/>
      <c r="B1036" s="1975"/>
      <c r="C1036" s="2530"/>
      <c r="D1036" s="2531">
        <v>46275</v>
      </c>
      <c r="E1036" s="2532">
        <v>6.72</v>
      </c>
      <c r="F1036" s="1975" t="s">
        <v>3285</v>
      </c>
      <c r="G1036" s="2533"/>
      <c r="H1036" s="2534"/>
      <c r="I1036" s="2125"/>
      <c r="J1036" s="1975" t="s">
        <v>1428</v>
      </c>
      <c r="K1036" s="2224" t="s">
        <v>712</v>
      </c>
      <c r="L1036" s="2225" t="s">
        <v>1428</v>
      </c>
      <c r="M1036" s="727">
        <f>57.5/6.72/1.13</f>
        <v>7.57216603455542</v>
      </c>
      <c r="N1036" s="2111">
        <v>16.1</v>
      </c>
      <c r="O1036" s="1985">
        <f>22/E1036</f>
        <v>3.27380952380952</v>
      </c>
      <c r="P1036" s="2541">
        <f t="shared" si="108"/>
        <v>26.9459755583649</v>
      </c>
      <c r="Q1036" s="2398"/>
      <c r="R1036" s="2399"/>
      <c r="W1036" s="1940"/>
      <c r="AB1036" s="1940"/>
    </row>
    <row r="1037" customFormat="1" ht="16" customHeight="1" spans="1:28">
      <c r="A1037" s="839"/>
      <c r="B1037" s="1975"/>
      <c r="C1037" s="2530"/>
      <c r="D1037" s="2531"/>
      <c r="E1037" s="2532">
        <v>6.75</v>
      </c>
      <c r="F1037" s="1975" t="s">
        <v>3286</v>
      </c>
      <c r="G1037" s="2533"/>
      <c r="H1037" s="2534"/>
      <c r="I1037" s="2125"/>
      <c r="J1037" s="1975" t="s">
        <v>1428</v>
      </c>
      <c r="K1037" s="2224" t="s">
        <v>712</v>
      </c>
      <c r="L1037" s="2225" t="s">
        <v>1428</v>
      </c>
      <c r="M1037" s="727">
        <f>51.33/E1037/1.13</f>
        <v>6.72959685349066</v>
      </c>
      <c r="N1037" s="2111">
        <v>18.03</v>
      </c>
      <c r="O1037" s="1985">
        <f>22/E1037</f>
        <v>3.25925925925926</v>
      </c>
      <c r="P1037" s="2541">
        <f t="shared" si="108"/>
        <v>28.0188561127499</v>
      </c>
      <c r="Q1037" s="2398"/>
      <c r="R1037" s="2399"/>
      <c r="W1037" s="1940"/>
      <c r="AB1037" s="1940"/>
    </row>
    <row r="1038" customFormat="1" ht="16" customHeight="1" spans="1:28">
      <c r="A1038" s="839"/>
      <c r="B1038" s="1975"/>
      <c r="C1038" s="2530"/>
      <c r="D1038" s="2531">
        <v>46274</v>
      </c>
      <c r="E1038" s="2532">
        <v>6.72</v>
      </c>
      <c r="F1038" s="1975" t="s">
        <v>3287</v>
      </c>
      <c r="G1038" s="2533"/>
      <c r="H1038" s="2534"/>
      <c r="I1038" s="2125"/>
      <c r="J1038" s="1975" t="s">
        <v>1428</v>
      </c>
      <c r="K1038" s="2224" t="s">
        <v>712</v>
      </c>
      <c r="L1038" s="2225" t="s">
        <v>1428</v>
      </c>
      <c r="M1038" s="727">
        <f>62.52/E1038/1.13</f>
        <v>8.23324905183312</v>
      </c>
      <c r="N1038" s="2111">
        <v>16</v>
      </c>
      <c r="O1038" s="1985">
        <f>22/E1038</f>
        <v>3.27380952380952</v>
      </c>
      <c r="P1038" s="2541">
        <f t="shared" si="108"/>
        <v>27.5070585756426</v>
      </c>
      <c r="Q1038" s="2398"/>
      <c r="R1038" s="2399"/>
      <c r="W1038" s="1940"/>
      <c r="AB1038" s="1940"/>
    </row>
    <row r="1039" customFormat="1" ht="16" customHeight="1" spans="1:28">
      <c r="A1039" s="839"/>
      <c r="B1039" s="1975"/>
      <c r="C1039" s="2530"/>
      <c r="D1039" s="2531"/>
      <c r="E1039" s="2532">
        <v>6.73</v>
      </c>
      <c r="F1039" s="1975" t="s">
        <v>3288</v>
      </c>
      <c r="G1039" s="2533"/>
      <c r="H1039" s="2534"/>
      <c r="I1039" s="2125"/>
      <c r="J1039" s="1975" t="s">
        <v>1428</v>
      </c>
      <c r="K1039" s="2224" t="s">
        <v>712</v>
      </c>
      <c r="L1039" s="2225" t="s">
        <v>1428</v>
      </c>
      <c r="M1039" s="727">
        <f>51.33/E1039/1.13</f>
        <v>6.74959565543268</v>
      </c>
      <c r="N1039" s="2111">
        <v>15.5</v>
      </c>
      <c r="O1039" s="1985">
        <f>22/E1039</f>
        <v>3.26894502228826</v>
      </c>
      <c r="P1039" s="2541">
        <f t="shared" si="108"/>
        <v>25.5185406777209</v>
      </c>
      <c r="Q1039" s="2398"/>
      <c r="R1039" s="2399"/>
      <c r="W1039" s="1940"/>
      <c r="AB1039" s="1940"/>
    </row>
    <row r="1040" s="1936" customFormat="1" ht="16" customHeight="1" spans="1:28">
      <c r="A1040" s="839"/>
      <c r="B1040" s="2085"/>
      <c r="C1040" s="2530"/>
      <c r="D1040" s="2531"/>
      <c r="E1040" s="2532">
        <v>6.75</v>
      </c>
      <c r="F1040" s="2085" t="s">
        <v>3289</v>
      </c>
      <c r="G1040" s="2554"/>
      <c r="H1040" s="2555"/>
      <c r="I1040" s="2132"/>
      <c r="J1040" s="2085" t="s">
        <v>1428</v>
      </c>
      <c r="K1040" s="2556" t="s">
        <v>712</v>
      </c>
      <c r="L1040" s="2557" t="s">
        <v>1428</v>
      </c>
      <c r="M1040" s="2558">
        <f>51.33/E1040/1.13*1.1</f>
        <v>7.40255653883973</v>
      </c>
      <c r="N1040" s="2558">
        <v>15.5</v>
      </c>
      <c r="O1040" s="2541">
        <f t="shared" ref="O1040:O1045" si="109">22/E1040</f>
        <v>3.25925925925926</v>
      </c>
      <c r="P1040" s="2541">
        <f t="shared" ref="P1040:P1045" si="110">SUBTOTAL(109,L1040:O1040)</f>
        <v>26.161815798099</v>
      </c>
      <c r="Q1040" s="2411"/>
      <c r="R1040" s="2412"/>
      <c r="W1040" s="2320"/>
      <c r="AB1040" s="2320"/>
    </row>
    <row r="1041" s="1936" customFormat="1" ht="16" customHeight="1" spans="1:1024 1025:16384">
      <c r="A1041" s="839"/>
      <c r="B1041" s="2085"/>
      <c r="C1041" s="2530"/>
      <c r="D1041" s="2531"/>
      <c r="E1041" s="2532">
        <v>6.75</v>
      </c>
      <c r="F1041" s="2085" t="s">
        <v>3290</v>
      </c>
      <c r="G1041" s="2554"/>
      <c r="H1041" s="2555"/>
      <c r="I1041" s="2132"/>
      <c r="J1041" s="2085" t="s">
        <v>1428</v>
      </c>
      <c r="K1041" s="2556" t="s">
        <v>712</v>
      </c>
      <c r="L1041" s="2557" t="s">
        <v>1428</v>
      </c>
      <c r="M1041" s="2558">
        <f>51.33/E1041/1.13*1.1</f>
        <v>7.40255653883973</v>
      </c>
      <c r="N1041" s="2558">
        <v>15.5</v>
      </c>
      <c r="O1041" s="2541">
        <f t="shared" si="109"/>
        <v>3.25925925925926</v>
      </c>
      <c r="P1041" s="2541">
        <f t="shared" si="110"/>
        <v>26.161815798099</v>
      </c>
      <c r="Q1041" s="2411"/>
      <c r="R1041" s="2412"/>
      <c r="W1041" s="2320"/>
      <c r="AB1041" s="2320"/>
    </row>
    <row r="1042" s="1936" customFormat="1" ht="16" customHeight="1" spans="1:1024 1025:16384">
      <c r="A1042" s="839"/>
      <c r="B1042" s="2085"/>
      <c r="C1042" s="2530"/>
      <c r="D1042" s="2531"/>
      <c r="E1042" s="2532">
        <v>6.75</v>
      </c>
      <c r="F1042" s="2085" t="s">
        <v>3291</v>
      </c>
      <c r="G1042" s="2554"/>
      <c r="H1042" s="2555"/>
      <c r="I1042" s="2132"/>
      <c r="J1042" s="2085" t="s">
        <v>1428</v>
      </c>
      <c r="K1042" s="2556" t="s">
        <v>712</v>
      </c>
      <c r="L1042" s="2557" t="s">
        <v>1428</v>
      </c>
      <c r="M1042" s="2558">
        <f>51.33/E1042/1.13*1.1</f>
        <v>7.40255653883973</v>
      </c>
      <c r="N1042" s="2558">
        <v>15.5</v>
      </c>
      <c r="O1042" s="2541">
        <f t="shared" si="109"/>
        <v>3.25925925925926</v>
      </c>
      <c r="P1042" s="2541">
        <f t="shared" si="110"/>
        <v>26.161815798099</v>
      </c>
      <c r="Q1042" s="2411"/>
      <c r="R1042" s="2412"/>
      <c r="W1042" s="2320"/>
      <c r="AB1042" s="2320"/>
    </row>
    <row r="1043" s="1936" customFormat="1" ht="16" customHeight="1" spans="1:1024 1025:16384">
      <c r="A1043" s="839">
        <v>1</v>
      </c>
      <c r="B1043" s="2085"/>
      <c r="C1043" s="2530"/>
      <c r="D1043" s="2531">
        <v>46203</v>
      </c>
      <c r="E1043" s="2532">
        <v>6.75</v>
      </c>
      <c r="F1043" s="2085" t="s">
        <v>3292</v>
      </c>
      <c r="G1043" s="2554"/>
      <c r="H1043" s="2555"/>
      <c r="I1043" s="2132"/>
      <c r="J1043" s="2085" t="s">
        <v>1428</v>
      </c>
      <c r="K1043" s="2556" t="s">
        <v>712</v>
      </c>
      <c r="L1043" s="2557" t="s">
        <v>1428</v>
      </c>
      <c r="M1043" s="2558">
        <f>51.33/E1043/1.13*1.1</f>
        <v>7.40255653883973</v>
      </c>
      <c r="N1043" s="2558">
        <v>16.4</v>
      </c>
      <c r="O1043" s="2541">
        <f t="shared" si="109"/>
        <v>3.25925925925926</v>
      </c>
      <c r="P1043" s="2541">
        <f t="shared" si="110"/>
        <v>27.061815798099</v>
      </c>
      <c r="Q1043" s="2411"/>
      <c r="R1043" s="2412" t="s">
        <v>3293</v>
      </c>
      <c r="W1043" s="2320"/>
      <c r="AB1043" s="2320"/>
    </row>
    <row r="1044" s="839" customFormat="1" ht="16" customHeight="1" spans="1:1024 1025:16384">
      <c r="A1044" s="839">
        <v>1</v>
      </c>
      <c r="B1044" s="1975"/>
      <c r="C1044" s="2559"/>
      <c r="D1044" s="2239">
        <v>46199</v>
      </c>
      <c r="E1044" s="1937">
        <v>6.7739</v>
      </c>
      <c r="F1044" s="977" t="s">
        <v>3294</v>
      </c>
      <c r="G1044" s="1937"/>
      <c r="H1044" s="1937"/>
      <c r="I1044" s="931"/>
      <c r="J1044" s="924" t="s">
        <v>1428</v>
      </c>
      <c r="K1044" s="2513" t="s">
        <v>712</v>
      </c>
      <c r="L1044" s="911" t="s">
        <v>1428</v>
      </c>
      <c r="M1044" s="727">
        <f>51.33/E1044/1.13*1.1</f>
        <v>7.37643848258288</v>
      </c>
      <c r="N1044" s="727">
        <f>16.7*1.05</f>
        <v>17.535</v>
      </c>
      <c r="O1044" s="154">
        <f t="shared" si="109"/>
        <v>3.24775978387635</v>
      </c>
      <c r="P1044" s="2541">
        <f t="shared" si="110"/>
        <v>28.1591982664592</v>
      </c>
      <c r="Q1044" s="187"/>
      <c r="R1044" s="840" t="s">
        <v>3295</v>
      </c>
      <c r="W1044" s="1940"/>
      <c r="AB1044" s="1940"/>
    </row>
    <row r="1045" ht="16" customHeight="1" spans="1:1024 1025:16384">
      <c r="A1045" s="839">
        <v>1</v>
      </c>
      <c r="B1045" s="2125"/>
      <c r="C1045" s="2545"/>
      <c r="D1045" s="2239">
        <v>46199</v>
      </c>
      <c r="E1045" s="1937">
        <v>6.7739</v>
      </c>
      <c r="F1045" s="1937" t="s">
        <v>3296</v>
      </c>
      <c r="J1045" s="1243" t="s">
        <v>1428</v>
      </c>
      <c r="K1045" s="2560" t="s">
        <v>712</v>
      </c>
      <c r="L1045" s="2285" t="s">
        <v>1428</v>
      </c>
      <c r="M1045" s="1249">
        <f>50/E1045/1.13</f>
        <v>6.53209932396691</v>
      </c>
      <c r="N1045" s="1249">
        <f>16.2*1.05</f>
        <v>17.01</v>
      </c>
      <c r="O1045" s="2286">
        <f t="shared" si="109"/>
        <v>3.24775978387635</v>
      </c>
      <c r="P1045" s="2561">
        <f t="shared" si="110"/>
        <v>26.7898591078433</v>
      </c>
      <c r="R1045" s="2197" t="s">
        <v>3295</v>
      </c>
    </row>
    <row r="1046" ht="16" customHeight="1" spans="1:1024 1025:16384">
      <c r="A1046" s="839">
        <v>1</v>
      </c>
      <c r="B1046" s="2562" t="s">
        <v>1750</v>
      </c>
      <c r="C1046" s="2562" t="s">
        <v>1751</v>
      </c>
      <c r="D1046" s="2488">
        <v>46059</v>
      </c>
      <c r="E1046" s="2033">
        <v>6.8</v>
      </c>
      <c r="F1046" s="2563" t="s">
        <v>1752</v>
      </c>
      <c r="G1046" s="1988" t="s">
        <v>1565</v>
      </c>
      <c r="H1046" s="2266" t="s">
        <v>1753</v>
      </c>
      <c r="I1046" s="2033" t="s">
        <v>1594</v>
      </c>
      <c r="J1046" s="2032" t="s">
        <v>1754</v>
      </c>
      <c r="K1046" s="2033" t="s">
        <v>712</v>
      </c>
      <c r="L1046" s="2104">
        <v>7.5</v>
      </c>
      <c r="M1046" s="2104">
        <f t="shared" ref="M1046:M1048" si="111">35.34/E1046/1.13</f>
        <v>4.59916710046851</v>
      </c>
      <c r="N1046" s="1987">
        <v>25.93</v>
      </c>
      <c r="O1046" s="2564">
        <v>4.17968778832821</v>
      </c>
      <c r="P1046" s="1987">
        <f t="shared" ref="P1046:P1048" si="112">SUM(K1046:O1046)</f>
        <v>42.2088548887967</v>
      </c>
      <c r="Q1046" s="1988" t="s">
        <v>1755</v>
      </c>
      <c r="S1046" s="1988" t="s">
        <v>1756</v>
      </c>
    </row>
    <row r="1047" ht="16" customHeight="1" spans="1:1024 1025:16384">
      <c r="A1047" s="839">
        <v>1</v>
      </c>
      <c r="B1047" s="2562" t="s">
        <v>1750</v>
      </c>
      <c r="C1047" s="2562" t="s">
        <v>1751</v>
      </c>
      <c r="D1047" s="2488">
        <v>46059</v>
      </c>
      <c r="E1047" s="2033">
        <v>6.8</v>
      </c>
      <c r="F1047" s="2563" t="s">
        <v>1757</v>
      </c>
      <c r="G1047" s="1988" t="s">
        <v>1571</v>
      </c>
      <c r="H1047" s="2266" t="s">
        <v>1753</v>
      </c>
      <c r="I1047" s="2033" t="s">
        <v>1594</v>
      </c>
      <c r="J1047" s="2032" t="s">
        <v>1754</v>
      </c>
      <c r="K1047" s="2033" t="s">
        <v>712</v>
      </c>
      <c r="L1047" s="2104">
        <v>7.5</v>
      </c>
      <c r="M1047" s="2104">
        <f t="shared" si="111"/>
        <v>4.59916710046851</v>
      </c>
      <c r="N1047" s="1987">
        <v>32.24</v>
      </c>
      <c r="O1047" s="2564">
        <v>4.17968778832821</v>
      </c>
      <c r="P1047" s="1987">
        <f t="shared" si="112"/>
        <v>48.5188548887967</v>
      </c>
      <c r="Q1047" s="1988" t="s">
        <v>1748</v>
      </c>
      <c r="S1047" s="1988" t="s">
        <v>1758</v>
      </c>
    </row>
    <row r="1048" ht="16" customHeight="1" spans="1:1024 1025:16384">
      <c r="A1048" s="839">
        <v>1</v>
      </c>
      <c r="B1048" s="2565" t="s">
        <v>1750</v>
      </c>
      <c r="C1048" s="2565" t="s">
        <v>1751</v>
      </c>
      <c r="D1048" s="2244">
        <v>46202</v>
      </c>
      <c r="E1048" s="2284">
        <v>6.8</v>
      </c>
      <c r="F1048" s="977" t="s">
        <v>3297</v>
      </c>
      <c r="J1048" s="1243"/>
      <c r="K1048" s="2285"/>
      <c r="L1048" s="2285"/>
      <c r="M1048" s="2111">
        <f>35.34/E1048/1.13*1.2</f>
        <v>5.51900052056221</v>
      </c>
      <c r="N1048" s="727">
        <v>24.1</v>
      </c>
      <c r="O1048" s="154">
        <v>4.18</v>
      </c>
      <c r="P1048" s="1985">
        <f t="shared" si="112"/>
        <v>33.7990005205622</v>
      </c>
      <c r="Q1048" s="1978" t="s">
        <v>1748</v>
      </c>
    </row>
    <row r="1049" ht="16" customHeight="1" spans="1:1024 1025:16384">
      <c r="B1049" s="2566" t="s">
        <v>1896</v>
      </c>
      <c r="C1049" s="2567" t="s">
        <v>1832</v>
      </c>
      <c r="D1049" s="1979">
        <v>46167</v>
      </c>
      <c r="E1049" s="2540">
        <v>6.75</v>
      </c>
      <c r="F1049" s="1975" t="s">
        <v>3298</v>
      </c>
      <c r="G1049" s="2566"/>
      <c r="H1049" s="2478" t="s">
        <v>1897</v>
      </c>
      <c r="I1049" s="2476" t="s">
        <v>1506</v>
      </c>
      <c r="J1049" s="1975" t="s">
        <v>1428</v>
      </c>
      <c r="K1049" s="2224" t="s">
        <v>712</v>
      </c>
      <c r="L1049" s="2225" t="s">
        <v>1428</v>
      </c>
      <c r="M1049" s="1985">
        <f>89.52/6.75/1.13</f>
        <v>11.7364798426745</v>
      </c>
      <c r="N1049" s="1985">
        <v>15.88</v>
      </c>
      <c r="O1049" s="1985">
        <f>23.5/E1049</f>
        <v>3.48148148148148</v>
      </c>
      <c r="P1049" s="2541">
        <f>SUBTOTAL(109,L1049:O1049)</f>
        <v>31.097961324156</v>
      </c>
      <c r="Q1049" s="2466" t="s">
        <v>1898</v>
      </c>
      <c r="R1049" s="993" t="s">
        <v>3299</v>
      </c>
      <c r="S1049" s="1989" t="s">
        <v>1899</v>
      </c>
    </row>
    <row r="1050" ht="16" customHeight="1" spans="1:1024 1025:16384">
      <c r="B1050" s="2566" t="s">
        <v>1896</v>
      </c>
      <c r="C1050" s="2567" t="s">
        <v>1832</v>
      </c>
      <c r="D1050" s="1979">
        <v>46245</v>
      </c>
      <c r="E1050" s="1980">
        <v>6.75</v>
      </c>
      <c r="F1050" s="2568" t="s">
        <v>3300</v>
      </c>
      <c r="G1050" s="1978"/>
      <c r="H1050" s="2478"/>
      <c r="I1050" s="2569"/>
      <c r="J1050" s="1975" t="s">
        <v>1428</v>
      </c>
      <c r="K1050" s="2224" t="s">
        <v>712</v>
      </c>
      <c r="L1050" s="2225" t="s">
        <v>1428</v>
      </c>
      <c r="M1050" s="2111">
        <f>67.45/E1050/1.13*1.05</f>
        <v>9.28515240904622</v>
      </c>
      <c r="N1050" s="1985">
        <v>17.84</v>
      </c>
      <c r="O1050" s="1985">
        <f>23.5/E1050</f>
        <v>3.48148148148148</v>
      </c>
      <c r="P1050" s="2541">
        <f>SUBTOTAL(109,L1050:O1050)</f>
        <v>30.6066338905277</v>
      </c>
      <c r="Q1050" s="1987"/>
      <c r="R1050" s="1988"/>
      <c r="S1050" s="1988"/>
    </row>
    <row r="1051" ht="16" customHeight="1" spans="1:1024 1025:16384">
      <c r="B1051" s="2562" t="s">
        <v>1726</v>
      </c>
      <c r="C1051" s="2570" t="s">
        <v>1727</v>
      </c>
      <c r="D1051" s="2295">
        <v>20250929</v>
      </c>
      <c r="E1051" s="2033">
        <v>6.8</v>
      </c>
      <c r="F1051" s="2563" t="s">
        <v>1728</v>
      </c>
      <c r="G1051" s="1988" t="s">
        <v>1685</v>
      </c>
      <c r="H1051" s="2266" t="s">
        <v>1729</v>
      </c>
      <c r="I1051" s="2509" t="s">
        <v>1730</v>
      </c>
      <c r="J1051" s="2032" t="s">
        <v>1731</v>
      </c>
      <c r="K1051" s="2033" t="s">
        <v>712</v>
      </c>
      <c r="L1051" s="2267">
        <v>13</v>
      </c>
      <c r="M1051" s="2104">
        <f>49.26/E1051/1.13</f>
        <v>6.41072358146799</v>
      </c>
      <c r="N1051" s="1987">
        <v>42.58</v>
      </c>
      <c r="O1051" s="2564">
        <f>24.05/E1051</f>
        <v>3.53676470588235</v>
      </c>
      <c r="P1051" s="1987">
        <f>SUM(K1051:O1051)</f>
        <v>65.5274882873503</v>
      </c>
      <c r="Q1051" s="1987">
        <v>40.58</v>
      </c>
      <c r="R1051" s="1988" t="s">
        <v>1526</v>
      </c>
      <c r="S1051" s="1988" t="s">
        <v>1732</v>
      </c>
    </row>
    <row r="1052" ht="16" customHeight="1" spans="1:1024 1025:16384">
      <c r="B1052" s="2571" t="s">
        <v>1726</v>
      </c>
      <c r="C1052" s="2572" t="s">
        <v>1727</v>
      </c>
      <c r="D1052" s="2573">
        <v>46205</v>
      </c>
      <c r="E1052" s="2574">
        <v>6.8</v>
      </c>
      <c r="F1052" s="2223" t="s">
        <v>3301</v>
      </c>
      <c r="G1052" s="2574"/>
      <c r="H1052" s="2574"/>
      <c r="I1052" s="2575"/>
      <c r="J1052" s="2020" t="s">
        <v>1428</v>
      </c>
      <c r="K1052" s="2184" t="s">
        <v>712</v>
      </c>
      <c r="L1052" s="2185" t="s">
        <v>1428</v>
      </c>
      <c r="M1052" s="829">
        <f>57.6/E1052/1.13</f>
        <v>7.49609578344612</v>
      </c>
      <c r="N1052" s="829">
        <v>38</v>
      </c>
      <c r="O1052" s="2576">
        <f>24.05/E1052</f>
        <v>3.53676470588235</v>
      </c>
      <c r="P1052" s="2577">
        <f>SUM(K1052:O1052)</f>
        <v>49.0328604893285</v>
      </c>
    </row>
    <row r="1055" ht="20" customHeight="1" spans="1:1024 1025:16384">
      <c r="A1055" s="989"/>
      <c r="B1055" s="791"/>
      <c r="D1055" s="2578" t="s">
        <v>3302</v>
      </c>
      <c r="E1055" s="2579"/>
      <c r="J1055" s="2240"/>
      <c r="K1055" s="2580">
        <f t="shared" ref="K1055:P1055" si="113">K997-K995</f>
        <v>-1.48148148148148</v>
      </c>
      <c r="L1055" s="2580">
        <f t="shared" si="113"/>
        <v>0.406424123238283</v>
      </c>
      <c r="M1055" s="2580">
        <f t="shared" si="113"/>
        <v>1.70435922648312</v>
      </c>
      <c r="N1055" s="2580">
        <f t="shared" si="113"/>
        <v>1</v>
      </c>
      <c r="O1055" s="2580">
        <f t="shared" si="113"/>
        <v>0</v>
      </c>
      <c r="P1055" s="2580">
        <f t="shared" si="113"/>
        <v>1.62930186823988</v>
      </c>
      <c r="Q1055" s="791"/>
      <c r="R1055" s="989"/>
      <c r="S1055" s="989"/>
      <c r="T1055" s="42"/>
      <c r="U1055" s="42"/>
      <c r="V1055" s="42"/>
      <c r="W1055" s="2163"/>
      <c r="X1055" s="42"/>
      <c r="Y1055" s="989"/>
      <c r="Z1055" s="42"/>
      <c r="AA1055" s="42"/>
      <c r="AB1055" s="2163"/>
      <c r="AC1055" s="989"/>
      <c r="AD1055" s="989"/>
      <c r="AE1055" s="989"/>
      <c r="AF1055" s="989"/>
      <c r="AG1055" s="989"/>
      <c r="AH1055" s="989"/>
      <c r="AI1055" s="989"/>
      <c r="AJ1055" s="989"/>
      <c r="AK1055" s="989"/>
      <c r="AL1055" s="989"/>
      <c r="AM1055" s="989"/>
      <c r="AN1055" s="989"/>
      <c r="AO1055" s="989"/>
      <c r="AP1055" s="989"/>
      <c r="AQ1055" s="989"/>
      <c r="AR1055" s="989"/>
      <c r="AS1055" s="989"/>
      <c r="AT1055" s="989"/>
      <c r="AU1055" s="989"/>
      <c r="AV1055" s="989"/>
      <c r="AW1055" s="989"/>
      <c r="AX1055" s="989"/>
      <c r="AY1055" s="989"/>
      <c r="AZ1055" s="989"/>
      <c r="BA1055" s="989"/>
      <c r="BB1055" s="989"/>
      <c r="BC1055" s="989"/>
      <c r="BD1055" s="989"/>
      <c r="BE1055" s="989"/>
      <c r="BF1055" s="989"/>
      <c r="BG1055" s="989"/>
      <c r="BH1055" s="989"/>
      <c r="BI1055" s="989"/>
      <c r="BJ1055" s="989"/>
      <c r="BK1055" s="989"/>
      <c r="BL1055" s="989"/>
      <c r="BM1055" s="989"/>
      <c r="BN1055" s="989"/>
      <c r="BO1055" s="989"/>
      <c r="BP1055" s="989"/>
      <c r="BQ1055" s="989"/>
      <c r="BR1055" s="989"/>
      <c r="BS1055" s="989"/>
      <c r="BT1055" s="989"/>
      <c r="BU1055" s="989"/>
      <c r="BV1055" s="989"/>
      <c r="BW1055" s="989"/>
      <c r="BX1055" s="989"/>
      <c r="BY1055" s="989"/>
      <c r="BZ1055" s="989"/>
      <c r="CA1055" s="989"/>
      <c r="CB1055" s="989"/>
      <c r="CC1055" s="989"/>
      <c r="CD1055" s="989"/>
      <c r="CE1055" s="989"/>
      <c r="CF1055" s="989"/>
      <c r="CG1055" s="989"/>
      <c r="CH1055" s="989"/>
      <c r="CI1055" s="989"/>
      <c r="CJ1055" s="989"/>
      <c r="CK1055" s="989"/>
      <c r="CL1055" s="989"/>
      <c r="CM1055" s="989"/>
      <c r="CN1055" s="989"/>
      <c r="CO1055" s="989"/>
      <c r="CP1055" s="989"/>
      <c r="CQ1055" s="989"/>
      <c r="CR1055" s="989"/>
      <c r="CS1055" s="989"/>
      <c r="CT1055" s="989"/>
      <c r="CU1055" s="989"/>
      <c r="CV1055" s="989"/>
      <c r="CW1055" s="989"/>
      <c r="CX1055" s="989"/>
      <c r="CY1055" s="989"/>
      <c r="CZ1055" s="989"/>
      <c r="DA1055" s="989"/>
      <c r="DB1055" s="989"/>
      <c r="DC1055" s="989"/>
      <c r="DD1055" s="989"/>
      <c r="DE1055" s="989"/>
      <c r="DF1055" s="989"/>
      <c r="DG1055" s="989"/>
      <c r="DH1055" s="989"/>
      <c r="DI1055" s="989"/>
      <c r="DJ1055" s="989"/>
      <c r="DK1055" s="989"/>
      <c r="DL1055" s="989"/>
      <c r="DM1055" s="989"/>
      <c r="DN1055" s="989"/>
      <c r="DO1055" s="989"/>
      <c r="DP1055" s="989"/>
      <c r="DQ1055" s="989"/>
      <c r="DR1055" s="989"/>
      <c r="DS1055" s="989"/>
      <c r="DT1055" s="989"/>
      <c r="DU1055" s="989"/>
      <c r="DV1055" s="989"/>
      <c r="DW1055" s="989"/>
      <c r="DX1055" s="989"/>
      <c r="DY1055" s="989"/>
      <c r="DZ1055" s="989"/>
      <c r="EA1055" s="989"/>
      <c r="EB1055" s="989"/>
      <c r="EC1055" s="989"/>
      <c r="ED1055" s="989"/>
      <c r="EE1055" s="989"/>
      <c r="EF1055" s="989"/>
      <c r="EG1055" s="989"/>
      <c r="EH1055" s="989"/>
      <c r="EI1055" s="989"/>
      <c r="EJ1055" s="989"/>
      <c r="EK1055" s="989"/>
      <c r="EL1055" s="989"/>
      <c r="EM1055" s="989"/>
      <c r="EN1055" s="989"/>
      <c r="EO1055" s="989"/>
      <c r="EP1055" s="989"/>
      <c r="EQ1055" s="989"/>
      <c r="ER1055" s="989"/>
      <c r="ES1055" s="989"/>
      <c r="ET1055" s="989"/>
      <c r="EU1055" s="989"/>
      <c r="EV1055" s="989"/>
      <c r="EW1055" s="989"/>
      <c r="EX1055" s="989"/>
      <c r="EY1055" s="989"/>
      <c r="EZ1055" s="989"/>
      <c r="FA1055" s="989"/>
      <c r="FB1055" s="989"/>
      <c r="FC1055" s="989"/>
      <c r="FD1055" s="989"/>
      <c r="FE1055" s="989"/>
      <c r="FF1055" s="989"/>
      <c r="FG1055" s="989"/>
      <c r="FH1055" s="989"/>
      <c r="FI1055" s="989"/>
      <c r="FJ1055" s="989"/>
      <c r="FK1055" s="989"/>
      <c r="FL1055" s="989"/>
      <c r="FM1055" s="989"/>
      <c r="FN1055" s="989"/>
      <c r="FO1055" s="989"/>
      <c r="FP1055" s="989"/>
      <c r="FQ1055" s="989"/>
      <c r="FR1055" s="989"/>
      <c r="FS1055" s="989"/>
      <c r="FT1055" s="989"/>
      <c r="FU1055" s="989"/>
      <c r="FV1055" s="989"/>
      <c r="FW1055" s="989"/>
      <c r="FX1055" s="989"/>
      <c r="FY1055" s="989"/>
      <c r="FZ1055" s="989"/>
      <c r="GA1055" s="989"/>
      <c r="GB1055" s="989"/>
      <c r="GC1055" s="989"/>
      <c r="GD1055" s="989"/>
      <c r="GE1055" s="989"/>
      <c r="GF1055" s="989"/>
      <c r="GG1055" s="989"/>
      <c r="GH1055" s="989"/>
      <c r="GI1055" s="989"/>
      <c r="GJ1055" s="989"/>
      <c r="GK1055" s="989"/>
      <c r="GL1055" s="989"/>
      <c r="GM1055" s="989"/>
      <c r="GN1055" s="989"/>
      <c r="GO1055" s="989"/>
      <c r="GP1055" s="989"/>
      <c r="GQ1055" s="989"/>
      <c r="GR1055" s="989"/>
      <c r="GS1055" s="989"/>
      <c r="GT1055" s="989"/>
      <c r="GU1055" s="989"/>
      <c r="GV1055" s="989"/>
      <c r="GW1055" s="989"/>
      <c r="GX1055" s="989"/>
      <c r="GY1055" s="989"/>
      <c r="GZ1055" s="989"/>
      <c r="HA1055" s="989"/>
      <c r="HB1055" s="989"/>
      <c r="HC1055" s="989"/>
      <c r="HD1055" s="989"/>
      <c r="HE1055" s="989"/>
      <c r="HF1055" s="989"/>
      <c r="HG1055" s="989"/>
      <c r="HH1055" s="989"/>
      <c r="HI1055" s="989"/>
      <c r="HJ1055" s="989"/>
      <c r="HK1055" s="989"/>
      <c r="HL1055" s="989"/>
      <c r="HM1055" s="989"/>
      <c r="HN1055" s="989"/>
      <c r="HO1055" s="989"/>
      <c r="HP1055" s="989"/>
      <c r="HQ1055" s="989"/>
      <c r="HR1055" s="989"/>
      <c r="HS1055" s="989"/>
      <c r="HT1055" s="989"/>
      <c r="HU1055" s="989"/>
      <c r="HV1055" s="989"/>
      <c r="HW1055" s="989"/>
      <c r="HX1055" s="989"/>
      <c r="HY1055" s="989"/>
      <c r="HZ1055" s="989"/>
      <c r="IA1055" s="989"/>
      <c r="IB1055" s="989"/>
      <c r="IC1055" s="989"/>
      <c r="ID1055" s="989"/>
      <c r="IE1055" s="989"/>
      <c r="IF1055" s="989"/>
      <c r="IG1055" s="989"/>
      <c r="IH1055" s="989"/>
      <c r="II1055" s="989"/>
      <c r="IJ1055" s="989"/>
      <c r="IK1055" s="989"/>
      <c r="IL1055" s="989"/>
      <c r="IM1055" s="989"/>
      <c r="IN1055" s="989"/>
      <c r="IO1055" s="989"/>
      <c r="IP1055" s="989"/>
      <c r="IQ1055" s="989"/>
      <c r="IR1055" s="989"/>
      <c r="IS1055" s="989"/>
      <c r="IT1055" s="989"/>
      <c r="IU1055" s="989"/>
      <c r="IV1055" s="989"/>
      <c r="IW1055" s="989"/>
      <c r="IX1055" s="989"/>
      <c r="IY1055" s="989"/>
      <c r="IZ1055" s="989"/>
      <c r="JA1055" s="989"/>
      <c r="JB1055" s="989"/>
      <c r="JC1055" s="989"/>
      <c r="JD1055" s="989"/>
      <c r="JE1055" s="989"/>
      <c r="JF1055" s="989"/>
      <c r="JG1055" s="989"/>
      <c r="JH1055" s="989"/>
      <c r="JI1055" s="989"/>
      <c r="JJ1055" s="989"/>
      <c r="JK1055" s="989"/>
      <c r="JL1055" s="989"/>
      <c r="JM1055" s="989"/>
      <c r="JN1055" s="989"/>
      <c r="JO1055" s="989"/>
      <c r="JP1055" s="989"/>
      <c r="JQ1055" s="989"/>
      <c r="JR1055" s="989"/>
      <c r="JS1055" s="989"/>
      <c r="JT1055" s="989"/>
      <c r="JU1055" s="989"/>
      <c r="JV1055" s="989"/>
      <c r="JW1055" s="989"/>
      <c r="JX1055" s="989"/>
      <c r="JY1055" s="989"/>
      <c r="JZ1055" s="989"/>
      <c r="KA1055" s="989"/>
      <c r="KB1055" s="989"/>
      <c r="KC1055" s="989"/>
      <c r="KD1055" s="989"/>
      <c r="KE1055" s="989"/>
      <c r="KF1055" s="989"/>
      <c r="KG1055" s="989"/>
      <c r="KH1055" s="989"/>
      <c r="KI1055" s="989"/>
      <c r="KJ1055" s="989"/>
      <c r="KK1055" s="989"/>
      <c r="KL1055" s="989"/>
      <c r="KM1055" s="989"/>
      <c r="KN1055" s="989"/>
      <c r="KO1055" s="989"/>
      <c r="KP1055" s="989"/>
      <c r="KQ1055" s="989"/>
      <c r="KR1055" s="989"/>
      <c r="KS1055" s="989"/>
      <c r="KT1055" s="989"/>
      <c r="KU1055" s="989"/>
      <c r="KV1055" s="989"/>
      <c r="KW1055" s="989"/>
      <c r="KX1055" s="989"/>
      <c r="KY1055" s="989"/>
      <c r="KZ1055" s="989"/>
      <c r="LA1055" s="989"/>
      <c r="LB1055" s="989"/>
      <c r="LC1055" s="989"/>
      <c r="LD1055" s="989"/>
      <c r="LE1055" s="989"/>
      <c r="LF1055" s="989"/>
      <c r="LG1055" s="989"/>
      <c r="LH1055" s="989"/>
      <c r="LI1055" s="989"/>
      <c r="LJ1055" s="989"/>
      <c r="LK1055" s="989"/>
      <c r="LL1055" s="989"/>
      <c r="LM1055" s="989"/>
      <c r="LN1055" s="989"/>
      <c r="LO1055" s="989"/>
      <c r="LP1055" s="989"/>
      <c r="LQ1055" s="989"/>
      <c r="LR1055" s="989"/>
      <c r="LS1055" s="989"/>
      <c r="LT1055" s="989"/>
      <c r="LU1055" s="989"/>
      <c r="LV1055" s="989"/>
      <c r="LW1055" s="989"/>
      <c r="LX1055" s="989"/>
      <c r="LY1055" s="989"/>
      <c r="LZ1055" s="989"/>
      <c r="MA1055" s="989"/>
      <c r="MB1055" s="989"/>
      <c r="MC1055" s="989"/>
      <c r="MD1055" s="989"/>
      <c r="ME1055" s="989"/>
      <c r="MF1055" s="989"/>
      <c r="MG1055" s="989"/>
      <c r="MH1055" s="989"/>
      <c r="MI1055" s="989"/>
      <c r="MJ1055" s="989"/>
      <c r="MK1055" s="989"/>
      <c r="ML1055" s="989"/>
      <c r="MM1055" s="989"/>
      <c r="MN1055" s="989"/>
      <c r="MO1055" s="989"/>
      <c r="MP1055" s="989"/>
      <c r="MQ1055" s="989"/>
      <c r="MR1055" s="989"/>
      <c r="MS1055" s="989"/>
      <c r="MT1055" s="989"/>
      <c r="MU1055" s="989"/>
      <c r="MV1055" s="989"/>
      <c r="MW1055" s="989"/>
      <c r="MX1055" s="989"/>
      <c r="MY1055" s="989"/>
      <c r="MZ1055" s="989"/>
      <c r="NA1055" s="989"/>
      <c r="NB1055" s="989"/>
      <c r="NC1055" s="989"/>
      <c r="ND1055" s="989"/>
      <c r="NE1055" s="989"/>
      <c r="NF1055" s="989"/>
      <c r="NG1055" s="989"/>
      <c r="NH1055" s="989"/>
      <c r="NI1055" s="989"/>
      <c r="NJ1055" s="989"/>
      <c r="NK1055" s="989"/>
      <c r="NL1055" s="989"/>
      <c r="NM1055" s="989"/>
      <c r="NN1055" s="989"/>
      <c r="NO1055" s="989"/>
      <c r="NP1055" s="989"/>
      <c r="NQ1055" s="989"/>
      <c r="NR1055" s="989"/>
      <c r="NS1055" s="989"/>
      <c r="NT1055" s="989"/>
      <c r="NU1055" s="989"/>
      <c r="NV1055" s="989"/>
      <c r="NW1055" s="989"/>
      <c r="NX1055" s="989"/>
      <c r="NY1055" s="989"/>
      <c r="NZ1055" s="989"/>
      <c r="OA1055" s="989"/>
      <c r="OB1055" s="989"/>
      <c r="OC1055" s="989"/>
      <c r="OD1055" s="989"/>
      <c r="OE1055" s="989"/>
      <c r="OF1055" s="989"/>
      <c r="OG1055" s="989"/>
      <c r="OH1055" s="989"/>
      <c r="OI1055" s="989"/>
      <c r="OJ1055" s="989"/>
      <c r="OK1055" s="989"/>
      <c r="OL1055" s="989"/>
      <c r="OM1055" s="989"/>
      <c r="ON1055" s="989"/>
      <c r="OO1055" s="989"/>
      <c r="OP1055" s="989"/>
      <c r="OQ1055" s="989"/>
      <c r="OR1055" s="989"/>
      <c r="OS1055" s="989"/>
      <c r="OT1055" s="989"/>
      <c r="OU1055" s="989"/>
      <c r="OV1055" s="989"/>
      <c r="OW1055" s="989"/>
      <c r="OX1055" s="989"/>
      <c r="OY1055" s="989"/>
      <c r="OZ1055" s="989"/>
      <c r="PA1055" s="989"/>
      <c r="PB1055" s="989"/>
      <c r="PC1055" s="989"/>
      <c r="PD1055" s="989"/>
      <c r="PE1055" s="989"/>
      <c r="PF1055" s="989"/>
      <c r="PG1055" s="989"/>
      <c r="PH1055" s="989"/>
      <c r="PI1055" s="989"/>
      <c r="PJ1055" s="989"/>
      <c r="PK1055" s="989"/>
      <c r="PL1055" s="989"/>
      <c r="PM1055" s="989"/>
      <c r="PN1055" s="989"/>
      <c r="PO1055" s="989"/>
      <c r="PP1055" s="989"/>
      <c r="PQ1055" s="989"/>
      <c r="PR1055" s="989"/>
      <c r="PS1055" s="989"/>
      <c r="PT1055" s="989"/>
      <c r="PU1055" s="989"/>
      <c r="PV1055" s="989"/>
      <c r="PW1055" s="989"/>
      <c r="PX1055" s="989"/>
      <c r="PY1055" s="989"/>
      <c r="PZ1055" s="989"/>
      <c r="QA1055" s="989"/>
      <c r="QB1055" s="989"/>
      <c r="QC1055" s="989"/>
      <c r="QD1055" s="989"/>
      <c r="QE1055" s="989"/>
      <c r="QF1055" s="989"/>
      <c r="QG1055" s="989"/>
      <c r="QH1055" s="989"/>
      <c r="QI1055" s="989"/>
      <c r="QJ1055" s="989"/>
      <c r="QK1055" s="989"/>
      <c r="QL1055" s="989"/>
      <c r="QM1055" s="989"/>
      <c r="QN1055" s="989"/>
      <c r="QO1055" s="989"/>
      <c r="QP1055" s="989"/>
      <c r="QQ1055" s="989"/>
      <c r="QR1055" s="989"/>
      <c r="QS1055" s="989"/>
      <c r="QT1055" s="989"/>
      <c r="QU1055" s="989"/>
      <c r="QV1055" s="989"/>
      <c r="QW1055" s="989"/>
      <c r="QX1055" s="989"/>
      <c r="QY1055" s="989"/>
      <c r="QZ1055" s="989"/>
      <c r="RA1055" s="989"/>
      <c r="RB1055" s="989"/>
      <c r="RC1055" s="989"/>
      <c r="RD1055" s="989"/>
      <c r="RE1055" s="989"/>
      <c r="RF1055" s="989"/>
      <c r="RG1055" s="989"/>
      <c r="RH1055" s="989"/>
      <c r="RI1055" s="989"/>
      <c r="RJ1055" s="989"/>
      <c r="RK1055" s="989"/>
      <c r="RL1055" s="989"/>
      <c r="RM1055" s="989"/>
      <c r="RN1055" s="989"/>
      <c r="RO1055" s="989"/>
      <c r="RP1055" s="989"/>
      <c r="RQ1055" s="989"/>
      <c r="RR1055" s="989"/>
      <c r="RS1055" s="989"/>
      <c r="RT1055" s="989"/>
      <c r="RU1055" s="989"/>
      <c r="RV1055" s="989"/>
      <c r="RW1055" s="989"/>
      <c r="RX1055" s="989"/>
      <c r="RY1055" s="989"/>
      <c r="RZ1055" s="989"/>
      <c r="SA1055" s="989"/>
      <c r="SB1055" s="989"/>
      <c r="SC1055" s="989"/>
      <c r="SD1055" s="989"/>
      <c r="SE1055" s="989"/>
      <c r="SF1055" s="989"/>
      <c r="SG1055" s="989"/>
      <c r="SH1055" s="989"/>
      <c r="SI1055" s="989"/>
      <c r="SJ1055" s="989"/>
      <c r="SK1055" s="989"/>
      <c r="SL1055" s="989"/>
      <c r="SM1055" s="989"/>
      <c r="SN1055" s="989"/>
      <c r="SO1055" s="989"/>
      <c r="SP1055" s="989"/>
      <c r="SQ1055" s="989"/>
      <c r="SR1055" s="989"/>
      <c r="SS1055" s="989"/>
      <c r="ST1055" s="989"/>
      <c r="SU1055" s="989"/>
      <c r="SV1055" s="989"/>
      <c r="SW1055" s="989"/>
      <c r="SX1055" s="989"/>
      <c r="SY1055" s="989"/>
      <c r="SZ1055" s="989"/>
      <c r="TA1055" s="989"/>
      <c r="TB1055" s="989"/>
      <c r="TC1055" s="989"/>
      <c r="TD1055" s="989"/>
      <c r="TE1055" s="989"/>
      <c r="TF1055" s="989"/>
      <c r="TG1055" s="989"/>
      <c r="TH1055" s="989"/>
      <c r="TI1055" s="989"/>
      <c r="TJ1055" s="989"/>
      <c r="TK1055" s="989"/>
      <c r="TL1055" s="989"/>
      <c r="TM1055" s="989"/>
      <c r="TN1055" s="989"/>
      <c r="TO1055" s="989"/>
      <c r="TP1055" s="989"/>
      <c r="TQ1055" s="989"/>
      <c r="TR1055" s="989"/>
      <c r="TS1055" s="989"/>
      <c r="TT1055" s="989"/>
      <c r="TU1055" s="989"/>
      <c r="TV1055" s="989"/>
      <c r="TW1055" s="989"/>
      <c r="TX1055" s="989"/>
      <c r="TY1055" s="989"/>
      <c r="TZ1055" s="989"/>
      <c r="UA1055" s="989"/>
      <c r="UB1055" s="989"/>
      <c r="UC1055" s="989"/>
      <c r="UD1055" s="989"/>
      <c r="UE1055" s="989"/>
      <c r="UF1055" s="989"/>
      <c r="UG1055" s="989"/>
      <c r="UH1055" s="989"/>
      <c r="UI1055" s="989"/>
      <c r="UJ1055" s="989"/>
      <c r="UK1055" s="989"/>
      <c r="UL1055" s="989"/>
      <c r="UM1055" s="989"/>
      <c r="UN1055" s="989"/>
      <c r="UO1055" s="989"/>
      <c r="UP1055" s="989"/>
      <c r="UQ1055" s="989"/>
      <c r="UR1055" s="989"/>
      <c r="US1055" s="989"/>
      <c r="UT1055" s="989"/>
      <c r="UU1055" s="989"/>
      <c r="UV1055" s="989"/>
      <c r="UW1055" s="989"/>
      <c r="UX1055" s="989"/>
      <c r="UY1055" s="989"/>
      <c r="UZ1055" s="989"/>
      <c r="VA1055" s="989"/>
      <c r="VB1055" s="989"/>
      <c r="VC1055" s="989"/>
      <c r="VD1055" s="989"/>
      <c r="VE1055" s="989"/>
      <c r="VF1055" s="989"/>
      <c r="VG1055" s="989"/>
      <c r="VH1055" s="989"/>
      <c r="VI1055" s="989"/>
      <c r="VJ1055" s="989"/>
      <c r="VK1055" s="989"/>
      <c r="VL1055" s="989"/>
      <c r="VM1055" s="989"/>
      <c r="VN1055" s="989"/>
      <c r="VO1055" s="989"/>
      <c r="VP1055" s="989"/>
      <c r="VQ1055" s="989"/>
      <c r="VR1055" s="989"/>
      <c r="VS1055" s="989"/>
      <c r="VT1055" s="989"/>
      <c r="VU1055" s="989"/>
      <c r="VV1055" s="989"/>
      <c r="VW1055" s="989"/>
      <c r="VX1055" s="989"/>
      <c r="VY1055" s="989"/>
      <c r="VZ1055" s="989"/>
      <c r="WA1055" s="989"/>
      <c r="WB1055" s="989"/>
      <c r="WC1055" s="989"/>
      <c r="WD1055" s="989"/>
      <c r="WE1055" s="989"/>
      <c r="WF1055" s="989"/>
      <c r="WG1055" s="989"/>
      <c r="WH1055" s="989"/>
      <c r="WI1055" s="989"/>
      <c r="WJ1055" s="989"/>
      <c r="WK1055" s="989"/>
      <c r="WL1055" s="989"/>
      <c r="WM1055" s="989"/>
      <c r="WN1055" s="989"/>
      <c r="WO1055" s="989"/>
      <c r="WP1055" s="989"/>
      <c r="WQ1055" s="989"/>
      <c r="WR1055" s="989"/>
      <c r="WS1055" s="989"/>
      <c r="WT1055" s="989"/>
      <c r="WU1055" s="989"/>
      <c r="WV1055" s="989"/>
      <c r="WW1055" s="989"/>
      <c r="WX1055" s="989"/>
      <c r="WY1055" s="989"/>
      <c r="WZ1055" s="989"/>
      <c r="XA1055" s="989"/>
      <c r="XB1055" s="989"/>
      <c r="XC1055" s="989"/>
      <c r="XD1055" s="989"/>
      <c r="XE1055" s="989"/>
      <c r="XF1055" s="989"/>
      <c r="XG1055" s="989"/>
      <c r="XH1055" s="989"/>
      <c r="XI1055" s="989"/>
      <c r="XJ1055" s="989"/>
      <c r="XK1055" s="989"/>
      <c r="XL1055" s="989"/>
      <c r="XM1055" s="989"/>
      <c r="XN1055" s="989"/>
      <c r="XO1055" s="989"/>
      <c r="XP1055" s="989"/>
      <c r="XQ1055" s="989"/>
      <c r="XR1055" s="989"/>
      <c r="XS1055" s="989"/>
      <c r="XT1055" s="989"/>
      <c r="XU1055" s="989"/>
      <c r="XV1055" s="989"/>
      <c r="XW1055" s="989"/>
      <c r="XX1055" s="989"/>
      <c r="XY1055" s="989"/>
      <c r="XZ1055" s="989"/>
      <c r="YA1055" s="989"/>
      <c r="YB1055" s="989"/>
      <c r="YC1055" s="989"/>
      <c r="YD1055" s="989"/>
      <c r="YE1055" s="989"/>
      <c r="YF1055" s="989"/>
      <c r="YG1055" s="989"/>
      <c r="YH1055" s="989"/>
      <c r="YI1055" s="989"/>
      <c r="YJ1055" s="989"/>
      <c r="YK1055" s="989"/>
      <c r="YL1055" s="989"/>
      <c r="YM1055" s="989"/>
      <c r="YN1055" s="989"/>
      <c r="YO1055" s="989"/>
      <c r="YP1055" s="989"/>
      <c r="YQ1055" s="989"/>
      <c r="YR1055" s="989"/>
      <c r="YS1055" s="989"/>
      <c r="YT1055" s="989"/>
      <c r="YU1055" s="989"/>
      <c r="YV1055" s="989"/>
      <c r="YW1055" s="989"/>
      <c r="YX1055" s="989"/>
      <c r="YY1055" s="989"/>
      <c r="YZ1055" s="989"/>
      <c r="ZA1055" s="989"/>
      <c r="ZB1055" s="989"/>
      <c r="ZC1055" s="989"/>
      <c r="ZD1055" s="989"/>
      <c r="ZE1055" s="989"/>
      <c r="ZF1055" s="989"/>
      <c r="ZG1055" s="989"/>
      <c r="ZH1055" s="989"/>
      <c r="ZI1055" s="989"/>
      <c r="ZJ1055" s="989"/>
      <c r="ZK1055" s="989"/>
      <c r="ZL1055" s="989"/>
      <c r="ZM1055" s="989"/>
      <c r="ZN1055" s="989"/>
      <c r="ZO1055" s="989"/>
      <c r="ZP1055" s="989"/>
      <c r="ZQ1055" s="989"/>
      <c r="ZR1055" s="989"/>
      <c r="ZS1055" s="989"/>
      <c r="ZT1055" s="989"/>
      <c r="ZU1055" s="989"/>
      <c r="ZV1055" s="989"/>
      <c r="ZW1055" s="989"/>
      <c r="ZX1055" s="989"/>
      <c r="ZY1055" s="989"/>
      <c r="ZZ1055" s="989"/>
      <c r="AAA1055" s="989"/>
      <c r="AAB1055" s="989"/>
      <c r="AAC1055" s="989"/>
      <c r="AAD1055" s="989"/>
      <c r="AAE1055" s="989"/>
      <c r="AAF1055" s="989"/>
      <c r="AAG1055" s="989"/>
      <c r="AAH1055" s="989"/>
      <c r="AAI1055" s="989"/>
      <c r="AAJ1055" s="989"/>
      <c r="AAK1055" s="989"/>
      <c r="AAL1055" s="989"/>
      <c r="AAM1055" s="989"/>
      <c r="AAN1055" s="989"/>
      <c r="AAO1055" s="989"/>
      <c r="AAP1055" s="989"/>
      <c r="AAQ1055" s="989"/>
      <c r="AAR1055" s="989"/>
      <c r="AAS1055" s="989"/>
      <c r="AAT1055" s="989"/>
      <c r="AAU1055" s="989"/>
      <c r="AAV1055" s="989"/>
      <c r="AAW1055" s="989"/>
      <c r="AAX1055" s="989"/>
      <c r="AAY1055" s="989"/>
      <c r="AAZ1055" s="989"/>
      <c r="ABA1055" s="989"/>
      <c r="ABB1055" s="989"/>
      <c r="ABC1055" s="989"/>
      <c r="ABD1055" s="989"/>
      <c r="ABE1055" s="989"/>
      <c r="ABF1055" s="989"/>
      <c r="ABG1055" s="989"/>
      <c r="ABH1055" s="989"/>
      <c r="ABI1055" s="989"/>
      <c r="ABJ1055" s="989"/>
      <c r="ABK1055" s="989"/>
      <c r="ABL1055" s="989"/>
      <c r="ABM1055" s="989"/>
      <c r="ABN1055" s="989"/>
      <c r="ABO1055" s="989"/>
      <c r="ABP1055" s="989"/>
      <c r="ABQ1055" s="989"/>
      <c r="ABR1055" s="989"/>
      <c r="ABS1055" s="989"/>
      <c r="ABT1055" s="989"/>
      <c r="ABU1055" s="989"/>
      <c r="ABV1055" s="989"/>
      <c r="ABW1055" s="989"/>
      <c r="ABX1055" s="989"/>
      <c r="ABY1055" s="989"/>
      <c r="ABZ1055" s="989"/>
      <c r="ACA1055" s="989"/>
      <c r="ACB1055" s="989"/>
      <c r="ACC1055" s="989"/>
      <c r="ACD1055" s="989"/>
      <c r="ACE1055" s="989"/>
      <c r="ACF1055" s="989"/>
      <c r="ACG1055" s="989"/>
      <c r="ACH1055" s="989"/>
      <c r="ACI1055" s="989"/>
      <c r="ACJ1055" s="989"/>
      <c r="ACK1055" s="989"/>
      <c r="ACL1055" s="989"/>
      <c r="ACM1055" s="989"/>
      <c r="ACN1055" s="989"/>
      <c r="ACO1055" s="989"/>
      <c r="ACP1055" s="989"/>
      <c r="ACQ1055" s="989"/>
      <c r="ACR1055" s="989"/>
      <c r="ACS1055" s="989"/>
      <c r="ACT1055" s="989"/>
      <c r="ACU1055" s="989"/>
      <c r="ACV1055" s="989"/>
      <c r="ACW1055" s="989"/>
      <c r="ACX1055" s="989"/>
      <c r="ACY1055" s="989"/>
      <c r="ACZ1055" s="989"/>
      <c r="ADA1055" s="989"/>
      <c r="ADB1055" s="989"/>
      <c r="ADC1055" s="989"/>
      <c r="ADD1055" s="989"/>
      <c r="ADE1055" s="989"/>
      <c r="ADF1055" s="989"/>
      <c r="ADG1055" s="989"/>
      <c r="ADH1055" s="989"/>
      <c r="ADI1055" s="989"/>
      <c r="ADJ1055" s="989"/>
      <c r="ADK1055" s="989"/>
      <c r="ADL1055" s="989"/>
      <c r="ADM1055" s="989"/>
      <c r="ADN1055" s="989"/>
      <c r="ADO1055" s="989"/>
      <c r="ADP1055" s="989"/>
      <c r="ADQ1055" s="989"/>
      <c r="ADR1055" s="989"/>
      <c r="ADS1055" s="989"/>
      <c r="ADT1055" s="989"/>
      <c r="ADU1055" s="989"/>
      <c r="ADV1055" s="989"/>
      <c r="ADW1055" s="989"/>
      <c r="ADX1055" s="989"/>
      <c r="ADY1055" s="989"/>
      <c r="ADZ1055" s="989"/>
      <c r="AEA1055" s="989"/>
      <c r="AEB1055" s="989"/>
      <c r="AEC1055" s="989"/>
      <c r="AED1055" s="989"/>
      <c r="AEE1055" s="989"/>
      <c r="AEF1055" s="989"/>
      <c r="AEG1055" s="989"/>
      <c r="AEH1055" s="989"/>
      <c r="AEI1055" s="989"/>
      <c r="AEJ1055" s="989"/>
      <c r="AEK1055" s="989"/>
      <c r="AEL1055" s="989"/>
      <c r="AEM1055" s="989"/>
      <c r="AEN1055" s="989"/>
      <c r="AEO1055" s="989"/>
      <c r="AEP1055" s="989"/>
      <c r="AEQ1055" s="989"/>
      <c r="AER1055" s="989"/>
      <c r="AES1055" s="989"/>
      <c r="AET1055" s="989"/>
      <c r="AEU1055" s="989"/>
      <c r="AEV1055" s="989"/>
      <c r="AEW1055" s="989"/>
      <c r="AEX1055" s="989"/>
      <c r="AEY1055" s="989"/>
      <c r="AEZ1055" s="989"/>
      <c r="AFA1055" s="989"/>
      <c r="AFB1055" s="989"/>
      <c r="AFC1055" s="989"/>
      <c r="AFD1055" s="989"/>
      <c r="AFE1055" s="989"/>
      <c r="AFF1055" s="989"/>
      <c r="AFG1055" s="989"/>
      <c r="AFH1055" s="989"/>
      <c r="AFI1055" s="989"/>
      <c r="AFJ1055" s="989"/>
      <c r="AFK1055" s="989"/>
      <c r="AFL1055" s="989"/>
      <c r="AFM1055" s="989"/>
      <c r="AFN1055" s="989"/>
      <c r="AFO1055" s="989"/>
      <c r="AFP1055" s="989"/>
      <c r="AFQ1055" s="989"/>
      <c r="AFR1055" s="989"/>
      <c r="AFS1055" s="989"/>
      <c r="AFT1055" s="989"/>
      <c r="AFU1055" s="989"/>
      <c r="AFV1055" s="989"/>
      <c r="AFW1055" s="989"/>
      <c r="AFX1055" s="989"/>
      <c r="AFY1055" s="989"/>
      <c r="AFZ1055" s="989"/>
      <c r="AGA1055" s="989"/>
      <c r="AGB1055" s="989"/>
      <c r="AGC1055" s="989"/>
      <c r="AGD1055" s="989"/>
      <c r="AGE1055" s="989"/>
      <c r="AGF1055" s="989"/>
      <c r="AGG1055" s="989"/>
      <c r="AGH1055" s="989"/>
      <c r="AGI1055" s="989"/>
      <c r="AGJ1055" s="989"/>
      <c r="AGK1055" s="989"/>
      <c r="AGL1055" s="989"/>
      <c r="AGM1055" s="989"/>
      <c r="AGN1055" s="989"/>
      <c r="AGO1055" s="989"/>
      <c r="AGP1055" s="989"/>
      <c r="AGQ1055" s="989"/>
      <c r="AGR1055" s="989"/>
      <c r="AGS1055" s="989"/>
      <c r="AGT1055" s="989"/>
      <c r="AGU1055" s="989"/>
      <c r="AGV1055" s="989"/>
      <c r="AGW1055" s="989"/>
      <c r="AGX1055" s="989"/>
      <c r="AGY1055" s="989"/>
      <c r="AGZ1055" s="989"/>
      <c r="AHA1055" s="989"/>
      <c r="AHB1055" s="989"/>
      <c r="AHC1055" s="989"/>
      <c r="AHD1055" s="989"/>
      <c r="AHE1055" s="989"/>
      <c r="AHF1055" s="989"/>
      <c r="AHG1055" s="989"/>
      <c r="AHH1055" s="989"/>
      <c r="AHI1055" s="989"/>
      <c r="AHJ1055" s="989"/>
      <c r="AHK1055" s="989"/>
      <c r="AHL1055" s="989"/>
      <c r="AHM1055" s="989"/>
      <c r="AHN1055" s="989"/>
      <c r="AHO1055" s="989"/>
      <c r="AHP1055" s="989"/>
      <c r="AHQ1055" s="989"/>
      <c r="AHR1055" s="989"/>
      <c r="AHS1055" s="989"/>
      <c r="AHT1055" s="989"/>
      <c r="AHU1055" s="989"/>
      <c r="AHV1055" s="989"/>
      <c r="AHW1055" s="989"/>
      <c r="AHX1055" s="989"/>
      <c r="AHY1055" s="989"/>
      <c r="AHZ1055" s="989"/>
      <c r="AIA1055" s="989"/>
      <c r="AIB1055" s="989"/>
      <c r="AIC1055" s="989"/>
      <c r="AID1055" s="989"/>
      <c r="AIE1055" s="989"/>
      <c r="AIF1055" s="989"/>
      <c r="AIG1055" s="989"/>
      <c r="AIH1055" s="989"/>
      <c r="AII1055" s="989"/>
      <c r="AIJ1055" s="989"/>
      <c r="AIK1055" s="989"/>
      <c r="AIL1055" s="989"/>
      <c r="AIM1055" s="989"/>
      <c r="AIN1055" s="989"/>
      <c r="AIO1055" s="989"/>
      <c r="AIP1055" s="989"/>
      <c r="AIQ1055" s="989"/>
      <c r="AIR1055" s="989"/>
      <c r="AIS1055" s="989"/>
      <c r="AIT1055" s="989"/>
      <c r="AIU1055" s="989"/>
      <c r="AIV1055" s="989"/>
      <c r="AIW1055" s="989"/>
      <c r="AIX1055" s="989"/>
      <c r="AIY1055" s="989"/>
      <c r="AIZ1055" s="989"/>
      <c r="AJA1055" s="989"/>
      <c r="AJB1055" s="989"/>
      <c r="AJC1055" s="989"/>
      <c r="AJD1055" s="989"/>
      <c r="AJE1055" s="989"/>
      <c r="AJF1055" s="989"/>
      <c r="AJG1055" s="989"/>
      <c r="AJH1055" s="989"/>
      <c r="AJI1055" s="989"/>
      <c r="AJJ1055" s="989"/>
      <c r="AJK1055" s="989"/>
      <c r="AJL1055" s="989"/>
      <c r="AJM1055" s="989"/>
      <c r="AJN1055" s="989"/>
      <c r="AJO1055" s="989"/>
      <c r="AJP1055" s="989"/>
      <c r="AJQ1055" s="989"/>
      <c r="AJR1055" s="989"/>
      <c r="AJS1055" s="989"/>
      <c r="AJT1055" s="989"/>
      <c r="AJU1055" s="989"/>
      <c r="AJV1055" s="989"/>
      <c r="AJW1055" s="989"/>
      <c r="AJX1055" s="989"/>
      <c r="AJY1055" s="989"/>
      <c r="AJZ1055" s="989"/>
      <c r="AKA1055" s="989"/>
      <c r="AKB1055" s="989"/>
      <c r="AKC1055" s="989"/>
      <c r="AKD1055" s="989"/>
      <c r="AKE1055" s="989"/>
      <c r="AKF1055" s="989"/>
      <c r="AKG1055" s="989"/>
      <c r="AKH1055" s="989"/>
      <c r="AKI1055" s="989"/>
      <c r="AKJ1055" s="989"/>
      <c r="AKK1055" s="989"/>
      <c r="AKL1055" s="989"/>
      <c r="AKM1055" s="989"/>
      <c r="AKN1055" s="989"/>
      <c r="AKO1055" s="989"/>
      <c r="AKP1055" s="989"/>
      <c r="AKQ1055" s="989"/>
      <c r="AKR1055" s="989"/>
      <c r="AKS1055" s="989"/>
      <c r="AKT1055" s="989"/>
      <c r="AKU1055" s="989"/>
      <c r="AKV1055" s="989"/>
      <c r="AKW1055" s="989"/>
      <c r="AKX1055" s="989"/>
      <c r="AKY1055" s="989"/>
      <c r="AKZ1055" s="989"/>
      <c r="ALA1055" s="989"/>
      <c r="ALB1055" s="989"/>
      <c r="ALC1055" s="989"/>
      <c r="ALD1055" s="989"/>
      <c r="ALE1055" s="989"/>
      <c r="ALF1055" s="989"/>
      <c r="ALG1055" s="989"/>
      <c r="ALH1055" s="989"/>
      <c r="ALI1055" s="989"/>
      <c r="ALJ1055" s="989"/>
      <c r="ALK1055" s="989"/>
      <c r="ALL1055" s="989"/>
      <c r="ALM1055" s="989"/>
      <c r="ALN1055" s="989"/>
      <c r="ALO1055" s="989"/>
      <c r="ALP1055" s="989"/>
      <c r="ALQ1055" s="989"/>
      <c r="ALR1055" s="989"/>
      <c r="ALS1055" s="989"/>
      <c r="ALT1055" s="989"/>
      <c r="ALU1055" s="989"/>
      <c r="ALV1055" s="989"/>
      <c r="ALW1055" s="989"/>
      <c r="ALX1055" s="989"/>
      <c r="ALY1055" s="989"/>
      <c r="ALZ1055" s="989"/>
      <c r="AMA1055" s="989"/>
      <c r="AMB1055" s="989"/>
      <c r="AMC1055" s="989"/>
      <c r="AMD1055" s="989"/>
      <c r="AME1055" s="989"/>
      <c r="AMF1055" s="989"/>
      <c r="AMG1055" s="989"/>
      <c r="AMH1055" s="989"/>
      <c r="AMI1055" s="989"/>
      <c r="AMJ1055" s="989"/>
      <c r="AMK1055" s="989"/>
      <c r="AML1055" s="989"/>
      <c r="AMM1055" s="989"/>
      <c r="AMN1055" s="989"/>
      <c r="AMO1055" s="989"/>
      <c r="AMP1055" s="989"/>
      <c r="AMQ1055" s="989"/>
      <c r="AMR1055" s="989"/>
      <c r="AMS1055" s="989"/>
      <c r="AMT1055" s="989"/>
      <c r="AMU1055" s="989"/>
      <c r="AMV1055" s="989"/>
      <c r="AMW1055" s="989"/>
      <c r="AMX1055" s="989"/>
      <c r="AMY1055" s="989"/>
      <c r="AMZ1055" s="989"/>
      <c r="ANA1055" s="989"/>
      <c r="ANB1055" s="989"/>
      <c r="ANC1055" s="989"/>
      <c r="AND1055" s="989"/>
      <c r="ANE1055" s="989"/>
      <c r="ANF1055" s="989"/>
      <c r="ANG1055" s="989"/>
      <c r="ANH1055" s="989"/>
      <c r="ANI1055" s="989"/>
      <c r="ANJ1055" s="989"/>
      <c r="ANK1055" s="989"/>
      <c r="ANL1055" s="989"/>
      <c r="ANM1055" s="989"/>
      <c r="ANN1055" s="989"/>
      <c r="ANO1055" s="989"/>
      <c r="ANP1055" s="989"/>
      <c r="ANQ1055" s="989"/>
      <c r="ANR1055" s="989"/>
      <c r="ANS1055" s="989"/>
      <c r="ANT1055" s="989"/>
      <c r="ANU1055" s="989"/>
      <c r="ANV1055" s="989"/>
      <c r="ANW1055" s="989"/>
      <c r="ANX1055" s="989"/>
      <c r="ANY1055" s="989"/>
      <c r="ANZ1055" s="989"/>
      <c r="AOA1055" s="989"/>
      <c r="AOB1055" s="989"/>
      <c r="AOC1055" s="989"/>
      <c r="AOD1055" s="989"/>
      <c r="AOE1055" s="989"/>
      <c r="AOF1055" s="989"/>
      <c r="AOG1055" s="989"/>
      <c r="AOH1055" s="989"/>
      <c r="AOI1055" s="989"/>
      <c r="AOJ1055" s="989"/>
      <c r="AOK1055" s="989"/>
      <c r="AOL1055" s="989"/>
      <c r="AOM1055" s="989"/>
      <c r="AON1055" s="989"/>
      <c r="AOO1055" s="989"/>
      <c r="AOP1055" s="989"/>
      <c r="AOQ1055" s="989"/>
      <c r="AOR1055" s="989"/>
      <c r="AOS1055" s="989"/>
      <c r="AOT1055" s="989"/>
      <c r="AOU1055" s="989"/>
      <c r="AOV1055" s="989"/>
      <c r="AOW1055" s="989"/>
      <c r="AOX1055" s="989"/>
      <c r="AOY1055" s="989"/>
      <c r="AOZ1055" s="989"/>
      <c r="APA1055" s="989"/>
      <c r="APB1055" s="989"/>
      <c r="APC1055" s="989"/>
      <c r="APD1055" s="989"/>
      <c r="APE1055" s="989"/>
      <c r="APF1055" s="989"/>
      <c r="APG1055" s="989"/>
      <c r="APH1055" s="989"/>
      <c r="API1055" s="989"/>
      <c r="APJ1055" s="989"/>
      <c r="APK1055" s="989"/>
      <c r="APL1055" s="989"/>
      <c r="APM1055" s="989"/>
      <c r="APN1055" s="989"/>
      <c r="APO1055" s="989"/>
      <c r="APP1055" s="989"/>
      <c r="APQ1055" s="989"/>
      <c r="APR1055" s="989"/>
      <c r="APS1055" s="989"/>
      <c r="APT1055" s="989"/>
      <c r="APU1055" s="989"/>
      <c r="APV1055" s="989"/>
      <c r="APW1055" s="989"/>
      <c r="APX1055" s="989"/>
      <c r="APY1055" s="989"/>
      <c r="APZ1055" s="989"/>
      <c r="AQA1055" s="989"/>
      <c r="AQB1055" s="989"/>
      <c r="AQC1055" s="989"/>
      <c r="AQD1055" s="989"/>
      <c r="AQE1055" s="989"/>
      <c r="AQF1055" s="989"/>
      <c r="AQG1055" s="989"/>
      <c r="AQH1055" s="989"/>
      <c r="AQI1055" s="989"/>
      <c r="AQJ1055" s="989"/>
      <c r="AQK1055" s="989"/>
      <c r="AQL1055" s="989"/>
      <c r="AQM1055" s="989"/>
      <c r="AQN1055" s="989"/>
      <c r="AQO1055" s="989"/>
      <c r="AQP1055" s="989"/>
      <c r="AQQ1055" s="989"/>
      <c r="AQR1055" s="989"/>
      <c r="AQS1055" s="989"/>
      <c r="AQT1055" s="989"/>
      <c r="AQU1055" s="989"/>
      <c r="AQV1055" s="989"/>
      <c r="AQW1055" s="989"/>
      <c r="AQX1055" s="989"/>
      <c r="AQY1055" s="989"/>
      <c r="AQZ1055" s="989"/>
      <c r="ARA1055" s="989"/>
      <c r="ARB1055" s="989"/>
      <c r="ARC1055" s="989"/>
      <c r="ARD1055" s="989"/>
      <c r="ARE1055" s="989"/>
      <c r="ARF1055" s="989"/>
      <c r="ARG1055" s="989"/>
      <c r="ARH1055" s="989"/>
      <c r="ARI1055" s="989"/>
      <c r="ARJ1055" s="989"/>
      <c r="ARK1055" s="989"/>
      <c r="ARL1055" s="989"/>
      <c r="ARM1055" s="989"/>
      <c r="ARN1055" s="989"/>
      <c r="ARO1055" s="989"/>
      <c r="ARP1055" s="989"/>
      <c r="ARQ1055" s="989"/>
      <c r="ARR1055" s="989"/>
      <c r="ARS1055" s="989"/>
      <c r="ART1055" s="989"/>
      <c r="ARU1055" s="989"/>
      <c r="ARV1055" s="989"/>
      <c r="ARW1055" s="989"/>
      <c r="ARX1055" s="989"/>
      <c r="ARY1055" s="989"/>
      <c r="ARZ1055" s="989"/>
      <c r="ASA1055" s="989"/>
      <c r="ASB1055" s="989"/>
      <c r="ASC1055" s="989"/>
      <c r="ASD1055" s="989"/>
      <c r="ASE1055" s="989"/>
      <c r="ASF1055" s="989"/>
      <c r="ASG1055" s="989"/>
      <c r="ASH1055" s="989"/>
      <c r="ASI1055" s="989"/>
      <c r="ASJ1055" s="989"/>
      <c r="ASK1055" s="989"/>
      <c r="ASL1055" s="989"/>
      <c r="ASM1055" s="989"/>
      <c r="ASN1055" s="989"/>
      <c r="ASO1055" s="989"/>
      <c r="ASP1055" s="989"/>
      <c r="ASQ1055" s="989"/>
      <c r="ASR1055" s="989"/>
      <c r="ASS1055" s="989"/>
      <c r="AST1055" s="989"/>
      <c r="ASU1055" s="989"/>
      <c r="ASV1055" s="989"/>
      <c r="ASW1055" s="989"/>
      <c r="ASX1055" s="989"/>
      <c r="ASY1055" s="989"/>
      <c r="ASZ1055" s="989"/>
      <c r="ATA1055" s="989"/>
      <c r="ATB1055" s="989"/>
      <c r="ATC1055" s="989"/>
      <c r="ATD1055" s="989"/>
      <c r="ATE1055" s="989"/>
      <c r="ATF1055" s="989"/>
      <c r="ATG1055" s="989"/>
      <c r="ATH1055" s="989"/>
      <c r="ATI1055" s="989"/>
      <c r="ATJ1055" s="989"/>
      <c r="ATK1055" s="989"/>
      <c r="ATL1055" s="989"/>
      <c r="ATM1055" s="989"/>
      <c r="ATN1055" s="989"/>
      <c r="ATO1055" s="989"/>
      <c r="ATP1055" s="989"/>
      <c r="ATQ1055" s="989"/>
      <c r="ATR1055" s="989"/>
      <c r="ATS1055" s="989"/>
      <c r="ATT1055" s="989"/>
      <c r="ATU1055" s="989"/>
      <c r="ATV1055" s="989"/>
      <c r="ATW1055" s="989"/>
      <c r="ATX1055" s="989"/>
      <c r="ATY1055" s="989"/>
      <c r="ATZ1055" s="989"/>
      <c r="AUA1055" s="989"/>
      <c r="AUB1055" s="989"/>
      <c r="AUC1055" s="989"/>
      <c r="AUD1055" s="989"/>
      <c r="AUE1055" s="989"/>
      <c r="AUF1055" s="989"/>
      <c r="AUG1055" s="989"/>
      <c r="AUH1055" s="989"/>
      <c r="AUI1055" s="989"/>
      <c r="AUJ1055" s="989"/>
      <c r="AUK1055" s="989"/>
      <c r="AUL1055" s="989"/>
      <c r="AUM1055" s="989"/>
      <c r="AUN1055" s="989"/>
      <c r="AUO1055" s="989"/>
      <c r="AUP1055" s="989"/>
      <c r="AUQ1055" s="989"/>
      <c r="AUR1055" s="989"/>
      <c r="AUS1055" s="989"/>
      <c r="AUT1055" s="989"/>
      <c r="AUU1055" s="989"/>
      <c r="AUV1055" s="989"/>
      <c r="AUW1055" s="989"/>
      <c r="AUX1055" s="989"/>
      <c r="AUY1055" s="989"/>
      <c r="AUZ1055" s="989"/>
      <c r="AVA1055" s="989"/>
      <c r="AVB1055" s="989"/>
      <c r="AVC1055" s="989"/>
      <c r="AVD1055" s="989"/>
      <c r="AVE1055" s="989"/>
      <c r="AVF1055" s="989"/>
      <c r="AVG1055" s="989"/>
      <c r="AVH1055" s="989"/>
      <c r="AVI1055" s="989"/>
      <c r="AVJ1055" s="989"/>
      <c r="AVK1055" s="989"/>
      <c r="AVL1055" s="989"/>
      <c r="AVM1055" s="989"/>
      <c r="AVN1055" s="989"/>
      <c r="AVO1055" s="989"/>
      <c r="AVP1055" s="989"/>
      <c r="AVQ1055" s="989"/>
      <c r="AVR1055" s="989"/>
      <c r="AVS1055" s="989"/>
      <c r="AVT1055" s="989"/>
      <c r="AVU1055" s="989"/>
      <c r="AVV1055" s="989"/>
      <c r="AVW1055" s="989"/>
      <c r="AVX1055" s="989"/>
      <c r="AVY1055" s="989"/>
      <c r="AVZ1055" s="989"/>
      <c r="AWA1055" s="989"/>
      <c r="AWB1055" s="989"/>
      <c r="AWC1055" s="989"/>
      <c r="AWD1055" s="989"/>
      <c r="AWE1055" s="989"/>
      <c r="AWF1055" s="989"/>
      <c r="AWG1055" s="989"/>
      <c r="AWH1055" s="989"/>
      <c r="AWI1055" s="989"/>
      <c r="AWJ1055" s="989"/>
      <c r="AWK1055" s="989"/>
      <c r="AWL1055" s="989"/>
      <c r="AWM1055" s="989"/>
      <c r="AWN1055" s="989"/>
      <c r="AWO1055" s="989"/>
      <c r="AWP1055" s="989"/>
      <c r="AWQ1055" s="989"/>
      <c r="AWR1055" s="989"/>
      <c r="AWS1055" s="989"/>
      <c r="AWT1055" s="989"/>
      <c r="AWU1055" s="989"/>
      <c r="AWV1055" s="989"/>
      <c r="AWW1055" s="989"/>
      <c r="AWX1055" s="989"/>
      <c r="AWY1055" s="989"/>
      <c r="AWZ1055" s="989"/>
      <c r="AXA1055" s="989"/>
      <c r="AXB1055" s="989"/>
      <c r="AXC1055" s="989"/>
      <c r="AXD1055" s="989"/>
      <c r="AXE1055" s="989"/>
      <c r="AXF1055" s="989"/>
      <c r="AXG1055" s="989"/>
      <c r="AXH1055" s="989"/>
      <c r="AXI1055" s="989"/>
      <c r="AXJ1055" s="989"/>
      <c r="AXK1055" s="989"/>
      <c r="AXL1055" s="989"/>
      <c r="AXM1055" s="989"/>
      <c r="AXN1055" s="989"/>
      <c r="AXO1055" s="989"/>
      <c r="AXP1055" s="989"/>
      <c r="AXQ1055" s="989"/>
      <c r="AXR1055" s="989"/>
      <c r="AXS1055" s="989"/>
      <c r="AXT1055" s="989"/>
      <c r="AXU1055" s="989"/>
      <c r="AXV1055" s="989"/>
      <c r="AXW1055" s="989"/>
      <c r="AXX1055" s="989"/>
      <c r="AXY1055" s="989"/>
      <c r="AXZ1055" s="989"/>
      <c r="AYA1055" s="989"/>
      <c r="AYB1055" s="989"/>
      <c r="AYC1055" s="989"/>
      <c r="AYD1055" s="989"/>
      <c r="AYE1055" s="989"/>
      <c r="AYF1055" s="989"/>
      <c r="AYG1055" s="989"/>
      <c r="AYH1055" s="989"/>
      <c r="AYI1055" s="989"/>
      <c r="AYJ1055" s="989"/>
      <c r="AYK1055" s="989"/>
      <c r="AYL1055" s="989"/>
      <c r="AYM1055" s="989"/>
      <c r="AYN1055" s="989"/>
      <c r="AYO1055" s="989"/>
      <c r="AYP1055" s="989"/>
      <c r="AYQ1055" s="989"/>
      <c r="AYR1055" s="989"/>
      <c r="AYS1055" s="989"/>
      <c r="AYT1055" s="989"/>
      <c r="AYU1055" s="989"/>
      <c r="AYV1055" s="989"/>
      <c r="AYW1055" s="989"/>
      <c r="AYX1055" s="989"/>
      <c r="AYY1055" s="989"/>
      <c r="AYZ1055" s="989"/>
      <c r="AZA1055" s="989"/>
      <c r="AZB1055" s="989"/>
      <c r="AZC1055" s="989"/>
      <c r="AZD1055" s="989"/>
      <c r="AZE1055" s="989"/>
      <c r="AZF1055" s="989"/>
      <c r="AZG1055" s="989"/>
      <c r="AZH1055" s="989"/>
      <c r="AZI1055" s="989"/>
      <c r="AZJ1055" s="989"/>
      <c r="AZK1055" s="989"/>
      <c r="AZL1055" s="989"/>
      <c r="AZM1055" s="989"/>
      <c r="AZN1055" s="989"/>
      <c r="AZO1055" s="989"/>
      <c r="AZP1055" s="989"/>
      <c r="AZQ1055" s="989"/>
      <c r="AZR1055" s="989"/>
      <c r="AZS1055" s="989"/>
      <c r="AZT1055" s="989"/>
      <c r="AZU1055" s="989"/>
      <c r="AZV1055" s="989"/>
      <c r="AZW1055" s="989"/>
      <c r="AZX1055" s="989"/>
      <c r="AZY1055" s="989"/>
      <c r="AZZ1055" s="989"/>
      <c r="BAA1055" s="989"/>
      <c r="BAB1055" s="989"/>
      <c r="BAC1055" s="989"/>
      <c r="BAD1055" s="989"/>
      <c r="BAE1055" s="989"/>
      <c r="BAF1055" s="989"/>
      <c r="BAG1055" s="989"/>
      <c r="BAH1055" s="989"/>
      <c r="BAI1055" s="989"/>
      <c r="BAJ1055" s="989"/>
      <c r="BAK1055" s="989"/>
      <c r="BAL1055" s="989"/>
      <c r="BAM1055" s="989"/>
      <c r="BAN1055" s="989"/>
      <c r="BAO1055" s="989"/>
      <c r="BAP1055" s="989"/>
      <c r="BAQ1055" s="989"/>
      <c r="BAR1055" s="989"/>
      <c r="BAS1055" s="989"/>
      <c r="BAT1055" s="989"/>
      <c r="BAU1055" s="989"/>
      <c r="BAV1055" s="989"/>
      <c r="BAW1055" s="989"/>
      <c r="BAX1055" s="989"/>
      <c r="BAY1055" s="989"/>
      <c r="BAZ1055" s="989"/>
      <c r="BBA1055" s="989"/>
      <c r="BBB1055" s="989"/>
      <c r="BBC1055" s="989"/>
      <c r="BBD1055" s="989"/>
      <c r="BBE1055" s="989"/>
      <c r="BBF1055" s="989"/>
      <c r="BBG1055" s="989"/>
      <c r="BBH1055" s="989"/>
      <c r="BBI1055" s="989"/>
      <c r="BBJ1055" s="989"/>
      <c r="BBK1055" s="989"/>
      <c r="BBL1055" s="989"/>
      <c r="BBM1055" s="989"/>
      <c r="BBN1055" s="989"/>
      <c r="BBO1055" s="989"/>
      <c r="BBP1055" s="989"/>
      <c r="BBQ1055" s="989"/>
      <c r="BBR1055" s="989"/>
      <c r="BBS1055" s="989"/>
      <c r="BBT1055" s="989"/>
      <c r="BBU1055" s="989"/>
      <c r="BBV1055" s="989"/>
      <c r="BBW1055" s="989"/>
      <c r="BBX1055" s="989"/>
      <c r="BBY1055" s="989"/>
      <c r="BBZ1055" s="989"/>
      <c r="BCA1055" s="989"/>
      <c r="BCB1055" s="989"/>
      <c r="BCC1055" s="989"/>
      <c r="BCD1055" s="989"/>
      <c r="BCE1055" s="989"/>
      <c r="BCF1055" s="989"/>
      <c r="BCG1055" s="989"/>
      <c r="BCH1055" s="989"/>
      <c r="BCI1055" s="989"/>
      <c r="BCJ1055" s="989"/>
      <c r="BCK1055" s="989"/>
      <c r="BCL1055" s="989"/>
      <c r="BCM1055" s="989"/>
      <c r="BCN1055" s="989"/>
      <c r="BCO1055" s="989"/>
      <c r="BCP1055" s="989"/>
      <c r="BCQ1055" s="989"/>
      <c r="BCR1055" s="989"/>
      <c r="BCS1055" s="989"/>
      <c r="BCT1055" s="989"/>
      <c r="BCU1055" s="989"/>
      <c r="BCV1055" s="989"/>
      <c r="BCW1055" s="989"/>
      <c r="BCX1055" s="989"/>
      <c r="BCY1055" s="989"/>
      <c r="BCZ1055" s="989"/>
      <c r="BDA1055" s="989"/>
      <c r="BDB1055" s="989"/>
      <c r="BDC1055" s="989"/>
      <c r="BDD1055" s="989"/>
      <c r="BDE1055" s="989"/>
      <c r="BDF1055" s="989"/>
      <c r="BDG1055" s="989"/>
      <c r="BDH1055" s="989"/>
      <c r="BDI1055" s="989"/>
      <c r="BDJ1055" s="989"/>
      <c r="BDK1055" s="989"/>
      <c r="BDL1055" s="989"/>
      <c r="BDM1055" s="989"/>
      <c r="BDN1055" s="989"/>
      <c r="BDO1055" s="989"/>
      <c r="BDP1055" s="989"/>
      <c r="BDQ1055" s="989"/>
      <c r="BDR1055" s="989"/>
      <c r="BDS1055" s="989"/>
      <c r="BDT1055" s="989"/>
      <c r="BDU1055" s="989"/>
      <c r="BDV1055" s="989"/>
      <c r="BDW1055" s="989"/>
      <c r="BDX1055" s="989"/>
      <c r="BDY1055" s="989"/>
      <c r="BDZ1055" s="989"/>
      <c r="BEA1055" s="989"/>
      <c r="BEB1055" s="989"/>
      <c r="BEC1055" s="989"/>
      <c r="BED1055" s="989"/>
      <c r="BEE1055" s="989"/>
      <c r="BEF1055" s="989"/>
      <c r="BEG1055" s="989"/>
      <c r="BEH1055" s="989"/>
      <c r="BEI1055" s="989"/>
      <c r="BEJ1055" s="989"/>
      <c r="BEK1055" s="989"/>
      <c r="BEL1055" s="989"/>
      <c r="BEM1055" s="989"/>
      <c r="BEN1055" s="989"/>
      <c r="BEO1055" s="989"/>
      <c r="BEP1055" s="989"/>
      <c r="BEQ1055" s="989"/>
      <c r="BER1055" s="989"/>
      <c r="BES1055" s="989"/>
      <c r="BET1055" s="989"/>
      <c r="BEU1055" s="989"/>
      <c r="BEV1055" s="989"/>
      <c r="BEW1055" s="989"/>
      <c r="BEX1055" s="989"/>
      <c r="BEY1055" s="989"/>
      <c r="BEZ1055" s="989"/>
      <c r="BFA1055" s="989"/>
      <c r="BFB1055" s="989"/>
      <c r="BFC1055" s="989"/>
      <c r="BFD1055" s="989"/>
      <c r="BFE1055" s="989"/>
      <c r="BFF1055" s="989"/>
      <c r="BFG1055" s="989"/>
      <c r="BFH1055" s="989"/>
      <c r="BFI1055" s="989"/>
      <c r="BFJ1055" s="989"/>
      <c r="BFK1055" s="989"/>
      <c r="BFL1055" s="989"/>
      <c r="BFM1055" s="989"/>
      <c r="BFN1055" s="989"/>
      <c r="BFO1055" s="989"/>
      <c r="BFP1055" s="989"/>
      <c r="BFQ1055" s="989"/>
      <c r="BFR1055" s="989"/>
      <c r="BFS1055" s="989"/>
      <c r="BFT1055" s="989"/>
      <c r="BFU1055" s="989"/>
      <c r="BFV1055" s="989"/>
      <c r="BFW1055" s="989"/>
      <c r="BFX1055" s="989"/>
      <c r="BFY1055" s="989"/>
      <c r="BFZ1055" s="989"/>
      <c r="BGA1055" s="989"/>
      <c r="BGB1055" s="989"/>
      <c r="BGC1055" s="989"/>
      <c r="BGD1055" s="989"/>
      <c r="BGE1055" s="989"/>
      <c r="BGF1055" s="989"/>
      <c r="BGG1055" s="989"/>
      <c r="BGH1055" s="989"/>
      <c r="BGI1055" s="989"/>
      <c r="BGJ1055" s="989"/>
      <c r="BGK1055" s="989"/>
      <c r="BGL1055" s="989"/>
      <c r="BGM1055" s="989"/>
      <c r="BGN1055" s="989"/>
      <c r="BGO1055" s="989"/>
      <c r="BGP1055" s="989"/>
      <c r="BGQ1055" s="989"/>
      <c r="BGR1055" s="989"/>
      <c r="BGS1055" s="989"/>
      <c r="BGT1055" s="989"/>
      <c r="BGU1055" s="989"/>
      <c r="BGV1055" s="989"/>
      <c r="BGW1055" s="989"/>
      <c r="BGX1055" s="989"/>
      <c r="BGY1055" s="989"/>
      <c r="BGZ1055" s="989"/>
      <c r="BHA1055" s="989"/>
      <c r="BHB1055" s="989"/>
      <c r="BHC1055" s="989"/>
      <c r="BHD1055" s="989"/>
      <c r="BHE1055" s="989"/>
      <c r="BHF1055" s="989"/>
      <c r="BHG1055" s="989"/>
      <c r="BHH1055" s="989"/>
      <c r="BHI1055" s="989"/>
      <c r="BHJ1055" s="989"/>
      <c r="BHK1055" s="989"/>
      <c r="BHL1055" s="989"/>
      <c r="BHM1055" s="989"/>
      <c r="BHN1055" s="989"/>
      <c r="BHO1055" s="989"/>
      <c r="BHP1055" s="989"/>
      <c r="BHQ1055" s="989"/>
      <c r="BHR1055" s="989"/>
      <c r="BHS1055" s="989"/>
      <c r="BHT1055" s="989"/>
      <c r="BHU1055" s="989"/>
      <c r="BHV1055" s="989"/>
      <c r="BHW1055" s="989"/>
      <c r="BHX1055" s="989"/>
      <c r="BHY1055" s="989"/>
      <c r="BHZ1055" s="989"/>
      <c r="BIA1055" s="989"/>
      <c r="BIB1055" s="989"/>
      <c r="BIC1055" s="989"/>
      <c r="BID1055" s="989"/>
      <c r="BIE1055" s="989"/>
      <c r="BIF1055" s="989"/>
      <c r="BIG1055" s="989"/>
      <c r="BIH1055" s="989"/>
      <c r="BII1055" s="989"/>
      <c r="BIJ1055" s="989"/>
      <c r="BIK1055" s="989"/>
      <c r="BIL1055" s="989"/>
      <c r="BIM1055" s="989"/>
      <c r="BIN1055" s="989"/>
      <c r="BIO1055" s="989"/>
      <c r="BIP1055" s="989"/>
      <c r="BIQ1055" s="989"/>
      <c r="BIR1055" s="989"/>
      <c r="BIS1055" s="989"/>
      <c r="BIT1055" s="989"/>
      <c r="BIU1055" s="989"/>
      <c r="BIV1055" s="989"/>
      <c r="BIW1055" s="989"/>
      <c r="BIX1055" s="989"/>
      <c r="BIY1055" s="989"/>
      <c r="BIZ1055" s="989"/>
      <c r="BJA1055" s="989"/>
      <c r="BJB1055" s="989"/>
      <c r="BJC1055" s="989"/>
      <c r="BJD1055" s="989"/>
      <c r="BJE1055" s="989"/>
      <c r="BJF1055" s="989"/>
      <c r="BJG1055" s="989"/>
      <c r="BJH1055" s="989"/>
      <c r="BJI1055" s="989"/>
      <c r="BJJ1055" s="989"/>
      <c r="BJK1055" s="989"/>
      <c r="BJL1055" s="989"/>
      <c r="BJM1055" s="989"/>
      <c r="BJN1055" s="989"/>
      <c r="BJO1055" s="989"/>
      <c r="BJP1055" s="989"/>
      <c r="BJQ1055" s="989"/>
      <c r="BJR1055" s="989"/>
      <c r="BJS1055" s="989"/>
      <c r="BJT1055" s="989"/>
      <c r="BJU1055" s="989"/>
      <c r="BJV1055" s="989"/>
      <c r="BJW1055" s="989"/>
      <c r="BJX1055" s="989"/>
      <c r="BJY1055" s="989"/>
      <c r="BJZ1055" s="989"/>
      <c r="BKA1055" s="989"/>
      <c r="BKB1055" s="989"/>
      <c r="BKC1055" s="989"/>
      <c r="BKD1055" s="989"/>
      <c r="BKE1055" s="989"/>
      <c r="BKF1055" s="989"/>
      <c r="BKG1055" s="989"/>
      <c r="BKH1055" s="989"/>
      <c r="BKI1055" s="989"/>
      <c r="BKJ1055" s="989"/>
      <c r="BKK1055" s="989"/>
      <c r="BKL1055" s="989"/>
      <c r="BKM1055" s="989"/>
      <c r="BKN1055" s="989"/>
      <c r="BKO1055" s="989"/>
      <c r="BKP1055" s="989"/>
      <c r="BKQ1055" s="989"/>
      <c r="BKR1055" s="989"/>
      <c r="BKS1055" s="989"/>
      <c r="BKT1055" s="989"/>
      <c r="BKU1055" s="989"/>
      <c r="BKV1055" s="989"/>
      <c r="BKW1055" s="989"/>
      <c r="BKX1055" s="989"/>
      <c r="BKY1055" s="989"/>
      <c r="BKZ1055" s="989"/>
      <c r="BLA1055" s="989"/>
      <c r="BLB1055" s="989"/>
      <c r="BLC1055" s="989"/>
      <c r="BLD1055" s="989"/>
      <c r="BLE1055" s="989"/>
      <c r="BLF1055" s="989"/>
      <c r="BLG1055" s="989"/>
      <c r="BLH1055" s="989"/>
      <c r="BLI1055" s="989"/>
      <c r="BLJ1055" s="989"/>
      <c r="BLK1055" s="989"/>
      <c r="BLL1055" s="989"/>
      <c r="BLM1055" s="989"/>
      <c r="BLN1055" s="989"/>
      <c r="BLO1055" s="989"/>
      <c r="BLP1055" s="989"/>
      <c r="BLQ1055" s="989"/>
      <c r="BLR1055" s="989"/>
      <c r="BLS1055" s="989"/>
      <c r="BLT1055" s="989"/>
      <c r="BLU1055" s="989"/>
      <c r="BLV1055" s="989"/>
      <c r="BLW1055" s="989"/>
      <c r="BLX1055" s="989"/>
      <c r="BLY1055" s="989"/>
      <c r="BLZ1055" s="989"/>
      <c r="BMA1055" s="989"/>
      <c r="BMB1055" s="989"/>
      <c r="BMC1055" s="989"/>
      <c r="BMD1055" s="989"/>
      <c r="BME1055" s="989"/>
      <c r="BMF1055" s="989"/>
      <c r="BMG1055" s="989"/>
      <c r="BMH1055" s="989"/>
      <c r="BMI1055" s="989"/>
      <c r="BMJ1055" s="989"/>
      <c r="BMK1055" s="989"/>
      <c r="BML1055" s="989"/>
      <c r="BMM1055" s="989"/>
      <c r="BMN1055" s="989"/>
      <c r="BMO1055" s="989"/>
      <c r="BMP1055" s="989"/>
      <c r="BMQ1055" s="989"/>
      <c r="BMR1055" s="989"/>
      <c r="BMS1055" s="989"/>
      <c r="BMT1055" s="989"/>
      <c r="BMU1055" s="989"/>
      <c r="BMV1055" s="989"/>
      <c r="BMW1055" s="989"/>
      <c r="BMX1055" s="989"/>
      <c r="BMY1055" s="989"/>
      <c r="BMZ1055" s="989"/>
      <c r="BNA1055" s="989"/>
      <c r="BNB1055" s="989"/>
      <c r="BNC1055" s="989"/>
      <c r="BND1055" s="989"/>
      <c r="BNE1055" s="989"/>
      <c r="BNF1055" s="989"/>
      <c r="BNG1055" s="989"/>
      <c r="BNH1055" s="989"/>
      <c r="BNI1055" s="989"/>
      <c r="BNJ1055" s="989"/>
      <c r="BNK1055" s="989"/>
      <c r="BNL1055" s="989"/>
      <c r="BNM1055" s="989"/>
      <c r="BNN1055" s="989"/>
      <c r="BNO1055" s="989"/>
      <c r="BNP1055" s="989"/>
      <c r="BNQ1055" s="989"/>
      <c r="BNR1055" s="989"/>
      <c r="BNS1055" s="989"/>
      <c r="BNT1055" s="989"/>
      <c r="BNU1055" s="989"/>
      <c r="BNV1055" s="989"/>
      <c r="BNW1055" s="989"/>
      <c r="BNX1055" s="989"/>
      <c r="BNY1055" s="989"/>
      <c r="BNZ1055" s="989"/>
      <c r="BOA1055" s="989"/>
      <c r="BOB1055" s="989"/>
      <c r="BOC1055" s="989"/>
      <c r="BOD1055" s="989"/>
      <c r="BOE1055" s="989"/>
      <c r="BOF1055" s="989"/>
      <c r="BOG1055" s="989"/>
      <c r="BOH1055" s="989"/>
      <c r="BOI1055" s="989"/>
      <c r="BOJ1055" s="989"/>
      <c r="BOK1055" s="989"/>
      <c r="BOL1055" s="989"/>
      <c r="BOM1055" s="989"/>
      <c r="BON1055" s="989"/>
      <c r="BOO1055" s="989"/>
      <c r="BOP1055" s="989"/>
      <c r="BOQ1055" s="989"/>
      <c r="BOR1055" s="989"/>
      <c r="BOS1055" s="989"/>
      <c r="BOT1055" s="989"/>
      <c r="BOU1055" s="989"/>
      <c r="BOV1055" s="989"/>
      <c r="BOW1055" s="989"/>
      <c r="BOX1055" s="989"/>
      <c r="BOY1055" s="989"/>
      <c r="BOZ1055" s="989"/>
      <c r="BPA1055" s="989"/>
      <c r="BPB1055" s="989"/>
      <c r="BPC1055" s="989"/>
      <c r="BPD1055" s="989"/>
      <c r="BPE1055" s="989"/>
      <c r="BPF1055" s="989"/>
      <c r="BPG1055" s="989"/>
      <c r="BPH1055" s="989"/>
      <c r="BPI1055" s="989"/>
      <c r="BPJ1055" s="989"/>
      <c r="BPK1055" s="989"/>
      <c r="BPL1055" s="989"/>
      <c r="BPM1055" s="989"/>
      <c r="BPN1055" s="989"/>
      <c r="BPO1055" s="989"/>
      <c r="BPP1055" s="989"/>
      <c r="BPQ1055" s="989"/>
      <c r="BPR1055" s="989"/>
      <c r="BPS1055" s="989"/>
      <c r="BPT1055" s="989"/>
      <c r="BPU1055" s="989"/>
      <c r="BPV1055" s="989"/>
      <c r="BPW1055" s="989"/>
      <c r="BPX1055" s="989"/>
      <c r="BPY1055" s="989"/>
      <c r="BPZ1055" s="989"/>
      <c r="BQA1055" s="989"/>
      <c r="BQB1055" s="989"/>
      <c r="BQC1055" s="989"/>
      <c r="BQD1055" s="989"/>
      <c r="BQE1055" s="989"/>
      <c r="BQF1055" s="989"/>
      <c r="BQG1055" s="989"/>
      <c r="BQH1055" s="989"/>
      <c r="BQI1055" s="989"/>
      <c r="BQJ1055" s="989"/>
      <c r="BQK1055" s="989"/>
      <c r="BQL1055" s="989"/>
      <c r="BQM1055" s="989"/>
      <c r="BQN1055" s="989"/>
      <c r="BQO1055" s="989"/>
      <c r="BQP1055" s="989"/>
      <c r="BQQ1055" s="989"/>
      <c r="BQR1055" s="989"/>
      <c r="BQS1055" s="989"/>
      <c r="BQT1055" s="989"/>
      <c r="BQU1055" s="989"/>
      <c r="BQV1055" s="989"/>
      <c r="BQW1055" s="989"/>
      <c r="BQX1055" s="989"/>
      <c r="BQY1055" s="989"/>
      <c r="BQZ1055" s="989"/>
      <c r="BRA1055" s="989"/>
      <c r="BRB1055" s="989"/>
      <c r="BRC1055" s="989"/>
      <c r="BRD1055" s="989"/>
      <c r="BRE1055" s="989"/>
      <c r="BRF1055" s="989"/>
      <c r="BRG1055" s="989"/>
      <c r="BRH1055" s="989"/>
      <c r="BRI1055" s="989"/>
      <c r="BRJ1055" s="989"/>
      <c r="BRK1055" s="989"/>
      <c r="BRL1055" s="989"/>
      <c r="BRM1055" s="989"/>
      <c r="BRN1055" s="989"/>
      <c r="BRO1055" s="989"/>
      <c r="BRP1055" s="989"/>
      <c r="BRQ1055" s="989"/>
      <c r="BRR1055" s="989"/>
      <c r="BRS1055" s="989"/>
      <c r="BRT1055" s="989"/>
      <c r="BRU1055" s="989"/>
      <c r="BRV1055" s="989"/>
      <c r="BRW1055" s="989"/>
      <c r="BRX1055" s="989"/>
      <c r="BRY1055" s="989"/>
      <c r="BRZ1055" s="989"/>
      <c r="BSA1055" s="989"/>
      <c r="BSB1055" s="989"/>
      <c r="BSC1055" s="989"/>
      <c r="BSD1055" s="989"/>
      <c r="BSE1055" s="989"/>
      <c r="BSF1055" s="989"/>
      <c r="BSG1055" s="989"/>
      <c r="BSH1055" s="989"/>
      <c r="BSI1055" s="989"/>
      <c r="BSJ1055" s="989"/>
      <c r="BSK1055" s="989"/>
      <c r="BSL1055" s="989"/>
      <c r="BSM1055" s="989"/>
      <c r="BSN1055" s="989"/>
      <c r="BSO1055" s="989"/>
      <c r="BSP1055" s="989"/>
      <c r="BSQ1055" s="989"/>
      <c r="BSR1055" s="989"/>
      <c r="BSS1055" s="989"/>
      <c r="BST1055" s="989"/>
      <c r="BSU1055" s="989"/>
      <c r="BSV1055" s="989"/>
      <c r="BSW1055" s="989"/>
      <c r="BSX1055" s="989"/>
      <c r="BSY1055" s="989"/>
      <c r="BSZ1055" s="989"/>
      <c r="BTA1055" s="989"/>
      <c r="BTB1055" s="989"/>
      <c r="BTC1055" s="989"/>
      <c r="BTD1055" s="989"/>
      <c r="BTE1055" s="989"/>
      <c r="BTF1055" s="989"/>
      <c r="BTG1055" s="989"/>
      <c r="BTH1055" s="989"/>
      <c r="BTI1055" s="989"/>
      <c r="BTJ1055" s="989"/>
      <c r="BTK1055" s="989"/>
      <c r="BTL1055" s="989"/>
      <c r="BTM1055" s="989"/>
      <c r="BTN1055" s="989"/>
      <c r="BTO1055" s="989"/>
      <c r="BTP1055" s="989"/>
      <c r="BTQ1055" s="989"/>
      <c r="BTR1055" s="989"/>
      <c r="BTS1055" s="989"/>
      <c r="BTT1055" s="989"/>
      <c r="BTU1055" s="989"/>
      <c r="BTV1055" s="989"/>
      <c r="BTW1055" s="989"/>
      <c r="BTX1055" s="989"/>
      <c r="BTY1055" s="989"/>
      <c r="BTZ1055" s="989"/>
      <c r="BUA1055" s="989"/>
      <c r="BUB1055" s="989"/>
      <c r="BUC1055" s="989"/>
      <c r="BUD1055" s="989"/>
      <c r="BUE1055" s="989"/>
      <c r="BUF1055" s="989"/>
      <c r="BUG1055" s="989"/>
      <c r="BUH1055" s="989"/>
      <c r="BUI1055" s="989"/>
      <c r="BUJ1055" s="989"/>
      <c r="BUK1055" s="989"/>
      <c r="BUL1055" s="989"/>
      <c r="BUM1055" s="989"/>
      <c r="BUN1055" s="989"/>
      <c r="BUO1055" s="989"/>
      <c r="BUP1055" s="989"/>
      <c r="BUQ1055" s="989"/>
      <c r="BUR1055" s="989"/>
      <c r="BUS1055" s="989"/>
      <c r="BUT1055" s="989"/>
      <c r="BUU1055" s="989"/>
      <c r="BUV1055" s="989"/>
      <c r="BUW1055" s="989"/>
      <c r="BUX1055" s="989"/>
      <c r="BUY1055" s="989"/>
      <c r="BUZ1055" s="989"/>
      <c r="BVA1055" s="989"/>
      <c r="BVB1055" s="989"/>
      <c r="BVC1055" s="989"/>
      <c r="BVD1055" s="989"/>
      <c r="BVE1055" s="989"/>
      <c r="BVF1055" s="989"/>
      <c r="BVG1055" s="989"/>
      <c r="BVH1055" s="989"/>
      <c r="BVI1055" s="989"/>
      <c r="BVJ1055" s="989"/>
      <c r="BVK1055" s="989"/>
      <c r="BVL1055" s="989"/>
      <c r="BVM1055" s="989"/>
      <c r="BVN1055" s="989"/>
      <c r="BVO1055" s="989"/>
      <c r="BVP1055" s="989"/>
      <c r="BVQ1055" s="989"/>
      <c r="BVR1055" s="989"/>
      <c r="BVS1055" s="989"/>
      <c r="BVT1055" s="989"/>
      <c r="BVU1055" s="989"/>
      <c r="BVV1055" s="989"/>
      <c r="BVW1055" s="989"/>
      <c r="BVX1055" s="989"/>
      <c r="BVY1055" s="989"/>
      <c r="BVZ1055" s="989"/>
      <c r="BWA1055" s="989"/>
      <c r="BWB1055" s="989"/>
      <c r="BWC1055" s="989"/>
      <c r="BWD1055" s="989"/>
      <c r="BWE1055" s="989"/>
      <c r="BWF1055" s="989"/>
      <c r="BWG1055" s="989"/>
      <c r="BWH1055" s="989"/>
      <c r="BWI1055" s="989"/>
      <c r="BWJ1055" s="989"/>
      <c r="BWK1055" s="989"/>
      <c r="BWL1055" s="989"/>
      <c r="BWM1055" s="989"/>
      <c r="BWN1055" s="989"/>
      <c r="BWO1055" s="989"/>
      <c r="BWP1055" s="989"/>
      <c r="BWQ1055" s="989"/>
      <c r="BWR1055" s="989"/>
      <c r="BWS1055" s="989"/>
      <c r="BWT1055" s="989"/>
      <c r="BWU1055" s="989"/>
      <c r="BWV1055" s="989"/>
      <c r="BWW1055" s="989"/>
      <c r="BWX1055" s="989"/>
      <c r="BWY1055" s="989"/>
      <c r="BWZ1055" s="989"/>
      <c r="BXA1055" s="989"/>
      <c r="BXB1055" s="989"/>
      <c r="BXC1055" s="989"/>
      <c r="BXD1055" s="989"/>
      <c r="BXE1055" s="989"/>
      <c r="BXF1055" s="989"/>
      <c r="BXG1055" s="989"/>
      <c r="BXH1055" s="989"/>
      <c r="BXI1055" s="989"/>
      <c r="BXJ1055" s="989"/>
      <c r="BXK1055" s="989"/>
      <c r="BXL1055" s="989"/>
      <c r="BXM1055" s="989"/>
      <c r="BXN1055" s="989"/>
      <c r="BXO1055" s="989"/>
      <c r="BXP1055" s="989"/>
      <c r="BXQ1055" s="989"/>
      <c r="BXR1055" s="989"/>
      <c r="BXS1055" s="989"/>
      <c r="BXT1055" s="989"/>
      <c r="BXU1055" s="989"/>
      <c r="BXV1055" s="989"/>
      <c r="BXW1055" s="989"/>
      <c r="BXX1055" s="989"/>
      <c r="BXY1055" s="989"/>
      <c r="BXZ1055" s="989"/>
      <c r="BYA1055" s="989"/>
      <c r="BYB1055" s="989"/>
      <c r="BYC1055" s="989"/>
      <c r="BYD1055" s="989"/>
      <c r="BYE1055" s="989"/>
      <c r="BYF1055" s="989"/>
      <c r="BYG1055" s="989"/>
      <c r="BYH1055" s="989"/>
      <c r="BYI1055" s="989"/>
      <c r="BYJ1055" s="989"/>
      <c r="BYK1055" s="989"/>
      <c r="BYL1055" s="989"/>
      <c r="BYM1055" s="989"/>
      <c r="BYN1055" s="989"/>
      <c r="BYO1055" s="989"/>
      <c r="BYP1055" s="989"/>
      <c r="BYQ1055" s="989"/>
      <c r="BYR1055" s="989"/>
      <c r="BYS1055" s="989"/>
      <c r="BYT1055" s="989"/>
      <c r="BYU1055" s="989"/>
      <c r="BYV1055" s="989"/>
      <c r="BYW1055" s="989"/>
      <c r="BYX1055" s="989"/>
      <c r="BYY1055" s="989"/>
      <c r="BYZ1055" s="989"/>
      <c r="BZA1055" s="989"/>
      <c r="BZB1055" s="989"/>
      <c r="BZC1055" s="989"/>
      <c r="BZD1055" s="989"/>
      <c r="BZE1055" s="989"/>
      <c r="BZF1055" s="989"/>
      <c r="BZG1055" s="989"/>
      <c r="BZH1055" s="989"/>
      <c r="BZI1055" s="989"/>
      <c r="BZJ1055" s="989"/>
      <c r="BZK1055" s="989"/>
      <c r="BZL1055" s="989"/>
      <c r="BZM1055" s="989"/>
      <c r="BZN1055" s="989"/>
      <c r="BZO1055" s="989"/>
      <c r="BZP1055" s="989"/>
      <c r="BZQ1055" s="989"/>
      <c r="BZR1055" s="989"/>
      <c r="BZS1055" s="989"/>
      <c r="BZT1055" s="989"/>
      <c r="BZU1055" s="989"/>
      <c r="BZV1055" s="989"/>
      <c r="BZW1055" s="989"/>
      <c r="BZX1055" s="989"/>
      <c r="BZY1055" s="989"/>
      <c r="BZZ1055" s="989"/>
      <c r="CAA1055" s="989"/>
      <c r="CAB1055" s="989"/>
      <c r="CAC1055" s="989"/>
      <c r="CAD1055" s="989"/>
      <c r="CAE1055" s="989"/>
      <c r="CAF1055" s="989"/>
      <c r="CAG1055" s="989"/>
      <c r="CAH1055" s="989"/>
      <c r="CAI1055" s="989"/>
      <c r="CAJ1055" s="989"/>
      <c r="CAK1055" s="989"/>
      <c r="CAL1055" s="989"/>
      <c r="CAM1055" s="989"/>
      <c r="CAN1055" s="989"/>
      <c r="CAO1055" s="989"/>
      <c r="CAP1055" s="989"/>
      <c r="CAQ1055" s="989"/>
      <c r="CAR1055" s="989"/>
      <c r="CAS1055" s="989"/>
      <c r="CAT1055" s="989"/>
      <c r="CAU1055" s="989"/>
      <c r="CAV1055" s="989"/>
      <c r="CAW1055" s="989"/>
      <c r="CAX1055" s="989"/>
      <c r="CAY1055" s="989"/>
      <c r="CAZ1055" s="989"/>
      <c r="CBA1055" s="989"/>
      <c r="CBB1055" s="989"/>
      <c r="CBC1055" s="989"/>
      <c r="CBD1055" s="989"/>
      <c r="CBE1055" s="989"/>
      <c r="CBF1055" s="989"/>
      <c r="CBG1055" s="989"/>
      <c r="CBH1055" s="989"/>
      <c r="CBI1055" s="989"/>
      <c r="CBJ1055" s="989"/>
      <c r="CBK1055" s="989"/>
      <c r="CBL1055" s="989"/>
      <c r="CBM1055" s="989"/>
      <c r="CBN1055" s="989"/>
      <c r="CBO1055" s="989"/>
      <c r="CBP1055" s="989"/>
      <c r="CBQ1055" s="989"/>
      <c r="CBR1055" s="989"/>
      <c r="CBS1055" s="989"/>
      <c r="CBT1055" s="989"/>
      <c r="CBU1055" s="989"/>
      <c r="CBV1055" s="989"/>
      <c r="CBW1055" s="989"/>
      <c r="CBX1055" s="989"/>
      <c r="CBY1055" s="989"/>
      <c r="CBZ1055" s="989"/>
      <c r="CCA1055" s="989"/>
      <c r="CCB1055" s="989"/>
      <c r="CCC1055" s="989"/>
      <c r="CCD1055" s="989"/>
      <c r="CCE1055" s="989"/>
      <c r="CCF1055" s="989"/>
      <c r="CCG1055" s="989"/>
      <c r="CCH1055" s="989"/>
      <c r="CCI1055" s="989"/>
      <c r="CCJ1055" s="989"/>
      <c r="CCK1055" s="989"/>
      <c r="CCL1055" s="989"/>
      <c r="CCM1055" s="989"/>
      <c r="CCN1055" s="989"/>
      <c r="CCO1055" s="989"/>
      <c r="CCP1055" s="989"/>
      <c r="CCQ1055" s="989"/>
      <c r="CCR1055" s="989"/>
      <c r="CCS1055" s="989"/>
      <c r="CCT1055" s="989"/>
      <c r="CCU1055" s="989"/>
      <c r="CCV1055" s="989"/>
      <c r="CCW1055" s="989"/>
      <c r="CCX1055" s="989"/>
      <c r="CCY1055" s="989"/>
      <c r="CCZ1055" s="989"/>
      <c r="CDA1055" s="989"/>
      <c r="CDB1055" s="989"/>
      <c r="CDC1055" s="989"/>
      <c r="CDD1055" s="989"/>
      <c r="CDE1055" s="989"/>
      <c r="CDF1055" s="989"/>
      <c r="CDG1055" s="989"/>
      <c r="CDH1055" s="989"/>
      <c r="CDI1055" s="989"/>
      <c r="CDJ1055" s="989"/>
      <c r="CDK1055" s="989"/>
      <c r="CDL1055" s="989"/>
      <c r="CDM1055" s="989"/>
      <c r="CDN1055" s="989"/>
      <c r="CDO1055" s="989"/>
      <c r="CDP1055" s="989"/>
      <c r="CDQ1055" s="989"/>
      <c r="CDR1055" s="989"/>
      <c r="CDS1055" s="989"/>
      <c r="CDT1055" s="989"/>
      <c r="CDU1055" s="989"/>
      <c r="CDV1055" s="989"/>
      <c r="CDW1055" s="989"/>
      <c r="CDX1055" s="989"/>
      <c r="CDY1055" s="989"/>
      <c r="CDZ1055" s="989"/>
      <c r="CEA1055" s="989"/>
      <c r="CEB1055" s="989"/>
      <c r="CEC1055" s="989"/>
      <c r="CED1055" s="989"/>
      <c r="CEE1055" s="989"/>
      <c r="CEF1055" s="989"/>
      <c r="CEG1055" s="989"/>
      <c r="CEH1055" s="989"/>
      <c r="CEI1055" s="989"/>
      <c r="CEJ1055" s="989"/>
      <c r="CEK1055" s="989"/>
      <c r="CEL1055" s="989"/>
      <c r="CEM1055" s="989"/>
      <c r="CEN1055" s="989"/>
      <c r="CEO1055" s="989"/>
      <c r="CEP1055" s="989"/>
      <c r="CEQ1055" s="989"/>
      <c r="CER1055" s="989"/>
      <c r="CES1055" s="989"/>
      <c r="CET1055" s="989"/>
      <c r="CEU1055" s="989"/>
      <c r="CEV1055" s="989"/>
      <c r="CEW1055" s="989"/>
      <c r="CEX1055" s="989"/>
      <c r="CEY1055" s="989"/>
      <c r="CEZ1055" s="989"/>
      <c r="CFA1055" s="989"/>
      <c r="CFB1055" s="989"/>
      <c r="CFC1055" s="989"/>
      <c r="CFD1055" s="989"/>
      <c r="CFE1055" s="989"/>
      <c r="CFF1055" s="989"/>
      <c r="CFG1055" s="989"/>
      <c r="CFH1055" s="989"/>
      <c r="CFI1055" s="989"/>
      <c r="CFJ1055" s="989"/>
      <c r="CFK1055" s="989"/>
      <c r="CFL1055" s="989"/>
      <c r="CFM1055" s="989"/>
      <c r="CFN1055" s="989"/>
      <c r="CFO1055" s="989"/>
      <c r="CFP1055" s="989"/>
      <c r="CFQ1055" s="989"/>
      <c r="CFR1055" s="989"/>
      <c r="CFS1055" s="989"/>
      <c r="CFT1055" s="989"/>
      <c r="CFU1055" s="989"/>
      <c r="CFV1055" s="989"/>
      <c r="CFW1055" s="989"/>
      <c r="CFX1055" s="989"/>
      <c r="CFY1055" s="989"/>
      <c r="CFZ1055" s="989"/>
      <c r="CGA1055" s="989"/>
      <c r="CGB1055" s="989"/>
      <c r="CGC1055" s="989"/>
      <c r="CGD1055" s="989"/>
      <c r="CGE1055" s="989"/>
      <c r="CGF1055" s="989"/>
      <c r="CGG1055" s="989"/>
      <c r="CGH1055" s="989"/>
      <c r="CGI1055" s="989"/>
      <c r="CGJ1055" s="989"/>
      <c r="CGK1055" s="989"/>
      <c r="CGL1055" s="989"/>
      <c r="CGM1055" s="989"/>
      <c r="CGN1055" s="989"/>
      <c r="CGO1055" s="989"/>
      <c r="CGP1055" s="989"/>
      <c r="CGQ1055" s="989"/>
      <c r="CGR1055" s="989"/>
      <c r="CGS1055" s="989"/>
      <c r="CGT1055" s="989"/>
      <c r="CGU1055" s="989"/>
      <c r="CGV1055" s="989"/>
      <c r="CGW1055" s="989"/>
      <c r="CGX1055" s="989"/>
      <c r="CGY1055" s="989"/>
      <c r="CGZ1055" s="989"/>
      <c r="CHA1055" s="989"/>
      <c r="CHB1055" s="989"/>
      <c r="CHC1055" s="989"/>
      <c r="CHD1055" s="989"/>
      <c r="CHE1055" s="989"/>
      <c r="CHF1055" s="989"/>
      <c r="CHG1055" s="989"/>
      <c r="CHH1055" s="989"/>
      <c r="CHI1055" s="989"/>
      <c r="CHJ1055" s="989"/>
      <c r="CHK1055" s="989"/>
      <c r="CHL1055" s="989"/>
      <c r="CHM1055" s="989"/>
      <c r="CHN1055" s="989"/>
      <c r="CHO1055" s="989"/>
      <c r="CHP1055" s="989"/>
      <c r="CHQ1055" s="989"/>
      <c r="CHR1055" s="989"/>
      <c r="CHS1055" s="989"/>
      <c r="CHT1055" s="989"/>
      <c r="CHU1055" s="989"/>
      <c r="CHV1055" s="989"/>
      <c r="CHW1055" s="989"/>
      <c r="CHX1055" s="989"/>
      <c r="CHY1055" s="989"/>
      <c r="CHZ1055" s="989"/>
      <c r="CIA1055" s="989"/>
      <c r="CIB1055" s="989"/>
      <c r="CIC1055" s="989"/>
      <c r="CID1055" s="989"/>
      <c r="CIE1055" s="989"/>
      <c r="CIF1055" s="989"/>
      <c r="CIG1055" s="989"/>
      <c r="CIH1055" s="989"/>
      <c r="CII1055" s="989"/>
      <c r="CIJ1055" s="989"/>
      <c r="CIK1055" s="989"/>
      <c r="CIL1055" s="989"/>
      <c r="CIM1055" s="989"/>
      <c r="CIN1055" s="989"/>
      <c r="CIO1055" s="989"/>
      <c r="CIP1055" s="989"/>
      <c r="CIQ1055" s="989"/>
      <c r="CIR1055" s="989"/>
      <c r="CIS1055" s="989"/>
      <c r="CIT1055" s="989"/>
      <c r="CIU1055" s="989"/>
      <c r="CIV1055" s="989"/>
      <c r="CIW1055" s="989"/>
      <c r="CIX1055" s="989"/>
      <c r="CIY1055" s="989"/>
      <c r="CIZ1055" s="989"/>
      <c r="CJA1055" s="989"/>
      <c r="CJB1055" s="989"/>
      <c r="CJC1055" s="989"/>
      <c r="CJD1055" s="989"/>
      <c r="CJE1055" s="989"/>
      <c r="CJF1055" s="989"/>
      <c r="CJG1055" s="989"/>
      <c r="CJH1055" s="989"/>
      <c r="CJI1055" s="989"/>
      <c r="CJJ1055" s="989"/>
      <c r="CJK1055" s="989"/>
      <c r="CJL1055" s="989"/>
      <c r="CJM1055" s="989"/>
      <c r="CJN1055" s="989"/>
      <c r="CJO1055" s="989"/>
      <c r="CJP1055" s="989"/>
      <c r="CJQ1055" s="989"/>
      <c r="CJR1055" s="989"/>
      <c r="CJS1055" s="989"/>
      <c r="CJT1055" s="989"/>
      <c r="CJU1055" s="989"/>
      <c r="CJV1055" s="989"/>
      <c r="CJW1055" s="989"/>
      <c r="CJX1055" s="989"/>
      <c r="CJY1055" s="989"/>
      <c r="CJZ1055" s="989"/>
      <c r="CKA1055" s="989"/>
      <c r="CKB1055" s="989"/>
      <c r="CKC1055" s="989"/>
      <c r="CKD1055" s="989"/>
      <c r="CKE1055" s="989"/>
      <c r="CKF1055" s="989"/>
      <c r="CKG1055" s="989"/>
      <c r="CKH1055" s="989"/>
      <c r="CKI1055" s="989"/>
      <c r="CKJ1055" s="989"/>
      <c r="CKK1055" s="989"/>
      <c r="CKL1055" s="989"/>
      <c r="CKM1055" s="989"/>
      <c r="CKN1055" s="989"/>
      <c r="CKO1055" s="989"/>
      <c r="CKP1055" s="989"/>
      <c r="CKQ1055" s="989"/>
      <c r="CKR1055" s="989"/>
      <c r="CKS1055" s="989"/>
      <c r="CKT1055" s="989"/>
      <c r="CKU1055" s="989"/>
      <c r="CKV1055" s="989"/>
      <c r="CKW1055" s="989"/>
      <c r="CKX1055" s="989"/>
      <c r="CKY1055" s="989"/>
      <c r="CKZ1055" s="989"/>
      <c r="CLA1055" s="989"/>
      <c r="CLB1055" s="989"/>
      <c r="CLC1055" s="989"/>
      <c r="CLD1055" s="989"/>
      <c r="CLE1055" s="989"/>
      <c r="CLF1055" s="989"/>
      <c r="CLG1055" s="989"/>
      <c r="CLH1055" s="989"/>
      <c r="CLI1055" s="989"/>
      <c r="CLJ1055" s="989"/>
      <c r="CLK1055" s="989"/>
      <c r="CLL1055" s="989"/>
      <c r="CLM1055" s="989"/>
      <c r="CLN1055" s="989"/>
      <c r="CLO1055" s="989"/>
      <c r="CLP1055" s="989"/>
      <c r="CLQ1055" s="989"/>
      <c r="CLR1055" s="989"/>
      <c r="CLS1055" s="989"/>
      <c r="CLT1055" s="989"/>
      <c r="CLU1055" s="989"/>
      <c r="CLV1055" s="989"/>
      <c r="CLW1055" s="989"/>
      <c r="CLX1055" s="989"/>
      <c r="CLY1055" s="989"/>
      <c r="CLZ1055" s="989"/>
      <c r="CMA1055" s="989"/>
      <c r="CMB1055" s="989"/>
      <c r="CMC1055" s="989"/>
      <c r="CMD1055" s="989"/>
      <c r="CME1055" s="989"/>
      <c r="CMF1055" s="989"/>
      <c r="CMG1055" s="989"/>
      <c r="CMH1055" s="989"/>
      <c r="CMI1055" s="989"/>
      <c r="CMJ1055" s="989"/>
      <c r="CMK1055" s="989"/>
      <c r="CML1055" s="989"/>
      <c r="CMM1055" s="989"/>
      <c r="CMN1055" s="989"/>
      <c r="CMO1055" s="989"/>
      <c r="CMP1055" s="989"/>
      <c r="CMQ1055" s="989"/>
      <c r="CMR1055" s="989"/>
      <c r="CMS1055" s="989"/>
      <c r="CMT1055" s="989"/>
      <c r="CMU1055" s="989"/>
      <c r="CMV1055" s="989"/>
      <c r="CMW1055" s="989"/>
      <c r="CMX1055" s="989"/>
      <c r="CMY1055" s="989"/>
      <c r="CMZ1055" s="989"/>
      <c r="CNA1055" s="989"/>
      <c r="CNB1055" s="989"/>
      <c r="CNC1055" s="989"/>
      <c r="CND1055" s="989"/>
      <c r="CNE1055" s="989"/>
      <c r="CNF1055" s="989"/>
      <c r="CNG1055" s="989"/>
      <c r="CNH1055" s="989"/>
      <c r="CNI1055" s="989"/>
      <c r="CNJ1055" s="989"/>
      <c r="CNK1055" s="989"/>
      <c r="CNL1055" s="989"/>
      <c r="CNM1055" s="989"/>
      <c r="CNN1055" s="989"/>
      <c r="CNO1055" s="989"/>
      <c r="CNP1055" s="989"/>
      <c r="CNQ1055" s="989"/>
      <c r="CNR1055" s="989"/>
      <c r="CNS1055" s="989"/>
      <c r="CNT1055" s="989"/>
      <c r="CNU1055" s="989"/>
      <c r="CNV1055" s="989"/>
      <c r="CNW1055" s="989"/>
      <c r="CNX1055" s="989"/>
      <c r="CNY1055" s="989"/>
      <c r="CNZ1055" s="989"/>
      <c r="COA1055" s="989"/>
      <c r="COB1055" s="989"/>
      <c r="COC1055" s="989"/>
      <c r="COD1055" s="989"/>
      <c r="COE1055" s="989"/>
      <c r="COF1055" s="989"/>
      <c r="COG1055" s="989"/>
      <c r="COH1055" s="989"/>
      <c r="COI1055" s="989"/>
      <c r="COJ1055" s="989"/>
      <c r="COK1055" s="989"/>
      <c r="COL1055" s="989"/>
      <c r="COM1055" s="989"/>
      <c r="CON1055" s="989"/>
      <c r="COO1055" s="989"/>
      <c r="COP1055" s="989"/>
      <c r="COQ1055" s="989"/>
      <c r="COR1055" s="989"/>
      <c r="COS1055" s="989"/>
      <c r="COT1055" s="989"/>
      <c r="COU1055" s="989"/>
      <c r="COV1055" s="989"/>
      <c r="COW1055" s="989"/>
      <c r="COX1055" s="989"/>
      <c r="COY1055" s="989"/>
      <c r="COZ1055" s="989"/>
      <c r="CPA1055" s="989"/>
      <c r="CPB1055" s="989"/>
      <c r="CPC1055" s="989"/>
      <c r="CPD1055" s="989"/>
      <c r="CPE1055" s="989"/>
      <c r="CPF1055" s="989"/>
      <c r="CPG1055" s="989"/>
      <c r="CPH1055" s="989"/>
      <c r="CPI1055" s="989"/>
      <c r="CPJ1055" s="989"/>
      <c r="CPK1055" s="989"/>
      <c r="CPL1055" s="989"/>
      <c r="CPM1055" s="989"/>
      <c r="CPN1055" s="989"/>
      <c r="CPO1055" s="989"/>
      <c r="CPP1055" s="989"/>
      <c r="CPQ1055" s="989"/>
      <c r="CPR1055" s="989"/>
      <c r="CPS1055" s="989"/>
      <c r="CPT1055" s="989"/>
      <c r="CPU1055" s="989"/>
      <c r="CPV1055" s="989"/>
      <c r="CPW1055" s="989"/>
      <c r="CPX1055" s="989"/>
      <c r="CPY1055" s="989"/>
      <c r="CPZ1055" s="989"/>
      <c r="CQA1055" s="989"/>
      <c r="CQB1055" s="989"/>
      <c r="CQC1055" s="989"/>
      <c r="CQD1055" s="989"/>
      <c r="CQE1055" s="989"/>
      <c r="CQF1055" s="989"/>
      <c r="CQG1055" s="989"/>
      <c r="CQH1055" s="989"/>
      <c r="CQI1055" s="989"/>
      <c r="CQJ1055" s="989"/>
      <c r="CQK1055" s="989"/>
      <c r="CQL1055" s="989"/>
      <c r="CQM1055" s="989"/>
      <c r="CQN1055" s="989"/>
      <c r="CQO1055" s="989"/>
      <c r="CQP1055" s="989"/>
      <c r="CQQ1055" s="989"/>
      <c r="CQR1055" s="989"/>
      <c r="CQS1055" s="989"/>
      <c r="CQT1055" s="989"/>
      <c r="CQU1055" s="989"/>
      <c r="CQV1055" s="989"/>
      <c r="CQW1055" s="989"/>
      <c r="CQX1055" s="989"/>
      <c r="CQY1055" s="989"/>
      <c r="CQZ1055" s="989"/>
      <c r="CRA1055" s="989"/>
      <c r="CRB1055" s="989"/>
      <c r="CRC1055" s="989"/>
      <c r="CRD1055" s="989"/>
      <c r="CRE1055" s="989"/>
      <c r="CRF1055" s="989"/>
      <c r="CRG1055" s="989"/>
      <c r="CRH1055" s="989"/>
      <c r="CRI1055" s="989"/>
      <c r="CRJ1055" s="989"/>
      <c r="CRK1055" s="989"/>
      <c r="CRL1055" s="989"/>
      <c r="CRM1055" s="989"/>
      <c r="CRN1055" s="989"/>
      <c r="CRO1055" s="989"/>
      <c r="CRP1055" s="989"/>
      <c r="CRQ1055" s="989"/>
      <c r="CRR1055" s="989"/>
      <c r="CRS1055" s="989"/>
      <c r="CRT1055" s="989"/>
      <c r="CRU1055" s="989"/>
      <c r="CRV1055" s="989"/>
      <c r="CRW1055" s="989"/>
      <c r="CRX1055" s="989"/>
      <c r="CRY1055" s="989"/>
      <c r="CRZ1055" s="989"/>
      <c r="CSA1055" s="989"/>
      <c r="CSB1055" s="989"/>
      <c r="CSC1055" s="989"/>
      <c r="CSD1055" s="989"/>
      <c r="CSE1055" s="989"/>
      <c r="CSF1055" s="989"/>
      <c r="CSG1055" s="989"/>
      <c r="CSH1055" s="989"/>
      <c r="CSI1055" s="989"/>
      <c r="CSJ1055" s="989"/>
      <c r="CSK1055" s="989"/>
      <c r="CSL1055" s="989"/>
      <c r="CSM1055" s="989"/>
      <c r="CSN1055" s="989"/>
      <c r="CSO1055" s="989"/>
      <c r="CSP1055" s="989"/>
      <c r="CSQ1055" s="989"/>
      <c r="CSR1055" s="989"/>
      <c r="CSS1055" s="989"/>
      <c r="CST1055" s="989"/>
      <c r="CSU1055" s="989"/>
      <c r="CSV1055" s="989"/>
      <c r="CSW1055" s="989"/>
      <c r="CSX1055" s="989"/>
      <c r="CSY1055" s="989"/>
      <c r="CSZ1055" s="989"/>
      <c r="CTA1055" s="989"/>
      <c r="CTB1055" s="989"/>
      <c r="CTC1055" s="989"/>
      <c r="CTD1055" s="989"/>
      <c r="CTE1055" s="989"/>
      <c r="CTF1055" s="989"/>
      <c r="CTG1055" s="989"/>
      <c r="CTH1055" s="989"/>
      <c r="CTI1055" s="989"/>
      <c r="CTJ1055" s="989"/>
      <c r="CTK1055" s="989"/>
      <c r="CTL1055" s="989"/>
      <c r="CTM1055" s="989"/>
      <c r="CTN1055" s="989"/>
      <c r="CTO1055" s="989"/>
      <c r="CTP1055" s="989"/>
      <c r="CTQ1055" s="989"/>
      <c r="CTR1055" s="989"/>
      <c r="CTS1055" s="989"/>
      <c r="CTT1055" s="989"/>
      <c r="CTU1055" s="989"/>
      <c r="CTV1055" s="989"/>
      <c r="CTW1055" s="989"/>
      <c r="CTX1055" s="989"/>
      <c r="CTY1055" s="989"/>
      <c r="CTZ1055" s="989"/>
      <c r="CUA1055" s="989"/>
      <c r="CUB1055" s="989"/>
      <c r="CUC1055" s="989"/>
      <c r="CUD1055" s="989"/>
      <c r="CUE1055" s="989"/>
      <c r="CUF1055" s="989"/>
      <c r="CUG1055" s="989"/>
      <c r="CUH1055" s="989"/>
      <c r="CUI1055" s="989"/>
      <c r="CUJ1055" s="989"/>
      <c r="CUK1055" s="989"/>
      <c r="CUL1055" s="989"/>
      <c r="CUM1055" s="989"/>
      <c r="CUN1055" s="989"/>
      <c r="CUO1055" s="989"/>
      <c r="CUP1055" s="989"/>
      <c r="CUQ1055" s="989"/>
      <c r="CUR1055" s="989"/>
      <c r="CUS1055" s="989"/>
      <c r="CUT1055" s="989"/>
      <c r="CUU1055" s="989"/>
      <c r="CUV1055" s="989"/>
      <c r="CUW1055" s="989"/>
      <c r="CUX1055" s="989"/>
      <c r="CUY1055" s="989"/>
      <c r="CUZ1055" s="989"/>
      <c r="CVA1055" s="989"/>
      <c r="CVB1055" s="989"/>
      <c r="CVC1055" s="989"/>
      <c r="CVD1055" s="989"/>
      <c r="CVE1055" s="989"/>
      <c r="CVF1055" s="989"/>
      <c r="CVG1055" s="989"/>
      <c r="CVH1055" s="989"/>
      <c r="CVI1055" s="989"/>
      <c r="CVJ1055" s="989"/>
      <c r="CVK1055" s="989"/>
      <c r="CVL1055" s="989"/>
      <c r="CVM1055" s="989"/>
      <c r="CVN1055" s="989"/>
      <c r="CVO1055" s="989"/>
      <c r="CVP1055" s="989"/>
      <c r="CVQ1055" s="989"/>
      <c r="CVR1055" s="989"/>
      <c r="CVS1055" s="989"/>
      <c r="CVT1055" s="989"/>
      <c r="CVU1055" s="989"/>
      <c r="CVV1055" s="989"/>
      <c r="CVW1055" s="989"/>
      <c r="CVX1055" s="989"/>
      <c r="CVY1055" s="989"/>
      <c r="CVZ1055" s="989"/>
      <c r="CWA1055" s="989"/>
      <c r="CWB1055" s="989"/>
      <c r="CWC1055" s="989"/>
      <c r="CWD1055" s="989"/>
      <c r="CWE1055" s="989"/>
      <c r="CWF1055" s="989"/>
      <c r="CWG1055" s="989"/>
      <c r="CWH1055" s="989"/>
      <c r="CWI1055" s="989"/>
      <c r="CWJ1055" s="989"/>
      <c r="CWK1055" s="989"/>
      <c r="CWL1055" s="989"/>
      <c r="CWM1055" s="989"/>
      <c r="CWN1055" s="989"/>
      <c r="CWO1055" s="989"/>
      <c r="CWP1055" s="989"/>
      <c r="CWQ1055" s="989"/>
      <c r="CWR1055" s="989"/>
      <c r="CWS1055" s="989"/>
      <c r="CWT1055" s="989"/>
      <c r="CWU1055" s="989"/>
      <c r="CWV1055" s="989"/>
      <c r="CWW1055" s="989"/>
      <c r="CWX1055" s="989"/>
      <c r="CWY1055" s="989"/>
      <c r="CWZ1055" s="989"/>
      <c r="CXA1055" s="989"/>
      <c r="CXB1055" s="989"/>
      <c r="CXC1055" s="989"/>
      <c r="CXD1055" s="989"/>
      <c r="CXE1055" s="989"/>
      <c r="CXF1055" s="989"/>
      <c r="CXG1055" s="989"/>
      <c r="CXH1055" s="989"/>
      <c r="CXI1055" s="989"/>
      <c r="CXJ1055" s="989"/>
      <c r="CXK1055" s="989"/>
      <c r="CXL1055" s="989"/>
      <c r="CXM1055" s="989"/>
      <c r="CXN1055" s="989"/>
      <c r="CXO1055" s="989"/>
      <c r="CXP1055" s="989"/>
      <c r="CXQ1055" s="989"/>
      <c r="CXR1055" s="989"/>
      <c r="CXS1055" s="989"/>
      <c r="CXT1055" s="989"/>
      <c r="CXU1055" s="989"/>
      <c r="CXV1055" s="989"/>
      <c r="CXW1055" s="989"/>
      <c r="CXX1055" s="989"/>
      <c r="CXY1055" s="989"/>
      <c r="CXZ1055" s="989"/>
      <c r="CYA1055" s="989"/>
      <c r="CYB1055" s="989"/>
      <c r="CYC1055" s="989"/>
      <c r="CYD1055" s="989"/>
      <c r="CYE1055" s="989"/>
      <c r="CYF1055" s="989"/>
      <c r="CYG1055" s="989"/>
      <c r="CYH1055" s="989"/>
      <c r="CYI1055" s="989"/>
      <c r="CYJ1055" s="989"/>
      <c r="CYK1055" s="989"/>
      <c r="CYL1055" s="989"/>
      <c r="CYM1055" s="989"/>
      <c r="CYN1055" s="989"/>
      <c r="CYO1055" s="989"/>
      <c r="CYP1055" s="989"/>
      <c r="CYQ1055" s="989"/>
      <c r="CYR1055" s="989"/>
      <c r="CYS1055" s="989"/>
      <c r="CYT1055" s="989"/>
      <c r="CYU1055" s="989"/>
      <c r="CYV1055" s="989"/>
      <c r="CYW1055" s="989"/>
      <c r="CYX1055" s="989"/>
      <c r="CYY1055" s="989"/>
      <c r="CYZ1055" s="989"/>
      <c r="CZA1055" s="989"/>
      <c r="CZB1055" s="989"/>
      <c r="CZC1055" s="989"/>
      <c r="CZD1055" s="989"/>
      <c r="CZE1055" s="989"/>
      <c r="CZF1055" s="989"/>
      <c r="CZG1055" s="989"/>
      <c r="CZH1055" s="989"/>
      <c r="CZI1055" s="989"/>
      <c r="CZJ1055" s="989"/>
      <c r="CZK1055" s="989"/>
      <c r="CZL1055" s="989"/>
      <c r="CZM1055" s="989"/>
      <c r="CZN1055" s="989"/>
      <c r="CZO1055" s="989"/>
      <c r="CZP1055" s="989"/>
      <c r="CZQ1055" s="989"/>
      <c r="CZR1055" s="989"/>
      <c r="CZS1055" s="989"/>
      <c r="CZT1055" s="989"/>
      <c r="CZU1055" s="989"/>
      <c r="CZV1055" s="989"/>
      <c r="CZW1055" s="989"/>
      <c r="CZX1055" s="989"/>
      <c r="CZY1055" s="989"/>
      <c r="CZZ1055" s="989"/>
      <c r="DAA1055" s="989"/>
      <c r="DAB1055" s="989"/>
      <c r="DAC1055" s="989"/>
      <c r="DAD1055" s="989"/>
      <c r="DAE1055" s="989"/>
      <c r="DAF1055" s="989"/>
      <c r="DAG1055" s="989"/>
      <c r="DAH1055" s="989"/>
      <c r="DAI1055" s="989"/>
      <c r="DAJ1055" s="989"/>
      <c r="DAK1055" s="989"/>
      <c r="DAL1055" s="989"/>
      <c r="DAM1055" s="989"/>
      <c r="DAN1055" s="989"/>
      <c r="DAO1055" s="989"/>
      <c r="DAP1055" s="989"/>
      <c r="DAQ1055" s="989"/>
      <c r="DAR1055" s="989"/>
      <c r="DAS1055" s="989"/>
      <c r="DAT1055" s="989"/>
      <c r="DAU1055" s="989"/>
      <c r="DAV1055" s="989"/>
      <c r="DAW1055" s="989"/>
      <c r="DAX1055" s="989"/>
      <c r="DAY1055" s="989"/>
      <c r="DAZ1055" s="989"/>
      <c r="DBA1055" s="989"/>
      <c r="DBB1055" s="989"/>
      <c r="DBC1055" s="989"/>
      <c r="DBD1055" s="989"/>
      <c r="DBE1055" s="989"/>
      <c r="DBF1055" s="989"/>
      <c r="DBG1055" s="989"/>
      <c r="DBH1055" s="989"/>
      <c r="DBI1055" s="989"/>
      <c r="DBJ1055" s="989"/>
      <c r="DBK1055" s="989"/>
      <c r="DBL1055" s="989"/>
      <c r="DBM1055" s="989"/>
      <c r="DBN1055" s="989"/>
      <c r="DBO1055" s="989"/>
      <c r="DBP1055" s="989"/>
      <c r="DBQ1055" s="989"/>
      <c r="DBR1055" s="989"/>
      <c r="DBS1055" s="989"/>
      <c r="DBT1055" s="989"/>
      <c r="DBU1055" s="989"/>
      <c r="DBV1055" s="989"/>
      <c r="DBW1055" s="989"/>
      <c r="DBX1055" s="989"/>
      <c r="DBY1055" s="989"/>
      <c r="DBZ1055" s="989"/>
      <c r="DCA1055" s="989"/>
      <c r="DCB1055" s="989"/>
      <c r="DCC1055" s="989"/>
      <c r="DCD1055" s="989"/>
      <c r="DCE1055" s="989"/>
      <c r="DCF1055" s="989"/>
      <c r="DCG1055" s="989"/>
      <c r="DCH1055" s="989"/>
      <c r="DCI1055" s="989"/>
      <c r="DCJ1055" s="989"/>
      <c r="DCK1055" s="989"/>
      <c r="DCL1055" s="989"/>
      <c r="DCM1055" s="989"/>
      <c r="DCN1055" s="989"/>
      <c r="DCO1055" s="989"/>
      <c r="DCP1055" s="989"/>
      <c r="DCQ1055" s="989"/>
      <c r="DCR1055" s="989"/>
      <c r="DCS1055" s="989"/>
      <c r="DCT1055" s="989"/>
      <c r="DCU1055" s="989"/>
      <c r="DCV1055" s="989"/>
      <c r="DCW1055" s="989"/>
      <c r="DCX1055" s="989"/>
      <c r="DCY1055" s="989"/>
      <c r="DCZ1055" s="989"/>
      <c r="DDA1055" s="989"/>
      <c r="DDB1055" s="989"/>
      <c r="DDC1055" s="989"/>
      <c r="DDD1055" s="989"/>
      <c r="DDE1055" s="989"/>
      <c r="DDF1055" s="989"/>
      <c r="DDG1055" s="989"/>
      <c r="DDH1055" s="989"/>
      <c r="DDI1055" s="989"/>
      <c r="DDJ1055" s="989"/>
      <c r="DDK1055" s="989"/>
      <c r="DDL1055" s="989"/>
      <c r="DDM1055" s="989"/>
      <c r="DDN1055" s="989"/>
      <c r="DDO1055" s="989"/>
      <c r="DDP1055" s="989"/>
      <c r="DDQ1055" s="989"/>
      <c r="DDR1055" s="989"/>
      <c r="DDS1055" s="989"/>
      <c r="DDT1055" s="989"/>
      <c r="DDU1055" s="989"/>
      <c r="DDV1055" s="989"/>
      <c r="DDW1055" s="989"/>
      <c r="DDX1055" s="989"/>
      <c r="DDY1055" s="989"/>
      <c r="DDZ1055" s="989"/>
      <c r="DEA1055" s="989"/>
      <c r="DEB1055" s="989"/>
      <c r="DEC1055" s="989"/>
      <c r="DED1055" s="989"/>
      <c r="DEE1055" s="989"/>
      <c r="DEF1055" s="989"/>
      <c r="DEG1055" s="989"/>
      <c r="DEH1055" s="989"/>
      <c r="DEI1055" s="989"/>
      <c r="DEJ1055" s="989"/>
      <c r="DEK1055" s="989"/>
      <c r="DEL1055" s="989"/>
      <c r="DEM1055" s="989"/>
      <c r="DEN1055" s="989"/>
      <c r="DEO1055" s="989"/>
      <c r="DEP1055" s="989"/>
      <c r="DEQ1055" s="989"/>
      <c r="DER1055" s="989"/>
      <c r="DES1055" s="989"/>
      <c r="DET1055" s="989"/>
      <c r="DEU1055" s="989"/>
      <c r="DEV1055" s="989"/>
      <c r="DEW1055" s="989"/>
      <c r="DEX1055" s="989"/>
      <c r="DEY1055" s="989"/>
      <c r="DEZ1055" s="989"/>
      <c r="DFA1055" s="989"/>
      <c r="DFB1055" s="989"/>
      <c r="DFC1055" s="989"/>
      <c r="DFD1055" s="989"/>
      <c r="DFE1055" s="989"/>
      <c r="DFF1055" s="989"/>
      <c r="DFG1055" s="989"/>
      <c r="DFH1055" s="989"/>
      <c r="DFI1055" s="989"/>
      <c r="DFJ1055" s="989"/>
      <c r="DFK1055" s="989"/>
      <c r="DFL1055" s="989"/>
      <c r="DFM1055" s="989"/>
      <c r="DFN1055" s="989"/>
      <c r="DFO1055" s="989"/>
      <c r="DFP1055" s="989"/>
      <c r="DFQ1055" s="989"/>
      <c r="DFR1055" s="989"/>
      <c r="DFS1055" s="989"/>
      <c r="DFT1055" s="989"/>
      <c r="DFU1055" s="989"/>
      <c r="DFV1055" s="989"/>
      <c r="DFW1055" s="989"/>
      <c r="DFX1055" s="989"/>
      <c r="DFY1055" s="989"/>
      <c r="DFZ1055" s="989"/>
      <c r="DGA1055" s="989"/>
      <c r="DGB1055" s="989"/>
      <c r="DGC1055" s="989"/>
      <c r="DGD1055" s="989"/>
      <c r="DGE1055" s="989"/>
      <c r="DGF1055" s="989"/>
      <c r="DGG1055" s="989"/>
      <c r="DGH1055" s="989"/>
      <c r="DGI1055" s="989"/>
      <c r="DGJ1055" s="989"/>
      <c r="DGK1055" s="989"/>
      <c r="DGL1055" s="989"/>
      <c r="DGM1055" s="989"/>
      <c r="DGN1055" s="989"/>
      <c r="DGO1055" s="989"/>
      <c r="DGP1055" s="989"/>
      <c r="DGQ1055" s="989"/>
      <c r="DGR1055" s="989"/>
      <c r="DGS1055" s="989"/>
      <c r="DGT1055" s="989"/>
      <c r="DGU1055" s="989"/>
      <c r="DGV1055" s="989"/>
      <c r="DGW1055" s="989"/>
      <c r="DGX1055" s="989"/>
      <c r="DGY1055" s="989"/>
      <c r="DGZ1055" s="989"/>
      <c r="DHA1055" s="989"/>
      <c r="DHB1055" s="989"/>
      <c r="DHC1055" s="989"/>
      <c r="DHD1055" s="989"/>
      <c r="DHE1055" s="989"/>
      <c r="DHF1055" s="989"/>
      <c r="DHG1055" s="989"/>
      <c r="DHH1055" s="989"/>
      <c r="DHI1055" s="989"/>
      <c r="DHJ1055" s="989"/>
      <c r="DHK1055" s="989"/>
      <c r="DHL1055" s="989"/>
      <c r="DHM1055" s="989"/>
      <c r="DHN1055" s="989"/>
      <c r="DHO1055" s="989"/>
      <c r="DHP1055" s="989"/>
      <c r="DHQ1055" s="989"/>
      <c r="DHR1055" s="989"/>
      <c r="DHS1055" s="989"/>
      <c r="DHT1055" s="989"/>
      <c r="DHU1055" s="989"/>
      <c r="DHV1055" s="989"/>
      <c r="DHW1055" s="989"/>
      <c r="DHX1055" s="989"/>
      <c r="DHY1055" s="989"/>
      <c r="DHZ1055" s="989"/>
      <c r="DIA1055" s="989"/>
      <c r="DIB1055" s="989"/>
      <c r="DIC1055" s="989"/>
      <c r="DID1055" s="989"/>
      <c r="DIE1055" s="989"/>
      <c r="DIF1055" s="989"/>
      <c r="DIG1055" s="989"/>
      <c r="DIH1055" s="989"/>
      <c r="DII1055" s="989"/>
      <c r="DIJ1055" s="989"/>
      <c r="DIK1055" s="989"/>
      <c r="DIL1055" s="989"/>
      <c r="DIM1055" s="989"/>
      <c r="DIN1055" s="989"/>
      <c r="DIO1055" s="989"/>
      <c r="DIP1055" s="989"/>
      <c r="DIQ1055" s="989"/>
      <c r="DIR1055" s="989"/>
      <c r="DIS1055" s="989"/>
      <c r="DIT1055" s="989"/>
      <c r="DIU1055" s="989"/>
      <c r="DIV1055" s="989"/>
      <c r="DIW1055" s="989"/>
      <c r="DIX1055" s="989"/>
      <c r="DIY1055" s="989"/>
      <c r="DIZ1055" s="989"/>
      <c r="DJA1055" s="989"/>
      <c r="DJB1055" s="989"/>
      <c r="DJC1055" s="989"/>
      <c r="DJD1055" s="989"/>
      <c r="DJE1055" s="989"/>
      <c r="DJF1055" s="989"/>
      <c r="DJG1055" s="989"/>
      <c r="DJH1055" s="989"/>
      <c r="DJI1055" s="989"/>
      <c r="DJJ1055" s="989"/>
      <c r="DJK1055" s="989"/>
      <c r="DJL1055" s="989"/>
      <c r="DJM1055" s="989"/>
      <c r="DJN1055" s="989"/>
      <c r="DJO1055" s="989"/>
      <c r="DJP1055" s="989"/>
      <c r="DJQ1055" s="989"/>
      <c r="DJR1055" s="989"/>
      <c r="DJS1055" s="989"/>
      <c r="DJT1055" s="989"/>
      <c r="DJU1055" s="989"/>
      <c r="DJV1055" s="989"/>
      <c r="DJW1055" s="989"/>
      <c r="DJX1055" s="989"/>
      <c r="DJY1055" s="989"/>
      <c r="DJZ1055" s="989"/>
      <c r="DKA1055" s="989"/>
      <c r="DKB1055" s="989"/>
      <c r="DKC1055" s="989"/>
      <c r="DKD1055" s="989"/>
      <c r="DKE1055" s="989"/>
      <c r="DKF1055" s="989"/>
      <c r="DKG1055" s="989"/>
      <c r="DKH1055" s="989"/>
      <c r="DKI1055" s="989"/>
      <c r="DKJ1055" s="989"/>
      <c r="DKK1055" s="989"/>
      <c r="DKL1055" s="989"/>
      <c r="DKM1055" s="989"/>
      <c r="DKN1055" s="989"/>
      <c r="DKO1055" s="989"/>
      <c r="DKP1055" s="989"/>
      <c r="DKQ1055" s="989"/>
      <c r="DKR1055" s="989"/>
      <c r="DKS1055" s="989"/>
      <c r="DKT1055" s="989"/>
      <c r="DKU1055" s="989"/>
      <c r="DKV1055" s="989"/>
      <c r="DKW1055" s="989"/>
      <c r="DKX1055" s="989"/>
      <c r="DKY1055" s="989"/>
      <c r="DKZ1055" s="989"/>
      <c r="DLA1055" s="989"/>
      <c r="DLB1055" s="989"/>
      <c r="DLC1055" s="989"/>
      <c r="DLD1055" s="989"/>
      <c r="DLE1055" s="989"/>
      <c r="DLF1055" s="989"/>
      <c r="DLG1055" s="989"/>
      <c r="DLH1055" s="989"/>
      <c r="DLI1055" s="989"/>
      <c r="DLJ1055" s="989"/>
      <c r="DLK1055" s="989"/>
      <c r="DLL1055" s="989"/>
      <c r="DLM1055" s="989"/>
      <c r="DLN1055" s="989"/>
      <c r="DLO1055" s="989"/>
      <c r="DLP1055" s="989"/>
      <c r="DLQ1055" s="989"/>
      <c r="DLR1055" s="989"/>
      <c r="DLS1055" s="989"/>
      <c r="DLT1055" s="989"/>
      <c r="DLU1055" s="989"/>
      <c r="DLV1055" s="989"/>
      <c r="DLW1055" s="989"/>
      <c r="DLX1055" s="989"/>
      <c r="DLY1055" s="989"/>
      <c r="DLZ1055" s="989"/>
      <c r="DMA1055" s="989"/>
      <c r="DMB1055" s="989"/>
      <c r="DMC1055" s="989"/>
      <c r="DMD1055" s="989"/>
      <c r="DME1055" s="989"/>
      <c r="DMF1055" s="989"/>
      <c r="DMG1055" s="989"/>
      <c r="DMH1055" s="989"/>
      <c r="DMI1055" s="989"/>
      <c r="DMJ1055" s="989"/>
      <c r="DMK1055" s="989"/>
      <c r="DML1055" s="989"/>
      <c r="DMM1055" s="989"/>
      <c r="DMN1055" s="989"/>
      <c r="DMO1055" s="989"/>
      <c r="DMP1055" s="989"/>
      <c r="DMQ1055" s="989"/>
      <c r="DMR1055" s="989"/>
      <c r="DMS1055" s="989"/>
      <c r="DMT1055" s="989"/>
      <c r="DMU1055" s="989"/>
      <c r="DMV1055" s="989"/>
      <c r="DMW1055" s="989"/>
      <c r="DMX1055" s="989"/>
      <c r="DMY1055" s="989"/>
      <c r="DMZ1055" s="989"/>
      <c r="DNA1055" s="989"/>
      <c r="DNB1055" s="989"/>
      <c r="DNC1055" s="989"/>
      <c r="DND1055" s="989"/>
      <c r="DNE1055" s="989"/>
      <c r="DNF1055" s="989"/>
      <c r="DNG1055" s="989"/>
      <c r="DNH1055" s="989"/>
      <c r="DNI1055" s="989"/>
      <c r="DNJ1055" s="989"/>
      <c r="DNK1055" s="989"/>
      <c r="DNL1055" s="989"/>
      <c r="DNM1055" s="989"/>
      <c r="DNN1055" s="989"/>
      <c r="DNO1055" s="989"/>
      <c r="DNP1055" s="989"/>
      <c r="DNQ1055" s="989"/>
      <c r="DNR1055" s="989"/>
      <c r="DNS1055" s="989"/>
      <c r="DNT1055" s="989"/>
      <c r="DNU1055" s="989"/>
      <c r="DNV1055" s="989"/>
      <c r="DNW1055" s="989"/>
      <c r="DNX1055" s="989"/>
      <c r="DNY1055" s="989"/>
      <c r="DNZ1055" s="989"/>
      <c r="DOA1055" s="989"/>
      <c r="DOB1055" s="989"/>
      <c r="DOC1055" s="989"/>
      <c r="DOD1055" s="989"/>
      <c r="DOE1055" s="989"/>
      <c r="DOF1055" s="989"/>
      <c r="DOG1055" s="989"/>
      <c r="DOH1055" s="989"/>
      <c r="DOI1055" s="989"/>
      <c r="DOJ1055" s="989"/>
      <c r="DOK1055" s="989"/>
      <c r="DOL1055" s="989"/>
      <c r="DOM1055" s="989"/>
      <c r="DON1055" s="989"/>
      <c r="DOO1055" s="989"/>
      <c r="DOP1055" s="989"/>
      <c r="DOQ1055" s="989"/>
      <c r="DOR1055" s="989"/>
      <c r="DOS1055" s="989"/>
      <c r="DOT1055" s="989"/>
      <c r="DOU1055" s="989"/>
      <c r="DOV1055" s="989"/>
      <c r="DOW1055" s="989"/>
      <c r="DOX1055" s="989"/>
      <c r="DOY1055" s="989"/>
      <c r="DOZ1055" s="989"/>
      <c r="DPA1055" s="989"/>
      <c r="DPB1055" s="989"/>
      <c r="DPC1055" s="989"/>
      <c r="DPD1055" s="989"/>
      <c r="DPE1055" s="989"/>
      <c r="DPF1055" s="989"/>
      <c r="DPG1055" s="989"/>
      <c r="DPH1055" s="989"/>
      <c r="DPI1055" s="989"/>
      <c r="DPJ1055" s="989"/>
      <c r="DPK1055" s="989"/>
      <c r="DPL1055" s="989"/>
      <c r="DPM1055" s="989"/>
      <c r="DPN1055" s="989"/>
      <c r="DPO1055" s="989"/>
      <c r="DPP1055" s="989"/>
      <c r="DPQ1055" s="989"/>
      <c r="DPR1055" s="989"/>
      <c r="DPS1055" s="989"/>
      <c r="DPT1055" s="989"/>
      <c r="DPU1055" s="989"/>
      <c r="DPV1055" s="989"/>
      <c r="DPW1055" s="989"/>
      <c r="DPX1055" s="989"/>
      <c r="DPY1055" s="989"/>
      <c r="DPZ1055" s="989"/>
      <c r="DQA1055" s="989"/>
      <c r="DQB1055" s="989"/>
      <c r="DQC1055" s="989"/>
      <c r="DQD1055" s="989"/>
      <c r="DQE1055" s="989"/>
      <c r="DQF1055" s="989"/>
      <c r="DQG1055" s="989"/>
      <c r="DQH1055" s="989"/>
      <c r="DQI1055" s="989"/>
      <c r="DQJ1055" s="989"/>
      <c r="DQK1055" s="989"/>
      <c r="DQL1055" s="989"/>
      <c r="DQM1055" s="989"/>
      <c r="DQN1055" s="989"/>
      <c r="DQO1055" s="989"/>
      <c r="DQP1055" s="989"/>
      <c r="DQQ1055" s="989"/>
      <c r="DQR1055" s="989"/>
      <c r="DQS1055" s="989"/>
      <c r="DQT1055" s="989"/>
      <c r="DQU1055" s="989"/>
      <c r="DQV1055" s="989"/>
      <c r="DQW1055" s="989"/>
      <c r="DQX1055" s="989"/>
      <c r="DQY1055" s="989"/>
      <c r="DQZ1055" s="989"/>
      <c r="DRA1055" s="989"/>
      <c r="DRB1055" s="989"/>
      <c r="DRC1055" s="989"/>
      <c r="DRD1055" s="989"/>
      <c r="DRE1055" s="989"/>
      <c r="DRF1055" s="989"/>
      <c r="DRG1055" s="989"/>
      <c r="DRH1055" s="989"/>
      <c r="DRI1055" s="989"/>
      <c r="DRJ1055" s="989"/>
      <c r="DRK1055" s="989"/>
      <c r="DRL1055" s="989"/>
      <c r="DRM1055" s="989"/>
      <c r="DRN1055" s="989"/>
      <c r="DRO1055" s="989"/>
      <c r="DRP1055" s="989"/>
      <c r="DRQ1055" s="989"/>
      <c r="DRR1055" s="989"/>
      <c r="DRS1055" s="989"/>
      <c r="DRT1055" s="989"/>
      <c r="DRU1055" s="989"/>
      <c r="DRV1055" s="989"/>
      <c r="DRW1055" s="989"/>
      <c r="DRX1055" s="989"/>
      <c r="DRY1055" s="989"/>
      <c r="DRZ1055" s="989"/>
      <c r="DSA1055" s="989"/>
      <c r="DSB1055" s="989"/>
      <c r="DSC1055" s="989"/>
      <c r="DSD1055" s="989"/>
      <c r="DSE1055" s="989"/>
      <c r="DSF1055" s="989"/>
      <c r="DSG1055" s="989"/>
      <c r="DSH1055" s="989"/>
      <c r="DSI1055" s="989"/>
      <c r="DSJ1055" s="989"/>
      <c r="DSK1055" s="989"/>
      <c r="DSL1055" s="989"/>
      <c r="DSM1055" s="989"/>
      <c r="DSN1055" s="989"/>
      <c r="DSO1055" s="989"/>
      <c r="DSP1055" s="989"/>
      <c r="DSQ1055" s="989"/>
      <c r="DSR1055" s="989"/>
      <c r="DSS1055" s="989"/>
      <c r="DST1055" s="989"/>
      <c r="DSU1055" s="989"/>
      <c r="DSV1055" s="989"/>
      <c r="DSW1055" s="989"/>
      <c r="DSX1055" s="989"/>
      <c r="DSY1055" s="989"/>
      <c r="DSZ1055" s="989"/>
      <c r="DTA1055" s="989"/>
      <c r="DTB1055" s="989"/>
      <c r="DTC1055" s="989"/>
      <c r="DTD1055" s="989"/>
      <c r="DTE1055" s="989"/>
      <c r="DTF1055" s="989"/>
      <c r="DTG1055" s="989"/>
      <c r="DTH1055" s="989"/>
      <c r="DTI1055" s="989"/>
      <c r="DTJ1055" s="989"/>
      <c r="DTK1055" s="989"/>
      <c r="DTL1055" s="989"/>
      <c r="DTM1055" s="989"/>
      <c r="DTN1055" s="989"/>
      <c r="DTO1055" s="989"/>
      <c r="DTP1055" s="989"/>
      <c r="DTQ1055" s="989"/>
      <c r="DTR1055" s="989"/>
      <c r="DTS1055" s="989"/>
      <c r="DTT1055" s="989"/>
      <c r="DTU1055" s="989"/>
      <c r="DTV1055" s="989"/>
      <c r="DTW1055" s="989"/>
      <c r="DTX1055" s="989"/>
      <c r="DTY1055" s="989"/>
      <c r="DTZ1055" s="989"/>
      <c r="DUA1055" s="989"/>
      <c r="DUB1055" s="989"/>
      <c r="DUC1055" s="989"/>
      <c r="DUD1055" s="989"/>
      <c r="DUE1055" s="989"/>
      <c r="DUF1055" s="989"/>
      <c r="DUG1055" s="989"/>
      <c r="DUH1055" s="989"/>
      <c r="DUI1055" s="989"/>
      <c r="DUJ1055" s="989"/>
      <c r="DUK1055" s="989"/>
      <c r="DUL1055" s="989"/>
      <c r="DUM1055" s="989"/>
      <c r="DUN1055" s="989"/>
      <c r="DUO1055" s="989"/>
      <c r="DUP1055" s="989"/>
      <c r="DUQ1055" s="989"/>
      <c r="DUR1055" s="989"/>
      <c r="DUS1055" s="989"/>
      <c r="DUT1055" s="989"/>
      <c r="DUU1055" s="989"/>
      <c r="DUV1055" s="989"/>
      <c r="DUW1055" s="989"/>
      <c r="DUX1055" s="989"/>
      <c r="DUY1055" s="989"/>
      <c r="DUZ1055" s="989"/>
      <c r="DVA1055" s="989"/>
      <c r="DVB1055" s="989"/>
      <c r="DVC1055" s="989"/>
      <c r="DVD1055" s="989"/>
      <c r="DVE1055" s="989"/>
      <c r="DVF1055" s="989"/>
      <c r="DVG1055" s="989"/>
      <c r="DVH1055" s="989"/>
      <c r="DVI1055" s="989"/>
      <c r="DVJ1055" s="989"/>
      <c r="DVK1055" s="989"/>
      <c r="DVL1055" s="989"/>
      <c r="DVM1055" s="989"/>
      <c r="DVN1055" s="989"/>
      <c r="DVO1055" s="989"/>
      <c r="DVP1055" s="989"/>
      <c r="DVQ1055" s="989"/>
      <c r="DVR1055" s="989"/>
      <c r="DVS1055" s="989"/>
      <c r="DVT1055" s="989"/>
      <c r="DVU1055" s="989"/>
      <c r="DVV1055" s="989"/>
      <c r="DVW1055" s="989"/>
      <c r="DVX1055" s="989"/>
      <c r="DVY1055" s="989"/>
      <c r="DVZ1055" s="989"/>
      <c r="DWA1055" s="989"/>
      <c r="DWB1055" s="989"/>
      <c r="DWC1055" s="989"/>
      <c r="DWD1055" s="989"/>
      <c r="DWE1055" s="989"/>
      <c r="DWF1055" s="989"/>
      <c r="DWG1055" s="989"/>
      <c r="DWH1055" s="989"/>
      <c r="DWI1055" s="989"/>
      <c r="DWJ1055" s="989"/>
      <c r="DWK1055" s="989"/>
      <c r="DWL1055" s="989"/>
      <c r="DWM1055" s="989"/>
      <c r="DWN1055" s="989"/>
      <c r="DWO1055" s="989"/>
      <c r="DWP1055" s="989"/>
      <c r="DWQ1055" s="989"/>
      <c r="DWR1055" s="989"/>
      <c r="DWS1055" s="989"/>
      <c r="DWT1055" s="989"/>
      <c r="DWU1055" s="989"/>
      <c r="DWV1055" s="989"/>
      <c r="DWW1055" s="989"/>
      <c r="DWX1055" s="989"/>
      <c r="DWY1055" s="989"/>
      <c r="DWZ1055" s="989"/>
      <c r="DXA1055" s="989"/>
      <c r="DXB1055" s="989"/>
      <c r="DXC1055" s="989"/>
      <c r="DXD1055" s="989"/>
      <c r="DXE1055" s="989"/>
      <c r="DXF1055" s="989"/>
      <c r="DXG1055" s="989"/>
      <c r="DXH1055" s="989"/>
      <c r="DXI1055" s="989"/>
      <c r="DXJ1055" s="989"/>
      <c r="DXK1055" s="989"/>
      <c r="DXL1055" s="989"/>
      <c r="DXM1055" s="989"/>
      <c r="DXN1055" s="989"/>
      <c r="DXO1055" s="989"/>
      <c r="DXP1055" s="989"/>
      <c r="DXQ1055" s="989"/>
      <c r="DXR1055" s="989"/>
      <c r="DXS1055" s="989"/>
      <c r="DXT1055" s="989"/>
      <c r="DXU1055" s="989"/>
      <c r="DXV1055" s="989"/>
      <c r="DXW1055" s="989"/>
      <c r="DXX1055" s="989"/>
      <c r="DXY1055" s="989"/>
      <c r="DXZ1055" s="989"/>
      <c r="DYA1055" s="989"/>
      <c r="DYB1055" s="989"/>
      <c r="DYC1055" s="989"/>
      <c r="DYD1055" s="989"/>
      <c r="DYE1055" s="989"/>
      <c r="DYF1055" s="989"/>
      <c r="DYG1055" s="989"/>
      <c r="DYH1055" s="989"/>
      <c r="DYI1055" s="989"/>
      <c r="DYJ1055" s="989"/>
      <c r="DYK1055" s="989"/>
      <c r="DYL1055" s="989"/>
      <c r="DYM1055" s="989"/>
      <c r="DYN1055" s="989"/>
      <c r="DYO1055" s="989"/>
      <c r="DYP1055" s="989"/>
      <c r="DYQ1055" s="989"/>
      <c r="DYR1055" s="989"/>
      <c r="DYS1055" s="989"/>
      <c r="DYT1055" s="989"/>
      <c r="DYU1055" s="989"/>
      <c r="DYV1055" s="989"/>
      <c r="DYW1055" s="989"/>
      <c r="DYX1055" s="989"/>
      <c r="DYY1055" s="989"/>
      <c r="DYZ1055" s="989"/>
      <c r="DZA1055" s="989"/>
      <c r="DZB1055" s="989"/>
      <c r="DZC1055" s="989"/>
      <c r="DZD1055" s="989"/>
      <c r="DZE1055" s="989"/>
      <c r="DZF1055" s="989"/>
      <c r="DZG1055" s="989"/>
      <c r="DZH1055" s="989"/>
      <c r="DZI1055" s="989"/>
      <c r="DZJ1055" s="989"/>
      <c r="DZK1055" s="989"/>
      <c r="DZL1055" s="989"/>
      <c r="DZM1055" s="989"/>
      <c r="DZN1055" s="989"/>
      <c r="DZO1055" s="989"/>
      <c r="DZP1055" s="989"/>
      <c r="DZQ1055" s="989"/>
      <c r="DZR1055" s="989"/>
      <c r="DZS1055" s="989"/>
      <c r="DZT1055" s="989"/>
      <c r="DZU1055" s="989"/>
      <c r="DZV1055" s="989"/>
      <c r="DZW1055" s="989"/>
      <c r="DZX1055" s="989"/>
      <c r="DZY1055" s="989"/>
      <c r="DZZ1055" s="989"/>
      <c r="EAA1055" s="989"/>
      <c r="EAB1055" s="989"/>
      <c r="EAC1055" s="989"/>
      <c r="EAD1055" s="989"/>
      <c r="EAE1055" s="989"/>
      <c r="EAF1055" s="989"/>
      <c r="EAG1055" s="989"/>
      <c r="EAH1055" s="989"/>
      <c r="EAI1055" s="989"/>
      <c r="EAJ1055" s="989"/>
      <c r="EAK1055" s="989"/>
      <c r="EAL1055" s="989"/>
      <c r="EAM1055" s="989"/>
      <c r="EAN1055" s="989"/>
      <c r="EAO1055" s="989"/>
      <c r="EAP1055" s="989"/>
      <c r="EAQ1055" s="989"/>
      <c r="EAR1055" s="989"/>
      <c r="EAS1055" s="989"/>
      <c r="EAT1055" s="989"/>
      <c r="EAU1055" s="989"/>
      <c r="EAV1055" s="989"/>
      <c r="EAW1055" s="989"/>
      <c r="EAX1055" s="989"/>
      <c r="EAY1055" s="989"/>
      <c r="EAZ1055" s="989"/>
      <c r="EBA1055" s="989"/>
      <c r="EBB1055" s="989"/>
      <c r="EBC1055" s="989"/>
      <c r="EBD1055" s="989"/>
      <c r="EBE1055" s="989"/>
      <c r="EBF1055" s="989"/>
      <c r="EBG1055" s="989"/>
      <c r="EBH1055" s="989"/>
      <c r="EBI1055" s="989"/>
      <c r="EBJ1055" s="989"/>
      <c r="EBK1055" s="989"/>
      <c r="EBL1055" s="989"/>
      <c r="EBM1055" s="989"/>
      <c r="EBN1055" s="989"/>
      <c r="EBO1055" s="989"/>
      <c r="EBP1055" s="989"/>
      <c r="EBQ1055" s="989"/>
      <c r="EBR1055" s="989"/>
      <c r="EBS1055" s="989"/>
      <c r="EBT1055" s="989"/>
      <c r="EBU1055" s="989"/>
      <c r="EBV1055" s="989"/>
      <c r="EBW1055" s="989"/>
      <c r="EBX1055" s="989"/>
      <c r="EBY1055" s="989"/>
      <c r="EBZ1055" s="989"/>
      <c r="ECA1055" s="989"/>
      <c r="ECB1055" s="989"/>
      <c r="ECC1055" s="989"/>
      <c r="ECD1055" s="989"/>
      <c r="ECE1055" s="989"/>
      <c r="ECF1055" s="989"/>
      <c r="ECG1055" s="989"/>
      <c r="ECH1055" s="989"/>
      <c r="ECI1055" s="989"/>
      <c r="ECJ1055" s="989"/>
      <c r="ECK1055" s="989"/>
      <c r="ECL1055" s="989"/>
      <c r="ECM1055" s="989"/>
      <c r="ECN1055" s="989"/>
      <c r="ECO1055" s="989"/>
      <c r="ECP1055" s="989"/>
      <c r="ECQ1055" s="989"/>
      <c r="ECR1055" s="989"/>
      <c r="ECS1055" s="989"/>
      <c r="ECT1055" s="989"/>
      <c r="ECU1055" s="989"/>
      <c r="ECV1055" s="989"/>
      <c r="ECW1055" s="989"/>
      <c r="ECX1055" s="989"/>
      <c r="ECY1055" s="989"/>
      <c r="ECZ1055" s="989"/>
      <c r="EDA1055" s="989"/>
      <c r="EDB1055" s="989"/>
      <c r="EDC1055" s="989"/>
      <c r="EDD1055" s="989"/>
      <c r="EDE1055" s="989"/>
      <c r="EDF1055" s="989"/>
      <c r="EDG1055" s="989"/>
      <c r="EDH1055" s="989"/>
      <c r="EDI1055" s="989"/>
      <c r="EDJ1055" s="989"/>
      <c r="EDK1055" s="989"/>
      <c r="EDL1055" s="989"/>
      <c r="EDM1055" s="989"/>
      <c r="EDN1055" s="989"/>
      <c r="EDO1055" s="989"/>
      <c r="EDP1055" s="989"/>
      <c r="EDQ1055" s="989"/>
      <c r="EDR1055" s="989"/>
      <c r="EDS1055" s="989"/>
      <c r="EDT1055" s="989"/>
      <c r="EDU1055" s="989"/>
      <c r="EDV1055" s="989"/>
      <c r="EDW1055" s="989"/>
      <c r="EDX1055" s="989"/>
      <c r="EDY1055" s="989"/>
      <c r="EDZ1055" s="989"/>
      <c r="EEA1055" s="989"/>
      <c r="EEB1055" s="989"/>
      <c r="EEC1055" s="989"/>
      <c r="EED1055" s="989"/>
      <c r="EEE1055" s="989"/>
      <c r="EEF1055" s="989"/>
      <c r="EEG1055" s="989"/>
      <c r="EEH1055" s="989"/>
      <c r="EEI1055" s="989"/>
      <c r="EEJ1055" s="989"/>
      <c r="EEK1055" s="989"/>
      <c r="EEL1055" s="989"/>
      <c r="EEM1055" s="989"/>
      <c r="EEN1055" s="989"/>
      <c r="EEO1055" s="989"/>
      <c r="EEP1055" s="989"/>
      <c r="EEQ1055" s="989"/>
      <c r="EER1055" s="989"/>
      <c r="EES1055" s="989"/>
      <c r="EET1055" s="989"/>
      <c r="EEU1055" s="989"/>
      <c r="EEV1055" s="989"/>
      <c r="EEW1055" s="989"/>
      <c r="EEX1055" s="989"/>
      <c r="EEY1055" s="989"/>
      <c r="EEZ1055" s="989"/>
      <c r="EFA1055" s="989"/>
      <c r="EFB1055" s="989"/>
      <c r="EFC1055" s="989"/>
      <c r="EFD1055" s="989"/>
      <c r="EFE1055" s="989"/>
      <c r="EFF1055" s="989"/>
      <c r="EFG1055" s="989"/>
      <c r="EFH1055" s="989"/>
      <c r="EFI1055" s="989"/>
      <c r="EFJ1055" s="989"/>
      <c r="EFK1055" s="989"/>
      <c r="EFL1055" s="989"/>
      <c r="EFM1055" s="989"/>
      <c r="EFN1055" s="989"/>
      <c r="EFO1055" s="989"/>
      <c r="EFP1055" s="989"/>
      <c r="EFQ1055" s="989"/>
      <c r="EFR1055" s="989"/>
      <c r="EFS1055" s="989"/>
      <c r="EFT1055" s="989"/>
      <c r="EFU1055" s="989"/>
      <c r="EFV1055" s="989"/>
      <c r="EFW1055" s="989"/>
      <c r="EFX1055" s="989"/>
      <c r="EFY1055" s="989"/>
      <c r="EFZ1055" s="989"/>
      <c r="EGA1055" s="989"/>
      <c r="EGB1055" s="989"/>
      <c r="EGC1055" s="989"/>
      <c r="EGD1055" s="989"/>
      <c r="EGE1055" s="989"/>
      <c r="EGF1055" s="989"/>
      <c r="EGG1055" s="989"/>
      <c r="EGH1055" s="989"/>
      <c r="EGI1055" s="989"/>
      <c r="EGJ1055" s="989"/>
      <c r="EGK1055" s="989"/>
      <c r="EGL1055" s="989"/>
      <c r="EGM1055" s="989"/>
      <c r="EGN1055" s="989"/>
      <c r="EGO1055" s="989"/>
      <c r="EGP1055" s="989"/>
      <c r="EGQ1055" s="989"/>
      <c r="EGR1055" s="989"/>
      <c r="EGS1055" s="989"/>
      <c r="EGT1055" s="989"/>
      <c r="EGU1055" s="989"/>
      <c r="EGV1055" s="989"/>
      <c r="EGW1055" s="989"/>
      <c r="EGX1055" s="989"/>
      <c r="EGY1055" s="989"/>
      <c r="EGZ1055" s="989"/>
      <c r="EHA1055" s="989"/>
      <c r="EHB1055" s="989"/>
      <c r="EHC1055" s="989"/>
      <c r="EHD1055" s="989"/>
      <c r="EHE1055" s="989"/>
      <c r="EHF1055" s="989"/>
      <c r="EHG1055" s="989"/>
      <c r="EHH1055" s="989"/>
      <c r="EHI1055" s="989"/>
      <c r="EHJ1055" s="989"/>
      <c r="EHK1055" s="989"/>
      <c r="EHL1055" s="989"/>
      <c r="EHM1055" s="989"/>
      <c r="EHN1055" s="989"/>
      <c r="EHO1055" s="989"/>
      <c r="EHP1055" s="989"/>
      <c r="EHQ1055" s="989"/>
      <c r="EHR1055" s="989"/>
      <c r="EHS1055" s="989"/>
      <c r="EHT1055" s="989"/>
      <c r="EHU1055" s="989"/>
      <c r="EHV1055" s="989"/>
      <c r="EHW1055" s="989"/>
      <c r="EHX1055" s="989"/>
      <c r="EHY1055" s="989"/>
      <c r="EHZ1055" s="989"/>
      <c r="EIA1055" s="989"/>
      <c r="EIB1055" s="989"/>
      <c r="EIC1055" s="989"/>
      <c r="EID1055" s="989"/>
      <c r="EIE1055" s="989"/>
      <c r="EIF1055" s="989"/>
      <c r="EIG1055" s="989"/>
      <c r="EIH1055" s="989"/>
      <c r="EII1055" s="989"/>
      <c r="EIJ1055" s="989"/>
      <c r="EIK1055" s="989"/>
      <c r="EIL1055" s="989"/>
      <c r="EIM1055" s="989"/>
      <c r="EIN1055" s="989"/>
      <c r="EIO1055" s="989"/>
      <c r="EIP1055" s="989"/>
      <c r="EIQ1055" s="989"/>
      <c r="EIR1055" s="989"/>
      <c r="EIS1055" s="989"/>
      <c r="EIT1055" s="989"/>
      <c r="EIU1055" s="989"/>
      <c r="EIV1055" s="989"/>
      <c r="EIW1055" s="989"/>
      <c r="EIX1055" s="989"/>
      <c r="EIY1055" s="989"/>
      <c r="EIZ1055" s="989"/>
      <c r="EJA1055" s="989"/>
      <c r="EJB1055" s="989"/>
      <c r="EJC1055" s="989"/>
      <c r="EJD1055" s="989"/>
      <c r="EJE1055" s="989"/>
      <c r="EJF1055" s="989"/>
      <c r="EJG1055" s="989"/>
      <c r="EJH1055" s="989"/>
      <c r="EJI1055" s="989"/>
      <c r="EJJ1055" s="989"/>
      <c r="EJK1055" s="989"/>
      <c r="EJL1055" s="989"/>
      <c r="EJM1055" s="989"/>
      <c r="EJN1055" s="989"/>
      <c r="EJO1055" s="989"/>
      <c r="EJP1055" s="989"/>
      <c r="EJQ1055" s="989"/>
      <c r="EJR1055" s="989"/>
      <c r="EJS1055" s="989"/>
      <c r="EJT1055" s="989"/>
      <c r="EJU1055" s="989"/>
      <c r="EJV1055" s="989"/>
      <c r="EJW1055" s="989"/>
      <c r="EJX1055" s="989"/>
      <c r="EJY1055" s="989"/>
      <c r="EJZ1055" s="989"/>
      <c r="EKA1055" s="989"/>
      <c r="EKB1055" s="989"/>
      <c r="EKC1055" s="989"/>
      <c r="EKD1055" s="989"/>
      <c r="EKE1055" s="989"/>
      <c r="EKF1055" s="989"/>
      <c r="EKG1055" s="989"/>
      <c r="EKH1055" s="989"/>
      <c r="EKI1055" s="989"/>
      <c r="EKJ1055" s="989"/>
      <c r="EKK1055" s="989"/>
      <c r="EKL1055" s="989"/>
      <c r="EKM1055" s="989"/>
      <c r="EKN1055" s="989"/>
      <c r="EKO1055" s="989"/>
      <c r="EKP1055" s="989"/>
      <c r="EKQ1055" s="989"/>
      <c r="EKR1055" s="989"/>
      <c r="EKS1055" s="989"/>
      <c r="EKT1055" s="989"/>
      <c r="EKU1055" s="989"/>
      <c r="EKV1055" s="989"/>
      <c r="EKW1055" s="989"/>
      <c r="EKX1055" s="989"/>
      <c r="EKY1055" s="989"/>
      <c r="EKZ1055" s="989"/>
      <c r="ELA1055" s="989"/>
      <c r="ELB1055" s="989"/>
      <c r="ELC1055" s="989"/>
      <c r="ELD1055" s="989"/>
      <c r="ELE1055" s="989"/>
      <c r="ELF1055" s="989"/>
      <c r="ELG1055" s="989"/>
      <c r="ELH1055" s="989"/>
      <c r="ELI1055" s="989"/>
      <c r="ELJ1055" s="989"/>
      <c r="ELK1055" s="989"/>
      <c r="ELL1055" s="989"/>
      <c r="ELM1055" s="989"/>
      <c r="ELN1055" s="989"/>
      <c r="ELO1055" s="989"/>
      <c r="ELP1055" s="989"/>
      <c r="ELQ1055" s="989"/>
      <c r="ELR1055" s="989"/>
      <c r="ELS1055" s="989"/>
      <c r="ELT1055" s="989"/>
      <c r="ELU1055" s="989"/>
      <c r="ELV1055" s="989"/>
      <c r="ELW1055" s="989"/>
      <c r="ELX1055" s="989"/>
      <c r="ELY1055" s="989"/>
      <c r="ELZ1055" s="989"/>
      <c r="EMA1055" s="989"/>
      <c r="EMB1055" s="989"/>
      <c r="EMC1055" s="989"/>
      <c r="EMD1055" s="989"/>
      <c r="EME1055" s="989"/>
      <c r="EMF1055" s="989"/>
      <c r="EMG1055" s="989"/>
      <c r="EMH1055" s="989"/>
      <c r="EMI1055" s="989"/>
      <c r="EMJ1055" s="989"/>
      <c r="EMK1055" s="989"/>
      <c r="EML1055" s="989"/>
      <c r="EMM1055" s="989"/>
      <c r="EMN1055" s="989"/>
      <c r="EMO1055" s="989"/>
      <c r="EMP1055" s="989"/>
      <c r="EMQ1055" s="989"/>
      <c r="EMR1055" s="989"/>
      <c r="EMS1055" s="989"/>
      <c r="EMT1055" s="989"/>
      <c r="EMU1055" s="989"/>
      <c r="EMV1055" s="989"/>
      <c r="EMW1055" s="989"/>
      <c r="EMX1055" s="989"/>
      <c r="EMY1055" s="989"/>
      <c r="EMZ1055" s="989"/>
      <c r="ENA1055" s="989"/>
      <c r="ENB1055" s="989"/>
      <c r="ENC1055" s="989"/>
      <c r="END1055" s="989"/>
      <c r="ENE1055" s="989"/>
      <c r="ENF1055" s="989"/>
      <c r="ENG1055" s="989"/>
      <c r="ENH1055" s="989"/>
      <c r="ENI1055" s="989"/>
      <c r="ENJ1055" s="989"/>
      <c r="ENK1055" s="989"/>
      <c r="ENL1055" s="989"/>
      <c r="ENM1055" s="989"/>
      <c r="ENN1055" s="989"/>
      <c r="ENO1055" s="989"/>
      <c r="ENP1055" s="989"/>
      <c r="ENQ1055" s="989"/>
      <c r="ENR1055" s="989"/>
      <c r="ENS1055" s="989"/>
      <c r="ENT1055" s="989"/>
      <c r="ENU1055" s="989"/>
      <c r="ENV1055" s="989"/>
      <c r="ENW1055" s="989"/>
      <c r="ENX1055" s="989"/>
      <c r="ENY1055" s="989"/>
      <c r="ENZ1055" s="989"/>
      <c r="EOA1055" s="989"/>
      <c r="EOB1055" s="989"/>
      <c r="EOC1055" s="989"/>
      <c r="EOD1055" s="989"/>
      <c r="EOE1055" s="989"/>
      <c r="EOF1055" s="989"/>
      <c r="EOG1055" s="989"/>
      <c r="EOH1055" s="989"/>
      <c r="EOI1055" s="989"/>
      <c r="EOJ1055" s="989"/>
      <c r="EOK1055" s="989"/>
      <c r="EOL1055" s="989"/>
      <c r="EOM1055" s="989"/>
      <c r="EON1055" s="989"/>
      <c r="EOO1055" s="989"/>
      <c r="EOP1055" s="989"/>
      <c r="EOQ1055" s="989"/>
      <c r="EOR1055" s="989"/>
      <c r="EOS1055" s="989"/>
      <c r="EOT1055" s="989"/>
      <c r="EOU1055" s="989"/>
      <c r="EOV1055" s="989"/>
      <c r="EOW1055" s="989"/>
      <c r="EOX1055" s="989"/>
      <c r="EOY1055" s="989"/>
      <c r="EOZ1055" s="989"/>
      <c r="EPA1055" s="989"/>
      <c r="EPB1055" s="989"/>
      <c r="EPC1055" s="989"/>
      <c r="EPD1055" s="989"/>
      <c r="EPE1055" s="989"/>
      <c r="EPF1055" s="989"/>
      <c r="EPG1055" s="989"/>
      <c r="EPH1055" s="989"/>
      <c r="EPI1055" s="989"/>
      <c r="EPJ1055" s="989"/>
      <c r="EPK1055" s="989"/>
      <c r="EPL1055" s="989"/>
      <c r="EPM1055" s="989"/>
      <c r="EPN1055" s="989"/>
      <c r="EPO1055" s="989"/>
      <c r="EPP1055" s="989"/>
      <c r="EPQ1055" s="989"/>
      <c r="EPR1055" s="989"/>
      <c r="EPS1055" s="989"/>
      <c r="EPT1055" s="989"/>
      <c r="EPU1055" s="989"/>
      <c r="EPV1055" s="989"/>
      <c r="EPW1055" s="989"/>
      <c r="EPX1055" s="989"/>
      <c r="EPY1055" s="989"/>
      <c r="EPZ1055" s="989"/>
      <c r="EQA1055" s="989"/>
      <c r="EQB1055" s="989"/>
      <c r="EQC1055" s="989"/>
      <c r="EQD1055" s="989"/>
      <c r="EQE1055" s="989"/>
      <c r="EQF1055" s="989"/>
      <c r="EQG1055" s="989"/>
      <c r="EQH1055" s="989"/>
      <c r="EQI1055" s="989"/>
      <c r="EQJ1055" s="989"/>
      <c r="EQK1055" s="989"/>
      <c r="EQL1055" s="989"/>
      <c r="EQM1055" s="989"/>
      <c r="EQN1055" s="989"/>
      <c r="EQO1055" s="989"/>
      <c r="EQP1055" s="989"/>
      <c r="EQQ1055" s="989"/>
      <c r="EQR1055" s="989"/>
      <c r="EQS1055" s="989"/>
      <c r="EQT1055" s="989"/>
      <c r="EQU1055" s="989"/>
      <c r="EQV1055" s="989"/>
      <c r="EQW1055" s="989"/>
      <c r="EQX1055" s="989"/>
      <c r="EQY1055" s="989"/>
      <c r="EQZ1055" s="989"/>
      <c r="ERA1055" s="989"/>
      <c r="ERB1055" s="989"/>
      <c r="ERC1055" s="989"/>
      <c r="ERD1055" s="989"/>
      <c r="ERE1055" s="989"/>
      <c r="ERF1055" s="989"/>
      <c r="ERG1055" s="989"/>
      <c r="ERH1055" s="989"/>
      <c r="ERI1055" s="989"/>
      <c r="ERJ1055" s="989"/>
      <c r="ERK1055" s="989"/>
      <c r="ERL1055" s="989"/>
      <c r="ERM1055" s="989"/>
      <c r="ERN1055" s="989"/>
      <c r="ERO1055" s="989"/>
      <c r="ERP1055" s="989"/>
      <c r="ERQ1055" s="989"/>
      <c r="ERR1055" s="989"/>
      <c r="ERS1055" s="989"/>
      <c r="ERT1055" s="989"/>
      <c r="ERU1055" s="989"/>
      <c r="ERV1055" s="989"/>
      <c r="ERW1055" s="989"/>
      <c r="ERX1055" s="989"/>
      <c r="ERY1055" s="989"/>
      <c r="ERZ1055" s="989"/>
      <c r="ESA1055" s="989"/>
      <c r="ESB1055" s="989"/>
      <c r="ESC1055" s="989"/>
      <c r="ESD1055" s="989"/>
      <c r="ESE1055" s="989"/>
      <c r="ESF1055" s="989"/>
      <c r="ESG1055" s="989"/>
      <c r="ESH1055" s="989"/>
      <c r="ESI1055" s="989"/>
      <c r="ESJ1055" s="989"/>
      <c r="ESK1055" s="989"/>
      <c r="ESL1055" s="989"/>
      <c r="ESM1055" s="989"/>
      <c r="ESN1055" s="989"/>
      <c r="ESO1055" s="989"/>
      <c r="ESP1055" s="989"/>
      <c r="ESQ1055" s="989"/>
      <c r="ESR1055" s="989"/>
      <c r="ESS1055" s="989"/>
      <c r="EST1055" s="989"/>
      <c r="ESU1055" s="989"/>
      <c r="ESV1055" s="989"/>
      <c r="ESW1055" s="989"/>
      <c r="ESX1055" s="989"/>
      <c r="ESY1055" s="989"/>
      <c r="ESZ1055" s="989"/>
      <c r="ETA1055" s="989"/>
      <c r="ETB1055" s="989"/>
      <c r="ETC1055" s="989"/>
      <c r="ETD1055" s="989"/>
      <c r="ETE1055" s="989"/>
      <c r="ETF1055" s="989"/>
      <c r="ETG1055" s="989"/>
      <c r="ETH1055" s="989"/>
      <c r="ETI1055" s="989"/>
      <c r="ETJ1055" s="989"/>
      <c r="ETK1055" s="989"/>
      <c r="ETL1055" s="989"/>
      <c r="ETM1055" s="989"/>
      <c r="ETN1055" s="989"/>
      <c r="ETO1055" s="989"/>
      <c r="ETP1055" s="989"/>
      <c r="ETQ1055" s="989"/>
      <c r="ETR1055" s="989"/>
      <c r="ETS1055" s="989"/>
      <c r="ETT1055" s="989"/>
      <c r="ETU1055" s="989"/>
      <c r="ETV1055" s="989"/>
      <c r="ETW1055" s="989"/>
      <c r="ETX1055" s="989"/>
      <c r="ETY1055" s="989"/>
      <c r="ETZ1055" s="989"/>
      <c r="EUA1055" s="989"/>
      <c r="EUB1055" s="989"/>
      <c r="EUC1055" s="989"/>
      <c r="EUD1055" s="989"/>
      <c r="EUE1055" s="989"/>
      <c r="EUF1055" s="989"/>
      <c r="EUG1055" s="989"/>
      <c r="EUH1055" s="989"/>
      <c r="EUI1055" s="989"/>
      <c r="EUJ1055" s="989"/>
      <c r="EUK1055" s="989"/>
      <c r="EUL1055" s="989"/>
      <c r="EUM1055" s="989"/>
      <c r="EUN1055" s="989"/>
      <c r="EUO1055" s="989"/>
      <c r="EUP1055" s="989"/>
      <c r="EUQ1055" s="989"/>
      <c r="EUR1055" s="989"/>
      <c r="EUS1055" s="989"/>
      <c r="EUT1055" s="989"/>
      <c r="EUU1055" s="989"/>
      <c r="EUV1055" s="989"/>
      <c r="EUW1055" s="989"/>
      <c r="EUX1055" s="989"/>
      <c r="EUY1055" s="989"/>
      <c r="EUZ1055" s="989"/>
      <c r="EVA1055" s="989"/>
      <c r="EVB1055" s="989"/>
      <c r="EVC1055" s="989"/>
      <c r="EVD1055" s="989"/>
      <c r="EVE1055" s="989"/>
      <c r="EVF1055" s="989"/>
      <c r="EVG1055" s="989"/>
      <c r="EVH1055" s="989"/>
      <c r="EVI1055" s="989"/>
      <c r="EVJ1055" s="989"/>
      <c r="EVK1055" s="989"/>
      <c r="EVL1055" s="989"/>
      <c r="EVM1055" s="989"/>
      <c r="EVN1055" s="989"/>
      <c r="EVO1055" s="989"/>
      <c r="EVP1055" s="989"/>
      <c r="EVQ1055" s="989"/>
      <c r="EVR1055" s="989"/>
      <c r="EVS1055" s="989"/>
      <c r="EVT1055" s="989"/>
      <c r="EVU1055" s="989"/>
      <c r="EVV1055" s="989"/>
      <c r="EVW1055" s="989"/>
      <c r="EVX1055" s="989"/>
      <c r="EVY1055" s="989"/>
      <c r="EVZ1055" s="989"/>
      <c r="EWA1055" s="989"/>
      <c r="EWB1055" s="989"/>
      <c r="EWC1055" s="989"/>
      <c r="EWD1055" s="989"/>
      <c r="EWE1055" s="989"/>
      <c r="EWF1055" s="989"/>
      <c r="EWG1055" s="989"/>
      <c r="EWH1055" s="989"/>
      <c r="EWI1055" s="989"/>
      <c r="EWJ1055" s="989"/>
      <c r="EWK1055" s="989"/>
      <c r="EWL1055" s="989"/>
      <c r="EWM1055" s="989"/>
      <c r="EWN1055" s="989"/>
      <c r="EWO1055" s="989"/>
      <c r="EWP1055" s="989"/>
      <c r="EWQ1055" s="989"/>
      <c r="EWR1055" s="989"/>
      <c r="EWS1055" s="989"/>
      <c r="EWT1055" s="989"/>
      <c r="EWU1055" s="989"/>
      <c r="EWV1055" s="989"/>
      <c r="EWW1055" s="989"/>
      <c r="EWX1055" s="989"/>
      <c r="EWY1055" s="989"/>
      <c r="EWZ1055" s="989"/>
      <c r="EXA1055" s="989"/>
      <c r="EXB1055" s="989"/>
      <c r="EXC1055" s="989"/>
      <c r="EXD1055" s="989"/>
      <c r="EXE1055" s="989"/>
      <c r="EXF1055" s="989"/>
      <c r="EXG1055" s="989"/>
      <c r="EXH1055" s="989"/>
      <c r="EXI1055" s="989"/>
      <c r="EXJ1055" s="989"/>
      <c r="EXK1055" s="989"/>
      <c r="EXL1055" s="989"/>
      <c r="EXM1055" s="989"/>
      <c r="EXN1055" s="989"/>
      <c r="EXO1055" s="989"/>
      <c r="EXP1055" s="989"/>
      <c r="EXQ1055" s="989"/>
      <c r="EXR1055" s="989"/>
      <c r="EXS1055" s="989"/>
      <c r="EXT1055" s="989"/>
      <c r="EXU1055" s="989"/>
      <c r="EXV1055" s="989"/>
      <c r="EXW1055" s="989"/>
      <c r="EXX1055" s="989"/>
      <c r="EXY1055" s="989"/>
      <c r="EXZ1055" s="989"/>
      <c r="EYA1055" s="989"/>
      <c r="EYB1055" s="989"/>
      <c r="EYC1055" s="989"/>
      <c r="EYD1055" s="989"/>
      <c r="EYE1055" s="989"/>
      <c r="EYF1055" s="989"/>
      <c r="EYG1055" s="989"/>
      <c r="EYH1055" s="989"/>
      <c r="EYI1055" s="989"/>
      <c r="EYJ1055" s="989"/>
      <c r="EYK1055" s="989"/>
      <c r="EYL1055" s="989"/>
      <c r="EYM1055" s="989"/>
      <c r="EYN1055" s="989"/>
      <c r="EYO1055" s="989"/>
      <c r="EYP1055" s="989"/>
      <c r="EYQ1055" s="989"/>
      <c r="EYR1055" s="989"/>
      <c r="EYS1055" s="989"/>
      <c r="EYT1055" s="989"/>
      <c r="EYU1055" s="989"/>
      <c r="EYV1055" s="989"/>
      <c r="EYW1055" s="989"/>
      <c r="EYX1055" s="989"/>
      <c r="EYY1055" s="989"/>
      <c r="EYZ1055" s="989"/>
      <c r="EZA1055" s="989"/>
      <c r="EZB1055" s="989"/>
      <c r="EZC1055" s="989"/>
      <c r="EZD1055" s="989"/>
      <c r="EZE1055" s="989"/>
      <c r="EZF1055" s="989"/>
      <c r="EZG1055" s="989"/>
      <c r="EZH1055" s="989"/>
      <c r="EZI1055" s="989"/>
      <c r="EZJ1055" s="989"/>
      <c r="EZK1055" s="989"/>
      <c r="EZL1055" s="989"/>
      <c r="EZM1055" s="989"/>
      <c r="EZN1055" s="989"/>
      <c r="EZO1055" s="989"/>
      <c r="EZP1055" s="989"/>
      <c r="EZQ1055" s="989"/>
      <c r="EZR1055" s="989"/>
      <c r="EZS1055" s="989"/>
      <c r="EZT1055" s="989"/>
      <c r="EZU1055" s="989"/>
      <c r="EZV1055" s="989"/>
      <c r="EZW1055" s="989"/>
      <c r="EZX1055" s="989"/>
      <c r="EZY1055" s="989"/>
      <c r="EZZ1055" s="989"/>
      <c r="FAA1055" s="989"/>
      <c r="FAB1055" s="989"/>
      <c r="FAC1055" s="989"/>
      <c r="FAD1055" s="989"/>
      <c r="FAE1055" s="989"/>
      <c r="FAF1055" s="989"/>
      <c r="FAG1055" s="989"/>
      <c r="FAH1055" s="989"/>
      <c r="FAI1055" s="989"/>
      <c r="FAJ1055" s="989"/>
      <c r="FAK1055" s="989"/>
      <c r="FAL1055" s="989"/>
      <c r="FAM1055" s="989"/>
      <c r="FAN1055" s="989"/>
      <c r="FAO1055" s="989"/>
      <c r="FAP1055" s="989"/>
      <c r="FAQ1055" s="989"/>
      <c r="FAR1055" s="989"/>
      <c r="FAS1055" s="989"/>
      <c r="FAT1055" s="989"/>
      <c r="FAU1055" s="989"/>
      <c r="FAV1055" s="989"/>
      <c r="FAW1055" s="989"/>
      <c r="FAX1055" s="989"/>
      <c r="FAY1055" s="989"/>
      <c r="FAZ1055" s="989"/>
      <c r="FBA1055" s="989"/>
      <c r="FBB1055" s="989"/>
      <c r="FBC1055" s="989"/>
      <c r="FBD1055" s="989"/>
      <c r="FBE1055" s="989"/>
      <c r="FBF1055" s="989"/>
      <c r="FBG1055" s="989"/>
      <c r="FBH1055" s="989"/>
      <c r="FBI1055" s="989"/>
      <c r="FBJ1055" s="989"/>
      <c r="FBK1055" s="989"/>
      <c r="FBL1055" s="989"/>
      <c r="FBM1055" s="989"/>
      <c r="FBN1055" s="989"/>
      <c r="FBO1055" s="989"/>
      <c r="FBP1055" s="989"/>
      <c r="FBQ1055" s="989"/>
      <c r="FBR1055" s="989"/>
      <c r="FBS1055" s="989"/>
      <c r="FBT1055" s="989"/>
      <c r="FBU1055" s="989"/>
      <c r="FBV1055" s="989"/>
      <c r="FBW1055" s="989"/>
      <c r="FBX1055" s="989"/>
      <c r="FBY1055" s="989"/>
      <c r="FBZ1055" s="989"/>
      <c r="FCA1055" s="989"/>
      <c r="FCB1055" s="989"/>
      <c r="FCC1055" s="989"/>
      <c r="FCD1055" s="989"/>
      <c r="FCE1055" s="989"/>
      <c r="FCF1055" s="989"/>
      <c r="FCG1055" s="989"/>
      <c r="FCH1055" s="989"/>
      <c r="FCI1055" s="989"/>
      <c r="FCJ1055" s="989"/>
      <c r="FCK1055" s="989"/>
      <c r="FCL1055" s="989"/>
      <c r="FCM1055" s="989"/>
      <c r="FCN1055" s="989"/>
      <c r="FCO1055" s="989"/>
      <c r="FCP1055" s="989"/>
      <c r="FCQ1055" s="989"/>
      <c r="FCR1055" s="989"/>
      <c r="FCS1055" s="989"/>
      <c r="FCT1055" s="989"/>
      <c r="FCU1055" s="989"/>
      <c r="FCV1055" s="989"/>
      <c r="FCW1055" s="989"/>
      <c r="FCX1055" s="989"/>
      <c r="FCY1055" s="989"/>
      <c r="FCZ1055" s="989"/>
      <c r="FDA1055" s="989"/>
      <c r="FDB1055" s="989"/>
      <c r="FDC1055" s="989"/>
      <c r="FDD1055" s="989"/>
      <c r="FDE1055" s="989"/>
      <c r="FDF1055" s="989"/>
      <c r="FDG1055" s="989"/>
      <c r="FDH1055" s="989"/>
      <c r="FDI1055" s="989"/>
      <c r="FDJ1055" s="989"/>
      <c r="FDK1055" s="989"/>
      <c r="FDL1055" s="989"/>
      <c r="FDM1055" s="989"/>
      <c r="FDN1055" s="989"/>
      <c r="FDO1055" s="989"/>
      <c r="FDP1055" s="989"/>
      <c r="FDQ1055" s="989"/>
      <c r="FDR1055" s="989"/>
      <c r="FDS1055" s="989"/>
      <c r="FDT1055" s="989"/>
      <c r="FDU1055" s="989"/>
      <c r="FDV1055" s="989"/>
      <c r="FDW1055" s="989"/>
      <c r="FDX1055" s="989"/>
      <c r="FDY1055" s="989"/>
      <c r="FDZ1055" s="989"/>
      <c r="FEA1055" s="989"/>
      <c r="FEB1055" s="989"/>
      <c r="FEC1055" s="989"/>
      <c r="FED1055" s="989"/>
      <c r="FEE1055" s="989"/>
      <c r="FEF1055" s="989"/>
      <c r="FEG1055" s="989"/>
      <c r="FEH1055" s="989"/>
      <c r="FEI1055" s="989"/>
      <c r="FEJ1055" s="989"/>
      <c r="FEK1055" s="989"/>
      <c r="FEL1055" s="989"/>
      <c r="FEM1055" s="989"/>
      <c r="FEN1055" s="989"/>
      <c r="FEO1055" s="989"/>
      <c r="FEP1055" s="989"/>
      <c r="FEQ1055" s="989"/>
      <c r="FER1055" s="989"/>
      <c r="FES1055" s="989"/>
      <c r="FET1055" s="989"/>
      <c r="FEU1055" s="989"/>
      <c r="FEV1055" s="989"/>
      <c r="FEW1055" s="989"/>
      <c r="FEX1055" s="989"/>
      <c r="FEY1055" s="989"/>
      <c r="FEZ1055" s="989"/>
      <c r="FFA1055" s="989"/>
      <c r="FFB1055" s="989"/>
      <c r="FFC1055" s="989"/>
      <c r="FFD1055" s="989"/>
      <c r="FFE1055" s="989"/>
      <c r="FFF1055" s="989"/>
      <c r="FFG1055" s="989"/>
      <c r="FFH1055" s="989"/>
      <c r="FFI1055" s="989"/>
      <c r="FFJ1055" s="989"/>
      <c r="FFK1055" s="989"/>
      <c r="FFL1055" s="989"/>
      <c r="FFM1055" s="989"/>
      <c r="FFN1055" s="989"/>
      <c r="FFO1055" s="989"/>
      <c r="FFP1055" s="989"/>
      <c r="FFQ1055" s="989"/>
      <c r="FFR1055" s="989"/>
      <c r="FFS1055" s="989"/>
      <c r="FFT1055" s="989"/>
      <c r="FFU1055" s="989"/>
      <c r="FFV1055" s="989"/>
      <c r="FFW1055" s="989"/>
      <c r="FFX1055" s="989"/>
      <c r="FFY1055" s="989"/>
      <c r="FFZ1055" s="989"/>
      <c r="FGA1055" s="989"/>
      <c r="FGB1055" s="989"/>
      <c r="FGC1055" s="989"/>
      <c r="FGD1055" s="989"/>
      <c r="FGE1055" s="989"/>
      <c r="FGF1055" s="989"/>
      <c r="FGG1055" s="989"/>
      <c r="FGH1055" s="989"/>
      <c r="FGI1055" s="989"/>
      <c r="FGJ1055" s="989"/>
      <c r="FGK1055" s="989"/>
      <c r="FGL1055" s="989"/>
      <c r="FGM1055" s="989"/>
      <c r="FGN1055" s="989"/>
      <c r="FGO1055" s="989"/>
      <c r="FGP1055" s="989"/>
      <c r="FGQ1055" s="989"/>
      <c r="FGR1055" s="989"/>
      <c r="FGS1055" s="989"/>
      <c r="FGT1055" s="989"/>
      <c r="FGU1055" s="989"/>
      <c r="FGV1055" s="989"/>
      <c r="FGW1055" s="989"/>
      <c r="FGX1055" s="989"/>
      <c r="FGY1055" s="989"/>
      <c r="FGZ1055" s="989"/>
      <c r="FHA1055" s="989"/>
      <c r="FHB1055" s="989"/>
      <c r="FHC1055" s="989"/>
      <c r="FHD1055" s="989"/>
      <c r="FHE1055" s="989"/>
      <c r="FHF1055" s="989"/>
      <c r="FHG1055" s="989"/>
      <c r="FHH1055" s="989"/>
      <c r="FHI1055" s="989"/>
      <c r="FHJ1055" s="989"/>
      <c r="FHK1055" s="989"/>
      <c r="FHL1055" s="989"/>
      <c r="FHM1055" s="989"/>
      <c r="FHN1055" s="989"/>
      <c r="FHO1055" s="989"/>
      <c r="FHP1055" s="989"/>
      <c r="FHQ1055" s="989"/>
      <c r="FHR1055" s="989"/>
      <c r="FHS1055" s="989"/>
      <c r="FHT1055" s="989"/>
      <c r="FHU1055" s="989"/>
      <c r="FHV1055" s="989"/>
      <c r="FHW1055" s="989"/>
      <c r="FHX1055" s="989"/>
      <c r="FHY1055" s="989"/>
      <c r="FHZ1055" s="989"/>
      <c r="FIA1055" s="989"/>
      <c r="FIB1055" s="989"/>
      <c r="FIC1055" s="989"/>
      <c r="FID1055" s="989"/>
      <c r="FIE1055" s="989"/>
      <c r="FIF1055" s="989"/>
      <c r="FIG1055" s="989"/>
      <c r="FIH1055" s="989"/>
      <c r="FII1055" s="989"/>
      <c r="FIJ1055" s="989"/>
      <c r="FIK1055" s="989"/>
      <c r="FIL1055" s="989"/>
      <c r="FIM1055" s="989"/>
      <c r="FIN1055" s="989"/>
      <c r="FIO1055" s="989"/>
      <c r="FIP1055" s="989"/>
      <c r="FIQ1055" s="989"/>
      <c r="FIR1055" s="989"/>
      <c r="FIS1055" s="989"/>
      <c r="FIT1055" s="989"/>
      <c r="FIU1055" s="989"/>
      <c r="FIV1055" s="989"/>
      <c r="FIW1055" s="989"/>
      <c r="FIX1055" s="989"/>
      <c r="FIY1055" s="989"/>
      <c r="FIZ1055" s="989"/>
      <c r="FJA1055" s="989"/>
      <c r="FJB1055" s="989"/>
      <c r="FJC1055" s="989"/>
      <c r="FJD1055" s="989"/>
      <c r="FJE1055" s="989"/>
      <c r="FJF1055" s="989"/>
      <c r="FJG1055" s="989"/>
      <c r="FJH1055" s="989"/>
      <c r="FJI1055" s="989"/>
      <c r="FJJ1055" s="989"/>
      <c r="FJK1055" s="989"/>
      <c r="FJL1055" s="989"/>
      <c r="FJM1055" s="989"/>
      <c r="FJN1055" s="989"/>
      <c r="FJO1055" s="989"/>
      <c r="FJP1055" s="989"/>
      <c r="FJQ1055" s="989"/>
      <c r="FJR1055" s="989"/>
      <c r="FJS1055" s="989"/>
      <c r="FJT1055" s="989"/>
      <c r="FJU1055" s="989"/>
      <c r="FJV1055" s="989"/>
      <c r="FJW1055" s="989"/>
      <c r="FJX1055" s="989"/>
      <c r="FJY1055" s="989"/>
      <c r="FJZ1055" s="989"/>
      <c r="FKA1055" s="989"/>
      <c r="FKB1055" s="989"/>
      <c r="FKC1055" s="989"/>
      <c r="FKD1055" s="989"/>
      <c r="FKE1055" s="989"/>
      <c r="FKF1055" s="989"/>
      <c r="FKG1055" s="989"/>
      <c r="FKH1055" s="989"/>
      <c r="FKI1055" s="989"/>
      <c r="FKJ1055" s="989"/>
      <c r="FKK1055" s="989"/>
      <c r="FKL1055" s="989"/>
      <c r="FKM1055" s="989"/>
      <c r="FKN1055" s="989"/>
      <c r="FKO1055" s="989"/>
      <c r="FKP1055" s="989"/>
      <c r="FKQ1055" s="989"/>
      <c r="FKR1055" s="989"/>
      <c r="FKS1055" s="989"/>
      <c r="FKT1055" s="989"/>
      <c r="FKU1055" s="989"/>
      <c r="FKV1055" s="989"/>
      <c r="FKW1055" s="989"/>
      <c r="FKX1055" s="989"/>
      <c r="FKY1055" s="989"/>
      <c r="FKZ1055" s="989"/>
      <c r="FLA1055" s="989"/>
      <c r="FLB1055" s="989"/>
      <c r="FLC1055" s="989"/>
      <c r="FLD1055" s="989"/>
      <c r="FLE1055" s="989"/>
      <c r="FLF1055" s="989"/>
      <c r="FLG1055" s="989"/>
      <c r="FLH1055" s="989"/>
      <c r="FLI1055" s="989"/>
      <c r="FLJ1055" s="989"/>
      <c r="FLK1055" s="989"/>
      <c r="FLL1055" s="989"/>
      <c r="FLM1055" s="989"/>
      <c r="FLN1055" s="989"/>
      <c r="FLO1055" s="989"/>
      <c r="FLP1055" s="989"/>
      <c r="FLQ1055" s="989"/>
      <c r="FLR1055" s="989"/>
      <c r="FLS1055" s="989"/>
      <c r="FLT1055" s="989"/>
      <c r="FLU1055" s="989"/>
      <c r="FLV1055" s="989"/>
      <c r="FLW1055" s="989"/>
      <c r="FLX1055" s="989"/>
      <c r="FLY1055" s="989"/>
      <c r="FLZ1055" s="989"/>
      <c r="FMA1055" s="989"/>
      <c r="FMB1055" s="989"/>
      <c r="FMC1055" s="989"/>
      <c r="FMD1055" s="989"/>
      <c r="FME1055" s="989"/>
      <c r="FMF1055" s="989"/>
      <c r="FMG1055" s="989"/>
      <c r="FMH1055" s="989"/>
      <c r="FMI1055" s="989"/>
      <c r="FMJ1055" s="989"/>
      <c r="FMK1055" s="989"/>
      <c r="FML1055" s="989"/>
      <c r="FMM1055" s="989"/>
      <c r="FMN1055" s="989"/>
      <c r="FMO1055" s="989"/>
      <c r="FMP1055" s="989"/>
      <c r="FMQ1055" s="989"/>
      <c r="FMR1055" s="989"/>
      <c r="FMS1055" s="989"/>
      <c r="FMT1055" s="989"/>
      <c r="FMU1055" s="989"/>
      <c r="FMV1055" s="989"/>
      <c r="FMW1055" s="989"/>
      <c r="FMX1055" s="989"/>
      <c r="FMY1055" s="989"/>
      <c r="FMZ1055" s="989"/>
      <c r="FNA1055" s="989"/>
      <c r="FNB1055" s="989"/>
      <c r="FNC1055" s="989"/>
      <c r="FND1055" s="989"/>
      <c r="FNE1055" s="989"/>
      <c r="FNF1055" s="989"/>
      <c r="FNG1055" s="989"/>
      <c r="FNH1055" s="989"/>
      <c r="FNI1055" s="989"/>
      <c r="FNJ1055" s="989"/>
      <c r="FNK1055" s="989"/>
      <c r="FNL1055" s="989"/>
      <c r="FNM1055" s="989"/>
      <c r="FNN1055" s="989"/>
      <c r="FNO1055" s="989"/>
      <c r="FNP1055" s="989"/>
      <c r="FNQ1055" s="989"/>
      <c r="FNR1055" s="989"/>
      <c r="FNS1055" s="989"/>
      <c r="FNT1055" s="989"/>
      <c r="FNU1055" s="989"/>
      <c r="FNV1055" s="989"/>
      <c r="FNW1055" s="989"/>
      <c r="FNX1055" s="989"/>
      <c r="FNY1055" s="989"/>
      <c r="FNZ1055" s="989"/>
      <c r="FOA1055" s="989"/>
      <c r="FOB1055" s="989"/>
      <c r="FOC1055" s="989"/>
      <c r="FOD1055" s="989"/>
      <c r="FOE1055" s="989"/>
      <c r="FOF1055" s="989"/>
      <c r="FOG1055" s="989"/>
      <c r="FOH1055" s="989"/>
      <c r="FOI1055" s="989"/>
      <c r="FOJ1055" s="989"/>
      <c r="FOK1055" s="989"/>
      <c r="FOL1055" s="989"/>
      <c r="FOM1055" s="989"/>
      <c r="FON1055" s="989"/>
      <c r="FOO1055" s="989"/>
      <c r="FOP1055" s="989"/>
      <c r="FOQ1055" s="989"/>
      <c r="FOR1055" s="989"/>
      <c r="FOS1055" s="989"/>
      <c r="FOT1055" s="989"/>
      <c r="FOU1055" s="989"/>
      <c r="FOV1055" s="989"/>
      <c r="FOW1055" s="989"/>
      <c r="FOX1055" s="989"/>
      <c r="FOY1055" s="989"/>
      <c r="FOZ1055" s="989"/>
      <c r="FPA1055" s="989"/>
      <c r="FPB1055" s="989"/>
      <c r="FPC1055" s="989"/>
      <c r="FPD1055" s="989"/>
      <c r="FPE1055" s="989"/>
      <c r="FPF1055" s="989"/>
      <c r="FPG1055" s="989"/>
      <c r="FPH1055" s="989"/>
      <c r="FPI1055" s="989"/>
      <c r="FPJ1055" s="989"/>
      <c r="FPK1055" s="989"/>
      <c r="FPL1055" s="989"/>
      <c r="FPM1055" s="989"/>
      <c r="FPN1055" s="989"/>
      <c r="FPO1055" s="989"/>
      <c r="FPP1055" s="989"/>
      <c r="FPQ1055" s="989"/>
      <c r="FPR1055" s="989"/>
      <c r="FPS1055" s="989"/>
      <c r="FPT1055" s="989"/>
      <c r="FPU1055" s="989"/>
      <c r="FPV1055" s="989"/>
      <c r="FPW1055" s="989"/>
      <c r="FPX1055" s="989"/>
      <c r="FPY1055" s="989"/>
      <c r="FPZ1055" s="989"/>
      <c r="FQA1055" s="989"/>
      <c r="FQB1055" s="989"/>
      <c r="FQC1055" s="989"/>
      <c r="FQD1055" s="989"/>
      <c r="FQE1055" s="989"/>
      <c r="FQF1055" s="989"/>
      <c r="FQG1055" s="989"/>
      <c r="FQH1055" s="989"/>
      <c r="FQI1055" s="989"/>
      <c r="FQJ1055" s="989"/>
      <c r="FQK1055" s="989"/>
      <c r="FQL1055" s="989"/>
      <c r="FQM1055" s="989"/>
      <c r="FQN1055" s="989"/>
      <c r="FQO1055" s="989"/>
      <c r="FQP1055" s="989"/>
      <c r="FQQ1055" s="989"/>
      <c r="FQR1055" s="989"/>
      <c r="FQS1055" s="989"/>
      <c r="FQT1055" s="989"/>
      <c r="FQU1055" s="989"/>
      <c r="FQV1055" s="989"/>
      <c r="FQW1055" s="989"/>
      <c r="FQX1055" s="989"/>
      <c r="FQY1055" s="989"/>
      <c r="FQZ1055" s="989"/>
      <c r="FRA1055" s="989"/>
      <c r="FRB1055" s="989"/>
      <c r="FRC1055" s="989"/>
      <c r="FRD1055" s="989"/>
      <c r="FRE1055" s="989"/>
      <c r="FRF1055" s="989"/>
      <c r="FRG1055" s="989"/>
      <c r="FRH1055" s="989"/>
      <c r="FRI1055" s="989"/>
      <c r="FRJ1055" s="989"/>
      <c r="FRK1055" s="989"/>
      <c r="FRL1055" s="989"/>
      <c r="FRM1055" s="989"/>
      <c r="FRN1055" s="989"/>
      <c r="FRO1055" s="989"/>
      <c r="FRP1055" s="989"/>
      <c r="FRQ1055" s="989"/>
      <c r="FRR1055" s="989"/>
      <c r="FRS1055" s="989"/>
      <c r="FRT1055" s="989"/>
      <c r="FRU1055" s="989"/>
      <c r="FRV1055" s="989"/>
      <c r="FRW1055" s="989"/>
      <c r="FRX1055" s="989"/>
      <c r="FRY1055" s="989"/>
      <c r="FRZ1055" s="989"/>
      <c r="FSA1055" s="989"/>
      <c r="FSB1055" s="989"/>
      <c r="FSC1055" s="989"/>
      <c r="FSD1055" s="989"/>
      <c r="FSE1055" s="989"/>
      <c r="FSF1055" s="989"/>
      <c r="FSG1055" s="989"/>
      <c r="FSH1055" s="989"/>
      <c r="FSI1055" s="989"/>
      <c r="FSJ1055" s="989"/>
      <c r="FSK1055" s="989"/>
      <c r="FSL1055" s="989"/>
      <c r="FSM1055" s="989"/>
      <c r="FSN1055" s="989"/>
      <c r="FSO1055" s="989"/>
      <c r="FSP1055" s="989"/>
      <c r="FSQ1055" s="989"/>
      <c r="FSR1055" s="989"/>
      <c r="FSS1055" s="989"/>
      <c r="FST1055" s="989"/>
      <c r="FSU1055" s="989"/>
      <c r="FSV1055" s="989"/>
      <c r="FSW1055" s="989"/>
      <c r="FSX1055" s="989"/>
      <c r="FSY1055" s="989"/>
      <c r="FSZ1055" s="989"/>
      <c r="FTA1055" s="989"/>
      <c r="FTB1055" s="989"/>
      <c r="FTC1055" s="989"/>
      <c r="FTD1055" s="989"/>
      <c r="FTE1055" s="989"/>
      <c r="FTF1055" s="989"/>
      <c r="FTG1055" s="989"/>
      <c r="FTH1055" s="989"/>
      <c r="FTI1055" s="989"/>
      <c r="FTJ1055" s="989"/>
      <c r="FTK1055" s="989"/>
      <c r="FTL1055" s="989"/>
      <c r="FTM1055" s="989"/>
      <c r="FTN1055" s="989"/>
      <c r="FTO1055" s="989"/>
      <c r="FTP1055" s="989"/>
      <c r="FTQ1055" s="989"/>
      <c r="FTR1055" s="989"/>
      <c r="FTS1055" s="989"/>
      <c r="FTT1055" s="989"/>
      <c r="FTU1055" s="989"/>
      <c r="FTV1055" s="989"/>
      <c r="FTW1055" s="989"/>
      <c r="FTX1055" s="989"/>
      <c r="FTY1055" s="989"/>
      <c r="FTZ1055" s="989"/>
      <c r="FUA1055" s="989"/>
      <c r="FUB1055" s="989"/>
      <c r="FUC1055" s="989"/>
      <c r="FUD1055" s="989"/>
      <c r="FUE1055" s="989"/>
      <c r="FUF1055" s="989"/>
      <c r="FUG1055" s="989"/>
      <c r="FUH1055" s="989"/>
      <c r="FUI1055" s="989"/>
      <c r="FUJ1055" s="989"/>
      <c r="FUK1055" s="989"/>
      <c r="FUL1055" s="989"/>
      <c r="FUM1055" s="989"/>
      <c r="FUN1055" s="989"/>
      <c r="FUO1055" s="989"/>
      <c r="FUP1055" s="989"/>
      <c r="FUQ1055" s="989"/>
      <c r="FUR1055" s="989"/>
      <c r="FUS1055" s="989"/>
      <c r="FUT1055" s="989"/>
      <c r="FUU1055" s="989"/>
      <c r="FUV1055" s="989"/>
      <c r="FUW1055" s="989"/>
      <c r="FUX1055" s="989"/>
      <c r="FUY1055" s="989"/>
      <c r="FUZ1055" s="989"/>
      <c r="FVA1055" s="989"/>
      <c r="FVB1055" s="989"/>
      <c r="FVC1055" s="989"/>
      <c r="FVD1055" s="989"/>
      <c r="FVE1055" s="989"/>
      <c r="FVF1055" s="989"/>
      <c r="FVG1055" s="989"/>
      <c r="FVH1055" s="989"/>
      <c r="FVI1055" s="989"/>
      <c r="FVJ1055" s="989"/>
      <c r="FVK1055" s="989"/>
      <c r="FVL1055" s="989"/>
      <c r="FVM1055" s="989"/>
      <c r="FVN1055" s="989"/>
      <c r="FVO1055" s="989"/>
      <c r="FVP1055" s="989"/>
      <c r="FVQ1055" s="989"/>
      <c r="FVR1055" s="989"/>
      <c r="FVS1055" s="989"/>
      <c r="FVT1055" s="989"/>
      <c r="FVU1055" s="989"/>
      <c r="FVV1055" s="989"/>
      <c r="FVW1055" s="989"/>
      <c r="FVX1055" s="989"/>
      <c r="FVY1055" s="989"/>
      <c r="FVZ1055" s="989"/>
      <c r="FWA1055" s="989"/>
      <c r="FWB1055" s="989"/>
      <c r="FWC1055" s="989"/>
      <c r="FWD1055" s="989"/>
      <c r="FWE1055" s="989"/>
      <c r="FWF1055" s="989"/>
      <c r="FWG1055" s="989"/>
      <c r="FWH1055" s="989"/>
      <c r="FWI1055" s="989"/>
      <c r="FWJ1055" s="989"/>
      <c r="FWK1055" s="989"/>
      <c r="FWL1055" s="989"/>
      <c r="FWM1055" s="989"/>
      <c r="FWN1055" s="989"/>
      <c r="FWO1055" s="989"/>
      <c r="FWP1055" s="989"/>
      <c r="FWQ1055" s="989"/>
      <c r="FWR1055" s="989"/>
      <c r="FWS1055" s="989"/>
      <c r="FWT1055" s="989"/>
      <c r="FWU1055" s="989"/>
      <c r="FWV1055" s="989"/>
      <c r="FWW1055" s="989"/>
      <c r="FWX1055" s="989"/>
      <c r="FWY1055" s="989"/>
      <c r="FWZ1055" s="989"/>
      <c r="FXA1055" s="989"/>
      <c r="FXB1055" s="989"/>
      <c r="FXC1055" s="989"/>
      <c r="FXD1055" s="989"/>
      <c r="FXE1055" s="989"/>
      <c r="FXF1055" s="989"/>
      <c r="FXG1055" s="989"/>
      <c r="FXH1055" s="989"/>
      <c r="FXI1055" s="989"/>
      <c r="FXJ1055" s="989"/>
      <c r="FXK1055" s="989"/>
      <c r="FXL1055" s="989"/>
      <c r="FXM1055" s="989"/>
      <c r="FXN1055" s="989"/>
      <c r="FXO1055" s="989"/>
      <c r="FXP1055" s="989"/>
      <c r="FXQ1055" s="989"/>
      <c r="FXR1055" s="989"/>
      <c r="FXS1055" s="989"/>
      <c r="FXT1055" s="989"/>
      <c r="FXU1055" s="989"/>
      <c r="FXV1055" s="989"/>
      <c r="FXW1055" s="989"/>
      <c r="FXX1055" s="989"/>
      <c r="FXY1055" s="989"/>
      <c r="FXZ1055" s="989"/>
      <c r="FYA1055" s="989"/>
      <c r="FYB1055" s="989"/>
      <c r="FYC1055" s="989"/>
      <c r="FYD1055" s="989"/>
      <c r="FYE1055" s="989"/>
      <c r="FYF1055" s="989"/>
      <c r="FYG1055" s="989"/>
      <c r="FYH1055" s="989"/>
      <c r="FYI1055" s="989"/>
      <c r="FYJ1055" s="989"/>
      <c r="FYK1055" s="989"/>
      <c r="FYL1055" s="989"/>
      <c r="FYM1055" s="989"/>
      <c r="FYN1055" s="989"/>
      <c r="FYO1055" s="989"/>
      <c r="FYP1055" s="989"/>
      <c r="FYQ1055" s="989"/>
      <c r="FYR1055" s="989"/>
      <c r="FYS1055" s="989"/>
      <c r="FYT1055" s="989"/>
      <c r="FYU1055" s="989"/>
      <c r="FYV1055" s="989"/>
      <c r="FYW1055" s="989"/>
      <c r="FYX1055" s="989"/>
      <c r="FYY1055" s="989"/>
      <c r="FYZ1055" s="989"/>
      <c r="FZA1055" s="989"/>
      <c r="FZB1055" s="989"/>
      <c r="FZC1055" s="989"/>
      <c r="FZD1055" s="989"/>
      <c r="FZE1055" s="989"/>
      <c r="FZF1055" s="989"/>
      <c r="FZG1055" s="989"/>
      <c r="FZH1055" s="989"/>
      <c r="FZI1055" s="989"/>
      <c r="FZJ1055" s="989"/>
      <c r="FZK1055" s="989"/>
      <c r="FZL1055" s="989"/>
      <c r="FZM1055" s="989"/>
      <c r="FZN1055" s="989"/>
      <c r="FZO1055" s="989"/>
      <c r="FZP1055" s="989"/>
      <c r="FZQ1055" s="989"/>
      <c r="FZR1055" s="989"/>
      <c r="FZS1055" s="989"/>
      <c r="FZT1055" s="989"/>
      <c r="FZU1055" s="989"/>
      <c r="FZV1055" s="989"/>
      <c r="FZW1055" s="989"/>
      <c r="FZX1055" s="989"/>
      <c r="FZY1055" s="989"/>
      <c r="FZZ1055" s="989"/>
      <c r="GAA1055" s="989"/>
      <c r="GAB1055" s="989"/>
      <c r="GAC1055" s="989"/>
      <c r="GAD1055" s="989"/>
      <c r="GAE1055" s="989"/>
      <c r="GAF1055" s="989"/>
      <c r="GAG1055" s="989"/>
      <c r="GAH1055" s="989"/>
      <c r="GAI1055" s="989"/>
      <c r="GAJ1055" s="989"/>
      <c r="GAK1055" s="989"/>
      <c r="GAL1055" s="989"/>
      <c r="GAM1055" s="989"/>
      <c r="GAN1055" s="989"/>
      <c r="GAO1055" s="989"/>
      <c r="GAP1055" s="989"/>
      <c r="GAQ1055" s="989"/>
      <c r="GAR1055" s="989"/>
      <c r="GAS1055" s="989"/>
      <c r="GAT1055" s="989"/>
      <c r="GAU1055" s="989"/>
      <c r="GAV1055" s="989"/>
      <c r="GAW1055" s="989"/>
      <c r="GAX1055" s="989"/>
      <c r="GAY1055" s="989"/>
      <c r="GAZ1055" s="989"/>
      <c r="GBA1055" s="989"/>
      <c r="GBB1055" s="989"/>
      <c r="GBC1055" s="989"/>
      <c r="GBD1055" s="989"/>
      <c r="GBE1055" s="989"/>
      <c r="GBF1055" s="989"/>
      <c r="GBG1055" s="989"/>
      <c r="GBH1055" s="989"/>
      <c r="GBI1055" s="989"/>
      <c r="GBJ1055" s="989"/>
      <c r="GBK1055" s="989"/>
      <c r="GBL1055" s="989"/>
      <c r="GBM1055" s="989"/>
      <c r="GBN1055" s="989"/>
      <c r="GBO1055" s="989"/>
      <c r="GBP1055" s="989"/>
      <c r="GBQ1055" s="989"/>
      <c r="GBR1055" s="989"/>
      <c r="GBS1055" s="989"/>
      <c r="GBT1055" s="989"/>
      <c r="GBU1055" s="989"/>
      <c r="GBV1055" s="989"/>
      <c r="GBW1055" s="989"/>
      <c r="GBX1055" s="989"/>
      <c r="GBY1055" s="989"/>
      <c r="GBZ1055" s="989"/>
      <c r="GCA1055" s="989"/>
      <c r="GCB1055" s="989"/>
      <c r="GCC1055" s="989"/>
      <c r="GCD1055" s="989"/>
      <c r="GCE1055" s="989"/>
      <c r="GCF1055" s="989"/>
      <c r="GCG1055" s="989"/>
      <c r="GCH1055" s="989"/>
      <c r="GCI1055" s="989"/>
      <c r="GCJ1055" s="989"/>
      <c r="GCK1055" s="989"/>
      <c r="GCL1055" s="989"/>
      <c r="GCM1055" s="989"/>
      <c r="GCN1055" s="989"/>
      <c r="GCO1055" s="989"/>
      <c r="GCP1055" s="989"/>
      <c r="GCQ1055" s="989"/>
      <c r="GCR1055" s="989"/>
      <c r="GCS1055" s="989"/>
      <c r="GCT1055" s="989"/>
      <c r="GCU1055" s="989"/>
      <c r="GCV1055" s="989"/>
      <c r="GCW1055" s="989"/>
      <c r="GCX1055" s="989"/>
      <c r="GCY1055" s="989"/>
      <c r="GCZ1055" s="989"/>
      <c r="GDA1055" s="989"/>
      <c r="GDB1055" s="989"/>
      <c r="GDC1055" s="989"/>
      <c r="GDD1055" s="989"/>
      <c r="GDE1055" s="989"/>
      <c r="GDF1055" s="989"/>
      <c r="GDG1055" s="989"/>
      <c r="GDH1055" s="989"/>
      <c r="GDI1055" s="989"/>
      <c r="GDJ1055" s="989"/>
      <c r="GDK1055" s="989"/>
      <c r="GDL1055" s="989"/>
      <c r="GDM1055" s="989"/>
      <c r="GDN1055" s="989"/>
      <c r="GDO1055" s="989"/>
      <c r="GDP1055" s="989"/>
      <c r="GDQ1055" s="989"/>
      <c r="GDR1055" s="989"/>
      <c r="GDS1055" s="989"/>
      <c r="GDT1055" s="989"/>
      <c r="GDU1055" s="989"/>
      <c r="GDV1055" s="989"/>
      <c r="GDW1055" s="989"/>
      <c r="GDX1055" s="989"/>
      <c r="GDY1055" s="989"/>
      <c r="GDZ1055" s="989"/>
      <c r="GEA1055" s="989"/>
      <c r="GEB1055" s="989"/>
      <c r="GEC1055" s="989"/>
      <c r="GED1055" s="989"/>
      <c r="GEE1055" s="989"/>
      <c r="GEF1055" s="989"/>
      <c r="GEG1055" s="989"/>
      <c r="GEH1055" s="989"/>
      <c r="GEI1055" s="989"/>
      <c r="GEJ1055" s="989"/>
      <c r="GEK1055" s="989"/>
      <c r="GEL1055" s="989"/>
      <c r="GEM1055" s="989"/>
      <c r="GEN1055" s="989"/>
      <c r="GEO1055" s="989"/>
      <c r="GEP1055" s="989"/>
      <c r="GEQ1055" s="989"/>
      <c r="GER1055" s="989"/>
      <c r="GES1055" s="989"/>
      <c r="GET1055" s="989"/>
      <c r="GEU1055" s="989"/>
      <c r="GEV1055" s="989"/>
      <c r="GEW1055" s="989"/>
      <c r="GEX1055" s="989"/>
      <c r="GEY1055" s="989"/>
      <c r="GEZ1055" s="989"/>
      <c r="GFA1055" s="989"/>
      <c r="GFB1055" s="989"/>
      <c r="GFC1055" s="989"/>
      <c r="GFD1055" s="989"/>
      <c r="GFE1055" s="989"/>
      <c r="GFF1055" s="989"/>
      <c r="GFG1055" s="989"/>
      <c r="GFH1055" s="989"/>
      <c r="GFI1055" s="989"/>
      <c r="GFJ1055" s="989"/>
      <c r="GFK1055" s="989"/>
      <c r="GFL1055" s="989"/>
      <c r="GFM1055" s="989"/>
      <c r="GFN1055" s="989"/>
      <c r="GFO1055" s="989"/>
      <c r="GFP1055" s="989"/>
      <c r="GFQ1055" s="989"/>
      <c r="GFR1055" s="989"/>
      <c r="GFS1055" s="989"/>
      <c r="GFT1055" s="989"/>
      <c r="GFU1055" s="989"/>
      <c r="GFV1055" s="989"/>
      <c r="GFW1055" s="989"/>
      <c r="GFX1055" s="989"/>
      <c r="GFY1055" s="989"/>
      <c r="GFZ1055" s="989"/>
      <c r="GGA1055" s="989"/>
      <c r="GGB1055" s="989"/>
      <c r="GGC1055" s="989"/>
      <c r="GGD1055" s="989"/>
      <c r="GGE1055" s="989"/>
      <c r="GGF1055" s="989"/>
      <c r="GGG1055" s="989"/>
      <c r="GGH1055" s="989"/>
      <c r="GGI1055" s="989"/>
      <c r="GGJ1055" s="989"/>
      <c r="GGK1055" s="989"/>
      <c r="GGL1055" s="989"/>
      <c r="GGM1055" s="989"/>
      <c r="GGN1055" s="989"/>
      <c r="GGO1055" s="989"/>
      <c r="GGP1055" s="989"/>
      <c r="GGQ1055" s="989"/>
      <c r="GGR1055" s="989"/>
      <c r="GGS1055" s="989"/>
      <c r="GGT1055" s="989"/>
      <c r="GGU1055" s="989"/>
      <c r="GGV1055" s="989"/>
      <c r="GGW1055" s="989"/>
      <c r="GGX1055" s="989"/>
      <c r="GGY1055" s="989"/>
      <c r="GGZ1055" s="989"/>
      <c r="GHA1055" s="989"/>
      <c r="GHB1055" s="989"/>
      <c r="GHC1055" s="989"/>
      <c r="GHD1055" s="989"/>
      <c r="GHE1055" s="989"/>
      <c r="GHF1055" s="989"/>
      <c r="GHG1055" s="989"/>
      <c r="GHH1055" s="989"/>
      <c r="GHI1055" s="989"/>
      <c r="GHJ1055" s="989"/>
      <c r="GHK1055" s="989"/>
      <c r="GHL1055" s="989"/>
      <c r="GHM1055" s="989"/>
      <c r="GHN1055" s="989"/>
      <c r="GHO1055" s="989"/>
      <c r="GHP1055" s="989"/>
      <c r="GHQ1055" s="989"/>
      <c r="GHR1055" s="989"/>
      <c r="GHS1055" s="989"/>
      <c r="GHT1055" s="989"/>
      <c r="GHU1055" s="989"/>
      <c r="GHV1055" s="989"/>
      <c r="GHW1055" s="989"/>
      <c r="GHX1055" s="989"/>
      <c r="GHY1055" s="989"/>
      <c r="GHZ1055" s="989"/>
      <c r="GIA1055" s="989"/>
      <c r="GIB1055" s="989"/>
      <c r="GIC1055" s="989"/>
      <c r="GID1055" s="989"/>
      <c r="GIE1055" s="989"/>
      <c r="GIF1055" s="989"/>
      <c r="GIG1055" s="989"/>
      <c r="GIH1055" s="989"/>
      <c r="GII1055" s="989"/>
      <c r="GIJ1055" s="989"/>
      <c r="GIK1055" s="989"/>
      <c r="GIL1055" s="989"/>
      <c r="GIM1055" s="989"/>
      <c r="GIN1055" s="989"/>
      <c r="GIO1055" s="989"/>
      <c r="GIP1055" s="989"/>
      <c r="GIQ1055" s="989"/>
      <c r="GIR1055" s="989"/>
      <c r="GIS1055" s="989"/>
      <c r="GIT1055" s="989"/>
      <c r="GIU1055" s="989"/>
      <c r="GIV1055" s="989"/>
      <c r="GIW1055" s="989"/>
      <c r="GIX1055" s="989"/>
      <c r="GIY1055" s="989"/>
      <c r="GIZ1055" s="989"/>
      <c r="GJA1055" s="989"/>
      <c r="GJB1055" s="989"/>
      <c r="GJC1055" s="989"/>
      <c r="GJD1055" s="989"/>
      <c r="GJE1055" s="989"/>
      <c r="GJF1055" s="989"/>
      <c r="GJG1055" s="989"/>
      <c r="GJH1055" s="989"/>
      <c r="GJI1055" s="989"/>
      <c r="GJJ1055" s="989"/>
      <c r="GJK1055" s="989"/>
      <c r="GJL1055" s="989"/>
      <c r="GJM1055" s="989"/>
      <c r="GJN1055" s="989"/>
      <c r="GJO1055" s="989"/>
      <c r="GJP1055" s="989"/>
      <c r="GJQ1055" s="989"/>
      <c r="GJR1055" s="989"/>
      <c r="GJS1055" s="989"/>
      <c r="GJT1055" s="989"/>
      <c r="GJU1055" s="989"/>
      <c r="GJV1055" s="989"/>
      <c r="GJW1055" s="989"/>
      <c r="GJX1055" s="989"/>
      <c r="GJY1055" s="989"/>
      <c r="GJZ1055" s="989"/>
      <c r="GKA1055" s="989"/>
      <c r="GKB1055" s="989"/>
      <c r="GKC1055" s="989"/>
      <c r="GKD1055" s="989"/>
      <c r="GKE1055" s="989"/>
      <c r="GKF1055" s="989"/>
      <c r="GKG1055" s="989"/>
      <c r="GKH1055" s="989"/>
      <c r="GKI1055" s="989"/>
      <c r="GKJ1055" s="989"/>
      <c r="GKK1055" s="989"/>
      <c r="GKL1055" s="989"/>
      <c r="GKM1055" s="989"/>
      <c r="GKN1055" s="989"/>
      <c r="GKO1055" s="989"/>
      <c r="GKP1055" s="989"/>
      <c r="GKQ1055" s="989"/>
      <c r="GKR1055" s="989"/>
      <c r="GKS1055" s="989"/>
      <c r="GKT1055" s="989"/>
      <c r="GKU1055" s="989"/>
      <c r="GKV1055" s="989"/>
      <c r="GKW1055" s="989"/>
      <c r="GKX1055" s="989"/>
      <c r="GKY1055" s="989"/>
      <c r="GKZ1055" s="989"/>
      <c r="GLA1055" s="989"/>
      <c r="GLB1055" s="989"/>
      <c r="GLC1055" s="989"/>
      <c r="GLD1055" s="989"/>
      <c r="GLE1055" s="989"/>
      <c r="GLF1055" s="989"/>
      <c r="GLG1055" s="989"/>
      <c r="GLH1055" s="989"/>
      <c r="GLI1055" s="989"/>
      <c r="GLJ1055" s="989"/>
      <c r="GLK1055" s="989"/>
      <c r="GLL1055" s="989"/>
      <c r="GLM1055" s="989"/>
      <c r="GLN1055" s="989"/>
      <c r="GLO1055" s="989"/>
      <c r="GLP1055" s="989"/>
      <c r="GLQ1055" s="989"/>
      <c r="GLR1055" s="989"/>
      <c r="GLS1055" s="989"/>
      <c r="GLT1055" s="989"/>
      <c r="GLU1055" s="989"/>
      <c r="GLV1055" s="989"/>
      <c r="GLW1055" s="989"/>
      <c r="GLX1055" s="989"/>
      <c r="GLY1055" s="989"/>
      <c r="GLZ1055" s="989"/>
      <c r="GMA1055" s="989"/>
      <c r="GMB1055" s="989"/>
      <c r="GMC1055" s="989"/>
      <c r="GMD1055" s="989"/>
      <c r="GME1055" s="989"/>
      <c r="GMF1055" s="989"/>
      <c r="GMG1055" s="989"/>
      <c r="GMH1055" s="989"/>
      <c r="GMI1055" s="989"/>
      <c r="GMJ1055" s="989"/>
      <c r="GMK1055" s="989"/>
      <c r="GML1055" s="989"/>
      <c r="GMM1055" s="989"/>
      <c r="GMN1055" s="989"/>
      <c r="GMO1055" s="989"/>
      <c r="GMP1055" s="989"/>
      <c r="GMQ1055" s="989"/>
      <c r="GMR1055" s="989"/>
      <c r="GMS1055" s="989"/>
      <c r="GMT1055" s="989"/>
      <c r="GMU1055" s="989"/>
      <c r="GMV1055" s="989"/>
      <c r="GMW1055" s="989"/>
      <c r="GMX1055" s="989"/>
      <c r="GMY1055" s="989"/>
      <c r="GMZ1055" s="989"/>
      <c r="GNA1055" s="989"/>
      <c r="GNB1055" s="989"/>
      <c r="GNC1055" s="989"/>
      <c r="GND1055" s="989"/>
      <c r="GNE1055" s="989"/>
      <c r="GNF1055" s="989"/>
      <c r="GNG1055" s="989"/>
      <c r="GNH1055" s="989"/>
      <c r="GNI1055" s="989"/>
      <c r="GNJ1055" s="989"/>
      <c r="GNK1055" s="989"/>
      <c r="GNL1055" s="989"/>
      <c r="GNM1055" s="989"/>
      <c r="GNN1055" s="989"/>
      <c r="GNO1055" s="989"/>
      <c r="GNP1055" s="989"/>
      <c r="GNQ1055" s="989"/>
      <c r="GNR1055" s="989"/>
      <c r="GNS1055" s="989"/>
      <c r="GNT1055" s="989"/>
      <c r="GNU1055" s="989"/>
      <c r="GNV1055" s="989"/>
      <c r="GNW1055" s="989"/>
      <c r="GNX1055" s="989"/>
      <c r="GNY1055" s="989"/>
      <c r="GNZ1055" s="989"/>
      <c r="GOA1055" s="989"/>
      <c r="GOB1055" s="989"/>
      <c r="GOC1055" s="989"/>
      <c r="GOD1055" s="989"/>
      <c r="GOE1055" s="989"/>
      <c r="GOF1055" s="989"/>
      <c r="GOG1055" s="989"/>
      <c r="GOH1055" s="989"/>
      <c r="GOI1055" s="989"/>
      <c r="GOJ1055" s="989"/>
      <c r="GOK1055" s="989"/>
      <c r="GOL1055" s="989"/>
      <c r="GOM1055" s="989"/>
      <c r="GON1055" s="989"/>
      <c r="GOO1055" s="989"/>
      <c r="GOP1055" s="989"/>
      <c r="GOQ1055" s="989"/>
      <c r="GOR1055" s="989"/>
      <c r="GOS1055" s="989"/>
      <c r="GOT1055" s="989"/>
      <c r="GOU1055" s="989"/>
      <c r="GOV1055" s="989"/>
      <c r="GOW1055" s="989"/>
      <c r="GOX1055" s="989"/>
      <c r="GOY1055" s="989"/>
      <c r="GOZ1055" s="989"/>
      <c r="GPA1055" s="989"/>
      <c r="GPB1055" s="989"/>
      <c r="GPC1055" s="989"/>
      <c r="GPD1055" s="989"/>
      <c r="GPE1055" s="989"/>
      <c r="GPF1055" s="989"/>
      <c r="GPG1055" s="989"/>
      <c r="GPH1055" s="989"/>
      <c r="GPI1055" s="989"/>
      <c r="GPJ1055" s="989"/>
      <c r="GPK1055" s="989"/>
      <c r="GPL1055" s="989"/>
      <c r="GPM1055" s="989"/>
      <c r="GPN1055" s="989"/>
      <c r="GPO1055" s="989"/>
      <c r="GPP1055" s="989"/>
      <c r="GPQ1055" s="989"/>
      <c r="GPR1055" s="989"/>
      <c r="GPS1055" s="989"/>
      <c r="GPT1055" s="989"/>
      <c r="GPU1055" s="989"/>
      <c r="GPV1055" s="989"/>
      <c r="GPW1055" s="989"/>
      <c r="GPX1055" s="989"/>
      <c r="GPY1055" s="989"/>
      <c r="GPZ1055" s="989"/>
      <c r="GQA1055" s="989"/>
      <c r="GQB1055" s="989"/>
      <c r="GQC1055" s="989"/>
      <c r="GQD1055" s="989"/>
      <c r="GQE1055" s="989"/>
      <c r="GQF1055" s="989"/>
      <c r="GQG1055" s="989"/>
      <c r="GQH1055" s="989"/>
      <c r="GQI1055" s="989"/>
      <c r="GQJ1055" s="989"/>
      <c r="GQK1055" s="989"/>
      <c r="GQL1055" s="989"/>
      <c r="GQM1055" s="989"/>
      <c r="GQN1055" s="989"/>
      <c r="GQO1055" s="989"/>
      <c r="GQP1055" s="989"/>
      <c r="GQQ1055" s="989"/>
      <c r="GQR1055" s="989"/>
      <c r="GQS1055" s="989"/>
      <c r="GQT1055" s="989"/>
      <c r="GQU1055" s="989"/>
      <c r="GQV1055" s="989"/>
      <c r="GQW1055" s="989"/>
      <c r="GQX1055" s="989"/>
      <c r="GQY1055" s="989"/>
      <c r="GQZ1055" s="989"/>
      <c r="GRA1055" s="989"/>
      <c r="GRB1055" s="989"/>
      <c r="GRC1055" s="989"/>
      <c r="GRD1055" s="989"/>
      <c r="GRE1055" s="989"/>
      <c r="GRF1055" s="989"/>
      <c r="GRG1055" s="989"/>
      <c r="GRH1055" s="989"/>
      <c r="GRI1055" s="989"/>
      <c r="GRJ1055" s="989"/>
      <c r="GRK1055" s="989"/>
      <c r="GRL1055" s="989"/>
      <c r="GRM1055" s="989"/>
      <c r="GRN1055" s="989"/>
      <c r="GRO1055" s="989"/>
      <c r="GRP1055" s="989"/>
      <c r="GRQ1055" s="989"/>
      <c r="GRR1055" s="989"/>
      <c r="GRS1055" s="989"/>
      <c r="GRT1055" s="989"/>
      <c r="GRU1055" s="989"/>
      <c r="GRV1055" s="989"/>
      <c r="GRW1055" s="989"/>
      <c r="GRX1055" s="989"/>
      <c r="GRY1055" s="989"/>
      <c r="GRZ1055" s="989"/>
      <c r="GSA1055" s="989"/>
      <c r="GSB1055" s="989"/>
      <c r="GSC1055" s="989"/>
      <c r="GSD1055" s="989"/>
      <c r="GSE1055" s="989"/>
      <c r="GSF1055" s="989"/>
      <c r="GSG1055" s="989"/>
      <c r="GSH1055" s="989"/>
      <c r="GSI1055" s="989"/>
      <c r="GSJ1055" s="989"/>
      <c r="GSK1055" s="989"/>
      <c r="GSL1055" s="989"/>
      <c r="GSM1055" s="989"/>
      <c r="GSN1055" s="989"/>
      <c r="GSO1055" s="989"/>
      <c r="GSP1055" s="989"/>
      <c r="GSQ1055" s="989"/>
      <c r="GSR1055" s="989"/>
      <c r="GSS1055" s="989"/>
      <c r="GST1055" s="989"/>
      <c r="GSU1055" s="989"/>
      <c r="GSV1055" s="989"/>
      <c r="GSW1055" s="989"/>
      <c r="GSX1055" s="989"/>
      <c r="GSY1055" s="989"/>
      <c r="GSZ1055" s="989"/>
      <c r="GTA1055" s="989"/>
      <c r="GTB1055" s="989"/>
      <c r="GTC1055" s="989"/>
      <c r="GTD1055" s="989"/>
      <c r="GTE1055" s="989"/>
      <c r="GTF1055" s="989"/>
      <c r="GTG1055" s="989"/>
      <c r="GTH1055" s="989"/>
      <c r="GTI1055" s="989"/>
      <c r="GTJ1055" s="989"/>
      <c r="GTK1055" s="989"/>
      <c r="GTL1055" s="989"/>
      <c r="GTM1055" s="989"/>
      <c r="GTN1055" s="989"/>
      <c r="GTO1055" s="989"/>
      <c r="GTP1055" s="989"/>
      <c r="GTQ1055" s="989"/>
      <c r="GTR1055" s="989"/>
      <c r="GTS1055" s="989"/>
      <c r="GTT1055" s="989"/>
      <c r="GTU1055" s="989"/>
      <c r="GTV1055" s="989"/>
      <c r="GTW1055" s="989"/>
      <c r="GTX1055" s="989"/>
      <c r="GTY1055" s="989"/>
      <c r="GTZ1055" s="989"/>
      <c r="GUA1055" s="989"/>
      <c r="GUB1055" s="989"/>
      <c r="GUC1055" s="989"/>
      <c r="GUD1055" s="989"/>
      <c r="GUE1055" s="989"/>
      <c r="GUF1055" s="989"/>
      <c r="GUG1055" s="989"/>
      <c r="GUH1055" s="989"/>
      <c r="GUI1055" s="989"/>
      <c r="GUJ1055" s="989"/>
      <c r="GUK1055" s="989"/>
      <c r="GUL1055" s="989"/>
      <c r="GUM1055" s="989"/>
      <c r="GUN1055" s="989"/>
      <c r="GUO1055" s="989"/>
      <c r="GUP1055" s="989"/>
      <c r="GUQ1055" s="989"/>
      <c r="GUR1055" s="989"/>
      <c r="GUS1055" s="989"/>
      <c r="GUT1055" s="989"/>
      <c r="GUU1055" s="989"/>
      <c r="GUV1055" s="989"/>
      <c r="GUW1055" s="989"/>
      <c r="GUX1055" s="989"/>
      <c r="GUY1055" s="989"/>
      <c r="GUZ1055" s="989"/>
      <c r="GVA1055" s="989"/>
      <c r="GVB1055" s="989"/>
      <c r="GVC1055" s="989"/>
      <c r="GVD1055" s="989"/>
      <c r="GVE1055" s="989"/>
      <c r="GVF1055" s="989"/>
      <c r="GVG1055" s="989"/>
      <c r="GVH1055" s="989"/>
      <c r="GVI1055" s="989"/>
      <c r="GVJ1055" s="989"/>
      <c r="GVK1055" s="989"/>
      <c r="GVL1055" s="989"/>
      <c r="GVM1055" s="989"/>
      <c r="GVN1055" s="989"/>
      <c r="GVO1055" s="989"/>
      <c r="GVP1055" s="989"/>
      <c r="GVQ1055" s="989"/>
      <c r="GVR1055" s="989"/>
      <c r="GVS1055" s="989"/>
      <c r="GVT1055" s="989"/>
      <c r="GVU1055" s="989"/>
      <c r="GVV1055" s="989"/>
      <c r="GVW1055" s="989"/>
      <c r="GVX1055" s="989"/>
      <c r="GVY1055" s="989"/>
      <c r="GVZ1055" s="989"/>
      <c r="GWA1055" s="989"/>
      <c r="GWB1055" s="989"/>
      <c r="GWC1055" s="989"/>
      <c r="GWD1055" s="989"/>
      <c r="GWE1055" s="989"/>
      <c r="GWF1055" s="989"/>
      <c r="GWG1055" s="989"/>
      <c r="GWH1055" s="989"/>
      <c r="GWI1055" s="989"/>
      <c r="GWJ1055" s="989"/>
      <c r="GWK1055" s="989"/>
      <c r="GWL1055" s="989"/>
      <c r="GWM1055" s="989"/>
      <c r="GWN1055" s="989"/>
      <c r="GWO1055" s="989"/>
      <c r="GWP1055" s="989"/>
      <c r="GWQ1055" s="989"/>
      <c r="GWR1055" s="989"/>
      <c r="GWS1055" s="989"/>
      <c r="GWT1055" s="989"/>
      <c r="GWU1055" s="989"/>
      <c r="GWV1055" s="989"/>
      <c r="GWW1055" s="989"/>
      <c r="GWX1055" s="989"/>
      <c r="GWY1055" s="989"/>
      <c r="GWZ1055" s="989"/>
      <c r="GXA1055" s="989"/>
      <c r="GXB1055" s="989"/>
      <c r="GXC1055" s="989"/>
      <c r="GXD1055" s="989"/>
      <c r="GXE1055" s="989"/>
      <c r="GXF1055" s="989"/>
      <c r="GXG1055" s="989"/>
      <c r="GXH1055" s="989"/>
      <c r="GXI1055" s="989"/>
      <c r="GXJ1055" s="989"/>
      <c r="GXK1055" s="989"/>
      <c r="GXL1055" s="989"/>
      <c r="GXM1055" s="989"/>
      <c r="GXN1055" s="989"/>
      <c r="GXO1055" s="989"/>
      <c r="GXP1055" s="989"/>
      <c r="GXQ1055" s="989"/>
      <c r="GXR1055" s="989"/>
      <c r="GXS1055" s="989"/>
      <c r="GXT1055" s="989"/>
      <c r="GXU1055" s="989"/>
      <c r="GXV1055" s="989"/>
      <c r="GXW1055" s="989"/>
      <c r="GXX1055" s="989"/>
      <c r="GXY1055" s="989"/>
      <c r="GXZ1055" s="989"/>
      <c r="GYA1055" s="989"/>
      <c r="GYB1055" s="989"/>
      <c r="GYC1055" s="989"/>
      <c r="GYD1055" s="989"/>
      <c r="GYE1055" s="989"/>
      <c r="GYF1055" s="989"/>
      <c r="GYG1055" s="989"/>
      <c r="GYH1055" s="989"/>
      <c r="GYI1055" s="989"/>
      <c r="GYJ1055" s="989"/>
      <c r="GYK1055" s="989"/>
      <c r="GYL1055" s="989"/>
      <c r="GYM1055" s="989"/>
      <c r="GYN1055" s="989"/>
      <c r="GYO1055" s="989"/>
      <c r="GYP1055" s="989"/>
      <c r="GYQ1055" s="989"/>
      <c r="GYR1055" s="989"/>
      <c r="GYS1055" s="989"/>
      <c r="GYT1055" s="989"/>
      <c r="GYU1055" s="989"/>
      <c r="GYV1055" s="989"/>
      <c r="GYW1055" s="989"/>
      <c r="GYX1055" s="989"/>
      <c r="GYY1055" s="989"/>
      <c r="GYZ1055" s="989"/>
      <c r="GZA1055" s="989"/>
      <c r="GZB1055" s="989"/>
      <c r="GZC1055" s="989"/>
      <c r="GZD1055" s="989"/>
      <c r="GZE1055" s="989"/>
      <c r="GZF1055" s="989"/>
      <c r="GZG1055" s="989"/>
      <c r="GZH1055" s="989"/>
      <c r="GZI1055" s="989"/>
      <c r="GZJ1055" s="989"/>
      <c r="GZK1055" s="989"/>
      <c r="GZL1055" s="989"/>
      <c r="GZM1055" s="989"/>
      <c r="GZN1055" s="989"/>
      <c r="GZO1055" s="989"/>
      <c r="GZP1055" s="989"/>
      <c r="GZQ1055" s="989"/>
      <c r="GZR1055" s="989"/>
      <c r="GZS1055" s="989"/>
      <c r="GZT1055" s="989"/>
      <c r="GZU1055" s="989"/>
      <c r="GZV1055" s="989"/>
      <c r="GZW1055" s="989"/>
      <c r="GZX1055" s="989"/>
      <c r="GZY1055" s="989"/>
      <c r="GZZ1055" s="989"/>
      <c r="HAA1055" s="989"/>
      <c r="HAB1055" s="989"/>
      <c r="HAC1055" s="989"/>
      <c r="HAD1055" s="989"/>
      <c r="HAE1055" s="989"/>
      <c r="HAF1055" s="989"/>
      <c r="HAG1055" s="989"/>
      <c r="HAH1055" s="989"/>
      <c r="HAI1055" s="989"/>
      <c r="HAJ1055" s="989"/>
      <c r="HAK1055" s="989"/>
      <c r="HAL1055" s="989"/>
      <c r="HAM1055" s="989"/>
      <c r="HAN1055" s="989"/>
      <c r="HAO1055" s="989"/>
      <c r="HAP1055" s="989"/>
      <c r="HAQ1055" s="989"/>
      <c r="HAR1055" s="989"/>
      <c r="HAS1055" s="989"/>
      <c r="HAT1055" s="989"/>
      <c r="HAU1055" s="989"/>
      <c r="HAV1055" s="989"/>
      <c r="HAW1055" s="989"/>
      <c r="HAX1055" s="989"/>
      <c r="HAY1055" s="989"/>
      <c r="HAZ1055" s="989"/>
      <c r="HBA1055" s="989"/>
      <c r="HBB1055" s="989"/>
      <c r="HBC1055" s="989"/>
      <c r="HBD1055" s="989"/>
      <c r="HBE1055" s="989"/>
      <c r="HBF1055" s="989"/>
      <c r="HBG1055" s="989"/>
      <c r="HBH1055" s="989"/>
      <c r="HBI1055" s="989"/>
      <c r="HBJ1055" s="989"/>
      <c r="HBK1055" s="989"/>
      <c r="HBL1055" s="989"/>
      <c r="HBM1055" s="989"/>
      <c r="HBN1055" s="989"/>
      <c r="HBO1055" s="989"/>
      <c r="HBP1055" s="989"/>
      <c r="HBQ1055" s="989"/>
      <c r="HBR1055" s="989"/>
      <c r="HBS1055" s="989"/>
      <c r="HBT1055" s="989"/>
      <c r="HBU1055" s="989"/>
      <c r="HBV1055" s="989"/>
      <c r="HBW1055" s="989"/>
      <c r="HBX1055" s="989"/>
      <c r="HBY1055" s="989"/>
      <c r="HBZ1055" s="989"/>
      <c r="HCA1055" s="989"/>
      <c r="HCB1055" s="989"/>
      <c r="HCC1055" s="989"/>
      <c r="HCD1055" s="989"/>
      <c r="HCE1055" s="989"/>
      <c r="HCF1055" s="989"/>
      <c r="HCG1055" s="989"/>
      <c r="HCH1055" s="989"/>
      <c r="HCI1055" s="989"/>
      <c r="HCJ1055" s="989"/>
      <c r="HCK1055" s="989"/>
      <c r="HCL1055" s="989"/>
      <c r="HCM1055" s="989"/>
      <c r="HCN1055" s="989"/>
      <c r="HCO1055" s="989"/>
      <c r="HCP1055" s="989"/>
      <c r="HCQ1055" s="989"/>
      <c r="HCR1055" s="989"/>
      <c r="HCS1055" s="989"/>
      <c r="HCT1055" s="989"/>
      <c r="HCU1055" s="989"/>
      <c r="HCV1055" s="989"/>
      <c r="HCW1055" s="989"/>
      <c r="HCX1055" s="989"/>
      <c r="HCY1055" s="989"/>
      <c r="HCZ1055" s="989"/>
      <c r="HDA1055" s="989"/>
      <c r="HDB1055" s="989"/>
      <c r="HDC1055" s="989"/>
      <c r="HDD1055" s="989"/>
      <c r="HDE1055" s="989"/>
      <c r="HDF1055" s="989"/>
      <c r="HDG1055" s="989"/>
      <c r="HDH1055" s="989"/>
      <c r="HDI1055" s="989"/>
      <c r="HDJ1055" s="989"/>
      <c r="HDK1055" s="989"/>
      <c r="HDL1055" s="989"/>
      <c r="HDM1055" s="989"/>
      <c r="HDN1055" s="989"/>
      <c r="HDO1055" s="989"/>
      <c r="HDP1055" s="989"/>
      <c r="HDQ1055" s="989"/>
      <c r="HDR1055" s="989"/>
      <c r="HDS1055" s="989"/>
      <c r="HDT1055" s="989"/>
      <c r="HDU1055" s="989"/>
      <c r="HDV1055" s="989"/>
      <c r="HDW1055" s="989"/>
      <c r="HDX1055" s="989"/>
      <c r="HDY1055" s="989"/>
      <c r="HDZ1055" s="989"/>
      <c r="HEA1055" s="989"/>
      <c r="HEB1055" s="989"/>
      <c r="HEC1055" s="989"/>
      <c r="HED1055" s="989"/>
      <c r="HEE1055" s="989"/>
      <c r="HEF1055" s="989"/>
      <c r="HEG1055" s="989"/>
      <c r="HEH1055" s="989"/>
      <c r="HEI1055" s="989"/>
      <c r="HEJ1055" s="989"/>
      <c r="HEK1055" s="989"/>
      <c r="HEL1055" s="989"/>
      <c r="HEM1055" s="989"/>
      <c r="HEN1055" s="989"/>
      <c r="HEO1055" s="989"/>
      <c r="HEP1055" s="989"/>
      <c r="HEQ1055" s="989"/>
      <c r="HER1055" s="989"/>
      <c r="HES1055" s="989"/>
      <c r="HET1055" s="989"/>
      <c r="HEU1055" s="989"/>
      <c r="HEV1055" s="989"/>
      <c r="HEW1055" s="989"/>
      <c r="HEX1055" s="989"/>
      <c r="HEY1055" s="989"/>
      <c r="HEZ1055" s="989"/>
      <c r="HFA1055" s="989"/>
      <c r="HFB1055" s="989"/>
      <c r="HFC1055" s="989"/>
      <c r="HFD1055" s="989"/>
      <c r="HFE1055" s="989"/>
      <c r="HFF1055" s="989"/>
      <c r="HFG1055" s="989"/>
      <c r="HFH1055" s="989"/>
      <c r="HFI1055" s="989"/>
      <c r="HFJ1055" s="989"/>
      <c r="HFK1055" s="989"/>
      <c r="HFL1055" s="989"/>
      <c r="HFM1055" s="989"/>
      <c r="HFN1055" s="989"/>
      <c r="HFO1055" s="989"/>
      <c r="HFP1055" s="989"/>
      <c r="HFQ1055" s="989"/>
      <c r="HFR1055" s="989"/>
      <c r="HFS1055" s="989"/>
      <c r="HFT1055" s="989"/>
      <c r="HFU1055" s="989"/>
      <c r="HFV1055" s="989"/>
      <c r="HFW1055" s="989"/>
      <c r="HFX1055" s="989"/>
      <c r="HFY1055" s="989"/>
      <c r="HFZ1055" s="989"/>
      <c r="HGA1055" s="989"/>
      <c r="HGB1055" s="989"/>
      <c r="HGC1055" s="989"/>
      <c r="HGD1055" s="989"/>
      <c r="HGE1055" s="989"/>
      <c r="HGF1055" s="989"/>
      <c r="HGG1055" s="989"/>
      <c r="HGH1055" s="989"/>
      <c r="HGI1055" s="989"/>
      <c r="HGJ1055" s="989"/>
      <c r="HGK1055" s="989"/>
      <c r="HGL1055" s="989"/>
      <c r="HGM1055" s="989"/>
      <c r="HGN1055" s="989"/>
      <c r="HGO1055" s="989"/>
      <c r="HGP1055" s="989"/>
      <c r="HGQ1055" s="989"/>
      <c r="HGR1055" s="989"/>
      <c r="HGS1055" s="989"/>
      <c r="HGT1055" s="989"/>
      <c r="HGU1055" s="989"/>
      <c r="HGV1055" s="989"/>
      <c r="HGW1055" s="989"/>
      <c r="HGX1055" s="989"/>
      <c r="HGY1055" s="989"/>
      <c r="HGZ1055" s="989"/>
      <c r="HHA1055" s="989"/>
      <c r="HHB1055" s="989"/>
      <c r="HHC1055" s="989"/>
      <c r="HHD1055" s="989"/>
      <c r="HHE1055" s="989"/>
      <c r="HHF1055" s="989"/>
      <c r="HHG1055" s="989"/>
      <c r="HHH1055" s="989"/>
      <c r="HHI1055" s="989"/>
      <c r="HHJ1055" s="989"/>
      <c r="HHK1055" s="989"/>
      <c r="HHL1055" s="989"/>
      <c r="HHM1055" s="989"/>
      <c r="HHN1055" s="989"/>
      <c r="HHO1055" s="989"/>
      <c r="HHP1055" s="989"/>
      <c r="HHQ1055" s="989"/>
      <c r="HHR1055" s="989"/>
      <c r="HHS1055" s="989"/>
      <c r="HHT1055" s="989"/>
      <c r="HHU1055" s="989"/>
      <c r="HHV1055" s="989"/>
      <c r="HHW1055" s="989"/>
      <c r="HHX1055" s="989"/>
      <c r="HHY1055" s="989"/>
      <c r="HHZ1055" s="989"/>
      <c r="HIA1055" s="989"/>
      <c r="HIB1055" s="989"/>
      <c r="HIC1055" s="989"/>
      <c r="HID1055" s="989"/>
      <c r="HIE1055" s="989"/>
      <c r="HIF1055" s="989"/>
      <c r="HIG1055" s="989"/>
      <c r="HIH1055" s="989"/>
      <c r="HII1055" s="989"/>
      <c r="HIJ1055" s="989"/>
      <c r="HIK1055" s="989"/>
      <c r="HIL1055" s="989"/>
      <c r="HIM1055" s="989"/>
      <c r="HIN1055" s="989"/>
      <c r="HIO1055" s="989"/>
      <c r="HIP1055" s="989"/>
      <c r="HIQ1055" s="989"/>
      <c r="HIR1055" s="989"/>
      <c r="HIS1055" s="989"/>
      <c r="HIT1055" s="989"/>
      <c r="HIU1055" s="989"/>
      <c r="HIV1055" s="989"/>
      <c r="HIW1055" s="989"/>
      <c r="HIX1055" s="989"/>
      <c r="HIY1055" s="989"/>
      <c r="HIZ1055" s="989"/>
      <c r="HJA1055" s="989"/>
      <c r="HJB1055" s="989"/>
      <c r="HJC1055" s="989"/>
      <c r="HJD1055" s="989"/>
      <c r="HJE1055" s="989"/>
      <c r="HJF1055" s="989"/>
      <c r="HJG1055" s="989"/>
      <c r="HJH1055" s="989"/>
      <c r="HJI1055" s="989"/>
      <c r="HJJ1055" s="989"/>
      <c r="HJK1055" s="989"/>
      <c r="HJL1055" s="989"/>
      <c r="HJM1055" s="989"/>
      <c r="HJN1055" s="989"/>
      <c r="HJO1055" s="989"/>
      <c r="HJP1055" s="989"/>
      <c r="HJQ1055" s="989"/>
      <c r="HJR1055" s="989"/>
      <c r="HJS1055" s="989"/>
      <c r="HJT1055" s="989"/>
      <c r="HJU1055" s="989"/>
      <c r="HJV1055" s="989"/>
      <c r="HJW1055" s="989"/>
      <c r="HJX1055" s="989"/>
      <c r="HJY1055" s="989"/>
      <c r="HJZ1055" s="989"/>
      <c r="HKA1055" s="989"/>
      <c r="HKB1055" s="989"/>
      <c r="HKC1055" s="989"/>
      <c r="HKD1055" s="989"/>
      <c r="HKE1055" s="989"/>
      <c r="HKF1055" s="989"/>
      <c r="HKG1055" s="989"/>
      <c r="HKH1055" s="989"/>
      <c r="HKI1055" s="989"/>
      <c r="HKJ1055" s="989"/>
      <c r="HKK1055" s="989"/>
      <c r="HKL1055" s="989"/>
      <c r="HKM1055" s="989"/>
      <c r="HKN1055" s="989"/>
      <c r="HKO1055" s="989"/>
      <c r="HKP1055" s="989"/>
      <c r="HKQ1055" s="989"/>
      <c r="HKR1055" s="989"/>
      <c r="HKS1055" s="989"/>
      <c r="HKT1055" s="989"/>
      <c r="HKU1055" s="989"/>
      <c r="HKV1055" s="989"/>
      <c r="HKW1055" s="989"/>
      <c r="HKX1055" s="989"/>
      <c r="HKY1055" s="989"/>
      <c r="HKZ1055" s="989"/>
      <c r="HLA1055" s="989"/>
      <c r="HLB1055" s="989"/>
      <c r="HLC1055" s="989"/>
      <c r="HLD1055" s="989"/>
      <c r="HLE1055" s="989"/>
      <c r="HLF1055" s="989"/>
      <c r="HLG1055" s="989"/>
      <c r="HLH1055" s="989"/>
      <c r="HLI1055" s="989"/>
      <c r="HLJ1055" s="989"/>
      <c r="HLK1055" s="989"/>
      <c r="HLL1055" s="989"/>
      <c r="HLM1055" s="989"/>
      <c r="HLN1055" s="989"/>
      <c r="HLO1055" s="989"/>
      <c r="HLP1055" s="989"/>
      <c r="HLQ1055" s="989"/>
      <c r="HLR1055" s="989"/>
      <c r="HLS1055" s="989"/>
      <c r="HLT1055" s="989"/>
      <c r="HLU1055" s="989"/>
      <c r="HLV1055" s="989"/>
      <c r="HLW1055" s="989"/>
      <c r="HLX1055" s="989"/>
      <c r="HLY1055" s="989"/>
      <c r="HLZ1055" s="989"/>
      <c r="HMA1055" s="989"/>
      <c r="HMB1055" s="989"/>
      <c r="HMC1055" s="989"/>
      <c r="HMD1055" s="989"/>
      <c r="HME1055" s="989"/>
      <c r="HMF1055" s="989"/>
      <c r="HMG1055" s="989"/>
      <c r="HMH1055" s="989"/>
      <c r="HMI1055" s="989"/>
      <c r="HMJ1055" s="989"/>
      <c r="HMK1055" s="989"/>
      <c r="HML1055" s="989"/>
      <c r="HMM1055" s="989"/>
      <c r="HMN1055" s="989"/>
      <c r="HMO1055" s="989"/>
      <c r="HMP1055" s="989"/>
      <c r="HMQ1055" s="989"/>
      <c r="HMR1055" s="989"/>
      <c r="HMS1055" s="989"/>
      <c r="HMT1055" s="989"/>
      <c r="HMU1055" s="989"/>
      <c r="HMV1055" s="989"/>
      <c r="HMW1055" s="989"/>
      <c r="HMX1055" s="989"/>
      <c r="HMY1055" s="989"/>
      <c r="HMZ1055" s="989"/>
      <c r="HNA1055" s="989"/>
      <c r="HNB1055" s="989"/>
      <c r="HNC1055" s="989"/>
      <c r="HND1055" s="989"/>
      <c r="HNE1055" s="989"/>
      <c r="HNF1055" s="989"/>
      <c r="HNG1055" s="989"/>
      <c r="HNH1055" s="989"/>
      <c r="HNI1055" s="989"/>
      <c r="HNJ1055" s="989"/>
      <c r="HNK1055" s="989"/>
      <c r="HNL1055" s="989"/>
      <c r="HNM1055" s="989"/>
      <c r="HNN1055" s="989"/>
      <c r="HNO1055" s="989"/>
      <c r="HNP1055" s="989"/>
      <c r="HNQ1055" s="989"/>
      <c r="HNR1055" s="989"/>
      <c r="HNS1055" s="989"/>
      <c r="HNT1055" s="989"/>
      <c r="HNU1055" s="989"/>
      <c r="HNV1055" s="989"/>
      <c r="HNW1055" s="989"/>
      <c r="HNX1055" s="989"/>
      <c r="HNY1055" s="989"/>
      <c r="HNZ1055" s="989"/>
      <c r="HOA1055" s="989"/>
      <c r="HOB1055" s="989"/>
      <c r="HOC1055" s="989"/>
      <c r="HOD1055" s="989"/>
      <c r="HOE1055" s="989"/>
      <c r="HOF1055" s="989"/>
      <c r="HOG1055" s="989"/>
      <c r="HOH1055" s="989"/>
      <c r="HOI1055" s="989"/>
      <c r="HOJ1055" s="989"/>
      <c r="HOK1055" s="989"/>
      <c r="HOL1055" s="989"/>
      <c r="HOM1055" s="989"/>
      <c r="HON1055" s="989"/>
      <c r="HOO1055" s="989"/>
      <c r="HOP1055" s="989"/>
      <c r="HOQ1055" s="989"/>
      <c r="HOR1055" s="989"/>
      <c r="HOS1055" s="989"/>
      <c r="HOT1055" s="989"/>
      <c r="HOU1055" s="989"/>
      <c r="HOV1055" s="989"/>
      <c r="HOW1055" s="989"/>
      <c r="HOX1055" s="989"/>
      <c r="HOY1055" s="989"/>
      <c r="HOZ1055" s="989"/>
      <c r="HPA1055" s="989"/>
      <c r="HPB1055" s="989"/>
      <c r="HPC1055" s="989"/>
      <c r="HPD1055" s="989"/>
      <c r="HPE1055" s="989"/>
      <c r="HPF1055" s="989"/>
      <c r="HPG1055" s="989"/>
      <c r="HPH1055" s="989"/>
      <c r="HPI1055" s="989"/>
      <c r="HPJ1055" s="989"/>
      <c r="HPK1055" s="989"/>
      <c r="HPL1055" s="989"/>
      <c r="HPM1055" s="989"/>
      <c r="HPN1055" s="989"/>
      <c r="HPO1055" s="989"/>
      <c r="HPP1055" s="989"/>
      <c r="HPQ1055" s="989"/>
      <c r="HPR1055" s="989"/>
      <c r="HPS1055" s="989"/>
      <c r="HPT1055" s="989"/>
      <c r="HPU1055" s="989"/>
      <c r="HPV1055" s="989"/>
      <c r="HPW1055" s="989"/>
      <c r="HPX1055" s="989"/>
      <c r="HPY1055" s="989"/>
      <c r="HPZ1055" s="989"/>
      <c r="HQA1055" s="989"/>
      <c r="HQB1055" s="989"/>
      <c r="HQC1055" s="989"/>
      <c r="HQD1055" s="989"/>
      <c r="HQE1055" s="989"/>
      <c r="HQF1055" s="989"/>
      <c r="HQG1055" s="989"/>
      <c r="HQH1055" s="989"/>
      <c r="HQI1055" s="989"/>
      <c r="HQJ1055" s="989"/>
      <c r="HQK1055" s="989"/>
      <c r="HQL1055" s="989"/>
      <c r="HQM1055" s="989"/>
      <c r="HQN1055" s="989"/>
      <c r="HQO1055" s="989"/>
      <c r="HQP1055" s="989"/>
      <c r="HQQ1055" s="989"/>
      <c r="HQR1055" s="989"/>
      <c r="HQS1055" s="989"/>
      <c r="HQT1055" s="989"/>
      <c r="HQU1055" s="989"/>
      <c r="HQV1055" s="989"/>
      <c r="HQW1055" s="989"/>
      <c r="HQX1055" s="989"/>
      <c r="HQY1055" s="989"/>
      <c r="HQZ1055" s="989"/>
      <c r="HRA1055" s="989"/>
      <c r="HRB1055" s="989"/>
      <c r="HRC1055" s="989"/>
      <c r="HRD1055" s="989"/>
      <c r="HRE1055" s="989"/>
      <c r="HRF1055" s="989"/>
      <c r="HRG1055" s="989"/>
      <c r="HRH1055" s="989"/>
      <c r="HRI1055" s="989"/>
      <c r="HRJ1055" s="989"/>
      <c r="HRK1055" s="989"/>
      <c r="HRL1055" s="989"/>
      <c r="HRM1055" s="989"/>
      <c r="HRN1055" s="989"/>
      <c r="HRO1055" s="989"/>
      <c r="HRP1055" s="989"/>
      <c r="HRQ1055" s="989"/>
      <c r="HRR1055" s="989"/>
      <c r="HRS1055" s="989"/>
      <c r="HRT1055" s="989"/>
      <c r="HRU1055" s="989"/>
      <c r="HRV1055" s="989"/>
      <c r="HRW1055" s="989"/>
      <c r="HRX1055" s="989"/>
      <c r="HRY1055" s="989"/>
      <c r="HRZ1055" s="989"/>
      <c r="HSA1055" s="989"/>
      <c r="HSB1055" s="989"/>
      <c r="HSC1055" s="989"/>
      <c r="HSD1055" s="989"/>
      <c r="HSE1055" s="989"/>
      <c r="HSF1055" s="989"/>
      <c r="HSG1055" s="989"/>
      <c r="HSH1055" s="989"/>
      <c r="HSI1055" s="989"/>
      <c r="HSJ1055" s="989"/>
      <c r="HSK1055" s="989"/>
      <c r="HSL1055" s="989"/>
      <c r="HSM1055" s="989"/>
      <c r="HSN1055" s="989"/>
      <c r="HSO1055" s="989"/>
      <c r="HSP1055" s="989"/>
      <c r="HSQ1055" s="989"/>
      <c r="HSR1055" s="989"/>
      <c r="HSS1055" s="989"/>
      <c r="HST1055" s="989"/>
      <c r="HSU1055" s="989"/>
      <c r="HSV1055" s="989"/>
      <c r="HSW1055" s="989"/>
      <c r="HSX1055" s="989"/>
      <c r="HSY1055" s="989"/>
      <c r="HSZ1055" s="989"/>
      <c r="HTA1055" s="989"/>
      <c r="HTB1055" s="989"/>
      <c r="HTC1055" s="989"/>
      <c r="HTD1055" s="989"/>
      <c r="HTE1055" s="989"/>
      <c r="HTF1055" s="989"/>
      <c r="HTG1055" s="989"/>
      <c r="HTH1055" s="989"/>
      <c r="HTI1055" s="989"/>
      <c r="HTJ1055" s="989"/>
      <c r="HTK1055" s="989"/>
      <c r="HTL1055" s="989"/>
      <c r="HTM1055" s="989"/>
      <c r="HTN1055" s="989"/>
      <c r="HTO1055" s="989"/>
      <c r="HTP1055" s="989"/>
      <c r="HTQ1055" s="989"/>
      <c r="HTR1055" s="989"/>
      <c r="HTS1055" s="989"/>
      <c r="HTT1055" s="989"/>
      <c r="HTU1055" s="989"/>
      <c r="HTV1055" s="989"/>
      <c r="HTW1055" s="989"/>
      <c r="HTX1055" s="989"/>
      <c r="HTY1055" s="989"/>
      <c r="HTZ1055" s="989"/>
      <c r="HUA1055" s="989"/>
      <c r="HUB1055" s="989"/>
      <c r="HUC1055" s="989"/>
      <c r="HUD1055" s="989"/>
      <c r="HUE1055" s="989"/>
      <c r="HUF1055" s="989"/>
      <c r="HUG1055" s="989"/>
      <c r="HUH1055" s="989"/>
      <c r="HUI1055" s="989"/>
      <c r="HUJ1055" s="989"/>
      <c r="HUK1055" s="989"/>
      <c r="HUL1055" s="989"/>
      <c r="HUM1055" s="989"/>
      <c r="HUN1055" s="989"/>
      <c r="HUO1055" s="989"/>
      <c r="HUP1055" s="989"/>
      <c r="HUQ1055" s="989"/>
      <c r="HUR1055" s="989"/>
      <c r="HUS1055" s="989"/>
      <c r="HUT1055" s="989"/>
      <c r="HUU1055" s="989"/>
      <c r="HUV1055" s="989"/>
      <c r="HUW1055" s="989"/>
      <c r="HUX1055" s="989"/>
      <c r="HUY1055" s="989"/>
      <c r="HUZ1055" s="989"/>
      <c r="HVA1055" s="989"/>
      <c r="HVB1055" s="989"/>
      <c r="HVC1055" s="989"/>
      <c r="HVD1055" s="989"/>
      <c r="HVE1055" s="989"/>
      <c r="HVF1055" s="989"/>
      <c r="HVG1055" s="989"/>
      <c r="HVH1055" s="989"/>
      <c r="HVI1055" s="989"/>
      <c r="HVJ1055" s="989"/>
      <c r="HVK1055" s="989"/>
      <c r="HVL1055" s="989"/>
      <c r="HVM1055" s="989"/>
      <c r="HVN1055" s="989"/>
      <c r="HVO1055" s="989"/>
      <c r="HVP1055" s="989"/>
      <c r="HVQ1055" s="989"/>
      <c r="HVR1055" s="989"/>
      <c r="HVS1055" s="989"/>
      <c r="HVT1055" s="989"/>
      <c r="HVU1055" s="989"/>
      <c r="HVV1055" s="989"/>
      <c r="HVW1055" s="989"/>
      <c r="HVX1055" s="989"/>
      <c r="HVY1055" s="989"/>
      <c r="HVZ1055" s="989"/>
      <c r="HWA1055" s="989"/>
      <c r="HWB1055" s="989"/>
      <c r="HWC1055" s="989"/>
      <c r="HWD1055" s="989"/>
      <c r="HWE1055" s="989"/>
      <c r="HWF1055" s="989"/>
      <c r="HWG1055" s="989"/>
      <c r="HWH1055" s="989"/>
      <c r="HWI1055" s="989"/>
      <c r="HWJ1055" s="989"/>
      <c r="HWK1055" s="989"/>
      <c r="HWL1055" s="989"/>
      <c r="HWM1055" s="989"/>
      <c r="HWN1055" s="989"/>
      <c r="HWO1055" s="989"/>
      <c r="HWP1055" s="989"/>
      <c r="HWQ1055" s="989"/>
      <c r="HWR1055" s="989"/>
      <c r="HWS1055" s="989"/>
      <c r="HWT1055" s="989"/>
      <c r="HWU1055" s="989"/>
      <c r="HWV1055" s="989"/>
      <c r="HWW1055" s="989"/>
      <c r="HWX1055" s="989"/>
      <c r="HWY1055" s="989"/>
      <c r="HWZ1055" s="989"/>
      <c r="HXA1055" s="989"/>
      <c r="HXB1055" s="989"/>
      <c r="HXC1055" s="989"/>
      <c r="HXD1055" s="989"/>
      <c r="HXE1055" s="989"/>
      <c r="HXF1055" s="989"/>
      <c r="HXG1055" s="989"/>
      <c r="HXH1055" s="989"/>
      <c r="HXI1055" s="989"/>
      <c r="HXJ1055" s="989"/>
      <c r="HXK1055" s="989"/>
      <c r="HXL1055" s="989"/>
      <c r="HXM1055" s="989"/>
      <c r="HXN1055" s="989"/>
      <c r="HXO1055" s="989"/>
      <c r="HXP1055" s="989"/>
      <c r="HXQ1055" s="989"/>
      <c r="HXR1055" s="989"/>
      <c r="HXS1055" s="989"/>
      <c r="HXT1055" s="989"/>
      <c r="HXU1055" s="989"/>
      <c r="HXV1055" s="989"/>
      <c r="HXW1055" s="989"/>
      <c r="HXX1055" s="989"/>
      <c r="HXY1055" s="989"/>
      <c r="HXZ1055" s="989"/>
      <c r="HYA1055" s="989"/>
      <c r="HYB1055" s="989"/>
      <c r="HYC1055" s="989"/>
      <c r="HYD1055" s="989"/>
      <c r="HYE1055" s="989"/>
      <c r="HYF1055" s="989"/>
      <c r="HYG1055" s="989"/>
      <c r="HYH1055" s="989"/>
      <c r="HYI1055" s="989"/>
      <c r="HYJ1055" s="989"/>
      <c r="HYK1055" s="989"/>
      <c r="HYL1055" s="989"/>
      <c r="HYM1055" s="989"/>
      <c r="HYN1055" s="989"/>
      <c r="HYO1055" s="989"/>
      <c r="HYP1055" s="989"/>
      <c r="HYQ1055" s="989"/>
      <c r="HYR1055" s="989"/>
      <c r="HYS1055" s="989"/>
      <c r="HYT1055" s="989"/>
      <c r="HYU1055" s="989"/>
      <c r="HYV1055" s="989"/>
      <c r="HYW1055" s="989"/>
      <c r="HYX1055" s="989"/>
      <c r="HYY1055" s="989"/>
      <c r="HYZ1055" s="989"/>
      <c r="HZA1055" s="989"/>
      <c r="HZB1055" s="989"/>
      <c r="HZC1055" s="989"/>
      <c r="HZD1055" s="989"/>
      <c r="HZE1055" s="989"/>
      <c r="HZF1055" s="989"/>
      <c r="HZG1055" s="989"/>
      <c r="HZH1055" s="989"/>
      <c r="HZI1055" s="989"/>
      <c r="HZJ1055" s="989"/>
      <c r="HZK1055" s="989"/>
      <c r="HZL1055" s="989"/>
      <c r="HZM1055" s="989"/>
      <c r="HZN1055" s="989"/>
      <c r="HZO1055" s="989"/>
      <c r="HZP1055" s="989"/>
      <c r="HZQ1055" s="989"/>
      <c r="HZR1055" s="989"/>
      <c r="HZS1055" s="989"/>
      <c r="HZT1055" s="989"/>
      <c r="HZU1055" s="989"/>
      <c r="HZV1055" s="989"/>
      <c r="HZW1055" s="989"/>
      <c r="HZX1055" s="989"/>
      <c r="HZY1055" s="989"/>
      <c r="HZZ1055" s="989"/>
      <c r="IAA1055" s="989"/>
      <c r="IAB1055" s="989"/>
      <c r="IAC1055" s="989"/>
      <c r="IAD1055" s="989"/>
      <c r="IAE1055" s="989"/>
      <c r="IAF1055" s="989"/>
      <c r="IAG1055" s="989"/>
      <c r="IAH1055" s="989"/>
      <c r="IAI1055" s="989"/>
      <c r="IAJ1055" s="989"/>
      <c r="IAK1055" s="989"/>
      <c r="IAL1055" s="989"/>
      <c r="IAM1055" s="989"/>
      <c r="IAN1055" s="989"/>
      <c r="IAO1055" s="989"/>
      <c r="IAP1055" s="989"/>
      <c r="IAQ1055" s="989"/>
      <c r="IAR1055" s="989"/>
      <c r="IAS1055" s="989"/>
      <c r="IAT1055" s="989"/>
      <c r="IAU1055" s="989"/>
      <c r="IAV1055" s="989"/>
      <c r="IAW1055" s="989"/>
      <c r="IAX1055" s="989"/>
      <c r="IAY1055" s="989"/>
      <c r="IAZ1055" s="989"/>
      <c r="IBA1055" s="989"/>
      <c r="IBB1055" s="989"/>
      <c r="IBC1055" s="989"/>
      <c r="IBD1055" s="989"/>
      <c r="IBE1055" s="989"/>
      <c r="IBF1055" s="989"/>
      <c r="IBG1055" s="989"/>
      <c r="IBH1055" s="989"/>
      <c r="IBI1055" s="989"/>
      <c r="IBJ1055" s="989"/>
      <c r="IBK1055" s="989"/>
      <c r="IBL1055" s="989"/>
      <c r="IBM1055" s="989"/>
      <c r="IBN1055" s="989"/>
      <c r="IBO1055" s="989"/>
      <c r="IBP1055" s="989"/>
      <c r="IBQ1055" s="989"/>
      <c r="IBR1055" s="989"/>
      <c r="IBS1055" s="989"/>
      <c r="IBT1055" s="989"/>
      <c r="IBU1055" s="989"/>
      <c r="IBV1055" s="989"/>
      <c r="IBW1055" s="989"/>
      <c r="IBX1055" s="989"/>
      <c r="IBY1055" s="989"/>
      <c r="IBZ1055" s="989"/>
      <c r="ICA1055" s="989"/>
      <c r="ICB1055" s="989"/>
      <c r="ICC1055" s="989"/>
      <c r="ICD1055" s="989"/>
      <c r="ICE1055" s="989"/>
      <c r="ICF1055" s="989"/>
      <c r="ICG1055" s="989"/>
      <c r="ICH1055" s="989"/>
      <c r="ICI1055" s="989"/>
      <c r="ICJ1055" s="989"/>
      <c r="ICK1055" s="989"/>
      <c r="ICL1055" s="989"/>
      <c r="ICM1055" s="989"/>
      <c r="ICN1055" s="989"/>
      <c r="ICO1055" s="989"/>
      <c r="ICP1055" s="989"/>
      <c r="ICQ1055" s="989"/>
      <c r="ICR1055" s="989"/>
      <c r="ICS1055" s="989"/>
      <c r="ICT1055" s="989"/>
      <c r="ICU1055" s="989"/>
      <c r="ICV1055" s="989"/>
      <c r="ICW1055" s="989"/>
      <c r="ICX1055" s="989"/>
      <c r="ICY1055" s="989"/>
      <c r="ICZ1055" s="989"/>
      <c r="IDA1055" s="989"/>
      <c r="IDB1055" s="989"/>
      <c r="IDC1055" s="989"/>
      <c r="IDD1055" s="989"/>
      <c r="IDE1055" s="989"/>
      <c r="IDF1055" s="989"/>
      <c r="IDG1055" s="989"/>
      <c r="IDH1055" s="989"/>
      <c r="IDI1055" s="989"/>
      <c r="IDJ1055" s="989"/>
      <c r="IDK1055" s="989"/>
      <c r="IDL1055" s="989"/>
      <c r="IDM1055" s="989"/>
      <c r="IDN1055" s="989"/>
      <c r="IDO1055" s="989"/>
      <c r="IDP1055" s="989"/>
      <c r="IDQ1055" s="989"/>
      <c r="IDR1055" s="989"/>
      <c r="IDS1055" s="989"/>
      <c r="IDT1055" s="989"/>
      <c r="IDU1055" s="989"/>
      <c r="IDV1055" s="989"/>
      <c r="IDW1055" s="989"/>
      <c r="IDX1055" s="989"/>
      <c r="IDY1055" s="989"/>
      <c r="IDZ1055" s="989"/>
      <c r="IEA1055" s="989"/>
      <c r="IEB1055" s="989"/>
      <c r="IEC1055" s="989"/>
      <c r="IED1055" s="989"/>
      <c r="IEE1055" s="989"/>
      <c r="IEF1055" s="989"/>
      <c r="IEG1055" s="989"/>
      <c r="IEH1055" s="989"/>
      <c r="IEI1055" s="989"/>
      <c r="IEJ1055" s="989"/>
      <c r="IEK1055" s="989"/>
      <c r="IEL1055" s="989"/>
      <c r="IEM1055" s="989"/>
      <c r="IEN1055" s="989"/>
      <c r="IEO1055" s="989"/>
      <c r="IEP1055" s="989"/>
      <c r="IEQ1055" s="989"/>
      <c r="IER1055" s="989"/>
      <c r="IES1055" s="989"/>
      <c r="IET1055" s="989"/>
      <c r="IEU1055" s="989"/>
      <c r="IEV1055" s="989"/>
      <c r="IEW1055" s="989"/>
      <c r="IEX1055" s="989"/>
      <c r="IEY1055" s="989"/>
      <c r="IEZ1055" s="989"/>
      <c r="IFA1055" s="989"/>
      <c r="IFB1055" s="989"/>
      <c r="IFC1055" s="989"/>
      <c r="IFD1055" s="989"/>
      <c r="IFE1055" s="989"/>
      <c r="IFF1055" s="989"/>
      <c r="IFG1055" s="989"/>
      <c r="IFH1055" s="989"/>
      <c r="IFI1055" s="989"/>
      <c r="IFJ1055" s="989"/>
      <c r="IFK1055" s="989"/>
      <c r="IFL1055" s="989"/>
      <c r="IFM1055" s="989"/>
      <c r="IFN1055" s="989"/>
      <c r="IFO1055" s="989"/>
      <c r="IFP1055" s="989"/>
      <c r="IFQ1055" s="989"/>
      <c r="IFR1055" s="989"/>
      <c r="IFS1055" s="989"/>
      <c r="IFT1055" s="989"/>
      <c r="IFU1055" s="989"/>
      <c r="IFV1055" s="989"/>
      <c r="IFW1055" s="989"/>
      <c r="IFX1055" s="989"/>
      <c r="IFY1055" s="989"/>
      <c r="IFZ1055" s="989"/>
      <c r="IGA1055" s="989"/>
      <c r="IGB1055" s="989"/>
      <c r="IGC1055" s="989"/>
      <c r="IGD1055" s="989"/>
      <c r="IGE1055" s="989"/>
      <c r="IGF1055" s="989"/>
      <c r="IGG1055" s="989"/>
      <c r="IGH1055" s="989"/>
      <c r="IGI1055" s="989"/>
      <c r="IGJ1055" s="989"/>
      <c r="IGK1055" s="989"/>
      <c r="IGL1055" s="989"/>
      <c r="IGM1055" s="989"/>
      <c r="IGN1055" s="989"/>
      <c r="IGO1055" s="989"/>
      <c r="IGP1055" s="989"/>
      <c r="IGQ1055" s="989"/>
      <c r="IGR1055" s="989"/>
      <c r="IGS1055" s="989"/>
      <c r="IGT1055" s="989"/>
      <c r="IGU1055" s="989"/>
      <c r="IGV1055" s="989"/>
      <c r="IGW1055" s="989"/>
      <c r="IGX1055" s="989"/>
      <c r="IGY1055" s="989"/>
      <c r="IGZ1055" s="989"/>
      <c r="IHA1055" s="989"/>
      <c r="IHB1055" s="989"/>
      <c r="IHC1055" s="989"/>
      <c r="IHD1055" s="989"/>
      <c r="IHE1055" s="989"/>
      <c r="IHF1055" s="989"/>
      <c r="IHG1055" s="989"/>
      <c r="IHH1055" s="989"/>
      <c r="IHI1055" s="989"/>
      <c r="IHJ1055" s="989"/>
      <c r="IHK1055" s="989"/>
      <c r="IHL1055" s="989"/>
      <c r="IHM1055" s="989"/>
      <c r="IHN1055" s="989"/>
      <c r="IHO1055" s="989"/>
      <c r="IHP1055" s="989"/>
      <c r="IHQ1055" s="989"/>
      <c r="IHR1055" s="989"/>
      <c r="IHS1055" s="989"/>
      <c r="IHT1055" s="989"/>
      <c r="IHU1055" s="989"/>
      <c r="IHV1055" s="989"/>
      <c r="IHW1055" s="989"/>
      <c r="IHX1055" s="989"/>
      <c r="IHY1055" s="989"/>
      <c r="IHZ1055" s="989"/>
      <c r="IIA1055" s="989"/>
      <c r="IIB1055" s="989"/>
      <c r="IIC1055" s="989"/>
      <c r="IID1055" s="989"/>
      <c r="IIE1055" s="989"/>
      <c r="IIF1055" s="989"/>
      <c r="IIG1055" s="989"/>
      <c r="IIH1055" s="989"/>
      <c r="III1055" s="989"/>
      <c r="IIJ1055" s="989"/>
      <c r="IIK1055" s="989"/>
      <c r="IIL1055" s="989"/>
      <c r="IIM1055" s="989"/>
      <c r="IIN1055" s="989"/>
      <c r="IIO1055" s="989"/>
      <c r="IIP1055" s="989"/>
      <c r="IIQ1055" s="989"/>
      <c r="IIR1055" s="989"/>
      <c r="IIS1055" s="989"/>
      <c r="IIT1055" s="989"/>
      <c r="IIU1055" s="989"/>
      <c r="IIV1055" s="989"/>
      <c r="IIW1055" s="989"/>
      <c r="IIX1055" s="989"/>
      <c r="IIY1055" s="989"/>
      <c r="IIZ1055" s="989"/>
      <c r="IJA1055" s="989"/>
      <c r="IJB1055" s="989"/>
      <c r="IJC1055" s="989"/>
      <c r="IJD1055" s="989"/>
      <c r="IJE1055" s="989"/>
      <c r="IJF1055" s="989"/>
      <c r="IJG1055" s="989"/>
      <c r="IJH1055" s="989"/>
      <c r="IJI1055" s="989"/>
      <c r="IJJ1055" s="989"/>
      <c r="IJK1055" s="989"/>
      <c r="IJL1055" s="989"/>
      <c r="IJM1055" s="989"/>
      <c r="IJN1055" s="989"/>
      <c r="IJO1055" s="989"/>
      <c r="IJP1055" s="989"/>
      <c r="IJQ1055" s="989"/>
      <c r="IJR1055" s="989"/>
      <c r="IJS1055" s="989"/>
      <c r="IJT1055" s="989"/>
      <c r="IJU1055" s="989"/>
      <c r="IJV1055" s="989"/>
      <c r="IJW1055" s="989"/>
      <c r="IJX1055" s="989"/>
      <c r="IJY1055" s="989"/>
      <c r="IJZ1055" s="989"/>
      <c r="IKA1055" s="989"/>
      <c r="IKB1055" s="989"/>
      <c r="IKC1055" s="989"/>
      <c r="IKD1055" s="989"/>
      <c r="IKE1055" s="989"/>
      <c r="IKF1055" s="989"/>
      <c r="IKG1055" s="989"/>
      <c r="IKH1055" s="989"/>
      <c r="IKI1055" s="989"/>
      <c r="IKJ1055" s="989"/>
      <c r="IKK1055" s="989"/>
      <c r="IKL1055" s="989"/>
      <c r="IKM1055" s="989"/>
      <c r="IKN1055" s="989"/>
      <c r="IKO1055" s="989"/>
      <c r="IKP1055" s="989"/>
      <c r="IKQ1055" s="989"/>
      <c r="IKR1055" s="989"/>
      <c r="IKS1055" s="989"/>
      <c r="IKT1055" s="989"/>
      <c r="IKU1055" s="989"/>
      <c r="IKV1055" s="989"/>
      <c r="IKW1055" s="989"/>
      <c r="IKX1055" s="989"/>
      <c r="IKY1055" s="989"/>
      <c r="IKZ1055" s="989"/>
      <c r="ILA1055" s="989"/>
      <c r="ILB1055" s="989"/>
      <c r="ILC1055" s="989"/>
      <c r="ILD1055" s="989"/>
      <c r="ILE1055" s="989"/>
      <c r="ILF1055" s="989"/>
      <c r="ILG1055" s="989"/>
      <c r="ILH1055" s="989"/>
      <c r="ILI1055" s="989"/>
      <c r="ILJ1055" s="989"/>
      <c r="ILK1055" s="989"/>
      <c r="ILL1055" s="989"/>
      <c r="ILM1055" s="989"/>
      <c r="ILN1055" s="989"/>
      <c r="ILO1055" s="989"/>
      <c r="ILP1055" s="989"/>
      <c r="ILQ1055" s="989"/>
      <c r="ILR1055" s="989"/>
      <c r="ILS1055" s="989"/>
      <c r="ILT1055" s="989"/>
      <c r="ILU1055" s="989"/>
      <c r="ILV1055" s="989"/>
      <c r="ILW1055" s="989"/>
      <c r="ILX1055" s="989"/>
      <c r="ILY1055" s="989"/>
      <c r="ILZ1055" s="989"/>
      <c r="IMA1055" s="989"/>
      <c r="IMB1055" s="989"/>
      <c r="IMC1055" s="989"/>
      <c r="IMD1055" s="989"/>
      <c r="IME1055" s="989"/>
      <c r="IMF1055" s="989"/>
      <c r="IMG1055" s="989"/>
      <c r="IMH1055" s="989"/>
      <c r="IMI1055" s="989"/>
      <c r="IMJ1055" s="989"/>
      <c r="IMK1055" s="989"/>
      <c r="IML1055" s="989"/>
      <c r="IMM1055" s="989"/>
      <c r="IMN1055" s="989"/>
      <c r="IMO1055" s="989"/>
      <c r="IMP1055" s="989"/>
      <c r="IMQ1055" s="989"/>
      <c r="IMR1055" s="989"/>
      <c r="IMS1055" s="989"/>
      <c r="IMT1055" s="989"/>
      <c r="IMU1055" s="989"/>
      <c r="IMV1055" s="989"/>
      <c r="IMW1055" s="989"/>
      <c r="IMX1055" s="989"/>
      <c r="IMY1055" s="989"/>
      <c r="IMZ1055" s="989"/>
      <c r="INA1055" s="989"/>
      <c r="INB1055" s="989"/>
      <c r="INC1055" s="989"/>
      <c r="IND1055" s="989"/>
      <c r="INE1055" s="989"/>
      <c r="INF1055" s="989"/>
      <c r="ING1055" s="989"/>
      <c r="INH1055" s="989"/>
      <c r="INI1055" s="989"/>
      <c r="INJ1055" s="989"/>
      <c r="INK1055" s="989"/>
      <c r="INL1055" s="989"/>
      <c r="INM1055" s="989"/>
      <c r="INN1055" s="989"/>
      <c r="INO1055" s="989"/>
      <c r="INP1055" s="989"/>
      <c r="INQ1055" s="989"/>
      <c r="INR1055" s="989"/>
      <c r="INS1055" s="989"/>
      <c r="INT1055" s="989"/>
      <c r="INU1055" s="989"/>
      <c r="INV1055" s="989"/>
      <c r="INW1055" s="989"/>
      <c r="INX1055" s="989"/>
      <c r="INY1055" s="989"/>
      <c r="INZ1055" s="989"/>
      <c r="IOA1055" s="989"/>
      <c r="IOB1055" s="989"/>
      <c r="IOC1055" s="989"/>
      <c r="IOD1055" s="989"/>
      <c r="IOE1055" s="989"/>
      <c r="IOF1055" s="989"/>
      <c r="IOG1055" s="989"/>
      <c r="IOH1055" s="989"/>
      <c r="IOI1055" s="989"/>
      <c r="IOJ1055" s="989"/>
      <c r="IOK1055" s="989"/>
      <c r="IOL1055" s="989"/>
      <c r="IOM1055" s="989"/>
      <c r="ION1055" s="989"/>
      <c r="IOO1055" s="989"/>
      <c r="IOP1055" s="989"/>
      <c r="IOQ1055" s="989"/>
      <c r="IOR1055" s="989"/>
      <c r="IOS1055" s="989"/>
      <c r="IOT1055" s="989"/>
      <c r="IOU1055" s="989"/>
      <c r="IOV1055" s="989"/>
      <c r="IOW1055" s="989"/>
      <c r="IOX1055" s="989"/>
      <c r="IOY1055" s="989"/>
      <c r="IOZ1055" s="989"/>
      <c r="IPA1055" s="989"/>
      <c r="IPB1055" s="989"/>
      <c r="IPC1055" s="989"/>
      <c r="IPD1055" s="989"/>
      <c r="IPE1055" s="989"/>
      <c r="IPF1055" s="989"/>
      <c r="IPG1055" s="989"/>
      <c r="IPH1055" s="989"/>
      <c r="IPI1055" s="989"/>
      <c r="IPJ1055" s="989"/>
      <c r="IPK1055" s="989"/>
      <c r="IPL1055" s="989"/>
      <c r="IPM1055" s="989"/>
      <c r="IPN1055" s="989"/>
      <c r="IPO1055" s="989"/>
      <c r="IPP1055" s="989"/>
      <c r="IPQ1055" s="989"/>
      <c r="IPR1055" s="989"/>
      <c r="IPS1055" s="989"/>
      <c r="IPT1055" s="989"/>
      <c r="IPU1055" s="989"/>
      <c r="IPV1055" s="989"/>
      <c r="IPW1055" s="989"/>
      <c r="IPX1055" s="989"/>
      <c r="IPY1055" s="989"/>
      <c r="IPZ1055" s="989"/>
      <c r="IQA1055" s="989"/>
      <c r="IQB1055" s="989"/>
      <c r="IQC1055" s="989"/>
      <c r="IQD1055" s="989"/>
      <c r="IQE1055" s="989"/>
      <c r="IQF1055" s="989"/>
      <c r="IQG1055" s="989"/>
      <c r="IQH1055" s="989"/>
      <c r="IQI1055" s="989"/>
      <c r="IQJ1055" s="989"/>
      <c r="IQK1055" s="989"/>
      <c r="IQL1055" s="989"/>
      <c r="IQM1055" s="989"/>
      <c r="IQN1055" s="989"/>
      <c r="IQO1055" s="989"/>
      <c r="IQP1055" s="989"/>
      <c r="IQQ1055" s="989"/>
      <c r="IQR1055" s="989"/>
      <c r="IQS1055" s="989"/>
      <c r="IQT1055" s="989"/>
      <c r="IQU1055" s="989"/>
      <c r="IQV1055" s="989"/>
      <c r="IQW1055" s="989"/>
      <c r="IQX1055" s="989"/>
      <c r="IQY1055" s="989"/>
      <c r="IQZ1055" s="989"/>
      <c r="IRA1055" s="989"/>
      <c r="IRB1055" s="989"/>
      <c r="IRC1055" s="989"/>
      <c r="IRD1055" s="989"/>
      <c r="IRE1055" s="989"/>
      <c r="IRF1055" s="989"/>
      <c r="IRG1055" s="989"/>
      <c r="IRH1055" s="989"/>
      <c r="IRI1055" s="989"/>
      <c r="IRJ1055" s="989"/>
      <c r="IRK1055" s="989"/>
      <c r="IRL1055" s="989"/>
      <c r="IRM1055" s="989"/>
      <c r="IRN1055" s="989"/>
      <c r="IRO1055" s="989"/>
      <c r="IRP1055" s="989"/>
      <c r="IRQ1055" s="989"/>
      <c r="IRR1055" s="989"/>
      <c r="IRS1055" s="989"/>
      <c r="IRT1055" s="989"/>
      <c r="IRU1055" s="989"/>
      <c r="IRV1055" s="989"/>
      <c r="IRW1055" s="989"/>
      <c r="IRX1055" s="989"/>
      <c r="IRY1055" s="989"/>
      <c r="IRZ1055" s="989"/>
      <c r="ISA1055" s="989"/>
      <c r="ISB1055" s="989"/>
      <c r="ISC1055" s="989"/>
      <c r="ISD1055" s="989"/>
      <c r="ISE1055" s="989"/>
      <c r="ISF1055" s="989"/>
      <c r="ISG1055" s="989"/>
      <c r="ISH1055" s="989"/>
      <c r="ISI1055" s="989"/>
      <c r="ISJ1055" s="989"/>
      <c r="ISK1055" s="989"/>
      <c r="ISL1055" s="989"/>
      <c r="ISM1055" s="989"/>
      <c r="ISN1055" s="989"/>
      <c r="ISO1055" s="989"/>
      <c r="ISP1055" s="989"/>
      <c r="ISQ1055" s="989"/>
      <c r="ISR1055" s="989"/>
      <c r="ISS1055" s="989"/>
      <c r="IST1055" s="989"/>
      <c r="ISU1055" s="989"/>
      <c r="ISV1055" s="989"/>
      <c r="ISW1055" s="989"/>
      <c r="ISX1055" s="989"/>
      <c r="ISY1055" s="989"/>
      <c r="ISZ1055" s="989"/>
      <c r="ITA1055" s="989"/>
      <c r="ITB1055" s="989"/>
      <c r="ITC1055" s="989"/>
      <c r="ITD1055" s="989"/>
      <c r="ITE1055" s="989"/>
      <c r="ITF1055" s="989"/>
      <c r="ITG1055" s="989"/>
      <c r="ITH1055" s="989"/>
      <c r="ITI1055" s="989"/>
      <c r="ITJ1055" s="989"/>
      <c r="ITK1055" s="989"/>
      <c r="ITL1055" s="989"/>
      <c r="ITM1055" s="989"/>
      <c r="ITN1055" s="989"/>
      <c r="ITO1055" s="989"/>
      <c r="ITP1055" s="989"/>
      <c r="ITQ1055" s="989"/>
      <c r="ITR1055" s="989"/>
      <c r="ITS1055" s="989"/>
      <c r="ITT1055" s="989"/>
      <c r="ITU1055" s="989"/>
      <c r="ITV1055" s="989"/>
      <c r="ITW1055" s="989"/>
      <c r="ITX1055" s="989"/>
      <c r="ITY1055" s="989"/>
      <c r="ITZ1055" s="989"/>
      <c r="IUA1055" s="989"/>
      <c r="IUB1055" s="989"/>
      <c r="IUC1055" s="989"/>
      <c r="IUD1055" s="989"/>
      <c r="IUE1055" s="989"/>
      <c r="IUF1055" s="989"/>
      <c r="IUG1055" s="989"/>
      <c r="IUH1055" s="989"/>
      <c r="IUI1055" s="989"/>
      <c r="IUJ1055" s="989"/>
      <c r="IUK1055" s="989"/>
      <c r="IUL1055" s="989"/>
      <c r="IUM1055" s="989"/>
      <c r="IUN1055" s="989"/>
      <c r="IUO1055" s="989"/>
      <c r="IUP1055" s="989"/>
      <c r="IUQ1055" s="989"/>
      <c r="IUR1055" s="989"/>
      <c r="IUS1055" s="989"/>
      <c r="IUT1055" s="989"/>
      <c r="IUU1055" s="989"/>
      <c r="IUV1055" s="989"/>
      <c r="IUW1055" s="989"/>
      <c r="IUX1055" s="989"/>
      <c r="IUY1055" s="989"/>
      <c r="IUZ1055" s="989"/>
      <c r="IVA1055" s="989"/>
      <c r="IVB1055" s="989"/>
      <c r="IVC1055" s="989"/>
      <c r="IVD1055" s="989"/>
      <c r="IVE1055" s="989"/>
      <c r="IVF1055" s="989"/>
      <c r="IVG1055" s="989"/>
      <c r="IVH1055" s="989"/>
      <c r="IVI1055" s="989"/>
      <c r="IVJ1055" s="989"/>
      <c r="IVK1055" s="989"/>
      <c r="IVL1055" s="989"/>
      <c r="IVM1055" s="989"/>
      <c r="IVN1055" s="989"/>
      <c r="IVO1055" s="989"/>
      <c r="IVP1055" s="989"/>
      <c r="IVQ1055" s="989"/>
      <c r="IVR1055" s="989"/>
      <c r="IVS1055" s="989"/>
      <c r="IVT1055" s="989"/>
      <c r="IVU1055" s="989"/>
      <c r="IVV1055" s="989"/>
      <c r="IVW1055" s="989"/>
      <c r="IVX1055" s="989"/>
      <c r="IVY1055" s="989"/>
      <c r="IVZ1055" s="989"/>
      <c r="IWA1055" s="989"/>
      <c r="IWB1055" s="989"/>
      <c r="IWC1055" s="989"/>
      <c r="IWD1055" s="989"/>
      <c r="IWE1055" s="989"/>
      <c r="IWF1055" s="989"/>
      <c r="IWG1055" s="989"/>
      <c r="IWH1055" s="989"/>
      <c r="IWI1055" s="989"/>
      <c r="IWJ1055" s="989"/>
      <c r="IWK1055" s="989"/>
      <c r="IWL1055" s="989"/>
      <c r="IWM1055" s="989"/>
      <c r="IWN1055" s="989"/>
      <c r="IWO1055" s="989"/>
      <c r="IWP1055" s="989"/>
      <c r="IWQ1055" s="989"/>
      <c r="IWR1055" s="989"/>
      <c r="IWS1055" s="989"/>
      <c r="IWT1055" s="989"/>
      <c r="IWU1055" s="989"/>
      <c r="IWV1055" s="989"/>
      <c r="IWW1055" s="989"/>
      <c r="IWX1055" s="989"/>
      <c r="IWY1055" s="989"/>
      <c r="IWZ1055" s="989"/>
      <c r="IXA1055" s="989"/>
      <c r="IXB1055" s="989"/>
      <c r="IXC1055" s="989"/>
      <c r="IXD1055" s="989"/>
      <c r="IXE1055" s="989"/>
      <c r="IXF1055" s="989"/>
      <c r="IXG1055" s="989"/>
      <c r="IXH1055" s="989"/>
      <c r="IXI1055" s="989"/>
      <c r="IXJ1055" s="989"/>
      <c r="IXK1055" s="989"/>
      <c r="IXL1055" s="989"/>
      <c r="IXM1055" s="989"/>
      <c r="IXN1055" s="989"/>
      <c r="IXO1055" s="989"/>
      <c r="IXP1055" s="989"/>
      <c r="IXQ1055" s="989"/>
      <c r="IXR1055" s="989"/>
      <c r="IXS1055" s="989"/>
      <c r="IXT1055" s="989"/>
      <c r="IXU1055" s="989"/>
      <c r="IXV1055" s="989"/>
      <c r="IXW1055" s="989"/>
      <c r="IXX1055" s="989"/>
      <c r="IXY1055" s="989"/>
      <c r="IXZ1055" s="989"/>
      <c r="IYA1055" s="989"/>
      <c r="IYB1055" s="989"/>
      <c r="IYC1055" s="989"/>
      <c r="IYD1055" s="989"/>
      <c r="IYE1055" s="989"/>
      <c r="IYF1055" s="989"/>
      <c r="IYG1055" s="989"/>
      <c r="IYH1055" s="989"/>
      <c r="IYI1055" s="989"/>
      <c r="IYJ1055" s="989"/>
      <c r="IYK1055" s="989"/>
      <c r="IYL1055" s="989"/>
      <c r="IYM1055" s="989"/>
      <c r="IYN1055" s="989"/>
      <c r="IYO1055" s="989"/>
      <c r="IYP1055" s="989"/>
      <c r="IYQ1055" s="989"/>
      <c r="IYR1055" s="989"/>
      <c r="IYS1055" s="989"/>
      <c r="IYT1055" s="989"/>
      <c r="IYU1055" s="989"/>
      <c r="IYV1055" s="989"/>
      <c r="IYW1055" s="989"/>
      <c r="IYX1055" s="989"/>
      <c r="IYY1055" s="989"/>
      <c r="IYZ1055" s="989"/>
      <c r="IZA1055" s="989"/>
      <c r="IZB1055" s="989"/>
      <c r="IZC1055" s="989"/>
      <c r="IZD1055" s="989"/>
      <c r="IZE1055" s="989"/>
      <c r="IZF1055" s="989"/>
      <c r="IZG1055" s="989"/>
      <c r="IZH1055" s="989"/>
      <c r="IZI1055" s="989"/>
      <c r="IZJ1055" s="989"/>
      <c r="IZK1055" s="989"/>
      <c r="IZL1055" s="989"/>
      <c r="IZM1055" s="989"/>
      <c r="IZN1055" s="989"/>
      <c r="IZO1055" s="989"/>
      <c r="IZP1055" s="989"/>
      <c r="IZQ1055" s="989"/>
      <c r="IZR1055" s="989"/>
      <c r="IZS1055" s="989"/>
      <c r="IZT1055" s="989"/>
      <c r="IZU1055" s="989"/>
      <c r="IZV1055" s="989"/>
      <c r="IZW1055" s="989"/>
      <c r="IZX1055" s="989"/>
      <c r="IZY1055" s="989"/>
      <c r="IZZ1055" s="989"/>
      <c r="JAA1055" s="989"/>
      <c r="JAB1055" s="989"/>
      <c r="JAC1055" s="989"/>
      <c r="JAD1055" s="989"/>
      <c r="JAE1055" s="989"/>
      <c r="JAF1055" s="989"/>
      <c r="JAG1055" s="989"/>
      <c r="JAH1055" s="989"/>
      <c r="JAI1055" s="989"/>
      <c r="JAJ1055" s="989"/>
      <c r="JAK1055" s="989"/>
      <c r="JAL1055" s="989"/>
      <c r="JAM1055" s="989"/>
      <c r="JAN1055" s="989"/>
      <c r="JAO1055" s="989"/>
      <c r="JAP1055" s="989"/>
      <c r="JAQ1055" s="989"/>
      <c r="JAR1055" s="989"/>
      <c r="JAS1055" s="989"/>
      <c r="JAT1055" s="989"/>
      <c r="JAU1055" s="989"/>
      <c r="JAV1055" s="989"/>
      <c r="JAW1055" s="989"/>
      <c r="JAX1055" s="989"/>
      <c r="JAY1055" s="989"/>
      <c r="JAZ1055" s="989"/>
      <c r="JBA1055" s="989"/>
      <c r="JBB1055" s="989"/>
      <c r="JBC1055" s="989"/>
      <c r="JBD1055" s="989"/>
      <c r="JBE1055" s="989"/>
      <c r="JBF1055" s="989"/>
      <c r="JBG1055" s="989"/>
      <c r="JBH1055" s="989"/>
      <c r="JBI1055" s="989"/>
      <c r="JBJ1055" s="989"/>
      <c r="JBK1055" s="989"/>
      <c r="JBL1055" s="989"/>
      <c r="JBM1055" s="989"/>
      <c r="JBN1055" s="989"/>
      <c r="JBO1055" s="989"/>
      <c r="JBP1055" s="989"/>
      <c r="JBQ1055" s="989"/>
      <c r="JBR1055" s="989"/>
      <c r="JBS1055" s="989"/>
      <c r="JBT1055" s="989"/>
      <c r="JBU1055" s="989"/>
      <c r="JBV1055" s="989"/>
      <c r="JBW1055" s="989"/>
      <c r="JBX1055" s="989"/>
      <c r="JBY1055" s="989"/>
      <c r="JBZ1055" s="989"/>
      <c r="JCA1055" s="989"/>
      <c r="JCB1055" s="989"/>
      <c r="JCC1055" s="989"/>
      <c r="JCD1055" s="989"/>
      <c r="JCE1055" s="989"/>
      <c r="JCF1055" s="989"/>
      <c r="JCG1055" s="989"/>
      <c r="JCH1055" s="989"/>
      <c r="JCI1055" s="989"/>
      <c r="JCJ1055" s="989"/>
      <c r="JCK1055" s="989"/>
      <c r="JCL1055" s="989"/>
      <c r="JCM1055" s="989"/>
      <c r="JCN1055" s="989"/>
      <c r="JCO1055" s="989"/>
      <c r="JCP1055" s="989"/>
      <c r="JCQ1055" s="989"/>
      <c r="JCR1055" s="989"/>
      <c r="JCS1055" s="989"/>
      <c r="JCT1055" s="989"/>
      <c r="JCU1055" s="989"/>
      <c r="JCV1055" s="989"/>
      <c r="JCW1055" s="989"/>
      <c r="JCX1055" s="989"/>
      <c r="JCY1055" s="989"/>
      <c r="JCZ1055" s="989"/>
      <c r="JDA1055" s="989"/>
      <c r="JDB1055" s="989"/>
      <c r="JDC1055" s="989"/>
      <c r="JDD1055" s="989"/>
      <c r="JDE1055" s="989"/>
      <c r="JDF1055" s="989"/>
      <c r="JDG1055" s="989"/>
      <c r="JDH1055" s="989"/>
      <c r="JDI1055" s="989"/>
      <c r="JDJ1055" s="989"/>
      <c r="JDK1055" s="989"/>
      <c r="JDL1055" s="989"/>
      <c r="JDM1055" s="989"/>
      <c r="JDN1055" s="989"/>
      <c r="JDO1055" s="989"/>
      <c r="JDP1055" s="989"/>
      <c r="JDQ1055" s="989"/>
      <c r="JDR1055" s="989"/>
      <c r="JDS1055" s="989"/>
      <c r="JDT1055" s="989"/>
      <c r="JDU1055" s="989"/>
      <c r="JDV1055" s="989"/>
      <c r="JDW1055" s="989"/>
      <c r="JDX1055" s="989"/>
      <c r="JDY1055" s="989"/>
      <c r="JDZ1055" s="989"/>
      <c r="JEA1055" s="989"/>
      <c r="JEB1055" s="989"/>
      <c r="JEC1055" s="989"/>
      <c r="JED1055" s="989"/>
      <c r="JEE1055" s="989"/>
      <c r="JEF1055" s="989"/>
      <c r="JEG1055" s="989"/>
      <c r="JEH1055" s="989"/>
      <c r="JEI1055" s="989"/>
      <c r="JEJ1055" s="989"/>
      <c r="JEK1055" s="989"/>
      <c r="JEL1055" s="989"/>
      <c r="JEM1055" s="989"/>
      <c r="JEN1055" s="989"/>
      <c r="JEO1055" s="989"/>
      <c r="JEP1055" s="989"/>
      <c r="JEQ1055" s="989"/>
      <c r="JER1055" s="989"/>
      <c r="JES1055" s="989"/>
      <c r="JET1055" s="989"/>
      <c r="JEU1055" s="989"/>
      <c r="JEV1055" s="989"/>
      <c r="JEW1055" s="989"/>
      <c r="JEX1055" s="989"/>
      <c r="JEY1055" s="989"/>
      <c r="JEZ1055" s="989"/>
      <c r="JFA1055" s="989"/>
      <c r="JFB1055" s="989"/>
      <c r="JFC1055" s="989"/>
      <c r="JFD1055" s="989"/>
      <c r="JFE1055" s="989"/>
      <c r="JFF1055" s="989"/>
      <c r="JFG1055" s="989"/>
      <c r="JFH1055" s="989"/>
      <c r="JFI1055" s="989"/>
      <c r="JFJ1055" s="989"/>
      <c r="JFK1055" s="989"/>
      <c r="JFL1055" s="989"/>
      <c r="JFM1055" s="989"/>
      <c r="JFN1055" s="989"/>
      <c r="JFO1055" s="989"/>
      <c r="JFP1055" s="989"/>
      <c r="JFQ1055" s="989"/>
      <c r="JFR1055" s="989"/>
      <c r="JFS1055" s="989"/>
      <c r="JFT1055" s="989"/>
      <c r="JFU1055" s="989"/>
      <c r="JFV1055" s="989"/>
      <c r="JFW1055" s="989"/>
      <c r="JFX1055" s="989"/>
      <c r="JFY1055" s="989"/>
      <c r="JFZ1055" s="989"/>
      <c r="JGA1055" s="989"/>
      <c r="JGB1055" s="989"/>
      <c r="JGC1055" s="989"/>
      <c r="JGD1055" s="989"/>
      <c r="JGE1055" s="989"/>
      <c r="JGF1055" s="989"/>
      <c r="JGG1055" s="989"/>
      <c r="JGH1055" s="989"/>
      <c r="JGI1055" s="989"/>
      <c r="JGJ1055" s="989"/>
      <c r="JGK1055" s="989"/>
      <c r="JGL1055" s="989"/>
      <c r="JGM1055" s="989"/>
      <c r="JGN1055" s="989"/>
      <c r="JGO1055" s="989"/>
      <c r="JGP1055" s="989"/>
      <c r="JGQ1055" s="989"/>
      <c r="JGR1055" s="989"/>
      <c r="JGS1055" s="989"/>
      <c r="JGT1055" s="989"/>
      <c r="JGU1055" s="989"/>
      <c r="JGV1055" s="989"/>
      <c r="JGW1055" s="989"/>
      <c r="JGX1055" s="989"/>
      <c r="JGY1055" s="989"/>
      <c r="JGZ1055" s="989"/>
      <c r="JHA1055" s="989"/>
      <c r="JHB1055" s="989"/>
      <c r="JHC1055" s="989"/>
      <c r="JHD1055" s="989"/>
      <c r="JHE1055" s="989"/>
      <c r="JHF1055" s="989"/>
      <c r="JHG1055" s="989"/>
      <c r="JHH1055" s="989"/>
      <c r="JHI1055" s="989"/>
      <c r="JHJ1055" s="989"/>
      <c r="JHK1055" s="989"/>
      <c r="JHL1055" s="989"/>
      <c r="JHM1055" s="989"/>
      <c r="JHN1055" s="989"/>
      <c r="JHO1055" s="989"/>
      <c r="JHP1055" s="989"/>
      <c r="JHQ1055" s="989"/>
      <c r="JHR1055" s="989"/>
      <c r="JHS1055" s="989"/>
      <c r="JHT1055" s="989"/>
      <c r="JHU1055" s="989"/>
      <c r="JHV1055" s="989"/>
      <c r="JHW1055" s="989"/>
      <c r="JHX1055" s="989"/>
      <c r="JHY1055" s="989"/>
      <c r="JHZ1055" s="989"/>
      <c r="JIA1055" s="989"/>
      <c r="JIB1055" s="989"/>
      <c r="JIC1055" s="989"/>
      <c r="JID1055" s="989"/>
      <c r="JIE1055" s="989"/>
      <c r="JIF1055" s="989"/>
      <c r="JIG1055" s="989"/>
      <c r="JIH1055" s="989"/>
      <c r="JII1055" s="989"/>
      <c r="JIJ1055" s="989"/>
      <c r="JIK1055" s="989"/>
      <c r="JIL1055" s="989"/>
      <c r="JIM1055" s="989"/>
      <c r="JIN1055" s="989"/>
      <c r="JIO1055" s="989"/>
      <c r="JIP1055" s="989"/>
      <c r="JIQ1055" s="989"/>
      <c r="JIR1055" s="989"/>
      <c r="JIS1055" s="989"/>
      <c r="JIT1055" s="989"/>
      <c r="JIU1055" s="989"/>
      <c r="JIV1055" s="989"/>
      <c r="JIW1055" s="989"/>
      <c r="JIX1055" s="989"/>
      <c r="JIY1055" s="989"/>
      <c r="JIZ1055" s="989"/>
      <c r="JJA1055" s="989"/>
      <c r="JJB1055" s="989"/>
      <c r="JJC1055" s="989"/>
      <c r="JJD1055" s="989"/>
      <c r="JJE1055" s="989"/>
      <c r="JJF1055" s="989"/>
      <c r="JJG1055" s="989"/>
      <c r="JJH1055" s="989"/>
      <c r="JJI1055" s="989"/>
      <c r="JJJ1055" s="989"/>
      <c r="JJK1055" s="989"/>
      <c r="JJL1055" s="989"/>
      <c r="JJM1055" s="989"/>
      <c r="JJN1055" s="989"/>
      <c r="JJO1055" s="989"/>
      <c r="JJP1055" s="989"/>
      <c r="JJQ1055" s="989"/>
      <c r="JJR1055" s="989"/>
      <c r="JJS1055" s="989"/>
      <c r="JJT1055" s="989"/>
      <c r="JJU1055" s="989"/>
      <c r="JJV1055" s="989"/>
      <c r="JJW1055" s="989"/>
      <c r="JJX1055" s="989"/>
      <c r="JJY1055" s="989"/>
      <c r="JJZ1055" s="989"/>
      <c r="JKA1055" s="989"/>
      <c r="JKB1055" s="989"/>
      <c r="JKC1055" s="989"/>
      <c r="JKD1055" s="989"/>
      <c r="JKE1055" s="989"/>
      <c r="JKF1055" s="989"/>
      <c r="JKG1055" s="989"/>
      <c r="JKH1055" s="989"/>
      <c r="JKI1055" s="989"/>
      <c r="JKJ1055" s="989"/>
      <c r="JKK1055" s="989"/>
      <c r="JKL1055" s="989"/>
      <c r="JKM1055" s="989"/>
      <c r="JKN1055" s="989"/>
      <c r="JKO1055" s="989"/>
      <c r="JKP1055" s="989"/>
      <c r="JKQ1055" s="989"/>
      <c r="JKR1055" s="989"/>
      <c r="JKS1055" s="989"/>
      <c r="JKT1055" s="989"/>
      <c r="JKU1055" s="989"/>
      <c r="JKV1055" s="989"/>
      <c r="JKW1055" s="989"/>
      <c r="JKX1055" s="989"/>
      <c r="JKY1055" s="989"/>
      <c r="JKZ1055" s="989"/>
      <c r="JLA1055" s="989"/>
      <c r="JLB1055" s="989"/>
      <c r="JLC1055" s="989"/>
      <c r="JLD1055" s="989"/>
      <c r="JLE1055" s="989"/>
      <c r="JLF1055" s="989"/>
      <c r="JLG1055" s="989"/>
      <c r="JLH1055" s="989"/>
      <c r="JLI1055" s="989"/>
      <c r="JLJ1055" s="989"/>
      <c r="JLK1055" s="989"/>
      <c r="JLL1055" s="989"/>
      <c r="JLM1055" s="989"/>
      <c r="JLN1055" s="989"/>
      <c r="JLO1055" s="989"/>
      <c r="JLP1055" s="989"/>
      <c r="JLQ1055" s="989"/>
      <c r="JLR1055" s="989"/>
      <c r="JLS1055" s="989"/>
      <c r="JLT1055" s="989"/>
      <c r="JLU1055" s="989"/>
      <c r="JLV1055" s="989"/>
      <c r="JLW1055" s="989"/>
      <c r="JLX1055" s="989"/>
      <c r="JLY1055" s="989"/>
      <c r="JLZ1055" s="989"/>
      <c r="JMA1055" s="989"/>
      <c r="JMB1055" s="989"/>
      <c r="JMC1055" s="989"/>
      <c r="JMD1055" s="989"/>
      <c r="JME1055" s="989"/>
      <c r="JMF1055" s="989"/>
      <c r="JMG1055" s="989"/>
      <c r="JMH1055" s="989"/>
      <c r="JMI1055" s="989"/>
      <c r="JMJ1055" s="989"/>
      <c r="JMK1055" s="989"/>
      <c r="JML1055" s="989"/>
      <c r="JMM1055" s="989"/>
      <c r="JMN1055" s="989"/>
      <c r="JMO1055" s="989"/>
      <c r="JMP1055" s="989"/>
      <c r="JMQ1055" s="989"/>
      <c r="JMR1055" s="989"/>
      <c r="JMS1055" s="989"/>
      <c r="JMT1055" s="989"/>
      <c r="JMU1055" s="989"/>
      <c r="JMV1055" s="989"/>
      <c r="JMW1055" s="989"/>
      <c r="JMX1055" s="989"/>
      <c r="JMY1055" s="989"/>
      <c r="JMZ1055" s="989"/>
      <c r="JNA1055" s="989"/>
      <c r="JNB1055" s="989"/>
      <c r="JNC1055" s="989"/>
      <c r="JND1055" s="989"/>
      <c r="JNE1055" s="989"/>
      <c r="JNF1055" s="989"/>
      <c r="JNG1055" s="989"/>
      <c r="JNH1055" s="989"/>
      <c r="JNI1055" s="989"/>
      <c r="JNJ1055" s="989"/>
      <c r="JNK1055" s="989"/>
      <c r="JNL1055" s="989"/>
      <c r="JNM1055" s="989"/>
      <c r="JNN1055" s="989"/>
      <c r="JNO1055" s="989"/>
      <c r="JNP1055" s="989"/>
      <c r="JNQ1055" s="989"/>
      <c r="JNR1055" s="989"/>
      <c r="JNS1055" s="989"/>
      <c r="JNT1055" s="989"/>
      <c r="JNU1055" s="989"/>
      <c r="JNV1055" s="989"/>
      <c r="JNW1055" s="989"/>
      <c r="JNX1055" s="989"/>
      <c r="JNY1055" s="989"/>
      <c r="JNZ1055" s="989"/>
      <c r="JOA1055" s="989"/>
      <c r="JOB1055" s="989"/>
      <c r="JOC1055" s="989"/>
      <c r="JOD1055" s="989"/>
      <c r="JOE1055" s="989"/>
      <c r="JOF1055" s="989"/>
      <c r="JOG1055" s="989"/>
      <c r="JOH1055" s="989"/>
      <c r="JOI1055" s="989"/>
      <c r="JOJ1055" s="989"/>
      <c r="JOK1055" s="989"/>
      <c r="JOL1055" s="989"/>
      <c r="JOM1055" s="989"/>
      <c r="JON1055" s="989"/>
      <c r="JOO1055" s="989"/>
      <c r="JOP1055" s="989"/>
      <c r="JOQ1055" s="989"/>
      <c r="JOR1055" s="989"/>
      <c r="JOS1055" s="989"/>
      <c r="JOT1055" s="989"/>
      <c r="JOU1055" s="989"/>
      <c r="JOV1055" s="989"/>
      <c r="JOW1055" s="989"/>
      <c r="JOX1055" s="989"/>
      <c r="JOY1055" s="989"/>
      <c r="JOZ1055" s="989"/>
      <c r="JPA1055" s="989"/>
      <c r="JPB1055" s="989"/>
      <c r="JPC1055" s="989"/>
      <c r="JPD1055" s="989"/>
      <c r="JPE1055" s="989"/>
      <c r="JPF1055" s="989"/>
      <c r="JPG1055" s="989"/>
      <c r="JPH1055" s="989"/>
      <c r="JPI1055" s="989"/>
      <c r="JPJ1055" s="989"/>
      <c r="JPK1055" s="989"/>
      <c r="JPL1055" s="989"/>
      <c r="JPM1055" s="989"/>
      <c r="JPN1055" s="989"/>
      <c r="JPO1055" s="989"/>
      <c r="JPP1055" s="989"/>
      <c r="JPQ1055" s="989"/>
      <c r="JPR1055" s="989"/>
      <c r="JPS1055" s="989"/>
      <c r="JPT1055" s="989"/>
      <c r="JPU1055" s="989"/>
      <c r="JPV1055" s="989"/>
      <c r="JPW1055" s="989"/>
      <c r="JPX1055" s="989"/>
      <c r="JPY1055" s="989"/>
      <c r="JPZ1055" s="989"/>
      <c r="JQA1055" s="989"/>
      <c r="JQB1055" s="989"/>
      <c r="JQC1055" s="989"/>
      <c r="JQD1055" s="989"/>
      <c r="JQE1055" s="989"/>
      <c r="JQF1055" s="989"/>
      <c r="JQG1055" s="989"/>
      <c r="JQH1055" s="989"/>
      <c r="JQI1055" s="989"/>
      <c r="JQJ1055" s="989"/>
      <c r="JQK1055" s="989"/>
      <c r="JQL1055" s="989"/>
      <c r="JQM1055" s="989"/>
      <c r="JQN1055" s="989"/>
      <c r="JQO1055" s="989"/>
      <c r="JQP1055" s="989"/>
      <c r="JQQ1055" s="989"/>
      <c r="JQR1055" s="989"/>
      <c r="JQS1055" s="989"/>
      <c r="JQT1055" s="989"/>
      <c r="JQU1055" s="989"/>
      <c r="JQV1055" s="989"/>
      <c r="JQW1055" s="989"/>
      <c r="JQX1055" s="989"/>
      <c r="JQY1055" s="989"/>
      <c r="JQZ1055" s="989"/>
      <c r="JRA1055" s="989"/>
      <c r="JRB1055" s="989"/>
      <c r="JRC1055" s="989"/>
      <c r="JRD1055" s="989"/>
      <c r="JRE1055" s="989"/>
      <c r="JRF1055" s="989"/>
      <c r="JRG1055" s="989"/>
      <c r="JRH1055" s="989"/>
      <c r="JRI1055" s="989"/>
      <c r="JRJ1055" s="989"/>
      <c r="JRK1055" s="989"/>
      <c r="JRL1055" s="989"/>
      <c r="JRM1055" s="989"/>
      <c r="JRN1055" s="989"/>
      <c r="JRO1055" s="989"/>
      <c r="JRP1055" s="989"/>
      <c r="JRQ1055" s="989"/>
      <c r="JRR1055" s="989"/>
      <c r="JRS1055" s="989"/>
      <c r="JRT1055" s="989"/>
      <c r="JRU1055" s="989"/>
      <c r="JRV1055" s="989"/>
      <c r="JRW1055" s="989"/>
      <c r="JRX1055" s="989"/>
      <c r="JRY1055" s="989"/>
      <c r="JRZ1055" s="989"/>
      <c r="JSA1055" s="989"/>
      <c r="JSB1055" s="989"/>
      <c r="JSC1055" s="989"/>
      <c r="JSD1055" s="989"/>
      <c r="JSE1055" s="989"/>
      <c r="JSF1055" s="989"/>
      <c r="JSG1055" s="989"/>
      <c r="JSH1055" s="989"/>
      <c r="JSI1055" s="989"/>
      <c r="JSJ1055" s="989"/>
      <c r="JSK1055" s="989"/>
      <c r="JSL1055" s="989"/>
      <c r="JSM1055" s="989"/>
      <c r="JSN1055" s="989"/>
      <c r="JSO1055" s="989"/>
      <c r="JSP1055" s="989"/>
      <c r="JSQ1055" s="989"/>
      <c r="JSR1055" s="989"/>
      <c r="JSS1055" s="989"/>
      <c r="JST1055" s="989"/>
      <c r="JSU1055" s="989"/>
      <c r="JSV1055" s="989"/>
      <c r="JSW1055" s="989"/>
      <c r="JSX1055" s="989"/>
      <c r="JSY1055" s="989"/>
      <c r="JSZ1055" s="989"/>
      <c r="JTA1055" s="989"/>
      <c r="JTB1055" s="989"/>
      <c r="JTC1055" s="989"/>
      <c r="JTD1055" s="989"/>
      <c r="JTE1055" s="989"/>
      <c r="JTF1055" s="989"/>
      <c r="JTG1055" s="989"/>
      <c r="JTH1055" s="989"/>
      <c r="JTI1055" s="989"/>
      <c r="JTJ1055" s="989"/>
      <c r="JTK1055" s="989"/>
      <c r="JTL1055" s="989"/>
      <c r="JTM1055" s="989"/>
      <c r="JTN1055" s="989"/>
      <c r="JTO1055" s="989"/>
      <c r="JTP1055" s="989"/>
      <c r="JTQ1055" s="989"/>
      <c r="JTR1055" s="989"/>
      <c r="JTS1055" s="989"/>
      <c r="JTT1055" s="989"/>
      <c r="JTU1055" s="989"/>
      <c r="JTV1055" s="989"/>
      <c r="JTW1055" s="989"/>
      <c r="JTX1055" s="989"/>
      <c r="JTY1055" s="989"/>
      <c r="JTZ1055" s="989"/>
      <c r="JUA1055" s="989"/>
      <c r="JUB1055" s="989"/>
      <c r="JUC1055" s="989"/>
      <c r="JUD1055" s="989"/>
      <c r="JUE1055" s="989"/>
      <c r="JUF1055" s="989"/>
      <c r="JUG1055" s="989"/>
      <c r="JUH1055" s="989"/>
      <c r="JUI1055" s="989"/>
      <c r="JUJ1055" s="989"/>
      <c r="JUK1055" s="989"/>
      <c r="JUL1055" s="989"/>
      <c r="JUM1055" s="989"/>
      <c r="JUN1055" s="989"/>
      <c r="JUO1055" s="989"/>
      <c r="JUP1055" s="989"/>
      <c r="JUQ1055" s="989"/>
      <c r="JUR1055" s="989"/>
      <c r="JUS1055" s="989"/>
      <c r="JUT1055" s="989"/>
      <c r="JUU1055" s="989"/>
      <c r="JUV1055" s="989"/>
      <c r="JUW1055" s="989"/>
      <c r="JUX1055" s="989"/>
      <c r="JUY1055" s="989"/>
      <c r="JUZ1055" s="989"/>
      <c r="JVA1055" s="989"/>
      <c r="JVB1055" s="989"/>
      <c r="JVC1055" s="989"/>
      <c r="JVD1055" s="989"/>
      <c r="JVE1055" s="989"/>
      <c r="JVF1055" s="989"/>
      <c r="JVG1055" s="989"/>
      <c r="JVH1055" s="989"/>
      <c r="JVI1055" s="989"/>
      <c r="JVJ1055" s="989"/>
      <c r="JVK1055" s="989"/>
      <c r="JVL1055" s="989"/>
      <c r="JVM1055" s="989"/>
      <c r="JVN1055" s="989"/>
      <c r="JVO1055" s="989"/>
      <c r="JVP1055" s="989"/>
      <c r="JVQ1055" s="989"/>
      <c r="JVR1055" s="989"/>
      <c r="JVS1055" s="989"/>
      <c r="JVT1055" s="989"/>
      <c r="JVU1055" s="989"/>
      <c r="JVV1055" s="989"/>
      <c r="JVW1055" s="989"/>
      <c r="JVX1055" s="989"/>
      <c r="JVY1055" s="989"/>
      <c r="JVZ1055" s="989"/>
      <c r="JWA1055" s="989"/>
      <c r="JWB1055" s="989"/>
      <c r="JWC1055" s="989"/>
      <c r="JWD1055" s="989"/>
      <c r="JWE1055" s="989"/>
      <c r="JWF1055" s="989"/>
      <c r="JWG1055" s="989"/>
      <c r="JWH1055" s="989"/>
      <c r="JWI1055" s="989"/>
      <c r="JWJ1055" s="989"/>
      <c r="JWK1055" s="989"/>
      <c r="JWL1055" s="989"/>
      <c r="JWM1055" s="989"/>
      <c r="JWN1055" s="989"/>
      <c r="JWO1055" s="989"/>
      <c r="JWP1055" s="989"/>
      <c r="JWQ1055" s="989"/>
      <c r="JWR1055" s="989"/>
      <c r="JWS1055" s="989"/>
      <c r="JWT1055" s="989"/>
      <c r="JWU1055" s="989"/>
      <c r="JWV1055" s="989"/>
      <c r="JWW1055" s="989"/>
      <c r="JWX1055" s="989"/>
      <c r="JWY1055" s="989"/>
      <c r="JWZ1055" s="989"/>
      <c r="JXA1055" s="989"/>
      <c r="JXB1055" s="989"/>
      <c r="JXC1055" s="989"/>
      <c r="JXD1055" s="989"/>
      <c r="JXE1055" s="989"/>
      <c r="JXF1055" s="989"/>
      <c r="JXG1055" s="989"/>
      <c r="JXH1055" s="989"/>
      <c r="JXI1055" s="989"/>
      <c r="JXJ1055" s="989"/>
      <c r="JXK1055" s="989"/>
      <c r="JXL1055" s="989"/>
      <c r="JXM1055" s="989"/>
      <c r="JXN1055" s="989"/>
      <c r="JXO1055" s="989"/>
      <c r="JXP1055" s="989"/>
      <c r="JXQ1055" s="989"/>
      <c r="JXR1055" s="989"/>
      <c r="JXS1055" s="989"/>
      <c r="JXT1055" s="989"/>
      <c r="JXU1055" s="989"/>
      <c r="JXV1055" s="989"/>
      <c r="JXW1055" s="989"/>
      <c r="JXX1055" s="989"/>
      <c r="JXY1055" s="989"/>
      <c r="JXZ1055" s="989"/>
      <c r="JYA1055" s="989"/>
      <c r="JYB1055" s="989"/>
      <c r="JYC1055" s="989"/>
      <c r="JYD1055" s="989"/>
      <c r="JYE1055" s="989"/>
      <c r="JYF1055" s="989"/>
      <c r="JYG1055" s="989"/>
      <c r="JYH1055" s="989"/>
      <c r="JYI1055" s="989"/>
      <c r="JYJ1055" s="989"/>
      <c r="JYK1055" s="989"/>
      <c r="JYL1055" s="989"/>
      <c r="JYM1055" s="989"/>
      <c r="JYN1055" s="989"/>
      <c r="JYO1055" s="989"/>
      <c r="JYP1055" s="989"/>
      <c r="JYQ1055" s="989"/>
      <c r="JYR1055" s="989"/>
      <c r="JYS1055" s="989"/>
      <c r="JYT1055" s="989"/>
      <c r="JYU1055" s="989"/>
      <c r="JYV1055" s="989"/>
      <c r="JYW1055" s="989"/>
      <c r="JYX1055" s="989"/>
      <c r="JYY1055" s="989"/>
      <c r="JYZ1055" s="989"/>
      <c r="JZA1055" s="989"/>
      <c r="JZB1055" s="989"/>
      <c r="JZC1055" s="989"/>
      <c r="JZD1055" s="989"/>
      <c r="JZE1055" s="989"/>
      <c r="JZF1055" s="989"/>
      <c r="JZG1055" s="989"/>
      <c r="JZH1055" s="989"/>
      <c r="JZI1055" s="989"/>
      <c r="JZJ1055" s="989"/>
      <c r="JZK1055" s="989"/>
      <c r="JZL1055" s="989"/>
      <c r="JZM1055" s="989"/>
      <c r="JZN1055" s="989"/>
      <c r="JZO1055" s="989"/>
      <c r="JZP1055" s="989"/>
      <c r="JZQ1055" s="989"/>
      <c r="JZR1055" s="989"/>
      <c r="JZS1055" s="989"/>
      <c r="JZT1055" s="989"/>
      <c r="JZU1055" s="989"/>
      <c r="JZV1055" s="989"/>
      <c r="JZW1055" s="989"/>
      <c r="JZX1055" s="989"/>
      <c r="JZY1055" s="989"/>
      <c r="JZZ1055" s="989"/>
      <c r="KAA1055" s="989"/>
      <c r="KAB1055" s="989"/>
      <c r="KAC1055" s="989"/>
      <c r="KAD1055" s="989"/>
      <c r="KAE1055" s="989"/>
      <c r="KAF1055" s="989"/>
      <c r="KAG1055" s="989"/>
      <c r="KAH1055" s="989"/>
      <c r="KAI1055" s="989"/>
      <c r="KAJ1055" s="989"/>
      <c r="KAK1055" s="989"/>
      <c r="KAL1055" s="989"/>
      <c r="KAM1055" s="989"/>
      <c r="KAN1055" s="989"/>
      <c r="KAO1055" s="989"/>
      <c r="KAP1055" s="989"/>
      <c r="KAQ1055" s="989"/>
      <c r="KAR1055" s="989"/>
      <c r="KAS1055" s="989"/>
      <c r="KAT1055" s="989"/>
      <c r="KAU1055" s="989"/>
      <c r="KAV1055" s="989"/>
      <c r="KAW1055" s="989"/>
      <c r="KAX1055" s="989"/>
      <c r="KAY1055" s="989"/>
      <c r="KAZ1055" s="989"/>
      <c r="KBA1055" s="989"/>
      <c r="KBB1055" s="989"/>
      <c r="KBC1055" s="989"/>
      <c r="KBD1055" s="989"/>
      <c r="KBE1055" s="989"/>
      <c r="KBF1055" s="989"/>
      <c r="KBG1055" s="989"/>
      <c r="KBH1055" s="989"/>
      <c r="KBI1055" s="989"/>
      <c r="KBJ1055" s="989"/>
      <c r="KBK1055" s="989"/>
      <c r="KBL1055" s="989"/>
      <c r="KBM1055" s="989"/>
      <c r="KBN1055" s="989"/>
      <c r="KBO1055" s="989"/>
      <c r="KBP1055" s="989"/>
      <c r="KBQ1055" s="989"/>
      <c r="KBR1055" s="989"/>
      <c r="KBS1055" s="989"/>
      <c r="KBT1055" s="989"/>
      <c r="KBU1055" s="989"/>
      <c r="KBV1055" s="989"/>
      <c r="KBW1055" s="989"/>
      <c r="KBX1055" s="989"/>
      <c r="KBY1055" s="989"/>
      <c r="KBZ1055" s="989"/>
      <c r="KCA1055" s="989"/>
      <c r="KCB1055" s="989"/>
      <c r="KCC1055" s="989"/>
      <c r="KCD1055" s="989"/>
      <c r="KCE1055" s="989"/>
      <c r="KCF1055" s="989"/>
      <c r="KCG1055" s="989"/>
      <c r="KCH1055" s="989"/>
      <c r="KCI1055" s="989"/>
      <c r="KCJ1055" s="989"/>
      <c r="KCK1055" s="989"/>
      <c r="KCL1055" s="989"/>
      <c r="KCM1055" s="989"/>
      <c r="KCN1055" s="989"/>
      <c r="KCO1055" s="989"/>
      <c r="KCP1055" s="989"/>
      <c r="KCQ1055" s="989"/>
      <c r="KCR1055" s="989"/>
      <c r="KCS1055" s="989"/>
      <c r="KCT1055" s="989"/>
      <c r="KCU1055" s="989"/>
      <c r="KCV1055" s="989"/>
      <c r="KCW1055" s="989"/>
      <c r="KCX1055" s="989"/>
      <c r="KCY1055" s="989"/>
      <c r="KCZ1055" s="989"/>
      <c r="KDA1055" s="989"/>
      <c r="KDB1055" s="989"/>
      <c r="KDC1055" s="989"/>
      <c r="KDD1055" s="989"/>
      <c r="KDE1055" s="989"/>
      <c r="KDF1055" s="989"/>
      <c r="KDG1055" s="989"/>
      <c r="KDH1055" s="989"/>
      <c r="KDI1055" s="989"/>
      <c r="KDJ1055" s="989"/>
      <c r="KDK1055" s="989"/>
      <c r="KDL1055" s="989"/>
      <c r="KDM1055" s="989"/>
      <c r="KDN1055" s="989"/>
      <c r="KDO1055" s="989"/>
      <c r="KDP1055" s="989"/>
      <c r="KDQ1055" s="989"/>
      <c r="KDR1055" s="989"/>
      <c r="KDS1055" s="989"/>
      <c r="KDT1055" s="989"/>
      <c r="KDU1055" s="989"/>
      <c r="KDV1055" s="989"/>
      <c r="KDW1055" s="989"/>
      <c r="KDX1055" s="989"/>
      <c r="KDY1055" s="989"/>
      <c r="KDZ1055" s="989"/>
      <c r="KEA1055" s="989"/>
      <c r="KEB1055" s="989"/>
      <c r="KEC1055" s="989"/>
      <c r="KED1055" s="989"/>
      <c r="KEE1055" s="989"/>
      <c r="KEF1055" s="989"/>
      <c r="KEG1055" s="989"/>
      <c r="KEH1055" s="989"/>
      <c r="KEI1055" s="989"/>
      <c r="KEJ1055" s="989"/>
      <c r="KEK1055" s="989"/>
      <c r="KEL1055" s="989"/>
      <c r="KEM1055" s="989"/>
      <c r="KEN1055" s="989"/>
      <c r="KEO1055" s="989"/>
      <c r="KEP1055" s="989"/>
      <c r="KEQ1055" s="989"/>
      <c r="KER1055" s="989"/>
      <c r="KES1055" s="989"/>
      <c r="KET1055" s="989"/>
      <c r="KEU1055" s="989"/>
      <c r="KEV1055" s="989"/>
      <c r="KEW1055" s="989"/>
      <c r="KEX1055" s="989"/>
      <c r="KEY1055" s="989"/>
      <c r="KEZ1055" s="989"/>
      <c r="KFA1055" s="989"/>
      <c r="KFB1055" s="989"/>
      <c r="KFC1055" s="989"/>
      <c r="KFD1055" s="989"/>
      <c r="KFE1055" s="989"/>
      <c r="KFF1055" s="989"/>
      <c r="KFG1055" s="989"/>
      <c r="KFH1055" s="989"/>
      <c r="KFI1055" s="989"/>
      <c r="KFJ1055" s="989"/>
      <c r="KFK1055" s="989"/>
      <c r="KFL1055" s="989"/>
      <c r="KFM1055" s="989"/>
      <c r="KFN1055" s="989"/>
      <c r="KFO1055" s="989"/>
      <c r="KFP1055" s="989"/>
      <c r="KFQ1055" s="989"/>
      <c r="KFR1055" s="989"/>
      <c r="KFS1055" s="989"/>
      <c r="KFT1055" s="989"/>
      <c r="KFU1055" s="989"/>
      <c r="KFV1055" s="989"/>
      <c r="KFW1055" s="989"/>
      <c r="KFX1055" s="989"/>
      <c r="KFY1055" s="989"/>
      <c r="KFZ1055" s="989"/>
      <c r="KGA1055" s="989"/>
      <c r="KGB1055" s="989"/>
      <c r="KGC1055" s="989"/>
      <c r="KGD1055" s="989"/>
      <c r="KGE1055" s="989"/>
      <c r="KGF1055" s="989"/>
      <c r="KGG1055" s="989"/>
      <c r="KGH1055" s="989"/>
      <c r="KGI1055" s="989"/>
      <c r="KGJ1055" s="989"/>
      <c r="KGK1055" s="989"/>
      <c r="KGL1055" s="989"/>
      <c r="KGM1055" s="989"/>
      <c r="KGN1055" s="989"/>
      <c r="KGO1055" s="989"/>
      <c r="KGP1055" s="989"/>
      <c r="KGQ1055" s="989"/>
      <c r="KGR1055" s="989"/>
      <c r="KGS1055" s="989"/>
      <c r="KGT1055" s="989"/>
      <c r="KGU1055" s="989"/>
      <c r="KGV1055" s="989"/>
      <c r="KGW1055" s="989"/>
      <c r="KGX1055" s="989"/>
      <c r="KGY1055" s="989"/>
      <c r="KGZ1055" s="989"/>
      <c r="KHA1055" s="989"/>
      <c r="KHB1055" s="989"/>
      <c r="KHC1055" s="989"/>
      <c r="KHD1055" s="989"/>
      <c r="KHE1055" s="989"/>
      <c r="KHF1055" s="989"/>
      <c r="KHG1055" s="989"/>
      <c r="KHH1055" s="989"/>
      <c r="KHI1055" s="989"/>
      <c r="KHJ1055" s="989"/>
      <c r="KHK1055" s="989"/>
      <c r="KHL1055" s="989"/>
      <c r="KHM1055" s="989"/>
      <c r="KHN1055" s="989"/>
      <c r="KHO1055" s="989"/>
      <c r="KHP1055" s="989"/>
      <c r="KHQ1055" s="989"/>
      <c r="KHR1055" s="989"/>
      <c r="KHS1055" s="989"/>
      <c r="KHT1055" s="989"/>
      <c r="KHU1055" s="989"/>
      <c r="KHV1055" s="989"/>
      <c r="KHW1055" s="989"/>
      <c r="KHX1055" s="989"/>
      <c r="KHY1055" s="989"/>
      <c r="KHZ1055" s="989"/>
      <c r="KIA1055" s="989"/>
      <c r="KIB1055" s="989"/>
      <c r="KIC1055" s="989"/>
      <c r="KID1055" s="989"/>
      <c r="KIE1055" s="989"/>
      <c r="KIF1055" s="989"/>
      <c r="KIG1055" s="989"/>
      <c r="KIH1055" s="989"/>
      <c r="KII1055" s="989"/>
      <c r="KIJ1055" s="989"/>
      <c r="KIK1055" s="989"/>
      <c r="KIL1055" s="989"/>
      <c r="KIM1055" s="989"/>
      <c r="KIN1055" s="989"/>
      <c r="KIO1055" s="989"/>
      <c r="KIP1055" s="989"/>
      <c r="KIQ1055" s="989"/>
      <c r="KIR1055" s="989"/>
      <c r="KIS1055" s="989"/>
      <c r="KIT1055" s="989"/>
      <c r="KIU1055" s="989"/>
      <c r="KIV1055" s="989"/>
      <c r="KIW1055" s="989"/>
      <c r="KIX1055" s="989"/>
      <c r="KIY1055" s="989"/>
      <c r="KIZ1055" s="989"/>
      <c r="KJA1055" s="989"/>
      <c r="KJB1055" s="989"/>
      <c r="KJC1055" s="989"/>
      <c r="KJD1055" s="989"/>
      <c r="KJE1055" s="989"/>
      <c r="KJF1055" s="989"/>
      <c r="KJG1055" s="989"/>
      <c r="KJH1055" s="989"/>
      <c r="KJI1055" s="989"/>
      <c r="KJJ1055" s="989"/>
      <c r="KJK1055" s="989"/>
      <c r="KJL1055" s="989"/>
      <c r="KJM1055" s="989"/>
      <c r="KJN1055" s="989"/>
      <c r="KJO1055" s="989"/>
      <c r="KJP1055" s="989"/>
      <c r="KJQ1055" s="989"/>
      <c r="KJR1055" s="989"/>
      <c r="KJS1055" s="989"/>
      <c r="KJT1055" s="989"/>
      <c r="KJU1055" s="989"/>
      <c r="KJV1055" s="989"/>
      <c r="KJW1055" s="989"/>
      <c r="KJX1055" s="989"/>
      <c r="KJY1055" s="989"/>
      <c r="KJZ1055" s="989"/>
      <c r="KKA1055" s="989"/>
      <c r="KKB1055" s="989"/>
      <c r="KKC1055" s="989"/>
      <c r="KKD1055" s="989"/>
      <c r="KKE1055" s="989"/>
      <c r="KKF1055" s="989"/>
      <c r="KKG1055" s="989"/>
      <c r="KKH1055" s="989"/>
      <c r="KKI1055" s="989"/>
      <c r="KKJ1055" s="989"/>
      <c r="KKK1055" s="989"/>
      <c r="KKL1055" s="989"/>
      <c r="KKM1055" s="989"/>
      <c r="KKN1055" s="989"/>
      <c r="KKO1055" s="989"/>
      <c r="KKP1055" s="989"/>
      <c r="KKQ1055" s="989"/>
      <c r="KKR1055" s="989"/>
      <c r="KKS1055" s="989"/>
      <c r="KKT1055" s="989"/>
      <c r="KKU1055" s="989"/>
      <c r="KKV1055" s="989"/>
      <c r="KKW1055" s="989"/>
      <c r="KKX1055" s="989"/>
      <c r="KKY1055" s="989"/>
      <c r="KKZ1055" s="989"/>
      <c r="KLA1055" s="989"/>
      <c r="KLB1055" s="989"/>
      <c r="KLC1055" s="989"/>
      <c r="KLD1055" s="989"/>
      <c r="KLE1055" s="989"/>
      <c r="KLF1055" s="989"/>
      <c r="KLG1055" s="989"/>
      <c r="KLH1055" s="989"/>
      <c r="KLI1055" s="989"/>
      <c r="KLJ1055" s="989"/>
      <c r="KLK1055" s="989"/>
      <c r="KLL1055" s="989"/>
      <c r="KLM1055" s="989"/>
      <c r="KLN1055" s="989"/>
      <c r="KLO1055" s="989"/>
      <c r="KLP1055" s="989"/>
      <c r="KLQ1055" s="989"/>
      <c r="KLR1055" s="989"/>
      <c r="KLS1055" s="989"/>
      <c r="KLT1055" s="989"/>
      <c r="KLU1055" s="989"/>
      <c r="KLV1055" s="989"/>
      <c r="KLW1055" s="989"/>
      <c r="KLX1055" s="989"/>
      <c r="KLY1055" s="989"/>
      <c r="KLZ1055" s="989"/>
      <c r="KMA1055" s="989"/>
      <c r="KMB1055" s="989"/>
      <c r="KMC1055" s="989"/>
      <c r="KMD1055" s="989"/>
      <c r="KME1055" s="989"/>
      <c r="KMF1055" s="989"/>
      <c r="KMG1055" s="989"/>
      <c r="KMH1055" s="989"/>
      <c r="KMI1055" s="989"/>
      <c r="KMJ1055" s="989"/>
      <c r="KMK1055" s="989"/>
      <c r="KML1055" s="989"/>
      <c r="KMM1055" s="989"/>
      <c r="KMN1055" s="989"/>
      <c r="KMO1055" s="989"/>
      <c r="KMP1055" s="989"/>
      <c r="KMQ1055" s="989"/>
      <c r="KMR1055" s="989"/>
      <c r="KMS1055" s="989"/>
      <c r="KMT1055" s="989"/>
      <c r="KMU1055" s="989"/>
      <c r="KMV1055" s="989"/>
      <c r="KMW1055" s="989"/>
      <c r="KMX1055" s="989"/>
      <c r="KMY1055" s="989"/>
      <c r="KMZ1055" s="989"/>
      <c r="KNA1055" s="989"/>
      <c r="KNB1055" s="989"/>
      <c r="KNC1055" s="989"/>
      <c r="KND1055" s="989"/>
      <c r="KNE1055" s="989"/>
      <c r="KNF1055" s="989"/>
      <c r="KNG1055" s="989"/>
      <c r="KNH1055" s="989"/>
      <c r="KNI1055" s="989"/>
      <c r="KNJ1055" s="989"/>
      <c r="KNK1055" s="989"/>
      <c r="KNL1055" s="989"/>
      <c r="KNM1055" s="989"/>
      <c r="KNN1055" s="989"/>
      <c r="KNO1055" s="989"/>
      <c r="KNP1055" s="989"/>
      <c r="KNQ1055" s="989"/>
      <c r="KNR1055" s="989"/>
      <c r="KNS1055" s="989"/>
      <c r="KNT1055" s="989"/>
      <c r="KNU1055" s="989"/>
      <c r="KNV1055" s="989"/>
      <c r="KNW1055" s="989"/>
      <c r="KNX1055" s="989"/>
      <c r="KNY1055" s="989"/>
      <c r="KNZ1055" s="989"/>
      <c r="KOA1055" s="989"/>
      <c r="KOB1055" s="989"/>
      <c r="KOC1055" s="989"/>
      <c r="KOD1055" s="989"/>
      <c r="KOE1055" s="989"/>
      <c r="KOF1055" s="989"/>
      <c r="KOG1055" s="989"/>
      <c r="KOH1055" s="989"/>
      <c r="KOI1055" s="989"/>
      <c r="KOJ1055" s="989"/>
      <c r="KOK1055" s="989"/>
      <c r="KOL1055" s="989"/>
      <c r="KOM1055" s="989"/>
      <c r="KON1055" s="989"/>
      <c r="KOO1055" s="989"/>
      <c r="KOP1055" s="989"/>
      <c r="KOQ1055" s="989"/>
      <c r="KOR1055" s="989"/>
      <c r="KOS1055" s="989"/>
      <c r="KOT1055" s="989"/>
      <c r="KOU1055" s="989"/>
      <c r="KOV1055" s="989"/>
      <c r="KOW1055" s="989"/>
      <c r="KOX1055" s="989"/>
      <c r="KOY1055" s="989"/>
      <c r="KOZ1055" s="989"/>
      <c r="KPA1055" s="989"/>
      <c r="KPB1055" s="989"/>
      <c r="KPC1055" s="989"/>
      <c r="KPD1055" s="989"/>
      <c r="KPE1055" s="989"/>
      <c r="KPF1055" s="989"/>
      <c r="KPG1055" s="989"/>
      <c r="KPH1055" s="989"/>
      <c r="KPI1055" s="989"/>
      <c r="KPJ1055" s="989"/>
      <c r="KPK1055" s="989"/>
      <c r="KPL1055" s="989"/>
      <c r="KPM1055" s="989"/>
      <c r="KPN1055" s="989"/>
      <c r="KPO1055" s="989"/>
      <c r="KPP1055" s="989"/>
      <c r="KPQ1055" s="989"/>
      <c r="KPR1055" s="989"/>
      <c r="KPS1055" s="989"/>
      <c r="KPT1055" s="989"/>
      <c r="KPU1055" s="989"/>
      <c r="KPV1055" s="989"/>
      <c r="KPW1055" s="989"/>
      <c r="KPX1055" s="989"/>
      <c r="KPY1055" s="989"/>
      <c r="KPZ1055" s="989"/>
      <c r="KQA1055" s="989"/>
      <c r="KQB1055" s="989"/>
      <c r="KQC1055" s="989"/>
      <c r="KQD1055" s="989"/>
      <c r="KQE1055" s="989"/>
      <c r="KQF1055" s="989"/>
      <c r="KQG1055" s="989"/>
      <c r="KQH1055" s="989"/>
      <c r="KQI1055" s="989"/>
      <c r="KQJ1055" s="989"/>
      <c r="KQK1055" s="989"/>
      <c r="KQL1055" s="989"/>
      <c r="KQM1055" s="989"/>
      <c r="KQN1055" s="989"/>
      <c r="KQO1055" s="989"/>
      <c r="KQP1055" s="989"/>
      <c r="KQQ1055" s="989"/>
      <c r="KQR1055" s="989"/>
      <c r="KQS1055" s="989"/>
      <c r="KQT1055" s="989"/>
      <c r="KQU1055" s="989"/>
      <c r="KQV1055" s="989"/>
      <c r="KQW1055" s="989"/>
      <c r="KQX1055" s="989"/>
      <c r="KQY1055" s="989"/>
      <c r="KQZ1055" s="989"/>
      <c r="KRA1055" s="989"/>
      <c r="KRB1055" s="989"/>
      <c r="KRC1055" s="989"/>
      <c r="KRD1055" s="989"/>
      <c r="KRE1055" s="989"/>
      <c r="KRF1055" s="989"/>
      <c r="KRG1055" s="989"/>
      <c r="KRH1055" s="989"/>
      <c r="KRI1055" s="989"/>
      <c r="KRJ1055" s="989"/>
      <c r="KRK1055" s="989"/>
      <c r="KRL1055" s="989"/>
      <c r="KRM1055" s="989"/>
      <c r="KRN1055" s="989"/>
      <c r="KRO1055" s="989"/>
      <c r="KRP1055" s="989"/>
      <c r="KRQ1055" s="989"/>
      <c r="KRR1055" s="989"/>
      <c r="KRS1055" s="989"/>
      <c r="KRT1055" s="989"/>
      <c r="KRU1055" s="989"/>
      <c r="KRV1055" s="989"/>
      <c r="KRW1055" s="989"/>
      <c r="KRX1055" s="989"/>
      <c r="KRY1055" s="989"/>
      <c r="KRZ1055" s="989"/>
      <c r="KSA1055" s="989"/>
      <c r="KSB1055" s="989"/>
      <c r="KSC1055" s="989"/>
      <c r="KSD1055" s="989"/>
      <c r="KSE1055" s="989"/>
      <c r="KSF1055" s="989"/>
      <c r="KSG1055" s="989"/>
      <c r="KSH1055" s="989"/>
      <c r="KSI1055" s="989"/>
      <c r="KSJ1055" s="989"/>
      <c r="KSK1055" s="989"/>
      <c r="KSL1055" s="989"/>
      <c r="KSM1055" s="989"/>
      <c r="KSN1055" s="989"/>
      <c r="KSO1055" s="989"/>
      <c r="KSP1055" s="989"/>
      <c r="KSQ1055" s="989"/>
      <c r="KSR1055" s="989"/>
      <c r="KSS1055" s="989"/>
      <c r="KST1055" s="989"/>
      <c r="KSU1055" s="989"/>
      <c r="KSV1055" s="989"/>
      <c r="KSW1055" s="989"/>
      <c r="KSX1055" s="989"/>
      <c r="KSY1055" s="989"/>
      <c r="KSZ1055" s="989"/>
      <c r="KTA1055" s="989"/>
      <c r="KTB1055" s="989"/>
      <c r="KTC1055" s="989"/>
      <c r="KTD1055" s="989"/>
      <c r="KTE1055" s="989"/>
      <c r="KTF1055" s="989"/>
      <c r="KTG1055" s="989"/>
      <c r="KTH1055" s="989"/>
      <c r="KTI1055" s="989"/>
      <c r="KTJ1055" s="989"/>
      <c r="KTK1055" s="989"/>
      <c r="KTL1055" s="989"/>
      <c r="KTM1055" s="989"/>
      <c r="KTN1055" s="989"/>
      <c r="KTO1055" s="989"/>
      <c r="KTP1055" s="989"/>
      <c r="KTQ1055" s="989"/>
      <c r="KTR1055" s="989"/>
      <c r="KTS1055" s="989"/>
      <c r="KTT1055" s="989"/>
      <c r="KTU1055" s="989"/>
      <c r="KTV1055" s="989"/>
      <c r="KTW1055" s="989"/>
      <c r="KTX1055" s="989"/>
      <c r="KTY1055" s="989"/>
      <c r="KTZ1055" s="989"/>
      <c r="KUA1055" s="989"/>
      <c r="KUB1055" s="989"/>
      <c r="KUC1055" s="989"/>
      <c r="KUD1055" s="989"/>
      <c r="KUE1055" s="989"/>
      <c r="KUF1055" s="989"/>
      <c r="KUG1055" s="989"/>
      <c r="KUH1055" s="989"/>
      <c r="KUI1055" s="989"/>
      <c r="KUJ1055" s="989"/>
      <c r="KUK1055" s="989"/>
      <c r="KUL1055" s="989"/>
      <c r="KUM1055" s="989"/>
      <c r="KUN1055" s="989"/>
      <c r="KUO1055" s="989"/>
      <c r="KUP1055" s="989"/>
      <c r="KUQ1055" s="989"/>
      <c r="KUR1055" s="989"/>
      <c r="KUS1055" s="989"/>
      <c r="KUT1055" s="989"/>
      <c r="KUU1055" s="989"/>
      <c r="KUV1055" s="989"/>
      <c r="KUW1055" s="989"/>
      <c r="KUX1055" s="989"/>
      <c r="KUY1055" s="989"/>
      <c r="KUZ1055" s="989"/>
      <c r="KVA1055" s="989"/>
      <c r="KVB1055" s="989"/>
      <c r="KVC1055" s="989"/>
      <c r="KVD1055" s="989"/>
      <c r="KVE1055" s="989"/>
      <c r="KVF1055" s="989"/>
      <c r="KVG1055" s="989"/>
      <c r="KVH1055" s="989"/>
      <c r="KVI1055" s="989"/>
      <c r="KVJ1055" s="989"/>
      <c r="KVK1055" s="989"/>
      <c r="KVL1055" s="989"/>
      <c r="KVM1055" s="989"/>
      <c r="KVN1055" s="989"/>
      <c r="KVO1055" s="989"/>
      <c r="KVP1055" s="989"/>
      <c r="KVQ1055" s="989"/>
      <c r="KVR1055" s="989"/>
      <c r="KVS1055" s="989"/>
      <c r="KVT1055" s="989"/>
      <c r="KVU1055" s="989"/>
      <c r="KVV1055" s="989"/>
      <c r="KVW1055" s="989"/>
      <c r="KVX1055" s="989"/>
      <c r="KVY1055" s="989"/>
      <c r="KVZ1055" s="989"/>
      <c r="KWA1055" s="989"/>
      <c r="KWB1055" s="989"/>
      <c r="KWC1055" s="989"/>
      <c r="KWD1055" s="989"/>
      <c r="KWE1055" s="989"/>
      <c r="KWF1055" s="989"/>
      <c r="KWG1055" s="989"/>
      <c r="KWH1055" s="989"/>
      <c r="KWI1055" s="989"/>
      <c r="KWJ1055" s="989"/>
      <c r="KWK1055" s="989"/>
      <c r="KWL1055" s="989"/>
      <c r="KWM1055" s="989"/>
      <c r="KWN1055" s="989"/>
      <c r="KWO1055" s="989"/>
      <c r="KWP1055" s="989"/>
      <c r="KWQ1055" s="989"/>
      <c r="KWR1055" s="989"/>
      <c r="KWS1055" s="989"/>
      <c r="KWT1055" s="989"/>
      <c r="KWU1055" s="989"/>
      <c r="KWV1055" s="989"/>
      <c r="KWW1055" s="989"/>
      <c r="KWX1055" s="989"/>
      <c r="KWY1055" s="989"/>
      <c r="KWZ1055" s="989"/>
      <c r="KXA1055" s="989"/>
      <c r="KXB1055" s="989"/>
      <c r="KXC1055" s="989"/>
      <c r="KXD1055" s="989"/>
      <c r="KXE1055" s="989"/>
      <c r="KXF1055" s="989"/>
      <c r="KXG1055" s="989"/>
      <c r="KXH1055" s="989"/>
      <c r="KXI1055" s="989"/>
      <c r="KXJ1055" s="989"/>
      <c r="KXK1055" s="989"/>
      <c r="KXL1055" s="989"/>
      <c r="KXM1055" s="989"/>
      <c r="KXN1055" s="989"/>
      <c r="KXO1055" s="989"/>
      <c r="KXP1055" s="989"/>
      <c r="KXQ1055" s="989"/>
      <c r="KXR1055" s="989"/>
      <c r="KXS1055" s="989"/>
      <c r="KXT1055" s="989"/>
      <c r="KXU1055" s="989"/>
      <c r="KXV1055" s="989"/>
      <c r="KXW1055" s="989"/>
      <c r="KXX1055" s="989"/>
      <c r="KXY1055" s="989"/>
      <c r="KXZ1055" s="989"/>
      <c r="KYA1055" s="989"/>
      <c r="KYB1055" s="989"/>
      <c r="KYC1055" s="989"/>
      <c r="KYD1055" s="989"/>
      <c r="KYE1055" s="989"/>
      <c r="KYF1055" s="989"/>
      <c r="KYG1055" s="989"/>
      <c r="KYH1055" s="989"/>
      <c r="KYI1055" s="989"/>
      <c r="KYJ1055" s="989"/>
      <c r="KYK1055" s="989"/>
      <c r="KYL1055" s="989"/>
      <c r="KYM1055" s="989"/>
      <c r="KYN1055" s="989"/>
      <c r="KYO1055" s="989"/>
      <c r="KYP1055" s="989"/>
      <c r="KYQ1055" s="989"/>
      <c r="KYR1055" s="989"/>
      <c r="KYS1055" s="989"/>
      <c r="KYT1055" s="989"/>
      <c r="KYU1055" s="989"/>
      <c r="KYV1055" s="989"/>
      <c r="KYW1055" s="989"/>
      <c r="KYX1055" s="989"/>
      <c r="KYY1055" s="989"/>
      <c r="KYZ1055" s="989"/>
      <c r="KZA1055" s="989"/>
      <c r="KZB1055" s="989"/>
      <c r="KZC1055" s="989"/>
      <c r="KZD1055" s="989"/>
      <c r="KZE1055" s="989"/>
      <c r="KZF1055" s="989"/>
      <c r="KZG1055" s="989"/>
      <c r="KZH1055" s="989"/>
      <c r="KZI1055" s="989"/>
      <c r="KZJ1055" s="989"/>
      <c r="KZK1055" s="989"/>
      <c r="KZL1055" s="989"/>
      <c r="KZM1055" s="989"/>
      <c r="KZN1055" s="989"/>
      <c r="KZO1055" s="989"/>
      <c r="KZP1055" s="989"/>
      <c r="KZQ1055" s="989"/>
      <c r="KZR1055" s="989"/>
      <c r="KZS1055" s="989"/>
      <c r="KZT1055" s="989"/>
      <c r="KZU1055" s="989"/>
      <c r="KZV1055" s="989"/>
      <c r="KZW1055" s="989"/>
      <c r="KZX1055" s="989"/>
      <c r="KZY1055" s="989"/>
      <c r="KZZ1055" s="989"/>
      <c r="LAA1055" s="989"/>
      <c r="LAB1055" s="989"/>
      <c r="LAC1055" s="989"/>
      <c r="LAD1055" s="989"/>
      <c r="LAE1055" s="989"/>
      <c r="LAF1055" s="989"/>
      <c r="LAG1055" s="989"/>
      <c r="LAH1055" s="989"/>
      <c r="LAI1055" s="989"/>
      <c r="LAJ1055" s="989"/>
      <c r="LAK1055" s="989"/>
      <c r="LAL1055" s="989"/>
      <c r="LAM1055" s="989"/>
      <c r="LAN1055" s="989"/>
      <c r="LAO1055" s="989"/>
      <c r="LAP1055" s="989"/>
      <c r="LAQ1055" s="989"/>
      <c r="LAR1055" s="989"/>
      <c r="LAS1055" s="989"/>
      <c r="LAT1055" s="989"/>
      <c r="LAU1055" s="989"/>
      <c r="LAV1055" s="989"/>
      <c r="LAW1055" s="989"/>
      <c r="LAX1055" s="989"/>
      <c r="LAY1055" s="989"/>
      <c r="LAZ1055" s="989"/>
      <c r="LBA1055" s="989"/>
      <c r="LBB1055" s="989"/>
      <c r="LBC1055" s="989"/>
      <c r="LBD1055" s="989"/>
      <c r="LBE1055" s="989"/>
      <c r="LBF1055" s="989"/>
      <c r="LBG1055" s="989"/>
      <c r="LBH1055" s="989"/>
      <c r="LBI1055" s="989"/>
      <c r="LBJ1055" s="989"/>
      <c r="LBK1055" s="989"/>
      <c r="LBL1055" s="989"/>
      <c r="LBM1055" s="989"/>
      <c r="LBN1055" s="989"/>
      <c r="LBO1055" s="989"/>
      <c r="LBP1055" s="989"/>
      <c r="LBQ1055" s="989"/>
      <c r="LBR1055" s="989"/>
      <c r="LBS1055" s="989"/>
      <c r="LBT1055" s="989"/>
      <c r="LBU1055" s="989"/>
      <c r="LBV1055" s="989"/>
      <c r="LBW1055" s="989"/>
      <c r="LBX1055" s="989"/>
      <c r="LBY1055" s="989"/>
      <c r="LBZ1055" s="989"/>
      <c r="LCA1055" s="989"/>
      <c r="LCB1055" s="989"/>
      <c r="LCC1055" s="989"/>
      <c r="LCD1055" s="989"/>
      <c r="LCE1055" s="989"/>
      <c r="LCF1055" s="989"/>
      <c r="LCG1055" s="989"/>
      <c r="LCH1055" s="989"/>
      <c r="LCI1055" s="989"/>
      <c r="LCJ1055" s="989"/>
      <c r="LCK1055" s="989"/>
      <c r="LCL1055" s="989"/>
      <c r="LCM1055" s="989"/>
      <c r="LCN1055" s="989"/>
      <c r="LCO1055" s="989"/>
      <c r="LCP1055" s="989"/>
      <c r="LCQ1055" s="989"/>
      <c r="LCR1055" s="989"/>
      <c r="LCS1055" s="989"/>
      <c r="LCT1055" s="989"/>
      <c r="LCU1055" s="989"/>
      <c r="LCV1055" s="989"/>
      <c r="LCW1055" s="989"/>
      <c r="LCX1055" s="989"/>
      <c r="LCY1055" s="989"/>
      <c r="LCZ1055" s="989"/>
      <c r="LDA1055" s="989"/>
      <c r="LDB1055" s="989"/>
      <c r="LDC1055" s="989"/>
      <c r="LDD1055" s="989"/>
      <c r="LDE1055" s="989"/>
      <c r="LDF1055" s="989"/>
      <c r="LDG1055" s="989"/>
      <c r="LDH1055" s="989"/>
      <c r="LDI1055" s="989"/>
      <c r="LDJ1055" s="989"/>
      <c r="LDK1055" s="989"/>
      <c r="LDL1055" s="989"/>
      <c r="LDM1055" s="989"/>
      <c r="LDN1055" s="989"/>
      <c r="LDO1055" s="989"/>
      <c r="LDP1055" s="989"/>
      <c r="LDQ1055" s="989"/>
      <c r="LDR1055" s="989"/>
      <c r="LDS1055" s="989"/>
      <c r="LDT1055" s="989"/>
      <c r="LDU1055" s="989"/>
      <c r="LDV1055" s="989"/>
      <c r="LDW1055" s="989"/>
      <c r="LDX1055" s="989"/>
      <c r="LDY1055" s="989"/>
      <c r="LDZ1055" s="989"/>
      <c r="LEA1055" s="989"/>
      <c r="LEB1055" s="989"/>
      <c r="LEC1055" s="989"/>
      <c r="LED1055" s="989"/>
      <c r="LEE1055" s="989"/>
      <c r="LEF1055" s="989"/>
      <c r="LEG1055" s="989"/>
      <c r="LEH1055" s="989"/>
      <c r="LEI1055" s="989"/>
      <c r="LEJ1055" s="989"/>
      <c r="LEK1055" s="989"/>
      <c r="LEL1055" s="989"/>
      <c r="LEM1055" s="989"/>
      <c r="LEN1055" s="989"/>
      <c r="LEO1055" s="989"/>
      <c r="LEP1055" s="989"/>
      <c r="LEQ1055" s="989"/>
      <c r="LER1055" s="989"/>
      <c r="LES1055" s="989"/>
      <c r="LET1055" s="989"/>
      <c r="LEU1055" s="989"/>
      <c r="LEV1055" s="989"/>
      <c r="LEW1055" s="989"/>
      <c r="LEX1055" s="989"/>
      <c r="LEY1055" s="989"/>
      <c r="LEZ1055" s="989"/>
      <c r="LFA1055" s="989"/>
      <c r="LFB1055" s="989"/>
      <c r="LFC1055" s="989"/>
      <c r="LFD1055" s="989"/>
      <c r="LFE1055" s="989"/>
      <c r="LFF1055" s="989"/>
      <c r="LFG1055" s="989"/>
      <c r="LFH1055" s="989"/>
      <c r="LFI1055" s="989"/>
      <c r="LFJ1055" s="989"/>
      <c r="LFK1055" s="989"/>
      <c r="LFL1055" s="989"/>
      <c r="LFM1055" s="989"/>
      <c r="LFN1055" s="989"/>
      <c r="LFO1055" s="989"/>
      <c r="LFP1055" s="989"/>
      <c r="LFQ1055" s="989"/>
      <c r="LFR1055" s="989"/>
      <c r="LFS1055" s="989"/>
      <c r="LFT1055" s="989"/>
      <c r="LFU1055" s="989"/>
      <c r="LFV1055" s="989"/>
      <c r="LFW1055" s="989"/>
      <c r="LFX1055" s="989"/>
      <c r="LFY1055" s="989"/>
      <c r="LFZ1055" s="989"/>
      <c r="LGA1055" s="989"/>
      <c r="LGB1055" s="989"/>
      <c r="LGC1055" s="989"/>
      <c r="LGD1055" s="989"/>
      <c r="LGE1055" s="989"/>
      <c r="LGF1055" s="989"/>
      <c r="LGG1055" s="989"/>
      <c r="LGH1055" s="989"/>
      <c r="LGI1055" s="989"/>
      <c r="LGJ1055" s="989"/>
      <c r="LGK1055" s="989"/>
      <c r="LGL1055" s="989"/>
      <c r="LGM1055" s="989"/>
      <c r="LGN1055" s="989"/>
      <c r="LGO1055" s="989"/>
      <c r="LGP1055" s="989"/>
      <c r="LGQ1055" s="989"/>
      <c r="LGR1055" s="989"/>
      <c r="LGS1055" s="989"/>
      <c r="LGT1055" s="989"/>
      <c r="LGU1055" s="989"/>
      <c r="LGV1055" s="989"/>
      <c r="LGW1055" s="989"/>
      <c r="LGX1055" s="989"/>
      <c r="LGY1055" s="989"/>
      <c r="LGZ1055" s="989"/>
      <c r="LHA1055" s="989"/>
      <c r="LHB1055" s="989"/>
      <c r="LHC1055" s="989"/>
      <c r="LHD1055" s="989"/>
      <c r="LHE1055" s="989"/>
      <c r="LHF1055" s="989"/>
      <c r="LHG1055" s="989"/>
      <c r="LHH1055" s="989"/>
      <c r="LHI1055" s="989"/>
      <c r="LHJ1055" s="989"/>
      <c r="LHK1055" s="989"/>
      <c r="LHL1055" s="989"/>
      <c r="LHM1055" s="989"/>
      <c r="LHN1055" s="989"/>
      <c r="LHO1055" s="989"/>
      <c r="LHP1055" s="989"/>
      <c r="LHQ1055" s="989"/>
      <c r="LHR1055" s="989"/>
      <c r="LHS1055" s="989"/>
      <c r="LHT1055" s="989"/>
      <c r="LHU1055" s="989"/>
      <c r="LHV1055" s="989"/>
      <c r="LHW1055" s="989"/>
      <c r="LHX1055" s="989"/>
      <c r="LHY1055" s="989"/>
      <c r="LHZ1055" s="989"/>
      <c r="LIA1055" s="989"/>
      <c r="LIB1055" s="989"/>
      <c r="LIC1055" s="989"/>
      <c r="LID1055" s="989"/>
      <c r="LIE1055" s="989"/>
      <c r="LIF1055" s="989"/>
      <c r="LIG1055" s="989"/>
      <c r="LIH1055" s="989"/>
      <c r="LII1055" s="989"/>
      <c r="LIJ1055" s="989"/>
      <c r="LIK1055" s="989"/>
      <c r="LIL1055" s="989"/>
      <c r="LIM1055" s="989"/>
      <c r="LIN1055" s="989"/>
      <c r="LIO1055" s="989"/>
      <c r="LIP1055" s="989"/>
      <c r="LIQ1055" s="989"/>
      <c r="LIR1055" s="989"/>
      <c r="LIS1055" s="989"/>
      <c r="LIT1055" s="989"/>
      <c r="LIU1055" s="989"/>
      <c r="LIV1055" s="989"/>
      <c r="LIW1055" s="989"/>
      <c r="LIX1055" s="989"/>
      <c r="LIY1055" s="989"/>
      <c r="LIZ1055" s="989"/>
      <c r="LJA1055" s="989"/>
      <c r="LJB1055" s="989"/>
      <c r="LJC1055" s="989"/>
      <c r="LJD1055" s="989"/>
      <c r="LJE1055" s="989"/>
      <c r="LJF1055" s="989"/>
      <c r="LJG1055" s="989"/>
      <c r="LJH1055" s="989"/>
      <c r="LJI1055" s="989"/>
      <c r="LJJ1055" s="989"/>
      <c r="LJK1055" s="989"/>
      <c r="LJL1055" s="989"/>
      <c r="LJM1055" s="989"/>
      <c r="LJN1055" s="989"/>
      <c r="LJO1055" s="989"/>
      <c r="LJP1055" s="989"/>
      <c r="LJQ1055" s="989"/>
      <c r="LJR1055" s="989"/>
      <c r="LJS1055" s="989"/>
      <c r="LJT1055" s="989"/>
      <c r="LJU1055" s="989"/>
      <c r="LJV1055" s="989"/>
      <c r="LJW1055" s="989"/>
      <c r="LJX1055" s="989"/>
      <c r="LJY1055" s="989"/>
      <c r="LJZ1055" s="989"/>
      <c r="LKA1055" s="989"/>
      <c r="LKB1055" s="989"/>
      <c r="LKC1055" s="989"/>
      <c r="LKD1055" s="989"/>
      <c r="LKE1055" s="989"/>
      <c r="LKF1055" s="989"/>
      <c r="LKG1055" s="989"/>
      <c r="LKH1055" s="989"/>
      <c r="LKI1055" s="989"/>
      <c r="LKJ1055" s="989"/>
      <c r="LKK1055" s="989"/>
      <c r="LKL1055" s="989"/>
      <c r="LKM1055" s="989"/>
      <c r="LKN1055" s="989"/>
      <c r="LKO1055" s="989"/>
      <c r="LKP1055" s="989"/>
      <c r="LKQ1055" s="989"/>
      <c r="LKR1055" s="989"/>
      <c r="LKS1055" s="989"/>
      <c r="LKT1055" s="989"/>
      <c r="LKU1055" s="989"/>
      <c r="LKV1055" s="989"/>
      <c r="LKW1055" s="989"/>
      <c r="LKX1055" s="989"/>
      <c r="LKY1055" s="989"/>
      <c r="LKZ1055" s="989"/>
      <c r="LLA1055" s="989"/>
      <c r="LLB1055" s="989"/>
      <c r="LLC1055" s="989"/>
      <c r="LLD1055" s="989"/>
      <c r="LLE1055" s="989"/>
      <c r="LLF1055" s="989"/>
      <c r="LLG1055" s="989"/>
      <c r="LLH1055" s="989"/>
      <c r="LLI1055" s="989"/>
      <c r="LLJ1055" s="989"/>
      <c r="LLK1055" s="989"/>
      <c r="LLL1055" s="989"/>
      <c r="LLM1055" s="989"/>
      <c r="LLN1055" s="989"/>
      <c r="LLO1055" s="989"/>
      <c r="LLP1055" s="989"/>
      <c r="LLQ1055" s="989"/>
      <c r="LLR1055" s="989"/>
      <c r="LLS1055" s="989"/>
      <c r="LLT1055" s="989"/>
      <c r="LLU1055" s="989"/>
      <c r="LLV1055" s="989"/>
      <c r="LLW1055" s="989"/>
      <c r="LLX1055" s="989"/>
      <c r="LLY1055" s="989"/>
      <c r="LLZ1055" s="989"/>
      <c r="LMA1055" s="989"/>
      <c r="LMB1055" s="989"/>
      <c r="LMC1055" s="989"/>
      <c r="LMD1055" s="989"/>
      <c r="LME1055" s="989"/>
      <c r="LMF1055" s="989"/>
      <c r="LMG1055" s="989"/>
      <c r="LMH1055" s="989"/>
      <c r="LMI1055" s="989"/>
      <c r="LMJ1055" s="989"/>
      <c r="LMK1055" s="989"/>
      <c r="LML1055" s="989"/>
      <c r="LMM1055" s="989"/>
      <c r="LMN1055" s="989"/>
      <c r="LMO1055" s="989"/>
      <c r="LMP1055" s="989"/>
      <c r="LMQ1055" s="989"/>
      <c r="LMR1055" s="989"/>
      <c r="LMS1055" s="989"/>
      <c r="LMT1055" s="989"/>
      <c r="LMU1055" s="989"/>
      <c r="LMV1055" s="989"/>
      <c r="LMW1055" s="989"/>
      <c r="LMX1055" s="989"/>
      <c r="LMY1055" s="989"/>
      <c r="LMZ1055" s="989"/>
      <c r="LNA1055" s="989"/>
      <c r="LNB1055" s="989"/>
      <c r="LNC1055" s="989"/>
      <c r="LND1055" s="989"/>
      <c r="LNE1055" s="989"/>
      <c r="LNF1055" s="989"/>
      <c r="LNG1055" s="989"/>
      <c r="LNH1055" s="989"/>
      <c r="LNI1055" s="989"/>
      <c r="LNJ1055" s="989"/>
      <c r="LNK1055" s="989"/>
      <c r="LNL1055" s="989"/>
      <c r="LNM1055" s="989"/>
      <c r="LNN1055" s="989"/>
      <c r="LNO1055" s="989"/>
      <c r="LNP1055" s="989"/>
      <c r="LNQ1055" s="989"/>
      <c r="LNR1055" s="989"/>
      <c r="LNS1055" s="989"/>
      <c r="LNT1055" s="989"/>
      <c r="LNU1055" s="989"/>
      <c r="LNV1055" s="989"/>
      <c r="LNW1055" s="989"/>
      <c r="LNX1055" s="989"/>
      <c r="LNY1055" s="989"/>
      <c r="LNZ1055" s="989"/>
      <c r="LOA1055" s="989"/>
      <c r="LOB1055" s="989"/>
      <c r="LOC1055" s="989"/>
      <c r="LOD1055" s="989"/>
      <c r="LOE1055" s="989"/>
      <c r="LOF1055" s="989"/>
      <c r="LOG1055" s="989"/>
      <c r="LOH1055" s="989"/>
      <c r="LOI1055" s="989"/>
      <c r="LOJ1055" s="989"/>
      <c r="LOK1055" s="989"/>
      <c r="LOL1055" s="989"/>
      <c r="LOM1055" s="989"/>
      <c r="LON1055" s="989"/>
      <c r="LOO1055" s="989"/>
      <c r="LOP1055" s="989"/>
      <c r="LOQ1055" s="989"/>
      <c r="LOR1055" s="989"/>
      <c r="LOS1055" s="989"/>
      <c r="LOT1055" s="989"/>
      <c r="LOU1055" s="989"/>
      <c r="LOV1055" s="989"/>
      <c r="LOW1055" s="989"/>
      <c r="LOX1055" s="989"/>
      <c r="LOY1055" s="989"/>
      <c r="LOZ1055" s="989"/>
      <c r="LPA1055" s="989"/>
      <c r="LPB1055" s="989"/>
      <c r="LPC1055" s="989"/>
      <c r="LPD1055" s="989"/>
      <c r="LPE1055" s="989"/>
      <c r="LPF1055" s="989"/>
      <c r="LPG1055" s="989"/>
      <c r="LPH1055" s="989"/>
      <c r="LPI1055" s="989"/>
      <c r="LPJ1055" s="989"/>
      <c r="LPK1055" s="989"/>
      <c r="LPL1055" s="989"/>
      <c r="LPM1055" s="989"/>
      <c r="LPN1055" s="989"/>
      <c r="LPO1055" s="989"/>
      <c r="LPP1055" s="989"/>
      <c r="LPQ1055" s="989"/>
      <c r="LPR1055" s="989"/>
      <c r="LPS1055" s="989"/>
      <c r="LPT1055" s="989"/>
      <c r="LPU1055" s="989"/>
      <c r="LPV1055" s="989"/>
      <c r="LPW1055" s="989"/>
      <c r="LPX1055" s="989"/>
      <c r="LPY1055" s="989"/>
      <c r="LPZ1055" s="989"/>
      <c r="LQA1055" s="989"/>
      <c r="LQB1055" s="989"/>
      <c r="LQC1055" s="989"/>
      <c r="LQD1055" s="989"/>
      <c r="LQE1055" s="989"/>
      <c r="LQF1055" s="989"/>
      <c r="LQG1055" s="989"/>
      <c r="LQH1055" s="989"/>
      <c r="LQI1055" s="989"/>
      <c r="LQJ1055" s="989"/>
      <c r="LQK1055" s="989"/>
      <c r="LQL1055" s="989"/>
      <c r="LQM1055" s="989"/>
      <c r="LQN1055" s="989"/>
      <c r="LQO1055" s="989"/>
      <c r="LQP1055" s="989"/>
      <c r="LQQ1055" s="989"/>
      <c r="LQR1055" s="989"/>
      <c r="LQS1055" s="989"/>
      <c r="LQT1055" s="989"/>
      <c r="LQU1055" s="989"/>
      <c r="LQV1055" s="989"/>
      <c r="LQW1055" s="989"/>
      <c r="LQX1055" s="989"/>
      <c r="LQY1055" s="989"/>
      <c r="LQZ1055" s="989"/>
      <c r="LRA1055" s="989"/>
      <c r="LRB1055" s="989"/>
      <c r="LRC1055" s="989"/>
      <c r="LRD1055" s="989"/>
      <c r="LRE1055" s="989"/>
      <c r="LRF1055" s="989"/>
      <c r="LRG1055" s="989"/>
      <c r="LRH1055" s="989"/>
      <c r="LRI1055" s="989"/>
      <c r="LRJ1055" s="989"/>
      <c r="LRK1055" s="989"/>
      <c r="LRL1055" s="989"/>
      <c r="LRM1055" s="989"/>
      <c r="LRN1055" s="989"/>
      <c r="LRO1055" s="989"/>
      <c r="LRP1055" s="989"/>
      <c r="LRQ1055" s="989"/>
      <c r="LRR1055" s="989"/>
      <c r="LRS1055" s="989"/>
      <c r="LRT1055" s="989"/>
      <c r="LRU1055" s="989"/>
      <c r="LRV1055" s="989"/>
      <c r="LRW1055" s="989"/>
      <c r="LRX1055" s="989"/>
      <c r="LRY1055" s="989"/>
      <c r="LRZ1055" s="989"/>
      <c r="LSA1055" s="989"/>
      <c r="LSB1055" s="989"/>
      <c r="LSC1055" s="989"/>
      <c r="LSD1055" s="989"/>
      <c r="LSE1055" s="989"/>
      <c r="LSF1055" s="989"/>
      <c r="LSG1055" s="989"/>
      <c r="LSH1055" s="989"/>
      <c r="LSI1055" s="989"/>
      <c r="LSJ1055" s="989"/>
      <c r="LSK1055" s="989"/>
      <c r="LSL1055" s="989"/>
      <c r="LSM1055" s="989"/>
      <c r="LSN1055" s="989"/>
      <c r="LSO1055" s="989"/>
      <c r="LSP1055" s="989"/>
      <c r="LSQ1055" s="989"/>
      <c r="LSR1055" s="989"/>
      <c r="LSS1055" s="989"/>
      <c r="LST1055" s="989"/>
      <c r="LSU1055" s="989"/>
      <c r="LSV1055" s="989"/>
      <c r="LSW1055" s="989"/>
      <c r="LSX1055" s="989"/>
      <c r="LSY1055" s="989"/>
      <c r="LSZ1055" s="989"/>
      <c r="LTA1055" s="989"/>
      <c r="LTB1055" s="989"/>
      <c r="LTC1055" s="989"/>
      <c r="LTD1055" s="989"/>
      <c r="LTE1055" s="989"/>
      <c r="LTF1055" s="989"/>
      <c r="LTG1055" s="989"/>
      <c r="LTH1055" s="989"/>
      <c r="LTI1055" s="989"/>
      <c r="LTJ1055" s="989"/>
      <c r="LTK1055" s="989"/>
      <c r="LTL1055" s="989"/>
      <c r="LTM1055" s="989"/>
      <c r="LTN1055" s="989"/>
      <c r="LTO1055" s="989"/>
      <c r="LTP1055" s="989"/>
      <c r="LTQ1055" s="989"/>
      <c r="LTR1055" s="989"/>
      <c r="LTS1055" s="989"/>
      <c r="LTT1055" s="989"/>
      <c r="LTU1055" s="989"/>
      <c r="LTV1055" s="989"/>
      <c r="LTW1055" s="989"/>
      <c r="LTX1055" s="989"/>
      <c r="LTY1055" s="989"/>
      <c r="LTZ1055" s="989"/>
      <c r="LUA1055" s="989"/>
      <c r="LUB1055" s="989"/>
      <c r="LUC1055" s="989"/>
      <c r="LUD1055" s="989"/>
      <c r="LUE1055" s="989"/>
      <c r="LUF1055" s="989"/>
      <c r="LUG1055" s="989"/>
      <c r="LUH1055" s="989"/>
      <c r="LUI1055" s="989"/>
      <c r="LUJ1055" s="989"/>
      <c r="LUK1055" s="989"/>
      <c r="LUL1055" s="989"/>
      <c r="LUM1055" s="989"/>
      <c r="LUN1055" s="989"/>
      <c r="LUO1055" s="989"/>
      <c r="LUP1055" s="989"/>
      <c r="LUQ1055" s="989"/>
      <c r="LUR1055" s="989"/>
      <c r="LUS1055" s="989"/>
      <c r="LUT1055" s="989"/>
      <c r="LUU1055" s="989"/>
      <c r="LUV1055" s="989"/>
      <c r="LUW1055" s="989"/>
      <c r="LUX1055" s="989"/>
      <c r="LUY1055" s="989"/>
      <c r="LUZ1055" s="989"/>
      <c r="LVA1055" s="989"/>
      <c r="LVB1055" s="989"/>
      <c r="LVC1055" s="989"/>
      <c r="LVD1055" s="989"/>
      <c r="LVE1055" s="989"/>
      <c r="LVF1055" s="989"/>
      <c r="LVG1055" s="989"/>
      <c r="LVH1055" s="989"/>
      <c r="LVI1055" s="989"/>
      <c r="LVJ1055" s="989"/>
      <c r="LVK1055" s="989"/>
      <c r="LVL1055" s="989"/>
      <c r="LVM1055" s="989"/>
      <c r="LVN1055" s="989"/>
      <c r="LVO1055" s="989"/>
      <c r="LVP1055" s="989"/>
      <c r="LVQ1055" s="989"/>
      <c r="LVR1055" s="989"/>
      <c r="LVS1055" s="989"/>
      <c r="LVT1055" s="989"/>
      <c r="LVU1055" s="989"/>
      <c r="LVV1055" s="989"/>
      <c r="LVW1055" s="989"/>
      <c r="LVX1055" s="989"/>
      <c r="LVY1055" s="989"/>
      <c r="LVZ1055" s="989"/>
      <c r="LWA1055" s="989"/>
      <c r="LWB1055" s="989"/>
      <c r="LWC1055" s="989"/>
      <c r="LWD1055" s="989"/>
      <c r="LWE1055" s="989"/>
      <c r="LWF1055" s="989"/>
      <c r="LWG1055" s="989"/>
      <c r="LWH1055" s="989"/>
      <c r="LWI1055" s="989"/>
      <c r="LWJ1055" s="989"/>
      <c r="LWK1055" s="989"/>
      <c r="LWL1055" s="989"/>
      <c r="LWM1055" s="989"/>
      <c r="LWN1055" s="989"/>
      <c r="LWO1055" s="989"/>
      <c r="LWP1055" s="989"/>
      <c r="LWQ1055" s="989"/>
      <c r="LWR1055" s="989"/>
      <c r="LWS1055" s="989"/>
      <c r="LWT1055" s="989"/>
      <c r="LWU1055" s="989"/>
      <c r="LWV1055" s="989"/>
      <c r="LWW1055" s="989"/>
      <c r="LWX1055" s="989"/>
      <c r="LWY1055" s="989"/>
      <c r="LWZ1055" s="989"/>
      <c r="LXA1055" s="989"/>
      <c r="LXB1055" s="989"/>
      <c r="LXC1055" s="989"/>
      <c r="LXD1055" s="989"/>
      <c r="LXE1055" s="989"/>
      <c r="LXF1055" s="989"/>
      <c r="LXG1055" s="989"/>
      <c r="LXH1055" s="989"/>
      <c r="LXI1055" s="989"/>
      <c r="LXJ1055" s="989"/>
      <c r="LXK1055" s="989"/>
      <c r="LXL1055" s="989"/>
      <c r="LXM1055" s="989"/>
      <c r="LXN1055" s="989"/>
      <c r="LXO1055" s="989"/>
      <c r="LXP1055" s="989"/>
      <c r="LXQ1055" s="989"/>
      <c r="LXR1055" s="989"/>
      <c r="LXS1055" s="989"/>
      <c r="LXT1055" s="989"/>
      <c r="LXU1055" s="989"/>
      <c r="LXV1055" s="989"/>
      <c r="LXW1055" s="989"/>
      <c r="LXX1055" s="989"/>
      <c r="LXY1055" s="989"/>
      <c r="LXZ1055" s="989"/>
      <c r="LYA1055" s="989"/>
      <c r="LYB1055" s="989"/>
      <c r="LYC1055" s="989"/>
      <c r="LYD1055" s="989"/>
      <c r="LYE1055" s="989"/>
      <c r="LYF1055" s="989"/>
      <c r="LYG1055" s="989"/>
      <c r="LYH1055" s="989"/>
      <c r="LYI1055" s="989"/>
      <c r="LYJ1055" s="989"/>
      <c r="LYK1055" s="989"/>
      <c r="LYL1055" s="989"/>
      <c r="LYM1055" s="989"/>
      <c r="LYN1055" s="989"/>
      <c r="LYO1055" s="989"/>
      <c r="LYP1055" s="989"/>
      <c r="LYQ1055" s="989"/>
      <c r="LYR1055" s="989"/>
      <c r="LYS1055" s="989"/>
      <c r="LYT1055" s="989"/>
      <c r="LYU1055" s="989"/>
      <c r="LYV1055" s="989"/>
      <c r="LYW1055" s="989"/>
      <c r="LYX1055" s="989"/>
      <c r="LYY1055" s="989"/>
      <c r="LYZ1055" s="989"/>
      <c r="LZA1055" s="989"/>
      <c r="LZB1055" s="989"/>
      <c r="LZC1055" s="989"/>
      <c r="LZD1055" s="989"/>
      <c r="LZE1055" s="989"/>
      <c r="LZF1055" s="989"/>
      <c r="LZG1055" s="989"/>
      <c r="LZH1055" s="989"/>
      <c r="LZI1055" s="989"/>
      <c r="LZJ1055" s="989"/>
      <c r="LZK1055" s="989"/>
      <c r="LZL1055" s="989"/>
      <c r="LZM1055" s="989"/>
      <c r="LZN1055" s="989"/>
      <c r="LZO1055" s="989"/>
      <c r="LZP1055" s="989"/>
      <c r="LZQ1055" s="989"/>
      <c r="LZR1055" s="989"/>
      <c r="LZS1055" s="989"/>
      <c r="LZT1055" s="989"/>
      <c r="LZU1055" s="989"/>
      <c r="LZV1055" s="989"/>
      <c r="LZW1055" s="989"/>
      <c r="LZX1055" s="989"/>
      <c r="LZY1055" s="989"/>
      <c r="LZZ1055" s="989"/>
      <c r="MAA1055" s="989"/>
      <c r="MAB1055" s="989"/>
      <c r="MAC1055" s="989"/>
      <c r="MAD1055" s="989"/>
      <c r="MAE1055" s="989"/>
      <c r="MAF1055" s="989"/>
      <c r="MAG1055" s="989"/>
      <c r="MAH1055" s="989"/>
      <c r="MAI1055" s="989"/>
      <c r="MAJ1055" s="989"/>
      <c r="MAK1055" s="989"/>
      <c r="MAL1055" s="989"/>
      <c r="MAM1055" s="989"/>
      <c r="MAN1055" s="989"/>
      <c r="MAO1055" s="989"/>
      <c r="MAP1055" s="989"/>
      <c r="MAQ1055" s="989"/>
      <c r="MAR1055" s="989"/>
      <c r="MAS1055" s="989"/>
      <c r="MAT1055" s="989"/>
      <c r="MAU1055" s="989"/>
      <c r="MAV1055" s="989"/>
      <c r="MAW1055" s="989"/>
      <c r="MAX1055" s="989"/>
      <c r="MAY1055" s="989"/>
      <c r="MAZ1055" s="989"/>
      <c r="MBA1055" s="989"/>
      <c r="MBB1055" s="989"/>
      <c r="MBC1055" s="989"/>
      <c r="MBD1055" s="989"/>
      <c r="MBE1055" s="989"/>
      <c r="MBF1055" s="989"/>
      <c r="MBG1055" s="989"/>
      <c r="MBH1055" s="989"/>
      <c r="MBI1055" s="989"/>
      <c r="MBJ1055" s="989"/>
      <c r="MBK1055" s="989"/>
      <c r="MBL1055" s="989"/>
      <c r="MBM1055" s="989"/>
      <c r="MBN1055" s="989"/>
      <c r="MBO1055" s="989"/>
      <c r="MBP1055" s="989"/>
      <c r="MBQ1055" s="989"/>
      <c r="MBR1055" s="989"/>
      <c r="MBS1055" s="989"/>
      <c r="MBT1055" s="989"/>
      <c r="MBU1055" s="989"/>
      <c r="MBV1055" s="989"/>
      <c r="MBW1055" s="989"/>
      <c r="MBX1055" s="989"/>
      <c r="MBY1055" s="989"/>
      <c r="MBZ1055" s="989"/>
      <c r="MCA1055" s="989"/>
      <c r="MCB1055" s="989"/>
      <c r="MCC1055" s="989"/>
      <c r="MCD1055" s="989"/>
      <c r="MCE1055" s="989"/>
      <c r="MCF1055" s="989"/>
      <c r="MCG1055" s="989"/>
      <c r="MCH1055" s="989"/>
      <c r="MCI1055" s="989"/>
      <c r="MCJ1055" s="989"/>
      <c r="MCK1055" s="989"/>
      <c r="MCL1055" s="989"/>
      <c r="MCM1055" s="989"/>
      <c r="MCN1055" s="989"/>
      <c r="MCO1055" s="989"/>
      <c r="MCP1055" s="989"/>
      <c r="MCQ1055" s="989"/>
      <c r="MCR1055" s="989"/>
      <c r="MCS1055" s="989"/>
      <c r="MCT1055" s="989"/>
      <c r="MCU1055" s="989"/>
      <c r="MCV1055" s="989"/>
      <c r="MCW1055" s="989"/>
      <c r="MCX1055" s="989"/>
      <c r="MCY1055" s="989"/>
      <c r="MCZ1055" s="989"/>
      <c r="MDA1055" s="989"/>
      <c r="MDB1055" s="989"/>
      <c r="MDC1055" s="989"/>
      <c r="MDD1055" s="989"/>
      <c r="MDE1055" s="989"/>
      <c r="MDF1055" s="989"/>
      <c r="MDG1055" s="989"/>
      <c r="MDH1055" s="989"/>
      <c r="MDI1055" s="989"/>
      <c r="MDJ1055" s="989"/>
      <c r="MDK1055" s="989"/>
      <c r="MDL1055" s="989"/>
      <c r="MDM1055" s="989"/>
      <c r="MDN1055" s="989"/>
      <c r="MDO1055" s="989"/>
      <c r="MDP1055" s="989"/>
      <c r="MDQ1055" s="989"/>
      <c r="MDR1055" s="989"/>
      <c r="MDS1055" s="989"/>
      <c r="MDT1055" s="989"/>
      <c r="MDU1055" s="989"/>
      <c r="MDV1055" s="989"/>
      <c r="MDW1055" s="989"/>
      <c r="MDX1055" s="989"/>
      <c r="MDY1055" s="989"/>
      <c r="MDZ1055" s="989"/>
      <c r="MEA1055" s="989"/>
      <c r="MEB1055" s="989"/>
      <c r="MEC1055" s="989"/>
      <c r="MED1055" s="989"/>
      <c r="MEE1055" s="989"/>
      <c r="MEF1055" s="989"/>
      <c r="MEG1055" s="989"/>
      <c r="MEH1055" s="989"/>
      <c r="MEI1055" s="989"/>
      <c r="MEJ1055" s="989"/>
      <c r="MEK1055" s="989"/>
      <c r="MEL1055" s="989"/>
      <c r="MEM1055" s="989"/>
      <c r="MEN1055" s="989"/>
      <c r="MEO1055" s="989"/>
      <c r="MEP1055" s="989"/>
      <c r="MEQ1055" s="989"/>
      <c r="MER1055" s="989"/>
      <c r="MES1055" s="989"/>
      <c r="MET1055" s="989"/>
      <c r="MEU1055" s="989"/>
      <c r="MEV1055" s="989"/>
      <c r="MEW1055" s="989"/>
      <c r="MEX1055" s="989"/>
      <c r="MEY1055" s="989"/>
      <c r="MEZ1055" s="989"/>
      <c r="MFA1055" s="989"/>
      <c r="MFB1055" s="989"/>
      <c r="MFC1055" s="989"/>
      <c r="MFD1055" s="989"/>
      <c r="MFE1055" s="989"/>
      <c r="MFF1055" s="989"/>
      <c r="MFG1055" s="989"/>
      <c r="MFH1055" s="989"/>
      <c r="MFI1055" s="989"/>
      <c r="MFJ1055" s="989"/>
      <c r="MFK1055" s="989"/>
      <c r="MFL1055" s="989"/>
      <c r="MFM1055" s="989"/>
      <c r="MFN1055" s="989"/>
      <c r="MFO1055" s="989"/>
      <c r="MFP1055" s="989"/>
      <c r="MFQ1055" s="989"/>
      <c r="MFR1055" s="989"/>
      <c r="MFS1055" s="989"/>
      <c r="MFT1055" s="989"/>
      <c r="MFU1055" s="989"/>
      <c r="MFV1055" s="989"/>
      <c r="MFW1055" s="989"/>
      <c r="MFX1055" s="989"/>
      <c r="MFY1055" s="989"/>
      <c r="MFZ1055" s="989"/>
      <c r="MGA1055" s="989"/>
      <c r="MGB1055" s="989"/>
      <c r="MGC1055" s="989"/>
      <c r="MGD1055" s="989"/>
      <c r="MGE1055" s="989"/>
      <c r="MGF1055" s="989"/>
      <c r="MGG1055" s="989"/>
      <c r="MGH1055" s="989"/>
      <c r="MGI1055" s="989"/>
      <c r="MGJ1055" s="989"/>
      <c r="MGK1055" s="989"/>
      <c r="MGL1055" s="989"/>
      <c r="MGM1055" s="989"/>
      <c r="MGN1055" s="989"/>
      <c r="MGO1055" s="989"/>
      <c r="MGP1055" s="989"/>
      <c r="MGQ1055" s="989"/>
      <c r="MGR1055" s="989"/>
      <c r="MGS1055" s="989"/>
      <c r="MGT1055" s="989"/>
      <c r="MGU1055" s="989"/>
      <c r="MGV1055" s="989"/>
      <c r="MGW1055" s="989"/>
      <c r="MGX1055" s="989"/>
      <c r="MGY1055" s="989"/>
      <c r="MGZ1055" s="989"/>
      <c r="MHA1055" s="989"/>
      <c r="MHB1055" s="989"/>
      <c r="MHC1055" s="989"/>
      <c r="MHD1055" s="989"/>
      <c r="MHE1055" s="989"/>
      <c r="MHF1055" s="989"/>
      <c r="MHG1055" s="989"/>
      <c r="MHH1055" s="989"/>
      <c r="MHI1055" s="989"/>
      <c r="MHJ1055" s="989"/>
      <c r="MHK1055" s="989"/>
      <c r="MHL1055" s="989"/>
      <c r="MHM1055" s="989"/>
      <c r="MHN1055" s="989"/>
      <c r="MHO1055" s="989"/>
      <c r="MHP1055" s="989"/>
      <c r="MHQ1055" s="989"/>
      <c r="MHR1055" s="989"/>
      <c r="MHS1055" s="989"/>
      <c r="MHT1055" s="989"/>
      <c r="MHU1055" s="989"/>
      <c r="MHV1055" s="989"/>
      <c r="MHW1055" s="989"/>
      <c r="MHX1055" s="989"/>
      <c r="MHY1055" s="989"/>
      <c r="MHZ1055" s="989"/>
      <c r="MIA1055" s="989"/>
      <c r="MIB1055" s="989"/>
      <c r="MIC1055" s="989"/>
      <c r="MID1055" s="989"/>
      <c r="MIE1055" s="989"/>
      <c r="MIF1055" s="989"/>
      <c r="MIG1055" s="989"/>
      <c r="MIH1055" s="989"/>
      <c r="MII1055" s="989"/>
      <c r="MIJ1055" s="989"/>
      <c r="MIK1055" s="989"/>
      <c r="MIL1055" s="989"/>
      <c r="MIM1055" s="989"/>
      <c r="MIN1055" s="989"/>
      <c r="MIO1055" s="989"/>
      <c r="MIP1055" s="989"/>
      <c r="MIQ1055" s="989"/>
      <c r="MIR1055" s="989"/>
      <c r="MIS1055" s="989"/>
      <c r="MIT1055" s="989"/>
      <c r="MIU1055" s="989"/>
      <c r="MIV1055" s="989"/>
      <c r="MIW1055" s="989"/>
      <c r="MIX1055" s="989"/>
      <c r="MIY1055" s="989"/>
      <c r="MIZ1055" s="989"/>
      <c r="MJA1055" s="989"/>
      <c r="MJB1055" s="989"/>
      <c r="MJC1055" s="989"/>
      <c r="MJD1055" s="989"/>
      <c r="MJE1055" s="989"/>
      <c r="MJF1055" s="989"/>
      <c r="MJG1055" s="989"/>
      <c r="MJH1055" s="989"/>
      <c r="MJI1055" s="989"/>
      <c r="MJJ1055" s="989"/>
      <c r="MJK1055" s="989"/>
      <c r="MJL1055" s="989"/>
      <c r="MJM1055" s="989"/>
      <c r="MJN1055" s="989"/>
      <c r="MJO1055" s="989"/>
      <c r="MJP1055" s="989"/>
      <c r="MJQ1055" s="989"/>
      <c r="MJR1055" s="989"/>
      <c r="MJS1055" s="989"/>
      <c r="MJT1055" s="989"/>
      <c r="MJU1055" s="989"/>
      <c r="MJV1055" s="989"/>
      <c r="MJW1055" s="989"/>
      <c r="MJX1055" s="989"/>
      <c r="MJY1055" s="989"/>
      <c r="MJZ1055" s="989"/>
      <c r="MKA1055" s="989"/>
      <c r="MKB1055" s="989"/>
      <c r="MKC1055" s="989"/>
      <c r="MKD1055" s="989"/>
      <c r="MKE1055" s="989"/>
      <c r="MKF1055" s="989"/>
      <c r="MKG1055" s="989"/>
      <c r="MKH1055" s="989"/>
      <c r="MKI1055" s="989"/>
      <c r="MKJ1055" s="989"/>
      <c r="MKK1055" s="989"/>
      <c r="MKL1055" s="989"/>
      <c r="MKM1055" s="989"/>
      <c r="MKN1055" s="989"/>
      <c r="MKO1055" s="989"/>
      <c r="MKP1055" s="989"/>
      <c r="MKQ1055" s="989"/>
      <c r="MKR1055" s="989"/>
      <c r="MKS1055" s="989"/>
      <c r="MKT1055" s="989"/>
      <c r="MKU1055" s="989"/>
      <c r="MKV1055" s="989"/>
      <c r="MKW1055" s="989"/>
      <c r="MKX1055" s="989"/>
      <c r="MKY1055" s="989"/>
      <c r="MKZ1055" s="989"/>
      <c r="MLA1055" s="989"/>
      <c r="MLB1055" s="989"/>
      <c r="MLC1055" s="989"/>
      <c r="MLD1055" s="989"/>
      <c r="MLE1055" s="989"/>
      <c r="MLF1055" s="989"/>
      <c r="MLG1055" s="989"/>
      <c r="MLH1055" s="989"/>
      <c r="MLI1055" s="989"/>
      <c r="MLJ1055" s="989"/>
      <c r="MLK1055" s="989"/>
      <c r="MLL1055" s="989"/>
      <c r="MLM1055" s="989"/>
      <c r="MLN1055" s="989"/>
      <c r="MLO1055" s="989"/>
      <c r="MLP1055" s="989"/>
      <c r="MLQ1055" s="989"/>
      <c r="MLR1055" s="989"/>
      <c r="MLS1055" s="989"/>
      <c r="MLT1055" s="989"/>
      <c r="MLU1055" s="989"/>
      <c r="MLV1055" s="989"/>
      <c r="MLW1055" s="989"/>
      <c r="MLX1055" s="989"/>
      <c r="MLY1055" s="989"/>
      <c r="MLZ1055" s="989"/>
      <c r="MMA1055" s="989"/>
      <c r="MMB1055" s="989"/>
      <c r="MMC1055" s="989"/>
      <c r="MMD1055" s="989"/>
      <c r="MME1055" s="989"/>
      <c r="MMF1055" s="989"/>
      <c r="MMG1055" s="989"/>
      <c r="MMH1055" s="989"/>
      <c r="MMI1055" s="989"/>
      <c r="MMJ1055" s="989"/>
      <c r="MMK1055" s="989"/>
      <c r="MML1055" s="989"/>
      <c r="MMM1055" s="989"/>
      <c r="MMN1055" s="989"/>
      <c r="MMO1055" s="989"/>
      <c r="MMP1055" s="989"/>
      <c r="MMQ1055" s="989"/>
      <c r="MMR1055" s="989"/>
      <c r="MMS1055" s="989"/>
      <c r="MMT1055" s="989"/>
      <c r="MMU1055" s="989"/>
      <c r="MMV1055" s="989"/>
      <c r="MMW1055" s="989"/>
      <c r="MMX1055" s="989"/>
      <c r="MMY1055" s="989"/>
      <c r="MMZ1055" s="989"/>
      <c r="MNA1055" s="989"/>
      <c r="MNB1055" s="989"/>
      <c r="MNC1055" s="989"/>
      <c r="MND1055" s="989"/>
      <c r="MNE1055" s="989"/>
      <c r="MNF1055" s="989"/>
      <c r="MNG1055" s="989"/>
      <c r="MNH1055" s="989"/>
      <c r="MNI1055" s="989"/>
      <c r="MNJ1055" s="989"/>
      <c r="MNK1055" s="989"/>
      <c r="MNL1055" s="989"/>
      <c r="MNM1055" s="989"/>
      <c r="MNN1055" s="989"/>
      <c r="MNO1055" s="989"/>
      <c r="MNP1055" s="989"/>
      <c r="MNQ1055" s="989"/>
      <c r="MNR1055" s="989"/>
      <c r="MNS1055" s="989"/>
      <c r="MNT1055" s="989"/>
      <c r="MNU1055" s="989"/>
      <c r="MNV1055" s="989"/>
      <c r="MNW1055" s="989"/>
      <c r="MNX1055" s="989"/>
      <c r="MNY1055" s="989"/>
      <c r="MNZ1055" s="989"/>
      <c r="MOA1055" s="989"/>
      <c r="MOB1055" s="989"/>
      <c r="MOC1055" s="989"/>
      <c r="MOD1055" s="989"/>
      <c r="MOE1055" s="989"/>
      <c r="MOF1055" s="989"/>
      <c r="MOG1055" s="989"/>
      <c r="MOH1055" s="989"/>
      <c r="MOI1055" s="989"/>
      <c r="MOJ1055" s="989"/>
      <c r="MOK1055" s="989"/>
      <c r="MOL1055" s="989"/>
      <c r="MOM1055" s="989"/>
      <c r="MON1055" s="989"/>
      <c r="MOO1055" s="989"/>
      <c r="MOP1055" s="989"/>
      <c r="MOQ1055" s="989"/>
      <c r="MOR1055" s="989"/>
      <c r="MOS1055" s="989"/>
      <c r="MOT1055" s="989"/>
      <c r="MOU1055" s="989"/>
      <c r="MOV1055" s="989"/>
      <c r="MOW1055" s="989"/>
      <c r="MOX1055" s="989"/>
      <c r="MOY1055" s="989"/>
      <c r="MOZ1055" s="989"/>
      <c r="MPA1055" s="989"/>
      <c r="MPB1055" s="989"/>
      <c r="MPC1055" s="989"/>
      <c r="MPD1055" s="989"/>
      <c r="MPE1055" s="989"/>
      <c r="MPF1055" s="989"/>
      <c r="MPG1055" s="989"/>
      <c r="MPH1055" s="989"/>
      <c r="MPI1055" s="989"/>
      <c r="MPJ1055" s="989"/>
      <c r="MPK1055" s="989"/>
      <c r="MPL1055" s="989"/>
      <c r="MPM1055" s="989"/>
      <c r="MPN1055" s="989"/>
      <c r="MPO1055" s="989"/>
      <c r="MPP1055" s="989"/>
      <c r="MPQ1055" s="989"/>
      <c r="MPR1055" s="989"/>
      <c r="MPS1055" s="989"/>
      <c r="MPT1055" s="989"/>
      <c r="MPU1055" s="989"/>
      <c r="MPV1055" s="989"/>
      <c r="MPW1055" s="989"/>
      <c r="MPX1055" s="989"/>
      <c r="MPY1055" s="989"/>
      <c r="MPZ1055" s="989"/>
      <c r="MQA1055" s="989"/>
      <c r="MQB1055" s="989"/>
      <c r="MQC1055" s="989"/>
      <c r="MQD1055" s="989"/>
      <c r="MQE1055" s="989"/>
      <c r="MQF1055" s="989"/>
      <c r="MQG1055" s="989"/>
      <c r="MQH1055" s="989"/>
      <c r="MQI1055" s="989"/>
      <c r="MQJ1055" s="989"/>
      <c r="MQK1055" s="989"/>
      <c r="MQL1055" s="989"/>
      <c r="MQM1055" s="989"/>
      <c r="MQN1055" s="989"/>
      <c r="MQO1055" s="989"/>
      <c r="MQP1055" s="989"/>
      <c r="MQQ1055" s="989"/>
      <c r="MQR1055" s="989"/>
      <c r="MQS1055" s="989"/>
      <c r="MQT1055" s="989"/>
      <c r="MQU1055" s="989"/>
      <c r="MQV1055" s="989"/>
      <c r="MQW1055" s="989"/>
      <c r="MQX1055" s="989"/>
      <c r="MQY1055" s="989"/>
      <c r="MQZ1055" s="989"/>
      <c r="MRA1055" s="989"/>
      <c r="MRB1055" s="989"/>
      <c r="MRC1055" s="989"/>
      <c r="MRD1055" s="989"/>
      <c r="MRE1055" s="989"/>
      <c r="MRF1055" s="989"/>
      <c r="MRG1055" s="989"/>
      <c r="MRH1055" s="989"/>
      <c r="MRI1055" s="989"/>
      <c r="MRJ1055" s="989"/>
      <c r="MRK1055" s="989"/>
      <c r="MRL1055" s="989"/>
      <c r="MRM1055" s="989"/>
      <c r="MRN1055" s="989"/>
      <c r="MRO1055" s="989"/>
      <c r="MRP1055" s="989"/>
      <c r="MRQ1055" s="989"/>
      <c r="MRR1055" s="989"/>
      <c r="MRS1055" s="989"/>
      <c r="MRT1055" s="989"/>
      <c r="MRU1055" s="989"/>
      <c r="MRV1055" s="989"/>
      <c r="MRW1055" s="989"/>
      <c r="MRX1055" s="989"/>
      <c r="MRY1055" s="989"/>
      <c r="MRZ1055" s="989"/>
      <c r="MSA1055" s="989"/>
      <c r="MSB1055" s="989"/>
      <c r="MSC1055" s="989"/>
      <c r="MSD1055" s="989"/>
      <c r="MSE1055" s="989"/>
      <c r="MSF1055" s="989"/>
      <c r="MSG1055" s="989"/>
      <c r="MSH1055" s="989"/>
      <c r="MSI1055" s="989"/>
      <c r="MSJ1055" s="989"/>
      <c r="MSK1055" s="989"/>
      <c r="MSL1055" s="989"/>
      <c r="MSM1055" s="989"/>
      <c r="MSN1055" s="989"/>
      <c r="MSO1055" s="989"/>
      <c r="MSP1055" s="989"/>
      <c r="MSQ1055" s="989"/>
      <c r="MSR1055" s="989"/>
      <c r="MSS1055" s="989"/>
      <c r="MST1055" s="989"/>
      <c r="MSU1055" s="989"/>
      <c r="MSV1055" s="989"/>
      <c r="MSW1055" s="989"/>
      <c r="MSX1055" s="989"/>
      <c r="MSY1055" s="989"/>
      <c r="MSZ1055" s="989"/>
      <c r="MTA1055" s="989"/>
      <c r="MTB1055" s="989"/>
      <c r="MTC1055" s="989"/>
      <c r="MTD1055" s="989"/>
      <c r="MTE1055" s="989"/>
      <c r="MTF1055" s="989"/>
      <c r="MTG1055" s="989"/>
      <c r="MTH1055" s="989"/>
      <c r="MTI1055" s="989"/>
      <c r="MTJ1055" s="989"/>
      <c r="MTK1055" s="989"/>
      <c r="MTL1055" s="989"/>
      <c r="MTM1055" s="989"/>
      <c r="MTN1055" s="989"/>
      <c r="MTO1055" s="989"/>
      <c r="MTP1055" s="989"/>
      <c r="MTQ1055" s="989"/>
      <c r="MTR1055" s="989"/>
      <c r="MTS1055" s="989"/>
      <c r="MTT1055" s="989"/>
      <c r="MTU1055" s="989"/>
      <c r="MTV1055" s="989"/>
      <c r="MTW1055" s="989"/>
      <c r="MTX1055" s="989"/>
      <c r="MTY1055" s="989"/>
      <c r="MTZ1055" s="989"/>
      <c r="MUA1055" s="989"/>
      <c r="MUB1055" s="989"/>
      <c r="MUC1055" s="989"/>
      <c r="MUD1055" s="989"/>
      <c r="MUE1055" s="989"/>
      <c r="MUF1055" s="989"/>
      <c r="MUG1055" s="989"/>
      <c r="MUH1055" s="989"/>
      <c r="MUI1055" s="989"/>
      <c r="MUJ1055" s="989"/>
      <c r="MUK1055" s="989"/>
      <c r="MUL1055" s="989"/>
      <c r="MUM1055" s="989"/>
      <c r="MUN1055" s="989"/>
      <c r="MUO1055" s="989"/>
      <c r="MUP1055" s="989"/>
      <c r="MUQ1055" s="989"/>
      <c r="MUR1055" s="989"/>
      <c r="MUS1055" s="989"/>
      <c r="MUT1055" s="989"/>
      <c r="MUU1055" s="989"/>
      <c r="MUV1055" s="989"/>
      <c r="MUW1055" s="989"/>
      <c r="MUX1055" s="989"/>
      <c r="MUY1055" s="989"/>
      <c r="MUZ1055" s="989"/>
      <c r="MVA1055" s="989"/>
      <c r="MVB1055" s="989"/>
      <c r="MVC1055" s="989"/>
      <c r="MVD1055" s="989"/>
      <c r="MVE1055" s="989"/>
      <c r="MVF1055" s="989"/>
      <c r="MVG1055" s="989"/>
      <c r="MVH1055" s="989"/>
      <c r="MVI1055" s="989"/>
      <c r="MVJ1055" s="989"/>
      <c r="MVK1055" s="989"/>
      <c r="MVL1055" s="989"/>
      <c r="MVM1055" s="989"/>
      <c r="MVN1055" s="989"/>
      <c r="MVO1055" s="989"/>
      <c r="MVP1055" s="989"/>
      <c r="MVQ1055" s="989"/>
      <c r="MVR1055" s="989"/>
      <c r="MVS1055" s="989"/>
      <c r="MVT1055" s="989"/>
      <c r="MVU1055" s="989"/>
      <c r="MVV1055" s="989"/>
      <c r="MVW1055" s="989"/>
      <c r="MVX1055" s="989"/>
      <c r="MVY1055" s="989"/>
      <c r="MVZ1055" s="989"/>
      <c r="MWA1055" s="989"/>
      <c r="MWB1055" s="989"/>
      <c r="MWC1055" s="989"/>
      <c r="MWD1055" s="989"/>
      <c r="MWE1055" s="989"/>
      <c r="MWF1055" s="989"/>
      <c r="MWG1055" s="989"/>
      <c r="MWH1055" s="989"/>
      <c r="MWI1055" s="989"/>
      <c r="MWJ1055" s="989"/>
      <c r="MWK1055" s="989"/>
      <c r="MWL1055" s="989"/>
      <c r="MWM1055" s="989"/>
      <c r="MWN1055" s="989"/>
      <c r="MWO1055" s="989"/>
      <c r="MWP1055" s="989"/>
      <c r="MWQ1055" s="989"/>
      <c r="MWR1055" s="989"/>
      <c r="MWS1055" s="989"/>
      <c r="MWT1055" s="989"/>
      <c r="MWU1055" s="989"/>
      <c r="MWV1055" s="989"/>
      <c r="MWW1055" s="989"/>
      <c r="MWX1055" s="989"/>
      <c r="MWY1055" s="989"/>
      <c r="MWZ1055" s="989"/>
      <c r="MXA1055" s="989"/>
      <c r="MXB1055" s="989"/>
      <c r="MXC1055" s="989"/>
      <c r="MXD1055" s="989"/>
      <c r="MXE1055" s="989"/>
      <c r="MXF1055" s="989"/>
      <c r="MXG1055" s="989"/>
      <c r="MXH1055" s="989"/>
      <c r="MXI1055" s="989"/>
      <c r="MXJ1055" s="989"/>
      <c r="MXK1055" s="989"/>
      <c r="MXL1055" s="989"/>
      <c r="MXM1055" s="989"/>
      <c r="MXN1055" s="989"/>
      <c r="MXO1055" s="989"/>
      <c r="MXP1055" s="989"/>
      <c r="MXQ1055" s="989"/>
      <c r="MXR1055" s="989"/>
      <c r="MXS1055" s="989"/>
      <c r="MXT1055" s="989"/>
      <c r="MXU1055" s="989"/>
      <c r="MXV1055" s="989"/>
      <c r="MXW1055" s="989"/>
      <c r="MXX1055" s="989"/>
      <c r="MXY1055" s="989"/>
      <c r="MXZ1055" s="989"/>
      <c r="MYA1055" s="989"/>
      <c r="MYB1055" s="989"/>
      <c r="MYC1055" s="989"/>
      <c r="MYD1055" s="989"/>
      <c r="MYE1055" s="989"/>
      <c r="MYF1055" s="989"/>
      <c r="MYG1055" s="989"/>
      <c r="MYH1055" s="989"/>
      <c r="MYI1055" s="989"/>
      <c r="MYJ1055" s="989"/>
      <c r="MYK1055" s="989"/>
      <c r="MYL1055" s="989"/>
      <c r="MYM1055" s="989"/>
      <c r="MYN1055" s="989"/>
      <c r="MYO1055" s="989"/>
      <c r="MYP1055" s="989"/>
      <c r="MYQ1055" s="989"/>
      <c r="MYR1055" s="989"/>
      <c r="MYS1055" s="989"/>
      <c r="MYT1055" s="989"/>
      <c r="MYU1055" s="989"/>
      <c r="MYV1055" s="989"/>
      <c r="MYW1055" s="989"/>
      <c r="MYX1055" s="989"/>
      <c r="MYY1055" s="989"/>
      <c r="MYZ1055" s="989"/>
      <c r="MZA1055" s="989"/>
      <c r="MZB1055" s="989"/>
      <c r="MZC1055" s="989"/>
      <c r="MZD1055" s="989"/>
      <c r="MZE1055" s="989"/>
      <c r="MZF1055" s="989"/>
      <c r="MZG1055" s="989"/>
      <c r="MZH1055" s="989"/>
      <c r="MZI1055" s="989"/>
      <c r="MZJ1055" s="989"/>
      <c r="MZK1055" s="989"/>
      <c r="MZL1055" s="989"/>
      <c r="MZM1055" s="989"/>
      <c r="MZN1055" s="989"/>
      <c r="MZO1055" s="989"/>
      <c r="MZP1055" s="989"/>
      <c r="MZQ1055" s="989"/>
      <c r="MZR1055" s="989"/>
      <c r="MZS1055" s="989"/>
      <c r="MZT1055" s="989"/>
      <c r="MZU1055" s="989"/>
      <c r="MZV1055" s="989"/>
      <c r="MZW1055" s="989"/>
      <c r="MZX1055" s="989"/>
      <c r="MZY1055" s="989"/>
      <c r="MZZ1055" s="989"/>
      <c r="NAA1055" s="989"/>
      <c r="NAB1055" s="989"/>
      <c r="NAC1055" s="989"/>
      <c r="NAD1055" s="989"/>
      <c r="NAE1055" s="989"/>
      <c r="NAF1055" s="989"/>
      <c r="NAG1055" s="989"/>
      <c r="NAH1055" s="989"/>
      <c r="NAI1055" s="989"/>
      <c r="NAJ1055" s="989"/>
      <c r="NAK1055" s="989"/>
      <c r="NAL1055" s="989"/>
      <c r="NAM1055" s="989"/>
      <c r="NAN1055" s="989"/>
      <c r="NAO1055" s="989"/>
      <c r="NAP1055" s="989"/>
      <c r="NAQ1055" s="989"/>
      <c r="NAR1055" s="989"/>
      <c r="NAS1055" s="989"/>
      <c r="NAT1055" s="989"/>
      <c r="NAU1055" s="989"/>
      <c r="NAV1055" s="989"/>
      <c r="NAW1055" s="989"/>
      <c r="NAX1055" s="989"/>
      <c r="NAY1055" s="989"/>
      <c r="NAZ1055" s="989"/>
      <c r="NBA1055" s="989"/>
      <c r="NBB1055" s="989"/>
      <c r="NBC1055" s="989"/>
      <c r="NBD1055" s="989"/>
      <c r="NBE1055" s="989"/>
      <c r="NBF1055" s="989"/>
      <c r="NBG1055" s="989"/>
      <c r="NBH1055" s="989"/>
      <c r="NBI1055" s="989"/>
      <c r="NBJ1055" s="989"/>
      <c r="NBK1055" s="989"/>
      <c r="NBL1055" s="989"/>
      <c r="NBM1055" s="989"/>
      <c r="NBN1055" s="989"/>
      <c r="NBO1055" s="989"/>
      <c r="NBP1055" s="989"/>
      <c r="NBQ1055" s="989"/>
      <c r="NBR1055" s="989"/>
      <c r="NBS1055" s="989"/>
      <c r="NBT1055" s="989"/>
      <c r="NBU1055" s="989"/>
      <c r="NBV1055" s="989"/>
      <c r="NBW1055" s="989"/>
      <c r="NBX1055" s="989"/>
      <c r="NBY1055" s="989"/>
      <c r="NBZ1055" s="989"/>
      <c r="NCA1055" s="989"/>
      <c r="NCB1055" s="989"/>
      <c r="NCC1055" s="989"/>
      <c r="NCD1055" s="989"/>
      <c r="NCE1055" s="989"/>
      <c r="NCF1055" s="989"/>
      <c r="NCG1055" s="989"/>
      <c r="NCH1055" s="989"/>
      <c r="NCI1055" s="989"/>
      <c r="NCJ1055" s="989"/>
      <c r="NCK1055" s="989"/>
      <c r="NCL1055" s="989"/>
      <c r="NCM1055" s="989"/>
      <c r="NCN1055" s="989"/>
      <c r="NCO1055" s="989"/>
      <c r="NCP1055" s="989"/>
      <c r="NCQ1055" s="989"/>
      <c r="NCR1055" s="989"/>
      <c r="NCS1055" s="989"/>
      <c r="NCT1055" s="989"/>
      <c r="NCU1055" s="989"/>
      <c r="NCV1055" s="989"/>
      <c r="NCW1055" s="989"/>
      <c r="NCX1055" s="989"/>
      <c r="NCY1055" s="989"/>
      <c r="NCZ1055" s="989"/>
      <c r="NDA1055" s="989"/>
      <c r="NDB1055" s="989"/>
      <c r="NDC1055" s="989"/>
      <c r="NDD1055" s="989"/>
      <c r="NDE1055" s="989"/>
      <c r="NDF1055" s="989"/>
      <c r="NDG1055" s="989"/>
      <c r="NDH1055" s="989"/>
      <c r="NDI1055" s="989"/>
      <c r="NDJ1055" s="989"/>
      <c r="NDK1055" s="989"/>
      <c r="NDL1055" s="989"/>
      <c r="NDM1055" s="989"/>
      <c r="NDN1055" s="989"/>
      <c r="NDO1055" s="989"/>
      <c r="NDP1055" s="989"/>
      <c r="NDQ1055" s="989"/>
      <c r="NDR1055" s="989"/>
      <c r="NDS1055" s="989"/>
      <c r="NDT1055" s="989"/>
      <c r="NDU1055" s="989"/>
      <c r="NDV1055" s="989"/>
      <c r="NDW1055" s="989"/>
      <c r="NDX1055" s="989"/>
      <c r="NDY1055" s="989"/>
      <c r="NDZ1055" s="989"/>
      <c r="NEA1055" s="989"/>
      <c r="NEB1055" s="989"/>
      <c r="NEC1055" s="989"/>
      <c r="NED1055" s="989"/>
      <c r="NEE1055" s="989"/>
      <c r="NEF1055" s="989"/>
      <c r="NEG1055" s="989"/>
      <c r="NEH1055" s="989"/>
      <c r="NEI1055" s="989"/>
      <c r="NEJ1055" s="989"/>
      <c r="NEK1055" s="989"/>
      <c r="NEL1055" s="989"/>
      <c r="NEM1055" s="989"/>
      <c r="NEN1055" s="989"/>
      <c r="NEO1055" s="989"/>
      <c r="NEP1055" s="989"/>
      <c r="NEQ1055" s="989"/>
      <c r="NER1055" s="989"/>
      <c r="NES1055" s="989"/>
      <c r="NET1055" s="989"/>
      <c r="NEU1055" s="989"/>
      <c r="NEV1055" s="989"/>
      <c r="NEW1055" s="989"/>
      <c r="NEX1055" s="989"/>
      <c r="NEY1055" s="989"/>
      <c r="NEZ1055" s="989"/>
      <c r="NFA1055" s="989"/>
      <c r="NFB1055" s="989"/>
      <c r="NFC1055" s="989"/>
      <c r="NFD1055" s="989"/>
      <c r="NFE1055" s="989"/>
      <c r="NFF1055" s="989"/>
      <c r="NFG1055" s="989"/>
      <c r="NFH1055" s="989"/>
      <c r="NFI1055" s="989"/>
      <c r="NFJ1055" s="989"/>
      <c r="NFK1055" s="989"/>
      <c r="NFL1055" s="989"/>
      <c r="NFM1055" s="989"/>
      <c r="NFN1055" s="989"/>
      <c r="NFO1055" s="989"/>
      <c r="NFP1055" s="989"/>
      <c r="NFQ1055" s="989"/>
      <c r="NFR1055" s="989"/>
      <c r="NFS1055" s="989"/>
      <c r="NFT1055" s="989"/>
      <c r="NFU1055" s="989"/>
      <c r="NFV1055" s="989"/>
      <c r="NFW1055" s="989"/>
      <c r="NFX1055" s="989"/>
      <c r="NFY1055" s="989"/>
      <c r="NFZ1055" s="989"/>
      <c r="NGA1055" s="989"/>
      <c r="NGB1055" s="989"/>
      <c r="NGC1055" s="989"/>
      <c r="NGD1055" s="989"/>
      <c r="NGE1055" s="989"/>
      <c r="NGF1055" s="989"/>
      <c r="NGG1055" s="989"/>
      <c r="NGH1055" s="989"/>
      <c r="NGI1055" s="989"/>
      <c r="NGJ1055" s="989"/>
      <c r="NGK1055" s="989"/>
      <c r="NGL1055" s="989"/>
      <c r="NGM1055" s="989"/>
      <c r="NGN1055" s="989"/>
      <c r="NGO1055" s="989"/>
      <c r="NGP1055" s="989"/>
      <c r="NGQ1055" s="989"/>
      <c r="NGR1055" s="989"/>
      <c r="NGS1055" s="989"/>
      <c r="NGT1055" s="989"/>
      <c r="NGU1055" s="989"/>
      <c r="NGV1055" s="989"/>
      <c r="NGW1055" s="989"/>
      <c r="NGX1055" s="989"/>
      <c r="NGY1055" s="989"/>
      <c r="NGZ1055" s="989"/>
      <c r="NHA1055" s="989"/>
      <c r="NHB1055" s="989"/>
      <c r="NHC1055" s="989"/>
      <c r="NHD1055" s="989"/>
      <c r="NHE1055" s="989"/>
      <c r="NHF1055" s="989"/>
      <c r="NHG1055" s="989"/>
      <c r="NHH1055" s="989"/>
      <c r="NHI1055" s="989"/>
      <c r="NHJ1055" s="989"/>
      <c r="NHK1055" s="989"/>
      <c r="NHL1055" s="989"/>
      <c r="NHM1055" s="989"/>
      <c r="NHN1055" s="989"/>
      <c r="NHO1055" s="989"/>
      <c r="NHP1055" s="989"/>
      <c r="NHQ1055" s="989"/>
      <c r="NHR1055" s="989"/>
      <c r="NHS1055" s="989"/>
      <c r="NHT1055" s="989"/>
      <c r="NHU1055" s="989"/>
      <c r="NHV1055" s="989"/>
      <c r="NHW1055" s="989"/>
      <c r="NHX1055" s="989"/>
      <c r="NHY1055" s="989"/>
      <c r="NHZ1055" s="989"/>
      <c r="NIA1055" s="989"/>
      <c r="NIB1055" s="989"/>
      <c r="NIC1055" s="989"/>
      <c r="NID1055" s="989"/>
      <c r="NIE1055" s="989"/>
      <c r="NIF1055" s="989"/>
      <c r="NIG1055" s="989"/>
      <c r="NIH1055" s="989"/>
      <c r="NII1055" s="989"/>
      <c r="NIJ1055" s="989"/>
      <c r="NIK1055" s="989"/>
      <c r="NIL1055" s="989"/>
      <c r="NIM1055" s="989"/>
      <c r="NIN1055" s="989"/>
      <c r="NIO1055" s="989"/>
      <c r="NIP1055" s="989"/>
      <c r="NIQ1055" s="989"/>
      <c r="NIR1055" s="989"/>
      <c r="NIS1055" s="989"/>
      <c r="NIT1055" s="989"/>
      <c r="NIU1055" s="989"/>
      <c r="NIV1055" s="989"/>
      <c r="NIW1055" s="989"/>
      <c r="NIX1055" s="989"/>
      <c r="NIY1055" s="989"/>
      <c r="NIZ1055" s="989"/>
      <c r="NJA1055" s="989"/>
      <c r="NJB1055" s="989"/>
      <c r="NJC1055" s="989"/>
      <c r="NJD1055" s="989"/>
      <c r="NJE1055" s="989"/>
      <c r="NJF1055" s="989"/>
      <c r="NJG1055" s="989"/>
      <c r="NJH1055" s="989"/>
      <c r="NJI1055" s="989"/>
      <c r="NJJ1055" s="989"/>
      <c r="NJK1055" s="989"/>
      <c r="NJL1055" s="989"/>
      <c r="NJM1055" s="989"/>
      <c r="NJN1055" s="989"/>
      <c r="NJO1055" s="989"/>
      <c r="NJP1055" s="989"/>
      <c r="NJQ1055" s="989"/>
      <c r="NJR1055" s="989"/>
      <c r="NJS1055" s="989"/>
      <c r="NJT1055" s="989"/>
      <c r="NJU1055" s="989"/>
      <c r="NJV1055" s="989"/>
      <c r="NJW1055" s="989"/>
      <c r="NJX1055" s="989"/>
      <c r="NJY1055" s="989"/>
      <c r="NJZ1055" s="989"/>
      <c r="NKA1055" s="989"/>
      <c r="NKB1055" s="989"/>
      <c r="NKC1055" s="989"/>
      <c r="NKD1055" s="989"/>
      <c r="NKE1055" s="989"/>
      <c r="NKF1055" s="989"/>
      <c r="NKG1055" s="989"/>
      <c r="NKH1055" s="989"/>
      <c r="NKI1055" s="989"/>
      <c r="NKJ1055" s="989"/>
      <c r="NKK1055" s="989"/>
      <c r="NKL1055" s="989"/>
      <c r="NKM1055" s="989"/>
      <c r="NKN1055" s="989"/>
      <c r="NKO1055" s="989"/>
      <c r="NKP1055" s="989"/>
      <c r="NKQ1055" s="989"/>
      <c r="NKR1055" s="989"/>
      <c r="NKS1055" s="989"/>
      <c r="NKT1055" s="989"/>
      <c r="NKU1055" s="989"/>
      <c r="NKV1055" s="989"/>
      <c r="NKW1055" s="989"/>
      <c r="NKX1055" s="989"/>
      <c r="NKY1055" s="989"/>
      <c r="NKZ1055" s="989"/>
      <c r="NLA1055" s="989"/>
      <c r="NLB1055" s="989"/>
      <c r="NLC1055" s="989"/>
      <c r="NLD1055" s="989"/>
      <c r="NLE1055" s="989"/>
      <c r="NLF1055" s="989"/>
      <c r="NLG1055" s="989"/>
      <c r="NLH1055" s="989"/>
      <c r="NLI1055" s="989"/>
      <c r="NLJ1055" s="989"/>
      <c r="NLK1055" s="989"/>
      <c r="NLL1055" s="989"/>
      <c r="NLM1055" s="989"/>
      <c r="NLN1055" s="989"/>
      <c r="NLO1055" s="989"/>
      <c r="NLP1055" s="989"/>
      <c r="NLQ1055" s="989"/>
      <c r="NLR1055" s="989"/>
      <c r="NLS1055" s="989"/>
      <c r="NLT1055" s="989"/>
      <c r="NLU1055" s="989"/>
      <c r="NLV1055" s="989"/>
      <c r="NLW1055" s="989"/>
      <c r="NLX1055" s="989"/>
      <c r="NLY1055" s="989"/>
      <c r="NLZ1055" s="989"/>
      <c r="NMA1055" s="989"/>
      <c r="NMB1055" s="989"/>
      <c r="NMC1055" s="989"/>
      <c r="NMD1055" s="989"/>
      <c r="NME1055" s="989"/>
      <c r="NMF1055" s="989"/>
      <c r="NMG1055" s="989"/>
      <c r="NMH1055" s="989"/>
      <c r="NMI1055" s="989"/>
      <c r="NMJ1055" s="989"/>
      <c r="NMK1055" s="989"/>
      <c r="NML1055" s="989"/>
      <c r="NMM1055" s="989"/>
      <c r="NMN1055" s="989"/>
      <c r="NMO1055" s="989"/>
      <c r="NMP1055" s="989"/>
      <c r="NMQ1055" s="989"/>
      <c r="NMR1055" s="989"/>
      <c r="NMS1055" s="989"/>
      <c r="NMT1055" s="989"/>
      <c r="NMU1055" s="989"/>
      <c r="NMV1055" s="989"/>
      <c r="NMW1055" s="989"/>
      <c r="NMX1055" s="989"/>
      <c r="NMY1055" s="989"/>
      <c r="NMZ1055" s="989"/>
      <c r="NNA1055" s="989"/>
      <c r="NNB1055" s="989"/>
      <c r="NNC1055" s="989"/>
      <c r="NND1055" s="989"/>
      <c r="NNE1055" s="989"/>
      <c r="NNF1055" s="989"/>
      <c r="NNG1055" s="989"/>
      <c r="NNH1055" s="989"/>
      <c r="NNI1055" s="989"/>
      <c r="NNJ1055" s="989"/>
      <c r="NNK1055" s="989"/>
      <c r="NNL1055" s="989"/>
      <c r="NNM1055" s="989"/>
      <c r="NNN1055" s="989"/>
      <c r="NNO1055" s="989"/>
      <c r="NNP1055" s="989"/>
      <c r="NNQ1055" s="989"/>
      <c r="NNR1055" s="989"/>
      <c r="NNS1055" s="989"/>
      <c r="NNT1055" s="989"/>
      <c r="NNU1055" s="989"/>
      <c r="NNV1055" s="989"/>
      <c r="NNW1055" s="989"/>
      <c r="NNX1055" s="989"/>
      <c r="NNY1055" s="989"/>
      <c r="NNZ1055" s="989"/>
      <c r="NOA1055" s="989"/>
      <c r="NOB1055" s="989"/>
      <c r="NOC1055" s="989"/>
      <c r="NOD1055" s="989"/>
      <c r="NOE1055" s="989"/>
      <c r="NOF1055" s="989"/>
      <c r="NOG1055" s="989"/>
      <c r="NOH1055" s="989"/>
      <c r="NOI1055" s="989"/>
      <c r="NOJ1055" s="989"/>
      <c r="NOK1055" s="989"/>
      <c r="NOL1055" s="989"/>
      <c r="NOM1055" s="989"/>
      <c r="NON1055" s="989"/>
      <c r="NOO1055" s="989"/>
      <c r="NOP1055" s="989"/>
      <c r="NOQ1055" s="989"/>
      <c r="NOR1055" s="989"/>
      <c r="NOS1055" s="989"/>
      <c r="NOT1055" s="989"/>
      <c r="NOU1055" s="989"/>
      <c r="NOV1055" s="989"/>
      <c r="NOW1055" s="989"/>
      <c r="NOX1055" s="989"/>
      <c r="NOY1055" s="989"/>
      <c r="NOZ1055" s="989"/>
      <c r="NPA1055" s="989"/>
      <c r="NPB1055" s="989"/>
      <c r="NPC1055" s="989"/>
      <c r="NPD1055" s="989"/>
      <c r="NPE1055" s="989"/>
      <c r="NPF1055" s="989"/>
      <c r="NPG1055" s="989"/>
      <c r="NPH1055" s="989"/>
      <c r="NPI1055" s="989"/>
      <c r="NPJ1055" s="989"/>
      <c r="NPK1055" s="989"/>
      <c r="NPL1055" s="989"/>
      <c r="NPM1055" s="989"/>
      <c r="NPN1055" s="989"/>
      <c r="NPO1055" s="989"/>
      <c r="NPP1055" s="989"/>
      <c r="NPQ1055" s="989"/>
      <c r="NPR1055" s="989"/>
      <c r="NPS1055" s="989"/>
      <c r="NPT1055" s="989"/>
      <c r="NPU1055" s="989"/>
      <c r="NPV1055" s="989"/>
      <c r="NPW1055" s="989"/>
      <c r="NPX1055" s="989"/>
      <c r="NPY1055" s="989"/>
      <c r="NPZ1055" s="989"/>
      <c r="NQA1055" s="989"/>
      <c r="NQB1055" s="989"/>
      <c r="NQC1055" s="989"/>
      <c r="NQD1055" s="989"/>
      <c r="NQE1055" s="989"/>
      <c r="NQF1055" s="989"/>
      <c r="NQG1055" s="989"/>
      <c r="NQH1055" s="989"/>
      <c r="NQI1055" s="989"/>
      <c r="NQJ1055" s="989"/>
      <c r="NQK1055" s="989"/>
      <c r="NQL1055" s="989"/>
      <c r="NQM1055" s="989"/>
      <c r="NQN1055" s="989"/>
      <c r="NQO1055" s="989"/>
      <c r="NQP1055" s="989"/>
      <c r="NQQ1055" s="989"/>
      <c r="NQR1055" s="989"/>
      <c r="NQS1055" s="989"/>
      <c r="NQT1055" s="989"/>
      <c r="NQU1055" s="989"/>
      <c r="NQV1055" s="989"/>
      <c r="NQW1055" s="989"/>
      <c r="NQX1055" s="989"/>
      <c r="NQY1055" s="989"/>
      <c r="NQZ1055" s="989"/>
      <c r="NRA1055" s="989"/>
      <c r="NRB1055" s="989"/>
      <c r="NRC1055" s="989"/>
      <c r="NRD1055" s="989"/>
      <c r="NRE1055" s="989"/>
      <c r="NRF1055" s="989"/>
      <c r="NRG1055" s="989"/>
      <c r="NRH1055" s="989"/>
      <c r="NRI1055" s="989"/>
      <c r="NRJ1055" s="989"/>
      <c r="NRK1055" s="989"/>
      <c r="NRL1055" s="989"/>
      <c r="NRM1055" s="989"/>
      <c r="NRN1055" s="989"/>
      <c r="NRO1055" s="989"/>
      <c r="NRP1055" s="989"/>
      <c r="NRQ1055" s="989"/>
      <c r="NRR1055" s="989"/>
      <c r="NRS1055" s="989"/>
      <c r="NRT1055" s="989"/>
      <c r="NRU1055" s="989"/>
      <c r="NRV1055" s="989"/>
      <c r="NRW1055" s="989"/>
      <c r="NRX1055" s="989"/>
      <c r="NRY1055" s="989"/>
      <c r="NRZ1055" s="989"/>
      <c r="NSA1055" s="989"/>
      <c r="NSB1055" s="989"/>
      <c r="NSC1055" s="989"/>
      <c r="NSD1055" s="989"/>
      <c r="NSE1055" s="989"/>
      <c r="NSF1055" s="989"/>
      <c r="NSG1055" s="989"/>
      <c r="NSH1055" s="989"/>
      <c r="NSI1055" s="989"/>
      <c r="NSJ1055" s="989"/>
      <c r="NSK1055" s="989"/>
      <c r="NSL1055" s="989"/>
      <c r="NSM1055" s="989"/>
      <c r="NSN1055" s="989"/>
      <c r="NSO1055" s="989"/>
      <c r="NSP1055" s="989"/>
      <c r="NSQ1055" s="989"/>
      <c r="NSR1055" s="989"/>
      <c r="NSS1055" s="989"/>
      <c r="NST1055" s="989"/>
      <c r="NSU1055" s="989"/>
      <c r="NSV1055" s="989"/>
      <c r="NSW1055" s="989"/>
      <c r="NSX1055" s="989"/>
      <c r="NSY1055" s="989"/>
      <c r="NSZ1055" s="989"/>
      <c r="NTA1055" s="989"/>
      <c r="NTB1055" s="989"/>
      <c r="NTC1055" s="989"/>
      <c r="NTD1055" s="989"/>
      <c r="NTE1055" s="989"/>
      <c r="NTF1055" s="989"/>
      <c r="NTG1055" s="989"/>
      <c r="NTH1055" s="989"/>
      <c r="NTI1055" s="989"/>
      <c r="NTJ1055" s="989"/>
      <c r="NTK1055" s="989"/>
      <c r="NTL1055" s="989"/>
      <c r="NTM1055" s="989"/>
      <c r="NTN1055" s="989"/>
      <c r="NTO1055" s="989"/>
      <c r="NTP1055" s="989"/>
      <c r="NTQ1055" s="989"/>
      <c r="NTR1055" s="989"/>
      <c r="NTS1055" s="989"/>
      <c r="NTT1055" s="989"/>
      <c r="NTU1055" s="989"/>
      <c r="NTV1055" s="989"/>
      <c r="NTW1055" s="989"/>
      <c r="NTX1055" s="989"/>
      <c r="NTY1055" s="989"/>
      <c r="NTZ1055" s="989"/>
      <c r="NUA1055" s="989"/>
      <c r="NUB1055" s="989"/>
      <c r="NUC1055" s="989"/>
      <c r="NUD1055" s="989"/>
      <c r="NUE1055" s="989"/>
      <c r="NUF1055" s="989"/>
      <c r="NUG1055" s="989"/>
      <c r="NUH1055" s="989"/>
      <c r="NUI1055" s="989"/>
      <c r="NUJ1055" s="989"/>
      <c r="NUK1055" s="989"/>
      <c r="NUL1055" s="989"/>
      <c r="NUM1055" s="989"/>
      <c r="NUN1055" s="989"/>
      <c r="NUO1055" s="989"/>
      <c r="NUP1055" s="989"/>
      <c r="NUQ1055" s="989"/>
      <c r="NUR1055" s="989"/>
      <c r="NUS1055" s="989"/>
      <c r="NUT1055" s="989"/>
      <c r="NUU1055" s="989"/>
      <c r="NUV1055" s="989"/>
      <c r="NUW1055" s="989"/>
      <c r="NUX1055" s="989"/>
      <c r="NUY1055" s="989"/>
      <c r="NUZ1055" s="989"/>
      <c r="NVA1055" s="989"/>
      <c r="NVB1055" s="989"/>
      <c r="NVC1055" s="989"/>
      <c r="NVD1055" s="989"/>
      <c r="NVE1055" s="989"/>
      <c r="NVF1055" s="989"/>
      <c r="NVG1055" s="989"/>
      <c r="NVH1055" s="989"/>
      <c r="NVI1055" s="989"/>
      <c r="NVJ1055" s="989"/>
      <c r="NVK1055" s="989"/>
      <c r="NVL1055" s="989"/>
      <c r="NVM1055" s="989"/>
      <c r="NVN1055" s="989"/>
      <c r="NVO1055" s="989"/>
      <c r="NVP1055" s="989"/>
      <c r="NVQ1055" s="989"/>
      <c r="NVR1055" s="989"/>
      <c r="NVS1055" s="989"/>
      <c r="NVT1055" s="989"/>
      <c r="NVU1055" s="989"/>
      <c r="NVV1055" s="989"/>
      <c r="NVW1055" s="989"/>
      <c r="NVX1055" s="989"/>
      <c r="NVY1055" s="989"/>
      <c r="NVZ1055" s="989"/>
      <c r="NWA1055" s="989"/>
      <c r="NWB1055" s="989"/>
      <c r="NWC1055" s="989"/>
      <c r="NWD1055" s="989"/>
      <c r="NWE1055" s="989"/>
      <c r="NWF1055" s="989"/>
      <c r="NWG1055" s="989"/>
      <c r="NWH1055" s="989"/>
      <c r="NWI1055" s="989"/>
      <c r="NWJ1055" s="989"/>
      <c r="NWK1055" s="989"/>
      <c r="NWL1055" s="989"/>
      <c r="NWM1055" s="989"/>
      <c r="NWN1055" s="989"/>
      <c r="NWO1055" s="989"/>
      <c r="NWP1055" s="989"/>
      <c r="NWQ1055" s="989"/>
      <c r="NWR1055" s="989"/>
      <c r="NWS1055" s="989"/>
      <c r="NWT1055" s="989"/>
      <c r="NWU1055" s="989"/>
      <c r="NWV1055" s="989"/>
      <c r="NWW1055" s="989"/>
      <c r="NWX1055" s="989"/>
      <c r="NWY1055" s="989"/>
      <c r="NWZ1055" s="989"/>
      <c r="NXA1055" s="989"/>
      <c r="NXB1055" s="989"/>
      <c r="NXC1055" s="989"/>
      <c r="NXD1055" s="989"/>
      <c r="NXE1055" s="989"/>
      <c r="NXF1055" s="989"/>
      <c r="NXG1055" s="989"/>
      <c r="NXH1055" s="989"/>
      <c r="NXI1055" s="989"/>
      <c r="NXJ1055" s="989"/>
      <c r="NXK1055" s="989"/>
      <c r="NXL1055" s="989"/>
      <c r="NXM1055" s="989"/>
      <c r="NXN1055" s="989"/>
      <c r="NXO1055" s="989"/>
      <c r="NXP1055" s="989"/>
      <c r="NXQ1055" s="989"/>
      <c r="NXR1055" s="989"/>
      <c r="NXS1055" s="989"/>
      <c r="NXT1055" s="989"/>
      <c r="NXU1055" s="989"/>
      <c r="NXV1055" s="989"/>
      <c r="NXW1055" s="989"/>
      <c r="NXX1055" s="989"/>
      <c r="NXY1055" s="989"/>
      <c r="NXZ1055" s="989"/>
      <c r="NYA1055" s="989"/>
      <c r="NYB1055" s="989"/>
      <c r="NYC1055" s="989"/>
      <c r="NYD1055" s="989"/>
      <c r="NYE1055" s="989"/>
      <c r="NYF1055" s="989"/>
      <c r="NYG1055" s="989"/>
      <c r="NYH1055" s="989"/>
      <c r="NYI1055" s="989"/>
      <c r="NYJ1055" s="989"/>
      <c r="NYK1055" s="989"/>
      <c r="NYL1055" s="989"/>
      <c r="NYM1055" s="989"/>
      <c r="NYN1055" s="989"/>
      <c r="NYO1055" s="989"/>
      <c r="NYP1055" s="989"/>
      <c r="NYQ1055" s="989"/>
      <c r="NYR1055" s="989"/>
      <c r="NYS1055" s="989"/>
      <c r="NYT1055" s="989"/>
      <c r="NYU1055" s="989"/>
      <c r="NYV1055" s="989"/>
      <c r="NYW1055" s="989"/>
      <c r="NYX1055" s="989"/>
      <c r="NYY1055" s="989"/>
      <c r="NYZ1055" s="989"/>
      <c r="NZA1055" s="989"/>
      <c r="NZB1055" s="989"/>
      <c r="NZC1055" s="989"/>
      <c r="NZD1055" s="989"/>
      <c r="NZE1055" s="989"/>
      <c r="NZF1055" s="989"/>
      <c r="NZG1055" s="989"/>
      <c r="NZH1055" s="989"/>
      <c r="NZI1055" s="989"/>
      <c r="NZJ1055" s="989"/>
      <c r="NZK1055" s="989"/>
      <c r="NZL1055" s="989"/>
      <c r="NZM1055" s="989"/>
      <c r="NZN1055" s="989"/>
      <c r="NZO1055" s="989"/>
      <c r="NZP1055" s="989"/>
      <c r="NZQ1055" s="989"/>
      <c r="NZR1055" s="989"/>
      <c r="NZS1055" s="989"/>
      <c r="NZT1055" s="989"/>
      <c r="NZU1055" s="989"/>
      <c r="NZV1055" s="989"/>
      <c r="NZW1055" s="989"/>
      <c r="NZX1055" s="989"/>
      <c r="NZY1055" s="989"/>
      <c r="NZZ1055" s="989"/>
      <c r="OAA1055" s="989"/>
      <c r="OAB1055" s="989"/>
      <c r="OAC1055" s="989"/>
      <c r="OAD1055" s="989"/>
      <c r="OAE1055" s="989"/>
      <c r="OAF1055" s="989"/>
      <c r="OAG1055" s="989"/>
      <c r="OAH1055" s="989"/>
      <c r="OAI1055" s="989"/>
      <c r="OAJ1055" s="989"/>
      <c r="OAK1055" s="989"/>
      <c r="OAL1055" s="989"/>
      <c r="OAM1055" s="989"/>
      <c r="OAN1055" s="989"/>
      <c r="OAO1055" s="989"/>
      <c r="OAP1055" s="989"/>
      <c r="OAQ1055" s="989"/>
      <c r="OAR1055" s="989"/>
      <c r="OAS1055" s="989"/>
      <c r="OAT1055" s="989"/>
      <c r="OAU1055" s="989"/>
      <c r="OAV1055" s="989"/>
      <c r="OAW1055" s="989"/>
      <c r="OAX1055" s="989"/>
      <c r="OAY1055" s="989"/>
      <c r="OAZ1055" s="989"/>
      <c r="OBA1055" s="989"/>
      <c r="OBB1055" s="989"/>
      <c r="OBC1055" s="989"/>
      <c r="OBD1055" s="989"/>
      <c r="OBE1055" s="989"/>
      <c r="OBF1055" s="989"/>
      <c r="OBG1055" s="989"/>
      <c r="OBH1055" s="989"/>
      <c r="OBI1055" s="989"/>
      <c r="OBJ1055" s="989"/>
      <c r="OBK1055" s="989"/>
      <c r="OBL1055" s="989"/>
      <c r="OBM1055" s="989"/>
      <c r="OBN1055" s="989"/>
      <c r="OBO1055" s="989"/>
      <c r="OBP1055" s="989"/>
      <c r="OBQ1055" s="989"/>
      <c r="OBR1055" s="989"/>
      <c r="OBS1055" s="989"/>
      <c r="OBT1055" s="989"/>
      <c r="OBU1055" s="989"/>
      <c r="OBV1055" s="989"/>
      <c r="OBW1055" s="989"/>
      <c r="OBX1055" s="989"/>
      <c r="OBY1055" s="989"/>
      <c r="OBZ1055" s="989"/>
      <c r="OCA1055" s="989"/>
      <c r="OCB1055" s="989"/>
      <c r="OCC1055" s="989"/>
      <c r="OCD1055" s="989"/>
      <c r="OCE1055" s="989"/>
      <c r="OCF1055" s="989"/>
      <c r="OCG1055" s="989"/>
      <c r="OCH1055" s="989"/>
      <c r="OCI1055" s="989"/>
      <c r="OCJ1055" s="989"/>
      <c r="OCK1055" s="989"/>
      <c r="OCL1055" s="989"/>
      <c r="OCM1055" s="989"/>
      <c r="OCN1055" s="989"/>
      <c r="OCO1055" s="989"/>
      <c r="OCP1055" s="989"/>
      <c r="OCQ1055" s="989"/>
      <c r="OCR1055" s="989"/>
      <c r="OCS1055" s="989"/>
      <c r="OCT1055" s="989"/>
      <c r="OCU1055" s="989"/>
      <c r="OCV1055" s="989"/>
      <c r="OCW1055" s="989"/>
      <c r="OCX1055" s="989"/>
      <c r="OCY1055" s="989"/>
      <c r="OCZ1055" s="989"/>
      <c r="ODA1055" s="989"/>
      <c r="ODB1055" s="989"/>
      <c r="ODC1055" s="989"/>
      <c r="ODD1055" s="989"/>
      <c r="ODE1055" s="989"/>
      <c r="ODF1055" s="989"/>
      <c r="ODG1055" s="989"/>
      <c r="ODH1055" s="989"/>
      <c r="ODI1055" s="989"/>
      <c r="ODJ1055" s="989"/>
      <c r="ODK1055" s="989"/>
      <c r="ODL1055" s="989"/>
      <c r="ODM1055" s="989"/>
      <c r="ODN1055" s="989"/>
      <c r="ODO1055" s="989"/>
      <c r="ODP1055" s="989"/>
      <c r="ODQ1055" s="989"/>
      <c r="ODR1055" s="989"/>
      <c r="ODS1055" s="989"/>
      <c r="ODT1055" s="989"/>
      <c r="ODU1055" s="989"/>
      <c r="ODV1055" s="989"/>
      <c r="ODW1055" s="989"/>
      <c r="ODX1055" s="989"/>
      <c r="ODY1055" s="989"/>
      <c r="ODZ1055" s="989"/>
      <c r="OEA1055" s="989"/>
      <c r="OEB1055" s="989"/>
      <c r="OEC1055" s="989"/>
      <c r="OED1055" s="989"/>
      <c r="OEE1055" s="989"/>
      <c r="OEF1055" s="989"/>
      <c r="OEG1055" s="989"/>
      <c r="OEH1055" s="989"/>
      <c r="OEI1055" s="989"/>
      <c r="OEJ1055" s="989"/>
      <c r="OEK1055" s="989"/>
      <c r="OEL1055" s="989"/>
      <c r="OEM1055" s="989"/>
      <c r="OEN1055" s="989"/>
      <c r="OEO1055" s="989"/>
      <c r="OEP1055" s="989"/>
      <c r="OEQ1055" s="989"/>
      <c r="OER1055" s="989"/>
      <c r="OES1055" s="989"/>
      <c r="OET1055" s="989"/>
      <c r="OEU1055" s="989"/>
      <c r="OEV1055" s="989"/>
      <c r="OEW1055" s="989"/>
      <c r="OEX1055" s="989"/>
      <c r="OEY1055" s="989"/>
      <c r="OEZ1055" s="989"/>
      <c r="OFA1055" s="989"/>
      <c r="OFB1055" s="989"/>
      <c r="OFC1055" s="989"/>
      <c r="OFD1055" s="989"/>
      <c r="OFE1055" s="989"/>
      <c r="OFF1055" s="989"/>
      <c r="OFG1055" s="989"/>
      <c r="OFH1055" s="989"/>
      <c r="OFI1055" s="989"/>
      <c r="OFJ1055" s="989"/>
      <c r="OFK1055" s="989"/>
      <c r="OFL1055" s="989"/>
      <c r="OFM1055" s="989"/>
      <c r="OFN1055" s="989"/>
      <c r="OFO1055" s="989"/>
      <c r="OFP1055" s="989"/>
      <c r="OFQ1055" s="989"/>
      <c r="OFR1055" s="989"/>
      <c r="OFS1055" s="989"/>
      <c r="OFT1055" s="989"/>
      <c r="OFU1055" s="989"/>
      <c r="OFV1055" s="989"/>
      <c r="OFW1055" s="989"/>
      <c r="OFX1055" s="989"/>
      <c r="OFY1055" s="989"/>
      <c r="OFZ1055" s="989"/>
      <c r="OGA1055" s="989"/>
      <c r="OGB1055" s="989"/>
      <c r="OGC1055" s="989"/>
      <c r="OGD1055" s="989"/>
      <c r="OGE1055" s="989"/>
      <c r="OGF1055" s="989"/>
      <c r="OGG1055" s="989"/>
      <c r="OGH1055" s="989"/>
      <c r="OGI1055" s="989"/>
      <c r="OGJ1055" s="989"/>
      <c r="OGK1055" s="989"/>
      <c r="OGL1055" s="989"/>
      <c r="OGM1055" s="989"/>
      <c r="OGN1055" s="989"/>
      <c r="OGO1055" s="989"/>
      <c r="OGP1055" s="989"/>
      <c r="OGQ1055" s="989"/>
      <c r="OGR1055" s="989"/>
      <c r="OGS1055" s="989"/>
      <c r="OGT1055" s="989"/>
      <c r="OGU1055" s="989"/>
      <c r="OGV1055" s="989"/>
      <c r="OGW1055" s="989"/>
      <c r="OGX1055" s="989"/>
      <c r="OGY1055" s="989"/>
      <c r="OGZ1055" s="989"/>
      <c r="OHA1055" s="989"/>
      <c r="OHB1055" s="989"/>
      <c r="OHC1055" s="989"/>
      <c r="OHD1055" s="989"/>
      <c r="OHE1055" s="989"/>
      <c r="OHF1055" s="989"/>
      <c r="OHG1055" s="989"/>
      <c r="OHH1055" s="989"/>
      <c r="OHI1055" s="989"/>
      <c r="OHJ1055" s="989"/>
      <c r="OHK1055" s="989"/>
      <c r="OHL1055" s="989"/>
      <c r="OHM1055" s="989"/>
      <c r="OHN1055" s="989"/>
      <c r="OHO1055" s="989"/>
      <c r="OHP1055" s="989"/>
      <c r="OHQ1055" s="989"/>
      <c r="OHR1055" s="989"/>
      <c r="OHS1055" s="989"/>
      <c r="OHT1055" s="989"/>
      <c r="OHU1055" s="989"/>
      <c r="OHV1055" s="989"/>
      <c r="OHW1055" s="989"/>
      <c r="OHX1055" s="989"/>
      <c r="OHY1055" s="989"/>
      <c r="OHZ1055" s="989"/>
      <c r="OIA1055" s="989"/>
      <c r="OIB1055" s="989"/>
      <c r="OIC1055" s="989"/>
      <c r="OID1055" s="989"/>
      <c r="OIE1055" s="989"/>
      <c r="OIF1055" s="989"/>
      <c r="OIG1055" s="989"/>
      <c r="OIH1055" s="989"/>
      <c r="OII1055" s="989"/>
      <c r="OIJ1055" s="989"/>
      <c r="OIK1055" s="989"/>
      <c r="OIL1055" s="989"/>
      <c r="OIM1055" s="989"/>
      <c r="OIN1055" s="989"/>
      <c r="OIO1055" s="989"/>
      <c r="OIP1055" s="989"/>
      <c r="OIQ1055" s="989"/>
      <c r="OIR1055" s="989"/>
      <c r="OIS1055" s="989"/>
      <c r="OIT1055" s="989"/>
      <c r="OIU1055" s="989"/>
      <c r="OIV1055" s="989"/>
      <c r="OIW1055" s="989"/>
      <c r="OIX1055" s="989"/>
      <c r="OIY1055" s="989"/>
      <c r="OIZ1055" s="989"/>
      <c r="OJA1055" s="989"/>
      <c r="OJB1055" s="989"/>
      <c r="OJC1055" s="989"/>
      <c r="OJD1055" s="989"/>
      <c r="OJE1055" s="989"/>
      <c r="OJF1055" s="989"/>
      <c r="OJG1055" s="989"/>
      <c r="OJH1055" s="989"/>
      <c r="OJI1055" s="989"/>
      <c r="OJJ1055" s="989"/>
      <c r="OJK1055" s="989"/>
      <c r="OJL1055" s="989"/>
      <c r="OJM1055" s="989"/>
      <c r="OJN1055" s="989"/>
      <c r="OJO1055" s="989"/>
      <c r="OJP1055" s="989"/>
      <c r="OJQ1055" s="989"/>
      <c r="OJR1055" s="989"/>
      <c r="OJS1055" s="989"/>
      <c r="OJT1055" s="989"/>
      <c r="OJU1055" s="989"/>
      <c r="OJV1055" s="989"/>
      <c r="OJW1055" s="989"/>
      <c r="OJX1055" s="989"/>
      <c r="OJY1055" s="989"/>
      <c r="OJZ1055" s="989"/>
      <c r="OKA1055" s="989"/>
      <c r="OKB1055" s="989"/>
      <c r="OKC1055" s="989"/>
      <c r="OKD1055" s="989"/>
      <c r="OKE1055" s="989"/>
      <c r="OKF1055" s="989"/>
      <c r="OKG1055" s="989"/>
      <c r="OKH1055" s="989"/>
      <c r="OKI1055" s="989"/>
      <c r="OKJ1055" s="989"/>
      <c r="OKK1055" s="989"/>
      <c r="OKL1055" s="989"/>
      <c r="OKM1055" s="989"/>
      <c r="OKN1055" s="989"/>
      <c r="OKO1055" s="989"/>
      <c r="OKP1055" s="989"/>
      <c r="OKQ1055" s="989"/>
      <c r="OKR1055" s="989"/>
      <c r="OKS1055" s="989"/>
      <c r="OKT1055" s="989"/>
      <c r="OKU1055" s="989"/>
      <c r="OKV1055" s="989"/>
      <c r="OKW1055" s="989"/>
      <c r="OKX1055" s="989"/>
      <c r="OKY1055" s="989"/>
      <c r="OKZ1055" s="989"/>
      <c r="OLA1055" s="989"/>
      <c r="OLB1055" s="989"/>
      <c r="OLC1055" s="989"/>
      <c r="OLD1055" s="989"/>
      <c r="OLE1055" s="989"/>
      <c r="OLF1055" s="989"/>
      <c r="OLG1055" s="989"/>
      <c r="OLH1055" s="989"/>
      <c r="OLI1055" s="989"/>
      <c r="OLJ1055" s="989"/>
      <c r="OLK1055" s="989"/>
      <c r="OLL1055" s="989"/>
      <c r="OLM1055" s="989"/>
      <c r="OLN1055" s="989"/>
      <c r="OLO1055" s="989"/>
      <c r="OLP1055" s="989"/>
      <c r="OLQ1055" s="989"/>
      <c r="OLR1055" s="989"/>
      <c r="OLS1055" s="989"/>
      <c r="OLT1055" s="989"/>
      <c r="OLU1055" s="989"/>
      <c r="OLV1055" s="989"/>
      <c r="OLW1055" s="989"/>
      <c r="OLX1055" s="989"/>
      <c r="OLY1055" s="989"/>
      <c r="OLZ1055" s="989"/>
      <c r="OMA1055" s="989"/>
      <c r="OMB1055" s="989"/>
      <c r="OMC1055" s="989"/>
      <c r="OMD1055" s="989"/>
      <c r="OME1055" s="989"/>
      <c r="OMF1055" s="989"/>
      <c r="OMG1055" s="989"/>
      <c r="OMH1055" s="989"/>
      <c r="OMI1055" s="989"/>
      <c r="OMJ1055" s="989"/>
      <c r="OMK1055" s="989"/>
      <c r="OML1055" s="989"/>
      <c r="OMM1055" s="989"/>
      <c r="OMN1055" s="989"/>
      <c r="OMO1055" s="989"/>
      <c r="OMP1055" s="989"/>
      <c r="OMQ1055" s="989"/>
      <c r="OMR1055" s="989"/>
      <c r="OMS1055" s="989"/>
      <c r="OMT1055" s="989"/>
      <c r="OMU1055" s="989"/>
      <c r="OMV1055" s="989"/>
      <c r="OMW1055" s="989"/>
      <c r="OMX1055" s="989"/>
      <c r="OMY1055" s="989"/>
      <c r="OMZ1055" s="989"/>
      <c r="ONA1055" s="989"/>
      <c r="ONB1055" s="989"/>
      <c r="ONC1055" s="989"/>
      <c r="OND1055" s="989"/>
      <c r="ONE1055" s="989"/>
      <c r="ONF1055" s="989"/>
      <c r="ONG1055" s="989"/>
      <c r="ONH1055" s="989"/>
      <c r="ONI1055" s="989"/>
      <c r="ONJ1055" s="989"/>
      <c r="ONK1055" s="989"/>
      <c r="ONL1055" s="989"/>
      <c r="ONM1055" s="989"/>
      <c r="ONN1055" s="989"/>
      <c r="ONO1055" s="989"/>
      <c r="ONP1055" s="989"/>
      <c r="ONQ1055" s="989"/>
      <c r="ONR1055" s="989"/>
      <c r="ONS1055" s="989"/>
      <c r="ONT1055" s="989"/>
      <c r="ONU1055" s="989"/>
      <c r="ONV1055" s="989"/>
      <c r="ONW1055" s="989"/>
      <c r="ONX1055" s="989"/>
      <c r="ONY1055" s="989"/>
      <c r="ONZ1055" s="989"/>
      <c r="OOA1055" s="989"/>
      <c r="OOB1055" s="989"/>
      <c r="OOC1055" s="989"/>
      <c r="OOD1055" s="989"/>
      <c r="OOE1055" s="989"/>
      <c r="OOF1055" s="989"/>
      <c r="OOG1055" s="989"/>
      <c r="OOH1055" s="989"/>
      <c r="OOI1055" s="989"/>
      <c r="OOJ1055" s="989"/>
      <c r="OOK1055" s="989"/>
      <c r="OOL1055" s="989"/>
      <c r="OOM1055" s="989"/>
      <c r="OON1055" s="989"/>
      <c r="OOO1055" s="989"/>
      <c r="OOP1055" s="989"/>
      <c r="OOQ1055" s="989"/>
      <c r="OOR1055" s="989"/>
      <c r="OOS1055" s="989"/>
      <c r="OOT1055" s="989"/>
      <c r="OOU1055" s="989"/>
      <c r="OOV1055" s="989"/>
      <c r="OOW1055" s="989"/>
      <c r="OOX1055" s="989"/>
      <c r="OOY1055" s="989"/>
      <c r="OOZ1055" s="989"/>
      <c r="OPA1055" s="989"/>
      <c r="OPB1055" s="989"/>
      <c r="OPC1055" s="989"/>
      <c r="OPD1055" s="989"/>
      <c r="OPE1055" s="989"/>
      <c r="OPF1055" s="989"/>
      <c r="OPG1055" s="989"/>
      <c r="OPH1055" s="989"/>
      <c r="OPI1055" s="989"/>
      <c r="OPJ1055" s="989"/>
      <c r="OPK1055" s="989"/>
      <c r="OPL1055" s="989"/>
      <c r="OPM1055" s="989"/>
      <c r="OPN1055" s="989"/>
      <c r="OPO1055" s="989"/>
      <c r="OPP1055" s="989"/>
      <c r="OPQ1055" s="989"/>
      <c r="OPR1055" s="989"/>
      <c r="OPS1055" s="989"/>
      <c r="OPT1055" s="989"/>
      <c r="OPU1055" s="989"/>
      <c r="OPV1055" s="989"/>
      <c r="OPW1055" s="989"/>
      <c r="OPX1055" s="989"/>
      <c r="OPY1055" s="989"/>
      <c r="OPZ1055" s="989"/>
      <c r="OQA1055" s="989"/>
      <c r="OQB1055" s="989"/>
      <c r="OQC1055" s="989"/>
      <c r="OQD1055" s="989"/>
      <c r="OQE1055" s="989"/>
      <c r="OQF1055" s="989"/>
      <c r="OQG1055" s="989"/>
      <c r="OQH1055" s="989"/>
      <c r="OQI1055" s="989"/>
      <c r="OQJ1055" s="989"/>
      <c r="OQK1055" s="989"/>
      <c r="OQL1055" s="989"/>
      <c r="OQM1055" s="989"/>
      <c r="OQN1055" s="989"/>
      <c r="OQO1055" s="989"/>
      <c r="OQP1055" s="989"/>
      <c r="OQQ1055" s="989"/>
      <c r="OQR1055" s="989"/>
      <c r="OQS1055" s="989"/>
      <c r="OQT1055" s="989"/>
      <c r="OQU1055" s="989"/>
      <c r="OQV1055" s="989"/>
      <c r="OQW1055" s="989"/>
      <c r="OQX1055" s="989"/>
      <c r="OQY1055" s="989"/>
      <c r="OQZ1055" s="989"/>
      <c r="ORA1055" s="989"/>
      <c r="ORB1055" s="989"/>
      <c r="ORC1055" s="989"/>
      <c r="ORD1055" s="989"/>
      <c r="ORE1055" s="989"/>
      <c r="ORF1055" s="989"/>
      <c r="ORG1055" s="989"/>
      <c r="ORH1055" s="989"/>
      <c r="ORI1055" s="989"/>
      <c r="ORJ1055" s="989"/>
      <c r="ORK1055" s="989"/>
      <c r="ORL1055" s="989"/>
      <c r="ORM1055" s="989"/>
      <c r="ORN1055" s="989"/>
      <c r="ORO1055" s="989"/>
      <c r="ORP1055" s="989"/>
      <c r="ORQ1055" s="989"/>
      <c r="ORR1055" s="989"/>
      <c r="ORS1055" s="989"/>
      <c r="ORT1055" s="989"/>
      <c r="ORU1055" s="989"/>
      <c r="ORV1055" s="989"/>
      <c r="ORW1055" s="989"/>
      <c r="ORX1055" s="989"/>
      <c r="ORY1055" s="989"/>
      <c r="ORZ1055" s="989"/>
      <c r="OSA1055" s="989"/>
      <c r="OSB1055" s="989"/>
      <c r="OSC1055" s="989"/>
      <c r="OSD1055" s="989"/>
      <c r="OSE1055" s="989"/>
      <c r="OSF1055" s="989"/>
      <c r="OSG1055" s="989"/>
      <c r="OSH1055" s="989"/>
      <c r="OSI1055" s="989"/>
      <c r="OSJ1055" s="989"/>
      <c r="OSK1055" s="989"/>
      <c r="OSL1055" s="989"/>
      <c r="OSM1055" s="989"/>
      <c r="OSN1055" s="989"/>
      <c r="OSO1055" s="989"/>
      <c r="OSP1055" s="989"/>
      <c r="OSQ1055" s="989"/>
      <c r="OSR1055" s="989"/>
      <c r="OSS1055" s="989"/>
      <c r="OST1055" s="989"/>
      <c r="OSU1055" s="989"/>
      <c r="OSV1055" s="989"/>
      <c r="OSW1055" s="989"/>
      <c r="OSX1055" s="989"/>
      <c r="OSY1055" s="989"/>
      <c r="OSZ1055" s="989"/>
      <c r="OTA1055" s="989"/>
      <c r="OTB1055" s="989"/>
      <c r="OTC1055" s="989"/>
      <c r="OTD1055" s="989"/>
      <c r="OTE1055" s="989"/>
      <c r="OTF1055" s="989"/>
      <c r="OTG1055" s="989"/>
      <c r="OTH1055" s="989"/>
      <c r="OTI1055" s="989"/>
      <c r="OTJ1055" s="989"/>
      <c r="OTK1055" s="989"/>
      <c r="OTL1055" s="989"/>
      <c r="OTM1055" s="989"/>
      <c r="OTN1055" s="989"/>
      <c r="OTO1055" s="989"/>
      <c r="OTP1055" s="989"/>
      <c r="OTQ1055" s="989"/>
      <c r="OTR1055" s="989"/>
      <c r="OTS1055" s="989"/>
      <c r="OTT1055" s="989"/>
      <c r="OTU1055" s="989"/>
      <c r="OTV1055" s="989"/>
      <c r="OTW1055" s="989"/>
      <c r="OTX1055" s="989"/>
      <c r="OTY1055" s="989"/>
      <c r="OTZ1055" s="989"/>
      <c r="OUA1055" s="989"/>
      <c r="OUB1055" s="989"/>
      <c r="OUC1055" s="989"/>
      <c r="OUD1055" s="989"/>
      <c r="OUE1055" s="989"/>
      <c r="OUF1055" s="989"/>
      <c r="OUG1055" s="989"/>
      <c r="OUH1055" s="989"/>
      <c r="OUI1055" s="989"/>
      <c r="OUJ1055" s="989"/>
      <c r="OUK1055" s="989"/>
      <c r="OUL1055" s="989"/>
      <c r="OUM1055" s="989"/>
      <c r="OUN1055" s="989"/>
      <c r="OUO1055" s="989"/>
      <c r="OUP1055" s="989"/>
      <c r="OUQ1055" s="989"/>
      <c r="OUR1055" s="989"/>
      <c r="OUS1055" s="989"/>
      <c r="OUT1055" s="989"/>
      <c r="OUU1055" s="989"/>
      <c r="OUV1055" s="989"/>
      <c r="OUW1055" s="989"/>
      <c r="OUX1055" s="989"/>
      <c r="OUY1055" s="989"/>
      <c r="OUZ1055" s="989"/>
      <c r="OVA1055" s="989"/>
      <c r="OVB1055" s="989"/>
      <c r="OVC1055" s="989"/>
      <c r="OVD1055" s="989"/>
      <c r="OVE1055" s="989"/>
      <c r="OVF1055" s="989"/>
      <c r="OVG1055" s="989"/>
      <c r="OVH1055" s="989"/>
      <c r="OVI1055" s="989"/>
      <c r="OVJ1055" s="989"/>
      <c r="OVK1055" s="989"/>
      <c r="OVL1055" s="989"/>
      <c r="OVM1055" s="989"/>
      <c r="OVN1055" s="989"/>
      <c r="OVO1055" s="989"/>
      <c r="OVP1055" s="989"/>
      <c r="OVQ1055" s="989"/>
      <c r="OVR1055" s="989"/>
      <c r="OVS1055" s="989"/>
      <c r="OVT1055" s="989"/>
      <c r="OVU1055" s="989"/>
      <c r="OVV1055" s="989"/>
      <c r="OVW1055" s="989"/>
      <c r="OVX1055" s="989"/>
      <c r="OVY1055" s="989"/>
      <c r="OVZ1055" s="989"/>
      <c r="OWA1055" s="989"/>
      <c r="OWB1055" s="989"/>
      <c r="OWC1055" s="989"/>
      <c r="OWD1055" s="989"/>
      <c r="OWE1055" s="989"/>
      <c r="OWF1055" s="989"/>
      <c r="OWG1055" s="989"/>
      <c r="OWH1055" s="989"/>
      <c r="OWI1055" s="989"/>
      <c r="OWJ1055" s="989"/>
      <c r="OWK1055" s="989"/>
      <c r="OWL1055" s="989"/>
      <c r="OWM1055" s="989"/>
      <c r="OWN1055" s="989"/>
      <c r="OWO1055" s="989"/>
      <c r="OWP1055" s="989"/>
      <c r="OWQ1055" s="989"/>
      <c r="OWR1055" s="989"/>
      <c r="OWS1055" s="989"/>
      <c r="OWT1055" s="989"/>
      <c r="OWU1055" s="989"/>
      <c r="OWV1055" s="989"/>
      <c r="OWW1055" s="989"/>
      <c r="OWX1055" s="989"/>
      <c r="OWY1055" s="989"/>
      <c r="OWZ1055" s="989"/>
      <c r="OXA1055" s="989"/>
      <c r="OXB1055" s="989"/>
      <c r="OXC1055" s="989"/>
      <c r="OXD1055" s="989"/>
      <c r="OXE1055" s="989"/>
      <c r="OXF1055" s="989"/>
      <c r="OXG1055" s="989"/>
      <c r="OXH1055" s="989"/>
      <c r="OXI1055" s="989"/>
      <c r="OXJ1055" s="989"/>
      <c r="OXK1055" s="989"/>
      <c r="OXL1055" s="989"/>
      <c r="OXM1055" s="989"/>
      <c r="OXN1055" s="989"/>
      <c r="OXO1055" s="989"/>
      <c r="OXP1055" s="989"/>
      <c r="OXQ1055" s="989"/>
      <c r="OXR1055" s="989"/>
      <c r="OXS1055" s="989"/>
      <c r="OXT1055" s="989"/>
      <c r="OXU1055" s="989"/>
      <c r="OXV1055" s="989"/>
      <c r="OXW1055" s="989"/>
      <c r="OXX1055" s="989"/>
      <c r="OXY1055" s="989"/>
      <c r="OXZ1055" s="989"/>
      <c r="OYA1055" s="989"/>
      <c r="OYB1055" s="989"/>
      <c r="OYC1055" s="989"/>
      <c r="OYD1055" s="989"/>
      <c r="OYE1055" s="989"/>
      <c r="OYF1055" s="989"/>
      <c r="OYG1055" s="989"/>
      <c r="OYH1055" s="989"/>
      <c r="OYI1055" s="989"/>
      <c r="OYJ1055" s="989"/>
      <c r="OYK1055" s="989"/>
      <c r="OYL1055" s="989"/>
      <c r="OYM1055" s="989"/>
      <c r="OYN1055" s="989"/>
      <c r="OYO1055" s="989"/>
      <c r="OYP1055" s="989"/>
      <c r="OYQ1055" s="989"/>
      <c r="OYR1055" s="989"/>
      <c r="OYS1055" s="989"/>
      <c r="OYT1055" s="989"/>
      <c r="OYU1055" s="989"/>
      <c r="OYV1055" s="989"/>
      <c r="OYW1055" s="989"/>
      <c r="OYX1055" s="989"/>
      <c r="OYY1055" s="989"/>
      <c r="OYZ1055" s="989"/>
      <c r="OZA1055" s="989"/>
      <c r="OZB1055" s="989"/>
      <c r="OZC1055" s="989"/>
      <c r="OZD1055" s="989"/>
      <c r="OZE1055" s="989"/>
      <c r="OZF1055" s="989"/>
      <c r="OZG1055" s="989"/>
      <c r="OZH1055" s="989"/>
      <c r="OZI1055" s="989"/>
      <c r="OZJ1055" s="989"/>
      <c r="OZK1055" s="989"/>
      <c r="OZL1055" s="989"/>
      <c r="OZM1055" s="989"/>
      <c r="OZN1055" s="989"/>
      <c r="OZO1055" s="989"/>
      <c r="OZP1055" s="989"/>
      <c r="OZQ1055" s="989"/>
      <c r="OZR1055" s="989"/>
      <c r="OZS1055" s="989"/>
      <c r="OZT1055" s="989"/>
      <c r="OZU1055" s="989"/>
      <c r="OZV1055" s="989"/>
      <c r="OZW1055" s="989"/>
      <c r="OZX1055" s="989"/>
      <c r="OZY1055" s="989"/>
      <c r="OZZ1055" s="989"/>
      <c r="PAA1055" s="989"/>
      <c r="PAB1055" s="989"/>
      <c r="PAC1055" s="989"/>
      <c r="PAD1055" s="989"/>
      <c r="PAE1055" s="989"/>
      <c r="PAF1055" s="989"/>
      <c r="PAG1055" s="989"/>
      <c r="PAH1055" s="989"/>
      <c r="PAI1055" s="989"/>
      <c r="PAJ1055" s="989"/>
      <c r="PAK1055" s="989"/>
      <c r="PAL1055" s="989"/>
      <c r="PAM1055" s="989"/>
      <c r="PAN1055" s="989"/>
      <c r="PAO1055" s="989"/>
      <c r="PAP1055" s="989"/>
      <c r="PAQ1055" s="989"/>
      <c r="PAR1055" s="989"/>
      <c r="PAS1055" s="989"/>
      <c r="PAT1055" s="989"/>
      <c r="PAU1055" s="989"/>
      <c r="PAV1055" s="989"/>
      <c r="PAW1055" s="989"/>
      <c r="PAX1055" s="989"/>
      <c r="PAY1055" s="989"/>
      <c r="PAZ1055" s="989"/>
      <c r="PBA1055" s="989"/>
      <c r="PBB1055" s="989"/>
      <c r="PBC1055" s="989"/>
      <c r="PBD1055" s="989"/>
      <c r="PBE1055" s="989"/>
      <c r="PBF1055" s="989"/>
      <c r="PBG1055" s="989"/>
      <c r="PBH1055" s="989"/>
      <c r="PBI1055" s="989"/>
      <c r="PBJ1055" s="989"/>
      <c r="PBK1055" s="989"/>
      <c r="PBL1055" s="989"/>
      <c r="PBM1055" s="989"/>
      <c r="PBN1055" s="989"/>
      <c r="PBO1055" s="989"/>
      <c r="PBP1055" s="989"/>
      <c r="PBQ1055" s="989"/>
      <c r="PBR1055" s="989"/>
      <c r="PBS1055" s="989"/>
      <c r="PBT1055" s="989"/>
      <c r="PBU1055" s="989"/>
      <c r="PBV1055" s="989"/>
      <c r="PBW1055" s="989"/>
      <c r="PBX1055" s="989"/>
      <c r="PBY1055" s="989"/>
      <c r="PBZ1055" s="989"/>
      <c r="PCA1055" s="989"/>
      <c r="PCB1055" s="989"/>
      <c r="PCC1055" s="989"/>
      <c r="PCD1055" s="989"/>
      <c r="PCE1055" s="989"/>
      <c r="PCF1055" s="989"/>
      <c r="PCG1055" s="989"/>
      <c r="PCH1055" s="989"/>
      <c r="PCI1055" s="989"/>
      <c r="PCJ1055" s="989"/>
      <c r="PCK1055" s="989"/>
      <c r="PCL1055" s="989"/>
      <c r="PCM1055" s="989"/>
      <c r="PCN1055" s="989"/>
      <c r="PCO1055" s="989"/>
      <c r="PCP1055" s="989"/>
      <c r="PCQ1055" s="989"/>
      <c r="PCR1055" s="989"/>
      <c r="PCS1055" s="989"/>
      <c r="PCT1055" s="989"/>
      <c r="PCU1055" s="989"/>
      <c r="PCV1055" s="989"/>
      <c r="PCW1055" s="989"/>
      <c r="PCX1055" s="989"/>
      <c r="PCY1055" s="989"/>
      <c r="PCZ1055" s="989"/>
      <c r="PDA1055" s="989"/>
      <c r="PDB1055" s="989"/>
      <c r="PDC1055" s="989"/>
      <c r="PDD1055" s="989"/>
      <c r="PDE1055" s="989"/>
      <c r="PDF1055" s="989"/>
      <c r="PDG1055" s="989"/>
      <c r="PDH1055" s="989"/>
      <c r="PDI1055" s="989"/>
      <c r="PDJ1055" s="989"/>
      <c r="PDK1055" s="989"/>
      <c r="PDL1055" s="989"/>
      <c r="PDM1055" s="989"/>
      <c r="PDN1055" s="989"/>
      <c r="PDO1055" s="989"/>
      <c r="PDP1055" s="989"/>
      <c r="PDQ1055" s="989"/>
      <c r="PDR1055" s="989"/>
      <c r="PDS1055" s="989"/>
      <c r="PDT1055" s="989"/>
      <c r="PDU1055" s="989"/>
      <c r="PDV1055" s="989"/>
      <c r="PDW1055" s="989"/>
      <c r="PDX1055" s="989"/>
      <c r="PDY1055" s="989"/>
      <c r="PDZ1055" s="989"/>
      <c r="PEA1055" s="989"/>
      <c r="PEB1055" s="989"/>
      <c r="PEC1055" s="989"/>
      <c r="PED1055" s="989"/>
      <c r="PEE1055" s="989"/>
      <c r="PEF1055" s="989"/>
      <c r="PEG1055" s="989"/>
      <c r="PEH1055" s="989"/>
      <c r="PEI1055" s="989"/>
      <c r="PEJ1055" s="989"/>
      <c r="PEK1055" s="989"/>
      <c r="PEL1055" s="989"/>
      <c r="PEM1055" s="989"/>
      <c r="PEN1055" s="989"/>
      <c r="PEO1055" s="989"/>
      <c r="PEP1055" s="989"/>
      <c r="PEQ1055" s="989"/>
      <c r="PER1055" s="989"/>
      <c r="PES1055" s="989"/>
      <c r="PET1055" s="989"/>
      <c r="PEU1055" s="989"/>
      <c r="PEV1055" s="989"/>
      <c r="PEW1055" s="989"/>
      <c r="PEX1055" s="989"/>
      <c r="PEY1055" s="989"/>
      <c r="PEZ1055" s="989"/>
      <c r="PFA1055" s="989"/>
      <c r="PFB1055" s="989"/>
      <c r="PFC1055" s="989"/>
      <c r="PFD1055" s="989"/>
      <c r="PFE1055" s="989"/>
      <c r="PFF1055" s="989"/>
      <c r="PFG1055" s="989"/>
      <c r="PFH1055" s="989"/>
      <c r="PFI1055" s="989"/>
      <c r="PFJ1055" s="989"/>
      <c r="PFK1055" s="989"/>
      <c r="PFL1055" s="989"/>
      <c r="PFM1055" s="989"/>
      <c r="PFN1055" s="989"/>
      <c r="PFO1055" s="989"/>
      <c r="PFP1055" s="989"/>
      <c r="PFQ1055" s="989"/>
      <c r="PFR1055" s="989"/>
      <c r="PFS1055" s="989"/>
      <c r="PFT1055" s="989"/>
      <c r="PFU1055" s="989"/>
      <c r="PFV1055" s="989"/>
      <c r="PFW1055" s="989"/>
      <c r="PFX1055" s="989"/>
      <c r="PFY1055" s="989"/>
      <c r="PFZ1055" s="989"/>
      <c r="PGA1055" s="989"/>
      <c r="PGB1055" s="989"/>
      <c r="PGC1055" s="989"/>
      <c r="PGD1055" s="989"/>
      <c r="PGE1055" s="989"/>
      <c r="PGF1055" s="989"/>
      <c r="PGG1055" s="989"/>
      <c r="PGH1055" s="989"/>
      <c r="PGI1055" s="989"/>
      <c r="PGJ1055" s="989"/>
      <c r="PGK1055" s="989"/>
      <c r="PGL1055" s="989"/>
      <c r="PGM1055" s="989"/>
      <c r="PGN1055" s="989"/>
      <c r="PGO1055" s="989"/>
      <c r="PGP1055" s="989"/>
      <c r="PGQ1055" s="989"/>
      <c r="PGR1055" s="989"/>
      <c r="PGS1055" s="989"/>
      <c r="PGT1055" s="989"/>
      <c r="PGU1055" s="989"/>
      <c r="PGV1055" s="989"/>
      <c r="PGW1055" s="989"/>
      <c r="PGX1055" s="989"/>
      <c r="PGY1055" s="989"/>
      <c r="PGZ1055" s="989"/>
      <c r="PHA1055" s="989"/>
      <c r="PHB1055" s="989"/>
      <c r="PHC1055" s="989"/>
      <c r="PHD1055" s="989"/>
      <c r="PHE1055" s="989"/>
      <c r="PHF1055" s="989"/>
      <c r="PHG1055" s="989"/>
      <c r="PHH1055" s="989"/>
      <c r="PHI1055" s="989"/>
      <c r="PHJ1055" s="989"/>
      <c r="PHK1055" s="989"/>
      <c r="PHL1055" s="989"/>
      <c r="PHM1055" s="989"/>
      <c r="PHN1055" s="989"/>
      <c r="PHO1055" s="989"/>
      <c r="PHP1055" s="989"/>
      <c r="PHQ1055" s="989"/>
      <c r="PHR1055" s="989"/>
      <c r="PHS1055" s="989"/>
      <c r="PHT1055" s="989"/>
      <c r="PHU1055" s="989"/>
      <c r="PHV1055" s="989"/>
      <c r="PHW1055" s="989"/>
      <c r="PHX1055" s="989"/>
      <c r="PHY1055" s="989"/>
      <c r="PHZ1055" s="989"/>
      <c r="PIA1055" s="989"/>
      <c r="PIB1055" s="989"/>
      <c r="PIC1055" s="989"/>
      <c r="PID1055" s="989"/>
      <c r="PIE1055" s="989"/>
      <c r="PIF1055" s="989"/>
      <c r="PIG1055" s="989"/>
      <c r="PIH1055" s="989"/>
      <c r="PII1055" s="989"/>
      <c r="PIJ1055" s="989"/>
      <c r="PIK1055" s="989"/>
      <c r="PIL1055" s="989"/>
      <c r="PIM1055" s="989"/>
      <c r="PIN1055" s="989"/>
      <c r="PIO1055" s="989"/>
      <c r="PIP1055" s="989"/>
      <c r="PIQ1055" s="989"/>
      <c r="PIR1055" s="989"/>
      <c r="PIS1055" s="989"/>
      <c r="PIT1055" s="989"/>
      <c r="PIU1055" s="989"/>
      <c r="PIV1055" s="989"/>
      <c r="PIW1055" s="989"/>
      <c r="PIX1055" s="989"/>
      <c r="PIY1055" s="989"/>
      <c r="PIZ1055" s="989"/>
      <c r="PJA1055" s="989"/>
      <c r="PJB1055" s="989"/>
      <c r="PJC1055" s="989"/>
      <c r="PJD1055" s="989"/>
      <c r="PJE1055" s="989"/>
      <c r="PJF1055" s="989"/>
      <c r="PJG1055" s="989"/>
      <c r="PJH1055" s="989"/>
      <c r="PJI1055" s="989"/>
      <c r="PJJ1055" s="989"/>
      <c r="PJK1055" s="989"/>
      <c r="PJL1055" s="989"/>
      <c r="PJM1055" s="989"/>
      <c r="PJN1055" s="989"/>
      <c r="PJO1055" s="989"/>
      <c r="PJP1055" s="989"/>
      <c r="PJQ1055" s="989"/>
      <c r="PJR1055" s="989"/>
      <c r="PJS1055" s="989"/>
      <c r="PJT1055" s="989"/>
      <c r="PJU1055" s="989"/>
      <c r="PJV1055" s="989"/>
      <c r="PJW1055" s="989"/>
      <c r="PJX1055" s="989"/>
      <c r="PJY1055" s="989"/>
      <c r="PJZ1055" s="989"/>
      <c r="PKA1055" s="989"/>
      <c r="PKB1055" s="989"/>
      <c r="PKC1055" s="989"/>
      <c r="PKD1055" s="989"/>
      <c r="PKE1055" s="989"/>
      <c r="PKF1055" s="989"/>
      <c r="PKG1055" s="989"/>
      <c r="PKH1055" s="989"/>
      <c r="PKI1055" s="989"/>
      <c r="PKJ1055" s="989"/>
      <c r="PKK1055" s="989"/>
      <c r="PKL1055" s="989"/>
      <c r="PKM1055" s="989"/>
      <c r="PKN1055" s="989"/>
      <c r="PKO1055" s="989"/>
      <c r="PKP1055" s="989"/>
      <c r="PKQ1055" s="989"/>
      <c r="PKR1055" s="989"/>
      <c r="PKS1055" s="989"/>
      <c r="PKT1055" s="989"/>
      <c r="PKU1055" s="989"/>
      <c r="PKV1055" s="989"/>
      <c r="PKW1055" s="989"/>
      <c r="PKX1055" s="989"/>
      <c r="PKY1055" s="989"/>
      <c r="PKZ1055" s="989"/>
      <c r="PLA1055" s="989"/>
      <c r="PLB1055" s="989"/>
      <c r="PLC1055" s="989"/>
      <c r="PLD1055" s="989"/>
      <c r="PLE1055" s="989"/>
      <c r="PLF1055" s="989"/>
      <c r="PLG1055" s="989"/>
      <c r="PLH1055" s="989"/>
      <c r="PLI1055" s="989"/>
      <c r="PLJ1055" s="989"/>
      <c r="PLK1055" s="989"/>
      <c r="PLL1055" s="989"/>
      <c r="PLM1055" s="989"/>
      <c r="PLN1055" s="989"/>
      <c r="PLO1055" s="989"/>
      <c r="PLP1055" s="989"/>
      <c r="PLQ1055" s="989"/>
      <c r="PLR1055" s="989"/>
      <c r="PLS1055" s="989"/>
      <c r="PLT1055" s="989"/>
      <c r="PLU1055" s="989"/>
      <c r="PLV1055" s="989"/>
      <c r="PLW1055" s="989"/>
      <c r="PLX1055" s="989"/>
      <c r="PLY1055" s="989"/>
      <c r="PLZ1055" s="989"/>
      <c r="PMA1055" s="989"/>
      <c r="PMB1055" s="989"/>
      <c r="PMC1055" s="989"/>
      <c r="PMD1055" s="989"/>
      <c r="PME1055" s="989"/>
      <c r="PMF1055" s="989"/>
      <c r="PMG1055" s="989"/>
      <c r="PMH1055" s="989"/>
      <c r="PMI1055" s="989"/>
      <c r="PMJ1055" s="989"/>
      <c r="PMK1055" s="989"/>
      <c r="PML1055" s="989"/>
      <c r="PMM1055" s="989"/>
      <c r="PMN1055" s="989"/>
      <c r="PMO1055" s="989"/>
      <c r="PMP1055" s="989"/>
      <c r="PMQ1055" s="989"/>
      <c r="PMR1055" s="989"/>
      <c r="PMS1055" s="989"/>
      <c r="PMT1055" s="989"/>
      <c r="PMU1055" s="989"/>
      <c r="PMV1055" s="989"/>
      <c r="PMW1055" s="989"/>
      <c r="PMX1055" s="989"/>
      <c r="PMY1055" s="989"/>
      <c r="PMZ1055" s="989"/>
      <c r="PNA1055" s="989"/>
      <c r="PNB1055" s="989"/>
      <c r="PNC1055" s="989"/>
      <c r="PND1055" s="989"/>
      <c r="PNE1055" s="989"/>
      <c r="PNF1055" s="989"/>
      <c r="PNG1055" s="989"/>
      <c r="PNH1055" s="989"/>
      <c r="PNI1055" s="989"/>
      <c r="PNJ1055" s="989"/>
      <c r="PNK1055" s="989"/>
      <c r="PNL1055" s="989"/>
      <c r="PNM1055" s="989"/>
      <c r="PNN1055" s="989"/>
      <c r="PNO1055" s="989"/>
      <c r="PNP1055" s="989"/>
      <c r="PNQ1055" s="989"/>
      <c r="PNR1055" s="989"/>
      <c r="PNS1055" s="989"/>
      <c r="PNT1055" s="989"/>
      <c r="PNU1055" s="989"/>
      <c r="PNV1055" s="989"/>
      <c r="PNW1055" s="989"/>
      <c r="PNX1055" s="989"/>
      <c r="PNY1055" s="989"/>
      <c r="PNZ1055" s="989"/>
      <c r="POA1055" s="989"/>
      <c r="POB1055" s="989"/>
      <c r="POC1055" s="989"/>
      <c r="POD1055" s="989"/>
      <c r="POE1055" s="989"/>
      <c r="POF1055" s="989"/>
      <c r="POG1055" s="989"/>
      <c r="POH1055" s="989"/>
      <c r="POI1055" s="989"/>
      <c r="POJ1055" s="989"/>
      <c r="POK1055" s="989"/>
      <c r="POL1055" s="989"/>
      <c r="POM1055" s="989"/>
      <c r="PON1055" s="989"/>
      <c r="POO1055" s="989"/>
      <c r="POP1055" s="989"/>
      <c r="POQ1055" s="989"/>
      <c r="POR1055" s="989"/>
      <c r="POS1055" s="989"/>
      <c r="POT1055" s="989"/>
      <c r="POU1055" s="989"/>
      <c r="POV1055" s="989"/>
      <c r="POW1055" s="989"/>
      <c r="POX1055" s="989"/>
      <c r="POY1055" s="989"/>
      <c r="POZ1055" s="989"/>
      <c r="PPA1055" s="989"/>
      <c r="PPB1055" s="989"/>
      <c r="PPC1055" s="989"/>
      <c r="PPD1055" s="989"/>
      <c r="PPE1055" s="989"/>
      <c r="PPF1055" s="989"/>
      <c r="PPG1055" s="989"/>
      <c r="PPH1055" s="989"/>
      <c r="PPI1055" s="989"/>
      <c r="PPJ1055" s="989"/>
      <c r="PPK1055" s="989"/>
      <c r="PPL1055" s="989"/>
      <c r="PPM1055" s="989"/>
      <c r="PPN1055" s="989"/>
      <c r="PPO1055" s="989"/>
      <c r="PPP1055" s="989"/>
      <c r="PPQ1055" s="989"/>
      <c r="PPR1055" s="989"/>
      <c r="PPS1055" s="989"/>
      <c r="PPT1055" s="989"/>
      <c r="PPU1055" s="989"/>
      <c r="PPV1055" s="989"/>
      <c r="PPW1055" s="989"/>
      <c r="PPX1055" s="989"/>
      <c r="PPY1055" s="989"/>
      <c r="PPZ1055" s="989"/>
      <c r="PQA1055" s="989"/>
      <c r="PQB1055" s="989"/>
      <c r="PQC1055" s="989"/>
      <c r="PQD1055" s="989"/>
      <c r="PQE1055" s="989"/>
      <c r="PQF1055" s="989"/>
      <c r="PQG1055" s="989"/>
      <c r="PQH1055" s="989"/>
      <c r="PQI1055" s="989"/>
      <c r="PQJ1055" s="989"/>
      <c r="PQK1055" s="989"/>
      <c r="PQL1055" s="989"/>
      <c r="PQM1055" s="989"/>
      <c r="PQN1055" s="989"/>
      <c r="PQO1055" s="989"/>
      <c r="PQP1055" s="989"/>
      <c r="PQQ1055" s="989"/>
      <c r="PQR1055" s="989"/>
      <c r="PQS1055" s="989"/>
      <c r="PQT1055" s="989"/>
      <c r="PQU1055" s="989"/>
      <c r="PQV1055" s="989"/>
      <c r="PQW1055" s="989"/>
      <c r="PQX1055" s="989"/>
      <c r="PQY1055" s="989"/>
      <c r="PQZ1055" s="989"/>
      <c r="PRA1055" s="989"/>
      <c r="PRB1055" s="989"/>
      <c r="PRC1055" s="989"/>
      <c r="PRD1055" s="989"/>
      <c r="PRE1055" s="989"/>
      <c r="PRF1055" s="989"/>
      <c r="PRG1055" s="989"/>
      <c r="PRH1055" s="989"/>
      <c r="PRI1055" s="989"/>
      <c r="PRJ1055" s="989"/>
      <c r="PRK1055" s="989"/>
      <c r="PRL1055" s="989"/>
      <c r="PRM1055" s="989"/>
      <c r="PRN1055" s="989"/>
      <c r="PRO1055" s="989"/>
      <c r="PRP1055" s="989"/>
      <c r="PRQ1055" s="989"/>
      <c r="PRR1055" s="989"/>
      <c r="PRS1055" s="989"/>
      <c r="PRT1055" s="989"/>
      <c r="PRU1055" s="989"/>
      <c r="PRV1055" s="989"/>
      <c r="PRW1055" s="989"/>
      <c r="PRX1055" s="989"/>
      <c r="PRY1055" s="989"/>
      <c r="PRZ1055" s="989"/>
      <c r="PSA1055" s="989"/>
      <c r="PSB1055" s="989"/>
      <c r="PSC1055" s="989"/>
      <c r="PSD1055" s="989"/>
      <c r="PSE1055" s="989"/>
      <c r="PSF1055" s="989"/>
      <c r="PSG1055" s="989"/>
      <c r="PSH1055" s="989"/>
      <c r="PSI1055" s="989"/>
      <c r="PSJ1055" s="989"/>
      <c r="PSK1055" s="989"/>
      <c r="PSL1055" s="989"/>
      <c r="PSM1055" s="989"/>
      <c r="PSN1055" s="989"/>
      <c r="PSO1055" s="989"/>
      <c r="PSP1055" s="989"/>
      <c r="PSQ1055" s="989"/>
      <c r="PSR1055" s="989"/>
      <c r="PSS1055" s="989"/>
      <c r="PST1055" s="989"/>
      <c r="PSU1055" s="989"/>
      <c r="PSV1055" s="989"/>
      <c r="PSW1055" s="989"/>
      <c r="PSX1055" s="989"/>
      <c r="PSY1055" s="989"/>
      <c r="PSZ1055" s="989"/>
      <c r="PTA1055" s="989"/>
      <c r="PTB1055" s="989"/>
      <c r="PTC1055" s="989"/>
      <c r="PTD1055" s="989"/>
      <c r="PTE1055" s="989"/>
      <c r="PTF1055" s="989"/>
      <c r="PTG1055" s="989"/>
      <c r="PTH1055" s="989"/>
      <c r="PTI1055" s="989"/>
      <c r="PTJ1055" s="989"/>
      <c r="PTK1055" s="989"/>
      <c r="PTL1055" s="989"/>
      <c r="PTM1055" s="989"/>
      <c r="PTN1055" s="989"/>
      <c r="PTO1055" s="989"/>
      <c r="PTP1055" s="989"/>
      <c r="PTQ1055" s="989"/>
      <c r="PTR1055" s="989"/>
      <c r="PTS1055" s="989"/>
      <c r="PTT1055" s="989"/>
      <c r="PTU1055" s="989"/>
      <c r="PTV1055" s="989"/>
      <c r="PTW1055" s="989"/>
      <c r="PTX1055" s="989"/>
      <c r="PTY1055" s="989"/>
      <c r="PTZ1055" s="989"/>
      <c r="PUA1055" s="989"/>
      <c r="PUB1055" s="989"/>
      <c r="PUC1055" s="989"/>
      <c r="PUD1055" s="989"/>
      <c r="PUE1055" s="989"/>
      <c r="PUF1055" s="989"/>
      <c r="PUG1055" s="989"/>
      <c r="PUH1055" s="989"/>
      <c r="PUI1055" s="989"/>
      <c r="PUJ1055" s="989"/>
      <c r="PUK1055" s="989"/>
      <c r="PUL1055" s="989"/>
      <c r="PUM1055" s="989"/>
      <c r="PUN1055" s="989"/>
      <c r="PUO1055" s="989"/>
      <c r="PUP1055" s="989"/>
      <c r="PUQ1055" s="989"/>
      <c r="PUR1055" s="989"/>
      <c r="PUS1055" s="989"/>
      <c r="PUT1055" s="989"/>
      <c r="PUU1055" s="989"/>
      <c r="PUV1055" s="989"/>
      <c r="PUW1055" s="989"/>
      <c r="PUX1055" s="989"/>
      <c r="PUY1055" s="989"/>
      <c r="PUZ1055" s="989"/>
      <c r="PVA1055" s="989"/>
      <c r="PVB1055" s="989"/>
      <c r="PVC1055" s="989"/>
      <c r="PVD1055" s="989"/>
      <c r="PVE1055" s="989"/>
      <c r="PVF1055" s="989"/>
      <c r="PVG1055" s="989"/>
      <c r="PVH1055" s="989"/>
      <c r="PVI1055" s="989"/>
      <c r="PVJ1055" s="989"/>
      <c r="PVK1055" s="989"/>
      <c r="PVL1055" s="989"/>
      <c r="PVM1055" s="989"/>
      <c r="PVN1055" s="989"/>
      <c r="PVO1055" s="989"/>
      <c r="PVP1055" s="989"/>
      <c r="PVQ1055" s="989"/>
      <c r="PVR1055" s="989"/>
      <c r="PVS1055" s="989"/>
      <c r="PVT1055" s="989"/>
      <c r="PVU1055" s="989"/>
      <c r="PVV1055" s="989"/>
      <c r="PVW1055" s="989"/>
      <c r="PVX1055" s="989"/>
      <c r="PVY1055" s="989"/>
      <c r="PVZ1055" s="989"/>
      <c r="PWA1055" s="989"/>
      <c r="PWB1055" s="989"/>
      <c r="PWC1055" s="989"/>
      <c r="PWD1055" s="989"/>
      <c r="PWE1055" s="989"/>
      <c r="PWF1055" s="989"/>
      <c r="PWG1055" s="989"/>
      <c r="PWH1055" s="989"/>
      <c r="PWI1055" s="989"/>
      <c r="PWJ1055" s="989"/>
      <c r="PWK1055" s="989"/>
      <c r="PWL1055" s="989"/>
      <c r="PWM1055" s="989"/>
      <c r="PWN1055" s="989"/>
      <c r="PWO1055" s="989"/>
      <c r="PWP1055" s="989"/>
      <c r="PWQ1055" s="989"/>
      <c r="PWR1055" s="989"/>
      <c r="PWS1055" s="989"/>
      <c r="PWT1055" s="989"/>
      <c r="PWU1055" s="989"/>
      <c r="PWV1055" s="989"/>
      <c r="PWW1055" s="989"/>
      <c r="PWX1055" s="989"/>
      <c r="PWY1055" s="989"/>
      <c r="PWZ1055" s="989"/>
      <c r="PXA1055" s="989"/>
      <c r="PXB1055" s="989"/>
      <c r="PXC1055" s="989"/>
      <c r="PXD1055" s="989"/>
      <c r="PXE1055" s="989"/>
      <c r="PXF1055" s="989"/>
      <c r="PXG1055" s="989"/>
      <c r="PXH1055" s="989"/>
      <c r="PXI1055" s="989"/>
      <c r="PXJ1055" s="989"/>
      <c r="PXK1055" s="989"/>
      <c r="PXL1055" s="989"/>
      <c r="PXM1055" s="989"/>
      <c r="PXN1055" s="989"/>
      <c r="PXO1055" s="989"/>
      <c r="PXP1055" s="989"/>
      <c r="PXQ1055" s="989"/>
      <c r="PXR1055" s="989"/>
      <c r="PXS1055" s="989"/>
      <c r="PXT1055" s="989"/>
      <c r="PXU1055" s="989"/>
      <c r="PXV1055" s="989"/>
      <c r="PXW1055" s="989"/>
      <c r="PXX1055" s="989"/>
      <c r="PXY1055" s="989"/>
      <c r="PXZ1055" s="989"/>
      <c r="PYA1055" s="989"/>
      <c r="PYB1055" s="989"/>
      <c r="PYC1055" s="989"/>
      <c r="PYD1055" s="989"/>
      <c r="PYE1055" s="989"/>
      <c r="PYF1055" s="989"/>
      <c r="PYG1055" s="989"/>
      <c r="PYH1055" s="989"/>
      <c r="PYI1055" s="989"/>
      <c r="PYJ1055" s="989"/>
      <c r="PYK1055" s="989"/>
      <c r="PYL1055" s="989"/>
      <c r="PYM1055" s="989"/>
      <c r="PYN1055" s="989"/>
      <c r="PYO1055" s="989"/>
      <c r="PYP1055" s="989"/>
      <c r="PYQ1055" s="989"/>
      <c r="PYR1055" s="989"/>
      <c r="PYS1055" s="989"/>
      <c r="PYT1055" s="989"/>
      <c r="PYU1055" s="989"/>
      <c r="PYV1055" s="989"/>
      <c r="PYW1055" s="989"/>
      <c r="PYX1055" s="989"/>
      <c r="PYY1055" s="989"/>
      <c r="PYZ1055" s="989"/>
      <c r="PZA1055" s="989"/>
      <c r="PZB1055" s="989"/>
      <c r="PZC1055" s="989"/>
      <c r="PZD1055" s="989"/>
      <c r="PZE1055" s="989"/>
      <c r="PZF1055" s="989"/>
      <c r="PZG1055" s="989"/>
      <c r="PZH1055" s="989"/>
      <c r="PZI1055" s="989"/>
      <c r="PZJ1055" s="989"/>
      <c r="PZK1055" s="989"/>
      <c r="PZL1055" s="989"/>
      <c r="PZM1055" s="989"/>
      <c r="PZN1055" s="989"/>
      <c r="PZO1055" s="989"/>
      <c r="PZP1055" s="989"/>
      <c r="PZQ1055" s="989"/>
      <c r="PZR1055" s="989"/>
      <c r="PZS1055" s="989"/>
      <c r="PZT1055" s="989"/>
      <c r="PZU1055" s="989"/>
      <c r="PZV1055" s="989"/>
      <c r="PZW1055" s="989"/>
      <c r="PZX1055" s="989"/>
      <c r="PZY1055" s="989"/>
      <c r="PZZ1055" s="989"/>
      <c r="QAA1055" s="989"/>
      <c r="QAB1055" s="989"/>
      <c r="QAC1055" s="989"/>
      <c r="QAD1055" s="989"/>
      <c r="QAE1055" s="989"/>
      <c r="QAF1055" s="989"/>
      <c r="QAG1055" s="989"/>
      <c r="QAH1055" s="989"/>
      <c r="QAI1055" s="989"/>
      <c r="QAJ1055" s="989"/>
      <c r="QAK1055" s="989"/>
      <c r="QAL1055" s="989"/>
      <c r="QAM1055" s="989"/>
      <c r="QAN1055" s="989"/>
      <c r="QAO1055" s="989"/>
      <c r="QAP1055" s="989"/>
      <c r="QAQ1055" s="989"/>
      <c r="QAR1055" s="989"/>
      <c r="QAS1055" s="989"/>
      <c r="QAT1055" s="989"/>
      <c r="QAU1055" s="989"/>
      <c r="QAV1055" s="989"/>
      <c r="QAW1055" s="989"/>
      <c r="QAX1055" s="989"/>
      <c r="QAY1055" s="989"/>
      <c r="QAZ1055" s="989"/>
      <c r="QBA1055" s="989"/>
      <c r="QBB1055" s="989"/>
      <c r="QBC1055" s="989"/>
      <c r="QBD1055" s="989"/>
      <c r="QBE1055" s="989"/>
      <c r="QBF1055" s="989"/>
      <c r="QBG1055" s="989"/>
      <c r="QBH1055" s="989"/>
      <c r="QBI1055" s="989"/>
      <c r="QBJ1055" s="989"/>
      <c r="QBK1055" s="989"/>
      <c r="QBL1055" s="989"/>
      <c r="QBM1055" s="989"/>
      <c r="QBN1055" s="989"/>
      <c r="QBO1055" s="989"/>
      <c r="QBP1055" s="989"/>
      <c r="QBQ1055" s="989"/>
      <c r="QBR1055" s="989"/>
      <c r="QBS1055" s="989"/>
      <c r="QBT1055" s="989"/>
      <c r="QBU1055" s="989"/>
      <c r="QBV1055" s="989"/>
      <c r="QBW1055" s="989"/>
      <c r="QBX1055" s="989"/>
      <c r="QBY1055" s="989"/>
      <c r="QBZ1055" s="989"/>
      <c r="QCA1055" s="989"/>
      <c r="QCB1055" s="989"/>
      <c r="QCC1055" s="989"/>
      <c r="QCD1055" s="989"/>
      <c r="QCE1055" s="989"/>
      <c r="QCF1055" s="989"/>
      <c r="QCG1055" s="989"/>
      <c r="QCH1055" s="989"/>
      <c r="QCI1055" s="989"/>
      <c r="QCJ1055" s="989"/>
      <c r="QCK1055" s="989"/>
      <c r="QCL1055" s="989"/>
      <c r="QCM1055" s="989"/>
      <c r="QCN1055" s="989"/>
      <c r="QCO1055" s="989"/>
      <c r="QCP1055" s="989"/>
      <c r="QCQ1055" s="989"/>
      <c r="QCR1055" s="989"/>
      <c r="QCS1055" s="989"/>
      <c r="QCT1055" s="989"/>
      <c r="QCU1055" s="989"/>
      <c r="QCV1055" s="989"/>
      <c r="QCW1055" s="989"/>
      <c r="QCX1055" s="989"/>
      <c r="QCY1055" s="989"/>
      <c r="QCZ1055" s="989"/>
      <c r="QDA1055" s="989"/>
      <c r="QDB1055" s="989"/>
      <c r="QDC1055" s="989"/>
      <c r="QDD1055" s="989"/>
      <c r="QDE1055" s="989"/>
      <c r="QDF1055" s="989"/>
      <c r="QDG1055" s="989"/>
      <c r="QDH1055" s="989"/>
      <c r="QDI1055" s="989"/>
      <c r="QDJ1055" s="989"/>
      <c r="QDK1055" s="989"/>
      <c r="QDL1055" s="989"/>
      <c r="QDM1055" s="989"/>
      <c r="QDN1055" s="989"/>
      <c r="QDO1055" s="989"/>
      <c r="QDP1055" s="989"/>
      <c r="QDQ1055" s="989"/>
      <c r="QDR1055" s="989"/>
      <c r="QDS1055" s="989"/>
      <c r="QDT1055" s="989"/>
      <c r="QDU1055" s="989"/>
      <c r="QDV1055" s="989"/>
      <c r="QDW1055" s="989"/>
      <c r="QDX1055" s="989"/>
      <c r="QDY1055" s="989"/>
      <c r="QDZ1055" s="989"/>
      <c r="QEA1055" s="989"/>
      <c r="QEB1055" s="989"/>
      <c r="QEC1055" s="989"/>
      <c r="QED1055" s="989"/>
      <c r="QEE1055" s="989"/>
      <c r="QEF1055" s="989"/>
      <c r="QEG1055" s="989"/>
      <c r="QEH1055" s="989"/>
      <c r="QEI1055" s="989"/>
      <c r="QEJ1055" s="989"/>
      <c r="QEK1055" s="989"/>
      <c r="QEL1055" s="989"/>
      <c r="QEM1055" s="989"/>
      <c r="QEN1055" s="989"/>
      <c r="QEO1055" s="989"/>
      <c r="QEP1055" s="989"/>
      <c r="QEQ1055" s="989"/>
      <c r="QER1055" s="989"/>
      <c r="QES1055" s="989"/>
      <c r="QET1055" s="989"/>
      <c r="QEU1055" s="989"/>
      <c r="QEV1055" s="989"/>
      <c r="QEW1055" s="989"/>
      <c r="QEX1055" s="989"/>
      <c r="QEY1055" s="989"/>
      <c r="QEZ1055" s="989"/>
      <c r="QFA1055" s="989"/>
      <c r="QFB1055" s="989"/>
      <c r="QFC1055" s="989"/>
      <c r="QFD1055" s="989"/>
      <c r="QFE1055" s="989"/>
      <c r="QFF1055" s="989"/>
      <c r="QFG1055" s="989"/>
      <c r="QFH1055" s="989"/>
      <c r="QFI1055" s="989"/>
      <c r="QFJ1055" s="989"/>
      <c r="QFK1055" s="989"/>
      <c r="QFL1055" s="989"/>
      <c r="QFM1055" s="989"/>
      <c r="QFN1055" s="989"/>
      <c r="QFO1055" s="989"/>
      <c r="QFP1055" s="989"/>
      <c r="QFQ1055" s="989"/>
      <c r="QFR1055" s="989"/>
      <c r="QFS1055" s="989"/>
      <c r="QFT1055" s="989"/>
      <c r="QFU1055" s="989"/>
      <c r="QFV1055" s="989"/>
      <c r="QFW1055" s="989"/>
      <c r="QFX1055" s="989"/>
      <c r="QFY1055" s="989"/>
      <c r="QFZ1055" s="989"/>
      <c r="QGA1055" s="989"/>
      <c r="QGB1055" s="989"/>
      <c r="QGC1055" s="989"/>
      <c r="QGD1055" s="989"/>
      <c r="QGE1055" s="989"/>
      <c r="QGF1055" s="989"/>
      <c r="QGG1055" s="989"/>
      <c r="QGH1055" s="989"/>
      <c r="QGI1055" s="989"/>
      <c r="QGJ1055" s="989"/>
      <c r="QGK1055" s="989"/>
      <c r="QGL1055" s="989"/>
      <c r="QGM1055" s="989"/>
      <c r="QGN1055" s="989"/>
      <c r="QGO1055" s="989"/>
      <c r="QGP1055" s="989"/>
      <c r="QGQ1055" s="989"/>
      <c r="QGR1055" s="989"/>
      <c r="QGS1055" s="989"/>
      <c r="QGT1055" s="989"/>
      <c r="QGU1055" s="989"/>
      <c r="QGV1055" s="989"/>
      <c r="QGW1055" s="989"/>
      <c r="QGX1055" s="989"/>
      <c r="QGY1055" s="989"/>
      <c r="QGZ1055" s="989"/>
      <c r="QHA1055" s="989"/>
      <c r="QHB1055" s="989"/>
      <c r="QHC1055" s="989"/>
      <c r="QHD1055" s="989"/>
      <c r="QHE1055" s="989"/>
      <c r="QHF1055" s="989"/>
      <c r="QHG1055" s="989"/>
      <c r="QHH1055" s="989"/>
      <c r="QHI1055" s="989"/>
      <c r="QHJ1055" s="989"/>
      <c r="QHK1055" s="989"/>
      <c r="QHL1055" s="989"/>
      <c r="QHM1055" s="989"/>
      <c r="QHN1055" s="989"/>
      <c r="QHO1055" s="989"/>
      <c r="QHP1055" s="989"/>
      <c r="QHQ1055" s="989"/>
      <c r="QHR1055" s="989"/>
      <c r="QHS1055" s="989"/>
      <c r="QHT1055" s="989"/>
      <c r="QHU1055" s="989"/>
      <c r="QHV1055" s="989"/>
      <c r="QHW1055" s="989"/>
      <c r="QHX1055" s="989"/>
      <c r="QHY1055" s="989"/>
      <c r="QHZ1055" s="989"/>
      <c r="QIA1055" s="989"/>
      <c r="QIB1055" s="989"/>
      <c r="QIC1055" s="989"/>
      <c r="QID1055" s="989"/>
      <c r="QIE1055" s="989"/>
      <c r="QIF1055" s="989"/>
      <c r="QIG1055" s="989"/>
      <c r="QIH1055" s="989"/>
      <c r="QII1055" s="989"/>
      <c r="QIJ1055" s="989"/>
      <c r="QIK1055" s="989"/>
      <c r="QIL1055" s="989"/>
      <c r="QIM1055" s="989"/>
      <c r="QIN1055" s="989"/>
      <c r="QIO1055" s="989"/>
      <c r="QIP1055" s="989"/>
      <c r="QIQ1055" s="989"/>
      <c r="QIR1055" s="989"/>
      <c r="QIS1055" s="989"/>
      <c r="QIT1055" s="989"/>
      <c r="QIU1055" s="989"/>
      <c r="QIV1055" s="989"/>
      <c r="QIW1055" s="989"/>
      <c r="QIX1055" s="989"/>
      <c r="QIY1055" s="989"/>
      <c r="QIZ1055" s="989"/>
      <c r="QJA1055" s="989"/>
      <c r="QJB1055" s="989"/>
      <c r="QJC1055" s="989"/>
      <c r="QJD1055" s="989"/>
      <c r="QJE1055" s="989"/>
      <c r="QJF1055" s="989"/>
      <c r="QJG1055" s="989"/>
      <c r="QJH1055" s="989"/>
      <c r="QJI1055" s="989"/>
      <c r="QJJ1055" s="989"/>
      <c r="QJK1055" s="989"/>
      <c r="QJL1055" s="989"/>
      <c r="QJM1055" s="989"/>
      <c r="QJN1055" s="989"/>
      <c r="QJO1055" s="989"/>
      <c r="QJP1055" s="989"/>
      <c r="QJQ1055" s="989"/>
      <c r="QJR1055" s="989"/>
      <c r="QJS1055" s="989"/>
      <c r="QJT1055" s="989"/>
      <c r="QJU1055" s="989"/>
      <c r="QJV1055" s="989"/>
      <c r="QJW1055" s="989"/>
      <c r="QJX1055" s="989"/>
      <c r="QJY1055" s="989"/>
      <c r="QJZ1055" s="989"/>
      <c r="QKA1055" s="989"/>
      <c r="QKB1055" s="989"/>
      <c r="QKC1055" s="989"/>
      <c r="QKD1055" s="989"/>
      <c r="QKE1055" s="989"/>
      <c r="QKF1055" s="989"/>
      <c r="QKG1055" s="989"/>
      <c r="QKH1055" s="989"/>
      <c r="QKI1055" s="989"/>
      <c r="QKJ1055" s="989"/>
      <c r="QKK1055" s="989"/>
      <c r="QKL1055" s="989"/>
      <c r="QKM1055" s="989"/>
      <c r="QKN1055" s="989"/>
      <c r="QKO1055" s="989"/>
      <c r="QKP1055" s="989"/>
      <c r="QKQ1055" s="989"/>
      <c r="QKR1055" s="989"/>
      <c r="QKS1055" s="989"/>
      <c r="QKT1055" s="989"/>
      <c r="QKU1055" s="989"/>
      <c r="QKV1055" s="989"/>
      <c r="QKW1055" s="989"/>
      <c r="QKX1055" s="989"/>
      <c r="QKY1055" s="989"/>
      <c r="QKZ1055" s="989"/>
      <c r="QLA1055" s="989"/>
      <c r="QLB1055" s="989"/>
      <c r="QLC1055" s="989"/>
      <c r="QLD1055" s="989"/>
      <c r="QLE1055" s="989"/>
      <c r="QLF1055" s="989"/>
      <c r="QLG1055" s="989"/>
      <c r="QLH1055" s="989"/>
      <c r="QLI1055" s="989"/>
      <c r="QLJ1055" s="989"/>
      <c r="QLK1055" s="989"/>
      <c r="QLL1055" s="989"/>
      <c r="QLM1055" s="989"/>
      <c r="QLN1055" s="989"/>
      <c r="QLO1055" s="989"/>
      <c r="QLP1055" s="989"/>
      <c r="QLQ1055" s="989"/>
      <c r="QLR1055" s="989"/>
      <c r="QLS1055" s="989"/>
      <c r="QLT1055" s="989"/>
      <c r="QLU1055" s="989"/>
      <c r="QLV1055" s="989"/>
      <c r="QLW1055" s="989"/>
      <c r="QLX1055" s="989"/>
      <c r="QLY1055" s="989"/>
      <c r="QLZ1055" s="989"/>
      <c r="QMA1055" s="989"/>
      <c r="QMB1055" s="989"/>
      <c r="QMC1055" s="989"/>
      <c r="QMD1055" s="989"/>
      <c r="QME1055" s="989"/>
      <c r="QMF1055" s="989"/>
      <c r="QMG1055" s="989"/>
      <c r="QMH1055" s="989"/>
      <c r="QMI1055" s="989"/>
      <c r="QMJ1055" s="989"/>
      <c r="QMK1055" s="989"/>
      <c r="QML1055" s="989"/>
      <c r="QMM1055" s="989"/>
      <c r="QMN1055" s="989"/>
      <c r="QMO1055" s="989"/>
      <c r="QMP1055" s="989"/>
      <c r="QMQ1055" s="989"/>
      <c r="QMR1055" s="989"/>
      <c r="QMS1055" s="989"/>
      <c r="QMT1055" s="989"/>
      <c r="QMU1055" s="989"/>
      <c r="QMV1055" s="989"/>
      <c r="QMW1055" s="989"/>
      <c r="QMX1055" s="989"/>
      <c r="QMY1055" s="989"/>
      <c r="QMZ1055" s="989"/>
      <c r="QNA1055" s="989"/>
      <c r="QNB1055" s="989"/>
      <c r="QNC1055" s="989"/>
      <c r="QND1055" s="989"/>
      <c r="QNE1055" s="989"/>
      <c r="QNF1055" s="989"/>
      <c r="QNG1055" s="989"/>
      <c r="QNH1055" s="989"/>
      <c r="QNI1055" s="989"/>
      <c r="QNJ1055" s="989"/>
      <c r="QNK1055" s="989"/>
      <c r="QNL1055" s="989"/>
      <c r="QNM1055" s="989"/>
      <c r="QNN1055" s="989"/>
      <c r="QNO1055" s="989"/>
      <c r="QNP1055" s="989"/>
      <c r="QNQ1055" s="989"/>
      <c r="QNR1055" s="989"/>
      <c r="QNS1055" s="989"/>
      <c r="QNT1055" s="989"/>
      <c r="QNU1055" s="989"/>
      <c r="QNV1055" s="989"/>
      <c r="QNW1055" s="989"/>
      <c r="QNX1055" s="989"/>
      <c r="QNY1055" s="989"/>
      <c r="QNZ1055" s="989"/>
      <c r="QOA1055" s="989"/>
      <c r="QOB1055" s="989"/>
      <c r="QOC1055" s="989"/>
      <c r="QOD1055" s="989"/>
      <c r="QOE1055" s="989"/>
      <c r="QOF1055" s="989"/>
      <c r="QOG1055" s="989"/>
      <c r="QOH1055" s="989"/>
      <c r="QOI1055" s="989"/>
      <c r="QOJ1055" s="989"/>
      <c r="QOK1055" s="989"/>
      <c r="QOL1055" s="989"/>
      <c r="QOM1055" s="989"/>
      <c r="QON1055" s="989"/>
      <c r="QOO1055" s="989"/>
      <c r="QOP1055" s="989"/>
      <c r="QOQ1055" s="989"/>
      <c r="QOR1055" s="989"/>
      <c r="QOS1055" s="989"/>
      <c r="QOT1055" s="989"/>
      <c r="QOU1055" s="989"/>
      <c r="QOV1055" s="989"/>
      <c r="QOW1055" s="989"/>
      <c r="QOX1055" s="989"/>
      <c r="QOY1055" s="989"/>
      <c r="QOZ1055" s="989"/>
      <c r="QPA1055" s="989"/>
      <c r="QPB1055" s="989"/>
      <c r="QPC1055" s="989"/>
      <c r="QPD1055" s="989"/>
      <c r="QPE1055" s="989"/>
      <c r="QPF1055" s="989"/>
      <c r="QPG1055" s="989"/>
      <c r="QPH1055" s="989"/>
      <c r="QPI1055" s="989"/>
      <c r="QPJ1055" s="989"/>
      <c r="QPK1055" s="989"/>
      <c r="QPL1055" s="989"/>
      <c r="QPM1055" s="989"/>
      <c r="QPN1055" s="989"/>
      <c r="QPO1055" s="989"/>
      <c r="QPP1055" s="989"/>
      <c r="QPQ1055" s="989"/>
      <c r="QPR1055" s="989"/>
      <c r="QPS1055" s="989"/>
      <c r="QPT1055" s="989"/>
      <c r="QPU1055" s="989"/>
      <c r="QPV1055" s="989"/>
      <c r="QPW1055" s="989"/>
      <c r="QPX1055" s="989"/>
      <c r="QPY1055" s="989"/>
      <c r="QPZ1055" s="989"/>
      <c r="QQA1055" s="989"/>
      <c r="QQB1055" s="989"/>
      <c r="QQC1055" s="989"/>
      <c r="QQD1055" s="989"/>
      <c r="QQE1055" s="989"/>
      <c r="QQF1055" s="989"/>
      <c r="QQG1055" s="989"/>
      <c r="QQH1055" s="989"/>
      <c r="QQI1055" s="989"/>
      <c r="QQJ1055" s="989"/>
      <c r="QQK1055" s="989"/>
      <c r="QQL1055" s="989"/>
      <c r="QQM1055" s="989"/>
      <c r="QQN1055" s="989"/>
      <c r="QQO1055" s="989"/>
      <c r="QQP1055" s="989"/>
      <c r="QQQ1055" s="989"/>
      <c r="QQR1055" s="989"/>
      <c r="QQS1055" s="989"/>
      <c r="QQT1055" s="989"/>
      <c r="QQU1055" s="989"/>
      <c r="QQV1055" s="989"/>
      <c r="QQW1055" s="989"/>
      <c r="QQX1055" s="989"/>
      <c r="QQY1055" s="989"/>
      <c r="QQZ1055" s="989"/>
      <c r="QRA1055" s="989"/>
      <c r="QRB1055" s="989"/>
      <c r="QRC1055" s="989"/>
      <c r="QRD1055" s="989"/>
      <c r="QRE1055" s="989"/>
      <c r="QRF1055" s="989"/>
      <c r="QRG1055" s="989"/>
      <c r="QRH1055" s="989"/>
      <c r="QRI1055" s="989"/>
      <c r="QRJ1055" s="989"/>
      <c r="QRK1055" s="989"/>
      <c r="QRL1055" s="989"/>
      <c r="QRM1055" s="989"/>
      <c r="QRN1055" s="989"/>
      <c r="QRO1055" s="989"/>
      <c r="QRP1055" s="989"/>
      <c r="QRQ1055" s="989"/>
      <c r="QRR1055" s="989"/>
      <c r="QRS1055" s="989"/>
      <c r="QRT1055" s="989"/>
      <c r="QRU1055" s="989"/>
      <c r="QRV1055" s="989"/>
      <c r="QRW1055" s="989"/>
      <c r="QRX1055" s="989"/>
      <c r="QRY1055" s="989"/>
      <c r="QRZ1055" s="989"/>
      <c r="QSA1055" s="989"/>
      <c r="QSB1055" s="989"/>
      <c r="QSC1055" s="989"/>
      <c r="QSD1055" s="989"/>
      <c r="QSE1055" s="989"/>
      <c r="QSF1055" s="989"/>
      <c r="QSG1055" s="989"/>
      <c r="QSH1055" s="989"/>
      <c r="QSI1055" s="989"/>
      <c r="QSJ1055" s="989"/>
      <c r="QSK1055" s="989"/>
      <c r="QSL1055" s="989"/>
      <c r="QSM1055" s="989"/>
      <c r="QSN1055" s="989"/>
      <c r="QSO1055" s="989"/>
      <c r="QSP1055" s="989"/>
      <c r="QSQ1055" s="989"/>
      <c r="QSR1055" s="989"/>
      <c r="QSS1055" s="989"/>
      <c r="QST1055" s="989"/>
      <c r="QSU1055" s="989"/>
      <c r="QSV1055" s="989"/>
      <c r="QSW1055" s="989"/>
      <c r="QSX1055" s="989"/>
      <c r="QSY1055" s="989"/>
      <c r="QSZ1055" s="989"/>
      <c r="QTA1055" s="989"/>
      <c r="QTB1055" s="989"/>
      <c r="QTC1055" s="989"/>
      <c r="QTD1055" s="989"/>
      <c r="QTE1055" s="989"/>
      <c r="QTF1055" s="989"/>
      <c r="QTG1055" s="989"/>
      <c r="QTH1055" s="989"/>
      <c r="QTI1055" s="989"/>
      <c r="QTJ1055" s="989"/>
      <c r="QTK1055" s="989"/>
      <c r="QTL1055" s="989"/>
      <c r="QTM1055" s="989"/>
      <c r="QTN1055" s="989"/>
      <c r="QTO1055" s="989"/>
      <c r="QTP1055" s="989"/>
      <c r="QTQ1055" s="989"/>
      <c r="QTR1055" s="989"/>
      <c r="QTS1055" s="989"/>
      <c r="QTT1055" s="989"/>
      <c r="QTU1055" s="989"/>
      <c r="QTV1055" s="989"/>
      <c r="QTW1055" s="989"/>
      <c r="QTX1055" s="989"/>
      <c r="QTY1055" s="989"/>
      <c r="QTZ1055" s="989"/>
      <c r="QUA1055" s="989"/>
      <c r="QUB1055" s="989"/>
      <c r="QUC1055" s="989"/>
      <c r="QUD1055" s="989"/>
      <c r="QUE1055" s="989"/>
      <c r="QUF1055" s="989"/>
      <c r="QUG1055" s="989"/>
      <c r="QUH1055" s="989"/>
      <c r="QUI1055" s="989"/>
      <c r="QUJ1055" s="989"/>
      <c r="QUK1055" s="989"/>
      <c r="QUL1055" s="989"/>
      <c r="QUM1055" s="989"/>
      <c r="QUN1055" s="989"/>
      <c r="QUO1055" s="989"/>
      <c r="QUP1055" s="989"/>
      <c r="QUQ1055" s="989"/>
      <c r="QUR1055" s="989"/>
      <c r="QUS1055" s="989"/>
      <c r="QUT1055" s="989"/>
      <c r="QUU1055" s="989"/>
      <c r="QUV1055" s="989"/>
      <c r="QUW1055" s="989"/>
      <c r="QUX1055" s="989"/>
      <c r="QUY1055" s="989"/>
      <c r="QUZ1055" s="989"/>
      <c r="QVA1055" s="989"/>
      <c r="QVB1055" s="989"/>
      <c r="QVC1055" s="989"/>
      <c r="QVD1055" s="989"/>
      <c r="QVE1055" s="989"/>
      <c r="QVF1055" s="989"/>
      <c r="QVG1055" s="989"/>
      <c r="QVH1055" s="989"/>
      <c r="QVI1055" s="989"/>
      <c r="QVJ1055" s="989"/>
      <c r="QVK1055" s="989"/>
      <c r="QVL1055" s="989"/>
      <c r="QVM1055" s="989"/>
      <c r="QVN1055" s="989"/>
      <c r="QVO1055" s="989"/>
      <c r="QVP1055" s="989"/>
      <c r="QVQ1055" s="989"/>
      <c r="QVR1055" s="989"/>
      <c r="QVS1055" s="989"/>
      <c r="QVT1055" s="989"/>
      <c r="QVU1055" s="989"/>
      <c r="QVV1055" s="989"/>
      <c r="QVW1055" s="989"/>
      <c r="QVX1055" s="989"/>
      <c r="QVY1055" s="989"/>
      <c r="QVZ1055" s="989"/>
      <c r="QWA1055" s="989"/>
      <c r="QWB1055" s="989"/>
      <c r="QWC1055" s="989"/>
      <c r="QWD1055" s="989"/>
      <c r="QWE1055" s="989"/>
      <c r="QWF1055" s="989"/>
      <c r="QWG1055" s="989"/>
      <c r="QWH1055" s="989"/>
      <c r="QWI1055" s="989"/>
      <c r="QWJ1055" s="989"/>
      <c r="QWK1055" s="989"/>
      <c r="QWL1055" s="989"/>
      <c r="QWM1055" s="989"/>
      <c r="QWN1055" s="989"/>
      <c r="QWO1055" s="989"/>
      <c r="QWP1055" s="989"/>
      <c r="QWQ1055" s="989"/>
      <c r="QWR1055" s="989"/>
      <c r="QWS1055" s="989"/>
      <c r="QWT1055" s="989"/>
      <c r="QWU1055" s="989"/>
      <c r="QWV1055" s="989"/>
      <c r="QWW1055" s="989"/>
      <c r="QWX1055" s="989"/>
      <c r="QWY1055" s="989"/>
      <c r="QWZ1055" s="989"/>
      <c r="QXA1055" s="989"/>
      <c r="QXB1055" s="989"/>
      <c r="QXC1055" s="989"/>
      <c r="QXD1055" s="989"/>
      <c r="QXE1055" s="989"/>
      <c r="QXF1055" s="989"/>
      <c r="QXG1055" s="989"/>
      <c r="QXH1055" s="989"/>
      <c r="QXI1055" s="989"/>
      <c r="QXJ1055" s="989"/>
      <c r="QXK1055" s="989"/>
      <c r="QXL1055" s="989"/>
      <c r="QXM1055" s="989"/>
      <c r="QXN1055" s="989"/>
      <c r="QXO1055" s="989"/>
      <c r="QXP1055" s="989"/>
      <c r="QXQ1055" s="989"/>
      <c r="QXR1055" s="989"/>
      <c r="QXS1055" s="989"/>
      <c r="QXT1055" s="989"/>
      <c r="QXU1055" s="989"/>
      <c r="QXV1055" s="989"/>
      <c r="QXW1055" s="989"/>
      <c r="QXX1055" s="989"/>
      <c r="QXY1055" s="989"/>
      <c r="QXZ1055" s="989"/>
      <c r="QYA1055" s="989"/>
      <c r="QYB1055" s="989"/>
      <c r="QYC1055" s="989"/>
      <c r="QYD1055" s="989"/>
      <c r="QYE1055" s="989"/>
      <c r="QYF1055" s="989"/>
      <c r="QYG1055" s="989"/>
      <c r="QYH1055" s="989"/>
      <c r="QYI1055" s="989"/>
      <c r="QYJ1055" s="989"/>
      <c r="QYK1055" s="989"/>
      <c r="QYL1055" s="989"/>
      <c r="QYM1055" s="989"/>
      <c r="QYN1055" s="989"/>
      <c r="QYO1055" s="989"/>
      <c r="QYP1055" s="989"/>
      <c r="QYQ1055" s="989"/>
      <c r="QYR1055" s="989"/>
      <c r="QYS1055" s="989"/>
      <c r="QYT1055" s="989"/>
      <c r="QYU1055" s="989"/>
      <c r="QYV1055" s="989"/>
      <c r="QYW1055" s="989"/>
      <c r="QYX1055" s="989"/>
      <c r="QYY1055" s="989"/>
      <c r="QYZ1055" s="989"/>
      <c r="QZA1055" s="989"/>
      <c r="QZB1055" s="989"/>
      <c r="QZC1055" s="989"/>
      <c r="QZD1055" s="989"/>
      <c r="QZE1055" s="989"/>
      <c r="QZF1055" s="989"/>
      <c r="QZG1055" s="989"/>
      <c r="QZH1055" s="989"/>
      <c r="QZI1055" s="989"/>
      <c r="QZJ1055" s="989"/>
      <c r="QZK1055" s="989"/>
      <c r="QZL1055" s="989"/>
      <c r="QZM1055" s="989"/>
      <c r="QZN1055" s="989"/>
      <c r="QZO1055" s="989"/>
      <c r="QZP1055" s="989"/>
      <c r="QZQ1055" s="989"/>
      <c r="QZR1055" s="989"/>
      <c r="QZS1055" s="989"/>
      <c r="QZT1055" s="989"/>
      <c r="QZU1055" s="989"/>
      <c r="QZV1055" s="989"/>
      <c r="QZW1055" s="989"/>
      <c r="QZX1055" s="989"/>
      <c r="QZY1055" s="989"/>
      <c r="QZZ1055" s="989"/>
      <c r="RAA1055" s="989"/>
      <c r="RAB1055" s="989"/>
      <c r="RAC1055" s="989"/>
      <c r="RAD1055" s="989"/>
      <c r="RAE1055" s="989"/>
      <c r="RAF1055" s="989"/>
      <c r="RAG1055" s="989"/>
      <c r="RAH1055" s="989"/>
      <c r="RAI1055" s="989"/>
      <c r="RAJ1055" s="989"/>
      <c r="RAK1055" s="989"/>
      <c r="RAL1055" s="989"/>
      <c r="RAM1055" s="989"/>
      <c r="RAN1055" s="989"/>
      <c r="RAO1055" s="989"/>
      <c r="RAP1055" s="989"/>
      <c r="RAQ1055" s="989"/>
      <c r="RAR1055" s="989"/>
      <c r="RAS1055" s="989"/>
      <c r="RAT1055" s="989"/>
      <c r="RAU1055" s="989"/>
      <c r="RAV1055" s="989"/>
      <c r="RAW1055" s="989"/>
      <c r="RAX1055" s="989"/>
      <c r="RAY1055" s="989"/>
      <c r="RAZ1055" s="989"/>
      <c r="RBA1055" s="989"/>
      <c r="RBB1055" s="989"/>
      <c r="RBC1055" s="989"/>
      <c r="RBD1055" s="989"/>
      <c r="RBE1055" s="989"/>
      <c r="RBF1055" s="989"/>
      <c r="RBG1055" s="989"/>
      <c r="RBH1055" s="989"/>
      <c r="RBI1055" s="989"/>
      <c r="RBJ1055" s="989"/>
      <c r="RBK1055" s="989"/>
      <c r="RBL1055" s="989"/>
      <c r="RBM1055" s="989"/>
      <c r="RBN1055" s="989"/>
      <c r="RBO1055" s="989"/>
      <c r="RBP1055" s="989"/>
      <c r="RBQ1055" s="989"/>
      <c r="RBR1055" s="989"/>
      <c r="RBS1055" s="989"/>
      <c r="RBT1055" s="989"/>
      <c r="RBU1055" s="989"/>
      <c r="RBV1055" s="989"/>
      <c r="RBW1055" s="989"/>
      <c r="RBX1055" s="989"/>
      <c r="RBY1055" s="989"/>
      <c r="RBZ1055" s="989"/>
      <c r="RCA1055" s="989"/>
      <c r="RCB1055" s="989"/>
      <c r="RCC1055" s="989"/>
      <c r="RCD1055" s="989"/>
      <c r="RCE1055" s="989"/>
      <c r="RCF1055" s="989"/>
      <c r="RCG1055" s="989"/>
      <c r="RCH1055" s="989"/>
      <c r="RCI1055" s="989"/>
      <c r="RCJ1055" s="989"/>
      <c r="RCK1055" s="989"/>
      <c r="RCL1055" s="989"/>
      <c r="RCM1055" s="989"/>
      <c r="RCN1055" s="989"/>
      <c r="RCO1055" s="989"/>
      <c r="RCP1055" s="989"/>
      <c r="RCQ1055" s="989"/>
      <c r="RCR1055" s="989"/>
      <c r="RCS1055" s="989"/>
      <c r="RCT1055" s="989"/>
      <c r="RCU1055" s="989"/>
      <c r="RCV1055" s="989"/>
      <c r="RCW1055" s="989"/>
      <c r="RCX1055" s="989"/>
      <c r="RCY1055" s="989"/>
      <c r="RCZ1055" s="989"/>
      <c r="RDA1055" s="989"/>
      <c r="RDB1055" s="989"/>
      <c r="RDC1055" s="989"/>
      <c r="RDD1055" s="989"/>
      <c r="RDE1055" s="989"/>
      <c r="RDF1055" s="989"/>
      <c r="RDG1055" s="989"/>
      <c r="RDH1055" s="989"/>
      <c r="RDI1055" s="989"/>
      <c r="RDJ1055" s="989"/>
      <c r="RDK1055" s="989"/>
      <c r="RDL1055" s="989"/>
      <c r="RDM1055" s="989"/>
      <c r="RDN1055" s="989"/>
      <c r="RDO1055" s="989"/>
      <c r="RDP1055" s="989"/>
      <c r="RDQ1055" s="989"/>
      <c r="RDR1055" s="989"/>
      <c r="RDS1055" s="989"/>
      <c r="RDT1055" s="989"/>
      <c r="RDU1055" s="989"/>
      <c r="RDV1055" s="989"/>
      <c r="RDW1055" s="989"/>
      <c r="RDX1055" s="989"/>
      <c r="RDY1055" s="989"/>
      <c r="RDZ1055" s="989"/>
      <c r="REA1055" s="989"/>
      <c r="REB1055" s="989"/>
      <c r="REC1055" s="989"/>
      <c r="RED1055" s="989"/>
      <c r="REE1055" s="989"/>
      <c r="REF1055" s="989"/>
      <c r="REG1055" s="989"/>
      <c r="REH1055" s="989"/>
      <c r="REI1055" s="989"/>
      <c r="REJ1055" s="989"/>
      <c r="REK1055" s="989"/>
      <c r="REL1055" s="989"/>
      <c r="REM1055" s="989"/>
      <c r="REN1055" s="989"/>
      <c r="REO1055" s="989"/>
      <c r="REP1055" s="989"/>
      <c r="REQ1055" s="989"/>
      <c r="RER1055" s="989"/>
      <c r="RES1055" s="989"/>
      <c r="RET1055" s="989"/>
      <c r="REU1055" s="989"/>
      <c r="REV1055" s="989"/>
      <c r="REW1055" s="989"/>
      <c r="REX1055" s="989"/>
      <c r="REY1055" s="989"/>
      <c r="REZ1055" s="989"/>
      <c r="RFA1055" s="989"/>
      <c r="RFB1055" s="989"/>
      <c r="RFC1055" s="989"/>
      <c r="RFD1055" s="989"/>
      <c r="RFE1055" s="989"/>
      <c r="RFF1055" s="989"/>
      <c r="RFG1055" s="989"/>
      <c r="RFH1055" s="989"/>
      <c r="RFI1055" s="989"/>
      <c r="RFJ1055" s="989"/>
      <c r="RFK1055" s="989"/>
      <c r="RFL1055" s="989"/>
      <c r="RFM1055" s="989"/>
      <c r="RFN1055" s="989"/>
      <c r="RFO1055" s="989"/>
      <c r="RFP1055" s="989"/>
      <c r="RFQ1055" s="989"/>
      <c r="RFR1055" s="989"/>
      <c r="RFS1055" s="989"/>
      <c r="RFT1055" s="989"/>
      <c r="RFU1055" s="989"/>
      <c r="RFV1055" s="989"/>
      <c r="RFW1055" s="989"/>
      <c r="RFX1055" s="989"/>
      <c r="RFY1055" s="989"/>
      <c r="RFZ1055" s="989"/>
      <c r="RGA1055" s="989"/>
      <c r="RGB1055" s="989"/>
      <c r="RGC1055" s="989"/>
      <c r="RGD1055" s="989"/>
      <c r="RGE1055" s="989"/>
      <c r="RGF1055" s="989"/>
      <c r="RGG1055" s="989"/>
      <c r="RGH1055" s="989"/>
      <c r="RGI1055" s="989"/>
      <c r="RGJ1055" s="989"/>
      <c r="RGK1055" s="989"/>
      <c r="RGL1055" s="989"/>
      <c r="RGM1055" s="989"/>
      <c r="RGN1055" s="989"/>
      <c r="RGO1055" s="989"/>
      <c r="RGP1055" s="989"/>
      <c r="RGQ1055" s="989"/>
      <c r="RGR1055" s="989"/>
      <c r="RGS1055" s="989"/>
      <c r="RGT1055" s="989"/>
      <c r="RGU1055" s="989"/>
      <c r="RGV1055" s="989"/>
      <c r="RGW1055" s="989"/>
      <c r="RGX1055" s="989"/>
      <c r="RGY1055" s="989"/>
      <c r="RGZ1055" s="989"/>
      <c r="RHA1055" s="989"/>
      <c r="RHB1055" s="989"/>
      <c r="RHC1055" s="989"/>
      <c r="RHD1055" s="989"/>
      <c r="RHE1055" s="989"/>
      <c r="RHF1055" s="989"/>
      <c r="RHG1055" s="989"/>
      <c r="RHH1055" s="989"/>
      <c r="RHI1055" s="989"/>
      <c r="RHJ1055" s="989"/>
      <c r="RHK1055" s="989"/>
      <c r="RHL1055" s="989"/>
      <c r="RHM1055" s="989"/>
      <c r="RHN1055" s="989"/>
      <c r="RHO1055" s="989"/>
      <c r="RHP1055" s="989"/>
      <c r="RHQ1055" s="989"/>
      <c r="RHR1055" s="989"/>
      <c r="RHS1055" s="989"/>
      <c r="RHT1055" s="989"/>
      <c r="RHU1055" s="989"/>
      <c r="RHV1055" s="989"/>
      <c r="RHW1055" s="989"/>
      <c r="RHX1055" s="989"/>
      <c r="RHY1055" s="989"/>
      <c r="RHZ1055" s="989"/>
      <c r="RIA1055" s="989"/>
      <c r="RIB1055" s="989"/>
      <c r="RIC1055" s="989"/>
      <c r="RID1055" s="989"/>
      <c r="RIE1055" s="989"/>
      <c r="RIF1055" s="989"/>
      <c r="RIG1055" s="989"/>
      <c r="RIH1055" s="989"/>
      <c r="RII1055" s="989"/>
      <c r="RIJ1055" s="989"/>
      <c r="RIK1055" s="989"/>
      <c r="RIL1055" s="989"/>
      <c r="RIM1055" s="989"/>
      <c r="RIN1055" s="989"/>
      <c r="RIO1055" s="989"/>
      <c r="RIP1055" s="989"/>
      <c r="RIQ1055" s="989"/>
      <c r="RIR1055" s="989"/>
      <c r="RIS1055" s="989"/>
      <c r="RIT1055" s="989"/>
      <c r="RIU1055" s="989"/>
      <c r="RIV1055" s="989"/>
      <c r="RIW1055" s="989"/>
      <c r="RIX1055" s="989"/>
      <c r="RIY1055" s="989"/>
      <c r="RIZ1055" s="989"/>
      <c r="RJA1055" s="989"/>
      <c r="RJB1055" s="989"/>
      <c r="RJC1055" s="989"/>
      <c r="RJD1055" s="989"/>
      <c r="RJE1055" s="989"/>
      <c r="RJF1055" s="989"/>
      <c r="RJG1055" s="989"/>
      <c r="RJH1055" s="989"/>
      <c r="RJI1055" s="989"/>
      <c r="RJJ1055" s="989"/>
      <c r="RJK1055" s="989"/>
      <c r="RJL1055" s="989"/>
      <c r="RJM1055" s="989"/>
      <c r="RJN1055" s="989"/>
      <c r="RJO1055" s="989"/>
      <c r="RJP1055" s="989"/>
      <c r="RJQ1055" s="989"/>
      <c r="RJR1055" s="989"/>
      <c r="RJS1055" s="989"/>
      <c r="RJT1055" s="989"/>
      <c r="RJU1055" s="989"/>
      <c r="RJV1055" s="989"/>
      <c r="RJW1055" s="989"/>
      <c r="RJX1055" s="989"/>
      <c r="RJY1055" s="989"/>
      <c r="RJZ1055" s="989"/>
      <c r="RKA1055" s="989"/>
      <c r="RKB1055" s="989"/>
      <c r="RKC1055" s="989"/>
      <c r="RKD1055" s="989"/>
      <c r="RKE1055" s="989"/>
      <c r="RKF1055" s="989"/>
      <c r="RKG1055" s="989"/>
      <c r="RKH1055" s="989"/>
      <c r="RKI1055" s="989"/>
      <c r="RKJ1055" s="989"/>
      <c r="RKK1055" s="989"/>
      <c r="RKL1055" s="989"/>
      <c r="RKM1055" s="989"/>
      <c r="RKN1055" s="989"/>
      <c r="RKO1055" s="989"/>
      <c r="RKP1055" s="989"/>
      <c r="RKQ1055" s="989"/>
      <c r="RKR1055" s="989"/>
      <c r="RKS1055" s="989"/>
      <c r="RKT1055" s="989"/>
      <c r="RKU1055" s="989"/>
      <c r="RKV1055" s="989"/>
      <c r="RKW1055" s="989"/>
      <c r="RKX1055" s="989"/>
      <c r="RKY1055" s="989"/>
      <c r="RKZ1055" s="989"/>
      <c r="RLA1055" s="989"/>
      <c r="RLB1055" s="989"/>
      <c r="RLC1055" s="989"/>
      <c r="RLD1055" s="989"/>
      <c r="RLE1055" s="989"/>
      <c r="RLF1055" s="989"/>
      <c r="RLG1055" s="989"/>
      <c r="RLH1055" s="989"/>
      <c r="RLI1055" s="989"/>
      <c r="RLJ1055" s="989"/>
      <c r="RLK1055" s="989"/>
      <c r="RLL1055" s="989"/>
      <c r="RLM1055" s="989"/>
      <c r="RLN1055" s="989"/>
      <c r="RLO1055" s="989"/>
      <c r="RLP1055" s="989"/>
      <c r="RLQ1055" s="989"/>
      <c r="RLR1055" s="989"/>
      <c r="RLS1055" s="989"/>
      <c r="RLT1055" s="989"/>
      <c r="RLU1055" s="989"/>
      <c r="RLV1055" s="989"/>
      <c r="RLW1055" s="989"/>
      <c r="RLX1055" s="989"/>
      <c r="RLY1055" s="989"/>
      <c r="RLZ1055" s="989"/>
      <c r="RMA1055" s="989"/>
      <c r="RMB1055" s="989"/>
      <c r="RMC1055" s="989"/>
      <c r="RMD1055" s="989"/>
      <c r="RME1055" s="989"/>
      <c r="RMF1055" s="989"/>
      <c r="RMG1055" s="989"/>
      <c r="RMH1055" s="989"/>
      <c r="RMI1055" s="989"/>
      <c r="RMJ1055" s="989"/>
      <c r="RMK1055" s="989"/>
      <c r="RML1055" s="989"/>
      <c r="RMM1055" s="989"/>
      <c r="RMN1055" s="989"/>
      <c r="RMO1055" s="989"/>
      <c r="RMP1055" s="989"/>
      <c r="RMQ1055" s="989"/>
      <c r="RMR1055" s="989"/>
      <c r="RMS1055" s="989"/>
      <c r="RMT1055" s="989"/>
      <c r="RMU1055" s="989"/>
      <c r="RMV1055" s="989"/>
      <c r="RMW1055" s="989"/>
      <c r="RMX1055" s="989"/>
      <c r="RMY1055" s="989"/>
      <c r="RMZ1055" s="989"/>
      <c r="RNA1055" s="989"/>
      <c r="RNB1055" s="989"/>
      <c r="RNC1055" s="989"/>
      <c r="RND1055" s="989"/>
      <c r="RNE1055" s="989"/>
      <c r="RNF1055" s="989"/>
      <c r="RNG1055" s="989"/>
      <c r="RNH1055" s="989"/>
      <c r="RNI1055" s="989"/>
      <c r="RNJ1055" s="989"/>
      <c r="RNK1055" s="989"/>
      <c r="RNL1055" s="989"/>
      <c r="RNM1055" s="989"/>
      <c r="RNN1055" s="989"/>
      <c r="RNO1055" s="989"/>
      <c r="RNP1055" s="989"/>
      <c r="RNQ1055" s="989"/>
      <c r="RNR1055" s="989"/>
      <c r="RNS1055" s="989"/>
      <c r="RNT1055" s="989"/>
      <c r="RNU1055" s="989"/>
      <c r="RNV1055" s="989"/>
      <c r="RNW1055" s="989"/>
      <c r="RNX1055" s="989"/>
      <c r="RNY1055" s="989"/>
      <c r="RNZ1055" s="989"/>
      <c r="ROA1055" s="989"/>
      <c r="ROB1055" s="989"/>
      <c r="ROC1055" s="989"/>
      <c r="ROD1055" s="989"/>
      <c r="ROE1055" s="989"/>
      <c r="ROF1055" s="989"/>
      <c r="ROG1055" s="989"/>
      <c r="ROH1055" s="989"/>
      <c r="ROI1055" s="989"/>
      <c r="ROJ1055" s="989"/>
      <c r="ROK1055" s="989"/>
      <c r="ROL1055" s="989"/>
      <c r="ROM1055" s="989"/>
      <c r="RON1055" s="989"/>
      <c r="ROO1055" s="989"/>
      <c r="ROP1055" s="989"/>
      <c r="ROQ1055" s="989"/>
      <c r="ROR1055" s="989"/>
      <c r="ROS1055" s="989"/>
      <c r="ROT1055" s="989"/>
      <c r="ROU1055" s="989"/>
      <c r="ROV1055" s="989"/>
      <c r="ROW1055" s="989"/>
      <c r="ROX1055" s="989"/>
      <c r="ROY1055" s="989"/>
      <c r="ROZ1055" s="989"/>
      <c r="RPA1055" s="989"/>
      <c r="RPB1055" s="989"/>
      <c r="RPC1055" s="989"/>
      <c r="RPD1055" s="989"/>
      <c r="RPE1055" s="989"/>
      <c r="RPF1055" s="989"/>
      <c r="RPG1055" s="989"/>
      <c r="RPH1055" s="989"/>
      <c r="RPI1055" s="989"/>
      <c r="RPJ1055" s="989"/>
      <c r="RPK1055" s="989"/>
      <c r="RPL1055" s="989"/>
      <c r="RPM1055" s="989"/>
      <c r="RPN1055" s="989"/>
      <c r="RPO1055" s="989"/>
      <c r="RPP1055" s="989"/>
      <c r="RPQ1055" s="989"/>
      <c r="RPR1055" s="989"/>
      <c r="RPS1055" s="989"/>
      <c r="RPT1055" s="989"/>
      <c r="RPU1055" s="989"/>
      <c r="RPV1055" s="989"/>
      <c r="RPW1055" s="989"/>
      <c r="RPX1055" s="989"/>
      <c r="RPY1055" s="989"/>
      <c r="RPZ1055" s="989"/>
      <c r="RQA1055" s="989"/>
      <c r="RQB1055" s="989"/>
      <c r="RQC1055" s="989"/>
      <c r="RQD1055" s="989"/>
      <c r="RQE1055" s="989"/>
      <c r="RQF1055" s="989"/>
      <c r="RQG1055" s="989"/>
      <c r="RQH1055" s="989"/>
      <c r="RQI1055" s="989"/>
      <c r="RQJ1055" s="989"/>
      <c r="RQK1055" s="989"/>
      <c r="RQL1055" s="989"/>
      <c r="RQM1055" s="989"/>
      <c r="RQN1055" s="989"/>
      <c r="RQO1055" s="989"/>
      <c r="RQP1055" s="989"/>
      <c r="RQQ1055" s="989"/>
      <c r="RQR1055" s="989"/>
      <c r="RQS1055" s="989"/>
      <c r="RQT1055" s="989"/>
      <c r="RQU1055" s="989"/>
      <c r="RQV1055" s="989"/>
      <c r="RQW1055" s="989"/>
      <c r="RQX1055" s="989"/>
      <c r="RQY1055" s="989"/>
      <c r="RQZ1055" s="989"/>
      <c r="RRA1055" s="989"/>
      <c r="RRB1055" s="989"/>
      <c r="RRC1055" s="989"/>
      <c r="RRD1055" s="989"/>
      <c r="RRE1055" s="989"/>
      <c r="RRF1055" s="989"/>
      <c r="RRG1055" s="989"/>
      <c r="RRH1055" s="989"/>
      <c r="RRI1055" s="989"/>
      <c r="RRJ1055" s="989"/>
      <c r="RRK1055" s="989"/>
      <c r="RRL1055" s="989"/>
      <c r="RRM1055" s="989"/>
      <c r="RRN1055" s="989"/>
      <c r="RRO1055" s="989"/>
      <c r="RRP1055" s="989"/>
      <c r="RRQ1055" s="989"/>
      <c r="RRR1055" s="989"/>
      <c r="RRS1055" s="989"/>
      <c r="RRT1055" s="989"/>
      <c r="RRU1055" s="989"/>
      <c r="RRV1055" s="989"/>
      <c r="RRW1055" s="989"/>
      <c r="RRX1055" s="989"/>
      <c r="RRY1055" s="989"/>
      <c r="RRZ1055" s="989"/>
      <c r="RSA1055" s="989"/>
      <c r="RSB1055" s="989"/>
      <c r="RSC1055" s="989"/>
      <c r="RSD1055" s="989"/>
      <c r="RSE1055" s="989"/>
      <c r="RSF1055" s="989"/>
      <c r="RSG1055" s="989"/>
      <c r="RSH1055" s="989"/>
      <c r="RSI1055" s="989"/>
      <c r="RSJ1055" s="989"/>
      <c r="RSK1055" s="989"/>
      <c r="RSL1055" s="989"/>
      <c r="RSM1055" s="989"/>
      <c r="RSN1055" s="989"/>
      <c r="RSO1055" s="989"/>
      <c r="RSP1055" s="989"/>
      <c r="RSQ1055" s="989"/>
      <c r="RSR1055" s="989"/>
      <c r="RSS1055" s="989"/>
      <c r="RST1055" s="989"/>
      <c r="RSU1055" s="989"/>
      <c r="RSV1055" s="989"/>
      <c r="RSW1055" s="989"/>
      <c r="RSX1055" s="989"/>
      <c r="RSY1055" s="989"/>
      <c r="RSZ1055" s="989"/>
      <c r="RTA1055" s="989"/>
      <c r="RTB1055" s="989"/>
      <c r="RTC1055" s="989"/>
      <c r="RTD1055" s="989"/>
      <c r="RTE1055" s="989"/>
      <c r="RTF1055" s="989"/>
      <c r="RTG1055" s="989"/>
      <c r="RTH1055" s="989"/>
      <c r="RTI1055" s="989"/>
      <c r="RTJ1055" s="989"/>
      <c r="RTK1055" s="989"/>
      <c r="RTL1055" s="989"/>
      <c r="RTM1055" s="989"/>
      <c r="RTN1055" s="989"/>
      <c r="RTO1055" s="989"/>
      <c r="RTP1055" s="989"/>
      <c r="RTQ1055" s="989"/>
      <c r="RTR1055" s="989"/>
      <c r="RTS1055" s="989"/>
      <c r="RTT1055" s="989"/>
      <c r="RTU1055" s="989"/>
      <c r="RTV1055" s="989"/>
      <c r="RTW1055" s="989"/>
      <c r="RTX1055" s="989"/>
      <c r="RTY1055" s="989"/>
      <c r="RTZ1055" s="989"/>
      <c r="RUA1055" s="989"/>
      <c r="RUB1055" s="989"/>
      <c r="RUC1055" s="989"/>
      <c r="RUD1055" s="989"/>
      <c r="RUE1055" s="989"/>
      <c r="RUF1055" s="989"/>
      <c r="RUG1055" s="989"/>
      <c r="RUH1055" s="989"/>
      <c r="RUI1055" s="989"/>
      <c r="RUJ1055" s="989"/>
      <c r="RUK1055" s="989"/>
      <c r="RUL1055" s="989"/>
      <c r="RUM1055" s="989"/>
      <c r="RUN1055" s="989"/>
      <c r="RUO1055" s="989"/>
      <c r="RUP1055" s="989"/>
      <c r="RUQ1055" s="989"/>
      <c r="RUR1055" s="989"/>
      <c r="RUS1055" s="989"/>
      <c r="RUT1055" s="989"/>
      <c r="RUU1055" s="989"/>
      <c r="RUV1055" s="989"/>
      <c r="RUW1055" s="989"/>
      <c r="RUX1055" s="989"/>
      <c r="RUY1055" s="989"/>
      <c r="RUZ1055" s="989"/>
      <c r="RVA1055" s="989"/>
      <c r="RVB1055" s="989"/>
      <c r="RVC1055" s="989"/>
      <c r="RVD1055" s="989"/>
      <c r="RVE1055" s="989"/>
      <c r="RVF1055" s="989"/>
      <c r="RVG1055" s="989"/>
      <c r="RVH1055" s="989"/>
      <c r="RVI1055" s="989"/>
      <c r="RVJ1055" s="989"/>
      <c r="RVK1055" s="989"/>
      <c r="RVL1055" s="989"/>
      <c r="RVM1055" s="989"/>
      <c r="RVN1055" s="989"/>
      <c r="RVO1055" s="989"/>
      <c r="RVP1055" s="989"/>
      <c r="RVQ1055" s="989"/>
      <c r="RVR1055" s="989"/>
      <c r="RVS1055" s="989"/>
      <c r="RVT1055" s="989"/>
      <c r="RVU1055" s="989"/>
      <c r="RVV1055" s="989"/>
      <c r="RVW1055" s="989"/>
      <c r="RVX1055" s="989"/>
      <c r="RVY1055" s="989"/>
      <c r="RVZ1055" s="989"/>
      <c r="RWA1055" s="989"/>
      <c r="RWB1055" s="989"/>
      <c r="RWC1055" s="989"/>
      <c r="RWD1055" s="989"/>
      <c r="RWE1055" s="989"/>
      <c r="RWF1055" s="989"/>
      <c r="RWG1055" s="989"/>
      <c r="RWH1055" s="989"/>
      <c r="RWI1055" s="989"/>
      <c r="RWJ1055" s="989"/>
      <c r="RWK1055" s="989"/>
      <c r="RWL1055" s="989"/>
      <c r="RWM1055" s="989"/>
      <c r="RWN1055" s="989"/>
      <c r="RWO1055" s="989"/>
      <c r="RWP1055" s="989"/>
      <c r="RWQ1055" s="989"/>
      <c r="RWR1055" s="989"/>
      <c r="RWS1055" s="989"/>
      <c r="RWT1055" s="989"/>
      <c r="RWU1055" s="989"/>
      <c r="RWV1055" s="989"/>
      <c r="RWW1055" s="989"/>
      <c r="RWX1055" s="989"/>
      <c r="RWY1055" s="989"/>
      <c r="RWZ1055" s="989"/>
      <c r="RXA1055" s="989"/>
      <c r="RXB1055" s="989"/>
      <c r="RXC1055" s="989"/>
      <c r="RXD1055" s="989"/>
      <c r="RXE1055" s="989"/>
      <c r="RXF1055" s="989"/>
      <c r="RXG1055" s="989"/>
      <c r="RXH1055" s="989"/>
      <c r="RXI1055" s="989"/>
      <c r="RXJ1055" s="989"/>
      <c r="RXK1055" s="989"/>
      <c r="RXL1055" s="989"/>
      <c r="RXM1055" s="989"/>
      <c r="RXN1055" s="989"/>
      <c r="RXO1055" s="989"/>
      <c r="RXP1055" s="989"/>
      <c r="RXQ1055" s="989"/>
      <c r="RXR1055" s="989"/>
      <c r="RXS1055" s="989"/>
      <c r="RXT1055" s="989"/>
      <c r="RXU1055" s="989"/>
      <c r="RXV1055" s="989"/>
      <c r="RXW1055" s="989"/>
      <c r="RXX1055" s="989"/>
      <c r="RXY1055" s="989"/>
      <c r="RXZ1055" s="989"/>
      <c r="RYA1055" s="989"/>
      <c r="RYB1055" s="989"/>
      <c r="RYC1055" s="989"/>
      <c r="RYD1055" s="989"/>
      <c r="RYE1055" s="989"/>
      <c r="RYF1055" s="989"/>
      <c r="RYG1055" s="989"/>
      <c r="RYH1055" s="989"/>
      <c r="RYI1055" s="989"/>
      <c r="RYJ1055" s="989"/>
      <c r="RYK1055" s="989"/>
      <c r="RYL1055" s="989"/>
      <c r="RYM1055" s="989"/>
      <c r="RYN1055" s="989"/>
      <c r="RYO1055" s="989"/>
      <c r="RYP1055" s="989"/>
      <c r="RYQ1055" s="989"/>
      <c r="RYR1055" s="989"/>
      <c r="RYS1055" s="989"/>
      <c r="RYT1055" s="989"/>
      <c r="RYU1055" s="989"/>
      <c r="RYV1055" s="989"/>
      <c r="RYW1055" s="989"/>
      <c r="RYX1055" s="989"/>
      <c r="RYY1055" s="989"/>
      <c r="RYZ1055" s="989"/>
      <c r="RZA1055" s="989"/>
      <c r="RZB1055" s="989"/>
      <c r="RZC1055" s="989"/>
      <c r="RZD1055" s="989"/>
      <c r="RZE1055" s="989"/>
      <c r="RZF1055" s="989"/>
      <c r="RZG1055" s="989"/>
      <c r="RZH1055" s="989"/>
      <c r="RZI1055" s="989"/>
      <c r="RZJ1055" s="989"/>
      <c r="RZK1055" s="989"/>
      <c r="RZL1055" s="989"/>
      <c r="RZM1055" s="989"/>
      <c r="RZN1055" s="989"/>
      <c r="RZO1055" s="989"/>
      <c r="RZP1055" s="989"/>
      <c r="RZQ1055" s="989"/>
      <c r="RZR1055" s="989"/>
      <c r="RZS1055" s="989"/>
      <c r="RZT1055" s="989"/>
      <c r="RZU1055" s="989"/>
      <c r="RZV1055" s="989"/>
      <c r="RZW1055" s="989"/>
      <c r="RZX1055" s="989"/>
      <c r="RZY1055" s="989"/>
      <c r="RZZ1055" s="989"/>
      <c r="SAA1055" s="989"/>
      <c r="SAB1055" s="989"/>
      <c r="SAC1055" s="989"/>
      <c r="SAD1055" s="989"/>
      <c r="SAE1055" s="989"/>
      <c r="SAF1055" s="989"/>
      <c r="SAG1055" s="989"/>
      <c r="SAH1055" s="989"/>
      <c r="SAI1055" s="989"/>
      <c r="SAJ1055" s="989"/>
      <c r="SAK1055" s="989"/>
      <c r="SAL1055" s="989"/>
      <c r="SAM1055" s="989"/>
      <c r="SAN1055" s="989"/>
      <c r="SAO1055" s="989"/>
      <c r="SAP1055" s="989"/>
      <c r="SAQ1055" s="989"/>
      <c r="SAR1055" s="989"/>
      <c r="SAS1055" s="989"/>
      <c r="SAT1055" s="989"/>
      <c r="SAU1055" s="989"/>
      <c r="SAV1055" s="989"/>
      <c r="SAW1055" s="989"/>
      <c r="SAX1055" s="989"/>
      <c r="SAY1055" s="989"/>
      <c r="SAZ1055" s="989"/>
      <c r="SBA1055" s="989"/>
      <c r="SBB1055" s="989"/>
      <c r="SBC1055" s="989"/>
      <c r="SBD1055" s="989"/>
      <c r="SBE1055" s="989"/>
      <c r="SBF1055" s="989"/>
      <c r="SBG1055" s="989"/>
      <c r="SBH1055" s="989"/>
      <c r="SBI1055" s="989"/>
      <c r="SBJ1055" s="989"/>
      <c r="SBK1055" s="989"/>
      <c r="SBL1055" s="989"/>
      <c r="SBM1055" s="989"/>
      <c r="SBN1055" s="989"/>
      <c r="SBO1055" s="989"/>
      <c r="SBP1055" s="989"/>
      <c r="SBQ1055" s="989"/>
      <c r="SBR1055" s="989"/>
      <c r="SBS1055" s="989"/>
      <c r="SBT1055" s="989"/>
      <c r="SBU1055" s="989"/>
      <c r="SBV1055" s="989"/>
      <c r="SBW1055" s="989"/>
      <c r="SBX1055" s="989"/>
      <c r="SBY1055" s="989"/>
      <c r="SBZ1055" s="989"/>
      <c r="SCA1055" s="989"/>
      <c r="SCB1055" s="989"/>
      <c r="SCC1055" s="989"/>
      <c r="SCD1055" s="989"/>
      <c r="SCE1055" s="989"/>
      <c r="SCF1055" s="989"/>
      <c r="SCG1055" s="989"/>
      <c r="SCH1055" s="989"/>
      <c r="SCI1055" s="989"/>
      <c r="SCJ1055" s="989"/>
      <c r="SCK1055" s="989"/>
      <c r="SCL1055" s="989"/>
      <c r="SCM1055" s="989"/>
      <c r="SCN1055" s="989"/>
      <c r="SCO1055" s="989"/>
      <c r="SCP1055" s="989"/>
      <c r="SCQ1055" s="989"/>
      <c r="SCR1055" s="989"/>
      <c r="SCS1055" s="989"/>
      <c r="SCT1055" s="989"/>
      <c r="SCU1055" s="989"/>
      <c r="SCV1055" s="989"/>
      <c r="SCW1055" s="989"/>
      <c r="SCX1055" s="989"/>
      <c r="SCY1055" s="989"/>
      <c r="SCZ1055" s="989"/>
      <c r="SDA1055" s="989"/>
      <c r="SDB1055" s="989"/>
      <c r="SDC1055" s="989"/>
      <c r="SDD1055" s="989"/>
      <c r="SDE1055" s="989"/>
      <c r="SDF1055" s="989"/>
      <c r="SDG1055" s="989"/>
      <c r="SDH1055" s="989"/>
      <c r="SDI1055" s="989"/>
      <c r="SDJ1055" s="989"/>
      <c r="SDK1055" s="989"/>
      <c r="SDL1055" s="989"/>
      <c r="SDM1055" s="989"/>
      <c r="SDN1055" s="989"/>
      <c r="SDO1055" s="989"/>
      <c r="SDP1055" s="989"/>
      <c r="SDQ1055" s="989"/>
      <c r="SDR1055" s="989"/>
      <c r="SDS1055" s="989"/>
      <c r="SDT1055" s="989"/>
      <c r="SDU1055" s="989"/>
      <c r="SDV1055" s="989"/>
      <c r="SDW1055" s="989"/>
      <c r="SDX1055" s="989"/>
      <c r="SDY1055" s="989"/>
      <c r="SDZ1055" s="989"/>
      <c r="SEA1055" s="989"/>
      <c r="SEB1055" s="989"/>
      <c r="SEC1055" s="989"/>
      <c r="SED1055" s="989"/>
      <c r="SEE1055" s="989"/>
      <c r="SEF1055" s="989"/>
      <c r="SEG1055" s="989"/>
      <c r="SEH1055" s="989"/>
      <c r="SEI1055" s="989"/>
      <c r="SEJ1055" s="989"/>
      <c r="SEK1055" s="989"/>
      <c r="SEL1055" s="989"/>
      <c r="SEM1055" s="989"/>
      <c r="SEN1055" s="989"/>
      <c r="SEO1055" s="989"/>
      <c r="SEP1055" s="989"/>
      <c r="SEQ1055" s="989"/>
      <c r="SER1055" s="989"/>
      <c r="SES1055" s="989"/>
      <c r="SET1055" s="989"/>
      <c r="SEU1055" s="989"/>
      <c r="SEV1055" s="989"/>
      <c r="SEW1055" s="989"/>
      <c r="SEX1055" s="989"/>
      <c r="SEY1055" s="989"/>
      <c r="SEZ1055" s="989"/>
      <c r="SFA1055" s="989"/>
      <c r="SFB1055" s="989"/>
      <c r="SFC1055" s="989"/>
      <c r="SFD1055" s="989"/>
      <c r="SFE1055" s="989"/>
      <c r="SFF1055" s="989"/>
      <c r="SFG1055" s="989"/>
      <c r="SFH1055" s="989"/>
      <c r="SFI1055" s="989"/>
      <c r="SFJ1055" s="989"/>
      <c r="SFK1055" s="989"/>
      <c r="SFL1055" s="989"/>
      <c r="SFM1055" s="989"/>
      <c r="SFN1055" s="989"/>
      <c r="SFO1055" s="989"/>
      <c r="SFP1055" s="989"/>
      <c r="SFQ1055" s="989"/>
      <c r="SFR1055" s="989"/>
      <c r="SFS1055" s="989"/>
      <c r="SFT1055" s="989"/>
      <c r="SFU1055" s="989"/>
      <c r="SFV1055" s="989"/>
      <c r="SFW1055" s="989"/>
      <c r="SFX1055" s="989"/>
      <c r="SFY1055" s="989"/>
      <c r="SFZ1055" s="989"/>
      <c r="SGA1055" s="989"/>
      <c r="SGB1055" s="989"/>
      <c r="SGC1055" s="989"/>
      <c r="SGD1055" s="989"/>
      <c r="SGE1055" s="989"/>
      <c r="SGF1055" s="989"/>
      <c r="SGG1055" s="989"/>
      <c r="SGH1055" s="989"/>
      <c r="SGI1055" s="989"/>
      <c r="SGJ1055" s="989"/>
      <c r="SGK1055" s="989"/>
      <c r="SGL1055" s="989"/>
      <c r="SGM1055" s="989"/>
      <c r="SGN1055" s="989"/>
      <c r="SGO1055" s="989"/>
      <c r="SGP1055" s="989"/>
      <c r="SGQ1055" s="989"/>
      <c r="SGR1055" s="989"/>
      <c r="SGS1055" s="989"/>
      <c r="SGT1055" s="989"/>
      <c r="SGU1055" s="989"/>
      <c r="SGV1055" s="989"/>
      <c r="SGW1055" s="989"/>
      <c r="SGX1055" s="989"/>
      <c r="SGY1055" s="989"/>
      <c r="SGZ1055" s="989"/>
      <c r="SHA1055" s="989"/>
      <c r="SHB1055" s="989"/>
      <c r="SHC1055" s="989"/>
      <c r="SHD1055" s="989"/>
      <c r="SHE1055" s="989"/>
      <c r="SHF1055" s="989"/>
      <c r="SHG1055" s="989"/>
      <c r="SHH1055" s="989"/>
      <c r="SHI1055" s="989"/>
      <c r="SHJ1055" s="989"/>
      <c r="SHK1055" s="989"/>
      <c r="SHL1055" s="989"/>
      <c r="SHM1055" s="989"/>
      <c r="SHN1055" s="989"/>
      <c r="SHO1055" s="989"/>
      <c r="SHP1055" s="989"/>
      <c r="SHQ1055" s="989"/>
      <c r="SHR1055" s="989"/>
      <c r="SHS1055" s="989"/>
      <c r="SHT1055" s="989"/>
      <c r="SHU1055" s="989"/>
      <c r="SHV1055" s="989"/>
      <c r="SHW1055" s="989"/>
      <c r="SHX1055" s="989"/>
      <c r="SHY1055" s="989"/>
      <c r="SHZ1055" s="989"/>
      <c r="SIA1055" s="989"/>
      <c r="SIB1055" s="989"/>
      <c r="SIC1055" s="989"/>
      <c r="SID1055" s="989"/>
      <c r="SIE1055" s="989"/>
      <c r="SIF1055" s="989"/>
      <c r="SIG1055" s="989"/>
      <c r="SIH1055" s="989"/>
      <c r="SII1055" s="989"/>
      <c r="SIJ1055" s="989"/>
      <c r="SIK1055" s="989"/>
      <c r="SIL1055" s="989"/>
      <c r="SIM1055" s="989"/>
      <c r="SIN1055" s="989"/>
      <c r="SIO1055" s="989"/>
      <c r="SIP1055" s="989"/>
      <c r="SIQ1055" s="989"/>
      <c r="SIR1055" s="989"/>
      <c r="SIS1055" s="989"/>
      <c r="SIT1055" s="989"/>
      <c r="SIU1055" s="989"/>
      <c r="SIV1055" s="989"/>
      <c r="SIW1055" s="989"/>
      <c r="SIX1055" s="989"/>
      <c r="SIY1055" s="989"/>
      <c r="SIZ1055" s="989"/>
      <c r="SJA1055" s="989"/>
      <c r="SJB1055" s="989"/>
      <c r="SJC1055" s="989"/>
      <c r="SJD1055" s="989"/>
      <c r="SJE1055" s="989"/>
      <c r="SJF1055" s="989"/>
      <c r="SJG1055" s="989"/>
      <c r="SJH1055" s="989"/>
      <c r="SJI1055" s="989"/>
      <c r="SJJ1055" s="989"/>
      <c r="SJK1055" s="989"/>
      <c r="SJL1055" s="989"/>
      <c r="SJM1055" s="989"/>
      <c r="SJN1055" s="989"/>
      <c r="SJO1055" s="989"/>
      <c r="SJP1055" s="989"/>
      <c r="SJQ1055" s="989"/>
      <c r="SJR1055" s="989"/>
      <c r="SJS1055" s="989"/>
      <c r="SJT1055" s="989"/>
      <c r="SJU1055" s="989"/>
      <c r="SJV1055" s="989"/>
      <c r="SJW1055" s="989"/>
      <c r="SJX1055" s="989"/>
      <c r="SJY1055" s="989"/>
      <c r="SJZ1055" s="989"/>
      <c r="SKA1055" s="989"/>
      <c r="SKB1055" s="989"/>
      <c r="SKC1055" s="989"/>
      <c r="SKD1055" s="989"/>
      <c r="SKE1055" s="989"/>
      <c r="SKF1055" s="989"/>
      <c r="SKG1055" s="989"/>
      <c r="SKH1055" s="989"/>
      <c r="SKI1055" s="989"/>
      <c r="SKJ1055" s="989"/>
      <c r="SKK1055" s="989"/>
      <c r="SKL1055" s="989"/>
      <c r="SKM1055" s="989"/>
      <c r="SKN1055" s="989"/>
      <c r="SKO1055" s="989"/>
      <c r="SKP1055" s="989"/>
      <c r="SKQ1055" s="989"/>
      <c r="SKR1055" s="989"/>
      <c r="SKS1055" s="989"/>
      <c r="SKT1055" s="989"/>
      <c r="SKU1055" s="989"/>
      <c r="SKV1055" s="989"/>
      <c r="SKW1055" s="989"/>
      <c r="SKX1055" s="989"/>
      <c r="SKY1055" s="989"/>
      <c r="SKZ1055" s="989"/>
      <c r="SLA1055" s="989"/>
      <c r="SLB1055" s="989"/>
      <c r="SLC1055" s="989"/>
      <c r="SLD1055" s="989"/>
      <c r="SLE1055" s="989"/>
      <c r="SLF1055" s="989"/>
      <c r="SLG1055" s="989"/>
      <c r="SLH1055" s="989"/>
      <c r="SLI1055" s="989"/>
      <c r="SLJ1055" s="989"/>
      <c r="SLK1055" s="989"/>
      <c r="SLL1055" s="989"/>
      <c r="SLM1055" s="989"/>
      <c r="SLN1055" s="989"/>
      <c r="SLO1055" s="989"/>
      <c r="SLP1055" s="989"/>
      <c r="SLQ1055" s="989"/>
      <c r="SLR1055" s="989"/>
      <c r="SLS1055" s="989"/>
      <c r="SLT1055" s="989"/>
      <c r="SLU1055" s="989"/>
      <c r="SLV1055" s="989"/>
      <c r="SLW1055" s="989"/>
      <c r="SLX1055" s="989"/>
      <c r="SLY1055" s="989"/>
      <c r="SLZ1055" s="989"/>
      <c r="SMA1055" s="989"/>
      <c r="SMB1055" s="989"/>
      <c r="SMC1055" s="989"/>
      <c r="SMD1055" s="989"/>
      <c r="SME1055" s="989"/>
      <c r="SMF1055" s="989"/>
      <c r="SMG1055" s="989"/>
      <c r="SMH1055" s="989"/>
      <c r="SMI1055" s="989"/>
      <c r="SMJ1055" s="989"/>
      <c r="SMK1055" s="989"/>
      <c r="SML1055" s="989"/>
      <c r="SMM1055" s="989"/>
      <c r="SMN1055" s="989"/>
      <c r="SMO1055" s="989"/>
      <c r="SMP1055" s="989"/>
      <c r="SMQ1055" s="989"/>
      <c r="SMR1055" s="989"/>
      <c r="SMS1055" s="989"/>
      <c r="SMT1055" s="989"/>
      <c r="SMU1055" s="989"/>
      <c r="SMV1055" s="989"/>
      <c r="SMW1055" s="989"/>
      <c r="SMX1055" s="989"/>
      <c r="SMY1055" s="989"/>
      <c r="SMZ1055" s="989"/>
      <c r="SNA1055" s="989"/>
      <c r="SNB1055" s="989"/>
      <c r="SNC1055" s="989"/>
      <c r="SND1055" s="989"/>
      <c r="SNE1055" s="989"/>
      <c r="SNF1055" s="989"/>
      <c r="SNG1055" s="989"/>
      <c r="SNH1055" s="989"/>
      <c r="SNI1055" s="989"/>
      <c r="SNJ1055" s="989"/>
      <c r="SNK1055" s="989"/>
      <c r="SNL1055" s="989"/>
      <c r="SNM1055" s="989"/>
      <c r="SNN1055" s="989"/>
      <c r="SNO1055" s="989"/>
      <c r="SNP1055" s="989"/>
      <c r="SNQ1055" s="989"/>
      <c r="SNR1055" s="989"/>
      <c r="SNS1055" s="989"/>
      <c r="SNT1055" s="989"/>
      <c r="SNU1055" s="989"/>
      <c r="SNV1055" s="989"/>
      <c r="SNW1055" s="989"/>
      <c r="SNX1055" s="989"/>
      <c r="SNY1055" s="989"/>
      <c r="SNZ1055" s="989"/>
      <c r="SOA1055" s="989"/>
      <c r="SOB1055" s="989"/>
      <c r="SOC1055" s="989"/>
      <c r="SOD1055" s="989"/>
      <c r="SOE1055" s="989"/>
      <c r="SOF1055" s="989"/>
      <c r="SOG1055" s="989"/>
      <c r="SOH1055" s="989"/>
      <c r="SOI1055" s="989"/>
      <c r="SOJ1055" s="989"/>
      <c r="SOK1055" s="989"/>
      <c r="SOL1055" s="989"/>
      <c r="SOM1055" s="989"/>
      <c r="SON1055" s="989"/>
      <c r="SOO1055" s="989"/>
      <c r="SOP1055" s="989"/>
      <c r="SOQ1055" s="989"/>
      <c r="SOR1055" s="989"/>
      <c r="SOS1055" s="989"/>
      <c r="SOT1055" s="989"/>
      <c r="SOU1055" s="989"/>
      <c r="SOV1055" s="989"/>
      <c r="SOW1055" s="989"/>
      <c r="SOX1055" s="989"/>
      <c r="SOY1055" s="989"/>
      <c r="SOZ1055" s="989"/>
      <c r="SPA1055" s="989"/>
      <c r="SPB1055" s="989"/>
      <c r="SPC1055" s="989"/>
      <c r="SPD1055" s="989"/>
      <c r="SPE1055" s="989"/>
      <c r="SPF1055" s="989"/>
      <c r="SPG1055" s="989"/>
      <c r="SPH1055" s="989"/>
      <c r="SPI1055" s="989"/>
      <c r="SPJ1055" s="989"/>
      <c r="SPK1055" s="989"/>
      <c r="SPL1055" s="989"/>
      <c r="SPM1055" s="989"/>
      <c r="SPN1055" s="989"/>
      <c r="SPO1055" s="989"/>
      <c r="SPP1055" s="989"/>
      <c r="SPQ1055" s="989"/>
      <c r="SPR1055" s="989"/>
      <c r="SPS1055" s="989"/>
      <c r="SPT1055" s="989"/>
      <c r="SPU1055" s="989"/>
      <c r="SPV1055" s="989"/>
      <c r="SPW1055" s="989"/>
      <c r="SPX1055" s="989"/>
      <c r="SPY1055" s="989"/>
      <c r="SPZ1055" s="989"/>
      <c r="SQA1055" s="989"/>
      <c r="SQB1055" s="989"/>
      <c r="SQC1055" s="989"/>
      <c r="SQD1055" s="989"/>
      <c r="SQE1055" s="989"/>
      <c r="SQF1055" s="989"/>
      <c r="SQG1055" s="989"/>
      <c r="SQH1055" s="989"/>
      <c r="SQI1055" s="989"/>
      <c r="SQJ1055" s="989"/>
      <c r="SQK1055" s="989"/>
      <c r="SQL1055" s="989"/>
      <c r="SQM1055" s="989"/>
      <c r="SQN1055" s="989"/>
      <c r="SQO1055" s="989"/>
      <c r="SQP1055" s="989"/>
      <c r="SQQ1055" s="989"/>
      <c r="SQR1055" s="989"/>
      <c r="SQS1055" s="989"/>
      <c r="SQT1055" s="989"/>
      <c r="SQU1055" s="989"/>
      <c r="SQV1055" s="989"/>
      <c r="SQW1055" s="989"/>
      <c r="SQX1055" s="989"/>
      <c r="SQY1055" s="989"/>
      <c r="SQZ1055" s="989"/>
      <c r="SRA1055" s="989"/>
      <c r="SRB1055" s="989"/>
      <c r="SRC1055" s="989"/>
      <c r="SRD1055" s="989"/>
      <c r="SRE1055" s="989"/>
      <c r="SRF1055" s="989"/>
      <c r="SRG1055" s="989"/>
      <c r="SRH1055" s="989"/>
      <c r="SRI1055" s="989"/>
      <c r="SRJ1055" s="989"/>
      <c r="SRK1055" s="989"/>
      <c r="SRL1055" s="989"/>
      <c r="SRM1055" s="989"/>
      <c r="SRN1055" s="989"/>
      <c r="SRO1055" s="989"/>
      <c r="SRP1055" s="989"/>
      <c r="SRQ1055" s="989"/>
      <c r="SRR1055" s="989"/>
      <c r="SRS1055" s="989"/>
      <c r="SRT1055" s="989"/>
      <c r="SRU1055" s="989"/>
      <c r="SRV1055" s="989"/>
      <c r="SRW1055" s="989"/>
      <c r="SRX1055" s="989"/>
      <c r="SRY1055" s="989"/>
      <c r="SRZ1055" s="989"/>
      <c r="SSA1055" s="989"/>
      <c r="SSB1055" s="989"/>
      <c r="SSC1055" s="989"/>
      <c r="SSD1055" s="989"/>
      <c r="SSE1055" s="989"/>
      <c r="SSF1055" s="989"/>
      <c r="SSG1055" s="989"/>
      <c r="SSH1055" s="989"/>
      <c r="SSI1055" s="989"/>
      <c r="SSJ1055" s="989"/>
      <c r="SSK1055" s="989"/>
      <c r="SSL1055" s="989"/>
      <c r="SSM1055" s="989"/>
      <c r="SSN1055" s="989"/>
      <c r="SSO1055" s="989"/>
      <c r="SSP1055" s="989"/>
      <c r="SSQ1055" s="989"/>
      <c r="SSR1055" s="989"/>
      <c r="SSS1055" s="989"/>
      <c r="SST1055" s="989"/>
      <c r="SSU1055" s="989"/>
      <c r="SSV1055" s="989"/>
      <c r="SSW1055" s="989"/>
      <c r="SSX1055" s="989"/>
      <c r="SSY1055" s="989"/>
      <c r="SSZ1055" s="989"/>
      <c r="STA1055" s="989"/>
      <c r="STB1055" s="989"/>
      <c r="STC1055" s="989"/>
      <c r="STD1055" s="989"/>
      <c r="STE1055" s="989"/>
      <c r="STF1055" s="989"/>
      <c r="STG1055" s="989"/>
      <c r="STH1055" s="989"/>
      <c r="STI1055" s="989"/>
      <c r="STJ1055" s="989"/>
      <c r="STK1055" s="989"/>
      <c r="STL1055" s="989"/>
      <c r="STM1055" s="989"/>
      <c r="STN1055" s="989"/>
      <c r="STO1055" s="989"/>
      <c r="STP1055" s="989"/>
      <c r="STQ1055" s="989"/>
      <c r="STR1055" s="989"/>
      <c r="STS1055" s="989"/>
      <c r="STT1055" s="989"/>
      <c r="STU1055" s="989"/>
      <c r="STV1055" s="989"/>
      <c r="STW1055" s="989"/>
      <c r="STX1055" s="989"/>
      <c r="STY1055" s="989"/>
      <c r="STZ1055" s="989"/>
      <c r="SUA1055" s="989"/>
      <c r="SUB1055" s="989"/>
      <c r="SUC1055" s="989"/>
      <c r="SUD1055" s="989"/>
      <c r="SUE1055" s="989"/>
      <c r="SUF1055" s="989"/>
      <c r="SUG1055" s="989"/>
      <c r="SUH1055" s="989"/>
      <c r="SUI1055" s="989"/>
      <c r="SUJ1055" s="989"/>
      <c r="SUK1055" s="989"/>
      <c r="SUL1055" s="989"/>
      <c r="SUM1055" s="989"/>
      <c r="SUN1055" s="989"/>
      <c r="SUO1055" s="989"/>
      <c r="SUP1055" s="989"/>
      <c r="SUQ1055" s="989"/>
      <c r="SUR1055" s="989"/>
      <c r="SUS1055" s="989"/>
      <c r="SUT1055" s="989"/>
      <c r="SUU1055" s="989"/>
      <c r="SUV1055" s="989"/>
      <c r="SUW1055" s="989"/>
      <c r="SUX1055" s="989"/>
      <c r="SUY1055" s="989"/>
      <c r="SUZ1055" s="989"/>
      <c r="SVA1055" s="989"/>
      <c r="SVB1055" s="989"/>
      <c r="SVC1055" s="989"/>
      <c r="SVD1055" s="989"/>
      <c r="SVE1055" s="989"/>
      <c r="SVF1055" s="989"/>
      <c r="SVG1055" s="989"/>
      <c r="SVH1055" s="989"/>
      <c r="SVI1055" s="989"/>
      <c r="SVJ1055" s="989"/>
      <c r="SVK1055" s="989"/>
      <c r="SVL1055" s="989"/>
      <c r="SVM1055" s="989"/>
      <c r="SVN1055" s="989"/>
      <c r="SVO1055" s="989"/>
      <c r="SVP1055" s="989"/>
      <c r="SVQ1055" s="989"/>
      <c r="SVR1055" s="989"/>
      <c r="SVS1055" s="989"/>
      <c r="SVT1055" s="989"/>
      <c r="SVU1055" s="989"/>
      <c r="SVV1055" s="989"/>
      <c r="SVW1055" s="989"/>
      <c r="SVX1055" s="989"/>
      <c r="SVY1055" s="989"/>
      <c r="SVZ1055" s="989"/>
      <c r="SWA1055" s="989"/>
      <c r="SWB1055" s="989"/>
      <c r="SWC1055" s="989"/>
      <c r="SWD1055" s="989"/>
      <c r="SWE1055" s="989"/>
      <c r="SWF1055" s="989"/>
      <c r="SWG1055" s="989"/>
      <c r="SWH1055" s="989"/>
      <c r="SWI1055" s="989"/>
      <c r="SWJ1055" s="989"/>
      <c r="SWK1055" s="989"/>
      <c r="SWL1055" s="989"/>
      <c r="SWM1055" s="989"/>
      <c r="SWN1055" s="989"/>
      <c r="SWO1055" s="989"/>
      <c r="SWP1055" s="989"/>
      <c r="SWQ1055" s="989"/>
      <c r="SWR1055" s="989"/>
      <c r="SWS1055" s="989"/>
      <c r="SWT1055" s="989"/>
      <c r="SWU1055" s="989"/>
      <c r="SWV1055" s="989"/>
      <c r="SWW1055" s="989"/>
      <c r="SWX1055" s="989"/>
      <c r="SWY1055" s="989"/>
      <c r="SWZ1055" s="989"/>
      <c r="SXA1055" s="989"/>
      <c r="SXB1055" s="989"/>
      <c r="SXC1055" s="989"/>
      <c r="SXD1055" s="989"/>
      <c r="SXE1055" s="989"/>
      <c r="SXF1055" s="989"/>
      <c r="SXG1055" s="989"/>
      <c r="SXH1055" s="989"/>
      <c r="SXI1055" s="989"/>
      <c r="SXJ1055" s="989"/>
      <c r="SXK1055" s="989"/>
      <c r="SXL1055" s="989"/>
      <c r="SXM1055" s="989"/>
      <c r="SXN1055" s="989"/>
      <c r="SXO1055" s="989"/>
      <c r="SXP1055" s="989"/>
      <c r="SXQ1055" s="989"/>
      <c r="SXR1055" s="989"/>
      <c r="SXS1055" s="989"/>
      <c r="SXT1055" s="989"/>
      <c r="SXU1055" s="989"/>
      <c r="SXV1055" s="989"/>
      <c r="SXW1055" s="989"/>
      <c r="SXX1055" s="989"/>
      <c r="SXY1055" s="989"/>
      <c r="SXZ1055" s="989"/>
      <c r="SYA1055" s="989"/>
      <c r="SYB1055" s="989"/>
      <c r="SYC1055" s="989"/>
      <c r="SYD1055" s="989"/>
      <c r="SYE1055" s="989"/>
      <c r="SYF1055" s="989"/>
      <c r="SYG1055" s="989"/>
      <c r="SYH1055" s="989"/>
      <c r="SYI1055" s="989"/>
      <c r="SYJ1055" s="989"/>
      <c r="SYK1055" s="989"/>
      <c r="SYL1055" s="989"/>
      <c r="SYM1055" s="989"/>
      <c r="SYN1055" s="989"/>
      <c r="SYO1055" s="989"/>
      <c r="SYP1055" s="989"/>
      <c r="SYQ1055" s="989"/>
      <c r="SYR1055" s="989"/>
      <c r="SYS1055" s="989"/>
      <c r="SYT1055" s="989"/>
      <c r="SYU1055" s="989"/>
      <c r="SYV1055" s="989"/>
      <c r="SYW1055" s="989"/>
      <c r="SYX1055" s="989"/>
      <c r="SYY1055" s="989"/>
      <c r="SYZ1055" s="989"/>
      <c r="SZA1055" s="989"/>
      <c r="SZB1055" s="989"/>
      <c r="SZC1055" s="989"/>
      <c r="SZD1055" s="989"/>
      <c r="SZE1055" s="989"/>
      <c r="SZF1055" s="989"/>
      <c r="SZG1055" s="989"/>
      <c r="SZH1055" s="989"/>
      <c r="SZI1055" s="989"/>
      <c r="SZJ1055" s="989"/>
      <c r="SZK1055" s="989"/>
      <c r="SZL1055" s="989"/>
      <c r="SZM1055" s="989"/>
      <c r="SZN1055" s="989"/>
      <c r="SZO1055" s="989"/>
      <c r="SZP1055" s="989"/>
      <c r="SZQ1055" s="989"/>
      <c r="SZR1055" s="989"/>
      <c r="SZS1055" s="989"/>
      <c r="SZT1055" s="989"/>
      <c r="SZU1055" s="989"/>
      <c r="SZV1055" s="989"/>
      <c r="SZW1055" s="989"/>
      <c r="SZX1055" s="989"/>
      <c r="SZY1055" s="989"/>
      <c r="SZZ1055" s="989"/>
      <c r="TAA1055" s="989"/>
      <c r="TAB1055" s="989"/>
      <c r="TAC1055" s="989"/>
      <c r="TAD1055" s="989"/>
      <c r="TAE1055" s="989"/>
      <c r="TAF1055" s="989"/>
      <c r="TAG1055" s="989"/>
      <c r="TAH1055" s="989"/>
      <c r="TAI1055" s="989"/>
      <c r="TAJ1055" s="989"/>
      <c r="TAK1055" s="989"/>
      <c r="TAL1055" s="989"/>
      <c r="TAM1055" s="989"/>
      <c r="TAN1055" s="989"/>
      <c r="TAO1055" s="989"/>
      <c r="TAP1055" s="989"/>
      <c r="TAQ1055" s="989"/>
      <c r="TAR1055" s="989"/>
      <c r="TAS1055" s="989"/>
      <c r="TAT1055" s="989"/>
      <c r="TAU1055" s="989"/>
      <c r="TAV1055" s="989"/>
      <c r="TAW1055" s="989"/>
      <c r="TAX1055" s="989"/>
      <c r="TAY1055" s="989"/>
      <c r="TAZ1055" s="989"/>
      <c r="TBA1055" s="989"/>
      <c r="TBB1055" s="989"/>
      <c r="TBC1055" s="989"/>
      <c r="TBD1055" s="989"/>
      <c r="TBE1055" s="989"/>
      <c r="TBF1055" s="989"/>
      <c r="TBG1055" s="989"/>
      <c r="TBH1055" s="989"/>
      <c r="TBI1055" s="989"/>
      <c r="TBJ1055" s="989"/>
      <c r="TBK1055" s="989"/>
      <c r="TBL1055" s="989"/>
      <c r="TBM1055" s="989"/>
      <c r="TBN1055" s="989"/>
      <c r="TBO1055" s="989"/>
      <c r="TBP1055" s="989"/>
      <c r="TBQ1055" s="989"/>
      <c r="TBR1055" s="989"/>
      <c r="TBS1055" s="989"/>
      <c r="TBT1055" s="989"/>
      <c r="TBU1055" s="989"/>
      <c r="TBV1055" s="989"/>
      <c r="TBW1055" s="989"/>
      <c r="TBX1055" s="989"/>
      <c r="TBY1055" s="989"/>
      <c r="TBZ1055" s="989"/>
      <c r="TCA1055" s="989"/>
      <c r="TCB1055" s="989"/>
      <c r="TCC1055" s="989"/>
      <c r="TCD1055" s="989"/>
      <c r="TCE1055" s="989"/>
      <c r="TCF1055" s="989"/>
      <c r="TCG1055" s="989"/>
      <c r="TCH1055" s="989"/>
      <c r="TCI1055" s="989"/>
      <c r="TCJ1055" s="989"/>
      <c r="TCK1055" s="989"/>
      <c r="TCL1055" s="989"/>
      <c r="TCM1055" s="989"/>
      <c r="TCN1055" s="989"/>
      <c r="TCO1055" s="989"/>
      <c r="TCP1055" s="989"/>
      <c r="TCQ1055" s="989"/>
      <c r="TCR1055" s="989"/>
      <c r="TCS1055" s="989"/>
      <c r="TCT1055" s="989"/>
      <c r="TCU1055" s="989"/>
      <c r="TCV1055" s="989"/>
      <c r="TCW1055" s="989"/>
      <c r="TCX1055" s="989"/>
      <c r="TCY1055" s="989"/>
      <c r="TCZ1055" s="989"/>
      <c r="TDA1055" s="989"/>
      <c r="TDB1055" s="989"/>
      <c r="TDC1055" s="989"/>
      <c r="TDD1055" s="989"/>
      <c r="TDE1055" s="989"/>
      <c r="TDF1055" s="989"/>
      <c r="TDG1055" s="989"/>
      <c r="TDH1055" s="989"/>
      <c r="TDI1055" s="989"/>
      <c r="TDJ1055" s="989"/>
      <c r="TDK1055" s="989"/>
      <c r="TDL1055" s="989"/>
      <c r="TDM1055" s="989"/>
      <c r="TDN1055" s="989"/>
      <c r="TDO1055" s="989"/>
      <c r="TDP1055" s="989"/>
      <c r="TDQ1055" s="989"/>
      <c r="TDR1055" s="989"/>
      <c r="TDS1055" s="989"/>
      <c r="TDT1055" s="989"/>
      <c r="TDU1055" s="989"/>
      <c r="TDV1055" s="989"/>
      <c r="TDW1055" s="989"/>
      <c r="TDX1055" s="989"/>
      <c r="TDY1055" s="989"/>
      <c r="TDZ1055" s="989"/>
      <c r="TEA1055" s="989"/>
      <c r="TEB1055" s="989"/>
      <c r="TEC1055" s="989"/>
      <c r="TED1055" s="989"/>
      <c r="TEE1055" s="989"/>
      <c r="TEF1055" s="989"/>
      <c r="TEG1055" s="989"/>
      <c r="TEH1055" s="989"/>
      <c r="TEI1055" s="989"/>
      <c r="TEJ1055" s="989"/>
      <c r="TEK1055" s="989"/>
      <c r="TEL1055" s="989"/>
      <c r="TEM1055" s="989"/>
      <c r="TEN1055" s="989"/>
      <c r="TEO1055" s="989"/>
      <c r="TEP1055" s="989"/>
      <c r="TEQ1055" s="989"/>
      <c r="TER1055" s="989"/>
      <c r="TES1055" s="989"/>
      <c r="TET1055" s="989"/>
      <c r="TEU1055" s="989"/>
      <c r="TEV1055" s="989"/>
      <c r="TEW1055" s="989"/>
      <c r="TEX1055" s="989"/>
      <c r="TEY1055" s="989"/>
      <c r="TEZ1055" s="989"/>
      <c r="TFA1055" s="989"/>
      <c r="TFB1055" s="989"/>
      <c r="TFC1055" s="989"/>
      <c r="TFD1055" s="989"/>
      <c r="TFE1055" s="989"/>
      <c r="TFF1055" s="989"/>
      <c r="TFG1055" s="989"/>
      <c r="TFH1055" s="989"/>
      <c r="TFI1055" s="989"/>
      <c r="TFJ1055" s="989"/>
      <c r="TFK1055" s="989"/>
      <c r="TFL1055" s="989"/>
      <c r="TFM1055" s="989"/>
      <c r="TFN1055" s="989"/>
      <c r="TFO1055" s="989"/>
      <c r="TFP1055" s="989"/>
      <c r="TFQ1055" s="989"/>
      <c r="TFR1055" s="989"/>
      <c r="TFS1055" s="989"/>
      <c r="TFT1055" s="989"/>
      <c r="TFU1055" s="989"/>
      <c r="TFV1055" s="989"/>
      <c r="TFW1055" s="989"/>
      <c r="TFX1055" s="989"/>
      <c r="TFY1055" s="989"/>
      <c r="TFZ1055" s="989"/>
      <c r="TGA1055" s="989"/>
      <c r="TGB1055" s="989"/>
      <c r="TGC1055" s="989"/>
      <c r="TGD1055" s="989"/>
      <c r="TGE1055" s="989"/>
      <c r="TGF1055" s="989"/>
      <c r="TGG1055" s="989"/>
      <c r="TGH1055" s="989"/>
      <c r="TGI1055" s="989"/>
      <c r="TGJ1055" s="989"/>
      <c r="TGK1055" s="989"/>
      <c r="TGL1055" s="989"/>
      <c r="TGM1055" s="989"/>
      <c r="TGN1055" s="989"/>
      <c r="TGO1055" s="989"/>
      <c r="TGP1055" s="989"/>
      <c r="TGQ1055" s="989"/>
      <c r="TGR1055" s="989"/>
      <c r="TGS1055" s="989"/>
      <c r="TGT1055" s="989"/>
      <c r="TGU1055" s="989"/>
      <c r="TGV1055" s="989"/>
      <c r="TGW1055" s="989"/>
      <c r="TGX1055" s="989"/>
      <c r="TGY1055" s="989"/>
      <c r="TGZ1055" s="989"/>
      <c r="THA1055" s="989"/>
      <c r="THB1055" s="989"/>
      <c r="THC1055" s="989"/>
      <c r="THD1055" s="989"/>
      <c r="THE1055" s="989"/>
      <c r="THF1055" s="989"/>
      <c r="THG1055" s="989"/>
      <c r="THH1055" s="989"/>
      <c r="THI1055" s="989"/>
      <c r="THJ1055" s="989"/>
      <c r="THK1055" s="989"/>
      <c r="THL1055" s="989"/>
      <c r="THM1055" s="989"/>
      <c r="THN1055" s="989"/>
      <c r="THO1055" s="989"/>
      <c r="THP1055" s="989"/>
      <c r="THQ1055" s="989"/>
      <c r="THR1055" s="989"/>
      <c r="THS1055" s="989"/>
      <c r="THT1055" s="989"/>
      <c r="THU1055" s="989"/>
      <c r="THV1055" s="989"/>
      <c r="THW1055" s="989"/>
      <c r="THX1055" s="989"/>
      <c r="THY1055" s="989"/>
      <c r="THZ1055" s="989"/>
      <c r="TIA1055" s="989"/>
      <c r="TIB1055" s="989"/>
      <c r="TIC1055" s="989"/>
      <c r="TID1055" s="989"/>
      <c r="TIE1055" s="989"/>
      <c r="TIF1055" s="989"/>
      <c r="TIG1055" s="989"/>
      <c r="TIH1055" s="989"/>
      <c r="TII1055" s="989"/>
      <c r="TIJ1055" s="989"/>
      <c r="TIK1055" s="989"/>
      <c r="TIL1055" s="989"/>
      <c r="TIM1055" s="989"/>
      <c r="TIN1055" s="989"/>
      <c r="TIO1055" s="989"/>
      <c r="TIP1055" s="989"/>
      <c r="TIQ1055" s="989"/>
      <c r="TIR1055" s="989"/>
      <c r="TIS1055" s="989"/>
      <c r="TIT1055" s="989"/>
      <c r="TIU1055" s="989"/>
      <c r="TIV1055" s="989"/>
      <c r="TIW1055" s="989"/>
      <c r="TIX1055" s="989"/>
      <c r="TIY1055" s="989"/>
      <c r="TIZ1055" s="989"/>
      <c r="TJA1055" s="989"/>
      <c r="TJB1055" s="989"/>
      <c r="TJC1055" s="989"/>
      <c r="TJD1055" s="989"/>
      <c r="TJE1055" s="989"/>
      <c r="TJF1055" s="989"/>
      <c r="TJG1055" s="989"/>
      <c r="TJH1055" s="989"/>
      <c r="TJI1055" s="989"/>
      <c r="TJJ1055" s="989"/>
      <c r="TJK1055" s="989"/>
      <c r="TJL1055" s="989"/>
      <c r="TJM1055" s="989"/>
      <c r="TJN1055" s="989"/>
      <c r="TJO1055" s="989"/>
      <c r="TJP1055" s="989"/>
      <c r="TJQ1055" s="989"/>
      <c r="TJR1055" s="989"/>
      <c r="TJS1055" s="989"/>
      <c r="TJT1055" s="989"/>
      <c r="TJU1055" s="989"/>
      <c r="TJV1055" s="989"/>
      <c r="TJW1055" s="989"/>
      <c r="TJX1055" s="989"/>
      <c r="TJY1055" s="989"/>
      <c r="TJZ1055" s="989"/>
      <c r="TKA1055" s="989"/>
      <c r="TKB1055" s="989"/>
      <c r="TKC1055" s="989"/>
      <c r="TKD1055" s="989"/>
      <c r="TKE1055" s="989"/>
      <c r="TKF1055" s="989"/>
      <c r="TKG1055" s="989"/>
      <c r="TKH1055" s="989"/>
      <c r="TKI1055" s="989"/>
      <c r="TKJ1055" s="989"/>
      <c r="TKK1055" s="989"/>
      <c r="TKL1055" s="989"/>
      <c r="TKM1055" s="989"/>
      <c r="TKN1055" s="989"/>
      <c r="TKO1055" s="989"/>
      <c r="TKP1055" s="989"/>
      <c r="TKQ1055" s="989"/>
      <c r="TKR1055" s="989"/>
      <c r="TKS1055" s="989"/>
      <c r="TKT1055" s="989"/>
      <c r="TKU1055" s="989"/>
      <c r="TKV1055" s="989"/>
      <c r="TKW1055" s="989"/>
      <c r="TKX1055" s="989"/>
      <c r="TKY1055" s="989"/>
      <c r="TKZ1055" s="989"/>
      <c r="TLA1055" s="989"/>
      <c r="TLB1055" s="989"/>
      <c r="TLC1055" s="989"/>
      <c r="TLD1055" s="989"/>
      <c r="TLE1055" s="989"/>
      <c r="TLF1055" s="989"/>
      <c r="TLG1055" s="989"/>
      <c r="TLH1055" s="989"/>
      <c r="TLI1055" s="989"/>
      <c r="TLJ1055" s="989"/>
      <c r="TLK1055" s="989"/>
      <c r="TLL1055" s="989"/>
      <c r="TLM1055" s="989"/>
      <c r="TLN1055" s="989"/>
      <c r="TLO1055" s="989"/>
      <c r="TLP1055" s="989"/>
      <c r="TLQ1055" s="989"/>
      <c r="TLR1055" s="989"/>
      <c r="TLS1055" s="989"/>
      <c r="TLT1055" s="989"/>
      <c r="TLU1055" s="989"/>
      <c r="TLV1055" s="989"/>
      <c r="TLW1055" s="989"/>
      <c r="TLX1055" s="989"/>
      <c r="TLY1055" s="989"/>
      <c r="TLZ1055" s="989"/>
      <c r="TMA1055" s="989"/>
      <c r="TMB1055" s="989"/>
      <c r="TMC1055" s="989"/>
      <c r="TMD1055" s="989"/>
      <c r="TME1055" s="989"/>
      <c r="TMF1055" s="989"/>
      <c r="TMG1055" s="989"/>
      <c r="TMH1055" s="989"/>
      <c r="TMI1055" s="989"/>
      <c r="TMJ1055" s="989"/>
      <c r="TMK1055" s="989"/>
      <c r="TML1055" s="989"/>
      <c r="TMM1055" s="989"/>
      <c r="TMN1055" s="989"/>
      <c r="TMO1055" s="989"/>
      <c r="TMP1055" s="989"/>
      <c r="TMQ1055" s="989"/>
      <c r="TMR1055" s="989"/>
      <c r="TMS1055" s="989"/>
      <c r="TMT1055" s="989"/>
      <c r="TMU1055" s="989"/>
      <c r="TMV1055" s="989"/>
      <c r="TMW1055" s="989"/>
      <c r="TMX1055" s="989"/>
      <c r="TMY1055" s="989"/>
      <c r="TMZ1055" s="989"/>
      <c r="TNA1055" s="989"/>
      <c r="TNB1055" s="989"/>
      <c r="TNC1055" s="989"/>
      <c r="TND1055" s="989"/>
      <c r="TNE1055" s="989"/>
      <c r="TNF1055" s="989"/>
      <c r="TNG1055" s="989"/>
      <c r="TNH1055" s="989"/>
      <c r="TNI1055" s="989"/>
      <c r="TNJ1055" s="989"/>
      <c r="TNK1055" s="989"/>
      <c r="TNL1055" s="989"/>
      <c r="TNM1055" s="989"/>
      <c r="TNN1055" s="989"/>
      <c r="TNO1055" s="989"/>
      <c r="TNP1055" s="989"/>
      <c r="TNQ1055" s="989"/>
      <c r="TNR1055" s="989"/>
      <c r="TNS1055" s="989"/>
      <c r="TNT1055" s="989"/>
      <c r="TNU1055" s="989"/>
      <c r="TNV1055" s="989"/>
      <c r="TNW1055" s="989"/>
      <c r="TNX1055" s="989"/>
      <c r="TNY1055" s="989"/>
      <c r="TNZ1055" s="989"/>
      <c r="TOA1055" s="989"/>
      <c r="TOB1055" s="989"/>
      <c r="TOC1055" s="989"/>
      <c r="TOD1055" s="989"/>
      <c r="TOE1055" s="989"/>
      <c r="TOF1055" s="989"/>
      <c r="TOG1055" s="989"/>
      <c r="TOH1055" s="989"/>
      <c r="TOI1055" s="989"/>
      <c r="TOJ1055" s="989"/>
      <c r="TOK1055" s="989"/>
      <c r="TOL1055" s="989"/>
      <c r="TOM1055" s="989"/>
      <c r="TON1055" s="989"/>
      <c r="TOO1055" s="989"/>
      <c r="TOP1055" s="989"/>
      <c r="TOQ1055" s="989"/>
      <c r="TOR1055" s="989"/>
      <c r="TOS1055" s="989"/>
      <c r="TOT1055" s="989"/>
      <c r="TOU1055" s="989"/>
      <c r="TOV1055" s="989"/>
      <c r="TOW1055" s="989"/>
      <c r="TOX1055" s="989"/>
      <c r="TOY1055" s="989"/>
      <c r="TOZ1055" s="989"/>
      <c r="TPA1055" s="989"/>
      <c r="TPB1055" s="989"/>
      <c r="TPC1055" s="989"/>
      <c r="TPD1055" s="989"/>
      <c r="TPE1055" s="989"/>
      <c r="TPF1055" s="989"/>
      <c r="TPG1055" s="989"/>
      <c r="TPH1055" s="989"/>
      <c r="TPI1055" s="989"/>
      <c r="TPJ1055" s="989"/>
      <c r="TPK1055" s="989"/>
      <c r="TPL1055" s="989"/>
      <c r="TPM1055" s="989"/>
      <c r="TPN1055" s="989"/>
      <c r="TPO1055" s="989"/>
      <c r="TPP1055" s="989"/>
      <c r="TPQ1055" s="989"/>
      <c r="TPR1055" s="989"/>
      <c r="TPS1055" s="989"/>
      <c r="TPT1055" s="989"/>
      <c r="TPU1055" s="989"/>
      <c r="TPV1055" s="989"/>
      <c r="TPW1055" s="989"/>
      <c r="TPX1055" s="989"/>
      <c r="TPY1055" s="989"/>
      <c r="TPZ1055" s="989"/>
      <c r="TQA1055" s="989"/>
      <c r="TQB1055" s="989"/>
      <c r="TQC1055" s="989"/>
      <c r="TQD1055" s="989"/>
      <c r="TQE1055" s="989"/>
      <c r="TQF1055" s="989"/>
      <c r="TQG1055" s="989"/>
      <c r="TQH1055" s="989"/>
      <c r="TQI1055" s="989"/>
      <c r="TQJ1055" s="989"/>
      <c r="TQK1055" s="989"/>
      <c r="TQL1055" s="989"/>
      <c r="TQM1055" s="989"/>
      <c r="TQN1055" s="989"/>
      <c r="TQO1055" s="989"/>
      <c r="TQP1055" s="989"/>
      <c r="TQQ1055" s="989"/>
      <c r="TQR1055" s="989"/>
      <c r="TQS1055" s="989"/>
      <c r="TQT1055" s="989"/>
      <c r="TQU1055" s="989"/>
      <c r="TQV1055" s="989"/>
      <c r="TQW1055" s="989"/>
      <c r="TQX1055" s="989"/>
      <c r="TQY1055" s="989"/>
      <c r="TQZ1055" s="989"/>
      <c r="TRA1055" s="989"/>
      <c r="TRB1055" s="989"/>
      <c r="TRC1055" s="989"/>
      <c r="TRD1055" s="989"/>
      <c r="TRE1055" s="989"/>
      <c r="TRF1055" s="989"/>
      <c r="TRG1055" s="989"/>
      <c r="TRH1055" s="989"/>
      <c r="TRI1055" s="989"/>
      <c r="TRJ1055" s="989"/>
      <c r="TRK1055" s="989"/>
      <c r="TRL1055" s="989"/>
      <c r="TRM1055" s="989"/>
      <c r="TRN1055" s="989"/>
      <c r="TRO1055" s="989"/>
      <c r="TRP1055" s="989"/>
      <c r="TRQ1055" s="989"/>
      <c r="TRR1055" s="989"/>
      <c r="TRS1055" s="989"/>
      <c r="TRT1055" s="989"/>
      <c r="TRU1055" s="989"/>
      <c r="TRV1055" s="989"/>
      <c r="TRW1055" s="989"/>
      <c r="TRX1055" s="989"/>
      <c r="TRY1055" s="989"/>
      <c r="TRZ1055" s="989"/>
      <c r="TSA1055" s="989"/>
      <c r="TSB1055" s="989"/>
      <c r="TSC1055" s="989"/>
      <c r="TSD1055" s="989"/>
      <c r="TSE1055" s="989"/>
      <c r="TSF1055" s="989"/>
      <c r="TSG1055" s="989"/>
      <c r="TSH1055" s="989"/>
      <c r="TSI1055" s="989"/>
      <c r="TSJ1055" s="989"/>
      <c r="TSK1055" s="989"/>
      <c r="TSL1055" s="989"/>
      <c r="TSM1055" s="989"/>
      <c r="TSN1055" s="989"/>
      <c r="TSO1055" s="989"/>
      <c r="TSP1055" s="989"/>
      <c r="TSQ1055" s="989"/>
      <c r="TSR1055" s="989"/>
      <c r="TSS1055" s="989"/>
      <c r="TST1055" s="989"/>
      <c r="TSU1055" s="989"/>
      <c r="TSV1055" s="989"/>
      <c r="TSW1055" s="989"/>
      <c r="TSX1055" s="989"/>
      <c r="TSY1055" s="989"/>
      <c r="TSZ1055" s="989"/>
      <c r="TTA1055" s="989"/>
      <c r="TTB1055" s="989"/>
      <c r="TTC1055" s="989"/>
      <c r="TTD1055" s="989"/>
      <c r="TTE1055" s="989"/>
      <c r="TTF1055" s="989"/>
      <c r="TTG1055" s="989"/>
      <c r="TTH1055" s="989"/>
      <c r="TTI1055" s="989"/>
      <c r="TTJ1055" s="989"/>
      <c r="TTK1055" s="989"/>
      <c r="TTL1055" s="989"/>
      <c r="TTM1055" s="989"/>
      <c r="TTN1055" s="989"/>
      <c r="TTO1055" s="989"/>
      <c r="TTP1055" s="989"/>
      <c r="TTQ1055" s="989"/>
      <c r="TTR1055" s="989"/>
      <c r="TTS1055" s="989"/>
      <c r="TTT1055" s="989"/>
      <c r="TTU1055" s="989"/>
      <c r="TTV1055" s="989"/>
      <c r="TTW1055" s="989"/>
      <c r="TTX1055" s="989"/>
      <c r="TTY1055" s="989"/>
      <c r="TTZ1055" s="989"/>
      <c r="TUA1055" s="989"/>
      <c r="TUB1055" s="989"/>
      <c r="TUC1055" s="989"/>
      <c r="TUD1055" s="989"/>
      <c r="TUE1055" s="989"/>
      <c r="TUF1055" s="989"/>
      <c r="TUG1055" s="989"/>
      <c r="TUH1055" s="989"/>
      <c r="TUI1055" s="989"/>
      <c r="TUJ1055" s="989"/>
      <c r="TUK1055" s="989"/>
      <c r="TUL1055" s="989"/>
      <c r="TUM1055" s="989"/>
      <c r="TUN1055" s="989"/>
      <c r="TUO1055" s="989"/>
      <c r="TUP1055" s="989"/>
      <c r="TUQ1055" s="989"/>
      <c r="TUR1055" s="989"/>
      <c r="TUS1055" s="989"/>
      <c r="TUT1055" s="989"/>
      <c r="TUU1055" s="989"/>
      <c r="TUV1055" s="989"/>
      <c r="TUW1055" s="989"/>
      <c r="TUX1055" s="989"/>
      <c r="TUY1055" s="989"/>
      <c r="TUZ1055" s="989"/>
      <c r="TVA1055" s="989"/>
      <c r="TVB1055" s="989"/>
      <c r="TVC1055" s="989"/>
      <c r="TVD1055" s="989"/>
      <c r="TVE1055" s="989"/>
      <c r="TVF1055" s="989"/>
      <c r="TVG1055" s="989"/>
      <c r="TVH1055" s="989"/>
      <c r="TVI1055" s="989"/>
      <c r="TVJ1055" s="989"/>
      <c r="TVK1055" s="989"/>
      <c r="TVL1055" s="989"/>
      <c r="TVM1055" s="989"/>
      <c r="TVN1055" s="989"/>
      <c r="TVO1055" s="989"/>
      <c r="TVP1055" s="989"/>
      <c r="TVQ1055" s="989"/>
      <c r="TVR1055" s="989"/>
      <c r="TVS1055" s="989"/>
      <c r="TVT1055" s="989"/>
      <c r="TVU1055" s="989"/>
      <c r="TVV1055" s="989"/>
      <c r="TVW1055" s="989"/>
      <c r="TVX1055" s="989"/>
      <c r="TVY1055" s="989"/>
      <c r="TVZ1055" s="989"/>
      <c r="TWA1055" s="989"/>
      <c r="TWB1055" s="989"/>
      <c r="TWC1055" s="989"/>
      <c r="TWD1055" s="989"/>
      <c r="TWE1055" s="989"/>
      <c r="TWF1055" s="989"/>
      <c r="TWG1055" s="989"/>
      <c r="TWH1055" s="989"/>
      <c r="TWI1055" s="989"/>
      <c r="TWJ1055" s="989"/>
      <c r="TWK1055" s="989"/>
      <c r="TWL1055" s="989"/>
      <c r="TWM1055" s="989"/>
      <c r="TWN1055" s="989"/>
      <c r="TWO1055" s="989"/>
      <c r="TWP1055" s="989"/>
      <c r="TWQ1055" s="989"/>
      <c r="TWR1055" s="989"/>
      <c r="TWS1055" s="989"/>
      <c r="TWT1055" s="989"/>
      <c r="TWU1055" s="989"/>
      <c r="TWV1055" s="989"/>
      <c r="TWW1055" s="989"/>
      <c r="TWX1055" s="989"/>
      <c r="TWY1055" s="989"/>
      <c r="TWZ1055" s="989"/>
      <c r="TXA1055" s="989"/>
      <c r="TXB1055" s="989"/>
      <c r="TXC1055" s="989"/>
      <c r="TXD1055" s="989"/>
      <c r="TXE1055" s="989"/>
      <c r="TXF1055" s="989"/>
      <c r="TXG1055" s="989"/>
      <c r="TXH1055" s="989"/>
      <c r="TXI1055" s="989"/>
      <c r="TXJ1055" s="989"/>
      <c r="TXK1055" s="989"/>
      <c r="TXL1055" s="989"/>
      <c r="TXM1055" s="989"/>
      <c r="TXN1055" s="989"/>
      <c r="TXO1055" s="989"/>
      <c r="TXP1055" s="989"/>
      <c r="TXQ1055" s="989"/>
      <c r="TXR1055" s="989"/>
      <c r="TXS1055" s="989"/>
      <c r="TXT1055" s="989"/>
      <c r="TXU1055" s="989"/>
      <c r="TXV1055" s="989"/>
      <c r="TXW1055" s="989"/>
      <c r="TXX1055" s="989"/>
      <c r="TXY1055" s="989"/>
      <c r="TXZ1055" s="989"/>
      <c r="TYA1055" s="989"/>
      <c r="TYB1055" s="989"/>
      <c r="TYC1055" s="989"/>
      <c r="TYD1055" s="989"/>
      <c r="TYE1055" s="989"/>
      <c r="TYF1055" s="989"/>
      <c r="TYG1055" s="989"/>
      <c r="TYH1055" s="989"/>
      <c r="TYI1055" s="989"/>
      <c r="TYJ1055" s="989"/>
      <c r="TYK1055" s="989"/>
      <c r="TYL1055" s="989"/>
      <c r="TYM1055" s="989"/>
      <c r="TYN1055" s="989"/>
      <c r="TYO1055" s="989"/>
      <c r="TYP1055" s="989"/>
      <c r="TYQ1055" s="989"/>
      <c r="TYR1055" s="989"/>
      <c r="TYS1055" s="989"/>
      <c r="TYT1055" s="989"/>
      <c r="TYU1055" s="989"/>
      <c r="TYV1055" s="989"/>
      <c r="TYW1055" s="989"/>
      <c r="TYX1055" s="989"/>
      <c r="TYY1055" s="989"/>
      <c r="TYZ1055" s="989"/>
      <c r="TZA1055" s="989"/>
      <c r="TZB1055" s="989"/>
      <c r="TZC1055" s="989"/>
      <c r="TZD1055" s="989"/>
      <c r="TZE1055" s="989"/>
      <c r="TZF1055" s="989"/>
      <c r="TZG1055" s="989"/>
      <c r="TZH1055" s="989"/>
      <c r="TZI1055" s="989"/>
      <c r="TZJ1055" s="989"/>
      <c r="TZK1055" s="989"/>
      <c r="TZL1055" s="989"/>
      <c r="TZM1055" s="989"/>
      <c r="TZN1055" s="989"/>
      <c r="TZO1055" s="989"/>
      <c r="TZP1055" s="989"/>
      <c r="TZQ1055" s="989"/>
      <c r="TZR1055" s="989"/>
      <c r="TZS1055" s="989"/>
      <c r="TZT1055" s="989"/>
      <c r="TZU1055" s="989"/>
      <c r="TZV1055" s="989"/>
      <c r="TZW1055" s="989"/>
      <c r="TZX1055" s="989"/>
      <c r="TZY1055" s="989"/>
      <c r="TZZ1055" s="989"/>
      <c r="UAA1055" s="989"/>
      <c r="UAB1055" s="989"/>
      <c r="UAC1055" s="989"/>
      <c r="UAD1055" s="989"/>
      <c r="UAE1055" s="989"/>
      <c r="UAF1055" s="989"/>
      <c r="UAG1055" s="989"/>
      <c r="UAH1055" s="989"/>
      <c r="UAI1055" s="989"/>
      <c r="UAJ1055" s="989"/>
      <c r="UAK1055" s="989"/>
      <c r="UAL1055" s="989"/>
      <c r="UAM1055" s="989"/>
      <c r="UAN1055" s="989"/>
      <c r="UAO1055" s="989"/>
      <c r="UAP1055" s="989"/>
      <c r="UAQ1055" s="989"/>
      <c r="UAR1055" s="989"/>
      <c r="UAS1055" s="989"/>
      <c r="UAT1055" s="989"/>
      <c r="UAU1055" s="989"/>
      <c r="UAV1055" s="989"/>
      <c r="UAW1055" s="989"/>
      <c r="UAX1055" s="989"/>
      <c r="UAY1055" s="989"/>
      <c r="UAZ1055" s="989"/>
      <c r="UBA1055" s="989"/>
      <c r="UBB1055" s="989"/>
      <c r="UBC1055" s="989"/>
      <c r="UBD1055" s="989"/>
      <c r="UBE1055" s="989"/>
      <c r="UBF1055" s="989"/>
      <c r="UBG1055" s="989"/>
      <c r="UBH1055" s="989"/>
      <c r="UBI1055" s="989"/>
      <c r="UBJ1055" s="989"/>
      <c r="UBK1055" s="989"/>
      <c r="UBL1055" s="989"/>
      <c r="UBM1055" s="989"/>
      <c r="UBN1055" s="989"/>
      <c r="UBO1055" s="989"/>
      <c r="UBP1055" s="989"/>
      <c r="UBQ1055" s="989"/>
      <c r="UBR1055" s="989"/>
      <c r="UBS1055" s="989"/>
      <c r="UBT1055" s="989"/>
      <c r="UBU1055" s="989"/>
      <c r="UBV1055" s="989"/>
      <c r="UBW1055" s="989"/>
      <c r="UBX1055" s="989"/>
      <c r="UBY1055" s="989"/>
      <c r="UBZ1055" s="989"/>
      <c r="UCA1055" s="989"/>
      <c r="UCB1055" s="989"/>
      <c r="UCC1055" s="989"/>
      <c r="UCD1055" s="989"/>
      <c r="UCE1055" s="989"/>
      <c r="UCF1055" s="989"/>
      <c r="UCG1055" s="989"/>
      <c r="UCH1055" s="989"/>
      <c r="UCI1055" s="989"/>
      <c r="UCJ1055" s="989"/>
      <c r="UCK1055" s="989"/>
      <c r="UCL1055" s="989"/>
      <c r="UCM1055" s="989"/>
      <c r="UCN1055" s="989"/>
      <c r="UCO1055" s="989"/>
      <c r="UCP1055" s="989"/>
      <c r="UCQ1055" s="989"/>
      <c r="UCR1055" s="989"/>
      <c r="UCS1055" s="989"/>
      <c r="UCT1055" s="989"/>
      <c r="UCU1055" s="989"/>
      <c r="UCV1055" s="989"/>
      <c r="UCW1055" s="989"/>
      <c r="UCX1055" s="989"/>
      <c r="UCY1055" s="989"/>
      <c r="UCZ1055" s="989"/>
      <c r="UDA1055" s="989"/>
      <c r="UDB1055" s="989"/>
      <c r="UDC1055" s="989"/>
      <c r="UDD1055" s="989"/>
      <c r="UDE1055" s="989"/>
      <c r="UDF1055" s="989"/>
      <c r="UDG1055" s="989"/>
      <c r="UDH1055" s="989"/>
      <c r="UDI1055" s="989"/>
      <c r="UDJ1055" s="989"/>
      <c r="UDK1055" s="989"/>
      <c r="UDL1055" s="989"/>
      <c r="UDM1055" s="989"/>
      <c r="UDN1055" s="989"/>
      <c r="UDO1055" s="989"/>
      <c r="UDP1055" s="989"/>
      <c r="UDQ1055" s="989"/>
      <c r="UDR1055" s="989"/>
      <c r="UDS1055" s="989"/>
      <c r="UDT1055" s="989"/>
      <c r="UDU1055" s="989"/>
      <c r="UDV1055" s="989"/>
      <c r="UDW1055" s="989"/>
      <c r="UDX1055" s="989"/>
      <c r="UDY1055" s="989"/>
      <c r="UDZ1055" s="989"/>
      <c r="UEA1055" s="989"/>
      <c r="UEB1055" s="989"/>
      <c r="UEC1055" s="989"/>
      <c r="UED1055" s="989"/>
      <c r="UEE1055" s="989"/>
      <c r="UEF1055" s="989"/>
      <c r="UEG1055" s="989"/>
      <c r="UEH1055" s="989"/>
      <c r="UEI1055" s="989"/>
      <c r="UEJ1055" s="989"/>
      <c r="UEK1055" s="989"/>
      <c r="UEL1055" s="989"/>
      <c r="UEM1055" s="989"/>
      <c r="UEN1055" s="989"/>
      <c r="UEO1055" s="989"/>
      <c r="UEP1055" s="989"/>
      <c r="UEQ1055" s="989"/>
      <c r="UER1055" s="989"/>
      <c r="UES1055" s="989"/>
      <c r="UET1055" s="989"/>
      <c r="UEU1055" s="989"/>
      <c r="UEV1055" s="989"/>
      <c r="UEW1055" s="989"/>
      <c r="UEX1055" s="989"/>
      <c r="UEY1055" s="989"/>
      <c r="UEZ1055" s="989"/>
      <c r="UFA1055" s="989"/>
      <c r="UFB1055" s="989"/>
      <c r="UFC1055" s="989"/>
      <c r="UFD1055" s="989"/>
      <c r="UFE1055" s="989"/>
      <c r="UFF1055" s="989"/>
      <c r="UFG1055" s="989"/>
      <c r="UFH1055" s="989"/>
      <c r="UFI1055" s="989"/>
      <c r="UFJ1055" s="989"/>
      <c r="UFK1055" s="989"/>
      <c r="UFL1055" s="989"/>
      <c r="UFM1055" s="989"/>
      <c r="UFN1055" s="989"/>
      <c r="UFO1055" s="989"/>
      <c r="UFP1055" s="989"/>
      <c r="UFQ1055" s="989"/>
      <c r="UFR1055" s="989"/>
      <c r="UFS1055" s="989"/>
      <c r="UFT1055" s="989"/>
      <c r="UFU1055" s="989"/>
      <c r="UFV1055" s="989"/>
      <c r="UFW1055" s="989"/>
      <c r="UFX1055" s="989"/>
      <c r="UFY1055" s="989"/>
      <c r="UFZ1055" s="989"/>
      <c r="UGA1055" s="989"/>
      <c r="UGB1055" s="989"/>
      <c r="UGC1055" s="989"/>
      <c r="UGD1055" s="989"/>
      <c r="UGE1055" s="989"/>
      <c r="UGF1055" s="989"/>
      <c r="UGG1055" s="989"/>
      <c r="UGH1055" s="989"/>
      <c r="UGI1055" s="989"/>
      <c r="UGJ1055" s="989"/>
      <c r="UGK1055" s="989"/>
      <c r="UGL1055" s="989"/>
      <c r="UGM1055" s="989"/>
      <c r="UGN1055" s="989"/>
      <c r="UGO1055" s="989"/>
      <c r="UGP1055" s="989"/>
      <c r="UGQ1055" s="989"/>
      <c r="UGR1055" s="989"/>
      <c r="UGS1055" s="989"/>
      <c r="UGT1055" s="989"/>
      <c r="UGU1055" s="989"/>
      <c r="UGV1055" s="989"/>
      <c r="UGW1055" s="989"/>
      <c r="UGX1055" s="989"/>
      <c r="UGY1055" s="989"/>
      <c r="UGZ1055" s="989"/>
      <c r="UHA1055" s="989"/>
      <c r="UHB1055" s="989"/>
      <c r="UHC1055" s="989"/>
      <c r="UHD1055" s="989"/>
      <c r="UHE1055" s="989"/>
      <c r="UHF1055" s="989"/>
      <c r="UHG1055" s="989"/>
      <c r="UHH1055" s="989"/>
      <c r="UHI1055" s="989"/>
      <c r="UHJ1055" s="989"/>
      <c r="UHK1055" s="989"/>
      <c r="UHL1055" s="989"/>
      <c r="UHM1055" s="989"/>
      <c r="UHN1055" s="989"/>
      <c r="UHO1055" s="989"/>
      <c r="UHP1055" s="989"/>
      <c r="UHQ1055" s="989"/>
      <c r="UHR1055" s="989"/>
      <c r="UHS1055" s="989"/>
      <c r="UHT1055" s="989"/>
      <c r="UHU1055" s="989"/>
      <c r="UHV1055" s="989"/>
      <c r="UHW1055" s="989"/>
      <c r="UHX1055" s="989"/>
      <c r="UHY1055" s="989"/>
      <c r="UHZ1055" s="989"/>
      <c r="UIA1055" s="989"/>
      <c r="UIB1055" s="989"/>
      <c r="UIC1055" s="989"/>
      <c r="UID1055" s="989"/>
      <c r="UIE1055" s="989"/>
      <c r="UIF1055" s="989"/>
      <c r="UIG1055" s="989"/>
      <c r="UIH1055" s="989"/>
      <c r="UII1055" s="989"/>
      <c r="UIJ1055" s="989"/>
      <c r="UIK1055" s="989"/>
      <c r="UIL1055" s="989"/>
      <c r="UIM1055" s="989"/>
      <c r="UIN1055" s="989"/>
      <c r="UIO1055" s="989"/>
      <c r="UIP1055" s="989"/>
      <c r="UIQ1055" s="989"/>
      <c r="UIR1055" s="989"/>
      <c r="UIS1055" s="989"/>
      <c r="UIT1055" s="989"/>
      <c r="UIU1055" s="989"/>
      <c r="UIV1055" s="989"/>
      <c r="UIW1055" s="989"/>
      <c r="UIX1055" s="989"/>
      <c r="UIY1055" s="989"/>
      <c r="UIZ1055" s="989"/>
      <c r="UJA1055" s="989"/>
      <c r="UJB1055" s="989"/>
      <c r="UJC1055" s="989"/>
      <c r="UJD1055" s="989"/>
      <c r="UJE1055" s="989"/>
      <c r="UJF1055" s="989"/>
      <c r="UJG1055" s="989"/>
      <c r="UJH1055" s="989"/>
      <c r="UJI1055" s="989"/>
      <c r="UJJ1055" s="989"/>
      <c r="UJK1055" s="989"/>
      <c r="UJL1055" s="989"/>
      <c r="UJM1055" s="989"/>
      <c r="UJN1055" s="989"/>
      <c r="UJO1055" s="989"/>
      <c r="UJP1055" s="989"/>
      <c r="UJQ1055" s="989"/>
      <c r="UJR1055" s="989"/>
      <c r="UJS1055" s="989"/>
      <c r="UJT1055" s="989"/>
      <c r="UJU1055" s="989"/>
      <c r="UJV1055" s="989"/>
      <c r="UJW1055" s="989"/>
      <c r="UJX1055" s="989"/>
      <c r="UJY1055" s="989"/>
      <c r="UJZ1055" s="989"/>
      <c r="UKA1055" s="989"/>
      <c r="UKB1055" s="989"/>
      <c r="UKC1055" s="989"/>
      <c r="UKD1055" s="989"/>
      <c r="UKE1055" s="989"/>
      <c r="UKF1055" s="989"/>
      <c r="UKG1055" s="989"/>
      <c r="UKH1055" s="989"/>
      <c r="UKI1055" s="989"/>
      <c r="UKJ1055" s="989"/>
      <c r="UKK1055" s="989"/>
      <c r="UKL1055" s="989"/>
      <c r="UKM1055" s="989"/>
      <c r="UKN1055" s="989"/>
      <c r="UKO1055" s="989"/>
      <c r="UKP1055" s="989"/>
      <c r="UKQ1055" s="989"/>
      <c r="UKR1055" s="989"/>
      <c r="UKS1055" s="989"/>
      <c r="UKT1055" s="989"/>
      <c r="UKU1055" s="989"/>
      <c r="UKV1055" s="989"/>
      <c r="UKW1055" s="989"/>
      <c r="UKX1055" s="989"/>
      <c r="UKY1055" s="989"/>
      <c r="UKZ1055" s="989"/>
      <c r="ULA1055" s="989"/>
      <c r="ULB1055" s="989"/>
      <c r="ULC1055" s="989"/>
      <c r="ULD1055" s="989"/>
      <c r="ULE1055" s="989"/>
      <c r="ULF1055" s="989"/>
      <c r="ULG1055" s="989"/>
      <c r="ULH1055" s="989"/>
      <c r="ULI1055" s="989"/>
      <c r="ULJ1055" s="989"/>
      <c r="ULK1055" s="989"/>
      <c r="ULL1055" s="989"/>
      <c r="ULM1055" s="989"/>
      <c r="ULN1055" s="989"/>
      <c r="ULO1055" s="989"/>
      <c r="ULP1055" s="989"/>
      <c r="ULQ1055" s="989"/>
      <c r="ULR1055" s="989"/>
      <c r="ULS1055" s="989"/>
      <c r="ULT1055" s="989"/>
      <c r="ULU1055" s="989"/>
      <c r="ULV1055" s="989"/>
      <c r="ULW1055" s="989"/>
      <c r="ULX1055" s="989"/>
      <c r="ULY1055" s="989"/>
      <c r="ULZ1055" s="989"/>
      <c r="UMA1055" s="989"/>
      <c r="UMB1055" s="989"/>
      <c r="UMC1055" s="989"/>
      <c r="UMD1055" s="989"/>
      <c r="UME1055" s="989"/>
      <c r="UMF1055" s="989"/>
      <c r="UMG1055" s="989"/>
      <c r="UMH1055" s="989"/>
      <c r="UMI1055" s="989"/>
      <c r="UMJ1055" s="989"/>
      <c r="UMK1055" s="989"/>
      <c r="UML1055" s="989"/>
      <c r="UMM1055" s="989"/>
      <c r="UMN1055" s="989"/>
      <c r="UMO1055" s="989"/>
      <c r="UMP1055" s="989"/>
      <c r="UMQ1055" s="989"/>
      <c r="UMR1055" s="989"/>
      <c r="UMS1055" s="989"/>
      <c r="UMT1055" s="989"/>
      <c r="UMU1055" s="989"/>
      <c r="UMV1055" s="989"/>
      <c r="UMW1055" s="989"/>
      <c r="UMX1055" s="989"/>
      <c r="UMY1055" s="989"/>
      <c r="UMZ1055" s="989"/>
      <c r="UNA1055" s="989"/>
      <c r="UNB1055" s="989"/>
      <c r="UNC1055" s="989"/>
      <c r="UND1055" s="989"/>
      <c r="UNE1055" s="989"/>
      <c r="UNF1055" s="989"/>
      <c r="UNG1055" s="989"/>
      <c r="UNH1055" s="989"/>
      <c r="UNI1055" s="989"/>
      <c r="UNJ1055" s="989"/>
      <c r="UNK1055" s="989"/>
      <c r="UNL1055" s="989"/>
      <c r="UNM1055" s="989"/>
      <c r="UNN1055" s="989"/>
      <c r="UNO1055" s="989"/>
      <c r="UNP1055" s="989"/>
      <c r="UNQ1055" s="989"/>
      <c r="UNR1055" s="989"/>
      <c r="UNS1055" s="989"/>
      <c r="UNT1055" s="989"/>
      <c r="UNU1055" s="989"/>
      <c r="UNV1055" s="989"/>
      <c r="UNW1055" s="989"/>
      <c r="UNX1055" s="989"/>
      <c r="UNY1055" s="989"/>
      <c r="UNZ1055" s="989"/>
      <c r="UOA1055" s="989"/>
      <c r="UOB1055" s="989"/>
      <c r="UOC1055" s="989"/>
      <c r="UOD1055" s="989"/>
      <c r="UOE1055" s="989"/>
      <c r="UOF1055" s="989"/>
      <c r="UOG1055" s="989"/>
      <c r="UOH1055" s="989"/>
      <c r="UOI1055" s="989"/>
      <c r="UOJ1055" s="989"/>
      <c r="UOK1055" s="989"/>
      <c r="UOL1055" s="989"/>
      <c r="UOM1055" s="989"/>
      <c r="UON1055" s="989"/>
      <c r="UOO1055" s="989"/>
      <c r="UOP1055" s="989"/>
      <c r="UOQ1055" s="989"/>
      <c r="UOR1055" s="989"/>
      <c r="UOS1055" s="989"/>
      <c r="UOT1055" s="989"/>
      <c r="UOU1055" s="989"/>
      <c r="UOV1055" s="989"/>
      <c r="UOW1055" s="989"/>
      <c r="UOX1055" s="989"/>
      <c r="UOY1055" s="989"/>
      <c r="UOZ1055" s="989"/>
      <c r="UPA1055" s="989"/>
      <c r="UPB1055" s="989"/>
      <c r="UPC1055" s="989"/>
      <c r="UPD1055" s="989"/>
      <c r="UPE1055" s="989"/>
      <c r="UPF1055" s="989"/>
      <c r="UPG1055" s="989"/>
      <c r="UPH1055" s="989"/>
      <c r="UPI1055" s="989"/>
      <c r="UPJ1055" s="989"/>
      <c r="UPK1055" s="989"/>
      <c r="UPL1055" s="989"/>
      <c r="UPM1055" s="989"/>
      <c r="UPN1055" s="989"/>
      <c r="UPO1055" s="989"/>
      <c r="UPP1055" s="989"/>
      <c r="UPQ1055" s="989"/>
      <c r="UPR1055" s="989"/>
      <c r="UPS1055" s="989"/>
      <c r="UPT1055" s="989"/>
      <c r="UPU1055" s="989"/>
      <c r="UPV1055" s="989"/>
      <c r="UPW1055" s="989"/>
      <c r="UPX1055" s="989"/>
      <c r="UPY1055" s="989"/>
      <c r="UPZ1055" s="989"/>
      <c r="UQA1055" s="989"/>
      <c r="UQB1055" s="989"/>
      <c r="UQC1055" s="989"/>
      <c r="UQD1055" s="989"/>
      <c r="UQE1055" s="989"/>
      <c r="UQF1055" s="989"/>
      <c r="UQG1055" s="989"/>
      <c r="UQH1055" s="989"/>
      <c r="UQI1055" s="989"/>
      <c r="UQJ1055" s="989"/>
      <c r="UQK1055" s="989"/>
      <c r="UQL1055" s="989"/>
      <c r="UQM1055" s="989"/>
      <c r="UQN1055" s="989"/>
      <c r="UQO1055" s="989"/>
      <c r="UQP1055" s="989"/>
      <c r="UQQ1055" s="989"/>
      <c r="UQR1055" s="989"/>
      <c r="UQS1055" s="989"/>
      <c r="UQT1055" s="989"/>
      <c r="UQU1055" s="989"/>
      <c r="UQV1055" s="989"/>
      <c r="UQW1055" s="989"/>
      <c r="UQX1055" s="989"/>
      <c r="UQY1055" s="989"/>
      <c r="UQZ1055" s="989"/>
      <c r="URA1055" s="989"/>
      <c r="URB1055" s="989"/>
      <c r="URC1055" s="989"/>
      <c r="URD1055" s="989"/>
      <c r="URE1055" s="989"/>
      <c r="URF1055" s="989"/>
      <c r="URG1055" s="989"/>
      <c r="URH1055" s="989"/>
      <c r="URI1055" s="989"/>
      <c r="URJ1055" s="989"/>
      <c r="URK1055" s="989"/>
      <c r="URL1055" s="989"/>
      <c r="URM1055" s="989"/>
      <c r="URN1055" s="989"/>
      <c r="URO1055" s="989"/>
      <c r="URP1055" s="989"/>
      <c r="URQ1055" s="989"/>
      <c r="URR1055" s="989"/>
      <c r="URS1055" s="989"/>
      <c r="URT1055" s="989"/>
      <c r="URU1055" s="989"/>
      <c r="URV1055" s="989"/>
      <c r="URW1055" s="989"/>
      <c r="URX1055" s="989"/>
      <c r="URY1055" s="989"/>
      <c r="URZ1055" s="989"/>
      <c r="USA1055" s="989"/>
      <c r="USB1055" s="989"/>
      <c r="USC1055" s="989"/>
      <c r="USD1055" s="989"/>
      <c r="USE1055" s="989"/>
      <c r="USF1055" s="989"/>
      <c r="USG1055" s="989"/>
      <c r="USH1055" s="989"/>
      <c r="USI1055" s="989"/>
      <c r="USJ1055" s="989"/>
      <c r="USK1055" s="989"/>
      <c r="USL1055" s="989"/>
      <c r="USM1055" s="989"/>
      <c r="USN1055" s="989"/>
      <c r="USO1055" s="989"/>
      <c r="USP1055" s="989"/>
      <c r="USQ1055" s="989"/>
      <c r="USR1055" s="989"/>
      <c r="USS1055" s="989"/>
      <c r="UST1055" s="989"/>
      <c r="USU1055" s="989"/>
      <c r="USV1055" s="989"/>
      <c r="USW1055" s="989"/>
      <c r="USX1055" s="989"/>
      <c r="USY1055" s="989"/>
      <c r="USZ1055" s="989"/>
      <c r="UTA1055" s="989"/>
      <c r="UTB1055" s="989"/>
      <c r="UTC1055" s="989"/>
      <c r="UTD1055" s="989"/>
      <c r="UTE1055" s="989"/>
      <c r="UTF1055" s="989"/>
      <c r="UTG1055" s="989"/>
      <c r="UTH1055" s="989"/>
      <c r="UTI1055" s="989"/>
      <c r="UTJ1055" s="989"/>
      <c r="UTK1055" s="989"/>
      <c r="UTL1055" s="989"/>
      <c r="UTM1055" s="989"/>
      <c r="UTN1055" s="989"/>
      <c r="UTO1055" s="989"/>
      <c r="UTP1055" s="989"/>
      <c r="UTQ1055" s="989"/>
      <c r="UTR1055" s="989"/>
      <c r="UTS1055" s="989"/>
      <c r="UTT1055" s="989"/>
      <c r="UTU1055" s="989"/>
      <c r="UTV1055" s="989"/>
      <c r="UTW1055" s="989"/>
      <c r="UTX1055" s="989"/>
      <c r="UTY1055" s="989"/>
      <c r="UTZ1055" s="989"/>
      <c r="UUA1055" s="989"/>
      <c r="UUB1055" s="989"/>
      <c r="UUC1055" s="989"/>
      <c r="UUD1055" s="989"/>
      <c r="UUE1055" s="989"/>
      <c r="UUF1055" s="989"/>
      <c r="UUG1055" s="989"/>
      <c r="UUH1055" s="989"/>
      <c r="UUI1055" s="989"/>
      <c r="UUJ1055" s="989"/>
      <c r="UUK1055" s="989"/>
      <c r="UUL1055" s="989"/>
      <c r="UUM1055" s="989"/>
      <c r="UUN1055" s="989"/>
      <c r="UUO1055" s="989"/>
      <c r="UUP1055" s="989"/>
      <c r="UUQ1055" s="989"/>
      <c r="UUR1055" s="989"/>
      <c r="UUS1055" s="989"/>
      <c r="UUT1055" s="989"/>
      <c r="UUU1055" s="989"/>
      <c r="UUV1055" s="989"/>
      <c r="UUW1055" s="989"/>
      <c r="UUX1055" s="989"/>
      <c r="UUY1055" s="989"/>
      <c r="UUZ1055" s="989"/>
      <c r="UVA1055" s="989"/>
      <c r="UVB1055" s="989"/>
      <c r="UVC1055" s="989"/>
      <c r="UVD1055" s="989"/>
      <c r="UVE1055" s="989"/>
      <c r="UVF1055" s="989"/>
      <c r="UVG1055" s="989"/>
      <c r="UVH1055" s="989"/>
      <c r="UVI1055" s="989"/>
      <c r="UVJ1055" s="989"/>
      <c r="UVK1055" s="989"/>
      <c r="UVL1055" s="989"/>
      <c r="UVM1055" s="989"/>
      <c r="UVN1055" s="989"/>
      <c r="UVO1055" s="989"/>
      <c r="UVP1055" s="989"/>
      <c r="UVQ1055" s="989"/>
      <c r="UVR1055" s="989"/>
      <c r="UVS1055" s="989"/>
      <c r="UVT1055" s="989"/>
      <c r="UVU1055" s="989"/>
      <c r="UVV1055" s="989"/>
      <c r="UVW1055" s="989"/>
      <c r="UVX1055" s="989"/>
      <c r="UVY1055" s="989"/>
      <c r="UVZ1055" s="989"/>
      <c r="UWA1055" s="989"/>
      <c r="UWB1055" s="989"/>
      <c r="UWC1055" s="989"/>
      <c r="UWD1055" s="989"/>
      <c r="UWE1055" s="989"/>
      <c r="UWF1055" s="989"/>
      <c r="UWG1055" s="989"/>
      <c r="UWH1055" s="989"/>
      <c r="UWI1055" s="989"/>
      <c r="UWJ1055" s="989"/>
      <c r="UWK1055" s="989"/>
      <c r="UWL1055" s="989"/>
      <c r="UWM1055" s="989"/>
      <c r="UWN1055" s="989"/>
      <c r="UWO1055" s="989"/>
      <c r="UWP1055" s="989"/>
      <c r="UWQ1055" s="989"/>
      <c r="UWR1055" s="989"/>
      <c r="UWS1055" s="989"/>
      <c r="UWT1055" s="989"/>
      <c r="UWU1055" s="989"/>
      <c r="UWV1055" s="989"/>
      <c r="UWW1055" s="989"/>
      <c r="UWX1055" s="989"/>
      <c r="UWY1055" s="989"/>
      <c r="UWZ1055" s="989"/>
      <c r="UXA1055" s="989"/>
      <c r="UXB1055" s="989"/>
      <c r="UXC1055" s="989"/>
      <c r="UXD1055" s="989"/>
      <c r="UXE1055" s="989"/>
      <c r="UXF1055" s="989"/>
      <c r="UXG1055" s="989"/>
      <c r="UXH1055" s="989"/>
      <c r="UXI1055" s="989"/>
      <c r="UXJ1055" s="989"/>
      <c r="UXK1055" s="989"/>
      <c r="UXL1055" s="989"/>
      <c r="UXM1055" s="989"/>
      <c r="UXN1055" s="989"/>
      <c r="UXO1055" s="989"/>
      <c r="UXP1055" s="989"/>
      <c r="UXQ1055" s="989"/>
      <c r="UXR1055" s="989"/>
      <c r="UXS1055" s="989"/>
      <c r="UXT1055" s="989"/>
      <c r="UXU1055" s="989"/>
      <c r="UXV1055" s="989"/>
      <c r="UXW1055" s="989"/>
      <c r="UXX1055" s="989"/>
      <c r="UXY1055" s="989"/>
      <c r="UXZ1055" s="989"/>
      <c r="UYA1055" s="989"/>
      <c r="UYB1055" s="989"/>
      <c r="UYC1055" s="989"/>
      <c r="UYD1055" s="989"/>
      <c r="UYE1055" s="989"/>
      <c r="UYF1055" s="989"/>
      <c r="UYG1055" s="989"/>
      <c r="UYH1055" s="989"/>
      <c r="UYI1055" s="989"/>
      <c r="UYJ1055" s="989"/>
      <c r="UYK1055" s="989"/>
      <c r="UYL1055" s="989"/>
      <c r="UYM1055" s="989"/>
      <c r="UYN1055" s="989"/>
      <c r="UYO1055" s="989"/>
      <c r="UYP1055" s="989"/>
      <c r="UYQ1055" s="989"/>
      <c r="UYR1055" s="989"/>
      <c r="UYS1055" s="989"/>
      <c r="UYT1055" s="989"/>
      <c r="UYU1055" s="989"/>
      <c r="UYV1055" s="989"/>
      <c r="UYW1055" s="989"/>
      <c r="UYX1055" s="989"/>
      <c r="UYY1055" s="989"/>
      <c r="UYZ1055" s="989"/>
      <c r="UZA1055" s="989"/>
      <c r="UZB1055" s="989"/>
      <c r="UZC1055" s="989"/>
      <c r="UZD1055" s="989"/>
      <c r="UZE1055" s="989"/>
      <c r="UZF1055" s="989"/>
      <c r="UZG1055" s="989"/>
      <c r="UZH1055" s="989"/>
      <c r="UZI1055" s="989"/>
      <c r="UZJ1055" s="989"/>
      <c r="UZK1055" s="989"/>
      <c r="UZL1055" s="989"/>
      <c r="UZM1055" s="989"/>
      <c r="UZN1055" s="989"/>
      <c r="UZO1055" s="989"/>
      <c r="UZP1055" s="989"/>
      <c r="UZQ1055" s="989"/>
      <c r="UZR1055" s="989"/>
      <c r="UZS1055" s="989"/>
      <c r="UZT1055" s="989"/>
      <c r="UZU1055" s="989"/>
      <c r="UZV1055" s="989"/>
      <c r="UZW1055" s="989"/>
      <c r="UZX1055" s="989"/>
      <c r="UZY1055" s="989"/>
      <c r="UZZ1055" s="989"/>
      <c r="VAA1055" s="989"/>
      <c r="VAB1055" s="989"/>
      <c r="VAC1055" s="989"/>
      <c r="VAD1055" s="989"/>
      <c r="VAE1055" s="989"/>
      <c r="VAF1055" s="989"/>
      <c r="VAG1055" s="989"/>
      <c r="VAH1055" s="989"/>
      <c r="VAI1055" s="989"/>
      <c r="VAJ1055" s="989"/>
      <c r="VAK1055" s="989"/>
      <c r="VAL1055" s="989"/>
      <c r="VAM1055" s="989"/>
      <c r="VAN1055" s="989"/>
      <c r="VAO1055" s="989"/>
      <c r="VAP1055" s="989"/>
      <c r="VAQ1055" s="989"/>
      <c r="VAR1055" s="989"/>
      <c r="VAS1055" s="989"/>
      <c r="VAT1055" s="989"/>
      <c r="VAU1055" s="989"/>
      <c r="VAV1055" s="989"/>
      <c r="VAW1055" s="989"/>
      <c r="VAX1055" s="989"/>
      <c r="VAY1055" s="989"/>
      <c r="VAZ1055" s="989"/>
      <c r="VBA1055" s="989"/>
      <c r="VBB1055" s="989"/>
      <c r="VBC1055" s="989"/>
      <c r="VBD1055" s="989"/>
      <c r="VBE1055" s="989"/>
      <c r="VBF1055" s="989"/>
      <c r="VBG1055" s="989"/>
      <c r="VBH1055" s="989"/>
      <c r="VBI1055" s="989"/>
      <c r="VBJ1055" s="989"/>
      <c r="VBK1055" s="989"/>
      <c r="VBL1055" s="989"/>
      <c r="VBM1055" s="989"/>
      <c r="VBN1055" s="989"/>
      <c r="VBO1055" s="989"/>
      <c r="VBP1055" s="989"/>
      <c r="VBQ1055" s="989"/>
      <c r="VBR1055" s="989"/>
      <c r="VBS1055" s="989"/>
      <c r="VBT1055" s="989"/>
      <c r="VBU1055" s="989"/>
      <c r="VBV1055" s="989"/>
      <c r="VBW1055" s="989"/>
      <c r="VBX1055" s="989"/>
      <c r="VBY1055" s="989"/>
      <c r="VBZ1055" s="989"/>
      <c r="VCA1055" s="989"/>
      <c r="VCB1055" s="989"/>
      <c r="VCC1055" s="989"/>
      <c r="VCD1055" s="989"/>
      <c r="VCE1055" s="989"/>
      <c r="VCF1055" s="989"/>
      <c r="VCG1055" s="989"/>
      <c r="VCH1055" s="989"/>
      <c r="VCI1055" s="989"/>
      <c r="VCJ1055" s="989"/>
      <c r="VCK1055" s="989"/>
      <c r="VCL1055" s="989"/>
      <c r="VCM1055" s="989"/>
      <c r="VCN1055" s="989"/>
      <c r="VCO1055" s="989"/>
      <c r="VCP1055" s="989"/>
      <c r="VCQ1055" s="989"/>
      <c r="VCR1055" s="989"/>
      <c r="VCS1055" s="989"/>
      <c r="VCT1055" s="989"/>
      <c r="VCU1055" s="989"/>
      <c r="VCV1055" s="989"/>
      <c r="VCW1055" s="989"/>
      <c r="VCX1055" s="989"/>
      <c r="VCY1055" s="989"/>
      <c r="VCZ1055" s="989"/>
      <c r="VDA1055" s="989"/>
      <c r="VDB1055" s="989"/>
      <c r="VDC1055" s="989"/>
      <c r="VDD1055" s="989"/>
      <c r="VDE1055" s="989"/>
      <c r="VDF1055" s="989"/>
      <c r="VDG1055" s="989"/>
      <c r="VDH1055" s="989"/>
      <c r="VDI1055" s="989"/>
      <c r="VDJ1055" s="989"/>
      <c r="VDK1055" s="989"/>
      <c r="VDL1055" s="989"/>
      <c r="VDM1055" s="989"/>
      <c r="VDN1055" s="989"/>
      <c r="VDO1055" s="989"/>
      <c r="VDP1055" s="989"/>
      <c r="VDQ1055" s="989"/>
      <c r="VDR1055" s="989"/>
      <c r="VDS1055" s="989"/>
      <c r="VDT1055" s="989"/>
      <c r="VDU1055" s="989"/>
      <c r="VDV1055" s="989"/>
      <c r="VDW1055" s="989"/>
      <c r="VDX1055" s="989"/>
      <c r="VDY1055" s="989"/>
      <c r="VDZ1055" s="989"/>
      <c r="VEA1055" s="989"/>
      <c r="VEB1055" s="989"/>
      <c r="VEC1055" s="989"/>
      <c r="VED1055" s="989"/>
      <c r="VEE1055" s="989"/>
      <c r="VEF1055" s="989"/>
      <c r="VEG1055" s="989"/>
      <c r="VEH1055" s="989"/>
      <c r="VEI1055" s="989"/>
      <c r="VEJ1055" s="989"/>
      <c r="VEK1055" s="989"/>
      <c r="VEL1055" s="989"/>
      <c r="VEM1055" s="989"/>
      <c r="VEN1055" s="989"/>
      <c r="VEO1055" s="989"/>
      <c r="VEP1055" s="989"/>
      <c r="VEQ1055" s="989"/>
      <c r="VER1055" s="989"/>
      <c r="VES1055" s="989"/>
      <c r="VET1055" s="989"/>
      <c r="VEU1055" s="989"/>
      <c r="VEV1055" s="989"/>
      <c r="VEW1055" s="989"/>
      <c r="VEX1055" s="989"/>
      <c r="VEY1055" s="989"/>
      <c r="VEZ1055" s="989"/>
      <c r="VFA1055" s="989"/>
      <c r="VFB1055" s="989"/>
      <c r="VFC1055" s="989"/>
      <c r="VFD1055" s="989"/>
      <c r="VFE1055" s="989"/>
      <c r="VFF1055" s="989"/>
      <c r="VFG1055" s="989"/>
      <c r="VFH1055" s="989"/>
      <c r="VFI1055" s="989"/>
      <c r="VFJ1055" s="989"/>
      <c r="VFK1055" s="989"/>
      <c r="VFL1055" s="989"/>
      <c r="VFM1055" s="989"/>
      <c r="VFN1055" s="989"/>
      <c r="VFO1055" s="989"/>
      <c r="VFP1055" s="989"/>
      <c r="VFQ1055" s="989"/>
      <c r="VFR1055" s="989"/>
      <c r="VFS1055" s="989"/>
      <c r="VFT1055" s="989"/>
      <c r="VFU1055" s="989"/>
      <c r="VFV1055" s="989"/>
      <c r="VFW1055" s="989"/>
      <c r="VFX1055" s="989"/>
      <c r="VFY1055" s="989"/>
      <c r="VFZ1055" s="989"/>
      <c r="VGA1055" s="989"/>
      <c r="VGB1055" s="989"/>
      <c r="VGC1055" s="989"/>
      <c r="VGD1055" s="989"/>
      <c r="VGE1055" s="989"/>
      <c r="VGF1055" s="989"/>
      <c r="VGG1055" s="989"/>
      <c r="VGH1055" s="989"/>
      <c r="VGI1055" s="989"/>
      <c r="VGJ1055" s="989"/>
      <c r="VGK1055" s="989"/>
      <c r="VGL1055" s="989"/>
      <c r="VGM1055" s="989"/>
      <c r="VGN1055" s="989"/>
      <c r="VGO1055" s="989"/>
      <c r="VGP1055" s="989"/>
      <c r="VGQ1055" s="989"/>
      <c r="VGR1055" s="989"/>
      <c r="VGS1055" s="989"/>
      <c r="VGT1055" s="989"/>
      <c r="VGU1055" s="989"/>
      <c r="VGV1055" s="989"/>
      <c r="VGW1055" s="989"/>
      <c r="VGX1055" s="989"/>
      <c r="VGY1055" s="989"/>
      <c r="VGZ1055" s="989"/>
      <c r="VHA1055" s="989"/>
      <c r="VHB1055" s="989"/>
      <c r="VHC1055" s="989"/>
      <c r="VHD1055" s="989"/>
      <c r="VHE1055" s="989"/>
      <c r="VHF1055" s="989"/>
      <c r="VHG1055" s="989"/>
      <c r="VHH1055" s="989"/>
      <c r="VHI1055" s="989"/>
      <c r="VHJ1055" s="989"/>
      <c r="VHK1055" s="989"/>
      <c r="VHL1055" s="989"/>
      <c r="VHM1055" s="989"/>
      <c r="VHN1055" s="989"/>
      <c r="VHO1055" s="989"/>
      <c r="VHP1055" s="989"/>
      <c r="VHQ1055" s="989"/>
      <c r="VHR1055" s="989"/>
      <c r="VHS1055" s="989"/>
      <c r="VHT1055" s="989"/>
      <c r="VHU1055" s="989"/>
      <c r="VHV1055" s="989"/>
      <c r="VHW1055" s="989"/>
      <c r="VHX1055" s="989"/>
      <c r="VHY1055" s="989"/>
      <c r="VHZ1055" s="989"/>
      <c r="VIA1055" s="989"/>
      <c r="VIB1055" s="989"/>
      <c r="VIC1055" s="989"/>
      <c r="VID1055" s="989"/>
      <c r="VIE1055" s="989"/>
      <c r="VIF1055" s="989"/>
      <c r="VIG1055" s="989"/>
      <c r="VIH1055" s="989"/>
      <c r="VII1055" s="989"/>
      <c r="VIJ1055" s="989"/>
      <c r="VIK1055" s="989"/>
      <c r="VIL1055" s="989"/>
      <c r="VIM1055" s="989"/>
      <c r="VIN1055" s="989"/>
      <c r="VIO1055" s="989"/>
      <c r="VIP1055" s="989"/>
      <c r="VIQ1055" s="989"/>
      <c r="VIR1055" s="989"/>
      <c r="VIS1055" s="989"/>
      <c r="VIT1055" s="989"/>
      <c r="VIU1055" s="989"/>
      <c r="VIV1055" s="989"/>
      <c r="VIW1055" s="989"/>
      <c r="VIX1055" s="989"/>
      <c r="VIY1055" s="989"/>
      <c r="VIZ1055" s="989"/>
      <c r="VJA1055" s="989"/>
      <c r="VJB1055" s="989"/>
      <c r="VJC1055" s="989"/>
      <c r="VJD1055" s="989"/>
      <c r="VJE1055" s="989"/>
      <c r="VJF1055" s="989"/>
      <c r="VJG1055" s="989"/>
      <c r="VJH1055" s="989"/>
      <c r="VJI1055" s="989"/>
      <c r="VJJ1055" s="989"/>
      <c r="VJK1055" s="989"/>
      <c r="VJL1055" s="989"/>
      <c r="VJM1055" s="989"/>
      <c r="VJN1055" s="989"/>
      <c r="VJO1055" s="989"/>
      <c r="VJP1055" s="989"/>
      <c r="VJQ1055" s="989"/>
      <c r="VJR1055" s="989"/>
      <c r="VJS1055" s="989"/>
      <c r="VJT1055" s="989"/>
      <c r="VJU1055" s="989"/>
      <c r="VJV1055" s="989"/>
      <c r="VJW1055" s="989"/>
      <c r="VJX1055" s="989"/>
      <c r="VJY1055" s="989"/>
      <c r="VJZ1055" s="989"/>
      <c r="VKA1055" s="989"/>
      <c r="VKB1055" s="989"/>
      <c r="VKC1055" s="989"/>
      <c r="VKD1055" s="989"/>
      <c r="VKE1055" s="989"/>
      <c r="VKF1055" s="989"/>
      <c r="VKG1055" s="989"/>
      <c r="VKH1055" s="989"/>
      <c r="VKI1055" s="989"/>
      <c r="VKJ1055" s="989"/>
      <c r="VKK1055" s="989"/>
      <c r="VKL1055" s="989"/>
      <c r="VKM1055" s="989"/>
      <c r="VKN1055" s="989"/>
      <c r="VKO1055" s="989"/>
      <c r="VKP1055" s="989"/>
      <c r="VKQ1055" s="989"/>
      <c r="VKR1055" s="989"/>
      <c r="VKS1055" s="989"/>
      <c r="VKT1055" s="989"/>
      <c r="VKU1055" s="989"/>
      <c r="VKV1055" s="989"/>
      <c r="VKW1055" s="989"/>
      <c r="VKX1055" s="989"/>
      <c r="VKY1055" s="989"/>
      <c r="VKZ1055" s="989"/>
      <c r="VLA1055" s="989"/>
      <c r="VLB1055" s="989"/>
      <c r="VLC1055" s="989"/>
      <c r="VLD1055" s="989"/>
      <c r="VLE1055" s="989"/>
      <c r="VLF1055" s="989"/>
      <c r="VLG1055" s="989"/>
      <c r="VLH1055" s="989"/>
      <c r="VLI1055" s="989"/>
      <c r="VLJ1055" s="989"/>
      <c r="VLK1055" s="989"/>
      <c r="VLL1055" s="989"/>
      <c r="VLM1055" s="989"/>
      <c r="VLN1055" s="989"/>
      <c r="VLO1055" s="989"/>
      <c r="VLP1055" s="989"/>
      <c r="VLQ1055" s="989"/>
      <c r="VLR1055" s="989"/>
      <c r="VLS1055" s="989"/>
      <c r="VLT1055" s="989"/>
      <c r="VLU1055" s="989"/>
      <c r="VLV1055" s="989"/>
      <c r="VLW1055" s="989"/>
      <c r="VLX1055" s="989"/>
      <c r="VLY1055" s="989"/>
      <c r="VLZ1055" s="989"/>
      <c r="VMA1055" s="989"/>
      <c r="VMB1055" s="989"/>
      <c r="VMC1055" s="989"/>
      <c r="VMD1055" s="989"/>
      <c r="VME1055" s="989"/>
      <c r="VMF1055" s="989"/>
      <c r="VMG1055" s="989"/>
      <c r="VMH1055" s="989"/>
      <c r="VMI1055" s="989"/>
      <c r="VMJ1055" s="989"/>
      <c r="VMK1055" s="989"/>
      <c r="VML1055" s="989"/>
      <c r="VMM1055" s="989"/>
      <c r="VMN1055" s="989"/>
      <c r="VMO1055" s="989"/>
      <c r="VMP1055" s="989"/>
      <c r="VMQ1055" s="989"/>
      <c r="VMR1055" s="989"/>
      <c r="VMS1055" s="989"/>
      <c r="VMT1055" s="989"/>
      <c r="VMU1055" s="989"/>
      <c r="VMV1055" s="989"/>
      <c r="VMW1055" s="989"/>
      <c r="VMX1055" s="989"/>
      <c r="VMY1055" s="989"/>
      <c r="VMZ1055" s="989"/>
      <c r="VNA1055" s="989"/>
      <c r="VNB1055" s="989"/>
      <c r="VNC1055" s="989"/>
      <c r="VND1055" s="989"/>
      <c r="VNE1055" s="989"/>
      <c r="VNF1055" s="989"/>
      <c r="VNG1055" s="989"/>
      <c r="VNH1055" s="989"/>
      <c r="VNI1055" s="989"/>
      <c r="VNJ1055" s="989"/>
      <c r="VNK1055" s="989"/>
      <c r="VNL1055" s="989"/>
      <c r="VNM1055" s="989"/>
      <c r="VNN1055" s="989"/>
      <c r="VNO1055" s="989"/>
      <c r="VNP1055" s="989"/>
      <c r="VNQ1055" s="989"/>
      <c r="VNR1055" s="989"/>
      <c r="VNS1055" s="989"/>
      <c r="VNT1055" s="989"/>
      <c r="VNU1055" s="989"/>
      <c r="VNV1055" s="989"/>
      <c r="VNW1055" s="989"/>
      <c r="VNX1055" s="989"/>
      <c r="VNY1055" s="989"/>
      <c r="VNZ1055" s="989"/>
      <c r="VOA1055" s="989"/>
      <c r="VOB1055" s="989"/>
      <c r="VOC1055" s="989"/>
      <c r="VOD1055" s="989"/>
      <c r="VOE1055" s="989"/>
      <c r="VOF1055" s="989"/>
      <c r="VOG1055" s="989"/>
      <c r="VOH1055" s="989"/>
      <c r="VOI1055" s="989"/>
      <c r="VOJ1055" s="989"/>
      <c r="VOK1055" s="989"/>
      <c r="VOL1055" s="989"/>
      <c r="VOM1055" s="989"/>
      <c r="VON1055" s="989"/>
      <c r="VOO1055" s="989"/>
      <c r="VOP1055" s="989"/>
      <c r="VOQ1055" s="989"/>
      <c r="VOR1055" s="989"/>
      <c r="VOS1055" s="989"/>
      <c r="VOT1055" s="989"/>
      <c r="VOU1055" s="989"/>
      <c r="VOV1055" s="989"/>
      <c r="VOW1055" s="989"/>
      <c r="VOX1055" s="989"/>
      <c r="VOY1055" s="989"/>
      <c r="VOZ1055" s="989"/>
      <c r="VPA1055" s="989"/>
      <c r="VPB1055" s="989"/>
      <c r="VPC1055" s="989"/>
      <c r="VPD1055" s="989"/>
      <c r="VPE1055" s="989"/>
      <c r="VPF1055" s="989"/>
      <c r="VPG1055" s="989"/>
      <c r="VPH1055" s="989"/>
      <c r="VPI1055" s="989"/>
      <c r="VPJ1055" s="989"/>
      <c r="VPK1055" s="989"/>
      <c r="VPL1055" s="989"/>
      <c r="VPM1055" s="989"/>
      <c r="VPN1055" s="989"/>
      <c r="VPO1055" s="989"/>
      <c r="VPP1055" s="989"/>
      <c r="VPQ1055" s="989"/>
      <c r="VPR1055" s="989"/>
      <c r="VPS1055" s="989"/>
      <c r="VPT1055" s="989"/>
      <c r="VPU1055" s="989"/>
      <c r="VPV1055" s="989"/>
      <c r="VPW1055" s="989"/>
      <c r="VPX1055" s="989"/>
      <c r="VPY1055" s="989"/>
      <c r="VPZ1055" s="989"/>
      <c r="VQA1055" s="989"/>
      <c r="VQB1055" s="989"/>
      <c r="VQC1055" s="989"/>
      <c r="VQD1055" s="989"/>
      <c r="VQE1055" s="989"/>
      <c r="VQF1055" s="989"/>
      <c r="VQG1055" s="989"/>
      <c r="VQH1055" s="989"/>
      <c r="VQI1055" s="989"/>
      <c r="VQJ1055" s="989"/>
      <c r="VQK1055" s="989"/>
      <c r="VQL1055" s="989"/>
      <c r="VQM1055" s="989"/>
      <c r="VQN1055" s="989"/>
      <c r="VQO1055" s="989"/>
      <c r="VQP1055" s="989"/>
      <c r="VQQ1055" s="989"/>
      <c r="VQR1055" s="989"/>
      <c r="VQS1055" s="989"/>
      <c r="VQT1055" s="989"/>
      <c r="VQU1055" s="989"/>
      <c r="VQV1055" s="989"/>
      <c r="VQW1055" s="989"/>
      <c r="VQX1055" s="989"/>
      <c r="VQY1055" s="989"/>
      <c r="VQZ1055" s="989"/>
      <c r="VRA1055" s="989"/>
      <c r="VRB1055" s="989"/>
      <c r="VRC1055" s="989"/>
      <c r="VRD1055" s="989"/>
      <c r="VRE1055" s="989"/>
      <c r="VRF1055" s="989"/>
      <c r="VRG1055" s="989"/>
      <c r="VRH1055" s="989"/>
      <c r="VRI1055" s="989"/>
      <c r="VRJ1055" s="989"/>
      <c r="VRK1055" s="989"/>
      <c r="VRL1055" s="989"/>
      <c r="VRM1055" s="989"/>
      <c r="VRN1055" s="989"/>
      <c r="VRO1055" s="989"/>
      <c r="VRP1055" s="989"/>
      <c r="VRQ1055" s="989"/>
      <c r="VRR1055" s="989"/>
      <c r="VRS1055" s="989"/>
      <c r="VRT1055" s="989"/>
      <c r="VRU1055" s="989"/>
      <c r="VRV1055" s="989"/>
      <c r="VRW1055" s="989"/>
      <c r="VRX1055" s="989"/>
      <c r="VRY1055" s="989"/>
      <c r="VRZ1055" s="989"/>
      <c r="VSA1055" s="989"/>
      <c r="VSB1055" s="989"/>
      <c r="VSC1055" s="989"/>
      <c r="VSD1055" s="989"/>
      <c r="VSE1055" s="989"/>
      <c r="VSF1055" s="989"/>
      <c r="VSG1055" s="989"/>
      <c r="VSH1055" s="989"/>
      <c r="VSI1055" s="989"/>
      <c r="VSJ1055" s="989"/>
      <c r="VSK1055" s="989"/>
      <c r="VSL1055" s="989"/>
      <c r="VSM1055" s="989"/>
      <c r="VSN1055" s="989"/>
      <c r="VSO1055" s="989"/>
      <c r="VSP1055" s="989"/>
      <c r="VSQ1055" s="989"/>
      <c r="VSR1055" s="989"/>
      <c r="VSS1055" s="989"/>
      <c r="VST1055" s="989"/>
      <c r="VSU1055" s="989"/>
      <c r="VSV1055" s="989"/>
      <c r="VSW1055" s="989"/>
      <c r="VSX1055" s="989"/>
      <c r="VSY1055" s="989"/>
      <c r="VSZ1055" s="989"/>
      <c r="VTA1055" s="989"/>
      <c r="VTB1055" s="989"/>
      <c r="VTC1055" s="989"/>
      <c r="VTD1055" s="989"/>
      <c r="VTE1055" s="989"/>
      <c r="VTF1055" s="989"/>
      <c r="VTG1055" s="989"/>
      <c r="VTH1055" s="989"/>
      <c r="VTI1055" s="989"/>
      <c r="VTJ1055" s="989"/>
      <c r="VTK1055" s="989"/>
      <c r="VTL1055" s="989"/>
      <c r="VTM1055" s="989"/>
      <c r="VTN1055" s="989"/>
      <c r="VTO1055" s="989"/>
      <c r="VTP1055" s="989"/>
      <c r="VTQ1055" s="989"/>
      <c r="VTR1055" s="989"/>
      <c r="VTS1055" s="989"/>
      <c r="VTT1055" s="989"/>
      <c r="VTU1055" s="989"/>
      <c r="VTV1055" s="989"/>
      <c r="VTW1055" s="989"/>
      <c r="VTX1055" s="989"/>
      <c r="VTY1055" s="989"/>
      <c r="VTZ1055" s="989"/>
      <c r="VUA1055" s="989"/>
      <c r="VUB1055" s="989"/>
      <c r="VUC1055" s="989"/>
      <c r="VUD1055" s="989"/>
      <c r="VUE1055" s="989"/>
      <c r="VUF1055" s="989"/>
      <c r="VUG1055" s="989"/>
      <c r="VUH1055" s="989"/>
      <c r="VUI1055" s="989"/>
      <c r="VUJ1055" s="989"/>
      <c r="VUK1055" s="989"/>
      <c r="VUL1055" s="989"/>
      <c r="VUM1055" s="989"/>
      <c r="VUN1055" s="989"/>
      <c r="VUO1055" s="989"/>
      <c r="VUP1055" s="989"/>
      <c r="VUQ1055" s="989"/>
      <c r="VUR1055" s="989"/>
      <c r="VUS1055" s="989"/>
      <c r="VUT1055" s="989"/>
      <c r="VUU1055" s="989"/>
      <c r="VUV1055" s="989"/>
      <c r="VUW1055" s="989"/>
      <c r="VUX1055" s="989"/>
      <c r="VUY1055" s="989"/>
      <c r="VUZ1055" s="989"/>
      <c r="VVA1055" s="989"/>
      <c r="VVB1055" s="989"/>
      <c r="VVC1055" s="989"/>
      <c r="VVD1055" s="989"/>
      <c r="VVE1055" s="989"/>
      <c r="VVF1055" s="989"/>
      <c r="VVG1055" s="989"/>
      <c r="VVH1055" s="989"/>
      <c r="VVI1055" s="989"/>
      <c r="VVJ1055" s="989"/>
      <c r="VVK1055" s="989"/>
      <c r="VVL1055" s="989"/>
      <c r="VVM1055" s="989"/>
      <c r="VVN1055" s="989"/>
      <c r="VVO1055" s="989"/>
      <c r="VVP1055" s="989"/>
      <c r="VVQ1055" s="989"/>
      <c r="VVR1055" s="989"/>
      <c r="VVS1055" s="989"/>
      <c r="VVT1055" s="989"/>
      <c r="VVU1055" s="989"/>
      <c r="VVV1055" s="989"/>
      <c r="VVW1055" s="989"/>
      <c r="VVX1055" s="989"/>
      <c r="VVY1055" s="989"/>
      <c r="VVZ1055" s="989"/>
      <c r="VWA1055" s="989"/>
      <c r="VWB1055" s="989"/>
      <c r="VWC1055" s="989"/>
      <c r="VWD1055" s="989"/>
      <c r="VWE1055" s="989"/>
      <c r="VWF1055" s="989"/>
      <c r="VWG1055" s="989"/>
      <c r="VWH1055" s="989"/>
      <c r="VWI1055" s="989"/>
      <c r="VWJ1055" s="989"/>
      <c r="VWK1055" s="989"/>
      <c r="VWL1055" s="989"/>
      <c r="VWM1055" s="989"/>
      <c r="VWN1055" s="989"/>
      <c r="VWO1055" s="989"/>
      <c r="VWP1055" s="989"/>
      <c r="VWQ1055" s="989"/>
      <c r="VWR1055" s="989"/>
      <c r="VWS1055" s="989"/>
      <c r="VWT1055" s="989"/>
      <c r="VWU1055" s="989"/>
      <c r="VWV1055" s="989"/>
      <c r="VWW1055" s="989"/>
      <c r="VWX1055" s="989"/>
      <c r="VWY1055" s="989"/>
      <c r="VWZ1055" s="989"/>
      <c r="VXA1055" s="989"/>
      <c r="VXB1055" s="989"/>
      <c r="VXC1055" s="989"/>
      <c r="VXD1055" s="989"/>
      <c r="VXE1055" s="989"/>
      <c r="VXF1055" s="989"/>
      <c r="VXG1055" s="989"/>
      <c r="VXH1055" s="989"/>
      <c r="VXI1055" s="989"/>
      <c r="VXJ1055" s="989"/>
      <c r="VXK1055" s="989"/>
      <c r="VXL1055" s="989"/>
      <c r="VXM1055" s="989"/>
      <c r="VXN1055" s="989"/>
      <c r="VXO1055" s="989"/>
      <c r="VXP1055" s="989"/>
      <c r="VXQ1055" s="989"/>
      <c r="VXR1055" s="989"/>
      <c r="VXS1055" s="989"/>
      <c r="VXT1055" s="989"/>
      <c r="VXU1055" s="989"/>
      <c r="VXV1055" s="989"/>
      <c r="VXW1055" s="989"/>
      <c r="VXX1055" s="989"/>
      <c r="VXY1055" s="989"/>
      <c r="VXZ1055" s="989"/>
      <c r="VYA1055" s="989"/>
      <c r="VYB1055" s="989"/>
      <c r="VYC1055" s="989"/>
      <c r="VYD1055" s="989"/>
      <c r="VYE1055" s="989"/>
      <c r="VYF1055" s="989"/>
      <c r="VYG1055" s="989"/>
      <c r="VYH1055" s="989"/>
      <c r="VYI1055" s="989"/>
      <c r="VYJ1055" s="989"/>
      <c r="VYK1055" s="989"/>
      <c r="VYL1055" s="989"/>
      <c r="VYM1055" s="989"/>
      <c r="VYN1055" s="989"/>
      <c r="VYO1055" s="989"/>
      <c r="VYP1055" s="989"/>
      <c r="VYQ1055" s="989"/>
      <c r="VYR1055" s="989"/>
      <c r="VYS1055" s="989"/>
      <c r="VYT1055" s="989"/>
      <c r="VYU1055" s="989"/>
      <c r="VYV1055" s="989"/>
      <c r="VYW1055" s="989"/>
      <c r="VYX1055" s="989"/>
      <c r="VYY1055" s="989"/>
      <c r="VYZ1055" s="989"/>
      <c r="VZA1055" s="989"/>
      <c r="VZB1055" s="989"/>
      <c r="VZC1055" s="989"/>
      <c r="VZD1055" s="989"/>
      <c r="VZE1055" s="989"/>
      <c r="VZF1055" s="989"/>
      <c r="VZG1055" s="989"/>
      <c r="VZH1055" s="989"/>
      <c r="VZI1055" s="989"/>
      <c r="VZJ1055" s="989"/>
      <c r="VZK1055" s="989"/>
      <c r="VZL1055" s="989"/>
      <c r="VZM1055" s="989"/>
      <c r="VZN1055" s="989"/>
      <c r="VZO1055" s="989"/>
      <c r="VZP1055" s="989"/>
      <c r="VZQ1055" s="989"/>
      <c r="VZR1055" s="989"/>
      <c r="VZS1055" s="989"/>
      <c r="VZT1055" s="989"/>
      <c r="VZU1055" s="989"/>
      <c r="VZV1055" s="989"/>
      <c r="VZW1055" s="989"/>
      <c r="VZX1055" s="989"/>
      <c r="VZY1055" s="989"/>
      <c r="VZZ1055" s="989"/>
      <c r="WAA1055" s="989"/>
      <c r="WAB1055" s="989"/>
      <c r="WAC1055" s="989"/>
      <c r="WAD1055" s="989"/>
      <c r="WAE1055" s="989"/>
      <c r="WAF1055" s="989"/>
      <c r="WAG1055" s="989"/>
      <c r="WAH1055" s="989"/>
      <c r="WAI1055" s="989"/>
      <c r="WAJ1055" s="989"/>
      <c r="WAK1055" s="989"/>
      <c r="WAL1055" s="989"/>
      <c r="WAM1055" s="989"/>
      <c r="WAN1055" s="989"/>
      <c r="WAO1055" s="989"/>
      <c r="WAP1055" s="989"/>
      <c r="WAQ1055" s="989"/>
      <c r="WAR1055" s="989"/>
      <c r="WAS1055" s="989"/>
      <c r="WAT1055" s="989"/>
      <c r="WAU1055" s="989"/>
      <c r="WAV1055" s="989"/>
      <c r="WAW1055" s="989"/>
      <c r="WAX1055" s="989"/>
      <c r="WAY1055" s="989"/>
      <c r="WAZ1055" s="989"/>
      <c r="WBA1055" s="989"/>
      <c r="WBB1055" s="989"/>
      <c r="WBC1055" s="989"/>
      <c r="WBD1055" s="989"/>
      <c r="WBE1055" s="989"/>
      <c r="WBF1055" s="989"/>
      <c r="WBG1055" s="989"/>
      <c r="WBH1055" s="989"/>
      <c r="WBI1055" s="989"/>
      <c r="WBJ1055" s="989"/>
      <c r="WBK1055" s="989"/>
      <c r="WBL1055" s="989"/>
      <c r="WBM1055" s="989"/>
      <c r="WBN1055" s="989"/>
      <c r="WBO1055" s="989"/>
      <c r="WBP1055" s="989"/>
      <c r="WBQ1055" s="989"/>
      <c r="WBR1055" s="989"/>
      <c r="WBS1055" s="989"/>
      <c r="WBT1055" s="989"/>
      <c r="WBU1055" s="989"/>
      <c r="WBV1055" s="989"/>
      <c r="WBW1055" s="989"/>
      <c r="WBX1055" s="989"/>
      <c r="WBY1055" s="989"/>
      <c r="WBZ1055" s="989"/>
      <c r="WCA1055" s="989"/>
      <c r="WCB1055" s="989"/>
      <c r="WCC1055" s="989"/>
      <c r="WCD1055" s="989"/>
      <c r="WCE1055" s="989"/>
      <c r="WCF1055" s="989"/>
      <c r="WCG1055" s="989"/>
      <c r="WCH1055" s="989"/>
      <c r="WCI1055" s="989"/>
      <c r="WCJ1055" s="989"/>
      <c r="WCK1055" s="989"/>
      <c r="WCL1055" s="989"/>
      <c r="WCM1055" s="989"/>
      <c r="WCN1055" s="989"/>
      <c r="WCO1055" s="989"/>
      <c r="WCP1055" s="989"/>
      <c r="WCQ1055" s="989"/>
      <c r="WCR1055" s="989"/>
      <c r="WCS1055" s="989"/>
      <c r="WCT1055" s="989"/>
      <c r="WCU1055" s="989"/>
      <c r="WCV1055" s="989"/>
      <c r="WCW1055" s="989"/>
      <c r="WCX1055" s="989"/>
      <c r="WCY1055" s="989"/>
      <c r="WCZ1055" s="989"/>
      <c r="WDA1055" s="989"/>
      <c r="WDB1055" s="989"/>
      <c r="WDC1055" s="989"/>
      <c r="WDD1055" s="989"/>
      <c r="WDE1055" s="989"/>
      <c r="WDF1055" s="989"/>
      <c r="WDG1055" s="989"/>
      <c r="WDH1055" s="989"/>
      <c r="WDI1055" s="989"/>
      <c r="WDJ1055" s="989"/>
      <c r="WDK1055" s="989"/>
      <c r="WDL1055" s="989"/>
      <c r="WDM1055" s="989"/>
      <c r="WDN1055" s="989"/>
      <c r="WDO1055" s="989"/>
      <c r="WDP1055" s="989"/>
      <c r="WDQ1055" s="989"/>
      <c r="WDR1055" s="989"/>
      <c r="WDS1055" s="989"/>
      <c r="WDT1055" s="989"/>
      <c r="WDU1055" s="989"/>
      <c r="WDV1055" s="989"/>
      <c r="WDW1055" s="989"/>
      <c r="WDX1055" s="989"/>
      <c r="WDY1055" s="989"/>
      <c r="WDZ1055" s="989"/>
      <c r="WEA1055" s="989"/>
      <c r="WEB1055" s="989"/>
      <c r="WEC1055" s="989"/>
      <c r="WED1055" s="989"/>
      <c r="WEE1055" s="989"/>
      <c r="WEF1055" s="989"/>
      <c r="WEG1055" s="989"/>
      <c r="WEH1055" s="989"/>
      <c r="WEI1055" s="989"/>
      <c r="WEJ1055" s="989"/>
      <c r="WEK1055" s="989"/>
      <c r="WEL1055" s="989"/>
      <c r="WEM1055" s="989"/>
      <c r="WEN1055" s="989"/>
      <c r="WEO1055" s="989"/>
      <c r="WEP1055" s="989"/>
      <c r="WEQ1055" s="989"/>
      <c r="WER1055" s="989"/>
      <c r="WES1055" s="989"/>
      <c r="WET1055" s="989"/>
      <c r="WEU1055" s="989"/>
      <c r="WEV1055" s="989"/>
      <c r="WEW1055" s="989"/>
      <c r="WEX1055" s="989"/>
      <c r="WEY1055" s="989"/>
      <c r="WEZ1055" s="989"/>
      <c r="WFA1055" s="989"/>
      <c r="WFB1055" s="989"/>
      <c r="WFC1055" s="989"/>
      <c r="WFD1055" s="989"/>
      <c r="WFE1055" s="989"/>
      <c r="WFF1055" s="989"/>
      <c r="WFG1055" s="989"/>
      <c r="WFH1055" s="989"/>
      <c r="WFI1055" s="989"/>
      <c r="WFJ1055" s="989"/>
      <c r="WFK1055" s="989"/>
      <c r="WFL1055" s="989"/>
      <c r="WFM1055" s="989"/>
      <c r="WFN1055" s="989"/>
      <c r="WFO1055" s="989"/>
      <c r="WFP1055" s="989"/>
      <c r="WFQ1055" s="989"/>
      <c r="WFR1055" s="989"/>
      <c r="WFS1055" s="989"/>
      <c r="WFT1055" s="989"/>
      <c r="WFU1055" s="989"/>
      <c r="WFV1055" s="989"/>
      <c r="WFW1055" s="989"/>
      <c r="WFX1055" s="989"/>
      <c r="WFY1055" s="989"/>
      <c r="WFZ1055" s="989"/>
      <c r="WGA1055" s="989"/>
      <c r="WGB1055" s="989"/>
      <c r="WGC1055" s="989"/>
      <c r="WGD1055" s="989"/>
      <c r="WGE1055" s="989"/>
      <c r="WGF1055" s="989"/>
      <c r="WGG1055" s="989"/>
      <c r="WGH1055" s="989"/>
      <c r="WGI1055" s="989"/>
      <c r="WGJ1055" s="989"/>
      <c r="WGK1055" s="989"/>
      <c r="WGL1055" s="989"/>
      <c r="WGM1055" s="989"/>
      <c r="WGN1055" s="989"/>
      <c r="WGO1055" s="989"/>
      <c r="WGP1055" s="989"/>
      <c r="WGQ1055" s="989"/>
      <c r="WGR1055" s="989"/>
      <c r="WGS1055" s="989"/>
      <c r="WGT1055" s="989"/>
      <c r="WGU1055" s="989"/>
      <c r="WGV1055" s="989"/>
      <c r="WGW1055" s="989"/>
      <c r="WGX1055" s="989"/>
      <c r="WGY1055" s="989"/>
      <c r="WGZ1055" s="989"/>
      <c r="WHA1055" s="989"/>
      <c r="WHB1055" s="989"/>
      <c r="WHC1055" s="989"/>
      <c r="WHD1055" s="989"/>
      <c r="WHE1055" s="989"/>
      <c r="WHF1055" s="989"/>
      <c r="WHG1055" s="989"/>
      <c r="WHH1055" s="989"/>
      <c r="WHI1055" s="989"/>
      <c r="WHJ1055" s="989"/>
      <c r="WHK1055" s="989"/>
      <c r="WHL1055" s="989"/>
      <c r="WHM1055" s="989"/>
      <c r="WHN1055" s="989"/>
      <c r="WHO1055" s="989"/>
      <c r="WHP1055" s="989"/>
      <c r="WHQ1055" s="989"/>
      <c r="WHR1055" s="989"/>
      <c r="WHS1055" s="989"/>
      <c r="WHT1055" s="989"/>
      <c r="WHU1055" s="989"/>
      <c r="WHV1055" s="989"/>
      <c r="WHW1055" s="989"/>
      <c r="WHX1055" s="989"/>
      <c r="WHY1055" s="989"/>
      <c r="WHZ1055" s="989"/>
      <c r="WIA1055" s="989"/>
      <c r="WIB1055" s="989"/>
      <c r="WIC1055" s="989"/>
      <c r="WID1055" s="989"/>
      <c r="WIE1055" s="989"/>
      <c r="WIF1055" s="989"/>
      <c r="WIG1055" s="989"/>
      <c r="WIH1055" s="989"/>
      <c r="WII1055" s="989"/>
      <c r="WIJ1055" s="989"/>
      <c r="WIK1055" s="989"/>
      <c r="WIL1055" s="989"/>
      <c r="WIM1055" s="989"/>
      <c r="WIN1055" s="989"/>
      <c r="WIO1055" s="989"/>
      <c r="WIP1055" s="989"/>
      <c r="WIQ1055" s="989"/>
      <c r="WIR1055" s="989"/>
      <c r="WIS1055" s="989"/>
      <c r="WIT1055" s="989"/>
      <c r="WIU1055" s="989"/>
      <c r="WIV1055" s="989"/>
      <c r="WIW1055" s="989"/>
      <c r="WIX1055" s="989"/>
      <c r="WIY1055" s="989"/>
      <c r="WIZ1055" s="989"/>
      <c r="WJA1055" s="989"/>
      <c r="WJB1055" s="989"/>
      <c r="WJC1055" s="989"/>
      <c r="WJD1055" s="989"/>
      <c r="WJE1055" s="989"/>
      <c r="WJF1055" s="989"/>
      <c r="WJG1055" s="989"/>
      <c r="WJH1055" s="989"/>
      <c r="WJI1055" s="989"/>
      <c r="WJJ1055" s="989"/>
      <c r="WJK1055" s="989"/>
      <c r="WJL1055" s="989"/>
      <c r="WJM1055" s="989"/>
      <c r="WJN1055" s="989"/>
      <c r="WJO1055" s="989"/>
      <c r="WJP1055" s="989"/>
      <c r="WJQ1055" s="989"/>
      <c r="WJR1055" s="989"/>
      <c r="WJS1055" s="989"/>
      <c r="WJT1055" s="989"/>
      <c r="WJU1055" s="989"/>
      <c r="WJV1055" s="989"/>
      <c r="WJW1055" s="989"/>
      <c r="WJX1055" s="989"/>
      <c r="WJY1055" s="989"/>
      <c r="WJZ1055" s="989"/>
      <c r="WKA1055" s="989"/>
      <c r="WKB1055" s="989"/>
      <c r="WKC1055" s="989"/>
      <c r="WKD1055" s="989"/>
      <c r="WKE1055" s="989"/>
      <c r="WKF1055" s="989"/>
      <c r="WKG1055" s="989"/>
      <c r="WKH1055" s="989"/>
      <c r="WKI1055" s="989"/>
      <c r="WKJ1055" s="989"/>
      <c r="WKK1055" s="989"/>
      <c r="WKL1055" s="989"/>
      <c r="WKM1055" s="989"/>
      <c r="WKN1055" s="989"/>
      <c r="WKO1055" s="989"/>
      <c r="WKP1055" s="989"/>
      <c r="WKQ1055" s="989"/>
      <c r="WKR1055" s="989"/>
      <c r="WKS1055" s="989"/>
      <c r="WKT1055" s="989"/>
      <c r="WKU1055" s="989"/>
      <c r="WKV1055" s="989"/>
      <c r="WKW1055" s="989"/>
      <c r="WKX1055" s="989"/>
      <c r="WKY1055" s="989"/>
      <c r="WKZ1055" s="989"/>
      <c r="WLA1055" s="989"/>
      <c r="WLB1055" s="989"/>
      <c r="WLC1055" s="989"/>
      <c r="WLD1055" s="989"/>
      <c r="WLE1055" s="989"/>
      <c r="WLF1055" s="989"/>
      <c r="WLG1055" s="989"/>
      <c r="WLH1055" s="989"/>
      <c r="WLI1055" s="989"/>
      <c r="WLJ1055" s="989"/>
      <c r="WLK1055" s="989"/>
      <c r="WLL1055" s="989"/>
      <c r="WLM1055" s="989"/>
      <c r="WLN1055" s="989"/>
      <c r="WLO1055" s="989"/>
      <c r="WLP1055" s="989"/>
      <c r="WLQ1055" s="989"/>
      <c r="WLR1055" s="989"/>
      <c r="WLS1055" s="989"/>
      <c r="WLT1055" s="989"/>
      <c r="WLU1055" s="989"/>
      <c r="WLV1055" s="989"/>
      <c r="WLW1055" s="989"/>
      <c r="WLX1055" s="989"/>
      <c r="WLY1055" s="989"/>
      <c r="WLZ1055" s="989"/>
      <c r="WMA1055" s="989"/>
      <c r="WMB1055" s="989"/>
      <c r="WMC1055" s="989"/>
      <c r="WMD1055" s="989"/>
      <c r="WME1055" s="989"/>
      <c r="WMF1055" s="989"/>
      <c r="WMG1055" s="989"/>
      <c r="WMH1055" s="989"/>
      <c r="WMI1055" s="989"/>
      <c r="WMJ1055" s="989"/>
      <c r="WMK1055" s="989"/>
      <c r="WML1055" s="989"/>
      <c r="WMM1055" s="989"/>
      <c r="WMN1055" s="989"/>
      <c r="WMO1055" s="989"/>
      <c r="WMP1055" s="989"/>
      <c r="WMQ1055" s="989"/>
      <c r="WMR1055" s="989"/>
      <c r="WMS1055" s="989"/>
      <c r="WMT1055" s="989"/>
      <c r="WMU1055" s="989"/>
      <c r="WMV1055" s="989"/>
      <c r="WMW1055" s="989"/>
      <c r="WMX1055" s="989"/>
      <c r="WMY1055" s="989"/>
      <c r="WMZ1055" s="989"/>
      <c r="WNA1055" s="989"/>
      <c r="WNB1055" s="989"/>
      <c r="WNC1055" s="989"/>
      <c r="WND1055" s="989"/>
      <c r="WNE1055" s="989"/>
      <c r="WNF1055" s="989"/>
      <c r="WNG1055" s="989"/>
      <c r="WNH1055" s="989"/>
      <c r="WNI1055" s="989"/>
      <c r="WNJ1055" s="989"/>
      <c r="WNK1055" s="989"/>
      <c r="WNL1055" s="989"/>
      <c r="WNM1055" s="989"/>
      <c r="WNN1055" s="989"/>
      <c r="WNO1055" s="989"/>
      <c r="WNP1055" s="989"/>
      <c r="WNQ1055" s="989"/>
      <c r="WNR1055" s="989"/>
      <c r="WNS1055" s="989"/>
      <c r="WNT1055" s="989"/>
      <c r="WNU1055" s="989"/>
      <c r="WNV1055" s="989"/>
      <c r="WNW1055" s="989"/>
      <c r="WNX1055" s="989"/>
      <c r="WNY1055" s="989"/>
      <c r="WNZ1055" s="989"/>
      <c r="WOA1055" s="989"/>
      <c r="WOB1055" s="989"/>
      <c r="WOC1055" s="989"/>
      <c r="WOD1055" s="989"/>
      <c r="WOE1055" s="989"/>
      <c r="WOF1055" s="989"/>
      <c r="WOG1055" s="989"/>
      <c r="WOH1055" s="989"/>
      <c r="WOI1055" s="989"/>
      <c r="WOJ1055" s="989"/>
      <c r="WOK1055" s="989"/>
      <c r="WOL1055" s="989"/>
      <c r="WOM1055" s="989"/>
      <c r="WON1055" s="989"/>
      <c r="WOO1055" s="989"/>
      <c r="WOP1055" s="989"/>
      <c r="WOQ1055" s="989"/>
      <c r="WOR1055" s="989"/>
      <c r="WOS1055" s="989"/>
      <c r="WOT1055" s="989"/>
      <c r="WOU1055" s="989"/>
      <c r="WOV1055" s="989"/>
      <c r="WOW1055" s="989"/>
      <c r="WOX1055" s="989"/>
      <c r="WOY1055" s="989"/>
      <c r="WOZ1055" s="989"/>
      <c r="WPA1055" s="989"/>
      <c r="WPB1055" s="989"/>
      <c r="WPC1055" s="989"/>
      <c r="WPD1055" s="989"/>
      <c r="WPE1055" s="989"/>
      <c r="WPF1055" s="989"/>
      <c r="WPG1055" s="989"/>
      <c r="WPH1055" s="989"/>
      <c r="WPI1055" s="989"/>
      <c r="WPJ1055" s="989"/>
      <c r="WPK1055" s="989"/>
      <c r="WPL1055" s="989"/>
      <c r="WPM1055" s="989"/>
      <c r="WPN1055" s="989"/>
      <c r="WPO1055" s="989"/>
      <c r="WPP1055" s="989"/>
      <c r="WPQ1055" s="989"/>
      <c r="WPR1055" s="989"/>
      <c r="WPS1055" s="989"/>
      <c r="WPT1055" s="989"/>
      <c r="WPU1055" s="989"/>
      <c r="WPV1055" s="989"/>
      <c r="WPW1055" s="989"/>
      <c r="WPX1055" s="989"/>
      <c r="WPY1055" s="989"/>
      <c r="WPZ1055" s="989"/>
      <c r="WQA1055" s="989"/>
      <c r="WQB1055" s="989"/>
      <c r="WQC1055" s="989"/>
      <c r="WQD1055" s="989"/>
      <c r="WQE1055" s="989"/>
      <c r="WQF1055" s="989"/>
      <c r="WQG1055" s="989"/>
      <c r="WQH1055" s="989"/>
      <c r="WQI1055" s="989"/>
      <c r="WQJ1055" s="989"/>
      <c r="WQK1055" s="989"/>
      <c r="WQL1055" s="989"/>
      <c r="WQM1055" s="989"/>
      <c r="WQN1055" s="989"/>
      <c r="WQO1055" s="989"/>
      <c r="WQP1055" s="989"/>
      <c r="WQQ1055" s="989"/>
      <c r="WQR1055" s="989"/>
      <c r="WQS1055" s="989"/>
      <c r="WQT1055" s="989"/>
      <c r="WQU1055" s="989"/>
      <c r="WQV1055" s="989"/>
      <c r="WQW1055" s="989"/>
      <c r="WQX1055" s="989"/>
      <c r="WQY1055" s="989"/>
      <c r="WQZ1055" s="989"/>
      <c r="WRA1055" s="989"/>
      <c r="WRB1055" s="989"/>
      <c r="WRC1055" s="989"/>
      <c r="WRD1055" s="989"/>
      <c r="WRE1055" s="989"/>
      <c r="WRF1055" s="989"/>
      <c r="WRG1055" s="989"/>
      <c r="WRH1055" s="989"/>
      <c r="WRI1055" s="989"/>
      <c r="WRJ1055" s="989"/>
      <c r="WRK1055" s="989"/>
      <c r="WRL1055" s="989"/>
      <c r="WRM1055" s="989"/>
      <c r="WRN1055" s="989"/>
      <c r="WRO1055" s="989"/>
      <c r="WRP1055" s="989"/>
      <c r="WRQ1055" s="989"/>
      <c r="WRR1055" s="989"/>
      <c r="WRS1055" s="989"/>
      <c r="WRT1055" s="989"/>
      <c r="WRU1055" s="989"/>
      <c r="WRV1055" s="989"/>
      <c r="WRW1055" s="989"/>
      <c r="WRX1055" s="989"/>
      <c r="WRY1055" s="989"/>
      <c r="WRZ1055" s="989"/>
      <c r="WSA1055" s="989"/>
      <c r="WSB1055" s="989"/>
      <c r="WSC1055" s="989"/>
      <c r="WSD1055" s="989"/>
      <c r="WSE1055" s="989"/>
      <c r="WSF1055" s="989"/>
      <c r="WSG1055" s="989"/>
      <c r="WSH1055" s="989"/>
      <c r="WSI1055" s="989"/>
      <c r="WSJ1055" s="989"/>
      <c r="WSK1055" s="989"/>
      <c r="WSL1055" s="989"/>
      <c r="WSM1055" s="989"/>
      <c r="WSN1055" s="989"/>
      <c r="WSO1055" s="989"/>
      <c r="WSP1055" s="989"/>
      <c r="WSQ1055" s="989"/>
      <c r="WSR1055" s="989"/>
      <c r="WSS1055" s="989"/>
      <c r="WST1055" s="989"/>
      <c r="WSU1055" s="989"/>
      <c r="WSV1055" s="989"/>
      <c r="WSW1055" s="989"/>
      <c r="WSX1055" s="989"/>
      <c r="WSY1055" s="989"/>
      <c r="WSZ1055" s="989"/>
      <c r="WTA1055" s="989"/>
      <c r="WTB1055" s="989"/>
      <c r="WTC1055" s="989"/>
      <c r="WTD1055" s="989"/>
      <c r="WTE1055" s="989"/>
      <c r="WTF1055" s="989"/>
      <c r="WTG1055" s="989"/>
      <c r="WTH1055" s="989"/>
      <c r="WTI1055" s="989"/>
      <c r="WTJ1055" s="989"/>
      <c r="WTK1055" s="989"/>
      <c r="WTL1055" s="989"/>
      <c r="WTM1055" s="989"/>
      <c r="WTN1055" s="989"/>
      <c r="WTO1055" s="989"/>
      <c r="WTP1055" s="989"/>
      <c r="WTQ1055" s="989"/>
      <c r="WTR1055" s="989"/>
      <c r="WTS1055" s="989"/>
      <c r="WTT1055" s="989"/>
      <c r="WTU1055" s="989"/>
      <c r="WTV1055" s="989"/>
      <c r="WTW1055" s="989"/>
      <c r="WTX1055" s="989"/>
      <c r="WTY1055" s="989"/>
      <c r="WTZ1055" s="989"/>
      <c r="WUA1055" s="989"/>
      <c r="WUB1055" s="989"/>
      <c r="WUC1055" s="989"/>
      <c r="WUD1055" s="989"/>
      <c r="WUE1055" s="989"/>
      <c r="WUF1055" s="989"/>
      <c r="WUG1055" s="989"/>
      <c r="WUH1055" s="989"/>
      <c r="WUI1055" s="989"/>
      <c r="WUJ1055" s="989"/>
      <c r="WUK1055" s="989"/>
      <c r="WUL1055" s="989"/>
      <c r="WUM1055" s="989"/>
      <c r="WUN1055" s="989"/>
      <c r="WUO1055" s="989"/>
      <c r="WUP1055" s="989"/>
      <c r="WUQ1055" s="989"/>
      <c r="WUR1055" s="989"/>
      <c r="WUS1055" s="989"/>
      <c r="WUT1055" s="989"/>
      <c r="WUU1055" s="989"/>
      <c r="WUV1055" s="989"/>
      <c r="WUW1055" s="989"/>
      <c r="WUX1055" s="989"/>
      <c r="WUY1055" s="989"/>
      <c r="WUZ1055" s="989"/>
      <c r="WVA1055" s="989"/>
      <c r="WVB1055" s="989"/>
      <c r="WVC1055" s="989"/>
      <c r="WVD1055" s="989"/>
      <c r="WVE1055" s="989"/>
      <c r="WVF1055" s="989"/>
      <c r="WVG1055" s="989"/>
      <c r="WVH1055" s="989"/>
      <c r="WVI1055" s="989"/>
      <c r="WVJ1055" s="989"/>
      <c r="WVK1055" s="989"/>
      <c r="WVL1055" s="989"/>
      <c r="WVM1055" s="989"/>
      <c r="WVN1055" s="989"/>
      <c r="WVO1055" s="989"/>
      <c r="WVP1055" s="989"/>
      <c r="WVQ1055" s="989"/>
      <c r="WVR1055" s="989"/>
      <c r="WVS1055" s="989"/>
      <c r="WVT1055" s="989"/>
      <c r="WVU1055" s="989"/>
      <c r="WVV1055" s="989"/>
      <c r="WVW1055" s="989"/>
      <c r="WVX1055" s="989"/>
      <c r="WVY1055" s="989"/>
      <c r="WVZ1055" s="989"/>
      <c r="WWA1055" s="989"/>
      <c r="WWB1055" s="989"/>
      <c r="WWC1055" s="989"/>
      <c r="WWD1055" s="989"/>
      <c r="WWE1055" s="989"/>
      <c r="WWF1055" s="989"/>
      <c r="WWG1055" s="989"/>
      <c r="WWH1055" s="989"/>
      <c r="WWI1055" s="989"/>
      <c r="WWJ1055" s="989"/>
      <c r="WWK1055" s="989"/>
      <c r="WWL1055" s="989"/>
      <c r="WWM1055" s="989"/>
      <c r="WWN1055" s="989"/>
      <c r="WWO1055" s="989"/>
      <c r="WWP1055" s="989"/>
      <c r="WWQ1055" s="989"/>
      <c r="WWR1055" s="989"/>
      <c r="WWS1055" s="989"/>
      <c r="WWT1055" s="989"/>
      <c r="WWU1055" s="989"/>
      <c r="WWV1055" s="989"/>
      <c r="WWW1055" s="989"/>
      <c r="WWX1055" s="989"/>
      <c r="WWY1055" s="989"/>
      <c r="WWZ1055" s="989"/>
      <c r="WXA1055" s="989"/>
      <c r="WXB1055" s="989"/>
      <c r="WXC1055" s="989"/>
      <c r="WXD1055" s="989"/>
      <c r="WXE1055" s="989"/>
      <c r="WXF1055" s="989"/>
      <c r="WXG1055" s="989"/>
      <c r="WXH1055" s="989"/>
      <c r="WXI1055" s="989"/>
      <c r="WXJ1055" s="989"/>
      <c r="WXK1055" s="989"/>
      <c r="WXL1055" s="989"/>
      <c r="WXM1055" s="989"/>
      <c r="WXN1055" s="989"/>
      <c r="WXO1055" s="989"/>
      <c r="WXP1055" s="989"/>
      <c r="WXQ1055" s="989"/>
      <c r="WXR1055" s="989"/>
      <c r="WXS1055" s="989"/>
      <c r="WXT1055" s="989"/>
      <c r="WXU1055" s="989"/>
      <c r="WXV1055" s="989"/>
      <c r="WXW1055" s="989"/>
      <c r="WXX1055" s="989"/>
      <c r="WXY1055" s="989"/>
      <c r="WXZ1055" s="989"/>
      <c r="WYA1055" s="989"/>
      <c r="WYB1055" s="989"/>
      <c r="WYC1055" s="989"/>
      <c r="WYD1055" s="989"/>
      <c r="WYE1055" s="989"/>
      <c r="WYF1055" s="989"/>
      <c r="WYG1055" s="989"/>
      <c r="WYH1055" s="989"/>
      <c r="WYI1055" s="989"/>
      <c r="WYJ1055" s="989"/>
      <c r="WYK1055" s="989"/>
      <c r="WYL1055" s="989"/>
      <c r="WYM1055" s="989"/>
      <c r="WYN1055" s="989"/>
      <c r="WYO1055" s="989"/>
      <c r="WYP1055" s="989"/>
      <c r="WYQ1055" s="989"/>
      <c r="WYR1055" s="989"/>
      <c r="WYS1055" s="989"/>
      <c r="WYT1055" s="989"/>
      <c r="WYU1055" s="989"/>
      <c r="WYV1055" s="989"/>
      <c r="WYW1055" s="989"/>
      <c r="WYX1055" s="989"/>
      <c r="WYY1055" s="989"/>
      <c r="WYZ1055" s="989"/>
      <c r="WZA1055" s="989"/>
      <c r="WZB1055" s="989"/>
      <c r="WZC1055" s="989"/>
      <c r="WZD1055" s="989"/>
      <c r="WZE1055" s="989"/>
      <c r="WZF1055" s="989"/>
      <c r="WZG1055" s="989"/>
      <c r="WZH1055" s="989"/>
      <c r="WZI1055" s="989"/>
      <c r="WZJ1055" s="989"/>
      <c r="WZK1055" s="989"/>
      <c r="WZL1055" s="989"/>
      <c r="WZM1055" s="989"/>
      <c r="WZN1055" s="989"/>
      <c r="WZO1055" s="989"/>
      <c r="WZP1055" s="989"/>
      <c r="WZQ1055" s="989"/>
      <c r="WZR1055" s="989"/>
      <c r="WZS1055" s="989"/>
      <c r="WZT1055" s="989"/>
      <c r="WZU1055" s="989"/>
      <c r="WZV1055" s="989"/>
      <c r="WZW1055" s="989"/>
      <c r="WZX1055" s="989"/>
      <c r="WZY1055" s="989"/>
      <c r="WZZ1055" s="989"/>
      <c r="XAA1055" s="989"/>
      <c r="XAB1055" s="989"/>
      <c r="XAC1055" s="989"/>
      <c r="XAD1055" s="989"/>
      <c r="XAE1055" s="989"/>
      <c r="XAF1055" s="989"/>
      <c r="XAG1055" s="989"/>
      <c r="XAH1055" s="989"/>
      <c r="XAI1055" s="989"/>
      <c r="XAJ1055" s="989"/>
      <c r="XAK1055" s="989"/>
      <c r="XAL1055" s="989"/>
      <c r="XAM1055" s="989"/>
      <c r="XAN1055" s="989"/>
      <c r="XAO1055" s="989"/>
      <c r="XAP1055" s="989"/>
      <c r="XAQ1055" s="989"/>
      <c r="XAR1055" s="989"/>
      <c r="XAS1055" s="989"/>
      <c r="XAT1055" s="989"/>
      <c r="XAU1055" s="989"/>
      <c r="XAV1055" s="989"/>
      <c r="XAW1055" s="989"/>
      <c r="XAX1055" s="989"/>
      <c r="XAY1055" s="989"/>
      <c r="XAZ1055" s="989"/>
      <c r="XBA1055" s="989"/>
      <c r="XBB1055" s="989"/>
      <c r="XBC1055" s="989"/>
      <c r="XBD1055" s="989"/>
      <c r="XBE1055" s="989"/>
      <c r="XBF1055" s="989"/>
      <c r="XBG1055" s="989"/>
      <c r="XBH1055" s="989"/>
      <c r="XBI1055" s="989"/>
      <c r="XBJ1055" s="989"/>
      <c r="XBK1055" s="989"/>
      <c r="XBL1055" s="989"/>
      <c r="XBM1055" s="989"/>
      <c r="XBN1055" s="989"/>
      <c r="XBO1055" s="989"/>
      <c r="XBP1055" s="989"/>
      <c r="XBQ1055" s="989"/>
      <c r="XBR1055" s="989"/>
      <c r="XBS1055" s="989"/>
      <c r="XBT1055" s="989"/>
      <c r="XBU1055" s="989"/>
      <c r="XBV1055" s="989"/>
      <c r="XBW1055" s="989"/>
      <c r="XBX1055" s="989"/>
      <c r="XBY1055" s="989"/>
      <c r="XBZ1055" s="989"/>
      <c r="XCA1055" s="989"/>
      <c r="XCB1055" s="989"/>
      <c r="XCC1055" s="989"/>
      <c r="XCD1055" s="989"/>
      <c r="XCE1055" s="989"/>
      <c r="XCF1055" s="989"/>
      <c r="XCG1055" s="989"/>
      <c r="XCH1055" s="989"/>
      <c r="XCI1055" s="989"/>
      <c r="XCJ1055" s="989"/>
      <c r="XCK1055" s="989"/>
      <c r="XCL1055" s="989"/>
      <c r="XCM1055" s="989"/>
      <c r="XCN1055" s="989"/>
      <c r="XCO1055" s="989"/>
      <c r="XCP1055" s="989"/>
      <c r="XCQ1055" s="989"/>
      <c r="XCR1055" s="989"/>
      <c r="XCS1055" s="989"/>
      <c r="XCT1055" s="989"/>
      <c r="XCU1055" s="989"/>
      <c r="XCV1055" s="989"/>
      <c r="XCW1055" s="989"/>
      <c r="XCX1055" s="989"/>
      <c r="XCY1055" s="989"/>
      <c r="XCZ1055" s="989"/>
      <c r="XDA1055" s="989"/>
      <c r="XDB1055" s="989"/>
      <c r="XDC1055" s="989"/>
      <c r="XDD1055" s="989"/>
      <c r="XDE1055" s="989"/>
      <c r="XDF1055" s="989"/>
      <c r="XDG1055" s="989"/>
      <c r="XDH1055" s="989"/>
      <c r="XDI1055" s="989"/>
      <c r="XDJ1055" s="989"/>
      <c r="XDK1055" s="989"/>
      <c r="XDL1055" s="989"/>
      <c r="XDM1055" s="989"/>
      <c r="XDN1055" s="989"/>
      <c r="XDO1055" s="989"/>
      <c r="XDP1055" s="989"/>
      <c r="XDQ1055" s="989"/>
      <c r="XDR1055" s="989"/>
      <c r="XDS1055" s="989"/>
      <c r="XDT1055" s="989"/>
      <c r="XDU1055" s="989"/>
      <c r="XDV1055" s="989"/>
      <c r="XDW1055" s="989"/>
      <c r="XDX1055" s="989"/>
      <c r="XDY1055" s="989"/>
      <c r="XDZ1055" s="989"/>
      <c r="XEA1055" s="989"/>
      <c r="XEB1055" s="989"/>
      <c r="XEC1055" s="989"/>
      <c r="XED1055" s="989"/>
      <c r="XEE1055" s="989"/>
      <c r="XEF1055" s="989"/>
      <c r="XEG1055" s="989"/>
      <c r="XEH1055" s="989"/>
      <c r="XEI1055" s="989"/>
      <c r="XEJ1055" s="989"/>
      <c r="XEK1055" s="989"/>
      <c r="XEL1055" s="42"/>
      <c r="XEM1055" s="42"/>
      <c r="XEN1055" s="42"/>
      <c r="XEO1055" s="42"/>
      <c r="XEP1055" s="42"/>
      <c r="XEQ1055" s="42"/>
      <c r="XER1055" s="42"/>
      <c r="XES1055" s="2431"/>
      <c r="XET1055" s="2431"/>
      <c r="XEU1055" s="2431"/>
      <c r="XEV1055" s="2431"/>
      <c r="XEW1055" s="2431"/>
      <c r="XEX1055" s="2431"/>
      <c r="XEY1055" s="2431"/>
      <c r="XEZ1055" s="2431"/>
      <c r="XFA1055" s="2431"/>
      <c r="XFB1055" s="2431"/>
      <c r="XFC1055" s="2431"/>
      <c r="XFD1055" s="2431"/>
    </row>
    <row r="1048023" s="991" customFormat="1" ht="13.2"/>
    <row r="1048024" s="991" customFormat="1" ht="13.2"/>
    <row r="1048025" s="991" customFormat="1" ht="13.2"/>
    <row r="1048026" s="991" customFormat="1" ht="13.2"/>
    <row r="1048027" s="991" customFormat="1" ht="13.2"/>
    <row r="1048028" s="991" customFormat="1" ht="13.2"/>
    <row r="1048029" s="991" customFormat="1" ht="13.2"/>
    <row r="1048030" s="991" customFormat="1" ht="13.2"/>
    <row r="1048031" s="991" customFormat="1" ht="13.2"/>
    <row r="1048032" s="991" customFormat="1" ht="13.2"/>
    <row r="1048033" s="991" customFormat="1" ht="13.2"/>
    <row r="1048034" s="991" customFormat="1" ht="13.2"/>
    <row r="1048035" s="991" customFormat="1" ht="13.2"/>
    <row r="1048036" s="991" customFormat="1" ht="13.2"/>
    <row r="1048037" s="991" customFormat="1" ht="13.2"/>
    <row r="1048038" s="991" customFormat="1" ht="13.2"/>
    <row r="1048039" s="991" customFormat="1" ht="13.2"/>
    <row r="1048040" s="991" customFormat="1" ht="13.2"/>
    <row r="1048041" s="991" customFormat="1" ht="13.2"/>
    <row r="1048042" s="991" customFormat="1" ht="13.2"/>
    <row r="1048043" s="991" customFormat="1" ht="13.2"/>
    <row r="1048044" s="991" customFormat="1" ht="13.2"/>
    <row r="1048045" s="991" customFormat="1" ht="13.2"/>
    <row r="1048046" s="991" customFormat="1" ht="13.2"/>
    <row r="1048047" s="991" customFormat="1" ht="13.2"/>
    <row r="1048048" s="991" customFormat="1" ht="13.2"/>
    <row r="1048049" s="991" customFormat="1" ht="13.2"/>
    <row r="1048050" s="991" customFormat="1" ht="13.2"/>
    <row r="1048051" s="991" customFormat="1" ht="13.2"/>
    <row r="1048052" s="991" customFormat="1" ht="13.2"/>
    <row r="1048053" s="991" customFormat="1" ht="13.2"/>
    <row r="1048054" s="991" customFormat="1" ht="13.2"/>
    <row r="1048055" s="991" customFormat="1" ht="13.2"/>
    <row r="1048056" s="991" customFormat="1" ht="13.2"/>
    <row r="1048057" s="991" customFormat="1" ht="13.2"/>
    <row r="1048058" s="991" customFormat="1" ht="13.2"/>
    <row r="1048059" s="991" customFormat="1" ht="13.2"/>
    <row r="1048060" s="991" customFormat="1" ht="13.2"/>
    <row r="1048061" s="991" customFormat="1" ht="13.2"/>
    <row r="1048062" s="991" customFormat="1" ht="13.2"/>
    <row r="1048063" s="991" customFormat="1" ht="13.2"/>
    <row r="1048064" s="991" customFormat="1" ht="13.2"/>
    <row r="1048065" s="991" customFormat="1" ht="13.2"/>
    <row r="1048066" s="991" customFormat="1" ht="13.2"/>
    <row r="1048067" s="991" customFormat="1" ht="13.2"/>
    <row r="1048068" s="991" customFormat="1" ht="13.2"/>
    <row r="1048069" s="991" customFormat="1" ht="13.2"/>
    <row r="1048070" s="991" customFormat="1" ht="13.2"/>
    <row r="1048071" s="991" customFormat="1" ht="13.2"/>
    <row r="1048072" s="991" customFormat="1" ht="13.2"/>
    <row r="1048073" s="991" customFormat="1" ht="13.2"/>
    <row r="1048074" s="991" customFormat="1" ht="13.2"/>
    <row r="1048075" s="991" customFormat="1" ht="13.2"/>
    <row r="1048076" s="991" customFormat="1" ht="13.2"/>
    <row r="1048077" s="991" customFormat="1" ht="13.2"/>
    <row r="1048078" s="991" customFormat="1" ht="13.2"/>
    <row r="1048079" s="991" customFormat="1" ht="13.2"/>
    <row r="1048080" s="991" customFormat="1" ht="13.2"/>
    <row r="1048081" s="991" customFormat="1" ht="13.2"/>
    <row r="1048082" s="991" customFormat="1" ht="13.2"/>
    <row r="1048083" s="991" customFormat="1" ht="13.2"/>
    <row r="1048084" s="991" customFormat="1" ht="13.2"/>
    <row r="1048085" s="991" customFormat="1" ht="13.2"/>
    <row r="1048086" s="991" customFormat="1" ht="13.2"/>
    <row r="1048087" s="991" customFormat="1" ht="13.2"/>
    <row r="1048088" s="991" customFormat="1" ht="13.2"/>
    <row r="1048089" s="991" customFormat="1" ht="13.2"/>
    <row r="1048090" s="991" customFormat="1" ht="13.2"/>
    <row r="1048091" s="991" customFormat="1" ht="13.2"/>
    <row r="1048092" s="991" customFormat="1" ht="13.2"/>
    <row r="1048093" s="991" customFormat="1" ht="13.2"/>
    <row r="1048094" s="991" customFormat="1" ht="13.2"/>
    <row r="1048095" s="991" customFormat="1" ht="13.2"/>
    <row r="1048096" s="991" customFormat="1" ht="13.2"/>
    <row r="1048097" s="991" customFormat="1" ht="13.2"/>
    <row r="1048098" s="991" customFormat="1" ht="13.2"/>
    <row r="1048099" s="991" customFormat="1" ht="13.2"/>
    <row r="1048100" s="991" customFormat="1" ht="13.2"/>
    <row r="1048101" s="991" customFormat="1" ht="13.2"/>
    <row r="1048102" s="991" customFormat="1" ht="13.2"/>
    <row r="1048103" s="991" customFormat="1" ht="13.2"/>
    <row r="1048104" s="991" customFormat="1" ht="13.2"/>
    <row r="1048105" s="991" customFormat="1" ht="13.2"/>
    <row r="1048106" s="991" customFormat="1" ht="13.2"/>
    <row r="1048107" s="991" customFormat="1" ht="13.2"/>
    <row r="1048108" s="991" customFormat="1" ht="13.2"/>
    <row r="1048109" s="991" customFormat="1" ht="13.2"/>
    <row r="1048110" s="991" customFormat="1" ht="13.2"/>
    <row r="1048111" s="991" customFormat="1" ht="13.2"/>
    <row r="1048112" s="991" customFormat="1" ht="13.2"/>
    <row r="1048113" s="991" customFormat="1" ht="13.2"/>
    <row r="1048114" s="991" customFormat="1" ht="13.2"/>
    <row r="1048115" s="991" customFormat="1" ht="13.2"/>
    <row r="1048116" s="991" customFormat="1" ht="13.2"/>
    <row r="1048117" s="991" customFormat="1" ht="13.2"/>
    <row r="1048118" s="991" customFormat="1" ht="13.2"/>
    <row r="1048119" s="991" customFormat="1" ht="13.2"/>
    <row r="1048120" s="991" customFormat="1" ht="13.2"/>
    <row r="1048121" s="991" customFormat="1" ht="13.2"/>
    <row r="1048122" s="991" customFormat="1" ht="13.2"/>
    <row r="1048123" s="991" customFormat="1" ht="13.2"/>
    <row r="1048124" s="991" customFormat="1" ht="13.2"/>
    <row r="1048125" s="991" customFormat="1" ht="13.2"/>
    <row r="1048126" s="991" customFormat="1" ht="13.2"/>
    <row r="1048127" s="991" customFormat="1" ht="13.2"/>
    <row r="1048128" s="991" customFormat="1" ht="13.2"/>
    <row r="1048129" s="991" customFormat="1" ht="13.2"/>
    <row r="1048130" s="991" customFormat="1" ht="13.2"/>
    <row r="1048131" s="991" customFormat="1" ht="13.2"/>
    <row r="1048132" s="991" customFormat="1" ht="13.2"/>
    <row r="1048133" s="991" customFormat="1" ht="13.2"/>
    <row r="1048134" s="991" customFormat="1" ht="13.2"/>
    <row r="1048135" s="991" customFormat="1" ht="13.2"/>
    <row r="1048136" s="991" customFormat="1" ht="13.2"/>
    <row r="1048137" s="991" customFormat="1" ht="13.2"/>
    <row r="1048138" s="991" customFormat="1" ht="13.2"/>
    <row r="1048139" s="991" customFormat="1" ht="13.2"/>
    <row r="1048140" s="991" customFormat="1" ht="13.2"/>
    <row r="1048141" s="991" customFormat="1" ht="13.2"/>
    <row r="1048142" s="991" customFormat="1" ht="13.2"/>
    <row r="1048143" s="991" customFormat="1" ht="13.2"/>
    <row r="1048144" s="991" customFormat="1" ht="13.2"/>
    <row r="1048145" s="991" customFormat="1" ht="13.2"/>
    <row r="1048146" s="991" customFormat="1" ht="13.2"/>
    <row r="1048147" s="991" customFormat="1" ht="13.2"/>
    <row r="1048148" s="991" customFormat="1" ht="13.2"/>
    <row r="1048149" s="991" customFormat="1" ht="13.2"/>
    <row r="1048150" s="991" customFormat="1" ht="13.2"/>
    <row r="1048151" s="991" customFormat="1" ht="13.2"/>
    <row r="1048152" s="991" customFormat="1" ht="13.2"/>
    <row r="1048153" s="991" customFormat="1" ht="13.2"/>
    <row r="1048154" s="991" customFormat="1" ht="13.2"/>
    <row r="1048155" s="991" customFormat="1" ht="13.2"/>
    <row r="1048156" s="991" customFormat="1" ht="13.2"/>
    <row r="1048157" s="991" customFormat="1" ht="13.2"/>
    <row r="1048158" s="991" customFormat="1" ht="13.2"/>
    <row r="1048159" s="991" customFormat="1" ht="13.2"/>
    <row r="1048160" s="991" customFormat="1" ht="13.2"/>
    <row r="1048161" s="991" customFormat="1" ht="13.2"/>
    <row r="1048162" s="991" customFormat="1" ht="13.2"/>
    <row r="1048163" s="991" customFormat="1" ht="13.2"/>
    <row r="1048164" s="991" customFormat="1" ht="13.2"/>
    <row r="1048165" s="991" customFormat="1" ht="13.2"/>
    <row r="1048166" s="991" customFormat="1" ht="13.2"/>
    <row r="1048167" s="991" customFormat="1" ht="13.2"/>
    <row r="1048168" s="991" customFormat="1" ht="13.2"/>
    <row r="1048169" s="991" customFormat="1" ht="13.2"/>
    <row r="1048170" s="991" customFormat="1" ht="13.2"/>
    <row r="1048171" s="991" customFormat="1" ht="13.2"/>
    <row r="1048172" s="991" customFormat="1" ht="13.2"/>
    <row r="1048173" s="991" customFormat="1" ht="13.2"/>
    <row r="1048174" s="991" customFormat="1" ht="13.2"/>
    <row r="1048175" s="991" customFormat="1" ht="13.2"/>
    <row r="1048176" s="991" customFormat="1" ht="13.2"/>
    <row r="1048177" s="991" customFormat="1" ht="13.2"/>
    <row r="1048178" s="991" customFormat="1" ht="13.2"/>
    <row r="1048179" s="991" customFormat="1" ht="13.2"/>
    <row r="1048180" s="991" customFormat="1" ht="13.2"/>
    <row r="1048181" s="991" customFormat="1" ht="13.2"/>
    <row r="1048182" s="991" customFormat="1" ht="13.2"/>
    <row r="1048183" s="991" customFormat="1" ht="13.2"/>
    <row r="1048184" s="991" customFormat="1" ht="13.2"/>
    <row r="1048185" s="991" customFormat="1" ht="13.2"/>
    <row r="1048186" s="991" customFormat="1" ht="13.2"/>
    <row r="1048187" s="991" customFormat="1" ht="13.2"/>
    <row r="1048188" s="991" customFormat="1" ht="13.2"/>
    <row r="1048189" s="991" customFormat="1" ht="13.2"/>
    <row r="1048190" s="991" customFormat="1" ht="13.2"/>
    <row r="1048191" s="991" customFormat="1" ht="13.2"/>
    <row r="1048192" s="991" customFormat="1" ht="13.2"/>
    <row r="1048193" s="991" customFormat="1" ht="13.2"/>
    <row r="1048194" s="991" customFormat="1" ht="13.2"/>
    <row r="1048195" s="991" customFormat="1" ht="13.2"/>
    <row r="1048196" s="991" customFormat="1" ht="13.2"/>
    <row r="1048197" s="991" customFormat="1" ht="13.2"/>
    <row r="1048198" s="991" customFormat="1" ht="13.2"/>
    <row r="1048199" s="991" customFormat="1" ht="13.2"/>
    <row r="1048200" s="991" customFormat="1" ht="13.2"/>
    <row r="1048201" s="991" customFormat="1" ht="13.2"/>
    <row r="1048202" s="991" customFormat="1" ht="13.2"/>
    <row r="1048203" s="991" customFormat="1" ht="13.2"/>
    <row r="1048204" s="991" customFormat="1" ht="13.2"/>
    <row r="1048205" s="991" customFormat="1" ht="13.2"/>
    <row r="1048206" s="991" customFormat="1" ht="13.2"/>
    <row r="1048207" s="991" customFormat="1" ht="13.2"/>
    <row r="1048208" s="991" customFormat="1" ht="13.2"/>
    <row r="1048209" s="991" customFormat="1" ht="13.2"/>
    <row r="1048210" s="991" customFormat="1" ht="13.2"/>
    <row r="1048211" s="991" customFormat="1" ht="13.2"/>
    <row r="1048212" s="991" customFormat="1" ht="13.2"/>
    <row r="1048213" s="991" customFormat="1" ht="13.2"/>
    <row r="1048214" s="991" customFormat="1" ht="13.2"/>
    <row r="1048215" s="991" customFormat="1" ht="13.2"/>
    <row r="1048216" s="991" customFormat="1" ht="13.2"/>
    <row r="1048217" s="991" customFormat="1" ht="13.2"/>
    <row r="1048218" s="991" customFormat="1" ht="13.2"/>
    <row r="1048219" s="991" customFormat="1" ht="13.2"/>
    <row r="1048220" s="991" customFormat="1" ht="13.2"/>
    <row r="1048221" s="991" customFormat="1" ht="13.2"/>
    <row r="1048222" s="991" customFormat="1" ht="13.2"/>
    <row r="1048223" s="991" customFormat="1" ht="13.2"/>
    <row r="1048224" s="991" customFormat="1" ht="13.2"/>
    <row r="1048225" s="991" customFormat="1" ht="13.2"/>
    <row r="1048226" s="991" customFormat="1" ht="13.2"/>
    <row r="1048227" s="991" customFormat="1" ht="13.2"/>
    <row r="1048228" s="991" customFormat="1" ht="13.2"/>
    <row r="1048229" s="991" customFormat="1" ht="13.2"/>
    <row r="1048230" s="991" customFormat="1" ht="13.2"/>
    <row r="1048231" s="991" customFormat="1" ht="13.2"/>
    <row r="1048232" s="991" customFormat="1" ht="13.2"/>
    <row r="1048233" s="991" customFormat="1" ht="13.2"/>
    <row r="1048234" s="991" customFormat="1" ht="13.2"/>
    <row r="1048235" s="991" customFormat="1" ht="13.2"/>
    <row r="1048236" s="991" customFormat="1" ht="13.2"/>
    <row r="1048237" s="991" customFormat="1" ht="13.2"/>
    <row r="1048238" s="991" customFormat="1" ht="13.2"/>
    <row r="1048239" s="991" customFormat="1" ht="13.2"/>
    <row r="1048240" s="991" customFormat="1" ht="13.2"/>
    <row r="1048241" s="991" customFormat="1" ht="13.2"/>
    <row r="1048242" s="991" customFormat="1" ht="13.2"/>
    <row r="1048243" s="991" customFormat="1" ht="13.2"/>
    <row r="1048244" s="991" customFormat="1" ht="13.2"/>
    <row r="1048245" s="991" customFormat="1" ht="13.2"/>
    <row r="1048246" s="991" customFormat="1" ht="13.2"/>
    <row r="1048247" s="991" customFormat="1" ht="13.2"/>
    <row r="1048248" s="991" customFormat="1" ht="13.2"/>
    <row r="1048249" s="991" customFormat="1" ht="13.2"/>
    <row r="1048250" s="991" customFormat="1" ht="13.2"/>
    <row r="1048251" s="991" customFormat="1" ht="13.2"/>
    <row r="1048252" s="991" customFormat="1" ht="13.2"/>
    <row r="1048253" s="991" customFormat="1" ht="13.2"/>
    <row r="1048254" s="991" customFormat="1" ht="13.2"/>
    <row r="1048255" s="991" customFormat="1" ht="13.2"/>
    <row r="1048256" s="991" customFormat="1" ht="13.2"/>
    <row r="1048257" s="991" customFormat="1" ht="13.2"/>
    <row r="1048258" s="991" customFormat="1" ht="13.2"/>
    <row r="1048259" s="991" customFormat="1" ht="13.2"/>
    <row r="1048260" s="991" customFormat="1" ht="13.2"/>
    <row r="1048261" s="991" customFormat="1" ht="13.2"/>
    <row r="1048262" s="991" customFormat="1" ht="13.2"/>
    <row r="1048263" s="991" customFormat="1" ht="13.2"/>
    <row r="1048264" s="991" customFormat="1" ht="13.2"/>
    <row r="1048265" s="991" customFormat="1" ht="13.2"/>
    <row r="1048266" s="991" customFormat="1" ht="13.2"/>
    <row r="1048267" s="991" customFormat="1" ht="13.2"/>
    <row r="1048268" s="991" customFormat="1" ht="13.2"/>
    <row r="1048269" s="991" customFormat="1" ht="13.2"/>
    <row r="1048270" s="991" customFormat="1" ht="13.2"/>
    <row r="1048271" s="991" customFormat="1" ht="13.2"/>
    <row r="1048272" s="991" customFormat="1" ht="13.2"/>
    <row r="1048273" s="991" customFormat="1" ht="13.2"/>
    <row r="1048274" s="991" customFormat="1" ht="13.2"/>
    <row r="1048275" s="991" customFormat="1" ht="13.2"/>
    <row r="1048276" s="991" customFormat="1" ht="13.2"/>
    <row r="1048277" s="991" customFormat="1" ht="13.2"/>
    <row r="1048278" s="991" customFormat="1" ht="13.2"/>
    <row r="1048279" s="991" customFormat="1" ht="13.2"/>
    <row r="1048280" s="991" customFormat="1" ht="13.2"/>
    <row r="1048281" s="991" customFormat="1" ht="13.2"/>
    <row r="1048282" s="991" customFormat="1" ht="13.2"/>
    <row r="1048283" s="991" customFormat="1" ht="13.2"/>
    <row r="1048284" s="991" customFormat="1" ht="13.2"/>
    <row r="1048285" s="991" customFormat="1" ht="13.2"/>
    <row r="1048286" s="991" customFormat="1" ht="13.2"/>
    <row r="1048287" s="991" customFormat="1" ht="13.2"/>
    <row r="1048288" s="991" customFormat="1" ht="13.2"/>
    <row r="1048289" s="991" customFormat="1" ht="13.2"/>
    <row r="1048290" s="991" customFormat="1" ht="13.2"/>
    <row r="1048291" s="991" customFormat="1" ht="13.2"/>
    <row r="1048292" s="991" customFormat="1" ht="13.2"/>
    <row r="1048293" s="991" customFormat="1" ht="13.2"/>
    <row r="1048294" s="991" customFormat="1" ht="13.2"/>
    <row r="1048295" s="991" customFormat="1" ht="13.2"/>
    <row r="1048296" s="991" customFormat="1" ht="13.2"/>
    <row r="1048297" s="991" customFormat="1" ht="13.2"/>
    <row r="1048298" s="991" customFormat="1" ht="13.2"/>
    <row r="1048299" s="991" customFormat="1" ht="13.2"/>
    <row r="1048300" s="991" customFormat="1" ht="13.2"/>
    <row r="1048301" s="991" customFormat="1" ht="13.2"/>
    <row r="1048302" s="991" customFormat="1" ht="13.2"/>
    <row r="1048303" s="991" customFormat="1" ht="13.2"/>
    <row r="1048304" s="991" customFormat="1" ht="13.2"/>
    <row r="1048305" s="991" customFormat="1" ht="13.2"/>
    <row r="1048306" s="991" customFormat="1" ht="13.2"/>
    <row r="1048307" s="991" customFormat="1" ht="13.2"/>
    <row r="1048308" s="991" customFormat="1" ht="13.2"/>
    <row r="1048309" s="991" customFormat="1" ht="13.2"/>
    <row r="1048310" s="991" customFormat="1" ht="13.2"/>
    <row r="1048311" s="991" customFormat="1" ht="13.2"/>
    <row r="1048312" s="991" customFormat="1" ht="13.2"/>
    <row r="1048313" s="991" customFormat="1" ht="13.2"/>
    <row r="1048314" s="991" customFormat="1" ht="13.2"/>
    <row r="1048315" s="991" customFormat="1" ht="13.2"/>
    <row r="1048316" s="991" customFormat="1" ht="13.2"/>
    <row r="1048317" s="991" customFormat="1" ht="13.2"/>
    <row r="1048318" s="991" customFormat="1" ht="13.2"/>
    <row r="1048319" s="991" customFormat="1" ht="13.2"/>
    <row r="1048320" s="991" customFormat="1" ht="13.2"/>
    <row r="1048321" s="991" customFormat="1" ht="13.2"/>
    <row r="1048322" s="991" customFormat="1" ht="13.2"/>
    <row r="1048323" s="991" customFormat="1" ht="13.2"/>
    <row r="1048324" s="991" customFormat="1" ht="13.2"/>
    <row r="1048325" s="991" customFormat="1" ht="13.2"/>
    <row r="1048326" s="991" customFormat="1" ht="13.2"/>
    <row r="1048327" s="991" customFormat="1" ht="13.2"/>
    <row r="1048328" s="991" customFormat="1" ht="13.2"/>
    <row r="1048329" s="991" customFormat="1" ht="13.2"/>
    <row r="1048330" s="991" customFormat="1" ht="13.2"/>
    <row r="1048331" s="991" customFormat="1" ht="13.2"/>
    <row r="1048332" s="991" customFormat="1" ht="13.2"/>
    <row r="1048333" s="991" customFormat="1" ht="13.2"/>
    <row r="1048334" s="991" customFormat="1" ht="13.2"/>
    <row r="1048335" s="991" customFormat="1" ht="13.2"/>
    <row r="1048336" s="991" customFormat="1" ht="13.2"/>
    <row r="1048337" s="991" customFormat="1" ht="13.2"/>
    <row r="1048338" s="991" customFormat="1" ht="13.2"/>
    <row r="1048339" s="991" customFormat="1" ht="13.2"/>
    <row r="1048340" s="991" customFormat="1" ht="13.2"/>
    <row r="1048341" s="991" customFormat="1" ht="13.2"/>
    <row r="1048342" s="991" customFormat="1" ht="13.2"/>
    <row r="1048343" s="991" customFormat="1" ht="13.2"/>
    <row r="1048344" s="991" customFormat="1" ht="13.2"/>
    <row r="1048345" s="991" customFormat="1" ht="13.2"/>
    <row r="1048346" s="991" customFormat="1" ht="13.2"/>
    <row r="1048347" s="991" customFormat="1" ht="13.2"/>
    <row r="1048348" s="991" customFormat="1" ht="13.2"/>
    <row r="1048349" s="991" customFormat="1" ht="13.2"/>
    <row r="1048350" s="991" customFormat="1" ht="13.2"/>
    <row r="1048351" s="991" customFormat="1" ht="13.2"/>
    <row r="1048352" s="991" customFormat="1" ht="13.2"/>
    <row r="1048353" s="991" customFormat="1" ht="13.2"/>
    <row r="1048354" s="991" customFormat="1" ht="13.2"/>
    <row r="1048355" s="991" customFormat="1" ht="13.2"/>
    <row r="1048356" s="991" customFormat="1" ht="13.2"/>
    <row r="1048357" s="991" customFormat="1" ht="13.2"/>
    <row r="1048358" s="991" customFormat="1" ht="13.2"/>
    <row r="1048359" s="991" customFormat="1" ht="13.2"/>
    <row r="1048360" s="991" customFormat="1" ht="13.2"/>
    <row r="1048361" s="991" customFormat="1" ht="13.2"/>
    <row r="1048362" s="991" customFormat="1" ht="13.2"/>
    <row r="1048363" s="991" customFormat="1" ht="13.2"/>
    <row r="1048364" s="991" customFormat="1" ht="13.2"/>
    <row r="1048365" s="991" customFormat="1" ht="13.2"/>
    <row r="1048366" s="991" customFormat="1" ht="13.2"/>
    <row r="1048367" s="991" customFormat="1" ht="13.2"/>
    <row r="1048368" s="991" customFormat="1" ht="13.2"/>
    <row r="1048369" s="991" customFormat="1" ht="13.2"/>
    <row r="1048370" s="991" customFormat="1" ht="13.2"/>
    <row r="1048371" s="991" customFormat="1" ht="13.2"/>
    <row r="1048372" s="991" customFormat="1" ht="13.2"/>
    <row r="1048373" s="991" customFormat="1" ht="13.2"/>
    <row r="1048374" s="991" customFormat="1" ht="13.2"/>
    <row r="1048375" s="991" customFormat="1" ht="13.2"/>
    <row r="1048376" s="991" customFormat="1" ht="13.2"/>
    <row r="1048377" s="991" customFormat="1" ht="13.2"/>
    <row r="1048378" s="991" customFormat="1" ht="13.2"/>
    <row r="1048379" s="991" customFormat="1" ht="13.2"/>
    <row r="1048380" s="991" customFormat="1" ht="13.2"/>
    <row r="1048381" s="991" customFormat="1" ht="13.2"/>
    <row r="1048382" s="991" customFormat="1" ht="13.2"/>
    <row r="1048383" s="991" customFormat="1" ht="13.2"/>
    <row r="1048384" s="991" customFormat="1" ht="13.2"/>
    <row r="1048385" s="991" customFormat="1" ht="13.2"/>
    <row r="1048386" s="991" customFormat="1" ht="13.2"/>
    <row r="1048387" s="991" customFormat="1" ht="13.2"/>
    <row r="1048388" s="991" customFormat="1" ht="13.2"/>
    <row r="1048389" s="991" customFormat="1" ht="13.2"/>
    <row r="1048390" s="991" customFormat="1" ht="13.2"/>
    <row r="1048391" s="991" customFormat="1" ht="13.2"/>
    <row r="1048392" s="991" customFormat="1" ht="13.2"/>
    <row r="1048393" s="991" customFormat="1" ht="13.2"/>
    <row r="1048394" s="991" customFormat="1" ht="13.2"/>
    <row r="1048395" s="991" customFormat="1" ht="13.2"/>
    <row r="1048396" s="991" customFormat="1" ht="13.2"/>
    <row r="1048397" s="991" customFormat="1" ht="13.2"/>
    <row r="1048398" s="991" customFormat="1" ht="13.2"/>
    <row r="1048399" s="991" customFormat="1" ht="13.2"/>
    <row r="1048400" s="991" customFormat="1" ht="13.2"/>
    <row r="1048401" s="991" customFormat="1" ht="13.2"/>
    <row r="1048402" s="991" customFormat="1" ht="13.2"/>
    <row r="1048403" s="991" customFormat="1" ht="13.2"/>
    <row r="1048404" s="991" customFormat="1" ht="13.2"/>
    <row r="1048405" s="991" customFormat="1" ht="13.2"/>
    <row r="1048406" s="991" customFormat="1" ht="13.2"/>
    <row r="1048407" s="991" customFormat="1" ht="13.2"/>
    <row r="1048408" s="991" customFormat="1" ht="13.2"/>
    <row r="1048409" s="991" customFormat="1" ht="13.2"/>
    <row r="1048410" s="991" customFormat="1" ht="13.2"/>
    <row r="1048411" s="991" customFormat="1" ht="13.2"/>
    <row r="1048412" s="991" customFormat="1" ht="13.2"/>
    <row r="1048413" s="991" customFormat="1" ht="13.2"/>
    <row r="1048414" s="991" customFormat="1" ht="13.2"/>
    <row r="1048415" s="991" customFormat="1" ht="13.2"/>
    <row r="1048416" s="991" customFormat="1" ht="13.2"/>
    <row r="1048417" s="991" customFormat="1" ht="13.2"/>
    <row r="1048418" s="991" customFormat="1" ht="13.2"/>
    <row r="1048419" s="991" customFormat="1" ht="13.2"/>
    <row r="1048420" s="991" customFormat="1" ht="13.2"/>
    <row r="1048421" s="991" customFormat="1" ht="13.2"/>
    <row r="1048422" s="991" customFormat="1" ht="13.2"/>
    <row r="1048423" s="991" customFormat="1" ht="13.2"/>
    <row r="1048424" s="991" customFormat="1" ht="13.2"/>
    <row r="1048425" s="991" customFormat="1" ht="13.2"/>
    <row r="1048426" s="991" customFormat="1" ht="13.2"/>
    <row r="1048427" s="991" customFormat="1" ht="13.2"/>
    <row r="1048428" s="991" customFormat="1" ht="13.2"/>
    <row r="1048429" s="991" customFormat="1" ht="13.2"/>
    <row r="1048430" s="991" customFormat="1" ht="13.2"/>
    <row r="1048431" s="991" customFormat="1" ht="13.2"/>
    <row r="1048432" s="991" customFormat="1" ht="13.2"/>
    <row r="1048433" s="991" customFormat="1" ht="13.2"/>
    <row r="1048434" s="991" customFormat="1" ht="13.2"/>
    <row r="1048435" s="991" customFormat="1" ht="13.2"/>
    <row r="1048436" s="991" customFormat="1" ht="13.2"/>
    <row r="1048437" s="991" customFormat="1" ht="13.2"/>
    <row r="1048438" s="991" customFormat="1" ht="13.2"/>
    <row r="1048439" s="991" customFormat="1" ht="13.2"/>
    <row r="1048440" s="991" customFormat="1" ht="13.2"/>
    <row r="1048441" s="991" customFormat="1" ht="13.2"/>
    <row r="1048442" s="991" customFormat="1" ht="13.2"/>
    <row r="1048443" s="991" customFormat="1" ht="13.2"/>
    <row r="1048444" s="991" customFormat="1" ht="13.2"/>
    <row r="1048445" s="991" customFormat="1" ht="13.2"/>
    <row r="1048446" s="991" customFormat="1" ht="13.2"/>
    <row r="1048447" s="991" customFormat="1" ht="13.2"/>
    <row r="1048448" s="991" customFormat="1" ht="13.2"/>
    <row r="1048449" s="991" customFormat="1" ht="13.2"/>
    <row r="1048450" s="991" customFormat="1" ht="13.2"/>
    <row r="1048451" s="991" customFormat="1" ht="13.2"/>
    <row r="1048452" s="991" customFormat="1" ht="13.2"/>
    <row r="1048453" s="991" customFormat="1" ht="13.2"/>
    <row r="1048454" s="991" customFormat="1" ht="13.2"/>
    <row r="1048455" s="991" customFormat="1" ht="13.2"/>
    <row r="1048456" s="991" customFormat="1" ht="13.2"/>
    <row r="1048457" s="991" customFormat="1" ht="13.2"/>
    <row r="1048458" s="991" customFormat="1" ht="13.2"/>
    <row r="1048459" s="991" customFormat="1" ht="13.2"/>
    <row r="1048460" s="991" customFormat="1" ht="13.2"/>
    <row r="1048461" s="991" customFormat="1" ht="13.2"/>
    <row r="1048462" s="991" customFormat="1" ht="13.2"/>
    <row r="1048463" s="991" customFormat="1" ht="13.2"/>
    <row r="1048464" s="991" customFormat="1" ht="13.2"/>
    <row r="1048465" s="991" customFormat="1" ht="13.2"/>
    <row r="1048466" s="991" customFormat="1" ht="13.2"/>
    <row r="1048467" s="991" customFormat="1" ht="13.2"/>
    <row r="1048468" s="991" customFormat="1" ht="13.2"/>
    <row r="1048469" s="991" customFormat="1" ht="13.2"/>
    <row r="1048470" s="991" customFormat="1" ht="13.2"/>
    <row r="1048471" s="991" customFormat="1" ht="13.2"/>
    <row r="1048472" s="991" customFormat="1" ht="13.2"/>
    <row r="1048473" s="991" customFormat="1" ht="13.2"/>
    <row r="1048474" s="991" customFormat="1" ht="13.2"/>
    <row r="1048475" s="991" customFormat="1" ht="13.2"/>
    <row r="1048476" s="991" customFormat="1" ht="13.2"/>
    <row r="1048477" s="991" customFormat="1" ht="13.2"/>
    <row r="1048478" s="991" customFormat="1" ht="13.2"/>
    <row r="1048479" s="991" customFormat="1" ht="13.2"/>
    <row r="1048480" s="991" customFormat="1" ht="13.2"/>
    <row r="1048481" s="991" customFormat="1" ht="13.2"/>
    <row r="1048482" s="991" customFormat="1" ht="13.2"/>
    <row r="1048483" s="991" customFormat="1" ht="13.2"/>
    <row r="1048484" s="991" customFormat="1" ht="13.2"/>
    <row r="1048485" s="991" customFormat="1" ht="13.2"/>
    <row r="1048486" s="991" customFormat="1" ht="13.2"/>
    <row r="1048487" s="991" customFormat="1" ht="13.2"/>
    <row r="1048488" s="991" customFormat="1" ht="13.2"/>
    <row r="1048489" s="991" customFormat="1" ht="13.2"/>
    <row r="1048490" s="991" customFormat="1" ht="13.2"/>
    <row r="1048491" s="991" customFormat="1" ht="13.2"/>
    <row r="1048492" s="991" customFormat="1" ht="13.2"/>
    <row r="1048493" s="991" customFormat="1" ht="13.2"/>
    <row r="1048494" s="991" customFormat="1" ht="13.2"/>
    <row r="1048495" s="991" customFormat="1" ht="13.2"/>
    <row r="1048496" s="991" customFormat="1" ht="13.2"/>
    <row r="1048497" s="991" customFormat="1" ht="13.2"/>
    <row r="1048498" s="991" customFormat="1" ht="13.2"/>
    <row r="1048499" s="991" customFormat="1" ht="13.2"/>
    <row r="1048500" s="991" customFormat="1" ht="13.2"/>
    <row r="1048501" s="991" customFormat="1" ht="13.2"/>
    <row r="1048502" s="991" customFormat="1" ht="13.2"/>
    <row r="1048503" s="991" customFormat="1" ht="13.2"/>
    <row r="1048504" s="991" customFormat="1" ht="13.2"/>
    <row r="1048505" s="991" customFormat="1" ht="13.2"/>
    <row r="1048506" s="991" customFormat="1" ht="13.2"/>
    <row r="1048507" s="991" customFormat="1" ht="13.2"/>
    <row r="1048508" s="991" customFormat="1" ht="13.2"/>
    <row r="1048509" s="991" customFormat="1" ht="13.2"/>
    <row r="1048510" s="991" customFormat="1" ht="13.2"/>
    <row r="1048511" s="991" customFormat="1" ht="13.2"/>
    <row r="1048512" s="991" customFormat="1" ht="13.2"/>
    <row r="1048513" s="991" customFormat="1" ht="13.2"/>
    <row r="1048514" s="991" customFormat="1" ht="13.2"/>
    <row r="1048515" s="991" customFormat="1" ht="13.2"/>
    <row r="1048516" s="991" customFormat="1" ht="13.2"/>
    <row r="1048517" s="991" customFormat="1" ht="13.2"/>
    <row r="1048518" s="991" customFormat="1" ht="13.2"/>
    <row r="1048519" s="991" customFormat="1" ht="13.2"/>
    <row r="1048520" s="991" customFormat="1" ht="13.2"/>
    <row r="1048521" s="991" customFormat="1" ht="13.2"/>
    <row r="1048522" s="991" customFormat="1" ht="13.2"/>
    <row r="1048523" s="991" customFormat="1" ht="13.2"/>
    <row r="1048524" s="991" customFormat="1" ht="13.2"/>
    <row r="1048525" s="991" customFormat="1" ht="13.2"/>
    <row r="1048526" s="991" customFormat="1" ht="13.2"/>
    <row r="1048527" s="991" customFormat="1" ht="13.2"/>
    <row r="1048528" s="991" customFormat="1" ht="13.2"/>
    <row r="1048529" s="991" customFormat="1" ht="13.2"/>
    <row r="1048530" s="991" customFormat="1" ht="13.2"/>
    <row r="1048531" s="991" customFormat="1" ht="13.2"/>
    <row r="1048532" s="991" customFormat="1" ht="13.2"/>
    <row r="1048533" s="991" customFormat="1" ht="13.2"/>
    <row r="1048534" s="991" customFormat="1" ht="13.2"/>
    <row r="1048535" s="991" customFormat="1" ht="13.2"/>
    <row r="1048536" s="991" customFormat="1" ht="13.2"/>
    <row r="1048537" s="991" customFormat="1" ht="13.2"/>
    <row r="1048538" s="991" customFormat="1" ht="13.2"/>
    <row r="1048539" s="991" customFormat="1" ht="13.2"/>
    <row r="1048540" s="991" customFormat="1" ht="13.2"/>
    <row r="1048541" s="991" customFormat="1" ht="13.2"/>
    <row r="1048542" s="991" customFormat="1" ht="13.2"/>
    <row r="1048543" s="991" customFormat="1" ht="13.2"/>
    <row r="1048544" s="991" customFormat="1" ht="13.2"/>
    <row r="1048545" s="991" customFormat="1" ht="13.2"/>
    <row r="1048546" s="991" customFormat="1" ht="13.2"/>
    <row r="1048547" s="991" customFormat="1" ht="13.2"/>
    <row r="1048548" s="991" customFormat="1" ht="13.2"/>
    <row r="1048549" s="991" customFormat="1" ht="13.2"/>
    <row r="1048550" s="991" customFormat="1" ht="13.2"/>
    <row r="1048551" s="991" customFormat="1" ht="13.2"/>
    <row r="1048552" s="991" customFormat="1" ht="13.2"/>
    <row r="1048553" s="991" customFormat="1" ht="13.2"/>
    <row r="1048554" s="991" customFormat="1" ht="13.2"/>
    <row r="1048555" s="991" customFormat="1" ht="13.2"/>
    <row r="1048556" s="991" customFormat="1" ht="13.2"/>
    <row r="1048557" s="991" customFormat="1" ht="13.2"/>
    <row r="1048558" s="991" customFormat="1" ht="13.2"/>
    <row r="1048559" s="991" customFormat="1" ht="13.2"/>
    <row r="1048560" s="991" customFormat="1" ht="13.2"/>
    <row r="1048561" s="991" customFormat="1" ht="13.2"/>
    <row r="1048562" s="991" customFormat="1" ht="13.2"/>
    <row r="1048563" s="991" customFormat="1" ht="13.2"/>
    <row r="1048564" s="991" customFormat="1" ht="13.2"/>
    <row r="1048565" s="991" customFormat="1" ht="13.2"/>
    <row r="1048566" s="991" customFormat="1" ht="13.2"/>
    <row r="1048567" s="991" customFormat="1" ht="13.2"/>
    <row r="1048568" s="991" customFormat="1" ht="13.2"/>
    <row r="1048569" s="991" customFormat="1" ht="13.2"/>
    <row r="1048570" s="991" customFormat="1" ht="13.2"/>
    <row r="1048571" s="991" customFormat="1" ht="13.2"/>
    <row r="1048572" s="991" customFormat="1" ht="13.2"/>
    <row r="1048573" s="991" customFormat="1" ht="13.2"/>
    <row r="1048574" s="991" customFormat="1" ht="13.2"/>
    <row r="1048575" s="991" customFormat="1" ht="13.2"/>
    <row r="1048576" s="991" customFormat="1" ht="13.2"/>
  </sheetData>
  <mergeCells count="59">
    <mergeCell ref="D1055:E1055"/>
    <mergeCell ref="B1:B6"/>
    <mergeCell ref="B28:B36"/>
    <mergeCell ref="B45:B48"/>
    <mergeCell ref="B71:B83"/>
    <mergeCell ref="B92:B116"/>
    <mergeCell ref="B117:B119"/>
    <mergeCell ref="B120:B121"/>
    <mergeCell ref="B124:B127"/>
    <mergeCell ref="B128:B138"/>
    <mergeCell ref="B140:B147"/>
    <mergeCell ref="B148:B150"/>
    <mergeCell ref="B151:B156"/>
    <mergeCell ref="B160:B164"/>
    <mergeCell ref="B166:B167"/>
    <mergeCell ref="B168:B171"/>
    <mergeCell ref="B172:B182"/>
    <mergeCell ref="B183:B190"/>
    <mergeCell ref="B201:B239"/>
    <mergeCell ref="B240:B258"/>
    <mergeCell ref="B261:B263"/>
    <mergeCell ref="B264:B271"/>
    <mergeCell ref="B272:B311"/>
    <mergeCell ref="B313:B337"/>
    <mergeCell ref="B338:B345"/>
    <mergeCell ref="B346:B362"/>
    <mergeCell ref="B363:B370"/>
    <mergeCell ref="B371:B385"/>
    <mergeCell ref="B386:B398"/>
    <mergeCell ref="B399:B416"/>
    <mergeCell ref="B417:B434"/>
    <mergeCell ref="B435:B446"/>
    <mergeCell ref="B447:B462"/>
    <mergeCell ref="B468:B475"/>
    <mergeCell ref="B549:B550"/>
    <mergeCell ref="B555:B579"/>
    <mergeCell ref="B580:B615"/>
    <mergeCell ref="B616:B623"/>
    <mergeCell ref="B624:B636"/>
    <mergeCell ref="B637:B655"/>
    <mergeCell ref="B656:B671"/>
    <mergeCell ref="B673:B676"/>
    <mergeCell ref="B677:B678"/>
    <mergeCell ref="B679:B685"/>
    <mergeCell ref="B686:B713"/>
    <mergeCell ref="B714:B748"/>
    <mergeCell ref="B751:B759"/>
    <mergeCell ref="B770:B775"/>
    <mergeCell ref="B943:B944"/>
    <mergeCell ref="B952:B961"/>
    <mergeCell ref="B966:B968"/>
    <mergeCell ref="B986:B1008"/>
    <mergeCell ref="B1029:B1045"/>
    <mergeCell ref="C1029:C1045"/>
    <mergeCell ref="R1:R6"/>
    <mergeCell ref="U2:U6"/>
    <mergeCell ref="Z4:Z5"/>
    <mergeCell ref="Z1048023:Z1048025"/>
    <mergeCell ref="Z1048027:Z1048028"/>
  </mergeCells>
  <pageMargins left="0.7" right="0.7" top="0.75" bottom="0.75" header="0.3" footer="0.3"/>
  <pageSetup paperSize="9" orientation="portrait"/>
  <headerFooter/>
  <ignoredErrors>
    <ignoredError sqref="P129 O325 M436 M143 M32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FD1074"/>
  <sheetViews>
    <sheetView zoomScale="85" zoomScaleNormal="85" workbookViewId="0">
      <pane ySplit="8" topLeftCell="A9" activePane="bottomLeft" state="frozen"/>
      <selection/>
      <selection pane="bottomLeft" activeCell="E1065" sqref="E1065"/>
    </sheetView>
  </sheetViews>
  <sheetFormatPr defaultColWidth="9" defaultRowHeight="13.8"/>
  <cols>
    <col min="1" max="1" width="5.5" style="991" customWidth="1"/>
    <col min="2" max="2" width="24.8333333333333" style="992" customWidth="1"/>
    <col min="3" max="3" width="19.4444444444444" style="992" hidden="1" customWidth="1"/>
    <col min="4" max="4" width="14.25" style="1937" customWidth="1"/>
    <col min="5" max="5" width="18.037037037037" style="1937" customWidth="1"/>
    <col min="6" max="6" width="21.6944444444444" style="1937" hidden="1" customWidth="1"/>
    <col min="7" max="7" width="9.22222222222222" style="1938" hidden="1" customWidth="1"/>
    <col min="8" max="8" width="19.2222222222222" style="1938" hidden="1" customWidth="1"/>
    <col min="9" max="9" width="15.3703703703704" style="1104" hidden="1" customWidth="1"/>
    <col min="10" max="10" width="21.5555555555556" style="1104" hidden="1" customWidth="1"/>
    <col min="11" max="11" width="15.6759259259259" style="1939" customWidth="1"/>
    <col min="12" max="12" width="14.9166666666667" style="1939" customWidth="1"/>
    <col min="13" max="13" width="15.287037037037" style="808" customWidth="1"/>
    <col min="14" max="14" width="10" style="1207" customWidth="1"/>
    <col min="15" max="16" width="12.6944444444444" style="1457" customWidth="1"/>
    <col min="17" max="17" width="15.8148148148148" style="1745" customWidth="1"/>
    <col min="18" max="18" width="37.1203703703704" style="990" customWidth="1"/>
    <col min="19" max="19" width="84.8888888888889" style="991" customWidth="1"/>
    <col min="20" max="20" width="13" style="991" customWidth="1"/>
    <col min="21" max="21" width="12.8888888888889" style="839"/>
    <col min="22" max="23" width="12.8888888888889" style="839" customWidth="1"/>
    <col min="24" max="24" width="12.7314814814815" style="1940" customWidth="1"/>
    <col min="25" max="25" width="1.97222222222222" style="839" customWidth="1"/>
    <col min="26" max="26" width="9" style="991"/>
    <col min="27" max="27" width="13.2222222222222" style="839" customWidth="1"/>
    <col min="28" max="28" width="12.8888888888889" style="839" customWidth="1"/>
    <col min="29" max="29" width="11" style="1940" customWidth="1"/>
    <col min="30" max="16366" width="9" style="991"/>
    <col min="16367" max="16373" width="9" style="839"/>
    <col min="16374" max="16384" width="9" style="1935"/>
  </cols>
  <sheetData>
    <row r="1" s="188" customFormat="1" ht="14" hidden="1" customHeight="1" spans="1:29">
      <c r="A1" s="1772"/>
      <c r="B1" s="1941" t="s">
        <v>1925</v>
      </c>
      <c r="C1" s="97"/>
      <c r="D1" s="1466"/>
      <c r="E1" s="1466"/>
      <c r="F1" s="1466"/>
      <c r="G1" s="1466"/>
      <c r="H1" s="1466"/>
      <c r="I1" s="1466"/>
      <c r="J1" s="1466"/>
      <c r="K1" s="1466"/>
      <c r="L1" s="1466"/>
      <c r="M1" s="1466"/>
      <c r="N1" s="1466"/>
      <c r="O1" s="1467"/>
      <c r="P1" s="1467"/>
      <c r="Q1" s="1700"/>
      <c r="R1" s="1462"/>
      <c r="S1" s="1701" t="s">
        <v>1926</v>
      </c>
      <c r="T1" s="1942"/>
      <c r="U1" s="1702" t="s">
        <v>1428</v>
      </c>
      <c r="V1" s="1709" t="s">
        <v>1927</v>
      </c>
      <c r="W1" s="1709" t="s">
        <v>1928</v>
      </c>
      <c r="X1" s="1708" t="s">
        <v>1929</v>
      </c>
      <c r="Y1" s="840"/>
      <c r="Z1" s="1702" t="s">
        <v>1428</v>
      </c>
      <c r="AA1" s="1709" t="s">
        <v>1927</v>
      </c>
      <c r="AB1" s="1709" t="s">
        <v>1928</v>
      </c>
      <c r="AC1" s="1708" t="s">
        <v>1929</v>
      </c>
    </row>
    <row r="2" s="188" customFormat="1" ht="14" hidden="1" customHeight="1" spans="1:29">
      <c r="A2" s="1772"/>
      <c r="B2" s="97"/>
      <c r="C2" s="97"/>
      <c r="D2" s="1466"/>
      <c r="E2" s="1466"/>
      <c r="F2" s="1466"/>
      <c r="G2" s="1466"/>
      <c r="H2" s="1466"/>
      <c r="I2" s="1466"/>
      <c r="J2" s="1466"/>
      <c r="K2" s="1466"/>
      <c r="L2" s="1466"/>
      <c r="M2" s="1466"/>
      <c r="N2" s="1466"/>
      <c r="O2" s="1467"/>
      <c r="P2" s="1467"/>
      <c r="Q2" s="1700"/>
      <c r="R2" s="1462"/>
      <c r="S2" s="1701"/>
      <c r="T2" s="1942"/>
      <c r="U2" s="1705" t="s">
        <v>1428</v>
      </c>
      <c r="V2" s="1776" t="s">
        <v>1469</v>
      </c>
      <c r="W2" s="1707" t="s">
        <v>1470</v>
      </c>
      <c r="X2" s="1708">
        <v>0.64</v>
      </c>
      <c r="Y2" s="1709"/>
      <c r="Z2" s="1705" t="s">
        <v>1428</v>
      </c>
      <c r="AA2" s="1709" t="s">
        <v>1471</v>
      </c>
      <c r="AB2" s="1709">
        <v>9672</v>
      </c>
      <c r="AC2" s="1708">
        <v>1.05</v>
      </c>
    </row>
    <row r="3" s="188" customFormat="1" ht="14" hidden="1" customHeight="1" spans="1:29">
      <c r="A3" s="1772"/>
      <c r="B3" s="97"/>
      <c r="C3" s="97"/>
      <c r="D3" s="1466"/>
      <c r="E3" s="1466"/>
      <c r="F3" s="1466"/>
      <c r="G3" s="1466"/>
      <c r="H3" s="953"/>
      <c r="I3" s="1943"/>
      <c r="J3" s="1466"/>
      <c r="K3" s="1466"/>
      <c r="L3" s="1466"/>
      <c r="M3" s="1466"/>
      <c r="N3" s="1466"/>
      <c r="O3" s="1467"/>
      <c r="P3" s="1467"/>
      <c r="Q3" s="1700"/>
      <c r="R3" s="1462"/>
      <c r="S3" s="1701"/>
      <c r="T3" s="1942"/>
      <c r="U3" s="1705" t="s">
        <v>1428</v>
      </c>
      <c r="V3" s="1779"/>
      <c r="W3" s="1707" t="s">
        <v>1474</v>
      </c>
      <c r="X3" s="1708">
        <v>1.7769148</v>
      </c>
      <c r="Y3" s="1709"/>
      <c r="Z3" s="1702" t="s">
        <v>1428</v>
      </c>
      <c r="AA3" s="1709" t="s">
        <v>1930</v>
      </c>
      <c r="AB3" s="1709" t="s">
        <v>1480</v>
      </c>
      <c r="AC3" s="1708">
        <v>0.23</v>
      </c>
    </row>
    <row r="4" s="188" customFormat="1" ht="14" hidden="1" customHeight="1" spans="1:29">
      <c r="A4" s="1772"/>
      <c r="B4" s="97"/>
      <c r="C4" s="97"/>
      <c r="D4" s="1466"/>
      <c r="E4" s="1466"/>
      <c r="F4" s="1466"/>
      <c r="G4" s="1466"/>
      <c r="H4" s="1466"/>
      <c r="I4" s="1466"/>
      <c r="J4" s="1466"/>
      <c r="K4" s="1466"/>
      <c r="L4" s="1466"/>
      <c r="M4" s="1466"/>
      <c r="N4" s="1466"/>
      <c r="O4" s="1467"/>
      <c r="P4" s="1467"/>
      <c r="Q4" s="1700"/>
      <c r="R4" s="1462"/>
      <c r="S4" s="1701"/>
      <c r="T4" s="1942"/>
      <c r="U4" s="1705" t="s">
        <v>1428</v>
      </c>
      <c r="V4" s="1779"/>
      <c r="W4" s="1707" t="s">
        <v>1478</v>
      </c>
      <c r="X4" s="1708">
        <v>1.8079</v>
      </c>
      <c r="Y4" s="1709"/>
      <c r="Z4" s="1702" t="s">
        <v>1428</v>
      </c>
      <c r="AA4" s="1710" t="s">
        <v>1486</v>
      </c>
      <c r="AB4" s="1709">
        <v>8040</v>
      </c>
      <c r="AC4" s="1708">
        <v>2.948</v>
      </c>
    </row>
    <row r="5" s="188" customFormat="1" ht="14" hidden="1" customHeight="1" spans="1:29">
      <c r="A5" s="1772"/>
      <c r="B5" s="97"/>
      <c r="C5" s="97"/>
      <c r="D5" s="1466"/>
      <c r="E5" s="1466"/>
      <c r="F5" s="1466"/>
      <c r="G5" s="1466"/>
      <c r="H5" s="1466"/>
      <c r="I5" s="1466"/>
      <c r="J5" s="1466"/>
      <c r="K5" s="1466"/>
      <c r="L5" s="1466"/>
      <c r="M5" s="1466"/>
      <c r="N5" s="1466"/>
      <c r="O5" s="1467"/>
      <c r="P5" s="1467"/>
      <c r="Q5" s="1700"/>
      <c r="R5" s="1462"/>
      <c r="S5" s="1701"/>
      <c r="T5" s="1942"/>
      <c r="U5" s="1705" t="s">
        <v>1428</v>
      </c>
      <c r="V5" s="1779"/>
      <c r="W5" s="1707" t="s">
        <v>1485</v>
      </c>
      <c r="X5" s="1708">
        <v>0.52</v>
      </c>
      <c r="Y5" s="1709"/>
      <c r="Z5" s="1702" t="s">
        <v>1428</v>
      </c>
      <c r="AA5" s="1711"/>
      <c r="AB5" s="1709">
        <v>9040</v>
      </c>
      <c r="AC5" s="1708">
        <v>3.054</v>
      </c>
    </row>
    <row r="6" s="188" customFormat="1" ht="21" hidden="1" customHeight="1" spans="1:29">
      <c r="A6" s="1772"/>
      <c r="B6" s="97"/>
      <c r="C6" s="97"/>
      <c r="D6" s="1466"/>
      <c r="E6" s="1466"/>
      <c r="F6" s="1466"/>
      <c r="G6" s="1466"/>
      <c r="H6" s="1466"/>
      <c r="I6" s="1466"/>
      <c r="J6" s="1466"/>
      <c r="K6" s="1466"/>
      <c r="L6" s="1466"/>
      <c r="M6" s="1466"/>
      <c r="N6" s="1466"/>
      <c r="O6" s="1467"/>
      <c r="P6" s="1467"/>
      <c r="Q6" s="1700"/>
      <c r="R6" s="1462"/>
      <c r="S6" s="1701"/>
      <c r="T6" s="1942"/>
      <c r="U6" s="1702"/>
      <c r="V6" s="1780"/>
      <c r="W6" s="1709" t="s">
        <v>1489</v>
      </c>
      <c r="X6" s="1708">
        <v>0.93</v>
      </c>
      <c r="Y6" s="1709"/>
      <c r="Z6" s="1702"/>
      <c r="AA6" s="1709"/>
      <c r="AB6" s="1709"/>
      <c r="AC6" s="1708"/>
    </row>
    <row r="7" s="188" customFormat="1" ht="21" customHeight="1" spans="1:29">
      <c r="A7" s="1772"/>
      <c r="B7" s="1944" t="s">
        <v>3303</v>
      </c>
      <c r="C7" s="1945"/>
      <c r="D7" s="1944"/>
      <c r="E7" s="1944"/>
      <c r="F7" s="1945"/>
      <c r="G7" s="1945"/>
      <c r="H7" s="1945"/>
      <c r="I7" s="1945"/>
      <c r="J7" s="1945"/>
      <c r="K7" s="1944"/>
      <c r="L7" s="1944"/>
      <c r="M7" s="1944"/>
      <c r="N7" s="1944"/>
      <c r="O7" s="1944"/>
      <c r="P7" s="1944"/>
      <c r="Q7" s="1944"/>
      <c r="R7" s="1462"/>
      <c r="S7" s="1701"/>
      <c r="T7" s="1942"/>
      <c r="U7" s="1702"/>
      <c r="V7" s="1780"/>
      <c r="W7" s="1709"/>
      <c r="X7" s="1708"/>
      <c r="Y7" s="1709"/>
      <c r="Z7" s="1702"/>
      <c r="AA7" s="1709"/>
      <c r="AB7" s="1709"/>
      <c r="AC7" s="1708"/>
    </row>
    <row r="8" s="799" customFormat="1" ht="20" customHeight="1" spans="1:29">
      <c r="A8" s="1946" t="s">
        <v>1931</v>
      </c>
      <c r="B8" s="1947" t="s">
        <v>1</v>
      </c>
      <c r="C8" s="1948" t="s">
        <v>1932</v>
      </c>
      <c r="D8" s="1947" t="s">
        <v>2</v>
      </c>
      <c r="E8" s="1947" t="s">
        <v>1493</v>
      </c>
      <c r="F8" s="1948" t="s">
        <v>4</v>
      </c>
      <c r="G8" s="1949" t="s">
        <v>5</v>
      </c>
      <c r="H8" s="1950" t="s">
        <v>1933</v>
      </c>
      <c r="I8" s="1951" t="s">
        <v>1934</v>
      </c>
      <c r="J8" s="1948" t="s">
        <v>1497</v>
      </c>
      <c r="K8" s="1952" t="s">
        <v>1935</v>
      </c>
      <c r="L8" s="1952" t="s">
        <v>1497</v>
      </c>
      <c r="M8" s="1953" t="s">
        <v>6</v>
      </c>
      <c r="N8" s="1953" t="s">
        <v>7</v>
      </c>
      <c r="O8" s="1953" t="s">
        <v>8</v>
      </c>
      <c r="P8" s="1954" t="s">
        <v>3304</v>
      </c>
      <c r="Q8" s="1953" t="s">
        <v>9</v>
      </c>
      <c r="R8" s="1955" t="s">
        <v>10</v>
      </c>
      <c r="S8" s="1956" t="s">
        <v>1936</v>
      </c>
      <c r="T8" s="1957"/>
      <c r="U8" s="1702"/>
      <c r="V8" s="1621"/>
      <c r="W8" s="1709"/>
      <c r="X8" s="1708"/>
      <c r="Y8" s="1709"/>
      <c r="Z8" s="1702"/>
      <c r="AA8" s="1621"/>
      <c r="AB8" s="1709"/>
      <c r="AC8" s="1708"/>
    </row>
    <row r="9" s="839" customFormat="1" ht="16" hidden="1" customHeight="1" spans="1:29">
      <c r="A9" s="839">
        <v>1</v>
      </c>
      <c r="B9" s="1958" t="s">
        <v>1937</v>
      </c>
      <c r="C9" s="1958"/>
      <c r="D9" s="1959">
        <v>20260104</v>
      </c>
      <c r="E9" s="1959">
        <v>7.01</v>
      </c>
      <c r="F9" s="1949" t="s">
        <v>1407</v>
      </c>
      <c r="G9" s="1949"/>
      <c r="H9" s="1949"/>
      <c r="I9" s="1949"/>
      <c r="J9" s="1638" t="s">
        <v>1938</v>
      </c>
      <c r="K9" s="1638" t="s">
        <v>1507</v>
      </c>
      <c r="L9" s="1642" t="s">
        <v>1938</v>
      </c>
      <c r="M9" s="1642">
        <f>[2]深圳英众PCB单价清单!$P$1014/E9/1.13</f>
        <v>3.72413618976683</v>
      </c>
      <c r="N9" s="1643">
        <v>41.2486229704026</v>
      </c>
      <c r="O9" s="1642">
        <v>3.5</v>
      </c>
      <c r="P9" s="1642"/>
      <c r="Q9" s="1642">
        <f t="shared" ref="Q9:Q23" si="0">SUM(K9:O9)</f>
        <v>48.4727591601694</v>
      </c>
      <c r="R9" s="1955" t="s">
        <v>1526</v>
      </c>
      <c r="S9" s="1949" t="s">
        <v>1939</v>
      </c>
      <c r="T9" s="1960"/>
      <c r="U9" s="1961"/>
      <c r="V9" s="1601"/>
      <c r="W9" s="1962"/>
      <c r="X9" s="1963"/>
      <c r="Y9" s="1962"/>
      <c r="Z9" s="1961"/>
      <c r="AA9" s="1601"/>
      <c r="AB9" s="1962"/>
      <c r="AC9" s="1963"/>
    </row>
    <row r="10" s="839" customFormat="1" ht="16" hidden="1" customHeight="1" spans="1:29">
      <c r="A10" s="839">
        <v>2</v>
      </c>
      <c r="B10" s="1958" t="s">
        <v>1940</v>
      </c>
      <c r="C10" s="1958"/>
      <c r="D10" s="1959"/>
      <c r="E10" s="1959"/>
      <c r="F10" s="1949" t="s">
        <v>1408</v>
      </c>
      <c r="G10" s="1949"/>
      <c r="H10" s="1949"/>
      <c r="I10" s="1949"/>
      <c r="J10" s="1638" t="s">
        <v>1938</v>
      </c>
      <c r="K10" s="1638" t="s">
        <v>1938</v>
      </c>
      <c r="L10" s="1642" t="s">
        <v>1938</v>
      </c>
      <c r="M10" s="1642">
        <v>0.6</v>
      </c>
      <c r="N10" s="1643">
        <v>0.48775694130522</v>
      </c>
      <c r="O10" s="1642">
        <v>0.5</v>
      </c>
      <c r="P10" s="1642"/>
      <c r="Q10" s="1642">
        <f t="shared" si="0"/>
        <v>1.58775694130522</v>
      </c>
      <c r="R10" s="1955" t="s">
        <v>1526</v>
      </c>
      <c r="S10" s="1949" t="s">
        <v>1941</v>
      </c>
      <c r="T10" s="1960"/>
      <c r="U10" s="1961"/>
      <c r="V10" s="1601"/>
      <c r="W10" s="1962"/>
      <c r="X10" s="1963"/>
      <c r="Y10" s="1962"/>
      <c r="Z10" s="1961"/>
      <c r="AA10" s="1601"/>
      <c r="AB10" s="1962"/>
      <c r="AC10" s="1963"/>
    </row>
    <row r="11" s="839" customFormat="1" ht="16" hidden="1" customHeight="1" spans="1:29">
      <c r="B11" s="1958" t="s">
        <v>1942</v>
      </c>
      <c r="C11" s="1958"/>
      <c r="D11" s="1959"/>
      <c r="E11" s="1959">
        <v>6.78</v>
      </c>
      <c r="F11" s="1959" t="s">
        <v>715</v>
      </c>
      <c r="G11" s="1949"/>
      <c r="H11" s="1949"/>
      <c r="I11" s="1949"/>
      <c r="J11" s="1964" t="s">
        <v>1428</v>
      </c>
      <c r="K11" s="1964" t="s">
        <v>712</v>
      </c>
      <c r="L11" s="1964" t="s">
        <v>1428</v>
      </c>
      <c r="M11" s="1965">
        <f>27.8/E11/1.13</f>
        <v>3.62857963296525</v>
      </c>
      <c r="N11" s="1966">
        <v>14.1</v>
      </c>
      <c r="O11" s="1965">
        <f t="shared" ref="O11:O15" si="1">22/E11</f>
        <v>3.24483775811209</v>
      </c>
      <c r="P11" s="1965"/>
      <c r="Q11" s="1965">
        <f t="shared" si="0"/>
        <v>20.9734173910773</v>
      </c>
      <c r="R11" s="1967" t="s">
        <v>1526</v>
      </c>
      <c r="S11" s="1958" t="s">
        <v>1943</v>
      </c>
      <c r="T11" s="1960"/>
      <c r="U11" s="1961"/>
      <c r="V11" s="1601"/>
      <c r="W11" s="1962"/>
      <c r="X11" s="1963"/>
      <c r="Y11" s="1962"/>
      <c r="Z11" s="1961"/>
      <c r="AA11" s="1601"/>
      <c r="AB11" s="1962"/>
      <c r="AC11" s="1963"/>
    </row>
    <row r="12" s="839" customFormat="1" ht="16" hidden="1" customHeight="1" spans="1:29">
      <c r="B12" s="1968" t="s">
        <v>1944</v>
      </c>
      <c r="C12" s="1968"/>
      <c r="D12" s="1969"/>
      <c r="E12" s="1969">
        <v>6.78</v>
      </c>
      <c r="F12" s="1970" t="s">
        <v>1945</v>
      </c>
      <c r="G12" s="1949"/>
      <c r="H12" s="1949">
        <f>H10-H11</f>
        <v>0</v>
      </c>
      <c r="I12" s="1949"/>
      <c r="J12" s="1971" t="s">
        <v>1428</v>
      </c>
      <c r="K12" s="1971" t="s">
        <v>712</v>
      </c>
      <c r="L12" s="1971" t="s">
        <v>1428</v>
      </c>
      <c r="M12" s="1574">
        <f>58.17/E12/1.13*1.05</f>
        <v>7.9722374500744</v>
      </c>
      <c r="N12" s="1574">
        <f>16.4*1.05</f>
        <v>17.22</v>
      </c>
      <c r="O12" s="1574">
        <f>23/E12</f>
        <v>3.39233038348083</v>
      </c>
      <c r="P12" s="1574"/>
      <c r="Q12" s="1574">
        <f t="shared" si="0"/>
        <v>28.5845678335552</v>
      </c>
      <c r="R12" s="1972" t="s">
        <v>1946</v>
      </c>
      <c r="S12" s="1949"/>
      <c r="T12" s="1960"/>
      <c r="U12" s="1961"/>
      <c r="V12" s="1601"/>
      <c r="W12" s="1962"/>
      <c r="X12" s="1963"/>
      <c r="Y12" s="1962"/>
      <c r="Z12" s="1961"/>
      <c r="AA12" s="1601"/>
      <c r="AB12" s="1962"/>
      <c r="AC12" s="1963"/>
    </row>
    <row r="13" s="839" customFormat="1" ht="16" hidden="1" customHeight="1" spans="1:29">
      <c r="B13" s="1968" t="s">
        <v>1944</v>
      </c>
      <c r="C13" s="1968"/>
      <c r="D13" s="1969"/>
      <c r="E13" s="1969">
        <v>6.78</v>
      </c>
      <c r="F13" s="1970" t="s">
        <v>1947</v>
      </c>
      <c r="G13" s="1949"/>
      <c r="H13" s="1949"/>
      <c r="I13" s="1949"/>
      <c r="J13" s="1971" t="s">
        <v>1428</v>
      </c>
      <c r="K13" s="1971" t="s">
        <v>712</v>
      </c>
      <c r="L13" s="1971" t="s">
        <v>1428</v>
      </c>
      <c r="M13" s="1574">
        <f>58.17/E13/1.13*1.05</f>
        <v>7.9722374500744</v>
      </c>
      <c r="N13" s="1973">
        <f>16.4*1.05</f>
        <v>17.22</v>
      </c>
      <c r="O13" s="1574">
        <f>23/E13</f>
        <v>3.39233038348083</v>
      </c>
      <c r="P13" s="1574"/>
      <c r="Q13" s="1574">
        <f t="shared" si="0"/>
        <v>28.5845678335552</v>
      </c>
      <c r="R13" s="1972" t="s">
        <v>1946</v>
      </c>
      <c r="S13" s="1949"/>
      <c r="T13" s="1960"/>
      <c r="U13" s="1961"/>
      <c r="V13" s="1601"/>
      <c r="W13" s="1962"/>
      <c r="X13" s="1963"/>
      <c r="Y13" s="1962"/>
      <c r="Z13" s="1961"/>
      <c r="AA13" s="1601"/>
      <c r="AB13" s="1962"/>
      <c r="AC13" s="1963"/>
    </row>
    <row r="14" s="839" customFormat="1" ht="16" hidden="1" customHeight="1" spans="1:29">
      <c r="B14" s="1974" t="s">
        <v>1948</v>
      </c>
      <c r="C14" s="1958"/>
      <c r="D14" s="1959"/>
      <c r="E14" s="1959">
        <v>6.78</v>
      </c>
      <c r="F14" s="1970" t="s">
        <v>1949</v>
      </c>
      <c r="G14" s="1949"/>
      <c r="H14" s="1949"/>
      <c r="I14" s="1949"/>
      <c r="J14" s="1975" t="s">
        <v>1428</v>
      </c>
      <c r="K14" s="1975" t="s">
        <v>712</v>
      </c>
      <c r="L14" s="1975" t="s">
        <v>1428</v>
      </c>
      <c r="M14" s="1976">
        <f>62.5/E14/1.13</f>
        <v>8.15777795181037</v>
      </c>
      <c r="N14" s="1973">
        <f>13.95*1.05</f>
        <v>14.6475</v>
      </c>
      <c r="O14" s="1976">
        <f t="shared" si="1"/>
        <v>3.24483775811209</v>
      </c>
      <c r="P14" s="1976"/>
      <c r="Q14" s="1976">
        <f t="shared" si="0"/>
        <v>26.0501157099225</v>
      </c>
      <c r="R14" s="1974" t="s">
        <v>1950</v>
      </c>
      <c r="S14" s="1949"/>
      <c r="T14" s="1960"/>
      <c r="U14" s="1961"/>
      <c r="V14" s="1601"/>
      <c r="W14" s="1962"/>
      <c r="X14" s="1963"/>
      <c r="Y14" s="1962"/>
      <c r="Z14" s="1961"/>
      <c r="AA14" s="1601"/>
      <c r="AB14" s="1962"/>
      <c r="AC14" s="1963"/>
    </row>
    <row r="15" s="1930" customFormat="1" ht="16" hidden="1" customHeight="1" spans="1:29">
      <c r="A15" s="839"/>
      <c r="B15" s="1974" t="s">
        <v>1948</v>
      </c>
      <c r="C15" s="1958"/>
      <c r="D15" s="1959"/>
      <c r="E15" s="1959">
        <v>6.78</v>
      </c>
      <c r="F15" s="1970" t="s">
        <v>1951</v>
      </c>
      <c r="G15" s="1635"/>
      <c r="H15" s="1636"/>
      <c r="I15" s="1635"/>
      <c r="J15" s="1975" t="s">
        <v>1428</v>
      </c>
      <c r="K15" s="1975" t="s">
        <v>712</v>
      </c>
      <c r="L15" s="1975" t="s">
        <v>1428</v>
      </c>
      <c r="M15" s="1976">
        <f>62.5/E15/1.13</f>
        <v>8.15777795181037</v>
      </c>
      <c r="N15" s="1976">
        <f>15.4*1.05</f>
        <v>16.17</v>
      </c>
      <c r="O15" s="1976">
        <f t="shared" si="1"/>
        <v>3.24483775811209</v>
      </c>
      <c r="P15" s="1976"/>
      <c r="Q15" s="1976">
        <f t="shared" si="0"/>
        <v>27.5726157099225</v>
      </c>
      <c r="R15" s="1974" t="s">
        <v>1950</v>
      </c>
      <c r="S15" s="1636"/>
      <c r="U15" s="1977"/>
      <c r="Z15" s="1977"/>
    </row>
    <row r="16" s="1930" customFormat="1" ht="16" hidden="1" customHeight="1" spans="1:29">
      <c r="A16" s="839"/>
      <c r="B16" s="1978" t="s">
        <v>1790</v>
      </c>
      <c r="C16" s="1978" t="s">
        <v>1791</v>
      </c>
      <c r="D16" s="1979">
        <v>46241</v>
      </c>
      <c r="E16" s="1980">
        <v>6.78</v>
      </c>
      <c r="F16" s="1981" t="s">
        <v>1952</v>
      </c>
      <c r="G16" s="1982"/>
      <c r="H16" s="1983"/>
      <c r="I16" s="1975"/>
      <c r="J16" s="1984" t="s">
        <v>1428</v>
      </c>
      <c r="K16" s="1980" t="s">
        <v>712</v>
      </c>
      <c r="L16" s="1984" t="s">
        <v>1428</v>
      </c>
      <c r="M16" s="1985">
        <f>59.12/E16/1.13</f>
        <v>7.71660532017647</v>
      </c>
      <c r="N16" s="1985">
        <v>14.2</v>
      </c>
      <c r="O16" s="1985">
        <v>2.94</v>
      </c>
      <c r="P16" s="1985"/>
      <c r="Q16" s="1976">
        <f t="shared" si="0"/>
        <v>24.8566053201765</v>
      </c>
      <c r="R16" s="1986" t="s">
        <v>1953</v>
      </c>
      <c r="S16" s="1987">
        <v>12.8666312356171</v>
      </c>
      <c r="T16" s="1988" t="s">
        <v>1526</v>
      </c>
      <c r="U16" s="1989" t="s">
        <v>1569</v>
      </c>
      <c r="Z16" s="1977"/>
    </row>
    <row r="17" s="1930" customFormat="1" ht="16" hidden="1" customHeight="1" spans="1:29">
      <c r="A17" s="839"/>
      <c r="B17" s="1978" t="s">
        <v>1954</v>
      </c>
      <c r="C17" s="1978" t="s">
        <v>1955</v>
      </c>
      <c r="D17" s="1979"/>
      <c r="E17" s="1980">
        <v>6.75</v>
      </c>
      <c r="F17" s="1981" t="s">
        <v>1956</v>
      </c>
      <c r="G17" s="1980" t="s">
        <v>1565</v>
      </c>
      <c r="H17" s="1983"/>
      <c r="I17" s="1975"/>
      <c r="J17" s="1984" t="s">
        <v>1428</v>
      </c>
      <c r="K17" s="1980" t="s">
        <v>712</v>
      </c>
      <c r="L17" s="1984" t="s">
        <v>1428</v>
      </c>
      <c r="M17" s="1985">
        <f t="shared" ref="M17:M19" si="2">340.5/E17/1.13</f>
        <v>44.6411012782694</v>
      </c>
      <c r="N17" s="1985">
        <v>55.6</v>
      </c>
      <c r="O17" s="1985">
        <f t="shared" ref="O17:O20" si="3">34/E17</f>
        <v>5.03703703703704</v>
      </c>
      <c r="P17" s="1985"/>
      <c r="Q17" s="1574">
        <f t="shared" si="0"/>
        <v>105.278138315306</v>
      </c>
      <c r="R17" s="1986" t="s">
        <v>1340</v>
      </c>
      <c r="S17" s="1987"/>
      <c r="T17" s="1990"/>
      <c r="U17" s="1991"/>
      <c r="Z17" s="1977"/>
    </row>
    <row r="18" s="1930" customFormat="1" ht="16" hidden="1" customHeight="1" spans="1:29">
      <c r="A18" s="839"/>
      <c r="B18" s="1978" t="s">
        <v>1954</v>
      </c>
      <c r="C18" s="1978" t="s">
        <v>1955</v>
      </c>
      <c r="D18" s="1979"/>
      <c r="E18" s="1980">
        <v>6.75</v>
      </c>
      <c r="F18" s="1981" t="s">
        <v>1957</v>
      </c>
      <c r="G18" s="1980" t="s">
        <v>1617</v>
      </c>
      <c r="H18" s="1983"/>
      <c r="I18" s="1975"/>
      <c r="J18" s="1984" t="s">
        <v>1428</v>
      </c>
      <c r="K18" s="1980" t="s">
        <v>712</v>
      </c>
      <c r="L18" s="1984" t="s">
        <v>1428</v>
      </c>
      <c r="M18" s="1985">
        <f t="shared" si="2"/>
        <v>44.6411012782694</v>
      </c>
      <c r="N18" s="1985">
        <v>54.9</v>
      </c>
      <c r="O18" s="1985">
        <f t="shared" si="3"/>
        <v>5.03703703703704</v>
      </c>
      <c r="P18" s="1985"/>
      <c r="Q18" s="1574">
        <f t="shared" si="0"/>
        <v>104.578138315306</v>
      </c>
      <c r="R18" s="1986" t="s">
        <v>1340</v>
      </c>
      <c r="S18" s="1987"/>
      <c r="T18" s="1990"/>
      <c r="U18" s="1991"/>
      <c r="Z18" s="1977"/>
    </row>
    <row r="19" s="1930" customFormat="1" ht="16" hidden="1" customHeight="1" spans="1:29">
      <c r="A19" s="839"/>
      <c r="B19" s="1978" t="s">
        <v>1954</v>
      </c>
      <c r="C19" s="1978" t="s">
        <v>1955</v>
      </c>
      <c r="D19" s="1979"/>
      <c r="E19" s="1980">
        <v>6.75</v>
      </c>
      <c r="F19" s="1981" t="s">
        <v>1958</v>
      </c>
      <c r="G19" s="1980" t="s">
        <v>1629</v>
      </c>
      <c r="H19" s="1983"/>
      <c r="I19" s="1975"/>
      <c r="J19" s="1984" t="s">
        <v>1428</v>
      </c>
      <c r="K19" s="1980" t="s">
        <v>712</v>
      </c>
      <c r="L19" s="1984" t="s">
        <v>1428</v>
      </c>
      <c r="M19" s="1985">
        <f t="shared" si="2"/>
        <v>44.6411012782694</v>
      </c>
      <c r="N19" s="1985">
        <v>54.8</v>
      </c>
      <c r="O19" s="1985">
        <f t="shared" si="3"/>
        <v>5.03703703703704</v>
      </c>
      <c r="P19" s="1985"/>
      <c r="Q19" s="1574">
        <f t="shared" si="0"/>
        <v>104.478138315306</v>
      </c>
      <c r="R19" s="1986" t="s">
        <v>1340</v>
      </c>
      <c r="S19" s="1987"/>
      <c r="T19" s="1990"/>
      <c r="U19" s="1991"/>
      <c r="Z19" s="1977"/>
    </row>
    <row r="20" s="1930" customFormat="1" ht="16" hidden="1" customHeight="1" spans="1:29">
      <c r="A20" s="839"/>
      <c r="B20" s="1978" t="s">
        <v>1954</v>
      </c>
      <c r="C20" s="1978" t="s">
        <v>1955</v>
      </c>
      <c r="D20" s="1992"/>
      <c r="E20" s="1993">
        <v>6.72</v>
      </c>
      <c r="F20" s="1645" t="s">
        <v>1959</v>
      </c>
      <c r="G20" s="1635"/>
      <c r="H20" s="1636"/>
      <c r="I20" s="1635"/>
      <c r="J20" s="1984" t="s">
        <v>1428</v>
      </c>
      <c r="K20" s="1980" t="s">
        <v>712</v>
      </c>
      <c r="L20" s="1984" t="s">
        <v>1428</v>
      </c>
      <c r="M20" s="1574">
        <f>73.78/E20/1.13</f>
        <v>9.71607669616519</v>
      </c>
      <c r="N20" s="1574">
        <v>57.7</v>
      </c>
      <c r="O20" s="1985">
        <f t="shared" si="3"/>
        <v>5.05952380952381</v>
      </c>
      <c r="P20" s="1985"/>
      <c r="Q20" s="1574">
        <f t="shared" si="0"/>
        <v>72.475600505689</v>
      </c>
      <c r="R20" s="1632" t="s">
        <v>1960</v>
      </c>
      <c r="S20" s="1994"/>
      <c r="U20" s="1977"/>
      <c r="Z20" s="1977"/>
    </row>
    <row r="21" s="1930" customFormat="1" ht="16" hidden="1" customHeight="1" spans="1:29">
      <c r="A21" s="839"/>
      <c r="B21" s="1645" t="s">
        <v>1961</v>
      </c>
      <c r="C21" s="1995" t="s">
        <v>1962</v>
      </c>
      <c r="D21" s="1992">
        <v>46275</v>
      </c>
      <c r="E21" s="1993">
        <v>6.72</v>
      </c>
      <c r="F21" s="1646" t="s">
        <v>1963</v>
      </c>
      <c r="G21" s="1635"/>
      <c r="H21" s="1636"/>
      <c r="I21" s="1635"/>
      <c r="J21" s="1984" t="s">
        <v>1428</v>
      </c>
      <c r="K21" s="1980" t="s">
        <v>712</v>
      </c>
      <c r="L21" s="1984" t="s">
        <v>1428</v>
      </c>
      <c r="M21" s="1574">
        <f t="shared" ref="M21:M23" si="4">352.5/E21/1.13</f>
        <v>46.4206700379267</v>
      </c>
      <c r="N21" s="1574">
        <v>77.1</v>
      </c>
      <c r="O21" s="1574">
        <f t="shared" ref="O21:O23" si="5">40/E21</f>
        <v>5.95238095238095</v>
      </c>
      <c r="P21" s="1574"/>
      <c r="Q21" s="1574">
        <f t="shared" si="0"/>
        <v>129.473050990308</v>
      </c>
      <c r="R21" s="1632" t="s">
        <v>1964</v>
      </c>
      <c r="S21" s="1994" t="s">
        <v>1965</v>
      </c>
      <c r="U21" s="1977"/>
      <c r="Z21" s="1977"/>
    </row>
    <row r="22" s="1930" customFormat="1" ht="16" hidden="1" customHeight="1" spans="1:29">
      <c r="A22" s="839"/>
      <c r="B22" s="1645" t="s">
        <v>1961</v>
      </c>
      <c r="C22" s="1995" t="s">
        <v>1962</v>
      </c>
      <c r="D22" s="1992">
        <v>46275</v>
      </c>
      <c r="E22" s="1993">
        <v>6.72</v>
      </c>
      <c r="F22" s="1646" t="s">
        <v>1966</v>
      </c>
      <c r="G22" s="1635"/>
      <c r="H22" s="1636"/>
      <c r="I22" s="1635"/>
      <c r="J22" s="1984" t="s">
        <v>1428</v>
      </c>
      <c r="K22" s="1980" t="s">
        <v>712</v>
      </c>
      <c r="L22" s="1984" t="s">
        <v>1428</v>
      </c>
      <c r="M22" s="1574">
        <f t="shared" si="4"/>
        <v>46.4206700379267</v>
      </c>
      <c r="N22" s="1574">
        <v>77.7</v>
      </c>
      <c r="O22" s="1574">
        <f t="shared" si="5"/>
        <v>5.95238095238095</v>
      </c>
      <c r="P22" s="1574"/>
      <c r="Q22" s="1574">
        <f t="shared" si="0"/>
        <v>130.073050990308</v>
      </c>
      <c r="R22" s="1632" t="s">
        <v>1964</v>
      </c>
      <c r="S22" s="1994" t="s">
        <v>1965</v>
      </c>
      <c r="U22" s="1977"/>
      <c r="Z22" s="1977"/>
    </row>
    <row r="23" s="1930" customFormat="1" ht="16" hidden="1" customHeight="1" spans="1:29">
      <c r="A23" s="839"/>
      <c r="B23" s="1645" t="s">
        <v>1961</v>
      </c>
      <c r="C23" s="1995" t="s">
        <v>1962</v>
      </c>
      <c r="D23" s="1992">
        <v>46275</v>
      </c>
      <c r="E23" s="1993">
        <v>6.72</v>
      </c>
      <c r="F23" s="1646" t="s">
        <v>1967</v>
      </c>
      <c r="G23" s="1635"/>
      <c r="H23" s="1636"/>
      <c r="I23" s="1635"/>
      <c r="J23" s="1984" t="s">
        <v>1428</v>
      </c>
      <c r="K23" s="1980" t="s">
        <v>712</v>
      </c>
      <c r="L23" s="1984" t="s">
        <v>1428</v>
      </c>
      <c r="M23" s="1574">
        <f t="shared" si="4"/>
        <v>46.4206700379267</v>
      </c>
      <c r="N23" s="1574">
        <v>77.7</v>
      </c>
      <c r="O23" s="1574">
        <f t="shared" si="5"/>
        <v>5.95238095238095</v>
      </c>
      <c r="P23" s="1574"/>
      <c r="Q23" s="1574">
        <f t="shared" si="0"/>
        <v>130.073050990308</v>
      </c>
      <c r="R23" s="1632" t="s">
        <v>1968</v>
      </c>
      <c r="S23" s="1994" t="s">
        <v>1965</v>
      </c>
      <c r="U23" s="1977"/>
      <c r="Z23" s="1977"/>
    </row>
    <row r="24" s="1930" customFormat="1" ht="16" hidden="1" customHeight="1" spans="1:29">
      <c r="A24" s="839"/>
      <c r="B24" s="1995" t="s">
        <v>1969</v>
      </c>
      <c r="C24" s="1995"/>
      <c r="D24" s="1996"/>
      <c r="E24" s="1993">
        <v>6.78</v>
      </c>
      <c r="F24" s="1635" t="s">
        <v>1951</v>
      </c>
      <c r="G24" s="1635"/>
      <c r="H24" s="1636"/>
      <c r="I24" s="1635"/>
      <c r="J24" s="1635"/>
      <c r="K24" s="1638"/>
      <c r="L24" s="1642"/>
      <c r="M24" s="1642"/>
      <c r="N24" s="1642">
        <f>16.02*1.1</f>
        <v>17.622</v>
      </c>
      <c r="O24" s="1642">
        <f>22/E24</f>
        <v>3.24483775811209</v>
      </c>
      <c r="P24" s="1642"/>
      <c r="Q24" s="1643"/>
      <c r="R24" s="1633"/>
      <c r="S24" s="1636"/>
      <c r="U24" s="1977"/>
      <c r="Z24" s="1977"/>
    </row>
    <row r="25" s="1930" customFormat="1" ht="16" hidden="1" customHeight="1" spans="1:29">
      <c r="A25" s="839">
        <v>3</v>
      </c>
      <c r="B25" s="1995" t="s">
        <v>1970</v>
      </c>
      <c r="C25" s="1995"/>
      <c r="D25" s="1996">
        <v>20251128</v>
      </c>
      <c r="E25" s="1993">
        <v>7.01</v>
      </c>
      <c r="F25" s="1635" t="s">
        <v>1804</v>
      </c>
      <c r="G25" s="1635" t="s">
        <v>1565</v>
      </c>
      <c r="H25" s="1636" t="s">
        <v>1971</v>
      </c>
      <c r="I25" s="1635" t="s">
        <v>1806</v>
      </c>
      <c r="J25" s="1635" t="s">
        <v>1567</v>
      </c>
      <c r="K25" s="1638" t="s">
        <v>1507</v>
      </c>
      <c r="L25" s="1642">
        <v>7.5</v>
      </c>
      <c r="M25" s="1642">
        <f>68.912/E220/1.13</f>
        <v>8.50544920452722</v>
      </c>
      <c r="N25" s="1642">
        <f>29.9075200457023+2.5</f>
        <v>32.4075200457023</v>
      </c>
      <c r="O25" s="1642">
        <v>4</v>
      </c>
      <c r="P25" s="1642"/>
      <c r="Q25" s="1643">
        <f t="shared" ref="Q25:Q36" si="6">SUM(L25:O25)</f>
        <v>52.4129692502295</v>
      </c>
      <c r="R25" s="1633" t="s">
        <v>1526</v>
      </c>
      <c r="S25" s="1636" t="s">
        <v>1972</v>
      </c>
      <c r="U25" s="1977"/>
      <c r="Z25" s="1977"/>
    </row>
    <row r="26" s="1930" customFormat="1" ht="16" hidden="1" customHeight="1" spans="1:29">
      <c r="A26" s="839">
        <v>1</v>
      </c>
      <c r="B26" s="1997" t="s">
        <v>1973</v>
      </c>
      <c r="C26" s="1997"/>
      <c r="D26" s="1998">
        <v>46126</v>
      </c>
      <c r="E26" s="1996">
        <v>6.837</v>
      </c>
      <c r="F26" s="1635" t="s">
        <v>1974</v>
      </c>
      <c r="G26" s="1635"/>
      <c r="H26" s="1636"/>
      <c r="I26" s="1637"/>
      <c r="J26" s="1638"/>
      <c r="K26" s="1638"/>
      <c r="L26" s="1999">
        <v>7.5</v>
      </c>
      <c r="M26" s="1642">
        <f>68.91/E26/1.3</f>
        <v>7.75306308434874</v>
      </c>
      <c r="N26" s="1643">
        <v>30.1</v>
      </c>
      <c r="O26" s="1642">
        <v>4</v>
      </c>
      <c r="P26" s="1642"/>
      <c r="Q26" s="1643">
        <f>SUBTOTAL(109,L26:O26)</f>
        <v>0</v>
      </c>
      <c r="R26" s="1633"/>
      <c r="S26" s="1638"/>
      <c r="X26" s="1977"/>
    </row>
    <row r="27" s="1930" customFormat="1" ht="16" hidden="1" customHeight="1" spans="1:29">
      <c r="A27" s="839"/>
      <c r="B27" s="1644" t="s">
        <v>1975</v>
      </c>
      <c r="C27" s="1997"/>
      <c r="D27" s="2000">
        <v>20251229</v>
      </c>
      <c r="E27" s="1996">
        <v>7.01</v>
      </c>
      <c r="F27" s="1646" t="s">
        <v>1976</v>
      </c>
      <c r="G27" s="1646"/>
      <c r="H27" s="2001" t="s">
        <v>1977</v>
      </c>
      <c r="I27" s="2002" t="s">
        <v>1700</v>
      </c>
      <c r="J27" s="1971" t="s">
        <v>1507</v>
      </c>
      <c r="K27" s="1971" t="s">
        <v>1507</v>
      </c>
      <c r="L27" s="2003" t="s">
        <v>1507</v>
      </c>
      <c r="M27" s="1574"/>
      <c r="N27" s="1648">
        <v>28.2</v>
      </c>
      <c r="O27" s="1574">
        <v>0.3</v>
      </c>
      <c r="P27" s="1574"/>
      <c r="Q27" s="1648">
        <f>SUM(M27:O27)</f>
        <v>28.5</v>
      </c>
      <c r="R27" s="1633" t="s">
        <v>1978</v>
      </c>
      <c r="S27" s="1633"/>
      <c r="X27" s="1977"/>
    </row>
    <row r="28" s="1930" customFormat="1" ht="16" hidden="1" customHeight="1" spans="1:29">
      <c r="A28" s="839">
        <v>4</v>
      </c>
      <c r="B28" s="1997" t="s">
        <v>1975</v>
      </c>
      <c r="C28" s="1997"/>
      <c r="D28" s="2000">
        <v>20251229</v>
      </c>
      <c r="E28" s="1996">
        <v>7.01</v>
      </c>
      <c r="F28" s="1635" t="s">
        <v>1979</v>
      </c>
      <c r="G28" s="1635"/>
      <c r="H28" s="1636" t="s">
        <v>1977</v>
      </c>
      <c r="I28" s="1637" t="s">
        <v>1700</v>
      </c>
      <c r="J28" s="1638" t="s">
        <v>1507</v>
      </c>
      <c r="K28" s="1638" t="s">
        <v>1507</v>
      </c>
      <c r="L28" s="1999" t="s">
        <v>1507</v>
      </c>
      <c r="M28" s="1642">
        <f>60.16/E28/1.13</f>
        <v>7.59471298902958</v>
      </c>
      <c r="N28" s="1643">
        <v>29.5819336801011</v>
      </c>
      <c r="O28" s="1642">
        <v>4</v>
      </c>
      <c r="P28" s="1642"/>
      <c r="Q28" s="1643">
        <f>SUM(M28:O28)</f>
        <v>41.1766466691307</v>
      </c>
      <c r="R28" s="1633" t="s">
        <v>1526</v>
      </c>
      <c r="S28" s="1638" t="s">
        <v>1980</v>
      </c>
      <c r="X28" s="1977"/>
    </row>
    <row r="29" s="839" customFormat="1" ht="16" hidden="1" customHeight="1" spans="1:29">
      <c r="A29" s="839">
        <v>6</v>
      </c>
      <c r="B29" s="258" t="s">
        <v>1981</v>
      </c>
      <c r="C29" s="2004" t="s">
        <v>1843</v>
      </c>
      <c r="D29" s="2005">
        <v>46087</v>
      </c>
      <c r="E29" s="2006">
        <v>6.8226</v>
      </c>
      <c r="F29" s="2006" t="s">
        <v>1982</v>
      </c>
      <c r="G29" s="2007" t="s">
        <v>1629</v>
      </c>
      <c r="H29" s="2008" t="s">
        <v>1977</v>
      </c>
      <c r="I29" s="2009" t="s">
        <v>1859</v>
      </c>
      <c r="J29" s="2007" t="s">
        <v>1983</v>
      </c>
      <c r="K29" s="2007" t="s">
        <v>712</v>
      </c>
      <c r="L29" s="2010">
        <v>11.5</v>
      </c>
      <c r="M29" s="2011">
        <f t="shared" ref="M29:M33" si="7">17.24/E29/1.13</f>
        <v>2.23619106618321</v>
      </c>
      <c r="N29" s="2011">
        <f>14.4+0.57</f>
        <v>14.97</v>
      </c>
      <c r="O29" s="2012">
        <f t="shared" ref="O29:O32" si="8">20.5/E29</f>
        <v>3.00471960836045</v>
      </c>
      <c r="P29" s="2012"/>
      <c r="Q29" s="2012">
        <f t="shared" si="6"/>
        <v>31.7109106745437</v>
      </c>
      <c r="R29" s="2013" t="s">
        <v>1984</v>
      </c>
      <c r="S29" s="2014" t="s">
        <v>1985</v>
      </c>
      <c r="W29" s="2015"/>
      <c r="X29" s="1940"/>
      <c r="AC29" s="1940"/>
    </row>
    <row r="30" s="839" customFormat="1" ht="16" hidden="1" customHeight="1" spans="1:29">
      <c r="A30" s="839">
        <v>1</v>
      </c>
      <c r="B30" s="2014"/>
      <c r="C30" s="258" t="s">
        <v>1843</v>
      </c>
      <c r="D30" s="2016">
        <v>46136</v>
      </c>
      <c r="E30" s="2006">
        <v>6.8225</v>
      </c>
      <c r="F30" s="2006" t="s">
        <v>1986</v>
      </c>
      <c r="G30" s="511" t="s">
        <v>1617</v>
      </c>
      <c r="H30" s="2017" t="s">
        <v>1977</v>
      </c>
      <c r="I30" s="2018" t="s">
        <v>1859</v>
      </c>
      <c r="J30" s="2006" t="s">
        <v>1987</v>
      </c>
      <c r="K30" s="2006" t="s">
        <v>712</v>
      </c>
      <c r="L30" s="2011">
        <f>12.9/E30/1.13</f>
        <v>1.6732765413763</v>
      </c>
      <c r="M30" s="2011">
        <f t="shared" si="7"/>
        <v>2.2362238428936</v>
      </c>
      <c r="N30" s="2011">
        <f>15.3+0.57</f>
        <v>15.87</v>
      </c>
      <c r="O30" s="2012">
        <f t="shared" si="8"/>
        <v>3.00476364968853</v>
      </c>
      <c r="P30" s="2012"/>
      <c r="Q30" s="2012">
        <f t="shared" si="6"/>
        <v>22.7842640339584</v>
      </c>
      <c r="R30" s="2019" t="s">
        <v>1988</v>
      </c>
      <c r="S30" s="2014" t="s">
        <v>1989</v>
      </c>
      <c r="W30" s="2015"/>
      <c r="X30" s="1940"/>
      <c r="AC30" s="1940"/>
    </row>
    <row r="31" s="839" customFormat="1" ht="16" hidden="1" customHeight="1" spans="1:29">
      <c r="A31" s="839">
        <v>1</v>
      </c>
      <c r="B31" s="2014"/>
      <c r="C31" s="258" t="s">
        <v>1843</v>
      </c>
      <c r="D31" s="2016">
        <v>46163</v>
      </c>
      <c r="E31" s="2006">
        <v>6.8</v>
      </c>
      <c r="F31" s="2006" t="s">
        <v>1990</v>
      </c>
      <c r="G31" s="511"/>
      <c r="H31" s="2017"/>
      <c r="I31" s="2018"/>
      <c r="J31" s="2006" t="s">
        <v>1428</v>
      </c>
      <c r="K31" s="2006" t="s">
        <v>712</v>
      </c>
      <c r="L31" s="2006" t="s">
        <v>1428</v>
      </c>
      <c r="M31" s="2011">
        <f>32.32/E31/1.13</f>
        <v>4.20614263404477</v>
      </c>
      <c r="N31" s="2011">
        <v>15.2</v>
      </c>
      <c r="O31" s="2012">
        <f t="shared" si="8"/>
        <v>3.01470588235294</v>
      </c>
      <c r="P31" s="2012"/>
      <c r="Q31" s="2012">
        <f t="shared" si="6"/>
        <v>22.4208485163977</v>
      </c>
      <c r="R31" s="2019"/>
      <c r="S31" s="2014"/>
      <c r="W31" s="2015"/>
      <c r="X31" s="1940"/>
      <c r="AC31" s="1940"/>
    </row>
    <row r="32" s="839" customFormat="1" ht="16" hidden="1" customHeight="1" spans="1:29">
      <c r="A32" s="839">
        <v>1</v>
      </c>
      <c r="B32" s="258"/>
      <c r="C32" s="258" t="s">
        <v>1843</v>
      </c>
      <c r="D32" s="2005">
        <v>46175</v>
      </c>
      <c r="E32" s="2007">
        <v>6.8</v>
      </c>
      <c r="F32" s="2020" t="s">
        <v>1991</v>
      </c>
      <c r="G32" s="2021"/>
      <c r="H32" s="2022"/>
      <c r="I32" s="2023"/>
      <c r="J32" s="2024"/>
      <c r="K32" s="2021"/>
      <c r="L32" s="2024"/>
      <c r="M32" s="2025">
        <f>26.51/E32/1.13</f>
        <v>3.45002602811036</v>
      </c>
      <c r="N32" s="2025">
        <v>16.4</v>
      </c>
      <c r="O32" s="2026">
        <f t="shared" si="8"/>
        <v>3.01470588235294</v>
      </c>
      <c r="P32" s="2026"/>
      <c r="Q32" s="2026">
        <f t="shared" si="6"/>
        <v>22.8647319104633</v>
      </c>
      <c r="R32" s="2019"/>
      <c r="S32" s="2014" t="s">
        <v>1992</v>
      </c>
      <c r="W32" s="2015"/>
      <c r="X32" s="1940"/>
      <c r="AC32" s="1940"/>
    </row>
    <row r="33" s="839" customFormat="1" ht="16" hidden="1" customHeight="1" spans="1:29">
      <c r="A33" s="839">
        <v>1</v>
      </c>
      <c r="B33" s="2014"/>
      <c r="C33" s="258" t="s">
        <v>1843</v>
      </c>
      <c r="D33" s="2005">
        <v>46134</v>
      </c>
      <c r="E33" s="2007">
        <v>6.8225</v>
      </c>
      <c r="F33" s="2020" t="s">
        <v>1993</v>
      </c>
      <c r="G33" s="2006" t="s">
        <v>1604</v>
      </c>
      <c r="H33" s="2017" t="s">
        <v>1977</v>
      </c>
      <c r="I33" s="2018" t="s">
        <v>1994</v>
      </c>
      <c r="J33" s="2027" t="s">
        <v>1860</v>
      </c>
      <c r="K33" s="2006" t="s">
        <v>712</v>
      </c>
      <c r="L33" s="2027">
        <f>17.46/E33/1.13</f>
        <v>2.26476034204886</v>
      </c>
      <c r="M33" s="2011">
        <f t="shared" si="7"/>
        <v>2.2362238428936</v>
      </c>
      <c r="N33" s="2011">
        <v>13.5</v>
      </c>
      <c r="O33" s="2012">
        <f t="shared" ref="O33:O37" si="9">20.1/E33</f>
        <v>2.94613411506046</v>
      </c>
      <c r="P33" s="2012"/>
      <c r="Q33" s="2012">
        <f t="shared" si="6"/>
        <v>20.9471183000029</v>
      </c>
      <c r="R33" s="2019" t="s">
        <v>1526</v>
      </c>
      <c r="S33" s="258"/>
      <c r="W33" s="2015"/>
      <c r="X33" s="1940"/>
      <c r="AC33" s="1940"/>
    </row>
    <row r="34" s="839" customFormat="1" ht="16" hidden="1" customHeight="1" spans="1:29">
      <c r="A34" s="839">
        <v>1</v>
      </c>
      <c r="B34" s="2014"/>
      <c r="C34" s="258" t="s">
        <v>1843</v>
      </c>
      <c r="D34" s="2005">
        <v>46135</v>
      </c>
      <c r="E34" s="2007">
        <v>6.8225</v>
      </c>
      <c r="F34" s="2020" t="s">
        <v>1995</v>
      </c>
      <c r="G34" s="2007" t="s">
        <v>1672</v>
      </c>
      <c r="H34" s="2008" t="s">
        <v>1977</v>
      </c>
      <c r="I34" s="2007"/>
      <c r="J34" s="2007" t="s">
        <v>1654</v>
      </c>
      <c r="K34" s="2007" t="s">
        <v>712</v>
      </c>
      <c r="L34" s="2011">
        <f>25.72/E34/1.13</f>
        <v>3.33617617396888</v>
      </c>
      <c r="M34" s="2011">
        <f>18.89/E34/1.13</f>
        <v>2.45024758655801</v>
      </c>
      <c r="N34" s="2011">
        <f>14.4+0.57</f>
        <v>14.97</v>
      </c>
      <c r="O34" s="2012">
        <f>20.5/E34</f>
        <v>3.00476364968853</v>
      </c>
      <c r="P34" s="2012"/>
      <c r="Q34" s="2012">
        <f t="shared" si="6"/>
        <v>23.7611874102154</v>
      </c>
      <c r="R34" s="2014" t="s">
        <v>1526</v>
      </c>
      <c r="S34" s="226" t="s">
        <v>1996</v>
      </c>
      <c r="W34" s="2015"/>
      <c r="X34" s="1940"/>
      <c r="AC34" s="1940"/>
    </row>
    <row r="35" s="1931" customFormat="1" ht="16" hidden="1" customHeight="1" spans="1:29">
      <c r="A35" s="839">
        <v>1</v>
      </c>
      <c r="B35" s="226"/>
      <c r="C35" s="226" t="s">
        <v>1843</v>
      </c>
      <c r="D35" s="2028">
        <v>46135</v>
      </c>
      <c r="E35" s="227">
        <v>6.8225</v>
      </c>
      <c r="F35" s="2020" t="s">
        <v>1997</v>
      </c>
      <c r="G35" s="227" t="s">
        <v>1998</v>
      </c>
      <c r="H35" s="245" t="s">
        <v>1977</v>
      </c>
      <c r="I35" s="227"/>
      <c r="J35" s="226" t="s">
        <v>1428</v>
      </c>
      <c r="K35" s="227" t="s">
        <v>712</v>
      </c>
      <c r="L35" s="232" t="s">
        <v>1428</v>
      </c>
      <c r="M35" s="232">
        <f>23.2/E35/1.13*1.2</f>
        <v>3.61116425673769</v>
      </c>
      <c r="N35" s="232">
        <v>16.8</v>
      </c>
      <c r="O35" s="231">
        <f>20.1/E35+0.1</f>
        <v>3.04613411506046</v>
      </c>
      <c r="P35" s="231"/>
      <c r="Q35" s="231">
        <f t="shared" si="6"/>
        <v>23.4572983717982</v>
      </c>
      <c r="R35" s="226" t="s">
        <v>1526</v>
      </c>
      <c r="S35" s="226" t="s">
        <v>1999</v>
      </c>
      <c r="W35" s="2015"/>
      <c r="X35" s="2029"/>
      <c r="AC35" s="2029"/>
    </row>
    <row r="36" s="839" customFormat="1" ht="16" hidden="1" customHeight="1" spans="1:29">
      <c r="A36" s="839">
        <v>7</v>
      </c>
      <c r="B36" s="258"/>
      <c r="C36" s="258" t="s">
        <v>1843</v>
      </c>
      <c r="D36" s="2005">
        <v>46101</v>
      </c>
      <c r="E36" s="2007">
        <v>6.8225</v>
      </c>
      <c r="F36" s="2020" t="s">
        <v>2000</v>
      </c>
      <c r="G36" s="2007" t="s">
        <v>1645</v>
      </c>
      <c r="H36" s="2008" t="s">
        <v>1977</v>
      </c>
      <c r="I36" s="2007" t="s">
        <v>1859</v>
      </c>
      <c r="J36" s="2007" t="s">
        <v>1567</v>
      </c>
      <c r="K36" s="2007" t="s">
        <v>712</v>
      </c>
      <c r="L36" s="2007">
        <v>7.5</v>
      </c>
      <c r="M36" s="2011">
        <f>17.24/E36/1.13</f>
        <v>2.2362238428936</v>
      </c>
      <c r="N36" s="2030">
        <v>14.1</v>
      </c>
      <c r="O36" s="2031">
        <f t="shared" si="9"/>
        <v>2.94613411506046</v>
      </c>
      <c r="P36" s="2031"/>
      <c r="Q36" s="2031">
        <f t="shared" si="6"/>
        <v>26.7823579579541</v>
      </c>
      <c r="R36" s="258" t="s">
        <v>2001</v>
      </c>
      <c r="S36" s="226" t="s">
        <v>2002</v>
      </c>
      <c r="W36" s="2015"/>
      <c r="X36" s="1940"/>
      <c r="AC36" s="1940"/>
    </row>
    <row r="37" s="839" customFormat="1" ht="16" hidden="1" customHeight="1" spans="1:29">
      <c r="A37" s="839">
        <v>1</v>
      </c>
      <c r="B37" s="258"/>
      <c r="C37" s="2004" t="s">
        <v>1843</v>
      </c>
      <c r="D37" s="2032">
        <v>20251224</v>
      </c>
      <c r="E37" s="2033">
        <v>6.8225</v>
      </c>
      <c r="F37" s="2020" t="s">
        <v>1424</v>
      </c>
      <c r="G37" s="2033" t="s">
        <v>1565</v>
      </c>
      <c r="H37" s="2032" t="s">
        <v>2003</v>
      </c>
      <c r="I37" s="2033" t="s">
        <v>2004</v>
      </c>
      <c r="J37" s="2033" t="s">
        <v>1567</v>
      </c>
      <c r="K37" s="2007" t="s">
        <v>712</v>
      </c>
      <c r="L37" s="2033">
        <v>7.5</v>
      </c>
      <c r="M37" s="2011">
        <f>17.24/E37/1.13</f>
        <v>2.2362238428936</v>
      </c>
      <c r="N37" s="1987">
        <v>14.7</v>
      </c>
      <c r="O37" s="2034">
        <f t="shared" si="9"/>
        <v>2.94613411506046</v>
      </c>
      <c r="P37" s="2034"/>
      <c r="Q37" s="692">
        <f>SUM(M37:O37)</f>
        <v>19.8823579579541</v>
      </c>
      <c r="R37" s="2035" t="s">
        <v>1845</v>
      </c>
      <c r="S37" s="226" t="s">
        <v>2005</v>
      </c>
      <c r="W37" s="2015"/>
      <c r="X37" s="1940"/>
      <c r="AC37" s="1940"/>
    </row>
    <row r="38" s="1931" customFormat="1" ht="16" hidden="1" customHeight="1" spans="1:29">
      <c r="A38" s="839">
        <v>1</v>
      </c>
      <c r="B38" s="266" t="s">
        <v>1851</v>
      </c>
      <c r="C38" s="226" t="s">
        <v>1852</v>
      </c>
      <c r="D38" s="2028">
        <v>46128</v>
      </c>
      <c r="E38" s="227">
        <v>6.7739</v>
      </c>
      <c r="F38" s="1975" t="s">
        <v>1853</v>
      </c>
      <c r="G38" s="227"/>
      <c r="H38" s="227"/>
      <c r="I38" s="227"/>
      <c r="J38" s="219" t="s">
        <v>1428</v>
      </c>
      <c r="K38" s="219" t="s">
        <v>712</v>
      </c>
      <c r="L38" s="219" t="s">
        <v>1428</v>
      </c>
      <c r="M38" s="319">
        <f>41.68/E38/1.13</f>
        <v>5.44515799645882</v>
      </c>
      <c r="N38" s="319">
        <v>18</v>
      </c>
      <c r="O38" s="320">
        <f t="shared" ref="O38:O40" si="10">32/E38</f>
        <v>4.72401423109287</v>
      </c>
      <c r="P38" s="320"/>
      <c r="Q38" s="320">
        <f t="shared" ref="Q38:Q40" si="11">SUBTOTAL(109,M38:O38)</f>
        <v>0</v>
      </c>
      <c r="R38" s="2036"/>
      <c r="S38" s="227"/>
      <c r="W38" s="2015"/>
      <c r="X38" s="2029"/>
      <c r="AC38" s="2029"/>
    </row>
    <row r="39" s="1931" customFormat="1" ht="16" hidden="1" customHeight="1" spans="1:29">
      <c r="A39" s="839">
        <v>1</v>
      </c>
      <c r="B39" s="226" t="s">
        <v>1851</v>
      </c>
      <c r="C39" s="226" t="s">
        <v>1852</v>
      </c>
      <c r="D39" s="2028">
        <v>46128</v>
      </c>
      <c r="E39" s="227">
        <v>6.7739</v>
      </c>
      <c r="F39" s="2020" t="s">
        <v>2006</v>
      </c>
      <c r="G39" s="227"/>
      <c r="H39" s="227"/>
      <c r="I39" s="227"/>
      <c r="J39" s="227" t="s">
        <v>1428</v>
      </c>
      <c r="K39" s="227" t="s">
        <v>712</v>
      </c>
      <c r="L39" s="227" t="s">
        <v>1428</v>
      </c>
      <c r="M39" s="232">
        <f t="shared" ref="M39:M45" si="12">32.35/E39/1.13</f>
        <v>4.22626826260659</v>
      </c>
      <c r="N39" s="232">
        <v>15.8</v>
      </c>
      <c r="O39" s="231">
        <f t="shared" si="10"/>
        <v>4.72401423109287</v>
      </c>
      <c r="P39" s="231"/>
      <c r="Q39" s="231">
        <f t="shared" si="11"/>
        <v>0</v>
      </c>
      <c r="R39" s="2036"/>
      <c r="S39" s="227"/>
      <c r="W39" s="2015"/>
      <c r="X39" s="2029"/>
      <c r="AC39" s="2029"/>
    </row>
    <row r="40" s="1931" customFormat="1" ht="16" hidden="1" customHeight="1" spans="1:29">
      <c r="A40" s="839">
        <v>1</v>
      </c>
      <c r="B40" s="226" t="s">
        <v>1851</v>
      </c>
      <c r="C40" s="226" t="s">
        <v>1852</v>
      </c>
      <c r="D40" s="2028">
        <v>46128</v>
      </c>
      <c r="E40" s="227">
        <v>6.7739</v>
      </c>
      <c r="F40" s="2020" t="s">
        <v>2007</v>
      </c>
      <c r="G40" s="227"/>
      <c r="H40" s="227"/>
      <c r="I40" s="227"/>
      <c r="J40" s="227" t="s">
        <v>1428</v>
      </c>
      <c r="K40" s="227" t="s">
        <v>712</v>
      </c>
      <c r="L40" s="227" t="s">
        <v>1428</v>
      </c>
      <c r="M40" s="232">
        <f t="shared" si="12"/>
        <v>4.22626826260659</v>
      </c>
      <c r="N40" s="232">
        <v>15.8</v>
      </c>
      <c r="O40" s="231">
        <f t="shared" si="10"/>
        <v>4.72401423109287</v>
      </c>
      <c r="P40" s="231"/>
      <c r="Q40" s="231">
        <f t="shared" si="11"/>
        <v>0</v>
      </c>
      <c r="R40" s="2036"/>
      <c r="S40" s="227"/>
      <c r="W40" s="2015"/>
      <c r="X40" s="2029"/>
      <c r="AC40" s="2029"/>
    </row>
    <row r="41" s="839" customFormat="1" ht="16" hidden="1" customHeight="1" spans="1:29">
      <c r="A41" s="839">
        <v>1</v>
      </c>
      <c r="B41" s="2014" t="s">
        <v>1851</v>
      </c>
      <c r="C41" s="2014" t="s">
        <v>1852</v>
      </c>
      <c r="D41" s="2037">
        <v>46153</v>
      </c>
      <c r="E41" s="2006">
        <v>6.7986</v>
      </c>
      <c r="F41" s="2020" t="s">
        <v>2008</v>
      </c>
      <c r="G41" s="511"/>
      <c r="H41" s="2006"/>
      <c r="I41" s="511"/>
      <c r="J41" s="511"/>
      <c r="K41" s="511"/>
      <c r="L41" s="2010"/>
      <c r="M41" s="2010">
        <f t="shared" si="12"/>
        <v>4.21091380344053</v>
      </c>
      <c r="N41" s="2011">
        <v>15.6</v>
      </c>
      <c r="O41" s="2012"/>
      <c r="P41" s="2012"/>
      <c r="Q41" s="2012"/>
      <c r="R41" s="2038"/>
      <c r="S41" s="227"/>
      <c r="W41" s="2015"/>
      <c r="X41" s="1940"/>
      <c r="AC41" s="1940"/>
    </row>
    <row r="42" s="1932" customFormat="1" ht="16" hidden="1" customHeight="1" spans="1:29">
      <c r="A42" s="839">
        <v>1</v>
      </c>
      <c r="B42" s="2014" t="s">
        <v>1851</v>
      </c>
      <c r="C42" s="2014" t="s">
        <v>1852</v>
      </c>
      <c r="D42" s="2037">
        <v>46153</v>
      </c>
      <c r="E42" s="2006">
        <v>6.7986</v>
      </c>
      <c r="F42" s="2020" t="s">
        <v>2009</v>
      </c>
      <c r="G42" s="511"/>
      <c r="H42" s="2017"/>
      <c r="I42" s="511"/>
      <c r="J42" s="511"/>
      <c r="K42" s="511"/>
      <c r="L42" s="2031"/>
      <c r="M42" s="2010">
        <f t="shared" si="12"/>
        <v>4.21091380344053</v>
      </c>
      <c r="N42" s="2012">
        <v>13.8</v>
      </c>
      <c r="O42" s="2012"/>
      <c r="P42" s="2012"/>
      <c r="Q42" s="2011"/>
      <c r="R42" s="258"/>
      <c r="S42" s="243"/>
      <c r="V42" s="2039"/>
      <c r="AA42" s="2039"/>
    </row>
    <row r="43" s="1932" customFormat="1" ht="16" hidden="1" customHeight="1" spans="1:29">
      <c r="A43" s="839">
        <v>1</v>
      </c>
      <c r="B43" s="2014" t="s">
        <v>1851</v>
      </c>
      <c r="C43" s="2014" t="s">
        <v>1852</v>
      </c>
      <c r="D43" s="2037">
        <v>46153</v>
      </c>
      <c r="E43" s="2006">
        <v>6.7986</v>
      </c>
      <c r="F43" s="2020" t="s">
        <v>2010</v>
      </c>
      <c r="G43" s="511"/>
      <c r="H43" s="2017"/>
      <c r="I43" s="511"/>
      <c r="J43" s="511"/>
      <c r="K43" s="511"/>
      <c r="L43" s="2031"/>
      <c r="M43" s="2010">
        <f t="shared" si="12"/>
        <v>4.21091380344053</v>
      </c>
      <c r="N43" s="2012">
        <v>14.5</v>
      </c>
      <c r="O43" s="2012"/>
      <c r="P43" s="2012"/>
      <c r="Q43" s="2011"/>
      <c r="R43" s="258"/>
      <c r="S43" s="243"/>
      <c r="V43" s="2039"/>
      <c r="AA43" s="2039"/>
    </row>
    <row r="44" s="1932" customFormat="1" ht="16" hidden="1" customHeight="1" spans="1:29">
      <c r="A44" s="839">
        <v>9</v>
      </c>
      <c r="B44" s="2004" t="s">
        <v>1851</v>
      </c>
      <c r="C44" s="2004" t="s">
        <v>1852</v>
      </c>
      <c r="D44" s="2040">
        <v>46049</v>
      </c>
      <c r="E44" s="2007">
        <v>6.8819</v>
      </c>
      <c r="F44" s="2020" t="s">
        <v>2011</v>
      </c>
      <c r="G44" s="511" t="s">
        <v>1565</v>
      </c>
      <c r="H44" s="512" t="s">
        <v>2012</v>
      </c>
      <c r="I44" s="511" t="s">
        <v>1594</v>
      </c>
      <c r="J44" s="511" t="s">
        <v>1507</v>
      </c>
      <c r="K44" s="511" t="s">
        <v>712</v>
      </c>
      <c r="L44" s="2031" t="s">
        <v>1507</v>
      </c>
      <c r="M44" s="2010">
        <f t="shared" si="12"/>
        <v>4.15994399570915</v>
      </c>
      <c r="N44" s="2031">
        <v>16.8</v>
      </c>
      <c r="O44" s="2031">
        <f t="shared" ref="O44:O47" si="13">32/E44</f>
        <v>4.64987866722853</v>
      </c>
      <c r="P44" s="2031"/>
      <c r="Q44" s="2010">
        <f t="shared" ref="Q44:Q49" si="14">SUM(M44:O44)</f>
        <v>25.6098226629377</v>
      </c>
      <c r="R44" s="258" t="s">
        <v>1526</v>
      </c>
      <c r="S44" s="243" t="s">
        <v>2013</v>
      </c>
      <c r="V44" s="2039"/>
      <c r="AA44" s="2039"/>
    </row>
    <row r="45" s="993" customFormat="1" ht="16" hidden="1" customHeight="1" spans="1:29">
      <c r="A45" s="839">
        <v>10</v>
      </c>
      <c r="B45" s="2004" t="s">
        <v>1851</v>
      </c>
      <c r="C45" s="2004" t="s">
        <v>1852</v>
      </c>
      <c r="D45" s="2040">
        <v>46126</v>
      </c>
      <c r="E45" s="2007">
        <v>6.837</v>
      </c>
      <c r="F45" s="2020" t="s">
        <v>2014</v>
      </c>
      <c r="G45" s="2007" t="s">
        <v>1617</v>
      </c>
      <c r="H45" s="2008" t="s">
        <v>2015</v>
      </c>
      <c r="I45" s="2007" t="s">
        <v>1594</v>
      </c>
      <c r="J45" s="2007" t="s">
        <v>1507</v>
      </c>
      <c r="K45" s="2007" t="s">
        <v>712</v>
      </c>
      <c r="L45" s="2041" t="s">
        <v>712</v>
      </c>
      <c r="M45" s="2010">
        <f t="shared" si="12"/>
        <v>4.18726321253047</v>
      </c>
      <c r="N45" s="2041">
        <v>14.58</v>
      </c>
      <c r="O45" s="2041">
        <f t="shared" si="13"/>
        <v>4.68041538686558</v>
      </c>
      <c r="P45" s="2041"/>
      <c r="Q45" s="2030">
        <f t="shared" si="14"/>
        <v>23.447678599396</v>
      </c>
      <c r="R45" s="2042" t="s">
        <v>1526</v>
      </c>
      <c r="S45" s="2043" t="s">
        <v>2013</v>
      </c>
      <c r="V45" s="2044"/>
      <c r="AA45" s="2044"/>
    </row>
    <row r="46" s="1932" customFormat="1" ht="16" hidden="1" customHeight="1" spans="1:29">
      <c r="A46" s="839">
        <v>1</v>
      </c>
      <c r="B46" s="2014" t="s">
        <v>1907</v>
      </c>
      <c r="C46" s="2045" t="s">
        <v>1901</v>
      </c>
      <c r="D46" s="2046">
        <v>46132</v>
      </c>
      <c r="E46" s="2006">
        <v>6.76</v>
      </c>
      <c r="F46" s="2020" t="s">
        <v>2016</v>
      </c>
      <c r="G46" s="2047" t="s">
        <v>2016</v>
      </c>
      <c r="H46" s="977" t="s">
        <v>1428</v>
      </c>
      <c r="I46" s="924" t="s">
        <v>2017</v>
      </c>
      <c r="J46" s="924" t="s">
        <v>1428</v>
      </c>
      <c r="K46" s="2048" t="s">
        <v>712</v>
      </c>
      <c r="L46" s="911" t="s">
        <v>1428</v>
      </c>
      <c r="M46" s="727">
        <f t="shared" ref="M46:M49" si="15">56.5/E46/1.13</f>
        <v>7.39644970414201</v>
      </c>
      <c r="N46" s="727">
        <v>19.93</v>
      </c>
      <c r="O46" s="154">
        <f t="shared" si="13"/>
        <v>4.73372781065089</v>
      </c>
      <c r="P46" s="154"/>
      <c r="Q46" s="1985">
        <f>SUM(K46:O46)</f>
        <v>32.0601775147929</v>
      </c>
      <c r="R46" s="266" t="s">
        <v>1526</v>
      </c>
      <c r="S46" s="976" t="s">
        <v>2018</v>
      </c>
      <c r="V46" s="2039"/>
      <c r="AA46" s="2039"/>
    </row>
    <row r="47" s="1932" customFormat="1" ht="16" hidden="1" customHeight="1" spans="1:29">
      <c r="A47" s="839">
        <v>1</v>
      </c>
      <c r="B47" s="2014"/>
      <c r="C47" s="2049" t="s">
        <v>1901</v>
      </c>
      <c r="D47" s="2050">
        <v>46189</v>
      </c>
      <c r="E47" s="2051">
        <v>6.76</v>
      </c>
      <c r="F47" s="2020" t="s">
        <v>2019</v>
      </c>
      <c r="G47" s="2052"/>
      <c r="H47" s="2053" t="s">
        <v>1428</v>
      </c>
      <c r="I47" s="2054" t="s">
        <v>2017</v>
      </c>
      <c r="J47" s="2054"/>
      <c r="K47" s="2055" t="s">
        <v>712</v>
      </c>
      <c r="L47" s="911"/>
      <c r="M47" s="727">
        <f t="shared" si="15"/>
        <v>7.39644970414201</v>
      </c>
      <c r="N47" s="727">
        <v>19.9</v>
      </c>
      <c r="O47" s="154">
        <f t="shared" si="13"/>
        <v>4.73372781065089</v>
      </c>
      <c r="P47" s="154"/>
      <c r="Q47" s="154">
        <f>SUM(K47:O47)</f>
        <v>32.0301775147929</v>
      </c>
      <c r="R47" s="266"/>
      <c r="S47" s="976" t="s">
        <v>2020</v>
      </c>
      <c r="T47" s="2056" t="s">
        <v>2021</v>
      </c>
      <c r="V47" s="2039"/>
      <c r="AA47" s="2039"/>
    </row>
    <row r="48" s="1932" customFormat="1" ht="16" hidden="1" customHeight="1" spans="1:29">
      <c r="A48" s="839">
        <v>1</v>
      </c>
      <c r="B48" s="2014"/>
      <c r="C48" s="2045" t="s">
        <v>1901</v>
      </c>
      <c r="D48" s="2046">
        <v>46135</v>
      </c>
      <c r="E48" s="2006">
        <v>6.8</v>
      </c>
      <c r="F48" s="2020" t="s">
        <v>2022</v>
      </c>
      <c r="G48" s="2006" t="s">
        <v>1565</v>
      </c>
      <c r="H48" s="977" t="s">
        <v>1428</v>
      </c>
      <c r="I48" s="2017" t="s">
        <v>2017</v>
      </c>
      <c r="J48" s="2006" t="s">
        <v>1428</v>
      </c>
      <c r="K48" s="2006" t="s">
        <v>712</v>
      </c>
      <c r="L48" s="2012" t="s">
        <v>1428</v>
      </c>
      <c r="M48" s="2012">
        <f>39.83/E46/1.13*1.15</f>
        <v>5.99629522961722</v>
      </c>
      <c r="N48" s="2012">
        <v>15.1</v>
      </c>
      <c r="O48" s="2012">
        <f>30/E46</f>
        <v>4.43786982248521</v>
      </c>
      <c r="P48" s="2012"/>
      <c r="Q48" s="2011">
        <f t="shared" si="14"/>
        <v>25.5341650521024</v>
      </c>
      <c r="R48" s="2014" t="s">
        <v>1526</v>
      </c>
      <c r="S48" s="219"/>
      <c r="V48" s="2039"/>
      <c r="AA48" s="2039"/>
    </row>
    <row r="49" s="1932" customFormat="1" ht="16" hidden="1" customHeight="1" spans="1:29">
      <c r="A49" s="839">
        <v>1</v>
      </c>
      <c r="B49" s="2014"/>
      <c r="C49" s="2045" t="s">
        <v>1901</v>
      </c>
      <c r="D49" s="2046">
        <v>46132</v>
      </c>
      <c r="E49" s="2006">
        <v>6.76</v>
      </c>
      <c r="F49" s="2020" t="s">
        <v>2023</v>
      </c>
      <c r="G49" s="2006" t="s">
        <v>1617</v>
      </c>
      <c r="H49" s="977" t="s">
        <v>1428</v>
      </c>
      <c r="I49" s="2017" t="s">
        <v>2017</v>
      </c>
      <c r="J49" s="2006" t="s">
        <v>1428</v>
      </c>
      <c r="K49" s="2006" t="s">
        <v>712</v>
      </c>
      <c r="L49" s="2012" t="s">
        <v>1428</v>
      </c>
      <c r="M49" s="727">
        <f t="shared" si="15"/>
        <v>7.39644970414201</v>
      </c>
      <c r="N49" s="2012">
        <v>17.5</v>
      </c>
      <c r="O49" s="2012">
        <f>30/E49</f>
        <v>4.43786982248521</v>
      </c>
      <c r="P49" s="2012"/>
      <c r="Q49" s="2011">
        <f t="shared" si="14"/>
        <v>29.3343195266272</v>
      </c>
      <c r="R49" s="2014" t="s">
        <v>1526</v>
      </c>
      <c r="S49" s="219"/>
      <c r="V49" s="2039"/>
      <c r="AA49" s="2039"/>
    </row>
    <row r="50" s="1932" customFormat="1" ht="16" hidden="1" customHeight="1" spans="1:29">
      <c r="A50" s="839">
        <v>11</v>
      </c>
      <c r="B50" s="2057" t="s">
        <v>2024</v>
      </c>
      <c r="C50" s="2057"/>
      <c r="D50" s="2008">
        <v>20250928</v>
      </c>
      <c r="E50" s="2007">
        <v>7.07</v>
      </c>
      <c r="F50" s="2020" t="s">
        <v>1411</v>
      </c>
      <c r="G50" s="511" t="s">
        <v>2025</v>
      </c>
      <c r="H50" s="512" t="s">
        <v>2026</v>
      </c>
      <c r="I50" s="512" t="s">
        <v>2027</v>
      </c>
      <c r="J50" s="511" t="s">
        <v>1507</v>
      </c>
      <c r="K50" s="511" t="s">
        <v>1507</v>
      </c>
      <c r="L50" s="2031" t="s">
        <v>1507</v>
      </c>
      <c r="M50" s="2031">
        <f>42.7/E50/1.13</f>
        <v>5.3447822658372</v>
      </c>
      <c r="N50" s="2031">
        <v>20.1734424724016</v>
      </c>
      <c r="O50" s="2031" t="s">
        <v>1979</v>
      </c>
      <c r="P50" s="2031"/>
      <c r="Q50" s="2010">
        <v>20.1734424724016</v>
      </c>
      <c r="R50" s="258" t="s">
        <v>1526</v>
      </c>
      <c r="S50" s="227" t="s">
        <v>2028</v>
      </c>
      <c r="V50" s="2039"/>
      <c r="AA50" s="2039"/>
    </row>
    <row r="51" s="1932" customFormat="1" ht="16" hidden="1" customHeight="1" spans="1:29">
      <c r="A51" s="839">
        <v>1</v>
      </c>
      <c r="B51" s="2045" t="s">
        <v>2029</v>
      </c>
      <c r="C51" s="2057" t="s">
        <v>2030</v>
      </c>
      <c r="D51" s="2040">
        <v>46170</v>
      </c>
      <c r="E51" s="2007">
        <v>6.7963</v>
      </c>
      <c r="F51" s="2020" t="s">
        <v>2031</v>
      </c>
      <c r="G51" s="511" t="s">
        <v>1645</v>
      </c>
      <c r="H51" s="259" t="s">
        <v>2032</v>
      </c>
      <c r="I51" s="259" t="s">
        <v>1859</v>
      </c>
      <c r="J51" s="511" t="s">
        <v>1428</v>
      </c>
      <c r="K51" s="511" t="s">
        <v>712</v>
      </c>
      <c r="L51" s="511" t="s">
        <v>1428</v>
      </c>
      <c r="M51" s="2012">
        <f>49.93/E51/1.13</f>
        <v>6.50145530773577</v>
      </c>
      <c r="N51" s="2012">
        <v>70.8</v>
      </c>
      <c r="O51" s="2012">
        <f>40/E51</f>
        <v>5.88555537571914</v>
      </c>
      <c r="P51" s="2012"/>
      <c r="Q51" s="2011">
        <f>SUBTOTAL(109,M51:O51)</f>
        <v>0</v>
      </c>
      <c r="R51" s="258"/>
      <c r="S51" s="227" t="s">
        <v>2033</v>
      </c>
      <c r="T51" s="2056" t="s">
        <v>2034</v>
      </c>
      <c r="V51" s="2039"/>
      <c r="AA51" s="2039"/>
    </row>
    <row r="52" s="839" customFormat="1" ht="16" hidden="1" customHeight="1" spans="1:29">
      <c r="A52" s="839">
        <v>12</v>
      </c>
      <c r="B52" s="2058" t="s">
        <v>2029</v>
      </c>
      <c r="C52" s="2059" t="s">
        <v>2030</v>
      </c>
      <c r="D52" s="2005">
        <v>46093</v>
      </c>
      <c r="E52" s="2060">
        <v>6.9264</v>
      </c>
      <c r="F52" s="2020" t="s">
        <v>2035</v>
      </c>
      <c r="G52" s="511" t="s">
        <v>1617</v>
      </c>
      <c r="H52" s="511" t="s">
        <v>2003</v>
      </c>
      <c r="I52" s="511" t="s">
        <v>2036</v>
      </c>
      <c r="J52" s="2006" t="s">
        <v>1428</v>
      </c>
      <c r="K52" s="2006" t="s">
        <v>712</v>
      </c>
      <c r="L52" s="2011" t="s">
        <v>1428</v>
      </c>
      <c r="M52" s="2011">
        <f>49.93/6.8/1.13*1.1</f>
        <v>7.14770952628839</v>
      </c>
      <c r="N52" s="2012">
        <v>75</v>
      </c>
      <c r="O52" s="2012">
        <f>40/E52</f>
        <v>5.77500577500578</v>
      </c>
      <c r="P52" s="2012"/>
      <c r="Q52" s="2012">
        <f t="shared" ref="Q52:Q63" si="16">SUM(K52:O52)</f>
        <v>87.9227153012942</v>
      </c>
      <c r="R52" s="2014" t="s">
        <v>1526</v>
      </c>
      <c r="S52" s="289" t="s">
        <v>2037</v>
      </c>
      <c r="T52" s="1960"/>
      <c r="U52" s="1961"/>
      <c r="V52" s="1601"/>
      <c r="W52" s="1962"/>
      <c r="X52" s="1963"/>
      <c r="Y52" s="1962"/>
      <c r="Z52" s="1961"/>
      <c r="AA52" s="1601"/>
      <c r="AB52" s="1962"/>
      <c r="AC52" s="1963"/>
    </row>
    <row r="53" s="839" customFormat="1" ht="16" hidden="1" customHeight="1" spans="1:29">
      <c r="A53" s="839">
        <v>13</v>
      </c>
      <c r="B53" s="2061" t="s">
        <v>2038</v>
      </c>
      <c r="C53" s="2061"/>
      <c r="D53" s="2009">
        <v>20251124</v>
      </c>
      <c r="E53" s="2009">
        <v>7.1</v>
      </c>
      <c r="F53" s="2062" t="s">
        <v>1979</v>
      </c>
      <c r="G53" s="244"/>
      <c r="H53" s="244"/>
      <c r="I53" s="244"/>
      <c r="J53" s="227" t="s">
        <v>1938</v>
      </c>
      <c r="K53" s="227" t="s">
        <v>1507</v>
      </c>
      <c r="L53" s="231" t="s">
        <v>1938</v>
      </c>
      <c r="M53" s="231">
        <f>[2]深圳英众PCB单价清单!$P$1014/E53/1.13</f>
        <v>3.67692882961486</v>
      </c>
      <c r="N53" s="232">
        <v>17.4033769518696</v>
      </c>
      <c r="O53" s="231">
        <v>3.5</v>
      </c>
      <c r="P53" s="231"/>
      <c r="Q53" s="231">
        <f t="shared" si="16"/>
        <v>24.5803057814845</v>
      </c>
      <c r="R53" s="258" t="s">
        <v>1526</v>
      </c>
      <c r="S53" s="229" t="s">
        <v>2039</v>
      </c>
      <c r="T53" s="1960"/>
      <c r="U53" s="1961"/>
      <c r="V53" s="1601"/>
      <c r="W53" s="1962"/>
      <c r="X53" s="1963"/>
      <c r="Y53" s="1962"/>
      <c r="Z53" s="1961"/>
      <c r="AA53" s="1601"/>
      <c r="AB53" s="1962"/>
      <c r="AC53" s="1963"/>
    </row>
    <row r="54" s="839" customFormat="1" ht="16" hidden="1" customHeight="1" spans="1:29">
      <c r="A54" s="839">
        <v>14</v>
      </c>
      <c r="B54" s="2061" t="s">
        <v>2040</v>
      </c>
      <c r="C54" s="2061"/>
      <c r="D54" s="2009">
        <v>20251128</v>
      </c>
      <c r="E54" s="2009">
        <v>7.1</v>
      </c>
      <c r="F54" s="2062" t="s">
        <v>1979</v>
      </c>
      <c r="G54" s="244"/>
      <c r="H54" s="244"/>
      <c r="I54" s="244"/>
      <c r="J54" s="227" t="s">
        <v>1938</v>
      </c>
      <c r="K54" s="227" t="s">
        <v>1507</v>
      </c>
      <c r="L54" s="231" t="s">
        <v>1938</v>
      </c>
      <c r="M54" s="231">
        <f>[2]深圳英众PCB单价清单!$P$1014/E54/1.13</f>
        <v>3.67692882961486</v>
      </c>
      <c r="N54" s="232">
        <v>19.2736224894055</v>
      </c>
      <c r="O54" s="231">
        <v>3.5</v>
      </c>
      <c r="P54" s="231"/>
      <c r="Q54" s="231">
        <f t="shared" si="16"/>
        <v>26.4505513190204</v>
      </c>
      <c r="R54" s="258" t="s">
        <v>1526</v>
      </c>
      <c r="S54" s="229" t="s">
        <v>2039</v>
      </c>
      <c r="T54" s="1960"/>
      <c r="U54" s="1961"/>
      <c r="V54" s="1601"/>
      <c r="W54" s="1962"/>
      <c r="X54" s="1963"/>
      <c r="Y54" s="1962"/>
      <c r="Z54" s="1961"/>
      <c r="AA54" s="1601"/>
      <c r="AB54" s="1962"/>
      <c r="AC54" s="1963"/>
    </row>
    <row r="55" s="839" customFormat="1" ht="16" hidden="1" customHeight="1" spans="1:29">
      <c r="A55" s="839">
        <v>15</v>
      </c>
      <c r="B55" s="2061" t="s">
        <v>2041</v>
      </c>
      <c r="C55" s="2061"/>
      <c r="D55" s="2009">
        <v>20251110</v>
      </c>
      <c r="E55" s="2009">
        <v>6.901</v>
      </c>
      <c r="F55" s="2062" t="s">
        <v>1979</v>
      </c>
      <c r="G55" s="244" t="s">
        <v>1565</v>
      </c>
      <c r="H55" s="227" t="s">
        <v>2042</v>
      </c>
      <c r="I55" s="244" t="s">
        <v>2043</v>
      </c>
      <c r="J55" s="244" t="s">
        <v>1635</v>
      </c>
      <c r="K55" s="227" t="s">
        <v>2044</v>
      </c>
      <c r="L55" s="231">
        <v>3.1</v>
      </c>
      <c r="M55" s="231">
        <v>2.68837890503792</v>
      </c>
      <c r="N55" s="232">
        <v>14.6687711759396</v>
      </c>
      <c r="O55" s="231">
        <f>20.1/E55</f>
        <v>2.9126213592233</v>
      </c>
      <c r="P55" s="231"/>
      <c r="Q55" s="231">
        <f t="shared" si="16"/>
        <v>23.3697714402008</v>
      </c>
      <c r="R55" s="229" t="s">
        <v>2045</v>
      </c>
      <c r="S55" s="244"/>
      <c r="T55" s="1960"/>
      <c r="U55" s="1961"/>
      <c r="V55" s="1601"/>
      <c r="W55" s="1962"/>
      <c r="X55" s="1963"/>
      <c r="Y55" s="1962"/>
      <c r="Z55" s="1961"/>
      <c r="AA55" s="1601"/>
      <c r="AB55" s="1962"/>
      <c r="AC55" s="1963"/>
    </row>
    <row r="56" s="839" customFormat="1" ht="16" hidden="1" customHeight="1" spans="1:29">
      <c r="A56" s="839">
        <v>16</v>
      </c>
      <c r="B56" s="2061" t="s">
        <v>2041</v>
      </c>
      <c r="C56" s="2061"/>
      <c r="D56" s="2063">
        <v>46043</v>
      </c>
      <c r="E56" s="2064">
        <v>6.9667</v>
      </c>
      <c r="F56" s="2020" t="s">
        <v>2046</v>
      </c>
      <c r="G56" s="244" t="s">
        <v>1565</v>
      </c>
      <c r="H56" s="244" t="s">
        <v>2042</v>
      </c>
      <c r="I56" s="244" t="s">
        <v>2043</v>
      </c>
      <c r="J56" s="244" t="s">
        <v>1635</v>
      </c>
      <c r="K56" s="227" t="s">
        <v>1507</v>
      </c>
      <c r="L56" s="231">
        <v>3.1</v>
      </c>
      <c r="M56" s="231">
        <v>2.76</v>
      </c>
      <c r="N56" s="232">
        <v>15.5</v>
      </c>
      <c r="O56" s="231">
        <f>4*1.01</f>
        <v>4.04</v>
      </c>
      <c r="P56" s="231"/>
      <c r="Q56" s="231">
        <f t="shared" si="16"/>
        <v>25.4</v>
      </c>
      <c r="R56" s="229" t="s">
        <v>2045</v>
      </c>
      <c r="S56" s="229" t="s">
        <v>2047</v>
      </c>
      <c r="T56" s="1960"/>
      <c r="U56" s="1961"/>
      <c r="V56" s="1601"/>
      <c r="W56" s="1962"/>
      <c r="X56" s="1963"/>
      <c r="Y56" s="1962"/>
      <c r="Z56" s="1961"/>
      <c r="AA56" s="1601"/>
      <c r="AB56" s="1962"/>
      <c r="AC56" s="1963"/>
    </row>
    <row r="57" s="839" customFormat="1" ht="16" hidden="1" customHeight="1" spans="1:29">
      <c r="A57" s="839">
        <v>17</v>
      </c>
      <c r="B57" s="2061" t="s">
        <v>2041</v>
      </c>
      <c r="C57" s="2061"/>
      <c r="D57" s="2063">
        <v>46099</v>
      </c>
      <c r="E57" s="2009">
        <v>6.901</v>
      </c>
      <c r="F57" s="2020" t="s">
        <v>2048</v>
      </c>
      <c r="G57" s="244" t="s">
        <v>1629</v>
      </c>
      <c r="H57" s="244" t="s">
        <v>2042</v>
      </c>
      <c r="I57" s="244"/>
      <c r="J57" s="227" t="s">
        <v>1552</v>
      </c>
      <c r="K57" s="227" t="s">
        <v>1507</v>
      </c>
      <c r="L57" s="231">
        <v>3.1</v>
      </c>
      <c r="M57" s="231">
        <f>24.24*1.1/6.901/1.13</f>
        <v>3.41928128923216</v>
      </c>
      <c r="N57" s="232">
        <v>16</v>
      </c>
      <c r="O57" s="231">
        <f>20.1/E57</f>
        <v>2.9126213592233</v>
      </c>
      <c r="P57" s="231"/>
      <c r="Q57" s="231">
        <f t="shared" si="16"/>
        <v>25.4319026484555</v>
      </c>
      <c r="R57" s="229" t="s">
        <v>2049</v>
      </c>
      <c r="S57" s="229" t="s">
        <v>2050</v>
      </c>
      <c r="T57" s="1960"/>
      <c r="U57" s="1961"/>
      <c r="V57" s="1601"/>
      <c r="W57" s="1962"/>
      <c r="X57" s="1963"/>
      <c r="Y57" s="1962"/>
      <c r="Z57" s="1961"/>
      <c r="AA57" s="1601"/>
      <c r="AB57" s="1962"/>
      <c r="AC57" s="1963"/>
    </row>
    <row r="58" s="839" customFormat="1" ht="16" hidden="1" customHeight="1" spans="1:29">
      <c r="A58" s="839">
        <v>1</v>
      </c>
      <c r="B58" s="258" t="s">
        <v>2051</v>
      </c>
      <c r="C58" s="2061"/>
      <c r="D58" s="2063">
        <v>46150</v>
      </c>
      <c r="E58" s="2061">
        <v>6.8215</v>
      </c>
      <c r="F58" s="2020" t="s">
        <v>2052</v>
      </c>
      <c r="G58" s="244"/>
      <c r="H58" s="244"/>
      <c r="I58" s="244"/>
      <c r="J58" s="227"/>
      <c r="K58" s="227"/>
      <c r="L58" s="231"/>
      <c r="M58" s="231">
        <f>24.85/E58/1.13</f>
        <v>3.22379981565314</v>
      </c>
      <c r="N58" s="232">
        <v>22</v>
      </c>
      <c r="O58" s="231">
        <f t="shared" ref="O58:O62" si="17">23/E58</f>
        <v>3.37169244301107</v>
      </c>
      <c r="P58" s="231"/>
      <c r="Q58" s="231">
        <f t="shared" si="16"/>
        <v>28.5954922586642</v>
      </c>
      <c r="R58" s="229"/>
      <c r="S58" s="229" t="s">
        <v>2053</v>
      </c>
      <c r="T58" s="1960"/>
      <c r="U58" s="1961"/>
      <c r="V58" s="1601"/>
      <c r="W58" s="1962"/>
      <c r="X58" s="1963"/>
      <c r="Y58" s="1962"/>
      <c r="Z58" s="1961"/>
      <c r="AA58" s="1601"/>
      <c r="AB58" s="1962"/>
      <c r="AC58" s="1963"/>
    </row>
    <row r="59" s="839" customFormat="1" ht="16" hidden="1" customHeight="1" spans="1:29">
      <c r="A59" s="839">
        <v>1</v>
      </c>
      <c r="B59" s="258" t="s">
        <v>2051</v>
      </c>
      <c r="C59" s="258"/>
      <c r="D59" s="2065">
        <v>46150</v>
      </c>
      <c r="E59" s="226">
        <v>6.8215</v>
      </c>
      <c r="F59" s="2020" t="s">
        <v>1420</v>
      </c>
      <c r="G59" s="500"/>
      <c r="H59" s="227"/>
      <c r="I59" s="227"/>
      <c r="J59" s="227"/>
      <c r="K59" s="227"/>
      <c r="L59" s="227"/>
      <c r="M59" s="231">
        <f>24.85/E59/1.13</f>
        <v>3.22379981565314</v>
      </c>
      <c r="N59" s="231">
        <v>22.8</v>
      </c>
      <c r="O59" s="231">
        <f t="shared" si="17"/>
        <v>3.37169244301107</v>
      </c>
      <c r="P59" s="231"/>
      <c r="Q59" s="231">
        <f t="shared" si="16"/>
        <v>29.3954922586642</v>
      </c>
      <c r="R59" s="258"/>
      <c r="S59" s="226" t="s">
        <v>1487</v>
      </c>
      <c r="T59" s="1960"/>
      <c r="U59" s="1961"/>
      <c r="V59" s="1601"/>
      <c r="W59" s="1962"/>
      <c r="X59" s="1963"/>
      <c r="Y59" s="1962"/>
      <c r="Z59" s="1961"/>
      <c r="AA59" s="1601"/>
      <c r="AB59" s="1962"/>
      <c r="AC59" s="1963"/>
    </row>
    <row r="60" s="839" customFormat="1" ht="16" hidden="1" customHeight="1" spans="1:29">
      <c r="A60" s="839">
        <v>19</v>
      </c>
      <c r="B60" s="258" t="s">
        <v>2051</v>
      </c>
      <c r="C60" s="258"/>
      <c r="D60" s="258">
        <v>20250918</v>
      </c>
      <c r="E60" s="226">
        <v>6.8802</v>
      </c>
      <c r="F60" s="2020" t="s">
        <v>1419</v>
      </c>
      <c r="G60" s="500" t="s">
        <v>1629</v>
      </c>
      <c r="H60" s="227" t="s">
        <v>1682</v>
      </c>
      <c r="I60" s="227" t="s">
        <v>1594</v>
      </c>
      <c r="J60" s="227" t="s">
        <v>1507</v>
      </c>
      <c r="K60" s="227" t="s">
        <v>712</v>
      </c>
      <c r="L60" s="227" t="s">
        <v>1507</v>
      </c>
      <c r="M60" s="232">
        <f t="shared" ref="M60:M62" si="18">43.6/E60/1.13</f>
        <v>5.60798680219473</v>
      </c>
      <c r="N60" s="231">
        <v>24.5067627533815</v>
      </c>
      <c r="O60" s="257">
        <f t="shared" si="17"/>
        <v>3.3429260777303</v>
      </c>
      <c r="P60" s="257"/>
      <c r="Q60" s="231">
        <f t="shared" si="16"/>
        <v>33.4576756333065</v>
      </c>
      <c r="R60" s="258" t="s">
        <v>1683</v>
      </c>
      <c r="S60" s="226" t="s">
        <v>2054</v>
      </c>
      <c r="T60" s="1960"/>
      <c r="U60" s="1961"/>
      <c r="V60" s="1601"/>
      <c r="W60" s="1962"/>
      <c r="X60" s="1963"/>
      <c r="Y60" s="1962"/>
      <c r="Z60" s="1961"/>
      <c r="AA60" s="1601"/>
      <c r="AB60" s="1962"/>
      <c r="AC60" s="1963"/>
    </row>
    <row r="61" s="839" customFormat="1" ht="16" hidden="1" customHeight="1" spans="1:29">
      <c r="A61" s="839">
        <v>20</v>
      </c>
      <c r="B61" s="258" t="s">
        <v>2051</v>
      </c>
      <c r="C61" s="258"/>
      <c r="D61" s="1650">
        <v>46085</v>
      </c>
      <c r="E61" s="2066">
        <v>6.8802</v>
      </c>
      <c r="F61" s="2020" t="s">
        <v>2055</v>
      </c>
      <c r="G61" s="229" t="s">
        <v>1571</v>
      </c>
      <c r="H61" s="227" t="s">
        <v>2056</v>
      </c>
      <c r="I61" s="244" t="s">
        <v>1859</v>
      </c>
      <c r="J61" s="227" t="s">
        <v>1507</v>
      </c>
      <c r="K61" s="227" t="s">
        <v>712</v>
      </c>
      <c r="L61" s="227" t="s">
        <v>1507</v>
      </c>
      <c r="M61" s="232">
        <f t="shared" si="18"/>
        <v>5.60798680219473</v>
      </c>
      <c r="N61" s="232">
        <v>20.33</v>
      </c>
      <c r="O61" s="231">
        <f t="shared" si="17"/>
        <v>3.3429260777303</v>
      </c>
      <c r="P61" s="231"/>
      <c r="Q61" s="231">
        <f t="shared" si="16"/>
        <v>29.280912879925</v>
      </c>
      <c r="R61" s="258" t="s">
        <v>2057</v>
      </c>
      <c r="S61" s="226" t="s">
        <v>2058</v>
      </c>
      <c r="T61" s="1960"/>
      <c r="U61" s="1961"/>
      <c r="V61" s="1601"/>
      <c r="W61" s="1962"/>
      <c r="X61" s="1963"/>
      <c r="Y61" s="1962"/>
      <c r="Z61" s="1961"/>
      <c r="AA61" s="1601"/>
      <c r="AB61" s="1962"/>
      <c r="AC61" s="1963"/>
    </row>
    <row r="62" s="839" customFormat="1" ht="16" hidden="1" customHeight="1" spans="1:29">
      <c r="A62" s="839">
        <v>21</v>
      </c>
      <c r="B62" s="258" t="s">
        <v>2051</v>
      </c>
      <c r="C62" s="258"/>
      <c r="D62" s="1650">
        <v>46085</v>
      </c>
      <c r="E62" s="2066">
        <v>6.8802</v>
      </c>
      <c r="F62" s="2020" t="s">
        <v>2055</v>
      </c>
      <c r="G62" s="229" t="s">
        <v>1571</v>
      </c>
      <c r="H62" s="227" t="s">
        <v>2056</v>
      </c>
      <c r="I62" s="244" t="s">
        <v>1859</v>
      </c>
      <c r="J62" s="227" t="s">
        <v>1507</v>
      </c>
      <c r="K62" s="227" t="s">
        <v>712</v>
      </c>
      <c r="L62" s="227" t="s">
        <v>1507</v>
      </c>
      <c r="M62" s="232">
        <f t="shared" si="18"/>
        <v>5.60798680219473</v>
      </c>
      <c r="N62" s="232">
        <v>20.33</v>
      </c>
      <c r="O62" s="231">
        <f t="shared" si="17"/>
        <v>3.3429260777303</v>
      </c>
      <c r="P62" s="231"/>
      <c r="Q62" s="231">
        <f t="shared" si="16"/>
        <v>29.280912879925</v>
      </c>
      <c r="R62" s="258" t="s">
        <v>2057</v>
      </c>
      <c r="S62" s="226" t="s">
        <v>2058</v>
      </c>
      <c r="T62" s="1960"/>
      <c r="U62" s="1961"/>
      <c r="V62" s="1601"/>
      <c r="W62" s="1962"/>
      <c r="X62" s="1963"/>
      <c r="Y62" s="1962"/>
      <c r="Z62" s="1961"/>
      <c r="AA62" s="1601"/>
      <c r="AB62" s="1962"/>
      <c r="AC62" s="1963"/>
    </row>
    <row r="63" s="839" customFormat="1" ht="16" hidden="1" customHeight="1" spans="1:29">
      <c r="A63" s="839">
        <v>22</v>
      </c>
      <c r="B63" s="2061" t="s">
        <v>2059</v>
      </c>
      <c r="C63" s="2061"/>
      <c r="D63" s="2009"/>
      <c r="E63" s="2009"/>
      <c r="F63" s="2062" t="s">
        <v>1979</v>
      </c>
      <c r="G63" s="244"/>
      <c r="H63" s="244"/>
      <c r="I63" s="244" t="s">
        <v>2060</v>
      </c>
      <c r="J63" s="227" t="s">
        <v>1507</v>
      </c>
      <c r="K63" s="227" t="s">
        <v>1507</v>
      </c>
      <c r="L63" s="231" t="s">
        <v>1507</v>
      </c>
      <c r="M63" s="231">
        <f>28.5/7.13/1.13</f>
        <v>3.53734066452358</v>
      </c>
      <c r="N63" s="232">
        <v>33.7195026313701</v>
      </c>
      <c r="O63" s="231">
        <v>4.5</v>
      </c>
      <c r="P63" s="231"/>
      <c r="Q63" s="231">
        <f t="shared" si="16"/>
        <v>41.7568432958937</v>
      </c>
      <c r="R63" s="244" t="s">
        <v>2061</v>
      </c>
      <c r="S63" s="229" t="s">
        <v>2062</v>
      </c>
      <c r="T63" s="1960"/>
      <c r="U63" s="1961"/>
      <c r="V63" s="1601"/>
      <c r="W63" s="1962"/>
      <c r="X63" s="1963"/>
      <c r="Y63" s="1962"/>
      <c r="Z63" s="1961"/>
      <c r="AA63" s="1601"/>
      <c r="AB63" s="1962"/>
      <c r="AC63" s="1963"/>
    </row>
    <row r="64" s="839" customFormat="1" ht="16" hidden="1" customHeight="1" spans="1:29">
      <c r="A64" s="839">
        <v>27</v>
      </c>
      <c r="B64" s="2061" t="s">
        <v>2063</v>
      </c>
      <c r="C64" s="2061"/>
      <c r="D64" s="2063">
        <v>46034</v>
      </c>
      <c r="E64" s="2064">
        <v>6.9783</v>
      </c>
      <c r="F64" s="2020" t="s">
        <v>2064</v>
      </c>
      <c r="G64" s="244" t="s">
        <v>2065</v>
      </c>
      <c r="H64" s="244" t="s">
        <v>1979</v>
      </c>
      <c r="I64" s="244"/>
      <c r="J64" s="227" t="s">
        <v>1979</v>
      </c>
      <c r="K64" s="227" t="s">
        <v>1979</v>
      </c>
      <c r="L64" s="231" t="s">
        <v>1979</v>
      </c>
      <c r="M64" s="231">
        <f>9.3/E64/1.13</f>
        <v>1.17938301528671</v>
      </c>
      <c r="N64" s="231">
        <v>0.5</v>
      </c>
      <c r="O64" s="511" t="s">
        <v>1979</v>
      </c>
      <c r="P64" s="511"/>
      <c r="Q64" s="231">
        <f t="shared" ref="Q64:Q66" si="19">SUM(M64:N64)</f>
        <v>1.67938301528671</v>
      </c>
      <c r="R64" s="1649" t="s">
        <v>1979</v>
      </c>
      <c r="S64" s="229" t="s">
        <v>2066</v>
      </c>
      <c r="T64" s="1960"/>
      <c r="U64" s="1961"/>
      <c r="V64" s="1601"/>
      <c r="W64" s="1962"/>
      <c r="X64" s="1963"/>
      <c r="Y64" s="1962"/>
      <c r="Z64" s="1961"/>
      <c r="AA64" s="1601"/>
      <c r="AB64" s="1962"/>
      <c r="AC64" s="1963"/>
    </row>
    <row r="65" s="839" customFormat="1" ht="16" hidden="1" customHeight="1" spans="1:30">
      <c r="A65" s="839">
        <v>28</v>
      </c>
      <c r="B65" s="2061" t="s">
        <v>2067</v>
      </c>
      <c r="C65" s="2061"/>
      <c r="D65" s="2063">
        <v>46034</v>
      </c>
      <c r="E65" s="2064">
        <v>6.9783</v>
      </c>
      <c r="F65" s="2020" t="s">
        <v>2068</v>
      </c>
      <c r="G65" s="244" t="s">
        <v>2065</v>
      </c>
      <c r="H65" s="244" t="s">
        <v>2069</v>
      </c>
      <c r="I65" s="244"/>
      <c r="J65" s="227" t="s">
        <v>1979</v>
      </c>
      <c r="K65" s="227" t="s">
        <v>1979</v>
      </c>
      <c r="L65" s="231" t="s">
        <v>1979</v>
      </c>
      <c r="M65" s="231">
        <f>10.57/E65/1.13</f>
        <v>1.34043854533124</v>
      </c>
      <c r="N65" s="231">
        <v>3.3</v>
      </c>
      <c r="O65" s="511" t="s">
        <v>1979</v>
      </c>
      <c r="P65" s="511"/>
      <c r="Q65" s="231">
        <f t="shared" si="19"/>
        <v>4.64043854533123</v>
      </c>
      <c r="R65" s="1649" t="s">
        <v>1979</v>
      </c>
      <c r="S65" s="229" t="s">
        <v>2066</v>
      </c>
      <c r="T65" s="1960"/>
      <c r="U65" s="1961"/>
      <c r="V65" s="1601"/>
      <c r="W65" s="1962"/>
      <c r="X65" s="1963"/>
      <c r="Y65" s="1962"/>
      <c r="Z65" s="1961"/>
      <c r="AA65" s="1601"/>
      <c r="AB65" s="1962"/>
      <c r="AC65" s="1963"/>
    </row>
    <row r="66" s="839" customFormat="1" ht="16" hidden="1" customHeight="1" spans="1:30">
      <c r="A66" s="839">
        <v>29</v>
      </c>
      <c r="B66" s="2061" t="s">
        <v>2070</v>
      </c>
      <c r="C66" s="2061"/>
      <c r="D66" s="2063">
        <v>46057</v>
      </c>
      <c r="E66" s="2009">
        <v>6.9514</v>
      </c>
      <c r="F66" s="2020" t="s">
        <v>2071</v>
      </c>
      <c r="G66" s="244" t="s">
        <v>1667</v>
      </c>
      <c r="H66" s="244"/>
      <c r="I66" s="244"/>
      <c r="J66" s="244" t="s">
        <v>1979</v>
      </c>
      <c r="K66" s="244" t="s">
        <v>1979</v>
      </c>
      <c r="L66" s="231" t="s">
        <v>1979</v>
      </c>
      <c r="M66" s="231">
        <f>36/E66/1.14</f>
        <v>4.54281833420909</v>
      </c>
      <c r="N66" s="500">
        <v>13.02</v>
      </c>
      <c r="O66" s="500">
        <f>22/6.9514</f>
        <v>3.16483010616566</v>
      </c>
      <c r="P66" s="500"/>
      <c r="Q66" s="231">
        <f t="shared" si="19"/>
        <v>17.5628183342091</v>
      </c>
      <c r="R66" s="229" t="s">
        <v>1526</v>
      </c>
      <c r="S66" s="229"/>
      <c r="T66" s="1960"/>
      <c r="U66" s="1961"/>
      <c r="V66" s="1601"/>
      <c r="W66" s="1962"/>
      <c r="X66" s="1963"/>
      <c r="Y66" s="1962"/>
      <c r="Z66" s="1961"/>
      <c r="AA66" s="1601"/>
      <c r="AB66" s="1962"/>
      <c r="AC66" s="1963"/>
    </row>
    <row r="67" s="839" customFormat="1" ht="16" hidden="1" customHeight="1" spans="1:30">
      <c r="A67" s="839">
        <v>31</v>
      </c>
      <c r="B67" s="2061" t="s">
        <v>2072</v>
      </c>
      <c r="C67" s="2061"/>
      <c r="D67" s="2009"/>
      <c r="E67" s="2009"/>
      <c r="F67" s="2062" t="s">
        <v>1979</v>
      </c>
      <c r="G67" s="244"/>
      <c r="H67" s="244"/>
      <c r="I67" s="244" t="s">
        <v>2073</v>
      </c>
      <c r="J67" s="227" t="s">
        <v>1507</v>
      </c>
      <c r="K67" s="227" t="s">
        <v>1507</v>
      </c>
      <c r="L67" s="231" t="s">
        <v>1507</v>
      </c>
      <c r="M67" s="231">
        <f>7.5/7.13/1.13</f>
        <v>0.930879122243046</v>
      </c>
      <c r="N67" s="232">
        <v>3.40927758057069</v>
      </c>
      <c r="O67" s="231">
        <v>0.3</v>
      </c>
      <c r="P67" s="231"/>
      <c r="Q67" s="231">
        <f t="shared" ref="Q67:Q69" si="20">SUM(K67:O67)</f>
        <v>4.64015670281374</v>
      </c>
      <c r="R67" s="244" t="s">
        <v>2061</v>
      </c>
      <c r="S67" s="229" t="s">
        <v>2074</v>
      </c>
      <c r="T67" s="1960"/>
      <c r="U67" s="1961"/>
      <c r="V67" s="1601"/>
      <c r="W67" s="1962"/>
      <c r="X67" s="1963"/>
      <c r="Y67" s="1962"/>
      <c r="Z67" s="1961"/>
      <c r="AA67" s="1601"/>
      <c r="AB67" s="1962"/>
      <c r="AC67" s="1963"/>
    </row>
    <row r="68" s="839" customFormat="1" ht="16" hidden="1" customHeight="1" spans="1:30">
      <c r="A68" s="839">
        <v>32</v>
      </c>
      <c r="B68" s="2061" t="s">
        <v>2075</v>
      </c>
      <c r="C68" s="2061"/>
      <c r="D68" s="2009"/>
      <c r="E68" s="2009"/>
      <c r="F68" s="2062" t="s">
        <v>1979</v>
      </c>
      <c r="G68" s="244"/>
      <c r="H68" s="244"/>
      <c r="I68" s="244" t="s">
        <v>2060</v>
      </c>
      <c r="J68" s="227" t="s">
        <v>1507</v>
      </c>
      <c r="K68" s="227" t="s">
        <v>1507</v>
      </c>
      <c r="L68" s="231" t="s">
        <v>1507</v>
      </c>
      <c r="M68" s="231">
        <f>49/7.13/1.13</f>
        <v>6.08174359865457</v>
      </c>
      <c r="N68" s="232">
        <v>48.0673686511699</v>
      </c>
      <c r="O68" s="231">
        <v>4.5</v>
      </c>
      <c r="P68" s="231"/>
      <c r="Q68" s="231">
        <f t="shared" si="20"/>
        <v>58.6491122498245</v>
      </c>
      <c r="R68" s="244" t="s">
        <v>2061</v>
      </c>
      <c r="S68" s="229" t="s">
        <v>2076</v>
      </c>
      <c r="T68" s="1960"/>
      <c r="U68" s="1961"/>
      <c r="V68" s="1601"/>
      <c r="W68" s="1962"/>
      <c r="X68" s="1963"/>
      <c r="Y68" s="1962"/>
      <c r="Z68" s="1961"/>
      <c r="AA68" s="1601"/>
      <c r="AB68" s="1962"/>
      <c r="AC68" s="1963"/>
    </row>
    <row r="69" s="839" customFormat="1" ht="16" hidden="1" customHeight="1" spans="1:30">
      <c r="A69" s="839">
        <v>33</v>
      </c>
      <c r="B69" s="2061" t="s">
        <v>2072</v>
      </c>
      <c r="C69" s="2061"/>
      <c r="D69" s="2009"/>
      <c r="E69" s="2009"/>
      <c r="F69" s="2062" t="s">
        <v>1979</v>
      </c>
      <c r="G69" s="244"/>
      <c r="H69" s="244"/>
      <c r="I69" s="244" t="s">
        <v>2077</v>
      </c>
      <c r="J69" s="227" t="s">
        <v>1507</v>
      </c>
      <c r="K69" s="227" t="s">
        <v>1507</v>
      </c>
      <c r="L69" s="231" t="s">
        <v>1507</v>
      </c>
      <c r="M69" s="231">
        <f>11.3/7.13/1.13</f>
        <v>1.40252454417952</v>
      </c>
      <c r="N69" s="232">
        <v>8.74269477673696</v>
      </c>
      <c r="O69" s="231">
        <v>0.6</v>
      </c>
      <c r="P69" s="231"/>
      <c r="Q69" s="231">
        <f t="shared" si="20"/>
        <v>10.7452193209165</v>
      </c>
      <c r="R69" s="244" t="s">
        <v>2061</v>
      </c>
      <c r="S69" s="229" t="s">
        <v>2078</v>
      </c>
      <c r="T69" s="1960"/>
      <c r="U69" s="1961"/>
      <c r="V69" s="1601"/>
      <c r="W69" s="1962"/>
      <c r="X69" s="1963"/>
      <c r="Y69" s="1962"/>
      <c r="Z69" s="1961"/>
      <c r="AA69" s="1601"/>
      <c r="AB69" s="1962"/>
      <c r="AC69" s="1963"/>
    </row>
    <row r="70" s="839" customFormat="1" ht="16" hidden="1" customHeight="1" spans="1:30">
      <c r="A70" s="839">
        <v>34</v>
      </c>
      <c r="B70" s="2061" t="s">
        <v>2079</v>
      </c>
      <c r="C70" s="2061"/>
      <c r="D70" s="661">
        <v>20251110</v>
      </c>
      <c r="E70" s="661">
        <v>7.13</v>
      </c>
      <c r="F70" s="2020" t="s">
        <v>2080</v>
      </c>
      <c r="G70" s="227" t="s">
        <v>2081</v>
      </c>
      <c r="H70" s="227"/>
      <c r="I70" s="227" t="s">
        <v>2082</v>
      </c>
      <c r="J70" s="227" t="s">
        <v>1507</v>
      </c>
      <c r="K70" s="227" t="s">
        <v>1507</v>
      </c>
      <c r="L70" s="231" t="s">
        <v>1507</v>
      </c>
      <c r="M70" s="231">
        <f>43.37/7.13/1.13</f>
        <v>5.38296367089079</v>
      </c>
      <c r="N70" s="232">
        <v>20.2032588153567</v>
      </c>
      <c r="O70" s="231">
        <f>24.78/7.13/1.13</f>
        <v>3.07562461989103</v>
      </c>
      <c r="P70" s="231"/>
      <c r="Q70" s="231">
        <v>128.5020082215</v>
      </c>
      <c r="R70" s="258" t="s">
        <v>1526</v>
      </c>
      <c r="S70" s="226" t="s">
        <v>2083</v>
      </c>
      <c r="T70" s="2067"/>
      <c r="U70" s="1960"/>
      <c r="V70" s="1961"/>
      <c r="W70" s="1601"/>
      <c r="X70" s="1962"/>
      <c r="Y70" s="1963"/>
      <c r="Z70" s="1962"/>
      <c r="AA70" s="1961"/>
      <c r="AB70" s="1601"/>
      <c r="AC70" s="1962"/>
      <c r="AD70" s="1963"/>
    </row>
    <row r="71" s="1930" customFormat="1" ht="16" hidden="1" customHeight="1" spans="1:30">
      <c r="A71" s="839">
        <v>35</v>
      </c>
      <c r="B71" s="2057" t="s">
        <v>2084</v>
      </c>
      <c r="C71" s="2057"/>
      <c r="D71" s="2008">
        <v>20250928</v>
      </c>
      <c r="E71" s="661">
        <v>7.13</v>
      </c>
      <c r="F71" s="2020" t="s">
        <v>2085</v>
      </c>
      <c r="G71" s="227" t="s">
        <v>2086</v>
      </c>
      <c r="H71" s="245" t="s">
        <v>2087</v>
      </c>
      <c r="I71" s="245" t="s">
        <v>2027</v>
      </c>
      <c r="J71" s="227" t="s">
        <v>1507</v>
      </c>
      <c r="K71" s="227" t="s">
        <v>1507</v>
      </c>
      <c r="L71" s="231" t="s">
        <v>1507</v>
      </c>
      <c r="M71" s="231">
        <f>43.88/7.13/1.13*1.03</f>
        <v>5.60965135473942</v>
      </c>
      <c r="N71" s="231">
        <v>24.9267655693047</v>
      </c>
      <c r="O71" s="231">
        <v>3.5</v>
      </c>
      <c r="P71" s="231"/>
      <c r="Q71" s="232">
        <v>33.3020898255323</v>
      </c>
      <c r="R71" s="226" t="s">
        <v>1526</v>
      </c>
      <c r="S71" s="226" t="s">
        <v>2088</v>
      </c>
      <c r="W71" s="1977"/>
      <c r="AB71" s="1977"/>
    </row>
    <row r="72" s="839" customFormat="1" ht="16" hidden="1" customHeight="1" spans="1:30">
      <c r="A72" s="839">
        <v>36</v>
      </c>
      <c r="B72" s="2014" t="s">
        <v>2089</v>
      </c>
      <c r="C72" s="2014"/>
      <c r="D72" s="2017">
        <v>20250918</v>
      </c>
      <c r="E72" s="2017">
        <v>7.13</v>
      </c>
      <c r="F72" s="2020" t="s">
        <v>1674</v>
      </c>
      <c r="G72" s="2017" t="s">
        <v>1571</v>
      </c>
      <c r="H72" s="2017" t="s">
        <v>2090</v>
      </c>
      <c r="I72" s="219" t="s">
        <v>1511</v>
      </c>
      <c r="J72" s="2006" t="s">
        <v>1567</v>
      </c>
      <c r="K72" s="219" t="s">
        <v>1507</v>
      </c>
      <c r="L72" s="320">
        <v>7.5</v>
      </c>
      <c r="M72" s="320">
        <f>38.55/E72/1.13</f>
        <v>4.78471868832926</v>
      </c>
      <c r="N72" s="319">
        <v>22.8786763017911</v>
      </c>
      <c r="O72" s="320">
        <f t="shared" ref="O72:O79" si="21">23.5/6.91</f>
        <v>3.40086830680174</v>
      </c>
      <c r="P72" s="320"/>
      <c r="Q72" s="320">
        <f>SUM(K72:O72)</f>
        <v>38.5642632969221</v>
      </c>
      <c r="R72" s="2045"/>
      <c r="S72" s="226" t="s">
        <v>2091</v>
      </c>
      <c r="W72" s="1940"/>
      <c r="AB72" s="1940"/>
    </row>
    <row r="73" s="806" customFormat="1" ht="16" hidden="1" customHeight="1" spans="1:30">
      <c r="A73" s="839">
        <v>37</v>
      </c>
      <c r="B73" s="2014"/>
      <c r="C73" s="2014"/>
      <c r="D73" s="2046">
        <v>46090</v>
      </c>
      <c r="E73" s="219">
        <v>6.91</v>
      </c>
      <c r="F73" s="2020" t="s">
        <v>2092</v>
      </c>
      <c r="G73" s="2017" t="s">
        <v>1591</v>
      </c>
      <c r="H73" s="2017" t="s">
        <v>2090</v>
      </c>
      <c r="I73" s="219" t="s">
        <v>2093</v>
      </c>
      <c r="J73" s="2006" t="s">
        <v>1567</v>
      </c>
      <c r="K73" s="219" t="s">
        <v>712</v>
      </c>
      <c r="L73" s="320">
        <v>7.5</v>
      </c>
      <c r="M73" s="320">
        <f>38.55/E73/1.13</f>
        <v>4.93705416031659</v>
      </c>
      <c r="N73" s="320">
        <v>19.3</v>
      </c>
      <c r="O73" s="320">
        <f t="shared" si="21"/>
        <v>3.40086830680174</v>
      </c>
      <c r="P73" s="320"/>
      <c r="Q73" s="320">
        <f>SUM(L73:O73)</f>
        <v>35.1379224671183</v>
      </c>
      <c r="R73" s="640" t="s">
        <v>1526</v>
      </c>
      <c r="S73" s="226" t="s">
        <v>2094</v>
      </c>
      <c r="T73" s="2068"/>
      <c r="W73" s="2015"/>
    </row>
    <row r="74" s="806" customFormat="1" ht="16" hidden="1" customHeight="1" spans="1:30">
      <c r="A74" s="839"/>
      <c r="B74" s="2014"/>
      <c r="C74" s="2014"/>
      <c r="D74" s="2046">
        <v>46286</v>
      </c>
      <c r="E74" s="219">
        <v>6.7</v>
      </c>
      <c r="F74" s="2020" t="s">
        <v>2095</v>
      </c>
      <c r="G74" s="2017" t="s">
        <v>2096</v>
      </c>
      <c r="H74" s="2017"/>
      <c r="I74" s="219"/>
      <c r="J74" s="2006" t="s">
        <v>1428</v>
      </c>
      <c r="K74" s="219" t="s">
        <v>712</v>
      </c>
      <c r="L74" s="2006" t="s">
        <v>1428</v>
      </c>
      <c r="M74" s="320">
        <f>59.85/E74/1.13</f>
        <v>7.90516444327038</v>
      </c>
      <c r="N74" s="320">
        <v>21.1</v>
      </c>
      <c r="O74" s="320">
        <f t="shared" si="21"/>
        <v>3.40086830680174</v>
      </c>
      <c r="P74" s="320"/>
      <c r="Q74" s="320">
        <f>SUM(L74:O74)</f>
        <v>32.4060327500721</v>
      </c>
      <c r="R74" s="640" t="s">
        <v>2097</v>
      </c>
      <c r="S74" s="226"/>
      <c r="T74" s="1801"/>
      <c r="W74" s="2015"/>
    </row>
    <row r="75" s="806" customFormat="1" ht="16" hidden="1" customHeight="1" spans="1:30">
      <c r="A75" s="839"/>
      <c r="B75" s="2014"/>
      <c r="C75" s="2014"/>
      <c r="D75" s="2046"/>
      <c r="E75" s="219">
        <v>6.75</v>
      </c>
      <c r="F75" s="2020" t="s">
        <v>2098</v>
      </c>
      <c r="H75" s="2017"/>
      <c r="I75" s="219"/>
      <c r="J75" s="2006" t="s">
        <v>1428</v>
      </c>
      <c r="K75" s="219" t="s">
        <v>712</v>
      </c>
      <c r="L75" s="320" t="s">
        <v>1428</v>
      </c>
      <c r="M75" s="320">
        <f>60/E75/1.13</f>
        <v>7.86627335299902</v>
      </c>
      <c r="N75" s="320">
        <v>23.7</v>
      </c>
      <c r="O75" s="320">
        <f t="shared" si="21"/>
        <v>3.40086830680174</v>
      </c>
      <c r="P75" s="320"/>
      <c r="Q75" s="320">
        <f t="shared" ref="Q75:Q78" si="22">SUBTOTAL(109,M75:O75)</f>
        <v>0</v>
      </c>
      <c r="R75" s="640"/>
      <c r="S75" s="226" t="s">
        <v>2099</v>
      </c>
      <c r="T75" s="1801"/>
      <c r="W75" s="2015"/>
    </row>
    <row r="76" s="806" customFormat="1" ht="16" hidden="1" customHeight="1" spans="1:30">
      <c r="A76" s="839"/>
      <c r="B76" s="2014"/>
      <c r="C76" s="2014"/>
      <c r="D76" s="2046">
        <v>46272</v>
      </c>
      <c r="E76" s="219">
        <v>6.72</v>
      </c>
      <c r="F76" s="1975" t="s">
        <v>2100</v>
      </c>
      <c r="G76" s="2017"/>
      <c r="H76" s="2017"/>
      <c r="I76" s="219"/>
      <c r="J76" s="2006" t="s">
        <v>1428</v>
      </c>
      <c r="K76" s="219" t="s">
        <v>712</v>
      </c>
      <c r="L76" s="320" t="s">
        <v>1428</v>
      </c>
      <c r="M76" s="320">
        <f t="shared" ref="M76:M78" si="23">65.32/E76/1.13</f>
        <v>8.60198061525495</v>
      </c>
      <c r="N76" s="320">
        <v>21.9</v>
      </c>
      <c r="O76" s="320">
        <f t="shared" si="21"/>
        <v>3.40086830680174</v>
      </c>
      <c r="P76" s="320"/>
      <c r="Q76" s="320">
        <f t="shared" si="22"/>
        <v>0</v>
      </c>
      <c r="R76" s="640"/>
      <c r="S76" s="266" t="s">
        <v>2101</v>
      </c>
      <c r="T76" s="1801"/>
      <c r="W76" s="2015"/>
    </row>
    <row r="77" s="806" customFormat="1" ht="16" hidden="1" customHeight="1" spans="1:30">
      <c r="A77" s="839"/>
      <c r="B77" s="2014"/>
      <c r="C77" s="2014"/>
      <c r="D77" s="2046"/>
      <c r="E77" s="219">
        <v>6.72</v>
      </c>
      <c r="F77" s="1975" t="s">
        <v>2102</v>
      </c>
      <c r="G77" s="2017"/>
      <c r="H77" s="2017"/>
      <c r="I77" s="219"/>
      <c r="J77" s="2006" t="s">
        <v>1428</v>
      </c>
      <c r="K77" s="219" t="s">
        <v>712</v>
      </c>
      <c r="L77" s="320" t="s">
        <v>1428</v>
      </c>
      <c r="M77" s="320">
        <f t="shared" si="23"/>
        <v>8.60198061525495</v>
      </c>
      <c r="N77" s="320">
        <v>22.3</v>
      </c>
      <c r="O77" s="320">
        <f t="shared" si="21"/>
        <v>3.40086830680174</v>
      </c>
      <c r="P77" s="320"/>
      <c r="Q77" s="320">
        <f t="shared" si="22"/>
        <v>0</v>
      </c>
      <c r="R77" s="640"/>
      <c r="S77" s="226"/>
      <c r="T77" s="1801"/>
      <c r="W77" s="2015"/>
    </row>
    <row r="78" s="806" customFormat="1" ht="16" hidden="1" customHeight="1" spans="1:30">
      <c r="A78" s="839"/>
      <c r="B78" s="2014"/>
      <c r="C78" s="2014"/>
      <c r="D78" s="2046"/>
      <c r="E78" s="219">
        <v>6.72</v>
      </c>
      <c r="F78" s="1975" t="s">
        <v>2103</v>
      </c>
      <c r="G78" s="2017"/>
      <c r="H78" s="2017"/>
      <c r="I78" s="219"/>
      <c r="J78" s="2006" t="s">
        <v>1428</v>
      </c>
      <c r="K78" s="219" t="s">
        <v>712</v>
      </c>
      <c r="L78" s="320" t="s">
        <v>1428</v>
      </c>
      <c r="M78" s="320">
        <f t="shared" si="23"/>
        <v>8.60198061525495</v>
      </c>
      <c r="N78" s="320">
        <v>23.52</v>
      </c>
      <c r="O78" s="320">
        <f t="shared" si="21"/>
        <v>3.40086830680174</v>
      </c>
      <c r="P78" s="320"/>
      <c r="Q78" s="320">
        <f t="shared" si="22"/>
        <v>0</v>
      </c>
      <c r="R78" s="640"/>
      <c r="S78" s="226"/>
      <c r="T78" s="1801"/>
      <c r="W78" s="2015"/>
    </row>
    <row r="79" s="806" customFormat="1" ht="16" hidden="1" customHeight="1" spans="1:30">
      <c r="A79" s="839">
        <v>1</v>
      </c>
      <c r="B79" s="2014"/>
      <c r="C79" s="2014"/>
      <c r="D79" s="2046"/>
      <c r="E79" s="219">
        <v>6.7963</v>
      </c>
      <c r="F79" s="2020" t="s">
        <v>2104</v>
      </c>
      <c r="G79" s="2017" t="s">
        <v>2081</v>
      </c>
      <c r="H79" s="2017"/>
      <c r="I79" s="219"/>
      <c r="J79" s="2006" t="s">
        <v>1871</v>
      </c>
      <c r="K79" s="219" t="s">
        <v>712</v>
      </c>
      <c r="L79" s="320"/>
      <c r="M79" s="320">
        <f t="shared" ref="M79:M82" si="24">38.55/E79/1.13</f>
        <v>5.01964955163657</v>
      </c>
      <c r="N79" s="320">
        <v>21</v>
      </c>
      <c r="O79" s="320">
        <f t="shared" si="21"/>
        <v>3.40086830680174</v>
      </c>
      <c r="P79" s="320"/>
      <c r="Q79" s="320">
        <f>SUBTOTAL(109,L79:O79)</f>
        <v>0</v>
      </c>
      <c r="R79" s="640"/>
      <c r="S79" s="226"/>
      <c r="T79" s="1801"/>
      <c r="W79" s="2015"/>
    </row>
    <row r="80" s="806" customFormat="1" ht="16" hidden="1" customHeight="1" spans="1:30">
      <c r="A80" s="839">
        <v>1</v>
      </c>
      <c r="B80" s="2014"/>
      <c r="C80" s="2014"/>
      <c r="D80" s="2046"/>
      <c r="E80" s="219">
        <v>6.7739</v>
      </c>
      <c r="F80" s="2020" t="s">
        <v>2105</v>
      </c>
      <c r="G80" s="2017" t="s">
        <v>2106</v>
      </c>
      <c r="H80" s="2017"/>
      <c r="I80" s="219"/>
      <c r="J80" s="2006" t="s">
        <v>1428</v>
      </c>
      <c r="K80" s="219" t="s">
        <v>712</v>
      </c>
      <c r="L80" s="2006" t="s">
        <v>1428</v>
      </c>
      <c r="M80" s="320">
        <f>52.17/6.7739/1.13</f>
        <v>6.81559243462708</v>
      </c>
      <c r="N80" s="320">
        <f>21.2+20/6.7739/1.13</f>
        <v>23.8128397295868</v>
      </c>
      <c r="O80" s="320">
        <f>23.5/E80</f>
        <v>3.46919795095883</v>
      </c>
      <c r="P80" s="320"/>
      <c r="Q80" s="320">
        <f t="shared" ref="Q80:Q84" si="25">SUM(L80:O80)</f>
        <v>34.0976301151727</v>
      </c>
      <c r="R80" s="640"/>
      <c r="S80" s="226"/>
      <c r="T80" s="1801"/>
      <c r="W80" s="2015"/>
    </row>
    <row r="81" s="806" customFormat="1" ht="16" hidden="1" customHeight="1" spans="1:29">
      <c r="A81" s="839">
        <v>38</v>
      </c>
      <c r="B81" s="2014"/>
      <c r="C81" s="2014"/>
      <c r="D81" s="2046">
        <v>46107</v>
      </c>
      <c r="E81" s="219">
        <v>6.91</v>
      </c>
      <c r="F81" s="2020" t="s">
        <v>2107</v>
      </c>
      <c r="G81" s="2017" t="s">
        <v>1525</v>
      </c>
      <c r="H81" s="2017" t="s">
        <v>2090</v>
      </c>
      <c r="I81" s="219"/>
      <c r="J81" s="2006" t="s">
        <v>2108</v>
      </c>
      <c r="K81" s="219" t="s">
        <v>712</v>
      </c>
      <c r="L81" s="320">
        <v>7.5</v>
      </c>
      <c r="M81" s="320">
        <f t="shared" si="24"/>
        <v>4.93705416031659</v>
      </c>
      <c r="N81" s="320">
        <v>20.9</v>
      </c>
      <c r="O81" s="320">
        <f>23.5/6.91</f>
        <v>3.40086830680174</v>
      </c>
      <c r="P81" s="320"/>
      <c r="Q81" s="320">
        <f t="shared" si="25"/>
        <v>36.7379224671183</v>
      </c>
      <c r="R81" s="640" t="s">
        <v>1526</v>
      </c>
      <c r="S81" s="226"/>
      <c r="T81" s="1801"/>
      <c r="W81" s="2015"/>
    </row>
    <row r="82" s="806" customFormat="1" ht="16" hidden="1" customHeight="1" spans="1:29">
      <c r="A82" s="839">
        <v>1</v>
      </c>
      <c r="B82" s="2014"/>
      <c r="C82" s="2014"/>
      <c r="D82" s="2037">
        <v>46122</v>
      </c>
      <c r="E82" s="219">
        <v>6.8819</v>
      </c>
      <c r="F82" s="2020" t="s">
        <v>2109</v>
      </c>
      <c r="G82" s="2017" t="s">
        <v>2110</v>
      </c>
      <c r="H82" s="2017" t="s">
        <v>2090</v>
      </c>
      <c r="I82" s="219"/>
      <c r="J82" s="2006" t="s">
        <v>2108</v>
      </c>
      <c r="K82" s="219" t="s">
        <v>712</v>
      </c>
      <c r="L82" s="320">
        <v>7.5</v>
      </c>
      <c r="M82" s="320">
        <f t="shared" si="24"/>
        <v>4.95721301497953</v>
      </c>
      <c r="N82" s="320">
        <v>21.2</v>
      </c>
      <c r="O82" s="320">
        <v>3.4</v>
      </c>
      <c r="P82" s="320"/>
      <c r="Q82" s="320">
        <f t="shared" si="25"/>
        <v>37.0572130149795</v>
      </c>
      <c r="R82" s="640"/>
      <c r="S82" s="226"/>
      <c r="W82" s="2015"/>
    </row>
    <row r="83" s="806" customFormat="1" ht="16" hidden="1" customHeight="1" spans="1:29">
      <c r="A83" s="839">
        <v>1</v>
      </c>
      <c r="B83" s="2069"/>
      <c r="C83" s="2069"/>
      <c r="D83" s="2070">
        <v>46182</v>
      </c>
      <c r="E83" s="2071">
        <v>6.7851</v>
      </c>
      <c r="F83" s="2020" t="s">
        <v>2111</v>
      </c>
      <c r="G83" s="2072"/>
      <c r="H83" s="2072"/>
      <c r="I83" s="2071"/>
      <c r="J83" s="2073"/>
      <c r="K83" s="2071"/>
      <c r="L83" s="2074"/>
      <c r="M83" s="2074">
        <f>38.07/E83/1.13</f>
        <v>4.96533072271973</v>
      </c>
      <c r="N83" s="2074">
        <v>22.1</v>
      </c>
      <c r="O83" s="2074">
        <v>3.4</v>
      </c>
      <c r="P83" s="2074"/>
      <c r="Q83" s="2074">
        <f t="shared" si="25"/>
        <v>30.4653307227197</v>
      </c>
      <c r="R83" s="2075" t="s">
        <v>2112</v>
      </c>
      <c r="S83" s="2076"/>
      <c r="W83" s="2015"/>
    </row>
    <row r="84" s="806" customFormat="1" ht="16" hidden="1" customHeight="1" spans="1:29">
      <c r="A84" s="839">
        <v>39</v>
      </c>
      <c r="B84" s="2014"/>
      <c r="C84" s="2014"/>
      <c r="D84" s="2037">
        <v>46106</v>
      </c>
      <c r="E84" s="219">
        <v>6.91</v>
      </c>
      <c r="F84" s="2020" t="s">
        <v>2113</v>
      </c>
      <c r="G84" s="2017" t="s">
        <v>1593</v>
      </c>
      <c r="H84" s="2017" t="s">
        <v>2090</v>
      </c>
      <c r="I84" s="219"/>
      <c r="J84" s="2006" t="s">
        <v>1567</v>
      </c>
      <c r="K84" s="219" t="s">
        <v>712</v>
      </c>
      <c r="L84" s="320">
        <v>7.5</v>
      </c>
      <c r="M84" s="320">
        <f>38.55/E84/1.13</f>
        <v>4.93705416031659</v>
      </c>
      <c r="N84" s="320">
        <f>18.65+0.86</f>
        <v>19.51</v>
      </c>
      <c r="O84" s="320">
        <f>23.5/6.91</f>
        <v>3.40086830680174</v>
      </c>
      <c r="P84" s="320"/>
      <c r="Q84" s="320">
        <f t="shared" si="25"/>
        <v>35.3479224671183</v>
      </c>
      <c r="R84" s="640" t="s">
        <v>1526</v>
      </c>
      <c r="S84" s="226" t="s">
        <v>2094</v>
      </c>
      <c r="W84" s="2015"/>
    </row>
    <row r="85" s="806" customFormat="1" ht="16" hidden="1" customHeight="1" spans="1:29">
      <c r="A85" s="839">
        <v>40</v>
      </c>
      <c r="B85" s="658" t="s">
        <v>2114</v>
      </c>
      <c r="C85" s="658"/>
      <c r="D85" s="2007">
        <v>20251104</v>
      </c>
      <c r="E85" s="661">
        <v>7.13</v>
      </c>
      <c r="F85" s="2062" t="s">
        <v>1979</v>
      </c>
      <c r="G85" s="511"/>
      <c r="H85" s="227"/>
      <c r="I85" s="227"/>
      <c r="J85" s="227" t="s">
        <v>1507</v>
      </c>
      <c r="K85" s="227" t="s">
        <v>1507</v>
      </c>
      <c r="L85" s="232" t="s">
        <v>1507</v>
      </c>
      <c r="M85" s="232">
        <f t="shared" ref="M85:M87" si="26">21.7/E85/1.13</f>
        <v>2.69334359368988</v>
      </c>
      <c r="N85" s="232">
        <f>11.62+0.72</f>
        <v>12.34</v>
      </c>
      <c r="O85" s="231">
        <v>3.5</v>
      </c>
      <c r="P85" s="231"/>
      <c r="Q85" s="231">
        <f t="shared" ref="Q85:Q91" si="27">SUM(K85:O85)</f>
        <v>18.5333435936899</v>
      </c>
      <c r="R85" s="2036"/>
      <c r="S85" s="226" t="s">
        <v>2115</v>
      </c>
      <c r="W85" s="2015"/>
    </row>
    <row r="86" s="806" customFormat="1" ht="16" hidden="1" customHeight="1" spans="1:29">
      <c r="A86" s="839">
        <v>41</v>
      </c>
      <c r="B86" s="658" t="s">
        <v>2114</v>
      </c>
      <c r="C86" s="658"/>
      <c r="D86" s="2007">
        <v>20251104</v>
      </c>
      <c r="E86" s="661">
        <v>7.13</v>
      </c>
      <c r="F86" s="2062" t="s">
        <v>1979</v>
      </c>
      <c r="G86" s="511"/>
      <c r="H86" s="227"/>
      <c r="I86" s="227" t="s">
        <v>2116</v>
      </c>
      <c r="J86" s="227" t="s">
        <v>1507</v>
      </c>
      <c r="K86" s="227" t="s">
        <v>1507</v>
      </c>
      <c r="L86" s="232" t="s">
        <v>2117</v>
      </c>
      <c r="M86" s="232">
        <f t="shared" si="26"/>
        <v>2.69334359368988</v>
      </c>
      <c r="N86" s="232">
        <f>11.62+0.72</f>
        <v>12.34</v>
      </c>
      <c r="O86" s="231">
        <v>3.5</v>
      </c>
      <c r="P86" s="231"/>
      <c r="Q86" s="231">
        <f t="shared" si="27"/>
        <v>18.5333435936899</v>
      </c>
      <c r="R86" s="2036"/>
      <c r="S86" s="226" t="s">
        <v>2115</v>
      </c>
      <c r="W86" s="2015"/>
    </row>
    <row r="87" s="806" customFormat="1" ht="16" hidden="1" customHeight="1" spans="1:29">
      <c r="A87" s="839">
        <v>42</v>
      </c>
      <c r="B87" s="658" t="s">
        <v>2114</v>
      </c>
      <c r="C87" s="658"/>
      <c r="D87" s="2005">
        <v>46056</v>
      </c>
      <c r="E87" s="661">
        <v>6.9514</v>
      </c>
      <c r="F87" s="2020" t="s">
        <v>2118</v>
      </c>
      <c r="G87" s="227" t="s">
        <v>1565</v>
      </c>
      <c r="H87" s="245" t="s">
        <v>2119</v>
      </c>
      <c r="I87" s="227"/>
      <c r="J87" s="227" t="s">
        <v>1507</v>
      </c>
      <c r="K87" s="227" t="s">
        <v>1507</v>
      </c>
      <c r="L87" s="232" t="s">
        <v>2117</v>
      </c>
      <c r="M87" s="232">
        <f t="shared" si="26"/>
        <v>2.76254277167317</v>
      </c>
      <c r="N87" s="232">
        <f>16.78+0.72</f>
        <v>17.5</v>
      </c>
      <c r="O87" s="231">
        <f t="shared" ref="O87:O91" si="28">22/E87</f>
        <v>3.16483010616566</v>
      </c>
      <c r="P87" s="231"/>
      <c r="Q87" s="231">
        <f t="shared" si="27"/>
        <v>23.4273728778388</v>
      </c>
      <c r="R87" s="2036"/>
      <c r="S87" s="226" t="s">
        <v>2120</v>
      </c>
      <c r="W87" s="2015"/>
    </row>
    <row r="88" s="806" customFormat="1" ht="16" hidden="1" customHeight="1" spans="1:29">
      <c r="A88" s="839">
        <v>43</v>
      </c>
      <c r="B88" s="266" t="s">
        <v>1825</v>
      </c>
      <c r="C88" s="266"/>
      <c r="D88" s="2037">
        <v>46101</v>
      </c>
      <c r="E88" s="219">
        <v>6.902</v>
      </c>
      <c r="F88" s="2020" t="s">
        <v>2121</v>
      </c>
      <c r="G88" s="2006" t="s">
        <v>1617</v>
      </c>
      <c r="H88" s="2017" t="s">
        <v>1977</v>
      </c>
      <c r="I88" s="2006" t="s">
        <v>1859</v>
      </c>
      <c r="J88" s="219" t="s">
        <v>1507</v>
      </c>
      <c r="K88" s="219" t="s">
        <v>712</v>
      </c>
      <c r="L88" s="219" t="s">
        <v>1507</v>
      </c>
      <c r="M88" s="319">
        <f>21.7/6.91/1.13</f>
        <v>2.77909404095642</v>
      </c>
      <c r="N88" s="319">
        <f>13.32+0.72</f>
        <v>14.04</v>
      </c>
      <c r="O88" s="320">
        <f t="shared" si="28"/>
        <v>3.18748188930745</v>
      </c>
      <c r="P88" s="320"/>
      <c r="Q88" s="320">
        <f t="shared" si="27"/>
        <v>20.0065759302639</v>
      </c>
      <c r="R88" s="2077" t="s">
        <v>1865</v>
      </c>
      <c r="S88" s="266" t="s">
        <v>2122</v>
      </c>
      <c r="W88" s="2015"/>
    </row>
    <row r="89" s="806" customFormat="1" ht="16" hidden="1" customHeight="1" spans="1:29">
      <c r="A89" s="839"/>
      <c r="B89" s="266" t="s">
        <v>2123</v>
      </c>
      <c r="C89" s="266"/>
      <c r="D89" s="2037">
        <v>46251</v>
      </c>
      <c r="E89" s="219">
        <v>6.75</v>
      </c>
      <c r="F89" s="1975" t="s">
        <v>2124</v>
      </c>
      <c r="G89" s="2006"/>
      <c r="H89" s="2017"/>
      <c r="I89" s="2006"/>
      <c r="J89" s="219" t="s">
        <v>1507</v>
      </c>
      <c r="K89" s="219" t="s">
        <v>712</v>
      </c>
      <c r="L89" s="219" t="s">
        <v>1507</v>
      </c>
      <c r="M89" s="1985">
        <f>38.98/E89/1.13</f>
        <v>5.11045558833169</v>
      </c>
      <c r="N89" s="319">
        <v>17.1</v>
      </c>
      <c r="O89" s="320">
        <f t="shared" si="28"/>
        <v>3.25925925925926</v>
      </c>
      <c r="P89" s="320"/>
      <c r="Q89" s="320">
        <f t="shared" si="27"/>
        <v>25.469714847591</v>
      </c>
      <c r="R89" s="2077"/>
      <c r="S89" s="266"/>
      <c r="W89" s="2015"/>
    </row>
    <row r="90" s="806" customFormat="1" ht="16" hidden="1" customHeight="1" spans="1:29">
      <c r="A90" s="839">
        <v>44</v>
      </c>
      <c r="B90" s="658" t="s">
        <v>2123</v>
      </c>
      <c r="C90" s="658"/>
      <c r="D90" s="2005">
        <v>46058</v>
      </c>
      <c r="E90" s="661">
        <v>6.9514</v>
      </c>
      <c r="F90" s="2020" t="s">
        <v>1419</v>
      </c>
      <c r="G90" s="511" t="s">
        <v>1565</v>
      </c>
      <c r="H90" s="245" t="s">
        <v>2119</v>
      </c>
      <c r="I90" s="227"/>
      <c r="J90" s="227" t="s">
        <v>1507</v>
      </c>
      <c r="K90" s="227" t="s">
        <v>712</v>
      </c>
      <c r="L90" s="232" t="s">
        <v>1507</v>
      </c>
      <c r="M90" s="232">
        <f>24.33/E90/1.13</f>
        <v>3.09735786335521</v>
      </c>
      <c r="N90" s="232">
        <v>15.01</v>
      </c>
      <c r="O90" s="231">
        <f t="shared" si="28"/>
        <v>3.16483010616566</v>
      </c>
      <c r="P90" s="231"/>
      <c r="Q90" s="231">
        <f t="shared" si="27"/>
        <v>21.2721879695209</v>
      </c>
      <c r="R90" s="2036"/>
      <c r="S90" s="226" t="s">
        <v>2125</v>
      </c>
      <c r="W90" s="2015"/>
    </row>
    <row r="91" s="806" customFormat="1" ht="16" hidden="1" customHeight="1" spans="1:29">
      <c r="A91" s="839">
        <v>45</v>
      </c>
      <c r="B91" s="266" t="s">
        <v>2126</v>
      </c>
      <c r="C91" s="266"/>
      <c r="D91" s="2037">
        <v>46101</v>
      </c>
      <c r="E91" s="219">
        <v>6.901</v>
      </c>
      <c r="F91" s="2020" t="s">
        <v>2127</v>
      </c>
      <c r="G91" s="2006" t="s">
        <v>1617</v>
      </c>
      <c r="H91" s="317" t="s">
        <v>2119</v>
      </c>
      <c r="I91" s="2006" t="s">
        <v>1859</v>
      </c>
      <c r="J91" s="219" t="s">
        <v>1507</v>
      </c>
      <c r="K91" s="219" t="s">
        <v>712</v>
      </c>
      <c r="L91" s="319" t="s">
        <v>1507</v>
      </c>
      <c r="M91" s="319">
        <f>24.33/E91/1.13</f>
        <v>3.11997876413961</v>
      </c>
      <c r="N91" s="319">
        <f>13.99+0.72</f>
        <v>14.71</v>
      </c>
      <c r="O91" s="320">
        <f t="shared" si="28"/>
        <v>3.18794377626431</v>
      </c>
      <c r="P91" s="320"/>
      <c r="Q91" s="320">
        <f t="shared" si="27"/>
        <v>21.0179225404039</v>
      </c>
      <c r="R91" s="2078" t="s">
        <v>2128</v>
      </c>
      <c r="S91" s="266" t="s">
        <v>2129</v>
      </c>
      <c r="W91" s="2015"/>
    </row>
    <row r="92" s="806" customFormat="1" ht="16" hidden="1" customHeight="1" spans="1:29">
      <c r="A92" s="839">
        <v>46</v>
      </c>
      <c r="B92" s="266" t="s">
        <v>465</v>
      </c>
      <c r="C92" s="266"/>
      <c r="D92" s="2037">
        <v>46081</v>
      </c>
      <c r="E92" s="219">
        <v>6.9264</v>
      </c>
      <c r="F92" s="2020" t="s">
        <v>1420</v>
      </c>
      <c r="G92" s="511"/>
      <c r="H92" s="227"/>
      <c r="I92" s="227" t="s">
        <v>2130</v>
      </c>
      <c r="J92" s="227" t="s">
        <v>1507</v>
      </c>
      <c r="K92" s="227" t="s">
        <v>712</v>
      </c>
      <c r="L92" s="232" t="s">
        <v>2117</v>
      </c>
      <c r="M92" s="232" t="s">
        <v>2131</v>
      </c>
      <c r="N92" s="232">
        <v>21.9</v>
      </c>
      <c r="O92" s="231">
        <v>3.5</v>
      </c>
      <c r="P92" s="231"/>
      <c r="Q92" s="232">
        <f>N92+O92</f>
        <v>25.4</v>
      </c>
      <c r="R92" s="2036"/>
      <c r="S92" s="226" t="s">
        <v>2132</v>
      </c>
      <c r="W92" s="2015"/>
    </row>
    <row r="93" s="1930" customFormat="1" ht="16" hidden="1" customHeight="1" spans="1:29">
      <c r="A93" s="839">
        <v>47</v>
      </c>
      <c r="B93" s="658" t="s">
        <v>1502</v>
      </c>
      <c r="C93" s="658"/>
      <c r="D93" s="661">
        <v>20240919</v>
      </c>
      <c r="E93" s="661">
        <v>7.13</v>
      </c>
      <c r="F93" s="2020" t="s">
        <v>1407</v>
      </c>
      <c r="G93" s="227" t="s">
        <v>1504</v>
      </c>
      <c r="H93" s="227" t="s">
        <v>2133</v>
      </c>
      <c r="I93" s="227" t="s">
        <v>1506</v>
      </c>
      <c r="J93" s="227" t="s">
        <v>1507</v>
      </c>
      <c r="K93" s="227" t="s">
        <v>712</v>
      </c>
      <c r="L93" s="231" t="s">
        <v>1507</v>
      </c>
      <c r="M93" s="231">
        <f>3.85264748791615/7.21*7.17</f>
        <v>3.83127357674879</v>
      </c>
      <c r="N93" s="232">
        <f>15.2241732953349+0.23</f>
        <v>15.4541732953349</v>
      </c>
      <c r="O93" s="231">
        <f>23.73/E113/1.13</f>
        <v>3.05223685357984</v>
      </c>
      <c r="P93" s="231"/>
      <c r="Q93" s="320">
        <f t="shared" ref="Q93:Q103" si="29">SUM(K93:O93)</f>
        <v>22.3376837256635</v>
      </c>
      <c r="R93" s="243" t="s">
        <v>1508</v>
      </c>
      <c r="S93" s="226" t="s">
        <v>2134</v>
      </c>
      <c r="T93" s="2079"/>
      <c r="AC93" s="1977"/>
    </row>
    <row r="94" s="1930" customFormat="1" ht="16" hidden="1" customHeight="1" spans="1:29">
      <c r="A94" s="839">
        <v>48</v>
      </c>
      <c r="B94" s="658"/>
      <c r="C94" s="658"/>
      <c r="D94" s="2080">
        <v>46056</v>
      </c>
      <c r="E94" s="661">
        <v>6.9514</v>
      </c>
      <c r="F94" s="2020" t="s">
        <v>2135</v>
      </c>
      <c r="G94" s="227" t="s">
        <v>2136</v>
      </c>
      <c r="H94" s="227" t="s">
        <v>2133</v>
      </c>
      <c r="I94" s="227" t="s">
        <v>1511</v>
      </c>
      <c r="J94" s="227" t="s">
        <v>1507</v>
      </c>
      <c r="K94" s="227" t="s">
        <v>712</v>
      </c>
      <c r="L94" s="231" t="s">
        <v>1507</v>
      </c>
      <c r="M94" s="231">
        <f>3.85264748791615/7.21*7.17</f>
        <v>3.83127357674879</v>
      </c>
      <c r="N94" s="232">
        <v>13.5</v>
      </c>
      <c r="O94" s="231">
        <v>3.09</v>
      </c>
      <c r="P94" s="231"/>
      <c r="Q94" s="320">
        <f t="shared" si="29"/>
        <v>20.4212735767488</v>
      </c>
      <c r="R94" s="243" t="s">
        <v>2137</v>
      </c>
      <c r="S94" s="226"/>
      <c r="T94" s="2079"/>
      <c r="AC94" s="1977"/>
    </row>
    <row r="95" s="1930" customFormat="1" ht="16" hidden="1" customHeight="1" spans="1:29">
      <c r="A95" s="839">
        <v>1</v>
      </c>
      <c r="B95" s="266"/>
      <c r="C95" s="266"/>
      <c r="D95" s="2081">
        <v>46176</v>
      </c>
      <c r="E95" s="219">
        <v>6.75</v>
      </c>
      <c r="F95" s="1975" t="s">
        <v>2138</v>
      </c>
      <c r="G95" s="227"/>
      <c r="H95" s="227"/>
      <c r="I95" s="227"/>
      <c r="J95" s="219" t="s">
        <v>1428</v>
      </c>
      <c r="K95" s="219" t="s">
        <v>712</v>
      </c>
      <c r="L95" s="219" t="s">
        <v>1428</v>
      </c>
      <c r="M95" s="320">
        <f t="shared" ref="M95:M99" si="30">38.264/E95/1.13*1.05</f>
        <v>5.2674139626352</v>
      </c>
      <c r="N95" s="319">
        <v>12.5</v>
      </c>
      <c r="O95" s="320">
        <v>3.09</v>
      </c>
      <c r="P95" s="320"/>
      <c r="Q95" s="320">
        <f>SUBTOTAL(109,M95:O95)</f>
        <v>0</v>
      </c>
      <c r="R95" s="2082" t="s">
        <v>2139</v>
      </c>
      <c r="S95" s="226"/>
      <c r="T95" s="2079"/>
      <c r="AC95" s="1977"/>
    </row>
    <row r="96" s="1930" customFormat="1" ht="16" hidden="1" customHeight="1" spans="1:29">
      <c r="A96" s="839"/>
      <c r="B96" s="266"/>
      <c r="C96" s="266"/>
      <c r="D96" s="2081"/>
      <c r="E96" s="219">
        <v>6.7</v>
      </c>
      <c r="F96" s="1975" t="s">
        <v>2140</v>
      </c>
      <c r="G96" s="227"/>
      <c r="H96" s="227"/>
      <c r="I96" s="227"/>
      <c r="J96" s="219" t="s">
        <v>1428</v>
      </c>
      <c r="K96" s="219" t="s">
        <v>712</v>
      </c>
      <c r="L96" s="219" t="s">
        <v>1428</v>
      </c>
      <c r="M96" s="320">
        <f>54.21/E96/1.13</f>
        <v>7.16021661603487</v>
      </c>
      <c r="N96" s="319">
        <v>14.6</v>
      </c>
      <c r="O96" s="320">
        <v>3.09</v>
      </c>
      <c r="P96" s="320"/>
      <c r="Q96" s="320">
        <f>O96+N96+M96</f>
        <v>24.8502166160349</v>
      </c>
      <c r="R96" s="2082"/>
      <c r="S96" s="226"/>
      <c r="T96" s="2079"/>
      <c r="AC96" s="1977"/>
    </row>
    <row r="97" s="1930" customFormat="1" ht="16" hidden="1" customHeight="1" spans="1:29">
      <c r="A97" s="839"/>
      <c r="B97" s="266"/>
      <c r="C97" s="266"/>
      <c r="D97" s="2081">
        <v>46246</v>
      </c>
      <c r="E97" s="219">
        <v>6.75</v>
      </c>
      <c r="F97" s="1975" t="s">
        <v>1346</v>
      </c>
      <c r="G97" s="219"/>
      <c r="H97" s="219"/>
      <c r="I97" s="219"/>
      <c r="J97" s="219" t="s">
        <v>1428</v>
      </c>
      <c r="K97" s="219" t="s">
        <v>712</v>
      </c>
      <c r="L97" s="219" t="s">
        <v>1428</v>
      </c>
      <c r="M97" s="214">
        <f t="shared" si="30"/>
        <v>5.2674139626352</v>
      </c>
      <c r="N97" s="319">
        <v>14.92</v>
      </c>
      <c r="O97" s="320">
        <v>3.09</v>
      </c>
      <c r="P97" s="320"/>
      <c r="Q97" s="320">
        <f>SUBTOTAL(109,M97:O97)</f>
        <v>0</v>
      </c>
      <c r="R97" s="2082" t="s">
        <v>2141</v>
      </c>
      <c r="S97" s="226"/>
      <c r="T97" s="2079"/>
      <c r="AC97" s="1977"/>
    </row>
    <row r="98" s="1930" customFormat="1" ht="16" hidden="1" customHeight="1" spans="1:29">
      <c r="A98" s="839"/>
      <c r="B98" s="266"/>
      <c r="C98" s="266"/>
      <c r="D98" s="2081"/>
      <c r="E98" s="219"/>
      <c r="F98" s="1975" t="s">
        <v>2142</v>
      </c>
      <c r="G98" s="227"/>
      <c r="H98" s="227"/>
      <c r="I98" s="227"/>
      <c r="J98" s="219" t="s">
        <v>1507</v>
      </c>
      <c r="K98" s="219" t="s">
        <v>712</v>
      </c>
      <c r="L98" s="219" t="s">
        <v>1507</v>
      </c>
      <c r="M98" s="320">
        <f>34.78*1.4/6.78/1.13</f>
        <v>6.35549638447281</v>
      </c>
      <c r="N98" s="319">
        <v>15.5</v>
      </c>
      <c r="O98" s="320">
        <v>3.09</v>
      </c>
      <c r="P98" s="320"/>
      <c r="Q98" s="320">
        <f t="shared" si="29"/>
        <v>24.9454963844728</v>
      </c>
      <c r="R98" s="243"/>
      <c r="S98" s="226"/>
      <c r="T98" s="2079"/>
      <c r="AC98" s="1977"/>
    </row>
    <row r="99" s="1930" customFormat="1" ht="16" hidden="1" customHeight="1" spans="1:29">
      <c r="A99" s="839"/>
      <c r="B99" s="266"/>
      <c r="C99" s="266"/>
      <c r="D99" s="2081"/>
      <c r="E99" s="219">
        <v>6.75</v>
      </c>
      <c r="F99" s="1975" t="s">
        <v>2143</v>
      </c>
      <c r="G99" s="227"/>
      <c r="H99" s="227"/>
      <c r="I99" s="227"/>
      <c r="J99" s="219" t="s">
        <v>1428</v>
      </c>
      <c r="K99" s="219" t="s">
        <v>712</v>
      </c>
      <c r="L99" s="219" t="s">
        <v>1428</v>
      </c>
      <c r="M99" s="214">
        <f t="shared" si="30"/>
        <v>5.2674139626352</v>
      </c>
      <c r="N99" s="319">
        <v>15</v>
      </c>
      <c r="O99" s="320">
        <v>3.09</v>
      </c>
      <c r="P99" s="320"/>
      <c r="Q99" s="320">
        <f t="shared" si="29"/>
        <v>23.3574139626352</v>
      </c>
      <c r="R99" s="243"/>
      <c r="S99" s="226"/>
      <c r="T99" s="2079"/>
      <c r="AC99" s="1977"/>
    </row>
    <row r="100" s="1930" customFormat="1" ht="16" hidden="1" customHeight="1" spans="1:29">
      <c r="A100" s="839"/>
      <c r="B100" s="266"/>
      <c r="C100" s="266"/>
      <c r="D100" s="2081"/>
      <c r="E100" s="219">
        <v>6.7</v>
      </c>
      <c r="F100" s="1975" t="s">
        <v>2144</v>
      </c>
      <c r="G100" s="227"/>
      <c r="H100" s="227"/>
      <c r="I100" s="227"/>
      <c r="J100" s="219" t="s">
        <v>1428</v>
      </c>
      <c r="K100" s="219" t="s">
        <v>712</v>
      </c>
      <c r="L100" s="219" t="s">
        <v>1428</v>
      </c>
      <c r="M100" s="214">
        <f>45.18/E100/1.13</f>
        <v>5.96750759476951</v>
      </c>
      <c r="N100" s="319">
        <v>15.9</v>
      </c>
      <c r="O100" s="320">
        <v>3.09</v>
      </c>
      <c r="P100" s="320"/>
      <c r="Q100" s="320">
        <f t="shared" si="29"/>
        <v>24.9575075947695</v>
      </c>
      <c r="R100" s="243"/>
      <c r="S100" s="226"/>
      <c r="T100" s="2079"/>
      <c r="AC100" s="1977"/>
    </row>
    <row r="101" s="1930" customFormat="1" ht="16" hidden="1" customHeight="1" spans="1:29">
      <c r="A101" s="839"/>
      <c r="B101" s="2083"/>
      <c r="C101" s="2083"/>
      <c r="D101" s="2084"/>
      <c r="E101" s="431">
        <v>6.75</v>
      </c>
      <c r="F101" s="2085" t="s">
        <v>2146</v>
      </c>
      <c r="G101" s="247"/>
      <c r="H101" s="247"/>
      <c r="I101" s="247"/>
      <c r="J101" s="431" t="s">
        <v>1428</v>
      </c>
      <c r="K101" s="431" t="s">
        <v>712</v>
      </c>
      <c r="L101" s="431" t="s">
        <v>1428</v>
      </c>
      <c r="M101" s="214">
        <f>38.264/E101/1.13*1.05</f>
        <v>5.2674139626352</v>
      </c>
      <c r="N101" s="654">
        <v>14.8</v>
      </c>
      <c r="O101" s="214">
        <v>3.09</v>
      </c>
      <c r="P101" s="214"/>
      <c r="Q101" s="320">
        <f t="shared" si="29"/>
        <v>23.1574139626352</v>
      </c>
      <c r="R101" s="514"/>
      <c r="S101" s="226"/>
      <c r="T101" s="2079"/>
      <c r="AC101" s="1977"/>
    </row>
    <row r="102" s="1930" customFormat="1" ht="16" hidden="1" customHeight="1" spans="1:29">
      <c r="A102" s="839"/>
      <c r="B102" s="266"/>
      <c r="C102" s="658"/>
      <c r="D102" s="2081"/>
      <c r="E102" s="219">
        <v>6.78</v>
      </c>
      <c r="F102" s="1975" t="s">
        <v>2147</v>
      </c>
      <c r="G102" s="219"/>
      <c r="H102" s="219"/>
      <c r="I102" s="219"/>
      <c r="J102" s="431" t="s">
        <v>1428</v>
      </c>
      <c r="K102" s="431" t="s">
        <v>712</v>
      </c>
      <c r="L102" s="214" t="s">
        <v>1428</v>
      </c>
      <c r="M102" s="320">
        <f>34.77/E102/1.13*1.05</f>
        <v>4.7652517816587</v>
      </c>
      <c r="N102" s="319">
        <f>14.3*1.05</f>
        <v>15.015</v>
      </c>
      <c r="O102" s="320">
        <v>3.09</v>
      </c>
      <c r="P102" s="320"/>
      <c r="Q102" s="320">
        <f t="shared" si="29"/>
        <v>22.8702517816587</v>
      </c>
      <c r="R102" s="243"/>
      <c r="S102" s="226"/>
      <c r="T102" s="2079"/>
      <c r="AC102" s="1977"/>
    </row>
    <row r="103" s="1930" customFormat="1" ht="16" hidden="1" customHeight="1" spans="1:29">
      <c r="A103" s="839"/>
      <c r="B103" s="2083"/>
      <c r="C103" s="658"/>
      <c r="D103" s="2081"/>
      <c r="E103" s="219">
        <v>6.78</v>
      </c>
      <c r="F103" s="2085" t="s">
        <v>2148</v>
      </c>
      <c r="G103" s="431"/>
      <c r="H103" s="431"/>
      <c r="I103" s="431"/>
      <c r="J103" s="431" t="s">
        <v>1428</v>
      </c>
      <c r="K103" s="431" t="s">
        <v>712</v>
      </c>
      <c r="L103" s="214" t="s">
        <v>1428</v>
      </c>
      <c r="M103" s="214">
        <f>38.264/6.78/1.13*1.05</f>
        <v>5.24410682120761</v>
      </c>
      <c r="N103" s="654">
        <v>17.4</v>
      </c>
      <c r="O103" s="654">
        <f t="shared" ref="O103:O113" si="31">24.03/E103/1.13</f>
        <v>3.13650246691205</v>
      </c>
      <c r="P103" s="654"/>
      <c r="Q103" s="320">
        <f t="shared" si="29"/>
        <v>25.7806092881197</v>
      </c>
      <c r="R103" s="243"/>
      <c r="S103" s="226"/>
      <c r="T103" s="2079"/>
      <c r="AC103" s="1977"/>
    </row>
    <row r="104" s="1930" customFormat="1" ht="16" hidden="1" customHeight="1" spans="1:29">
      <c r="A104" s="839"/>
      <c r="B104" s="2083"/>
      <c r="C104" s="658"/>
      <c r="D104" s="2081"/>
      <c r="E104" s="219">
        <v>6.72</v>
      </c>
      <c r="F104" s="2085" t="s">
        <v>2149</v>
      </c>
      <c r="G104" s="431"/>
      <c r="H104" s="431"/>
      <c r="I104" s="431"/>
      <c r="J104" s="431" t="s">
        <v>1428</v>
      </c>
      <c r="K104" s="431" t="s">
        <v>712</v>
      </c>
      <c r="L104" s="214" t="s">
        <v>1428</v>
      </c>
      <c r="M104" s="214">
        <f>45.18/E104/1.13</f>
        <v>5.94974715549937</v>
      </c>
      <c r="N104" s="654">
        <v>19.3</v>
      </c>
      <c r="O104" s="654">
        <f t="shared" si="31"/>
        <v>3.16450695322377</v>
      </c>
      <c r="P104" s="654"/>
      <c r="Q104" s="214">
        <f>O104+N104+M104</f>
        <v>28.4142541087231</v>
      </c>
      <c r="R104" s="243"/>
      <c r="S104" s="226" t="s">
        <v>2150</v>
      </c>
      <c r="T104" s="2079"/>
      <c r="AC104" s="1977"/>
    </row>
    <row r="105" s="1930" customFormat="1" ht="16" hidden="1" customHeight="1" spans="1:29">
      <c r="A105" s="839">
        <v>1</v>
      </c>
      <c r="B105" s="658"/>
      <c r="C105" s="658"/>
      <c r="D105" s="2080">
        <v>46126</v>
      </c>
      <c r="E105" s="661">
        <v>6.837</v>
      </c>
      <c r="F105" s="2020" t="s">
        <v>2151</v>
      </c>
      <c r="G105" s="227"/>
      <c r="H105" s="227"/>
      <c r="I105" s="227"/>
      <c r="J105" s="219" t="s">
        <v>1428</v>
      </c>
      <c r="K105" s="219" t="s">
        <v>712</v>
      </c>
      <c r="L105" s="320" t="s">
        <v>1428</v>
      </c>
      <c r="M105" s="231">
        <f>32.2/E105/1.13</f>
        <v>4.16784777259601</v>
      </c>
      <c r="N105" s="232">
        <v>14.6</v>
      </c>
      <c r="O105" s="231">
        <f t="shared" si="31"/>
        <v>3.11035347749945</v>
      </c>
      <c r="P105" s="231"/>
      <c r="Q105" s="320">
        <f t="shared" ref="Q105:Q113" si="32">SUM(K105:O105)</f>
        <v>21.8782012500955</v>
      </c>
      <c r="R105" s="243"/>
      <c r="S105" s="226"/>
      <c r="T105" s="2079"/>
      <c r="AC105" s="1977"/>
    </row>
    <row r="106" s="1930" customFormat="1" ht="16" hidden="1" customHeight="1" spans="1:29">
      <c r="A106" s="839"/>
      <c r="B106" s="266"/>
      <c r="C106" s="658"/>
      <c r="D106" s="2080"/>
      <c r="E106" s="661">
        <v>6.78</v>
      </c>
      <c r="F106" s="1975" t="s">
        <v>2152</v>
      </c>
      <c r="G106" s="227"/>
      <c r="H106" s="227"/>
      <c r="I106" s="227"/>
      <c r="J106" s="219"/>
      <c r="K106" s="219"/>
      <c r="L106" s="320"/>
      <c r="M106" s="320">
        <f>34.77/E106/1.13*1.05</f>
        <v>4.7652517816587</v>
      </c>
      <c r="N106" s="319">
        <v>15.3</v>
      </c>
      <c r="O106" s="320">
        <f t="shared" si="31"/>
        <v>3.13650246691205</v>
      </c>
      <c r="P106" s="320"/>
      <c r="Q106" s="320">
        <f t="shared" si="32"/>
        <v>23.2017542485708</v>
      </c>
      <c r="R106" s="243"/>
      <c r="S106" s="226"/>
      <c r="T106" s="2079"/>
      <c r="AC106" s="1977"/>
    </row>
    <row r="107" s="1930" customFormat="1" ht="16" hidden="1" customHeight="1" spans="1:29">
      <c r="A107" s="839">
        <v>1</v>
      </c>
      <c r="B107" s="266"/>
      <c r="C107" s="2086"/>
      <c r="D107" s="2087">
        <v>46150</v>
      </c>
      <c r="E107" s="2088">
        <v>6.8216</v>
      </c>
      <c r="F107" s="1975" t="s">
        <v>2153</v>
      </c>
      <c r="G107" s="2088" t="s">
        <v>2154</v>
      </c>
      <c r="H107" s="2088" t="s">
        <v>2155</v>
      </c>
      <c r="I107" s="227" t="s">
        <v>2156</v>
      </c>
      <c r="J107" s="219" t="s">
        <v>1428</v>
      </c>
      <c r="K107" s="219" t="s">
        <v>712</v>
      </c>
      <c r="L107" s="320" t="s">
        <v>1428</v>
      </c>
      <c r="M107" s="320">
        <v>5.27</v>
      </c>
      <c r="N107" s="319">
        <v>14.5</v>
      </c>
      <c r="O107" s="2089">
        <f t="shared" si="31"/>
        <v>3.11737520899257</v>
      </c>
      <c r="P107" s="2089"/>
      <c r="Q107" s="320">
        <f t="shared" si="32"/>
        <v>22.8873752089926</v>
      </c>
      <c r="R107" s="2082" t="s">
        <v>2157</v>
      </c>
      <c r="S107" s="226"/>
      <c r="T107" s="2079"/>
      <c r="AC107" s="1977"/>
    </row>
    <row r="108" s="1930" customFormat="1" ht="16" hidden="1" customHeight="1" spans="1:29">
      <c r="A108" s="839"/>
      <c r="B108" s="266"/>
      <c r="C108" s="2086"/>
      <c r="D108" s="2087">
        <v>46216</v>
      </c>
      <c r="E108" s="2088">
        <v>6.78</v>
      </c>
      <c r="F108" s="1975" t="s">
        <v>2158</v>
      </c>
      <c r="G108" s="2088"/>
      <c r="H108" s="2088"/>
      <c r="I108" s="227"/>
      <c r="J108" s="219"/>
      <c r="K108" s="219"/>
      <c r="L108" s="320"/>
      <c r="M108" s="320">
        <f>34.78/E108/1.13</f>
        <v>4.53964027462344</v>
      </c>
      <c r="N108" s="319">
        <v>16</v>
      </c>
      <c r="O108" s="2089">
        <f t="shared" si="31"/>
        <v>3.13650246691205</v>
      </c>
      <c r="P108" s="2089"/>
      <c r="Q108" s="320">
        <f t="shared" si="32"/>
        <v>23.6761427415355</v>
      </c>
      <c r="R108" s="2090"/>
      <c r="S108" s="226"/>
      <c r="T108" s="2079"/>
      <c r="AC108" s="1977"/>
    </row>
    <row r="109" s="1930" customFormat="1" ht="16" hidden="1" customHeight="1" spans="1:29">
      <c r="A109" s="839">
        <v>1</v>
      </c>
      <c r="B109" s="658"/>
      <c r="C109" s="2086"/>
      <c r="D109" s="2087">
        <v>46163</v>
      </c>
      <c r="E109" s="2088">
        <v>6.8191</v>
      </c>
      <c r="F109" s="2020" t="s">
        <v>2159</v>
      </c>
      <c r="G109" s="2088"/>
      <c r="H109" s="2088"/>
      <c r="I109" s="227"/>
      <c r="J109" s="227"/>
      <c r="K109" s="227"/>
      <c r="L109" s="231"/>
      <c r="M109" s="2091">
        <f>31.13/E109/1.13</f>
        <v>4.0399279327729</v>
      </c>
      <c r="N109" s="2092">
        <v>12.1</v>
      </c>
      <c r="O109" s="2091">
        <f t="shared" si="31"/>
        <v>3.11851809266087</v>
      </c>
      <c r="P109" s="2091"/>
      <c r="Q109" s="320">
        <f t="shared" si="32"/>
        <v>19.2584460254338</v>
      </c>
      <c r="R109" s="2090"/>
      <c r="S109" s="226"/>
      <c r="T109" s="2079"/>
      <c r="AC109" s="1977"/>
    </row>
    <row r="110" s="1930" customFormat="1" ht="16" hidden="1" customHeight="1" spans="1:29">
      <c r="A110" s="839">
        <v>1</v>
      </c>
      <c r="B110" s="266"/>
      <c r="C110" s="266"/>
      <c r="D110" s="2081">
        <v>46163</v>
      </c>
      <c r="E110" s="219">
        <v>6.8</v>
      </c>
      <c r="F110" s="2020" t="s">
        <v>2160</v>
      </c>
      <c r="G110" s="227"/>
      <c r="H110" s="227"/>
      <c r="I110" s="227"/>
      <c r="J110" s="227"/>
      <c r="K110" s="227"/>
      <c r="L110" s="231"/>
      <c r="M110" s="320">
        <f>31.13/E110/1.13</f>
        <v>4.0512753774076</v>
      </c>
      <c r="N110" s="319">
        <v>12.1</v>
      </c>
      <c r="O110" s="320">
        <f t="shared" si="31"/>
        <v>3.12727745965643</v>
      </c>
      <c r="P110" s="320"/>
      <c r="Q110" s="320">
        <f t="shared" si="32"/>
        <v>19.278552837064</v>
      </c>
      <c r="R110" s="243"/>
      <c r="S110" s="226"/>
      <c r="T110" s="2079"/>
      <c r="AC110" s="1977"/>
    </row>
    <row r="111" s="1930" customFormat="1" ht="16" hidden="1" customHeight="1" spans="1:29">
      <c r="A111" s="839">
        <v>1</v>
      </c>
      <c r="B111" s="266"/>
      <c r="C111" s="658" t="s">
        <v>1503</v>
      </c>
      <c r="D111" s="2080">
        <v>46133</v>
      </c>
      <c r="E111" s="661">
        <v>6.8225</v>
      </c>
      <c r="F111" s="1975" t="s">
        <v>2161</v>
      </c>
      <c r="G111" s="227"/>
      <c r="H111" s="227"/>
      <c r="I111" s="227" t="s">
        <v>2156</v>
      </c>
      <c r="J111" s="219" t="s">
        <v>1428</v>
      </c>
      <c r="K111" s="219" t="s">
        <v>712</v>
      </c>
      <c r="L111" s="320" t="s">
        <v>1428</v>
      </c>
      <c r="M111" s="320">
        <f>54.21/E111/1.13</f>
        <v>7.03165281457437</v>
      </c>
      <c r="N111" s="319">
        <v>15.2</v>
      </c>
      <c r="O111" s="320">
        <f t="shared" si="31"/>
        <v>3.1169639759126</v>
      </c>
      <c r="P111" s="320"/>
      <c r="Q111" s="320">
        <f t="shared" si="32"/>
        <v>25.348616790487</v>
      </c>
      <c r="R111" s="243"/>
      <c r="S111" s="226"/>
      <c r="T111" s="2079"/>
      <c r="AC111" s="1977"/>
    </row>
    <row r="112" s="1930" customFormat="1" ht="16" hidden="1" customHeight="1" spans="1:29">
      <c r="A112" s="839">
        <v>1</v>
      </c>
      <c r="B112" s="651"/>
      <c r="C112" s="651"/>
      <c r="D112" s="2093">
        <v>46128</v>
      </c>
      <c r="E112" s="2094">
        <v>6.837</v>
      </c>
      <c r="F112" s="2020" t="s">
        <v>2162</v>
      </c>
      <c r="G112" s="227" t="s">
        <v>2163</v>
      </c>
      <c r="H112" s="227"/>
      <c r="I112" s="227" t="s">
        <v>2156</v>
      </c>
      <c r="J112" s="227"/>
      <c r="K112" s="227"/>
      <c r="L112" s="231"/>
      <c r="M112" s="231">
        <f>30.66/E113/1.13</f>
        <v>3.94359805860758</v>
      </c>
      <c r="N112" s="232">
        <v>13.5</v>
      </c>
      <c r="O112" s="231">
        <f t="shared" si="31"/>
        <v>3.11035347749945</v>
      </c>
      <c r="P112" s="231"/>
      <c r="Q112" s="320">
        <f t="shared" si="32"/>
        <v>20.553951536107</v>
      </c>
      <c r="R112" s="243"/>
      <c r="S112" s="226"/>
      <c r="T112" s="2079"/>
      <c r="AC112" s="1977"/>
    </row>
    <row r="113" s="993" customFormat="1" ht="16" hidden="1" customHeight="1" spans="1:29">
      <c r="A113" s="839">
        <v>49</v>
      </c>
      <c r="B113" s="266"/>
      <c r="C113" s="266"/>
      <c r="D113" s="2081">
        <v>46080</v>
      </c>
      <c r="E113" s="219">
        <v>6.8802</v>
      </c>
      <c r="F113" s="2020" t="s">
        <v>2164</v>
      </c>
      <c r="G113" s="227" t="s">
        <v>2165</v>
      </c>
      <c r="H113" s="227" t="s">
        <v>2166</v>
      </c>
      <c r="I113" s="227"/>
      <c r="J113" s="227"/>
      <c r="K113" s="227" t="s">
        <v>712</v>
      </c>
      <c r="L113" s="231"/>
      <c r="M113" s="231">
        <f>28.3/E113/1.13</f>
        <v>3.64004647940621</v>
      </c>
      <c r="N113" s="232">
        <v>13.5</v>
      </c>
      <c r="O113" s="231">
        <f t="shared" si="31"/>
        <v>3.09082391873255</v>
      </c>
      <c r="P113" s="231"/>
      <c r="Q113" s="320">
        <f t="shared" si="32"/>
        <v>20.2308703981388</v>
      </c>
      <c r="R113" s="243"/>
      <c r="S113" s="226"/>
      <c r="T113" s="1246"/>
      <c r="U113" s="978"/>
      <c r="X113" s="2044"/>
      <c r="AC113" s="2044"/>
    </row>
    <row r="114" s="1930" customFormat="1" ht="16" hidden="1" customHeight="1" spans="1:29">
      <c r="A114" s="839">
        <v>50</v>
      </c>
      <c r="B114" s="658"/>
      <c r="C114" s="658"/>
      <c r="D114" s="2093">
        <v>46098</v>
      </c>
      <c r="E114" s="2094">
        <v>6.901</v>
      </c>
      <c r="F114" s="2020" t="s">
        <v>2167</v>
      </c>
      <c r="G114" s="227" t="s">
        <v>2168</v>
      </c>
      <c r="H114" s="227"/>
      <c r="I114" s="227" t="s">
        <v>2156</v>
      </c>
      <c r="J114" s="227"/>
      <c r="K114" s="227" t="s">
        <v>712</v>
      </c>
      <c r="L114" s="231"/>
      <c r="M114" s="231"/>
      <c r="N114" s="232">
        <v>11.3</v>
      </c>
      <c r="O114" s="231"/>
      <c r="P114" s="231"/>
      <c r="Q114" s="231"/>
      <c r="R114" s="243"/>
      <c r="S114" s="226" t="s">
        <v>2169</v>
      </c>
      <c r="T114" s="2079"/>
      <c r="U114" s="1755"/>
      <c r="X114" s="1977"/>
      <c r="AC114" s="1977"/>
    </row>
    <row r="115" s="1930" customFormat="1" ht="16" hidden="1" customHeight="1" spans="1:29">
      <c r="A115" s="839">
        <v>51</v>
      </c>
      <c r="B115" s="658"/>
      <c r="C115" s="658"/>
      <c r="D115" s="2093">
        <v>46098</v>
      </c>
      <c r="E115" s="2094">
        <v>6.901</v>
      </c>
      <c r="F115" s="2020" t="s">
        <v>2170</v>
      </c>
      <c r="G115" s="227" t="s">
        <v>2171</v>
      </c>
      <c r="H115" s="227"/>
      <c r="I115" s="227" t="s">
        <v>2156</v>
      </c>
      <c r="J115" s="227"/>
      <c r="K115" s="227" t="s">
        <v>712</v>
      </c>
      <c r="L115" s="231"/>
      <c r="M115" s="231"/>
      <c r="N115" s="232">
        <v>11.6</v>
      </c>
      <c r="O115" s="231"/>
      <c r="P115" s="231"/>
      <c r="Q115" s="231"/>
      <c r="R115" s="243"/>
      <c r="S115" s="226" t="s">
        <v>2169</v>
      </c>
      <c r="T115" s="2079"/>
      <c r="U115" s="1755"/>
      <c r="X115" s="1977"/>
      <c r="AC115" s="1977"/>
    </row>
    <row r="116" s="1930" customFormat="1" ht="16" hidden="1" customHeight="1" spans="1:29">
      <c r="A116" s="839">
        <v>52</v>
      </c>
      <c r="B116" s="658"/>
      <c r="C116" s="658"/>
      <c r="D116" s="661">
        <v>20240919</v>
      </c>
      <c r="E116" s="661">
        <v>7.13</v>
      </c>
      <c r="F116" s="2020" t="s">
        <v>1408</v>
      </c>
      <c r="G116" s="227" t="s">
        <v>1510</v>
      </c>
      <c r="H116" s="227" t="s">
        <v>2133</v>
      </c>
      <c r="I116" s="227" t="s">
        <v>1511</v>
      </c>
      <c r="J116" s="227" t="s">
        <v>1507</v>
      </c>
      <c r="K116" s="227" t="s">
        <v>712</v>
      </c>
      <c r="L116" s="231" t="s">
        <v>1507</v>
      </c>
      <c r="M116" s="231">
        <f>3.85264748791615/7.21*7.17</f>
        <v>3.83127357674879</v>
      </c>
      <c r="N116" s="232">
        <f>16.9754976606191+0.23</f>
        <v>17.2054976606191</v>
      </c>
      <c r="O116" s="231">
        <f>23.73/E116/1.13</f>
        <v>2.945301542777</v>
      </c>
      <c r="P116" s="231"/>
      <c r="Q116" s="320">
        <f t="shared" ref="Q116:Q125" si="33">SUM(K116:O116)</f>
        <v>23.9820727801449</v>
      </c>
      <c r="R116" s="243" t="s">
        <v>1508</v>
      </c>
      <c r="S116" s="226" t="s">
        <v>2172</v>
      </c>
      <c r="T116" s="2079"/>
      <c r="U116" s="1755"/>
      <c r="X116" s="1977"/>
      <c r="AC116" s="1977"/>
    </row>
    <row r="117" s="1930" customFormat="1" ht="16" hidden="1" customHeight="1" spans="1:29">
      <c r="A117" s="839">
        <v>53</v>
      </c>
      <c r="B117" s="658" t="s">
        <v>2173</v>
      </c>
      <c r="C117" s="658"/>
      <c r="D117" s="661">
        <v>20250827</v>
      </c>
      <c r="E117" s="661">
        <v>7.13</v>
      </c>
      <c r="F117" s="2020" t="s">
        <v>1551</v>
      </c>
      <c r="G117" s="227"/>
      <c r="H117" s="227" t="s">
        <v>2174</v>
      </c>
      <c r="I117" s="227" t="s">
        <v>1506</v>
      </c>
      <c r="J117" s="227" t="s">
        <v>1507</v>
      </c>
      <c r="K117" s="227" t="s">
        <v>712</v>
      </c>
      <c r="L117" s="231" t="s">
        <v>1507</v>
      </c>
      <c r="M117" s="231">
        <f>26.3/E117/1.13</f>
        <v>3.26428278866562</v>
      </c>
      <c r="N117" s="232">
        <f>23.5410816032153+0.23</f>
        <v>23.7710816032153</v>
      </c>
      <c r="O117" s="231">
        <v>2.9827422863417</v>
      </c>
      <c r="P117" s="231"/>
      <c r="Q117" s="320">
        <f t="shared" si="33"/>
        <v>30.0181066782226</v>
      </c>
      <c r="R117" s="243" t="s">
        <v>1517</v>
      </c>
      <c r="S117" s="226" t="s">
        <v>2175</v>
      </c>
      <c r="T117" s="2079"/>
      <c r="U117" s="1755"/>
      <c r="X117" s="1977"/>
      <c r="AA117" s="2095"/>
      <c r="AB117" s="2095"/>
      <c r="AC117" s="2096"/>
    </row>
    <row r="118" s="1930" customFormat="1" ht="16" hidden="1" customHeight="1" spans="1:29">
      <c r="A118" s="839">
        <v>1</v>
      </c>
      <c r="B118" s="266"/>
      <c r="C118" s="266" t="s">
        <v>1512</v>
      </c>
      <c r="D118" s="2081">
        <v>46141</v>
      </c>
      <c r="E118" s="219">
        <v>6.8225</v>
      </c>
      <c r="F118" s="2020" t="s">
        <v>2176</v>
      </c>
      <c r="G118" s="227"/>
      <c r="H118" s="227"/>
      <c r="I118" s="227"/>
      <c r="J118" s="227"/>
      <c r="K118" s="227"/>
      <c r="L118" s="231"/>
      <c r="M118" s="320">
        <f>27.63/E118/1.13</f>
        <v>3.58392487118041</v>
      </c>
      <c r="N118" s="319">
        <v>18.5</v>
      </c>
      <c r="O118" s="320">
        <v>3</v>
      </c>
      <c r="P118" s="320"/>
      <c r="Q118" s="320">
        <f t="shared" si="33"/>
        <v>25.0839248711804</v>
      </c>
      <c r="R118" s="243"/>
      <c r="S118" s="226"/>
      <c r="T118" s="2079"/>
      <c r="U118" s="1755"/>
      <c r="X118" s="1977"/>
      <c r="AA118" s="2095"/>
      <c r="AB118" s="2095"/>
      <c r="AC118" s="2096"/>
    </row>
    <row r="119" s="1930" customFormat="1" ht="16" hidden="1" customHeight="1" spans="1:29">
      <c r="A119" s="839">
        <v>54</v>
      </c>
      <c r="B119" s="658"/>
      <c r="C119" s="658"/>
      <c r="D119" s="661">
        <v>20250827</v>
      </c>
      <c r="E119" s="661">
        <v>7.13</v>
      </c>
      <c r="F119" s="2020" t="s">
        <v>1551</v>
      </c>
      <c r="G119" s="227"/>
      <c r="H119" s="227" t="s">
        <v>2174</v>
      </c>
      <c r="I119" s="227" t="s">
        <v>1511</v>
      </c>
      <c r="J119" s="227" t="s">
        <v>1507</v>
      </c>
      <c r="K119" s="227" t="s">
        <v>712</v>
      </c>
      <c r="L119" s="231" t="s">
        <v>1507</v>
      </c>
      <c r="M119" s="231">
        <f>26.3/E119/1.13</f>
        <v>3.26428278866562</v>
      </c>
      <c r="N119" s="232">
        <f>23.4942787437831+0.23</f>
        <v>23.7242787437831</v>
      </c>
      <c r="O119" s="231">
        <v>2.9827422863417</v>
      </c>
      <c r="P119" s="231"/>
      <c r="Q119" s="320">
        <f t="shared" si="33"/>
        <v>29.9713038187904</v>
      </c>
      <c r="R119" s="243" t="s">
        <v>1517</v>
      </c>
      <c r="S119" s="226" t="s">
        <v>2175</v>
      </c>
      <c r="T119" s="2079"/>
      <c r="U119" s="1755"/>
      <c r="X119" s="1977"/>
      <c r="AA119" s="2095"/>
      <c r="AB119" s="2095"/>
      <c r="AC119" s="2096"/>
    </row>
    <row r="120" s="1930" customFormat="1" ht="16" hidden="1" customHeight="1" spans="1:29">
      <c r="A120" s="839">
        <v>55</v>
      </c>
      <c r="B120" s="658" t="s">
        <v>2177</v>
      </c>
      <c r="C120" s="658"/>
      <c r="D120" s="661">
        <v>20250827</v>
      </c>
      <c r="E120" s="661">
        <v>7.13</v>
      </c>
      <c r="F120" s="2020" t="s">
        <v>1551</v>
      </c>
      <c r="G120" s="227"/>
      <c r="H120" s="227" t="s">
        <v>2174</v>
      </c>
      <c r="I120" s="227" t="s">
        <v>1506</v>
      </c>
      <c r="J120" s="227" t="s">
        <v>1507</v>
      </c>
      <c r="K120" s="227" t="s">
        <v>712</v>
      </c>
      <c r="L120" s="231" t="s">
        <v>1507</v>
      </c>
      <c r="M120" s="231">
        <f>39.408/E120/1.13</f>
        <v>4.89121125991386</v>
      </c>
      <c r="N120" s="232">
        <f>19.5431560335633+0.23</f>
        <v>19.7731560335633</v>
      </c>
      <c r="O120" s="231">
        <f t="shared" ref="O120:O122" si="34">24.17/E120/1.13</f>
        <v>2.99991311794859</v>
      </c>
      <c r="P120" s="231"/>
      <c r="Q120" s="231">
        <f t="shared" si="33"/>
        <v>27.6642804114258</v>
      </c>
      <c r="R120" s="233" t="s">
        <v>1526</v>
      </c>
      <c r="S120" s="226" t="s">
        <v>2178</v>
      </c>
      <c r="T120" s="2079"/>
      <c r="U120" s="1755"/>
      <c r="X120" s="1977"/>
      <c r="AA120" s="2095"/>
      <c r="AB120" s="2095"/>
      <c r="AC120" s="2096"/>
    </row>
    <row r="121" s="1930" customFormat="1" ht="16" hidden="1" customHeight="1" spans="1:29">
      <c r="A121" s="839">
        <v>56</v>
      </c>
      <c r="B121" s="658"/>
      <c r="C121" s="658"/>
      <c r="D121" s="661">
        <v>20250827</v>
      </c>
      <c r="E121" s="661">
        <v>7.13</v>
      </c>
      <c r="F121" s="2020" t="s">
        <v>1551</v>
      </c>
      <c r="G121" s="227"/>
      <c r="H121" s="227" t="s">
        <v>2174</v>
      </c>
      <c r="I121" s="227" t="s">
        <v>1530</v>
      </c>
      <c r="J121" s="227" t="s">
        <v>1507</v>
      </c>
      <c r="K121" s="227" t="s">
        <v>712</v>
      </c>
      <c r="L121" s="231" t="s">
        <v>1507</v>
      </c>
      <c r="M121" s="231">
        <f>39.408/E121/1.13</f>
        <v>4.89121125991386</v>
      </c>
      <c r="N121" s="232">
        <f>21.0352391992225+0.23</f>
        <v>21.2652391992225</v>
      </c>
      <c r="O121" s="231">
        <f t="shared" si="34"/>
        <v>2.99991311794859</v>
      </c>
      <c r="P121" s="231"/>
      <c r="Q121" s="231">
        <f t="shared" si="33"/>
        <v>29.156363577085</v>
      </c>
      <c r="R121" s="233" t="s">
        <v>1526</v>
      </c>
      <c r="S121" s="226" t="s">
        <v>2179</v>
      </c>
      <c r="T121" s="2079"/>
      <c r="U121" s="1755"/>
      <c r="X121" s="1977"/>
      <c r="AC121" s="1977"/>
    </row>
    <row r="122" s="1930" customFormat="1" ht="16" hidden="1" customHeight="1" spans="1:29">
      <c r="A122" s="839"/>
      <c r="B122" s="266" t="s">
        <v>2180</v>
      </c>
      <c r="C122" s="658"/>
      <c r="D122" s="661"/>
      <c r="E122" s="661">
        <v>6.7</v>
      </c>
      <c r="F122" s="1975" t="s">
        <v>2181</v>
      </c>
      <c r="G122" s="227"/>
      <c r="H122" s="227"/>
      <c r="I122" s="227"/>
      <c r="J122" s="219" t="s">
        <v>1428</v>
      </c>
      <c r="K122" s="219" t="s">
        <v>712</v>
      </c>
      <c r="L122" s="219" t="s">
        <v>1428</v>
      </c>
      <c r="M122" s="320">
        <f>59.73/E122/1.13</f>
        <v>7.88931448949941</v>
      </c>
      <c r="N122" s="319">
        <v>19.1</v>
      </c>
      <c r="O122" s="320">
        <f t="shared" si="34"/>
        <v>3.19244485536917</v>
      </c>
      <c r="P122" s="320"/>
      <c r="Q122" s="320">
        <f t="shared" si="33"/>
        <v>30.1817593448686</v>
      </c>
      <c r="R122" s="233"/>
      <c r="S122" s="226"/>
      <c r="T122" s="2079"/>
      <c r="U122" s="1755"/>
      <c r="X122" s="1977"/>
      <c r="AC122" s="1977"/>
    </row>
    <row r="123" s="1930" customFormat="1" ht="16" hidden="1" customHeight="1" spans="1:29">
      <c r="A123" s="839"/>
      <c r="B123" s="266" t="s">
        <v>2180</v>
      </c>
      <c r="C123" s="658"/>
      <c r="D123" s="661"/>
      <c r="E123" s="661"/>
      <c r="F123" s="1975" t="s">
        <v>2182</v>
      </c>
      <c r="G123" s="227"/>
      <c r="H123" s="227"/>
      <c r="I123" s="227"/>
      <c r="J123" s="219" t="s">
        <v>1428</v>
      </c>
      <c r="K123" s="667" t="s">
        <v>712</v>
      </c>
      <c r="L123" s="2048" t="s">
        <v>1428</v>
      </c>
      <c r="M123" s="320">
        <f>60.66/6.73/1.13</f>
        <v>7.97643624505253</v>
      </c>
      <c r="N123" s="319">
        <f>19.7</f>
        <v>19.7</v>
      </c>
      <c r="O123" s="320">
        <f>22/6.78</f>
        <v>3.24483775811209</v>
      </c>
      <c r="P123" s="320"/>
      <c r="Q123" s="320">
        <f t="shared" si="33"/>
        <v>30.9212740031646</v>
      </c>
      <c r="R123" s="233" t="s">
        <v>2101</v>
      </c>
      <c r="S123" s="226"/>
      <c r="T123" s="2079"/>
      <c r="U123" s="1755"/>
      <c r="X123" s="1977"/>
      <c r="AC123" s="1977"/>
    </row>
    <row r="124" s="1930" customFormat="1" ht="16" hidden="1" customHeight="1" spans="1:29">
      <c r="A124" s="839">
        <v>57</v>
      </c>
      <c r="B124" s="658" t="s">
        <v>2183</v>
      </c>
      <c r="C124" s="658"/>
      <c r="D124" s="661">
        <v>20250829</v>
      </c>
      <c r="E124" s="661">
        <v>7.13</v>
      </c>
      <c r="F124" s="2020" t="s">
        <v>1551</v>
      </c>
      <c r="G124" s="227"/>
      <c r="H124" s="227" t="s">
        <v>2184</v>
      </c>
      <c r="I124" s="227" t="s">
        <v>1506</v>
      </c>
      <c r="J124" s="227" t="s">
        <v>1507</v>
      </c>
      <c r="K124" s="227" t="s">
        <v>712</v>
      </c>
      <c r="L124" s="231" t="s">
        <v>1507</v>
      </c>
      <c r="M124" s="231">
        <f>28/E124/1.13</f>
        <v>3.47528205637404</v>
      </c>
      <c r="N124" s="232">
        <f>0.23+18.713855535658</f>
        <v>18.943855535658</v>
      </c>
      <c r="O124" s="231">
        <f t="shared" ref="O124:O127" si="35">23.91/E124/1.13</f>
        <v>2.96764264171083</v>
      </c>
      <c r="P124" s="231"/>
      <c r="Q124" s="231">
        <f t="shared" si="33"/>
        <v>25.3867802337429</v>
      </c>
      <c r="R124" s="243" t="s">
        <v>1536</v>
      </c>
      <c r="S124" s="226" t="s">
        <v>2185</v>
      </c>
      <c r="T124" s="2079"/>
      <c r="U124" s="1755"/>
      <c r="X124" s="1977"/>
      <c r="AA124" s="2095"/>
      <c r="AB124" s="2095"/>
      <c r="AC124" s="2096"/>
    </row>
    <row r="125" s="1930" customFormat="1" ht="16" hidden="1" customHeight="1" spans="1:29">
      <c r="A125" s="839"/>
      <c r="B125" s="266"/>
      <c r="C125" s="658"/>
      <c r="D125" s="661"/>
      <c r="E125" s="661">
        <v>6.75</v>
      </c>
      <c r="F125" s="1975" t="s">
        <v>2186</v>
      </c>
      <c r="G125" s="227"/>
      <c r="H125" s="227"/>
      <c r="I125" s="227"/>
      <c r="J125" s="219" t="s">
        <v>1428</v>
      </c>
      <c r="K125" s="219" t="s">
        <v>712</v>
      </c>
      <c r="L125" s="219" t="s">
        <v>1428</v>
      </c>
      <c r="M125" s="320">
        <f>36.96/E125/1.13*1.05</f>
        <v>5.08790560471977</v>
      </c>
      <c r="N125" s="319">
        <v>18</v>
      </c>
      <c r="O125" s="320">
        <f t="shared" si="35"/>
        <v>3.13470993117011</v>
      </c>
      <c r="P125" s="320"/>
      <c r="Q125" s="320">
        <f t="shared" si="33"/>
        <v>26.2226155358899</v>
      </c>
      <c r="R125" s="243"/>
      <c r="S125" s="226"/>
      <c r="T125" s="2079"/>
      <c r="U125" s="1755"/>
      <c r="X125" s="1977"/>
      <c r="AA125" s="2095"/>
      <c r="AB125" s="2095"/>
      <c r="AC125" s="2096"/>
    </row>
    <row r="126" s="1930" customFormat="1" ht="16" hidden="1" customHeight="1" spans="1:29">
      <c r="A126" s="839"/>
      <c r="B126" s="658"/>
      <c r="C126" s="658"/>
      <c r="D126" s="661"/>
      <c r="E126" s="661">
        <v>6.75</v>
      </c>
      <c r="F126" s="2020"/>
      <c r="G126" s="227"/>
      <c r="H126" s="227"/>
      <c r="I126" s="227"/>
      <c r="J126" s="219" t="s">
        <v>1428</v>
      </c>
      <c r="K126" s="667" t="s">
        <v>712</v>
      </c>
      <c r="L126" s="2048" t="s">
        <v>1428</v>
      </c>
      <c r="M126" s="231"/>
      <c r="N126" s="232">
        <v>17.9</v>
      </c>
      <c r="O126" s="231">
        <f t="shared" si="35"/>
        <v>3.13470993117011</v>
      </c>
      <c r="P126" s="231"/>
      <c r="Q126" s="231"/>
      <c r="R126" s="243"/>
      <c r="S126" s="226"/>
      <c r="T126" s="2079"/>
      <c r="U126" s="1755"/>
      <c r="X126" s="1977"/>
      <c r="AA126" s="2095"/>
      <c r="AB126" s="2095"/>
      <c r="AC126" s="2096"/>
    </row>
    <row r="127" s="1930" customFormat="1" ht="16" hidden="1" customHeight="1" spans="1:29">
      <c r="A127" s="839">
        <v>58</v>
      </c>
      <c r="B127" s="658"/>
      <c r="C127" s="658"/>
      <c r="D127" s="661">
        <v>20250829</v>
      </c>
      <c r="E127" s="661">
        <v>7.13</v>
      </c>
      <c r="F127" s="2020" t="s">
        <v>1551</v>
      </c>
      <c r="G127" s="227"/>
      <c r="H127" s="227" t="s">
        <v>2184</v>
      </c>
      <c r="I127" s="227" t="s">
        <v>1511</v>
      </c>
      <c r="J127" s="227" t="s">
        <v>1507</v>
      </c>
      <c r="K127" s="227" t="s">
        <v>712</v>
      </c>
      <c r="L127" s="231" t="s">
        <v>1507</v>
      </c>
      <c r="M127" s="231">
        <f>28/E127/1.13</f>
        <v>3.47528205637404</v>
      </c>
      <c r="N127" s="232">
        <f>0.23+20.1765829695702</f>
        <v>20.4065829695702</v>
      </c>
      <c r="O127" s="231">
        <f t="shared" si="35"/>
        <v>2.96764264171083</v>
      </c>
      <c r="P127" s="231"/>
      <c r="Q127" s="231">
        <f>SUM(K127:O127)</f>
        <v>26.8495076676551</v>
      </c>
      <c r="R127" s="243" t="s">
        <v>1536</v>
      </c>
      <c r="S127" s="226" t="s">
        <v>2185</v>
      </c>
      <c r="T127" s="2079"/>
      <c r="U127" s="1755"/>
      <c r="X127" s="1977"/>
      <c r="AA127" s="2095"/>
      <c r="AB127" s="2095"/>
      <c r="AC127" s="2096"/>
    </row>
    <row r="128" s="1930" customFormat="1" ht="16" hidden="1" customHeight="1" spans="1:29">
      <c r="A128" s="839">
        <v>59</v>
      </c>
      <c r="B128" s="2097" t="s">
        <v>2187</v>
      </c>
      <c r="C128" s="2097"/>
      <c r="D128" s="2051">
        <v>20250829</v>
      </c>
      <c r="E128" s="2051">
        <v>7.13</v>
      </c>
      <c r="F128" s="2020" t="s">
        <v>1551</v>
      </c>
      <c r="G128" s="511"/>
      <c r="H128" s="511" t="s">
        <v>2184</v>
      </c>
      <c r="I128" s="511" t="s">
        <v>1506</v>
      </c>
      <c r="J128" s="511" t="s">
        <v>1507</v>
      </c>
      <c r="K128" s="511" t="s">
        <v>712</v>
      </c>
      <c r="L128" s="2031" t="s">
        <v>1507</v>
      </c>
      <c r="M128" s="2031">
        <f>25.68/E128/1.13</f>
        <v>3.18733011456019</v>
      </c>
      <c r="N128" s="2010">
        <f>17.622732205755+0.23</f>
        <v>17.852732205755</v>
      </c>
      <c r="O128" s="2031">
        <f t="shared" ref="O128:O134" si="36">23.3/E128/1.13</f>
        <v>2.8919311397684</v>
      </c>
      <c r="P128" s="2031"/>
      <c r="Q128" s="2031">
        <f>SUM(K128:O128)</f>
        <v>23.9319934600836</v>
      </c>
      <c r="R128" s="259" t="s">
        <v>1517</v>
      </c>
      <c r="S128" s="226" t="s">
        <v>2188</v>
      </c>
      <c r="T128" s="2079"/>
      <c r="U128" s="1755"/>
      <c r="X128" s="1977"/>
      <c r="AA128" s="2095"/>
      <c r="AB128" s="2095"/>
      <c r="AC128" s="2096"/>
    </row>
    <row r="129" s="1930" customFormat="1" ht="16" hidden="1" customHeight="1" spans="1:29">
      <c r="A129" s="839">
        <v>111</v>
      </c>
      <c r="B129" s="2014"/>
      <c r="C129" s="2014"/>
      <c r="D129" s="2098">
        <v>46122</v>
      </c>
      <c r="E129" s="2051">
        <v>6.8819</v>
      </c>
      <c r="F129" s="2062" t="s">
        <v>1979</v>
      </c>
      <c r="G129" s="511"/>
      <c r="H129" s="511"/>
      <c r="I129" s="511"/>
      <c r="J129" s="2006" t="s">
        <v>2189</v>
      </c>
      <c r="K129" s="2006"/>
      <c r="L129" s="2012">
        <v>3.1</v>
      </c>
      <c r="M129" s="2012">
        <f>25.68/E129/1.13</f>
        <v>3.30223684110698</v>
      </c>
      <c r="N129" s="2011">
        <v>14.2</v>
      </c>
      <c r="O129" s="2012">
        <f t="shared" si="36"/>
        <v>2.996188411129</v>
      </c>
      <c r="P129" s="2012"/>
      <c r="Q129" s="2012">
        <f t="shared" ref="Q129:Q131" si="37">SUBTOTAL(109,L129:O129)</f>
        <v>0</v>
      </c>
      <c r="R129" s="2045"/>
      <c r="S129" s="226"/>
      <c r="T129" s="2079"/>
      <c r="U129" s="1755"/>
      <c r="X129" s="1977"/>
      <c r="AA129" s="2095"/>
      <c r="AB129" s="2095"/>
      <c r="AC129" s="2096"/>
    </row>
    <row r="130" s="1930" customFormat="1" ht="16" hidden="1" customHeight="1" spans="1:29">
      <c r="A130" s="839"/>
      <c r="B130" s="2097"/>
      <c r="C130" s="2014"/>
      <c r="D130" s="2098">
        <v>46273</v>
      </c>
      <c r="E130" s="2051">
        <v>6.73</v>
      </c>
      <c r="F130" s="2099" t="s">
        <v>2190</v>
      </c>
      <c r="G130" s="511"/>
      <c r="H130" s="511"/>
      <c r="I130" s="511"/>
      <c r="J130" s="2051" t="s">
        <v>1428</v>
      </c>
      <c r="K130" s="2051" t="s">
        <v>712</v>
      </c>
      <c r="L130" s="2051" t="s">
        <v>1428</v>
      </c>
      <c r="M130" s="2100">
        <f>39.2/6.73/1.13*1.05</f>
        <v>5.41229996449658</v>
      </c>
      <c r="N130" s="2101">
        <v>16.5</v>
      </c>
      <c r="O130" s="2100">
        <f t="shared" si="36"/>
        <v>3.06381411984378</v>
      </c>
      <c r="P130" s="2100"/>
      <c r="Q130" s="2100">
        <f t="shared" si="37"/>
        <v>0</v>
      </c>
      <c r="R130" s="2045"/>
      <c r="S130" s="226"/>
      <c r="T130" s="2079"/>
      <c r="U130" s="1755"/>
      <c r="X130" s="1977"/>
      <c r="AA130" s="2095"/>
      <c r="AB130" s="2095"/>
      <c r="AC130" s="2096"/>
    </row>
    <row r="131" s="1930" customFormat="1" ht="16" hidden="1" customHeight="1" spans="1:29">
      <c r="A131" s="839"/>
      <c r="B131" s="2014"/>
      <c r="C131" s="2014"/>
      <c r="D131" s="2098"/>
      <c r="E131" s="2051">
        <v>6.8</v>
      </c>
      <c r="F131" s="2020" t="s">
        <v>2191</v>
      </c>
      <c r="G131" s="511"/>
      <c r="H131" s="511"/>
      <c r="I131" s="511"/>
      <c r="J131" s="2006"/>
      <c r="K131" s="2006"/>
      <c r="L131" s="2012"/>
      <c r="M131" s="2012">
        <f t="shared" ref="M131:M135" si="38">25.68/E131/1.13*1.2</f>
        <v>4.01041124414368</v>
      </c>
      <c r="N131" s="2011">
        <f>16.5*1.1</f>
        <v>18.15</v>
      </c>
      <c r="O131" s="2012">
        <f t="shared" si="36"/>
        <v>3.03227485684539</v>
      </c>
      <c r="P131" s="2012"/>
      <c r="Q131" s="2012">
        <f t="shared" si="37"/>
        <v>0</v>
      </c>
      <c r="R131" s="2045"/>
      <c r="S131" s="226"/>
      <c r="T131" s="2079"/>
      <c r="U131" s="1755"/>
      <c r="X131" s="1977"/>
      <c r="AA131" s="2095"/>
      <c r="AB131" s="2095"/>
      <c r="AC131" s="2096"/>
    </row>
    <row r="132" s="1930" customFormat="1" ht="16" hidden="1" customHeight="1" spans="1:29">
      <c r="A132" s="839"/>
      <c r="B132" s="2014"/>
      <c r="C132" s="2014"/>
      <c r="D132" s="2098"/>
      <c r="E132" s="2051">
        <v>6.7</v>
      </c>
      <c r="F132" s="2020" t="s">
        <v>2192</v>
      </c>
      <c r="G132" s="511"/>
      <c r="H132" s="511"/>
      <c r="I132" s="511"/>
      <c r="J132" s="2006" t="s">
        <v>1428</v>
      </c>
      <c r="K132" s="667" t="s">
        <v>712</v>
      </c>
      <c r="L132" s="2048" t="s">
        <v>1428</v>
      </c>
      <c r="M132" s="2012">
        <f>39.2/E132/1.13</f>
        <v>5.17765156518294</v>
      </c>
      <c r="N132" s="2011">
        <v>13.7</v>
      </c>
      <c r="O132" s="2012">
        <f t="shared" si="36"/>
        <v>3.07753269052965</v>
      </c>
      <c r="P132" s="2012"/>
      <c r="Q132" s="2012"/>
      <c r="R132" s="2045"/>
      <c r="S132" s="226"/>
      <c r="T132" s="2079"/>
      <c r="U132" s="1755"/>
      <c r="X132" s="1977"/>
      <c r="AA132" s="2095"/>
      <c r="AB132" s="2095"/>
      <c r="AC132" s="2096"/>
    </row>
    <row r="133" s="1930" customFormat="1" ht="16" hidden="1" customHeight="1" spans="1:29">
      <c r="A133" s="839"/>
      <c r="B133" s="2014"/>
      <c r="C133" s="2014"/>
      <c r="D133" s="2098"/>
      <c r="E133" s="2051">
        <v>6.8</v>
      </c>
      <c r="F133" s="1975" t="s">
        <v>2193</v>
      </c>
      <c r="G133" s="511"/>
      <c r="H133" s="511"/>
      <c r="I133" s="511"/>
      <c r="J133" s="2006" t="s">
        <v>1428</v>
      </c>
      <c r="K133" s="2006" t="s">
        <v>712</v>
      </c>
      <c r="L133" s="2006" t="s">
        <v>1428</v>
      </c>
      <c r="M133" s="2012">
        <f t="shared" si="38"/>
        <v>4.01041124414368</v>
      </c>
      <c r="N133" s="2011">
        <f>15.5*1.1</f>
        <v>17.05</v>
      </c>
      <c r="O133" s="2012">
        <f t="shared" si="36"/>
        <v>3.03227485684539</v>
      </c>
      <c r="P133" s="2012"/>
      <c r="Q133" s="2012">
        <f t="shared" ref="Q133:Q135" si="39">SUBTOTAL(109,L133:O133)</f>
        <v>0</v>
      </c>
      <c r="R133" s="2045"/>
      <c r="S133" s="226"/>
      <c r="T133" s="2079"/>
      <c r="U133" s="1755"/>
      <c r="X133" s="1977"/>
      <c r="AA133" s="2095"/>
      <c r="AB133" s="2095"/>
      <c r="AC133" s="2096"/>
    </row>
    <row r="134" s="1930" customFormat="1" ht="16" hidden="1" customHeight="1" spans="1:29">
      <c r="A134" s="839"/>
      <c r="B134" s="2014"/>
      <c r="C134" s="2014"/>
      <c r="D134" s="2098"/>
      <c r="E134" s="2051">
        <v>6.8</v>
      </c>
      <c r="F134" s="2020" t="s">
        <v>2194</v>
      </c>
      <c r="G134" s="511"/>
      <c r="H134" s="511"/>
      <c r="I134" s="511"/>
      <c r="J134" s="2006"/>
      <c r="K134" s="2006"/>
      <c r="L134" s="2012"/>
      <c r="M134" s="2012">
        <f t="shared" si="38"/>
        <v>4.01041124414368</v>
      </c>
      <c r="N134" s="2011">
        <f>13.87*1.1</f>
        <v>15.257</v>
      </c>
      <c r="O134" s="2012">
        <f t="shared" si="36"/>
        <v>3.03227485684539</v>
      </c>
      <c r="P134" s="2012"/>
      <c r="Q134" s="2012">
        <f t="shared" si="39"/>
        <v>0</v>
      </c>
      <c r="R134" s="2045"/>
      <c r="S134" s="226"/>
      <c r="T134" s="2079"/>
      <c r="U134" s="1755"/>
      <c r="X134" s="1977"/>
      <c r="AA134" s="2095"/>
      <c r="AB134" s="2095"/>
      <c r="AC134" s="2096"/>
    </row>
    <row r="135" s="993" customFormat="1" ht="16" hidden="1" customHeight="1" spans="1:29">
      <c r="A135" s="839">
        <v>1</v>
      </c>
      <c r="B135" s="2014"/>
      <c r="C135" s="2014"/>
      <c r="D135" s="2037">
        <v>46195</v>
      </c>
      <c r="E135" s="2006">
        <v>6.77</v>
      </c>
      <c r="F135" s="2020" t="s">
        <v>2195</v>
      </c>
      <c r="G135" s="2006"/>
      <c r="H135" s="2006"/>
      <c r="I135" s="2006"/>
      <c r="J135" s="2006"/>
      <c r="K135" s="2006"/>
      <c r="L135" s="2012"/>
      <c r="M135" s="2012">
        <f t="shared" si="38"/>
        <v>4.02818263813545</v>
      </c>
      <c r="N135" s="2011">
        <v>14.73</v>
      </c>
      <c r="O135" s="2012">
        <v>3</v>
      </c>
      <c r="P135" s="2012"/>
      <c r="Q135" s="2012">
        <f t="shared" si="39"/>
        <v>0</v>
      </c>
      <c r="R135" s="2045"/>
      <c r="S135" s="266"/>
      <c r="T135" s="1246"/>
      <c r="U135" s="978"/>
      <c r="X135" s="2044"/>
      <c r="AA135" s="2102"/>
      <c r="AB135" s="2102"/>
      <c r="AC135" s="2103"/>
    </row>
    <row r="136" s="1930" customFormat="1" ht="16" hidden="1" customHeight="1" spans="1:29">
      <c r="A136" s="839">
        <v>60</v>
      </c>
      <c r="B136" s="2097"/>
      <c r="C136" s="2097"/>
      <c r="D136" s="2098">
        <v>46091</v>
      </c>
      <c r="E136" s="2051">
        <v>6.9264</v>
      </c>
      <c r="F136" s="2062" t="s">
        <v>1979</v>
      </c>
      <c r="G136" s="511"/>
      <c r="H136" s="511"/>
      <c r="I136" s="511"/>
      <c r="J136" s="511"/>
      <c r="K136" s="511" t="s">
        <v>712</v>
      </c>
      <c r="L136" s="2031" t="s">
        <v>2196</v>
      </c>
      <c r="M136" s="2031">
        <f t="shared" ref="M136:M138" si="40">25.68/E136/1.13</f>
        <v>3.28102098013602</v>
      </c>
      <c r="N136" s="2010">
        <v>14</v>
      </c>
      <c r="O136" s="2031">
        <f t="shared" ref="O136:O138" si="41">23.3/E136/1.13</f>
        <v>2.97693881764678</v>
      </c>
      <c r="P136" s="2031"/>
      <c r="Q136" s="2031">
        <f t="shared" ref="Q136:Q150" si="42">SUM(K136:O136)</f>
        <v>20.2579597977828</v>
      </c>
      <c r="R136" s="259"/>
      <c r="S136" s="226"/>
      <c r="T136" s="2079"/>
      <c r="U136" s="1755"/>
      <c r="X136" s="1977"/>
      <c r="AC136" s="1977"/>
    </row>
    <row r="137" s="1930" customFormat="1" ht="16" hidden="1" customHeight="1" spans="1:29">
      <c r="A137" s="839">
        <v>1</v>
      </c>
      <c r="B137" s="2097"/>
      <c r="C137" s="2097"/>
      <c r="D137" s="2037">
        <v>46125</v>
      </c>
      <c r="E137" s="2006">
        <v>6.837</v>
      </c>
      <c r="F137" s="2020" t="s">
        <v>2197</v>
      </c>
      <c r="G137" s="2006"/>
      <c r="H137" s="2006"/>
      <c r="I137" s="2006"/>
      <c r="J137" s="2006"/>
      <c r="K137" s="2006"/>
      <c r="L137" s="2012"/>
      <c r="M137" s="2012">
        <f t="shared" si="40"/>
        <v>3.32392331677844</v>
      </c>
      <c r="N137" s="2011">
        <f>14.3-1.2</f>
        <v>13.1</v>
      </c>
      <c r="O137" s="2012">
        <f t="shared" si="41"/>
        <v>3.01586500315177</v>
      </c>
      <c r="P137" s="2012"/>
      <c r="Q137" s="2012">
        <f t="shared" si="42"/>
        <v>19.4397883199302</v>
      </c>
      <c r="R137" s="2045"/>
      <c r="S137" s="266" t="s">
        <v>2198</v>
      </c>
      <c r="T137" s="2079"/>
      <c r="U137" s="1755"/>
      <c r="X137" s="1977"/>
      <c r="AC137" s="1977"/>
    </row>
    <row r="138" s="1930" customFormat="1" ht="16" hidden="1" customHeight="1" spans="1:29">
      <c r="A138" s="839">
        <v>61</v>
      </c>
      <c r="B138" s="2097"/>
      <c r="C138" s="2097"/>
      <c r="D138" s="2051">
        <v>20250829</v>
      </c>
      <c r="E138" s="2051">
        <v>7.13</v>
      </c>
      <c r="F138" s="2020" t="s">
        <v>1551</v>
      </c>
      <c r="G138" s="511"/>
      <c r="H138" s="511" t="s">
        <v>2184</v>
      </c>
      <c r="I138" s="511" t="s">
        <v>1511</v>
      </c>
      <c r="J138" s="511" t="s">
        <v>1507</v>
      </c>
      <c r="K138" s="511" t="s">
        <v>712</v>
      </c>
      <c r="L138" s="2031" t="s">
        <v>1507</v>
      </c>
      <c r="M138" s="2031">
        <f t="shared" si="40"/>
        <v>3.18733011456019</v>
      </c>
      <c r="N138" s="2010">
        <f>19.2910428112276+0.23</f>
        <v>19.5210428112276</v>
      </c>
      <c r="O138" s="2031">
        <f t="shared" si="41"/>
        <v>2.8919311397684</v>
      </c>
      <c r="P138" s="2031"/>
      <c r="Q138" s="2031">
        <f t="shared" si="42"/>
        <v>25.6003040655562</v>
      </c>
      <c r="R138" s="259" t="s">
        <v>1517</v>
      </c>
      <c r="S138" s="226" t="s">
        <v>2188</v>
      </c>
      <c r="T138" s="2079"/>
      <c r="U138" s="1755"/>
      <c r="X138" s="1977"/>
      <c r="AC138" s="1977"/>
    </row>
    <row r="139" s="1930" customFormat="1" ht="16" hidden="1" customHeight="1" spans="1:29">
      <c r="A139" s="839">
        <v>62</v>
      </c>
      <c r="B139" s="658" t="s">
        <v>2199</v>
      </c>
      <c r="C139" s="658"/>
      <c r="D139" s="661">
        <v>20250901</v>
      </c>
      <c r="E139" s="661">
        <v>7.13</v>
      </c>
      <c r="F139" s="2020" t="s">
        <v>1557</v>
      </c>
      <c r="G139" s="227" t="s">
        <v>1558</v>
      </c>
      <c r="H139" s="227" t="s">
        <v>2200</v>
      </c>
      <c r="I139" s="227" t="s">
        <v>1506</v>
      </c>
      <c r="J139" s="227" t="s">
        <v>1507</v>
      </c>
      <c r="K139" s="227" t="s">
        <v>712</v>
      </c>
      <c r="L139" s="231" t="s">
        <v>1507</v>
      </c>
      <c r="M139" s="231">
        <f>26.1/E139/1.13</f>
        <v>3.2394593454058</v>
      </c>
      <c r="N139" s="232">
        <f>13.6609744789364+0.23+1.05</f>
        <v>14.9409744789364</v>
      </c>
      <c r="O139" s="231">
        <f>22.95/E139/1.13</f>
        <v>2.84849011406372</v>
      </c>
      <c r="P139" s="231"/>
      <c r="Q139" s="231">
        <f t="shared" si="42"/>
        <v>21.0289239384059</v>
      </c>
      <c r="R139" s="226" t="s">
        <v>1560</v>
      </c>
      <c r="S139" s="226" t="s">
        <v>2201</v>
      </c>
      <c r="T139" s="2079"/>
      <c r="U139" s="1755"/>
      <c r="X139" s="1977"/>
      <c r="AC139" s="1977"/>
    </row>
    <row r="140" s="1933" customFormat="1" ht="16" hidden="1" customHeight="1" spans="1:29">
      <c r="A140" s="839">
        <v>1</v>
      </c>
      <c r="B140" s="266" t="s">
        <v>2202</v>
      </c>
      <c r="C140" s="2104" t="s">
        <v>1573</v>
      </c>
      <c r="D140" s="2033">
        <v>20250903</v>
      </c>
      <c r="E140" s="2033">
        <v>6.837</v>
      </c>
      <c r="F140" s="2020" t="s">
        <v>2203</v>
      </c>
      <c r="G140" s="2105" t="s">
        <v>1629</v>
      </c>
      <c r="H140" s="2105" t="s">
        <v>2184</v>
      </c>
      <c r="I140" s="2033" t="s">
        <v>1511</v>
      </c>
      <c r="J140" s="2033" t="s">
        <v>1507</v>
      </c>
      <c r="K140" s="2033" t="s">
        <v>712</v>
      </c>
      <c r="L140" s="2104" t="s">
        <v>1507</v>
      </c>
      <c r="M140" s="1987">
        <f t="shared" ref="M140:M147" si="43">31.23/E140/1.13</f>
        <v>4.04229459435321</v>
      </c>
      <c r="N140" s="1987">
        <v>14</v>
      </c>
      <c r="O140" s="2104">
        <f t="shared" ref="O140:O143" si="44">22.56/E140/1.13</f>
        <v>2.9200821661418</v>
      </c>
      <c r="P140" s="2104"/>
      <c r="Q140" s="1987">
        <f t="shared" si="42"/>
        <v>20.962376760495</v>
      </c>
      <c r="R140" s="2106" t="s">
        <v>1526</v>
      </c>
      <c r="S140" s="1988" t="s">
        <v>1578</v>
      </c>
      <c r="T140" s="2107"/>
      <c r="U140" s="2108"/>
      <c r="X140" s="2109"/>
      <c r="AC140" s="2109"/>
    </row>
    <row r="141" s="1933" customFormat="1" ht="16" hidden="1" customHeight="1" spans="1:29">
      <c r="A141" s="839">
        <v>1</v>
      </c>
      <c r="B141" s="266"/>
      <c r="C141" s="2104" t="s">
        <v>1573</v>
      </c>
      <c r="D141" s="2110">
        <v>46157</v>
      </c>
      <c r="E141" s="2033">
        <v>6.7986</v>
      </c>
      <c r="F141" s="2020" t="s">
        <v>1574</v>
      </c>
      <c r="G141" s="2105" t="s">
        <v>1571</v>
      </c>
      <c r="H141" s="2105" t="s">
        <v>1575</v>
      </c>
      <c r="I141" s="2033" t="s">
        <v>1511</v>
      </c>
      <c r="J141" s="2033" t="s">
        <v>1507</v>
      </c>
      <c r="K141" s="2033" t="s">
        <v>712</v>
      </c>
      <c r="L141" s="2104" t="s">
        <v>1507</v>
      </c>
      <c r="M141" s="1987">
        <f t="shared" si="43"/>
        <v>4.06512637036933</v>
      </c>
      <c r="N141" s="1987">
        <v>14.9</v>
      </c>
      <c r="O141" s="2104">
        <f t="shared" si="44"/>
        <v>2.93657543757707</v>
      </c>
      <c r="P141" s="2104"/>
      <c r="Q141" s="1987">
        <f t="shared" si="42"/>
        <v>21.9017018079464</v>
      </c>
      <c r="R141" s="2106"/>
      <c r="S141" s="1988" t="s">
        <v>1576</v>
      </c>
      <c r="T141" s="2107"/>
      <c r="U141" s="2108"/>
      <c r="X141" s="2109"/>
      <c r="AC141" s="2109"/>
    </row>
    <row r="142" s="1933" customFormat="1" ht="16" hidden="1" customHeight="1" spans="1:29">
      <c r="A142" s="839"/>
      <c r="B142" s="658"/>
      <c r="C142" s="2104"/>
      <c r="D142" s="2110">
        <v>46248</v>
      </c>
      <c r="E142" s="2033">
        <v>6.75</v>
      </c>
      <c r="F142" s="1975" t="s">
        <v>2204</v>
      </c>
      <c r="G142" s="2105"/>
      <c r="H142" s="2105"/>
      <c r="I142" s="2033"/>
      <c r="J142" s="1980" t="s">
        <v>1507</v>
      </c>
      <c r="K142" s="1980" t="s">
        <v>712</v>
      </c>
      <c r="L142" s="2111" t="s">
        <v>1507</v>
      </c>
      <c r="M142" s="1985">
        <f>40.125/E142/1.13</f>
        <v>5.26057030481809</v>
      </c>
      <c r="N142" s="1985">
        <v>13.8</v>
      </c>
      <c r="O142" s="2111">
        <f t="shared" si="44"/>
        <v>2.95771878072763</v>
      </c>
      <c r="P142" s="2111"/>
      <c r="Q142" s="1985">
        <f t="shared" si="42"/>
        <v>22.0182890855457</v>
      </c>
      <c r="R142" s="1986" t="s">
        <v>2205</v>
      </c>
      <c r="S142" s="1988"/>
      <c r="T142" s="2107"/>
      <c r="U142" s="2108"/>
      <c r="X142" s="2109"/>
      <c r="AC142" s="2109"/>
    </row>
    <row r="143" s="1933" customFormat="1" ht="16" hidden="1" customHeight="1" spans="1:29">
      <c r="A143" s="839">
        <v>1</v>
      </c>
      <c r="B143" s="266"/>
      <c r="C143" s="2104" t="s">
        <v>1573</v>
      </c>
      <c r="D143" s="2110">
        <v>46163</v>
      </c>
      <c r="E143" s="2033">
        <v>6.8</v>
      </c>
      <c r="F143" s="2020" t="s">
        <v>2206</v>
      </c>
      <c r="G143" s="2105"/>
      <c r="H143" s="2105"/>
      <c r="I143" s="2033"/>
      <c r="J143" s="2033"/>
      <c r="K143" s="2033"/>
      <c r="L143" s="2104"/>
      <c r="M143" s="1987">
        <f>33.5/E143/1.13</f>
        <v>4.35970848516398</v>
      </c>
      <c r="N143" s="1987">
        <v>12.1</v>
      </c>
      <c r="O143" s="2104">
        <f t="shared" si="44"/>
        <v>2.9359708485164</v>
      </c>
      <c r="P143" s="2104"/>
      <c r="Q143" s="1987">
        <f t="shared" si="42"/>
        <v>19.3956793336804</v>
      </c>
      <c r="R143" s="2106"/>
      <c r="S143" s="1988" t="s">
        <v>2207</v>
      </c>
      <c r="T143" s="2107"/>
      <c r="U143" s="2108"/>
      <c r="X143" s="2109"/>
      <c r="AC143" s="2109"/>
    </row>
    <row r="144" s="1933" customFormat="1" ht="16" hidden="1" customHeight="1" spans="1:29">
      <c r="A144" s="839">
        <v>1</v>
      </c>
      <c r="B144" s="658"/>
      <c r="C144" s="2104" t="s">
        <v>2208</v>
      </c>
      <c r="D144" s="2110">
        <v>46164</v>
      </c>
      <c r="E144" s="2033">
        <v>6.7863</v>
      </c>
      <c r="F144" s="2020" t="s">
        <v>2209</v>
      </c>
      <c r="G144" s="2105"/>
      <c r="H144" s="2105"/>
      <c r="I144" s="2033"/>
      <c r="J144" s="2033"/>
      <c r="K144" s="2033"/>
      <c r="L144" s="2104"/>
      <c r="M144" s="1987">
        <f>37.54/E144/1.13</f>
        <v>4.89533898266406</v>
      </c>
      <c r="N144" s="1987">
        <v>13.92</v>
      </c>
      <c r="O144" s="2104">
        <v>0.3</v>
      </c>
      <c r="P144" s="2104"/>
      <c r="Q144" s="1987">
        <f t="shared" si="42"/>
        <v>19.1153389826641</v>
      </c>
      <c r="R144" s="2106"/>
      <c r="S144" s="1988" t="s">
        <v>2210</v>
      </c>
      <c r="T144" s="2107"/>
      <c r="U144" s="2108"/>
      <c r="X144" s="2109"/>
      <c r="AC144" s="2109"/>
    </row>
    <row r="145" s="1933" customFormat="1" ht="16" hidden="1" customHeight="1" spans="1:29">
      <c r="A145" s="839">
        <v>1</v>
      </c>
      <c r="B145" s="266"/>
      <c r="C145" s="2104" t="s">
        <v>1573</v>
      </c>
      <c r="D145" s="2033">
        <v>20250903</v>
      </c>
      <c r="E145" s="2033">
        <v>6.837</v>
      </c>
      <c r="F145" s="2020" t="s">
        <v>1577</v>
      </c>
      <c r="G145" s="2105" t="s">
        <v>1558</v>
      </c>
      <c r="H145" s="2105" t="s">
        <v>2184</v>
      </c>
      <c r="I145" s="2033" t="s">
        <v>1506</v>
      </c>
      <c r="J145" s="2033" t="s">
        <v>1507</v>
      </c>
      <c r="K145" s="2033" t="s">
        <v>712</v>
      </c>
      <c r="L145" s="2104" t="s">
        <v>1507</v>
      </c>
      <c r="M145" s="1987">
        <f t="shared" si="43"/>
        <v>4.04229459435321</v>
      </c>
      <c r="N145" s="1987">
        <v>12.8</v>
      </c>
      <c r="O145" s="2104">
        <f>22.56/E145/1.13</f>
        <v>2.9200821661418</v>
      </c>
      <c r="P145" s="2104"/>
      <c r="Q145" s="1987">
        <f t="shared" si="42"/>
        <v>19.762376760495</v>
      </c>
      <c r="R145" s="2106" t="s">
        <v>1526</v>
      </c>
      <c r="S145" s="1988" t="s">
        <v>1578</v>
      </c>
      <c r="T145" s="2107"/>
      <c r="U145" s="2108"/>
      <c r="X145" s="2109"/>
      <c r="AC145" s="2109"/>
    </row>
    <row r="146" s="1933" customFormat="1" ht="16" hidden="1" customHeight="1" spans="1:29">
      <c r="A146" s="839">
        <v>1</v>
      </c>
      <c r="B146" s="266"/>
      <c r="C146" s="266"/>
      <c r="D146" s="2081">
        <v>46150</v>
      </c>
      <c r="E146" s="219">
        <v>6.8216</v>
      </c>
      <c r="F146" s="2020" t="s">
        <v>2211</v>
      </c>
      <c r="G146" s="219" t="s">
        <v>1669</v>
      </c>
      <c r="H146" s="1978" t="s">
        <v>1575</v>
      </c>
      <c r="I146" s="219" t="s">
        <v>1511</v>
      </c>
      <c r="J146" s="219"/>
      <c r="K146" s="219"/>
      <c r="L146" s="320"/>
      <c r="M146" s="320">
        <f t="shared" si="43"/>
        <v>4.05142021543229</v>
      </c>
      <c r="N146" s="319">
        <v>14</v>
      </c>
      <c r="O146" s="319">
        <v>3.05</v>
      </c>
      <c r="P146" s="319"/>
      <c r="Q146" s="320">
        <f t="shared" si="42"/>
        <v>21.1014202154323</v>
      </c>
      <c r="R146" s="2089" t="s">
        <v>2212</v>
      </c>
      <c r="S146" s="226"/>
      <c r="T146" s="2107"/>
      <c r="U146" s="2108"/>
      <c r="X146" s="2109"/>
      <c r="AC146" s="2109"/>
    </row>
    <row r="147" s="1933" customFormat="1" ht="16" hidden="1" customHeight="1" spans="1:29">
      <c r="A147" s="839">
        <v>64</v>
      </c>
      <c r="B147" s="266"/>
      <c r="C147" s="266"/>
      <c r="D147" s="2081">
        <v>46081</v>
      </c>
      <c r="E147" s="219">
        <v>6.8802</v>
      </c>
      <c r="F147" s="2020" t="s">
        <v>2213</v>
      </c>
      <c r="G147" s="219" t="s">
        <v>1998</v>
      </c>
      <c r="H147" s="219" t="s">
        <v>2214</v>
      </c>
      <c r="I147" s="219" t="s">
        <v>1511</v>
      </c>
      <c r="J147" s="219"/>
      <c r="K147" s="219" t="s">
        <v>712</v>
      </c>
      <c r="L147" s="320"/>
      <c r="M147" s="320">
        <f t="shared" si="43"/>
        <v>4.01691348239774</v>
      </c>
      <c r="N147" s="319">
        <f>11.3136555692276+1.05+0.23</f>
        <v>12.5936555692276</v>
      </c>
      <c r="O147" s="319">
        <f>23.73/E147/1.13</f>
        <v>3.05223685357984</v>
      </c>
      <c r="P147" s="319"/>
      <c r="Q147" s="320">
        <f t="shared" si="42"/>
        <v>19.6628059052052</v>
      </c>
      <c r="R147" s="2089"/>
      <c r="S147" s="226"/>
      <c r="T147" s="2107"/>
      <c r="U147" s="2108"/>
      <c r="X147" s="2109"/>
      <c r="AC147" s="2109"/>
    </row>
    <row r="148" s="1930" customFormat="1" ht="16" hidden="1" customHeight="1" spans="1:29">
      <c r="A148" s="839">
        <v>66</v>
      </c>
      <c r="B148" s="658" t="s">
        <v>1540</v>
      </c>
      <c r="C148" s="658"/>
      <c r="D148" s="661">
        <v>20250904</v>
      </c>
      <c r="E148" s="661">
        <v>6.9264</v>
      </c>
      <c r="F148" s="2020" t="s">
        <v>1551</v>
      </c>
      <c r="G148" s="227"/>
      <c r="H148" s="227" t="s">
        <v>1543</v>
      </c>
      <c r="I148" s="227" t="s">
        <v>1506</v>
      </c>
      <c r="J148" s="227" t="s">
        <v>1544</v>
      </c>
      <c r="K148" s="227" t="s">
        <v>712</v>
      </c>
      <c r="L148" s="231" t="s">
        <v>712</v>
      </c>
      <c r="M148" s="231">
        <f>26.12/E148/1.13</f>
        <v>3.33723785051219</v>
      </c>
      <c r="N148" s="232">
        <f>23.6*1.03</f>
        <v>24.308</v>
      </c>
      <c r="O148" s="257">
        <f t="shared" ref="O148:O150" si="45">24.86/E148/1.13</f>
        <v>3.17625317625318</v>
      </c>
      <c r="P148" s="257"/>
      <c r="Q148" s="231">
        <f t="shared" si="42"/>
        <v>30.8214910267654</v>
      </c>
      <c r="R148" s="243" t="s">
        <v>1517</v>
      </c>
      <c r="S148" s="226" t="s">
        <v>2215</v>
      </c>
      <c r="T148" s="2079"/>
      <c r="U148" s="1755"/>
      <c r="X148" s="1977"/>
      <c r="AC148" s="1977"/>
    </row>
    <row r="149" s="1930" customFormat="1" ht="16" hidden="1" customHeight="1" spans="1:29">
      <c r="A149" s="839"/>
      <c r="B149" s="266"/>
      <c r="C149" s="658"/>
      <c r="D149" s="2080">
        <v>46274</v>
      </c>
      <c r="E149" s="661">
        <v>6.72</v>
      </c>
      <c r="F149" s="1975" t="s">
        <v>2216</v>
      </c>
      <c r="G149" s="227"/>
      <c r="H149" s="227"/>
      <c r="I149" s="227"/>
      <c r="J149" s="219" t="s">
        <v>1428</v>
      </c>
      <c r="K149" s="667" t="s">
        <v>712</v>
      </c>
      <c r="L149" s="2048" t="s">
        <v>1428</v>
      </c>
      <c r="M149" s="320">
        <f>39.2/E149/1.13</f>
        <v>5.16224188790561</v>
      </c>
      <c r="N149" s="319">
        <v>24.2</v>
      </c>
      <c r="O149" s="214">
        <f t="shared" si="45"/>
        <v>3.27380952380952</v>
      </c>
      <c r="P149" s="214"/>
      <c r="Q149" s="320">
        <f t="shared" si="42"/>
        <v>32.6360514117151</v>
      </c>
      <c r="R149" s="243"/>
      <c r="S149" s="226"/>
      <c r="T149" s="2079"/>
      <c r="U149" s="1755"/>
      <c r="X149" s="1977"/>
      <c r="AC149" s="1977"/>
    </row>
    <row r="150" s="1930" customFormat="1" ht="16" hidden="1" customHeight="1" spans="1:29">
      <c r="A150" s="839">
        <v>67</v>
      </c>
      <c r="B150" s="658"/>
      <c r="C150" s="658"/>
      <c r="D150" s="661">
        <v>20250904</v>
      </c>
      <c r="E150" s="661">
        <v>6.9264</v>
      </c>
      <c r="F150" s="2020" t="s">
        <v>1551</v>
      </c>
      <c r="G150" s="227"/>
      <c r="H150" s="227" t="s">
        <v>1548</v>
      </c>
      <c r="I150" s="227" t="s">
        <v>1511</v>
      </c>
      <c r="J150" s="227" t="s">
        <v>1544</v>
      </c>
      <c r="K150" s="227" t="s">
        <v>712</v>
      </c>
      <c r="L150" s="231"/>
      <c r="M150" s="231">
        <f>26.12/E150/1.13</f>
        <v>3.33723785051219</v>
      </c>
      <c r="N150" s="232">
        <v>25.4509974668576</v>
      </c>
      <c r="O150" s="257">
        <f t="shared" si="45"/>
        <v>3.17625317625318</v>
      </c>
      <c r="P150" s="257"/>
      <c r="Q150" s="231">
        <f t="shared" si="42"/>
        <v>31.964488493623</v>
      </c>
      <c r="R150" s="243" t="s">
        <v>1517</v>
      </c>
      <c r="S150" s="226" t="s">
        <v>2215</v>
      </c>
      <c r="T150" s="2079"/>
      <c r="U150" s="1755"/>
      <c r="X150" s="1977"/>
      <c r="AC150" s="1977"/>
    </row>
    <row r="151" s="1930" customFormat="1" ht="16" hidden="1" customHeight="1" spans="1:29">
      <c r="A151" s="839">
        <v>1</v>
      </c>
      <c r="B151" s="2112" t="s">
        <v>272</v>
      </c>
      <c r="C151" s="2113" t="s">
        <v>1746</v>
      </c>
      <c r="D151" s="2081">
        <v>46128</v>
      </c>
      <c r="E151" s="219">
        <v>6.7986</v>
      </c>
      <c r="F151" s="2020" t="s">
        <v>2217</v>
      </c>
      <c r="G151" s="227" t="s">
        <v>1604</v>
      </c>
      <c r="H151" s="245" t="s">
        <v>2218</v>
      </c>
      <c r="I151" s="227" t="s">
        <v>2156</v>
      </c>
      <c r="J151" s="227" t="s">
        <v>1871</v>
      </c>
      <c r="K151" s="227" t="s">
        <v>712</v>
      </c>
      <c r="L151" s="320">
        <v>7.5</v>
      </c>
      <c r="M151" s="320">
        <f t="shared" ref="M151:M155" si="46">45.4/E151/1.13</f>
        <v>5.90959773342195</v>
      </c>
      <c r="N151" s="319">
        <v>21.15</v>
      </c>
      <c r="O151" s="214">
        <v>4</v>
      </c>
      <c r="P151" s="214"/>
      <c r="Q151" s="320">
        <f t="shared" ref="Q151:Q156" si="47">SUBTOTAL(109,L151:O151)</f>
        <v>0</v>
      </c>
      <c r="R151" s="219" t="s">
        <v>2219</v>
      </c>
      <c r="S151" s="243"/>
      <c r="T151" s="2079"/>
      <c r="U151" s="1755"/>
      <c r="X151" s="1977"/>
      <c r="AC151" s="1977"/>
    </row>
    <row r="152" s="1930" customFormat="1" ht="16" hidden="1" customHeight="1" spans="1:29">
      <c r="A152" s="839">
        <v>1</v>
      </c>
      <c r="B152" s="2114"/>
      <c r="C152" s="2115" t="s">
        <v>1746</v>
      </c>
      <c r="D152" s="2080">
        <v>46128</v>
      </c>
      <c r="E152" s="661">
        <v>6.8225</v>
      </c>
      <c r="F152" s="2020" t="s">
        <v>2220</v>
      </c>
      <c r="G152" s="227" t="s">
        <v>1571</v>
      </c>
      <c r="H152" s="245" t="s">
        <v>2184</v>
      </c>
      <c r="I152" s="227" t="s">
        <v>2156</v>
      </c>
      <c r="J152" s="227" t="s">
        <v>1871</v>
      </c>
      <c r="K152" s="227" t="s">
        <v>712</v>
      </c>
      <c r="L152" s="231">
        <v>7.5</v>
      </c>
      <c r="M152" s="231">
        <f t="shared" si="46"/>
        <v>5.88889573476621</v>
      </c>
      <c r="N152" s="232">
        <v>20.98</v>
      </c>
      <c r="O152" s="257">
        <v>4</v>
      </c>
      <c r="P152" s="257"/>
      <c r="Q152" s="231">
        <f t="shared" si="47"/>
        <v>0</v>
      </c>
      <c r="R152" s="227" t="s">
        <v>2219</v>
      </c>
      <c r="S152" s="243"/>
      <c r="T152" s="2079"/>
      <c r="U152" s="1755"/>
      <c r="X152" s="1977"/>
      <c r="AC152" s="1977"/>
    </row>
    <row r="153" s="1930" customFormat="1" ht="16" hidden="1" customHeight="1" spans="1:29">
      <c r="A153" s="839">
        <v>1</v>
      </c>
      <c r="B153" s="2116"/>
      <c r="C153" s="2115"/>
      <c r="D153" s="2080">
        <v>46204</v>
      </c>
      <c r="E153" s="661">
        <v>6.8</v>
      </c>
      <c r="F153" s="1975" t="s">
        <v>2221</v>
      </c>
      <c r="G153" s="219"/>
      <c r="H153" s="2117"/>
      <c r="I153" s="2118"/>
      <c r="J153" s="219" t="s">
        <v>1428</v>
      </c>
      <c r="K153" s="219" t="s">
        <v>712</v>
      </c>
      <c r="L153" s="320" t="s">
        <v>1428</v>
      </c>
      <c r="M153" s="320">
        <f>67/E153/1.13</f>
        <v>8.71941697032796</v>
      </c>
      <c r="N153" s="319">
        <f>23.52*1.03</f>
        <v>24.2256</v>
      </c>
      <c r="O153" s="320">
        <v>4</v>
      </c>
      <c r="P153" s="320"/>
      <c r="Q153" s="320">
        <f t="shared" si="47"/>
        <v>0</v>
      </c>
      <c r="R153" s="219"/>
      <c r="S153" s="243"/>
      <c r="T153" s="2079"/>
      <c r="U153" s="1755"/>
      <c r="X153" s="1977"/>
      <c r="AC153" s="1977"/>
    </row>
    <row r="154" s="1930" customFormat="1" ht="16" hidden="1" customHeight="1" spans="1:29">
      <c r="A154" s="839">
        <v>1</v>
      </c>
      <c r="B154" s="2116"/>
      <c r="C154" s="2113"/>
      <c r="D154" s="2081"/>
      <c r="E154" s="219">
        <v>6.8</v>
      </c>
      <c r="F154" s="1975" t="s">
        <v>2222</v>
      </c>
      <c r="G154" s="219"/>
      <c r="H154" s="2119"/>
      <c r="I154" s="2120"/>
      <c r="J154" s="219" t="s">
        <v>1428</v>
      </c>
      <c r="K154" s="219" t="s">
        <v>712</v>
      </c>
      <c r="L154" s="320" t="s">
        <v>1428</v>
      </c>
      <c r="M154" s="320">
        <f>67/E154/1.13</f>
        <v>8.71941697032796</v>
      </c>
      <c r="N154" s="319">
        <f>23.8*1.03</f>
        <v>24.514</v>
      </c>
      <c r="O154" s="320">
        <v>4</v>
      </c>
      <c r="P154" s="320"/>
      <c r="Q154" s="320">
        <f t="shared" si="47"/>
        <v>0</v>
      </c>
      <c r="R154" s="2094"/>
      <c r="S154" s="243"/>
      <c r="T154" s="2079"/>
      <c r="U154" s="1755"/>
      <c r="X154" s="1977"/>
      <c r="AC154" s="1977"/>
    </row>
    <row r="155" s="1930" customFormat="1" ht="16" hidden="1" customHeight="1" spans="1:29">
      <c r="A155" s="839">
        <v>1</v>
      </c>
      <c r="B155" s="2112"/>
      <c r="C155" s="2113" t="s">
        <v>1746</v>
      </c>
      <c r="D155" s="2081">
        <v>46128</v>
      </c>
      <c r="E155" s="219">
        <v>6.7986</v>
      </c>
      <c r="F155" s="2020" t="s">
        <v>2223</v>
      </c>
      <c r="G155" s="227" t="s">
        <v>1685</v>
      </c>
      <c r="H155" s="245" t="s">
        <v>2184</v>
      </c>
      <c r="I155" s="227" t="s">
        <v>2156</v>
      </c>
      <c r="J155" s="227" t="s">
        <v>2224</v>
      </c>
      <c r="K155" s="227" t="s">
        <v>712</v>
      </c>
      <c r="L155" s="320">
        <v>12.5</v>
      </c>
      <c r="M155" s="320">
        <f t="shared" si="46"/>
        <v>5.90959773342195</v>
      </c>
      <c r="N155" s="319">
        <v>22.82</v>
      </c>
      <c r="O155" s="214">
        <v>4</v>
      </c>
      <c r="P155" s="214"/>
      <c r="Q155" s="320">
        <f t="shared" si="47"/>
        <v>0</v>
      </c>
      <c r="R155" s="219" t="s">
        <v>2225</v>
      </c>
      <c r="S155" s="243" t="s">
        <v>1472</v>
      </c>
      <c r="T155" s="2079"/>
      <c r="U155" s="1755"/>
      <c r="X155" s="1977"/>
      <c r="AC155" s="1977"/>
    </row>
    <row r="156" s="1930" customFormat="1" ht="16" hidden="1" customHeight="1" spans="1:29">
      <c r="A156" s="839">
        <v>68</v>
      </c>
      <c r="B156" s="2114"/>
      <c r="C156" s="2115" t="s">
        <v>1746</v>
      </c>
      <c r="D156" s="2057">
        <v>20250630</v>
      </c>
      <c r="E156" s="658">
        <v>6.9667</v>
      </c>
      <c r="F156" s="2020" t="s">
        <v>1747</v>
      </c>
      <c r="G156" s="227" t="s">
        <v>1617</v>
      </c>
      <c r="H156" s="245" t="s">
        <v>2184</v>
      </c>
      <c r="I156" s="511" t="s">
        <v>1506</v>
      </c>
      <c r="J156" s="245" t="s">
        <v>1507</v>
      </c>
      <c r="K156" s="227" t="s">
        <v>712</v>
      </c>
      <c r="L156" s="232" t="s">
        <v>712</v>
      </c>
      <c r="M156" s="231">
        <f>81.71/E156/1.13</f>
        <v>10.3793380672735</v>
      </c>
      <c r="N156" s="231">
        <v>25.9</v>
      </c>
      <c r="O156" s="288">
        <v>4</v>
      </c>
      <c r="P156" s="288"/>
      <c r="Q156" s="231">
        <f t="shared" si="47"/>
        <v>0</v>
      </c>
      <c r="R156" s="227" t="s">
        <v>2225</v>
      </c>
      <c r="S156" s="226" t="s">
        <v>2226</v>
      </c>
      <c r="T156" s="2079"/>
      <c r="U156" s="1755"/>
      <c r="X156" s="1977"/>
      <c r="AC156" s="1977"/>
    </row>
    <row r="157" s="1930" customFormat="1" ht="16" hidden="1" customHeight="1" spans="1:29">
      <c r="A157" s="839">
        <v>71</v>
      </c>
      <c r="B157" s="658"/>
      <c r="C157" s="658"/>
      <c r="D157" s="661">
        <v>20250228</v>
      </c>
      <c r="E157" s="661">
        <v>7.17</v>
      </c>
      <c r="F157" s="2020" t="s">
        <v>2227</v>
      </c>
      <c r="G157" s="227" t="s">
        <v>1581</v>
      </c>
      <c r="H157" s="227"/>
      <c r="I157" s="227" t="s">
        <v>2228</v>
      </c>
      <c r="J157" s="227" t="s">
        <v>1742</v>
      </c>
      <c r="K157" s="247" t="s">
        <v>712</v>
      </c>
      <c r="L157" s="231">
        <v>6</v>
      </c>
      <c r="M157" s="231">
        <v>3.21466774699314</v>
      </c>
      <c r="N157" s="232">
        <v>20.5091705388119</v>
      </c>
      <c r="O157" s="231">
        <v>3.83144827586207</v>
      </c>
      <c r="P157" s="231"/>
      <c r="Q157" s="231">
        <f t="shared" ref="Q157:Q171" si="48">SUM(K157:O157)</f>
        <v>33.5552865616671</v>
      </c>
      <c r="R157" s="233" t="s">
        <v>1755</v>
      </c>
      <c r="S157" s="226" t="s">
        <v>2229</v>
      </c>
      <c r="T157" s="2079"/>
      <c r="U157" s="1755"/>
      <c r="X157" s="1977"/>
      <c r="AC157" s="1977"/>
    </row>
    <row r="158" s="1930" customFormat="1" ht="16" hidden="1" customHeight="1" spans="1:29">
      <c r="A158" s="839"/>
      <c r="B158" s="266" t="s">
        <v>2230</v>
      </c>
      <c r="C158" s="658"/>
      <c r="D158" s="2080">
        <v>46266</v>
      </c>
      <c r="E158" s="661">
        <v>6.73</v>
      </c>
      <c r="F158" s="1975" t="s">
        <v>2231</v>
      </c>
      <c r="G158" s="227"/>
      <c r="H158" s="227"/>
      <c r="I158" s="227"/>
      <c r="J158" s="219" t="s">
        <v>2196</v>
      </c>
      <c r="K158" s="219" t="s">
        <v>712</v>
      </c>
      <c r="L158" s="320" t="s">
        <v>1507</v>
      </c>
      <c r="M158" s="320">
        <f>84.73/E158/1.13</f>
        <v>11.1415008744362</v>
      </c>
      <c r="N158" s="319">
        <v>17.8</v>
      </c>
      <c r="O158" s="320">
        <v>0.3</v>
      </c>
      <c r="P158" s="320"/>
      <c r="Q158" s="320">
        <f>O158+N158+M158</f>
        <v>29.2415008744362</v>
      </c>
      <c r="R158" s="233"/>
      <c r="S158" s="226" t="s">
        <v>2232</v>
      </c>
      <c r="T158" s="2079"/>
      <c r="U158" s="1755"/>
      <c r="X158" s="1977"/>
      <c r="AC158" s="1977"/>
    </row>
    <row r="159" s="1933" customFormat="1" ht="16" hidden="1" customHeight="1" spans="1:29">
      <c r="A159" s="839">
        <v>75</v>
      </c>
      <c r="B159" s="2121" t="s">
        <v>2230</v>
      </c>
      <c r="C159" s="2122"/>
      <c r="D159" s="2123">
        <v>46091</v>
      </c>
      <c r="E159" s="2124">
        <v>6.9264</v>
      </c>
      <c r="F159" s="2125" t="s">
        <v>2233</v>
      </c>
      <c r="G159" s="2124" t="s">
        <v>2234</v>
      </c>
      <c r="H159" s="2124" t="s">
        <v>2235</v>
      </c>
      <c r="I159" s="2124" t="s">
        <v>2156</v>
      </c>
      <c r="J159" s="2126" t="s">
        <v>2196</v>
      </c>
      <c r="K159" s="2126" t="s">
        <v>712</v>
      </c>
      <c r="L159" s="2127" t="s">
        <v>1507</v>
      </c>
      <c r="M159" s="2127">
        <f>63.55/E159/1.13</f>
        <v>8.11950480092073</v>
      </c>
      <c r="N159" s="2128">
        <v>17.3</v>
      </c>
      <c r="O159" s="2127">
        <f>22/6.78</f>
        <v>3.24483775811209</v>
      </c>
      <c r="P159" s="2127"/>
      <c r="Q159" s="2127">
        <f t="shared" si="48"/>
        <v>28.6643425590328</v>
      </c>
      <c r="R159" s="640" t="s">
        <v>1526</v>
      </c>
      <c r="S159" s="2129"/>
      <c r="T159" s="2107"/>
      <c r="U159" s="2108"/>
      <c r="X159" s="2109"/>
      <c r="AC159" s="2109"/>
    </row>
    <row r="160" s="1930" customFormat="1" ht="16" hidden="1" customHeight="1" spans="1:29">
      <c r="A160" s="839">
        <v>76</v>
      </c>
      <c r="B160" s="266" t="s">
        <v>2236</v>
      </c>
      <c r="C160" s="266"/>
      <c r="D160" s="219">
        <v>20250908</v>
      </c>
      <c r="E160" s="219">
        <v>7.13</v>
      </c>
      <c r="F160" s="2125" t="s">
        <v>1551</v>
      </c>
      <c r="G160" s="227" t="s">
        <v>1551</v>
      </c>
      <c r="H160" s="227" t="s">
        <v>2237</v>
      </c>
      <c r="I160" s="227" t="s">
        <v>1506</v>
      </c>
      <c r="J160" s="227" t="s">
        <v>1507</v>
      </c>
      <c r="K160" s="227" t="s">
        <v>712</v>
      </c>
      <c r="L160" s="232" t="s">
        <v>1507</v>
      </c>
      <c r="M160" s="232">
        <f t="shared" ref="M160:M164" si="49">47.89/E160/1.13</f>
        <v>5.9439734885626</v>
      </c>
      <c r="N160" s="232">
        <v>15.7657504971891</v>
      </c>
      <c r="O160" s="231">
        <v>3.14632482758621</v>
      </c>
      <c r="P160" s="231"/>
      <c r="Q160" s="231">
        <f t="shared" si="48"/>
        <v>24.8560488133379</v>
      </c>
      <c r="R160" s="233"/>
      <c r="S160" s="226" t="s">
        <v>2201</v>
      </c>
      <c r="T160" s="2079"/>
      <c r="U160" s="1755"/>
      <c r="X160" s="1977"/>
      <c r="AC160" s="1977"/>
    </row>
    <row r="161" s="1930" customFormat="1" ht="16" hidden="1" customHeight="1" spans="1:29">
      <c r="A161" s="839"/>
      <c r="B161" s="266"/>
      <c r="C161" s="266"/>
      <c r="D161" s="219"/>
      <c r="E161" s="219">
        <v>6.7</v>
      </c>
      <c r="F161" s="2125" t="s">
        <v>2238</v>
      </c>
      <c r="G161" s="227"/>
      <c r="H161" s="227"/>
      <c r="I161" s="227"/>
      <c r="J161" s="219" t="s">
        <v>1428</v>
      </c>
      <c r="K161" s="219" t="s">
        <v>712</v>
      </c>
      <c r="L161" s="219" t="s">
        <v>1428</v>
      </c>
      <c r="M161" s="319">
        <f>43.6/E161/1.13</f>
        <v>5.7588165367851</v>
      </c>
      <c r="N161" s="319">
        <v>22.7</v>
      </c>
      <c r="O161" s="320">
        <v>3.14632482758621</v>
      </c>
      <c r="P161" s="320"/>
      <c r="Q161" s="320">
        <f t="shared" si="48"/>
        <v>31.6051413643713</v>
      </c>
      <c r="R161" s="233"/>
      <c r="S161" s="226"/>
      <c r="T161" s="2079"/>
      <c r="U161" s="1755"/>
      <c r="X161" s="1977"/>
      <c r="AC161" s="1977"/>
    </row>
    <row r="162" s="1930" customFormat="1" ht="16" hidden="1" customHeight="1" spans="1:29">
      <c r="A162" s="839"/>
      <c r="B162" s="266"/>
      <c r="C162" s="266"/>
      <c r="D162" s="219"/>
      <c r="E162" s="219">
        <v>6.78</v>
      </c>
      <c r="F162" s="2125" t="s">
        <v>2239</v>
      </c>
      <c r="G162" s="219"/>
      <c r="H162" s="219"/>
      <c r="I162" s="219"/>
      <c r="J162" s="219" t="s">
        <v>1428</v>
      </c>
      <c r="K162" s="219" t="s">
        <v>712</v>
      </c>
      <c r="L162" s="219" t="s">
        <v>1428</v>
      </c>
      <c r="M162" s="319">
        <f>45.61/E162/1.13</f>
        <v>5.95322003811314</v>
      </c>
      <c r="N162" s="319">
        <v>19.6</v>
      </c>
      <c r="O162" s="320">
        <v>3.14632482758621</v>
      </c>
      <c r="P162" s="320"/>
      <c r="Q162" s="320">
        <f t="shared" si="48"/>
        <v>28.6995448656993</v>
      </c>
      <c r="R162" s="233"/>
      <c r="S162" s="226"/>
      <c r="T162" s="2079"/>
      <c r="U162" s="1755"/>
      <c r="X162" s="1977"/>
      <c r="AC162" s="1977"/>
    </row>
    <row r="163" s="1930" customFormat="1" ht="16" hidden="1" customHeight="1" spans="1:29">
      <c r="A163" s="839">
        <v>77</v>
      </c>
      <c r="B163" s="266"/>
      <c r="C163" s="266"/>
      <c r="D163" s="219">
        <v>20250908</v>
      </c>
      <c r="E163" s="219">
        <v>7.13</v>
      </c>
      <c r="F163" s="2125" t="s">
        <v>1551</v>
      </c>
      <c r="G163" s="227" t="s">
        <v>1551</v>
      </c>
      <c r="H163" s="227" t="s">
        <v>1543</v>
      </c>
      <c r="I163" s="245" t="s">
        <v>1600</v>
      </c>
      <c r="J163" s="227" t="s">
        <v>1507</v>
      </c>
      <c r="K163" s="227" t="s">
        <v>712</v>
      </c>
      <c r="L163" s="232" t="s">
        <v>1507</v>
      </c>
      <c r="M163" s="232">
        <f t="shared" si="49"/>
        <v>5.9439734885626</v>
      </c>
      <c r="N163" s="232">
        <v>17.2530273477643</v>
      </c>
      <c r="O163" s="231">
        <v>3.14632482758621</v>
      </c>
      <c r="P163" s="231"/>
      <c r="Q163" s="231">
        <f t="shared" si="48"/>
        <v>26.3433256639131</v>
      </c>
      <c r="R163" s="233"/>
      <c r="S163" s="226" t="s">
        <v>2201</v>
      </c>
      <c r="T163" s="2079"/>
      <c r="U163" s="1755"/>
      <c r="X163" s="1977"/>
      <c r="AC163" s="1977"/>
    </row>
    <row r="164" s="1930" customFormat="1" ht="16" hidden="1" customHeight="1" spans="1:29">
      <c r="A164" s="839">
        <v>78</v>
      </c>
      <c r="B164" s="266"/>
      <c r="C164" s="266"/>
      <c r="D164" s="219">
        <v>20250908</v>
      </c>
      <c r="E164" s="219">
        <v>7.13</v>
      </c>
      <c r="F164" s="2125" t="s">
        <v>1551</v>
      </c>
      <c r="G164" s="227" t="s">
        <v>1551</v>
      </c>
      <c r="H164" s="227" t="s">
        <v>2237</v>
      </c>
      <c r="I164" s="245" t="s">
        <v>1594</v>
      </c>
      <c r="J164" s="227" t="s">
        <v>1507</v>
      </c>
      <c r="K164" s="227" t="s">
        <v>712</v>
      </c>
      <c r="L164" s="232" t="s">
        <v>1507</v>
      </c>
      <c r="M164" s="232">
        <f t="shared" si="49"/>
        <v>5.9439734885626</v>
      </c>
      <c r="N164" s="232">
        <v>17.1302903769691</v>
      </c>
      <c r="O164" s="231">
        <v>3.14632482758621</v>
      </c>
      <c r="P164" s="231"/>
      <c r="Q164" s="231">
        <f t="shared" si="48"/>
        <v>26.2205886931179</v>
      </c>
      <c r="R164" s="233"/>
      <c r="S164" s="226" t="s">
        <v>2201</v>
      </c>
      <c r="T164" s="2079"/>
      <c r="U164" s="1755"/>
      <c r="X164" s="1977"/>
      <c r="AC164" s="1977"/>
    </row>
    <row r="165" s="1930" customFormat="1" ht="16" hidden="1" customHeight="1" spans="1:29">
      <c r="A165" s="839">
        <v>79</v>
      </c>
      <c r="B165" s="658" t="s">
        <v>2240</v>
      </c>
      <c r="C165" s="658"/>
      <c r="D165" s="2040">
        <v>46052</v>
      </c>
      <c r="E165" s="2008">
        <v>6.9591</v>
      </c>
      <c r="F165" s="2130" t="s">
        <v>1979</v>
      </c>
      <c r="G165" s="512"/>
      <c r="H165" s="227" t="s">
        <v>2237</v>
      </c>
      <c r="I165" s="512"/>
      <c r="J165" s="226" t="s">
        <v>1507</v>
      </c>
      <c r="K165" s="226" t="s">
        <v>712</v>
      </c>
      <c r="L165" s="2131" t="s">
        <v>1507</v>
      </c>
      <c r="M165" s="2131">
        <f>50/E165/1.13</f>
        <v>6.35826293782522</v>
      </c>
      <c r="N165" s="259">
        <v>15.4</v>
      </c>
      <c r="O165" s="259">
        <v>3.2</v>
      </c>
      <c r="P165" s="259"/>
      <c r="Q165" s="2131">
        <f t="shared" si="48"/>
        <v>24.9582629378252</v>
      </c>
      <c r="R165" s="259" t="s">
        <v>1526</v>
      </c>
      <c r="S165" s="243"/>
      <c r="T165" s="2079"/>
      <c r="U165" s="1755"/>
      <c r="X165" s="1977"/>
      <c r="AC165" s="1977"/>
    </row>
    <row r="166" s="1930" customFormat="1" ht="16" hidden="1" customHeight="1" spans="1:29">
      <c r="A166" s="839">
        <v>80</v>
      </c>
      <c r="B166" s="658" t="s">
        <v>2241</v>
      </c>
      <c r="C166" s="658"/>
      <c r="D166" s="661">
        <v>202509090</v>
      </c>
      <c r="E166" s="661">
        <v>7.13</v>
      </c>
      <c r="F166" s="2132" t="s">
        <v>1603</v>
      </c>
      <c r="G166" s="227" t="s">
        <v>1604</v>
      </c>
      <c r="H166" s="227" t="s">
        <v>2242</v>
      </c>
      <c r="I166" s="245" t="s">
        <v>1606</v>
      </c>
      <c r="J166" s="227" t="s">
        <v>1507</v>
      </c>
      <c r="K166" s="227" t="s">
        <v>712</v>
      </c>
      <c r="L166" s="232" t="s">
        <v>1507</v>
      </c>
      <c r="M166" s="232">
        <f>37.2/E166/1.13</f>
        <v>4.61716044632551</v>
      </c>
      <c r="N166" s="232">
        <f>26.5240994855125+0.23</f>
        <v>26.7540994855125</v>
      </c>
      <c r="O166" s="231">
        <f>25.99/E166/1.13</f>
        <v>3.2258064516129</v>
      </c>
      <c r="P166" s="231"/>
      <c r="Q166" s="231">
        <f t="shared" si="48"/>
        <v>34.5970663834509</v>
      </c>
      <c r="R166" s="226" t="s">
        <v>1526</v>
      </c>
      <c r="S166" s="226" t="s">
        <v>2243</v>
      </c>
      <c r="T166" s="2079"/>
      <c r="U166" s="1755"/>
      <c r="X166" s="1977"/>
      <c r="AC166" s="1977"/>
    </row>
    <row r="167" s="1930" customFormat="1" ht="16" hidden="1" customHeight="1" spans="1:29">
      <c r="A167" s="839">
        <v>81</v>
      </c>
      <c r="B167" s="658"/>
      <c r="C167" s="658"/>
      <c r="D167" s="661">
        <v>202509090</v>
      </c>
      <c r="E167" s="661">
        <v>7.13</v>
      </c>
      <c r="F167" s="2132" t="s">
        <v>2244</v>
      </c>
      <c r="G167" s="227" t="s">
        <v>1672</v>
      </c>
      <c r="H167" s="227" t="s">
        <v>2242</v>
      </c>
      <c r="I167" s="245" t="s">
        <v>1506</v>
      </c>
      <c r="J167" s="227" t="s">
        <v>1507</v>
      </c>
      <c r="K167" s="227" t="s">
        <v>712</v>
      </c>
      <c r="L167" s="232" t="s">
        <v>1507</v>
      </c>
      <c r="M167" s="232">
        <f>25.54/E167/1.13</f>
        <v>3.16995370427832</v>
      </c>
      <c r="N167" s="232">
        <f>23.5520603880743+1.05+0.23</f>
        <v>24.8320603880743</v>
      </c>
      <c r="O167" s="231">
        <f>25.99/E167/1.13</f>
        <v>3.2258064516129</v>
      </c>
      <c r="P167" s="231"/>
      <c r="Q167" s="231">
        <f t="shared" si="48"/>
        <v>31.2278205439655</v>
      </c>
      <c r="R167" s="226" t="s">
        <v>1526</v>
      </c>
      <c r="S167" s="226" t="s">
        <v>2243</v>
      </c>
      <c r="T167" s="2079"/>
      <c r="U167" s="1755"/>
      <c r="X167" s="1977"/>
      <c r="AC167" s="1977"/>
    </row>
    <row r="168" s="1744" customFormat="1" ht="16" hidden="1" customHeight="1" spans="1:29">
      <c r="A168" s="839">
        <v>82</v>
      </c>
      <c r="B168" s="2133" t="s">
        <v>2245</v>
      </c>
      <c r="C168" s="2133"/>
      <c r="D168" s="661">
        <v>20250805</v>
      </c>
      <c r="E168" s="661">
        <v>7.13</v>
      </c>
      <c r="F168" s="2132" t="s">
        <v>1564</v>
      </c>
      <c r="G168" s="227" t="s">
        <v>1565</v>
      </c>
      <c r="H168" s="245" t="s">
        <v>2246</v>
      </c>
      <c r="I168" s="227" t="s">
        <v>1506</v>
      </c>
      <c r="J168" s="245" t="s">
        <v>2247</v>
      </c>
      <c r="K168" s="227" t="s">
        <v>712</v>
      </c>
      <c r="L168" s="231" t="s">
        <v>1507</v>
      </c>
      <c r="M168" s="231">
        <f>26.1/E168/1.13</f>
        <v>3.2394593454058</v>
      </c>
      <c r="N168" s="231">
        <f>13.9317679638334+0.23</f>
        <v>14.1617679638334</v>
      </c>
      <c r="O168" s="231">
        <v>4</v>
      </c>
      <c r="P168" s="231"/>
      <c r="Q168" s="231">
        <f t="shared" si="48"/>
        <v>21.4012273092392</v>
      </c>
      <c r="R168" s="281" t="s">
        <v>2248</v>
      </c>
      <c r="S168" s="226" t="s">
        <v>2249</v>
      </c>
      <c r="T168" s="1755"/>
    </row>
    <row r="169" s="1744" customFormat="1" ht="16" hidden="1" customHeight="1" spans="1:29">
      <c r="A169" s="839"/>
      <c r="B169" s="266"/>
      <c r="C169" s="2134"/>
      <c r="D169" s="2081">
        <v>46272</v>
      </c>
      <c r="E169" s="219">
        <v>6.72</v>
      </c>
      <c r="F169" s="1975" t="s">
        <v>1570</v>
      </c>
      <c r="G169" s="227"/>
      <c r="H169" s="245"/>
      <c r="I169" s="227"/>
      <c r="J169" s="317" t="s">
        <v>1428</v>
      </c>
      <c r="K169" s="219" t="s">
        <v>712</v>
      </c>
      <c r="L169" s="317" t="s">
        <v>1428</v>
      </c>
      <c r="M169" s="320">
        <f>39.55/E169/1.13+4000/200/E169/1.13</f>
        <v>7.84213021491782</v>
      </c>
      <c r="N169" s="320">
        <v>17.15</v>
      </c>
      <c r="O169" s="320">
        <v>4</v>
      </c>
      <c r="P169" s="320"/>
      <c r="Q169" s="320">
        <f t="shared" si="48"/>
        <v>28.9921302149178</v>
      </c>
      <c r="R169" s="281"/>
      <c r="S169" s="266" t="s">
        <v>2250</v>
      </c>
      <c r="T169" s="1755"/>
    </row>
    <row r="170" s="1744" customFormat="1" ht="16" hidden="1" customHeight="1" spans="1:29">
      <c r="A170" s="839">
        <v>1</v>
      </c>
      <c r="B170" s="2134"/>
      <c r="C170" s="2135" t="s">
        <v>1556</v>
      </c>
      <c r="D170" s="2080">
        <v>46133</v>
      </c>
      <c r="E170" s="661">
        <v>6.8825</v>
      </c>
      <c r="F170" s="2132" t="s">
        <v>2251</v>
      </c>
      <c r="G170" s="227"/>
      <c r="H170" s="245"/>
      <c r="I170" s="227"/>
      <c r="J170" s="245"/>
      <c r="K170" s="227"/>
      <c r="L170" s="231"/>
      <c r="M170" s="320">
        <f>25.43/E170/1.13</f>
        <v>3.26980381819994</v>
      </c>
      <c r="N170" s="320">
        <v>14.75</v>
      </c>
      <c r="O170" s="320">
        <v>4</v>
      </c>
      <c r="P170" s="320"/>
      <c r="Q170" s="320">
        <f t="shared" si="48"/>
        <v>22.0198038181999</v>
      </c>
      <c r="R170" s="281"/>
      <c r="S170" s="226"/>
      <c r="T170" s="1755"/>
    </row>
    <row r="171" s="1744" customFormat="1" ht="16" hidden="1" customHeight="1" spans="1:29">
      <c r="A171" s="839">
        <v>1</v>
      </c>
      <c r="B171" s="2121"/>
      <c r="C171" s="292"/>
      <c r="D171" s="2028">
        <v>46121</v>
      </c>
      <c r="E171" s="227">
        <v>6.8819</v>
      </c>
      <c r="F171" s="2132" t="s">
        <v>2252</v>
      </c>
      <c r="G171" s="219" t="s">
        <v>1645</v>
      </c>
      <c r="H171" s="317"/>
      <c r="I171" s="219"/>
      <c r="J171" s="317" t="s">
        <v>1871</v>
      </c>
      <c r="K171" s="219"/>
      <c r="L171" s="320">
        <v>7.5</v>
      </c>
      <c r="M171" s="231">
        <f>25.43/E171/1.13</f>
        <v>3.27008889678157</v>
      </c>
      <c r="N171" s="231">
        <v>15.05</v>
      </c>
      <c r="O171" s="231">
        <v>4</v>
      </c>
      <c r="P171" s="231"/>
      <c r="Q171" s="231">
        <f t="shared" si="48"/>
        <v>29.8200888967816</v>
      </c>
      <c r="R171" s="281"/>
      <c r="S171" s="226"/>
      <c r="T171" s="1755"/>
    </row>
    <row r="172" s="1934" customFormat="1" ht="16" hidden="1" customHeight="1" spans="1:29">
      <c r="A172" s="1934">
        <v>83</v>
      </c>
      <c r="B172" s="651" t="s">
        <v>2253</v>
      </c>
      <c r="C172" s="2136"/>
      <c r="D172" s="2137">
        <v>20250825</v>
      </c>
      <c r="E172" s="2137">
        <v>6.72</v>
      </c>
      <c r="F172" s="2132" t="s">
        <v>2254</v>
      </c>
      <c r="G172" s="2137" t="s">
        <v>1565</v>
      </c>
      <c r="H172" s="2138" t="s">
        <v>2255</v>
      </c>
      <c r="I172" s="2137" t="s">
        <v>1506</v>
      </c>
      <c r="J172" s="2139" t="s">
        <v>1428</v>
      </c>
      <c r="K172" s="2094" t="s">
        <v>712</v>
      </c>
      <c r="L172" s="2140" t="s">
        <v>1428</v>
      </c>
      <c r="M172" s="2140">
        <f>51.63/E172/1.13</f>
        <v>6.79914664981037</v>
      </c>
      <c r="N172" s="2140">
        <v>14.2</v>
      </c>
      <c r="O172" s="2140">
        <f t="shared" ref="O172:O177" si="50">21.95/E172/1.13</f>
        <v>2.89059207753898</v>
      </c>
      <c r="P172" s="2140"/>
      <c r="Q172" s="2140">
        <f t="shared" ref="Q172:Q180" si="51">SUBTOTAL(9,J172:O172)</f>
        <v>23.8897387273494</v>
      </c>
      <c r="R172" s="2141" t="s">
        <v>1526</v>
      </c>
      <c r="S172" s="651" t="s">
        <v>2256</v>
      </c>
      <c r="T172" s="2142"/>
      <c r="X172" s="2143"/>
      <c r="AC172" s="2143"/>
    </row>
    <row r="173" s="1934" customFormat="1" ht="16" hidden="1" customHeight="1" spans="1:29">
      <c r="A173" s="1934">
        <v>84</v>
      </c>
      <c r="B173" s="2136"/>
      <c r="C173" s="2136"/>
      <c r="D173" s="2137">
        <v>20250825</v>
      </c>
      <c r="E173" s="2137">
        <v>7.13</v>
      </c>
      <c r="F173" s="2132" t="s">
        <v>1424</v>
      </c>
      <c r="G173" s="2137" t="s">
        <v>1617</v>
      </c>
      <c r="H173" s="2138" t="s">
        <v>2257</v>
      </c>
      <c r="I173" s="2137" t="s">
        <v>1511</v>
      </c>
      <c r="J173" s="2138" t="s">
        <v>1627</v>
      </c>
      <c r="K173" s="2137" t="s">
        <v>712</v>
      </c>
      <c r="L173" s="2144" t="s">
        <v>1507</v>
      </c>
      <c r="M173" s="320">
        <f t="shared" ref="M173:M176" si="52">38.4/E173/1.13</f>
        <v>4.7661011058844</v>
      </c>
      <c r="N173" s="2144">
        <f>12.8249086039597+1.05+0.23</f>
        <v>14.1049086039597</v>
      </c>
      <c r="O173" s="2144">
        <f t="shared" si="50"/>
        <v>2.72437289776465</v>
      </c>
      <c r="P173" s="2144"/>
      <c r="Q173" s="2144">
        <f t="shared" si="51"/>
        <v>21.5953826076087</v>
      </c>
      <c r="R173" s="2141" t="s">
        <v>1526</v>
      </c>
      <c r="S173" s="2136" t="s">
        <v>2258</v>
      </c>
      <c r="T173" s="2142"/>
      <c r="X173" s="2143"/>
      <c r="AC173" s="2143"/>
    </row>
    <row r="174" s="1934" customFormat="1" ht="16" hidden="1" customHeight="1" spans="1:29">
      <c r="A174" s="839">
        <v>1</v>
      </c>
      <c r="B174" s="2136"/>
      <c r="C174" s="2136"/>
      <c r="D174" s="2137"/>
      <c r="E174" s="219">
        <v>6.76</v>
      </c>
      <c r="F174" s="2132" t="s">
        <v>2259</v>
      </c>
      <c r="G174" s="219" t="s">
        <v>1671</v>
      </c>
      <c r="H174" s="317"/>
      <c r="I174" s="219"/>
      <c r="J174" s="317" t="s">
        <v>1428</v>
      </c>
      <c r="K174" s="219" t="s">
        <v>712</v>
      </c>
      <c r="L174" s="317" t="s">
        <v>1428</v>
      </c>
      <c r="M174" s="320">
        <f t="shared" si="52"/>
        <v>5.02696758653192</v>
      </c>
      <c r="N174" s="320">
        <v>14.3</v>
      </c>
      <c r="O174" s="320">
        <f t="shared" si="50"/>
        <v>2.87348798240561</v>
      </c>
      <c r="P174" s="320"/>
      <c r="Q174" s="320">
        <f t="shared" si="51"/>
        <v>22.2004555689375</v>
      </c>
      <c r="R174" s="433"/>
      <c r="S174" s="266" t="s">
        <v>2260</v>
      </c>
      <c r="T174" s="2142"/>
      <c r="X174" s="2143"/>
      <c r="AC174" s="2143"/>
    </row>
    <row r="175" s="1934" customFormat="1" ht="16" hidden="1" customHeight="1" spans="1:29">
      <c r="A175" s="839"/>
      <c r="B175" s="266"/>
      <c r="C175" s="2136"/>
      <c r="D175" s="2137"/>
      <c r="E175" s="219">
        <v>6.75</v>
      </c>
      <c r="F175" s="2125" t="s">
        <v>2261</v>
      </c>
      <c r="G175" s="219"/>
      <c r="H175" s="317"/>
      <c r="I175" s="219"/>
      <c r="J175" s="317" t="s">
        <v>1428</v>
      </c>
      <c r="K175" s="219" t="s">
        <v>712</v>
      </c>
      <c r="L175" s="317" t="s">
        <v>1428</v>
      </c>
      <c r="M175" s="320"/>
      <c r="N175" s="320">
        <v>17.34</v>
      </c>
      <c r="O175" s="320">
        <f t="shared" si="50"/>
        <v>2.87774500163881</v>
      </c>
      <c r="P175" s="320"/>
      <c r="Q175" s="320">
        <f t="shared" si="51"/>
        <v>20.2177450016388</v>
      </c>
      <c r="R175" s="433"/>
      <c r="S175" s="266"/>
      <c r="T175" s="2142"/>
      <c r="X175" s="2143"/>
      <c r="AC175" s="2143"/>
    </row>
    <row r="176" s="1934" customFormat="1" ht="16" hidden="1" customHeight="1" spans="1:29">
      <c r="A176" s="839">
        <v>1</v>
      </c>
      <c r="B176" s="2136"/>
      <c r="C176" s="2136"/>
      <c r="D176" s="2137"/>
      <c r="E176" s="219">
        <v>6.78</v>
      </c>
      <c r="F176" s="2132" t="s">
        <v>2262</v>
      </c>
      <c r="G176" s="219" t="s">
        <v>1672</v>
      </c>
      <c r="H176" s="317"/>
      <c r="I176" s="219"/>
      <c r="J176" s="317" t="s">
        <v>1428</v>
      </c>
      <c r="K176" s="219" t="s">
        <v>712</v>
      </c>
      <c r="L176" s="317" t="s">
        <v>1428</v>
      </c>
      <c r="M176" s="320">
        <f t="shared" si="52"/>
        <v>5.01213877359229</v>
      </c>
      <c r="N176" s="320">
        <v>14.3</v>
      </c>
      <c r="O176" s="320">
        <f t="shared" si="50"/>
        <v>2.8650116166758</v>
      </c>
      <c r="P176" s="320"/>
      <c r="Q176" s="320">
        <f t="shared" si="51"/>
        <v>22.1771503902681</v>
      </c>
      <c r="R176" s="433"/>
      <c r="S176" s="266"/>
      <c r="T176" s="2142"/>
      <c r="X176" s="2143"/>
      <c r="AC176" s="2143"/>
    </row>
    <row r="177" s="1934" customFormat="1" ht="16" hidden="1" customHeight="1" spans="1:29">
      <c r="A177" s="839"/>
      <c r="B177" s="266"/>
      <c r="C177" s="2136"/>
      <c r="D177" s="2145">
        <v>46285</v>
      </c>
      <c r="E177" s="219">
        <v>6.7</v>
      </c>
      <c r="F177" s="2125" t="s">
        <v>2262</v>
      </c>
      <c r="G177" s="2146"/>
      <c r="H177" s="2147"/>
      <c r="I177" s="2146"/>
      <c r="J177" s="317" t="s">
        <v>1428</v>
      </c>
      <c r="K177" s="219" t="s">
        <v>712</v>
      </c>
      <c r="L177" s="317" t="s">
        <v>1428</v>
      </c>
      <c r="M177" s="320">
        <f>52.73/E177/1.13</f>
        <v>6.9647338528596</v>
      </c>
      <c r="N177" s="320">
        <v>15.8</v>
      </c>
      <c r="O177" s="320">
        <f t="shared" si="50"/>
        <v>2.89922071060626</v>
      </c>
      <c r="P177" s="320"/>
      <c r="Q177" s="320">
        <f t="shared" si="51"/>
        <v>25.6639545634659</v>
      </c>
      <c r="R177" s="433" t="s">
        <v>2101</v>
      </c>
      <c r="S177" s="266"/>
      <c r="T177" s="2142"/>
      <c r="X177" s="2143"/>
      <c r="AC177" s="2143"/>
    </row>
    <row r="178" s="1934" customFormat="1" ht="16" hidden="1" customHeight="1" spans="1:29">
      <c r="A178" s="839"/>
      <c r="B178" s="266"/>
      <c r="C178" s="2136"/>
      <c r="D178" s="2137"/>
      <c r="E178" s="219">
        <v>6.73</v>
      </c>
      <c r="F178" s="2125" t="s">
        <v>2263</v>
      </c>
      <c r="G178" s="219"/>
      <c r="H178" s="317"/>
      <c r="I178" s="219"/>
      <c r="J178" s="317" t="s">
        <v>1428</v>
      </c>
      <c r="K178" s="219" t="s">
        <v>712</v>
      </c>
      <c r="L178" s="317" t="s">
        <v>1428</v>
      </c>
      <c r="M178" s="320">
        <v>6.6</v>
      </c>
      <c r="N178" s="320">
        <v>14.23</v>
      </c>
      <c r="O178" s="320">
        <v>2.87</v>
      </c>
      <c r="P178" s="320"/>
      <c r="Q178" s="320">
        <f t="shared" si="51"/>
        <v>23.7</v>
      </c>
      <c r="R178" s="433"/>
      <c r="S178" s="266"/>
      <c r="T178" s="2142"/>
      <c r="X178" s="2143"/>
      <c r="AC178" s="2143"/>
    </row>
    <row r="179" s="1934" customFormat="1" ht="16" hidden="1" customHeight="1" spans="1:29">
      <c r="A179" s="839">
        <v>1</v>
      </c>
      <c r="B179" s="2136"/>
      <c r="C179" s="2136"/>
      <c r="D179" s="2081">
        <v>46266</v>
      </c>
      <c r="E179" s="219">
        <v>6.73</v>
      </c>
      <c r="F179" s="2132" t="s">
        <v>2264</v>
      </c>
      <c r="G179" s="219" t="s">
        <v>1998</v>
      </c>
      <c r="H179" s="317"/>
      <c r="I179" s="219"/>
      <c r="J179" s="317" t="s">
        <v>1428</v>
      </c>
      <c r="K179" s="219" t="s">
        <v>712</v>
      </c>
      <c r="L179" s="317" t="s">
        <v>1428</v>
      </c>
      <c r="M179" s="320">
        <f>52.73/E179/1.13</f>
        <v>6.93368749095978</v>
      </c>
      <c r="N179" s="320">
        <v>16.6</v>
      </c>
      <c r="O179" s="320">
        <f t="shared" ref="O179:O181" si="53">21.95/E179/1.13</f>
        <v>2.88629699272837</v>
      </c>
      <c r="P179" s="320"/>
      <c r="Q179" s="320">
        <f t="shared" si="51"/>
        <v>26.4199844836882</v>
      </c>
      <c r="R179" s="433"/>
      <c r="S179" s="266"/>
      <c r="T179" s="2142"/>
      <c r="X179" s="2143"/>
      <c r="AC179" s="2143"/>
    </row>
    <row r="180" s="1934" customFormat="1" ht="16" hidden="1" customHeight="1" spans="1:29">
      <c r="A180" s="839">
        <v>1</v>
      </c>
      <c r="B180" s="651"/>
      <c r="C180" s="2136"/>
      <c r="D180" s="2081">
        <v>46151</v>
      </c>
      <c r="E180" s="219">
        <v>6.72</v>
      </c>
      <c r="F180" s="2132" t="s">
        <v>2265</v>
      </c>
      <c r="G180" s="219" t="s">
        <v>1617</v>
      </c>
      <c r="H180" s="317" t="s">
        <v>2257</v>
      </c>
      <c r="I180" s="219"/>
      <c r="J180" s="2139" t="s">
        <v>1428</v>
      </c>
      <c r="K180" s="2094" t="s">
        <v>712</v>
      </c>
      <c r="L180" s="2139" t="s">
        <v>1428</v>
      </c>
      <c r="M180" s="2140">
        <f>51.63/E180/1.13</f>
        <v>6.79914664981037</v>
      </c>
      <c r="N180" s="2140">
        <v>16.21</v>
      </c>
      <c r="O180" s="2140">
        <f t="shared" si="53"/>
        <v>2.89059207753898</v>
      </c>
      <c r="P180" s="2140"/>
      <c r="Q180" s="2140">
        <f t="shared" si="51"/>
        <v>25.8997387273494</v>
      </c>
      <c r="R180" s="433" t="s">
        <v>1526</v>
      </c>
      <c r="S180" s="651"/>
      <c r="T180" s="2142"/>
      <c r="X180" s="2143"/>
      <c r="AC180" s="2143"/>
    </row>
    <row r="181" s="1934" customFormat="1" ht="16" hidden="1" customHeight="1" spans="1:29">
      <c r="A181" s="1934">
        <v>85</v>
      </c>
      <c r="B181" s="2136"/>
      <c r="C181" s="2136"/>
      <c r="D181" s="2137">
        <v>20250825</v>
      </c>
      <c r="E181" s="2137">
        <v>7.13</v>
      </c>
      <c r="F181" s="2132" t="s">
        <v>1628</v>
      </c>
      <c r="G181" s="2137" t="s">
        <v>1629</v>
      </c>
      <c r="H181" s="2138" t="s">
        <v>2255</v>
      </c>
      <c r="I181" s="2137" t="s">
        <v>1594</v>
      </c>
      <c r="J181" s="2138" t="s">
        <v>1614</v>
      </c>
      <c r="K181" s="2137" t="s">
        <v>712</v>
      </c>
      <c r="L181" s="2144" t="s">
        <v>1507</v>
      </c>
      <c r="M181" s="320">
        <f>38.4/E181/1.13</f>
        <v>4.7661011058844</v>
      </c>
      <c r="N181" s="2144">
        <f>13.241571938046+1.05</f>
        <v>14.291571938046</v>
      </c>
      <c r="O181" s="2144">
        <f t="shared" si="53"/>
        <v>2.72437289776465</v>
      </c>
      <c r="P181" s="2148"/>
      <c r="Q181" s="2149"/>
      <c r="R181" s="2144" t="s">
        <v>1423</v>
      </c>
      <c r="S181" s="2136" t="s">
        <v>2266</v>
      </c>
      <c r="T181" s="2142"/>
      <c r="X181" s="2143"/>
      <c r="AC181" s="2143"/>
    </row>
    <row r="182" s="1934" customFormat="1" ht="16" hidden="1" customHeight="1" spans="1:29">
      <c r="A182" s="1934">
        <v>86</v>
      </c>
      <c r="B182" s="2136"/>
      <c r="C182" s="2136"/>
      <c r="D182" s="2150">
        <v>46079</v>
      </c>
      <c r="E182" s="2151">
        <v>6.8802</v>
      </c>
      <c r="F182" s="2132" t="s">
        <v>2267</v>
      </c>
      <c r="G182" s="2152" t="s">
        <v>1685</v>
      </c>
      <c r="H182" s="2138" t="s">
        <v>2255</v>
      </c>
      <c r="I182" s="2137" t="s">
        <v>1594</v>
      </c>
      <c r="J182" s="2151" t="s">
        <v>1552</v>
      </c>
      <c r="K182" s="2151" t="s">
        <v>712</v>
      </c>
      <c r="L182" s="2144">
        <v>3.1</v>
      </c>
      <c r="M182" s="320">
        <f>38.4/E182/1.13</f>
        <v>4.93914433954765</v>
      </c>
      <c r="N182" s="2144">
        <v>14.1</v>
      </c>
      <c r="O182" s="2144">
        <f>24.03/6.91/1.13</f>
        <v>3.07749446102225</v>
      </c>
      <c r="P182" s="2148"/>
      <c r="Q182" s="2149"/>
      <c r="R182" s="2144" t="s">
        <v>1425</v>
      </c>
      <c r="S182" s="2153" t="s">
        <v>2268</v>
      </c>
      <c r="T182" s="2142"/>
      <c r="X182" s="2143"/>
      <c r="AC182" s="2143"/>
    </row>
    <row r="183" s="1930" customFormat="1" ht="16" hidden="1" customHeight="1" spans="1:29">
      <c r="A183" s="1930">
        <v>87</v>
      </c>
      <c r="B183" s="658" t="s">
        <v>2269</v>
      </c>
      <c r="C183" s="658"/>
      <c r="D183" s="661">
        <v>20250613</v>
      </c>
      <c r="E183" s="661">
        <v>7.13</v>
      </c>
      <c r="F183" s="2132" t="s">
        <v>1631</v>
      </c>
      <c r="G183" s="661" t="s">
        <v>1565</v>
      </c>
      <c r="H183" s="660" t="s">
        <v>2270</v>
      </c>
      <c r="I183" s="661" t="s">
        <v>1506</v>
      </c>
      <c r="J183" s="660" t="s">
        <v>1633</v>
      </c>
      <c r="K183" s="661" t="s">
        <v>712</v>
      </c>
      <c r="L183" s="661" t="s">
        <v>1507</v>
      </c>
      <c r="M183" s="663">
        <f t="shared" ref="M183:M190" si="54">35.72/E183/1.13</f>
        <v>4.43346696620288</v>
      </c>
      <c r="N183" s="663">
        <v>10.4358988894656</v>
      </c>
      <c r="O183" s="663">
        <f t="shared" ref="O183:O190" si="55">22.5/E183</f>
        <v>3.15568022440393</v>
      </c>
      <c r="P183" s="663"/>
      <c r="Q183" s="663">
        <f t="shared" ref="Q183:Q197" si="56">SUBTOTAL(9,J183:O183)</f>
        <v>18.0250460800724</v>
      </c>
      <c r="R183" s="2154" t="s">
        <v>1526</v>
      </c>
      <c r="S183" s="658" t="s">
        <v>2271</v>
      </c>
      <c r="T183" s="1755"/>
      <c r="X183" s="1977"/>
      <c r="AC183" s="1977"/>
    </row>
    <row r="184" s="1930" customFormat="1" ht="30" hidden="1" customHeight="1" spans="1:29">
      <c r="B184" s="266"/>
      <c r="C184" s="266"/>
      <c r="D184" s="2081">
        <v>46246</v>
      </c>
      <c r="E184" s="219">
        <v>6.75</v>
      </c>
      <c r="F184" s="1975" t="s">
        <v>2272</v>
      </c>
      <c r="G184" s="219"/>
      <c r="H184" s="317"/>
      <c r="I184" s="219" t="s">
        <v>1822</v>
      </c>
      <c r="J184" s="219" t="s">
        <v>1428</v>
      </c>
      <c r="K184" s="219" t="s">
        <v>712</v>
      </c>
      <c r="L184" s="219">
        <v>2.6</v>
      </c>
      <c r="M184" s="320">
        <f>52.73/E184/1.13*1.05</f>
        <v>7.25880039331367</v>
      </c>
      <c r="N184" s="320">
        <v>15.4</v>
      </c>
      <c r="O184" s="320">
        <f t="shared" si="55"/>
        <v>3.33333333333333</v>
      </c>
      <c r="P184" s="320"/>
      <c r="Q184" s="320">
        <f t="shared" si="56"/>
        <v>28.592133726647</v>
      </c>
      <c r="R184" s="433" t="s">
        <v>2273</v>
      </c>
      <c r="S184" s="2155" t="s">
        <v>2274</v>
      </c>
      <c r="T184" s="1755"/>
      <c r="X184" s="1977"/>
      <c r="AC184" s="1977"/>
    </row>
    <row r="185" s="1930" customFormat="1" ht="16" hidden="1" customHeight="1" spans="1:29">
      <c r="A185" s="839">
        <v>1</v>
      </c>
      <c r="B185" s="266"/>
      <c r="C185" s="658"/>
      <c r="D185" s="2081">
        <v>46164</v>
      </c>
      <c r="E185" s="219">
        <v>6.8</v>
      </c>
      <c r="F185" s="2132" t="s">
        <v>2275</v>
      </c>
      <c r="G185" s="219"/>
      <c r="H185" s="317"/>
      <c r="I185" s="219"/>
      <c r="J185" s="317" t="s">
        <v>1552</v>
      </c>
      <c r="K185" s="219" t="s">
        <v>712</v>
      </c>
      <c r="L185" s="219">
        <v>3.1</v>
      </c>
      <c r="M185" s="320">
        <f>34.76/E185/1.13</f>
        <v>4.52368558042686</v>
      </c>
      <c r="N185" s="320">
        <v>11.2</v>
      </c>
      <c r="O185" s="320">
        <f t="shared" si="55"/>
        <v>3.30882352941176</v>
      </c>
      <c r="P185" s="320"/>
      <c r="Q185" s="320">
        <f t="shared" si="56"/>
        <v>22.1325091098386</v>
      </c>
      <c r="R185" s="2154"/>
      <c r="S185" s="658"/>
      <c r="T185" s="1755"/>
      <c r="X185" s="1977"/>
      <c r="AC185" s="1977"/>
    </row>
    <row r="186" s="1930" customFormat="1" ht="16" hidden="1" customHeight="1" spans="1:29">
      <c r="A186" s="839">
        <v>1</v>
      </c>
      <c r="B186" s="266"/>
      <c r="C186" s="658"/>
      <c r="D186" s="2081">
        <v>46164</v>
      </c>
      <c r="E186" s="219">
        <v>6.8</v>
      </c>
      <c r="F186" s="2132" t="s">
        <v>2276</v>
      </c>
      <c r="G186" s="219"/>
      <c r="H186" s="317"/>
      <c r="I186" s="219"/>
      <c r="J186" s="317" t="s">
        <v>1552</v>
      </c>
      <c r="K186" s="219" t="s">
        <v>712</v>
      </c>
      <c r="L186" s="219">
        <v>3.1</v>
      </c>
      <c r="M186" s="320">
        <f>34.76/E186/1.13</f>
        <v>4.52368558042686</v>
      </c>
      <c r="N186" s="320">
        <v>11</v>
      </c>
      <c r="O186" s="320">
        <f t="shared" si="55"/>
        <v>3.30882352941176</v>
      </c>
      <c r="P186" s="320"/>
      <c r="Q186" s="320">
        <f t="shared" si="56"/>
        <v>21.9325091098386</v>
      </c>
      <c r="R186" s="2154"/>
      <c r="S186" s="658"/>
      <c r="T186" s="1755"/>
      <c r="X186" s="1977"/>
      <c r="AC186" s="1977"/>
    </row>
    <row r="187" s="1930" customFormat="1" ht="16" hidden="1" customHeight="1" spans="1:29">
      <c r="A187" s="839">
        <v>1</v>
      </c>
      <c r="B187" s="658"/>
      <c r="C187" s="658"/>
      <c r="D187" s="2080">
        <v>46136</v>
      </c>
      <c r="E187" s="661">
        <v>6.8225</v>
      </c>
      <c r="F187" s="2132" t="s">
        <v>2277</v>
      </c>
      <c r="G187" s="661" t="s">
        <v>1671</v>
      </c>
      <c r="H187" s="660" t="s">
        <v>2278</v>
      </c>
      <c r="I187" s="661" t="s">
        <v>1506</v>
      </c>
      <c r="J187" s="660" t="s">
        <v>2279</v>
      </c>
      <c r="K187" s="661"/>
      <c r="L187" s="661">
        <v>3.1</v>
      </c>
      <c r="M187" s="663">
        <f t="shared" si="54"/>
        <v>4.633289771935</v>
      </c>
      <c r="N187" s="663">
        <v>11.3</v>
      </c>
      <c r="O187" s="663">
        <f t="shared" si="55"/>
        <v>3.29791132282888</v>
      </c>
      <c r="P187" s="663"/>
      <c r="Q187" s="663">
        <f t="shared" si="56"/>
        <v>22.3312010947639</v>
      </c>
      <c r="R187" s="2154"/>
      <c r="S187" s="658"/>
      <c r="T187" s="1755"/>
      <c r="X187" s="1977"/>
      <c r="AC187" s="1977"/>
    </row>
    <row r="188" s="1930" customFormat="1" ht="16" hidden="1" customHeight="1" spans="1:29">
      <c r="A188" s="1930">
        <v>88</v>
      </c>
      <c r="B188" s="658"/>
      <c r="C188" s="658"/>
      <c r="D188" s="2080">
        <v>46091</v>
      </c>
      <c r="E188" s="661">
        <v>6.9264</v>
      </c>
      <c r="F188" s="2132" t="s">
        <v>2280</v>
      </c>
      <c r="G188" s="661" t="s">
        <v>1669</v>
      </c>
      <c r="H188" s="660" t="s">
        <v>2270</v>
      </c>
      <c r="I188" s="661" t="s">
        <v>1506</v>
      </c>
      <c r="J188" s="660" t="s">
        <v>1552</v>
      </c>
      <c r="K188" s="661" t="s">
        <v>712</v>
      </c>
      <c r="L188" s="661" t="s">
        <v>1507</v>
      </c>
      <c r="M188" s="663">
        <f t="shared" si="54"/>
        <v>4.56378774962846</v>
      </c>
      <c r="N188" s="663">
        <v>11.1</v>
      </c>
      <c r="O188" s="663">
        <f t="shared" si="55"/>
        <v>3.24844074844075</v>
      </c>
      <c r="P188" s="663"/>
      <c r="Q188" s="663">
        <f t="shared" si="56"/>
        <v>18.9122284980692</v>
      </c>
      <c r="R188" s="2154" t="s">
        <v>1526</v>
      </c>
      <c r="S188" s="658" t="s">
        <v>2281</v>
      </c>
      <c r="T188" s="1755"/>
      <c r="X188" s="1977"/>
      <c r="AC188" s="1977"/>
    </row>
    <row r="189" s="1930" customFormat="1" ht="16" hidden="1" customHeight="1" spans="1:29">
      <c r="A189" s="1930">
        <v>89</v>
      </c>
      <c r="B189" s="658"/>
      <c r="C189" s="658"/>
      <c r="D189" s="661">
        <v>20250613</v>
      </c>
      <c r="E189" s="661">
        <v>7.13</v>
      </c>
      <c r="F189" s="2132" t="s">
        <v>1634</v>
      </c>
      <c r="G189" s="661" t="s">
        <v>1617</v>
      </c>
      <c r="H189" s="660" t="s">
        <v>2282</v>
      </c>
      <c r="I189" s="661" t="s">
        <v>1594</v>
      </c>
      <c r="J189" s="660" t="s">
        <v>1635</v>
      </c>
      <c r="K189" s="661" t="s">
        <v>712</v>
      </c>
      <c r="L189" s="661" t="s">
        <v>1507</v>
      </c>
      <c r="M189" s="663">
        <f t="shared" si="54"/>
        <v>4.43346696620288</v>
      </c>
      <c r="N189" s="663">
        <v>13.9714538843817</v>
      </c>
      <c r="O189" s="663">
        <f t="shared" si="55"/>
        <v>3.15568022440393</v>
      </c>
      <c r="P189" s="663"/>
      <c r="Q189" s="663">
        <f t="shared" si="56"/>
        <v>21.5606010749885</v>
      </c>
      <c r="R189" s="2154" t="s">
        <v>1526</v>
      </c>
      <c r="S189" s="658" t="s">
        <v>2271</v>
      </c>
      <c r="T189" s="1755"/>
      <c r="X189" s="1977"/>
      <c r="AC189" s="1977"/>
    </row>
    <row r="190" s="1930" customFormat="1" ht="16" hidden="1" customHeight="1" spans="1:29">
      <c r="A190" s="1930">
        <v>90</v>
      </c>
      <c r="B190" s="658"/>
      <c r="C190" s="658"/>
      <c r="D190" s="661">
        <v>20250613</v>
      </c>
      <c r="E190" s="661">
        <v>7.13</v>
      </c>
      <c r="F190" s="2132" t="s">
        <v>2283</v>
      </c>
      <c r="G190" s="661" t="s">
        <v>1629</v>
      </c>
      <c r="H190" s="660" t="s">
        <v>2282</v>
      </c>
      <c r="I190" s="661" t="s">
        <v>1511</v>
      </c>
      <c r="J190" s="660" t="s">
        <v>1637</v>
      </c>
      <c r="K190" s="661" t="s">
        <v>712</v>
      </c>
      <c r="L190" s="661" t="s">
        <v>1507</v>
      </c>
      <c r="M190" s="663">
        <f t="shared" si="54"/>
        <v>4.43346696620288</v>
      </c>
      <c r="N190" s="663">
        <v>13.2099553941386</v>
      </c>
      <c r="O190" s="663">
        <f t="shared" si="55"/>
        <v>3.15568022440393</v>
      </c>
      <c r="P190" s="663"/>
      <c r="Q190" s="663">
        <f t="shared" si="56"/>
        <v>20.7991025847454</v>
      </c>
      <c r="R190" s="2154" t="s">
        <v>1526</v>
      </c>
      <c r="S190" s="658" t="s">
        <v>2271</v>
      </c>
      <c r="T190" s="1755"/>
      <c r="X190" s="1977"/>
      <c r="AC190" s="1977"/>
    </row>
    <row r="191" s="1930" customFormat="1" ht="16" hidden="1" customHeight="1" spans="1:29">
      <c r="B191" s="658"/>
      <c r="C191" s="658"/>
      <c r="D191" s="2080">
        <v>46283</v>
      </c>
      <c r="E191" s="661">
        <v>6.7</v>
      </c>
      <c r="F191" s="2132" t="s">
        <v>2284</v>
      </c>
      <c r="G191" s="2156" t="s">
        <v>1669</v>
      </c>
      <c r="H191" s="660"/>
      <c r="I191" s="661"/>
      <c r="J191" s="660"/>
      <c r="K191" s="661"/>
      <c r="L191" s="661"/>
      <c r="M191" s="320">
        <f>43.58/6.73/1.13</f>
        <v>5.73051585162198</v>
      </c>
      <c r="N191" s="663">
        <f>23.2+3.34</f>
        <v>26.54</v>
      </c>
      <c r="O191" s="320">
        <f>23.5/E191</f>
        <v>3.50746268656716</v>
      </c>
      <c r="P191" s="320"/>
      <c r="Q191" s="663">
        <f t="shared" si="56"/>
        <v>35.7779785381891</v>
      </c>
      <c r="R191" s="2154" t="s">
        <v>2285</v>
      </c>
      <c r="S191" s="658" t="s">
        <v>2286</v>
      </c>
      <c r="T191" s="1755"/>
      <c r="X191" s="1977"/>
      <c r="AC191" s="1977"/>
    </row>
    <row r="192" s="1930" customFormat="1" ht="16" hidden="1" customHeight="1" spans="1:29">
      <c r="B192" s="266" t="s">
        <v>1394</v>
      </c>
      <c r="C192" s="658"/>
      <c r="D192" s="2080"/>
      <c r="E192" s="661">
        <v>6.7</v>
      </c>
      <c r="F192" s="1975" t="s">
        <v>2287</v>
      </c>
      <c r="G192" s="219" t="s">
        <v>1604</v>
      </c>
      <c r="H192" s="660"/>
      <c r="I192" s="661"/>
      <c r="J192" s="219" t="s">
        <v>1428</v>
      </c>
      <c r="K192" s="219" t="s">
        <v>712</v>
      </c>
      <c r="L192" s="219" t="s">
        <v>1428</v>
      </c>
      <c r="M192" s="320">
        <f>43.98/E192/1.13</f>
        <v>5.80900805705983</v>
      </c>
      <c r="N192" s="320">
        <v>27.3</v>
      </c>
      <c r="O192" s="320">
        <f>23.5/E192</f>
        <v>3.50746268656716</v>
      </c>
      <c r="P192" s="320"/>
      <c r="Q192" s="320">
        <f t="shared" si="56"/>
        <v>36.616470743627</v>
      </c>
      <c r="R192" s="433" t="s">
        <v>1968</v>
      </c>
      <c r="S192" s="266" t="s">
        <v>2288</v>
      </c>
      <c r="T192" s="1755"/>
      <c r="X192" s="1977"/>
      <c r="AC192" s="1977"/>
    </row>
    <row r="193" s="1930" customFormat="1" ht="16" hidden="1" customHeight="1" spans="1:29">
      <c r="B193" s="2157" t="s">
        <v>1394</v>
      </c>
      <c r="C193" s="658"/>
      <c r="D193" s="2080"/>
      <c r="E193" s="661">
        <v>6.7</v>
      </c>
      <c r="F193" s="1975" t="s">
        <v>2289</v>
      </c>
      <c r="G193" s="219" t="s">
        <v>1671</v>
      </c>
      <c r="H193" s="660"/>
      <c r="I193" s="661"/>
      <c r="J193" s="219" t="s">
        <v>1428</v>
      </c>
      <c r="K193" s="219" t="s">
        <v>712</v>
      </c>
      <c r="L193" s="219" t="s">
        <v>1428</v>
      </c>
      <c r="M193" s="320">
        <f>43.98/E193/1.13</f>
        <v>5.80900805705983</v>
      </c>
      <c r="N193" s="320">
        <f>28.62+3.34</f>
        <v>31.96</v>
      </c>
      <c r="O193" s="320">
        <f>24/E193</f>
        <v>3.58208955223881</v>
      </c>
      <c r="P193" s="320"/>
      <c r="Q193" s="320">
        <f t="shared" si="56"/>
        <v>41.3510976092986</v>
      </c>
      <c r="R193" s="433" t="s">
        <v>2290</v>
      </c>
      <c r="S193" s="266" t="s">
        <v>2291</v>
      </c>
      <c r="T193" s="1755"/>
      <c r="X193" s="1977"/>
      <c r="AC193" s="1977"/>
    </row>
    <row r="194" s="1744" customFormat="1" ht="16" hidden="1" customHeight="1" spans="1:29">
      <c r="A194" s="839">
        <v>91</v>
      </c>
      <c r="B194" s="266" t="s">
        <v>1394</v>
      </c>
      <c r="C194" s="2158"/>
      <c r="D194" s="2159">
        <v>20250910</v>
      </c>
      <c r="E194" s="661">
        <v>6.72</v>
      </c>
      <c r="F194" s="1975" t="s">
        <v>2292</v>
      </c>
      <c r="G194" s="2160" t="s">
        <v>1551</v>
      </c>
      <c r="H194" s="2161" t="s">
        <v>2282</v>
      </c>
      <c r="I194" s="219"/>
      <c r="J194" s="219" t="s">
        <v>1428</v>
      </c>
      <c r="K194" s="219" t="s">
        <v>712</v>
      </c>
      <c r="L194" s="219" t="s">
        <v>1428</v>
      </c>
      <c r="M194" s="320">
        <f>43.58/6.73/1.13</f>
        <v>5.73051585162198</v>
      </c>
      <c r="N194" s="320">
        <v>24.72</v>
      </c>
      <c r="O194" s="320">
        <f>22/E194</f>
        <v>3.27380952380952</v>
      </c>
      <c r="P194" s="320"/>
      <c r="Q194" s="320">
        <f t="shared" si="56"/>
        <v>33.7243253754315</v>
      </c>
      <c r="R194" s="281" t="s">
        <v>1526</v>
      </c>
      <c r="S194" s="266"/>
      <c r="T194" s="1755"/>
    </row>
    <row r="195" s="1744" customFormat="1" ht="16" hidden="1" customHeight="1" spans="1:29">
      <c r="A195" s="839"/>
      <c r="B195" s="2157" t="s">
        <v>1394</v>
      </c>
      <c r="C195" s="266"/>
      <c r="D195" s="2081"/>
      <c r="E195" s="219">
        <v>6.78</v>
      </c>
      <c r="F195" s="2132" t="s">
        <v>2293</v>
      </c>
      <c r="G195" s="227"/>
      <c r="H195" s="245"/>
      <c r="I195" s="219"/>
      <c r="J195" s="219"/>
      <c r="K195" s="219"/>
      <c r="L195" s="219"/>
      <c r="M195" s="320"/>
      <c r="N195" s="320">
        <v>23.5</v>
      </c>
      <c r="O195" s="320">
        <f>22/E195</f>
        <v>3.24483775811209</v>
      </c>
      <c r="P195" s="320"/>
      <c r="Q195" s="320">
        <f t="shared" si="56"/>
        <v>26.7448377581121</v>
      </c>
      <c r="R195" s="281"/>
      <c r="S195" s="266"/>
      <c r="T195" s="1755"/>
    </row>
    <row r="196" s="1744" customFormat="1" ht="16" hidden="1" customHeight="1" spans="1:29">
      <c r="A196" s="839"/>
      <c r="B196" s="266" t="s">
        <v>1355</v>
      </c>
      <c r="C196" s="266"/>
      <c r="D196" s="2081"/>
      <c r="E196" s="219">
        <v>6.78</v>
      </c>
      <c r="F196" s="2132" t="s">
        <v>2294</v>
      </c>
      <c r="G196" s="227"/>
      <c r="H196" s="245"/>
      <c r="I196" s="219"/>
      <c r="J196" s="219"/>
      <c r="K196" s="219"/>
      <c r="L196" s="219"/>
      <c r="M196" s="320"/>
      <c r="N196" s="320">
        <v>8.2</v>
      </c>
      <c r="O196" s="320">
        <f>6/E196</f>
        <v>0.884955752212389</v>
      </c>
      <c r="P196" s="320"/>
      <c r="Q196" s="320">
        <f t="shared" si="56"/>
        <v>9.08495575221239</v>
      </c>
      <c r="R196" s="281"/>
      <c r="S196" s="266"/>
      <c r="T196" s="1755"/>
    </row>
    <row r="197" s="1744" customFormat="1" ht="16" hidden="1" customHeight="1" spans="1:29">
      <c r="A197" s="839"/>
      <c r="B197" s="266" t="s">
        <v>1355</v>
      </c>
      <c r="C197" s="266"/>
      <c r="D197" s="2081"/>
      <c r="E197" s="219">
        <v>6.78</v>
      </c>
      <c r="F197" s="2132" t="s">
        <v>2295</v>
      </c>
      <c r="G197" s="227"/>
      <c r="H197" s="245"/>
      <c r="I197" s="219"/>
      <c r="J197" s="219"/>
      <c r="K197" s="219"/>
      <c r="L197" s="219"/>
      <c r="M197" s="320"/>
      <c r="N197" s="320">
        <v>1.9</v>
      </c>
      <c r="O197" s="320">
        <v>0.3</v>
      </c>
      <c r="P197" s="320"/>
      <c r="Q197" s="320">
        <f t="shared" si="56"/>
        <v>2.2</v>
      </c>
      <c r="R197" s="281"/>
      <c r="S197" s="266"/>
      <c r="T197" s="1755"/>
    </row>
    <row r="198" s="1744" customFormat="1" ht="16" hidden="1" customHeight="1" spans="1:29">
      <c r="A198" s="839"/>
      <c r="B198" s="266"/>
      <c r="C198" s="266"/>
      <c r="D198" s="2081"/>
      <c r="E198" s="219"/>
      <c r="F198" s="2130" t="s">
        <v>1979</v>
      </c>
      <c r="G198" s="227"/>
      <c r="H198" s="245"/>
      <c r="I198" s="227"/>
      <c r="J198" s="227"/>
      <c r="K198" s="227"/>
      <c r="L198" s="227"/>
      <c r="M198" s="320"/>
      <c r="N198" s="320"/>
      <c r="O198" s="320"/>
      <c r="P198" s="320"/>
      <c r="Q198" s="320"/>
      <c r="R198" s="281"/>
      <c r="S198" s="266"/>
      <c r="T198" s="1755"/>
    </row>
    <row r="199" s="1744" customFormat="1" ht="16" hidden="1" customHeight="1" spans="1:29">
      <c r="A199" s="839">
        <v>92</v>
      </c>
      <c r="B199" s="266" t="s">
        <v>2296</v>
      </c>
      <c r="C199" s="266" t="s">
        <v>2297</v>
      </c>
      <c r="D199" s="2081">
        <v>46080</v>
      </c>
      <c r="E199" s="219">
        <v>6.7851</v>
      </c>
      <c r="F199" s="2132" t="s">
        <v>2298</v>
      </c>
      <c r="G199" s="227" t="s">
        <v>1645</v>
      </c>
      <c r="H199" s="245" t="s">
        <v>2282</v>
      </c>
      <c r="I199" s="227" t="s">
        <v>1594</v>
      </c>
      <c r="J199" s="227" t="s">
        <v>1507</v>
      </c>
      <c r="K199" s="227" t="s">
        <v>712</v>
      </c>
      <c r="L199" s="227"/>
      <c r="M199" s="320">
        <f>35.99/E199/1.13</f>
        <v>4.6940439377642</v>
      </c>
      <c r="N199" s="320">
        <v>13.16</v>
      </c>
      <c r="O199" s="320">
        <f>20.1/E199</f>
        <v>2.96237343591104</v>
      </c>
      <c r="P199" s="320"/>
      <c r="Q199" s="320">
        <f>SUBTOTAL(9,J199:O199)</f>
        <v>20.8164173736752</v>
      </c>
      <c r="R199" s="281" t="s">
        <v>1526</v>
      </c>
      <c r="S199" s="266" t="s">
        <v>2299</v>
      </c>
      <c r="T199" s="1755"/>
    </row>
    <row r="200" s="1744" customFormat="1" ht="16" hidden="1" customHeight="1" spans="1:29">
      <c r="A200" s="839">
        <v>93</v>
      </c>
      <c r="B200" s="658" t="s">
        <v>2296</v>
      </c>
      <c r="C200" s="658"/>
      <c r="D200" s="661">
        <v>20250910</v>
      </c>
      <c r="E200" s="661">
        <v>7.13</v>
      </c>
      <c r="F200" s="2132" t="s">
        <v>1979</v>
      </c>
      <c r="G200" s="227" t="s">
        <v>1551</v>
      </c>
      <c r="H200" s="245" t="s">
        <v>2282</v>
      </c>
      <c r="I200" s="227" t="s">
        <v>1511</v>
      </c>
      <c r="J200" s="227" t="s">
        <v>1507</v>
      </c>
      <c r="K200" s="227" t="s">
        <v>712</v>
      </c>
      <c r="L200" s="227" t="s">
        <v>1507</v>
      </c>
      <c r="M200" s="231">
        <f>30.63/E200/1.13</f>
        <v>3.8017103352406</v>
      </c>
      <c r="N200" s="231">
        <v>15.157360578232</v>
      </c>
      <c r="O200" s="231">
        <v>5</v>
      </c>
      <c r="P200" s="231"/>
      <c r="Q200" s="231">
        <f>SUBTOTAL(9,J200:O200)</f>
        <v>23.9590709134726</v>
      </c>
      <c r="R200" s="281" t="s">
        <v>1526</v>
      </c>
      <c r="S200" s="226" t="s">
        <v>2300</v>
      </c>
      <c r="T200" s="1755"/>
    </row>
    <row r="201" s="42" customFormat="1" ht="16" hidden="1" customHeight="1" spans="1:29">
      <c r="A201" s="839">
        <v>94</v>
      </c>
      <c r="B201" s="226" t="s">
        <v>2301</v>
      </c>
      <c r="C201" s="226"/>
      <c r="D201" s="227"/>
      <c r="E201" s="227">
        <v>7.17</v>
      </c>
      <c r="F201" s="2132" t="s">
        <v>1979</v>
      </c>
      <c r="G201" s="227" t="s">
        <v>1604</v>
      </c>
      <c r="H201" s="227"/>
      <c r="I201" s="227" t="s">
        <v>2082</v>
      </c>
      <c r="J201" s="227" t="s">
        <v>1428</v>
      </c>
      <c r="K201" s="2162" t="s">
        <v>712</v>
      </c>
      <c r="L201" s="256" t="s">
        <v>1428</v>
      </c>
      <c r="M201" s="231">
        <v>4.5365199504328</v>
      </c>
      <c r="N201" s="232">
        <v>25.2545024000151</v>
      </c>
      <c r="O201" s="231">
        <f t="shared" ref="O201:O230" si="57">27.23/E201/1.13</f>
        <v>3.36085706174942</v>
      </c>
      <c r="P201" s="231"/>
      <c r="Q201" s="231">
        <f t="shared" ref="Q201:Q243" si="58">SUM(K201:O201)</f>
        <v>33.1518794121973</v>
      </c>
      <c r="R201" s="226" t="s">
        <v>1526</v>
      </c>
      <c r="S201" s="226" t="s">
        <v>2302</v>
      </c>
      <c r="T201" s="804"/>
      <c r="U201" s="1170" t="s">
        <v>1406</v>
      </c>
      <c r="X201" s="2163"/>
      <c r="AA201" s="839"/>
      <c r="AB201" s="839"/>
      <c r="AC201" s="1940"/>
    </row>
    <row r="202" s="42" customFormat="1" ht="16" hidden="1" customHeight="1" spans="1:29">
      <c r="A202" s="839">
        <v>95</v>
      </c>
      <c r="B202" s="226"/>
      <c r="C202" s="226"/>
      <c r="D202" s="227"/>
      <c r="E202" s="227">
        <v>7.17</v>
      </c>
      <c r="F202" s="2132" t="s">
        <v>1979</v>
      </c>
      <c r="G202" s="227" t="s">
        <v>1685</v>
      </c>
      <c r="H202" s="227"/>
      <c r="I202" s="245" t="s">
        <v>2303</v>
      </c>
      <c r="J202" s="227" t="s">
        <v>1428</v>
      </c>
      <c r="K202" s="507" t="s">
        <v>712</v>
      </c>
      <c r="L202" s="256" t="s">
        <v>1428</v>
      </c>
      <c r="M202" s="231">
        <v>4.5365199504328</v>
      </c>
      <c r="N202" s="232">
        <v>28.66</v>
      </c>
      <c r="O202" s="231">
        <f t="shared" si="57"/>
        <v>3.36085706174942</v>
      </c>
      <c r="P202" s="231"/>
      <c r="Q202" s="231">
        <f t="shared" si="58"/>
        <v>36.5573770121822</v>
      </c>
      <c r="R202" s="226" t="s">
        <v>1526</v>
      </c>
      <c r="S202" s="226" t="s">
        <v>2302</v>
      </c>
      <c r="T202" s="804"/>
      <c r="U202" s="1170" t="s">
        <v>1406</v>
      </c>
      <c r="X202" s="2163"/>
      <c r="AA202" s="839"/>
      <c r="AB202" s="839"/>
      <c r="AC202" s="1940"/>
    </row>
    <row r="203" s="42" customFormat="1" ht="16" hidden="1" customHeight="1" spans="1:29">
      <c r="A203" s="839">
        <v>96</v>
      </c>
      <c r="B203" s="226"/>
      <c r="C203" s="226"/>
      <c r="D203" s="227"/>
      <c r="E203" s="227">
        <v>7.17</v>
      </c>
      <c r="F203" s="2132" t="s">
        <v>1979</v>
      </c>
      <c r="G203" s="227" t="s">
        <v>1998</v>
      </c>
      <c r="H203" s="227"/>
      <c r="I203" s="227" t="s">
        <v>2304</v>
      </c>
      <c r="J203" s="227" t="s">
        <v>1428</v>
      </c>
      <c r="K203" s="256" t="s">
        <v>712</v>
      </c>
      <c r="L203" s="256" t="s">
        <v>1428</v>
      </c>
      <c r="M203" s="231">
        <v>4.5365199504328</v>
      </c>
      <c r="N203" s="232">
        <v>28.5004530974009</v>
      </c>
      <c r="O203" s="231">
        <f t="shared" si="57"/>
        <v>3.36085706174942</v>
      </c>
      <c r="P203" s="231"/>
      <c r="Q203" s="231">
        <f t="shared" si="58"/>
        <v>36.3978301095831</v>
      </c>
      <c r="R203" s="226" t="s">
        <v>1526</v>
      </c>
      <c r="S203" s="226" t="s">
        <v>2305</v>
      </c>
      <c r="T203" s="804"/>
      <c r="U203" s="1170" t="s">
        <v>1406</v>
      </c>
      <c r="X203" s="2163"/>
      <c r="AA203" s="839"/>
      <c r="AB203" s="839"/>
      <c r="AC203" s="1940"/>
    </row>
    <row r="204" s="42" customFormat="1" ht="16" hidden="1" customHeight="1" spans="1:29">
      <c r="A204" s="839">
        <v>97</v>
      </c>
      <c r="B204" s="226"/>
      <c r="C204" s="226"/>
      <c r="D204" s="227"/>
      <c r="E204" s="227">
        <v>7.17</v>
      </c>
      <c r="F204" s="2132" t="s">
        <v>1979</v>
      </c>
      <c r="G204" s="227" t="s">
        <v>2306</v>
      </c>
      <c r="H204" s="227"/>
      <c r="I204" s="227" t="s">
        <v>2307</v>
      </c>
      <c r="J204" s="227" t="s">
        <v>1428</v>
      </c>
      <c r="K204" s="256" t="s">
        <v>712</v>
      </c>
      <c r="L204" s="256" t="s">
        <v>1428</v>
      </c>
      <c r="M204" s="231">
        <v>4.5365199504328</v>
      </c>
      <c r="N204" s="232">
        <v>26.8075099312216</v>
      </c>
      <c r="O204" s="231">
        <f t="shared" si="57"/>
        <v>3.36085706174942</v>
      </c>
      <c r="P204" s="231"/>
      <c r="Q204" s="231">
        <f t="shared" si="58"/>
        <v>34.7048869434038</v>
      </c>
      <c r="R204" s="226" t="s">
        <v>1526</v>
      </c>
      <c r="S204" s="226" t="s">
        <v>2305</v>
      </c>
      <c r="T204" s="804"/>
      <c r="U204" s="1170" t="s">
        <v>1406</v>
      </c>
      <c r="X204" s="2163"/>
      <c r="AA204" s="839"/>
      <c r="AB204" s="839"/>
      <c r="AC204" s="1940"/>
    </row>
    <row r="205" s="42" customFormat="1" ht="16" hidden="1" customHeight="1" spans="1:29">
      <c r="A205" s="839">
        <v>98</v>
      </c>
      <c r="B205" s="226"/>
      <c r="C205" s="226"/>
      <c r="D205" s="227">
        <v>20240125</v>
      </c>
      <c r="E205" s="227">
        <v>7.17</v>
      </c>
      <c r="F205" s="2132" t="s">
        <v>2308</v>
      </c>
      <c r="G205" s="227" t="s">
        <v>1667</v>
      </c>
      <c r="H205" s="227"/>
      <c r="I205" s="227" t="s">
        <v>2082</v>
      </c>
      <c r="J205" s="227" t="s">
        <v>1428</v>
      </c>
      <c r="K205" s="2162" t="s">
        <v>712</v>
      </c>
      <c r="L205" s="256" t="s">
        <v>1428</v>
      </c>
      <c r="M205" s="232">
        <v>4.5365199504328</v>
      </c>
      <c r="N205" s="232">
        <v>23.516403337578</v>
      </c>
      <c r="O205" s="231">
        <f t="shared" si="57"/>
        <v>3.36085706174942</v>
      </c>
      <c r="P205" s="231"/>
      <c r="Q205" s="231">
        <f t="shared" si="58"/>
        <v>31.4137803497602</v>
      </c>
      <c r="R205" s="226" t="s">
        <v>1526</v>
      </c>
      <c r="S205" s="226" t="s">
        <v>2309</v>
      </c>
      <c r="T205" s="804"/>
      <c r="U205" s="1170"/>
      <c r="X205" s="2163"/>
      <c r="AA205" s="839"/>
      <c r="AB205" s="839"/>
      <c r="AC205" s="1940"/>
    </row>
    <row r="206" s="42" customFormat="1" ht="16" hidden="1" customHeight="1" spans="1:29">
      <c r="A206" s="839">
        <v>99</v>
      </c>
      <c r="B206" s="226"/>
      <c r="C206" s="226"/>
      <c r="D206" s="227">
        <v>20240625</v>
      </c>
      <c r="E206" s="227">
        <v>7.17</v>
      </c>
      <c r="F206" s="2132" t="s">
        <v>2310</v>
      </c>
      <c r="G206" s="227" t="s">
        <v>2311</v>
      </c>
      <c r="H206" s="227"/>
      <c r="I206" s="227" t="s">
        <v>2303</v>
      </c>
      <c r="J206" s="227" t="s">
        <v>1428</v>
      </c>
      <c r="K206" s="507" t="s">
        <v>712</v>
      </c>
      <c r="L206" s="227" t="s">
        <v>1428</v>
      </c>
      <c r="M206" s="232">
        <v>4.5365199504328</v>
      </c>
      <c r="N206" s="232">
        <v>25.8864653063622</v>
      </c>
      <c r="O206" s="231">
        <f t="shared" si="57"/>
        <v>3.36085706174942</v>
      </c>
      <c r="P206" s="231"/>
      <c r="Q206" s="231">
        <f t="shared" si="58"/>
        <v>33.7838423185444</v>
      </c>
      <c r="R206" s="226" t="s">
        <v>1526</v>
      </c>
      <c r="S206" s="226" t="s">
        <v>2312</v>
      </c>
      <c r="T206" s="804"/>
      <c r="U206" s="120" t="s">
        <v>1406</v>
      </c>
      <c r="X206" s="2163"/>
      <c r="AA206" s="839"/>
      <c r="AB206" s="839"/>
      <c r="AC206" s="1940"/>
    </row>
    <row r="207" s="42" customFormat="1" ht="16" hidden="1" customHeight="1" spans="1:29">
      <c r="A207" s="839">
        <v>100</v>
      </c>
      <c r="B207" s="226"/>
      <c r="C207" s="226"/>
      <c r="D207" s="227">
        <v>20240625</v>
      </c>
      <c r="E207" s="227">
        <v>7.17</v>
      </c>
      <c r="F207" s="2132" t="s">
        <v>2313</v>
      </c>
      <c r="G207" s="227" t="s">
        <v>2314</v>
      </c>
      <c r="H207" s="227"/>
      <c r="I207" s="227" t="s">
        <v>2315</v>
      </c>
      <c r="J207" s="227" t="s">
        <v>1428</v>
      </c>
      <c r="K207" s="509" t="s">
        <v>712</v>
      </c>
      <c r="L207" s="227" t="s">
        <v>1428</v>
      </c>
      <c r="M207" s="232">
        <v>4.5365199504328</v>
      </c>
      <c r="N207" s="232">
        <v>25.8697831661163</v>
      </c>
      <c r="O207" s="231">
        <f t="shared" si="57"/>
        <v>3.36085706174942</v>
      </c>
      <c r="P207" s="231"/>
      <c r="Q207" s="231">
        <f t="shared" si="58"/>
        <v>33.7671601782985</v>
      </c>
      <c r="R207" s="226" t="s">
        <v>1526</v>
      </c>
      <c r="S207" s="226" t="s">
        <v>2312</v>
      </c>
      <c r="T207" s="804"/>
      <c r="U207" s="120" t="s">
        <v>1406</v>
      </c>
      <c r="X207" s="2163"/>
      <c r="AA207" s="839"/>
      <c r="AB207" s="839"/>
      <c r="AC207" s="1940"/>
    </row>
    <row r="208" s="42" customFormat="1" ht="16" hidden="1" customHeight="1" spans="1:29">
      <c r="A208" s="839">
        <v>101</v>
      </c>
      <c r="B208" s="226"/>
      <c r="C208" s="226"/>
      <c r="D208" s="227"/>
      <c r="E208" s="227">
        <v>7.17</v>
      </c>
      <c r="F208" s="2132" t="s">
        <v>1979</v>
      </c>
      <c r="G208" s="227" t="s">
        <v>1723</v>
      </c>
      <c r="H208" s="227"/>
      <c r="I208" s="227" t="s">
        <v>2082</v>
      </c>
      <c r="J208" s="227" t="s">
        <v>1428</v>
      </c>
      <c r="K208" s="2162" t="s">
        <v>712</v>
      </c>
      <c r="L208" s="256" t="s">
        <v>1428</v>
      </c>
      <c r="M208" s="232">
        <v>4.5365199504328</v>
      </c>
      <c r="N208" s="232">
        <v>24.4462712053334</v>
      </c>
      <c r="O208" s="231">
        <f t="shared" si="57"/>
        <v>3.36085706174942</v>
      </c>
      <c r="P208" s="231"/>
      <c r="Q208" s="231">
        <f t="shared" si="58"/>
        <v>32.3436482175156</v>
      </c>
      <c r="R208" s="226" t="s">
        <v>1526</v>
      </c>
      <c r="S208" s="226" t="s">
        <v>2316</v>
      </c>
      <c r="T208" s="804"/>
      <c r="U208" s="120" t="s">
        <v>1406</v>
      </c>
      <c r="X208" s="2163"/>
      <c r="AA208" s="839"/>
      <c r="AB208" s="839"/>
      <c r="AC208" s="1940"/>
    </row>
    <row r="209" s="42" customFormat="1" ht="16" hidden="1" customHeight="1" spans="1:29">
      <c r="A209" s="839">
        <v>102</v>
      </c>
      <c r="B209" s="226"/>
      <c r="C209" s="226"/>
      <c r="D209" s="227"/>
      <c r="E209" s="227">
        <v>7.17</v>
      </c>
      <c r="F209" s="2132" t="s">
        <v>1979</v>
      </c>
      <c r="G209" s="227" t="s">
        <v>1593</v>
      </c>
      <c r="H209" s="227"/>
      <c r="I209" s="227" t="s">
        <v>2315</v>
      </c>
      <c r="J209" s="227" t="s">
        <v>1428</v>
      </c>
      <c r="K209" s="509" t="s">
        <v>712</v>
      </c>
      <c r="L209" s="256" t="s">
        <v>1428</v>
      </c>
      <c r="M209" s="231">
        <v>4.5365199504328</v>
      </c>
      <c r="N209" s="232">
        <v>27.187011684351</v>
      </c>
      <c r="O209" s="231">
        <f t="shared" si="57"/>
        <v>3.36085706174942</v>
      </c>
      <c r="P209" s="231"/>
      <c r="Q209" s="231">
        <f t="shared" si="58"/>
        <v>35.0843886965332</v>
      </c>
      <c r="R209" s="226" t="s">
        <v>1526</v>
      </c>
      <c r="S209" s="226" t="s">
        <v>2305</v>
      </c>
      <c r="T209" s="804"/>
      <c r="X209" s="2163"/>
      <c r="AA209" s="839"/>
      <c r="AB209" s="839"/>
      <c r="AC209" s="1940"/>
    </row>
    <row r="210" s="42" customFormat="1" ht="16" hidden="1" customHeight="1" spans="1:29">
      <c r="A210" s="839">
        <v>103</v>
      </c>
      <c r="B210" s="226"/>
      <c r="C210" s="226"/>
      <c r="D210" s="227"/>
      <c r="E210" s="227">
        <v>7.17</v>
      </c>
      <c r="F210" s="2132" t="s">
        <v>1979</v>
      </c>
      <c r="G210" s="227" t="s">
        <v>1525</v>
      </c>
      <c r="H210" s="227"/>
      <c r="I210" s="245" t="s">
        <v>2317</v>
      </c>
      <c r="J210" s="227" t="s">
        <v>1428</v>
      </c>
      <c r="K210" s="247" t="s">
        <v>712</v>
      </c>
      <c r="L210" s="256" t="s">
        <v>1428</v>
      </c>
      <c r="M210" s="231">
        <v>4.5365199504328</v>
      </c>
      <c r="N210" s="232">
        <v>25.0662026976254</v>
      </c>
      <c r="O210" s="231">
        <f t="shared" si="57"/>
        <v>3.36085706174942</v>
      </c>
      <c r="P210" s="231"/>
      <c r="Q210" s="231">
        <f t="shared" si="58"/>
        <v>32.9635797098076</v>
      </c>
      <c r="R210" s="226" t="s">
        <v>1526</v>
      </c>
      <c r="S210" s="226" t="s">
        <v>2305</v>
      </c>
      <c r="T210" s="804"/>
      <c r="X210" s="2163"/>
      <c r="AA210" s="839"/>
      <c r="AB210" s="839"/>
      <c r="AC210" s="1940"/>
    </row>
    <row r="211" s="42" customFormat="1" ht="16" hidden="1" customHeight="1" spans="1:29">
      <c r="A211" s="839">
        <v>104</v>
      </c>
      <c r="B211" s="226"/>
      <c r="C211" s="226"/>
      <c r="D211" s="227"/>
      <c r="E211" s="227">
        <v>7.17</v>
      </c>
      <c r="F211" s="2132" t="s">
        <v>1979</v>
      </c>
      <c r="G211" s="227" t="s">
        <v>667</v>
      </c>
      <c r="H211" s="227"/>
      <c r="I211" s="227" t="s">
        <v>2304</v>
      </c>
      <c r="J211" s="227" t="s">
        <v>1428</v>
      </c>
      <c r="K211" s="256" t="s">
        <v>712</v>
      </c>
      <c r="L211" s="256" t="s">
        <v>1428</v>
      </c>
      <c r="M211" s="231">
        <v>4.5365199504328</v>
      </c>
      <c r="N211" s="232">
        <v>26.1196676300144</v>
      </c>
      <c r="O211" s="231">
        <f t="shared" si="57"/>
        <v>3.36085706174942</v>
      </c>
      <c r="P211" s="231"/>
      <c r="Q211" s="231">
        <f t="shared" si="58"/>
        <v>34.0170446421966</v>
      </c>
      <c r="R211" s="226" t="s">
        <v>1526</v>
      </c>
      <c r="S211" s="226" t="s">
        <v>2318</v>
      </c>
      <c r="T211" s="804"/>
      <c r="X211" s="2163"/>
      <c r="AA211" s="839"/>
      <c r="AB211" s="839"/>
      <c r="AC211" s="1940"/>
    </row>
    <row r="212" s="42" customFormat="1" ht="16" hidden="1" customHeight="1" spans="1:29">
      <c r="A212" s="839">
        <v>105</v>
      </c>
      <c r="B212" s="226"/>
      <c r="C212" s="226"/>
      <c r="D212" s="227">
        <v>20241220</v>
      </c>
      <c r="E212" s="227">
        <v>7.17</v>
      </c>
      <c r="F212" s="2132" t="s">
        <v>2319</v>
      </c>
      <c r="G212" s="227" t="s">
        <v>2320</v>
      </c>
      <c r="H212" s="227"/>
      <c r="I212" s="227" t="s">
        <v>2307</v>
      </c>
      <c r="J212" s="227"/>
      <c r="K212" s="256" t="s">
        <v>712</v>
      </c>
      <c r="L212" s="256"/>
      <c r="M212" s="232">
        <v>4.5365199504328</v>
      </c>
      <c r="N212" s="232">
        <v>21.5696314198929</v>
      </c>
      <c r="O212" s="231">
        <f t="shared" si="57"/>
        <v>3.36085706174942</v>
      </c>
      <c r="P212" s="231"/>
      <c r="Q212" s="231">
        <f t="shared" si="58"/>
        <v>29.4670084320751</v>
      </c>
      <c r="R212" s="226" t="s">
        <v>1526</v>
      </c>
      <c r="S212" s="226" t="s">
        <v>2321</v>
      </c>
      <c r="T212" s="804"/>
      <c r="X212" s="2163"/>
      <c r="AA212" s="839"/>
      <c r="AB212" s="839"/>
      <c r="AC212" s="1940"/>
    </row>
    <row r="213" s="42" customFormat="1" ht="16" hidden="1" customHeight="1" spans="1:29">
      <c r="A213" s="839">
        <v>106</v>
      </c>
      <c r="B213" s="226"/>
      <c r="C213" s="226"/>
      <c r="D213" s="227"/>
      <c r="E213" s="227">
        <v>7.17</v>
      </c>
      <c r="F213" s="2132" t="s">
        <v>1979</v>
      </c>
      <c r="G213" s="227" t="s">
        <v>2106</v>
      </c>
      <c r="H213" s="227"/>
      <c r="I213" s="227" t="s">
        <v>2082</v>
      </c>
      <c r="J213" s="227" t="s">
        <v>1428</v>
      </c>
      <c r="K213" s="2162" t="s">
        <v>712</v>
      </c>
      <c r="L213" s="256" t="s">
        <v>1428</v>
      </c>
      <c r="M213" s="231">
        <v>4.5365199504328</v>
      </c>
      <c r="N213" s="232">
        <v>23.6759020591595</v>
      </c>
      <c r="O213" s="231">
        <f t="shared" si="57"/>
        <v>3.36085706174942</v>
      </c>
      <c r="P213" s="231"/>
      <c r="Q213" s="231">
        <f t="shared" si="58"/>
        <v>31.5732790713417</v>
      </c>
      <c r="R213" s="226" t="s">
        <v>1526</v>
      </c>
      <c r="S213" s="226" t="s">
        <v>2318</v>
      </c>
      <c r="T213" s="804"/>
      <c r="X213" s="2163"/>
      <c r="AA213" s="839"/>
      <c r="AB213" s="839"/>
      <c r="AC213" s="1940"/>
    </row>
    <row r="214" s="42" customFormat="1" ht="16" hidden="1" customHeight="1" spans="1:29">
      <c r="A214" s="839">
        <v>107</v>
      </c>
      <c r="B214" s="226"/>
      <c r="C214" s="226"/>
      <c r="D214" s="227"/>
      <c r="E214" s="227">
        <v>7.17</v>
      </c>
      <c r="F214" s="2132" t="s">
        <v>1979</v>
      </c>
      <c r="G214" s="227" t="s">
        <v>2322</v>
      </c>
      <c r="H214" s="227"/>
      <c r="I214" s="227" t="s">
        <v>2323</v>
      </c>
      <c r="J214" s="227" t="s">
        <v>1428</v>
      </c>
      <c r="K214" s="256" t="s">
        <v>712</v>
      </c>
      <c r="L214" s="256" t="s">
        <v>1428</v>
      </c>
      <c r="M214" s="231">
        <v>4.5365199504328</v>
      </c>
      <c r="N214" s="232">
        <v>23.6267227087112</v>
      </c>
      <c r="O214" s="231">
        <f t="shared" si="57"/>
        <v>3.36085706174942</v>
      </c>
      <c r="P214" s="231"/>
      <c r="Q214" s="231">
        <f t="shared" si="58"/>
        <v>31.5240997208934</v>
      </c>
      <c r="R214" s="226" t="s">
        <v>1526</v>
      </c>
      <c r="S214" s="226" t="s">
        <v>2318</v>
      </c>
      <c r="T214" s="804"/>
      <c r="X214" s="2163"/>
      <c r="AA214" s="839"/>
      <c r="AB214" s="839"/>
      <c r="AC214" s="1940"/>
    </row>
    <row r="215" s="42" customFormat="1" ht="16" hidden="1" customHeight="1" spans="1:29">
      <c r="A215" s="839">
        <v>108</v>
      </c>
      <c r="B215" s="226"/>
      <c r="C215" s="226"/>
      <c r="D215" s="227">
        <v>20240109</v>
      </c>
      <c r="E215" s="227">
        <v>7.17</v>
      </c>
      <c r="F215" s="2132" t="s">
        <v>2324</v>
      </c>
      <c r="G215" s="227" t="s">
        <v>2325</v>
      </c>
      <c r="H215" s="227"/>
      <c r="I215" s="227" t="s">
        <v>2326</v>
      </c>
      <c r="J215" s="227" t="s">
        <v>1428</v>
      </c>
      <c r="K215" s="507" t="s">
        <v>712</v>
      </c>
      <c r="L215" s="256" t="s">
        <v>1428</v>
      </c>
      <c r="M215" s="232">
        <v>4.5365199504328</v>
      </c>
      <c r="N215" s="232">
        <v>24.7615491102071</v>
      </c>
      <c r="O215" s="231">
        <f t="shared" si="57"/>
        <v>3.36085706174942</v>
      </c>
      <c r="P215" s="231"/>
      <c r="Q215" s="231">
        <f t="shared" si="58"/>
        <v>32.6589261223893</v>
      </c>
      <c r="R215" s="226" t="s">
        <v>1526</v>
      </c>
      <c r="S215" s="226" t="s">
        <v>2327</v>
      </c>
      <c r="T215" s="804"/>
      <c r="X215" s="2163"/>
      <c r="AA215" s="839"/>
      <c r="AB215" s="839"/>
      <c r="AC215" s="1940"/>
    </row>
    <row r="216" s="42" customFormat="1" ht="16" hidden="1" customHeight="1" spans="1:29">
      <c r="A216" s="839">
        <v>109</v>
      </c>
      <c r="B216" s="226"/>
      <c r="C216" s="226"/>
      <c r="D216" s="227">
        <v>20240109</v>
      </c>
      <c r="E216" s="227">
        <v>7.17</v>
      </c>
      <c r="F216" s="2132" t="s">
        <v>2328</v>
      </c>
      <c r="G216" s="227" t="s">
        <v>2329</v>
      </c>
      <c r="H216" s="227"/>
      <c r="I216" s="245" t="s">
        <v>2330</v>
      </c>
      <c r="J216" s="227" t="s">
        <v>1428</v>
      </c>
      <c r="K216" s="256" t="s">
        <v>712</v>
      </c>
      <c r="L216" s="256" t="s">
        <v>1428</v>
      </c>
      <c r="M216" s="232">
        <v>4.5365199504328</v>
      </c>
      <c r="N216" s="232">
        <v>19.8466725354565</v>
      </c>
      <c r="O216" s="231">
        <f t="shared" si="57"/>
        <v>3.36085706174942</v>
      </c>
      <c r="P216" s="231"/>
      <c r="Q216" s="231">
        <f t="shared" si="58"/>
        <v>27.7440495476387</v>
      </c>
      <c r="R216" s="226" t="s">
        <v>1526</v>
      </c>
      <c r="S216" s="226" t="s">
        <v>2331</v>
      </c>
      <c r="T216" s="804"/>
      <c r="X216" s="2163"/>
      <c r="AA216" s="839"/>
      <c r="AB216" s="839"/>
      <c r="AC216" s="1940"/>
    </row>
    <row r="217" s="42" customFormat="1" ht="16" hidden="1" customHeight="1" spans="1:29">
      <c r="A217" s="839">
        <v>110</v>
      </c>
      <c r="B217" s="226"/>
      <c r="C217" s="226"/>
      <c r="D217" s="227">
        <v>20240514</v>
      </c>
      <c r="E217" s="227">
        <v>7.17</v>
      </c>
      <c r="F217" s="2132" t="s">
        <v>2332</v>
      </c>
      <c r="G217" s="227" t="s">
        <v>2333</v>
      </c>
      <c r="H217" s="227"/>
      <c r="I217" s="245" t="s">
        <v>2334</v>
      </c>
      <c r="J217" s="227" t="s">
        <v>1428</v>
      </c>
      <c r="K217" s="256" t="s">
        <v>712</v>
      </c>
      <c r="L217" s="256" t="s">
        <v>1428</v>
      </c>
      <c r="M217" s="232">
        <v>4.5365199504328</v>
      </c>
      <c r="N217" s="232">
        <v>25.419243604899</v>
      </c>
      <c r="O217" s="231">
        <f t="shared" si="57"/>
        <v>3.36085706174942</v>
      </c>
      <c r="P217" s="231"/>
      <c r="Q217" s="231">
        <f t="shared" si="58"/>
        <v>33.3166206170812</v>
      </c>
      <c r="R217" s="226" t="s">
        <v>1526</v>
      </c>
      <c r="S217" s="226" t="s">
        <v>2305</v>
      </c>
      <c r="T217" s="804"/>
      <c r="X217" s="2163"/>
      <c r="AA217" s="839"/>
      <c r="AB217" s="839"/>
      <c r="AC217" s="1940"/>
    </row>
    <row r="218" s="42" customFormat="1" ht="16" hidden="1" customHeight="1" spans="1:29">
      <c r="A218" s="839">
        <v>111</v>
      </c>
      <c r="B218" s="226"/>
      <c r="C218" s="226"/>
      <c r="D218" s="227">
        <v>20240514</v>
      </c>
      <c r="E218" s="227">
        <v>7.17</v>
      </c>
      <c r="F218" s="2132" t="s">
        <v>2335</v>
      </c>
      <c r="G218" s="227" t="s">
        <v>2336</v>
      </c>
      <c r="H218" s="227"/>
      <c r="I218" s="245" t="s">
        <v>2326</v>
      </c>
      <c r="J218" s="227" t="s">
        <v>1428</v>
      </c>
      <c r="K218" s="507" t="s">
        <v>712</v>
      </c>
      <c r="L218" s="256" t="s">
        <v>1428</v>
      </c>
      <c r="M218" s="232">
        <v>4.5365199504328</v>
      </c>
      <c r="N218" s="232">
        <v>23.7348068171417</v>
      </c>
      <c r="O218" s="231">
        <f t="shared" si="57"/>
        <v>3.36085706174942</v>
      </c>
      <c r="P218" s="231"/>
      <c r="Q218" s="231">
        <f t="shared" si="58"/>
        <v>31.6321838293239</v>
      </c>
      <c r="R218" s="226" t="s">
        <v>1526</v>
      </c>
      <c r="S218" s="226" t="s">
        <v>2305</v>
      </c>
      <c r="T218" s="804"/>
      <c r="X218" s="2163"/>
      <c r="AA218" s="839"/>
      <c r="AB218" s="839"/>
      <c r="AC218" s="1940"/>
    </row>
    <row r="219" s="42" customFormat="1" ht="16" hidden="1" customHeight="1" spans="1:29">
      <c r="A219" s="839">
        <v>112</v>
      </c>
      <c r="B219" s="226"/>
      <c r="C219" s="226"/>
      <c r="D219" s="227">
        <v>20240514</v>
      </c>
      <c r="E219" s="227">
        <v>7.17</v>
      </c>
      <c r="F219" s="2132" t="s">
        <v>2337</v>
      </c>
      <c r="G219" s="227" t="s">
        <v>1771</v>
      </c>
      <c r="H219" s="227"/>
      <c r="I219" s="245" t="s">
        <v>2338</v>
      </c>
      <c r="J219" s="227" t="s">
        <v>1428</v>
      </c>
      <c r="K219" s="227" t="s">
        <v>712</v>
      </c>
      <c r="L219" s="256" t="s">
        <v>1428</v>
      </c>
      <c r="M219" s="232">
        <v>4.5365199504328</v>
      </c>
      <c r="N219" s="232">
        <v>23.6872685586955</v>
      </c>
      <c r="O219" s="231">
        <f t="shared" si="57"/>
        <v>3.36085706174942</v>
      </c>
      <c r="P219" s="231"/>
      <c r="Q219" s="231">
        <f t="shared" si="58"/>
        <v>31.5846455708777</v>
      </c>
      <c r="R219" s="226" t="s">
        <v>1526</v>
      </c>
      <c r="S219" s="226" t="s">
        <v>2305</v>
      </c>
      <c r="T219" s="804"/>
      <c r="X219" s="2163"/>
      <c r="AA219" s="839"/>
      <c r="AB219" s="839"/>
      <c r="AC219" s="1940"/>
    </row>
    <row r="220" s="42" customFormat="1" ht="16" hidden="1" customHeight="1" spans="1:29">
      <c r="A220" s="839">
        <v>113</v>
      </c>
      <c r="B220" s="226"/>
      <c r="C220" s="226"/>
      <c r="D220" s="227">
        <v>20240514</v>
      </c>
      <c r="E220" s="227">
        <v>7.17</v>
      </c>
      <c r="F220" s="2132" t="s">
        <v>2339</v>
      </c>
      <c r="G220" s="227" t="s">
        <v>2340</v>
      </c>
      <c r="H220" s="227"/>
      <c r="I220" s="245" t="s">
        <v>2323</v>
      </c>
      <c r="J220" s="227" t="s">
        <v>1428</v>
      </c>
      <c r="K220" s="256" t="s">
        <v>712</v>
      </c>
      <c r="L220" s="256" t="s">
        <v>1428</v>
      </c>
      <c r="M220" s="232">
        <v>4.5365199504328</v>
      </c>
      <c r="N220" s="232">
        <v>21.9346429125312</v>
      </c>
      <c r="O220" s="231">
        <f t="shared" si="57"/>
        <v>3.36085706174942</v>
      </c>
      <c r="P220" s="231"/>
      <c r="Q220" s="231">
        <f t="shared" si="58"/>
        <v>29.8320199247134</v>
      </c>
      <c r="R220" s="226" t="s">
        <v>1526</v>
      </c>
      <c r="S220" s="226" t="s">
        <v>2305</v>
      </c>
      <c r="T220" s="804"/>
      <c r="X220" s="2163"/>
      <c r="AA220" s="839"/>
      <c r="AB220" s="839"/>
      <c r="AC220" s="1940"/>
    </row>
    <row r="221" s="42" customFormat="1" ht="16" hidden="1" customHeight="1" spans="1:29">
      <c r="A221" s="839">
        <v>114</v>
      </c>
      <c r="B221" s="226"/>
      <c r="C221" s="226"/>
      <c r="D221" s="227">
        <v>20240514</v>
      </c>
      <c r="E221" s="227">
        <v>7.17</v>
      </c>
      <c r="F221" s="2132" t="s">
        <v>1770</v>
      </c>
      <c r="G221" s="227" t="s">
        <v>2341</v>
      </c>
      <c r="H221" s="227"/>
      <c r="I221" s="245" t="s">
        <v>2342</v>
      </c>
      <c r="J221" s="227" t="s">
        <v>1428</v>
      </c>
      <c r="K221" s="247" t="s">
        <v>712</v>
      </c>
      <c r="L221" s="256" t="s">
        <v>1428</v>
      </c>
      <c r="M221" s="232">
        <v>4.5365199504328</v>
      </c>
      <c r="N221" s="232">
        <v>22.1881670619959</v>
      </c>
      <c r="O221" s="231">
        <f t="shared" si="57"/>
        <v>3.36085706174942</v>
      </c>
      <c r="P221" s="231"/>
      <c r="Q221" s="231">
        <f t="shared" si="58"/>
        <v>30.0855440741781</v>
      </c>
      <c r="R221" s="226" t="s">
        <v>1526</v>
      </c>
      <c r="S221" s="226" t="s">
        <v>2305</v>
      </c>
      <c r="T221" s="804"/>
      <c r="X221" s="2163"/>
      <c r="AA221" s="839"/>
      <c r="AB221" s="839"/>
      <c r="AC221" s="1940"/>
    </row>
    <row r="222" s="42" customFormat="1" ht="16" hidden="1" customHeight="1" spans="1:29">
      <c r="A222" s="839">
        <v>115</v>
      </c>
      <c r="B222" s="226"/>
      <c r="C222" s="226"/>
      <c r="D222" s="227">
        <v>20241113</v>
      </c>
      <c r="E222" s="227">
        <v>7.17</v>
      </c>
      <c r="F222" s="2132" t="s">
        <v>2343</v>
      </c>
      <c r="G222" s="227" t="s">
        <v>2344</v>
      </c>
      <c r="H222" s="227"/>
      <c r="I222" s="245" t="s">
        <v>2082</v>
      </c>
      <c r="J222" s="227" t="s">
        <v>1428</v>
      </c>
      <c r="K222" s="2162" t="s">
        <v>712</v>
      </c>
      <c r="L222" s="256" t="s">
        <v>1428</v>
      </c>
      <c r="M222" s="232">
        <v>4.5365199504328</v>
      </c>
      <c r="N222" s="232">
        <v>21.5947070623206</v>
      </c>
      <c r="O222" s="231">
        <f t="shared" si="57"/>
        <v>3.36085706174942</v>
      </c>
      <c r="P222" s="231"/>
      <c r="Q222" s="231">
        <f t="shared" si="58"/>
        <v>29.4920840745028</v>
      </c>
      <c r="R222" s="226" t="s">
        <v>1526</v>
      </c>
      <c r="S222" s="226" t="s">
        <v>2305</v>
      </c>
      <c r="T222" s="804"/>
      <c r="X222" s="2163"/>
      <c r="AA222" s="839"/>
      <c r="AB222" s="839"/>
      <c r="AC222" s="1940"/>
    </row>
    <row r="223" s="42" customFormat="1" ht="16" hidden="1" customHeight="1" spans="1:29">
      <c r="A223" s="839">
        <v>116</v>
      </c>
      <c r="B223" s="226"/>
      <c r="C223" s="226"/>
      <c r="D223" s="227">
        <v>20240805</v>
      </c>
      <c r="E223" s="227">
        <v>7.17</v>
      </c>
      <c r="F223" s="2132" t="s">
        <v>2345</v>
      </c>
      <c r="G223" s="227" t="s">
        <v>2346</v>
      </c>
      <c r="H223" s="227"/>
      <c r="I223" s="245" t="s">
        <v>2082</v>
      </c>
      <c r="J223" s="227" t="s">
        <v>1428</v>
      </c>
      <c r="K223" s="2162" t="s">
        <v>712</v>
      </c>
      <c r="L223" s="256" t="s">
        <v>1428</v>
      </c>
      <c r="M223" s="232">
        <v>4.5365199504328</v>
      </c>
      <c r="N223" s="232">
        <v>21.8945540429818</v>
      </c>
      <c r="O223" s="231">
        <f t="shared" si="57"/>
        <v>3.36085706174942</v>
      </c>
      <c r="P223" s="231"/>
      <c r="Q223" s="231">
        <f t="shared" si="58"/>
        <v>29.791931055164</v>
      </c>
      <c r="R223" s="226" t="s">
        <v>1526</v>
      </c>
      <c r="S223" s="226" t="s">
        <v>2305</v>
      </c>
      <c r="T223" s="804"/>
      <c r="X223" s="2163"/>
      <c r="AA223" s="839"/>
      <c r="AB223" s="839"/>
      <c r="AC223" s="1940"/>
    </row>
    <row r="224" s="42" customFormat="1" ht="16" hidden="1" customHeight="1" spans="1:29">
      <c r="A224" s="839">
        <v>117</v>
      </c>
      <c r="B224" s="226"/>
      <c r="C224" s="226"/>
      <c r="D224" s="227">
        <v>20240805</v>
      </c>
      <c r="E224" s="227">
        <v>7.17</v>
      </c>
      <c r="F224" s="2132" t="s">
        <v>2347</v>
      </c>
      <c r="G224" s="227" t="s">
        <v>2348</v>
      </c>
      <c r="H224" s="227"/>
      <c r="I224" s="245" t="s">
        <v>2323</v>
      </c>
      <c r="J224" s="227" t="s">
        <v>1428</v>
      </c>
      <c r="K224" s="256" t="s">
        <v>712</v>
      </c>
      <c r="L224" s="256" t="s">
        <v>1428</v>
      </c>
      <c r="M224" s="232">
        <v>4.5365199504328</v>
      </c>
      <c r="N224" s="232">
        <v>21.8673140065779</v>
      </c>
      <c r="O224" s="231">
        <f t="shared" si="57"/>
        <v>3.36085706174942</v>
      </c>
      <c r="P224" s="231"/>
      <c r="Q224" s="231">
        <f t="shared" si="58"/>
        <v>29.7646910187601</v>
      </c>
      <c r="R224" s="226" t="s">
        <v>1526</v>
      </c>
      <c r="S224" s="226" t="s">
        <v>2305</v>
      </c>
      <c r="T224" s="804"/>
      <c r="X224" s="2163"/>
      <c r="AA224" s="839"/>
      <c r="AB224" s="839"/>
      <c r="AC224" s="1940"/>
    </row>
    <row r="225" s="42" customFormat="1" ht="16" hidden="1" customHeight="1" spans="1:29">
      <c r="A225" s="839">
        <v>118</v>
      </c>
      <c r="B225" s="226"/>
      <c r="C225" s="226"/>
      <c r="D225" s="227">
        <v>20240904</v>
      </c>
      <c r="E225" s="227">
        <v>7.17</v>
      </c>
      <c r="F225" s="2132" t="s">
        <v>2349</v>
      </c>
      <c r="G225" s="227" t="s">
        <v>2350</v>
      </c>
      <c r="H225" s="227"/>
      <c r="I225" s="245" t="s">
        <v>2326</v>
      </c>
      <c r="J225" s="227" t="s">
        <v>1428</v>
      </c>
      <c r="K225" s="507" t="s">
        <v>712</v>
      </c>
      <c r="L225" s="256" t="s">
        <v>1428</v>
      </c>
      <c r="M225" s="232">
        <v>4.5365199504328</v>
      </c>
      <c r="N225" s="232">
        <v>25.1598072943625</v>
      </c>
      <c r="O225" s="231">
        <f t="shared" si="57"/>
        <v>3.36085706174942</v>
      </c>
      <c r="P225" s="231"/>
      <c r="Q225" s="231">
        <f t="shared" si="58"/>
        <v>33.0571843065447</v>
      </c>
      <c r="R225" s="226" t="s">
        <v>1526</v>
      </c>
      <c r="S225" s="226" t="s">
        <v>2351</v>
      </c>
      <c r="T225" s="804"/>
      <c r="X225" s="2163"/>
      <c r="AA225" s="839"/>
      <c r="AB225" s="839"/>
      <c r="AC225" s="1940"/>
    </row>
    <row r="226" s="42" customFormat="1" ht="16" hidden="1" customHeight="1" spans="1:29">
      <c r="A226" s="839">
        <v>119</v>
      </c>
      <c r="B226" s="226"/>
      <c r="C226" s="226"/>
      <c r="D226" s="227">
        <v>20241129</v>
      </c>
      <c r="E226" s="227">
        <v>7.17</v>
      </c>
      <c r="F226" s="2132" t="s">
        <v>2352</v>
      </c>
      <c r="G226" s="227" t="s">
        <v>2353</v>
      </c>
      <c r="H226" s="227"/>
      <c r="I226" s="245" t="s">
        <v>2354</v>
      </c>
      <c r="J226" s="227"/>
      <c r="K226" s="507" t="s">
        <v>712</v>
      </c>
      <c r="L226" s="256" t="s">
        <v>1428</v>
      </c>
      <c r="M226" s="231">
        <v>4.5365199504328</v>
      </c>
      <c r="N226" s="232">
        <v>22.254036572582</v>
      </c>
      <c r="O226" s="231">
        <f t="shared" si="57"/>
        <v>3.36085706174942</v>
      </c>
      <c r="P226" s="231"/>
      <c r="Q226" s="231">
        <f t="shared" si="58"/>
        <v>30.1514135847642</v>
      </c>
      <c r="R226" s="226" t="s">
        <v>1526</v>
      </c>
      <c r="S226" s="226" t="s">
        <v>2355</v>
      </c>
      <c r="T226" s="804"/>
      <c r="X226" s="2163"/>
      <c r="AA226" s="839"/>
      <c r="AB226" s="839"/>
      <c r="AC226" s="1940"/>
    </row>
    <row r="227" s="42" customFormat="1" ht="16" hidden="1" customHeight="1" spans="1:29">
      <c r="A227" s="839">
        <v>120</v>
      </c>
      <c r="B227" s="226"/>
      <c r="C227" s="226"/>
      <c r="D227" s="227">
        <v>20241129</v>
      </c>
      <c r="E227" s="227">
        <v>7.17</v>
      </c>
      <c r="F227" s="2132" t="s">
        <v>2356</v>
      </c>
      <c r="G227" s="227" t="s">
        <v>2357</v>
      </c>
      <c r="H227" s="227"/>
      <c r="I227" s="245" t="s">
        <v>2358</v>
      </c>
      <c r="J227" s="227"/>
      <c r="K227" s="256" t="s">
        <v>712</v>
      </c>
      <c r="L227" s="256" t="s">
        <v>1428</v>
      </c>
      <c r="M227" s="231">
        <v>4.5365199504328</v>
      </c>
      <c r="N227" s="232">
        <v>23.8305784316904</v>
      </c>
      <c r="O227" s="231">
        <f t="shared" si="57"/>
        <v>3.36085706174942</v>
      </c>
      <c r="P227" s="231"/>
      <c r="Q227" s="231">
        <f t="shared" si="58"/>
        <v>31.7279554438726</v>
      </c>
      <c r="R227" s="226" t="s">
        <v>1526</v>
      </c>
      <c r="S227" s="226" t="s">
        <v>2359</v>
      </c>
      <c r="T227" s="804"/>
      <c r="X227" s="2163"/>
      <c r="AA227" s="839"/>
      <c r="AB227" s="839"/>
      <c r="AC227" s="1940"/>
    </row>
    <row r="228" s="42" customFormat="1" ht="16" hidden="1" customHeight="1" spans="1:29">
      <c r="A228" s="839">
        <v>121</v>
      </c>
      <c r="B228" s="226"/>
      <c r="C228" s="226"/>
      <c r="D228" s="227">
        <v>20241129</v>
      </c>
      <c r="E228" s="227">
        <v>7.17</v>
      </c>
      <c r="F228" s="2132" t="s">
        <v>2360</v>
      </c>
      <c r="G228" s="227" t="s">
        <v>2361</v>
      </c>
      <c r="H228" s="227"/>
      <c r="I228" s="245" t="s">
        <v>2338</v>
      </c>
      <c r="J228" s="227"/>
      <c r="K228" s="256" t="s">
        <v>712</v>
      </c>
      <c r="L228" s="256" t="s">
        <v>1428</v>
      </c>
      <c r="M228" s="231">
        <v>4.5365199504328</v>
      </c>
      <c r="N228" s="232">
        <v>22.7277122190808</v>
      </c>
      <c r="O228" s="231">
        <f t="shared" si="57"/>
        <v>3.36085706174942</v>
      </c>
      <c r="P228" s="231"/>
      <c r="Q228" s="231">
        <f t="shared" si="58"/>
        <v>30.625089231263</v>
      </c>
      <c r="R228" s="226" t="s">
        <v>1526</v>
      </c>
      <c r="S228" s="226" t="s">
        <v>2362</v>
      </c>
      <c r="T228" s="804"/>
      <c r="X228" s="2163"/>
      <c r="AA228" s="839"/>
      <c r="AB228" s="839"/>
      <c r="AC228" s="1940"/>
    </row>
    <row r="229" s="42" customFormat="1" ht="16" hidden="1" customHeight="1" spans="1:29">
      <c r="A229" s="839">
        <v>122</v>
      </c>
      <c r="B229" s="226"/>
      <c r="C229" s="226"/>
      <c r="D229" s="227">
        <v>20241129</v>
      </c>
      <c r="E229" s="227">
        <v>7.17</v>
      </c>
      <c r="F229" s="2132" t="s">
        <v>2363</v>
      </c>
      <c r="G229" s="227" t="s">
        <v>2364</v>
      </c>
      <c r="H229" s="227"/>
      <c r="I229" s="245" t="s">
        <v>2365</v>
      </c>
      <c r="J229" s="227"/>
      <c r="K229" s="507" t="s">
        <v>712</v>
      </c>
      <c r="L229" s="256" t="s">
        <v>1428</v>
      </c>
      <c r="M229" s="231">
        <v>4.5365199504328</v>
      </c>
      <c r="N229" s="232">
        <v>22.7262275440731</v>
      </c>
      <c r="O229" s="231">
        <f t="shared" si="57"/>
        <v>3.36085706174942</v>
      </c>
      <c r="P229" s="231"/>
      <c r="Q229" s="231">
        <f t="shared" si="58"/>
        <v>30.6236045562553</v>
      </c>
      <c r="R229" s="226" t="s">
        <v>1526</v>
      </c>
      <c r="S229" s="226" t="s">
        <v>2366</v>
      </c>
      <c r="T229" s="804"/>
      <c r="X229" s="2163"/>
      <c r="AA229" s="839"/>
      <c r="AB229" s="839"/>
      <c r="AC229" s="1940"/>
    </row>
    <row r="230" s="839" customFormat="1" ht="16" hidden="1" customHeight="1" spans="1:29">
      <c r="A230" s="839">
        <v>123</v>
      </c>
      <c r="B230" s="226"/>
      <c r="C230" s="226"/>
      <c r="D230" s="227">
        <v>20250716</v>
      </c>
      <c r="E230" s="227">
        <v>7.17</v>
      </c>
      <c r="F230" s="2132" t="s">
        <v>2367</v>
      </c>
      <c r="G230" s="227" t="s">
        <v>2368</v>
      </c>
      <c r="H230" s="227"/>
      <c r="I230" s="245" t="s">
        <v>2369</v>
      </c>
      <c r="J230" s="227"/>
      <c r="K230" s="507" t="s">
        <v>712</v>
      </c>
      <c r="L230" s="256"/>
      <c r="M230" s="231">
        <v>4.5365199504328</v>
      </c>
      <c r="N230" s="232">
        <v>21.2393311059984</v>
      </c>
      <c r="O230" s="231">
        <f t="shared" si="57"/>
        <v>3.36085706174942</v>
      </c>
      <c r="P230" s="231"/>
      <c r="Q230" s="231">
        <f t="shared" si="58"/>
        <v>29.1367081181806</v>
      </c>
      <c r="R230" s="226" t="s">
        <v>1526</v>
      </c>
      <c r="S230" s="226" t="s">
        <v>2370</v>
      </c>
      <c r="T230" s="804"/>
      <c r="X230" s="1940"/>
      <c r="AC230" s="1940"/>
    </row>
    <row r="231" s="42" customFormat="1" ht="16" hidden="1" customHeight="1" spans="1:29">
      <c r="A231" s="839">
        <v>124</v>
      </c>
      <c r="B231" s="226"/>
      <c r="C231" s="226"/>
      <c r="D231" s="227">
        <v>20250114</v>
      </c>
      <c r="E231" s="227">
        <v>7.17</v>
      </c>
      <c r="F231" s="2132" t="s">
        <v>45</v>
      </c>
      <c r="G231" s="227" t="s">
        <v>46</v>
      </c>
      <c r="H231" s="227"/>
      <c r="I231" s="245"/>
      <c r="J231" s="227"/>
      <c r="K231" s="256" t="s">
        <v>712</v>
      </c>
      <c r="L231" s="256"/>
      <c r="M231" s="232">
        <v>0.576393774453537</v>
      </c>
      <c r="N231" s="232">
        <v>3.54355849136693</v>
      </c>
      <c r="O231" s="231">
        <v>0.4</v>
      </c>
      <c r="P231" s="231"/>
      <c r="Q231" s="231">
        <f t="shared" si="58"/>
        <v>4.51995226582047</v>
      </c>
      <c r="R231" s="226"/>
      <c r="S231" s="226" t="s">
        <v>2371</v>
      </c>
      <c r="T231" s="804"/>
      <c r="X231" s="2163"/>
      <c r="AA231" s="839"/>
      <c r="AB231" s="839"/>
      <c r="AC231" s="1940"/>
    </row>
    <row r="232" s="42" customFormat="1" ht="16" hidden="1" customHeight="1" spans="1:29">
      <c r="A232" s="839">
        <v>125</v>
      </c>
      <c r="B232" s="226"/>
      <c r="C232" s="226"/>
      <c r="D232" s="511"/>
      <c r="E232" s="511"/>
      <c r="F232" s="2132" t="s">
        <v>1979</v>
      </c>
      <c r="G232" s="227" t="s">
        <v>48</v>
      </c>
      <c r="H232" s="227"/>
      <c r="I232" s="245"/>
      <c r="J232" s="227"/>
      <c r="K232" s="227" t="s">
        <v>712</v>
      </c>
      <c r="L232" s="256"/>
      <c r="M232" s="231">
        <v>0.517662139177164</v>
      </c>
      <c r="N232" s="232">
        <v>3.62201356709246</v>
      </c>
      <c r="O232" s="231">
        <v>0.4</v>
      </c>
      <c r="P232" s="231"/>
      <c r="Q232" s="231">
        <f t="shared" si="58"/>
        <v>4.53967570626962</v>
      </c>
      <c r="R232" s="226"/>
      <c r="S232" s="226" t="s">
        <v>2372</v>
      </c>
      <c r="T232" s="804"/>
      <c r="X232" s="2163"/>
      <c r="AA232" s="839"/>
      <c r="AB232" s="839"/>
      <c r="AC232" s="1940"/>
    </row>
    <row r="233" s="42" customFormat="1" ht="16" hidden="1" customHeight="1" spans="1:29">
      <c r="A233" s="839">
        <v>126</v>
      </c>
      <c r="B233" s="226"/>
      <c r="C233" s="226"/>
      <c r="D233" s="227">
        <v>20240625</v>
      </c>
      <c r="E233" s="227">
        <v>7.17</v>
      </c>
      <c r="F233" s="2132" t="s">
        <v>51</v>
      </c>
      <c r="G233" s="227" t="s">
        <v>52</v>
      </c>
      <c r="H233" s="227"/>
      <c r="I233" s="245"/>
      <c r="J233" s="227"/>
      <c r="K233" s="227" t="s">
        <v>712</v>
      </c>
      <c r="L233" s="256"/>
      <c r="M233" s="232">
        <v>0.373823773678616</v>
      </c>
      <c r="N233" s="232">
        <v>2.68627074895663</v>
      </c>
      <c r="O233" s="231">
        <v>0.2</v>
      </c>
      <c r="P233" s="231"/>
      <c r="Q233" s="231">
        <f t="shared" si="58"/>
        <v>3.26009452263525</v>
      </c>
      <c r="R233" s="226"/>
      <c r="S233" s="226"/>
      <c r="T233" s="804"/>
      <c r="X233" s="2163"/>
      <c r="AA233" s="839"/>
      <c r="AB233" s="839"/>
      <c r="AC233" s="1940"/>
    </row>
    <row r="234" s="42" customFormat="1" ht="16" hidden="1" customHeight="1" spans="1:29">
      <c r="A234" s="839">
        <v>127</v>
      </c>
      <c r="B234" s="226"/>
      <c r="C234" s="226"/>
      <c r="D234" s="227">
        <v>20241030</v>
      </c>
      <c r="E234" s="227">
        <v>7.17</v>
      </c>
      <c r="F234" s="2132" t="s">
        <v>53</v>
      </c>
      <c r="G234" s="227" t="s">
        <v>54</v>
      </c>
      <c r="H234" s="227"/>
      <c r="I234" s="245"/>
      <c r="J234" s="227"/>
      <c r="K234" s="227" t="s">
        <v>712</v>
      </c>
      <c r="L234" s="256"/>
      <c r="M234" s="232">
        <v>0.575853811592922</v>
      </c>
      <c r="N234" s="232">
        <v>6.90247510438057</v>
      </c>
      <c r="O234" s="231">
        <v>0.4</v>
      </c>
      <c r="P234" s="231"/>
      <c r="Q234" s="231">
        <f t="shared" si="58"/>
        <v>7.87832891597349</v>
      </c>
      <c r="R234" s="226"/>
      <c r="S234" s="226" t="s">
        <v>2373</v>
      </c>
      <c r="T234" s="804"/>
      <c r="X234" s="2163"/>
      <c r="AA234" s="839"/>
      <c r="AB234" s="839"/>
      <c r="AC234" s="1940"/>
    </row>
    <row r="235" s="42" customFormat="1" ht="16" hidden="1" customHeight="1" spans="1:29">
      <c r="A235" s="839">
        <v>128</v>
      </c>
      <c r="B235" s="226"/>
      <c r="C235" s="226"/>
      <c r="D235" s="227">
        <v>20241030</v>
      </c>
      <c r="E235" s="227">
        <v>7.17</v>
      </c>
      <c r="F235" s="2132" t="s">
        <v>57</v>
      </c>
      <c r="G235" s="227" t="s">
        <v>58</v>
      </c>
      <c r="H235" s="227"/>
      <c r="I235" s="245"/>
      <c r="J235" s="227"/>
      <c r="K235" s="227" t="s">
        <v>712</v>
      </c>
      <c r="L235" s="256"/>
      <c r="M235" s="232">
        <v>0.575853811592922</v>
      </c>
      <c r="N235" s="232">
        <v>4.91852417611054</v>
      </c>
      <c r="O235" s="231">
        <v>0.4</v>
      </c>
      <c r="P235" s="231"/>
      <c r="Q235" s="231">
        <f t="shared" si="58"/>
        <v>5.89437798770346</v>
      </c>
      <c r="R235" s="226"/>
      <c r="S235" s="226" t="s">
        <v>2374</v>
      </c>
      <c r="T235" s="804"/>
      <c r="X235" s="2163"/>
      <c r="AA235" s="839"/>
      <c r="AB235" s="839"/>
      <c r="AC235" s="1940"/>
    </row>
    <row r="236" s="839" customFormat="1" ht="16" hidden="1" customHeight="1" spans="1:29">
      <c r="A236" s="839">
        <v>129</v>
      </c>
      <c r="B236" s="226"/>
      <c r="C236" s="226"/>
      <c r="D236" s="227" t="s">
        <v>60</v>
      </c>
      <c r="E236" s="227">
        <v>7.17</v>
      </c>
      <c r="F236" s="2132" t="s">
        <v>61</v>
      </c>
      <c r="G236" s="227" t="s">
        <v>62</v>
      </c>
      <c r="H236" s="227"/>
      <c r="I236" s="245"/>
      <c r="J236" s="227"/>
      <c r="K236" s="227" t="s">
        <v>712</v>
      </c>
      <c r="L236" s="256"/>
      <c r="M236" s="232">
        <v>0.375372765249966</v>
      </c>
      <c r="N236" s="232">
        <v>2.86283772849021</v>
      </c>
      <c r="O236" s="231">
        <v>0.2</v>
      </c>
      <c r="P236" s="231"/>
      <c r="Q236" s="231">
        <f t="shared" si="58"/>
        <v>3.43821049374018</v>
      </c>
      <c r="R236" s="226"/>
      <c r="S236" s="226" t="s">
        <v>63</v>
      </c>
      <c r="T236" s="804"/>
      <c r="X236" s="1940"/>
      <c r="AC236" s="1940"/>
    </row>
    <row r="237" s="42" customFormat="1" ht="16" hidden="1" customHeight="1" spans="1:29">
      <c r="A237" s="839">
        <v>130</v>
      </c>
      <c r="B237" s="226"/>
      <c r="C237" s="226"/>
      <c r="D237" s="227"/>
      <c r="E237" s="227"/>
      <c r="F237" s="2132" t="s">
        <v>1979</v>
      </c>
      <c r="G237" s="227" t="s">
        <v>64</v>
      </c>
      <c r="H237" s="227"/>
      <c r="I237" s="227"/>
      <c r="J237" s="227"/>
      <c r="K237" s="256" t="s">
        <v>712</v>
      </c>
      <c r="L237" s="256"/>
      <c r="M237" s="231">
        <v>0.417895771878073</v>
      </c>
      <c r="N237" s="232">
        <v>2.85415289719764</v>
      </c>
      <c r="O237" s="231">
        <v>0.4</v>
      </c>
      <c r="P237" s="231"/>
      <c r="Q237" s="231">
        <f t="shared" si="58"/>
        <v>3.67204866907571</v>
      </c>
      <c r="R237" s="226"/>
      <c r="S237" s="226"/>
      <c r="T237" s="804"/>
      <c r="X237" s="2163"/>
      <c r="AA237" s="839"/>
      <c r="AB237" s="839"/>
      <c r="AC237" s="1940"/>
    </row>
    <row r="238" s="42" customFormat="1" ht="16" hidden="1" customHeight="1" spans="1:29">
      <c r="A238" s="839">
        <v>131</v>
      </c>
      <c r="B238" s="226"/>
      <c r="C238" s="226"/>
      <c r="D238" s="227"/>
      <c r="E238" s="227"/>
      <c r="F238" s="2132" t="s">
        <v>1979</v>
      </c>
      <c r="G238" s="227" t="s">
        <v>65</v>
      </c>
      <c r="H238" s="227"/>
      <c r="I238" s="227"/>
      <c r="J238" s="227"/>
      <c r="K238" s="256" t="s">
        <v>712</v>
      </c>
      <c r="L238" s="256"/>
      <c r="M238" s="231">
        <v>0.75</v>
      </c>
      <c r="N238" s="232">
        <v>4.09</v>
      </c>
      <c r="O238" s="231">
        <v>0.8</v>
      </c>
      <c r="P238" s="231"/>
      <c r="Q238" s="231">
        <f t="shared" si="58"/>
        <v>5.64</v>
      </c>
      <c r="R238" s="226"/>
      <c r="S238" s="226" t="s">
        <v>2375</v>
      </c>
      <c r="T238" s="804"/>
      <c r="X238" s="2163"/>
      <c r="AA238" s="839"/>
      <c r="AB238" s="839"/>
      <c r="AC238" s="1940"/>
    </row>
    <row r="239" s="42" customFormat="1" ht="16" hidden="1" customHeight="1" spans="1:29">
      <c r="A239" s="839">
        <v>132</v>
      </c>
      <c r="B239" s="226"/>
      <c r="C239" s="226"/>
      <c r="D239" s="227"/>
      <c r="E239" s="227"/>
      <c r="F239" s="2132" t="s">
        <v>1979</v>
      </c>
      <c r="G239" s="227" t="s">
        <v>67</v>
      </c>
      <c r="H239" s="227"/>
      <c r="I239" s="227"/>
      <c r="J239" s="227"/>
      <c r="K239" s="256" t="s">
        <v>712</v>
      </c>
      <c r="L239" s="256"/>
      <c r="M239" s="231">
        <v>0.541871921182266</v>
      </c>
      <c r="N239" s="232">
        <v>3.63</v>
      </c>
      <c r="O239" s="231">
        <v>0.4</v>
      </c>
      <c r="P239" s="231"/>
      <c r="Q239" s="231">
        <f t="shared" si="58"/>
        <v>4.57187192118227</v>
      </c>
      <c r="R239" s="226"/>
      <c r="S239" s="226"/>
      <c r="T239" s="804"/>
      <c r="X239" s="2163"/>
      <c r="AA239" s="839"/>
      <c r="AB239" s="839"/>
      <c r="AC239" s="1940"/>
    </row>
    <row r="240" s="42" customFormat="1" ht="16" hidden="1" customHeight="1" spans="1:29">
      <c r="A240" s="839">
        <v>133</v>
      </c>
      <c r="B240" s="226" t="s">
        <v>2376</v>
      </c>
      <c r="C240" s="226"/>
      <c r="D240" s="227">
        <v>20240625</v>
      </c>
      <c r="E240" s="227">
        <v>7.17</v>
      </c>
      <c r="F240" s="2132" t="s">
        <v>2377</v>
      </c>
      <c r="G240" s="227" t="s">
        <v>2311</v>
      </c>
      <c r="H240" s="227"/>
      <c r="I240" s="227" t="s">
        <v>1428</v>
      </c>
      <c r="J240" s="227" t="s">
        <v>1428</v>
      </c>
      <c r="K240" s="227" t="s">
        <v>712</v>
      </c>
      <c r="L240" s="227" t="s">
        <v>1428</v>
      </c>
      <c r="M240" s="232">
        <f t="shared" ref="M240:M251" si="59">47.05/E240/1.13</f>
        <v>5.80713642142161</v>
      </c>
      <c r="N240" s="232">
        <v>22.1005863931895</v>
      </c>
      <c r="O240" s="231">
        <f t="shared" ref="O240:O243" si="60">27.23/E240/1.13</f>
        <v>3.36085706174942</v>
      </c>
      <c r="P240" s="231"/>
      <c r="Q240" s="231">
        <f t="shared" si="58"/>
        <v>31.2685798763605</v>
      </c>
      <c r="R240" s="226" t="s">
        <v>1526</v>
      </c>
      <c r="S240" s="226" t="s">
        <v>2378</v>
      </c>
      <c r="T240" s="804"/>
      <c r="X240" s="2163"/>
      <c r="AA240" s="839"/>
      <c r="AB240" s="839"/>
      <c r="AC240" s="1940"/>
    </row>
    <row r="241" s="42" customFormat="1" ht="16" hidden="1" customHeight="1" spans="1:29">
      <c r="A241" s="839">
        <v>134</v>
      </c>
      <c r="B241" s="226"/>
      <c r="C241" s="226"/>
      <c r="D241" s="227">
        <v>20240625</v>
      </c>
      <c r="E241" s="227">
        <v>7.17</v>
      </c>
      <c r="F241" s="2132" t="s">
        <v>2379</v>
      </c>
      <c r="G241" s="227" t="s">
        <v>2314</v>
      </c>
      <c r="H241" s="227"/>
      <c r="I241" s="227">
        <f>2.75/6.9514/1.13</f>
        <v>0.350091825903282</v>
      </c>
      <c r="J241" s="227" t="s">
        <v>1428</v>
      </c>
      <c r="K241" s="227" t="s">
        <v>712</v>
      </c>
      <c r="L241" s="227" t="s">
        <v>1428</v>
      </c>
      <c r="M241" s="232">
        <f t="shared" si="59"/>
        <v>5.80713642142161</v>
      </c>
      <c r="N241" s="232">
        <v>23.8042143219199</v>
      </c>
      <c r="O241" s="231">
        <f t="shared" si="60"/>
        <v>3.36085706174942</v>
      </c>
      <c r="P241" s="231"/>
      <c r="Q241" s="231">
        <f t="shared" si="58"/>
        <v>32.9722078050909</v>
      </c>
      <c r="R241" s="226" t="s">
        <v>1526</v>
      </c>
      <c r="S241" s="226" t="s">
        <v>2380</v>
      </c>
      <c r="T241" s="804"/>
      <c r="X241" s="2163"/>
      <c r="AA241" s="839"/>
      <c r="AB241" s="839"/>
      <c r="AC241" s="1940"/>
    </row>
    <row r="242" s="42" customFormat="1" ht="16" hidden="1" customHeight="1" spans="1:29">
      <c r="A242" s="839">
        <v>135</v>
      </c>
      <c r="B242" s="226"/>
      <c r="C242" s="226"/>
      <c r="D242" s="227"/>
      <c r="E242" s="227">
        <v>7.17</v>
      </c>
      <c r="F242" s="2132" t="s">
        <v>1979</v>
      </c>
      <c r="G242" s="227" t="s">
        <v>2381</v>
      </c>
      <c r="H242" s="227"/>
      <c r="I242" s="227" t="s">
        <v>1428</v>
      </c>
      <c r="J242" s="227" t="s">
        <v>1428</v>
      </c>
      <c r="K242" s="227" t="s">
        <v>712</v>
      </c>
      <c r="L242" s="227" t="s">
        <v>1428</v>
      </c>
      <c r="M242" s="232">
        <f t="shared" si="59"/>
        <v>5.80713642142161</v>
      </c>
      <c r="N242" s="232">
        <v>26.05</v>
      </c>
      <c r="O242" s="231">
        <f t="shared" si="60"/>
        <v>3.36085706174942</v>
      </c>
      <c r="P242" s="231"/>
      <c r="Q242" s="231">
        <f t="shared" si="58"/>
        <v>35.217993483171</v>
      </c>
      <c r="R242" s="226" t="s">
        <v>1526</v>
      </c>
      <c r="S242" s="226" t="s">
        <v>2382</v>
      </c>
      <c r="T242" s="804"/>
      <c r="X242" s="2163"/>
      <c r="AA242" s="839"/>
      <c r="AB242" s="839"/>
      <c r="AC242" s="1940"/>
    </row>
    <row r="243" s="42" customFormat="1" ht="16" hidden="1" customHeight="1" spans="1:29">
      <c r="A243" s="839">
        <v>136</v>
      </c>
      <c r="B243" s="226"/>
      <c r="C243" s="226"/>
      <c r="D243" s="227"/>
      <c r="E243" s="227">
        <v>7.17</v>
      </c>
      <c r="F243" s="2132" t="s">
        <v>1979</v>
      </c>
      <c r="G243" s="227" t="s">
        <v>2383</v>
      </c>
      <c r="H243" s="227"/>
      <c r="I243" s="227" t="s">
        <v>2384</v>
      </c>
      <c r="J243" s="227" t="s">
        <v>1428</v>
      </c>
      <c r="K243" s="227" t="s">
        <v>712</v>
      </c>
      <c r="L243" s="227" t="s">
        <v>1428</v>
      </c>
      <c r="M243" s="232">
        <f t="shared" si="59"/>
        <v>5.80713642142161</v>
      </c>
      <c r="N243" s="232">
        <v>22.9108175296117</v>
      </c>
      <c r="O243" s="231">
        <f t="shared" si="60"/>
        <v>3.36085706174942</v>
      </c>
      <c r="P243" s="231"/>
      <c r="Q243" s="231">
        <f t="shared" si="58"/>
        <v>32.0788110127827</v>
      </c>
      <c r="R243" s="226" t="s">
        <v>1526</v>
      </c>
      <c r="S243" s="226" t="s">
        <v>2385</v>
      </c>
      <c r="T243" s="804"/>
      <c r="X243" s="2163"/>
      <c r="AA243" s="839"/>
      <c r="AB243" s="839"/>
      <c r="AC243" s="1940"/>
    </row>
    <row r="244" s="42" customFormat="1" ht="16" hidden="1" customHeight="1" spans="1:29">
      <c r="A244" s="839">
        <v>1</v>
      </c>
      <c r="B244" s="226"/>
      <c r="C244" s="226"/>
      <c r="D244" s="227"/>
      <c r="E244" s="227">
        <v>6.7986</v>
      </c>
      <c r="F244" s="2132" t="s">
        <v>2386</v>
      </c>
      <c r="G244" s="227"/>
      <c r="H244" s="227"/>
      <c r="I244" s="227"/>
      <c r="J244" s="227"/>
      <c r="K244" s="227"/>
      <c r="L244" s="227"/>
      <c r="M244" s="232">
        <f t="shared" si="59"/>
        <v>6.12437386250006</v>
      </c>
      <c r="N244" s="232">
        <v>23.9</v>
      </c>
      <c r="O244" s="231">
        <v>0.3</v>
      </c>
      <c r="P244" s="231"/>
      <c r="Q244" s="231">
        <f>SUBTOTAL(109,M244:O244)</f>
        <v>0</v>
      </c>
      <c r="R244" s="226" t="s">
        <v>1270</v>
      </c>
      <c r="S244" s="226"/>
      <c r="T244" s="804"/>
      <c r="X244" s="2163"/>
      <c r="AA244" s="839"/>
      <c r="AB244" s="839"/>
      <c r="AC244" s="1940"/>
    </row>
    <row r="245" s="42" customFormat="1" ht="16" hidden="1" customHeight="1" spans="1:29">
      <c r="A245" s="839">
        <v>137</v>
      </c>
      <c r="B245" s="226"/>
      <c r="C245" s="226"/>
      <c r="D245" s="227"/>
      <c r="E245" s="227">
        <v>7.17</v>
      </c>
      <c r="F245" s="2132" t="s">
        <v>1979</v>
      </c>
      <c r="G245" s="227" t="s">
        <v>2320</v>
      </c>
      <c r="H245" s="227"/>
      <c r="I245" s="227" t="s">
        <v>2387</v>
      </c>
      <c r="J245" s="227" t="s">
        <v>1428</v>
      </c>
      <c r="K245" s="227" t="s">
        <v>712</v>
      </c>
      <c r="L245" s="227" t="s">
        <v>1428</v>
      </c>
      <c r="M245" s="232">
        <f t="shared" si="59"/>
        <v>5.80713642142161</v>
      </c>
      <c r="N245" s="232">
        <v>27.2161597250662</v>
      </c>
      <c r="O245" s="231">
        <f t="shared" ref="O245:O251" si="61">27.23/E245/1.13</f>
        <v>3.36085706174942</v>
      </c>
      <c r="P245" s="231"/>
      <c r="Q245" s="231">
        <f t="shared" ref="Q245:Q256" si="62">SUM(K245:O245)</f>
        <v>36.3841532082372</v>
      </c>
      <c r="R245" s="226" t="s">
        <v>1526</v>
      </c>
      <c r="S245" s="226" t="s">
        <v>2388</v>
      </c>
      <c r="T245" s="804"/>
      <c r="X245" s="2163"/>
      <c r="AA245" s="839"/>
      <c r="AB245" s="839"/>
      <c r="AC245" s="1940"/>
    </row>
    <row r="246" s="42" customFormat="1" ht="16" hidden="1" customHeight="1" spans="1:29">
      <c r="A246" s="839">
        <v>138</v>
      </c>
      <c r="B246" s="226"/>
      <c r="C246" s="226"/>
      <c r="D246" s="227"/>
      <c r="E246" s="227">
        <v>7.17</v>
      </c>
      <c r="F246" s="2132" t="s">
        <v>1979</v>
      </c>
      <c r="G246" s="227" t="s">
        <v>2389</v>
      </c>
      <c r="H246" s="227"/>
      <c r="I246" s="227" t="s">
        <v>2390</v>
      </c>
      <c r="J246" s="227" t="s">
        <v>1428</v>
      </c>
      <c r="K246" s="507" t="s">
        <v>712</v>
      </c>
      <c r="L246" s="227" t="s">
        <v>1428</v>
      </c>
      <c r="M246" s="232">
        <f t="shared" si="59"/>
        <v>5.80713642142161</v>
      </c>
      <c r="N246" s="232">
        <v>23.1580090223998</v>
      </c>
      <c r="O246" s="231">
        <f t="shared" si="61"/>
        <v>3.36085706174942</v>
      </c>
      <c r="P246" s="231"/>
      <c r="Q246" s="231">
        <f t="shared" si="62"/>
        <v>32.3260025055708</v>
      </c>
      <c r="R246" s="226" t="s">
        <v>1526</v>
      </c>
      <c r="S246" s="226" t="s">
        <v>2385</v>
      </c>
      <c r="T246" s="804"/>
      <c r="X246" s="2163"/>
      <c r="AA246" s="839"/>
      <c r="AB246" s="839"/>
      <c r="AC246" s="1940"/>
    </row>
    <row r="247" s="42" customFormat="1" ht="16" hidden="1" customHeight="1" spans="1:29">
      <c r="A247" s="839">
        <v>139</v>
      </c>
      <c r="B247" s="226"/>
      <c r="C247" s="226"/>
      <c r="D247" s="227">
        <v>20250710</v>
      </c>
      <c r="E247" s="227">
        <v>7.17</v>
      </c>
      <c r="F247" s="2132" t="s">
        <v>2391</v>
      </c>
      <c r="G247" s="227" t="s">
        <v>1767</v>
      </c>
      <c r="H247" s="227"/>
      <c r="I247" s="227" t="s">
        <v>2392</v>
      </c>
      <c r="J247" s="227"/>
      <c r="K247" s="507" t="s">
        <v>712</v>
      </c>
      <c r="L247" s="227"/>
      <c r="M247" s="232">
        <f t="shared" si="59"/>
        <v>5.80713642142161</v>
      </c>
      <c r="N247" s="232">
        <v>21.8642932217314</v>
      </c>
      <c r="O247" s="231">
        <f t="shared" si="61"/>
        <v>3.36085706174942</v>
      </c>
      <c r="P247" s="231"/>
      <c r="Q247" s="231">
        <f t="shared" si="62"/>
        <v>31.0322867049024</v>
      </c>
      <c r="R247" s="226" t="s">
        <v>1526</v>
      </c>
      <c r="S247" s="226" t="s">
        <v>2393</v>
      </c>
      <c r="T247" s="804"/>
      <c r="X247" s="2163"/>
      <c r="AA247" s="839"/>
      <c r="AB247" s="839"/>
      <c r="AC247" s="1940"/>
    </row>
    <row r="248" s="42" customFormat="1" ht="16" hidden="1" customHeight="1" spans="1:29">
      <c r="A248" s="839">
        <v>140</v>
      </c>
      <c r="B248" s="226"/>
      <c r="C248" s="226"/>
      <c r="D248" s="227"/>
      <c r="E248" s="227">
        <v>7.17</v>
      </c>
      <c r="F248" s="2132" t="s">
        <v>1979</v>
      </c>
      <c r="G248" s="227" t="s">
        <v>2394</v>
      </c>
      <c r="H248" s="227"/>
      <c r="I248" s="227" t="s">
        <v>2342</v>
      </c>
      <c r="J248" s="227" t="s">
        <v>1428</v>
      </c>
      <c r="K248" s="247" t="s">
        <v>712</v>
      </c>
      <c r="L248" s="227" t="s">
        <v>1428</v>
      </c>
      <c r="M248" s="232">
        <f t="shared" si="59"/>
        <v>5.80713642142161</v>
      </c>
      <c r="N248" s="232">
        <v>22.9004213937986</v>
      </c>
      <c r="O248" s="231">
        <f t="shared" si="61"/>
        <v>3.36085706174942</v>
      </c>
      <c r="P248" s="231"/>
      <c r="Q248" s="231">
        <f t="shared" si="62"/>
        <v>32.0684148769696</v>
      </c>
      <c r="R248" s="226" t="s">
        <v>1526</v>
      </c>
      <c r="S248" s="226" t="s">
        <v>2385</v>
      </c>
      <c r="T248" s="804"/>
      <c r="X248" s="2163"/>
      <c r="AA248" s="839"/>
      <c r="AB248" s="839"/>
      <c r="AC248" s="1940"/>
    </row>
    <row r="249" s="42" customFormat="1" ht="16" hidden="1" customHeight="1" spans="1:29">
      <c r="A249" s="839">
        <v>141</v>
      </c>
      <c r="B249" s="226"/>
      <c r="C249" s="226"/>
      <c r="D249" s="227"/>
      <c r="E249" s="227">
        <v>7.17</v>
      </c>
      <c r="F249" s="2132" t="s">
        <v>1979</v>
      </c>
      <c r="G249" s="227" t="s">
        <v>2234</v>
      </c>
      <c r="H249" s="227"/>
      <c r="I249" s="227" t="s">
        <v>2304</v>
      </c>
      <c r="J249" s="227" t="s">
        <v>1428</v>
      </c>
      <c r="K249" s="256" t="s">
        <v>712</v>
      </c>
      <c r="L249" s="227" t="s">
        <v>1428</v>
      </c>
      <c r="M249" s="232">
        <f t="shared" si="59"/>
        <v>5.80713642142161</v>
      </c>
      <c r="N249" s="232">
        <v>25.4784622250662</v>
      </c>
      <c r="O249" s="231">
        <f t="shared" si="61"/>
        <v>3.36085706174942</v>
      </c>
      <c r="P249" s="231"/>
      <c r="Q249" s="231">
        <f t="shared" si="62"/>
        <v>34.6464557082372</v>
      </c>
      <c r="R249" s="226" t="s">
        <v>1526</v>
      </c>
      <c r="S249" s="226" t="s">
        <v>2385</v>
      </c>
      <c r="T249" s="804"/>
      <c r="X249" s="2163"/>
      <c r="AA249" s="839"/>
      <c r="AB249" s="839"/>
      <c r="AC249" s="1940"/>
    </row>
    <row r="250" s="42" customFormat="1" ht="16" hidden="1" customHeight="1" spans="1:29">
      <c r="A250" s="839">
        <v>142</v>
      </c>
      <c r="B250" s="226"/>
      <c r="C250" s="226"/>
      <c r="D250" s="227"/>
      <c r="E250" s="227">
        <v>7.17</v>
      </c>
      <c r="F250" s="2132" t="s">
        <v>1979</v>
      </c>
      <c r="G250" s="227" t="s">
        <v>2395</v>
      </c>
      <c r="H250" s="227"/>
      <c r="I250" s="227" t="s">
        <v>2323</v>
      </c>
      <c r="J250" s="227" t="s">
        <v>1428</v>
      </c>
      <c r="K250" s="256" t="s">
        <v>712</v>
      </c>
      <c r="L250" s="227" t="s">
        <v>1428</v>
      </c>
      <c r="M250" s="232">
        <f t="shared" si="59"/>
        <v>5.80713642142161</v>
      </c>
      <c r="N250" s="232">
        <v>24.6259812568488</v>
      </c>
      <c r="O250" s="231">
        <f t="shared" si="61"/>
        <v>3.36085706174942</v>
      </c>
      <c r="P250" s="231"/>
      <c r="Q250" s="231">
        <f t="shared" si="62"/>
        <v>33.7939747400198</v>
      </c>
      <c r="R250" s="226" t="s">
        <v>1526</v>
      </c>
      <c r="S250" s="226" t="s">
        <v>2388</v>
      </c>
      <c r="T250" s="804"/>
      <c r="X250" s="2163"/>
      <c r="AA250" s="839"/>
      <c r="AB250" s="839"/>
      <c r="AC250" s="1940"/>
    </row>
    <row r="251" s="42" customFormat="1" ht="16" hidden="1" customHeight="1" spans="1:29">
      <c r="A251" s="839">
        <v>143</v>
      </c>
      <c r="B251" s="226"/>
      <c r="C251" s="226"/>
      <c r="D251" s="227">
        <v>20241213</v>
      </c>
      <c r="E251" s="227">
        <v>7.17</v>
      </c>
      <c r="F251" s="2132" t="s">
        <v>2396</v>
      </c>
      <c r="G251" s="227" t="s">
        <v>2397</v>
      </c>
      <c r="H251" s="227"/>
      <c r="I251" s="227" t="s">
        <v>1428</v>
      </c>
      <c r="J251" s="227"/>
      <c r="K251" s="227" t="s">
        <v>712</v>
      </c>
      <c r="L251" s="227"/>
      <c r="M251" s="232">
        <f t="shared" si="59"/>
        <v>5.80713642142161</v>
      </c>
      <c r="N251" s="232">
        <v>19.6808855409265</v>
      </c>
      <c r="O251" s="231">
        <f t="shared" si="61"/>
        <v>3.36085706174942</v>
      </c>
      <c r="P251" s="231"/>
      <c r="Q251" s="231">
        <f t="shared" si="62"/>
        <v>28.8488790240975</v>
      </c>
      <c r="R251" s="226" t="s">
        <v>1526</v>
      </c>
      <c r="S251" s="226" t="s">
        <v>2398</v>
      </c>
      <c r="T251" s="804"/>
      <c r="X251" s="2163"/>
      <c r="AA251" s="839"/>
      <c r="AB251" s="839"/>
      <c r="AC251" s="1940"/>
    </row>
    <row r="252" s="42" customFormat="1" ht="16" hidden="1" customHeight="1" spans="1:29">
      <c r="A252" s="839">
        <v>144</v>
      </c>
      <c r="B252" s="226"/>
      <c r="C252" s="226"/>
      <c r="D252" s="247">
        <v>20250307</v>
      </c>
      <c r="E252" s="247">
        <v>7.17</v>
      </c>
      <c r="F252" s="2132" t="s">
        <v>2399</v>
      </c>
      <c r="G252" s="247" t="s">
        <v>2325</v>
      </c>
      <c r="H252" s="247"/>
      <c r="I252" s="247" t="s">
        <v>2400</v>
      </c>
      <c r="J252" s="247" t="s">
        <v>1428</v>
      </c>
      <c r="K252" s="507" t="s">
        <v>712</v>
      </c>
      <c r="L252" s="247" t="s">
        <v>1428</v>
      </c>
      <c r="M252" s="654">
        <f>53.83/E252/1.13*1.05</f>
        <v>6.9761543303588</v>
      </c>
      <c r="N252" s="654">
        <f>23.49+20/6.7739/1.13</f>
        <v>26.1028397295868</v>
      </c>
      <c r="O252" s="214">
        <v>0.3</v>
      </c>
      <c r="P252" s="214"/>
      <c r="Q252" s="214">
        <f t="shared" si="62"/>
        <v>33.3789940599456</v>
      </c>
      <c r="R252" s="226" t="s">
        <v>1526</v>
      </c>
      <c r="S252" s="266" t="s">
        <v>2401</v>
      </c>
      <c r="T252" s="804"/>
      <c r="X252" s="2163"/>
      <c r="AA252" s="839"/>
      <c r="AB252" s="839"/>
      <c r="AC252" s="1940"/>
    </row>
    <row r="253" s="839" customFormat="1" ht="16" hidden="1" customHeight="1" spans="1:29">
      <c r="A253" s="839">
        <v>145</v>
      </c>
      <c r="B253" s="226"/>
      <c r="C253" s="226"/>
      <c r="D253" s="227">
        <v>20250804</v>
      </c>
      <c r="E253" s="227">
        <v>7.17</v>
      </c>
      <c r="F253" s="2132" t="s">
        <v>2402</v>
      </c>
      <c r="G253" s="227" t="s">
        <v>2403</v>
      </c>
      <c r="H253" s="227"/>
      <c r="I253" s="227" t="s">
        <v>2392</v>
      </c>
      <c r="J253" s="227"/>
      <c r="K253" s="256" t="s">
        <v>712</v>
      </c>
      <c r="L253" s="227"/>
      <c r="M253" s="232">
        <f t="shared" ref="M253:M257" si="63">47.05/E253/1.13</f>
        <v>5.80713642142161</v>
      </c>
      <c r="N253" s="232">
        <v>20.2248263536787</v>
      </c>
      <c r="O253" s="231">
        <f t="shared" ref="O253:O256" si="64">27.23/E253/1.13</f>
        <v>3.36085706174942</v>
      </c>
      <c r="P253" s="231"/>
      <c r="Q253" s="231">
        <f t="shared" si="62"/>
        <v>29.3928198368497</v>
      </c>
      <c r="R253" s="226" t="s">
        <v>1526</v>
      </c>
      <c r="S253" s="226" t="s">
        <v>2404</v>
      </c>
      <c r="T253" s="804"/>
      <c r="X253" s="1940"/>
      <c r="AC253" s="1940"/>
    </row>
    <row r="254" s="839" customFormat="1" ht="16" hidden="1" customHeight="1" spans="1:29">
      <c r="A254" s="839">
        <v>146</v>
      </c>
      <c r="B254" s="226"/>
      <c r="C254" s="226"/>
      <c r="D254" s="227">
        <v>20250804</v>
      </c>
      <c r="E254" s="227">
        <v>7.17</v>
      </c>
      <c r="F254" s="2132" t="s">
        <v>2405</v>
      </c>
      <c r="G254" s="227" t="s">
        <v>2406</v>
      </c>
      <c r="H254" s="227"/>
      <c r="I254" s="227" t="s">
        <v>2407</v>
      </c>
      <c r="J254" s="227"/>
      <c r="K254" s="256" t="s">
        <v>712</v>
      </c>
      <c r="L254" s="227"/>
      <c r="M254" s="232">
        <f t="shared" si="63"/>
        <v>5.80713642142161</v>
      </c>
      <c r="N254" s="232">
        <v>20.2248263536787</v>
      </c>
      <c r="O254" s="231">
        <f t="shared" si="64"/>
        <v>3.36085706174942</v>
      </c>
      <c r="P254" s="231"/>
      <c r="Q254" s="231">
        <f t="shared" si="62"/>
        <v>29.3928198368497</v>
      </c>
      <c r="R254" s="226" t="s">
        <v>1526</v>
      </c>
      <c r="S254" s="226" t="s">
        <v>2404</v>
      </c>
      <c r="T254" s="804"/>
      <c r="X254" s="1940"/>
      <c r="AC254" s="1940"/>
    </row>
    <row r="255" s="839" customFormat="1" ht="16" hidden="1" customHeight="1" spans="1:29">
      <c r="A255" s="839">
        <v>147</v>
      </c>
      <c r="B255" s="226"/>
      <c r="C255" s="226"/>
      <c r="D255" s="227">
        <v>20250804</v>
      </c>
      <c r="E255" s="227">
        <v>7.17</v>
      </c>
      <c r="F255" s="2132" t="s">
        <v>2408</v>
      </c>
      <c r="G255" s="227" t="s">
        <v>2409</v>
      </c>
      <c r="H255" s="227"/>
      <c r="I255" s="227" t="s">
        <v>2082</v>
      </c>
      <c r="J255" s="227"/>
      <c r="K255" s="256" t="s">
        <v>712</v>
      </c>
      <c r="L255" s="227"/>
      <c r="M255" s="232">
        <f t="shared" si="63"/>
        <v>5.80713642142161</v>
      </c>
      <c r="N255" s="232">
        <v>20.2248263536787</v>
      </c>
      <c r="O255" s="231">
        <f t="shared" si="64"/>
        <v>3.36085706174942</v>
      </c>
      <c r="P255" s="231"/>
      <c r="Q255" s="231">
        <f t="shared" si="62"/>
        <v>29.3928198368497</v>
      </c>
      <c r="R255" s="226" t="s">
        <v>1526</v>
      </c>
      <c r="S255" s="226" t="s">
        <v>2404</v>
      </c>
      <c r="T255" s="804"/>
      <c r="X255" s="1940"/>
      <c r="AC255" s="1940"/>
    </row>
    <row r="256" s="839" customFormat="1" ht="16" hidden="1" customHeight="1" spans="1:29">
      <c r="A256" s="839">
        <v>148</v>
      </c>
      <c r="B256" s="226"/>
      <c r="C256" s="226"/>
      <c r="D256" s="227">
        <v>20250804</v>
      </c>
      <c r="E256" s="227">
        <v>7.17</v>
      </c>
      <c r="F256" s="2132" t="s">
        <v>2410</v>
      </c>
      <c r="G256" s="227" t="s">
        <v>2411</v>
      </c>
      <c r="H256" s="227"/>
      <c r="I256" s="227" t="s">
        <v>2323</v>
      </c>
      <c r="J256" s="227"/>
      <c r="K256" s="256" t="s">
        <v>712</v>
      </c>
      <c r="L256" s="227"/>
      <c r="M256" s="232">
        <f t="shared" si="63"/>
        <v>5.80713642142161</v>
      </c>
      <c r="N256" s="232">
        <v>20.2248263536787</v>
      </c>
      <c r="O256" s="231">
        <f t="shared" si="64"/>
        <v>3.36085706174942</v>
      </c>
      <c r="P256" s="231"/>
      <c r="Q256" s="231">
        <f t="shared" si="62"/>
        <v>29.3928198368497</v>
      </c>
      <c r="R256" s="226" t="s">
        <v>1526</v>
      </c>
      <c r="S256" s="226" t="s">
        <v>2404</v>
      </c>
      <c r="T256" s="804"/>
      <c r="X256" s="1940"/>
      <c r="AC256" s="1940"/>
    </row>
    <row r="257" s="42" customFormat="1" ht="16" hidden="1" customHeight="1" spans="1:29">
      <c r="A257" s="839">
        <v>149</v>
      </c>
      <c r="B257" s="226"/>
      <c r="C257" s="226"/>
      <c r="D257" s="2028">
        <v>46112</v>
      </c>
      <c r="E257" s="2164">
        <v>6.9226</v>
      </c>
      <c r="F257" s="2132" t="s">
        <v>2412</v>
      </c>
      <c r="G257" s="227" t="s">
        <v>2413</v>
      </c>
      <c r="H257" s="227"/>
      <c r="I257" s="227"/>
      <c r="J257" s="227"/>
      <c r="K257" s="227" t="s">
        <v>712</v>
      </c>
      <c r="L257" s="227" t="s">
        <v>1428</v>
      </c>
      <c r="M257" s="232">
        <f t="shared" si="63"/>
        <v>6.01467196452098</v>
      </c>
      <c r="N257" s="232">
        <v>24.53</v>
      </c>
      <c r="O257" s="231" t="e">
        <f>#REF!/E257/1.13</f>
        <v>#REF!</v>
      </c>
      <c r="P257" s="231"/>
      <c r="Q257" s="231" t="e">
        <f>SUM(M257:O257)</f>
        <v>#REF!</v>
      </c>
      <c r="R257" s="226" t="s">
        <v>1526</v>
      </c>
      <c r="S257" s="226"/>
      <c r="T257" s="804"/>
      <c r="X257" s="2163"/>
      <c r="AA257" s="839"/>
      <c r="AB257" s="839"/>
      <c r="AC257" s="1940"/>
    </row>
    <row r="258" s="42" customFormat="1" ht="16" hidden="1" customHeight="1" spans="1:29">
      <c r="A258" s="839">
        <v>150</v>
      </c>
      <c r="B258" s="226"/>
      <c r="C258" s="226"/>
      <c r="D258" s="227"/>
      <c r="E258" s="227"/>
      <c r="F258" s="2132" t="s">
        <v>1979</v>
      </c>
      <c r="G258" s="227" t="s">
        <v>65</v>
      </c>
      <c r="H258" s="227"/>
      <c r="I258" s="227"/>
      <c r="J258" s="227" t="s">
        <v>1428</v>
      </c>
      <c r="K258" s="227" t="s">
        <v>712</v>
      </c>
      <c r="L258" s="227" t="s">
        <v>1428</v>
      </c>
      <c r="M258" s="231">
        <v>0.75</v>
      </c>
      <c r="N258" s="232">
        <v>4.09</v>
      </c>
      <c r="O258" s="231">
        <v>0.4</v>
      </c>
      <c r="P258" s="231"/>
      <c r="Q258" s="231">
        <f>SUM(K258:O258)</f>
        <v>5.24</v>
      </c>
      <c r="R258" s="226"/>
      <c r="S258" s="226" t="s">
        <v>2375</v>
      </c>
      <c r="T258" s="804"/>
      <c r="X258" s="2163"/>
      <c r="AA258" s="839"/>
      <c r="AB258" s="839"/>
      <c r="AC258" s="1940"/>
    </row>
    <row r="259" s="42" customFormat="1" ht="16" hidden="1" customHeight="1" spans="1:29">
      <c r="A259" s="839">
        <v>151</v>
      </c>
      <c r="B259" s="2004" t="s">
        <v>2414</v>
      </c>
      <c r="C259" s="2004"/>
      <c r="D259" s="2008">
        <v>20251128</v>
      </c>
      <c r="E259" s="661">
        <v>6.9667</v>
      </c>
      <c r="F259" s="2132" t="s">
        <v>1760</v>
      </c>
      <c r="G259" s="227" t="s">
        <v>1645</v>
      </c>
      <c r="H259" s="245" t="s">
        <v>2415</v>
      </c>
      <c r="I259" s="227" t="s">
        <v>1506</v>
      </c>
      <c r="J259" s="227" t="s">
        <v>1742</v>
      </c>
      <c r="K259" s="227" t="s">
        <v>712</v>
      </c>
      <c r="L259" s="227">
        <v>6</v>
      </c>
      <c r="M259" s="231">
        <f>43.03/E259/1.13</f>
        <v>5.46595174439823</v>
      </c>
      <c r="N259" s="231">
        <v>18.0191868159106</v>
      </c>
      <c r="O259" s="231">
        <v>3.5</v>
      </c>
      <c r="P259" s="239"/>
      <c r="R259" s="281" t="s">
        <v>1762</v>
      </c>
      <c r="S259" s="226" t="s">
        <v>2416</v>
      </c>
      <c r="T259" s="804"/>
      <c r="X259" s="2163"/>
      <c r="AA259" s="839"/>
      <c r="AB259" s="839"/>
      <c r="AC259" s="1940"/>
    </row>
    <row r="260" s="42" customFormat="1" ht="16" hidden="1" customHeight="1" spans="1:29">
      <c r="A260" s="839">
        <v>152</v>
      </c>
      <c r="B260" s="2004" t="s">
        <v>2414</v>
      </c>
      <c r="C260" s="2004"/>
      <c r="D260" s="2040">
        <v>46051</v>
      </c>
      <c r="E260" s="661">
        <v>6.9591</v>
      </c>
      <c r="F260" s="2132" t="s">
        <v>2417</v>
      </c>
      <c r="G260" s="227" t="s">
        <v>1565</v>
      </c>
      <c r="H260" s="245" t="s">
        <v>2415</v>
      </c>
      <c r="I260" s="227" t="s">
        <v>1506</v>
      </c>
      <c r="J260" s="227" t="s">
        <v>1871</v>
      </c>
      <c r="K260" s="227" t="s">
        <v>712</v>
      </c>
      <c r="L260" s="227">
        <v>7.5</v>
      </c>
      <c r="M260" s="231">
        <v>5.47</v>
      </c>
      <c r="N260" s="231">
        <v>16.7</v>
      </c>
      <c r="O260" s="231">
        <v>3.5</v>
      </c>
      <c r="P260" s="239"/>
      <c r="R260" s="281" t="s">
        <v>1762</v>
      </c>
      <c r="S260" s="226" t="s">
        <v>2418</v>
      </c>
      <c r="T260" s="804"/>
      <c r="X260" s="2163"/>
      <c r="AA260" s="839"/>
      <c r="AB260" s="839"/>
      <c r="AC260" s="1940"/>
    </row>
    <row r="261" s="42" customFormat="1" ht="16" hidden="1" customHeight="1" spans="1:29">
      <c r="A261" s="839">
        <v>153</v>
      </c>
      <c r="B261" s="658" t="s">
        <v>2419</v>
      </c>
      <c r="C261" s="2154" t="s">
        <v>1611</v>
      </c>
      <c r="D261" s="2057">
        <v>20250915</v>
      </c>
      <c r="E261" s="658">
        <v>6.9667</v>
      </c>
      <c r="F261" s="2132" t="s">
        <v>1612</v>
      </c>
      <c r="G261" s="226" t="s">
        <v>1565</v>
      </c>
      <c r="H261" s="245" t="s">
        <v>2278</v>
      </c>
      <c r="I261" s="227" t="s">
        <v>1506</v>
      </c>
      <c r="J261" s="245" t="s">
        <v>1614</v>
      </c>
      <c r="K261" s="227" t="s">
        <v>712</v>
      </c>
      <c r="L261" s="232">
        <f>18.2/E261/1.13</f>
        <v>2.31188291303852</v>
      </c>
      <c r="M261" s="231">
        <f t="shared" ref="M261:M263" si="65">32.95/E261/1.13</f>
        <v>4.1855242848692</v>
      </c>
      <c r="N261" s="231">
        <v>12.6011651511325</v>
      </c>
      <c r="O261" s="231">
        <f t="shared" ref="O261:O263" si="66">21.2/E261/1.13</f>
        <v>2.69296251408883</v>
      </c>
      <c r="P261" s="231"/>
      <c r="Q261" s="281" t="s">
        <v>1526</v>
      </c>
      <c r="R261" s="226" t="s">
        <v>2420</v>
      </c>
      <c r="S261" s="226"/>
      <c r="T261" s="804"/>
      <c r="X261" s="2163"/>
      <c r="AA261" s="839"/>
      <c r="AB261" s="839"/>
      <c r="AC261" s="1940"/>
    </row>
    <row r="262" s="42" customFormat="1" ht="16" hidden="1" customHeight="1" spans="1:29">
      <c r="A262" s="839">
        <v>154</v>
      </c>
      <c r="B262" s="658"/>
      <c r="C262" s="658"/>
      <c r="D262" s="2165">
        <v>46080</v>
      </c>
      <c r="E262" s="266">
        <v>6.8802</v>
      </c>
      <c r="F262" s="2132" t="s">
        <v>2421</v>
      </c>
      <c r="G262" s="226" t="s">
        <v>1645</v>
      </c>
      <c r="H262" s="245"/>
      <c r="I262" s="227"/>
      <c r="J262" s="245" t="s">
        <v>1552</v>
      </c>
      <c r="K262" s="227" t="s">
        <v>712</v>
      </c>
      <c r="L262" s="232">
        <v>3.1</v>
      </c>
      <c r="M262" s="231">
        <f t="shared" si="65"/>
        <v>4.23814598927331</v>
      </c>
      <c r="N262" s="231">
        <v>15.5</v>
      </c>
      <c r="O262" s="231">
        <f t="shared" si="66"/>
        <v>2.72681927079193</v>
      </c>
      <c r="P262" s="231"/>
      <c r="Q262" s="231">
        <f t="shared" ref="Q262:Q326" si="67">SUM(K262:O262)</f>
        <v>25.5649652600652</v>
      </c>
      <c r="R262" s="226"/>
      <c r="S262" s="226"/>
      <c r="T262" s="804"/>
      <c r="X262" s="2163"/>
      <c r="AA262" s="839"/>
      <c r="AB262" s="839"/>
      <c r="AC262" s="1940"/>
    </row>
    <row r="263" s="42" customFormat="1" ht="16" hidden="1" customHeight="1" spans="1:29">
      <c r="A263" s="839">
        <v>155</v>
      </c>
      <c r="B263" s="658"/>
      <c r="C263" s="2154" t="s">
        <v>1611</v>
      </c>
      <c r="D263" s="2057">
        <v>20250915</v>
      </c>
      <c r="E263" s="658">
        <v>6.9667</v>
      </c>
      <c r="F263" s="2132" t="s">
        <v>1616</v>
      </c>
      <c r="G263" s="226" t="s">
        <v>1617</v>
      </c>
      <c r="H263" s="245" t="s">
        <v>2282</v>
      </c>
      <c r="I263" s="227" t="s">
        <v>1594</v>
      </c>
      <c r="J263" s="245" t="s">
        <v>1619</v>
      </c>
      <c r="K263" s="227" t="s">
        <v>712</v>
      </c>
      <c r="L263" s="232">
        <f>29.5/E263/1.13</f>
        <v>3.74728274366134</v>
      </c>
      <c r="M263" s="231">
        <f t="shared" si="65"/>
        <v>4.1855242848692</v>
      </c>
      <c r="N263" s="231">
        <v>16.340105746272</v>
      </c>
      <c r="O263" s="231">
        <f t="shared" si="66"/>
        <v>2.69296251408883</v>
      </c>
      <c r="P263" s="231"/>
      <c r="Q263" s="281" t="s">
        <v>1526</v>
      </c>
      <c r="R263" s="226" t="s">
        <v>2188</v>
      </c>
      <c r="S263" s="226"/>
      <c r="T263" s="804"/>
      <c r="X263" s="2163"/>
      <c r="AA263" s="839"/>
      <c r="AB263" s="839"/>
      <c r="AC263" s="1940"/>
    </row>
    <row r="264" s="993" customFormat="1" ht="16" hidden="1" customHeight="1" spans="1:29">
      <c r="A264" s="839">
        <v>156</v>
      </c>
      <c r="B264" s="266" t="s">
        <v>2241</v>
      </c>
      <c r="C264" s="266"/>
      <c r="D264" s="2081">
        <v>46057</v>
      </c>
      <c r="E264" s="219">
        <v>6.9514</v>
      </c>
      <c r="F264" s="2132" t="s">
        <v>2422</v>
      </c>
      <c r="G264" s="219" t="s">
        <v>1671</v>
      </c>
      <c r="H264" s="219"/>
      <c r="I264" s="219" t="s">
        <v>2384</v>
      </c>
      <c r="J264" s="219" t="s">
        <v>1428</v>
      </c>
      <c r="K264" s="317" t="s">
        <v>712</v>
      </c>
      <c r="L264" s="219" t="s">
        <v>1428</v>
      </c>
      <c r="M264" s="319">
        <f>43.37/E264/1.13</f>
        <v>5.52126635979103</v>
      </c>
      <c r="N264" s="319">
        <v>25.1</v>
      </c>
      <c r="O264" s="320">
        <f t="shared" ref="O264:O270" si="68">23/E264</f>
        <v>3.30868602008229</v>
      </c>
      <c r="P264" s="320"/>
      <c r="Q264" s="320">
        <f t="shared" si="67"/>
        <v>33.9299523798733</v>
      </c>
      <c r="R264" s="266" t="s">
        <v>1526</v>
      </c>
      <c r="S264" s="266" t="s">
        <v>2423</v>
      </c>
      <c r="T264" s="1246"/>
      <c r="X264" s="2166"/>
      <c r="AC264" s="2044"/>
    </row>
    <row r="265" s="839" customFormat="1" ht="16" hidden="1" customHeight="1" spans="1:29">
      <c r="A265" s="839">
        <v>157</v>
      </c>
      <c r="B265" s="226"/>
      <c r="C265" s="226"/>
      <c r="D265" s="227">
        <v>20250612</v>
      </c>
      <c r="E265" s="227">
        <v>7.17</v>
      </c>
      <c r="F265" s="2132" t="s">
        <v>2424</v>
      </c>
      <c r="G265" s="227" t="s">
        <v>1672</v>
      </c>
      <c r="H265" s="227"/>
      <c r="I265" s="227" t="s">
        <v>2400</v>
      </c>
      <c r="J265" s="227" t="s">
        <v>1428</v>
      </c>
      <c r="K265" s="507" t="s">
        <v>712</v>
      </c>
      <c r="L265" s="227" t="s">
        <v>1428</v>
      </c>
      <c r="M265" s="232">
        <v>4.59732291806354</v>
      </c>
      <c r="N265" s="232">
        <v>23.4771147149049</v>
      </c>
      <c r="O265" s="231">
        <f t="shared" si="68"/>
        <v>3.20781032078103</v>
      </c>
      <c r="P265" s="231"/>
      <c r="Q265" s="231">
        <f t="shared" si="67"/>
        <v>31.2822479537495</v>
      </c>
      <c r="R265" s="226" t="s">
        <v>1526</v>
      </c>
      <c r="S265" s="226" t="s">
        <v>2423</v>
      </c>
      <c r="T265" s="804"/>
      <c r="X265" s="1940"/>
      <c r="AC265" s="1940"/>
    </row>
    <row r="266" s="42" customFormat="1" ht="16" hidden="1" customHeight="1" spans="1:29">
      <c r="A266" s="839">
        <v>158</v>
      </c>
      <c r="B266" s="226"/>
      <c r="C266" s="226"/>
      <c r="D266" s="227">
        <v>20250612</v>
      </c>
      <c r="E266" s="227">
        <v>7.17</v>
      </c>
      <c r="F266" s="2132" t="s">
        <v>2425</v>
      </c>
      <c r="G266" s="227" t="s">
        <v>1581</v>
      </c>
      <c r="H266" s="227"/>
      <c r="I266" s="227" t="s">
        <v>2400</v>
      </c>
      <c r="J266" s="227" t="s">
        <v>1428</v>
      </c>
      <c r="K266" s="507" t="s">
        <v>712</v>
      </c>
      <c r="L266" s="227" t="s">
        <v>1428</v>
      </c>
      <c r="M266" s="232">
        <v>4.59732291806354</v>
      </c>
      <c r="N266" s="232">
        <v>23.4771147149049</v>
      </c>
      <c r="O266" s="231">
        <f t="shared" si="68"/>
        <v>3.20781032078103</v>
      </c>
      <c r="P266" s="231"/>
      <c r="Q266" s="231">
        <f t="shared" si="67"/>
        <v>31.2822479537495</v>
      </c>
      <c r="R266" s="226" t="s">
        <v>1526</v>
      </c>
      <c r="S266" s="226" t="s">
        <v>2423</v>
      </c>
      <c r="T266" s="804"/>
      <c r="X266" s="2163"/>
      <c r="AA266" s="839"/>
      <c r="AB266" s="839"/>
      <c r="AC266" s="1940"/>
    </row>
    <row r="267" s="42" customFormat="1" ht="16" hidden="1" customHeight="1" spans="1:29">
      <c r="A267" s="839">
        <v>159</v>
      </c>
      <c r="B267" s="226"/>
      <c r="C267" s="226"/>
      <c r="D267" s="227">
        <v>20250612</v>
      </c>
      <c r="E267" s="227">
        <v>7.17</v>
      </c>
      <c r="F267" s="2132" t="s">
        <v>2426</v>
      </c>
      <c r="G267" s="227" t="s">
        <v>2427</v>
      </c>
      <c r="H267" s="227"/>
      <c r="I267" s="227" t="s">
        <v>2384</v>
      </c>
      <c r="J267" s="227" t="s">
        <v>1428</v>
      </c>
      <c r="K267" s="245" t="s">
        <v>712</v>
      </c>
      <c r="L267" s="227" t="s">
        <v>1428</v>
      </c>
      <c r="M267" s="232">
        <v>4.59732291806354</v>
      </c>
      <c r="N267" s="232">
        <v>23.4771147149049</v>
      </c>
      <c r="O267" s="231">
        <f t="shared" si="68"/>
        <v>3.20781032078103</v>
      </c>
      <c r="P267" s="231"/>
      <c r="Q267" s="231">
        <f t="shared" si="67"/>
        <v>31.2822479537495</v>
      </c>
      <c r="R267" s="226" t="s">
        <v>1526</v>
      </c>
      <c r="S267" s="226" t="s">
        <v>2423</v>
      </c>
      <c r="T267" s="804"/>
      <c r="X267" s="2163"/>
      <c r="AA267" s="839"/>
      <c r="AB267" s="839"/>
      <c r="AC267" s="1940"/>
    </row>
    <row r="268" s="42" customFormat="1" ht="16" hidden="1" customHeight="1" spans="1:29">
      <c r="A268" s="839">
        <v>160</v>
      </c>
      <c r="B268" s="226"/>
      <c r="C268" s="226"/>
      <c r="D268" s="227">
        <v>20250820</v>
      </c>
      <c r="E268" s="227">
        <v>7.17</v>
      </c>
      <c r="F268" s="2132" t="s">
        <v>2428</v>
      </c>
      <c r="G268" s="227" t="s">
        <v>2306</v>
      </c>
      <c r="H268" s="227"/>
      <c r="I268" s="227" t="s">
        <v>2392</v>
      </c>
      <c r="J268" s="227"/>
      <c r="K268" s="245" t="s">
        <v>712</v>
      </c>
      <c r="L268" s="227"/>
      <c r="M268" s="232">
        <v>4.59732291806354</v>
      </c>
      <c r="N268" s="232">
        <v>23.7421038806154</v>
      </c>
      <c r="O268" s="231">
        <f t="shared" si="68"/>
        <v>3.20781032078103</v>
      </c>
      <c r="P268" s="231"/>
      <c r="Q268" s="231">
        <f t="shared" si="67"/>
        <v>31.54723711946</v>
      </c>
      <c r="R268" s="226" t="s">
        <v>1526</v>
      </c>
      <c r="S268" s="226" t="s">
        <v>2429</v>
      </c>
      <c r="T268" s="804"/>
      <c r="X268" s="2163"/>
      <c r="AA268" s="839"/>
      <c r="AB268" s="839"/>
      <c r="AC268" s="1940"/>
    </row>
    <row r="269" s="42" customFormat="1" ht="16" hidden="1" customHeight="1" spans="1:29">
      <c r="A269" s="839">
        <v>161</v>
      </c>
      <c r="B269" s="226"/>
      <c r="C269" s="226"/>
      <c r="D269" s="227">
        <v>20250820</v>
      </c>
      <c r="E269" s="227">
        <v>7.17</v>
      </c>
      <c r="F269" s="2132" t="s">
        <v>2430</v>
      </c>
      <c r="G269" s="227" t="s">
        <v>2431</v>
      </c>
      <c r="H269" s="227"/>
      <c r="I269" s="227" t="s">
        <v>2354</v>
      </c>
      <c r="J269" s="227"/>
      <c r="K269" s="245" t="s">
        <v>712</v>
      </c>
      <c r="L269" s="227"/>
      <c r="M269" s="232">
        <v>4.59732291806354</v>
      </c>
      <c r="N269" s="232">
        <v>23.3561285140364</v>
      </c>
      <c r="O269" s="231">
        <f t="shared" si="68"/>
        <v>3.20781032078103</v>
      </c>
      <c r="P269" s="231"/>
      <c r="Q269" s="231">
        <f t="shared" si="67"/>
        <v>31.161261752881</v>
      </c>
      <c r="R269" s="226" t="s">
        <v>1526</v>
      </c>
      <c r="S269" s="226" t="s">
        <v>2432</v>
      </c>
      <c r="T269" s="804"/>
      <c r="X269" s="2163"/>
      <c r="AA269" s="839"/>
      <c r="AB269" s="839"/>
      <c r="AC269" s="1940"/>
    </row>
    <row r="270" s="42" customFormat="1" ht="16" hidden="1" customHeight="1" spans="1:29">
      <c r="A270" s="839">
        <v>162</v>
      </c>
      <c r="B270" s="226"/>
      <c r="C270" s="226"/>
      <c r="D270" s="227">
        <v>20250820</v>
      </c>
      <c r="E270" s="227">
        <v>7.17</v>
      </c>
      <c r="F270" s="2132" t="s">
        <v>2433</v>
      </c>
      <c r="G270" s="227" t="s">
        <v>1667</v>
      </c>
      <c r="H270" s="227"/>
      <c r="I270" s="227" t="s">
        <v>2369</v>
      </c>
      <c r="J270" s="227"/>
      <c r="K270" s="245" t="s">
        <v>712</v>
      </c>
      <c r="L270" s="227"/>
      <c r="M270" s="232">
        <v>4.59732291806354</v>
      </c>
      <c r="N270" s="232">
        <v>24.4017961657748</v>
      </c>
      <c r="O270" s="231">
        <f t="shared" si="68"/>
        <v>3.20781032078103</v>
      </c>
      <c r="P270" s="231"/>
      <c r="Q270" s="231">
        <f t="shared" si="67"/>
        <v>32.2069294046194</v>
      </c>
      <c r="R270" s="226" t="s">
        <v>1526</v>
      </c>
      <c r="S270" s="226" t="s">
        <v>2434</v>
      </c>
      <c r="T270" s="804"/>
      <c r="X270" s="2163"/>
      <c r="AA270" s="839"/>
      <c r="AB270" s="839"/>
      <c r="AC270" s="1940"/>
    </row>
    <row r="271" s="42" customFormat="1" ht="16" hidden="1" customHeight="1" spans="1:29">
      <c r="A271" s="839">
        <v>163</v>
      </c>
      <c r="B271" s="226"/>
      <c r="C271" s="226"/>
      <c r="D271" s="227">
        <v>20240312</v>
      </c>
      <c r="E271" s="227">
        <v>7.17</v>
      </c>
      <c r="F271" s="2132" t="s">
        <v>310</v>
      </c>
      <c r="G271" s="227" t="s">
        <v>311</v>
      </c>
      <c r="H271" s="227"/>
      <c r="I271" s="227"/>
      <c r="J271" s="227"/>
      <c r="K271" s="245" t="s">
        <v>712</v>
      </c>
      <c r="L271" s="227"/>
      <c r="M271" s="232">
        <v>0.56154744346116</v>
      </c>
      <c r="N271" s="232">
        <v>3.97545936509516</v>
      </c>
      <c r="O271" s="288">
        <v>0.4</v>
      </c>
      <c r="P271" s="288"/>
      <c r="Q271" s="231">
        <f t="shared" si="67"/>
        <v>4.93700680855632</v>
      </c>
      <c r="R271" s="226"/>
      <c r="S271" s="226" t="s">
        <v>2435</v>
      </c>
      <c r="T271" s="804"/>
      <c r="X271" s="2163"/>
      <c r="AA271" s="839"/>
      <c r="AB271" s="839"/>
      <c r="AC271" s="1940"/>
    </row>
    <row r="272" s="42" customFormat="1" ht="16" hidden="1" customHeight="1" spans="1:29">
      <c r="A272" s="839">
        <v>164</v>
      </c>
      <c r="B272" s="289" t="s">
        <v>2436</v>
      </c>
      <c r="C272" s="289"/>
      <c r="D272" s="227">
        <v>20240820</v>
      </c>
      <c r="E272" s="227">
        <v>7.17</v>
      </c>
      <c r="F272" s="2132" t="s">
        <v>2437</v>
      </c>
      <c r="G272" s="227" t="s">
        <v>1669</v>
      </c>
      <c r="H272" s="227"/>
      <c r="I272" s="245" t="s">
        <v>2438</v>
      </c>
      <c r="J272" s="227" t="s">
        <v>1428</v>
      </c>
      <c r="K272" s="247" t="s">
        <v>712</v>
      </c>
      <c r="L272" s="227" t="s">
        <v>1428</v>
      </c>
      <c r="M272" s="232">
        <v>5.90711050221548</v>
      </c>
      <c r="N272" s="232">
        <f>0.48+14.5740792775439</f>
        <v>15.0540792775439</v>
      </c>
      <c r="O272" s="231">
        <v>3.14632482758621</v>
      </c>
      <c r="P272" s="231"/>
      <c r="Q272" s="231">
        <f t="shared" si="67"/>
        <v>24.1075146073456</v>
      </c>
      <c r="R272" s="226" t="s">
        <v>1526</v>
      </c>
      <c r="S272" s="226" t="s">
        <v>2439</v>
      </c>
      <c r="T272" s="804"/>
      <c r="X272" s="2163"/>
      <c r="AA272" s="839"/>
      <c r="AB272" s="839"/>
      <c r="AC272" s="1940"/>
    </row>
    <row r="273" s="42" customFormat="1" ht="16" hidden="1" customHeight="1" spans="1:29">
      <c r="A273" s="839">
        <v>165</v>
      </c>
      <c r="B273" s="289"/>
      <c r="C273" s="289"/>
      <c r="D273" s="227">
        <v>20240820</v>
      </c>
      <c r="E273" s="227">
        <v>7.17</v>
      </c>
      <c r="F273" s="2132" t="s">
        <v>2440</v>
      </c>
      <c r="G273" s="227" t="s">
        <v>1671</v>
      </c>
      <c r="H273" s="227"/>
      <c r="I273" s="245" t="s">
        <v>2438</v>
      </c>
      <c r="J273" s="227" t="s">
        <v>1428</v>
      </c>
      <c r="K273" s="247" t="s">
        <v>712</v>
      </c>
      <c r="L273" s="227" t="s">
        <v>1428</v>
      </c>
      <c r="M273" s="232">
        <v>5.90711050221548</v>
      </c>
      <c r="N273" s="232">
        <f>0.48+15.6248216616009</f>
        <v>16.1048216616009</v>
      </c>
      <c r="O273" s="231">
        <v>3.14632482758621</v>
      </c>
      <c r="P273" s="231"/>
      <c r="Q273" s="231">
        <f t="shared" si="67"/>
        <v>25.1582569914026</v>
      </c>
      <c r="R273" s="226" t="s">
        <v>1526</v>
      </c>
      <c r="S273" s="226" t="s">
        <v>2439</v>
      </c>
      <c r="T273" s="804"/>
      <c r="X273" s="2163"/>
      <c r="AA273" s="839"/>
      <c r="AB273" s="839"/>
      <c r="AC273" s="1940"/>
    </row>
    <row r="274" s="42" customFormat="1" ht="16" hidden="1" customHeight="1" spans="1:29">
      <c r="A274" s="839">
        <v>166</v>
      </c>
      <c r="B274" s="289"/>
      <c r="C274" s="289"/>
      <c r="D274" s="227">
        <v>20240820</v>
      </c>
      <c r="E274" s="227">
        <v>7.17</v>
      </c>
      <c r="F274" s="2132" t="s">
        <v>2441</v>
      </c>
      <c r="G274" s="227" t="s">
        <v>1672</v>
      </c>
      <c r="H274" s="227"/>
      <c r="I274" s="245" t="s">
        <v>2438</v>
      </c>
      <c r="J274" s="227" t="s">
        <v>1428</v>
      </c>
      <c r="K274" s="247" t="s">
        <v>712</v>
      </c>
      <c r="L274" s="227" t="s">
        <v>1428</v>
      </c>
      <c r="M274" s="232">
        <v>5.90711050221548</v>
      </c>
      <c r="N274" s="232">
        <f>0.48+15.5148929813574</f>
        <v>15.9948929813574</v>
      </c>
      <c r="O274" s="231">
        <v>3.14632482758621</v>
      </c>
      <c r="P274" s="231"/>
      <c r="Q274" s="231">
        <f t="shared" si="67"/>
        <v>25.0483283111591</v>
      </c>
      <c r="R274" s="226" t="s">
        <v>1526</v>
      </c>
      <c r="S274" s="226" t="s">
        <v>2439</v>
      </c>
      <c r="T274" s="804"/>
      <c r="X274" s="2163"/>
      <c r="AA274" s="839"/>
      <c r="AB274" s="839"/>
      <c r="AC274" s="1940"/>
    </row>
    <row r="275" s="42" customFormat="1" ht="16" hidden="1" customHeight="1" spans="1:29">
      <c r="A275" s="839">
        <v>167</v>
      </c>
      <c r="B275" s="289"/>
      <c r="C275" s="289"/>
      <c r="D275" s="227">
        <v>20240906</v>
      </c>
      <c r="E275" s="227">
        <v>7.17</v>
      </c>
      <c r="F275" s="2132" t="s">
        <v>2442</v>
      </c>
      <c r="G275" s="227" t="s">
        <v>1998</v>
      </c>
      <c r="H275" s="227"/>
      <c r="I275" s="245" t="s">
        <v>2438</v>
      </c>
      <c r="J275" s="227" t="s">
        <v>1428</v>
      </c>
      <c r="K275" s="247" t="s">
        <v>712</v>
      </c>
      <c r="L275" s="227" t="s">
        <v>1428</v>
      </c>
      <c r="M275" s="232">
        <v>5.90711050221548</v>
      </c>
      <c r="N275" s="232">
        <f>0.48+15.1562799370652</f>
        <v>15.6362799370652</v>
      </c>
      <c r="O275" s="231">
        <v>3.14632482758621</v>
      </c>
      <c r="P275" s="231"/>
      <c r="Q275" s="231">
        <f t="shared" si="67"/>
        <v>24.6897152668669</v>
      </c>
      <c r="R275" s="226" t="s">
        <v>1526</v>
      </c>
      <c r="S275" s="226" t="s">
        <v>2439</v>
      </c>
      <c r="T275" s="804"/>
      <c r="X275" s="2163"/>
      <c r="AA275" s="839"/>
      <c r="AB275" s="839"/>
      <c r="AC275" s="1940"/>
    </row>
    <row r="276" s="42" customFormat="1" ht="16" hidden="1" customHeight="1" spans="1:29">
      <c r="A276" s="839">
        <v>168</v>
      </c>
      <c r="B276" s="289"/>
      <c r="C276" s="289"/>
      <c r="D276" s="219">
        <v>20250403</v>
      </c>
      <c r="E276" s="227">
        <v>7.17</v>
      </c>
      <c r="F276" s="2132" t="s">
        <v>2443</v>
      </c>
      <c r="G276" s="227" t="s">
        <v>1581</v>
      </c>
      <c r="H276" s="227"/>
      <c r="I276" s="245" t="s">
        <v>2444</v>
      </c>
      <c r="J276" s="227" t="s">
        <v>1428</v>
      </c>
      <c r="K276" s="247" t="s">
        <v>712</v>
      </c>
      <c r="L276" s="227" t="s">
        <v>1428</v>
      </c>
      <c r="M276" s="232">
        <v>5.90711050221548</v>
      </c>
      <c r="N276" s="232">
        <f>0.48+14.5829128870327</f>
        <v>15.0629128870327</v>
      </c>
      <c r="O276" s="231">
        <v>3.14632482758621</v>
      </c>
      <c r="P276" s="231"/>
      <c r="Q276" s="231">
        <f t="shared" si="67"/>
        <v>24.1163482168344</v>
      </c>
      <c r="R276" s="226" t="s">
        <v>1526</v>
      </c>
      <c r="S276" s="226" t="s">
        <v>2445</v>
      </c>
      <c r="T276" s="804"/>
      <c r="X276" s="2163"/>
      <c r="AA276" s="839"/>
      <c r="AB276" s="839"/>
      <c r="AC276" s="1940"/>
    </row>
    <row r="277" s="42" customFormat="1" ht="16" hidden="1" customHeight="1" spans="1:29">
      <c r="A277" s="839">
        <v>169</v>
      </c>
      <c r="B277" s="289"/>
      <c r="C277" s="289"/>
      <c r="D277" s="227">
        <v>20240925</v>
      </c>
      <c r="E277" s="227">
        <v>7.17</v>
      </c>
      <c r="F277" s="2132" t="s">
        <v>2446</v>
      </c>
      <c r="G277" s="227" t="s">
        <v>2427</v>
      </c>
      <c r="H277" s="227"/>
      <c r="I277" s="245" t="s">
        <v>2384</v>
      </c>
      <c r="J277" s="227" t="s">
        <v>1428</v>
      </c>
      <c r="K277" s="252" t="s">
        <v>712</v>
      </c>
      <c r="L277" s="227" t="s">
        <v>1428</v>
      </c>
      <c r="M277" s="232">
        <v>5.90711050221548</v>
      </c>
      <c r="N277" s="232">
        <f>0.48+15.3570496165</f>
        <v>15.8370496165</v>
      </c>
      <c r="O277" s="231">
        <v>3.14632482758621</v>
      </c>
      <c r="P277" s="231"/>
      <c r="Q277" s="231">
        <f t="shared" si="67"/>
        <v>24.8904849463017</v>
      </c>
      <c r="R277" s="226" t="s">
        <v>1526</v>
      </c>
      <c r="S277" s="226" t="s">
        <v>2447</v>
      </c>
      <c r="T277" s="804"/>
      <c r="X277" s="2163"/>
      <c r="AA277" s="839"/>
      <c r="AB277" s="839"/>
      <c r="AC277" s="1940"/>
    </row>
    <row r="278" s="42" customFormat="1" ht="16" hidden="1" customHeight="1" spans="1:29">
      <c r="A278" s="839">
        <v>170</v>
      </c>
      <c r="B278" s="289"/>
      <c r="C278" s="289"/>
      <c r="D278" s="227">
        <v>20240925</v>
      </c>
      <c r="E278" s="227">
        <v>7.17</v>
      </c>
      <c r="F278" s="2132" t="s">
        <v>2448</v>
      </c>
      <c r="G278" s="227" t="s">
        <v>2449</v>
      </c>
      <c r="H278" s="227"/>
      <c r="I278" s="245" t="s">
        <v>2407</v>
      </c>
      <c r="J278" s="227" t="s">
        <v>1428</v>
      </c>
      <c r="K278" s="252" t="s">
        <v>712</v>
      </c>
      <c r="L278" s="227" t="s">
        <v>1428</v>
      </c>
      <c r="M278" s="232">
        <v>5.90711050221548</v>
      </c>
      <c r="N278" s="232">
        <f>0.48+15.3635704978835</f>
        <v>15.8435704978835</v>
      </c>
      <c r="O278" s="231">
        <v>3.14632482758621</v>
      </c>
      <c r="P278" s="231"/>
      <c r="Q278" s="231">
        <f t="shared" si="67"/>
        <v>24.8970058276852</v>
      </c>
      <c r="R278" s="226" t="s">
        <v>1526</v>
      </c>
      <c r="S278" s="226" t="s">
        <v>2447</v>
      </c>
      <c r="T278" s="804"/>
      <c r="X278" s="2163"/>
      <c r="AA278" s="839"/>
      <c r="AB278" s="839"/>
      <c r="AC278" s="1940"/>
    </row>
    <row r="279" s="42" customFormat="1" ht="16" hidden="1" customHeight="1" spans="1:29">
      <c r="A279" s="839">
        <v>171</v>
      </c>
      <c r="B279" s="289"/>
      <c r="C279" s="289"/>
      <c r="D279" s="227">
        <v>20241216</v>
      </c>
      <c r="E279" s="227">
        <v>7.17</v>
      </c>
      <c r="F279" s="2132" t="s">
        <v>2450</v>
      </c>
      <c r="G279" s="227" t="s">
        <v>1667</v>
      </c>
      <c r="H279" s="227"/>
      <c r="I279" s="245" t="s">
        <v>2354</v>
      </c>
      <c r="J279" s="227"/>
      <c r="K279" s="507" t="s">
        <v>712</v>
      </c>
      <c r="L279" s="227"/>
      <c r="M279" s="232">
        <v>5.90711050221548</v>
      </c>
      <c r="N279" s="232">
        <v>13.2118664504983</v>
      </c>
      <c r="O279" s="231">
        <v>3.14632482758621</v>
      </c>
      <c r="P279" s="231"/>
      <c r="Q279" s="231">
        <f t="shared" si="67"/>
        <v>22.2653017803</v>
      </c>
      <c r="R279" s="226" t="s">
        <v>1526</v>
      </c>
      <c r="S279" s="226" t="s">
        <v>2451</v>
      </c>
      <c r="T279" s="804"/>
      <c r="X279" s="2163"/>
      <c r="AA279" s="839"/>
      <c r="AB279" s="839"/>
      <c r="AC279" s="1940"/>
    </row>
    <row r="280" s="42" customFormat="1" ht="16" hidden="1" customHeight="1" spans="1:29">
      <c r="A280" s="839">
        <v>172</v>
      </c>
      <c r="B280" s="314"/>
      <c r="C280" s="289"/>
      <c r="D280" s="2081">
        <v>46258</v>
      </c>
      <c r="E280" s="219">
        <v>6.73</v>
      </c>
      <c r="F280" s="2125" t="s">
        <v>2452</v>
      </c>
      <c r="G280" s="219" t="s">
        <v>1558</v>
      </c>
      <c r="H280" s="219"/>
      <c r="I280" s="317" t="s">
        <v>2444</v>
      </c>
      <c r="J280" s="219" t="s">
        <v>1428</v>
      </c>
      <c r="K280" s="513" t="s">
        <v>712</v>
      </c>
      <c r="L280" s="219" t="s">
        <v>1428</v>
      </c>
      <c r="M280" s="319">
        <f>60.16/E280/1.13</f>
        <v>7.91068916093571</v>
      </c>
      <c r="N280" s="319">
        <v>19.6</v>
      </c>
      <c r="O280" s="320">
        <v>3.14632482758621</v>
      </c>
      <c r="P280" s="320"/>
      <c r="Q280" s="320">
        <f t="shared" si="67"/>
        <v>30.6570139885219</v>
      </c>
      <c r="R280" s="266" t="s">
        <v>1526</v>
      </c>
      <c r="S280" s="266" t="s">
        <v>2453</v>
      </c>
      <c r="T280" s="804"/>
      <c r="X280" s="2163"/>
      <c r="AA280" s="839"/>
      <c r="AB280" s="839"/>
      <c r="AC280" s="1940"/>
    </row>
    <row r="281" s="42" customFormat="1" ht="16" hidden="1" customHeight="1" spans="1:29">
      <c r="A281" s="839">
        <v>173</v>
      </c>
      <c r="B281" s="289"/>
      <c r="C281" s="289"/>
      <c r="D281" s="227">
        <v>20241216</v>
      </c>
      <c r="E281" s="227">
        <v>7.17</v>
      </c>
      <c r="F281" s="2132" t="s">
        <v>2454</v>
      </c>
      <c r="G281" s="227" t="s">
        <v>2311</v>
      </c>
      <c r="H281" s="227"/>
      <c r="I281" s="245" t="s">
        <v>2365</v>
      </c>
      <c r="J281" s="227"/>
      <c r="K281" s="507" t="s">
        <v>712</v>
      </c>
      <c r="L281" s="227"/>
      <c r="M281" s="232">
        <v>5.90711050221548</v>
      </c>
      <c r="N281" s="232">
        <f>0.48+15.6916575294154</f>
        <v>16.1716575294154</v>
      </c>
      <c r="O281" s="231">
        <v>3.14632482758621</v>
      </c>
      <c r="P281" s="231"/>
      <c r="Q281" s="231">
        <f t="shared" si="67"/>
        <v>25.2250928592171</v>
      </c>
      <c r="R281" s="226" t="s">
        <v>1526</v>
      </c>
      <c r="S281" s="226" t="s">
        <v>2455</v>
      </c>
      <c r="T281" s="804"/>
      <c r="X281" s="2163"/>
      <c r="AA281" s="839"/>
      <c r="AB281" s="839"/>
      <c r="AC281" s="1940"/>
    </row>
    <row r="282" s="42" customFormat="1" ht="16" hidden="1" customHeight="1" spans="1:29">
      <c r="A282" s="839">
        <v>174</v>
      </c>
      <c r="B282" s="289"/>
      <c r="C282" s="289"/>
      <c r="D282" s="227">
        <v>20241216</v>
      </c>
      <c r="E282" s="227">
        <v>7.17</v>
      </c>
      <c r="F282" s="2132" t="s">
        <v>2456</v>
      </c>
      <c r="G282" s="227" t="s">
        <v>2314</v>
      </c>
      <c r="H282" s="227"/>
      <c r="I282" s="245" t="s">
        <v>2354</v>
      </c>
      <c r="J282" s="227"/>
      <c r="K282" s="507" t="s">
        <v>712</v>
      </c>
      <c r="L282" s="227"/>
      <c r="M282" s="232">
        <v>5.90711050221548</v>
      </c>
      <c r="N282" s="232">
        <f>0.48+11.6710256542252</f>
        <v>12.1510256542252</v>
      </c>
      <c r="O282" s="231">
        <v>3.14632482758621</v>
      </c>
      <c r="P282" s="231"/>
      <c r="Q282" s="231">
        <f t="shared" si="67"/>
        <v>21.2044609840269</v>
      </c>
      <c r="R282" s="226" t="s">
        <v>1526</v>
      </c>
      <c r="S282" s="226" t="s">
        <v>2457</v>
      </c>
      <c r="T282" s="804"/>
      <c r="X282" s="2163"/>
      <c r="AA282" s="839"/>
      <c r="AB282" s="839"/>
      <c r="AC282" s="1940"/>
    </row>
    <row r="283" s="42" customFormat="1" ht="16" hidden="1" customHeight="1" spans="1:29">
      <c r="A283" s="839">
        <v>175</v>
      </c>
      <c r="B283" s="289"/>
      <c r="C283" s="289"/>
      <c r="D283" s="227">
        <v>20241216</v>
      </c>
      <c r="E283" s="227">
        <v>7.17</v>
      </c>
      <c r="F283" s="2132" t="s">
        <v>2458</v>
      </c>
      <c r="G283" s="227" t="s">
        <v>2459</v>
      </c>
      <c r="H283" s="227"/>
      <c r="I283" s="245" t="s">
        <v>2444</v>
      </c>
      <c r="J283" s="227"/>
      <c r="K283" s="509" t="s">
        <v>712</v>
      </c>
      <c r="L283" s="227"/>
      <c r="M283" s="232">
        <v>5.90711050221548</v>
      </c>
      <c r="N283" s="232">
        <f>0.48+15.6773748880506</f>
        <v>16.1573748880506</v>
      </c>
      <c r="O283" s="231">
        <v>3.14632482758621</v>
      </c>
      <c r="P283" s="231"/>
      <c r="Q283" s="231">
        <f t="shared" si="67"/>
        <v>25.2108102178523</v>
      </c>
      <c r="R283" s="226" t="s">
        <v>1526</v>
      </c>
      <c r="S283" s="226" t="s">
        <v>2460</v>
      </c>
      <c r="T283" s="804"/>
      <c r="X283" s="2163"/>
      <c r="AA283" s="839"/>
      <c r="AB283" s="839"/>
      <c r="AC283" s="1940"/>
    </row>
    <row r="284" s="42" customFormat="1" ht="16" hidden="1" customHeight="1" spans="1:29">
      <c r="A284" s="839">
        <v>176</v>
      </c>
      <c r="B284" s="289"/>
      <c r="C284" s="289"/>
      <c r="D284" s="227">
        <v>20250304</v>
      </c>
      <c r="E284" s="227">
        <v>7.17</v>
      </c>
      <c r="F284" s="2132" t="s">
        <v>2461</v>
      </c>
      <c r="G284" s="227" t="s">
        <v>2462</v>
      </c>
      <c r="H284" s="227"/>
      <c r="I284" s="245" t="s">
        <v>2354</v>
      </c>
      <c r="J284" s="227"/>
      <c r="K284" s="507" t="s">
        <v>712</v>
      </c>
      <c r="L284" s="227"/>
      <c r="M284" s="232">
        <v>5.90711050221548</v>
      </c>
      <c r="N284" s="232">
        <f>0.48+16.9359380085596</f>
        <v>17.4159380085596</v>
      </c>
      <c r="O284" s="231">
        <v>3.14632482758621</v>
      </c>
      <c r="P284" s="231"/>
      <c r="Q284" s="231">
        <f t="shared" si="67"/>
        <v>26.4693733383613</v>
      </c>
      <c r="R284" s="226" t="s">
        <v>1526</v>
      </c>
      <c r="S284" s="226" t="s">
        <v>2463</v>
      </c>
      <c r="T284" s="804"/>
      <c r="X284" s="2163"/>
      <c r="AA284" s="839"/>
      <c r="AB284" s="839"/>
      <c r="AC284" s="1940"/>
    </row>
    <row r="285" s="42" customFormat="1" ht="16" hidden="1" customHeight="1" spans="1:29">
      <c r="A285" s="839">
        <v>177</v>
      </c>
      <c r="B285" s="289"/>
      <c r="C285" s="289"/>
      <c r="D285" s="227">
        <v>20250304</v>
      </c>
      <c r="E285" s="227">
        <v>7.17</v>
      </c>
      <c r="F285" s="2132" t="s">
        <v>2464</v>
      </c>
      <c r="G285" s="227" t="s">
        <v>2465</v>
      </c>
      <c r="H285" s="227"/>
      <c r="I285" s="245" t="s">
        <v>2354</v>
      </c>
      <c r="J285" s="227"/>
      <c r="K285" s="507" t="s">
        <v>712</v>
      </c>
      <c r="L285" s="227"/>
      <c r="M285" s="232">
        <v>5.90711050221548</v>
      </c>
      <c r="N285" s="232">
        <f>0.48+13.6978874147658</f>
        <v>14.1778874147658</v>
      </c>
      <c r="O285" s="231">
        <v>3.14632482758621</v>
      </c>
      <c r="P285" s="231"/>
      <c r="Q285" s="231">
        <f t="shared" si="67"/>
        <v>23.2313227445675</v>
      </c>
      <c r="R285" s="226" t="s">
        <v>1526</v>
      </c>
      <c r="S285" s="226" t="s">
        <v>2466</v>
      </c>
      <c r="T285" s="804"/>
      <c r="X285" s="2163"/>
      <c r="AA285" s="839"/>
      <c r="AB285" s="839"/>
      <c r="AC285" s="1940"/>
    </row>
    <row r="286" s="42" customFormat="1" ht="16" hidden="1" customHeight="1" spans="1:29">
      <c r="A286" s="839">
        <v>178</v>
      </c>
      <c r="B286" s="289"/>
      <c r="C286" s="289"/>
      <c r="D286" s="227">
        <v>20250304</v>
      </c>
      <c r="E286" s="227">
        <v>7.17</v>
      </c>
      <c r="F286" s="2132" t="s">
        <v>2467</v>
      </c>
      <c r="G286" s="227" t="s">
        <v>2468</v>
      </c>
      <c r="H286" s="227"/>
      <c r="I286" s="245" t="s">
        <v>2354</v>
      </c>
      <c r="J286" s="227"/>
      <c r="K286" s="507" t="s">
        <v>712</v>
      </c>
      <c r="L286" s="227"/>
      <c r="M286" s="232">
        <v>5.90711050221548</v>
      </c>
      <c r="N286" s="232">
        <f>0.48+17.3944198836372</f>
        <v>17.8744198836372</v>
      </c>
      <c r="O286" s="231">
        <v>3.14632482758621</v>
      </c>
      <c r="P286" s="231"/>
      <c r="Q286" s="231">
        <f t="shared" si="67"/>
        <v>26.9278552134389</v>
      </c>
      <c r="R286" s="226" t="s">
        <v>1526</v>
      </c>
      <c r="S286" s="226" t="s">
        <v>2469</v>
      </c>
      <c r="T286" s="804"/>
      <c r="X286" s="2163"/>
      <c r="AA286" s="839"/>
      <c r="AB286" s="839"/>
      <c r="AC286" s="1940"/>
    </row>
    <row r="287" s="42" customFormat="1" ht="16" hidden="1" customHeight="1" spans="1:29">
      <c r="A287" s="839">
        <v>179</v>
      </c>
      <c r="B287" s="289"/>
      <c r="C287" s="289"/>
      <c r="D287" s="227">
        <v>20250304</v>
      </c>
      <c r="E287" s="227">
        <v>7.17</v>
      </c>
      <c r="F287" s="2132" t="s">
        <v>2470</v>
      </c>
      <c r="G287" s="227" t="s">
        <v>2471</v>
      </c>
      <c r="H287" s="227"/>
      <c r="I287" s="245" t="s">
        <v>2354</v>
      </c>
      <c r="J287" s="227"/>
      <c r="K287" s="507" t="s">
        <v>712</v>
      </c>
      <c r="L287" s="227"/>
      <c r="M287" s="232">
        <v>5.90711050221548</v>
      </c>
      <c r="N287" s="232">
        <f>0.48+14.1111250988782</f>
        <v>14.5911250988782</v>
      </c>
      <c r="O287" s="231">
        <v>3.14632482758621</v>
      </c>
      <c r="P287" s="231"/>
      <c r="Q287" s="231">
        <f t="shared" si="67"/>
        <v>23.6445604286799</v>
      </c>
      <c r="R287" s="226" t="s">
        <v>1526</v>
      </c>
      <c r="S287" s="226" t="s">
        <v>2472</v>
      </c>
      <c r="T287" s="804"/>
      <c r="X287" s="2163"/>
      <c r="AA287" s="839"/>
      <c r="AB287" s="839"/>
      <c r="AC287" s="1940"/>
    </row>
    <row r="288" s="42" customFormat="1" ht="16" hidden="1" customHeight="1" spans="1:29">
      <c r="A288" s="839">
        <v>180</v>
      </c>
      <c r="B288" s="289"/>
      <c r="C288" s="289"/>
      <c r="D288" s="227">
        <v>20250312</v>
      </c>
      <c r="E288" s="227">
        <v>7.17</v>
      </c>
      <c r="F288" s="2132" t="s">
        <v>2473</v>
      </c>
      <c r="G288" s="227" t="s">
        <v>1525</v>
      </c>
      <c r="H288" s="227"/>
      <c r="I288" s="245" t="s">
        <v>2474</v>
      </c>
      <c r="J288" s="227"/>
      <c r="K288" s="509" t="s">
        <v>712</v>
      </c>
      <c r="L288" s="227"/>
      <c r="M288" s="232">
        <v>5.90711050221548</v>
      </c>
      <c r="N288" s="232">
        <f>0.48+14.3831383457259</f>
        <v>14.8631383457259</v>
      </c>
      <c r="O288" s="231">
        <v>3.14632482758621</v>
      </c>
      <c r="P288" s="231"/>
      <c r="Q288" s="231">
        <f t="shared" si="67"/>
        <v>23.9165736755276</v>
      </c>
      <c r="R288" s="226" t="s">
        <v>1526</v>
      </c>
      <c r="S288" s="226" t="s">
        <v>2475</v>
      </c>
      <c r="T288" s="804"/>
      <c r="X288" s="2163"/>
      <c r="AA288" s="839"/>
      <c r="AB288" s="839"/>
      <c r="AC288" s="1940"/>
    </row>
    <row r="289" s="42" customFormat="1" ht="16" hidden="1" customHeight="1" spans="1:29">
      <c r="A289" s="839">
        <v>181</v>
      </c>
      <c r="B289" s="289"/>
      <c r="C289" s="289"/>
      <c r="D289" s="227">
        <v>20250312</v>
      </c>
      <c r="E289" s="227">
        <v>7.17</v>
      </c>
      <c r="F289" s="2132" t="s">
        <v>2476</v>
      </c>
      <c r="G289" s="227" t="s">
        <v>2081</v>
      </c>
      <c r="H289" s="227"/>
      <c r="I289" s="245" t="s">
        <v>2477</v>
      </c>
      <c r="J289" s="227"/>
      <c r="K289" s="507" t="s">
        <v>712</v>
      </c>
      <c r="L289" s="227"/>
      <c r="M289" s="232">
        <v>5.90711050221548</v>
      </c>
      <c r="N289" s="232">
        <f>0.48+14.6500483550069</f>
        <v>15.1300483550069</v>
      </c>
      <c r="O289" s="231">
        <v>3.14632482758621</v>
      </c>
      <c r="P289" s="231"/>
      <c r="Q289" s="231">
        <f t="shared" si="67"/>
        <v>24.1834836848086</v>
      </c>
      <c r="R289" s="226" t="s">
        <v>1526</v>
      </c>
      <c r="S289" s="226" t="s">
        <v>2445</v>
      </c>
      <c r="T289" s="804"/>
      <c r="X289" s="2163"/>
      <c r="AA289" s="839"/>
      <c r="AB289" s="839"/>
      <c r="AC289" s="1940"/>
    </row>
    <row r="290" s="42" customFormat="1" ht="16" hidden="1" customHeight="1" spans="1:29">
      <c r="A290" s="839">
        <v>182</v>
      </c>
      <c r="B290" s="289"/>
      <c r="C290" s="289"/>
      <c r="D290" s="227">
        <v>20250312</v>
      </c>
      <c r="E290" s="227">
        <v>7.17</v>
      </c>
      <c r="F290" s="2132" t="s">
        <v>2478</v>
      </c>
      <c r="G290" s="227" t="s">
        <v>2110</v>
      </c>
      <c r="H290" s="227"/>
      <c r="I290" s="245" t="s">
        <v>2479</v>
      </c>
      <c r="J290" s="227"/>
      <c r="K290" s="509" t="s">
        <v>712</v>
      </c>
      <c r="L290" s="227"/>
      <c r="M290" s="232">
        <v>5.90711050221548</v>
      </c>
      <c r="N290" s="232">
        <f>0.48+14.5988882044966</f>
        <v>15.0788882044966</v>
      </c>
      <c r="O290" s="231">
        <v>3.14632482758621</v>
      </c>
      <c r="P290" s="231"/>
      <c r="Q290" s="231">
        <f t="shared" si="67"/>
        <v>24.1323235342983</v>
      </c>
      <c r="R290" s="226" t="s">
        <v>1526</v>
      </c>
      <c r="S290" s="226" t="s">
        <v>2445</v>
      </c>
      <c r="T290" s="804"/>
      <c r="X290" s="2163"/>
      <c r="AA290" s="839"/>
      <c r="AB290" s="839"/>
      <c r="AC290" s="1940"/>
    </row>
    <row r="291" s="42" customFormat="1" ht="16" hidden="1" customHeight="1" spans="1:29">
      <c r="A291" s="839">
        <v>183</v>
      </c>
      <c r="B291" s="289"/>
      <c r="C291" s="289"/>
      <c r="D291" s="244">
        <v>20250417</v>
      </c>
      <c r="E291" s="227">
        <v>7.17</v>
      </c>
      <c r="F291" s="2132" t="s">
        <v>2480</v>
      </c>
      <c r="G291" s="227" t="s">
        <v>667</v>
      </c>
      <c r="H291" s="227"/>
      <c r="I291" s="245" t="s">
        <v>2400</v>
      </c>
      <c r="J291" s="227"/>
      <c r="K291" s="509" t="s">
        <v>712</v>
      </c>
      <c r="L291" s="227"/>
      <c r="M291" s="232">
        <v>5.90711050221548</v>
      </c>
      <c r="N291" s="232">
        <f>0.48+13.1626494078316</f>
        <v>13.6426494078316</v>
      </c>
      <c r="O291" s="231">
        <v>3.14632482758621</v>
      </c>
      <c r="P291" s="231"/>
      <c r="Q291" s="231">
        <f t="shared" si="67"/>
        <v>22.6960847376333</v>
      </c>
      <c r="R291" s="226" t="s">
        <v>1526</v>
      </c>
      <c r="S291" s="226" t="s">
        <v>2481</v>
      </c>
      <c r="T291" s="804"/>
      <c r="X291" s="2163"/>
      <c r="AA291" s="839"/>
      <c r="AB291" s="839"/>
      <c r="AC291" s="1940"/>
    </row>
    <row r="292" s="42" customFormat="1" ht="16" hidden="1" customHeight="1" spans="1:29">
      <c r="A292" s="839">
        <v>184</v>
      </c>
      <c r="B292" s="289"/>
      <c r="C292" s="289"/>
      <c r="D292" s="244">
        <v>20250417</v>
      </c>
      <c r="E292" s="227">
        <v>7.17</v>
      </c>
      <c r="F292" s="2132" t="s">
        <v>2482</v>
      </c>
      <c r="G292" s="227" t="s">
        <v>2483</v>
      </c>
      <c r="H292" s="227"/>
      <c r="I292" s="245" t="s">
        <v>2484</v>
      </c>
      <c r="J292" s="227"/>
      <c r="K292" s="509" t="s">
        <v>712</v>
      </c>
      <c r="L292" s="227"/>
      <c r="M292" s="232">
        <v>5.90711050221548</v>
      </c>
      <c r="N292" s="232">
        <f>0.48+14.5110756313709</f>
        <v>14.9910756313709</v>
      </c>
      <c r="O292" s="231">
        <v>3.14632482758621</v>
      </c>
      <c r="P292" s="231"/>
      <c r="Q292" s="231">
        <f t="shared" si="67"/>
        <v>24.0445109611726</v>
      </c>
      <c r="R292" s="226" t="s">
        <v>1526</v>
      </c>
      <c r="S292" s="226" t="s">
        <v>2445</v>
      </c>
      <c r="T292" s="804"/>
      <c r="X292" s="2163"/>
      <c r="AA292" s="839"/>
      <c r="AB292" s="839"/>
      <c r="AC292" s="1940"/>
    </row>
    <row r="293" s="42" customFormat="1" ht="16" hidden="1" customHeight="1" spans="1:29">
      <c r="A293" s="839">
        <v>185</v>
      </c>
      <c r="B293" s="289"/>
      <c r="C293" s="289"/>
      <c r="D293" s="244">
        <v>20250417</v>
      </c>
      <c r="E293" s="227">
        <v>7.17</v>
      </c>
      <c r="F293" s="2132" t="s">
        <v>2485</v>
      </c>
      <c r="G293" s="227" t="s">
        <v>2486</v>
      </c>
      <c r="H293" s="227"/>
      <c r="I293" s="245" t="s">
        <v>2477</v>
      </c>
      <c r="J293" s="227"/>
      <c r="K293" s="509" t="s">
        <v>712</v>
      </c>
      <c r="L293" s="227"/>
      <c r="M293" s="232">
        <v>5.90711050221548</v>
      </c>
      <c r="N293" s="232">
        <f>0.48+14.5320248577507</f>
        <v>15.0120248577507</v>
      </c>
      <c r="O293" s="231">
        <v>3.14632482758621</v>
      </c>
      <c r="P293" s="231"/>
      <c r="Q293" s="231">
        <f t="shared" si="67"/>
        <v>24.0654601875524</v>
      </c>
      <c r="R293" s="226" t="s">
        <v>1526</v>
      </c>
      <c r="S293" s="226" t="s">
        <v>2445</v>
      </c>
      <c r="T293" s="804"/>
      <c r="X293" s="2163"/>
      <c r="AA293" s="839"/>
      <c r="AB293" s="839"/>
      <c r="AC293" s="1940"/>
    </row>
    <row r="294" s="42" customFormat="1" ht="16" hidden="1" customHeight="1" spans="1:29">
      <c r="A294" s="839">
        <v>186</v>
      </c>
      <c r="B294" s="289"/>
      <c r="C294" s="289"/>
      <c r="D294" s="244">
        <v>20250417</v>
      </c>
      <c r="E294" s="227">
        <v>7.17</v>
      </c>
      <c r="F294" s="2132" t="s">
        <v>2487</v>
      </c>
      <c r="G294" s="227" t="s">
        <v>2488</v>
      </c>
      <c r="H294" s="227"/>
      <c r="I294" s="245" t="s">
        <v>2489</v>
      </c>
      <c r="J294" s="227"/>
      <c r="K294" s="2162" t="s">
        <v>712</v>
      </c>
      <c r="L294" s="227"/>
      <c r="M294" s="232">
        <v>5.90711050221548</v>
      </c>
      <c r="N294" s="232">
        <f>0.48+12.9922307783067</f>
        <v>13.4722307783067</v>
      </c>
      <c r="O294" s="231">
        <v>3.14632482758621</v>
      </c>
      <c r="P294" s="231"/>
      <c r="Q294" s="231">
        <f t="shared" si="67"/>
        <v>22.5256661081084</v>
      </c>
      <c r="R294" s="226" t="s">
        <v>1526</v>
      </c>
      <c r="S294" s="226" t="s">
        <v>2481</v>
      </c>
      <c r="T294" s="804"/>
      <c r="X294" s="2163"/>
      <c r="AA294" s="839"/>
      <c r="AB294" s="839"/>
      <c r="AC294" s="1940"/>
    </row>
    <row r="295" s="42" customFormat="1" ht="16" hidden="1" customHeight="1" spans="1:29">
      <c r="A295" s="839">
        <v>187</v>
      </c>
      <c r="B295" s="289"/>
      <c r="C295" s="289"/>
      <c r="D295" s="227">
        <v>20250410</v>
      </c>
      <c r="E295" s="227">
        <v>7.17</v>
      </c>
      <c r="F295" s="2132" t="s">
        <v>2490</v>
      </c>
      <c r="G295" s="227" t="s">
        <v>2383</v>
      </c>
      <c r="H295" s="227"/>
      <c r="I295" s="245" t="s">
        <v>2491</v>
      </c>
      <c r="J295" s="227"/>
      <c r="K295" s="509" t="s">
        <v>712</v>
      </c>
      <c r="L295" s="227"/>
      <c r="M295" s="232">
        <v>5.90711050221548</v>
      </c>
      <c r="N295" s="232">
        <f>0.48+15.1799316917622</f>
        <v>15.6599316917622</v>
      </c>
      <c r="O295" s="231">
        <v>3.14632482758621</v>
      </c>
      <c r="P295" s="231"/>
      <c r="Q295" s="231">
        <f t="shared" si="67"/>
        <v>24.7133670215639</v>
      </c>
      <c r="R295" s="226" t="s">
        <v>1526</v>
      </c>
      <c r="S295" s="226" t="s">
        <v>2492</v>
      </c>
      <c r="T295" s="804"/>
      <c r="X295" s="2163"/>
      <c r="AA295" s="839"/>
      <c r="AB295" s="839"/>
      <c r="AC295" s="1940"/>
    </row>
    <row r="296" s="42" customFormat="1" ht="16" hidden="1" customHeight="1" spans="1:29">
      <c r="A296" s="839">
        <v>188</v>
      </c>
      <c r="B296" s="289"/>
      <c r="C296" s="289"/>
      <c r="D296" s="227">
        <v>20250427</v>
      </c>
      <c r="E296" s="227">
        <v>7.17</v>
      </c>
      <c r="F296" s="2132" t="s">
        <v>2493</v>
      </c>
      <c r="G296" s="227" t="s">
        <v>2320</v>
      </c>
      <c r="H296" s="227"/>
      <c r="I296" s="245" t="s">
        <v>2491</v>
      </c>
      <c r="J296" s="227"/>
      <c r="K296" s="509" t="s">
        <v>712</v>
      </c>
      <c r="L296" s="227"/>
      <c r="M296" s="232">
        <v>5.90711050221548</v>
      </c>
      <c r="N296" s="232">
        <f>0.48+14.9307322272706</f>
        <v>15.4107322272706</v>
      </c>
      <c r="O296" s="231">
        <v>3.14632482758621</v>
      </c>
      <c r="P296" s="231"/>
      <c r="Q296" s="231">
        <f t="shared" si="67"/>
        <v>24.4641675570723</v>
      </c>
      <c r="R296" s="226" t="s">
        <v>1526</v>
      </c>
      <c r="S296" s="226" t="s">
        <v>2492</v>
      </c>
      <c r="T296" s="804"/>
      <c r="X296" s="2163"/>
      <c r="AA296" s="839"/>
      <c r="AB296" s="839"/>
      <c r="AC296" s="1940"/>
    </row>
    <row r="297" s="42" customFormat="1" ht="16" hidden="1" customHeight="1" spans="1:29">
      <c r="A297" s="839">
        <v>189</v>
      </c>
      <c r="B297" s="289"/>
      <c r="C297" s="289"/>
      <c r="D297" s="227">
        <v>20250422</v>
      </c>
      <c r="E297" s="227">
        <v>7.17</v>
      </c>
      <c r="F297" s="2132" t="s">
        <v>2494</v>
      </c>
      <c r="G297" s="227" t="s">
        <v>2495</v>
      </c>
      <c r="H297" s="227"/>
      <c r="I297" s="245" t="s">
        <v>2082</v>
      </c>
      <c r="J297" s="227"/>
      <c r="K297" s="2162" t="s">
        <v>712</v>
      </c>
      <c r="L297" s="227"/>
      <c r="M297" s="232">
        <v>5.90711050221548</v>
      </c>
      <c r="N297" s="232">
        <f>0.48+12.8642160955468</f>
        <v>13.3442160955468</v>
      </c>
      <c r="O297" s="231">
        <v>3.14632482758621</v>
      </c>
      <c r="P297" s="231"/>
      <c r="Q297" s="231">
        <f t="shared" si="67"/>
        <v>22.3976514253485</v>
      </c>
      <c r="R297" s="226" t="s">
        <v>1526</v>
      </c>
      <c r="S297" s="226" t="s">
        <v>2496</v>
      </c>
      <c r="T297" s="804"/>
      <c r="X297" s="2163"/>
      <c r="AA297" s="839"/>
      <c r="AB297" s="839"/>
      <c r="AC297" s="1940"/>
    </row>
    <row r="298" s="42" customFormat="1" ht="16" hidden="1" customHeight="1" spans="1:29">
      <c r="A298" s="839">
        <v>190</v>
      </c>
      <c r="B298" s="289"/>
      <c r="C298" s="289"/>
      <c r="D298" s="227">
        <v>20250422</v>
      </c>
      <c r="E298" s="227">
        <v>7.17</v>
      </c>
      <c r="F298" s="2132" t="s">
        <v>2497</v>
      </c>
      <c r="G298" s="227" t="s">
        <v>2106</v>
      </c>
      <c r="H298" s="227"/>
      <c r="I298" s="245" t="s">
        <v>2491</v>
      </c>
      <c r="J298" s="227"/>
      <c r="K298" s="509" t="s">
        <v>712</v>
      </c>
      <c r="L298" s="227"/>
      <c r="M298" s="232">
        <v>5.90711050221548</v>
      </c>
      <c r="N298" s="232">
        <v>14.7456013321359</v>
      </c>
      <c r="O298" s="231">
        <v>3.14632482758621</v>
      </c>
      <c r="P298" s="231"/>
      <c r="Q298" s="231">
        <f t="shared" si="67"/>
        <v>23.7990366619376</v>
      </c>
      <c r="R298" s="226" t="s">
        <v>1526</v>
      </c>
      <c r="S298" s="226" t="s">
        <v>2498</v>
      </c>
      <c r="T298" s="804"/>
      <c r="X298" s="2163"/>
      <c r="AA298" s="839"/>
      <c r="AB298" s="839"/>
      <c r="AC298" s="1940"/>
    </row>
    <row r="299" s="42" customFormat="1" ht="16" hidden="1" customHeight="1" spans="1:29">
      <c r="A299" s="839">
        <v>191</v>
      </c>
      <c r="B299" s="289"/>
      <c r="C299" s="289"/>
      <c r="D299" s="227">
        <v>20250422</v>
      </c>
      <c r="E299" s="227">
        <v>7.17</v>
      </c>
      <c r="F299" s="2132" t="s">
        <v>2499</v>
      </c>
      <c r="G299" s="227" t="s">
        <v>2322</v>
      </c>
      <c r="H299" s="227"/>
      <c r="I299" s="245" t="s">
        <v>2479</v>
      </c>
      <c r="J299" s="227"/>
      <c r="K299" s="509" t="s">
        <v>712</v>
      </c>
      <c r="L299" s="227"/>
      <c r="M299" s="232">
        <v>5.90711050221548</v>
      </c>
      <c r="N299" s="232">
        <v>14.720345117648</v>
      </c>
      <c r="O299" s="231">
        <v>3.14632482758621</v>
      </c>
      <c r="P299" s="231"/>
      <c r="Q299" s="231">
        <f t="shared" si="67"/>
        <v>23.7737804474497</v>
      </c>
      <c r="R299" s="226" t="s">
        <v>1526</v>
      </c>
      <c r="S299" s="226" t="s">
        <v>2498</v>
      </c>
      <c r="T299" s="804"/>
      <c r="X299" s="2163"/>
      <c r="AA299" s="839"/>
      <c r="AB299" s="839"/>
      <c r="AC299" s="1940"/>
    </row>
    <row r="300" s="42" customFormat="1" ht="16" hidden="1" customHeight="1" spans="1:29">
      <c r="A300" s="839">
        <v>192</v>
      </c>
      <c r="B300" s="289"/>
      <c r="C300" s="289"/>
      <c r="D300" s="227">
        <v>20250422</v>
      </c>
      <c r="E300" s="227">
        <v>7.17</v>
      </c>
      <c r="F300" s="2132" t="s">
        <v>2500</v>
      </c>
      <c r="G300" s="227" t="s">
        <v>2501</v>
      </c>
      <c r="H300" s="227"/>
      <c r="I300" s="245" t="s">
        <v>2479</v>
      </c>
      <c r="J300" s="227"/>
      <c r="K300" s="509" t="s">
        <v>712</v>
      </c>
      <c r="L300" s="227"/>
      <c r="M300" s="232">
        <v>5.90711050221548</v>
      </c>
      <c r="N300" s="232">
        <v>15.1061062970689</v>
      </c>
      <c r="O300" s="231">
        <v>3.14632482758621</v>
      </c>
      <c r="P300" s="231"/>
      <c r="Q300" s="231">
        <f t="shared" si="67"/>
        <v>24.1595416268706</v>
      </c>
      <c r="R300" s="226" t="s">
        <v>1526</v>
      </c>
      <c r="S300" s="226" t="s">
        <v>2502</v>
      </c>
      <c r="T300" s="804"/>
      <c r="X300" s="2163"/>
      <c r="AA300" s="839"/>
      <c r="AB300" s="839"/>
      <c r="AC300" s="1940"/>
    </row>
    <row r="301" s="42" customFormat="1" ht="16" hidden="1" customHeight="1" spans="1:29">
      <c r="A301" s="839">
        <v>193</v>
      </c>
      <c r="B301" s="314"/>
      <c r="C301" s="289"/>
      <c r="D301" s="2028">
        <v>46258</v>
      </c>
      <c r="E301" s="227">
        <v>6.73</v>
      </c>
      <c r="F301" s="2125" t="s">
        <v>2503</v>
      </c>
      <c r="G301" s="227" t="s">
        <v>2389</v>
      </c>
      <c r="H301" s="227"/>
      <c r="I301" s="245" t="s">
        <v>2479</v>
      </c>
      <c r="J301" s="219" t="s">
        <v>1428</v>
      </c>
      <c r="K301" s="513" t="s">
        <v>712</v>
      </c>
      <c r="L301" s="219" t="s">
        <v>1428</v>
      </c>
      <c r="M301" s="319">
        <f>60.16/E301/1.13</f>
        <v>7.91068916093571</v>
      </c>
      <c r="N301" s="319">
        <f>19.17+1.75/E301/1.13*1.05</f>
        <v>19.4116205341293</v>
      </c>
      <c r="O301" s="320">
        <v>3.14632482758621</v>
      </c>
      <c r="P301" s="320"/>
      <c r="Q301" s="320">
        <f t="shared" si="67"/>
        <v>30.4686345226512</v>
      </c>
      <c r="R301" s="266" t="s">
        <v>2504</v>
      </c>
      <c r="S301" s="226" t="s">
        <v>2502</v>
      </c>
      <c r="T301" s="804"/>
      <c r="X301" s="2163"/>
      <c r="AA301" s="839"/>
      <c r="AB301" s="839"/>
      <c r="AC301" s="1940"/>
    </row>
    <row r="302" s="839" customFormat="1" ht="16" hidden="1" customHeight="1" spans="1:29">
      <c r="A302" s="839">
        <v>194</v>
      </c>
      <c r="B302" s="289"/>
      <c r="C302" s="289"/>
      <c r="D302" s="227">
        <v>20250515</v>
      </c>
      <c r="E302" s="227">
        <v>7.17</v>
      </c>
      <c r="F302" s="2132" t="s">
        <v>2505</v>
      </c>
      <c r="G302" s="227" t="s">
        <v>2506</v>
      </c>
      <c r="H302" s="227"/>
      <c r="I302" s="245" t="s">
        <v>2444</v>
      </c>
      <c r="J302" s="227"/>
      <c r="K302" s="509" t="s">
        <v>712</v>
      </c>
      <c r="L302" s="227"/>
      <c r="M302" s="232">
        <v>5.90711050221548</v>
      </c>
      <c r="N302" s="232">
        <v>15.0939024535007</v>
      </c>
      <c r="O302" s="231">
        <v>3.14632482758621</v>
      </c>
      <c r="P302" s="231"/>
      <c r="Q302" s="231">
        <f t="shared" si="67"/>
        <v>24.1473377833024</v>
      </c>
      <c r="R302" s="226" t="s">
        <v>1526</v>
      </c>
      <c r="S302" s="226" t="s">
        <v>2507</v>
      </c>
      <c r="T302" s="804"/>
      <c r="X302" s="1940"/>
      <c r="AC302" s="1940"/>
    </row>
    <row r="303" s="839" customFormat="1" ht="16" hidden="1" customHeight="1" spans="1:29">
      <c r="A303" s="839">
        <v>195</v>
      </c>
      <c r="B303" s="289"/>
      <c r="C303" s="289"/>
      <c r="D303" s="227">
        <v>20250624</v>
      </c>
      <c r="E303" s="227">
        <v>7.17</v>
      </c>
      <c r="F303" s="2132" t="s">
        <v>2508</v>
      </c>
      <c r="G303" s="227" t="s">
        <v>2096</v>
      </c>
      <c r="H303" s="227"/>
      <c r="I303" s="245" t="s">
        <v>2509</v>
      </c>
      <c r="J303" s="227"/>
      <c r="K303" s="509" t="s">
        <v>712</v>
      </c>
      <c r="L303" s="227"/>
      <c r="M303" s="232">
        <v>5.90711050221548</v>
      </c>
      <c r="N303" s="232">
        <v>12.8932495085486</v>
      </c>
      <c r="O303" s="231">
        <v>0.3</v>
      </c>
      <c r="P303" s="231"/>
      <c r="Q303" s="231">
        <f t="shared" si="67"/>
        <v>19.1003600107641</v>
      </c>
      <c r="R303" s="226" t="s">
        <v>1526</v>
      </c>
      <c r="S303" s="226" t="s">
        <v>2510</v>
      </c>
      <c r="T303" s="804"/>
      <c r="X303" s="1940"/>
      <c r="AC303" s="1940"/>
    </row>
    <row r="304" s="839" customFormat="1" ht="16" hidden="1" customHeight="1" spans="1:29">
      <c r="A304" s="839">
        <v>196</v>
      </c>
      <c r="B304" s="289"/>
      <c r="C304" s="289"/>
      <c r="D304" s="227">
        <v>20250624</v>
      </c>
      <c r="E304" s="227">
        <v>7.17</v>
      </c>
      <c r="F304" s="2132" t="s">
        <v>2511</v>
      </c>
      <c r="G304" s="227" t="s">
        <v>2512</v>
      </c>
      <c r="H304" s="227"/>
      <c r="I304" s="245" t="s">
        <v>1979</v>
      </c>
      <c r="J304" s="227" t="s">
        <v>2513</v>
      </c>
      <c r="K304" s="509" t="s">
        <v>712</v>
      </c>
      <c r="L304" s="227">
        <v>6</v>
      </c>
      <c r="M304" s="230">
        <v>6.54424163353724</v>
      </c>
      <c r="N304" s="232">
        <v>18.3838243938921</v>
      </c>
      <c r="O304" s="231">
        <v>0.3</v>
      </c>
      <c r="P304" s="231"/>
      <c r="Q304" s="231">
        <f t="shared" si="67"/>
        <v>31.2280660274293</v>
      </c>
      <c r="R304" s="226" t="s">
        <v>1526</v>
      </c>
      <c r="S304" s="226" t="s">
        <v>2514</v>
      </c>
      <c r="T304" s="804"/>
      <c r="X304" s="1940"/>
      <c r="AC304" s="1940"/>
    </row>
    <row r="305" s="839" customFormat="1" ht="16" hidden="1" customHeight="1" spans="1:29">
      <c r="A305" s="839">
        <v>197</v>
      </c>
      <c r="B305" s="289"/>
      <c r="C305" s="289"/>
      <c r="D305" s="227">
        <v>20250624</v>
      </c>
      <c r="E305" s="227">
        <v>7.17</v>
      </c>
      <c r="F305" s="2132" t="s">
        <v>2515</v>
      </c>
      <c r="G305" s="227" t="s">
        <v>2516</v>
      </c>
      <c r="H305" s="227"/>
      <c r="I305" s="245" t="s">
        <v>1979</v>
      </c>
      <c r="J305" s="227" t="s">
        <v>2513</v>
      </c>
      <c r="K305" s="509" t="s">
        <v>712</v>
      </c>
      <c r="L305" s="227">
        <v>6</v>
      </c>
      <c r="M305" s="230">
        <v>6.54424163353724</v>
      </c>
      <c r="N305" s="232">
        <v>16.8599910392821</v>
      </c>
      <c r="O305" s="231">
        <v>0.3</v>
      </c>
      <c r="P305" s="231"/>
      <c r="Q305" s="231">
        <f t="shared" si="67"/>
        <v>29.7042326728193</v>
      </c>
      <c r="R305" s="226" t="s">
        <v>1526</v>
      </c>
      <c r="S305" s="226" t="s">
        <v>2517</v>
      </c>
      <c r="T305" s="804"/>
      <c r="X305" s="1940"/>
      <c r="AC305" s="1940"/>
    </row>
    <row r="306" s="839" customFormat="1" ht="16" hidden="1" customHeight="1" spans="1:29">
      <c r="A306" s="839">
        <v>198</v>
      </c>
      <c r="B306" s="289"/>
      <c r="C306" s="289"/>
      <c r="D306" s="227">
        <v>20250624</v>
      </c>
      <c r="E306" s="227">
        <v>7.17</v>
      </c>
      <c r="F306" s="2132" t="s">
        <v>2518</v>
      </c>
      <c r="G306" s="227" t="s">
        <v>2519</v>
      </c>
      <c r="H306" s="227"/>
      <c r="I306" s="245" t="s">
        <v>1979</v>
      </c>
      <c r="J306" s="227" t="s">
        <v>2513</v>
      </c>
      <c r="K306" s="509" t="s">
        <v>712</v>
      </c>
      <c r="L306" s="227">
        <v>6</v>
      </c>
      <c r="M306" s="230">
        <v>6.54424163353724</v>
      </c>
      <c r="N306" s="232">
        <v>13.5938897063098</v>
      </c>
      <c r="O306" s="231">
        <v>0.3</v>
      </c>
      <c r="P306" s="231"/>
      <c r="Q306" s="231">
        <f t="shared" si="67"/>
        <v>26.438131339847</v>
      </c>
      <c r="R306" s="226" t="s">
        <v>1526</v>
      </c>
      <c r="S306" s="226" t="s">
        <v>2517</v>
      </c>
      <c r="T306" s="804"/>
      <c r="X306" s="1940"/>
      <c r="AC306" s="1940"/>
    </row>
    <row r="307" s="839" customFormat="1" ht="16" hidden="1" customHeight="1" spans="1:29">
      <c r="A307" s="839">
        <v>199</v>
      </c>
      <c r="B307" s="289"/>
      <c r="C307" s="289"/>
      <c r="D307" s="227">
        <v>20250627</v>
      </c>
      <c r="E307" s="227">
        <v>7.17</v>
      </c>
      <c r="F307" s="2132" t="s">
        <v>2520</v>
      </c>
      <c r="G307" s="227" t="s">
        <v>2521</v>
      </c>
      <c r="H307" s="227"/>
      <c r="I307" s="245" t="s">
        <v>2522</v>
      </c>
      <c r="J307" s="227"/>
      <c r="K307" s="509" t="s">
        <v>712</v>
      </c>
      <c r="L307" s="227"/>
      <c r="M307" s="232">
        <v>5.90711050221548</v>
      </c>
      <c r="N307" s="232">
        <v>14.7456013321359</v>
      </c>
      <c r="O307" s="231">
        <v>3.14632482758621</v>
      </c>
      <c r="P307" s="231"/>
      <c r="Q307" s="231">
        <f t="shared" si="67"/>
        <v>23.7990366619376</v>
      </c>
      <c r="R307" s="226" t="s">
        <v>1526</v>
      </c>
      <c r="S307" s="226" t="s">
        <v>2523</v>
      </c>
      <c r="T307" s="804"/>
      <c r="X307" s="1940"/>
      <c r="AC307" s="1940"/>
    </row>
    <row r="308" s="839" customFormat="1" ht="16" hidden="1" customHeight="1" spans="1:29">
      <c r="A308" s="839">
        <v>200</v>
      </c>
      <c r="B308" s="289"/>
      <c r="C308" s="289"/>
      <c r="D308" s="227">
        <v>20250627</v>
      </c>
      <c r="E308" s="227">
        <v>7.17</v>
      </c>
      <c r="F308" s="2132" t="s">
        <v>2524</v>
      </c>
      <c r="G308" s="227" t="s">
        <v>2525</v>
      </c>
      <c r="H308" s="227"/>
      <c r="I308" s="245" t="s">
        <v>2526</v>
      </c>
      <c r="J308" s="227"/>
      <c r="K308" s="507" t="s">
        <v>712</v>
      </c>
      <c r="L308" s="227"/>
      <c r="M308" s="232">
        <v>5.90711050221548</v>
      </c>
      <c r="N308" s="232">
        <v>14.720345117648</v>
      </c>
      <c r="O308" s="231">
        <v>3.14632482758621</v>
      </c>
      <c r="P308" s="231"/>
      <c r="Q308" s="231">
        <f t="shared" si="67"/>
        <v>23.7737804474497</v>
      </c>
      <c r="R308" s="226" t="s">
        <v>1526</v>
      </c>
      <c r="S308" s="226" t="s">
        <v>2523</v>
      </c>
      <c r="T308" s="804"/>
      <c r="X308" s="1940"/>
      <c r="AC308" s="1940"/>
    </row>
    <row r="309" s="839" customFormat="1" ht="16" hidden="1" customHeight="1" spans="1:29">
      <c r="A309" s="839">
        <v>201</v>
      </c>
      <c r="B309" s="289"/>
      <c r="C309" s="289"/>
      <c r="D309" s="227">
        <v>20250730</v>
      </c>
      <c r="E309" s="227">
        <v>7.17</v>
      </c>
      <c r="F309" s="2132" t="s">
        <v>2527</v>
      </c>
      <c r="G309" s="227" t="s">
        <v>2403</v>
      </c>
      <c r="H309" s="227"/>
      <c r="I309" s="245" t="s">
        <v>2509</v>
      </c>
      <c r="J309" s="227"/>
      <c r="K309" s="509" t="s">
        <v>712</v>
      </c>
      <c r="L309" s="227"/>
      <c r="M309" s="232">
        <v>5.90711050221548</v>
      </c>
      <c r="N309" s="232">
        <v>13.0772663533547</v>
      </c>
      <c r="O309" s="231">
        <v>3.14632482758621</v>
      </c>
      <c r="P309" s="231"/>
      <c r="Q309" s="231">
        <f t="shared" si="67"/>
        <v>22.1307016831564</v>
      </c>
      <c r="R309" s="226" t="s">
        <v>1526</v>
      </c>
      <c r="S309" s="226" t="s">
        <v>2528</v>
      </c>
      <c r="T309" s="804"/>
      <c r="X309" s="1940"/>
      <c r="AC309" s="1940"/>
    </row>
    <row r="310" s="839" customFormat="1" ht="16" hidden="1" customHeight="1" spans="1:29">
      <c r="A310" s="839">
        <v>202</v>
      </c>
      <c r="B310" s="289"/>
      <c r="C310" s="289"/>
      <c r="D310" s="227">
        <v>20250730</v>
      </c>
      <c r="E310" s="227">
        <v>7.17</v>
      </c>
      <c r="F310" s="2132" t="s">
        <v>2529</v>
      </c>
      <c r="G310" s="227" t="s">
        <v>2406</v>
      </c>
      <c r="H310" s="227"/>
      <c r="I310" s="245" t="s">
        <v>2509</v>
      </c>
      <c r="J310" s="227"/>
      <c r="K310" s="509" t="s">
        <v>712</v>
      </c>
      <c r="L310" s="227"/>
      <c r="M310" s="232">
        <v>5.90711050221548</v>
      </c>
      <c r="N310" s="232">
        <v>13.0823335581534</v>
      </c>
      <c r="O310" s="231">
        <v>3.14632482758621</v>
      </c>
      <c r="P310" s="231"/>
      <c r="Q310" s="231">
        <f t="shared" si="67"/>
        <v>22.1357688879551</v>
      </c>
      <c r="R310" s="226" t="s">
        <v>1526</v>
      </c>
      <c r="S310" s="226" t="s">
        <v>2528</v>
      </c>
      <c r="T310" s="804"/>
      <c r="X310" s="1940"/>
      <c r="AC310" s="1940"/>
    </row>
    <row r="311" s="42" customFormat="1" ht="16" hidden="1" customHeight="1" spans="1:29">
      <c r="A311" s="839">
        <v>203</v>
      </c>
      <c r="B311" s="289"/>
      <c r="C311" s="289"/>
      <c r="D311" s="227">
        <v>20241115</v>
      </c>
      <c r="E311" s="227">
        <v>7.17</v>
      </c>
      <c r="F311" s="2132" t="s">
        <v>68</v>
      </c>
      <c r="G311" s="227" t="s">
        <v>69</v>
      </c>
      <c r="H311" s="227"/>
      <c r="I311" s="245"/>
      <c r="J311" s="227"/>
      <c r="K311" s="252" t="s">
        <v>712</v>
      </c>
      <c r="L311" s="227"/>
      <c r="M311" s="232">
        <v>0.436759122692013</v>
      </c>
      <c r="N311" s="232">
        <v>2.2552756508938</v>
      </c>
      <c r="O311" s="231">
        <v>0.2</v>
      </c>
      <c r="P311" s="231"/>
      <c r="Q311" s="231">
        <f t="shared" si="67"/>
        <v>2.89203477358581</v>
      </c>
      <c r="R311" s="226"/>
      <c r="S311" s="226" t="s">
        <v>70</v>
      </c>
      <c r="T311" s="804"/>
      <c r="X311" s="2163"/>
      <c r="AA311" s="839"/>
      <c r="AB311" s="839"/>
      <c r="AC311" s="1940"/>
    </row>
    <row r="312" s="42" customFormat="1" ht="16" hidden="1" customHeight="1" spans="1:29">
      <c r="A312" s="839">
        <v>204</v>
      </c>
      <c r="B312" s="289" t="s">
        <v>2436</v>
      </c>
      <c r="C312" s="289"/>
      <c r="D312" s="227"/>
      <c r="E312" s="227"/>
      <c r="F312" s="2132" t="s">
        <v>1979</v>
      </c>
      <c r="G312" s="227" t="s">
        <v>1131</v>
      </c>
      <c r="H312" s="227"/>
      <c r="I312" s="245"/>
      <c r="J312" s="227"/>
      <c r="K312" s="244" t="s">
        <v>712</v>
      </c>
      <c r="L312" s="227"/>
      <c r="M312" s="231">
        <v>0.421234082328805</v>
      </c>
      <c r="N312" s="232">
        <v>3.03599039920427</v>
      </c>
      <c r="O312" s="231">
        <v>0.4</v>
      </c>
      <c r="P312" s="231"/>
      <c r="Q312" s="231">
        <f t="shared" si="67"/>
        <v>3.85722448153307</v>
      </c>
      <c r="R312" s="226"/>
      <c r="S312" s="226"/>
      <c r="T312" s="2167"/>
      <c r="X312" s="2163"/>
      <c r="AA312" s="839"/>
      <c r="AB312" s="839"/>
      <c r="AC312" s="1940"/>
    </row>
    <row r="313" s="42" customFormat="1" ht="16" hidden="1" customHeight="1" spans="1:29">
      <c r="A313" s="839">
        <v>205</v>
      </c>
      <c r="B313" s="226" t="s">
        <v>2530</v>
      </c>
      <c r="C313" s="226"/>
      <c r="D313" s="227"/>
      <c r="E313" s="227">
        <v>7.17</v>
      </c>
      <c r="F313" s="2132" t="s">
        <v>2531</v>
      </c>
      <c r="G313" s="227" t="s">
        <v>1571</v>
      </c>
      <c r="H313" s="227"/>
      <c r="I313" s="227" t="s">
        <v>2326</v>
      </c>
      <c r="J313" s="227" t="s">
        <v>1428</v>
      </c>
      <c r="K313" s="507" t="s">
        <v>712</v>
      </c>
      <c r="L313" s="227" t="s">
        <v>1428</v>
      </c>
      <c r="M313" s="231">
        <v>5.57024288855061</v>
      </c>
      <c r="N313" s="232">
        <v>27.3199936378761</v>
      </c>
      <c r="O313" s="231">
        <f t="shared" ref="O313:O324" si="69">31.1/E313/1.13</f>
        <v>3.83851100332013</v>
      </c>
      <c r="P313" s="231"/>
      <c r="Q313" s="231">
        <f t="shared" si="67"/>
        <v>36.7287475297468</v>
      </c>
      <c r="R313" s="281" t="s">
        <v>1755</v>
      </c>
      <c r="S313" s="226" t="s">
        <v>2532</v>
      </c>
      <c r="T313" s="804"/>
      <c r="X313" s="2163"/>
      <c r="AA313" s="839"/>
      <c r="AB313" s="839"/>
      <c r="AC313" s="1940"/>
    </row>
    <row r="314" s="42" customFormat="1" ht="16" hidden="1" customHeight="1" spans="1:29">
      <c r="A314" s="839">
        <v>206</v>
      </c>
      <c r="B314" s="226"/>
      <c r="C314" s="226"/>
      <c r="D314" s="227">
        <v>20241029</v>
      </c>
      <c r="E314" s="227">
        <v>7.17</v>
      </c>
      <c r="F314" s="2132" t="s">
        <v>2533</v>
      </c>
      <c r="G314" s="247" t="s">
        <v>1685</v>
      </c>
      <c r="H314" s="247"/>
      <c r="I314" s="227" t="s">
        <v>2534</v>
      </c>
      <c r="J314" s="227" t="s">
        <v>1428</v>
      </c>
      <c r="K314" s="247" t="s">
        <v>712</v>
      </c>
      <c r="L314" s="227" t="s">
        <v>1428</v>
      </c>
      <c r="M314" s="232">
        <v>5.57024288855061</v>
      </c>
      <c r="N314" s="232">
        <v>26.2519312932244</v>
      </c>
      <c r="O314" s="231">
        <f t="shared" si="69"/>
        <v>3.83851100332013</v>
      </c>
      <c r="P314" s="231"/>
      <c r="Q314" s="231">
        <f t="shared" si="67"/>
        <v>35.6606851850951</v>
      </c>
      <c r="R314" s="281" t="s">
        <v>1755</v>
      </c>
      <c r="S314" s="226" t="s">
        <v>2535</v>
      </c>
      <c r="T314" s="804"/>
      <c r="U314" s="120" t="s">
        <v>1406</v>
      </c>
      <c r="X314" s="2163"/>
      <c r="AA314" s="839"/>
      <c r="AB314" s="839"/>
      <c r="AC314" s="1940"/>
    </row>
    <row r="315" s="42" customFormat="1" ht="16" hidden="1" customHeight="1" spans="1:29">
      <c r="A315" s="839">
        <v>207</v>
      </c>
      <c r="B315" s="226"/>
      <c r="C315" s="226"/>
      <c r="D315" s="227"/>
      <c r="E315" s="227">
        <v>7.17</v>
      </c>
      <c r="F315" s="2132" t="s">
        <v>2536</v>
      </c>
      <c r="G315" s="227" t="s">
        <v>1671</v>
      </c>
      <c r="H315" s="227"/>
      <c r="I315" s="227" t="s">
        <v>2474</v>
      </c>
      <c r="J315" s="227" t="s">
        <v>1428</v>
      </c>
      <c r="K315" s="247" t="s">
        <v>712</v>
      </c>
      <c r="L315" s="227" t="s">
        <v>1428</v>
      </c>
      <c r="M315" s="231">
        <v>5.57024288855061</v>
      </c>
      <c r="N315" s="232">
        <v>27.6470732838938</v>
      </c>
      <c r="O315" s="231">
        <f t="shared" si="69"/>
        <v>3.83851100332013</v>
      </c>
      <c r="P315" s="231"/>
      <c r="Q315" s="231">
        <f t="shared" si="67"/>
        <v>37.0558271757645</v>
      </c>
      <c r="R315" s="281" t="s">
        <v>2537</v>
      </c>
      <c r="S315" s="226" t="s">
        <v>2538</v>
      </c>
      <c r="T315" s="804"/>
      <c r="U315" s="120" t="s">
        <v>1406</v>
      </c>
      <c r="X315" s="2163"/>
      <c r="AA315" s="839"/>
      <c r="AB315" s="839"/>
      <c r="AC315" s="1940"/>
    </row>
    <row r="316" s="42" customFormat="1" ht="16" hidden="1" customHeight="1" spans="1:29">
      <c r="A316" s="839">
        <v>208</v>
      </c>
      <c r="B316" s="226"/>
      <c r="C316" s="226"/>
      <c r="D316" s="227"/>
      <c r="E316" s="227">
        <v>7.17</v>
      </c>
      <c r="F316" s="2132" t="s">
        <v>2539</v>
      </c>
      <c r="G316" s="227" t="s">
        <v>1672</v>
      </c>
      <c r="H316" s="227"/>
      <c r="I316" s="227" t="s">
        <v>2365</v>
      </c>
      <c r="J316" s="227" t="s">
        <v>1428</v>
      </c>
      <c r="K316" s="507" t="s">
        <v>712</v>
      </c>
      <c r="L316" s="227" t="s">
        <v>1428</v>
      </c>
      <c r="M316" s="231">
        <v>5.57024288855061</v>
      </c>
      <c r="N316" s="232">
        <v>27.2371396555752</v>
      </c>
      <c r="O316" s="231">
        <f t="shared" si="69"/>
        <v>3.83851100332013</v>
      </c>
      <c r="P316" s="231"/>
      <c r="Q316" s="231">
        <f t="shared" si="67"/>
        <v>36.6458935474459</v>
      </c>
      <c r="R316" s="281" t="s">
        <v>1755</v>
      </c>
      <c r="S316" s="226" t="s">
        <v>2540</v>
      </c>
      <c r="T316" s="804"/>
      <c r="U316" s="120" t="s">
        <v>1406</v>
      </c>
      <c r="X316" s="2163"/>
      <c r="AA316" s="839"/>
      <c r="AB316" s="839"/>
      <c r="AC316" s="1940"/>
    </row>
    <row r="317" s="42" customFormat="1" ht="16" hidden="1" customHeight="1" spans="1:29">
      <c r="A317" s="839">
        <v>209</v>
      </c>
      <c r="B317" s="226"/>
      <c r="C317" s="226"/>
      <c r="D317" s="227">
        <v>20241212</v>
      </c>
      <c r="E317" s="227">
        <v>7.17</v>
      </c>
      <c r="F317" s="2132" t="s">
        <v>2541</v>
      </c>
      <c r="G317" s="227" t="s">
        <v>1581</v>
      </c>
      <c r="H317" s="227"/>
      <c r="I317" s="227" t="s">
        <v>2542</v>
      </c>
      <c r="J317" s="227" t="s">
        <v>1428</v>
      </c>
      <c r="K317" s="227" t="s">
        <v>712</v>
      </c>
      <c r="L317" s="227" t="s">
        <v>1428</v>
      </c>
      <c r="M317" s="232">
        <v>5.57024288855061</v>
      </c>
      <c r="N317" s="232">
        <v>25.2593194765351</v>
      </c>
      <c r="O317" s="231">
        <f t="shared" si="69"/>
        <v>3.83851100332013</v>
      </c>
      <c r="P317" s="231"/>
      <c r="Q317" s="231">
        <f t="shared" si="67"/>
        <v>34.6680733684058</v>
      </c>
      <c r="R317" s="281" t="s">
        <v>1755</v>
      </c>
      <c r="S317" s="226" t="s">
        <v>2543</v>
      </c>
      <c r="T317" s="804"/>
      <c r="U317" s="120" t="s">
        <v>1406</v>
      </c>
      <c r="X317" s="2163"/>
      <c r="AA317" s="839"/>
      <c r="AB317" s="839"/>
      <c r="AC317" s="1940"/>
    </row>
    <row r="318" s="42" customFormat="1" ht="16" hidden="1" customHeight="1" spans="1:29">
      <c r="A318" s="839">
        <v>210</v>
      </c>
      <c r="B318" s="226"/>
      <c r="C318" s="226"/>
      <c r="D318" s="227"/>
      <c r="E318" s="227">
        <v>7.17</v>
      </c>
      <c r="F318" s="2132" t="s">
        <v>2544</v>
      </c>
      <c r="G318" s="227" t="s">
        <v>2449</v>
      </c>
      <c r="H318" s="227"/>
      <c r="I318" s="227" t="s">
        <v>2534</v>
      </c>
      <c r="J318" s="227" t="s">
        <v>1428</v>
      </c>
      <c r="K318" s="247" t="s">
        <v>712</v>
      </c>
      <c r="L318" s="227" t="s">
        <v>1428</v>
      </c>
      <c r="M318" s="231">
        <v>5.57024288855061</v>
      </c>
      <c r="N318" s="232">
        <v>26.479591450708</v>
      </c>
      <c r="O318" s="231">
        <f t="shared" si="69"/>
        <v>3.83851100332013</v>
      </c>
      <c r="P318" s="231"/>
      <c r="Q318" s="231">
        <f t="shared" si="67"/>
        <v>35.8883453425787</v>
      </c>
      <c r="R318" s="281" t="s">
        <v>1755</v>
      </c>
      <c r="S318" s="226" t="s">
        <v>2535</v>
      </c>
      <c r="T318" s="804"/>
      <c r="U318" s="120" t="s">
        <v>1406</v>
      </c>
      <c r="X318" s="2163"/>
      <c r="AA318" s="839"/>
      <c r="AB318" s="839"/>
      <c r="AC318" s="1940"/>
    </row>
    <row r="319" s="42" customFormat="1" ht="16" hidden="1" customHeight="1" spans="1:29">
      <c r="A319" s="839">
        <v>211</v>
      </c>
      <c r="B319" s="226"/>
      <c r="C319" s="226"/>
      <c r="D319" s="227"/>
      <c r="E319" s="227">
        <v>7.17</v>
      </c>
      <c r="F319" s="2132" t="s">
        <v>2545</v>
      </c>
      <c r="G319" s="227" t="s">
        <v>2546</v>
      </c>
      <c r="H319" s="227"/>
      <c r="I319" s="227" t="s">
        <v>2542</v>
      </c>
      <c r="J319" s="227" t="s">
        <v>1428</v>
      </c>
      <c r="K319" s="227" t="s">
        <v>712</v>
      </c>
      <c r="L319" s="227" t="s">
        <v>1428</v>
      </c>
      <c r="M319" s="231">
        <v>5.57024288855061</v>
      </c>
      <c r="N319" s="232">
        <v>26.5532133019735</v>
      </c>
      <c r="O319" s="231">
        <f t="shared" si="69"/>
        <v>3.83851100332013</v>
      </c>
      <c r="P319" s="231"/>
      <c r="Q319" s="231">
        <f t="shared" si="67"/>
        <v>35.9619671938442</v>
      </c>
      <c r="R319" s="281" t="s">
        <v>1755</v>
      </c>
      <c r="S319" s="226" t="s">
        <v>2543</v>
      </c>
      <c r="T319" s="804"/>
      <c r="U319" s="120" t="s">
        <v>1406</v>
      </c>
      <c r="X319" s="2163"/>
      <c r="AA319" s="839"/>
      <c r="AB319" s="839"/>
      <c r="AC319" s="1940"/>
    </row>
    <row r="320" s="42" customFormat="1" ht="16" hidden="1" customHeight="1" spans="1:29">
      <c r="A320" s="839">
        <v>212</v>
      </c>
      <c r="B320" s="226"/>
      <c r="C320" s="226"/>
      <c r="D320" s="227">
        <v>20241029</v>
      </c>
      <c r="E320" s="227">
        <v>7.17</v>
      </c>
      <c r="F320" s="2132" t="s">
        <v>2547</v>
      </c>
      <c r="G320" s="227" t="s">
        <v>2431</v>
      </c>
      <c r="H320" s="227"/>
      <c r="I320" s="227" t="s">
        <v>2365</v>
      </c>
      <c r="J320" s="227" t="s">
        <v>1428</v>
      </c>
      <c r="K320" s="507" t="s">
        <v>712</v>
      </c>
      <c r="L320" s="227" t="s">
        <v>1428</v>
      </c>
      <c r="M320" s="232">
        <v>5.57024288855061</v>
      </c>
      <c r="N320" s="232">
        <v>26.1477418720393</v>
      </c>
      <c r="O320" s="231">
        <f t="shared" si="69"/>
        <v>3.83851100332013</v>
      </c>
      <c r="P320" s="231"/>
      <c r="Q320" s="231">
        <f t="shared" si="67"/>
        <v>35.55649576391</v>
      </c>
      <c r="R320" s="281" t="s">
        <v>1755</v>
      </c>
      <c r="S320" s="226" t="s">
        <v>2548</v>
      </c>
      <c r="T320" s="804"/>
      <c r="U320" s="120" t="s">
        <v>1406</v>
      </c>
      <c r="X320" s="2163"/>
      <c r="AA320" s="839"/>
      <c r="AB320" s="839"/>
      <c r="AC320" s="1940"/>
    </row>
    <row r="321" s="42" customFormat="1" ht="16" hidden="1" customHeight="1" spans="1:29">
      <c r="A321" s="839">
        <v>213</v>
      </c>
      <c r="B321" s="226"/>
      <c r="C321" s="226"/>
      <c r="D321" s="227">
        <v>20241029</v>
      </c>
      <c r="E321" s="227">
        <v>7.17</v>
      </c>
      <c r="F321" s="2132" t="s">
        <v>2549</v>
      </c>
      <c r="G321" s="247" t="s">
        <v>1591</v>
      </c>
      <c r="H321" s="247"/>
      <c r="I321" s="227" t="s">
        <v>2365</v>
      </c>
      <c r="J321" s="227" t="s">
        <v>1428</v>
      </c>
      <c r="K321" s="507" t="s">
        <v>712</v>
      </c>
      <c r="L321" s="227" t="s">
        <v>1428</v>
      </c>
      <c r="M321" s="232">
        <v>5.57024288855061</v>
      </c>
      <c r="N321" s="232">
        <v>23.737825196153</v>
      </c>
      <c r="O321" s="231">
        <f t="shared" si="69"/>
        <v>3.83851100332013</v>
      </c>
      <c r="P321" s="231"/>
      <c r="Q321" s="231">
        <f t="shared" si="67"/>
        <v>33.1465790880237</v>
      </c>
      <c r="R321" s="281" t="s">
        <v>1755</v>
      </c>
      <c r="S321" s="226" t="s">
        <v>2550</v>
      </c>
      <c r="T321" s="804"/>
      <c r="U321" s="120"/>
      <c r="X321" s="2163"/>
      <c r="AA321" s="839"/>
      <c r="AB321" s="839"/>
      <c r="AC321" s="1940"/>
    </row>
    <row r="322" s="42" customFormat="1" ht="16" hidden="1" customHeight="1" spans="1:29">
      <c r="A322" s="839">
        <v>214</v>
      </c>
      <c r="B322" s="226"/>
      <c r="C322" s="226"/>
      <c r="D322" s="227">
        <v>20241029</v>
      </c>
      <c r="E322" s="227">
        <v>7.17</v>
      </c>
      <c r="F322" s="2132" t="s">
        <v>2551</v>
      </c>
      <c r="G322" s="247" t="s">
        <v>2110</v>
      </c>
      <c r="H322" s="247"/>
      <c r="I322" s="227" t="s">
        <v>2365</v>
      </c>
      <c r="J322" s="227" t="s">
        <v>1428</v>
      </c>
      <c r="K322" s="507" t="s">
        <v>712</v>
      </c>
      <c r="L322" s="227" t="s">
        <v>1428</v>
      </c>
      <c r="M322" s="232">
        <v>5.57024288855061</v>
      </c>
      <c r="N322" s="232">
        <v>23.5971471612445</v>
      </c>
      <c r="O322" s="231">
        <f t="shared" si="69"/>
        <v>3.83851100332013</v>
      </c>
      <c r="P322" s="231"/>
      <c r="Q322" s="231">
        <f t="shared" si="67"/>
        <v>33.0059010531152</v>
      </c>
      <c r="R322" s="281" t="s">
        <v>1755</v>
      </c>
      <c r="S322" s="226" t="s">
        <v>2540</v>
      </c>
      <c r="T322" s="804"/>
      <c r="U322" s="120"/>
      <c r="X322" s="2163"/>
      <c r="AA322" s="839"/>
      <c r="AB322" s="839"/>
      <c r="AC322" s="1940"/>
    </row>
    <row r="323" s="42" customFormat="1" ht="16" hidden="1" customHeight="1" spans="1:29">
      <c r="A323" s="839">
        <v>215</v>
      </c>
      <c r="B323" s="226"/>
      <c r="C323" s="226"/>
      <c r="D323" s="227">
        <v>20241212</v>
      </c>
      <c r="E323" s="227">
        <v>7.17</v>
      </c>
      <c r="F323" s="2132" t="s">
        <v>2552</v>
      </c>
      <c r="G323" s="247" t="s">
        <v>667</v>
      </c>
      <c r="H323" s="247"/>
      <c r="I323" s="227" t="s">
        <v>2444</v>
      </c>
      <c r="J323" s="227"/>
      <c r="K323" s="509" t="s">
        <v>712</v>
      </c>
      <c r="L323" s="227"/>
      <c r="M323" s="232">
        <v>5.57024288855061</v>
      </c>
      <c r="N323" s="232">
        <v>23.1862187646413</v>
      </c>
      <c r="O323" s="231">
        <f t="shared" si="69"/>
        <v>3.83851100332013</v>
      </c>
      <c r="P323" s="231"/>
      <c r="Q323" s="231">
        <f t="shared" si="67"/>
        <v>32.594972656512</v>
      </c>
      <c r="R323" s="281" t="s">
        <v>1748</v>
      </c>
      <c r="S323" s="226" t="s">
        <v>2553</v>
      </c>
      <c r="T323" s="804"/>
      <c r="U323" s="120"/>
      <c r="X323" s="2163"/>
      <c r="AA323" s="839"/>
      <c r="AB323" s="839"/>
      <c r="AC323" s="1940"/>
    </row>
    <row r="324" s="42" customFormat="1" ht="16" hidden="1" customHeight="1" spans="1:29">
      <c r="A324" s="839">
        <v>216</v>
      </c>
      <c r="B324" s="226"/>
      <c r="C324" s="226"/>
      <c r="D324" s="227">
        <v>20241029</v>
      </c>
      <c r="E324" s="227">
        <v>7.17</v>
      </c>
      <c r="F324" s="2132" t="s">
        <v>2554</v>
      </c>
      <c r="G324" s="227" t="s">
        <v>2483</v>
      </c>
      <c r="H324" s="227"/>
      <c r="I324" s="227" t="s">
        <v>2474</v>
      </c>
      <c r="J324" s="227" t="s">
        <v>1428</v>
      </c>
      <c r="K324" s="227" t="s">
        <v>712</v>
      </c>
      <c r="L324" s="227" t="s">
        <v>1428</v>
      </c>
      <c r="M324" s="232">
        <v>5.57024288855061</v>
      </c>
      <c r="N324" s="232">
        <v>23.5824286004076</v>
      </c>
      <c r="O324" s="231">
        <f t="shared" si="69"/>
        <v>3.83851100332013</v>
      </c>
      <c r="P324" s="231"/>
      <c r="Q324" s="231">
        <f t="shared" si="67"/>
        <v>32.9911824922783</v>
      </c>
      <c r="R324" s="281" t="s">
        <v>1755</v>
      </c>
      <c r="S324" s="226" t="s">
        <v>2555</v>
      </c>
      <c r="T324" s="804"/>
      <c r="U324" s="120"/>
      <c r="X324" s="2163"/>
      <c r="AA324" s="839"/>
      <c r="AB324" s="839"/>
      <c r="AC324" s="1940"/>
    </row>
    <row r="325" s="42" customFormat="1" ht="16" hidden="1" customHeight="1" spans="1:29">
      <c r="A325" s="839">
        <v>217</v>
      </c>
      <c r="B325" s="226"/>
      <c r="C325" s="226"/>
      <c r="D325" s="2028">
        <v>46091</v>
      </c>
      <c r="E325" s="2164">
        <v>6.9264</v>
      </c>
      <c r="F325" s="2132" t="s">
        <v>2556</v>
      </c>
      <c r="G325" s="227"/>
      <c r="H325" s="227"/>
      <c r="I325" s="227"/>
      <c r="J325" s="227"/>
      <c r="K325" s="507" t="s">
        <v>712</v>
      </c>
      <c r="L325" s="227"/>
      <c r="M325" s="232">
        <f>64.3/6.9264/1.13</f>
        <v>8.21532901178919</v>
      </c>
      <c r="N325" s="232">
        <v>23.19</v>
      </c>
      <c r="O325" s="231" t="e">
        <f>#REF!/E325/1.13</f>
        <v>#REF!</v>
      </c>
      <c r="P325" s="231"/>
      <c r="Q325" s="231" t="e">
        <f t="shared" si="67"/>
        <v>#REF!</v>
      </c>
      <c r="R325" s="281"/>
      <c r="S325" s="226"/>
      <c r="T325" s="804"/>
      <c r="U325" s="120"/>
      <c r="X325" s="2163"/>
      <c r="AA325" s="839"/>
      <c r="AB325" s="839"/>
      <c r="AC325" s="1940"/>
    </row>
    <row r="326" s="42" customFormat="1" ht="16" hidden="1" customHeight="1" spans="1:29">
      <c r="A326" s="839">
        <v>218</v>
      </c>
      <c r="B326" s="226"/>
      <c r="C326" s="226"/>
      <c r="D326" s="227">
        <v>20241202</v>
      </c>
      <c r="E326" s="227">
        <v>7.17</v>
      </c>
      <c r="F326" s="2132" t="s">
        <v>2557</v>
      </c>
      <c r="G326" s="227" t="s">
        <v>2488</v>
      </c>
      <c r="H326" s="227"/>
      <c r="I326" s="227" t="s">
        <v>2558</v>
      </c>
      <c r="J326" s="227"/>
      <c r="K326" s="507" t="s">
        <v>712</v>
      </c>
      <c r="L326" s="227"/>
      <c r="M326" s="232">
        <v>5.57024288855061</v>
      </c>
      <c r="N326" s="232">
        <v>23.1830119159005</v>
      </c>
      <c r="O326" s="231">
        <f t="shared" ref="O326:O332" si="70">31.1/E326/1.13</f>
        <v>3.83851100332013</v>
      </c>
      <c r="P326" s="231"/>
      <c r="Q326" s="231">
        <f t="shared" si="67"/>
        <v>32.5917658077712</v>
      </c>
      <c r="R326" s="281" t="s">
        <v>1748</v>
      </c>
      <c r="S326" s="226" t="s">
        <v>2559</v>
      </c>
      <c r="T326" s="804"/>
      <c r="U326" s="120"/>
      <c r="X326" s="2163"/>
      <c r="AA326" s="839"/>
      <c r="AB326" s="839"/>
      <c r="AC326" s="1940"/>
    </row>
    <row r="327" s="839" customFormat="1" ht="16" hidden="1" customHeight="1" spans="1:29">
      <c r="A327" s="839">
        <v>219</v>
      </c>
      <c r="B327" s="226"/>
      <c r="C327" s="226"/>
      <c r="D327" s="227">
        <v>20241202</v>
      </c>
      <c r="E327" s="227">
        <v>7.17</v>
      </c>
      <c r="F327" s="2132" t="s">
        <v>2560</v>
      </c>
      <c r="G327" s="227" t="s">
        <v>2320</v>
      </c>
      <c r="H327" s="227"/>
      <c r="I327" s="227" t="s">
        <v>2365</v>
      </c>
      <c r="J327" s="227"/>
      <c r="K327" s="507" t="s">
        <v>712</v>
      </c>
      <c r="L327" s="227"/>
      <c r="M327" s="232">
        <v>5.57024288855061</v>
      </c>
      <c r="N327" s="232">
        <v>23.1856852402205</v>
      </c>
      <c r="O327" s="231">
        <f t="shared" si="70"/>
        <v>3.83851100332013</v>
      </c>
      <c r="P327" s="231"/>
      <c r="Q327" s="231">
        <f t="shared" ref="Q327:Q390" si="71">SUM(K327:O327)</f>
        <v>32.5944391320912</v>
      </c>
      <c r="R327" s="281" t="s">
        <v>1748</v>
      </c>
      <c r="S327" s="226" t="s">
        <v>2559</v>
      </c>
      <c r="T327" s="804"/>
      <c r="U327" s="120"/>
      <c r="X327" s="1940"/>
      <c r="AC327" s="1940"/>
    </row>
    <row r="328" s="42" customFormat="1" ht="16" hidden="1" customHeight="1" spans="1:29">
      <c r="A328" s="839">
        <v>220</v>
      </c>
      <c r="B328" s="226"/>
      <c r="C328" s="226"/>
      <c r="D328" s="227">
        <v>20240723</v>
      </c>
      <c r="E328" s="227">
        <v>7.17</v>
      </c>
      <c r="F328" s="2132" t="s">
        <v>2561</v>
      </c>
      <c r="G328" s="227" t="s">
        <v>2234</v>
      </c>
      <c r="H328" s="227"/>
      <c r="I328" s="227" t="s">
        <v>2562</v>
      </c>
      <c r="J328" s="227" t="s">
        <v>1428</v>
      </c>
      <c r="K328" s="227" t="s">
        <v>712</v>
      </c>
      <c r="L328" s="227" t="s">
        <v>1428</v>
      </c>
      <c r="M328" s="232">
        <v>5.57024288855061</v>
      </c>
      <c r="N328" s="232">
        <v>25.1501927660533</v>
      </c>
      <c r="O328" s="231">
        <f t="shared" si="70"/>
        <v>3.83851100332013</v>
      </c>
      <c r="P328" s="231"/>
      <c r="Q328" s="231">
        <f t="shared" si="71"/>
        <v>34.558946657924</v>
      </c>
      <c r="R328" s="281" t="s">
        <v>2563</v>
      </c>
      <c r="S328" s="226" t="s">
        <v>2564</v>
      </c>
      <c r="T328" s="804"/>
      <c r="U328" s="120"/>
      <c r="X328" s="2163"/>
      <c r="AA328" s="839"/>
      <c r="AB328" s="839"/>
      <c r="AC328" s="1940"/>
    </row>
    <row r="329" s="42" customFormat="1" ht="16" hidden="1" customHeight="1" spans="1:29">
      <c r="A329" s="839">
        <v>221</v>
      </c>
      <c r="B329" s="226"/>
      <c r="C329" s="226"/>
      <c r="D329" s="227">
        <v>20240723</v>
      </c>
      <c r="E329" s="227">
        <v>7.17</v>
      </c>
      <c r="F329" s="2132" t="s">
        <v>2565</v>
      </c>
      <c r="G329" s="227" t="s">
        <v>1596</v>
      </c>
      <c r="H329" s="227"/>
      <c r="I329" s="227" t="s">
        <v>2566</v>
      </c>
      <c r="J329" s="227" t="s">
        <v>1428</v>
      </c>
      <c r="K329" s="509" t="s">
        <v>712</v>
      </c>
      <c r="L329" s="227" t="s">
        <v>1428</v>
      </c>
      <c r="M329" s="232">
        <v>5.57024288855061</v>
      </c>
      <c r="N329" s="232">
        <v>23.8919538828407</v>
      </c>
      <c r="O329" s="231">
        <f t="shared" si="70"/>
        <v>3.83851100332013</v>
      </c>
      <c r="P329" s="231"/>
      <c r="Q329" s="231">
        <f t="shared" si="71"/>
        <v>33.3007077747114</v>
      </c>
      <c r="R329" s="281" t="s">
        <v>1755</v>
      </c>
      <c r="S329" s="226" t="s">
        <v>2567</v>
      </c>
      <c r="T329" s="804"/>
      <c r="U329" s="120"/>
      <c r="X329" s="2163"/>
      <c r="AA329" s="839"/>
      <c r="AB329" s="839"/>
      <c r="AC329" s="1940"/>
    </row>
    <row r="330" s="42" customFormat="1" ht="16" hidden="1" customHeight="1" spans="1:29">
      <c r="A330" s="839">
        <v>222</v>
      </c>
      <c r="B330" s="226"/>
      <c r="C330" s="226"/>
      <c r="D330" s="227">
        <v>20240723</v>
      </c>
      <c r="E330" s="227">
        <v>7.17</v>
      </c>
      <c r="F330" s="2132" t="s">
        <v>2568</v>
      </c>
      <c r="G330" s="227" t="s">
        <v>2569</v>
      </c>
      <c r="H330" s="227"/>
      <c r="I330" s="227" t="s">
        <v>2566</v>
      </c>
      <c r="J330" s="227" t="s">
        <v>1428</v>
      </c>
      <c r="K330" s="509" t="s">
        <v>712</v>
      </c>
      <c r="L330" s="227" t="s">
        <v>1428</v>
      </c>
      <c r="M330" s="232">
        <v>5.57024288855061</v>
      </c>
      <c r="N330" s="232">
        <v>23.837220907731</v>
      </c>
      <c r="O330" s="231">
        <f t="shared" si="70"/>
        <v>3.83851100332013</v>
      </c>
      <c r="P330" s="231"/>
      <c r="Q330" s="231">
        <f t="shared" si="71"/>
        <v>33.2459747996017</v>
      </c>
      <c r="R330" s="281" t="s">
        <v>1755</v>
      </c>
      <c r="S330" s="226" t="s">
        <v>2567</v>
      </c>
      <c r="T330" s="804"/>
      <c r="U330" s="120"/>
      <c r="X330" s="2163"/>
      <c r="AA330" s="839"/>
      <c r="AB330" s="839"/>
      <c r="AC330" s="1940"/>
    </row>
    <row r="331" s="42" customFormat="1" ht="16" hidden="1" customHeight="1" spans="1:29">
      <c r="A331" s="839">
        <v>223</v>
      </c>
      <c r="B331" s="226"/>
      <c r="C331" s="226"/>
      <c r="D331" s="227">
        <v>20240923</v>
      </c>
      <c r="E331" s="227">
        <v>7.17</v>
      </c>
      <c r="F331" s="2132" t="s">
        <v>2570</v>
      </c>
      <c r="G331" s="227" t="s">
        <v>2571</v>
      </c>
      <c r="H331" s="227"/>
      <c r="I331" s="227" t="s">
        <v>2572</v>
      </c>
      <c r="J331" s="227" t="s">
        <v>1428</v>
      </c>
      <c r="K331" s="507" t="s">
        <v>712</v>
      </c>
      <c r="L331" s="227" t="s">
        <v>1428</v>
      </c>
      <c r="M331" s="232">
        <v>5.57024288855061</v>
      </c>
      <c r="N331" s="232">
        <v>20.385240411226</v>
      </c>
      <c r="O331" s="231">
        <f t="shared" si="70"/>
        <v>3.83851100332013</v>
      </c>
      <c r="P331" s="231"/>
      <c r="Q331" s="231">
        <f t="shared" si="71"/>
        <v>29.7939943030967</v>
      </c>
      <c r="R331" s="281" t="s">
        <v>2563</v>
      </c>
      <c r="S331" s="226" t="s">
        <v>2573</v>
      </c>
      <c r="T331" s="804"/>
      <c r="U331" s="120"/>
      <c r="X331" s="2163"/>
      <c r="AA331" s="839"/>
      <c r="AB331" s="839"/>
      <c r="AC331" s="1940"/>
    </row>
    <row r="332" s="42" customFormat="1" ht="16" hidden="1" customHeight="1" spans="1:29">
      <c r="A332" s="839">
        <v>224</v>
      </c>
      <c r="B332" s="226"/>
      <c r="C332" s="226"/>
      <c r="D332" s="227">
        <v>20241219</v>
      </c>
      <c r="E332" s="227">
        <v>7.17</v>
      </c>
      <c r="F332" s="2132" t="s">
        <v>2574</v>
      </c>
      <c r="G332" s="227" t="s">
        <v>2575</v>
      </c>
      <c r="H332" s="227"/>
      <c r="I332" s="227" t="s">
        <v>2438</v>
      </c>
      <c r="J332" s="227" t="s">
        <v>1428</v>
      </c>
      <c r="K332" s="247" t="s">
        <v>712</v>
      </c>
      <c r="L332" s="227"/>
      <c r="M332" s="232">
        <v>5.57024288855061</v>
      </c>
      <c r="N332" s="232">
        <v>22.3724368031837</v>
      </c>
      <c r="O332" s="231">
        <f t="shared" si="70"/>
        <v>3.83851100332013</v>
      </c>
      <c r="P332" s="231"/>
      <c r="Q332" s="231">
        <f t="shared" si="71"/>
        <v>31.7811906950544</v>
      </c>
      <c r="R332" s="281" t="s">
        <v>1755</v>
      </c>
      <c r="S332" s="226" t="s">
        <v>2576</v>
      </c>
      <c r="T332" s="804"/>
      <c r="U332" s="120"/>
      <c r="X332" s="2163"/>
      <c r="AA332" s="839"/>
      <c r="AB332" s="839"/>
      <c r="AC332" s="1940"/>
    </row>
    <row r="333" s="42" customFormat="1" ht="16" hidden="1" customHeight="1" spans="1:29">
      <c r="A333" s="839">
        <v>225</v>
      </c>
      <c r="B333" s="226"/>
      <c r="C333" s="226"/>
      <c r="D333" s="227">
        <v>20250715</v>
      </c>
      <c r="E333" s="227">
        <v>7.17</v>
      </c>
      <c r="F333" s="2132" t="s">
        <v>2577</v>
      </c>
      <c r="G333" s="227" t="s">
        <v>1629</v>
      </c>
      <c r="H333" s="227"/>
      <c r="I333" s="227" t="s">
        <v>2578</v>
      </c>
      <c r="J333" s="227"/>
      <c r="K333" s="247" t="s">
        <v>712</v>
      </c>
      <c r="L333" s="227"/>
      <c r="M333" s="232">
        <v>25.9500623295195</v>
      </c>
      <c r="N333" s="232">
        <v>28.8775060461362</v>
      </c>
      <c r="O333" s="231">
        <v>3.83821478382148</v>
      </c>
      <c r="P333" s="231"/>
      <c r="Q333" s="231">
        <f t="shared" si="71"/>
        <v>58.6657831594772</v>
      </c>
      <c r="R333" s="281" t="s">
        <v>2579</v>
      </c>
      <c r="S333" s="226" t="s">
        <v>2580</v>
      </c>
      <c r="T333" s="804"/>
      <c r="U333" s="120"/>
      <c r="X333" s="2163"/>
      <c r="AA333" s="839"/>
      <c r="AB333" s="839"/>
      <c r="AC333" s="1940"/>
    </row>
    <row r="334" s="42" customFormat="1" ht="16" hidden="1" customHeight="1" spans="1:29">
      <c r="A334" s="839">
        <v>226</v>
      </c>
      <c r="B334" s="226"/>
      <c r="C334" s="226"/>
      <c r="D334" s="227">
        <v>20250715</v>
      </c>
      <c r="E334" s="227">
        <v>7.17</v>
      </c>
      <c r="F334" s="2132" t="s">
        <v>71</v>
      </c>
      <c r="G334" s="227" t="s">
        <v>72</v>
      </c>
      <c r="H334" s="227"/>
      <c r="I334" s="227"/>
      <c r="J334" s="227"/>
      <c r="K334" s="247" t="s">
        <v>712</v>
      </c>
      <c r="L334" s="227"/>
      <c r="M334" s="232">
        <v>6.79700324607201</v>
      </c>
      <c r="N334" s="232">
        <v>1.59154543207317</v>
      </c>
      <c r="O334" s="231">
        <v>0.2</v>
      </c>
      <c r="P334" s="231"/>
      <c r="Q334" s="231">
        <f t="shared" si="71"/>
        <v>8.58854867814518</v>
      </c>
      <c r="R334" s="281"/>
      <c r="S334" s="226" t="s">
        <v>2581</v>
      </c>
      <c r="T334" s="804"/>
      <c r="U334" s="120"/>
      <c r="X334" s="2163"/>
      <c r="AA334" s="839"/>
      <c r="AB334" s="839"/>
      <c r="AC334" s="1940"/>
    </row>
    <row r="335" s="42" customFormat="1" ht="16" hidden="1" customHeight="1" spans="1:29">
      <c r="A335" s="839">
        <v>227</v>
      </c>
      <c r="B335" s="226"/>
      <c r="C335" s="226"/>
      <c r="D335" s="227">
        <v>20250218</v>
      </c>
      <c r="E335" s="227">
        <v>7.17</v>
      </c>
      <c r="F335" s="2132" t="s">
        <v>74</v>
      </c>
      <c r="G335" s="227" t="s">
        <v>75</v>
      </c>
      <c r="H335" s="227"/>
      <c r="I335" s="227"/>
      <c r="J335" s="227"/>
      <c r="K335" s="247" t="s">
        <v>712</v>
      </c>
      <c r="L335" s="227"/>
      <c r="M335" s="232">
        <v>0.336366365771353</v>
      </c>
      <c r="N335" s="232">
        <v>1.61107575356481</v>
      </c>
      <c r="O335" s="231">
        <v>0.2</v>
      </c>
      <c r="P335" s="231"/>
      <c r="Q335" s="231">
        <f t="shared" si="71"/>
        <v>2.14744211933616</v>
      </c>
      <c r="R335" s="281"/>
      <c r="S335" s="226" t="s">
        <v>2582</v>
      </c>
      <c r="T335" s="804"/>
      <c r="U335" s="120"/>
      <c r="X335" s="2163"/>
      <c r="AA335" s="839"/>
      <c r="AB335" s="839"/>
      <c r="AC335" s="1940"/>
    </row>
    <row r="336" s="42" customFormat="1" ht="16" hidden="1" customHeight="1" spans="1:29">
      <c r="A336" s="839">
        <v>228</v>
      </c>
      <c r="B336" s="226"/>
      <c r="C336" s="226"/>
      <c r="D336" s="227">
        <v>20250521</v>
      </c>
      <c r="E336" s="227">
        <v>7.17</v>
      </c>
      <c r="F336" s="2132" t="s">
        <v>2583</v>
      </c>
      <c r="G336" s="227" t="s">
        <v>1131</v>
      </c>
      <c r="H336" s="227"/>
      <c r="I336" s="227"/>
      <c r="J336" s="227"/>
      <c r="K336" s="227" t="s">
        <v>712</v>
      </c>
      <c r="L336" s="227"/>
      <c r="M336" s="232">
        <v>0.418921998090089</v>
      </c>
      <c r="N336" s="232">
        <v>2.66903705934089</v>
      </c>
      <c r="O336" s="288">
        <v>0.4</v>
      </c>
      <c r="P336" s="288"/>
      <c r="Q336" s="231">
        <f t="shared" si="71"/>
        <v>3.48795905743098</v>
      </c>
      <c r="R336" s="281"/>
      <c r="S336" s="226" t="s">
        <v>2584</v>
      </c>
      <c r="T336" s="804"/>
      <c r="X336" s="2163"/>
      <c r="AA336" s="839"/>
      <c r="AB336" s="839"/>
      <c r="AC336" s="1940"/>
    </row>
    <row r="337" s="42" customFormat="1" ht="16" hidden="1" customHeight="1" spans="1:29">
      <c r="A337" s="839">
        <v>229</v>
      </c>
      <c r="B337" s="226"/>
      <c r="C337" s="226"/>
      <c r="D337" s="227">
        <v>20241029</v>
      </c>
      <c r="E337" s="227">
        <v>7.17</v>
      </c>
      <c r="F337" s="2132" t="s">
        <v>2585</v>
      </c>
      <c r="G337" s="227" t="s">
        <v>453</v>
      </c>
      <c r="H337" s="227"/>
      <c r="I337" s="227"/>
      <c r="J337" s="227"/>
      <c r="K337" s="227" t="s">
        <v>712</v>
      </c>
      <c r="L337" s="227"/>
      <c r="M337" s="232">
        <v>0.376489250613855</v>
      </c>
      <c r="N337" s="232">
        <v>2.99017429652752</v>
      </c>
      <c r="O337" s="288">
        <v>0.4</v>
      </c>
      <c r="P337" s="288"/>
      <c r="Q337" s="231">
        <f t="shared" si="71"/>
        <v>3.76666354714137</v>
      </c>
      <c r="R337" s="281"/>
      <c r="S337" s="226"/>
      <c r="T337" s="804"/>
      <c r="X337" s="2163"/>
      <c r="AA337" s="839"/>
      <c r="AB337" s="839"/>
      <c r="AC337" s="1940"/>
    </row>
    <row r="338" s="42" customFormat="1" ht="16" hidden="1" customHeight="1" spans="1:29">
      <c r="A338" s="839">
        <v>230</v>
      </c>
      <c r="B338" s="226" t="s">
        <v>2586</v>
      </c>
      <c r="C338" s="226"/>
      <c r="D338" s="227">
        <v>20240808</v>
      </c>
      <c r="E338" s="227">
        <v>7.17</v>
      </c>
      <c r="F338" s="2132" t="s">
        <v>2587</v>
      </c>
      <c r="G338" s="227" t="s">
        <v>1629</v>
      </c>
      <c r="H338" s="227"/>
      <c r="I338" s="227" t="s">
        <v>2326</v>
      </c>
      <c r="J338" s="227" t="s">
        <v>1635</v>
      </c>
      <c r="K338" s="507" t="s">
        <v>712</v>
      </c>
      <c r="L338" s="227">
        <v>3.1</v>
      </c>
      <c r="M338" s="232">
        <v>3.30024935217328</v>
      </c>
      <c r="N338" s="232">
        <v>14.4986914749326</v>
      </c>
      <c r="O338" s="231">
        <f t="shared" ref="O338:O345" si="72">22.36/E338/1.13</f>
        <v>2.75977832907518</v>
      </c>
      <c r="P338" s="231"/>
      <c r="Q338" s="231">
        <f t="shared" si="71"/>
        <v>23.6587191561811</v>
      </c>
      <c r="R338" s="226" t="s">
        <v>1526</v>
      </c>
      <c r="S338" s="226" t="s">
        <v>2588</v>
      </c>
      <c r="T338" s="804"/>
      <c r="X338" s="2163"/>
      <c r="AA338" s="839"/>
      <c r="AB338" s="839"/>
      <c r="AC338" s="1940"/>
    </row>
    <row r="339" s="42" customFormat="1" ht="16" hidden="1" customHeight="1" spans="1:29">
      <c r="A339" s="839">
        <v>231</v>
      </c>
      <c r="B339" s="226"/>
      <c r="C339" s="226"/>
      <c r="D339" s="227">
        <v>20240808</v>
      </c>
      <c r="E339" s="227">
        <v>7.17</v>
      </c>
      <c r="F339" s="2132" t="s">
        <v>2589</v>
      </c>
      <c r="G339" s="227" t="s">
        <v>1645</v>
      </c>
      <c r="H339" s="227"/>
      <c r="I339" s="227" t="s">
        <v>2317</v>
      </c>
      <c r="J339" s="227" t="s">
        <v>1635</v>
      </c>
      <c r="K339" s="247" t="s">
        <v>712</v>
      </c>
      <c r="L339" s="227">
        <v>3.1</v>
      </c>
      <c r="M339" s="232">
        <v>3.30024935217328</v>
      </c>
      <c r="N339" s="232">
        <v>14.9870352818103</v>
      </c>
      <c r="O339" s="231">
        <f t="shared" si="72"/>
        <v>2.75977832907518</v>
      </c>
      <c r="P339" s="231"/>
      <c r="Q339" s="231">
        <f t="shared" si="71"/>
        <v>24.1470629630588</v>
      </c>
      <c r="R339" s="226" t="s">
        <v>1526</v>
      </c>
      <c r="S339" s="226" t="s">
        <v>2588</v>
      </c>
      <c r="T339" s="804"/>
      <c r="X339" s="2163"/>
      <c r="AA339" s="839"/>
      <c r="AB339" s="839"/>
      <c r="AC339" s="1940"/>
    </row>
    <row r="340" s="42" customFormat="1" ht="16" hidden="1" customHeight="1" spans="1:29">
      <c r="A340" s="839">
        <v>232</v>
      </c>
      <c r="B340" s="226"/>
      <c r="C340" s="226"/>
      <c r="D340" s="227">
        <v>20240918</v>
      </c>
      <c r="E340" s="227">
        <v>7.17</v>
      </c>
      <c r="F340" s="2132" t="s">
        <v>2590</v>
      </c>
      <c r="G340" s="227" t="s">
        <v>1604</v>
      </c>
      <c r="H340" s="227"/>
      <c r="I340" s="227" t="s">
        <v>2326</v>
      </c>
      <c r="J340" s="227" t="s">
        <v>1635</v>
      </c>
      <c r="K340" s="507" t="s">
        <v>712</v>
      </c>
      <c r="L340" s="227">
        <v>3.1</v>
      </c>
      <c r="M340" s="232">
        <v>3.30024935217328</v>
      </c>
      <c r="N340" s="232">
        <v>14.4531720593031</v>
      </c>
      <c r="O340" s="231">
        <f t="shared" si="72"/>
        <v>2.75977832907518</v>
      </c>
      <c r="P340" s="231"/>
      <c r="Q340" s="231">
        <f t="shared" si="71"/>
        <v>23.6131997405516</v>
      </c>
      <c r="R340" s="226" t="s">
        <v>1526</v>
      </c>
      <c r="S340" s="226" t="s">
        <v>2588</v>
      </c>
      <c r="T340" s="804"/>
      <c r="X340" s="2163"/>
      <c r="AA340" s="839"/>
      <c r="AB340" s="839"/>
      <c r="AC340" s="1940"/>
    </row>
    <row r="341" s="42" customFormat="1" ht="16" hidden="1" customHeight="1" spans="1:29">
      <c r="A341" s="839">
        <v>233</v>
      </c>
      <c r="B341" s="226"/>
      <c r="C341" s="226"/>
      <c r="D341" s="227">
        <v>20240918</v>
      </c>
      <c r="E341" s="227">
        <v>7.17</v>
      </c>
      <c r="F341" s="2132" t="s">
        <v>2591</v>
      </c>
      <c r="G341" s="227" t="s">
        <v>1571</v>
      </c>
      <c r="H341" s="227"/>
      <c r="I341" s="227" t="s">
        <v>2317</v>
      </c>
      <c r="J341" s="227" t="s">
        <v>1635</v>
      </c>
      <c r="K341" s="247" t="s">
        <v>712</v>
      </c>
      <c r="L341" s="227">
        <v>3.1</v>
      </c>
      <c r="M341" s="232">
        <v>3.30024935217328</v>
      </c>
      <c r="N341" s="232">
        <v>14.4656815052225</v>
      </c>
      <c r="O341" s="231">
        <f t="shared" si="72"/>
        <v>2.75977832907518</v>
      </c>
      <c r="P341" s="231"/>
      <c r="Q341" s="231">
        <f t="shared" si="71"/>
        <v>23.625709186471</v>
      </c>
      <c r="R341" s="226" t="s">
        <v>1526</v>
      </c>
      <c r="S341" s="226" t="s">
        <v>2588</v>
      </c>
      <c r="T341" s="804"/>
      <c r="X341" s="2163"/>
      <c r="AA341" s="839"/>
      <c r="AB341" s="839"/>
      <c r="AC341" s="1940"/>
    </row>
    <row r="342" s="42" customFormat="1" ht="16" hidden="1" customHeight="1" spans="1:29">
      <c r="A342" s="839">
        <v>234</v>
      </c>
      <c r="B342" s="226"/>
      <c r="C342" s="226"/>
      <c r="D342" s="227">
        <v>20240926</v>
      </c>
      <c r="E342" s="227">
        <v>7.17</v>
      </c>
      <c r="F342" s="2132" t="s">
        <v>2592</v>
      </c>
      <c r="G342" s="227" t="s">
        <v>1685</v>
      </c>
      <c r="H342" s="227"/>
      <c r="I342" s="227" t="s">
        <v>2326</v>
      </c>
      <c r="J342" s="227" t="s">
        <v>1635</v>
      </c>
      <c r="K342" s="507" t="s">
        <v>712</v>
      </c>
      <c r="L342" s="227">
        <v>3.1</v>
      </c>
      <c r="M342" s="232">
        <v>3.30024935217328</v>
      </c>
      <c r="N342" s="232">
        <v>14.478103118862</v>
      </c>
      <c r="O342" s="231">
        <f t="shared" si="72"/>
        <v>2.75977832907518</v>
      </c>
      <c r="P342" s="231"/>
      <c r="Q342" s="231">
        <f t="shared" si="71"/>
        <v>23.6381308001105</v>
      </c>
      <c r="R342" s="226" t="s">
        <v>1526</v>
      </c>
      <c r="S342" s="226" t="s">
        <v>2588</v>
      </c>
      <c r="T342" s="804"/>
      <c r="X342" s="2163"/>
      <c r="AA342" s="839"/>
      <c r="AB342" s="839"/>
      <c r="AC342" s="1940"/>
    </row>
    <row r="343" s="42" customFormat="1" ht="16" hidden="1" customHeight="1" spans="1:29">
      <c r="A343" s="839">
        <v>235</v>
      </c>
      <c r="B343" s="226"/>
      <c r="C343" s="226"/>
      <c r="D343" s="227">
        <v>20241108</v>
      </c>
      <c r="E343" s="227">
        <v>7.17</v>
      </c>
      <c r="F343" s="2132" t="s">
        <v>2593</v>
      </c>
      <c r="G343" s="227" t="s">
        <v>1669</v>
      </c>
      <c r="H343" s="227"/>
      <c r="I343" s="227" t="s">
        <v>2594</v>
      </c>
      <c r="J343" s="227" t="s">
        <v>1635</v>
      </c>
      <c r="K343" s="247" t="s">
        <v>712</v>
      </c>
      <c r="L343" s="227">
        <v>3.1</v>
      </c>
      <c r="M343" s="232">
        <v>3.30024935217328</v>
      </c>
      <c r="N343" s="232">
        <v>14.4315551890002</v>
      </c>
      <c r="O343" s="231">
        <f t="shared" si="72"/>
        <v>2.75977832907518</v>
      </c>
      <c r="P343" s="231"/>
      <c r="Q343" s="231">
        <f t="shared" si="71"/>
        <v>23.5915828702487</v>
      </c>
      <c r="R343" s="226" t="s">
        <v>1526</v>
      </c>
      <c r="S343" s="226" t="s">
        <v>2588</v>
      </c>
      <c r="T343" s="804"/>
      <c r="X343" s="2163"/>
      <c r="AA343" s="839"/>
      <c r="AB343" s="839"/>
      <c r="AC343" s="1940"/>
    </row>
    <row r="344" s="42" customFormat="1" ht="16" hidden="1" customHeight="1" spans="1:29">
      <c r="A344" s="839">
        <v>236</v>
      </c>
      <c r="B344" s="226"/>
      <c r="C344" s="226"/>
      <c r="D344" s="227">
        <v>20250313</v>
      </c>
      <c r="E344" s="227">
        <v>7.17</v>
      </c>
      <c r="F344" s="2132" t="s">
        <v>2595</v>
      </c>
      <c r="G344" s="227" t="s">
        <v>1671</v>
      </c>
      <c r="H344" s="227"/>
      <c r="I344" s="227" t="s">
        <v>2596</v>
      </c>
      <c r="J344" s="227" t="s">
        <v>1635</v>
      </c>
      <c r="K344" s="256" t="s">
        <v>712</v>
      </c>
      <c r="L344" s="227">
        <v>3.1</v>
      </c>
      <c r="M344" s="232">
        <v>3.30024935217328</v>
      </c>
      <c r="N344" s="232">
        <v>13.8503332490793</v>
      </c>
      <c r="O344" s="231">
        <f t="shared" si="72"/>
        <v>2.75977832907518</v>
      </c>
      <c r="P344" s="231"/>
      <c r="Q344" s="231">
        <f t="shared" si="71"/>
        <v>23.0103609303278</v>
      </c>
      <c r="R344" s="226" t="s">
        <v>1526</v>
      </c>
      <c r="S344" s="226" t="s">
        <v>2597</v>
      </c>
      <c r="T344" s="804"/>
      <c r="X344" s="2163"/>
      <c r="AA344" s="839"/>
      <c r="AB344" s="839"/>
      <c r="AC344" s="1940"/>
    </row>
    <row r="345" s="839" customFormat="1" ht="16" hidden="1" customHeight="1" spans="1:29">
      <c r="A345" s="839">
        <v>237</v>
      </c>
      <c r="B345" s="226"/>
      <c r="C345" s="226"/>
      <c r="D345" s="227">
        <v>20250515</v>
      </c>
      <c r="E345" s="227">
        <v>7.17</v>
      </c>
      <c r="F345" s="2132" t="s">
        <v>2598</v>
      </c>
      <c r="G345" s="227" t="s">
        <v>1998</v>
      </c>
      <c r="H345" s="227"/>
      <c r="I345" s="227" t="s">
        <v>2365</v>
      </c>
      <c r="J345" s="227" t="s">
        <v>1635</v>
      </c>
      <c r="K345" s="507" t="s">
        <v>712</v>
      </c>
      <c r="L345" s="227">
        <v>3.1</v>
      </c>
      <c r="M345" s="232">
        <v>3.30024935217328</v>
      </c>
      <c r="N345" s="232">
        <v>13.7832857124114</v>
      </c>
      <c r="O345" s="231">
        <f t="shared" si="72"/>
        <v>2.75977832907518</v>
      </c>
      <c r="P345" s="231"/>
      <c r="Q345" s="231">
        <f t="shared" si="71"/>
        <v>22.9433133936599</v>
      </c>
      <c r="R345" s="226" t="s">
        <v>1526</v>
      </c>
      <c r="S345" s="226" t="s">
        <v>2599</v>
      </c>
      <c r="T345" s="804"/>
      <c r="X345" s="1940"/>
      <c r="AC345" s="1940"/>
    </row>
    <row r="346" s="42" customFormat="1" ht="16" hidden="1" customHeight="1" spans="1:29">
      <c r="A346" s="839">
        <v>238</v>
      </c>
      <c r="B346" s="226" t="s">
        <v>2600</v>
      </c>
      <c r="C346" s="226"/>
      <c r="D346" s="227">
        <v>20250226</v>
      </c>
      <c r="E346" s="227">
        <v>7.17</v>
      </c>
      <c r="F346" s="2132" t="s">
        <v>2601</v>
      </c>
      <c r="G346" s="227" t="s">
        <v>1581</v>
      </c>
      <c r="H346" s="227"/>
      <c r="I346" s="245" t="s">
        <v>2562</v>
      </c>
      <c r="J346" s="227" t="s">
        <v>1428</v>
      </c>
      <c r="K346" s="227" t="s">
        <v>712</v>
      </c>
      <c r="L346" s="227" t="s">
        <v>1428</v>
      </c>
      <c r="M346" s="231">
        <v>5.3640275862069</v>
      </c>
      <c r="N346" s="232">
        <v>19.8808338402645</v>
      </c>
      <c r="O346" s="231">
        <f t="shared" ref="O346:O359" si="73">24.17/E346/1.13</f>
        <v>2.98317720097259</v>
      </c>
      <c r="P346" s="231"/>
      <c r="Q346" s="231">
        <f t="shared" si="71"/>
        <v>28.228038627444</v>
      </c>
      <c r="R346" s="226" t="s">
        <v>1526</v>
      </c>
      <c r="S346" s="226" t="s">
        <v>2602</v>
      </c>
      <c r="T346" s="804"/>
      <c r="X346" s="2163"/>
      <c r="AA346" s="839"/>
      <c r="AB346" s="839"/>
      <c r="AC346" s="1940"/>
    </row>
    <row r="347" s="42" customFormat="1" ht="16" hidden="1" customHeight="1" spans="1:29">
      <c r="A347" s="839">
        <v>239</v>
      </c>
      <c r="B347" s="226"/>
      <c r="C347" s="226"/>
      <c r="D347" s="227">
        <v>20240703</v>
      </c>
      <c r="E347" s="227">
        <v>7.17</v>
      </c>
      <c r="F347" s="2132" t="s">
        <v>2603</v>
      </c>
      <c r="G347" s="227" t="s">
        <v>2427</v>
      </c>
      <c r="H347" s="227"/>
      <c r="I347" s="245" t="s">
        <v>2566</v>
      </c>
      <c r="J347" s="227" t="s">
        <v>1428</v>
      </c>
      <c r="K347" s="509" t="s">
        <v>712</v>
      </c>
      <c r="L347" s="227" t="s">
        <v>1428</v>
      </c>
      <c r="M347" s="231">
        <f>5.3640275862069*1.15</f>
        <v>6.16863172413793</v>
      </c>
      <c r="N347" s="232">
        <v>24.5773947507168</v>
      </c>
      <c r="O347" s="231">
        <f t="shared" si="73"/>
        <v>2.98317720097259</v>
      </c>
      <c r="P347" s="231"/>
      <c r="Q347" s="231">
        <f t="shared" si="71"/>
        <v>33.7292036758273</v>
      </c>
      <c r="R347" s="226" t="s">
        <v>1526</v>
      </c>
      <c r="S347" s="226" t="s">
        <v>2604</v>
      </c>
      <c r="T347" s="804"/>
      <c r="X347" s="2163"/>
      <c r="AA347" s="839"/>
      <c r="AB347" s="839"/>
      <c r="AC347" s="1940"/>
    </row>
    <row r="348" s="42" customFormat="1" ht="16" hidden="1" customHeight="1" spans="1:29">
      <c r="A348" s="839"/>
      <c r="B348" s="226"/>
      <c r="C348" s="226"/>
      <c r="D348" s="227"/>
      <c r="E348" s="227">
        <v>6.78</v>
      </c>
      <c r="F348" s="2132" t="s">
        <v>2142</v>
      </c>
      <c r="G348" s="227"/>
      <c r="H348" s="227"/>
      <c r="I348" s="245"/>
      <c r="J348" s="227" t="s">
        <v>1428</v>
      </c>
      <c r="K348" s="509" t="s">
        <v>712</v>
      </c>
      <c r="L348" s="227" t="s">
        <v>1428</v>
      </c>
      <c r="M348" s="231"/>
      <c r="N348" s="232">
        <v>15.5</v>
      </c>
      <c r="O348" s="231">
        <f t="shared" si="73"/>
        <v>3.15477588952411</v>
      </c>
      <c r="P348" s="231"/>
      <c r="Q348" s="231">
        <f t="shared" si="71"/>
        <v>18.6547758895241</v>
      </c>
      <c r="R348" s="226"/>
      <c r="S348" s="226"/>
      <c r="T348" s="804"/>
      <c r="X348" s="2163"/>
      <c r="AA348" s="839"/>
      <c r="AB348" s="839"/>
      <c r="AC348" s="1940"/>
    </row>
    <row r="349" s="42" customFormat="1" ht="16" hidden="1" customHeight="1" spans="1:29">
      <c r="A349" s="839">
        <v>240</v>
      </c>
      <c r="B349" s="226"/>
      <c r="C349" s="226"/>
      <c r="D349" s="227">
        <v>20240924</v>
      </c>
      <c r="E349" s="227">
        <v>7.17</v>
      </c>
      <c r="F349" s="2132" t="s">
        <v>2605</v>
      </c>
      <c r="G349" s="227" t="s">
        <v>2449</v>
      </c>
      <c r="H349" s="227"/>
      <c r="I349" s="245" t="s">
        <v>2384</v>
      </c>
      <c r="J349" s="227" t="s">
        <v>1428</v>
      </c>
      <c r="K349" s="245" t="s">
        <v>712</v>
      </c>
      <c r="L349" s="227" t="s">
        <v>1428</v>
      </c>
      <c r="M349" s="231">
        <v>5.3640275862069</v>
      </c>
      <c r="N349" s="232">
        <v>19.4719614292995</v>
      </c>
      <c r="O349" s="231">
        <f t="shared" si="73"/>
        <v>2.98317720097259</v>
      </c>
      <c r="P349" s="231"/>
      <c r="Q349" s="231">
        <f t="shared" si="71"/>
        <v>27.819166216479</v>
      </c>
      <c r="R349" s="226" t="s">
        <v>1526</v>
      </c>
      <c r="S349" s="226" t="s">
        <v>2606</v>
      </c>
      <c r="T349" s="804"/>
      <c r="X349" s="2163"/>
      <c r="AA349" s="839"/>
      <c r="AB349" s="839"/>
      <c r="AC349" s="1940"/>
    </row>
    <row r="350" s="42" customFormat="1" ht="16" hidden="1" customHeight="1" spans="1:29">
      <c r="A350" s="839">
        <v>241</v>
      </c>
      <c r="B350" s="226"/>
      <c r="C350" s="226"/>
      <c r="D350" s="227">
        <v>20240924</v>
      </c>
      <c r="E350" s="227">
        <v>7.17</v>
      </c>
      <c r="F350" s="2132" t="s">
        <v>2607</v>
      </c>
      <c r="G350" s="227" t="s">
        <v>2546</v>
      </c>
      <c r="H350" s="227"/>
      <c r="I350" s="245" t="s">
        <v>2407</v>
      </c>
      <c r="J350" s="227" t="s">
        <v>1428</v>
      </c>
      <c r="K350" s="245" t="s">
        <v>712</v>
      </c>
      <c r="L350" s="227" t="s">
        <v>1428</v>
      </c>
      <c r="M350" s="231">
        <v>5.3640275862069</v>
      </c>
      <c r="N350" s="232">
        <v>19.4819423701924</v>
      </c>
      <c r="O350" s="231">
        <f t="shared" si="73"/>
        <v>2.98317720097259</v>
      </c>
      <c r="P350" s="231"/>
      <c r="Q350" s="231">
        <f t="shared" si="71"/>
        <v>27.8291471573719</v>
      </c>
      <c r="R350" s="226" t="s">
        <v>1526</v>
      </c>
      <c r="S350" s="226" t="s">
        <v>2606</v>
      </c>
      <c r="T350" s="804"/>
      <c r="X350" s="2163"/>
      <c r="AA350" s="839"/>
      <c r="AB350" s="839"/>
      <c r="AC350" s="1940"/>
    </row>
    <row r="351" s="839" customFormat="1" ht="16" hidden="1" customHeight="1" spans="1:29">
      <c r="A351" s="839">
        <v>242</v>
      </c>
      <c r="B351" s="226"/>
      <c r="C351" s="226"/>
      <c r="D351" s="227">
        <v>20241023</v>
      </c>
      <c r="E351" s="227">
        <v>7.17</v>
      </c>
      <c r="F351" s="2132" t="s">
        <v>2608</v>
      </c>
      <c r="G351" s="227" t="s">
        <v>2306</v>
      </c>
      <c r="H351" s="227"/>
      <c r="I351" s="245" t="s">
        <v>2342</v>
      </c>
      <c r="J351" s="227" t="s">
        <v>1428</v>
      </c>
      <c r="K351" s="247" t="s">
        <v>712</v>
      </c>
      <c r="L351" s="227" t="s">
        <v>1428</v>
      </c>
      <c r="M351" s="231">
        <v>5.3640275862069</v>
      </c>
      <c r="N351" s="232">
        <v>18.215635582469</v>
      </c>
      <c r="O351" s="231">
        <f t="shared" si="73"/>
        <v>2.98317720097259</v>
      </c>
      <c r="P351" s="231"/>
      <c r="Q351" s="231">
        <f t="shared" si="71"/>
        <v>26.5628403696485</v>
      </c>
      <c r="R351" s="226" t="s">
        <v>1526</v>
      </c>
      <c r="S351" s="226" t="s">
        <v>2609</v>
      </c>
      <c r="T351" s="804"/>
      <c r="X351" s="1940"/>
      <c r="AC351" s="1940"/>
    </row>
    <row r="352" s="42" customFormat="1" ht="16" hidden="1" customHeight="1" spans="1:29">
      <c r="A352" s="839">
        <v>243</v>
      </c>
      <c r="B352" s="226"/>
      <c r="C352" s="226"/>
      <c r="D352" s="227">
        <v>20241023</v>
      </c>
      <c r="E352" s="227">
        <v>7.17</v>
      </c>
      <c r="F352" s="2132" t="s">
        <v>2610</v>
      </c>
      <c r="G352" s="227" t="s">
        <v>2431</v>
      </c>
      <c r="H352" s="227"/>
      <c r="I352" s="245" t="s">
        <v>2611</v>
      </c>
      <c r="J352" s="227" t="s">
        <v>1428</v>
      </c>
      <c r="K352" s="247" t="s">
        <v>712</v>
      </c>
      <c r="L352" s="227" t="s">
        <v>1428</v>
      </c>
      <c r="M352" s="231">
        <v>5.3640275862069</v>
      </c>
      <c r="N352" s="232">
        <v>19.4789185539213</v>
      </c>
      <c r="O352" s="231">
        <f t="shared" si="73"/>
        <v>2.98317720097259</v>
      </c>
      <c r="P352" s="231"/>
      <c r="Q352" s="231">
        <f t="shared" si="71"/>
        <v>27.8261233411008</v>
      </c>
      <c r="R352" s="226" t="s">
        <v>1526</v>
      </c>
      <c r="S352" s="226" t="s">
        <v>2612</v>
      </c>
      <c r="T352" s="804"/>
      <c r="X352" s="2163"/>
      <c r="AA352" s="839"/>
      <c r="AB352" s="839"/>
      <c r="AC352" s="1940"/>
    </row>
    <row r="353" s="42" customFormat="1" ht="16" hidden="1" customHeight="1" spans="1:29">
      <c r="A353" s="839">
        <v>244</v>
      </c>
      <c r="B353" s="226"/>
      <c r="C353" s="226"/>
      <c r="D353" s="227">
        <v>20250312</v>
      </c>
      <c r="E353" s="227">
        <v>7.17</v>
      </c>
      <c r="F353" s="2132" t="s">
        <v>2613</v>
      </c>
      <c r="G353" s="227" t="s">
        <v>1667</v>
      </c>
      <c r="H353" s="227"/>
      <c r="I353" s="245" t="s">
        <v>2614</v>
      </c>
      <c r="J353" s="227"/>
      <c r="K353" s="247" t="s">
        <v>712</v>
      </c>
      <c r="L353" s="227" t="s">
        <v>1428</v>
      </c>
      <c r="M353" s="231">
        <v>5.3640275862069</v>
      </c>
      <c r="N353" s="232">
        <v>17.1151086542666</v>
      </c>
      <c r="O353" s="231">
        <f t="shared" si="73"/>
        <v>2.98317720097259</v>
      </c>
      <c r="P353" s="231"/>
      <c r="Q353" s="231">
        <f t="shared" si="71"/>
        <v>25.4623134414461</v>
      </c>
      <c r="R353" s="226" t="s">
        <v>1526</v>
      </c>
      <c r="S353" s="226" t="s">
        <v>2615</v>
      </c>
      <c r="T353" s="804"/>
      <c r="X353" s="2163"/>
      <c r="AA353" s="839"/>
      <c r="AB353" s="839"/>
      <c r="AC353" s="1940"/>
    </row>
    <row r="354" s="42" customFormat="1" ht="16" hidden="1" customHeight="1" spans="1:29">
      <c r="A354" s="839">
        <v>245</v>
      </c>
      <c r="B354" s="226"/>
      <c r="C354" s="226"/>
      <c r="D354" s="227">
        <v>20250425</v>
      </c>
      <c r="E354" s="227">
        <v>7.17</v>
      </c>
      <c r="F354" s="2132" t="s">
        <v>2616</v>
      </c>
      <c r="G354" s="227" t="s">
        <v>1558</v>
      </c>
      <c r="H354" s="227"/>
      <c r="I354" s="245" t="s">
        <v>2365</v>
      </c>
      <c r="J354" s="227"/>
      <c r="K354" s="507" t="s">
        <v>712</v>
      </c>
      <c r="L354" s="227" t="s">
        <v>1428</v>
      </c>
      <c r="M354" s="231">
        <v>4.86392416780835</v>
      </c>
      <c r="N354" s="232">
        <v>18.3743796886535</v>
      </c>
      <c r="O354" s="231">
        <f t="shared" si="73"/>
        <v>2.98317720097259</v>
      </c>
      <c r="P354" s="231"/>
      <c r="Q354" s="231">
        <f t="shared" si="71"/>
        <v>26.2214810574344</v>
      </c>
      <c r="R354" s="226" t="s">
        <v>1526</v>
      </c>
      <c r="S354" s="226" t="s">
        <v>2617</v>
      </c>
      <c r="T354" s="804"/>
      <c r="X354" s="2163"/>
      <c r="AA354" s="839"/>
      <c r="AB354" s="839"/>
      <c r="AC354" s="1940"/>
    </row>
    <row r="355" s="42" customFormat="1" ht="16" hidden="1" customHeight="1" spans="1:29">
      <c r="A355" s="839">
        <v>246</v>
      </c>
      <c r="B355" s="226"/>
      <c r="C355" s="226"/>
      <c r="D355" s="227">
        <v>20250425</v>
      </c>
      <c r="E355" s="227">
        <v>7.17</v>
      </c>
      <c r="F355" s="2132" t="s">
        <v>2618</v>
      </c>
      <c r="G355" s="227" t="s">
        <v>2311</v>
      </c>
      <c r="H355" s="227"/>
      <c r="I355" s="245" t="s">
        <v>2477</v>
      </c>
      <c r="J355" s="227"/>
      <c r="K355" s="507" t="s">
        <v>712</v>
      </c>
      <c r="L355" s="227" t="s">
        <v>1428</v>
      </c>
      <c r="M355" s="231">
        <v>4.86392416780835</v>
      </c>
      <c r="N355" s="232">
        <v>18.3504139751099</v>
      </c>
      <c r="O355" s="231">
        <f t="shared" si="73"/>
        <v>2.98317720097259</v>
      </c>
      <c r="P355" s="231"/>
      <c r="Q355" s="231">
        <f t="shared" si="71"/>
        <v>26.1975153438908</v>
      </c>
      <c r="R355" s="226" t="s">
        <v>1526</v>
      </c>
      <c r="S355" s="226" t="s">
        <v>2617</v>
      </c>
      <c r="T355" s="804"/>
      <c r="X355" s="2163"/>
      <c r="AA355" s="839"/>
      <c r="AB355" s="839"/>
      <c r="AC355" s="1940"/>
    </row>
    <row r="356" s="839" customFormat="1" ht="16" hidden="1" customHeight="1" spans="1:29">
      <c r="A356" s="839">
        <v>247</v>
      </c>
      <c r="B356" s="226"/>
      <c r="C356" s="226"/>
      <c r="D356" s="227">
        <v>20250730</v>
      </c>
      <c r="E356" s="227">
        <v>7.17</v>
      </c>
      <c r="F356" s="2132" t="s">
        <v>2619</v>
      </c>
      <c r="G356" s="227" t="s">
        <v>2314</v>
      </c>
      <c r="H356" s="227"/>
      <c r="I356" s="245" t="s">
        <v>2620</v>
      </c>
      <c r="J356" s="227"/>
      <c r="K356" s="507" t="s">
        <v>712</v>
      </c>
      <c r="L356" s="227"/>
      <c r="M356" s="231">
        <v>4.86392416780835</v>
      </c>
      <c r="N356" s="232">
        <v>19.07901907129</v>
      </c>
      <c r="O356" s="231">
        <f t="shared" si="73"/>
        <v>2.98317720097259</v>
      </c>
      <c r="P356" s="231"/>
      <c r="Q356" s="231">
        <f t="shared" si="71"/>
        <v>26.9261204400709</v>
      </c>
      <c r="R356" s="226" t="s">
        <v>1526</v>
      </c>
      <c r="S356" s="226" t="s">
        <v>2621</v>
      </c>
      <c r="T356" s="804"/>
      <c r="X356" s="1940"/>
      <c r="AC356" s="1940"/>
    </row>
    <row r="357" s="839" customFormat="1" ht="16" hidden="1" customHeight="1" spans="1:29">
      <c r="A357" s="839">
        <v>248</v>
      </c>
      <c r="B357" s="226"/>
      <c r="C357" s="226"/>
      <c r="D357" s="227">
        <v>20250730</v>
      </c>
      <c r="E357" s="227">
        <v>7.17</v>
      </c>
      <c r="F357" s="2132" t="s">
        <v>2622</v>
      </c>
      <c r="G357" s="227" t="s">
        <v>2459</v>
      </c>
      <c r="H357" s="227"/>
      <c r="I357" s="245" t="s">
        <v>2623</v>
      </c>
      <c r="J357" s="227"/>
      <c r="K357" s="507" t="s">
        <v>712</v>
      </c>
      <c r="L357" s="227"/>
      <c r="M357" s="231">
        <v>4.86392416780835</v>
      </c>
      <c r="N357" s="232">
        <v>19.1359894863676</v>
      </c>
      <c r="O357" s="231">
        <f t="shared" si="73"/>
        <v>2.98317720097259</v>
      </c>
      <c r="P357" s="231"/>
      <c r="Q357" s="231">
        <f t="shared" si="71"/>
        <v>26.9830908551485</v>
      </c>
      <c r="R357" s="226" t="s">
        <v>1526</v>
      </c>
      <c r="S357" s="226" t="s">
        <v>2624</v>
      </c>
      <c r="T357" s="804"/>
      <c r="X357" s="1940"/>
      <c r="AC357" s="1940"/>
    </row>
    <row r="358" s="839" customFormat="1" ht="16" hidden="1" customHeight="1" spans="1:29">
      <c r="A358" s="839">
        <v>249</v>
      </c>
      <c r="B358" s="226"/>
      <c r="C358" s="226"/>
      <c r="D358" s="227">
        <v>20250730</v>
      </c>
      <c r="E358" s="227">
        <v>7.17</v>
      </c>
      <c r="F358" s="2132" t="s">
        <v>2625</v>
      </c>
      <c r="G358" s="227" t="s">
        <v>1723</v>
      </c>
      <c r="H358" s="227"/>
      <c r="I358" s="245" t="s">
        <v>2444</v>
      </c>
      <c r="J358" s="227"/>
      <c r="K358" s="507" t="s">
        <v>712</v>
      </c>
      <c r="L358" s="227"/>
      <c r="M358" s="231">
        <v>4.86392416780835</v>
      </c>
      <c r="N358" s="232">
        <v>19.172276374952</v>
      </c>
      <c r="O358" s="231">
        <f t="shared" si="73"/>
        <v>2.98317720097259</v>
      </c>
      <c r="P358" s="231"/>
      <c r="Q358" s="231">
        <f t="shared" si="71"/>
        <v>27.0193777437329</v>
      </c>
      <c r="R358" s="226" t="s">
        <v>1526</v>
      </c>
      <c r="S358" s="226" t="s">
        <v>2626</v>
      </c>
      <c r="T358" s="804"/>
      <c r="X358" s="1940"/>
      <c r="AC358" s="1940"/>
    </row>
    <row r="359" s="839" customFormat="1" ht="16" hidden="1" customHeight="1" spans="1:29">
      <c r="A359" s="839">
        <v>250</v>
      </c>
      <c r="B359" s="226"/>
      <c r="C359" s="226"/>
      <c r="D359" s="227">
        <v>20250730</v>
      </c>
      <c r="E359" s="227">
        <v>7.17</v>
      </c>
      <c r="F359" s="2132" t="s">
        <v>2627</v>
      </c>
      <c r="G359" s="227" t="s">
        <v>1587</v>
      </c>
      <c r="H359" s="227"/>
      <c r="I359" s="245" t="s">
        <v>2365</v>
      </c>
      <c r="J359" s="227"/>
      <c r="K359" s="507" t="s">
        <v>712</v>
      </c>
      <c r="L359" s="227"/>
      <c r="M359" s="231">
        <v>4.86392416780835</v>
      </c>
      <c r="N359" s="232">
        <v>18.6059935593857</v>
      </c>
      <c r="O359" s="231">
        <f t="shared" si="73"/>
        <v>2.98317720097259</v>
      </c>
      <c r="P359" s="231"/>
      <c r="Q359" s="231">
        <f t="shared" si="71"/>
        <v>26.4530949281666</v>
      </c>
      <c r="R359" s="226" t="s">
        <v>1526</v>
      </c>
      <c r="S359" s="226" t="s">
        <v>2624</v>
      </c>
      <c r="T359" s="804"/>
      <c r="X359" s="1940"/>
      <c r="AC359" s="1940"/>
    </row>
    <row r="360" s="839" customFormat="1" ht="16" hidden="1" customHeight="1" spans="1:29">
      <c r="A360" s="839">
        <v>251</v>
      </c>
      <c r="B360" s="226"/>
      <c r="C360" s="226"/>
      <c r="D360" s="227">
        <v>20250807</v>
      </c>
      <c r="E360" s="227">
        <v>7.17</v>
      </c>
      <c r="F360" s="2132" t="s">
        <v>77</v>
      </c>
      <c r="G360" s="227" t="s">
        <v>78</v>
      </c>
      <c r="H360" s="227"/>
      <c r="I360" s="245"/>
      <c r="J360" s="227"/>
      <c r="K360" s="507" t="s">
        <v>712</v>
      </c>
      <c r="L360" s="227"/>
      <c r="M360" s="231">
        <v>0.476666543241876</v>
      </c>
      <c r="N360" s="232">
        <v>2.90243786510362</v>
      </c>
      <c r="O360" s="231">
        <v>0.4</v>
      </c>
      <c r="P360" s="231"/>
      <c r="Q360" s="231">
        <f t="shared" si="71"/>
        <v>3.7791044083455</v>
      </c>
      <c r="R360" s="226"/>
      <c r="S360" s="226" t="s">
        <v>2628</v>
      </c>
      <c r="T360" s="804"/>
      <c r="X360" s="1940"/>
      <c r="AC360" s="1940"/>
    </row>
    <row r="361" s="42" customFormat="1" ht="16" hidden="1" customHeight="1" spans="1:29">
      <c r="A361" s="839">
        <v>252</v>
      </c>
      <c r="B361" s="226"/>
      <c r="C361" s="226"/>
      <c r="D361" s="227">
        <v>20240829</v>
      </c>
      <c r="E361" s="227">
        <v>7.17</v>
      </c>
      <c r="F361" s="2132" t="s">
        <v>80</v>
      </c>
      <c r="G361" s="227" t="s">
        <v>81</v>
      </c>
      <c r="H361" s="227"/>
      <c r="I361" s="245"/>
      <c r="J361" s="227"/>
      <c r="K361" s="245" t="s">
        <v>712</v>
      </c>
      <c r="L361" s="227"/>
      <c r="M361" s="232">
        <v>0.482359399736111</v>
      </c>
      <c r="N361" s="232">
        <v>2.73545596936718</v>
      </c>
      <c r="O361" s="231">
        <v>0.4</v>
      </c>
      <c r="P361" s="231"/>
      <c r="Q361" s="231">
        <f t="shared" si="71"/>
        <v>3.61781536910329</v>
      </c>
      <c r="R361" s="226"/>
      <c r="S361" s="226" t="s">
        <v>2629</v>
      </c>
      <c r="T361" s="804"/>
      <c r="X361" s="2163"/>
      <c r="AA361" s="839"/>
      <c r="AB361" s="839"/>
      <c r="AC361" s="1940"/>
    </row>
    <row r="362" s="42" customFormat="1" ht="16" hidden="1" customHeight="1" spans="1:29">
      <c r="A362" s="839">
        <v>253</v>
      </c>
      <c r="B362" s="226"/>
      <c r="C362" s="226"/>
      <c r="D362" s="227">
        <v>20250516</v>
      </c>
      <c r="E362" s="227"/>
      <c r="F362" s="2132" t="s">
        <v>1979</v>
      </c>
      <c r="G362" s="227" t="s">
        <v>84</v>
      </c>
      <c r="H362" s="227"/>
      <c r="I362" s="245"/>
      <c r="J362" s="227"/>
      <c r="K362" s="245" t="s">
        <v>712</v>
      </c>
      <c r="L362" s="227"/>
      <c r="M362" s="231">
        <v>0.430186823992134</v>
      </c>
      <c r="N362" s="232">
        <v>3.16456055927237</v>
      </c>
      <c r="O362" s="231">
        <v>0.4</v>
      </c>
      <c r="P362" s="231"/>
      <c r="Q362" s="231">
        <f t="shared" si="71"/>
        <v>3.9947473832645</v>
      </c>
      <c r="R362" s="226"/>
      <c r="S362" s="226" t="s">
        <v>2628</v>
      </c>
      <c r="T362" s="804"/>
      <c r="X362" s="2163"/>
      <c r="AA362" s="839"/>
      <c r="AB362" s="839"/>
      <c r="AC362" s="1940"/>
    </row>
    <row r="363" s="42" customFormat="1" ht="16" hidden="1" customHeight="1" spans="1:29">
      <c r="A363" s="839">
        <v>254</v>
      </c>
      <c r="B363" s="226" t="s">
        <v>2630</v>
      </c>
      <c r="C363" s="226"/>
      <c r="D363" s="227">
        <v>20241018</v>
      </c>
      <c r="E363" s="227">
        <v>7.17</v>
      </c>
      <c r="F363" s="2132" t="s">
        <v>2631</v>
      </c>
      <c r="G363" s="227" t="s">
        <v>1667</v>
      </c>
      <c r="H363" s="227"/>
      <c r="I363" s="227" t="s">
        <v>2632</v>
      </c>
      <c r="J363" s="227" t="s">
        <v>1635</v>
      </c>
      <c r="K363" s="256" t="s">
        <v>712</v>
      </c>
      <c r="L363" s="227">
        <v>3.1</v>
      </c>
      <c r="M363" s="232">
        <v>4.61912677846771</v>
      </c>
      <c r="N363" s="232">
        <v>17.2853419926396</v>
      </c>
      <c r="O363" s="231">
        <f>25.34/E363/1.13</f>
        <v>3.12758420656373</v>
      </c>
      <c r="P363" s="231"/>
      <c r="Q363" s="231">
        <f t="shared" si="71"/>
        <v>28.132052977671</v>
      </c>
      <c r="R363" s="226" t="s">
        <v>2633</v>
      </c>
      <c r="S363" s="226" t="s">
        <v>2634</v>
      </c>
      <c r="T363" s="804"/>
      <c r="X363" s="2163"/>
      <c r="AA363" s="839"/>
      <c r="AB363" s="839"/>
      <c r="AC363" s="1940"/>
    </row>
    <row r="364" s="839" customFormat="1" ht="16" hidden="1" customHeight="1" spans="1:29">
      <c r="A364" s="839">
        <v>255</v>
      </c>
      <c r="B364" s="266"/>
      <c r="C364" s="226"/>
      <c r="D364" s="227">
        <v>20250515</v>
      </c>
      <c r="E364" s="227">
        <v>7.17</v>
      </c>
      <c r="F364" s="2132" t="s">
        <v>2635</v>
      </c>
      <c r="G364" s="219" t="s">
        <v>2311</v>
      </c>
      <c r="H364" s="219"/>
      <c r="I364" s="219" t="s">
        <v>2636</v>
      </c>
      <c r="J364" s="219" t="s">
        <v>1635</v>
      </c>
      <c r="K364" s="2048" t="s">
        <v>712</v>
      </c>
      <c r="L364" s="219">
        <v>3.1</v>
      </c>
      <c r="M364" s="319">
        <f>38*1.5/7.6/1.13</f>
        <v>6.63716814159292</v>
      </c>
      <c r="N364" s="319">
        <v>18.4</v>
      </c>
      <c r="O364" s="320">
        <f>25.34/E364/1.13</f>
        <v>3.12758420656373</v>
      </c>
      <c r="P364" s="320"/>
      <c r="Q364" s="320">
        <f t="shared" si="71"/>
        <v>31.2647523481567</v>
      </c>
      <c r="R364" s="226" t="s">
        <v>2633</v>
      </c>
      <c r="S364" s="226" t="s">
        <v>2637</v>
      </c>
      <c r="T364" s="804"/>
      <c r="X364" s="1940"/>
      <c r="AC364" s="1940"/>
    </row>
    <row r="365" s="42" customFormat="1" ht="16" hidden="1" customHeight="1" spans="1:29">
      <c r="A365" s="839">
        <v>256</v>
      </c>
      <c r="B365" s="226"/>
      <c r="C365" s="226"/>
      <c r="D365" s="227">
        <v>20240802</v>
      </c>
      <c r="E365" s="227">
        <v>7.17</v>
      </c>
      <c r="F365" s="2132" t="s">
        <v>89</v>
      </c>
      <c r="G365" s="227" t="s">
        <v>90</v>
      </c>
      <c r="H365" s="227"/>
      <c r="I365" s="227"/>
      <c r="J365" s="227"/>
      <c r="K365" s="227" t="s">
        <v>712</v>
      </c>
      <c r="L365" s="256"/>
      <c r="M365" s="232">
        <v>0.585861520715995</v>
      </c>
      <c r="N365" s="232">
        <v>0.636355717168493</v>
      </c>
      <c r="O365" s="231">
        <v>0.2</v>
      </c>
      <c r="P365" s="231"/>
      <c r="Q365" s="231">
        <f t="shared" si="71"/>
        <v>1.42221723788449</v>
      </c>
      <c r="R365" s="226"/>
      <c r="S365" s="226"/>
      <c r="T365" s="804"/>
      <c r="X365" s="2163"/>
      <c r="AA365" s="839"/>
      <c r="AB365" s="839"/>
      <c r="AC365" s="1940"/>
    </row>
    <row r="366" s="42" customFormat="1" ht="16" hidden="1" customHeight="1" spans="1:29">
      <c r="A366" s="839">
        <v>257</v>
      </c>
      <c r="B366" s="226"/>
      <c r="C366" s="226"/>
      <c r="D366" s="227"/>
      <c r="E366" s="227"/>
      <c r="F366" s="2132" t="s">
        <v>1979</v>
      </c>
      <c r="G366" s="227" t="s">
        <v>91</v>
      </c>
      <c r="H366" s="227"/>
      <c r="I366" s="227"/>
      <c r="J366" s="227"/>
      <c r="K366" s="227" t="s">
        <v>712</v>
      </c>
      <c r="L366" s="256"/>
      <c r="M366" s="231">
        <v>0.248909042151198</v>
      </c>
      <c r="N366" s="232">
        <v>0.964956446189571</v>
      </c>
      <c r="O366" s="231">
        <v>0.2</v>
      </c>
      <c r="P366" s="231"/>
      <c r="Q366" s="231">
        <f t="shared" si="71"/>
        <v>1.41386548834077</v>
      </c>
      <c r="R366" s="226"/>
      <c r="S366" s="226"/>
      <c r="T366" s="804"/>
      <c r="X366" s="2163"/>
      <c r="AA366" s="839"/>
      <c r="AB366" s="839"/>
      <c r="AC366" s="1940"/>
    </row>
    <row r="367" s="42" customFormat="1" ht="16" hidden="1" customHeight="1" spans="1:29">
      <c r="A367" s="839">
        <v>258</v>
      </c>
      <c r="B367" s="226"/>
      <c r="C367" s="226"/>
      <c r="D367" s="227"/>
      <c r="E367" s="227"/>
      <c r="F367" s="2132" t="s">
        <v>1979</v>
      </c>
      <c r="G367" s="227" t="s">
        <v>92</v>
      </c>
      <c r="H367" s="227"/>
      <c r="I367" s="227"/>
      <c r="J367" s="227"/>
      <c r="K367" s="227" t="s">
        <v>712</v>
      </c>
      <c r="L367" s="256"/>
      <c r="M367" s="231">
        <v>0.356936256107918</v>
      </c>
      <c r="N367" s="232">
        <v>1.38965038709122</v>
      </c>
      <c r="O367" s="231">
        <v>0.2</v>
      </c>
      <c r="P367" s="231"/>
      <c r="Q367" s="231">
        <f t="shared" si="71"/>
        <v>1.94658664319914</v>
      </c>
      <c r="R367" s="226"/>
      <c r="S367" s="226"/>
      <c r="T367" s="804"/>
      <c r="X367" s="2163"/>
      <c r="AA367" s="839"/>
      <c r="AB367" s="839"/>
      <c r="AC367" s="1940"/>
    </row>
    <row r="368" s="42" customFormat="1" ht="16" hidden="1" customHeight="1" spans="1:29">
      <c r="A368" s="839">
        <v>259</v>
      </c>
      <c r="B368" s="226"/>
      <c r="C368" s="226"/>
      <c r="D368" s="227"/>
      <c r="E368" s="227"/>
      <c r="F368" s="2132" t="s">
        <v>1979</v>
      </c>
      <c r="G368" s="227" t="s">
        <v>93</v>
      </c>
      <c r="H368" s="227"/>
      <c r="I368" s="227"/>
      <c r="J368" s="227"/>
      <c r="K368" s="245" t="s">
        <v>712</v>
      </c>
      <c r="L368" s="227"/>
      <c r="M368" s="231">
        <v>1.57829715351839</v>
      </c>
      <c r="N368" s="232">
        <v>2.00003106799788</v>
      </c>
      <c r="O368" s="231">
        <v>0.2</v>
      </c>
      <c r="P368" s="231"/>
      <c r="Q368" s="231">
        <f t="shared" si="71"/>
        <v>3.77832822151627</v>
      </c>
      <c r="R368" s="226"/>
      <c r="S368" s="226"/>
      <c r="T368" s="804"/>
      <c r="X368" s="2163"/>
      <c r="AA368" s="839"/>
      <c r="AB368" s="839"/>
      <c r="AC368" s="1940"/>
    </row>
    <row r="369" s="42" customFormat="1" ht="16" hidden="1" customHeight="1" spans="1:29">
      <c r="A369" s="839">
        <v>260</v>
      </c>
      <c r="B369" s="226"/>
      <c r="C369" s="226"/>
      <c r="D369" s="227"/>
      <c r="E369" s="227"/>
      <c r="F369" s="2132" t="s">
        <v>1979</v>
      </c>
      <c r="G369" s="227" t="s">
        <v>94</v>
      </c>
      <c r="H369" s="227"/>
      <c r="I369" s="227"/>
      <c r="J369" s="227"/>
      <c r="K369" s="256" t="s">
        <v>712</v>
      </c>
      <c r="L369" s="256"/>
      <c r="M369" s="231">
        <v>0.16416570475824</v>
      </c>
      <c r="N369" s="232">
        <v>0.856267492304733</v>
      </c>
      <c r="O369" s="231">
        <v>0.2</v>
      </c>
      <c r="P369" s="231"/>
      <c r="Q369" s="231">
        <f t="shared" si="71"/>
        <v>1.22043319706297</v>
      </c>
      <c r="R369" s="226"/>
      <c r="S369" s="289"/>
      <c r="T369" s="803"/>
      <c r="X369" s="2163"/>
      <c r="AA369" s="839"/>
      <c r="AB369" s="839"/>
      <c r="AC369" s="1940"/>
    </row>
    <row r="370" s="42" customFormat="1" ht="16" hidden="1" customHeight="1" spans="1:29">
      <c r="A370" s="839">
        <v>261</v>
      </c>
      <c r="B370" s="226"/>
      <c r="C370" s="226"/>
      <c r="D370" s="227"/>
      <c r="E370" s="227"/>
      <c r="F370" s="2132" t="s">
        <v>1979</v>
      </c>
      <c r="G370" s="227" t="s">
        <v>95</v>
      </c>
      <c r="H370" s="227"/>
      <c r="I370" s="227"/>
      <c r="J370" s="227"/>
      <c r="K370" s="256" t="s">
        <v>712</v>
      </c>
      <c r="L370" s="256"/>
      <c r="M370" s="231">
        <v>0.0820828523791202</v>
      </c>
      <c r="N370" s="232">
        <v>3.59836810600231</v>
      </c>
      <c r="O370" s="231">
        <v>0.2</v>
      </c>
      <c r="P370" s="231"/>
      <c r="Q370" s="231">
        <f t="shared" si="71"/>
        <v>3.88045095838143</v>
      </c>
      <c r="R370" s="226"/>
      <c r="S370" s="289"/>
      <c r="T370" s="803"/>
      <c r="X370" s="2163"/>
      <c r="AA370" s="839"/>
      <c r="AB370" s="839"/>
      <c r="AC370" s="1940"/>
    </row>
    <row r="371" s="42" customFormat="1" ht="16" hidden="1" customHeight="1" spans="1:29">
      <c r="A371" s="839">
        <v>262</v>
      </c>
      <c r="B371" s="229" t="s">
        <v>2199</v>
      </c>
      <c r="C371" s="229"/>
      <c r="D371" s="244">
        <v>20240527</v>
      </c>
      <c r="E371" s="227">
        <v>7.17</v>
      </c>
      <c r="F371" s="2132" t="s">
        <v>1979</v>
      </c>
      <c r="G371" s="227" t="s">
        <v>1685</v>
      </c>
      <c r="H371" s="227"/>
      <c r="I371" s="227" t="s">
        <v>2638</v>
      </c>
      <c r="J371" s="227" t="s">
        <v>1720</v>
      </c>
      <c r="K371" s="256" t="s">
        <v>712</v>
      </c>
      <c r="L371" s="256">
        <v>2.3</v>
      </c>
      <c r="M371" s="231">
        <v>3.30452054794521</v>
      </c>
      <c r="N371" s="232">
        <v>14.8451419944004</v>
      </c>
      <c r="O371" s="231">
        <f t="shared" ref="O371:O382" si="74">22.95/E371/1.13</f>
        <v>2.83259895582627</v>
      </c>
      <c r="P371" s="231"/>
      <c r="Q371" s="231">
        <f t="shared" si="71"/>
        <v>23.2822614981719</v>
      </c>
      <c r="R371" s="226" t="s">
        <v>2639</v>
      </c>
      <c r="S371" s="226" t="s">
        <v>2640</v>
      </c>
      <c r="T371" s="804"/>
      <c r="X371" s="2163"/>
      <c r="AA371" s="839"/>
      <c r="AB371" s="839"/>
      <c r="AC371" s="1940"/>
    </row>
    <row r="372" s="42" customFormat="1" ht="16" hidden="1" customHeight="1" spans="1:29">
      <c r="A372" s="839">
        <v>263</v>
      </c>
      <c r="B372" s="229"/>
      <c r="C372" s="229"/>
      <c r="D372" s="244">
        <v>20240527</v>
      </c>
      <c r="E372" s="227">
        <v>7.17</v>
      </c>
      <c r="F372" s="2132" t="s">
        <v>1979</v>
      </c>
      <c r="G372" s="227" t="s">
        <v>1669</v>
      </c>
      <c r="H372" s="227"/>
      <c r="I372" s="227" t="s">
        <v>2641</v>
      </c>
      <c r="J372" s="227" t="s">
        <v>1635</v>
      </c>
      <c r="K372" s="2162" t="s">
        <v>712</v>
      </c>
      <c r="L372" s="227">
        <v>3.1</v>
      </c>
      <c r="M372" s="231">
        <v>3.30452054794521</v>
      </c>
      <c r="N372" s="232">
        <v>15.7406479149832</v>
      </c>
      <c r="O372" s="231">
        <f t="shared" si="74"/>
        <v>2.83259895582627</v>
      </c>
      <c r="P372" s="231"/>
      <c r="Q372" s="231">
        <f t="shared" si="71"/>
        <v>24.9777674187547</v>
      </c>
      <c r="R372" s="226" t="s">
        <v>2633</v>
      </c>
      <c r="S372" s="226" t="s">
        <v>2640</v>
      </c>
      <c r="T372" s="804"/>
      <c r="X372" s="2163"/>
      <c r="AA372" s="839"/>
      <c r="AB372" s="839"/>
      <c r="AC372" s="1940"/>
    </row>
    <row r="373" s="42" customFormat="1" ht="16" hidden="1" customHeight="1" spans="1:29">
      <c r="A373" s="839">
        <v>264</v>
      </c>
      <c r="B373" s="229"/>
      <c r="C373" s="229"/>
      <c r="D373" s="244">
        <v>20240527</v>
      </c>
      <c r="E373" s="227">
        <v>7.17</v>
      </c>
      <c r="F373" s="2132" t="s">
        <v>1979</v>
      </c>
      <c r="G373" s="227" t="s">
        <v>1669</v>
      </c>
      <c r="H373" s="227"/>
      <c r="I373" s="227" t="s">
        <v>2641</v>
      </c>
      <c r="J373" s="227" t="s">
        <v>1635</v>
      </c>
      <c r="K373" s="2162" t="s">
        <v>712</v>
      </c>
      <c r="L373" s="227">
        <v>3.1</v>
      </c>
      <c r="M373" s="231">
        <v>3.30452054794521</v>
      </c>
      <c r="N373" s="232">
        <v>15.7406479149832</v>
      </c>
      <c r="O373" s="231">
        <f t="shared" si="74"/>
        <v>2.83259895582627</v>
      </c>
      <c r="P373" s="231"/>
      <c r="Q373" s="231">
        <f t="shared" si="71"/>
        <v>24.9777674187547</v>
      </c>
      <c r="R373" s="226" t="s">
        <v>2633</v>
      </c>
      <c r="S373" s="226" t="s">
        <v>2640</v>
      </c>
      <c r="T373" s="804"/>
      <c r="X373" s="2163"/>
      <c r="AA373" s="839"/>
      <c r="AB373" s="839"/>
      <c r="AC373" s="1940"/>
    </row>
    <row r="374" s="42" customFormat="1" ht="16" hidden="1" customHeight="1" spans="1:29">
      <c r="A374" s="839">
        <v>265</v>
      </c>
      <c r="B374" s="229"/>
      <c r="C374" s="229"/>
      <c r="D374" s="244">
        <v>20240527</v>
      </c>
      <c r="E374" s="227">
        <v>7.17</v>
      </c>
      <c r="F374" s="2132" t="s">
        <v>1979</v>
      </c>
      <c r="G374" s="227" t="s">
        <v>1671</v>
      </c>
      <c r="H374" s="227"/>
      <c r="I374" s="227" t="s">
        <v>2641</v>
      </c>
      <c r="J374" s="227" t="s">
        <v>1635</v>
      </c>
      <c r="K374" s="2162" t="s">
        <v>712</v>
      </c>
      <c r="L374" s="227">
        <v>3.1</v>
      </c>
      <c r="M374" s="231">
        <v>3.30452054794521</v>
      </c>
      <c r="N374" s="232">
        <v>16.6935173077205</v>
      </c>
      <c r="O374" s="231">
        <f t="shared" si="74"/>
        <v>2.83259895582627</v>
      </c>
      <c r="P374" s="231"/>
      <c r="Q374" s="231">
        <f t="shared" si="71"/>
        <v>25.930636811492</v>
      </c>
      <c r="R374" s="226" t="s">
        <v>2633</v>
      </c>
      <c r="S374" s="226" t="s">
        <v>2640</v>
      </c>
      <c r="T374" s="804"/>
      <c r="X374" s="2163"/>
      <c r="AA374" s="839"/>
      <c r="AB374" s="839"/>
      <c r="AC374" s="1940"/>
    </row>
    <row r="375" s="839" customFormat="1" ht="16" hidden="1" customHeight="1" spans="1:29">
      <c r="A375" s="839">
        <v>266</v>
      </c>
      <c r="B375" s="229"/>
      <c r="C375" s="229"/>
      <c r="D375" s="244">
        <v>20240814</v>
      </c>
      <c r="E375" s="227">
        <v>7.17</v>
      </c>
      <c r="F375" s="2132" t="s">
        <v>2642</v>
      </c>
      <c r="G375" s="227" t="s">
        <v>1672</v>
      </c>
      <c r="H375" s="227"/>
      <c r="I375" s="227" t="s">
        <v>2643</v>
      </c>
      <c r="J375" s="227" t="s">
        <v>1720</v>
      </c>
      <c r="K375" s="247" t="s">
        <v>712</v>
      </c>
      <c r="L375" s="256">
        <v>2.3</v>
      </c>
      <c r="M375" s="231">
        <v>3.30452054794521</v>
      </c>
      <c r="N375" s="232">
        <v>13.5872706208248</v>
      </c>
      <c r="O375" s="231">
        <f t="shared" si="74"/>
        <v>2.83259895582627</v>
      </c>
      <c r="P375" s="231"/>
      <c r="Q375" s="231">
        <f t="shared" si="71"/>
        <v>22.0243901245963</v>
      </c>
      <c r="R375" s="226" t="s">
        <v>2639</v>
      </c>
      <c r="S375" s="226" t="s">
        <v>2644</v>
      </c>
      <c r="T375" s="804"/>
      <c r="X375" s="1940"/>
      <c r="AC375" s="1940"/>
    </row>
    <row r="376" s="42" customFormat="1" ht="16" hidden="1" customHeight="1" spans="1:29">
      <c r="A376" s="839">
        <v>267</v>
      </c>
      <c r="B376" s="229"/>
      <c r="C376" s="229"/>
      <c r="D376" s="244">
        <v>20240814</v>
      </c>
      <c r="E376" s="227">
        <v>7.17</v>
      </c>
      <c r="F376" s="2130" t="s">
        <v>1979</v>
      </c>
      <c r="G376" s="227" t="s">
        <v>1998</v>
      </c>
      <c r="H376" s="227"/>
      <c r="I376" s="227" t="s">
        <v>2369</v>
      </c>
      <c r="J376" s="227" t="s">
        <v>1635</v>
      </c>
      <c r="K376" s="247" t="s">
        <v>712</v>
      </c>
      <c r="L376" s="227">
        <v>3.1</v>
      </c>
      <c r="M376" s="231">
        <v>3.30452054794521</v>
      </c>
      <c r="N376" s="232">
        <v>14.4574106115796</v>
      </c>
      <c r="O376" s="231">
        <f t="shared" si="74"/>
        <v>2.83259895582627</v>
      </c>
      <c r="P376" s="231"/>
      <c r="Q376" s="231">
        <f t="shared" si="71"/>
        <v>23.6945301153511</v>
      </c>
      <c r="R376" s="226" t="s">
        <v>2633</v>
      </c>
      <c r="S376" s="226" t="s">
        <v>2644</v>
      </c>
      <c r="T376" s="804"/>
      <c r="X376" s="2163"/>
      <c r="AA376" s="839"/>
      <c r="AB376" s="839"/>
      <c r="AC376" s="1940"/>
    </row>
    <row r="377" s="839" customFormat="1" ht="16" hidden="1" customHeight="1" spans="1:29">
      <c r="A377" s="839">
        <v>268</v>
      </c>
      <c r="B377" s="229"/>
      <c r="C377" s="229"/>
      <c r="D377" s="244">
        <v>20240122</v>
      </c>
      <c r="E377" s="227">
        <v>7.17</v>
      </c>
      <c r="F377" s="2132" t="s">
        <v>2645</v>
      </c>
      <c r="G377" s="227" t="s">
        <v>1581</v>
      </c>
      <c r="H377" s="227"/>
      <c r="I377" s="227" t="s">
        <v>2646</v>
      </c>
      <c r="J377" s="227" t="s">
        <v>1635</v>
      </c>
      <c r="K377" s="507" t="s">
        <v>712</v>
      </c>
      <c r="L377" s="227">
        <v>3.1</v>
      </c>
      <c r="M377" s="232">
        <v>3.30452054794521</v>
      </c>
      <c r="N377" s="232">
        <v>13.3267363731384</v>
      </c>
      <c r="O377" s="231">
        <f t="shared" si="74"/>
        <v>2.83259895582627</v>
      </c>
      <c r="P377" s="231"/>
      <c r="Q377" s="231">
        <f t="shared" si="71"/>
        <v>22.5638558769099</v>
      </c>
      <c r="R377" s="226" t="s">
        <v>2639</v>
      </c>
      <c r="S377" s="226" t="s">
        <v>2647</v>
      </c>
      <c r="T377" s="804"/>
      <c r="X377" s="1940"/>
      <c r="AC377" s="1940"/>
    </row>
    <row r="378" s="42" customFormat="1" ht="16" hidden="1" customHeight="1" spans="1:29">
      <c r="A378" s="839">
        <v>269</v>
      </c>
      <c r="B378" s="229"/>
      <c r="C378" s="229"/>
      <c r="D378" s="244">
        <v>20240122</v>
      </c>
      <c r="E378" s="227">
        <v>7.17</v>
      </c>
      <c r="F378" s="2132" t="s">
        <v>2648</v>
      </c>
      <c r="G378" s="227" t="s">
        <v>2427</v>
      </c>
      <c r="H378" s="227"/>
      <c r="I378" s="227" t="s">
        <v>2649</v>
      </c>
      <c r="J378" s="227" t="s">
        <v>1635</v>
      </c>
      <c r="K378" s="247" t="s">
        <v>712</v>
      </c>
      <c r="L378" s="227">
        <v>3.1</v>
      </c>
      <c r="M378" s="232">
        <v>3.30452054794521</v>
      </c>
      <c r="N378" s="232">
        <v>13.32645126</v>
      </c>
      <c r="O378" s="231">
        <f t="shared" si="74"/>
        <v>2.83259895582627</v>
      </c>
      <c r="P378" s="231"/>
      <c r="Q378" s="231">
        <f t="shared" si="71"/>
        <v>22.5635707637715</v>
      </c>
      <c r="R378" s="226" t="s">
        <v>2639</v>
      </c>
      <c r="S378" s="226" t="s">
        <v>2647</v>
      </c>
      <c r="T378" s="804"/>
      <c r="X378" s="2163"/>
      <c r="AA378" s="839"/>
      <c r="AB378" s="839"/>
      <c r="AC378" s="1940"/>
    </row>
    <row r="379" s="42" customFormat="1" ht="16" hidden="1" customHeight="1" spans="1:29">
      <c r="A379" s="839">
        <v>270</v>
      </c>
      <c r="B379" s="229"/>
      <c r="C379" s="229"/>
      <c r="D379" s="244">
        <v>20250409</v>
      </c>
      <c r="E379" s="227">
        <v>7.17</v>
      </c>
      <c r="F379" s="2132" t="s">
        <v>2650</v>
      </c>
      <c r="G379" s="227" t="s">
        <v>2449</v>
      </c>
      <c r="H379" s="227"/>
      <c r="I379" s="227" t="s">
        <v>2392</v>
      </c>
      <c r="J379" s="227" t="s">
        <v>1635</v>
      </c>
      <c r="K379" s="507" t="s">
        <v>712</v>
      </c>
      <c r="L379" s="227">
        <v>3.1</v>
      </c>
      <c r="M379" s="232">
        <v>3.3</v>
      </c>
      <c r="N379" s="232">
        <v>13.46748888</v>
      </c>
      <c r="O379" s="231">
        <f t="shared" si="74"/>
        <v>2.83259895582627</v>
      </c>
      <c r="P379" s="231"/>
      <c r="Q379" s="231">
        <f t="shared" si="71"/>
        <v>22.7000878358263</v>
      </c>
      <c r="R379" s="226" t="s">
        <v>2639</v>
      </c>
      <c r="S379" s="226" t="s">
        <v>2651</v>
      </c>
      <c r="T379" s="804"/>
      <c r="X379" s="2163"/>
      <c r="AA379" s="839"/>
      <c r="AB379" s="839"/>
      <c r="AC379" s="1940"/>
    </row>
    <row r="380" s="839" customFormat="1" ht="16" hidden="1" customHeight="1" spans="1:29">
      <c r="A380" s="839">
        <v>271</v>
      </c>
      <c r="B380" s="229"/>
      <c r="C380" s="229"/>
      <c r="D380" s="244">
        <v>20250409</v>
      </c>
      <c r="E380" s="227">
        <v>7.17</v>
      </c>
      <c r="F380" s="2132" t="s">
        <v>2652</v>
      </c>
      <c r="G380" s="227" t="s">
        <v>2546</v>
      </c>
      <c r="H380" s="227"/>
      <c r="I380" s="227" t="s">
        <v>2643</v>
      </c>
      <c r="J380" s="227" t="s">
        <v>1567</v>
      </c>
      <c r="K380" s="247" t="s">
        <v>712</v>
      </c>
      <c r="L380" s="227">
        <v>7.5</v>
      </c>
      <c r="M380" s="232">
        <v>3.3</v>
      </c>
      <c r="N380" s="232">
        <v>13.1471793317973</v>
      </c>
      <c r="O380" s="231">
        <f t="shared" si="74"/>
        <v>2.83259895582627</v>
      </c>
      <c r="P380" s="231"/>
      <c r="Q380" s="231">
        <f t="shared" si="71"/>
        <v>26.7797782876236</v>
      </c>
      <c r="R380" s="226" t="s">
        <v>2633</v>
      </c>
      <c r="S380" s="226" t="s">
        <v>2653</v>
      </c>
      <c r="T380" s="1920"/>
      <c r="X380" s="1940"/>
      <c r="AC380" s="1940"/>
    </row>
    <row r="381" s="42" customFormat="1" ht="16" hidden="1" customHeight="1" spans="1:29">
      <c r="A381" s="839">
        <v>272</v>
      </c>
      <c r="B381" s="229"/>
      <c r="C381" s="229"/>
      <c r="D381" s="244">
        <v>20250409</v>
      </c>
      <c r="E381" s="227">
        <v>7.17</v>
      </c>
      <c r="F381" s="2132" t="s">
        <v>2654</v>
      </c>
      <c r="G381" s="227" t="s">
        <v>2306</v>
      </c>
      <c r="H381" s="227"/>
      <c r="I381" s="227" t="s">
        <v>2392</v>
      </c>
      <c r="J381" s="227" t="s">
        <v>1635</v>
      </c>
      <c r="K381" s="507" t="s">
        <v>712</v>
      </c>
      <c r="L381" s="227">
        <v>3.1</v>
      </c>
      <c r="M381" s="232">
        <v>3.3</v>
      </c>
      <c r="N381" s="232">
        <v>13.52791951</v>
      </c>
      <c r="O381" s="231">
        <f t="shared" si="74"/>
        <v>2.83259895582627</v>
      </c>
      <c r="P381" s="231"/>
      <c r="Q381" s="231">
        <f t="shared" si="71"/>
        <v>22.7605184658263</v>
      </c>
      <c r="R381" s="226" t="s">
        <v>2633</v>
      </c>
      <c r="S381" s="226" t="s">
        <v>2653</v>
      </c>
      <c r="T381" s="804"/>
      <c r="X381" s="2163"/>
      <c r="AA381" s="839"/>
      <c r="AB381" s="839"/>
      <c r="AC381" s="1940"/>
    </row>
    <row r="382" s="42" customFormat="1" ht="16" hidden="1" customHeight="1" spans="1:29">
      <c r="A382" s="839">
        <v>273</v>
      </c>
      <c r="B382" s="229"/>
      <c r="C382" s="229"/>
      <c r="D382" s="244">
        <v>20250409</v>
      </c>
      <c r="E382" s="227">
        <v>7.17</v>
      </c>
      <c r="F382" s="2132" t="s">
        <v>2655</v>
      </c>
      <c r="G382" s="227" t="s">
        <v>2431</v>
      </c>
      <c r="H382" s="227"/>
      <c r="I382" s="227" t="s">
        <v>2400</v>
      </c>
      <c r="J382" s="227" t="s">
        <v>1742</v>
      </c>
      <c r="K382" s="247" t="s">
        <v>712</v>
      </c>
      <c r="L382" s="227">
        <v>6</v>
      </c>
      <c r="M382" s="232">
        <v>3.3</v>
      </c>
      <c r="N382" s="232">
        <v>13.2233299594124</v>
      </c>
      <c r="O382" s="231">
        <f t="shared" si="74"/>
        <v>2.83259895582627</v>
      </c>
      <c r="P382" s="231"/>
      <c r="Q382" s="231">
        <f t="shared" si="71"/>
        <v>25.3559289152387</v>
      </c>
      <c r="R382" s="226" t="s">
        <v>2639</v>
      </c>
      <c r="S382" s="226" t="s">
        <v>2653</v>
      </c>
      <c r="T382" s="804"/>
      <c r="X382" s="2163"/>
      <c r="AA382" s="839"/>
      <c r="AB382" s="839"/>
      <c r="AC382" s="1940"/>
    </row>
    <row r="383" s="42" customFormat="1" ht="16" hidden="1" customHeight="1" spans="1:29">
      <c r="A383" s="839">
        <v>274</v>
      </c>
      <c r="B383" s="229"/>
      <c r="C383" s="229"/>
      <c r="D383" s="244">
        <v>20250425</v>
      </c>
      <c r="E383" s="227">
        <v>7.17</v>
      </c>
      <c r="F383" s="2132" t="s">
        <v>96</v>
      </c>
      <c r="G383" s="227" t="s">
        <v>97</v>
      </c>
      <c r="H383" s="227"/>
      <c r="I383" s="227"/>
      <c r="J383" s="227"/>
      <c r="K383" s="247" t="s">
        <v>712</v>
      </c>
      <c r="L383" s="227"/>
      <c r="M383" s="232">
        <v>0.197329394816169</v>
      </c>
      <c r="N383" s="232">
        <v>0.965343897177535</v>
      </c>
      <c r="O383" s="231">
        <v>0.2</v>
      </c>
      <c r="P383" s="231"/>
      <c r="Q383" s="231">
        <f t="shared" si="71"/>
        <v>1.3626732919937</v>
      </c>
      <c r="R383" s="226"/>
      <c r="S383" s="226" t="s">
        <v>63</v>
      </c>
      <c r="T383" s="804"/>
      <c r="X383" s="2163"/>
      <c r="AA383" s="839"/>
      <c r="AB383" s="839"/>
      <c r="AC383" s="1940"/>
    </row>
    <row r="384" s="42" customFormat="1" ht="16" hidden="1" customHeight="1" spans="1:29">
      <c r="A384" s="839">
        <v>275</v>
      </c>
      <c r="B384" s="229"/>
      <c r="C384" s="229"/>
      <c r="D384" s="244">
        <v>20240814</v>
      </c>
      <c r="E384" s="244"/>
      <c r="F384" s="2130" t="s">
        <v>1979</v>
      </c>
      <c r="G384" s="227" t="s">
        <v>98</v>
      </c>
      <c r="H384" s="227"/>
      <c r="I384" s="227"/>
      <c r="J384" s="227"/>
      <c r="K384" s="252" t="s">
        <v>712</v>
      </c>
      <c r="L384" s="227"/>
      <c r="M384" s="231">
        <v>0.184879335420416</v>
      </c>
      <c r="N384" s="232">
        <v>1.06780874964183</v>
      </c>
      <c r="O384" s="231">
        <v>0.2</v>
      </c>
      <c r="P384" s="231"/>
      <c r="Q384" s="231">
        <f t="shared" si="71"/>
        <v>1.45268808506225</v>
      </c>
      <c r="R384" s="226"/>
      <c r="S384" s="226" t="s">
        <v>2656</v>
      </c>
      <c r="T384" s="804"/>
      <c r="X384" s="2163"/>
      <c r="AA384" s="839"/>
      <c r="AB384" s="839"/>
      <c r="AC384" s="1940"/>
    </row>
    <row r="385" s="42" customFormat="1" ht="16" hidden="1" customHeight="1" spans="1:29">
      <c r="A385" s="839">
        <v>276</v>
      </c>
      <c r="B385" s="229"/>
      <c r="C385" s="229"/>
      <c r="D385" s="244"/>
      <c r="E385" s="244"/>
      <c r="F385" s="2130" t="s">
        <v>1979</v>
      </c>
      <c r="G385" s="227" t="s">
        <v>99</v>
      </c>
      <c r="H385" s="227"/>
      <c r="I385" s="227"/>
      <c r="J385" s="227"/>
      <c r="K385" s="252" t="s">
        <v>712</v>
      </c>
      <c r="L385" s="227"/>
      <c r="M385" s="231">
        <v>0.319567354965585</v>
      </c>
      <c r="N385" s="232">
        <v>1.06409406953786</v>
      </c>
      <c r="O385" s="231">
        <v>0.2</v>
      </c>
      <c r="P385" s="231"/>
      <c r="Q385" s="231">
        <f t="shared" si="71"/>
        <v>1.58366142450345</v>
      </c>
      <c r="R385" s="226"/>
      <c r="S385" s="226"/>
      <c r="T385" s="804"/>
      <c r="X385" s="2163"/>
      <c r="AA385" s="839"/>
      <c r="AB385" s="839"/>
      <c r="AC385" s="1940"/>
    </row>
    <row r="386" s="42" customFormat="1" ht="16" hidden="1" customHeight="1" spans="1:29">
      <c r="A386" s="839">
        <v>277</v>
      </c>
      <c r="B386" s="226" t="s">
        <v>2657</v>
      </c>
      <c r="C386" s="226"/>
      <c r="D386" s="227">
        <v>20240222</v>
      </c>
      <c r="E386" s="227">
        <v>7.17</v>
      </c>
      <c r="F386" s="2132" t="s">
        <v>2658</v>
      </c>
      <c r="G386" s="227" t="s">
        <v>1565</v>
      </c>
      <c r="H386" s="227"/>
      <c r="I386" s="227" t="s">
        <v>2659</v>
      </c>
      <c r="J386" s="232" t="s">
        <v>1428</v>
      </c>
      <c r="K386" s="247" t="s">
        <v>712</v>
      </c>
      <c r="L386" s="256" t="s">
        <v>1428</v>
      </c>
      <c r="M386" s="232">
        <v>6.60184403112862</v>
      </c>
      <c r="N386" s="232">
        <v>24.9379550412409</v>
      </c>
      <c r="O386" s="231">
        <v>3.83098135145519</v>
      </c>
      <c r="P386" s="231"/>
      <c r="Q386" s="231">
        <f t="shared" si="71"/>
        <v>35.3707804238247</v>
      </c>
      <c r="R386" s="226" t="s">
        <v>1755</v>
      </c>
      <c r="S386" s="226" t="s">
        <v>2660</v>
      </c>
      <c r="T386" s="804"/>
      <c r="X386" s="2163"/>
      <c r="AA386" s="839"/>
      <c r="AB386" s="839"/>
      <c r="AC386" s="1940"/>
    </row>
    <row r="387" s="42" customFormat="1" ht="16" hidden="1" customHeight="1" spans="1:29">
      <c r="A387" s="839">
        <v>278</v>
      </c>
      <c r="B387" s="226"/>
      <c r="C387" s="226"/>
      <c r="D387" s="227">
        <v>20240222</v>
      </c>
      <c r="E387" s="227">
        <v>7.17</v>
      </c>
      <c r="F387" s="2132" t="s">
        <v>2661</v>
      </c>
      <c r="G387" s="227" t="s">
        <v>1629</v>
      </c>
      <c r="H387" s="227"/>
      <c r="I387" s="227" t="s">
        <v>2659</v>
      </c>
      <c r="J387" s="232" t="s">
        <v>1428</v>
      </c>
      <c r="K387" s="227" t="s">
        <v>712</v>
      </c>
      <c r="L387" s="256" t="s">
        <v>1428</v>
      </c>
      <c r="M387" s="232">
        <v>6.60184403112862</v>
      </c>
      <c r="N387" s="232">
        <v>24.4596226559967</v>
      </c>
      <c r="O387" s="231">
        <v>3.83098135145519</v>
      </c>
      <c r="P387" s="231"/>
      <c r="Q387" s="231">
        <f t="shared" si="71"/>
        <v>34.8924480385805</v>
      </c>
      <c r="R387" s="226" t="s">
        <v>1755</v>
      </c>
      <c r="S387" s="226" t="s">
        <v>2662</v>
      </c>
      <c r="T387" s="804"/>
      <c r="U387" s="120" t="s">
        <v>1406</v>
      </c>
      <c r="X387" s="2163"/>
      <c r="AA387" s="839"/>
      <c r="AB387" s="839"/>
      <c r="AC387" s="1940"/>
    </row>
    <row r="388" s="42" customFormat="1" ht="16" hidden="1" customHeight="1" spans="1:29">
      <c r="A388" s="839">
        <v>279</v>
      </c>
      <c r="B388" s="226"/>
      <c r="C388" s="226"/>
      <c r="D388" s="227">
        <v>20240604</v>
      </c>
      <c r="E388" s="227">
        <v>7.17</v>
      </c>
      <c r="F388" s="2132" t="s">
        <v>2663</v>
      </c>
      <c r="G388" s="227" t="s">
        <v>1645</v>
      </c>
      <c r="H388" s="227"/>
      <c r="I388" s="227" t="s">
        <v>2664</v>
      </c>
      <c r="J388" s="232" t="s">
        <v>1428</v>
      </c>
      <c r="K388" s="247" t="s">
        <v>712</v>
      </c>
      <c r="L388" s="256" t="s">
        <v>1428</v>
      </c>
      <c r="M388" s="232">
        <v>6.60184403112862</v>
      </c>
      <c r="N388" s="232">
        <v>24.0687946693622</v>
      </c>
      <c r="O388" s="231">
        <v>3.83098135145519</v>
      </c>
      <c r="P388" s="231"/>
      <c r="Q388" s="231">
        <f t="shared" si="71"/>
        <v>34.501620051946</v>
      </c>
      <c r="R388" s="226" t="s">
        <v>2665</v>
      </c>
      <c r="S388" s="226" t="s">
        <v>2666</v>
      </c>
      <c r="T388" s="804"/>
      <c r="U388" s="120"/>
      <c r="X388" s="2163"/>
      <c r="AA388" s="839"/>
      <c r="AB388" s="839"/>
      <c r="AC388" s="1940"/>
    </row>
    <row r="389" s="42" customFormat="1" ht="16" hidden="1" customHeight="1" spans="1:29">
      <c r="A389" s="839">
        <v>280</v>
      </c>
      <c r="B389" s="226"/>
      <c r="C389" s="226"/>
      <c r="D389" s="227">
        <v>20241121</v>
      </c>
      <c r="E389" s="227">
        <v>7.17</v>
      </c>
      <c r="F389" s="2132" t="s">
        <v>2667</v>
      </c>
      <c r="G389" s="227" t="s">
        <v>1669</v>
      </c>
      <c r="H389" s="227"/>
      <c r="I389" s="227" t="s">
        <v>2659</v>
      </c>
      <c r="J389" s="232" t="s">
        <v>1428</v>
      </c>
      <c r="K389" s="232" t="s">
        <v>712</v>
      </c>
      <c r="L389" s="256" t="s">
        <v>1428</v>
      </c>
      <c r="M389" s="232">
        <v>6.60184403112862</v>
      </c>
      <c r="N389" s="232">
        <v>23.8042279958415</v>
      </c>
      <c r="O389" s="231">
        <v>3.83098135145519</v>
      </c>
      <c r="P389" s="231"/>
      <c r="Q389" s="231">
        <f t="shared" si="71"/>
        <v>34.2370533784253</v>
      </c>
      <c r="R389" s="226" t="s">
        <v>2665</v>
      </c>
      <c r="S389" s="226" t="s">
        <v>2668</v>
      </c>
      <c r="T389" s="804"/>
      <c r="U389" s="120"/>
      <c r="X389" s="2163"/>
      <c r="AA389" s="839"/>
      <c r="AB389" s="839"/>
      <c r="AC389" s="1940"/>
    </row>
    <row r="390" s="42" customFormat="1" ht="16" hidden="1" customHeight="1" spans="1:29">
      <c r="A390" s="839">
        <v>281</v>
      </c>
      <c r="B390" s="290"/>
      <c r="C390" s="290"/>
      <c r="D390" s="225">
        <v>20241121</v>
      </c>
      <c r="E390" s="225">
        <v>7.17</v>
      </c>
      <c r="F390" s="2132" t="s">
        <v>2669</v>
      </c>
      <c r="G390" s="225" t="s">
        <v>1671</v>
      </c>
      <c r="H390" s="225"/>
      <c r="I390" s="225" t="s">
        <v>2659</v>
      </c>
      <c r="J390" s="2168" t="s">
        <v>1428</v>
      </c>
      <c r="K390" s="2168" t="s">
        <v>712</v>
      </c>
      <c r="L390" s="2169" t="s">
        <v>1428</v>
      </c>
      <c r="M390" s="2168">
        <v>6.60184403112862</v>
      </c>
      <c r="N390" s="2168">
        <v>23.8032287435473</v>
      </c>
      <c r="O390" s="395">
        <v>3.83098135145519</v>
      </c>
      <c r="P390" s="395"/>
      <c r="Q390" s="395">
        <f t="shared" si="71"/>
        <v>34.2360541261311</v>
      </c>
      <c r="R390" s="290" t="s">
        <v>2665</v>
      </c>
      <c r="S390" s="290" t="s">
        <v>2670</v>
      </c>
      <c r="T390" s="804"/>
      <c r="U390" s="120"/>
      <c r="X390" s="2163"/>
      <c r="AA390" s="839"/>
      <c r="AB390" s="839"/>
      <c r="AC390" s="1940"/>
    </row>
    <row r="391" s="42" customFormat="1" ht="16" hidden="1" customHeight="1" spans="1:29">
      <c r="A391" s="839">
        <v>282</v>
      </c>
      <c r="B391" s="266"/>
      <c r="C391" s="266"/>
      <c r="D391" s="219">
        <v>20240704</v>
      </c>
      <c r="E391" s="219">
        <v>7.17</v>
      </c>
      <c r="F391" s="1975" t="s">
        <v>2671</v>
      </c>
      <c r="G391" s="219" t="s">
        <v>1672</v>
      </c>
      <c r="H391" s="219"/>
      <c r="I391" s="219" t="s">
        <v>2664</v>
      </c>
      <c r="J391" s="319" t="s">
        <v>1428</v>
      </c>
      <c r="K391" s="2048" t="s">
        <v>1428</v>
      </c>
      <c r="L391" s="1564" t="s">
        <v>712</v>
      </c>
      <c r="M391" s="319">
        <v>6.60184403112862</v>
      </c>
      <c r="N391" s="319">
        <v>23.8052746114356</v>
      </c>
      <c r="O391" s="320">
        <v>3.8204422005571</v>
      </c>
      <c r="P391" s="320"/>
      <c r="Q391" s="320">
        <f t="shared" ref="Q391:Q454" si="75">SUM(K391:O391)</f>
        <v>34.2275608431213</v>
      </c>
      <c r="R391" s="266" t="s">
        <v>2672</v>
      </c>
      <c r="S391" s="266" t="s">
        <v>2673</v>
      </c>
      <c r="T391" s="804"/>
      <c r="U391" s="120"/>
      <c r="X391" s="2163"/>
      <c r="AA391" s="839"/>
      <c r="AB391" s="839"/>
      <c r="AC391" s="1940"/>
    </row>
    <row r="392" s="42" customFormat="1" ht="16" hidden="1" customHeight="1" spans="1:29">
      <c r="A392" s="839">
        <v>283</v>
      </c>
      <c r="B392" s="266"/>
      <c r="C392" s="266"/>
      <c r="D392" s="219">
        <v>20240731</v>
      </c>
      <c r="E392" s="219">
        <v>7.17</v>
      </c>
      <c r="F392" s="1975" t="s">
        <v>715</v>
      </c>
      <c r="G392" s="219" t="s">
        <v>1998</v>
      </c>
      <c r="H392" s="219"/>
      <c r="I392" s="219" t="s">
        <v>2664</v>
      </c>
      <c r="J392" s="319" t="s">
        <v>1428</v>
      </c>
      <c r="K392" s="2048" t="s">
        <v>1428</v>
      </c>
      <c r="L392" s="1564" t="s">
        <v>712</v>
      </c>
      <c r="M392" s="319">
        <v>6.60184403112862</v>
      </c>
      <c r="N392" s="319">
        <v>23.8052746114356</v>
      </c>
      <c r="O392" s="320">
        <v>15.3</v>
      </c>
      <c r="P392" s="320"/>
      <c r="Q392" s="320">
        <f t="shared" si="75"/>
        <v>45.7071186425642</v>
      </c>
      <c r="R392" s="266" t="s">
        <v>2674</v>
      </c>
      <c r="S392" s="266" t="s">
        <v>2673</v>
      </c>
      <c r="T392" s="804"/>
      <c r="U392" s="120"/>
      <c r="X392" s="2163"/>
      <c r="AA392" s="839"/>
      <c r="AB392" s="839"/>
      <c r="AC392" s="1940"/>
    </row>
    <row r="393" s="42" customFormat="1" ht="16" hidden="1" customHeight="1" spans="1:29">
      <c r="A393" s="839">
        <v>284</v>
      </c>
      <c r="B393" s="292"/>
      <c r="C393" s="292"/>
      <c r="D393" s="234">
        <v>20240731</v>
      </c>
      <c r="E393" s="234">
        <v>7.17</v>
      </c>
      <c r="F393" s="2132" t="s">
        <v>2675</v>
      </c>
      <c r="G393" s="234" t="s">
        <v>1581</v>
      </c>
      <c r="H393" s="234"/>
      <c r="I393" s="234" t="s">
        <v>2664</v>
      </c>
      <c r="J393" s="269" t="s">
        <v>1428</v>
      </c>
      <c r="K393" s="680" t="s">
        <v>712</v>
      </c>
      <c r="L393" s="515" t="s">
        <v>1428</v>
      </c>
      <c r="M393" s="269">
        <v>6.60184403112862</v>
      </c>
      <c r="N393" s="269">
        <v>23.8161102379375</v>
      </c>
      <c r="O393" s="270">
        <v>3.82570451763776</v>
      </c>
      <c r="P393" s="270"/>
      <c r="Q393" s="270">
        <f t="shared" si="75"/>
        <v>34.2436587867039</v>
      </c>
      <c r="R393" s="292" t="s">
        <v>2674</v>
      </c>
      <c r="S393" s="292" t="s">
        <v>2676</v>
      </c>
      <c r="T393" s="804"/>
      <c r="U393" s="120"/>
      <c r="X393" s="2163"/>
      <c r="AA393" s="839"/>
      <c r="AB393" s="839"/>
      <c r="AC393" s="1940"/>
    </row>
    <row r="394" s="42" customFormat="1" ht="16" hidden="1" customHeight="1" spans="1:29">
      <c r="A394" s="839">
        <v>285</v>
      </c>
      <c r="B394" s="226"/>
      <c r="C394" s="226"/>
      <c r="D394" s="227">
        <v>20240731</v>
      </c>
      <c r="E394" s="227">
        <v>7.17</v>
      </c>
      <c r="F394" s="2132" t="s">
        <v>2677</v>
      </c>
      <c r="G394" s="227" t="s">
        <v>2427</v>
      </c>
      <c r="H394" s="227"/>
      <c r="I394" s="227" t="s">
        <v>2664</v>
      </c>
      <c r="J394" s="232" t="s">
        <v>1428</v>
      </c>
      <c r="K394" s="247" t="s">
        <v>712</v>
      </c>
      <c r="L394" s="256" t="s">
        <v>1428</v>
      </c>
      <c r="M394" s="232">
        <v>6.60184403112862</v>
      </c>
      <c r="N394" s="232">
        <v>23.6875416084836</v>
      </c>
      <c r="O394" s="231">
        <v>3.82570451763776</v>
      </c>
      <c r="P394" s="231"/>
      <c r="Q394" s="231">
        <f t="shared" si="75"/>
        <v>34.11509015725</v>
      </c>
      <c r="R394" s="226" t="s">
        <v>2665</v>
      </c>
      <c r="S394" s="226" t="s">
        <v>2676</v>
      </c>
      <c r="T394" s="804"/>
      <c r="U394" s="120"/>
      <c r="X394" s="2163"/>
      <c r="AA394" s="839"/>
      <c r="AB394" s="839"/>
      <c r="AC394" s="1940"/>
    </row>
    <row r="395" s="42" customFormat="1" ht="16" hidden="1" customHeight="1" spans="1:29">
      <c r="A395" s="839">
        <v>286</v>
      </c>
      <c r="B395" s="226"/>
      <c r="C395" s="226"/>
      <c r="D395" s="227">
        <v>20240731</v>
      </c>
      <c r="E395" s="227">
        <v>7.17</v>
      </c>
      <c r="F395" s="2132" t="s">
        <v>2678</v>
      </c>
      <c r="G395" s="227" t="s">
        <v>2449</v>
      </c>
      <c r="H395" s="227"/>
      <c r="I395" s="227" t="s">
        <v>2664</v>
      </c>
      <c r="J395" s="232" t="s">
        <v>1428</v>
      </c>
      <c r="K395" s="247" t="s">
        <v>712</v>
      </c>
      <c r="L395" s="256" t="s">
        <v>1428</v>
      </c>
      <c r="M395" s="232">
        <v>6.60184403112862</v>
      </c>
      <c r="N395" s="232">
        <v>23.7500836797954</v>
      </c>
      <c r="O395" s="231">
        <v>3.82570451763776</v>
      </c>
      <c r="P395" s="231"/>
      <c r="Q395" s="231">
        <f t="shared" si="75"/>
        <v>34.1776322285618</v>
      </c>
      <c r="R395" s="226" t="s">
        <v>2665</v>
      </c>
      <c r="S395" s="226" t="s">
        <v>2676</v>
      </c>
      <c r="T395" s="804"/>
      <c r="U395" s="120"/>
      <c r="X395" s="2163"/>
      <c r="AA395" s="839"/>
      <c r="AB395" s="839"/>
      <c r="AC395" s="1940"/>
    </row>
    <row r="396" s="42" customFormat="1" ht="16" hidden="1" customHeight="1" spans="1:29">
      <c r="A396" s="839">
        <v>287</v>
      </c>
      <c r="B396" s="226"/>
      <c r="C396" s="226"/>
      <c r="D396" s="227">
        <v>20240902</v>
      </c>
      <c r="E396" s="227">
        <v>7.17</v>
      </c>
      <c r="F396" s="2132" t="s">
        <v>2679</v>
      </c>
      <c r="G396" s="227" t="s">
        <v>2306</v>
      </c>
      <c r="H396" s="227"/>
      <c r="I396" s="227" t="s">
        <v>2680</v>
      </c>
      <c r="J396" s="232" t="s">
        <v>1428</v>
      </c>
      <c r="K396" s="2162" t="s">
        <v>712</v>
      </c>
      <c r="L396" s="256" t="s">
        <v>1428</v>
      </c>
      <c r="M396" s="232">
        <v>6.60184403112862</v>
      </c>
      <c r="N396" s="232">
        <v>26.0870025552489</v>
      </c>
      <c r="O396" s="231">
        <v>3.83098135145519</v>
      </c>
      <c r="P396" s="231"/>
      <c r="Q396" s="231">
        <f t="shared" si="75"/>
        <v>36.5198279378327</v>
      </c>
      <c r="R396" s="226" t="s">
        <v>2672</v>
      </c>
      <c r="S396" s="226" t="s">
        <v>2681</v>
      </c>
      <c r="T396" s="804"/>
      <c r="U396" s="120"/>
      <c r="X396" s="2163"/>
      <c r="AA396" s="839"/>
      <c r="AB396" s="839"/>
      <c r="AC396" s="1940"/>
    </row>
    <row r="397" s="42" customFormat="1" ht="16" hidden="1" customHeight="1" spans="1:29">
      <c r="A397" s="839">
        <v>288</v>
      </c>
      <c r="B397" s="226"/>
      <c r="C397" s="226"/>
      <c r="D397" s="227">
        <v>20240930</v>
      </c>
      <c r="E397" s="227">
        <v>7.17</v>
      </c>
      <c r="F397" s="2132" t="s">
        <v>2682</v>
      </c>
      <c r="G397" s="227" t="s">
        <v>2431</v>
      </c>
      <c r="H397" s="227"/>
      <c r="I397" s="227" t="s">
        <v>2683</v>
      </c>
      <c r="J397" s="232" t="s">
        <v>1428</v>
      </c>
      <c r="K397" s="232" t="s">
        <v>712</v>
      </c>
      <c r="L397" s="232" t="s">
        <v>1428</v>
      </c>
      <c r="M397" s="232">
        <v>6.60184403112862</v>
      </c>
      <c r="N397" s="232">
        <v>23.9178516639901</v>
      </c>
      <c r="O397" s="231">
        <v>3.83098135145519</v>
      </c>
      <c r="P397" s="231"/>
      <c r="Q397" s="231">
        <f t="shared" si="75"/>
        <v>34.3506770465739</v>
      </c>
      <c r="R397" s="226" t="s">
        <v>2674</v>
      </c>
      <c r="S397" s="226" t="s">
        <v>2684</v>
      </c>
      <c r="T397" s="804"/>
      <c r="U397" s="120"/>
      <c r="X397" s="2163"/>
      <c r="AA397" s="839"/>
      <c r="AB397" s="839"/>
      <c r="AC397" s="1940"/>
    </row>
    <row r="398" s="42" customFormat="1" ht="16" hidden="1" customHeight="1" spans="1:29">
      <c r="A398" s="839">
        <v>289</v>
      </c>
      <c r="B398" s="226"/>
      <c r="C398" s="226"/>
      <c r="D398" s="227">
        <v>20240930</v>
      </c>
      <c r="E398" s="227">
        <v>7.17</v>
      </c>
      <c r="F398" s="2132" t="s">
        <v>2685</v>
      </c>
      <c r="G398" s="227" t="s">
        <v>1667</v>
      </c>
      <c r="H398" s="227"/>
      <c r="I398" s="227" t="s">
        <v>2683</v>
      </c>
      <c r="J398" s="232" t="s">
        <v>1428</v>
      </c>
      <c r="K398" s="232" t="s">
        <v>712</v>
      </c>
      <c r="L398" s="232" t="s">
        <v>1428</v>
      </c>
      <c r="M398" s="232">
        <v>6.60184403112862</v>
      </c>
      <c r="N398" s="232">
        <v>23.7641876148599</v>
      </c>
      <c r="O398" s="231">
        <v>3.83098135145519</v>
      </c>
      <c r="P398" s="231"/>
      <c r="Q398" s="231">
        <f t="shared" si="75"/>
        <v>34.1970129974437</v>
      </c>
      <c r="R398" s="226" t="s">
        <v>1748</v>
      </c>
      <c r="S398" s="226" t="s">
        <v>2686</v>
      </c>
      <c r="T398" s="804"/>
      <c r="U398" s="120"/>
      <c r="X398" s="2163"/>
      <c r="AA398" s="839"/>
      <c r="AB398" s="839"/>
      <c r="AC398" s="1940"/>
    </row>
    <row r="399" s="42" customFormat="1" ht="16" hidden="1" customHeight="1" spans="1:29">
      <c r="A399" s="839">
        <v>290</v>
      </c>
      <c r="B399" s="226" t="s">
        <v>2687</v>
      </c>
      <c r="C399" s="226"/>
      <c r="D399" s="227"/>
      <c r="E399" s="227">
        <v>7.17</v>
      </c>
      <c r="F399" s="2130" t="s">
        <v>1979</v>
      </c>
      <c r="G399" s="227" t="s">
        <v>1565</v>
      </c>
      <c r="H399" s="227"/>
      <c r="I399" s="227" t="s">
        <v>2688</v>
      </c>
      <c r="J399" s="227" t="s">
        <v>1428</v>
      </c>
      <c r="K399" s="247" t="s">
        <v>712</v>
      </c>
      <c r="L399" s="227" t="s">
        <v>1428</v>
      </c>
      <c r="M399" s="231">
        <v>3.74511253985457</v>
      </c>
      <c r="N399" s="232">
        <v>24.4654919546404</v>
      </c>
      <c r="O399" s="231">
        <f t="shared" ref="O399:O416" si="76">25.08/E399/1.13</f>
        <v>3.09549376087681</v>
      </c>
      <c r="P399" s="231"/>
      <c r="Q399" s="231">
        <f t="shared" si="75"/>
        <v>31.3060982553718</v>
      </c>
      <c r="R399" s="233" t="s">
        <v>1526</v>
      </c>
      <c r="S399" s="226" t="s">
        <v>2689</v>
      </c>
      <c r="T399" s="804"/>
      <c r="U399" s="120"/>
      <c r="X399" s="2163"/>
      <c r="AA399" s="839"/>
      <c r="AB399" s="839"/>
      <c r="AC399" s="1940"/>
    </row>
    <row r="400" s="42" customFormat="1" ht="16" hidden="1" customHeight="1" spans="1:29">
      <c r="A400" s="839">
        <v>291</v>
      </c>
      <c r="B400" s="226"/>
      <c r="C400" s="226"/>
      <c r="D400" s="227"/>
      <c r="E400" s="227">
        <v>7.17</v>
      </c>
      <c r="F400" s="2130" t="s">
        <v>1979</v>
      </c>
      <c r="G400" s="227" t="s">
        <v>1617</v>
      </c>
      <c r="H400" s="227"/>
      <c r="I400" s="227" t="s">
        <v>2690</v>
      </c>
      <c r="J400" s="227" t="s">
        <v>1428</v>
      </c>
      <c r="K400" s="247" t="s">
        <v>712</v>
      </c>
      <c r="L400" s="227" t="s">
        <v>1428</v>
      </c>
      <c r="M400" s="231">
        <v>3.74511253985457</v>
      </c>
      <c r="N400" s="232">
        <v>24.6590047059679</v>
      </c>
      <c r="O400" s="231">
        <f t="shared" si="76"/>
        <v>3.09549376087681</v>
      </c>
      <c r="P400" s="231"/>
      <c r="Q400" s="231">
        <f t="shared" si="75"/>
        <v>31.4996110066993</v>
      </c>
      <c r="R400" s="233" t="s">
        <v>1526</v>
      </c>
      <c r="S400" s="226" t="s">
        <v>2689</v>
      </c>
      <c r="T400" s="804"/>
      <c r="U400" s="120"/>
      <c r="X400" s="2163"/>
      <c r="AA400" s="839"/>
      <c r="AB400" s="839"/>
      <c r="AC400" s="1940"/>
    </row>
    <row r="401" s="42" customFormat="1" ht="16" hidden="1" customHeight="1" spans="1:29">
      <c r="A401" s="839">
        <v>292</v>
      </c>
      <c r="B401" s="226"/>
      <c r="C401" s="226"/>
      <c r="D401" s="227"/>
      <c r="E401" s="227">
        <v>7.17</v>
      </c>
      <c r="F401" s="2130" t="s">
        <v>1979</v>
      </c>
      <c r="G401" s="227" t="s">
        <v>1629</v>
      </c>
      <c r="H401" s="227"/>
      <c r="I401" s="227" t="s">
        <v>2688</v>
      </c>
      <c r="J401" s="227" t="s">
        <v>1428</v>
      </c>
      <c r="K401" s="247" t="s">
        <v>712</v>
      </c>
      <c r="L401" s="227" t="s">
        <v>1428</v>
      </c>
      <c r="M401" s="231">
        <v>3.74511253985457</v>
      </c>
      <c r="N401" s="232">
        <v>25.9925233861294</v>
      </c>
      <c r="O401" s="231">
        <f t="shared" si="76"/>
        <v>3.09549376087681</v>
      </c>
      <c r="P401" s="231"/>
      <c r="Q401" s="231">
        <f t="shared" si="75"/>
        <v>32.8331296868608</v>
      </c>
      <c r="R401" s="233" t="s">
        <v>1526</v>
      </c>
      <c r="S401" s="226" t="s">
        <v>2691</v>
      </c>
      <c r="T401" s="804"/>
      <c r="U401" s="120"/>
      <c r="X401" s="2163"/>
      <c r="AA401" s="839"/>
      <c r="AB401" s="839"/>
      <c r="AC401" s="1940"/>
    </row>
    <row r="402" s="42" customFormat="1" ht="16" hidden="1" customHeight="1" spans="1:29">
      <c r="A402" s="839">
        <v>293</v>
      </c>
      <c r="B402" s="226"/>
      <c r="C402" s="226"/>
      <c r="D402" s="227"/>
      <c r="E402" s="227">
        <v>7.17</v>
      </c>
      <c r="F402" s="2130" t="s">
        <v>1979</v>
      </c>
      <c r="G402" s="227" t="s">
        <v>1685</v>
      </c>
      <c r="H402" s="227"/>
      <c r="I402" s="227" t="s">
        <v>2692</v>
      </c>
      <c r="J402" s="227" t="s">
        <v>1428</v>
      </c>
      <c r="K402" s="247" t="s">
        <v>712</v>
      </c>
      <c r="L402" s="227" t="s">
        <v>1428</v>
      </c>
      <c r="M402" s="231">
        <v>3.74511253985457</v>
      </c>
      <c r="N402" s="232">
        <v>17.5234157878556</v>
      </c>
      <c r="O402" s="231">
        <f t="shared" si="76"/>
        <v>3.09549376087681</v>
      </c>
      <c r="P402" s="231"/>
      <c r="Q402" s="231">
        <f t="shared" si="75"/>
        <v>24.364022088587</v>
      </c>
      <c r="R402" s="233" t="s">
        <v>1526</v>
      </c>
      <c r="S402" s="226" t="s">
        <v>2693</v>
      </c>
      <c r="T402" s="804"/>
      <c r="U402" s="120"/>
      <c r="X402" s="2163"/>
      <c r="AA402" s="839"/>
      <c r="AB402" s="839"/>
      <c r="AC402" s="1940"/>
    </row>
    <row r="403" s="42" customFormat="1" ht="16" hidden="1" customHeight="1" spans="1:29">
      <c r="A403" s="839">
        <v>294</v>
      </c>
      <c r="B403" s="226"/>
      <c r="C403" s="226"/>
      <c r="D403" s="227">
        <v>20240828</v>
      </c>
      <c r="E403" s="227">
        <v>7.17</v>
      </c>
      <c r="F403" s="2132" t="s">
        <v>2694</v>
      </c>
      <c r="G403" s="227" t="s">
        <v>1669</v>
      </c>
      <c r="H403" s="227"/>
      <c r="I403" s="227" t="s">
        <v>2695</v>
      </c>
      <c r="J403" s="227" t="s">
        <v>1428</v>
      </c>
      <c r="K403" s="247" t="s">
        <v>712</v>
      </c>
      <c r="L403" s="227" t="s">
        <v>1428</v>
      </c>
      <c r="M403" s="231">
        <v>3.74511253985457</v>
      </c>
      <c r="N403" s="232">
        <v>22.2220205915285</v>
      </c>
      <c r="O403" s="231">
        <f t="shared" si="76"/>
        <v>3.09549376087681</v>
      </c>
      <c r="P403" s="231"/>
      <c r="Q403" s="231">
        <f t="shared" si="75"/>
        <v>29.0626268922599</v>
      </c>
      <c r="R403" s="233" t="s">
        <v>1526</v>
      </c>
      <c r="S403" s="226" t="s">
        <v>2696</v>
      </c>
      <c r="T403" s="804"/>
      <c r="U403" s="120"/>
      <c r="X403" s="2163"/>
      <c r="AA403" s="839"/>
      <c r="AB403" s="839"/>
      <c r="AC403" s="1940"/>
    </row>
    <row r="404" s="42" customFormat="1" ht="16" hidden="1" customHeight="1" spans="1:29">
      <c r="A404" s="839">
        <v>295</v>
      </c>
      <c r="B404" s="226"/>
      <c r="C404" s="226"/>
      <c r="D404" s="227"/>
      <c r="E404" s="227">
        <v>7.17</v>
      </c>
      <c r="F404" s="2130" t="s">
        <v>1979</v>
      </c>
      <c r="G404" s="227" t="s">
        <v>1671</v>
      </c>
      <c r="H404" s="227"/>
      <c r="I404" s="227" t="s">
        <v>2697</v>
      </c>
      <c r="J404" s="227" t="s">
        <v>1428</v>
      </c>
      <c r="K404" s="227" t="s">
        <v>712</v>
      </c>
      <c r="L404" s="227" t="s">
        <v>1428</v>
      </c>
      <c r="M404" s="231">
        <v>3.74511253985457</v>
      </c>
      <c r="N404" s="232">
        <v>20.7576724212609</v>
      </c>
      <c r="O404" s="231">
        <f t="shared" si="76"/>
        <v>3.09549376087681</v>
      </c>
      <c r="P404" s="231"/>
      <c r="Q404" s="231">
        <f t="shared" si="75"/>
        <v>27.5982787219923</v>
      </c>
      <c r="R404" s="233" t="s">
        <v>1526</v>
      </c>
      <c r="S404" s="226" t="s">
        <v>2693</v>
      </c>
      <c r="T404" s="804"/>
      <c r="U404" s="120"/>
      <c r="X404" s="2163"/>
      <c r="AA404" s="839"/>
      <c r="AB404" s="839"/>
      <c r="AC404" s="1940"/>
    </row>
    <row r="405" s="42" customFormat="1" ht="16" hidden="1" customHeight="1" spans="1:29">
      <c r="A405" s="839">
        <v>296</v>
      </c>
      <c r="B405" s="226"/>
      <c r="C405" s="226"/>
      <c r="D405" s="227"/>
      <c r="E405" s="227">
        <v>7.17</v>
      </c>
      <c r="F405" s="2130" t="s">
        <v>1979</v>
      </c>
      <c r="G405" s="227" t="s">
        <v>1672</v>
      </c>
      <c r="H405" s="227"/>
      <c r="I405" s="227" t="s">
        <v>2664</v>
      </c>
      <c r="J405" s="227" t="s">
        <v>1428</v>
      </c>
      <c r="K405" s="247" t="s">
        <v>712</v>
      </c>
      <c r="L405" s="227" t="s">
        <v>1428</v>
      </c>
      <c r="M405" s="231">
        <v>3.74511253985457</v>
      </c>
      <c r="N405" s="232">
        <v>20.7568744902433</v>
      </c>
      <c r="O405" s="231">
        <f t="shared" si="76"/>
        <v>3.09549376087681</v>
      </c>
      <c r="P405" s="231"/>
      <c r="Q405" s="231">
        <f t="shared" si="75"/>
        <v>27.5974807909747</v>
      </c>
      <c r="R405" s="233" t="s">
        <v>1526</v>
      </c>
      <c r="S405" s="226" t="s">
        <v>2693</v>
      </c>
      <c r="T405" s="804"/>
      <c r="U405" s="120"/>
      <c r="X405" s="2163"/>
      <c r="AA405" s="839"/>
      <c r="AB405" s="839"/>
      <c r="AC405" s="1940"/>
    </row>
    <row r="406" s="42" customFormat="1" ht="16" hidden="1" customHeight="1" spans="1:29">
      <c r="A406" s="839">
        <v>297</v>
      </c>
      <c r="B406" s="226"/>
      <c r="C406" s="226"/>
      <c r="D406" s="227"/>
      <c r="E406" s="227">
        <v>7.17</v>
      </c>
      <c r="F406" s="2130" t="s">
        <v>1979</v>
      </c>
      <c r="G406" s="227" t="s">
        <v>1998</v>
      </c>
      <c r="H406" s="227"/>
      <c r="I406" s="227" t="s">
        <v>2680</v>
      </c>
      <c r="J406" s="227" t="s">
        <v>1428</v>
      </c>
      <c r="K406" s="2162" t="s">
        <v>712</v>
      </c>
      <c r="L406" s="227" t="s">
        <v>1428</v>
      </c>
      <c r="M406" s="231">
        <v>3.74511253985457</v>
      </c>
      <c r="N406" s="232">
        <v>20.7692552908708</v>
      </c>
      <c r="O406" s="231">
        <f t="shared" si="76"/>
        <v>3.09549376087681</v>
      </c>
      <c r="P406" s="231"/>
      <c r="Q406" s="231">
        <f t="shared" si="75"/>
        <v>27.6098615916022</v>
      </c>
      <c r="R406" s="233" t="s">
        <v>1526</v>
      </c>
      <c r="S406" s="226" t="s">
        <v>2693</v>
      </c>
      <c r="T406" s="804"/>
      <c r="U406" s="120"/>
      <c r="X406" s="2163"/>
      <c r="AA406" s="839"/>
      <c r="AB406" s="839"/>
      <c r="AC406" s="1940"/>
    </row>
    <row r="407" s="42" customFormat="1" ht="16" hidden="1" customHeight="1" spans="1:29">
      <c r="A407" s="839">
        <v>298</v>
      </c>
      <c r="B407" s="226"/>
      <c r="C407" s="226"/>
      <c r="D407" s="227"/>
      <c r="E407" s="227">
        <v>7.17</v>
      </c>
      <c r="F407" s="2130" t="s">
        <v>1979</v>
      </c>
      <c r="G407" s="227" t="s">
        <v>1581</v>
      </c>
      <c r="H407" s="227"/>
      <c r="I407" s="227" t="s">
        <v>2698</v>
      </c>
      <c r="J407" s="227" t="s">
        <v>1428</v>
      </c>
      <c r="K407" s="2162" t="s">
        <v>712</v>
      </c>
      <c r="L407" s="227" t="s">
        <v>1428</v>
      </c>
      <c r="M407" s="231">
        <v>3.74511253985457</v>
      </c>
      <c r="N407" s="232">
        <v>20.754532176611</v>
      </c>
      <c r="O407" s="231">
        <f t="shared" si="76"/>
        <v>3.09549376087681</v>
      </c>
      <c r="P407" s="231"/>
      <c r="Q407" s="231">
        <f t="shared" si="75"/>
        <v>27.5951384773424</v>
      </c>
      <c r="R407" s="233" t="s">
        <v>1526</v>
      </c>
      <c r="S407" s="226" t="s">
        <v>2693</v>
      </c>
      <c r="T407" s="804"/>
      <c r="U407" s="120"/>
      <c r="X407" s="2163"/>
      <c r="AA407" s="839"/>
      <c r="AB407" s="839"/>
      <c r="AC407" s="1940"/>
    </row>
    <row r="408" s="42" customFormat="1" ht="16" hidden="1" customHeight="1" spans="1:29">
      <c r="A408" s="839">
        <v>299</v>
      </c>
      <c r="B408" s="226"/>
      <c r="C408" s="226"/>
      <c r="D408" s="227">
        <v>20240911</v>
      </c>
      <c r="E408" s="227">
        <v>7.17</v>
      </c>
      <c r="F408" s="2132" t="s">
        <v>2699</v>
      </c>
      <c r="G408" s="227" t="s">
        <v>2427</v>
      </c>
      <c r="H408" s="227"/>
      <c r="I408" s="227" t="s">
        <v>2680</v>
      </c>
      <c r="J408" s="227" t="s">
        <v>1428</v>
      </c>
      <c r="K408" s="2162" t="s">
        <v>712</v>
      </c>
      <c r="L408" s="227" t="s">
        <v>1428</v>
      </c>
      <c r="M408" s="231">
        <v>3.74511253985457</v>
      </c>
      <c r="N408" s="232">
        <v>19.9795569537988</v>
      </c>
      <c r="O408" s="231">
        <f t="shared" si="76"/>
        <v>3.09549376087681</v>
      </c>
      <c r="P408" s="231"/>
      <c r="Q408" s="231">
        <f t="shared" si="75"/>
        <v>26.8201632545302</v>
      </c>
      <c r="R408" s="233" t="s">
        <v>1526</v>
      </c>
      <c r="S408" s="226" t="s">
        <v>2700</v>
      </c>
      <c r="T408" s="804"/>
      <c r="U408" s="120"/>
      <c r="X408" s="2163"/>
      <c r="AA408" s="839"/>
      <c r="AB408" s="839"/>
      <c r="AC408" s="1940"/>
    </row>
    <row r="409" s="42" customFormat="1" ht="16" hidden="1" customHeight="1" spans="1:29">
      <c r="A409" s="839">
        <v>300</v>
      </c>
      <c r="B409" s="226"/>
      <c r="C409" s="226"/>
      <c r="D409" s="227">
        <v>20241224</v>
      </c>
      <c r="E409" s="227">
        <v>7.17</v>
      </c>
      <c r="F409" s="2132" t="s">
        <v>2701</v>
      </c>
      <c r="G409" s="227" t="s">
        <v>2431</v>
      </c>
      <c r="H409" s="227"/>
      <c r="I409" s="227" t="s">
        <v>2692</v>
      </c>
      <c r="J409" s="227" t="s">
        <v>1428</v>
      </c>
      <c r="K409" s="247" t="s">
        <v>712</v>
      </c>
      <c r="L409" s="227" t="s">
        <v>1428</v>
      </c>
      <c r="M409" s="231">
        <v>3.74511253985457</v>
      </c>
      <c r="N409" s="232">
        <v>19.0783461648658</v>
      </c>
      <c r="O409" s="231">
        <f t="shared" si="76"/>
        <v>3.09549376087681</v>
      </c>
      <c r="P409" s="231"/>
      <c r="Q409" s="231">
        <f t="shared" si="75"/>
        <v>25.9189524655972</v>
      </c>
      <c r="R409" s="233" t="s">
        <v>1526</v>
      </c>
      <c r="S409" s="226" t="s">
        <v>2702</v>
      </c>
      <c r="T409" s="804"/>
      <c r="U409" s="120"/>
      <c r="X409" s="2163"/>
      <c r="AA409" s="839"/>
      <c r="AB409" s="839"/>
      <c r="AC409" s="1940"/>
    </row>
    <row r="410" s="42" customFormat="1" ht="16" hidden="1" customHeight="1" spans="1:29">
      <c r="A410" s="839">
        <v>301</v>
      </c>
      <c r="B410" s="226"/>
      <c r="C410" s="226"/>
      <c r="D410" s="227">
        <v>20241224</v>
      </c>
      <c r="E410" s="227">
        <v>7.17</v>
      </c>
      <c r="F410" s="2132" t="s">
        <v>1666</v>
      </c>
      <c r="G410" s="227" t="s">
        <v>1667</v>
      </c>
      <c r="H410" s="227"/>
      <c r="I410" s="227" t="s">
        <v>2680</v>
      </c>
      <c r="J410" s="227" t="s">
        <v>1428</v>
      </c>
      <c r="K410" s="2162" t="s">
        <v>712</v>
      </c>
      <c r="L410" s="227" t="s">
        <v>1428</v>
      </c>
      <c r="M410" s="231">
        <v>3.74511253985457</v>
      </c>
      <c r="N410" s="232">
        <v>20.5737807710264</v>
      </c>
      <c r="O410" s="231">
        <f t="shared" si="76"/>
        <v>3.09549376087681</v>
      </c>
      <c r="P410" s="231"/>
      <c r="Q410" s="231">
        <f t="shared" si="75"/>
        <v>27.4143870717578</v>
      </c>
      <c r="R410" s="233" t="s">
        <v>1526</v>
      </c>
      <c r="S410" s="226" t="s">
        <v>2703</v>
      </c>
      <c r="T410" s="804"/>
      <c r="U410" s="120"/>
      <c r="X410" s="2163"/>
      <c r="AA410" s="839"/>
      <c r="AB410" s="839"/>
      <c r="AC410" s="1940"/>
    </row>
    <row r="411" s="42" customFormat="1" ht="16" hidden="1" customHeight="1" spans="1:29">
      <c r="A411" s="839">
        <v>302</v>
      </c>
      <c r="B411" s="266"/>
      <c r="C411" s="226"/>
      <c r="D411" s="2028">
        <v>46050</v>
      </c>
      <c r="E411" s="227">
        <v>6.96</v>
      </c>
      <c r="F411" s="2132" t="s">
        <v>2704</v>
      </c>
      <c r="G411" s="227" t="s">
        <v>1558</v>
      </c>
      <c r="H411" s="227"/>
      <c r="I411" s="227" t="s">
        <v>2692</v>
      </c>
      <c r="J411" s="227" t="s">
        <v>1428</v>
      </c>
      <c r="K411" s="247" t="s">
        <v>712</v>
      </c>
      <c r="L411" s="227" t="s">
        <v>1428</v>
      </c>
      <c r="M411" s="320">
        <f>34.5/E411/1.13</f>
        <v>4.38663411657003</v>
      </c>
      <c r="N411" s="319">
        <v>17</v>
      </c>
      <c r="O411" s="320">
        <f t="shared" si="76"/>
        <v>3.18889227952395</v>
      </c>
      <c r="P411" s="320"/>
      <c r="Q411" s="320">
        <f t="shared" si="75"/>
        <v>24.575526396094</v>
      </c>
      <c r="R411" s="233" t="s">
        <v>1526</v>
      </c>
      <c r="S411" s="226" t="s">
        <v>2705</v>
      </c>
      <c r="T411" s="804"/>
      <c r="U411" s="120"/>
      <c r="X411" s="2163"/>
      <c r="AA411" s="839"/>
      <c r="AB411" s="839"/>
      <c r="AC411" s="1940"/>
    </row>
    <row r="412" s="839" customFormat="1" ht="16" hidden="1" customHeight="1" spans="1:29">
      <c r="A412" s="839">
        <v>303</v>
      </c>
      <c r="B412" s="226"/>
      <c r="C412" s="226"/>
      <c r="D412" s="227">
        <v>20250109</v>
      </c>
      <c r="E412" s="227">
        <v>7.17</v>
      </c>
      <c r="F412" s="2132" t="s">
        <v>2706</v>
      </c>
      <c r="G412" s="227" t="s">
        <v>2311</v>
      </c>
      <c r="H412" s="227"/>
      <c r="I412" s="227" t="s">
        <v>2680</v>
      </c>
      <c r="J412" s="227" t="s">
        <v>1428</v>
      </c>
      <c r="K412" s="2162" t="s">
        <v>712</v>
      </c>
      <c r="L412" s="227" t="s">
        <v>1428</v>
      </c>
      <c r="M412" s="231">
        <v>3.74511253985457</v>
      </c>
      <c r="N412" s="232">
        <v>19.0230102629926</v>
      </c>
      <c r="O412" s="231">
        <f t="shared" si="76"/>
        <v>3.09549376087681</v>
      </c>
      <c r="P412" s="231"/>
      <c r="Q412" s="231">
        <f t="shared" si="75"/>
        <v>25.863616563724</v>
      </c>
      <c r="R412" s="233" t="s">
        <v>1526</v>
      </c>
      <c r="S412" s="226" t="s">
        <v>2707</v>
      </c>
      <c r="T412" s="804"/>
      <c r="U412" s="120"/>
      <c r="X412" s="1940"/>
      <c r="AC412" s="1940"/>
    </row>
    <row r="413" s="42" customFormat="1" ht="16" hidden="1" customHeight="1" spans="1:29">
      <c r="A413" s="839">
        <v>304</v>
      </c>
      <c r="B413" s="226"/>
      <c r="C413" s="226"/>
      <c r="D413" s="227">
        <v>20250109</v>
      </c>
      <c r="E413" s="227">
        <v>7.17</v>
      </c>
      <c r="F413" s="2132" t="s">
        <v>2708</v>
      </c>
      <c r="G413" s="227" t="s">
        <v>2314</v>
      </c>
      <c r="H413" s="227"/>
      <c r="I413" s="227" t="s">
        <v>2664</v>
      </c>
      <c r="J413" s="227" t="s">
        <v>1428</v>
      </c>
      <c r="K413" s="247" t="s">
        <v>712</v>
      </c>
      <c r="L413" s="227" t="s">
        <v>1428</v>
      </c>
      <c r="M413" s="231">
        <v>3.74511253985457</v>
      </c>
      <c r="N413" s="232">
        <v>19.7578379048657</v>
      </c>
      <c r="O413" s="231">
        <f t="shared" si="76"/>
        <v>3.09549376087681</v>
      </c>
      <c r="P413" s="231"/>
      <c r="Q413" s="231">
        <f t="shared" si="75"/>
        <v>26.5984442055971</v>
      </c>
      <c r="R413" s="233" t="s">
        <v>1526</v>
      </c>
      <c r="S413" s="226" t="s">
        <v>2707</v>
      </c>
      <c r="T413" s="804"/>
      <c r="U413" s="120"/>
      <c r="X413" s="2163"/>
      <c r="AA413" s="839"/>
      <c r="AB413" s="839"/>
      <c r="AC413" s="1940"/>
    </row>
    <row r="414" s="42" customFormat="1" ht="16" hidden="1" customHeight="1" spans="1:29">
      <c r="A414" s="839">
        <v>305</v>
      </c>
      <c r="B414" s="226"/>
      <c r="C414" s="226"/>
      <c r="D414" s="2081">
        <v>46056</v>
      </c>
      <c r="E414" s="219">
        <v>6.9514</v>
      </c>
      <c r="F414" s="2132" t="s">
        <v>2709</v>
      </c>
      <c r="G414" s="227" t="s">
        <v>2459</v>
      </c>
      <c r="H414" s="227"/>
      <c r="I414" s="227" t="s">
        <v>2692</v>
      </c>
      <c r="J414" s="227"/>
      <c r="K414" s="247" t="s">
        <v>712</v>
      </c>
      <c r="L414" s="227"/>
      <c r="M414" s="231">
        <f>30.43/E414/1.13</f>
        <v>3.87392518626795</v>
      </c>
      <c r="N414" s="232">
        <v>18.6963530699544</v>
      </c>
      <c r="O414" s="231">
        <f t="shared" si="76"/>
        <v>3.19283745223793</v>
      </c>
      <c r="P414" s="231"/>
      <c r="Q414" s="231">
        <f t="shared" si="75"/>
        <v>25.7631157084603</v>
      </c>
      <c r="R414" s="233" t="s">
        <v>1526</v>
      </c>
      <c r="S414" s="226" t="s">
        <v>2710</v>
      </c>
      <c r="T414" s="804"/>
      <c r="U414" s="120"/>
      <c r="X414" s="2163"/>
      <c r="AA414" s="839"/>
      <c r="AB414" s="839"/>
      <c r="AC414" s="1940"/>
    </row>
    <row r="415" s="42" customFormat="1" ht="16" hidden="1" customHeight="1" spans="1:29">
      <c r="A415" s="839">
        <v>306</v>
      </c>
      <c r="B415" s="226"/>
      <c r="C415" s="226"/>
      <c r="D415" s="227">
        <v>20250326</v>
      </c>
      <c r="E415" s="227">
        <v>7.17</v>
      </c>
      <c r="F415" s="2132" t="s">
        <v>2711</v>
      </c>
      <c r="G415" s="227" t="s">
        <v>1723</v>
      </c>
      <c r="H415" s="227"/>
      <c r="I415" s="227" t="s">
        <v>2692</v>
      </c>
      <c r="J415" s="227"/>
      <c r="K415" s="247" t="s">
        <v>712</v>
      </c>
      <c r="L415" s="227"/>
      <c r="M415" s="231">
        <v>3.74511253985457</v>
      </c>
      <c r="N415" s="232">
        <v>16.786815402021</v>
      </c>
      <c r="O415" s="231">
        <f t="shared" si="76"/>
        <v>3.09549376087681</v>
      </c>
      <c r="P415" s="231"/>
      <c r="Q415" s="231">
        <f t="shared" si="75"/>
        <v>23.6274217027524</v>
      </c>
      <c r="R415" s="233" t="s">
        <v>1526</v>
      </c>
      <c r="S415" s="226" t="s">
        <v>2712</v>
      </c>
      <c r="T415" s="804"/>
      <c r="U415" s="120"/>
      <c r="X415" s="2163"/>
      <c r="AA415" s="839"/>
      <c r="AB415" s="839"/>
      <c r="AC415" s="1940"/>
    </row>
    <row r="416" s="42" customFormat="1" ht="16" hidden="1" customHeight="1" spans="1:29">
      <c r="A416" s="839">
        <v>307</v>
      </c>
      <c r="B416" s="226"/>
      <c r="C416" s="226"/>
      <c r="D416" s="227">
        <v>20250326</v>
      </c>
      <c r="E416" s="227">
        <v>7.17</v>
      </c>
      <c r="F416" s="2132" t="s">
        <v>2713</v>
      </c>
      <c r="G416" s="227" t="s">
        <v>1587</v>
      </c>
      <c r="H416" s="227"/>
      <c r="I416" s="227" t="s">
        <v>2692</v>
      </c>
      <c r="J416" s="227"/>
      <c r="K416" s="247" t="s">
        <v>712</v>
      </c>
      <c r="L416" s="227"/>
      <c r="M416" s="231">
        <v>3.74511253985457</v>
      </c>
      <c r="N416" s="232">
        <v>17.4079254605765</v>
      </c>
      <c r="O416" s="231">
        <f t="shared" si="76"/>
        <v>3.09549376087681</v>
      </c>
      <c r="P416" s="231"/>
      <c r="Q416" s="231">
        <f t="shared" si="75"/>
        <v>24.2485317613079</v>
      </c>
      <c r="R416" s="233" t="s">
        <v>1526</v>
      </c>
      <c r="S416" s="226" t="s">
        <v>2710</v>
      </c>
      <c r="T416" s="804"/>
      <c r="U416" s="120"/>
      <c r="X416" s="2163"/>
      <c r="AA416" s="839"/>
      <c r="AB416" s="839"/>
      <c r="AC416" s="1940"/>
    </row>
    <row r="417" ht="16" hidden="1" customHeight="1" spans="1:29">
      <c r="A417" s="839">
        <v>308</v>
      </c>
      <c r="B417" s="266" t="s">
        <v>2714</v>
      </c>
      <c r="C417" s="266"/>
      <c r="D417" s="219">
        <v>20250620</v>
      </c>
      <c r="E417" s="219">
        <v>7.17</v>
      </c>
      <c r="F417" s="2125" t="s">
        <v>2715</v>
      </c>
      <c r="G417" s="219" t="s">
        <v>1672</v>
      </c>
      <c r="H417" s="219"/>
      <c r="I417" s="219" t="s">
        <v>2692</v>
      </c>
      <c r="J417" s="219" t="s">
        <v>1635</v>
      </c>
      <c r="K417" s="431" t="s">
        <v>712</v>
      </c>
      <c r="L417" s="219">
        <v>3.1</v>
      </c>
      <c r="M417" s="320">
        <f t="shared" ref="M417:M423" si="77">28/E417/1.13</f>
        <v>3.45589415089915</v>
      </c>
      <c r="N417" s="320">
        <v>16.7290926191952</v>
      </c>
      <c r="O417" s="320">
        <v>3</v>
      </c>
      <c r="P417" s="320"/>
      <c r="Q417" s="320">
        <f t="shared" si="75"/>
        <v>26.2849867700943</v>
      </c>
      <c r="R417" s="2170" t="s">
        <v>2563</v>
      </c>
      <c r="S417" s="226" t="s">
        <v>2716</v>
      </c>
      <c r="T417" s="804"/>
      <c r="U417" s="1935"/>
      <c r="V417" s="1935"/>
      <c r="W417" s="1935"/>
      <c r="X417" s="2171"/>
      <c r="Y417" s="1935"/>
    </row>
    <row r="418" ht="16" hidden="1" customHeight="1" spans="1:29">
      <c r="A418" s="839">
        <v>309</v>
      </c>
      <c r="B418" s="266"/>
      <c r="C418" s="266"/>
      <c r="D418" s="219">
        <v>20250620</v>
      </c>
      <c r="E418" s="219">
        <v>7.17</v>
      </c>
      <c r="F418" s="2125" t="s">
        <v>2717</v>
      </c>
      <c r="G418" s="219" t="s">
        <v>1998</v>
      </c>
      <c r="H418" s="219"/>
      <c r="I418" s="219" t="s">
        <v>2680</v>
      </c>
      <c r="J418" s="219" t="s">
        <v>1742</v>
      </c>
      <c r="K418" s="431" t="s">
        <v>712</v>
      </c>
      <c r="L418" s="219">
        <v>6</v>
      </c>
      <c r="M418" s="320">
        <f t="shared" ref="M418:M421" si="78">33.97/E418/1.13*1.05</f>
        <v>4.40237716147665</v>
      </c>
      <c r="N418" s="320">
        <v>16.547971792676</v>
      </c>
      <c r="O418" s="320">
        <v>3</v>
      </c>
      <c r="P418" s="320"/>
      <c r="Q418" s="320">
        <f t="shared" si="75"/>
        <v>29.9503489541527</v>
      </c>
      <c r="R418" s="2170" t="s">
        <v>1755</v>
      </c>
      <c r="S418" s="226" t="s">
        <v>2718</v>
      </c>
      <c r="T418" s="804"/>
      <c r="U418" s="1935"/>
      <c r="V418" s="1935"/>
      <c r="W418" s="1935"/>
      <c r="X418" s="2171"/>
      <c r="Y418" s="1935"/>
    </row>
    <row r="419" ht="16" hidden="1" customHeight="1" spans="1:29">
      <c r="A419" s="839"/>
      <c r="B419" s="266"/>
      <c r="C419" s="266"/>
      <c r="D419" s="219"/>
      <c r="E419" s="219">
        <v>6.78</v>
      </c>
      <c r="F419" s="1975" t="s">
        <v>2719</v>
      </c>
      <c r="G419" s="219"/>
      <c r="H419" s="219"/>
      <c r="I419" s="219"/>
      <c r="J419" s="219"/>
      <c r="K419" s="431"/>
      <c r="L419" s="219"/>
      <c r="M419" s="320">
        <f t="shared" si="78"/>
        <v>4.65561124598637</v>
      </c>
      <c r="N419" s="320">
        <v>16.1</v>
      </c>
      <c r="O419" s="320">
        <v>3</v>
      </c>
      <c r="P419" s="320"/>
      <c r="Q419" s="320">
        <f t="shared" si="75"/>
        <v>23.7556112459864</v>
      </c>
      <c r="R419" s="2172"/>
      <c r="S419" s="226"/>
      <c r="T419" s="804"/>
      <c r="U419" s="1935"/>
      <c r="V419" s="1935"/>
      <c r="W419" s="1935"/>
      <c r="X419" s="2171"/>
      <c r="Y419" s="1935"/>
    </row>
    <row r="420" ht="16" hidden="1" customHeight="1" spans="1:29">
      <c r="A420" s="839">
        <v>310</v>
      </c>
      <c r="B420" s="266"/>
      <c r="C420" s="266"/>
      <c r="D420" s="219">
        <v>20250620</v>
      </c>
      <c r="E420" s="219">
        <v>7.17</v>
      </c>
      <c r="F420" s="2125" t="s">
        <v>2720</v>
      </c>
      <c r="G420" s="219" t="s">
        <v>1581</v>
      </c>
      <c r="H420" s="219"/>
      <c r="I420" s="219" t="s">
        <v>2664</v>
      </c>
      <c r="J420" s="219" t="s">
        <v>1742</v>
      </c>
      <c r="K420" s="431" t="s">
        <v>712</v>
      </c>
      <c r="L420" s="219">
        <v>6</v>
      </c>
      <c r="M420" s="320">
        <f t="shared" si="77"/>
        <v>3.45589415089915</v>
      </c>
      <c r="N420" s="320">
        <v>16.5428411416982</v>
      </c>
      <c r="O420" s="320">
        <v>3</v>
      </c>
      <c r="P420" s="320"/>
      <c r="Q420" s="320">
        <f t="shared" si="75"/>
        <v>28.9987352925974</v>
      </c>
      <c r="R420" s="2170" t="s">
        <v>2721</v>
      </c>
      <c r="S420" s="226" t="s">
        <v>2722</v>
      </c>
      <c r="T420" s="804"/>
      <c r="U420" s="1935"/>
      <c r="V420" s="1935"/>
      <c r="W420" s="1935"/>
      <c r="X420" s="2171"/>
      <c r="Y420" s="1935"/>
    </row>
    <row r="421" customFormat="1" ht="16" hidden="1" customHeight="1" spans="1:29">
      <c r="A421" s="839"/>
      <c r="B421" s="266"/>
      <c r="C421" s="266"/>
      <c r="D421" s="219"/>
      <c r="E421" s="219">
        <v>6.78</v>
      </c>
      <c r="F421" s="2125" t="s">
        <v>2723</v>
      </c>
      <c r="G421" s="219"/>
      <c r="H421" s="219"/>
      <c r="I421" s="219"/>
      <c r="J421" s="219"/>
      <c r="K421" s="431"/>
      <c r="L421" s="219"/>
      <c r="M421" s="320">
        <f t="shared" si="78"/>
        <v>4.65561124598637</v>
      </c>
      <c r="N421" s="320">
        <v>17.1</v>
      </c>
      <c r="O421" s="320">
        <v>3</v>
      </c>
      <c r="P421" s="320"/>
      <c r="Q421" s="320">
        <f t="shared" si="75"/>
        <v>24.7556112459864</v>
      </c>
      <c r="R421" s="2170"/>
      <c r="S421" s="226"/>
      <c r="T421" s="804"/>
      <c r="U421" s="1935"/>
      <c r="V421" s="1935"/>
      <c r="W421" s="1935"/>
      <c r="X421" s="2171"/>
      <c r="Y421" s="1935"/>
      <c r="AC421" s="1940"/>
    </row>
    <row r="422" s="839" customFormat="1" ht="16" hidden="1" customHeight="1" spans="1:29">
      <c r="A422" s="839">
        <v>311</v>
      </c>
      <c r="B422" s="266"/>
      <c r="C422" s="266"/>
      <c r="D422" s="219">
        <v>20250722</v>
      </c>
      <c r="E422" s="219">
        <v>6.8819</v>
      </c>
      <c r="F422" s="2125" t="s">
        <v>2724</v>
      </c>
      <c r="G422" s="219" t="s">
        <v>2427</v>
      </c>
      <c r="H422" s="219"/>
      <c r="I422" s="219" t="s">
        <v>2695</v>
      </c>
      <c r="J422" s="219" t="s">
        <v>1567</v>
      </c>
      <c r="K422" s="431" t="s">
        <v>712</v>
      </c>
      <c r="L422" s="219">
        <v>7.5</v>
      </c>
      <c r="M422" s="320">
        <f t="shared" si="77"/>
        <v>3.60056976444687</v>
      </c>
      <c r="N422" s="320">
        <v>14.75</v>
      </c>
      <c r="O422" s="320">
        <v>3</v>
      </c>
      <c r="P422" s="320"/>
      <c r="Q422" s="320">
        <f t="shared" si="75"/>
        <v>28.8505697644469</v>
      </c>
      <c r="R422" s="2170" t="s">
        <v>1748</v>
      </c>
      <c r="S422" s="226" t="s">
        <v>2725</v>
      </c>
      <c r="T422" s="804"/>
      <c r="X422" s="1940"/>
      <c r="AC422" s="1940"/>
    </row>
    <row r="423" s="1935" customFormat="1" ht="16" hidden="1" customHeight="1" spans="1:29">
      <c r="A423" s="839">
        <v>312</v>
      </c>
      <c r="B423" s="266"/>
      <c r="C423" s="266"/>
      <c r="D423" s="219">
        <v>20250722</v>
      </c>
      <c r="E423" s="219">
        <v>7.17</v>
      </c>
      <c r="F423" s="2125" t="s">
        <v>2726</v>
      </c>
      <c r="G423" s="219" t="s">
        <v>2449</v>
      </c>
      <c r="H423" s="219"/>
      <c r="I423" s="219" t="s">
        <v>2664</v>
      </c>
      <c r="J423" s="219" t="s">
        <v>1635</v>
      </c>
      <c r="K423" s="219" t="s">
        <v>712</v>
      </c>
      <c r="L423" s="219">
        <v>3.1</v>
      </c>
      <c r="M423" s="320">
        <f t="shared" si="77"/>
        <v>3.45589415089915</v>
      </c>
      <c r="N423" s="320">
        <v>14.6055035381401</v>
      </c>
      <c r="O423" s="320">
        <v>3</v>
      </c>
      <c r="P423" s="320"/>
      <c r="Q423" s="320">
        <f t="shared" si="75"/>
        <v>24.1613976890392</v>
      </c>
      <c r="R423" s="2170" t="s">
        <v>1568</v>
      </c>
      <c r="S423" s="226" t="s">
        <v>2727</v>
      </c>
      <c r="T423" s="804"/>
      <c r="X423" s="2171"/>
      <c r="AA423" s="839"/>
      <c r="AB423" s="839"/>
      <c r="AC423" s="1940"/>
    </row>
    <row r="424" s="1935" customFormat="1" ht="16" hidden="1" customHeight="1" spans="1:29">
      <c r="A424" s="839">
        <v>1</v>
      </c>
      <c r="B424" s="266"/>
      <c r="C424" s="266"/>
      <c r="D424" s="2081">
        <v>46157</v>
      </c>
      <c r="E424" s="219">
        <v>6.7986</v>
      </c>
      <c r="F424" s="1975" t="s">
        <v>2728</v>
      </c>
      <c r="G424" s="219" t="s">
        <v>2729</v>
      </c>
      <c r="H424" s="219"/>
      <c r="I424" s="219"/>
      <c r="J424" s="219" t="s">
        <v>1428</v>
      </c>
      <c r="K424" s="219" t="s">
        <v>712</v>
      </c>
      <c r="L424" s="219" t="s">
        <v>1428</v>
      </c>
      <c r="M424" s="320">
        <f>39.2/E424/1.13*1.05</f>
        <v>5.35768816536669</v>
      </c>
      <c r="N424" s="320">
        <v>16.6</v>
      </c>
      <c r="O424" s="320">
        <v>3</v>
      </c>
      <c r="P424" s="320"/>
      <c r="Q424" s="320">
        <f t="shared" si="75"/>
        <v>24.9576881653667</v>
      </c>
      <c r="R424" s="2170"/>
      <c r="S424" s="226"/>
      <c r="T424" s="804"/>
      <c r="X424" s="2171"/>
      <c r="AA424" s="839"/>
      <c r="AB424" s="839"/>
      <c r="AC424" s="1940"/>
    </row>
    <row r="425" s="1935" customFormat="1" ht="16" hidden="1" customHeight="1" spans="1:29">
      <c r="A425" s="839">
        <v>313</v>
      </c>
      <c r="B425" s="266"/>
      <c r="C425" s="266"/>
      <c r="D425" s="219">
        <v>20250722</v>
      </c>
      <c r="E425" s="219">
        <v>7.17</v>
      </c>
      <c r="F425" s="2125" t="s">
        <v>2730</v>
      </c>
      <c r="G425" s="219" t="s">
        <v>2546</v>
      </c>
      <c r="H425" s="219"/>
      <c r="I425" s="219" t="s">
        <v>2664</v>
      </c>
      <c r="J425" s="219" t="s">
        <v>1635</v>
      </c>
      <c r="K425" s="219" t="s">
        <v>712</v>
      </c>
      <c r="L425" s="219">
        <v>3.1</v>
      </c>
      <c r="M425" s="320">
        <f t="shared" ref="M425:M431" si="79">28/E425/1.13</f>
        <v>3.45589415089915</v>
      </c>
      <c r="N425" s="320">
        <v>14.3663154539712</v>
      </c>
      <c r="O425" s="320">
        <v>3</v>
      </c>
      <c r="P425" s="320"/>
      <c r="Q425" s="320">
        <f t="shared" si="75"/>
        <v>23.9222096048703</v>
      </c>
      <c r="R425" s="2170" t="s">
        <v>2563</v>
      </c>
      <c r="S425" s="226" t="s">
        <v>2727</v>
      </c>
      <c r="T425" s="804"/>
      <c r="X425" s="2171"/>
      <c r="AA425" s="839"/>
      <c r="AB425" s="839"/>
      <c r="AC425" s="1940"/>
    </row>
    <row r="426" s="839" customFormat="1" ht="16" hidden="1" customHeight="1" spans="1:29">
      <c r="A426" s="839">
        <v>314</v>
      </c>
      <c r="B426" s="266"/>
      <c r="C426" s="266"/>
      <c r="D426" s="2081">
        <v>46091</v>
      </c>
      <c r="E426" s="219">
        <v>6.7986</v>
      </c>
      <c r="F426" s="2125" t="s">
        <v>2731</v>
      </c>
      <c r="G426" s="219" t="s">
        <v>2546</v>
      </c>
      <c r="H426" s="219"/>
      <c r="I426" s="219"/>
      <c r="J426" s="219"/>
      <c r="K426" s="219" t="s">
        <v>712</v>
      </c>
      <c r="L426" s="219"/>
      <c r="M426" s="320">
        <f t="shared" si="79"/>
        <v>3.64468582678006</v>
      </c>
      <c r="N426" s="320">
        <v>22.61</v>
      </c>
      <c r="O426" s="320">
        <v>3</v>
      </c>
      <c r="P426" s="320"/>
      <c r="Q426" s="320">
        <f t="shared" si="75"/>
        <v>29.2546858267801</v>
      </c>
      <c r="R426" s="2170"/>
      <c r="S426" s="226"/>
      <c r="T426" s="804"/>
      <c r="X426" s="1940"/>
      <c r="AC426" s="1940"/>
    </row>
    <row r="427" s="839" customFormat="1" ht="16" hidden="1" customHeight="1" spans="1:29">
      <c r="A427" s="839">
        <v>315</v>
      </c>
      <c r="B427" s="266"/>
      <c r="C427" s="266"/>
      <c r="D427" s="219">
        <v>20250718</v>
      </c>
      <c r="E427" s="219">
        <v>7.17</v>
      </c>
      <c r="F427" s="2125" t="s">
        <v>2732</v>
      </c>
      <c r="G427" s="219" t="s">
        <v>2306</v>
      </c>
      <c r="H427" s="219"/>
      <c r="I427" s="219" t="s">
        <v>2680</v>
      </c>
      <c r="J427" s="219" t="s">
        <v>1635</v>
      </c>
      <c r="K427" s="219" t="s">
        <v>712</v>
      </c>
      <c r="L427" s="219">
        <v>3.1</v>
      </c>
      <c r="M427" s="320">
        <f t="shared" si="79"/>
        <v>3.45589415089915</v>
      </c>
      <c r="N427" s="320">
        <v>16.7432492780964</v>
      </c>
      <c r="O427" s="320">
        <v>3</v>
      </c>
      <c r="P427" s="320"/>
      <c r="Q427" s="320">
        <f t="shared" si="75"/>
        <v>26.2991434289955</v>
      </c>
      <c r="R427" s="2170" t="s">
        <v>1568</v>
      </c>
      <c r="S427" s="226" t="s">
        <v>2733</v>
      </c>
      <c r="T427" s="804"/>
      <c r="X427" s="1940"/>
      <c r="AC427" s="1940"/>
    </row>
    <row r="428" s="1935" customFormat="1" ht="16" hidden="1" customHeight="1" spans="1:29">
      <c r="A428" s="839">
        <v>316</v>
      </c>
      <c r="B428" s="266"/>
      <c r="C428" s="266"/>
      <c r="D428" s="219">
        <v>20250718</v>
      </c>
      <c r="E428" s="219">
        <v>7.17</v>
      </c>
      <c r="F428" s="2125" t="s">
        <v>2734</v>
      </c>
      <c r="G428" s="219" t="s">
        <v>2431</v>
      </c>
      <c r="H428" s="219"/>
      <c r="I428" s="219" t="s">
        <v>2680</v>
      </c>
      <c r="J428" s="219" t="s">
        <v>1635</v>
      </c>
      <c r="K428" s="219" t="s">
        <v>712</v>
      </c>
      <c r="L428" s="219">
        <v>3.1</v>
      </c>
      <c r="M428" s="320">
        <f t="shared" si="79"/>
        <v>3.45589415089915</v>
      </c>
      <c r="N428" s="320">
        <v>16.7432492780964</v>
      </c>
      <c r="O428" s="320">
        <v>3</v>
      </c>
      <c r="P428" s="320"/>
      <c r="Q428" s="320">
        <f t="shared" si="75"/>
        <v>26.2991434289955</v>
      </c>
      <c r="R428" s="2170" t="s">
        <v>1568</v>
      </c>
      <c r="S428" s="226" t="s">
        <v>2735</v>
      </c>
      <c r="T428" s="804"/>
      <c r="X428" s="2171"/>
      <c r="AA428" s="839"/>
      <c r="AB428" s="839"/>
      <c r="AC428" s="1940"/>
    </row>
    <row r="429" s="1935" customFormat="1" ht="16" hidden="1" customHeight="1" spans="1:29">
      <c r="A429" s="839">
        <v>317</v>
      </c>
      <c r="B429" s="266"/>
      <c r="C429" s="266"/>
      <c r="D429" s="219">
        <v>20250722</v>
      </c>
      <c r="E429" s="219">
        <v>7.17</v>
      </c>
      <c r="F429" s="2125" t="s">
        <v>2736</v>
      </c>
      <c r="G429" s="219" t="s">
        <v>1667</v>
      </c>
      <c r="H429" s="219"/>
      <c r="I429" s="219" t="s">
        <v>2737</v>
      </c>
      <c r="J429" s="219" t="s">
        <v>1635</v>
      </c>
      <c r="K429" s="219" t="s">
        <v>712</v>
      </c>
      <c r="L429" s="219">
        <v>3.1</v>
      </c>
      <c r="M429" s="320">
        <f t="shared" si="79"/>
        <v>3.45589415089915</v>
      </c>
      <c r="N429" s="320">
        <v>15.330773468573</v>
      </c>
      <c r="O429" s="320">
        <v>3</v>
      </c>
      <c r="P429" s="320"/>
      <c r="Q429" s="320">
        <f t="shared" si="75"/>
        <v>24.8866676194721</v>
      </c>
      <c r="R429" s="2170" t="s">
        <v>1568</v>
      </c>
      <c r="S429" s="226" t="s">
        <v>2738</v>
      </c>
      <c r="T429" s="1920"/>
      <c r="X429" s="2171"/>
      <c r="AA429" s="839"/>
      <c r="AB429" s="839"/>
      <c r="AC429" s="1940"/>
    </row>
    <row r="430" s="839" customFormat="1" ht="16" hidden="1" customHeight="1" spans="1:29">
      <c r="A430" s="839">
        <v>318</v>
      </c>
      <c r="B430" s="266"/>
      <c r="C430" s="266"/>
      <c r="D430" s="219">
        <v>20250730</v>
      </c>
      <c r="E430" s="219">
        <v>7.17</v>
      </c>
      <c r="F430" s="2125" t="s">
        <v>2739</v>
      </c>
      <c r="G430" s="219" t="s">
        <v>1558</v>
      </c>
      <c r="H430" s="219"/>
      <c r="I430" s="219" t="s">
        <v>2680</v>
      </c>
      <c r="J430" s="219" t="s">
        <v>1742</v>
      </c>
      <c r="K430" s="219" t="s">
        <v>712</v>
      </c>
      <c r="L430" s="219">
        <v>6</v>
      </c>
      <c r="M430" s="320">
        <f t="shared" si="79"/>
        <v>3.45589415089915</v>
      </c>
      <c r="N430" s="320">
        <v>16.5306011516847</v>
      </c>
      <c r="O430" s="320">
        <v>3</v>
      </c>
      <c r="P430" s="320"/>
      <c r="Q430" s="320">
        <f t="shared" si="75"/>
        <v>28.9864953025838</v>
      </c>
      <c r="R430" s="2170" t="s">
        <v>1755</v>
      </c>
      <c r="S430" s="226" t="s">
        <v>2740</v>
      </c>
      <c r="T430" s="804"/>
      <c r="X430" s="1940"/>
      <c r="AC430" s="1940"/>
    </row>
    <row r="431" s="839" customFormat="1" ht="16" hidden="1" customHeight="1" spans="1:29">
      <c r="A431" s="839">
        <v>319</v>
      </c>
      <c r="B431" s="266"/>
      <c r="C431" s="266"/>
      <c r="D431" s="219">
        <v>20250730</v>
      </c>
      <c r="E431" s="219">
        <v>7.17</v>
      </c>
      <c r="F431" s="2125" t="s">
        <v>2741</v>
      </c>
      <c r="G431" s="219" t="s">
        <v>2311</v>
      </c>
      <c r="H431" s="219"/>
      <c r="I431" s="219" t="s">
        <v>2742</v>
      </c>
      <c r="J431" s="219" t="s">
        <v>1742</v>
      </c>
      <c r="K431" s="219" t="s">
        <v>712</v>
      </c>
      <c r="L431" s="219">
        <v>6</v>
      </c>
      <c r="M431" s="320">
        <f t="shared" si="79"/>
        <v>3.45589415089915</v>
      </c>
      <c r="N431" s="320">
        <v>16.5316638391362</v>
      </c>
      <c r="O431" s="320">
        <v>3</v>
      </c>
      <c r="P431" s="320"/>
      <c r="Q431" s="320">
        <f t="shared" si="75"/>
        <v>28.9875579900353</v>
      </c>
      <c r="R431" s="2170" t="s">
        <v>2743</v>
      </c>
      <c r="S431" s="226" t="s">
        <v>2744</v>
      </c>
      <c r="T431" s="804"/>
      <c r="X431" s="1940"/>
      <c r="AC431" s="1940"/>
    </row>
    <row r="432" s="839" customFormat="1" ht="16" hidden="1" customHeight="1" spans="1:29">
      <c r="A432" s="839">
        <v>320</v>
      </c>
      <c r="B432" s="266"/>
      <c r="C432" s="266"/>
      <c r="D432" s="219">
        <v>20250730</v>
      </c>
      <c r="E432" s="219">
        <v>7.17</v>
      </c>
      <c r="F432" s="2125" t="s">
        <v>2745</v>
      </c>
      <c r="G432" s="219" t="s">
        <v>2314</v>
      </c>
      <c r="H432" s="219"/>
      <c r="I432" s="219" t="s">
        <v>2680</v>
      </c>
      <c r="J432" s="219" t="s">
        <v>1742</v>
      </c>
      <c r="K432" s="219" t="s">
        <v>712</v>
      </c>
      <c r="L432" s="219">
        <v>6</v>
      </c>
      <c r="M432" s="320">
        <f>33.97/E432/1.13*1.1</f>
        <v>4.61201416916602</v>
      </c>
      <c r="N432" s="320">
        <v>19.3</v>
      </c>
      <c r="O432" s="320">
        <v>3</v>
      </c>
      <c r="P432" s="320"/>
      <c r="Q432" s="320">
        <f t="shared" si="75"/>
        <v>32.912014169166</v>
      </c>
      <c r="R432" s="640" t="s">
        <v>1568</v>
      </c>
      <c r="S432" s="266" t="s">
        <v>2744</v>
      </c>
      <c r="T432" s="804"/>
      <c r="X432" s="1940"/>
      <c r="AC432" s="1940"/>
    </row>
    <row r="433" s="839" customFormat="1" ht="16" hidden="1" customHeight="1" spans="1:29">
      <c r="A433" s="839">
        <v>321</v>
      </c>
      <c r="B433" s="266"/>
      <c r="C433" s="266"/>
      <c r="D433" s="219">
        <v>20250730</v>
      </c>
      <c r="E433" s="219">
        <v>7.17</v>
      </c>
      <c r="F433" s="2125" t="s">
        <v>2746</v>
      </c>
      <c r="G433" s="219" t="s">
        <v>2459</v>
      </c>
      <c r="H433" s="219"/>
      <c r="I433" s="219" t="s">
        <v>2680</v>
      </c>
      <c r="J433" s="219" t="s">
        <v>1742</v>
      </c>
      <c r="K433" s="219" t="s">
        <v>712</v>
      </c>
      <c r="L433" s="219">
        <v>6</v>
      </c>
      <c r="M433" s="320">
        <f>28/E433/1.13</f>
        <v>3.45589415089915</v>
      </c>
      <c r="N433" s="320">
        <v>16.5313657682656</v>
      </c>
      <c r="O433" s="320">
        <v>3</v>
      </c>
      <c r="P433" s="320"/>
      <c r="Q433" s="320">
        <f t="shared" si="75"/>
        <v>28.9872599191647</v>
      </c>
      <c r="R433" s="2170" t="s">
        <v>2747</v>
      </c>
      <c r="S433" s="226" t="s">
        <v>2748</v>
      </c>
      <c r="T433" s="804"/>
      <c r="X433" s="1940"/>
      <c r="AC433" s="1940"/>
    </row>
    <row r="434" s="839" customFormat="1" ht="16" hidden="1" customHeight="1" spans="1:29">
      <c r="A434" s="839">
        <v>322</v>
      </c>
      <c r="B434" s="266"/>
      <c r="C434" s="266"/>
      <c r="D434" s="219">
        <v>20250730</v>
      </c>
      <c r="E434" s="219">
        <v>7.17</v>
      </c>
      <c r="F434" s="2125" t="s">
        <v>2749</v>
      </c>
      <c r="G434" s="219" t="s">
        <v>1723</v>
      </c>
      <c r="H434" s="219"/>
      <c r="I434" s="219" t="s">
        <v>2680</v>
      </c>
      <c r="J434" s="219" t="s">
        <v>1742</v>
      </c>
      <c r="K434" s="219" t="s">
        <v>712</v>
      </c>
      <c r="L434" s="219">
        <v>6</v>
      </c>
      <c r="M434" s="320">
        <f>28/E434/1.13</f>
        <v>3.45589415089915</v>
      </c>
      <c r="N434" s="320">
        <v>16.5313657682656</v>
      </c>
      <c r="O434" s="320">
        <v>3</v>
      </c>
      <c r="P434" s="320"/>
      <c r="Q434" s="320">
        <f t="shared" si="75"/>
        <v>28.9872599191647</v>
      </c>
      <c r="R434" s="2170" t="s">
        <v>1568</v>
      </c>
      <c r="S434" s="226" t="s">
        <v>2748</v>
      </c>
      <c r="T434" s="804"/>
      <c r="X434" s="1940"/>
      <c r="AC434" s="1940"/>
    </row>
    <row r="435" s="42" customFormat="1" ht="16" hidden="1" customHeight="1" spans="1:29">
      <c r="A435" s="839">
        <v>323</v>
      </c>
      <c r="B435" s="289" t="s">
        <v>2750</v>
      </c>
      <c r="C435" s="289"/>
      <c r="D435" s="227">
        <v>20250619</v>
      </c>
      <c r="E435" s="227">
        <v>7.13</v>
      </c>
      <c r="F435" s="2132" t="s">
        <v>2751</v>
      </c>
      <c r="G435" s="227" t="s">
        <v>2752</v>
      </c>
      <c r="H435" s="227"/>
      <c r="I435" s="227" t="s">
        <v>2753</v>
      </c>
      <c r="J435" s="227" t="s">
        <v>1646</v>
      </c>
      <c r="K435" s="247" t="s">
        <v>712</v>
      </c>
      <c r="L435" s="232">
        <v>2.26469900427093</v>
      </c>
      <c r="M435" s="231">
        <f t="shared" ref="M435:M440" si="80">35.53/7.13/1.13</f>
        <v>4.40988469510606</v>
      </c>
      <c r="N435" s="231">
        <v>14.5362912955802</v>
      </c>
      <c r="O435" s="231">
        <f t="shared" ref="O435:O440" si="81">21.6/E435</f>
        <v>3.02945301542777</v>
      </c>
      <c r="P435" s="231"/>
      <c r="Q435" s="231">
        <f t="shared" si="75"/>
        <v>24.240328010385</v>
      </c>
      <c r="R435" s="233" t="s">
        <v>1526</v>
      </c>
      <c r="S435" s="226" t="s">
        <v>2754</v>
      </c>
      <c r="T435" s="804"/>
      <c r="U435" s="120"/>
      <c r="X435" s="2163"/>
      <c r="AA435" s="839"/>
      <c r="AB435" s="839"/>
      <c r="AC435" s="1940"/>
    </row>
    <row r="436" s="42" customFormat="1" ht="16" hidden="1" customHeight="1" spans="1:29">
      <c r="A436" s="839">
        <v>1</v>
      </c>
      <c r="B436" s="314"/>
      <c r="C436" s="992" t="s">
        <v>2755</v>
      </c>
      <c r="D436" s="2028">
        <v>46150</v>
      </c>
      <c r="E436" s="227">
        <v>6.8216</v>
      </c>
      <c r="F436" s="2132" t="s">
        <v>1649</v>
      </c>
      <c r="G436" s="227" t="s">
        <v>1571</v>
      </c>
      <c r="H436" s="2173" t="s">
        <v>2756</v>
      </c>
      <c r="I436" s="227" t="s">
        <v>2757</v>
      </c>
      <c r="J436" s="227"/>
      <c r="K436" s="247"/>
      <c r="L436" s="232"/>
      <c r="M436" s="320">
        <f>35.72/6.8216/1.13</f>
        <v>4.63390105972595</v>
      </c>
      <c r="N436" s="320">
        <v>19.3</v>
      </c>
      <c r="O436" s="320">
        <v>3.03</v>
      </c>
      <c r="P436" s="320"/>
      <c r="Q436" s="320">
        <f t="shared" si="75"/>
        <v>26.963901059726</v>
      </c>
      <c r="R436" s="640" t="s">
        <v>2758</v>
      </c>
      <c r="S436" s="226" t="s">
        <v>2759</v>
      </c>
      <c r="T436" s="804"/>
      <c r="U436" s="120"/>
      <c r="X436" s="2163"/>
      <c r="AA436" s="839"/>
      <c r="AB436" s="839"/>
      <c r="AC436" s="1940"/>
    </row>
    <row r="437" s="42" customFormat="1" ht="16" hidden="1" customHeight="1" spans="1:29">
      <c r="A437" s="839"/>
      <c r="B437" s="314"/>
      <c r="C437" s="992"/>
      <c r="D437" s="2028">
        <v>46246</v>
      </c>
      <c r="E437" s="227">
        <v>6.75</v>
      </c>
      <c r="F437" s="2125" t="s">
        <v>2760</v>
      </c>
      <c r="G437" s="227"/>
      <c r="H437" s="2173"/>
      <c r="I437" s="227"/>
      <c r="J437" s="219" t="s">
        <v>1428</v>
      </c>
      <c r="K437" s="219" t="s">
        <v>712</v>
      </c>
      <c r="L437" s="219" t="s">
        <v>1428</v>
      </c>
      <c r="M437" s="320">
        <f>49.2/E437/1.13</f>
        <v>6.45034414945919</v>
      </c>
      <c r="N437" s="320">
        <v>18.1</v>
      </c>
      <c r="O437" s="320">
        <v>3.03</v>
      </c>
      <c r="P437" s="320"/>
      <c r="Q437" s="320">
        <f t="shared" si="75"/>
        <v>27.5803441494592</v>
      </c>
      <c r="R437" s="640" t="s">
        <v>2141</v>
      </c>
      <c r="S437" s="226"/>
      <c r="T437" s="804"/>
      <c r="U437" s="120"/>
      <c r="X437" s="2163"/>
      <c r="AA437" s="839"/>
      <c r="AB437" s="839"/>
      <c r="AC437" s="1940"/>
    </row>
    <row r="438" s="42" customFormat="1" ht="16" hidden="1" customHeight="1" spans="1:29">
      <c r="A438" s="839">
        <v>324</v>
      </c>
      <c r="B438" s="289"/>
      <c r="C438" s="289"/>
      <c r="D438" s="227">
        <v>20250619</v>
      </c>
      <c r="E438" s="227">
        <v>7.13</v>
      </c>
      <c r="F438" s="2132" t="s">
        <v>2761</v>
      </c>
      <c r="G438" s="227" t="s">
        <v>2762</v>
      </c>
      <c r="H438" s="227"/>
      <c r="I438" s="227" t="s">
        <v>2664</v>
      </c>
      <c r="J438" s="227" t="s">
        <v>1635</v>
      </c>
      <c r="K438" s="247" t="s">
        <v>712</v>
      </c>
      <c r="L438" s="232">
        <v>3.1</v>
      </c>
      <c r="M438" s="231">
        <f t="shared" si="80"/>
        <v>4.40988469510606</v>
      </c>
      <c r="N438" s="231">
        <v>16.7729441170529</v>
      </c>
      <c r="O438" s="231">
        <f t="shared" si="81"/>
        <v>3.02945301542777</v>
      </c>
      <c r="P438" s="231"/>
      <c r="Q438" s="231">
        <f t="shared" si="75"/>
        <v>27.3122818275867</v>
      </c>
      <c r="R438" s="233" t="s">
        <v>1526</v>
      </c>
      <c r="S438" s="226" t="s">
        <v>2763</v>
      </c>
      <c r="T438" s="804"/>
      <c r="U438" s="120"/>
      <c r="X438" s="2163"/>
      <c r="AA438" s="839"/>
      <c r="AB438" s="839"/>
      <c r="AC438" s="1940"/>
    </row>
    <row r="439" s="42" customFormat="1" ht="16" hidden="1" customHeight="1" spans="1:29">
      <c r="A439" s="839">
        <v>325</v>
      </c>
      <c r="B439" s="289"/>
      <c r="C439" s="289"/>
      <c r="D439" s="227">
        <v>20250619</v>
      </c>
      <c r="E439" s="227">
        <v>7.13</v>
      </c>
      <c r="F439" s="2132" t="s">
        <v>2764</v>
      </c>
      <c r="G439" s="227" t="s">
        <v>2765</v>
      </c>
      <c r="H439" s="227"/>
      <c r="I439" s="227" t="s">
        <v>2742</v>
      </c>
      <c r="J439" s="227" t="s">
        <v>1637</v>
      </c>
      <c r="K439" s="247" t="s">
        <v>712</v>
      </c>
      <c r="L439" s="232">
        <v>3.17</v>
      </c>
      <c r="M439" s="231">
        <f t="shared" si="80"/>
        <v>4.40988469510606</v>
      </c>
      <c r="N439" s="231">
        <v>18.8231154105076</v>
      </c>
      <c r="O439" s="231">
        <f t="shared" si="81"/>
        <v>3.02945301542777</v>
      </c>
      <c r="P439" s="231"/>
      <c r="Q439" s="231">
        <f t="shared" si="75"/>
        <v>29.4324531210414</v>
      </c>
      <c r="R439" s="233" t="s">
        <v>1526</v>
      </c>
      <c r="S439" s="226" t="s">
        <v>2766</v>
      </c>
      <c r="T439" s="804"/>
      <c r="U439" s="120"/>
      <c r="X439" s="2163"/>
      <c r="AA439" s="839"/>
      <c r="AB439" s="839"/>
      <c r="AC439" s="1940"/>
    </row>
    <row r="440" s="42" customFormat="1" ht="16" hidden="1" customHeight="1" spans="1:29">
      <c r="A440" s="839">
        <v>326</v>
      </c>
      <c r="B440" s="289"/>
      <c r="C440" s="289"/>
      <c r="D440" s="227">
        <v>20250619</v>
      </c>
      <c r="E440" s="227">
        <v>7.13</v>
      </c>
      <c r="F440" s="2132" t="s">
        <v>2764</v>
      </c>
      <c r="G440" s="227" t="s">
        <v>2767</v>
      </c>
      <c r="H440" s="227"/>
      <c r="I440" s="227" t="s">
        <v>2768</v>
      </c>
      <c r="J440" s="227" t="s">
        <v>2769</v>
      </c>
      <c r="K440" s="227" t="s">
        <v>712</v>
      </c>
      <c r="L440" s="232">
        <v>2.24008271074624</v>
      </c>
      <c r="M440" s="231">
        <f t="shared" si="80"/>
        <v>4.40988469510606</v>
      </c>
      <c r="N440" s="231">
        <v>13.9964628532352</v>
      </c>
      <c r="O440" s="231">
        <f t="shared" si="81"/>
        <v>3.02945301542777</v>
      </c>
      <c r="P440" s="231"/>
      <c r="Q440" s="231">
        <f t="shared" si="75"/>
        <v>23.6758832745153</v>
      </c>
      <c r="R440" s="233" t="s">
        <v>1526</v>
      </c>
      <c r="S440" s="226" t="s">
        <v>2770</v>
      </c>
      <c r="T440" s="804"/>
      <c r="U440" s="120"/>
      <c r="X440" s="2163"/>
      <c r="AA440" s="839"/>
      <c r="AB440" s="839"/>
      <c r="AC440" s="1940"/>
    </row>
    <row r="441" s="42" customFormat="1" ht="16" hidden="1" customHeight="1" spans="1:29">
      <c r="A441" s="839">
        <v>327</v>
      </c>
      <c r="B441" s="289"/>
      <c r="C441" s="289"/>
      <c r="D441" s="227">
        <v>20250619</v>
      </c>
      <c r="E441" s="227">
        <v>7.13</v>
      </c>
      <c r="F441" s="2132" t="s">
        <v>101</v>
      </c>
      <c r="G441" s="227" t="s">
        <v>102</v>
      </c>
      <c r="H441" s="227"/>
      <c r="I441" s="227"/>
      <c r="J441" s="227"/>
      <c r="K441" s="227" t="s">
        <v>712</v>
      </c>
      <c r="L441" s="232"/>
      <c r="M441" s="231">
        <v>0.347089738698044</v>
      </c>
      <c r="N441" s="231">
        <v>1.61409196804756</v>
      </c>
      <c r="O441" s="231">
        <v>0.2</v>
      </c>
      <c r="P441" s="231"/>
      <c r="Q441" s="231">
        <f t="shared" si="75"/>
        <v>2.1611817067456</v>
      </c>
      <c r="R441" s="233"/>
      <c r="S441" s="226" t="s">
        <v>103</v>
      </c>
      <c r="T441" s="804"/>
      <c r="U441" s="120"/>
      <c r="X441" s="2163"/>
      <c r="AA441" s="839"/>
      <c r="AB441" s="839"/>
      <c r="AC441" s="1940"/>
    </row>
    <row r="442" s="42" customFormat="1" ht="16" hidden="1" customHeight="1" spans="1:29">
      <c r="A442" s="839">
        <v>328</v>
      </c>
      <c r="B442" s="289"/>
      <c r="C442" s="289"/>
      <c r="D442" s="227">
        <v>20250619</v>
      </c>
      <c r="E442" s="227">
        <v>7.13</v>
      </c>
      <c r="F442" s="2132" t="s">
        <v>105</v>
      </c>
      <c r="G442" s="227" t="s">
        <v>106</v>
      </c>
      <c r="H442" s="227"/>
      <c r="I442" s="227"/>
      <c r="J442" s="227"/>
      <c r="K442" s="227" t="s">
        <v>712</v>
      </c>
      <c r="L442" s="227"/>
      <c r="M442" s="231">
        <v>0.397553140423646</v>
      </c>
      <c r="N442" s="231">
        <v>2.92103069926865</v>
      </c>
      <c r="O442" s="231">
        <v>0.4</v>
      </c>
      <c r="P442" s="231"/>
      <c r="Q442" s="231">
        <f t="shared" si="75"/>
        <v>3.7185838396923</v>
      </c>
      <c r="R442" s="233"/>
      <c r="S442" s="226" t="s">
        <v>118</v>
      </c>
      <c r="T442" s="804"/>
      <c r="U442" s="120"/>
      <c r="X442" s="2163"/>
      <c r="AA442" s="839"/>
      <c r="AB442" s="839"/>
      <c r="AC442" s="1940"/>
    </row>
    <row r="443" s="42" customFormat="1" ht="16" hidden="1" customHeight="1" spans="1:29">
      <c r="A443" s="839">
        <v>329</v>
      </c>
      <c r="B443" s="289"/>
      <c r="C443" s="289"/>
      <c r="D443" s="227">
        <v>20250627</v>
      </c>
      <c r="E443" s="227">
        <v>7.13</v>
      </c>
      <c r="F443" s="2132" t="s">
        <v>108</v>
      </c>
      <c r="G443" s="227" t="s">
        <v>109</v>
      </c>
      <c r="H443" s="227"/>
      <c r="I443" s="227"/>
      <c r="J443" s="227"/>
      <c r="K443" s="227" t="s">
        <v>712</v>
      </c>
      <c r="L443" s="227"/>
      <c r="M443" s="231">
        <v>0.374167661575197</v>
      </c>
      <c r="N443" s="231">
        <v>2.97795126002782</v>
      </c>
      <c r="O443" s="231">
        <v>0.4</v>
      </c>
      <c r="P443" s="231"/>
      <c r="Q443" s="231">
        <f t="shared" si="75"/>
        <v>3.75211892160302</v>
      </c>
      <c r="R443" s="233"/>
      <c r="S443" s="226" t="s">
        <v>110</v>
      </c>
      <c r="T443" s="804"/>
      <c r="U443" s="120"/>
      <c r="X443" s="2163"/>
      <c r="AA443" s="839"/>
      <c r="AB443" s="839"/>
      <c r="AC443" s="1940"/>
    </row>
    <row r="444" s="42" customFormat="1" ht="16" hidden="1" customHeight="1" spans="1:29">
      <c r="A444" s="839">
        <v>330</v>
      </c>
      <c r="B444" s="289"/>
      <c r="C444" s="289"/>
      <c r="D444" s="227">
        <v>20250430</v>
      </c>
      <c r="E444" s="227">
        <v>7.24</v>
      </c>
      <c r="F444" s="2132" t="s">
        <v>111</v>
      </c>
      <c r="G444" s="227" t="s">
        <v>112</v>
      </c>
      <c r="H444" s="227"/>
      <c r="I444" s="227"/>
      <c r="J444" s="227"/>
      <c r="K444" s="227" t="s">
        <v>712</v>
      </c>
      <c r="L444" s="227"/>
      <c r="M444" s="231">
        <v>0.354708666755445</v>
      </c>
      <c r="N444" s="231">
        <v>2.87871774206299</v>
      </c>
      <c r="O444" s="231">
        <v>0.4</v>
      </c>
      <c r="P444" s="231"/>
      <c r="Q444" s="231">
        <f t="shared" si="75"/>
        <v>3.63342640881843</v>
      </c>
      <c r="R444" s="233"/>
      <c r="S444" s="226" t="s">
        <v>113</v>
      </c>
      <c r="T444" s="804"/>
      <c r="U444" s="120"/>
      <c r="X444" s="2163"/>
      <c r="AA444" s="839"/>
      <c r="AB444" s="839"/>
      <c r="AC444" s="1940"/>
    </row>
    <row r="445" s="42" customFormat="1" ht="16" hidden="1" customHeight="1" spans="1:29">
      <c r="A445" s="839">
        <v>331</v>
      </c>
      <c r="B445" s="289"/>
      <c r="C445" s="289"/>
      <c r="D445" s="227">
        <v>20250506</v>
      </c>
      <c r="E445" s="227"/>
      <c r="F445" s="2132" t="s">
        <v>114</v>
      </c>
      <c r="G445" s="227" t="s">
        <v>115</v>
      </c>
      <c r="H445" s="227"/>
      <c r="I445" s="227"/>
      <c r="J445" s="227"/>
      <c r="K445" s="227" t="s">
        <v>712</v>
      </c>
      <c r="L445" s="227"/>
      <c r="M445" s="231">
        <v>0.35080428299027</v>
      </c>
      <c r="N445" s="231">
        <v>1.47834518300689</v>
      </c>
      <c r="O445" s="231">
        <v>0.2</v>
      </c>
      <c r="P445" s="231"/>
      <c r="Q445" s="231">
        <f t="shared" si="75"/>
        <v>2.02914946599716</v>
      </c>
      <c r="R445" s="233"/>
      <c r="S445" s="226" t="s">
        <v>103</v>
      </c>
      <c r="T445" s="804"/>
      <c r="U445" s="120"/>
      <c r="X445" s="2163"/>
      <c r="AA445" s="839"/>
      <c r="AB445" s="839"/>
      <c r="AC445" s="1940"/>
    </row>
    <row r="446" s="42" customFormat="1" ht="16" hidden="1" customHeight="1" spans="1:29">
      <c r="A446" s="839">
        <v>332</v>
      </c>
      <c r="B446" s="289"/>
      <c r="C446" s="289"/>
      <c r="D446" s="227">
        <v>20250605</v>
      </c>
      <c r="E446" s="227">
        <v>7.2</v>
      </c>
      <c r="F446" s="2132" t="s">
        <v>116</v>
      </c>
      <c r="G446" s="227" t="s">
        <v>117</v>
      </c>
      <c r="H446" s="227"/>
      <c r="I446" s="227"/>
      <c r="J446" s="227"/>
      <c r="K446" s="227" t="s">
        <v>712</v>
      </c>
      <c r="L446" s="227"/>
      <c r="M446" s="231">
        <v>0.397000983284169</v>
      </c>
      <c r="N446" s="231">
        <v>2.93661862367748</v>
      </c>
      <c r="O446" s="231">
        <v>0.4</v>
      </c>
      <c r="P446" s="231"/>
      <c r="Q446" s="231">
        <f t="shared" si="75"/>
        <v>3.73361960696165</v>
      </c>
      <c r="R446" s="233"/>
      <c r="S446" s="226" t="s">
        <v>118</v>
      </c>
      <c r="T446" s="804"/>
      <c r="U446" s="120"/>
      <c r="X446" s="2163"/>
      <c r="AA446" s="839"/>
      <c r="AB446" s="839"/>
      <c r="AC446" s="1940"/>
    </row>
    <row r="447" s="42" customFormat="1" ht="16" hidden="1" customHeight="1" spans="1:29">
      <c r="A447" s="839">
        <v>1</v>
      </c>
      <c r="B447" s="2174" t="s">
        <v>2771</v>
      </c>
      <c r="C447" s="2174"/>
      <c r="D447" s="661">
        <v>20250905</v>
      </c>
      <c r="E447" s="661">
        <v>7.13</v>
      </c>
      <c r="F447" s="2132" t="s">
        <v>1551</v>
      </c>
      <c r="G447" s="227"/>
      <c r="H447" s="227" t="s">
        <v>2772</v>
      </c>
      <c r="I447" s="227" t="s">
        <v>1506</v>
      </c>
      <c r="J447" s="227" t="s">
        <v>1428</v>
      </c>
      <c r="K447" s="227" t="s">
        <v>712</v>
      </c>
      <c r="L447" s="227" t="s">
        <v>1428</v>
      </c>
      <c r="M447" s="231">
        <f>55.2/E447/1.13</f>
        <v>6.85127033970882</v>
      </c>
      <c r="N447" s="232">
        <v>19.2820702350015</v>
      </c>
      <c r="O447" s="231">
        <f>22.36/E447</f>
        <v>3.13604488078541</v>
      </c>
      <c r="P447" s="231"/>
      <c r="Q447" s="231">
        <f t="shared" si="75"/>
        <v>29.2693854554957</v>
      </c>
      <c r="R447" s="233" t="s">
        <v>1526</v>
      </c>
      <c r="S447" s="226" t="s">
        <v>2773</v>
      </c>
      <c r="T447" s="804"/>
      <c r="U447" s="120"/>
      <c r="X447" s="2163"/>
      <c r="AA447" s="839"/>
      <c r="AB447" s="839"/>
      <c r="AC447" s="1940"/>
    </row>
    <row r="448" s="42" customFormat="1" ht="16" hidden="1" customHeight="1" spans="1:29">
      <c r="A448" s="839">
        <v>2</v>
      </c>
      <c r="B448" s="2134"/>
      <c r="C448" s="2134"/>
      <c r="D448" s="661">
        <v>20250905</v>
      </c>
      <c r="E448" s="661">
        <v>7.13</v>
      </c>
      <c r="F448" s="2132" t="s">
        <v>1551</v>
      </c>
      <c r="G448" s="227"/>
      <c r="H448" s="227" t="s">
        <v>2772</v>
      </c>
      <c r="I448" s="227" t="s">
        <v>1511</v>
      </c>
      <c r="J448" s="227" t="s">
        <v>1428</v>
      </c>
      <c r="K448" s="227" t="s">
        <v>712</v>
      </c>
      <c r="L448" s="227" t="s">
        <v>1428</v>
      </c>
      <c r="M448" s="231">
        <f>55.2/E448/1.13</f>
        <v>6.85127033970882</v>
      </c>
      <c r="N448" s="232">
        <v>21.1173186132239</v>
      </c>
      <c r="O448" s="231">
        <f>22.36/E448</f>
        <v>3.13604488078541</v>
      </c>
      <c r="P448" s="231"/>
      <c r="Q448" s="231">
        <f t="shared" si="75"/>
        <v>31.1046338337181</v>
      </c>
      <c r="R448" s="233" t="s">
        <v>1526</v>
      </c>
      <c r="S448" s="226" t="s">
        <v>2773</v>
      </c>
      <c r="T448" s="804"/>
      <c r="U448" s="120"/>
      <c r="X448" s="2163"/>
      <c r="AA448" s="839"/>
      <c r="AB448" s="839"/>
      <c r="AC448" s="1940"/>
    </row>
    <row r="449" s="42" customFormat="1" ht="16" hidden="1" customHeight="1" spans="1:29">
      <c r="A449" s="839">
        <v>3</v>
      </c>
      <c r="B449" s="2134"/>
      <c r="C449" s="2134"/>
      <c r="D449" s="661">
        <v>20250905</v>
      </c>
      <c r="E449" s="661">
        <v>7.13</v>
      </c>
      <c r="F449" s="2132" t="s">
        <v>1551</v>
      </c>
      <c r="G449" s="227"/>
      <c r="H449" s="227" t="s">
        <v>2772</v>
      </c>
      <c r="I449" s="227" t="s">
        <v>1594</v>
      </c>
      <c r="J449" s="227" t="s">
        <v>1428</v>
      </c>
      <c r="K449" s="227" t="s">
        <v>712</v>
      </c>
      <c r="L449" s="227" t="s">
        <v>1428</v>
      </c>
      <c r="M449" s="231">
        <f>41.05/E449/1.13</f>
        <v>5.09501172907694</v>
      </c>
      <c r="N449" s="232">
        <v>21.7949280944449</v>
      </c>
      <c r="O449" s="231">
        <v>3.14632482758621</v>
      </c>
      <c r="P449" s="231"/>
      <c r="Q449" s="231">
        <f t="shared" si="75"/>
        <v>30.036264651108</v>
      </c>
      <c r="R449" s="233" t="s">
        <v>1526</v>
      </c>
      <c r="S449" s="226" t="s">
        <v>2773</v>
      </c>
      <c r="T449" s="804"/>
      <c r="U449" s="120"/>
      <c r="X449" s="2163"/>
      <c r="AA449" s="839"/>
      <c r="AB449" s="839"/>
      <c r="AC449" s="1940"/>
    </row>
    <row r="450" s="42" customFormat="1" ht="16" hidden="1" customHeight="1" spans="1:29">
      <c r="A450" s="839"/>
      <c r="B450" s="2134"/>
      <c r="C450" s="2134"/>
      <c r="D450" s="2080">
        <v>46272</v>
      </c>
      <c r="E450" s="661">
        <v>6.72</v>
      </c>
      <c r="F450" s="2125" t="s">
        <v>2774</v>
      </c>
      <c r="G450" s="227"/>
      <c r="H450" s="227"/>
      <c r="I450" s="227"/>
      <c r="J450" s="219" t="s">
        <v>1428</v>
      </c>
      <c r="K450" s="219" t="s">
        <v>712</v>
      </c>
      <c r="L450" s="219" t="s">
        <v>1428</v>
      </c>
      <c r="M450" s="320">
        <f>56.43/6.72/1.13</f>
        <v>7.43125790139065</v>
      </c>
      <c r="N450" s="319">
        <v>23.64</v>
      </c>
      <c r="O450" s="320">
        <v>3.14632482758621</v>
      </c>
      <c r="P450" s="320"/>
      <c r="Q450" s="320">
        <f t="shared" si="75"/>
        <v>34.2175827289769</v>
      </c>
      <c r="R450" s="233"/>
      <c r="S450" s="226"/>
      <c r="T450" s="804"/>
      <c r="U450" s="120"/>
      <c r="X450" s="2163"/>
      <c r="AA450" s="839"/>
      <c r="AB450" s="839"/>
      <c r="AC450" s="1940"/>
    </row>
    <row r="451" s="1931" customFormat="1" ht="16" hidden="1" customHeight="1" spans="1:29">
      <c r="A451" s="1931">
        <v>1</v>
      </c>
      <c r="B451" s="291"/>
      <c r="C451" s="291" t="s">
        <v>2775</v>
      </c>
      <c r="D451" s="2028">
        <v>46183</v>
      </c>
      <c r="E451" s="227">
        <v>6.7851</v>
      </c>
      <c r="F451" s="2132" t="s">
        <v>2776</v>
      </c>
      <c r="G451" s="227" t="s">
        <v>2483</v>
      </c>
      <c r="H451" s="227" t="s">
        <v>1548</v>
      </c>
      <c r="I451" s="227" t="s">
        <v>1506</v>
      </c>
      <c r="J451" s="227" t="s">
        <v>1428</v>
      </c>
      <c r="K451" s="227" t="s">
        <v>712</v>
      </c>
      <c r="L451" s="227" t="s">
        <v>1428</v>
      </c>
      <c r="M451" s="231">
        <f>39.52/E451/1.13</f>
        <v>5.15444891415508</v>
      </c>
      <c r="N451" s="232">
        <v>20.6</v>
      </c>
      <c r="O451" s="231">
        <v>3.14632482758621</v>
      </c>
      <c r="P451" s="231"/>
      <c r="Q451" s="231">
        <f t="shared" si="75"/>
        <v>28.9007737417413</v>
      </c>
      <c r="R451" s="233"/>
      <c r="S451" s="226" t="s">
        <v>2777</v>
      </c>
      <c r="T451" s="804"/>
      <c r="U451" s="805"/>
      <c r="X451" s="2175"/>
      <c r="AC451" s="2029"/>
    </row>
    <row r="452" s="42" customFormat="1" ht="16" hidden="1" customHeight="1" spans="1:29">
      <c r="A452" s="839">
        <v>333</v>
      </c>
      <c r="B452" s="2134"/>
      <c r="C452" s="2134"/>
      <c r="D452" s="219">
        <v>20241111</v>
      </c>
      <c r="E452" s="219">
        <v>7.17</v>
      </c>
      <c r="F452" s="2132" t="s">
        <v>2778</v>
      </c>
      <c r="G452" s="227" t="s">
        <v>1581</v>
      </c>
      <c r="H452" s="227"/>
      <c r="I452" s="227" t="s">
        <v>2779</v>
      </c>
      <c r="J452" s="227" t="s">
        <v>1428</v>
      </c>
      <c r="K452" s="247" t="s">
        <v>712</v>
      </c>
      <c r="L452" s="227" t="s">
        <v>1428</v>
      </c>
      <c r="M452" s="232">
        <v>5.96899310344828</v>
      </c>
      <c r="N452" s="232">
        <v>19.9479335952341</v>
      </c>
      <c r="O452" s="231">
        <v>3.14632482758621</v>
      </c>
      <c r="P452" s="231"/>
      <c r="Q452" s="231">
        <f t="shared" si="75"/>
        <v>29.0632515262686</v>
      </c>
      <c r="R452" s="233" t="s">
        <v>1526</v>
      </c>
      <c r="S452" s="226" t="s">
        <v>2780</v>
      </c>
      <c r="T452" s="804"/>
      <c r="X452" s="2163"/>
      <c r="AA452" s="839"/>
      <c r="AB452" s="839"/>
      <c r="AC452" s="1940"/>
    </row>
    <row r="453" s="42" customFormat="1" ht="16" hidden="1" customHeight="1" spans="1:29">
      <c r="A453" s="839">
        <v>334</v>
      </c>
      <c r="B453" s="2134"/>
      <c r="C453" s="2134"/>
      <c r="D453" s="219">
        <v>20241111</v>
      </c>
      <c r="E453" s="219">
        <v>7.17</v>
      </c>
      <c r="F453" s="2132" t="s">
        <v>2781</v>
      </c>
      <c r="G453" s="227" t="s">
        <v>2427</v>
      </c>
      <c r="H453" s="227"/>
      <c r="I453" s="227" t="s">
        <v>2692</v>
      </c>
      <c r="J453" s="227" t="s">
        <v>1428</v>
      </c>
      <c r="K453" s="247" t="s">
        <v>712</v>
      </c>
      <c r="L453" s="227" t="s">
        <v>1428</v>
      </c>
      <c r="M453" s="232">
        <v>5.96899310344828</v>
      </c>
      <c r="N453" s="232">
        <v>18.8291511048211</v>
      </c>
      <c r="O453" s="231">
        <v>3.14632482758621</v>
      </c>
      <c r="P453" s="231"/>
      <c r="Q453" s="231">
        <f t="shared" si="75"/>
        <v>27.9444690358556</v>
      </c>
      <c r="R453" s="233" t="s">
        <v>1526</v>
      </c>
      <c r="S453" s="226" t="s">
        <v>2782</v>
      </c>
      <c r="T453" s="804"/>
      <c r="X453" s="2163"/>
      <c r="AA453" s="839"/>
      <c r="AB453" s="839"/>
      <c r="AC453" s="1940"/>
    </row>
    <row r="454" s="42" customFormat="1" ht="16" hidden="1" customHeight="1" spans="1:29">
      <c r="A454" s="839">
        <v>335</v>
      </c>
      <c r="B454" s="2134"/>
      <c r="C454" s="2134"/>
      <c r="D454" s="219">
        <v>20241111</v>
      </c>
      <c r="E454" s="219">
        <v>7.17</v>
      </c>
      <c r="F454" s="2132" t="s">
        <v>2783</v>
      </c>
      <c r="G454" s="227" t="s">
        <v>2449</v>
      </c>
      <c r="H454" s="227"/>
      <c r="I454" s="227" t="s">
        <v>2664</v>
      </c>
      <c r="J454" s="227" t="s">
        <v>1428</v>
      </c>
      <c r="K454" s="247" t="s">
        <v>712</v>
      </c>
      <c r="L454" s="227" t="s">
        <v>1428</v>
      </c>
      <c r="M454" s="232">
        <v>5.96899310344828</v>
      </c>
      <c r="N454" s="232">
        <v>21.7971112187592</v>
      </c>
      <c r="O454" s="231">
        <v>3.14632482758621</v>
      </c>
      <c r="P454" s="231"/>
      <c r="Q454" s="231">
        <f t="shared" si="75"/>
        <v>30.9124291497937</v>
      </c>
      <c r="R454" s="233" t="s">
        <v>1526</v>
      </c>
      <c r="S454" s="226" t="s">
        <v>2784</v>
      </c>
      <c r="T454" s="804"/>
      <c r="U454" s="120"/>
      <c r="X454" s="2163"/>
      <c r="AA454" s="839"/>
      <c r="AB454" s="839"/>
      <c r="AC454" s="1940"/>
    </row>
    <row r="455" s="42" customFormat="1" ht="16" hidden="1" customHeight="1" spans="1:29">
      <c r="A455" s="839">
        <v>1</v>
      </c>
      <c r="B455" s="2134"/>
      <c r="C455" s="2134"/>
      <c r="D455" s="2081">
        <v>46142</v>
      </c>
      <c r="E455" s="219">
        <v>6.8309</v>
      </c>
      <c r="F455" s="2132" t="s">
        <v>756</v>
      </c>
      <c r="G455" s="227"/>
      <c r="H455" s="227"/>
      <c r="I455" s="227"/>
      <c r="J455" s="227"/>
      <c r="K455" s="247"/>
      <c r="L455" s="227"/>
      <c r="M455" s="319">
        <f>40.51/E455/1.13</f>
        <v>5.24814556238913</v>
      </c>
      <c r="N455" s="319">
        <v>17.8</v>
      </c>
      <c r="O455" s="320">
        <v>3.66</v>
      </c>
      <c r="P455" s="320"/>
      <c r="Q455" s="320">
        <f t="shared" ref="Q455:Q464" si="82">SUM(K455:O455)</f>
        <v>26.7081455623891</v>
      </c>
      <c r="R455" s="233"/>
      <c r="S455" s="226"/>
      <c r="T455" s="804"/>
      <c r="U455" s="120"/>
      <c r="X455" s="2163"/>
      <c r="AA455" s="839"/>
      <c r="AB455" s="839"/>
      <c r="AC455" s="1940"/>
    </row>
    <row r="456" s="42" customFormat="1" ht="16" hidden="1" customHeight="1" spans="1:29">
      <c r="A456" s="839">
        <v>336</v>
      </c>
      <c r="B456" s="2134"/>
      <c r="C456" s="2134"/>
      <c r="D456" s="219">
        <v>20241111</v>
      </c>
      <c r="E456" s="219">
        <v>7.17</v>
      </c>
      <c r="F456" s="2132" t="s">
        <v>2785</v>
      </c>
      <c r="G456" s="227" t="s">
        <v>2546</v>
      </c>
      <c r="H456" s="227"/>
      <c r="I456" s="511" t="s">
        <v>2786</v>
      </c>
      <c r="J456" s="227" t="s">
        <v>1428</v>
      </c>
      <c r="K456" s="2162" t="s">
        <v>712</v>
      </c>
      <c r="L456" s="227" t="s">
        <v>1428</v>
      </c>
      <c r="M456" s="232">
        <v>5.96899310344828</v>
      </c>
      <c r="N456" s="232">
        <v>21.3369360712665</v>
      </c>
      <c r="O456" s="231">
        <v>3.14632482758621</v>
      </c>
      <c r="P456" s="231"/>
      <c r="Q456" s="231">
        <f t="shared" si="82"/>
        <v>30.452254002301</v>
      </c>
      <c r="R456" s="233" t="s">
        <v>1526</v>
      </c>
      <c r="S456" s="226" t="s">
        <v>2784</v>
      </c>
      <c r="T456" s="804"/>
      <c r="U456" s="120"/>
      <c r="X456" s="2163"/>
      <c r="AA456" s="839"/>
      <c r="AB456" s="839"/>
      <c r="AC456" s="1940"/>
    </row>
    <row r="457" s="42" customFormat="1" ht="16" hidden="1" customHeight="1" spans="1:29">
      <c r="A457" s="839">
        <v>1</v>
      </c>
      <c r="B457" s="2134"/>
      <c r="C457" s="2134"/>
      <c r="D457" s="2081">
        <v>46142</v>
      </c>
      <c r="E457" s="219">
        <v>6.8216</v>
      </c>
      <c r="F457" s="2125" t="s">
        <v>2787</v>
      </c>
      <c r="G457" s="227"/>
      <c r="H457" s="227"/>
      <c r="I457" s="511"/>
      <c r="J457" s="219" t="s">
        <v>1428</v>
      </c>
      <c r="K457" s="2176" t="s">
        <v>712</v>
      </c>
      <c r="L457" s="219" t="s">
        <v>1428</v>
      </c>
      <c r="M457" s="319">
        <f>56.3/E457/1.13</f>
        <v>7.30371303646615</v>
      </c>
      <c r="N457" s="319">
        <v>20.7</v>
      </c>
      <c r="O457" s="320">
        <v>3.15</v>
      </c>
      <c r="P457" s="320"/>
      <c r="Q457" s="320">
        <f t="shared" si="82"/>
        <v>31.1537130364662</v>
      </c>
      <c r="R457" s="233"/>
      <c r="S457" s="266" t="s">
        <v>2788</v>
      </c>
      <c r="T457" s="804"/>
      <c r="U457" s="120"/>
      <c r="X457" s="2163"/>
      <c r="AA457" s="839"/>
      <c r="AB457" s="839"/>
      <c r="AC457" s="1940"/>
    </row>
    <row r="458" s="42" customFormat="1" ht="16" hidden="1" customHeight="1" spans="1:29">
      <c r="A458" s="839">
        <v>337</v>
      </c>
      <c r="B458" s="2134"/>
      <c r="C458" s="2134"/>
      <c r="D458" s="219">
        <v>20241218</v>
      </c>
      <c r="E458" s="219">
        <v>7.17</v>
      </c>
      <c r="F458" s="2132" t="s">
        <v>2789</v>
      </c>
      <c r="G458" s="227" t="s">
        <v>2306</v>
      </c>
      <c r="H458" s="227"/>
      <c r="I458" s="511" t="s">
        <v>2779</v>
      </c>
      <c r="J458" s="227"/>
      <c r="K458" s="247" t="s">
        <v>712</v>
      </c>
      <c r="L458" s="227"/>
      <c r="M458" s="232">
        <v>5.96899310344828</v>
      </c>
      <c r="N458" s="232">
        <v>19.4551147161257</v>
      </c>
      <c r="O458" s="231">
        <v>3.14632482758621</v>
      </c>
      <c r="P458" s="231"/>
      <c r="Q458" s="231">
        <f t="shared" si="82"/>
        <v>28.5704326471602</v>
      </c>
      <c r="R458" s="233" t="s">
        <v>1526</v>
      </c>
      <c r="S458" s="226" t="s">
        <v>2790</v>
      </c>
      <c r="T458" s="804"/>
      <c r="U458" s="120"/>
      <c r="X458" s="2163"/>
      <c r="AA458" s="839"/>
      <c r="AB458" s="839"/>
      <c r="AC458" s="1940"/>
    </row>
    <row r="459" s="42" customFormat="1" ht="16" hidden="1" customHeight="1" spans="1:29">
      <c r="A459" s="839">
        <v>338</v>
      </c>
      <c r="B459" s="2134"/>
      <c r="C459" s="2134"/>
      <c r="D459" s="2081">
        <v>46056</v>
      </c>
      <c r="E459" s="219">
        <v>6.7986</v>
      </c>
      <c r="F459" s="2132" t="s">
        <v>2791</v>
      </c>
      <c r="G459" s="219" t="s">
        <v>1723</v>
      </c>
      <c r="H459" s="219" t="s">
        <v>2792</v>
      </c>
      <c r="I459" s="2006" t="s">
        <v>2664</v>
      </c>
      <c r="J459" s="219" t="s">
        <v>1428</v>
      </c>
      <c r="K459" s="431" t="s">
        <v>712</v>
      </c>
      <c r="L459" s="219" t="s">
        <v>1428</v>
      </c>
      <c r="M459" s="319">
        <f>37.88/E459/1.13</f>
        <v>4.93073925422959</v>
      </c>
      <c r="N459" s="319">
        <v>21.1</v>
      </c>
      <c r="O459" s="320">
        <v>3.15</v>
      </c>
      <c r="P459" s="320"/>
      <c r="Q459" s="320">
        <f t="shared" si="82"/>
        <v>29.1807392542296</v>
      </c>
      <c r="R459" s="640" t="s">
        <v>1526</v>
      </c>
      <c r="S459" s="266" t="s">
        <v>2793</v>
      </c>
      <c r="T459" s="804"/>
      <c r="U459" s="120"/>
      <c r="X459" s="2163"/>
      <c r="AA459" s="839"/>
      <c r="AB459" s="839"/>
      <c r="AC459" s="1940"/>
    </row>
    <row r="460" s="42" customFormat="1" ht="16" hidden="1" customHeight="1" spans="1:29">
      <c r="A460" s="839">
        <v>339</v>
      </c>
      <c r="B460" s="2134"/>
      <c r="C460" s="2134"/>
      <c r="D460" s="2081">
        <v>46056</v>
      </c>
      <c r="E460" s="219">
        <v>6.9514</v>
      </c>
      <c r="F460" s="2132" t="s">
        <v>2794</v>
      </c>
      <c r="G460" s="227" t="s">
        <v>2459</v>
      </c>
      <c r="H460" s="227" t="s">
        <v>2792</v>
      </c>
      <c r="I460" s="511" t="s">
        <v>2664</v>
      </c>
      <c r="J460" s="227" t="s">
        <v>1428</v>
      </c>
      <c r="K460" s="247" t="s">
        <v>712</v>
      </c>
      <c r="L460" s="227" t="s">
        <v>1428</v>
      </c>
      <c r="M460" s="232">
        <f>39.52/E460/1.13</f>
        <v>5.03113780352643</v>
      </c>
      <c r="N460" s="232">
        <v>19</v>
      </c>
      <c r="O460" s="231">
        <v>3.15</v>
      </c>
      <c r="P460" s="231"/>
      <c r="Q460" s="231">
        <f t="shared" si="82"/>
        <v>27.1811378035264</v>
      </c>
      <c r="R460" s="233" t="s">
        <v>1526</v>
      </c>
      <c r="S460" s="226" t="s">
        <v>2793</v>
      </c>
      <c r="T460" s="804"/>
      <c r="U460" s="120"/>
      <c r="X460" s="2163"/>
      <c r="AA460" s="839"/>
      <c r="AB460" s="839"/>
      <c r="AC460" s="1940"/>
    </row>
    <row r="461" s="42" customFormat="1" ht="16" hidden="1" customHeight="1" spans="1:29">
      <c r="A461" s="839">
        <v>4</v>
      </c>
      <c r="B461" s="2134"/>
      <c r="C461" s="2134"/>
      <c r="D461" s="2081">
        <v>46121</v>
      </c>
      <c r="E461" s="219">
        <v>6.9819</v>
      </c>
      <c r="F461" s="2132" t="s">
        <v>2795</v>
      </c>
      <c r="G461" s="219" t="s">
        <v>667</v>
      </c>
      <c r="H461" s="219"/>
      <c r="I461" s="2006"/>
      <c r="J461" s="219"/>
      <c r="K461" s="431"/>
      <c r="L461" s="219"/>
      <c r="M461" s="319">
        <f>39.52/E461/1.13</f>
        <v>5.00915958799662</v>
      </c>
      <c r="N461" s="319">
        <v>19.29</v>
      </c>
      <c r="O461" s="320">
        <v>3.15</v>
      </c>
      <c r="P461" s="320"/>
      <c r="Q461" s="320">
        <f t="shared" si="82"/>
        <v>27.4491595879966</v>
      </c>
      <c r="R461" s="640" t="s">
        <v>1526</v>
      </c>
      <c r="S461" s="266"/>
      <c r="T461" s="804"/>
      <c r="U461" s="120"/>
      <c r="X461" s="2163"/>
      <c r="AA461" s="839"/>
      <c r="AB461" s="839"/>
      <c r="AC461" s="1940"/>
    </row>
    <row r="462" s="42" customFormat="1" ht="16" hidden="1" customHeight="1" spans="1:29">
      <c r="A462" s="839">
        <v>340</v>
      </c>
      <c r="B462" s="2121"/>
      <c r="C462" s="2121"/>
      <c r="D462" s="219">
        <v>20250320</v>
      </c>
      <c r="E462" s="219">
        <v>7.17</v>
      </c>
      <c r="F462" s="2132" t="s">
        <v>2796</v>
      </c>
      <c r="G462" s="227" t="s">
        <v>2431</v>
      </c>
      <c r="H462" s="227"/>
      <c r="I462" s="511" t="s">
        <v>2695</v>
      </c>
      <c r="J462" s="227"/>
      <c r="K462" s="247" t="s">
        <v>712</v>
      </c>
      <c r="L462" s="227"/>
      <c r="M462" s="232">
        <v>5.96899310344828</v>
      </c>
      <c r="N462" s="232">
        <v>19.692130953836</v>
      </c>
      <c r="O462" s="231">
        <v>3.14632482758621</v>
      </c>
      <c r="P462" s="231"/>
      <c r="Q462" s="231">
        <f t="shared" si="82"/>
        <v>28.8074488848705</v>
      </c>
      <c r="R462" s="233" t="s">
        <v>1526</v>
      </c>
      <c r="S462" s="226" t="s">
        <v>2797</v>
      </c>
      <c r="T462" s="804"/>
      <c r="U462" s="120"/>
      <c r="X462" s="2163"/>
      <c r="AA462" s="839"/>
      <c r="AB462" s="839"/>
      <c r="AC462" s="1940"/>
    </row>
    <row r="463" s="993" customFormat="1" ht="16" hidden="1" customHeight="1" spans="1:29">
      <c r="A463" s="839">
        <v>341</v>
      </c>
      <c r="B463" s="501" t="s">
        <v>2798</v>
      </c>
      <c r="C463" s="501"/>
      <c r="D463" s="2177">
        <v>46045</v>
      </c>
      <c r="E463" s="247">
        <v>6.9667</v>
      </c>
      <c r="F463" s="2132" t="s">
        <v>2799</v>
      </c>
      <c r="G463" s="247" t="s">
        <v>2800</v>
      </c>
      <c r="H463" s="247" t="s">
        <v>2801</v>
      </c>
      <c r="I463" s="247" t="s">
        <v>2802</v>
      </c>
      <c r="J463" s="247">
        <v>61851</v>
      </c>
      <c r="K463" s="507" t="s">
        <v>712</v>
      </c>
      <c r="L463" s="230">
        <f>17.55/E463/1.13</f>
        <v>2.22931566614429</v>
      </c>
      <c r="M463" s="230">
        <f>23.25/6.9514/1.13</f>
        <v>2.95986725536411</v>
      </c>
      <c r="N463" s="230">
        <v>22.3</v>
      </c>
      <c r="O463" s="257">
        <f>25/E463</f>
        <v>3.58849957655705</v>
      </c>
      <c r="P463" s="257"/>
      <c r="Q463" s="257">
        <f t="shared" si="82"/>
        <v>31.0776824980654</v>
      </c>
      <c r="R463" s="2178" t="s">
        <v>1526</v>
      </c>
      <c r="S463" s="226" t="s">
        <v>2803</v>
      </c>
      <c r="T463" s="1246"/>
      <c r="U463" s="978"/>
      <c r="X463" s="2179"/>
      <c r="AC463" s="2044"/>
    </row>
    <row r="464" s="187" customFormat="1" ht="16" hidden="1" customHeight="1" spans="1:29">
      <c r="A464" s="839">
        <v>342</v>
      </c>
      <c r="B464" s="501" t="s">
        <v>2804</v>
      </c>
      <c r="C464" s="501"/>
      <c r="D464" s="2177">
        <v>46062</v>
      </c>
      <c r="E464" s="247">
        <v>6.9514</v>
      </c>
      <c r="F464" s="2132" t="s">
        <v>2805</v>
      </c>
      <c r="G464" s="247"/>
      <c r="H464" s="247" t="s">
        <v>2792</v>
      </c>
      <c r="I464" s="247"/>
      <c r="J464" s="247" t="s">
        <v>1654</v>
      </c>
      <c r="K464" s="507" t="s">
        <v>712</v>
      </c>
      <c r="L464" s="507">
        <v>3.43</v>
      </c>
      <c r="M464" s="230">
        <f>23.32/E464/1.13</f>
        <v>2.96877868365983</v>
      </c>
      <c r="N464" s="230">
        <v>15</v>
      </c>
      <c r="O464" s="257">
        <v>3.59</v>
      </c>
      <c r="P464" s="257"/>
      <c r="Q464" s="257">
        <f t="shared" si="82"/>
        <v>24.9887786836598</v>
      </c>
      <c r="R464" s="247" t="s">
        <v>2806</v>
      </c>
      <c r="S464" s="226" t="s">
        <v>2807</v>
      </c>
      <c r="T464" s="804"/>
      <c r="U464" s="120"/>
      <c r="X464" s="2180"/>
      <c r="AA464" s="839"/>
      <c r="AB464" s="839"/>
      <c r="AC464" s="1940"/>
    </row>
    <row r="465" s="993" customFormat="1" ht="16" hidden="1" customHeight="1" spans="1:29">
      <c r="A465" s="839">
        <v>1</v>
      </c>
      <c r="B465" s="2014" t="s">
        <v>2808</v>
      </c>
      <c r="C465" s="2014"/>
      <c r="D465" s="2037">
        <v>46184</v>
      </c>
      <c r="E465" s="2006">
        <v>6.7851</v>
      </c>
      <c r="F465" s="2132" t="s">
        <v>2809</v>
      </c>
      <c r="G465" s="2006"/>
      <c r="H465" s="317"/>
      <c r="I465" s="2006"/>
      <c r="J465" s="2006" t="s">
        <v>1876</v>
      </c>
      <c r="K465" s="2181"/>
      <c r="L465" s="2011">
        <f>35/E465/1.13</f>
        <v>4.56492186223248</v>
      </c>
      <c r="M465" s="2011">
        <f>23.32/E465/1.13*1.3</f>
        <v>3.95400489072686</v>
      </c>
      <c r="N465" s="2011">
        <v>18.1</v>
      </c>
      <c r="O465" s="320">
        <v>3.59</v>
      </c>
      <c r="P465" s="320"/>
      <c r="Q465" s="2012">
        <f>SUM(M465:O465)</f>
        <v>25.6440048907269</v>
      </c>
      <c r="R465" s="2182"/>
      <c r="S465" s="266"/>
      <c r="T465" s="1246"/>
      <c r="U465" s="978"/>
      <c r="X465" s="2179"/>
      <c r="AC465" s="2044"/>
    </row>
    <row r="466" s="993" customFormat="1" ht="16" hidden="1" customHeight="1" spans="1:29">
      <c r="A466" s="839">
        <v>1</v>
      </c>
      <c r="B466" s="2014" t="s">
        <v>2804</v>
      </c>
      <c r="C466" s="2014"/>
      <c r="D466" s="2037">
        <v>46184</v>
      </c>
      <c r="E466" s="2006">
        <v>6.7851</v>
      </c>
      <c r="F466" s="2132" t="s">
        <v>2809</v>
      </c>
      <c r="G466" s="2006"/>
      <c r="H466" s="317"/>
      <c r="I466" s="2006"/>
      <c r="J466" s="2006" t="s">
        <v>1876</v>
      </c>
      <c r="K466" s="2181"/>
      <c r="L466" s="2011">
        <f>35/E466/1.13</f>
        <v>4.56492186223248</v>
      </c>
      <c r="M466" s="2011">
        <f>23.32/E466/1.13*1.3</f>
        <v>3.95400489072686</v>
      </c>
      <c r="N466" s="2011">
        <v>17.6</v>
      </c>
      <c r="O466" s="320">
        <v>3.59</v>
      </c>
      <c r="P466" s="320"/>
      <c r="Q466" s="2012">
        <f>SUM(M466:O466)</f>
        <v>25.1440048907269</v>
      </c>
      <c r="R466" s="2182"/>
      <c r="S466" s="266"/>
      <c r="T466" s="1246"/>
      <c r="U466" s="978"/>
      <c r="X466" s="2179"/>
      <c r="AC466" s="2044"/>
    </row>
    <row r="467" s="993" customFormat="1" ht="16" hidden="1" customHeight="1" spans="1:29">
      <c r="A467" s="839">
        <v>343</v>
      </c>
      <c r="B467" s="2014" t="s">
        <v>2810</v>
      </c>
      <c r="C467" s="2014"/>
      <c r="D467" s="2037">
        <v>46101</v>
      </c>
      <c r="E467" s="2006">
        <v>6.837</v>
      </c>
      <c r="F467" s="2132" t="s">
        <v>2811</v>
      </c>
      <c r="G467" s="2006"/>
      <c r="H467" s="317" t="s">
        <v>2812</v>
      </c>
      <c r="I467" s="2006" t="s">
        <v>1859</v>
      </c>
      <c r="J467" s="2006" t="s">
        <v>1860</v>
      </c>
      <c r="K467" s="2181" t="s">
        <v>712</v>
      </c>
      <c r="L467" s="2181">
        <v>2.24</v>
      </c>
      <c r="M467" s="2011">
        <f>23.32/E467/1.13</f>
        <v>3.01845372847637</v>
      </c>
      <c r="N467" s="2011">
        <v>14.6</v>
      </c>
      <c r="O467" s="2012">
        <f>22.5/E467</f>
        <v>3.29091706888986</v>
      </c>
      <c r="P467" s="2012"/>
      <c r="Q467" s="2012">
        <f>SUM(K467:O467)</f>
        <v>23.1493707973662</v>
      </c>
      <c r="R467" s="2182" t="s">
        <v>2813</v>
      </c>
      <c r="S467" s="266" t="s">
        <v>2814</v>
      </c>
      <c r="T467" s="1246"/>
      <c r="U467" s="978"/>
      <c r="X467" s="2179"/>
      <c r="AC467" s="2044"/>
    </row>
    <row r="468" s="187" customFormat="1" ht="16" hidden="1" customHeight="1" spans="1:29">
      <c r="A468" s="839">
        <v>1</v>
      </c>
      <c r="B468" s="2134" t="s">
        <v>2815</v>
      </c>
      <c r="C468" s="2183" t="s">
        <v>2816</v>
      </c>
      <c r="D468" s="2081">
        <v>46126</v>
      </c>
      <c r="E468" s="219">
        <v>6.837</v>
      </c>
      <c r="F468" s="2132" t="s">
        <v>2817</v>
      </c>
      <c r="G468" s="219" t="s">
        <v>1565</v>
      </c>
      <c r="H468" s="219" t="s">
        <v>2818</v>
      </c>
      <c r="I468" s="219" t="s">
        <v>1859</v>
      </c>
      <c r="J468" s="219" t="s">
        <v>1871</v>
      </c>
      <c r="K468" s="2048" t="s">
        <v>712</v>
      </c>
      <c r="L468" s="2048">
        <v>7.5</v>
      </c>
      <c r="M468" s="319">
        <f>21.79/E468/1.13</f>
        <v>2.82041624114494</v>
      </c>
      <c r="N468" s="319">
        <v>19</v>
      </c>
      <c r="O468" s="320">
        <f t="shared" ref="O468:O475" si="83">22.36/E468</f>
        <v>3.27044025157233</v>
      </c>
      <c r="P468" s="320"/>
      <c r="Q468" s="320">
        <f t="shared" ref="Q468:Q472" si="84">SUM(L468:O468)</f>
        <v>32.5908564927173</v>
      </c>
      <c r="R468" s="219" t="s">
        <v>2819</v>
      </c>
      <c r="S468" s="266" t="s">
        <v>2820</v>
      </c>
      <c r="T468" s="804"/>
      <c r="U468" s="120"/>
      <c r="X468" s="2180"/>
      <c r="AA468" s="839"/>
      <c r="AB468" s="839"/>
      <c r="AC468" s="1940"/>
    </row>
    <row r="469" s="187" customFormat="1" ht="16" hidden="1" customHeight="1" spans="1:29">
      <c r="A469" s="839"/>
      <c r="B469" s="2134"/>
      <c r="C469" s="2183"/>
      <c r="D469" s="2081"/>
      <c r="E469" s="219">
        <v>6.78</v>
      </c>
      <c r="F469" s="2125" t="s">
        <v>2821</v>
      </c>
      <c r="G469" s="2120"/>
      <c r="H469" s="2120"/>
      <c r="I469" s="2120"/>
      <c r="J469" s="219" t="s">
        <v>1428</v>
      </c>
      <c r="K469" s="2048" t="s">
        <v>712</v>
      </c>
      <c r="L469" s="219" t="s">
        <v>1428</v>
      </c>
      <c r="M469" s="319">
        <f>26.51/E469/1.13*1.3</f>
        <v>4.49826402485186</v>
      </c>
      <c r="N469" s="319">
        <v>22.6</v>
      </c>
      <c r="O469" s="320">
        <f t="shared" si="83"/>
        <v>3.29793510324484</v>
      </c>
      <c r="P469" s="320"/>
      <c r="Q469" s="320">
        <f t="shared" si="84"/>
        <v>30.3961991280967</v>
      </c>
      <c r="R469" s="219"/>
      <c r="S469" s="266"/>
      <c r="T469" s="804"/>
      <c r="U469" s="120"/>
      <c r="X469" s="2180"/>
      <c r="AA469" s="839"/>
      <c r="AB469" s="839"/>
      <c r="AC469" s="1940"/>
    </row>
    <row r="470" s="187" customFormat="1" ht="16" hidden="1" customHeight="1" spans="1:29">
      <c r="A470" s="839"/>
      <c r="B470" s="2134"/>
      <c r="C470" s="2183"/>
      <c r="D470" s="2081">
        <v>46274</v>
      </c>
      <c r="E470" s="219">
        <v>6.72</v>
      </c>
      <c r="F470" s="2125" t="s">
        <v>2822</v>
      </c>
      <c r="G470" s="2120"/>
      <c r="H470" s="2120"/>
      <c r="I470" s="2120"/>
      <c r="J470" s="219" t="s">
        <v>1428</v>
      </c>
      <c r="K470" s="2048" t="s">
        <v>712</v>
      </c>
      <c r="L470" s="219" t="s">
        <v>1428</v>
      </c>
      <c r="M470" s="319">
        <f>39.3/E470/1.13*1.05</f>
        <v>5.4341814159292</v>
      </c>
      <c r="N470" s="319">
        <v>16.85</v>
      </c>
      <c r="O470" s="320">
        <f t="shared" si="83"/>
        <v>3.32738095238095</v>
      </c>
      <c r="P470" s="320"/>
      <c r="Q470" s="320">
        <f t="shared" si="84"/>
        <v>25.6115623683102</v>
      </c>
      <c r="R470" s="219"/>
      <c r="S470" s="266" t="s">
        <v>2823</v>
      </c>
      <c r="T470" s="804"/>
      <c r="U470" s="120"/>
      <c r="X470" s="2180"/>
      <c r="AA470" s="839"/>
      <c r="AB470" s="839"/>
      <c r="AC470" s="1940"/>
    </row>
    <row r="471" s="187" customFormat="1" ht="16" hidden="1" customHeight="1" spans="1:29">
      <c r="A471" s="839"/>
      <c r="B471" s="2134"/>
      <c r="C471" s="2183"/>
      <c r="D471" s="2081"/>
      <c r="E471" s="219">
        <v>6.72</v>
      </c>
      <c r="F471" s="2125" t="s">
        <v>2824</v>
      </c>
      <c r="G471" s="219"/>
      <c r="H471" s="219"/>
      <c r="I471" s="219"/>
      <c r="J471" s="219" t="s">
        <v>1428</v>
      </c>
      <c r="K471" s="2048" t="s">
        <v>712</v>
      </c>
      <c r="L471" s="219" t="s">
        <v>1428</v>
      </c>
      <c r="M471" s="319">
        <f>39.3/E471/1.13*1.05</f>
        <v>5.4341814159292</v>
      </c>
      <c r="N471" s="319">
        <v>19.6</v>
      </c>
      <c r="O471" s="320">
        <f t="shared" si="83"/>
        <v>3.32738095238095</v>
      </c>
      <c r="P471" s="320"/>
      <c r="Q471" s="320">
        <f t="shared" si="84"/>
        <v>28.3615623683102</v>
      </c>
      <c r="R471" s="2078"/>
      <c r="S471" s="266" t="s">
        <v>2823</v>
      </c>
      <c r="T471" s="804"/>
      <c r="U471" s="120"/>
      <c r="X471" s="2180"/>
      <c r="AA471" s="839"/>
      <c r="AB471" s="839"/>
      <c r="AC471" s="1940"/>
    </row>
    <row r="472" s="187" customFormat="1" ht="16" hidden="1" customHeight="1" spans="1:29">
      <c r="A472" s="839"/>
      <c r="B472" s="2134"/>
      <c r="C472" s="2183"/>
      <c r="D472" s="2081"/>
      <c r="E472" s="219">
        <v>6.78</v>
      </c>
      <c r="F472" s="2125" t="s">
        <v>2825</v>
      </c>
      <c r="G472" s="219"/>
      <c r="H472" s="219"/>
      <c r="I472" s="219"/>
      <c r="J472" s="219" t="s">
        <v>1428</v>
      </c>
      <c r="K472" s="2048" t="s">
        <v>712</v>
      </c>
      <c r="L472" s="219" t="s">
        <v>1428</v>
      </c>
      <c r="M472" s="319">
        <f>26.51/E472/1.13*1.3</f>
        <v>4.49826402485186</v>
      </c>
      <c r="N472" s="319">
        <v>18.8</v>
      </c>
      <c r="O472" s="320">
        <f t="shared" si="83"/>
        <v>3.29793510324484</v>
      </c>
      <c r="P472" s="320"/>
      <c r="Q472" s="320">
        <f t="shared" si="84"/>
        <v>26.5961991280967</v>
      </c>
      <c r="R472" s="2078"/>
      <c r="S472" s="266"/>
      <c r="T472" s="804"/>
      <c r="U472" s="120"/>
      <c r="X472" s="2180"/>
      <c r="AA472" s="839"/>
      <c r="AB472" s="839"/>
      <c r="AC472" s="1940"/>
    </row>
    <row r="473" s="187" customFormat="1" ht="16" hidden="1" customHeight="1" spans="1:29">
      <c r="A473" s="839">
        <v>1</v>
      </c>
      <c r="B473" s="2134"/>
      <c r="C473" s="2183" t="s">
        <v>2816</v>
      </c>
      <c r="D473" s="2081">
        <v>46128</v>
      </c>
      <c r="E473" s="219">
        <v>6.837</v>
      </c>
      <c r="F473" s="2132" t="s">
        <v>2826</v>
      </c>
      <c r="G473" s="219"/>
      <c r="H473" s="219" t="s">
        <v>2818</v>
      </c>
      <c r="I473" s="219" t="s">
        <v>2156</v>
      </c>
      <c r="J473" s="219" t="s">
        <v>1876</v>
      </c>
      <c r="K473" s="2048" t="s">
        <v>712</v>
      </c>
      <c r="L473" s="319">
        <f>26.17/E473/1.13</f>
        <v>3.38734708723098</v>
      </c>
      <c r="M473" s="319">
        <f>24.22/E473/1.13</f>
        <v>3.13494636808309</v>
      </c>
      <c r="N473" s="319">
        <v>13.55</v>
      </c>
      <c r="O473" s="320">
        <f t="shared" si="83"/>
        <v>3.27044025157233</v>
      </c>
      <c r="P473" s="320"/>
      <c r="Q473" s="320">
        <f>SUBTOTAL(109,L473:O473)</f>
        <v>0</v>
      </c>
      <c r="R473" s="2078"/>
      <c r="S473" s="266" t="s">
        <v>2827</v>
      </c>
      <c r="T473" s="804"/>
      <c r="U473" s="120"/>
      <c r="X473" s="2180"/>
      <c r="AA473" s="839"/>
      <c r="AB473" s="839"/>
      <c r="AC473" s="1940"/>
    </row>
    <row r="474" s="187" customFormat="1" ht="16" hidden="1" customHeight="1" spans="1:29">
      <c r="A474" s="839">
        <v>1</v>
      </c>
      <c r="B474" s="291"/>
      <c r="C474" s="2183" t="s">
        <v>2816</v>
      </c>
      <c r="D474" s="2081">
        <v>46128</v>
      </c>
      <c r="E474" s="219">
        <v>6.8</v>
      </c>
      <c r="F474" s="2132" t="s">
        <v>2828</v>
      </c>
      <c r="G474" s="2094"/>
      <c r="H474" s="2094" t="s">
        <v>2818</v>
      </c>
      <c r="I474" s="2094" t="s">
        <v>2156</v>
      </c>
      <c r="J474" s="2020" t="s">
        <v>1428</v>
      </c>
      <c r="K474" s="2184" t="s">
        <v>712</v>
      </c>
      <c r="L474" s="2185" t="s">
        <v>1428</v>
      </c>
      <c r="M474" s="2186">
        <f>26.51/E474/1.13</f>
        <v>3.45002602811036</v>
      </c>
      <c r="N474" s="2186">
        <v>15.6</v>
      </c>
      <c r="O474" s="2140">
        <f t="shared" si="83"/>
        <v>3.28823529411765</v>
      </c>
      <c r="P474" s="2140"/>
      <c r="Q474" s="2026">
        <f>SUBTOTAL(109,L474:O474)</f>
        <v>0</v>
      </c>
      <c r="R474" s="2078"/>
      <c r="S474" s="266" t="s">
        <v>2829</v>
      </c>
      <c r="T474" s="804"/>
      <c r="U474" s="120"/>
      <c r="X474" s="2180"/>
      <c r="AA474" s="839"/>
      <c r="AB474" s="839"/>
      <c r="AC474" s="1940"/>
    </row>
    <row r="475" s="187" customFormat="1" ht="16" hidden="1" customHeight="1" spans="1:29">
      <c r="A475" s="839">
        <v>346</v>
      </c>
      <c r="B475" s="2121"/>
      <c r="C475" s="2187" t="s">
        <v>2816</v>
      </c>
      <c r="D475" s="1017">
        <v>46107</v>
      </c>
      <c r="E475" s="153">
        <v>6.901</v>
      </c>
      <c r="F475" s="2132" t="s">
        <v>2825</v>
      </c>
      <c r="G475" s="1082"/>
      <c r="H475" s="219" t="s">
        <v>2818</v>
      </c>
      <c r="I475" s="153" t="s">
        <v>1859</v>
      </c>
      <c r="J475" s="153" t="s">
        <v>1876</v>
      </c>
      <c r="K475" s="2048" t="s">
        <v>712</v>
      </c>
      <c r="L475" s="727">
        <f>26.17/E475/1.13</f>
        <v>3.35593276849706</v>
      </c>
      <c r="M475" s="319">
        <f>21.79/E475/1.13</f>
        <v>2.79425964942877</v>
      </c>
      <c r="N475" s="727">
        <v>14.03</v>
      </c>
      <c r="O475" s="320">
        <f t="shared" si="83"/>
        <v>3.24011012896682</v>
      </c>
      <c r="P475" s="320"/>
      <c r="Q475" s="320">
        <f>SUM(L475:O475)</f>
        <v>23.4203025468927</v>
      </c>
      <c r="R475" s="219" t="s">
        <v>1865</v>
      </c>
      <c r="S475" s="266" t="s">
        <v>2830</v>
      </c>
      <c r="T475" s="804"/>
      <c r="U475" s="120"/>
      <c r="X475" s="2180"/>
      <c r="AA475" s="839"/>
      <c r="AB475" s="839"/>
      <c r="AC475" s="1940"/>
    </row>
    <row r="476" s="187" customFormat="1" ht="16" hidden="1" customHeight="1" spans="1:29">
      <c r="A476" s="839">
        <v>347</v>
      </c>
      <c r="B476" s="707"/>
      <c r="C476" s="707"/>
      <c r="D476" s="1149"/>
      <c r="E476" s="21"/>
      <c r="F476" s="2130" t="s">
        <v>1979</v>
      </c>
      <c r="G476" s="699"/>
      <c r="H476" s="699"/>
      <c r="I476" s="21"/>
      <c r="J476" s="21"/>
      <c r="K476" s="2048"/>
      <c r="L476" s="36"/>
      <c r="M476" s="22"/>
      <c r="N476" s="22"/>
      <c r="O476" s="37"/>
      <c r="P476" s="37"/>
      <c r="Q476" s="37"/>
      <c r="R476" s="219"/>
      <c r="S476" s="167"/>
      <c r="T476" s="804"/>
      <c r="U476" s="120"/>
      <c r="X476" s="2180"/>
      <c r="AA476" s="839"/>
      <c r="AB476" s="839"/>
      <c r="AC476" s="1940"/>
    </row>
    <row r="477" s="187" customFormat="1" ht="16" hidden="1" customHeight="1" spans="1:29">
      <c r="A477" s="839">
        <v>348</v>
      </c>
      <c r="B477" s="23" t="s">
        <v>2831</v>
      </c>
      <c r="C477" s="23"/>
      <c r="D477" s="1149">
        <v>46058</v>
      </c>
      <c r="E477" s="21">
        <v>6.9514</v>
      </c>
      <c r="F477" s="2132" t="s">
        <v>2832</v>
      </c>
      <c r="G477" s="699" t="s">
        <v>2833</v>
      </c>
      <c r="H477" s="699" t="s">
        <v>2834</v>
      </c>
      <c r="I477" s="21"/>
      <c r="J477" s="21" t="s">
        <v>1871</v>
      </c>
      <c r="K477" s="2048" t="s">
        <v>1428</v>
      </c>
      <c r="L477" s="36">
        <v>7.5</v>
      </c>
      <c r="M477" s="22">
        <f>31.96/E477/1.13</f>
        <v>4.06870354758868</v>
      </c>
      <c r="N477" s="22">
        <v>27.8</v>
      </c>
      <c r="O477" s="37">
        <f>23/E477/1.13</f>
        <v>2.92804072573654</v>
      </c>
      <c r="P477" s="37"/>
      <c r="Q477" s="37">
        <f t="shared" ref="Q477:Q540" si="85">SUM(K477:O477)</f>
        <v>42.2967442733252</v>
      </c>
      <c r="R477" s="219" t="s">
        <v>2835</v>
      </c>
      <c r="S477" s="167" t="s">
        <v>2836</v>
      </c>
      <c r="T477" s="804"/>
      <c r="U477" s="120"/>
      <c r="X477" s="2180"/>
      <c r="AA477" s="839"/>
      <c r="AB477" s="839"/>
      <c r="AC477" s="1940"/>
    </row>
    <row r="478" s="187" customFormat="1" ht="16" hidden="1" customHeight="1" spans="1:29">
      <c r="A478" s="839">
        <v>349</v>
      </c>
      <c r="B478" s="23" t="s">
        <v>19</v>
      </c>
      <c r="C478" s="23"/>
      <c r="D478" s="21"/>
      <c r="E478" s="21"/>
      <c r="F478" s="2130" t="s">
        <v>1979</v>
      </c>
      <c r="G478" s="21" t="s">
        <v>120</v>
      </c>
      <c r="H478" s="21"/>
      <c r="I478" s="21"/>
      <c r="J478" s="21"/>
      <c r="K478" s="2048"/>
      <c r="L478" s="36"/>
      <c r="M478" s="22">
        <v>1.00464137632279</v>
      </c>
      <c r="N478" s="22">
        <v>1.47967541308249</v>
      </c>
      <c r="O478" s="37">
        <v>0.2</v>
      </c>
      <c r="P478" s="37"/>
      <c r="Q478" s="37">
        <f t="shared" si="85"/>
        <v>2.68431678940528</v>
      </c>
      <c r="R478" s="219"/>
      <c r="S478" s="23"/>
      <c r="T478" s="804"/>
      <c r="U478" s="120" t="s">
        <v>1406</v>
      </c>
      <c r="X478" s="2180"/>
      <c r="AA478" s="839"/>
      <c r="AB478" s="839"/>
      <c r="AC478" s="1940"/>
    </row>
    <row r="479" s="187" customFormat="1" ht="16" hidden="1" customHeight="1" spans="1:29">
      <c r="A479" s="839">
        <v>350</v>
      </c>
      <c r="B479" s="23" t="s">
        <v>19</v>
      </c>
      <c r="C479" s="23"/>
      <c r="D479" s="21"/>
      <c r="E479" s="21"/>
      <c r="F479" s="2130" t="s">
        <v>1979</v>
      </c>
      <c r="G479" s="21" t="s">
        <v>121</v>
      </c>
      <c r="H479" s="21"/>
      <c r="I479" s="21"/>
      <c r="J479" s="21"/>
      <c r="K479" s="2048"/>
      <c r="L479" s="36"/>
      <c r="M479" s="22">
        <v>0.284883016123167</v>
      </c>
      <c r="N479" s="22">
        <v>1.41568037062068</v>
      </c>
      <c r="O479" s="37">
        <v>0.2</v>
      </c>
      <c r="P479" s="37"/>
      <c r="Q479" s="37">
        <f t="shared" si="85"/>
        <v>1.90056338674385</v>
      </c>
      <c r="R479" s="219"/>
      <c r="S479" s="23"/>
      <c r="T479" s="804"/>
      <c r="U479" s="120" t="s">
        <v>1406</v>
      </c>
      <c r="X479" s="2180"/>
      <c r="AA479" s="839"/>
      <c r="AB479" s="839"/>
      <c r="AC479" s="1940"/>
    </row>
    <row r="480" s="187" customFormat="1" ht="16" hidden="1" customHeight="1" spans="1:29">
      <c r="A480" s="839">
        <v>351</v>
      </c>
      <c r="B480" s="23" t="s">
        <v>19</v>
      </c>
      <c r="C480" s="23"/>
      <c r="D480" s="21"/>
      <c r="E480" s="21"/>
      <c r="F480" s="2130" t="s">
        <v>1979</v>
      </c>
      <c r="G480" s="21" t="s">
        <v>122</v>
      </c>
      <c r="H480" s="21"/>
      <c r="I480" s="21"/>
      <c r="J480" s="21"/>
      <c r="K480" s="2048"/>
      <c r="L480" s="36"/>
      <c r="M480" s="22">
        <v>0.41273656481785</v>
      </c>
      <c r="N480" s="22">
        <v>2.66913624640689</v>
      </c>
      <c r="O480" s="37">
        <v>0.4</v>
      </c>
      <c r="P480" s="37"/>
      <c r="Q480" s="37">
        <f t="shared" si="85"/>
        <v>3.48187281122474</v>
      </c>
      <c r="R480" s="219"/>
      <c r="S480" s="23" t="s">
        <v>25</v>
      </c>
      <c r="T480" s="804"/>
      <c r="U480" s="120" t="s">
        <v>1406</v>
      </c>
      <c r="X480" s="2180"/>
      <c r="AA480" s="839"/>
      <c r="AB480" s="839"/>
      <c r="AC480" s="1940"/>
    </row>
    <row r="481" s="187" customFormat="1" ht="16" hidden="1" customHeight="1" spans="1:29">
      <c r="A481" s="839">
        <v>352</v>
      </c>
      <c r="B481" s="23" t="s">
        <v>19</v>
      </c>
      <c r="C481" s="23"/>
      <c r="D481" s="21"/>
      <c r="E481" s="21"/>
      <c r="F481" s="2130" t="s">
        <v>1979</v>
      </c>
      <c r="G481" s="21" t="s">
        <v>123</v>
      </c>
      <c r="H481" s="21"/>
      <c r="I481" s="21"/>
      <c r="J481" s="21"/>
      <c r="K481" s="2048"/>
      <c r="L481" s="36"/>
      <c r="M481" s="22">
        <v>0.468360983065053</v>
      </c>
      <c r="N481" s="22">
        <v>4.50059955050287</v>
      </c>
      <c r="O481" s="37">
        <v>0.4</v>
      </c>
      <c r="P481" s="37"/>
      <c r="Q481" s="37">
        <f t="shared" si="85"/>
        <v>5.36896053356792</v>
      </c>
      <c r="R481" s="219"/>
      <c r="S481" s="23" t="s">
        <v>2837</v>
      </c>
      <c r="T481" s="804"/>
      <c r="U481" s="120" t="s">
        <v>1406</v>
      </c>
      <c r="X481" s="2180"/>
      <c r="AA481" s="839"/>
      <c r="AB481" s="839"/>
      <c r="AC481" s="1940"/>
    </row>
    <row r="482" s="187" customFormat="1" ht="16" hidden="1" customHeight="1" spans="1:29">
      <c r="A482" s="839">
        <v>353</v>
      </c>
      <c r="B482" s="23" t="s">
        <v>19</v>
      </c>
      <c r="C482" s="23"/>
      <c r="D482" s="21"/>
      <c r="E482" s="21"/>
      <c r="F482" s="2130" t="s">
        <v>1979</v>
      </c>
      <c r="G482" s="21" t="s">
        <v>125</v>
      </c>
      <c r="H482" s="21"/>
      <c r="I482" s="21"/>
      <c r="J482" s="21"/>
      <c r="K482" s="2048"/>
      <c r="L482" s="36"/>
      <c r="M482" s="22">
        <v>0.316943422491797</v>
      </c>
      <c r="N482" s="22">
        <v>1.41994685601472</v>
      </c>
      <c r="O482" s="37">
        <v>0.2</v>
      </c>
      <c r="P482" s="37"/>
      <c r="Q482" s="37">
        <f t="shared" si="85"/>
        <v>1.93689027850652</v>
      </c>
      <c r="R482" s="219"/>
      <c r="S482" s="23"/>
      <c r="T482" s="804"/>
      <c r="U482" s="120" t="s">
        <v>1406</v>
      </c>
      <c r="X482" s="2180"/>
      <c r="AA482" s="839"/>
      <c r="AB482" s="839"/>
      <c r="AC482" s="1940"/>
    </row>
    <row r="483" s="187" customFormat="1" ht="16" hidden="1" customHeight="1" spans="1:29">
      <c r="A483" s="839">
        <v>354</v>
      </c>
      <c r="B483" s="23" t="s">
        <v>19</v>
      </c>
      <c r="C483" s="23"/>
      <c r="D483" s="21">
        <v>20240301</v>
      </c>
      <c r="E483" s="21">
        <v>7.17</v>
      </c>
      <c r="F483" s="2132" t="s">
        <v>126</v>
      </c>
      <c r="G483" s="21" t="s">
        <v>127</v>
      </c>
      <c r="H483" s="21"/>
      <c r="I483" s="21"/>
      <c r="J483" s="21"/>
      <c r="K483" s="2048"/>
      <c r="L483" s="36"/>
      <c r="M483" s="22">
        <v>0.23397810144215</v>
      </c>
      <c r="N483" s="22">
        <v>0.0397080738555665</v>
      </c>
      <c r="O483" s="37">
        <v>0.2</v>
      </c>
      <c r="P483" s="37"/>
      <c r="Q483" s="37">
        <f t="shared" si="85"/>
        <v>0.473686175297717</v>
      </c>
      <c r="R483" s="219"/>
      <c r="S483" s="23"/>
      <c r="T483" s="804"/>
      <c r="U483" s="120" t="s">
        <v>1406</v>
      </c>
      <c r="X483" s="2180"/>
      <c r="AA483" s="839"/>
      <c r="AB483" s="839"/>
      <c r="AC483" s="1940"/>
    </row>
    <row r="484" s="187" customFormat="1" ht="16" hidden="1" customHeight="1" spans="1:29">
      <c r="A484" s="839">
        <v>355</v>
      </c>
      <c r="B484" s="23" t="s">
        <v>19</v>
      </c>
      <c r="C484" s="23"/>
      <c r="D484" s="21">
        <v>20240301</v>
      </c>
      <c r="E484" s="21">
        <v>7.17</v>
      </c>
      <c r="F484" s="2132" t="s">
        <v>128</v>
      </c>
      <c r="G484" s="21" t="s">
        <v>129</v>
      </c>
      <c r="H484" s="21"/>
      <c r="I484" s="21"/>
      <c r="J484" s="21"/>
      <c r="K484" s="2048"/>
      <c r="L484" s="36"/>
      <c r="M484" s="22">
        <v>0.613958538184201</v>
      </c>
      <c r="N484" s="22">
        <v>4.50502176388988</v>
      </c>
      <c r="O484" s="37">
        <v>0.4</v>
      </c>
      <c r="P484" s="37"/>
      <c r="Q484" s="37">
        <f t="shared" si="85"/>
        <v>5.51898030207408</v>
      </c>
      <c r="R484" s="219"/>
      <c r="S484" s="39" t="s">
        <v>2838</v>
      </c>
      <c r="T484" s="1931"/>
      <c r="U484" s="120" t="s">
        <v>1406</v>
      </c>
      <c r="X484" s="2180"/>
      <c r="AA484" s="839"/>
      <c r="AB484" s="839"/>
      <c r="AC484" s="1940"/>
    </row>
    <row r="485" s="187" customFormat="1" ht="16" hidden="1" customHeight="1" spans="1:29">
      <c r="A485" s="839">
        <v>356</v>
      </c>
      <c r="B485" s="23" t="s">
        <v>19</v>
      </c>
      <c r="C485" s="23"/>
      <c r="D485" s="21">
        <v>20250326</v>
      </c>
      <c r="E485" s="21">
        <v>7.17</v>
      </c>
      <c r="F485" s="2132" t="s">
        <v>1416</v>
      </c>
      <c r="G485" s="21" t="s">
        <v>1417</v>
      </c>
      <c r="H485" s="21"/>
      <c r="I485" s="21"/>
      <c r="J485" s="21"/>
      <c r="K485" s="2048"/>
      <c r="L485" s="36"/>
      <c r="M485" s="22">
        <v>0.418448328475372</v>
      </c>
      <c r="N485" s="22">
        <v>1.12778515066536</v>
      </c>
      <c r="O485" s="37">
        <v>0.2</v>
      </c>
      <c r="P485" s="37"/>
      <c r="Q485" s="37">
        <f t="shared" si="85"/>
        <v>1.74623347914073</v>
      </c>
      <c r="R485" s="219"/>
      <c r="S485" s="39" t="s">
        <v>2839</v>
      </c>
      <c r="T485" s="1931"/>
      <c r="U485" s="120" t="s">
        <v>1406</v>
      </c>
      <c r="X485" s="2180"/>
      <c r="AA485" s="839"/>
      <c r="AB485" s="839"/>
      <c r="AC485" s="1940"/>
    </row>
    <row r="486" s="839" customFormat="1" ht="16" hidden="1" customHeight="1" spans="1:29">
      <c r="A486" s="839">
        <v>357</v>
      </c>
      <c r="B486" s="23" t="s">
        <v>19</v>
      </c>
      <c r="C486" s="23"/>
      <c r="D486" s="21">
        <v>20241010</v>
      </c>
      <c r="E486" s="21">
        <v>7.17</v>
      </c>
      <c r="F486" s="2132" t="s">
        <v>131</v>
      </c>
      <c r="G486" s="21" t="s">
        <v>132</v>
      </c>
      <c r="H486" s="21"/>
      <c r="I486" s="21"/>
      <c r="J486" s="21"/>
      <c r="K486" s="2048"/>
      <c r="L486" s="36"/>
      <c r="M486" s="22">
        <f>0.48013411135481/7.21*7.17</f>
        <v>0.477470399225241</v>
      </c>
      <c r="N486" s="22">
        <v>4.42226988604223</v>
      </c>
      <c r="O486" s="37">
        <v>0.4</v>
      </c>
      <c r="P486" s="37"/>
      <c r="Q486" s="37">
        <f t="shared" si="85"/>
        <v>5.29974028526747</v>
      </c>
      <c r="R486" s="219"/>
      <c r="S486" s="39" t="s">
        <v>2840</v>
      </c>
      <c r="T486" s="1931"/>
      <c r="U486" s="120"/>
      <c r="X486" s="1940"/>
      <c r="AC486" s="1940"/>
    </row>
    <row r="487" s="187" customFormat="1" ht="16" hidden="1" customHeight="1" spans="1:29">
      <c r="A487" s="839">
        <v>358</v>
      </c>
      <c r="B487" s="23" t="s">
        <v>19</v>
      </c>
      <c r="C487" s="23"/>
      <c r="D487" s="21">
        <v>20241011</v>
      </c>
      <c r="E487" s="21">
        <v>7.17</v>
      </c>
      <c r="F487" s="2132" t="s">
        <v>134</v>
      </c>
      <c r="G487" s="21" t="s">
        <v>135</v>
      </c>
      <c r="H487" s="21"/>
      <c r="I487" s="690"/>
      <c r="J487" s="690"/>
      <c r="K487" s="2048"/>
      <c r="L487" s="690" t="s">
        <v>1428</v>
      </c>
      <c r="M487" s="22">
        <v>0.575853811592922</v>
      </c>
      <c r="N487" s="22">
        <v>2.88613292586305</v>
      </c>
      <c r="O487" s="37">
        <v>0.4</v>
      </c>
      <c r="P487" s="37"/>
      <c r="Q487" s="37">
        <f t="shared" si="85"/>
        <v>3.86198673745597</v>
      </c>
      <c r="R487" s="219"/>
      <c r="S487" s="39" t="s">
        <v>2841</v>
      </c>
      <c r="T487" s="1931"/>
      <c r="U487" s="120"/>
      <c r="X487" s="2180"/>
      <c r="AA487" s="839"/>
      <c r="AB487" s="839"/>
      <c r="AC487" s="1940"/>
    </row>
    <row r="488" s="187" customFormat="1" ht="16" hidden="1" customHeight="1" spans="1:29">
      <c r="A488" s="839">
        <v>359</v>
      </c>
      <c r="B488" s="23" t="s">
        <v>19</v>
      </c>
      <c r="C488" s="23"/>
      <c r="D488" s="21">
        <v>20241011</v>
      </c>
      <c r="E488" s="21">
        <v>7.17</v>
      </c>
      <c r="F488" s="2132" t="s">
        <v>137</v>
      </c>
      <c r="G488" s="21" t="s">
        <v>138</v>
      </c>
      <c r="H488" s="21"/>
      <c r="I488" s="690"/>
      <c r="J488" s="690"/>
      <c r="K488" s="2048"/>
      <c r="L488" s="690"/>
      <c r="M488" s="22">
        <v>0.435089546536875</v>
      </c>
      <c r="N488" s="22">
        <v>2.53680790217008</v>
      </c>
      <c r="O488" s="37">
        <v>0.4</v>
      </c>
      <c r="P488" s="37"/>
      <c r="Q488" s="37">
        <f t="shared" si="85"/>
        <v>3.37189744870695</v>
      </c>
      <c r="R488" s="219"/>
      <c r="S488" s="39" t="s">
        <v>2842</v>
      </c>
      <c r="T488" s="1931"/>
      <c r="U488" s="120"/>
      <c r="X488" s="2180"/>
      <c r="AA488" s="839"/>
      <c r="AB488" s="839"/>
      <c r="AC488" s="1940"/>
    </row>
    <row r="489" s="187" customFormat="1" ht="16" hidden="1" customHeight="1" spans="1:29">
      <c r="A489" s="839">
        <v>360</v>
      </c>
      <c r="B489" s="23" t="s">
        <v>19</v>
      </c>
      <c r="C489" s="23"/>
      <c r="D489" s="21">
        <v>20241025</v>
      </c>
      <c r="E489" s="21">
        <v>7.17</v>
      </c>
      <c r="F489" s="2132" t="s">
        <v>139</v>
      </c>
      <c r="G489" s="21" t="s">
        <v>140</v>
      </c>
      <c r="H489" s="21"/>
      <c r="I489" s="690"/>
      <c r="J489" s="690"/>
      <c r="K489" s="2048"/>
      <c r="L489" s="690"/>
      <c r="M489" s="22">
        <v>0.59504893864602</v>
      </c>
      <c r="N489" s="22">
        <v>2.76837420433703</v>
      </c>
      <c r="O489" s="37">
        <v>0.4</v>
      </c>
      <c r="P489" s="37"/>
      <c r="Q489" s="37">
        <f t="shared" si="85"/>
        <v>3.76342314298305</v>
      </c>
      <c r="R489" s="219"/>
      <c r="S489" s="39" t="s">
        <v>2842</v>
      </c>
      <c r="T489" s="1931"/>
      <c r="U489" s="120"/>
      <c r="X489" s="2180"/>
      <c r="AA489" s="839"/>
      <c r="AB489" s="839"/>
      <c r="AC489" s="1940"/>
    </row>
    <row r="490" s="187" customFormat="1" ht="16" hidden="1" customHeight="1" spans="1:29">
      <c r="A490" s="839">
        <v>361</v>
      </c>
      <c r="B490" s="23" t="s">
        <v>19</v>
      </c>
      <c r="C490" s="23"/>
      <c r="D490" s="21"/>
      <c r="E490" s="21"/>
      <c r="F490" s="2130" t="s">
        <v>1979</v>
      </c>
      <c r="G490" s="21" t="s">
        <v>129</v>
      </c>
      <c r="H490" s="21"/>
      <c r="I490" s="21"/>
      <c r="J490" s="21"/>
      <c r="K490" s="2048"/>
      <c r="L490" s="36"/>
      <c r="M490" s="22">
        <v>0.604719764011799</v>
      </c>
      <c r="N490" s="22">
        <v>4.48013214088496</v>
      </c>
      <c r="O490" s="37">
        <v>0.4</v>
      </c>
      <c r="P490" s="37"/>
      <c r="Q490" s="37">
        <f t="shared" si="85"/>
        <v>5.48485190489676</v>
      </c>
      <c r="R490" s="219"/>
      <c r="S490" s="39" t="s">
        <v>2838</v>
      </c>
      <c r="T490" s="1931"/>
      <c r="U490" s="120" t="s">
        <v>1406</v>
      </c>
      <c r="X490" s="2180"/>
      <c r="AA490" s="839"/>
      <c r="AB490" s="839"/>
      <c r="AC490" s="1940"/>
    </row>
    <row r="491" s="187" customFormat="1" ht="16" hidden="1" customHeight="1" spans="1:29">
      <c r="A491" s="839">
        <v>362</v>
      </c>
      <c r="B491" s="23" t="s">
        <v>19</v>
      </c>
      <c r="C491" s="23"/>
      <c r="D491" s="21">
        <v>20241213</v>
      </c>
      <c r="E491" s="21">
        <v>7.17</v>
      </c>
      <c r="F491" s="2132" t="s">
        <v>141</v>
      </c>
      <c r="G491" s="21" t="s">
        <v>142</v>
      </c>
      <c r="H491" s="21"/>
      <c r="I491" s="21"/>
      <c r="J491" s="21"/>
      <c r="K491" s="2048"/>
      <c r="L491" s="36"/>
      <c r="M491" s="22">
        <v>0.651682897026697</v>
      </c>
      <c r="N491" s="22">
        <v>3.05598970867425</v>
      </c>
      <c r="O491" s="37">
        <v>0.4</v>
      </c>
      <c r="P491" s="37"/>
      <c r="Q491" s="37">
        <f t="shared" si="85"/>
        <v>4.10767260570095</v>
      </c>
      <c r="R491" s="219"/>
      <c r="S491" s="39" t="s">
        <v>143</v>
      </c>
      <c r="T491" s="1931"/>
      <c r="U491" s="120"/>
      <c r="X491" s="2180"/>
      <c r="AA491" s="839"/>
      <c r="AB491" s="839"/>
      <c r="AC491" s="1940"/>
    </row>
    <row r="492" s="187" customFormat="1" ht="16" hidden="1" customHeight="1" spans="1:29">
      <c r="A492" s="839">
        <v>363</v>
      </c>
      <c r="B492" s="23" t="s">
        <v>19</v>
      </c>
      <c r="C492" s="23"/>
      <c r="D492" s="21">
        <v>20250103</v>
      </c>
      <c r="E492" s="21">
        <v>7.17</v>
      </c>
      <c r="F492" s="2132" t="s">
        <v>144</v>
      </c>
      <c r="G492" s="21" t="s">
        <v>145</v>
      </c>
      <c r="H492" s="21"/>
      <c r="I492" s="21"/>
      <c r="J492" s="21"/>
      <c r="K492" s="2048"/>
      <c r="L492" s="36"/>
      <c r="M492" s="22">
        <v>0.399058304911533</v>
      </c>
      <c r="N492" s="22">
        <v>1.06982227824082</v>
      </c>
      <c r="O492" s="37">
        <v>0.4</v>
      </c>
      <c r="P492" s="37"/>
      <c r="Q492" s="37">
        <f t="shared" si="85"/>
        <v>1.86888058315235</v>
      </c>
      <c r="R492" s="219"/>
      <c r="S492" s="39" t="s">
        <v>146</v>
      </c>
      <c r="T492" s="1931"/>
      <c r="U492" s="120"/>
      <c r="X492" s="2180"/>
      <c r="AA492" s="839"/>
      <c r="AB492" s="839"/>
      <c r="AC492" s="1940"/>
    </row>
    <row r="493" s="187" customFormat="1" ht="16" hidden="1" customHeight="1" spans="1:29">
      <c r="A493" s="839">
        <v>364</v>
      </c>
      <c r="B493" s="23" t="s">
        <v>19</v>
      </c>
      <c r="C493" s="23"/>
      <c r="D493" s="21">
        <v>20250103</v>
      </c>
      <c r="E493" s="21">
        <v>7.17</v>
      </c>
      <c r="F493" s="2132" t="s">
        <v>147</v>
      </c>
      <c r="G493" s="21" t="s">
        <v>148</v>
      </c>
      <c r="H493" s="21"/>
      <c r="I493" s="21"/>
      <c r="J493" s="21"/>
      <c r="K493" s="2048"/>
      <c r="L493" s="36"/>
      <c r="M493" s="22">
        <v>0.0241122842846847</v>
      </c>
      <c r="N493" s="22">
        <v>0.0374205192161109</v>
      </c>
      <c r="O493" s="37">
        <v>0.2</v>
      </c>
      <c r="P493" s="37"/>
      <c r="Q493" s="37">
        <f t="shared" si="85"/>
        <v>0.261532803500796</v>
      </c>
      <c r="R493" s="219"/>
      <c r="S493" s="39" t="s">
        <v>149</v>
      </c>
      <c r="T493" s="1931"/>
      <c r="U493" s="120"/>
      <c r="X493" s="2180"/>
      <c r="AA493" s="839"/>
      <c r="AB493" s="839"/>
      <c r="AC493" s="1940"/>
    </row>
    <row r="494" s="187" customFormat="1" ht="16" hidden="1" customHeight="1" spans="1:29">
      <c r="A494" s="839">
        <v>365</v>
      </c>
      <c r="B494" s="23" t="s">
        <v>19</v>
      </c>
      <c r="C494" s="23"/>
      <c r="D494" s="21">
        <v>20250507</v>
      </c>
      <c r="E494" s="21"/>
      <c r="F494" s="2132" t="s">
        <v>150</v>
      </c>
      <c r="G494" s="21" t="s">
        <v>151</v>
      </c>
      <c r="H494" s="21"/>
      <c r="I494" s="21"/>
      <c r="J494" s="21"/>
      <c r="K494" s="2048"/>
      <c r="L494" s="36"/>
      <c r="M494" s="22">
        <v>0.659316481689728</v>
      </c>
      <c r="N494" s="22">
        <v>2.71548207999961</v>
      </c>
      <c r="O494" s="37">
        <v>0.4</v>
      </c>
      <c r="P494" s="37"/>
      <c r="Q494" s="37">
        <f t="shared" si="85"/>
        <v>3.77479856168934</v>
      </c>
      <c r="R494" s="219"/>
      <c r="S494" s="39" t="s">
        <v>152</v>
      </c>
      <c r="T494" s="1931"/>
      <c r="U494" s="120"/>
      <c r="X494" s="2180"/>
      <c r="AA494" s="839"/>
      <c r="AB494" s="839"/>
      <c r="AC494" s="1940"/>
    </row>
    <row r="495" s="839" customFormat="1" ht="16" hidden="1" customHeight="1" spans="1:29">
      <c r="A495" s="839">
        <v>366</v>
      </c>
      <c r="B495" s="23" t="s">
        <v>19</v>
      </c>
      <c r="C495" s="23"/>
      <c r="D495" s="21">
        <v>20250227</v>
      </c>
      <c r="E495" s="21">
        <v>7.17</v>
      </c>
      <c r="F495" s="2132" t="s">
        <v>153</v>
      </c>
      <c r="G495" s="21" t="s">
        <v>154</v>
      </c>
      <c r="H495" s="21"/>
      <c r="I495" s="21"/>
      <c r="J495" s="21"/>
      <c r="K495" s="2048"/>
      <c r="L495" s="36"/>
      <c r="M495" s="22">
        <v>0.600596424399946</v>
      </c>
      <c r="N495" s="22">
        <v>3.41026779470059</v>
      </c>
      <c r="O495" s="37">
        <v>0.4</v>
      </c>
      <c r="P495" s="37"/>
      <c r="Q495" s="37">
        <f t="shared" si="85"/>
        <v>4.41086421910054</v>
      </c>
      <c r="R495" s="219"/>
      <c r="S495" s="39" t="s">
        <v>155</v>
      </c>
      <c r="T495" s="1931"/>
      <c r="U495" s="120"/>
      <c r="X495" s="1940"/>
      <c r="AC495" s="1940"/>
    </row>
    <row r="496" s="187" customFormat="1" ht="16" hidden="1" customHeight="1" spans="1:29">
      <c r="A496" s="839">
        <v>367</v>
      </c>
      <c r="B496" s="23" t="s">
        <v>19</v>
      </c>
      <c r="C496" s="23"/>
      <c r="D496" s="21">
        <v>20250108</v>
      </c>
      <c r="E496" s="21">
        <v>7.17</v>
      </c>
      <c r="F496" s="2132" t="s">
        <v>156</v>
      </c>
      <c r="G496" s="21" t="s">
        <v>157</v>
      </c>
      <c r="H496" s="21"/>
      <c r="I496" s="21"/>
      <c r="J496" s="21"/>
      <c r="K496" s="2048"/>
      <c r="L496" s="36"/>
      <c r="M496" s="22">
        <v>0.589545350760543</v>
      </c>
      <c r="N496" s="22">
        <v>2.68298758877021</v>
      </c>
      <c r="O496" s="37">
        <v>0.4</v>
      </c>
      <c r="P496" s="37"/>
      <c r="Q496" s="37">
        <f t="shared" si="85"/>
        <v>3.67253293953075</v>
      </c>
      <c r="R496" s="219"/>
      <c r="S496" s="39" t="s">
        <v>158</v>
      </c>
      <c r="T496" s="1931"/>
      <c r="U496" s="120"/>
      <c r="X496" s="2180"/>
      <c r="AA496" s="839"/>
      <c r="AB496" s="839"/>
      <c r="AC496" s="1940"/>
    </row>
    <row r="497" s="839" customFormat="1" ht="16" hidden="1" customHeight="1" spans="1:29">
      <c r="A497" s="839">
        <v>368</v>
      </c>
      <c r="B497" s="23" t="s">
        <v>19</v>
      </c>
      <c r="C497" s="23"/>
      <c r="D497" s="21">
        <v>20241202</v>
      </c>
      <c r="E497" s="21">
        <v>7.17</v>
      </c>
      <c r="F497" s="2132" t="s">
        <v>159</v>
      </c>
      <c r="G497" s="21" t="s">
        <v>160</v>
      </c>
      <c r="H497" s="21"/>
      <c r="I497" s="21"/>
      <c r="J497" s="21"/>
      <c r="K497" s="2048"/>
      <c r="L497" s="36"/>
      <c r="M497" s="22">
        <v>0.557674702471773</v>
      </c>
      <c r="N497" s="22">
        <v>3.32262470036054</v>
      </c>
      <c r="O497" s="37">
        <v>0.4</v>
      </c>
      <c r="P497" s="37"/>
      <c r="Q497" s="37">
        <f t="shared" si="85"/>
        <v>4.28029940283231</v>
      </c>
      <c r="R497" s="219"/>
      <c r="S497" s="39" t="s">
        <v>2838</v>
      </c>
      <c r="T497" s="1931"/>
      <c r="U497" s="120"/>
      <c r="X497" s="1940"/>
      <c r="AC497" s="1940"/>
    </row>
    <row r="498" s="839" customFormat="1" ht="16" hidden="1" customHeight="1" spans="1:29">
      <c r="A498" s="839">
        <v>369</v>
      </c>
      <c r="B498" s="23" t="s">
        <v>19</v>
      </c>
      <c r="C498" s="23"/>
      <c r="D498" s="21">
        <v>20240511</v>
      </c>
      <c r="E498" s="21">
        <v>7.17</v>
      </c>
      <c r="F498" s="2132" t="s">
        <v>161</v>
      </c>
      <c r="G498" s="21" t="s">
        <v>162</v>
      </c>
      <c r="H498" s="21"/>
      <c r="I498" s="21"/>
      <c r="J498" s="21"/>
      <c r="K498" s="2048"/>
      <c r="L498" s="36"/>
      <c r="M498" s="22">
        <v>0.0372293790832208</v>
      </c>
      <c r="N498" s="22">
        <v>0.039055639750172</v>
      </c>
      <c r="O498" s="37">
        <v>0.2</v>
      </c>
      <c r="P498" s="37"/>
      <c r="Q498" s="37">
        <f t="shared" si="85"/>
        <v>0.276285018833393</v>
      </c>
      <c r="R498" s="219"/>
      <c r="S498" s="39"/>
      <c r="T498" s="1931"/>
      <c r="U498" s="120"/>
      <c r="X498" s="1940"/>
      <c r="AC498" s="1940"/>
    </row>
    <row r="499" s="187" customFormat="1" ht="16" hidden="1" customHeight="1" spans="1:29">
      <c r="A499" s="839">
        <v>370</v>
      </c>
      <c r="B499" s="23" t="s">
        <v>19</v>
      </c>
      <c r="C499" s="23"/>
      <c r="D499" s="21">
        <v>20240605</v>
      </c>
      <c r="E499" s="21">
        <v>7.17</v>
      </c>
      <c r="F499" s="2132" t="s">
        <v>163</v>
      </c>
      <c r="G499" s="21" t="s">
        <v>164</v>
      </c>
      <c r="H499" s="21"/>
      <c r="I499" s="21"/>
      <c r="J499" s="21"/>
      <c r="K499" s="2048"/>
      <c r="L499" s="36"/>
      <c r="M499" s="22">
        <v>0.415986867719635</v>
      </c>
      <c r="N499" s="22">
        <v>5.87670930558762</v>
      </c>
      <c r="O499" s="37">
        <v>0.4</v>
      </c>
      <c r="P499" s="37"/>
      <c r="Q499" s="37">
        <f t="shared" si="85"/>
        <v>6.69269617330726</v>
      </c>
      <c r="R499" s="219"/>
      <c r="S499" s="39" t="s">
        <v>2843</v>
      </c>
      <c r="T499" s="1931"/>
      <c r="U499" s="120"/>
      <c r="X499" s="2180"/>
      <c r="AA499" s="839"/>
      <c r="AB499" s="839"/>
      <c r="AC499" s="1940"/>
    </row>
    <row r="500" s="187" customFormat="1" ht="16" hidden="1" customHeight="1" spans="1:29">
      <c r="A500" s="839">
        <v>371</v>
      </c>
      <c r="B500" s="23" t="s">
        <v>19</v>
      </c>
      <c r="C500" s="23"/>
      <c r="D500" s="21">
        <v>20250618</v>
      </c>
      <c r="E500" s="21"/>
      <c r="F500" s="2132" t="s">
        <v>166</v>
      </c>
      <c r="G500" s="21" t="s">
        <v>167</v>
      </c>
      <c r="H500" s="21"/>
      <c r="I500" s="21"/>
      <c r="J500" s="21"/>
      <c r="K500" s="2048"/>
      <c r="L500" s="36"/>
      <c r="M500" s="22">
        <v>0.672024813223873</v>
      </c>
      <c r="N500" s="22">
        <v>2.71967649270211</v>
      </c>
      <c r="O500" s="37">
        <v>0.4</v>
      </c>
      <c r="P500" s="37"/>
      <c r="Q500" s="37">
        <f t="shared" si="85"/>
        <v>3.79170130592598</v>
      </c>
      <c r="R500" s="219"/>
      <c r="S500" s="39" t="s">
        <v>168</v>
      </c>
      <c r="T500" s="1931"/>
      <c r="U500" s="120"/>
      <c r="X500" s="2180"/>
      <c r="AA500" s="839"/>
      <c r="AB500" s="839"/>
      <c r="AC500" s="1940"/>
    </row>
    <row r="501" s="187" customFormat="1" ht="16" hidden="1" customHeight="1" spans="1:29">
      <c r="A501" s="839">
        <v>372</v>
      </c>
      <c r="B501" s="23" t="s">
        <v>19</v>
      </c>
      <c r="C501" s="23"/>
      <c r="D501" s="21">
        <v>20241023</v>
      </c>
      <c r="E501" s="21">
        <v>7.17</v>
      </c>
      <c r="F501" s="2132" t="s">
        <v>169</v>
      </c>
      <c r="G501" s="21" t="s">
        <v>170</v>
      </c>
      <c r="H501" s="21"/>
      <c r="I501" s="21"/>
      <c r="J501" s="21"/>
      <c r="K501" s="2048"/>
      <c r="L501" s="36"/>
      <c r="M501" s="22">
        <v>0.625761141930976</v>
      </c>
      <c r="N501" s="22">
        <v>2.88612227952611</v>
      </c>
      <c r="O501" s="37">
        <v>0.4</v>
      </c>
      <c r="P501" s="37"/>
      <c r="Q501" s="37">
        <f t="shared" si="85"/>
        <v>3.91188342145709</v>
      </c>
      <c r="R501" s="219"/>
      <c r="S501" s="39" t="s">
        <v>2844</v>
      </c>
      <c r="T501" s="1931"/>
      <c r="U501" s="120"/>
      <c r="X501" s="2180"/>
      <c r="AA501" s="839"/>
      <c r="AB501" s="839"/>
      <c r="AC501" s="1940"/>
    </row>
    <row r="502" s="839" customFormat="1" ht="16" hidden="1" customHeight="1" spans="1:29">
      <c r="A502" s="839">
        <v>373</v>
      </c>
      <c r="B502" s="23" t="s">
        <v>19</v>
      </c>
      <c r="C502" s="23"/>
      <c r="D502" s="21">
        <v>20241016</v>
      </c>
      <c r="E502" s="21">
        <v>7.17</v>
      </c>
      <c r="F502" s="2132" t="s">
        <v>172</v>
      </c>
      <c r="G502" s="21" t="s">
        <v>173</v>
      </c>
      <c r="H502" s="21"/>
      <c r="I502" s="21"/>
      <c r="J502" s="21"/>
      <c r="K502" s="2048"/>
      <c r="L502" s="36"/>
      <c r="M502" s="22">
        <v>0.481230897788576</v>
      </c>
      <c r="N502" s="22">
        <v>3.98917873773985</v>
      </c>
      <c r="O502" s="37">
        <v>0.4</v>
      </c>
      <c r="P502" s="37"/>
      <c r="Q502" s="37">
        <f t="shared" si="85"/>
        <v>4.87040963552843</v>
      </c>
      <c r="R502" s="219"/>
      <c r="S502" s="39" t="s">
        <v>2845</v>
      </c>
      <c r="T502" s="1931"/>
      <c r="U502" s="120"/>
      <c r="X502" s="1940"/>
      <c r="AC502" s="1940"/>
    </row>
    <row r="503" s="187" customFormat="1" ht="16" hidden="1" customHeight="1" spans="1:29">
      <c r="A503" s="839">
        <v>374</v>
      </c>
      <c r="B503" s="23" t="s">
        <v>19</v>
      </c>
      <c r="C503" s="23"/>
      <c r="D503" s="21">
        <v>20241111</v>
      </c>
      <c r="E503" s="21">
        <v>7.17</v>
      </c>
      <c r="F503" s="2132" t="s">
        <v>175</v>
      </c>
      <c r="G503" s="21" t="s">
        <v>176</v>
      </c>
      <c r="H503" s="21"/>
      <c r="I503" s="21"/>
      <c r="J503" s="21"/>
      <c r="K503" s="2048"/>
      <c r="L503" s="36"/>
      <c r="M503" s="22">
        <v>0.422346507965976</v>
      </c>
      <c r="N503" s="22">
        <v>2.15105537835191</v>
      </c>
      <c r="O503" s="37">
        <v>0.4</v>
      </c>
      <c r="P503" s="37"/>
      <c r="Q503" s="37">
        <f t="shared" si="85"/>
        <v>2.97340188631789</v>
      </c>
      <c r="R503" s="219"/>
      <c r="S503" s="39" t="s">
        <v>2844</v>
      </c>
      <c r="T503" s="1931"/>
      <c r="U503" s="120"/>
      <c r="X503" s="2180"/>
      <c r="AA503" s="839"/>
      <c r="AB503" s="839"/>
      <c r="AC503" s="1940"/>
    </row>
    <row r="504" s="187" customFormat="1" ht="16" hidden="1" customHeight="1" spans="1:29">
      <c r="A504" s="839">
        <v>375</v>
      </c>
      <c r="B504" s="23" t="s">
        <v>41</v>
      </c>
      <c r="C504" s="23"/>
      <c r="D504" s="21"/>
      <c r="E504" s="21"/>
      <c r="F504" s="2130" t="s">
        <v>1979</v>
      </c>
      <c r="G504" s="21" t="s">
        <v>178</v>
      </c>
      <c r="H504" s="21"/>
      <c r="I504" s="21"/>
      <c r="J504" s="21"/>
      <c r="K504" s="2048"/>
      <c r="L504" s="36"/>
      <c r="M504" s="22">
        <v>1.62</v>
      </c>
      <c r="N504" s="22">
        <v>3.11428571428571</v>
      </c>
      <c r="O504" s="37">
        <v>0.4</v>
      </c>
      <c r="P504" s="37"/>
      <c r="Q504" s="37">
        <f t="shared" si="85"/>
        <v>5.13428571428571</v>
      </c>
      <c r="R504" s="219"/>
      <c r="S504" s="23"/>
      <c r="T504" s="804"/>
      <c r="U504" s="120" t="s">
        <v>1406</v>
      </c>
      <c r="X504" s="2180"/>
      <c r="AA504" s="839"/>
      <c r="AB504" s="839"/>
      <c r="AC504" s="1940"/>
    </row>
    <row r="505" s="187" customFormat="1" ht="16" hidden="1" customHeight="1" spans="1:29">
      <c r="A505" s="839">
        <v>376</v>
      </c>
      <c r="B505" s="23" t="s">
        <v>41</v>
      </c>
      <c r="C505" s="23"/>
      <c r="D505" s="21"/>
      <c r="E505" s="21"/>
      <c r="F505" s="2130" t="s">
        <v>1979</v>
      </c>
      <c r="G505" s="21" t="s">
        <v>179</v>
      </c>
      <c r="H505" s="21"/>
      <c r="I505" s="21"/>
      <c r="J505" s="21"/>
      <c r="K505" s="2048"/>
      <c r="L505" s="36"/>
      <c r="M505" s="22">
        <v>1.88</v>
      </c>
      <c r="N505" s="22">
        <v>9.17142857142857</v>
      </c>
      <c r="O505" s="37">
        <v>0.4</v>
      </c>
      <c r="P505" s="37"/>
      <c r="Q505" s="37">
        <f t="shared" si="85"/>
        <v>11.4514285714286</v>
      </c>
      <c r="R505" s="219"/>
      <c r="S505" s="23" t="s">
        <v>2846</v>
      </c>
      <c r="T505" s="804"/>
      <c r="U505" s="120" t="s">
        <v>1406</v>
      </c>
      <c r="X505" s="2180"/>
      <c r="AA505" s="839"/>
      <c r="AB505" s="839"/>
      <c r="AC505" s="1940"/>
    </row>
    <row r="506" s="187" customFormat="1" ht="16" hidden="1" customHeight="1" spans="1:29">
      <c r="A506" s="839">
        <v>377</v>
      </c>
      <c r="B506" s="23" t="s">
        <v>41</v>
      </c>
      <c r="C506" s="23"/>
      <c r="D506" s="21">
        <v>20241216</v>
      </c>
      <c r="E506" s="21">
        <v>7.17</v>
      </c>
      <c r="F506" s="2132" t="s">
        <v>181</v>
      </c>
      <c r="G506" s="21" t="s">
        <v>182</v>
      </c>
      <c r="H506" s="21"/>
      <c r="I506" s="21"/>
      <c r="J506" s="21"/>
      <c r="K506" s="2048"/>
      <c r="L506" s="36"/>
      <c r="M506" s="22">
        <v>0.356697646289234</v>
      </c>
      <c r="N506" s="22">
        <v>1.35748792322237</v>
      </c>
      <c r="O506" s="37">
        <v>0.4</v>
      </c>
      <c r="P506" s="37"/>
      <c r="Q506" s="37">
        <f t="shared" si="85"/>
        <v>2.1141855695116</v>
      </c>
      <c r="R506" s="219"/>
      <c r="S506" s="23" t="s">
        <v>2847</v>
      </c>
      <c r="T506" s="804"/>
      <c r="U506" s="120"/>
      <c r="X506" s="2180"/>
      <c r="AA506" s="839"/>
      <c r="AB506" s="839"/>
      <c r="AC506" s="1940"/>
    </row>
    <row r="507" s="187" customFormat="1" ht="16" hidden="1" customHeight="1" spans="1:29">
      <c r="A507" s="839">
        <v>378</v>
      </c>
      <c r="B507" s="23" t="s">
        <v>41</v>
      </c>
      <c r="C507" s="23"/>
      <c r="D507" s="21">
        <v>20241113</v>
      </c>
      <c r="E507" s="21">
        <v>7.17</v>
      </c>
      <c r="F507" s="2132" t="s">
        <v>184</v>
      </c>
      <c r="G507" s="21" t="s">
        <v>185</v>
      </c>
      <c r="H507" s="21"/>
      <c r="I507" s="21"/>
      <c r="J507" s="21"/>
      <c r="K507" s="2048"/>
      <c r="L507" s="36"/>
      <c r="M507" s="22">
        <v>0.433015473068939</v>
      </c>
      <c r="N507" s="22">
        <v>1.39451249157827</v>
      </c>
      <c r="O507" s="37">
        <v>0.2</v>
      </c>
      <c r="P507" s="37"/>
      <c r="Q507" s="37">
        <f t="shared" si="85"/>
        <v>2.02752796464721</v>
      </c>
      <c r="R507" s="219"/>
      <c r="S507" s="23" t="s">
        <v>186</v>
      </c>
      <c r="T507" s="804"/>
      <c r="U507" s="120"/>
      <c r="X507" s="2180"/>
      <c r="AA507" s="839"/>
      <c r="AB507" s="839"/>
      <c r="AC507" s="1940"/>
    </row>
    <row r="508" s="839" customFormat="1" ht="16" hidden="1" customHeight="1" spans="1:29">
      <c r="A508" s="839">
        <v>379</v>
      </c>
      <c r="B508" s="23" t="s">
        <v>41</v>
      </c>
      <c r="C508" s="23"/>
      <c r="D508" s="21">
        <v>20241023</v>
      </c>
      <c r="E508" s="21">
        <v>7.17</v>
      </c>
      <c r="F508" s="2132" t="s">
        <v>187</v>
      </c>
      <c r="G508" s="21" t="s">
        <v>188</v>
      </c>
      <c r="H508" s="21"/>
      <c r="I508" s="21"/>
      <c r="J508" s="21"/>
      <c r="K508" s="2048"/>
      <c r="L508" s="36"/>
      <c r="M508" s="22">
        <v>0.444047272494986</v>
      </c>
      <c r="N508" s="22">
        <v>1.42</v>
      </c>
      <c r="O508" s="37">
        <v>0.2</v>
      </c>
      <c r="P508" s="37"/>
      <c r="Q508" s="37">
        <f t="shared" si="85"/>
        <v>2.06404727249499</v>
      </c>
      <c r="R508" s="219"/>
      <c r="S508" s="23" t="s">
        <v>2848</v>
      </c>
      <c r="T508" s="804"/>
      <c r="U508" s="120"/>
      <c r="X508" s="1940"/>
      <c r="AC508" s="1940"/>
    </row>
    <row r="509" s="187" customFormat="1" ht="16" hidden="1" customHeight="1" spans="1:29">
      <c r="A509" s="839">
        <v>380</v>
      </c>
      <c r="B509" s="23" t="s">
        <v>41</v>
      </c>
      <c r="C509" s="23"/>
      <c r="D509" s="21">
        <v>20250123</v>
      </c>
      <c r="E509" s="21">
        <v>7.17</v>
      </c>
      <c r="F509" s="2132" t="s">
        <v>190</v>
      </c>
      <c r="G509" s="21" t="s">
        <v>191</v>
      </c>
      <c r="H509" s="21"/>
      <c r="I509" s="21"/>
      <c r="J509" s="21"/>
      <c r="K509" s="2048"/>
      <c r="L509" s="36"/>
      <c r="M509" s="22">
        <v>0.330338294700182</v>
      </c>
      <c r="N509" s="22">
        <v>1.24539113758107</v>
      </c>
      <c r="O509" s="37">
        <v>0.2</v>
      </c>
      <c r="P509" s="37"/>
      <c r="Q509" s="37">
        <f t="shared" si="85"/>
        <v>1.77572943228125</v>
      </c>
      <c r="R509" s="219"/>
      <c r="S509" s="23" t="s">
        <v>63</v>
      </c>
      <c r="T509" s="804"/>
      <c r="U509" s="120"/>
      <c r="X509" s="2180"/>
      <c r="AA509" s="839"/>
      <c r="AB509" s="839"/>
      <c r="AC509" s="1940"/>
    </row>
    <row r="510" s="187" customFormat="1" ht="16" hidden="1" customHeight="1" spans="1:29">
      <c r="A510" s="839">
        <v>381</v>
      </c>
      <c r="B510" s="23" t="s">
        <v>41</v>
      </c>
      <c r="C510" s="23"/>
      <c r="D510" s="21">
        <v>20240409</v>
      </c>
      <c r="E510" s="21">
        <v>7.17</v>
      </c>
      <c r="F510" s="2132" t="s">
        <v>192</v>
      </c>
      <c r="G510" s="21" t="s">
        <v>193</v>
      </c>
      <c r="H510" s="21"/>
      <c r="I510" s="21"/>
      <c r="J510" s="21"/>
      <c r="K510" s="2048"/>
      <c r="L510" s="36"/>
      <c r="M510" s="22">
        <v>0.201720456954488</v>
      </c>
      <c r="N510" s="22">
        <v>2.67787197950976</v>
      </c>
      <c r="O510" s="37">
        <v>0.4</v>
      </c>
      <c r="P510" s="37"/>
      <c r="Q510" s="37">
        <f t="shared" si="85"/>
        <v>3.27959243646425</v>
      </c>
      <c r="R510" s="219"/>
      <c r="S510" s="23" t="s">
        <v>2849</v>
      </c>
      <c r="T510" s="804"/>
      <c r="U510" s="120" t="s">
        <v>1406</v>
      </c>
      <c r="X510" s="2180"/>
      <c r="AA510" s="839"/>
      <c r="AB510" s="839"/>
      <c r="AC510" s="1940"/>
    </row>
    <row r="511" s="839" customFormat="1" ht="16" hidden="1" customHeight="1" spans="1:29">
      <c r="A511" s="839">
        <v>382</v>
      </c>
      <c r="B511" s="23" t="s">
        <v>41</v>
      </c>
      <c r="C511" s="23"/>
      <c r="D511" s="21">
        <v>20250224</v>
      </c>
      <c r="E511" s="21">
        <v>7.17</v>
      </c>
      <c r="F511" s="2132" t="s">
        <v>195</v>
      </c>
      <c r="G511" s="21" t="s">
        <v>196</v>
      </c>
      <c r="H511" s="21"/>
      <c r="I511" s="21"/>
      <c r="J511" s="21"/>
      <c r="K511" s="2048"/>
      <c r="L511" s="36"/>
      <c r="M511" s="22">
        <v>0.337220123536035</v>
      </c>
      <c r="N511" s="22">
        <v>1.10962779601205</v>
      </c>
      <c r="O511" s="37">
        <v>0.2</v>
      </c>
      <c r="P511" s="37"/>
      <c r="Q511" s="37">
        <f t="shared" si="85"/>
        <v>1.64684791954808</v>
      </c>
      <c r="R511" s="219"/>
      <c r="S511" s="23" t="s">
        <v>197</v>
      </c>
      <c r="T511" s="804"/>
      <c r="U511" s="120"/>
      <c r="X511" s="1940"/>
      <c r="AC511" s="1940"/>
    </row>
    <row r="512" s="187" customFormat="1" ht="16" hidden="1" customHeight="1" spans="1:29">
      <c r="A512" s="839">
        <v>383</v>
      </c>
      <c r="B512" s="23" t="s">
        <v>41</v>
      </c>
      <c r="C512" s="23"/>
      <c r="D512" s="21">
        <v>20240416</v>
      </c>
      <c r="E512" s="21">
        <v>7.17</v>
      </c>
      <c r="F512" s="2132" t="s">
        <v>198</v>
      </c>
      <c r="G512" s="21" t="s">
        <v>199</v>
      </c>
      <c r="H512" s="21"/>
      <c r="I512" s="21"/>
      <c r="J512" s="21"/>
      <c r="K512" s="2048"/>
      <c r="L512" s="36"/>
      <c r="M512" s="22">
        <v>0.166607892019245</v>
      </c>
      <c r="N512" s="22">
        <v>1.26350281137108</v>
      </c>
      <c r="O512" s="37">
        <v>0.2</v>
      </c>
      <c r="P512" s="37"/>
      <c r="Q512" s="37">
        <f t="shared" si="85"/>
        <v>1.63011070339033</v>
      </c>
      <c r="R512" s="219"/>
      <c r="S512" s="23" t="s">
        <v>2850</v>
      </c>
      <c r="T512" s="804"/>
      <c r="U512" s="120"/>
      <c r="X512" s="2180"/>
      <c r="AA512" s="839"/>
      <c r="AB512" s="839"/>
      <c r="AC512" s="1940"/>
    </row>
    <row r="513" s="187" customFormat="1" ht="16" hidden="1" customHeight="1" spans="1:29">
      <c r="A513" s="839">
        <v>384</v>
      </c>
      <c r="B513" s="23" t="s">
        <v>41</v>
      </c>
      <c r="C513" s="23"/>
      <c r="D513" s="21">
        <v>20240925</v>
      </c>
      <c r="E513" s="21">
        <v>7.17</v>
      </c>
      <c r="F513" s="2132" t="s">
        <v>200</v>
      </c>
      <c r="G513" s="21" t="s">
        <v>201</v>
      </c>
      <c r="H513" s="21"/>
      <c r="I513" s="21"/>
      <c r="J513" s="21"/>
      <c r="K513" s="2048"/>
      <c r="L513" s="36"/>
      <c r="M513" s="22">
        <v>0.444047272494986</v>
      </c>
      <c r="N513" s="22">
        <v>1.35182870054051</v>
      </c>
      <c r="O513" s="37">
        <v>0.2</v>
      </c>
      <c r="P513" s="37"/>
      <c r="Q513" s="37">
        <f t="shared" si="85"/>
        <v>1.9958759730355</v>
      </c>
      <c r="R513" s="219"/>
      <c r="S513" s="23"/>
      <c r="T513" s="804"/>
      <c r="U513" s="120"/>
      <c r="X513" s="2180"/>
      <c r="AA513" s="839"/>
      <c r="AB513" s="839"/>
      <c r="AC513" s="1940"/>
    </row>
    <row r="514" s="839" customFormat="1" ht="16" hidden="1" customHeight="1" spans="1:29">
      <c r="A514" s="839">
        <v>385</v>
      </c>
      <c r="B514" s="23" t="s">
        <v>41</v>
      </c>
      <c r="C514" s="23"/>
      <c r="D514" s="21">
        <v>20240925</v>
      </c>
      <c r="E514" s="21">
        <v>7.17</v>
      </c>
      <c r="F514" s="2132" t="s">
        <v>202</v>
      </c>
      <c r="G514" s="21" t="s">
        <v>203</v>
      </c>
      <c r="H514" s="21"/>
      <c r="I514" s="21"/>
      <c r="J514" s="21"/>
      <c r="K514" s="2048"/>
      <c r="L514" s="36"/>
      <c r="M514" s="22">
        <v>0.374944815103835</v>
      </c>
      <c r="N514" s="22">
        <v>1.22738165016634</v>
      </c>
      <c r="O514" s="37">
        <v>0.2</v>
      </c>
      <c r="P514" s="37"/>
      <c r="Q514" s="37">
        <f t="shared" si="85"/>
        <v>1.80232646527017</v>
      </c>
      <c r="R514" s="219"/>
      <c r="S514" s="23"/>
      <c r="T514" s="804"/>
      <c r="U514" s="120"/>
      <c r="X514" s="1940"/>
      <c r="AC514" s="1940"/>
    </row>
    <row r="515" s="187" customFormat="1" ht="16" hidden="1" customHeight="1" spans="1:29">
      <c r="A515" s="839">
        <v>386</v>
      </c>
      <c r="B515" s="23" t="s">
        <v>41</v>
      </c>
      <c r="C515" s="23"/>
      <c r="D515" s="21">
        <v>20250401</v>
      </c>
      <c r="E515" s="21">
        <v>7.17</v>
      </c>
      <c r="F515" s="2132" t="s">
        <v>204</v>
      </c>
      <c r="G515" s="21" t="s">
        <v>205</v>
      </c>
      <c r="H515" s="21"/>
      <c r="I515" s="21"/>
      <c r="J515" s="21"/>
      <c r="K515" s="2048"/>
      <c r="L515" s="36"/>
      <c r="M515" s="22">
        <v>0.413525406963897</v>
      </c>
      <c r="N515" s="22">
        <v>1.371035733689</v>
      </c>
      <c r="O515" s="37">
        <v>0.2</v>
      </c>
      <c r="P515" s="37"/>
      <c r="Q515" s="37">
        <f t="shared" si="85"/>
        <v>1.9845611406529</v>
      </c>
      <c r="R515" s="219"/>
      <c r="S515" s="23" t="s">
        <v>63</v>
      </c>
      <c r="T515" s="804"/>
      <c r="U515" s="120"/>
      <c r="X515" s="2180"/>
      <c r="AA515" s="839"/>
      <c r="AB515" s="839"/>
      <c r="AC515" s="1940"/>
    </row>
    <row r="516" s="187" customFormat="1" ht="16" hidden="1" customHeight="1" spans="1:29">
      <c r="A516" s="839">
        <v>387</v>
      </c>
      <c r="B516" s="23" t="s">
        <v>41</v>
      </c>
      <c r="C516" s="23"/>
      <c r="D516" s="21">
        <v>20250513</v>
      </c>
      <c r="E516" s="21"/>
      <c r="F516" s="2132" t="s">
        <v>206</v>
      </c>
      <c r="G516" s="21" t="s">
        <v>207</v>
      </c>
      <c r="H516" s="21"/>
      <c r="I516" s="21"/>
      <c r="J516" s="21"/>
      <c r="K516" s="2048"/>
      <c r="L516" s="36"/>
      <c r="M516" s="22">
        <v>0.0794504473671344</v>
      </c>
      <c r="N516" s="22">
        <v>0.602592010766147</v>
      </c>
      <c r="O516" s="37">
        <v>0.2</v>
      </c>
      <c r="P516" s="37"/>
      <c r="Q516" s="37">
        <f t="shared" si="85"/>
        <v>0.882042458133281</v>
      </c>
      <c r="R516" s="219"/>
      <c r="S516" s="23" t="s">
        <v>208</v>
      </c>
      <c r="T516" s="804"/>
      <c r="U516" s="120"/>
      <c r="X516" s="2180"/>
      <c r="AA516" s="839"/>
      <c r="AB516" s="839"/>
      <c r="AC516" s="1940"/>
    </row>
    <row r="517" s="187" customFormat="1" ht="16" hidden="1" customHeight="1" spans="1:29">
      <c r="A517" s="839">
        <v>388</v>
      </c>
      <c r="B517" s="23" t="s">
        <v>41</v>
      </c>
      <c r="C517" s="23"/>
      <c r="D517" s="21">
        <v>20250428</v>
      </c>
      <c r="E517" s="21">
        <v>7.17</v>
      </c>
      <c r="F517" s="2132" t="s">
        <v>209</v>
      </c>
      <c r="G517" s="21" t="s">
        <v>210</v>
      </c>
      <c r="H517" s="21"/>
      <c r="I517" s="21"/>
      <c r="J517" s="21"/>
      <c r="K517" s="2048"/>
      <c r="L517" s="36"/>
      <c r="M517" s="22">
        <v>0.338970739561517</v>
      </c>
      <c r="N517" s="22">
        <v>2.70931275047744</v>
      </c>
      <c r="O517" s="37">
        <v>0.2</v>
      </c>
      <c r="P517" s="37"/>
      <c r="Q517" s="37">
        <f t="shared" si="85"/>
        <v>3.24828349003896</v>
      </c>
      <c r="R517" s="219"/>
      <c r="S517" s="23" t="s">
        <v>63</v>
      </c>
      <c r="T517" s="804"/>
      <c r="U517" s="120"/>
      <c r="X517" s="2180"/>
      <c r="AA517" s="839"/>
      <c r="AB517" s="839"/>
      <c r="AC517" s="1940"/>
    </row>
    <row r="518" s="839" customFormat="1" ht="16" hidden="1" customHeight="1" spans="1:29">
      <c r="A518" s="839">
        <v>389</v>
      </c>
      <c r="B518" s="23" t="s">
        <v>41</v>
      </c>
      <c r="C518" s="23"/>
      <c r="D518" s="21">
        <v>20250402</v>
      </c>
      <c r="E518" s="21">
        <v>7.17</v>
      </c>
      <c r="F518" s="2132" t="s">
        <v>1421</v>
      </c>
      <c r="G518" s="21" t="s">
        <v>1422</v>
      </c>
      <c r="H518" s="21"/>
      <c r="I518" s="21"/>
      <c r="J518" s="21"/>
      <c r="K518" s="2048"/>
      <c r="L518" s="36"/>
      <c r="M518" s="22">
        <v>0.316297707112266</v>
      </c>
      <c r="N518" s="22">
        <v>1.44949488376951</v>
      </c>
      <c r="O518" s="37">
        <v>0.2</v>
      </c>
      <c r="P518" s="37"/>
      <c r="Q518" s="37">
        <f t="shared" si="85"/>
        <v>1.96579259088178</v>
      </c>
      <c r="R518" s="219"/>
      <c r="S518" s="23" t="s">
        <v>63</v>
      </c>
      <c r="T518" s="804"/>
      <c r="U518" s="120"/>
      <c r="X518" s="1940"/>
      <c r="AC518" s="1940"/>
    </row>
    <row r="519" s="839" customFormat="1" ht="16" hidden="1" customHeight="1" spans="1:29">
      <c r="A519" s="839">
        <v>390</v>
      </c>
      <c r="B519" s="23" t="s">
        <v>41</v>
      </c>
      <c r="C519" s="23"/>
      <c r="D519" s="21">
        <v>20250618</v>
      </c>
      <c r="E519" s="21">
        <v>7.17</v>
      </c>
      <c r="F519" s="2132" t="s">
        <v>211</v>
      </c>
      <c r="G519" s="21" t="s">
        <v>212</v>
      </c>
      <c r="H519" s="21"/>
      <c r="I519" s="21"/>
      <c r="J519" s="21"/>
      <c r="K519" s="2048"/>
      <c r="L519" s="36"/>
      <c r="M519" s="22">
        <v>0.35657422149813</v>
      </c>
      <c r="N519" s="22">
        <v>2.84956229899393</v>
      </c>
      <c r="O519" s="37">
        <v>0.2</v>
      </c>
      <c r="P519" s="37"/>
      <c r="Q519" s="37">
        <f t="shared" si="85"/>
        <v>3.40613652049206</v>
      </c>
      <c r="R519" s="219"/>
      <c r="S519" s="23" t="s">
        <v>213</v>
      </c>
      <c r="T519" s="804"/>
      <c r="U519" s="120"/>
      <c r="X519" s="1940"/>
      <c r="AC519" s="1940"/>
    </row>
    <row r="520" s="839" customFormat="1" ht="16" hidden="1" customHeight="1" spans="1:29">
      <c r="A520" s="839">
        <v>391</v>
      </c>
      <c r="B520" s="23" t="s">
        <v>41</v>
      </c>
      <c r="C520" s="23"/>
      <c r="D520" s="21">
        <v>20250618</v>
      </c>
      <c r="E520" s="21">
        <v>7.17</v>
      </c>
      <c r="F520" s="2132" t="s">
        <v>214</v>
      </c>
      <c r="G520" s="21" t="s">
        <v>215</v>
      </c>
      <c r="H520" s="21"/>
      <c r="I520" s="21"/>
      <c r="J520" s="21"/>
      <c r="K520" s="2048"/>
      <c r="L520" s="36"/>
      <c r="M520" s="22">
        <v>0.356697646289234</v>
      </c>
      <c r="N520" s="22">
        <v>1.36450096525987</v>
      </c>
      <c r="O520" s="37">
        <v>0.2</v>
      </c>
      <c r="P520" s="37"/>
      <c r="Q520" s="37">
        <f t="shared" si="85"/>
        <v>1.9211986115491</v>
      </c>
      <c r="R520" s="219"/>
      <c r="S520" s="23" t="s">
        <v>63</v>
      </c>
      <c r="T520" s="804"/>
      <c r="U520" s="120"/>
      <c r="X520" s="1940"/>
      <c r="AC520" s="1940"/>
    </row>
    <row r="521" s="187" customFormat="1" ht="16" hidden="1" customHeight="1" spans="1:29">
      <c r="A521" s="839">
        <v>392</v>
      </c>
      <c r="B521" s="23" t="s">
        <v>41</v>
      </c>
      <c r="C521" s="23"/>
      <c r="D521" s="21">
        <v>20250106</v>
      </c>
      <c r="E521" s="21">
        <v>7.17</v>
      </c>
      <c r="F521" s="2132" t="s">
        <v>216</v>
      </c>
      <c r="G521" s="21" t="s">
        <v>217</v>
      </c>
      <c r="H521" s="21"/>
      <c r="I521" s="21"/>
      <c r="J521" s="21"/>
      <c r="K521" s="2048"/>
      <c r="L521" s="36"/>
      <c r="M521" s="22">
        <v>0.41232006126811</v>
      </c>
      <c r="N521" s="22">
        <v>1.35805437311823</v>
      </c>
      <c r="O521" s="37">
        <v>0.2</v>
      </c>
      <c r="P521" s="37"/>
      <c r="Q521" s="37">
        <f t="shared" si="85"/>
        <v>1.97037443438634</v>
      </c>
      <c r="R521" s="219"/>
      <c r="S521" s="23" t="s">
        <v>63</v>
      </c>
      <c r="T521" s="804"/>
      <c r="U521" s="120"/>
      <c r="X521" s="2180"/>
      <c r="AA521" s="839"/>
      <c r="AB521" s="839"/>
      <c r="AC521" s="1940"/>
    </row>
    <row r="522" s="187" customFormat="1" ht="16" hidden="1" customHeight="1" spans="1:29">
      <c r="A522" s="839">
        <v>393</v>
      </c>
      <c r="B522" s="23" t="s">
        <v>41</v>
      </c>
      <c r="C522" s="23"/>
      <c r="D522" s="21">
        <v>20240919</v>
      </c>
      <c r="E522" s="21">
        <v>7.17</v>
      </c>
      <c r="F522" s="2132" t="s">
        <v>223</v>
      </c>
      <c r="G522" s="21" t="s">
        <v>224</v>
      </c>
      <c r="H522" s="21"/>
      <c r="I522" s="21"/>
      <c r="J522" s="21"/>
      <c r="K522" s="2048"/>
      <c r="L522" s="36"/>
      <c r="M522" s="22">
        <v>0.444047272494986</v>
      </c>
      <c r="N522" s="22">
        <v>1.52797558583448</v>
      </c>
      <c r="O522" s="37">
        <v>0.2</v>
      </c>
      <c r="P522" s="37"/>
      <c r="Q522" s="37">
        <f t="shared" si="85"/>
        <v>2.17202285832947</v>
      </c>
      <c r="R522" s="219"/>
      <c r="S522" s="23" t="s">
        <v>2847</v>
      </c>
      <c r="T522" s="804"/>
      <c r="U522" s="120"/>
      <c r="X522" s="2180"/>
      <c r="AA522" s="839"/>
      <c r="AB522" s="839"/>
      <c r="AC522" s="1940"/>
    </row>
    <row r="523" s="839" customFormat="1" ht="16" hidden="1" customHeight="1" spans="1:29">
      <c r="A523" s="839">
        <v>394</v>
      </c>
      <c r="B523" s="23" t="s">
        <v>225</v>
      </c>
      <c r="C523" s="23"/>
      <c r="D523" s="21"/>
      <c r="E523" s="21"/>
      <c r="F523" s="2132" t="s">
        <v>226</v>
      </c>
      <c r="G523" s="690" t="s">
        <v>227</v>
      </c>
      <c r="H523" s="690"/>
      <c r="I523" s="21"/>
      <c r="J523" s="21"/>
      <c r="K523" s="2048"/>
      <c r="L523" s="779"/>
      <c r="M523" s="22">
        <v>4.5019551348014</v>
      </c>
      <c r="N523" s="22">
        <v>3.54485351628936</v>
      </c>
      <c r="O523" s="37">
        <v>0.4</v>
      </c>
      <c r="P523" s="37"/>
      <c r="Q523" s="37">
        <f t="shared" si="85"/>
        <v>8.44680865109076</v>
      </c>
      <c r="R523" s="219"/>
      <c r="S523" s="39" t="s">
        <v>25</v>
      </c>
      <c r="T523" s="1931"/>
      <c r="U523" s="120" t="s">
        <v>1406</v>
      </c>
      <c r="X523" s="1940"/>
      <c r="AC523" s="1940"/>
    </row>
    <row r="524" s="839" customFormat="1" ht="16" hidden="1" customHeight="1" spans="1:29">
      <c r="A524" s="839">
        <v>395</v>
      </c>
      <c r="B524" s="23" t="s">
        <v>225</v>
      </c>
      <c r="C524" s="23"/>
      <c r="D524" s="21"/>
      <c r="E524" s="21"/>
      <c r="F524" s="2132" t="s">
        <v>228</v>
      </c>
      <c r="G524" s="690" t="s">
        <v>229</v>
      </c>
      <c r="H524" s="690"/>
      <c r="I524" s="21"/>
      <c r="J524" s="21"/>
      <c r="K524" s="2048"/>
      <c r="L524" s="779"/>
      <c r="M524" s="22">
        <v>0.75375591685532</v>
      </c>
      <c r="N524" s="22">
        <v>5.82287675383824</v>
      </c>
      <c r="O524" s="37">
        <v>0.4</v>
      </c>
      <c r="P524" s="37"/>
      <c r="Q524" s="37">
        <f t="shared" si="85"/>
        <v>6.97663267069356</v>
      </c>
      <c r="R524" s="219"/>
      <c r="S524" s="39"/>
      <c r="T524" s="1931"/>
      <c r="U524" s="120" t="s">
        <v>1406</v>
      </c>
      <c r="X524" s="1940"/>
      <c r="AC524" s="1940"/>
    </row>
    <row r="525" s="839" customFormat="1" ht="16" hidden="1" customHeight="1" spans="1:29">
      <c r="A525" s="839">
        <v>396</v>
      </c>
      <c r="B525" s="23" t="s">
        <v>225</v>
      </c>
      <c r="C525" s="23"/>
      <c r="D525" s="21">
        <v>20250617</v>
      </c>
      <c r="E525" s="21">
        <v>7.17</v>
      </c>
      <c r="F525" s="2132" t="s">
        <v>230</v>
      </c>
      <c r="G525" s="21" t="s">
        <v>231</v>
      </c>
      <c r="H525" s="21"/>
      <c r="I525" s="21"/>
      <c r="J525" s="21"/>
      <c r="K525" s="2048"/>
      <c r="L525" s="779"/>
      <c r="M525" s="22">
        <v>0.619592451339776</v>
      </c>
      <c r="N525" s="22">
        <v>3.38051803704719</v>
      </c>
      <c r="O525" s="37">
        <v>0.4</v>
      </c>
      <c r="P525" s="37"/>
      <c r="Q525" s="37">
        <f t="shared" si="85"/>
        <v>4.40011048838697</v>
      </c>
      <c r="R525" s="219"/>
      <c r="S525" s="39" t="s">
        <v>232</v>
      </c>
      <c r="T525" s="1931"/>
      <c r="U525" s="120"/>
      <c r="X525" s="1940"/>
      <c r="AC525" s="1940"/>
    </row>
    <row r="526" s="839" customFormat="1" ht="16" hidden="1" customHeight="1" spans="1:29">
      <c r="A526" s="839">
        <v>397</v>
      </c>
      <c r="B526" s="23" t="s">
        <v>225</v>
      </c>
      <c r="C526" s="23"/>
      <c r="D526" s="21">
        <v>20250716</v>
      </c>
      <c r="E526" s="21">
        <v>7.17</v>
      </c>
      <c r="F526" s="2132" t="s">
        <v>233</v>
      </c>
      <c r="G526" s="690" t="s">
        <v>234</v>
      </c>
      <c r="H526" s="690"/>
      <c r="I526" s="21"/>
      <c r="J526" s="21"/>
      <c r="K526" s="2048"/>
      <c r="L526" s="779"/>
      <c r="M526" s="22">
        <v>0.576393774453537</v>
      </c>
      <c r="N526" s="704">
        <v>3.42944849211439</v>
      </c>
      <c r="O526" s="37">
        <v>0.4</v>
      </c>
      <c r="P526" s="37"/>
      <c r="Q526" s="37">
        <f t="shared" si="85"/>
        <v>4.40584226656793</v>
      </c>
      <c r="R526" s="219"/>
      <c r="S526" s="39" t="s">
        <v>235</v>
      </c>
      <c r="T526" s="1931"/>
      <c r="U526" s="120" t="s">
        <v>1406</v>
      </c>
      <c r="X526" s="1940"/>
      <c r="AC526" s="1940"/>
    </row>
    <row r="527" s="839" customFormat="1" ht="16" hidden="1" customHeight="1" spans="1:29">
      <c r="A527" s="839">
        <v>398</v>
      </c>
      <c r="B527" s="23" t="s">
        <v>236</v>
      </c>
      <c r="C527" s="23"/>
      <c r="D527" s="21">
        <v>20240627</v>
      </c>
      <c r="E527" s="21">
        <v>7.17</v>
      </c>
      <c r="F527" s="2132" t="s">
        <v>237</v>
      </c>
      <c r="G527" s="690" t="s">
        <v>238</v>
      </c>
      <c r="H527" s="690"/>
      <c r="I527" s="21"/>
      <c r="J527" s="21"/>
      <c r="K527" s="2048"/>
      <c r="L527" s="779"/>
      <c r="M527" s="22">
        <v>0.394959331531331</v>
      </c>
      <c r="N527" s="22">
        <v>1.72541444379716</v>
      </c>
      <c r="O527" s="37">
        <v>0.2</v>
      </c>
      <c r="P527" s="37"/>
      <c r="Q527" s="37">
        <f t="shared" si="85"/>
        <v>2.32037377532849</v>
      </c>
      <c r="R527" s="219"/>
      <c r="S527" s="39" t="s">
        <v>2851</v>
      </c>
      <c r="T527" s="1931"/>
      <c r="U527" s="120"/>
      <c r="X527" s="1940"/>
      <c r="AC527" s="1940"/>
    </row>
    <row r="528" s="839" customFormat="1" ht="16" hidden="1" customHeight="1" spans="1:29">
      <c r="A528" s="839">
        <v>399</v>
      </c>
      <c r="B528" s="23" t="s">
        <v>236</v>
      </c>
      <c r="C528" s="23"/>
      <c r="D528" s="21">
        <v>20250326</v>
      </c>
      <c r="E528" s="21">
        <v>7.17</v>
      </c>
      <c r="F528" s="2132" t="s">
        <v>240</v>
      </c>
      <c r="G528" s="690" t="s">
        <v>241</v>
      </c>
      <c r="H528" s="690"/>
      <c r="I528" s="21"/>
      <c r="J528" s="21"/>
      <c r="K528" s="2048"/>
      <c r="L528" s="779"/>
      <c r="M528" s="22">
        <v>0.350758157692591</v>
      </c>
      <c r="N528" s="22">
        <v>1.38988701614034</v>
      </c>
      <c r="O528" s="37">
        <v>0.2</v>
      </c>
      <c r="P528" s="37"/>
      <c r="Q528" s="37">
        <f t="shared" si="85"/>
        <v>1.94064517383293</v>
      </c>
      <c r="R528" s="219"/>
      <c r="S528" s="39" t="s">
        <v>2851</v>
      </c>
      <c r="T528" s="1931"/>
      <c r="U528" s="120"/>
      <c r="X528" s="1940"/>
      <c r="AC528" s="1940"/>
    </row>
    <row r="529" s="839" customFormat="1" ht="16" hidden="1" customHeight="1" spans="1:29">
      <c r="A529" s="839">
        <v>400</v>
      </c>
      <c r="B529" s="23" t="s">
        <v>236</v>
      </c>
      <c r="C529" s="23"/>
      <c r="D529" s="21">
        <v>20241129</v>
      </c>
      <c r="E529" s="21">
        <v>7.17</v>
      </c>
      <c r="F529" s="2132" t="s">
        <v>242</v>
      </c>
      <c r="G529" s="690" t="s">
        <v>243</v>
      </c>
      <c r="H529" s="690"/>
      <c r="I529" s="21"/>
      <c r="J529" s="21"/>
      <c r="K529" s="2048"/>
      <c r="L529" s="779"/>
      <c r="M529" s="22">
        <v>0.399987372807341</v>
      </c>
      <c r="N529" s="22">
        <v>3.70246958361206</v>
      </c>
      <c r="O529" s="37">
        <v>0.2</v>
      </c>
      <c r="P529" s="37"/>
      <c r="Q529" s="37">
        <f t="shared" si="85"/>
        <v>4.3024569564194</v>
      </c>
      <c r="R529" s="219"/>
      <c r="S529" s="39" t="s">
        <v>244</v>
      </c>
      <c r="T529" s="1931"/>
      <c r="U529" s="120"/>
      <c r="X529" s="1940"/>
      <c r="AC529" s="1940"/>
    </row>
    <row r="530" s="839" customFormat="1" ht="16" hidden="1" customHeight="1" spans="1:29">
      <c r="A530" s="839">
        <v>401</v>
      </c>
      <c r="B530" s="23" t="s">
        <v>236</v>
      </c>
      <c r="C530" s="23"/>
      <c r="D530" s="21">
        <v>20241018</v>
      </c>
      <c r="E530" s="21">
        <v>7.17</v>
      </c>
      <c r="F530" s="2132" t="s">
        <v>245</v>
      </c>
      <c r="G530" s="690" t="s">
        <v>246</v>
      </c>
      <c r="H530" s="690"/>
      <c r="I530" s="21"/>
      <c r="J530" s="21"/>
      <c r="K530" s="2048"/>
      <c r="L530" s="779"/>
      <c r="M530" s="22">
        <v>0.47066948368511</v>
      </c>
      <c r="N530" s="22">
        <v>4.62179354761821</v>
      </c>
      <c r="O530" s="37">
        <v>0.2</v>
      </c>
      <c r="P530" s="37"/>
      <c r="Q530" s="37">
        <f t="shared" si="85"/>
        <v>5.29246303130332</v>
      </c>
      <c r="R530" s="219"/>
      <c r="S530" s="39" t="s">
        <v>2852</v>
      </c>
      <c r="T530" s="1931"/>
      <c r="U530" s="120"/>
      <c r="X530" s="1940"/>
      <c r="AC530" s="1940"/>
    </row>
    <row r="531" s="839" customFormat="1" ht="16" hidden="1" customHeight="1" spans="1:29">
      <c r="A531" s="839">
        <v>402</v>
      </c>
      <c r="B531" s="23" t="s">
        <v>236</v>
      </c>
      <c r="C531" s="23"/>
      <c r="D531" s="21">
        <v>20241018</v>
      </c>
      <c r="E531" s="21">
        <v>7.17</v>
      </c>
      <c r="F531" s="2132" t="s">
        <v>248</v>
      </c>
      <c r="G531" s="21" t="s">
        <v>249</v>
      </c>
      <c r="H531" s="21"/>
      <c r="I531" s="21"/>
      <c r="J531" s="21"/>
      <c r="K531" s="2048"/>
      <c r="L531" s="779"/>
      <c r="M531" s="22">
        <v>0.485080744970884</v>
      </c>
      <c r="N531" s="22">
        <v>2.19667900087389</v>
      </c>
      <c r="O531" s="37">
        <v>0.2</v>
      </c>
      <c r="P531" s="37"/>
      <c r="Q531" s="37">
        <f t="shared" si="85"/>
        <v>2.88175974584477</v>
      </c>
      <c r="R531" s="219"/>
      <c r="S531" s="39" t="s">
        <v>2851</v>
      </c>
      <c r="T531" s="1931"/>
      <c r="U531" s="120"/>
      <c r="X531" s="1940"/>
      <c r="AC531" s="1940"/>
    </row>
    <row r="532" s="839" customFormat="1" ht="16" hidden="1" customHeight="1" spans="1:29">
      <c r="A532" s="839">
        <v>403</v>
      </c>
      <c r="B532" s="23" t="s">
        <v>236</v>
      </c>
      <c r="C532" s="23"/>
      <c r="D532" s="21">
        <v>20241018</v>
      </c>
      <c r="E532" s="21">
        <v>7.17</v>
      </c>
      <c r="F532" s="2132" t="s">
        <v>250</v>
      </c>
      <c r="G532" s="21" t="s">
        <v>251</v>
      </c>
      <c r="H532" s="21"/>
      <c r="I532" s="21"/>
      <c r="J532" s="21"/>
      <c r="K532" s="2048"/>
      <c r="L532" s="779"/>
      <c r="M532" s="22">
        <v>0.414500213295227</v>
      </c>
      <c r="N532" s="22">
        <v>3.13796813134632</v>
      </c>
      <c r="O532" s="37">
        <v>0.4</v>
      </c>
      <c r="P532" s="37"/>
      <c r="Q532" s="37">
        <f t="shared" si="85"/>
        <v>3.95246834464155</v>
      </c>
      <c r="R532" s="219"/>
      <c r="S532" s="39" t="s">
        <v>2853</v>
      </c>
      <c r="T532" s="1931"/>
      <c r="U532" s="120"/>
      <c r="X532" s="1940"/>
      <c r="AC532" s="1940"/>
    </row>
    <row r="533" s="839" customFormat="1" ht="16" hidden="1" customHeight="1" spans="1:29">
      <c r="A533" s="839">
        <v>404</v>
      </c>
      <c r="B533" s="23" t="s">
        <v>236</v>
      </c>
      <c r="C533" s="23"/>
      <c r="D533" s="21">
        <v>20241018</v>
      </c>
      <c r="E533" s="21">
        <v>7.17</v>
      </c>
      <c r="F533" s="2132" t="s">
        <v>253</v>
      </c>
      <c r="G533" s="876" t="s">
        <v>254</v>
      </c>
      <c r="H533" s="876"/>
      <c r="I533" s="876"/>
      <c r="J533" s="840"/>
      <c r="K533" s="2048"/>
      <c r="L533" s="39"/>
      <c r="M533" s="22">
        <v>0.485080744970884</v>
      </c>
      <c r="N533" s="22">
        <v>2.15081362845446</v>
      </c>
      <c r="O533" s="37">
        <v>0.2</v>
      </c>
      <c r="P533" s="37"/>
      <c r="Q533" s="37">
        <f t="shared" si="85"/>
        <v>2.83589437342534</v>
      </c>
      <c r="R533" s="219"/>
      <c r="S533" s="39" t="s">
        <v>2851</v>
      </c>
      <c r="T533" s="1931"/>
      <c r="U533" s="120"/>
      <c r="X533" s="1940"/>
      <c r="AC533" s="1940"/>
    </row>
    <row r="534" s="839" customFormat="1" ht="16" hidden="1" customHeight="1" spans="1:29">
      <c r="A534" s="839">
        <v>405</v>
      </c>
      <c r="B534" s="23" t="s">
        <v>236</v>
      </c>
      <c r="C534" s="23"/>
      <c r="D534" s="21">
        <v>20241203</v>
      </c>
      <c r="E534" s="21">
        <v>7.17</v>
      </c>
      <c r="F534" s="2132" t="s">
        <v>255</v>
      </c>
      <c r="G534" s="876" t="s">
        <v>256</v>
      </c>
      <c r="H534" s="876"/>
      <c r="I534" s="876"/>
      <c r="J534" s="840"/>
      <c r="K534" s="2048"/>
      <c r="L534" s="39"/>
      <c r="M534" s="22">
        <v>0.466446813212253</v>
      </c>
      <c r="N534" s="22">
        <v>2.61929797497401</v>
      </c>
      <c r="O534" s="37">
        <v>0.2</v>
      </c>
      <c r="P534" s="37"/>
      <c r="Q534" s="37">
        <f t="shared" si="85"/>
        <v>3.28574478818626</v>
      </c>
      <c r="R534" s="219"/>
      <c r="S534" s="39" t="s">
        <v>257</v>
      </c>
      <c r="T534" s="1931"/>
      <c r="U534" s="120"/>
      <c r="X534" s="1940"/>
      <c r="AC534" s="1940"/>
    </row>
    <row r="535" s="839" customFormat="1" ht="16" hidden="1" customHeight="1" spans="1:29">
      <c r="A535" s="839">
        <v>406</v>
      </c>
      <c r="B535" s="23" t="s">
        <v>236</v>
      </c>
      <c r="C535" s="23"/>
      <c r="D535" s="21">
        <v>20250220</v>
      </c>
      <c r="E535" s="21">
        <v>7.17</v>
      </c>
      <c r="F535" s="2132" t="s">
        <v>258</v>
      </c>
      <c r="G535" s="876" t="s">
        <v>259</v>
      </c>
      <c r="H535" s="876"/>
      <c r="I535" s="876"/>
      <c r="J535" s="840"/>
      <c r="K535" s="2048"/>
      <c r="L535" s="39"/>
      <c r="M535" s="22">
        <v>0.501535513121443</v>
      </c>
      <c r="N535" s="22">
        <v>2.83646746205876</v>
      </c>
      <c r="O535" s="37">
        <v>0.4</v>
      </c>
      <c r="P535" s="37"/>
      <c r="Q535" s="37">
        <f t="shared" si="85"/>
        <v>3.7380029751802</v>
      </c>
      <c r="R535" s="219"/>
      <c r="S535" s="39" t="s">
        <v>260</v>
      </c>
      <c r="T535" s="1931"/>
      <c r="U535" s="120"/>
      <c r="X535" s="1940"/>
      <c r="AC535" s="1940"/>
    </row>
    <row r="536" s="839" customFormat="1" ht="16" hidden="1" customHeight="1" spans="1:29">
      <c r="A536" s="839">
        <v>407</v>
      </c>
      <c r="B536" s="23" t="s">
        <v>236</v>
      </c>
      <c r="C536" s="23"/>
      <c r="D536" s="21">
        <v>20250312</v>
      </c>
      <c r="E536" s="21">
        <v>7.17</v>
      </c>
      <c r="F536" s="2132" t="s">
        <v>261</v>
      </c>
      <c r="G536" s="876" t="s">
        <v>262</v>
      </c>
      <c r="H536" s="876"/>
      <c r="I536" s="876"/>
      <c r="J536" s="840"/>
      <c r="K536" s="2048"/>
      <c r="L536" s="39"/>
      <c r="M536" s="22">
        <v>0.470248454104491</v>
      </c>
      <c r="N536" s="22">
        <v>2.72487482817541</v>
      </c>
      <c r="O536" s="37">
        <v>0.4</v>
      </c>
      <c r="P536" s="37"/>
      <c r="Q536" s="37">
        <f t="shared" si="85"/>
        <v>3.5951232822799</v>
      </c>
      <c r="R536" s="219"/>
      <c r="S536" s="39" t="s">
        <v>260</v>
      </c>
      <c r="T536" s="1931"/>
      <c r="U536" s="120"/>
      <c r="X536" s="1940"/>
      <c r="AC536" s="1940"/>
    </row>
    <row r="537" s="839" customFormat="1" ht="16" hidden="1" customHeight="1" spans="1:29">
      <c r="A537" s="839">
        <v>408</v>
      </c>
      <c r="B537" s="23" t="s">
        <v>236</v>
      </c>
      <c r="C537" s="23"/>
      <c r="D537" s="21">
        <v>20250312</v>
      </c>
      <c r="E537" s="21">
        <v>7.17</v>
      </c>
      <c r="F537" s="2132" t="s">
        <v>263</v>
      </c>
      <c r="G537" s="876" t="s">
        <v>264</v>
      </c>
      <c r="H537" s="876"/>
      <c r="I537" s="876"/>
      <c r="J537" s="840"/>
      <c r="K537" s="2048"/>
      <c r="L537" s="39"/>
      <c r="M537" s="22">
        <v>0.509522376437659</v>
      </c>
      <c r="N537" s="22">
        <v>2.00461343207113</v>
      </c>
      <c r="O537" s="37">
        <v>0.4</v>
      </c>
      <c r="P537" s="37"/>
      <c r="Q537" s="37">
        <f t="shared" si="85"/>
        <v>2.91413580850879</v>
      </c>
      <c r="R537" s="219"/>
      <c r="S537" s="39" t="s">
        <v>63</v>
      </c>
      <c r="T537" s="1931"/>
      <c r="U537" s="120"/>
      <c r="X537" s="1940"/>
      <c r="AC537" s="1940"/>
    </row>
    <row r="538" s="839" customFormat="1" ht="16" hidden="1" customHeight="1" spans="1:29">
      <c r="A538" s="839">
        <v>409</v>
      </c>
      <c r="B538" s="23" t="s">
        <v>236</v>
      </c>
      <c r="C538" s="23"/>
      <c r="D538" s="21">
        <v>20250312</v>
      </c>
      <c r="E538" s="21">
        <v>7.17</v>
      </c>
      <c r="F538" s="2132" t="s">
        <v>265</v>
      </c>
      <c r="G538" s="876" t="s">
        <v>266</v>
      </c>
      <c r="H538" s="876"/>
      <c r="I538" s="876"/>
      <c r="J538" s="840"/>
      <c r="K538" s="2048"/>
      <c r="L538" s="39"/>
      <c r="M538" s="22">
        <v>0.465216082834384</v>
      </c>
      <c r="N538" s="22">
        <v>2.13364464136622</v>
      </c>
      <c r="O538" s="37">
        <v>0.4</v>
      </c>
      <c r="P538" s="37"/>
      <c r="Q538" s="37">
        <f t="shared" si="85"/>
        <v>2.9988607242006</v>
      </c>
      <c r="R538" s="219"/>
      <c r="S538" s="39" t="s">
        <v>63</v>
      </c>
      <c r="T538" s="1931"/>
      <c r="U538" s="120"/>
      <c r="X538" s="1940"/>
      <c r="AC538" s="1940"/>
    </row>
    <row r="539" s="839" customFormat="1" ht="16" hidden="1" customHeight="1" spans="1:29">
      <c r="A539" s="839">
        <v>410</v>
      </c>
      <c r="B539" s="23" t="s">
        <v>236</v>
      </c>
      <c r="C539" s="23"/>
      <c r="D539" s="21">
        <v>20250410</v>
      </c>
      <c r="E539" s="21">
        <v>7.17</v>
      </c>
      <c r="F539" s="2132" t="s">
        <v>267</v>
      </c>
      <c r="G539" s="876" t="s">
        <v>268</v>
      </c>
      <c r="H539" s="876"/>
      <c r="I539" s="876"/>
      <c r="J539" s="840"/>
      <c r="K539" s="2048"/>
      <c r="L539" s="39"/>
      <c r="M539" s="22">
        <v>0.345023788482259</v>
      </c>
      <c r="N539" s="22">
        <v>1.35944840719189</v>
      </c>
      <c r="O539" s="37">
        <v>0.2</v>
      </c>
      <c r="P539" s="37"/>
      <c r="Q539" s="37">
        <f t="shared" si="85"/>
        <v>1.90447219567415</v>
      </c>
      <c r="R539" s="219"/>
      <c r="S539" s="39" t="s">
        <v>197</v>
      </c>
      <c r="T539" s="1931"/>
      <c r="U539" s="120"/>
      <c r="X539" s="1940"/>
      <c r="AC539" s="1940"/>
    </row>
    <row r="540" s="839" customFormat="1" ht="16" hidden="1" customHeight="1" spans="1:29">
      <c r="A540" s="839">
        <v>411</v>
      </c>
      <c r="B540" s="23" t="s">
        <v>236</v>
      </c>
      <c r="C540" s="23"/>
      <c r="D540" s="21">
        <v>20250220</v>
      </c>
      <c r="E540" s="21">
        <v>7.17</v>
      </c>
      <c r="F540" s="2132" t="s">
        <v>269</v>
      </c>
      <c r="G540" s="876" t="s">
        <v>270</v>
      </c>
      <c r="H540" s="876"/>
      <c r="I540" s="876"/>
      <c r="J540" s="840"/>
      <c r="K540" s="2048"/>
      <c r="L540" s="39"/>
      <c r="M540" s="22">
        <v>0.468289085545723</v>
      </c>
      <c r="N540" s="22">
        <v>2.58515404979351</v>
      </c>
      <c r="O540" s="37">
        <v>0.4</v>
      </c>
      <c r="P540" s="37"/>
      <c r="Q540" s="37">
        <f t="shared" si="85"/>
        <v>3.45344313533923</v>
      </c>
      <c r="R540" s="219"/>
      <c r="S540" s="39" t="s">
        <v>271</v>
      </c>
      <c r="T540" s="1931"/>
      <c r="U540" s="120"/>
      <c r="X540" s="1940"/>
      <c r="AC540" s="1940"/>
    </row>
    <row r="541" s="839" customFormat="1" ht="16" hidden="1" customHeight="1" spans="1:29">
      <c r="A541" s="839">
        <v>412</v>
      </c>
      <c r="B541" s="23" t="s">
        <v>236</v>
      </c>
      <c r="C541" s="23"/>
      <c r="D541" s="21">
        <v>20250603</v>
      </c>
      <c r="E541" s="21"/>
      <c r="F541" s="2132" t="s">
        <v>273</v>
      </c>
      <c r="G541" s="876" t="s">
        <v>274</v>
      </c>
      <c r="H541" s="876"/>
      <c r="I541" s="876"/>
      <c r="J541" s="840"/>
      <c r="K541" s="2048"/>
      <c r="L541" s="39"/>
      <c r="M541" s="22">
        <v>0.451081612586037</v>
      </c>
      <c r="N541" s="22">
        <v>3.25166178949852</v>
      </c>
      <c r="O541" s="37">
        <v>0.4</v>
      </c>
      <c r="P541" s="37"/>
      <c r="Q541" s="37">
        <f t="shared" ref="Q541:Q584" si="86">SUM(K541:O541)</f>
        <v>4.10274340208456</v>
      </c>
      <c r="R541" s="219"/>
      <c r="S541" s="39" t="s">
        <v>275</v>
      </c>
      <c r="T541" s="1931"/>
      <c r="U541" s="120"/>
      <c r="X541" s="1940"/>
      <c r="AC541" s="1940"/>
    </row>
    <row r="542" s="839" customFormat="1" ht="16" hidden="1" customHeight="1" spans="1:29">
      <c r="A542" s="839">
        <v>413</v>
      </c>
      <c r="B542" s="23" t="s">
        <v>236</v>
      </c>
      <c r="C542" s="23"/>
      <c r="D542" s="21">
        <v>20250603</v>
      </c>
      <c r="E542" s="21"/>
      <c r="F542" s="2132" t="s">
        <v>276</v>
      </c>
      <c r="G542" s="876" t="s">
        <v>277</v>
      </c>
      <c r="H542" s="876"/>
      <c r="I542" s="876"/>
      <c r="J542" s="840"/>
      <c r="K542" s="2048"/>
      <c r="L542" s="39"/>
      <c r="M542" s="22">
        <v>0.529744346116028</v>
      </c>
      <c r="N542" s="22">
        <v>1.88666371732547</v>
      </c>
      <c r="O542" s="37">
        <v>0.2</v>
      </c>
      <c r="P542" s="37"/>
      <c r="Q542" s="37">
        <f t="shared" si="86"/>
        <v>2.6164080634415</v>
      </c>
      <c r="R542" s="219"/>
      <c r="S542" s="39" t="s">
        <v>278</v>
      </c>
      <c r="T542" s="1931"/>
      <c r="U542" s="120"/>
      <c r="X542" s="1940"/>
      <c r="AC542" s="1940"/>
    </row>
    <row r="543" s="839" customFormat="1" ht="16" hidden="1" customHeight="1" spans="1:29">
      <c r="A543" s="839">
        <v>414</v>
      </c>
      <c r="B543" s="23" t="s">
        <v>236</v>
      </c>
      <c r="C543" s="23"/>
      <c r="D543" s="21">
        <v>20250603</v>
      </c>
      <c r="E543" s="21"/>
      <c r="F543" s="2132" t="s">
        <v>279</v>
      </c>
      <c r="G543" s="876" t="s">
        <v>280</v>
      </c>
      <c r="H543" s="876"/>
      <c r="I543" s="876"/>
      <c r="J543" s="840"/>
      <c r="K543" s="2048"/>
      <c r="L543" s="39"/>
      <c r="M543" s="22">
        <v>0.735004916420846</v>
      </c>
      <c r="N543" s="22">
        <v>2.74784116334317</v>
      </c>
      <c r="O543" s="37">
        <v>0.4</v>
      </c>
      <c r="P543" s="37"/>
      <c r="Q543" s="37">
        <f t="shared" si="86"/>
        <v>3.88284607976402</v>
      </c>
      <c r="R543" s="219"/>
      <c r="S543" s="39" t="s">
        <v>281</v>
      </c>
      <c r="T543" s="1931"/>
      <c r="U543" s="120"/>
      <c r="X543" s="1940"/>
      <c r="AC543" s="1940"/>
    </row>
    <row r="544" s="839" customFormat="1" ht="16" hidden="1" customHeight="1" spans="1:29">
      <c r="A544" s="839">
        <v>415</v>
      </c>
      <c r="B544" s="23" t="s">
        <v>236</v>
      </c>
      <c r="C544" s="23"/>
      <c r="D544" s="21">
        <v>20250604</v>
      </c>
      <c r="E544" s="21"/>
      <c r="F544" s="2132" t="s">
        <v>282</v>
      </c>
      <c r="G544" s="876" t="s">
        <v>283</v>
      </c>
      <c r="H544" s="876"/>
      <c r="I544" s="876"/>
      <c r="J544" s="840"/>
      <c r="K544" s="2048"/>
      <c r="L544" s="39"/>
      <c r="M544" s="22">
        <v>0.63913470993117</v>
      </c>
      <c r="N544" s="22">
        <v>2.7928311240118</v>
      </c>
      <c r="O544" s="37">
        <v>0.4</v>
      </c>
      <c r="P544" s="37"/>
      <c r="Q544" s="37">
        <f t="shared" si="86"/>
        <v>3.83196583394297</v>
      </c>
      <c r="R544" s="219"/>
      <c r="S544" s="39" t="s">
        <v>281</v>
      </c>
      <c r="T544" s="1931"/>
      <c r="U544" s="120"/>
      <c r="X544" s="1940"/>
      <c r="AC544" s="1940"/>
    </row>
    <row r="545" s="839" customFormat="1" ht="16" hidden="1" customHeight="1" spans="1:29">
      <c r="A545" s="839">
        <v>416</v>
      </c>
      <c r="B545" s="23" t="s">
        <v>236</v>
      </c>
      <c r="C545" s="23"/>
      <c r="D545" s="21">
        <v>20250725</v>
      </c>
      <c r="E545" s="21">
        <v>7.17</v>
      </c>
      <c r="F545" s="2132" t="s">
        <v>284</v>
      </c>
      <c r="G545" s="876" t="s">
        <v>285</v>
      </c>
      <c r="H545" s="876"/>
      <c r="I545" s="876"/>
      <c r="J545" s="840"/>
      <c r="K545" s="2048"/>
      <c r="L545" s="39"/>
      <c r="M545" s="22">
        <v>0.452968983349996</v>
      </c>
      <c r="N545" s="22">
        <v>3.3514234079061</v>
      </c>
      <c r="O545" s="37">
        <v>0.4</v>
      </c>
      <c r="P545" s="37"/>
      <c r="Q545" s="37">
        <f t="shared" si="86"/>
        <v>4.2043923912561</v>
      </c>
      <c r="R545" s="219"/>
      <c r="S545" s="39" t="s">
        <v>286</v>
      </c>
      <c r="T545" s="1931"/>
      <c r="U545" s="120"/>
      <c r="X545" s="1940"/>
      <c r="AC545" s="1940"/>
    </row>
    <row r="546" s="839" customFormat="1" ht="16" hidden="1" customHeight="1" spans="1:29">
      <c r="A546" s="839">
        <v>417</v>
      </c>
      <c r="B546" s="23" t="s">
        <v>236</v>
      </c>
      <c r="C546" s="23"/>
      <c r="D546" s="21">
        <v>20250725</v>
      </c>
      <c r="E546" s="21">
        <v>7.17</v>
      </c>
      <c r="F546" s="2132" t="s">
        <v>287</v>
      </c>
      <c r="G546" s="876" t="s">
        <v>288</v>
      </c>
      <c r="H546" s="876"/>
      <c r="I546" s="876"/>
      <c r="J546" s="840"/>
      <c r="K546" s="2048"/>
      <c r="L546" s="39"/>
      <c r="M546" s="22">
        <v>0.452968983349996</v>
      </c>
      <c r="N546" s="22">
        <v>3.3514234079061</v>
      </c>
      <c r="O546" s="37">
        <v>0.4</v>
      </c>
      <c r="P546" s="37"/>
      <c r="Q546" s="37">
        <f t="shared" si="86"/>
        <v>4.2043923912561</v>
      </c>
      <c r="R546" s="219"/>
      <c r="S546" s="39" t="s">
        <v>286</v>
      </c>
      <c r="T546" s="1931"/>
      <c r="U546" s="120"/>
      <c r="X546" s="1940"/>
      <c r="AC546" s="1940"/>
    </row>
    <row r="547" s="839" customFormat="1" ht="16" hidden="1" customHeight="1" spans="1:29">
      <c r="A547" s="839">
        <v>418</v>
      </c>
      <c r="B547" s="23" t="s">
        <v>236</v>
      </c>
      <c r="C547" s="23"/>
      <c r="D547" s="21">
        <v>20250327</v>
      </c>
      <c r="E547" s="21">
        <v>7.17</v>
      </c>
      <c r="F547" s="2132" t="s">
        <v>289</v>
      </c>
      <c r="G547" s="876" t="s">
        <v>290</v>
      </c>
      <c r="H547" s="876"/>
      <c r="I547" s="876"/>
      <c r="J547" s="840"/>
      <c r="K547" s="2048"/>
      <c r="L547" s="39"/>
      <c r="M547" s="22">
        <v>0.440601475277009</v>
      </c>
      <c r="N547" s="22">
        <v>2.61691239336958</v>
      </c>
      <c r="O547" s="37">
        <v>0.4</v>
      </c>
      <c r="P547" s="37"/>
      <c r="Q547" s="37">
        <f t="shared" si="86"/>
        <v>3.45751386864659</v>
      </c>
      <c r="R547" s="219"/>
      <c r="S547" s="39" t="s">
        <v>271</v>
      </c>
      <c r="T547" s="1931"/>
      <c r="U547" s="120"/>
      <c r="X547" s="1940"/>
      <c r="AC547" s="1940"/>
    </row>
    <row r="548" s="839" customFormat="1" ht="16" hidden="1" customHeight="1" spans="1:29">
      <c r="A548" s="839">
        <v>419</v>
      </c>
      <c r="B548" s="23" t="s">
        <v>236</v>
      </c>
      <c r="C548" s="23"/>
      <c r="D548" s="21">
        <v>20241203</v>
      </c>
      <c r="E548" s="21">
        <v>7.17</v>
      </c>
      <c r="F548" s="2132" t="s">
        <v>291</v>
      </c>
      <c r="G548" s="21" t="s">
        <v>292</v>
      </c>
      <c r="H548" s="21"/>
      <c r="I548" s="21"/>
      <c r="J548" s="21"/>
      <c r="K548" s="2048"/>
      <c r="L548" s="779"/>
      <c r="M548" s="22">
        <v>0.466446813212253</v>
      </c>
      <c r="N548" s="22">
        <v>2.02023259160944</v>
      </c>
      <c r="O548" s="37">
        <v>0.2</v>
      </c>
      <c r="P548" s="37"/>
      <c r="Q548" s="37">
        <f t="shared" si="86"/>
        <v>2.68667940482169</v>
      </c>
      <c r="R548" s="219"/>
      <c r="S548" s="39" t="s">
        <v>257</v>
      </c>
      <c r="T548" s="1931"/>
      <c r="U548" s="120"/>
      <c r="X548" s="1940"/>
      <c r="AC548" s="1940"/>
    </row>
    <row r="549" s="839" customFormat="1" ht="16" hidden="1" customHeight="1" spans="1:29">
      <c r="A549" s="839">
        <v>420</v>
      </c>
      <c r="B549" s="23" t="s">
        <v>293</v>
      </c>
      <c r="C549" s="23"/>
      <c r="D549" s="21">
        <v>20250703</v>
      </c>
      <c r="E549" s="21">
        <v>7.17</v>
      </c>
      <c r="F549" s="2132" t="s">
        <v>294</v>
      </c>
      <c r="G549" s="21" t="s">
        <v>295</v>
      </c>
      <c r="H549" s="21"/>
      <c r="I549" s="21"/>
      <c r="J549" s="21"/>
      <c r="K549" s="2048"/>
      <c r="L549" s="779"/>
      <c r="M549" s="22">
        <v>0.466915984744696</v>
      </c>
      <c r="N549" s="22">
        <v>2.63615054344874</v>
      </c>
      <c r="O549" s="37">
        <v>0.4</v>
      </c>
      <c r="P549" s="37"/>
      <c r="Q549" s="37">
        <f t="shared" si="86"/>
        <v>3.50306652819344</v>
      </c>
      <c r="R549" s="219"/>
      <c r="S549" s="39" t="s">
        <v>271</v>
      </c>
      <c r="T549" s="1931"/>
      <c r="U549" s="120"/>
      <c r="X549" s="1940"/>
      <c r="AC549" s="1940"/>
    </row>
    <row r="550" s="839" customFormat="1" ht="16" hidden="1" customHeight="1" spans="1:29">
      <c r="A550" s="839">
        <v>421</v>
      </c>
      <c r="B550" s="23"/>
      <c r="C550" s="23"/>
      <c r="D550" s="21">
        <v>20250703</v>
      </c>
      <c r="E550" s="21">
        <v>7.17</v>
      </c>
      <c r="F550" s="2132" t="s">
        <v>296</v>
      </c>
      <c r="G550" s="21" t="s">
        <v>297</v>
      </c>
      <c r="H550" s="21"/>
      <c r="I550" s="21"/>
      <c r="J550" s="21"/>
      <c r="K550" s="2048"/>
      <c r="L550" s="779"/>
      <c r="M550" s="22">
        <v>0.466915984744696</v>
      </c>
      <c r="N550" s="22">
        <v>2.63615054344874</v>
      </c>
      <c r="O550" s="37">
        <v>0.4</v>
      </c>
      <c r="P550" s="37"/>
      <c r="Q550" s="37">
        <f t="shared" si="86"/>
        <v>3.50306652819344</v>
      </c>
      <c r="R550" s="219"/>
      <c r="S550" s="39" t="s">
        <v>271</v>
      </c>
      <c r="T550" s="1931"/>
      <c r="U550" s="120"/>
      <c r="X550" s="1940"/>
      <c r="AC550" s="1940"/>
    </row>
    <row r="551" s="839" customFormat="1" ht="16" hidden="1" customHeight="1" spans="1:29">
      <c r="A551" s="839">
        <v>422</v>
      </c>
      <c r="B551" s="23" t="s">
        <v>298</v>
      </c>
      <c r="C551" s="23"/>
      <c r="D551" s="21">
        <v>20250506</v>
      </c>
      <c r="E551" s="21"/>
      <c r="F551" s="2132" t="s">
        <v>299</v>
      </c>
      <c r="G551" s="21" t="s">
        <v>300</v>
      </c>
      <c r="H551" s="21"/>
      <c r="I551" s="21"/>
      <c r="J551" s="21"/>
      <c r="K551" s="2048"/>
      <c r="L551" s="779"/>
      <c r="M551" s="22">
        <v>0.336136508091723</v>
      </c>
      <c r="N551" s="22">
        <v>2.76529565619127</v>
      </c>
      <c r="O551" s="37">
        <v>0.4</v>
      </c>
      <c r="P551" s="37"/>
      <c r="Q551" s="37">
        <f t="shared" si="86"/>
        <v>3.50143216428299</v>
      </c>
      <c r="R551" s="219"/>
      <c r="S551" s="39" t="s">
        <v>260</v>
      </c>
      <c r="T551" s="1931"/>
      <c r="U551" s="120"/>
      <c r="X551" s="1940"/>
      <c r="AC551" s="1940"/>
    </row>
    <row r="552" s="839" customFormat="1" ht="16" hidden="1" customHeight="1" spans="1:29">
      <c r="A552" s="839">
        <v>423</v>
      </c>
      <c r="B552" s="23" t="s">
        <v>298</v>
      </c>
      <c r="C552" s="23"/>
      <c r="D552" s="21">
        <v>20250514</v>
      </c>
      <c r="E552" s="21"/>
      <c r="F552" s="2132" t="s">
        <v>301</v>
      </c>
      <c r="G552" s="21" t="s">
        <v>302</v>
      </c>
      <c r="H552" s="21"/>
      <c r="I552" s="21"/>
      <c r="J552" s="21"/>
      <c r="K552" s="2048"/>
      <c r="L552" s="779"/>
      <c r="M552" s="22">
        <v>0.336136508091723</v>
      </c>
      <c r="N552" s="22">
        <v>2.76381073955312</v>
      </c>
      <c r="O552" s="37">
        <v>0.4</v>
      </c>
      <c r="P552" s="37"/>
      <c r="Q552" s="37">
        <f t="shared" si="86"/>
        <v>3.49994724764484</v>
      </c>
      <c r="R552" s="219"/>
      <c r="S552" s="39" t="s">
        <v>260</v>
      </c>
      <c r="T552" s="1931"/>
      <c r="U552" s="120"/>
      <c r="X552" s="1940"/>
      <c r="AC552" s="1940"/>
    </row>
    <row r="553" s="839" customFormat="1" ht="16" hidden="1" customHeight="1" spans="1:29">
      <c r="A553" s="839">
        <v>424</v>
      </c>
      <c r="B553" s="23" t="s">
        <v>298</v>
      </c>
      <c r="C553" s="23"/>
      <c r="D553" s="21">
        <v>20250514</v>
      </c>
      <c r="E553" s="21">
        <v>7.17</v>
      </c>
      <c r="F553" s="2132" t="s">
        <v>303</v>
      </c>
      <c r="G553" s="21" t="s">
        <v>304</v>
      </c>
      <c r="H553" s="21"/>
      <c r="I553" s="21"/>
      <c r="J553" s="21"/>
      <c r="K553" s="2048"/>
      <c r="L553" s="779"/>
      <c r="M553" s="22">
        <v>0.322691047768054</v>
      </c>
      <c r="N553" s="22">
        <v>1.9068551407013</v>
      </c>
      <c r="O553" s="37">
        <v>0.2</v>
      </c>
      <c r="P553" s="37"/>
      <c r="Q553" s="37">
        <f t="shared" si="86"/>
        <v>2.42954618846935</v>
      </c>
      <c r="R553" s="219"/>
      <c r="S553" s="39" t="s">
        <v>305</v>
      </c>
      <c r="T553" s="1931"/>
      <c r="U553" s="120"/>
      <c r="X553" s="1940"/>
      <c r="AC553" s="1940"/>
    </row>
    <row r="554" s="839" customFormat="1" ht="16" hidden="1" customHeight="1" spans="1:29">
      <c r="A554" s="839">
        <v>425</v>
      </c>
      <c r="B554" s="23" t="s">
        <v>298</v>
      </c>
      <c r="C554" s="23"/>
      <c r="D554" s="21">
        <v>20250506</v>
      </c>
      <c r="E554" s="21"/>
      <c r="F554" s="2132" t="s">
        <v>306</v>
      </c>
      <c r="G554" s="21" t="s">
        <v>307</v>
      </c>
      <c r="H554" s="21"/>
      <c r="I554" s="21"/>
      <c r="J554" s="21"/>
      <c r="K554" s="2048"/>
      <c r="L554" s="779"/>
      <c r="M554" s="22">
        <v>0.322691047768054</v>
      </c>
      <c r="N554" s="22">
        <v>1.9068551407013</v>
      </c>
      <c r="O554" s="37">
        <v>0.2</v>
      </c>
      <c r="P554" s="37"/>
      <c r="Q554" s="37">
        <f t="shared" si="86"/>
        <v>2.42954618846935</v>
      </c>
      <c r="R554" s="219"/>
      <c r="S554" s="39" t="s">
        <v>308</v>
      </c>
      <c r="T554" s="1931"/>
      <c r="U554" s="120"/>
      <c r="X554" s="1940"/>
      <c r="AC554" s="1940"/>
    </row>
    <row r="555" s="42" customFormat="1" ht="16" hidden="1" customHeight="1" spans="1:29">
      <c r="A555" s="839">
        <v>426</v>
      </c>
      <c r="B555" s="23" t="s">
        <v>313</v>
      </c>
      <c r="C555" s="23"/>
      <c r="D555" s="21"/>
      <c r="E555" s="21"/>
      <c r="F555" s="2130" t="s">
        <v>1979</v>
      </c>
      <c r="G555" s="21" t="s">
        <v>1617</v>
      </c>
      <c r="H555" s="21"/>
      <c r="I555" s="21" t="s">
        <v>2358</v>
      </c>
      <c r="J555" s="21" t="s">
        <v>1428</v>
      </c>
      <c r="K555" s="2048">
        <v>145</v>
      </c>
      <c r="L555" s="21" t="s">
        <v>1428</v>
      </c>
      <c r="M555" s="37">
        <v>5.62617931034483</v>
      </c>
      <c r="N555" s="37">
        <v>27.54</v>
      </c>
      <c r="O555" s="774">
        <v>5</v>
      </c>
      <c r="P555" s="774"/>
      <c r="Q555" s="37">
        <f t="shared" si="86"/>
        <v>183.166179310345</v>
      </c>
      <c r="R555" s="219" t="s">
        <v>2854</v>
      </c>
      <c r="S555" s="23" t="s">
        <v>2855</v>
      </c>
      <c r="T555" s="804"/>
      <c r="U555" s="120" t="s">
        <v>1406</v>
      </c>
      <c r="X555" s="2163"/>
      <c r="AA555" s="839"/>
      <c r="AB555" s="839"/>
      <c r="AC555" s="1940"/>
    </row>
    <row r="556" s="42" customFormat="1" ht="16" hidden="1" customHeight="1" spans="1:29">
      <c r="A556" s="839">
        <v>427</v>
      </c>
      <c r="B556" s="23"/>
      <c r="C556" s="23"/>
      <c r="D556" s="21"/>
      <c r="E556" s="21"/>
      <c r="F556" s="2130" t="s">
        <v>1979</v>
      </c>
      <c r="G556" s="21" t="s">
        <v>1669</v>
      </c>
      <c r="H556" s="21"/>
      <c r="I556" s="21" t="s">
        <v>2315</v>
      </c>
      <c r="J556" s="21" t="s">
        <v>1428</v>
      </c>
      <c r="K556" s="2048">
        <v>105</v>
      </c>
      <c r="L556" s="21" t="s">
        <v>1428</v>
      </c>
      <c r="M556" s="37">
        <v>5.62617931034483</v>
      </c>
      <c r="N556" s="37">
        <v>26.88</v>
      </c>
      <c r="O556" s="774">
        <v>5</v>
      </c>
      <c r="P556" s="774"/>
      <c r="Q556" s="37">
        <f t="shared" si="86"/>
        <v>142.506179310345</v>
      </c>
      <c r="R556" s="219" t="s">
        <v>2854</v>
      </c>
      <c r="S556" s="23" t="s">
        <v>2856</v>
      </c>
      <c r="T556" s="804"/>
      <c r="U556" s="120" t="s">
        <v>1406</v>
      </c>
      <c r="X556" s="2163"/>
      <c r="AA556" s="839"/>
      <c r="AB556" s="839"/>
      <c r="AC556" s="1940"/>
    </row>
    <row r="557" s="42" customFormat="1" ht="16" hidden="1" customHeight="1" spans="1:29">
      <c r="A557" s="839">
        <v>428</v>
      </c>
      <c r="B557" s="23"/>
      <c r="C557" s="23"/>
      <c r="D557" s="21">
        <v>20241114</v>
      </c>
      <c r="E557" s="21">
        <v>7.17</v>
      </c>
      <c r="F557" s="2132" t="s">
        <v>2377</v>
      </c>
      <c r="G557" s="21" t="s">
        <v>2857</v>
      </c>
      <c r="H557" s="21"/>
      <c r="I557" s="21"/>
      <c r="J557" s="21"/>
      <c r="K557" s="2048"/>
      <c r="L557" s="21"/>
      <c r="M557" s="37">
        <v>0.0701516315385182</v>
      </c>
      <c r="N557" s="37">
        <v>0.000281576294550314</v>
      </c>
      <c r="O557" s="774">
        <v>0.3</v>
      </c>
      <c r="P557" s="774"/>
      <c r="Q557" s="37">
        <f t="shared" si="86"/>
        <v>0.370433207833068</v>
      </c>
      <c r="R557" s="219"/>
      <c r="S557" s="23"/>
      <c r="T557" s="804"/>
      <c r="U557" s="120"/>
      <c r="X557" s="2163"/>
      <c r="AA557" s="839"/>
      <c r="AB557" s="839"/>
      <c r="AC557" s="1940"/>
    </row>
    <row r="558" s="42" customFormat="1" ht="16" hidden="1" customHeight="1" spans="1:29">
      <c r="A558" s="839">
        <v>429</v>
      </c>
      <c r="B558" s="23"/>
      <c r="C558" s="23"/>
      <c r="D558" s="21"/>
      <c r="E558" s="21"/>
      <c r="F558" s="2130" t="s">
        <v>1979</v>
      </c>
      <c r="G558" s="21" t="s">
        <v>2314</v>
      </c>
      <c r="H558" s="21"/>
      <c r="I558" s="690" t="s">
        <v>2858</v>
      </c>
      <c r="J558" s="21" t="s">
        <v>1428</v>
      </c>
      <c r="K558" s="2048" t="s">
        <v>1428</v>
      </c>
      <c r="L558" s="21" t="s">
        <v>1428</v>
      </c>
      <c r="M558" s="37">
        <v>5.62617931034483</v>
      </c>
      <c r="N558" s="37">
        <v>26.08</v>
      </c>
      <c r="O558" s="774">
        <v>5</v>
      </c>
      <c r="P558" s="774"/>
      <c r="Q558" s="37">
        <f t="shared" si="86"/>
        <v>36.7061793103448</v>
      </c>
      <c r="R558" s="219" t="s">
        <v>2854</v>
      </c>
      <c r="S558" s="23" t="s">
        <v>2856</v>
      </c>
      <c r="T558" s="804"/>
      <c r="U558" s="120" t="s">
        <v>1406</v>
      </c>
      <c r="X558" s="2163"/>
      <c r="AA558" s="839"/>
      <c r="AB558" s="839"/>
      <c r="AC558" s="1940"/>
    </row>
    <row r="559" s="42" customFormat="1" ht="16" hidden="1" customHeight="1" spans="1:29">
      <c r="A559" s="839">
        <v>430</v>
      </c>
      <c r="B559" s="23"/>
      <c r="C559" s="23"/>
      <c r="D559" s="21">
        <v>20241114</v>
      </c>
      <c r="E559" s="21">
        <v>7.17</v>
      </c>
      <c r="F559" s="2132" t="s">
        <v>310</v>
      </c>
      <c r="G559" s="21" t="s">
        <v>311</v>
      </c>
      <c r="H559" s="21"/>
      <c r="I559" s="690"/>
      <c r="J559" s="21"/>
      <c r="K559" s="2048"/>
      <c r="L559" s="21"/>
      <c r="M559" s="37">
        <v>0.56154744346116</v>
      </c>
      <c r="N559" s="37">
        <v>3.99776577266427</v>
      </c>
      <c r="O559" s="774">
        <v>0.4</v>
      </c>
      <c r="P559" s="774"/>
      <c r="Q559" s="37">
        <f t="shared" si="86"/>
        <v>4.95931321612543</v>
      </c>
      <c r="R559" s="219"/>
      <c r="S559" s="23" t="s">
        <v>2859</v>
      </c>
      <c r="T559" s="804"/>
      <c r="U559" s="120" t="s">
        <v>1406</v>
      </c>
      <c r="X559" s="2163"/>
      <c r="AA559" s="839"/>
      <c r="AB559" s="839"/>
      <c r="AC559" s="1940"/>
    </row>
    <row r="560" s="42" customFormat="1" ht="16" hidden="1" customHeight="1" spans="1:29">
      <c r="A560" s="839">
        <v>431</v>
      </c>
      <c r="B560" s="23"/>
      <c r="C560" s="23"/>
      <c r="D560" s="21">
        <v>20241114</v>
      </c>
      <c r="E560" s="21">
        <v>7.17</v>
      </c>
      <c r="F560" s="2132" t="s">
        <v>314</v>
      </c>
      <c r="G560" s="21" t="s">
        <v>315</v>
      </c>
      <c r="H560" s="21"/>
      <c r="I560" s="690"/>
      <c r="J560" s="21"/>
      <c r="K560" s="2048"/>
      <c r="L560" s="21"/>
      <c r="M560" s="37">
        <v>0.557674702471773</v>
      </c>
      <c r="N560" s="37">
        <v>5.00655541227368</v>
      </c>
      <c r="O560" s="37">
        <v>0.2</v>
      </c>
      <c r="P560" s="37"/>
      <c r="Q560" s="37">
        <f t="shared" si="86"/>
        <v>5.76423011474545</v>
      </c>
      <c r="R560" s="219"/>
      <c r="S560" s="23" t="s">
        <v>2860</v>
      </c>
      <c r="T560" s="804"/>
      <c r="U560" s="120" t="s">
        <v>1406</v>
      </c>
      <c r="X560" s="2163"/>
      <c r="AA560" s="839"/>
      <c r="AB560" s="839"/>
      <c r="AC560" s="1940"/>
    </row>
    <row r="561" s="42" customFormat="1" ht="16" hidden="1" customHeight="1" spans="1:29">
      <c r="A561" s="839">
        <v>432</v>
      </c>
      <c r="B561" s="23"/>
      <c r="C561" s="23"/>
      <c r="D561" s="21">
        <v>20241220</v>
      </c>
      <c r="E561" s="21">
        <v>7.17</v>
      </c>
      <c r="F561" s="2132" t="s">
        <v>317</v>
      </c>
      <c r="G561" s="21" t="s">
        <v>318</v>
      </c>
      <c r="H561" s="21"/>
      <c r="I561" s="21"/>
      <c r="J561" s="21"/>
      <c r="K561" s="2048"/>
      <c r="L561" s="21"/>
      <c r="M561" s="37">
        <v>0.546267957759928</v>
      </c>
      <c r="N561" s="37">
        <v>5.59364383561644</v>
      </c>
      <c r="O561" s="37">
        <v>0.4</v>
      </c>
      <c r="P561" s="37"/>
      <c r="Q561" s="37">
        <f t="shared" si="86"/>
        <v>6.53991179337637</v>
      </c>
      <c r="R561" s="219"/>
      <c r="S561" s="23" t="s">
        <v>2861</v>
      </c>
      <c r="T561" s="804"/>
      <c r="U561" s="120" t="s">
        <v>1406</v>
      </c>
      <c r="X561" s="2163"/>
      <c r="AA561" s="839"/>
      <c r="AB561" s="839"/>
      <c r="AC561" s="1940"/>
    </row>
    <row r="562" s="42" customFormat="1" ht="16" hidden="1" customHeight="1" spans="1:29">
      <c r="A562" s="839">
        <v>433</v>
      </c>
      <c r="B562" s="23"/>
      <c r="C562" s="23"/>
      <c r="D562" s="21"/>
      <c r="E562" s="21"/>
      <c r="F562" s="2130" t="s">
        <v>1979</v>
      </c>
      <c r="G562" s="21" t="s">
        <v>65</v>
      </c>
      <c r="H562" s="21"/>
      <c r="I562" s="21"/>
      <c r="J562" s="21"/>
      <c r="K562" s="2048"/>
      <c r="L562" s="21"/>
      <c r="M562" s="37">
        <v>0.756206896551724</v>
      </c>
      <c r="N562" s="37">
        <v>4.09</v>
      </c>
      <c r="O562" s="37">
        <v>0.4</v>
      </c>
      <c r="P562" s="37"/>
      <c r="Q562" s="37">
        <f t="shared" si="86"/>
        <v>5.24620689655172</v>
      </c>
      <c r="R562" s="219"/>
      <c r="S562" s="23" t="s">
        <v>2862</v>
      </c>
      <c r="T562" s="804"/>
      <c r="U562" s="120" t="s">
        <v>1406</v>
      </c>
      <c r="X562" s="2163"/>
      <c r="AA562" s="839"/>
      <c r="AB562" s="839"/>
      <c r="AC562" s="1940"/>
    </row>
    <row r="563" s="42" customFormat="1" ht="16" hidden="1" customHeight="1" spans="1:29">
      <c r="A563" s="839">
        <v>434</v>
      </c>
      <c r="B563" s="23"/>
      <c r="C563" s="23"/>
      <c r="D563" s="21"/>
      <c r="E563" s="21"/>
      <c r="F563" s="2130" t="s">
        <v>1979</v>
      </c>
      <c r="G563" s="21" t="s">
        <v>229</v>
      </c>
      <c r="H563" s="21"/>
      <c r="I563" s="21"/>
      <c r="J563" s="21"/>
      <c r="K563" s="2048"/>
      <c r="L563" s="21"/>
      <c r="M563" s="37">
        <v>0.756206896551724</v>
      </c>
      <c r="N563" s="37">
        <v>5.73</v>
      </c>
      <c r="O563" s="37">
        <v>0.4</v>
      </c>
      <c r="P563" s="37"/>
      <c r="Q563" s="37">
        <f t="shared" si="86"/>
        <v>6.88620689655172</v>
      </c>
      <c r="R563" s="219"/>
      <c r="S563" s="23" t="s">
        <v>2863</v>
      </c>
      <c r="T563" s="804"/>
      <c r="U563" s="120" t="s">
        <v>1406</v>
      </c>
      <c r="X563" s="2163"/>
      <c r="AA563" s="839"/>
      <c r="AB563" s="839"/>
      <c r="AC563" s="1940"/>
    </row>
    <row r="564" s="42" customFormat="1" ht="16" hidden="1" customHeight="1" spans="1:29">
      <c r="A564" s="839">
        <v>435</v>
      </c>
      <c r="B564" s="23"/>
      <c r="C564" s="23"/>
      <c r="D564" s="21"/>
      <c r="E564" s="21"/>
      <c r="F564" s="2130" t="s">
        <v>1979</v>
      </c>
      <c r="G564" s="21" t="s">
        <v>321</v>
      </c>
      <c r="H564" s="21"/>
      <c r="I564" s="21"/>
      <c r="J564" s="21"/>
      <c r="K564" s="2048"/>
      <c r="L564" s="21"/>
      <c r="M564" s="37">
        <v>0.756206896551724</v>
      </c>
      <c r="N564" s="37">
        <v>8.37</v>
      </c>
      <c r="O564" s="37">
        <v>0.4</v>
      </c>
      <c r="P564" s="37"/>
      <c r="Q564" s="37">
        <f t="shared" si="86"/>
        <v>9.52620689655172</v>
      </c>
      <c r="R564" s="219"/>
      <c r="S564" s="23" t="s">
        <v>2864</v>
      </c>
      <c r="T564" s="804"/>
      <c r="U564" s="120" t="s">
        <v>1406</v>
      </c>
      <c r="X564" s="2163"/>
      <c r="AA564" s="839"/>
      <c r="AB564" s="839"/>
      <c r="AC564" s="1940"/>
    </row>
    <row r="565" s="42" customFormat="1" ht="16" hidden="1" customHeight="1" spans="1:29">
      <c r="A565" s="839">
        <v>436</v>
      </c>
      <c r="B565" s="23"/>
      <c r="C565" s="23"/>
      <c r="D565" s="21"/>
      <c r="E565" s="21"/>
      <c r="F565" s="2130" t="s">
        <v>1979</v>
      </c>
      <c r="G565" s="21" t="s">
        <v>323</v>
      </c>
      <c r="H565" s="21"/>
      <c r="I565" s="21"/>
      <c r="J565" s="21"/>
      <c r="K565" s="2048"/>
      <c r="L565" s="21"/>
      <c r="M565" s="37">
        <v>0.816703448275862</v>
      </c>
      <c r="N565" s="37">
        <v>5.68</v>
      </c>
      <c r="O565" s="37">
        <v>0.4</v>
      </c>
      <c r="P565" s="37"/>
      <c r="Q565" s="37">
        <f t="shared" si="86"/>
        <v>6.89670344827586</v>
      </c>
      <c r="R565" s="219"/>
      <c r="S565" s="23" t="s">
        <v>2861</v>
      </c>
      <c r="T565" s="804"/>
      <c r="U565" s="120" t="s">
        <v>1406</v>
      </c>
      <c r="X565" s="2163"/>
      <c r="AA565" s="839"/>
      <c r="AB565" s="839"/>
      <c r="AC565" s="1940"/>
    </row>
    <row r="566" s="42" customFormat="1" ht="16" hidden="1" customHeight="1" spans="1:29">
      <c r="A566" s="839">
        <v>437</v>
      </c>
      <c r="B566" s="23"/>
      <c r="C566" s="23"/>
      <c r="D566" s="21"/>
      <c r="E566" s="21"/>
      <c r="F566" s="2130" t="s">
        <v>1979</v>
      </c>
      <c r="G566" s="21" t="s">
        <v>324</v>
      </c>
      <c r="H566" s="21"/>
      <c r="I566" s="21"/>
      <c r="J566" s="21"/>
      <c r="K566" s="2048"/>
      <c r="L566" s="21"/>
      <c r="M566" s="37">
        <v>0.816703448275862</v>
      </c>
      <c r="N566" s="37">
        <v>4.25</v>
      </c>
      <c r="O566" s="37">
        <v>0.4</v>
      </c>
      <c r="P566" s="37"/>
      <c r="Q566" s="37">
        <f t="shared" si="86"/>
        <v>5.46670344827586</v>
      </c>
      <c r="R566" s="219"/>
      <c r="S566" s="23" t="s">
        <v>2862</v>
      </c>
      <c r="T566" s="804"/>
      <c r="U566" s="120" t="s">
        <v>1406</v>
      </c>
      <c r="X566" s="2163"/>
      <c r="AA566" s="839"/>
      <c r="AB566" s="839"/>
      <c r="AC566" s="1940"/>
    </row>
    <row r="567" s="42" customFormat="1" ht="16" hidden="1" customHeight="1" spans="1:29">
      <c r="A567" s="839">
        <v>438</v>
      </c>
      <c r="B567" s="23"/>
      <c r="C567" s="23"/>
      <c r="D567" s="21"/>
      <c r="E567" s="21"/>
      <c r="F567" s="2130" t="s">
        <v>1979</v>
      </c>
      <c r="G567" s="21" t="s">
        <v>325</v>
      </c>
      <c r="H567" s="21"/>
      <c r="I567" s="21"/>
      <c r="J567" s="21"/>
      <c r="K567" s="2048"/>
      <c r="L567" s="21"/>
      <c r="M567" s="37">
        <v>0.816703448275862</v>
      </c>
      <c r="N567" s="37">
        <v>8.37</v>
      </c>
      <c r="O567" s="37">
        <v>0.4</v>
      </c>
      <c r="P567" s="37"/>
      <c r="Q567" s="37">
        <f t="shared" si="86"/>
        <v>9.58670344827586</v>
      </c>
      <c r="R567" s="219"/>
      <c r="S567" s="23" t="s">
        <v>2864</v>
      </c>
      <c r="T567" s="804"/>
      <c r="U567" s="120" t="s">
        <v>1406</v>
      </c>
      <c r="X567" s="2163"/>
      <c r="AA567" s="839"/>
      <c r="AB567" s="839"/>
      <c r="AC567" s="1940"/>
    </row>
    <row r="568" s="42" customFormat="1" ht="16" hidden="1" customHeight="1" spans="1:29">
      <c r="A568" s="839">
        <v>439</v>
      </c>
      <c r="B568" s="23"/>
      <c r="C568" s="23"/>
      <c r="D568" s="21"/>
      <c r="E568" s="21"/>
      <c r="F568" s="2130" t="s">
        <v>1979</v>
      </c>
      <c r="G568" s="21" t="s">
        <v>326</v>
      </c>
      <c r="H568" s="21"/>
      <c r="I568" s="21"/>
      <c r="J568" s="21"/>
      <c r="K568" s="2048"/>
      <c r="L568" s="21"/>
      <c r="M568" s="37">
        <v>0.816703448275862</v>
      </c>
      <c r="N568" s="37">
        <v>5.74</v>
      </c>
      <c r="O568" s="37">
        <v>0.4</v>
      </c>
      <c r="P568" s="37"/>
      <c r="Q568" s="37">
        <f t="shared" si="86"/>
        <v>6.95670344827586</v>
      </c>
      <c r="R568" s="219"/>
      <c r="S568" s="23" t="s">
        <v>2863</v>
      </c>
      <c r="T568" s="804"/>
      <c r="U568" s="120" t="s">
        <v>1406</v>
      </c>
      <c r="X568" s="2163"/>
      <c r="AA568" s="839"/>
      <c r="AB568" s="839"/>
      <c r="AC568" s="1940"/>
    </row>
    <row r="569" s="42" customFormat="1" ht="16" hidden="1" customHeight="1" spans="1:29">
      <c r="A569" s="839">
        <v>440</v>
      </c>
      <c r="B569" s="23"/>
      <c r="C569" s="23"/>
      <c r="D569" s="21"/>
      <c r="E569" s="21"/>
      <c r="F569" s="2130" t="s">
        <v>1979</v>
      </c>
      <c r="G569" s="21" t="s">
        <v>327</v>
      </c>
      <c r="H569" s="21"/>
      <c r="I569" s="21"/>
      <c r="J569" s="21"/>
      <c r="K569" s="2048"/>
      <c r="L569" s="21"/>
      <c r="M569" s="37">
        <v>0.816703448275862</v>
      </c>
      <c r="N569" s="37">
        <v>5.65</v>
      </c>
      <c r="O569" s="37">
        <v>0.4</v>
      </c>
      <c r="P569" s="37"/>
      <c r="Q569" s="37">
        <f t="shared" si="86"/>
        <v>6.86670344827586</v>
      </c>
      <c r="R569" s="219"/>
      <c r="S569" s="23" t="s">
        <v>2865</v>
      </c>
      <c r="T569" s="804"/>
      <c r="U569" s="120" t="s">
        <v>1406</v>
      </c>
      <c r="X569" s="2163"/>
      <c r="AA569" s="839"/>
      <c r="AB569" s="839"/>
      <c r="AC569" s="1940"/>
    </row>
    <row r="570" s="42" customFormat="1" ht="16" hidden="1" customHeight="1" spans="1:29">
      <c r="A570" s="839">
        <v>441</v>
      </c>
      <c r="B570" s="23"/>
      <c r="C570" s="23"/>
      <c r="D570" s="21"/>
      <c r="E570" s="21"/>
      <c r="F570" s="2130" t="s">
        <v>1979</v>
      </c>
      <c r="G570" s="21" t="s">
        <v>329</v>
      </c>
      <c r="H570" s="21"/>
      <c r="I570" s="21"/>
      <c r="J570" s="21"/>
      <c r="K570" s="2048"/>
      <c r="L570" s="21"/>
      <c r="M570" s="37">
        <v>0.816703448275862</v>
      </c>
      <c r="N570" s="37">
        <v>4.27</v>
      </c>
      <c r="O570" s="37">
        <v>0.4</v>
      </c>
      <c r="P570" s="37"/>
      <c r="Q570" s="37">
        <f t="shared" si="86"/>
        <v>5.48670344827586</v>
      </c>
      <c r="R570" s="219"/>
      <c r="S570" s="23" t="s">
        <v>2866</v>
      </c>
      <c r="T570" s="804"/>
      <c r="U570" s="120" t="s">
        <v>1406</v>
      </c>
      <c r="X570" s="2163"/>
      <c r="AA570" s="839"/>
      <c r="AB570" s="839"/>
      <c r="AC570" s="1940"/>
    </row>
    <row r="571" s="42" customFormat="1" ht="16" hidden="1" customHeight="1" spans="1:29">
      <c r="A571" s="839">
        <v>442</v>
      </c>
      <c r="B571" s="23"/>
      <c r="C571" s="23"/>
      <c r="D571" s="21"/>
      <c r="E571" s="21"/>
      <c r="F571" s="2130" t="s">
        <v>1979</v>
      </c>
      <c r="G571" s="21" t="s">
        <v>331</v>
      </c>
      <c r="H571" s="21"/>
      <c r="I571" s="21"/>
      <c r="J571" s="21"/>
      <c r="K571" s="2048"/>
      <c r="L571" s="21"/>
      <c r="M571" s="37">
        <v>0.816703448275862</v>
      </c>
      <c r="N571" s="37">
        <v>5.69</v>
      </c>
      <c r="O571" s="37">
        <v>0.4</v>
      </c>
      <c r="P571" s="37"/>
      <c r="Q571" s="37">
        <f t="shared" si="86"/>
        <v>6.90670344827586</v>
      </c>
      <c r="R571" s="219"/>
      <c r="S571" s="23" t="s">
        <v>2865</v>
      </c>
      <c r="T571" s="804"/>
      <c r="U571" s="120" t="s">
        <v>1406</v>
      </c>
      <c r="X571" s="2163"/>
      <c r="AA571" s="839"/>
      <c r="AB571" s="839"/>
      <c r="AC571" s="1940"/>
    </row>
    <row r="572" s="42" customFormat="1" ht="16" hidden="1" customHeight="1" spans="1:29">
      <c r="A572" s="839">
        <v>443</v>
      </c>
      <c r="B572" s="23"/>
      <c r="C572" s="23"/>
      <c r="D572" s="21"/>
      <c r="E572" s="21"/>
      <c r="F572" s="2130" t="s">
        <v>1979</v>
      </c>
      <c r="G572" s="21" t="s">
        <v>332</v>
      </c>
      <c r="H572" s="21"/>
      <c r="I572" s="21"/>
      <c r="J572" s="21"/>
      <c r="K572" s="2048"/>
      <c r="L572" s="21"/>
      <c r="M572" s="37">
        <v>0.816703448275862</v>
      </c>
      <c r="N572" s="37">
        <v>6.32</v>
      </c>
      <c r="O572" s="37">
        <v>0.4</v>
      </c>
      <c r="P572" s="37"/>
      <c r="Q572" s="37">
        <f t="shared" si="86"/>
        <v>7.53670344827586</v>
      </c>
      <c r="R572" s="219"/>
      <c r="S572" s="23" t="s">
        <v>2867</v>
      </c>
      <c r="T572" s="804"/>
      <c r="U572" s="120" t="s">
        <v>1406</v>
      </c>
      <c r="X572" s="2163"/>
      <c r="AA572" s="839"/>
      <c r="AB572" s="839"/>
      <c r="AC572" s="1940"/>
    </row>
    <row r="573" s="42" customFormat="1" ht="16" hidden="1" customHeight="1" spans="1:29">
      <c r="A573" s="839">
        <v>444</v>
      </c>
      <c r="B573" s="23"/>
      <c r="C573" s="23"/>
      <c r="D573" s="21"/>
      <c r="E573" s="21"/>
      <c r="F573" s="2130" t="s">
        <v>1979</v>
      </c>
      <c r="G573" s="21" t="s">
        <v>334</v>
      </c>
      <c r="H573" s="21"/>
      <c r="I573" s="21"/>
      <c r="J573" s="21"/>
      <c r="K573" s="2048"/>
      <c r="L573" s="21"/>
      <c r="M573" s="37">
        <v>0.816703448275862</v>
      </c>
      <c r="N573" s="37">
        <v>5.66</v>
      </c>
      <c r="O573" s="37">
        <v>0.4</v>
      </c>
      <c r="P573" s="37"/>
      <c r="Q573" s="37">
        <f t="shared" si="86"/>
        <v>6.87670344827586</v>
      </c>
      <c r="R573" s="219"/>
      <c r="S573" s="23" t="s">
        <v>2868</v>
      </c>
      <c r="T573" s="804"/>
      <c r="U573" s="120" t="s">
        <v>1406</v>
      </c>
      <c r="X573" s="2163"/>
      <c r="AA573" s="839"/>
      <c r="AB573" s="839"/>
      <c r="AC573" s="1940"/>
    </row>
    <row r="574" s="42" customFormat="1" ht="16" hidden="1" customHeight="1" spans="1:29">
      <c r="A574" s="839">
        <v>445</v>
      </c>
      <c r="B574" s="23"/>
      <c r="C574" s="23"/>
      <c r="D574" s="21"/>
      <c r="E574" s="21"/>
      <c r="F574" s="2130" t="s">
        <v>1979</v>
      </c>
      <c r="G574" s="21" t="s">
        <v>336</v>
      </c>
      <c r="H574" s="21"/>
      <c r="I574" s="21"/>
      <c r="J574" s="21"/>
      <c r="K574" s="2048"/>
      <c r="L574" s="21"/>
      <c r="M574" s="37">
        <v>0.816703448275862</v>
      </c>
      <c r="N574" s="37">
        <v>8.29</v>
      </c>
      <c r="O574" s="37">
        <v>0.4</v>
      </c>
      <c r="P574" s="37"/>
      <c r="Q574" s="37">
        <f t="shared" si="86"/>
        <v>9.50670344827586</v>
      </c>
      <c r="R574" s="219"/>
      <c r="S574" s="23" t="s">
        <v>2869</v>
      </c>
      <c r="T574" s="804"/>
      <c r="U574" s="120" t="s">
        <v>1406</v>
      </c>
      <c r="X574" s="2163"/>
      <c r="AA574" s="839"/>
      <c r="AB574" s="839"/>
      <c r="AC574" s="1940"/>
    </row>
    <row r="575" s="42" customFormat="1" ht="16" hidden="1" customHeight="1" spans="1:29">
      <c r="A575" s="839">
        <v>446</v>
      </c>
      <c r="B575" s="23"/>
      <c r="C575" s="23"/>
      <c r="D575" s="21"/>
      <c r="E575" s="21"/>
      <c r="F575" s="2130" t="s">
        <v>1979</v>
      </c>
      <c r="G575" s="21" t="s">
        <v>338</v>
      </c>
      <c r="H575" s="21"/>
      <c r="I575" s="21"/>
      <c r="J575" s="21"/>
      <c r="K575" s="2048"/>
      <c r="L575" s="21"/>
      <c r="M575" s="37">
        <v>0.816703448275862</v>
      </c>
      <c r="N575" s="37">
        <v>8.91</v>
      </c>
      <c r="O575" s="37">
        <v>0.4</v>
      </c>
      <c r="P575" s="37"/>
      <c r="Q575" s="37">
        <f t="shared" si="86"/>
        <v>10.1267034482759</v>
      </c>
      <c r="R575" s="219"/>
      <c r="S575" s="23" t="s">
        <v>2870</v>
      </c>
      <c r="T575" s="804"/>
      <c r="U575" s="120" t="s">
        <v>1406</v>
      </c>
      <c r="X575" s="2163"/>
      <c r="AA575" s="839"/>
      <c r="AB575" s="839"/>
      <c r="AC575" s="1940"/>
    </row>
    <row r="576" s="42" customFormat="1" ht="16" hidden="1" customHeight="1" spans="1:29">
      <c r="A576" s="839">
        <v>447</v>
      </c>
      <c r="B576" s="23"/>
      <c r="C576" s="23"/>
      <c r="D576" s="21"/>
      <c r="E576" s="21"/>
      <c r="F576" s="2130" t="s">
        <v>1979</v>
      </c>
      <c r="G576" s="21" t="s">
        <v>340</v>
      </c>
      <c r="H576" s="21"/>
      <c r="I576" s="21"/>
      <c r="J576" s="21"/>
      <c r="K576" s="2048"/>
      <c r="L576" s="21"/>
      <c r="M576" s="37">
        <v>0.816703448275862</v>
      </c>
      <c r="N576" s="37">
        <v>4.88</v>
      </c>
      <c r="O576" s="37">
        <v>0.4</v>
      </c>
      <c r="P576" s="37"/>
      <c r="Q576" s="37">
        <f t="shared" si="86"/>
        <v>6.09670344827586</v>
      </c>
      <c r="R576" s="219"/>
      <c r="S576" s="23" t="s">
        <v>2871</v>
      </c>
      <c r="T576" s="804"/>
      <c r="U576" s="120" t="s">
        <v>1406</v>
      </c>
      <c r="X576" s="2163"/>
      <c r="AA576" s="839"/>
      <c r="AB576" s="839"/>
      <c r="AC576" s="1940"/>
    </row>
    <row r="577" s="42" customFormat="1" ht="16" hidden="1" customHeight="1" spans="1:29">
      <c r="A577" s="839">
        <v>448</v>
      </c>
      <c r="B577" s="23"/>
      <c r="C577" s="23"/>
      <c r="D577" s="21"/>
      <c r="E577" s="21"/>
      <c r="F577" s="2130" t="s">
        <v>1979</v>
      </c>
      <c r="G577" s="21" t="s">
        <v>342</v>
      </c>
      <c r="H577" s="21"/>
      <c r="I577" s="21"/>
      <c r="J577" s="21"/>
      <c r="K577" s="2048"/>
      <c r="L577" s="21"/>
      <c r="M577" s="37">
        <v>0.816703448275862</v>
      </c>
      <c r="N577" s="37">
        <v>6.26</v>
      </c>
      <c r="O577" s="37">
        <v>0.4</v>
      </c>
      <c r="P577" s="37"/>
      <c r="Q577" s="37">
        <f t="shared" si="86"/>
        <v>7.47670344827586</v>
      </c>
      <c r="R577" s="219"/>
      <c r="S577" s="23" t="s">
        <v>2872</v>
      </c>
      <c r="T577" s="804"/>
      <c r="U577" s="120" t="s">
        <v>1406</v>
      </c>
      <c r="X577" s="2163"/>
      <c r="AA577" s="839"/>
      <c r="AB577" s="839"/>
      <c r="AC577" s="1940"/>
    </row>
    <row r="578" s="42" customFormat="1" ht="16" hidden="1" customHeight="1" spans="1:29">
      <c r="A578" s="839">
        <v>449</v>
      </c>
      <c r="B578" s="23"/>
      <c r="C578" s="23"/>
      <c r="D578" s="21"/>
      <c r="E578" s="21"/>
      <c r="F578" s="2130" t="s">
        <v>1979</v>
      </c>
      <c r="G578" s="21" t="s">
        <v>344</v>
      </c>
      <c r="H578" s="21"/>
      <c r="I578" s="21"/>
      <c r="J578" s="21"/>
      <c r="K578" s="2048"/>
      <c r="L578" s="21"/>
      <c r="M578" s="37">
        <v>0.816703448275862</v>
      </c>
      <c r="N578" s="37">
        <v>6.23</v>
      </c>
      <c r="O578" s="37">
        <v>0.4</v>
      </c>
      <c r="P578" s="37"/>
      <c r="Q578" s="37">
        <f t="shared" si="86"/>
        <v>7.44670344827586</v>
      </c>
      <c r="R578" s="219"/>
      <c r="S578" s="23" t="s">
        <v>2872</v>
      </c>
      <c r="T578" s="804"/>
      <c r="U578" s="120" t="s">
        <v>1406</v>
      </c>
      <c r="X578" s="2163"/>
      <c r="AA578" s="839"/>
      <c r="AB578" s="839"/>
      <c r="AC578" s="1940"/>
    </row>
    <row r="579" s="42" customFormat="1" ht="16" hidden="1" customHeight="1" spans="1:29">
      <c r="A579" s="839">
        <v>450</v>
      </c>
      <c r="B579" s="23"/>
      <c r="C579" s="23"/>
      <c r="D579" s="21"/>
      <c r="E579" s="21"/>
      <c r="F579" s="2130" t="s">
        <v>1979</v>
      </c>
      <c r="G579" s="21" t="s">
        <v>345</v>
      </c>
      <c r="H579" s="21"/>
      <c r="I579" s="21"/>
      <c r="J579" s="21"/>
      <c r="K579" s="2048"/>
      <c r="L579" s="21"/>
      <c r="M579" s="37">
        <v>0.534386206896552</v>
      </c>
      <c r="N579" s="37">
        <v>4.32</v>
      </c>
      <c r="O579" s="37">
        <v>0.4</v>
      </c>
      <c r="P579" s="37"/>
      <c r="Q579" s="37">
        <f t="shared" si="86"/>
        <v>5.25438620689655</v>
      </c>
      <c r="R579" s="219"/>
      <c r="S579" s="23" t="s">
        <v>346</v>
      </c>
      <c r="T579" s="804"/>
      <c r="U579" s="120" t="s">
        <v>1406</v>
      </c>
      <c r="X579" s="2163"/>
      <c r="AA579" s="839"/>
      <c r="AB579" s="839"/>
      <c r="AC579" s="1940"/>
    </row>
    <row r="580" s="42" customFormat="1" ht="16" hidden="1" customHeight="1" spans="1:29">
      <c r="A580" s="839">
        <v>451</v>
      </c>
      <c r="B580" s="23" t="s">
        <v>2873</v>
      </c>
      <c r="C580" s="23"/>
      <c r="D580" s="689">
        <v>20241008</v>
      </c>
      <c r="E580" s="21">
        <v>7.17</v>
      </c>
      <c r="F580" s="2132" t="s">
        <v>2874</v>
      </c>
      <c r="G580" s="21" t="s">
        <v>1998</v>
      </c>
      <c r="H580" s="21"/>
      <c r="I580" s="21" t="s">
        <v>2692</v>
      </c>
      <c r="J580" s="21"/>
      <c r="K580" s="2048">
        <v>150</v>
      </c>
      <c r="L580" s="21"/>
      <c r="M580" s="37">
        <f t="shared" ref="M580:M594" si="87">46.25/E580/1.13</f>
        <v>5.70839658853877</v>
      </c>
      <c r="N580" s="37">
        <v>25.1347607067406</v>
      </c>
      <c r="O580" s="37">
        <v>3.81</v>
      </c>
      <c r="P580" s="37"/>
      <c r="Q580" s="37">
        <f t="shared" si="86"/>
        <v>184.653157295279</v>
      </c>
      <c r="R580" s="219" t="s">
        <v>2854</v>
      </c>
      <c r="S580" s="23" t="s">
        <v>2875</v>
      </c>
      <c r="T580" s="804"/>
      <c r="U580" s="120"/>
      <c r="X580" s="2163"/>
      <c r="AA580" s="839"/>
      <c r="AB580" s="839"/>
      <c r="AC580" s="1940"/>
    </row>
    <row r="581" s="42" customFormat="1" ht="16" hidden="1" customHeight="1" spans="1:29">
      <c r="A581" s="839">
        <v>452</v>
      </c>
      <c r="B581" s="23"/>
      <c r="C581" s="23"/>
      <c r="D581" s="689">
        <v>20241008</v>
      </c>
      <c r="E581" s="21">
        <v>7.17</v>
      </c>
      <c r="F581" s="2132" t="s">
        <v>2876</v>
      </c>
      <c r="G581" s="21" t="s">
        <v>1581</v>
      </c>
      <c r="H581" s="21"/>
      <c r="I581" s="21" t="s">
        <v>2877</v>
      </c>
      <c r="J581" s="21"/>
      <c r="K581" s="2048">
        <v>320</v>
      </c>
      <c r="L581" s="21"/>
      <c r="M581" s="37">
        <f t="shared" si="87"/>
        <v>5.70839658853877</v>
      </c>
      <c r="N581" s="37">
        <v>27.5116857657457</v>
      </c>
      <c r="O581" s="37">
        <v>3.81</v>
      </c>
      <c r="P581" s="37"/>
      <c r="Q581" s="37">
        <f t="shared" si="86"/>
        <v>357.030082354285</v>
      </c>
      <c r="R581" s="219" t="s">
        <v>2854</v>
      </c>
      <c r="S581" s="23" t="s">
        <v>2878</v>
      </c>
      <c r="T581" s="804"/>
      <c r="U581" s="120"/>
      <c r="X581" s="2163"/>
      <c r="AA581" s="839"/>
      <c r="AB581" s="839"/>
      <c r="AC581" s="1940"/>
    </row>
    <row r="582" s="42" customFormat="1" ht="16" hidden="1" customHeight="1" spans="1:29">
      <c r="A582" s="839">
        <v>453</v>
      </c>
      <c r="B582" s="23"/>
      <c r="C582" s="23"/>
      <c r="D582" s="689">
        <v>20241016</v>
      </c>
      <c r="E582" s="21">
        <v>7.17</v>
      </c>
      <c r="F582" s="2132" t="s">
        <v>2879</v>
      </c>
      <c r="G582" s="21" t="s">
        <v>2880</v>
      </c>
      <c r="H582" s="21"/>
      <c r="I582" s="21"/>
      <c r="J582" s="21"/>
      <c r="K582" s="2048"/>
      <c r="L582" s="21"/>
      <c r="M582" s="37">
        <f t="shared" si="87"/>
        <v>5.70839658853877</v>
      </c>
      <c r="N582" s="37">
        <v>9.13225047887324</v>
      </c>
      <c r="O582" s="37">
        <v>3.81</v>
      </c>
      <c r="P582" s="37"/>
      <c r="Q582" s="37">
        <f t="shared" si="86"/>
        <v>18.650647067412</v>
      </c>
      <c r="R582" s="219"/>
      <c r="S582" s="23" t="s">
        <v>2881</v>
      </c>
      <c r="T582" s="804"/>
      <c r="U582" s="120"/>
      <c r="X582" s="2163"/>
      <c r="AA582" s="839"/>
      <c r="AB582" s="839"/>
      <c r="AC582" s="1940"/>
    </row>
    <row r="583" s="42" customFormat="1" ht="16" hidden="1" customHeight="1" spans="1:29">
      <c r="A583" s="839">
        <v>454</v>
      </c>
      <c r="B583" s="23"/>
      <c r="C583" s="23"/>
      <c r="D583" s="689">
        <v>20241016</v>
      </c>
      <c r="E583" s="21">
        <v>7.17</v>
      </c>
      <c r="F583" s="2132" t="s">
        <v>2882</v>
      </c>
      <c r="G583" s="21" t="s">
        <v>2449</v>
      </c>
      <c r="H583" s="21"/>
      <c r="I583" s="21" t="s">
        <v>2692</v>
      </c>
      <c r="J583" s="21"/>
      <c r="K583" s="2048">
        <v>150</v>
      </c>
      <c r="L583" s="21"/>
      <c r="M583" s="37">
        <f t="shared" si="87"/>
        <v>5.70839658853877</v>
      </c>
      <c r="N583" s="37">
        <v>26.1449202466079</v>
      </c>
      <c r="O583" s="37">
        <v>3.81</v>
      </c>
      <c r="P583" s="37"/>
      <c r="Q583" s="37">
        <f t="shared" si="86"/>
        <v>185.663316835147</v>
      </c>
      <c r="R583" s="219" t="s">
        <v>2854</v>
      </c>
      <c r="S583" s="23" t="s">
        <v>2881</v>
      </c>
      <c r="T583" s="804"/>
      <c r="U583" s="120"/>
      <c r="X583" s="2163"/>
      <c r="AA583" s="839"/>
      <c r="AB583" s="839"/>
      <c r="AC583" s="1940"/>
    </row>
    <row r="584" s="42" customFormat="1" ht="16" hidden="1" customHeight="1" spans="1:29">
      <c r="A584" s="839">
        <v>455</v>
      </c>
      <c r="B584" s="23"/>
      <c r="C584" s="23"/>
      <c r="D584" s="689">
        <v>20241016</v>
      </c>
      <c r="E584" s="21">
        <v>7.17</v>
      </c>
      <c r="F584" s="2132" t="s">
        <v>2883</v>
      </c>
      <c r="G584" s="21" t="s">
        <v>2546</v>
      </c>
      <c r="H584" s="21"/>
      <c r="I584" s="21" t="s">
        <v>2877</v>
      </c>
      <c r="J584" s="21"/>
      <c r="K584" s="2048">
        <v>320</v>
      </c>
      <c r="L584" s="21"/>
      <c r="M584" s="37">
        <f t="shared" si="87"/>
        <v>5.70839658853877</v>
      </c>
      <c r="N584" s="37">
        <v>29.1827111847208</v>
      </c>
      <c r="O584" s="37">
        <v>3.81</v>
      </c>
      <c r="P584" s="37"/>
      <c r="Q584" s="37">
        <f t="shared" si="86"/>
        <v>358.70110777326</v>
      </c>
      <c r="R584" s="219" t="s">
        <v>2854</v>
      </c>
      <c r="S584" s="23" t="s">
        <v>2884</v>
      </c>
      <c r="T584" s="804"/>
      <c r="U584" s="120"/>
      <c r="X584" s="2163"/>
      <c r="AA584" s="839"/>
      <c r="AB584" s="839"/>
      <c r="AC584" s="1940"/>
    </row>
    <row r="585" s="42" customFormat="1" ht="16" hidden="1" customHeight="1" spans="1:29">
      <c r="A585" s="839">
        <v>456</v>
      </c>
      <c r="B585" s="23"/>
      <c r="C585" s="23"/>
      <c r="D585" s="689">
        <v>20241024</v>
      </c>
      <c r="E585" s="21">
        <v>7.17</v>
      </c>
      <c r="F585" s="2132" t="s">
        <v>2885</v>
      </c>
      <c r="G585" s="21" t="s">
        <v>2306</v>
      </c>
      <c r="H585" s="21"/>
      <c r="I585" s="21" t="s">
        <v>2886</v>
      </c>
      <c r="J585" s="21"/>
      <c r="K585" s="2048" t="s">
        <v>1428</v>
      </c>
      <c r="L585" s="21"/>
      <c r="M585" s="37">
        <f t="shared" si="87"/>
        <v>5.70839658853877</v>
      </c>
      <c r="N585" s="37">
        <v>27.5748065911679</v>
      </c>
      <c r="O585" s="37">
        <v>3.81</v>
      </c>
      <c r="P585" s="37"/>
      <c r="Q585" s="37">
        <f t="shared" ref="Q585:Q605" si="88">SUM(J585:O585)</f>
        <v>37.0932031797067</v>
      </c>
      <c r="R585" s="219" t="s">
        <v>2854</v>
      </c>
      <c r="S585" s="23" t="s">
        <v>2887</v>
      </c>
      <c r="T585" s="804"/>
      <c r="U585" s="120"/>
      <c r="X585" s="2163"/>
      <c r="AA585" s="839"/>
      <c r="AB585" s="839"/>
      <c r="AC585" s="1940"/>
    </row>
    <row r="586" s="42" customFormat="1" ht="16" hidden="1" customHeight="1" spans="1:29">
      <c r="A586" s="839">
        <v>457</v>
      </c>
      <c r="B586" s="23"/>
      <c r="C586" s="23"/>
      <c r="D586" s="21">
        <v>20241209</v>
      </c>
      <c r="E586" s="21">
        <v>7.17</v>
      </c>
      <c r="F586" s="2132" t="s">
        <v>2888</v>
      </c>
      <c r="G586" s="2188" t="s">
        <v>2431</v>
      </c>
      <c r="H586" s="2188"/>
      <c r="I586" s="21" t="s">
        <v>2889</v>
      </c>
      <c r="J586" s="21" t="s">
        <v>1428</v>
      </c>
      <c r="K586" s="2048" t="s">
        <v>1428</v>
      </c>
      <c r="L586" s="21"/>
      <c r="M586" s="37">
        <f t="shared" si="87"/>
        <v>5.70839658853877</v>
      </c>
      <c r="N586" s="37">
        <v>25.1231489837977</v>
      </c>
      <c r="O586" s="37">
        <v>3.81</v>
      </c>
      <c r="P586" s="37"/>
      <c r="Q586" s="37">
        <f t="shared" si="88"/>
        <v>34.6415455723365</v>
      </c>
      <c r="R586" s="219" t="s">
        <v>2854</v>
      </c>
      <c r="S586" s="23" t="s">
        <v>2890</v>
      </c>
      <c r="T586" s="804"/>
      <c r="U586" s="120"/>
      <c r="X586" s="2163"/>
      <c r="AA586" s="839"/>
      <c r="AB586" s="839"/>
      <c r="AC586" s="1940"/>
    </row>
    <row r="587" s="42" customFormat="1" ht="16" hidden="1" customHeight="1" spans="1:29">
      <c r="A587" s="839">
        <v>458</v>
      </c>
      <c r="B587" s="23"/>
      <c r="C587" s="23"/>
      <c r="D587" s="21">
        <v>20241209</v>
      </c>
      <c r="E587" s="21">
        <v>7.17</v>
      </c>
      <c r="F587" s="2132" t="s">
        <v>2891</v>
      </c>
      <c r="G587" s="2188" t="s">
        <v>1667</v>
      </c>
      <c r="H587" s="2188"/>
      <c r="I587" s="21" t="s">
        <v>2892</v>
      </c>
      <c r="J587" s="21" t="s">
        <v>1428</v>
      </c>
      <c r="K587" s="2048" t="s">
        <v>1428</v>
      </c>
      <c r="L587" s="21"/>
      <c r="M587" s="37">
        <f t="shared" si="87"/>
        <v>5.70839658853877</v>
      </c>
      <c r="N587" s="37">
        <v>25.194166378812</v>
      </c>
      <c r="O587" s="37">
        <v>3.81</v>
      </c>
      <c r="P587" s="37"/>
      <c r="Q587" s="37">
        <f t="shared" si="88"/>
        <v>34.7125629673508</v>
      </c>
      <c r="R587" s="219" t="s">
        <v>2854</v>
      </c>
      <c r="S587" s="23" t="s">
        <v>2890</v>
      </c>
      <c r="T587" s="804"/>
      <c r="U587" s="120"/>
      <c r="X587" s="2163"/>
      <c r="AA587" s="839"/>
      <c r="AB587" s="839"/>
      <c r="AC587" s="1940"/>
    </row>
    <row r="588" s="42" customFormat="1" ht="16" hidden="1" customHeight="1" spans="1:29">
      <c r="A588" s="839">
        <v>459</v>
      </c>
      <c r="B588" s="23"/>
      <c r="C588" s="23"/>
      <c r="D588" s="21">
        <v>20241209</v>
      </c>
      <c r="E588" s="21">
        <v>7.17</v>
      </c>
      <c r="F588" s="2132" t="s">
        <v>2893</v>
      </c>
      <c r="G588" s="2188" t="s">
        <v>2311</v>
      </c>
      <c r="H588" s="2188"/>
      <c r="I588" s="21" t="s">
        <v>2889</v>
      </c>
      <c r="J588" s="21"/>
      <c r="K588" s="2048" t="s">
        <v>1428</v>
      </c>
      <c r="L588" s="21"/>
      <c r="M588" s="37">
        <f t="shared" si="87"/>
        <v>5.70839658853877</v>
      </c>
      <c r="N588" s="37">
        <v>25.1339994644331</v>
      </c>
      <c r="O588" s="37">
        <v>3.81</v>
      </c>
      <c r="P588" s="37"/>
      <c r="Q588" s="37">
        <f t="shared" si="88"/>
        <v>34.6523960529719</v>
      </c>
      <c r="R588" s="219" t="s">
        <v>2854</v>
      </c>
      <c r="S588" s="23" t="s">
        <v>2890</v>
      </c>
      <c r="T588" s="804"/>
      <c r="U588" s="120"/>
      <c r="X588" s="2163"/>
      <c r="AA588" s="839"/>
      <c r="AB588" s="839"/>
      <c r="AC588" s="1940"/>
    </row>
    <row r="589" s="42" customFormat="1" ht="16" hidden="1" customHeight="1" spans="1:29">
      <c r="A589" s="839">
        <v>460</v>
      </c>
      <c r="B589" s="23"/>
      <c r="C589" s="23"/>
      <c r="D589" s="21">
        <v>20250307</v>
      </c>
      <c r="E589" s="21">
        <v>7.17</v>
      </c>
      <c r="F589" s="2132" t="s">
        <v>2894</v>
      </c>
      <c r="G589" s="2188" t="s">
        <v>2314</v>
      </c>
      <c r="H589" s="2188"/>
      <c r="I589" s="21" t="s">
        <v>2895</v>
      </c>
      <c r="J589" s="21"/>
      <c r="K589" s="2048">
        <v>100</v>
      </c>
      <c r="L589" s="21"/>
      <c r="M589" s="37">
        <f t="shared" si="87"/>
        <v>5.70839658853877</v>
      </c>
      <c r="N589" s="37">
        <v>25.1221677755584</v>
      </c>
      <c r="O589" s="37">
        <v>3.81</v>
      </c>
      <c r="P589" s="37"/>
      <c r="Q589" s="37">
        <f t="shared" si="88"/>
        <v>134.640564364097</v>
      </c>
      <c r="R589" s="219" t="s">
        <v>2854</v>
      </c>
      <c r="S589" s="23" t="s">
        <v>2890</v>
      </c>
      <c r="T589" s="804"/>
      <c r="U589" s="120"/>
      <c r="X589" s="2163"/>
      <c r="AA589" s="839"/>
      <c r="AB589" s="839"/>
      <c r="AC589" s="1940"/>
    </row>
    <row r="590" s="42" customFormat="1" ht="16" hidden="1" customHeight="1" spans="1:29">
      <c r="A590" s="839">
        <v>461</v>
      </c>
      <c r="B590" s="23"/>
      <c r="C590" s="23"/>
      <c r="D590" s="21">
        <v>20250411</v>
      </c>
      <c r="E590" s="21">
        <v>7.17</v>
      </c>
      <c r="F590" s="2132" t="s">
        <v>2896</v>
      </c>
      <c r="G590" s="2188" t="s">
        <v>2459</v>
      </c>
      <c r="H590" s="2188"/>
      <c r="I590" s="21" t="s">
        <v>2664</v>
      </c>
      <c r="J590" s="21"/>
      <c r="K590" s="2048">
        <v>155</v>
      </c>
      <c r="L590" s="21"/>
      <c r="M590" s="37">
        <f t="shared" si="87"/>
        <v>5.70839658853877</v>
      </c>
      <c r="N590" s="37">
        <v>26.0698054982542</v>
      </c>
      <c r="O590" s="37">
        <v>3.81</v>
      </c>
      <c r="P590" s="37"/>
      <c r="Q590" s="37">
        <f t="shared" si="88"/>
        <v>190.588202086793</v>
      </c>
      <c r="R590" s="219" t="s">
        <v>2854</v>
      </c>
      <c r="S590" s="23" t="s">
        <v>2897</v>
      </c>
      <c r="T590" s="804"/>
      <c r="U590" s="120"/>
      <c r="X590" s="2163"/>
      <c r="AA590" s="839"/>
      <c r="AB590" s="839"/>
      <c r="AC590" s="1940"/>
    </row>
    <row r="591" s="42" customFormat="1" ht="16" hidden="1" customHeight="1" spans="1:29">
      <c r="A591" s="839">
        <v>462</v>
      </c>
      <c r="B591" s="23"/>
      <c r="C591" s="23"/>
      <c r="D591" s="21">
        <v>20250411</v>
      </c>
      <c r="E591" s="21">
        <v>7.17</v>
      </c>
      <c r="F591" s="2132" t="s">
        <v>2898</v>
      </c>
      <c r="G591" s="2188" t="s">
        <v>1723</v>
      </c>
      <c r="H591" s="2188"/>
      <c r="I591" s="21" t="s">
        <v>2692</v>
      </c>
      <c r="J591" s="21"/>
      <c r="K591" s="2048">
        <v>150</v>
      </c>
      <c r="L591" s="21"/>
      <c r="M591" s="37">
        <f t="shared" si="87"/>
        <v>5.70839658853877</v>
      </c>
      <c r="N591" s="37">
        <v>24.6184837605867</v>
      </c>
      <c r="O591" s="37">
        <v>3.81</v>
      </c>
      <c r="P591" s="37"/>
      <c r="Q591" s="37">
        <f t="shared" si="88"/>
        <v>184.136880349125</v>
      </c>
      <c r="R591" s="219" t="s">
        <v>2854</v>
      </c>
      <c r="S591" s="23" t="s">
        <v>2899</v>
      </c>
      <c r="T591" s="804"/>
      <c r="U591" s="120"/>
      <c r="X591" s="2163"/>
      <c r="AA591" s="839"/>
      <c r="AB591" s="839"/>
      <c r="AC591" s="1940"/>
    </row>
    <row r="592" s="839" customFormat="1" ht="16" hidden="1" customHeight="1" spans="1:29">
      <c r="A592" s="839">
        <v>463</v>
      </c>
      <c r="B592" s="23"/>
      <c r="C592" s="23"/>
      <c r="D592" s="21">
        <v>20250606</v>
      </c>
      <c r="E592" s="21">
        <v>7.17</v>
      </c>
      <c r="F592" s="2132" t="s">
        <v>2900</v>
      </c>
      <c r="G592" s="2188" t="s">
        <v>1587</v>
      </c>
      <c r="H592" s="2188"/>
      <c r="I592" s="21" t="s">
        <v>2664</v>
      </c>
      <c r="J592" s="21"/>
      <c r="K592" s="2048">
        <v>155</v>
      </c>
      <c r="L592" s="21"/>
      <c r="M592" s="37">
        <f t="shared" si="87"/>
        <v>5.70839658853877</v>
      </c>
      <c r="N592" s="37">
        <v>25.7285624095428</v>
      </c>
      <c r="O592" s="37">
        <v>3.81</v>
      </c>
      <c r="P592" s="37"/>
      <c r="Q592" s="37">
        <f t="shared" si="88"/>
        <v>190.246958998082</v>
      </c>
      <c r="R592" s="219" t="s">
        <v>2854</v>
      </c>
      <c r="S592" s="23" t="s">
        <v>2901</v>
      </c>
      <c r="T592" s="804"/>
      <c r="U592" s="120"/>
      <c r="X592" s="1940"/>
      <c r="AC592" s="1940"/>
    </row>
    <row r="593" s="839" customFormat="1" ht="16" hidden="1" customHeight="1" spans="1:29">
      <c r="A593" s="839">
        <v>464</v>
      </c>
      <c r="B593" s="23"/>
      <c r="C593" s="23"/>
      <c r="D593" s="21">
        <v>20250606</v>
      </c>
      <c r="E593" s="21">
        <v>7.17</v>
      </c>
      <c r="F593" s="2132" t="s">
        <v>2902</v>
      </c>
      <c r="G593" s="2188" t="s">
        <v>1591</v>
      </c>
      <c r="H593" s="2188"/>
      <c r="I593" s="21" t="s">
        <v>2692</v>
      </c>
      <c r="J593" s="21"/>
      <c r="K593" s="2048">
        <v>150</v>
      </c>
      <c r="L593" s="21"/>
      <c r="M593" s="37">
        <f t="shared" si="87"/>
        <v>5.70839658853877</v>
      </c>
      <c r="N593" s="37">
        <v>24.1452318655329</v>
      </c>
      <c r="O593" s="37">
        <v>3.81</v>
      </c>
      <c r="P593" s="37"/>
      <c r="Q593" s="37">
        <f t="shared" si="88"/>
        <v>183.663628454072</v>
      </c>
      <c r="R593" s="219" t="s">
        <v>2854</v>
      </c>
      <c r="S593" s="23" t="s">
        <v>2903</v>
      </c>
      <c r="T593" s="804"/>
      <c r="U593" s="120"/>
      <c r="X593" s="1940"/>
      <c r="AC593" s="1940"/>
    </row>
    <row r="594" s="839" customFormat="1" ht="16" hidden="1" customHeight="1" spans="1:29">
      <c r="A594" s="839">
        <v>465</v>
      </c>
      <c r="B594" s="23"/>
      <c r="C594" s="23"/>
      <c r="D594" s="21">
        <v>20250606</v>
      </c>
      <c r="E594" s="21">
        <v>7.17</v>
      </c>
      <c r="F594" s="2132" t="s">
        <v>2904</v>
      </c>
      <c r="G594" s="2188" t="s">
        <v>1593</v>
      </c>
      <c r="H594" s="2188"/>
      <c r="I594" s="21" t="s">
        <v>2664</v>
      </c>
      <c r="J594" s="21"/>
      <c r="K594" s="2048">
        <v>155</v>
      </c>
      <c r="L594" s="21"/>
      <c r="M594" s="37">
        <f t="shared" si="87"/>
        <v>5.70839658853877</v>
      </c>
      <c r="N594" s="37">
        <v>25.6146918561172</v>
      </c>
      <c r="O594" s="37">
        <v>3.81</v>
      </c>
      <c r="P594" s="37"/>
      <c r="Q594" s="37">
        <f t="shared" si="88"/>
        <v>190.133088444656</v>
      </c>
      <c r="R594" s="219" t="s">
        <v>2854</v>
      </c>
      <c r="S594" s="23" t="s">
        <v>2901</v>
      </c>
      <c r="T594" s="804"/>
      <c r="U594" s="120"/>
      <c r="X594" s="1940"/>
      <c r="AC594" s="1940"/>
    </row>
    <row r="595" s="839" customFormat="1" ht="16" hidden="1" customHeight="1" spans="1:29">
      <c r="A595" s="839">
        <v>466</v>
      </c>
      <c r="B595" s="687"/>
      <c r="C595" s="23"/>
      <c r="D595" s="153">
        <v>20250606</v>
      </c>
      <c r="E595" s="153">
        <v>6.75</v>
      </c>
      <c r="F595" s="2125" t="s">
        <v>2905</v>
      </c>
      <c r="G595" s="2189" t="s">
        <v>1525</v>
      </c>
      <c r="H595" s="2189" t="s">
        <v>2906</v>
      </c>
      <c r="I595" s="2190" t="s">
        <v>2886</v>
      </c>
      <c r="J595" s="153" t="s">
        <v>1428</v>
      </c>
      <c r="K595" s="2048" t="s">
        <v>712</v>
      </c>
      <c r="L595" s="153"/>
      <c r="M595" s="154">
        <f>63.81/E595/1.13*1.05</f>
        <v>8.78407079646018</v>
      </c>
      <c r="N595" s="154">
        <v>32.4</v>
      </c>
      <c r="O595" s="154">
        <v>3.81</v>
      </c>
      <c r="P595" s="154"/>
      <c r="Q595" s="154">
        <f t="shared" si="88"/>
        <v>44.9940707964602</v>
      </c>
      <c r="R595" s="219" t="s">
        <v>2854</v>
      </c>
      <c r="S595" s="2191" t="s">
        <v>2907</v>
      </c>
      <c r="T595" s="804"/>
      <c r="U595" s="120"/>
      <c r="X595" s="1940"/>
      <c r="AC595" s="1940"/>
    </row>
    <row r="596" s="839" customFormat="1" ht="16" hidden="1" customHeight="1" spans="1:29">
      <c r="A596" s="839">
        <v>467</v>
      </c>
      <c r="B596" s="687"/>
      <c r="C596" s="687"/>
      <c r="D596" s="1017">
        <v>46084</v>
      </c>
      <c r="E596" s="153">
        <v>6.75</v>
      </c>
      <c r="F596" s="2125" t="s">
        <v>2905</v>
      </c>
      <c r="G596" s="2192" t="s">
        <v>1525</v>
      </c>
      <c r="H596" s="2192" t="s">
        <v>2906</v>
      </c>
      <c r="I596" s="153" t="s">
        <v>2886</v>
      </c>
      <c r="J596" s="153" t="s">
        <v>1428</v>
      </c>
      <c r="K596" s="2048" t="s">
        <v>712</v>
      </c>
      <c r="L596" s="153" t="s">
        <v>1428</v>
      </c>
      <c r="M596" s="154">
        <f>61.3/E596/1.13*1.05</f>
        <v>8.4385447394297</v>
      </c>
      <c r="N596" s="154">
        <v>32.4</v>
      </c>
      <c r="O596" s="154">
        <v>0.3</v>
      </c>
      <c r="P596" s="154"/>
      <c r="Q596" s="154">
        <f t="shared" si="88"/>
        <v>41.1385447394297</v>
      </c>
      <c r="R596" s="266" t="s">
        <v>1270</v>
      </c>
      <c r="S596" s="23" t="s">
        <v>2907</v>
      </c>
      <c r="T596" s="804"/>
      <c r="U596" s="120"/>
      <c r="X596" s="1940"/>
      <c r="AC596" s="1940"/>
    </row>
    <row r="597" s="839" customFormat="1" ht="16" hidden="1" customHeight="1" spans="1:29">
      <c r="A597" s="839">
        <v>468</v>
      </c>
      <c r="B597" s="23"/>
      <c r="C597" s="23"/>
      <c r="D597" s="1149">
        <v>46111</v>
      </c>
      <c r="E597" s="21">
        <v>6.9226</v>
      </c>
      <c r="F597" s="2132" t="s">
        <v>2908</v>
      </c>
      <c r="G597" s="2188" t="s">
        <v>1669</v>
      </c>
      <c r="H597" s="2188"/>
      <c r="I597" s="21" t="s">
        <v>1822</v>
      </c>
      <c r="J597" s="21"/>
      <c r="K597" s="2048"/>
      <c r="L597" s="21"/>
      <c r="M597" s="37">
        <f>74.555/E597/1.13</f>
        <v>9.53079422560811</v>
      </c>
      <c r="N597" s="37">
        <v>28.41</v>
      </c>
      <c r="O597" s="37">
        <f>24.12/E597</f>
        <v>3.48424002542397</v>
      </c>
      <c r="P597" s="37"/>
      <c r="Q597" s="37">
        <f t="shared" si="88"/>
        <v>41.4250342510321</v>
      </c>
      <c r="R597" s="219" t="s">
        <v>2909</v>
      </c>
      <c r="S597" s="23"/>
      <c r="T597" s="804"/>
      <c r="U597" s="120"/>
      <c r="X597" s="1940"/>
      <c r="AC597" s="1940"/>
    </row>
    <row r="598" s="839" customFormat="1" ht="16" hidden="1" customHeight="1" spans="1:29">
      <c r="A598" s="839">
        <v>469</v>
      </c>
      <c r="B598" s="23"/>
      <c r="C598" s="23"/>
      <c r="D598" s="21">
        <v>20250730</v>
      </c>
      <c r="E598" s="21">
        <v>7.17</v>
      </c>
      <c r="F598" s="2132" t="s">
        <v>2910</v>
      </c>
      <c r="G598" s="2188" t="s">
        <v>2081</v>
      </c>
      <c r="H598" s="2188"/>
      <c r="I598" s="21" t="s">
        <v>2779</v>
      </c>
      <c r="J598" s="21"/>
      <c r="K598" s="2048">
        <v>310</v>
      </c>
      <c r="L598" s="21"/>
      <c r="M598" s="37">
        <f t="shared" ref="M598:M604" si="89">46.25/E598/1.13</f>
        <v>5.70839658853877</v>
      </c>
      <c r="N598" s="37">
        <v>25.6692042275245</v>
      </c>
      <c r="O598" s="37">
        <v>3.81</v>
      </c>
      <c r="P598" s="37"/>
      <c r="Q598" s="37">
        <f t="shared" si="88"/>
        <v>345.187600816063</v>
      </c>
      <c r="R598" s="219" t="s">
        <v>2854</v>
      </c>
      <c r="S598" s="23" t="s">
        <v>2911</v>
      </c>
      <c r="T598" s="804"/>
      <c r="U598" s="120"/>
      <c r="X598" s="1940"/>
      <c r="AC598" s="1940"/>
    </row>
    <row r="599" s="839" customFormat="1" ht="16" hidden="1" customHeight="1" spans="1:29">
      <c r="A599" s="839">
        <v>470</v>
      </c>
      <c r="B599" s="23"/>
      <c r="C599" s="23"/>
      <c r="D599" s="21">
        <v>20250730</v>
      </c>
      <c r="E599" s="21">
        <v>7.17</v>
      </c>
      <c r="F599" s="2132" t="s">
        <v>2912</v>
      </c>
      <c r="G599" s="2188" t="s">
        <v>2110</v>
      </c>
      <c r="H599" s="2188"/>
      <c r="I599" s="21" t="s">
        <v>2695</v>
      </c>
      <c r="J599" s="21"/>
      <c r="K599" s="2048">
        <v>240</v>
      </c>
      <c r="L599" s="21"/>
      <c r="M599" s="37">
        <f t="shared" si="89"/>
        <v>5.70839658853877</v>
      </c>
      <c r="N599" s="37">
        <v>25.6692042275245</v>
      </c>
      <c r="O599" s="37">
        <v>3.81</v>
      </c>
      <c r="P599" s="37"/>
      <c r="Q599" s="37">
        <f t="shared" si="88"/>
        <v>275.187600816063</v>
      </c>
      <c r="R599" s="219" t="s">
        <v>2854</v>
      </c>
      <c r="S599" s="23" t="s">
        <v>2911</v>
      </c>
      <c r="T599" s="804"/>
      <c r="U599" s="120"/>
      <c r="X599" s="1940"/>
      <c r="AC599" s="1940"/>
    </row>
    <row r="600" s="839" customFormat="1" ht="16" hidden="1" customHeight="1" spans="1:29">
      <c r="A600" s="839">
        <v>471</v>
      </c>
      <c r="B600" s="23"/>
      <c r="C600" s="23"/>
      <c r="D600" s="21">
        <v>20250730</v>
      </c>
      <c r="E600" s="21">
        <v>7.17</v>
      </c>
      <c r="F600" s="2132" t="s">
        <v>2913</v>
      </c>
      <c r="G600" s="2188" t="s">
        <v>667</v>
      </c>
      <c r="H600" s="2188"/>
      <c r="I600" s="21" t="s">
        <v>2697</v>
      </c>
      <c r="J600" s="21"/>
      <c r="K600" s="2048">
        <v>419</v>
      </c>
      <c r="L600" s="21"/>
      <c r="M600" s="37">
        <f t="shared" si="89"/>
        <v>5.70839658853877</v>
      </c>
      <c r="N600" s="37">
        <v>25.6692042275245</v>
      </c>
      <c r="O600" s="37">
        <v>3.81</v>
      </c>
      <c r="P600" s="37"/>
      <c r="Q600" s="37">
        <f t="shared" si="88"/>
        <v>454.187600816063</v>
      </c>
      <c r="R600" s="219" t="s">
        <v>2854</v>
      </c>
      <c r="S600" s="23" t="s">
        <v>2911</v>
      </c>
      <c r="T600" s="804"/>
      <c r="U600" s="120"/>
      <c r="X600" s="1940"/>
      <c r="AC600" s="1940"/>
    </row>
    <row r="601" s="839" customFormat="1" ht="16" hidden="1" customHeight="1" spans="1:29">
      <c r="A601" s="839">
        <v>472</v>
      </c>
      <c r="B601" s="23"/>
      <c r="C601" s="23"/>
      <c r="D601" s="21">
        <v>20250730</v>
      </c>
      <c r="E601" s="21">
        <v>7.17</v>
      </c>
      <c r="F601" s="2132" t="s">
        <v>2914</v>
      </c>
      <c r="G601" s="2188" t="s">
        <v>2483</v>
      </c>
      <c r="H601" s="2188"/>
      <c r="I601" s="21" t="s">
        <v>2664</v>
      </c>
      <c r="J601" s="21"/>
      <c r="K601" s="2048" t="s">
        <v>2915</v>
      </c>
      <c r="L601" s="21"/>
      <c r="M601" s="37">
        <f t="shared" si="89"/>
        <v>5.70839658853877</v>
      </c>
      <c r="N601" s="37">
        <v>27.3060753208559</v>
      </c>
      <c r="O601" s="37">
        <v>3.81</v>
      </c>
      <c r="P601" s="37"/>
      <c r="Q601" s="37">
        <f t="shared" si="88"/>
        <v>36.8244719093947</v>
      </c>
      <c r="R601" s="219" t="s">
        <v>2854</v>
      </c>
      <c r="S601" s="23" t="s">
        <v>2916</v>
      </c>
      <c r="T601" s="804"/>
      <c r="U601" s="120"/>
      <c r="X601" s="1940"/>
      <c r="AC601" s="1940"/>
    </row>
    <row r="602" s="839" customFormat="1" ht="16" hidden="1" customHeight="1" spans="1:29">
      <c r="A602" s="839">
        <v>473</v>
      </c>
      <c r="B602" s="23"/>
      <c r="C602" s="23"/>
      <c r="D602" s="21">
        <v>20250730</v>
      </c>
      <c r="E602" s="21">
        <v>7.17</v>
      </c>
      <c r="F602" s="2132" t="s">
        <v>2917</v>
      </c>
      <c r="G602" s="2188" t="s">
        <v>2486</v>
      </c>
      <c r="H602" s="2188"/>
      <c r="I602" s="21" t="s">
        <v>2680</v>
      </c>
      <c r="J602" s="21"/>
      <c r="K602" s="2048" t="s">
        <v>2915</v>
      </c>
      <c r="L602" s="21"/>
      <c r="M602" s="37">
        <f t="shared" si="89"/>
        <v>5.70839658853877</v>
      </c>
      <c r="N602" s="37">
        <v>27.3060753208559</v>
      </c>
      <c r="O602" s="37">
        <v>3.81</v>
      </c>
      <c r="P602" s="37"/>
      <c r="Q602" s="37">
        <f t="shared" si="88"/>
        <v>36.8244719093947</v>
      </c>
      <c r="R602" s="219" t="s">
        <v>2854</v>
      </c>
      <c r="S602" s="23" t="s">
        <v>2916</v>
      </c>
      <c r="T602" s="804"/>
      <c r="U602" s="120"/>
      <c r="X602" s="1940"/>
      <c r="AC602" s="1940"/>
    </row>
    <row r="603" s="839" customFormat="1" ht="16" hidden="1" customHeight="1" spans="1:29">
      <c r="A603" s="839">
        <v>474</v>
      </c>
      <c r="B603" s="23"/>
      <c r="C603" s="23"/>
      <c r="D603" s="21">
        <v>20250730</v>
      </c>
      <c r="E603" s="21">
        <v>7.17</v>
      </c>
      <c r="F603" s="2132" t="s">
        <v>2918</v>
      </c>
      <c r="G603" s="2188" t="s">
        <v>2488</v>
      </c>
      <c r="H603" s="2188"/>
      <c r="I603" s="21" t="s">
        <v>2919</v>
      </c>
      <c r="J603" s="21"/>
      <c r="K603" s="2048">
        <v>430</v>
      </c>
      <c r="L603" s="21"/>
      <c r="M603" s="37">
        <f t="shared" si="89"/>
        <v>5.70839658853877</v>
      </c>
      <c r="N603" s="37">
        <v>27.3060753208559</v>
      </c>
      <c r="O603" s="37">
        <v>3.81</v>
      </c>
      <c r="P603" s="37"/>
      <c r="Q603" s="37">
        <f t="shared" si="88"/>
        <v>466.824471909395</v>
      </c>
      <c r="R603" s="219" t="s">
        <v>2854</v>
      </c>
      <c r="S603" s="23" t="s">
        <v>2916</v>
      </c>
      <c r="T603" s="804"/>
      <c r="U603" s="120"/>
      <c r="X603" s="1940"/>
      <c r="AC603" s="1940"/>
    </row>
    <row r="604" s="839" customFormat="1" ht="16" hidden="1" customHeight="1" spans="1:29">
      <c r="A604" s="839">
        <v>475</v>
      </c>
      <c r="B604" s="23"/>
      <c r="C604" s="23"/>
      <c r="D604" s="21">
        <v>20250730</v>
      </c>
      <c r="E604" s="21">
        <v>7.17</v>
      </c>
      <c r="F604" s="2132" t="s">
        <v>2920</v>
      </c>
      <c r="G604" s="2188" t="s">
        <v>2383</v>
      </c>
      <c r="H604" s="2188"/>
      <c r="I604" s="21" t="s">
        <v>2886</v>
      </c>
      <c r="J604" s="21"/>
      <c r="K604" s="2048" t="s">
        <v>1428</v>
      </c>
      <c r="L604" s="21"/>
      <c r="M604" s="37">
        <f t="shared" si="89"/>
        <v>5.70839658853877</v>
      </c>
      <c r="N604" s="37">
        <v>25.9688170450385</v>
      </c>
      <c r="O604" s="37">
        <v>3.81</v>
      </c>
      <c r="P604" s="37"/>
      <c r="Q604" s="37">
        <f t="shared" si="88"/>
        <v>35.4872136335773</v>
      </c>
      <c r="R604" s="219" t="s">
        <v>2854</v>
      </c>
      <c r="S604" s="23" t="s">
        <v>2911</v>
      </c>
      <c r="T604" s="804"/>
      <c r="U604" s="120"/>
      <c r="X604" s="1940"/>
      <c r="AC604" s="1940"/>
    </row>
    <row r="605" s="839" customFormat="1" ht="16" hidden="1" customHeight="1" spans="1:29">
      <c r="A605" s="839">
        <v>476</v>
      </c>
      <c r="B605" s="23"/>
      <c r="C605" s="23"/>
      <c r="D605" s="21">
        <v>20250522</v>
      </c>
      <c r="E605" s="21">
        <v>7.17</v>
      </c>
      <c r="F605" s="2132" t="s">
        <v>351</v>
      </c>
      <c r="G605" s="2188" t="s">
        <v>352</v>
      </c>
      <c r="H605" s="2188"/>
      <c r="I605" s="21"/>
      <c r="J605" s="21"/>
      <c r="K605" s="2048"/>
      <c r="L605" s="21"/>
      <c r="M605" s="37">
        <v>0.617123955517705</v>
      </c>
      <c r="N605" s="37">
        <v>3.47499200623912</v>
      </c>
      <c r="O605" s="37">
        <v>0.4</v>
      </c>
      <c r="P605" s="37"/>
      <c r="Q605" s="37">
        <f t="shared" si="88"/>
        <v>4.49211596175683</v>
      </c>
      <c r="R605" s="219"/>
      <c r="S605" s="23" t="s">
        <v>353</v>
      </c>
      <c r="T605" s="804"/>
      <c r="U605" s="120"/>
      <c r="X605" s="1940"/>
      <c r="AC605" s="1940"/>
    </row>
    <row r="606" s="42" customFormat="1" ht="16" hidden="1" customHeight="1" spans="1:29">
      <c r="A606" s="839">
        <v>477</v>
      </c>
      <c r="B606" s="23"/>
      <c r="C606" s="23"/>
      <c r="D606" s="689">
        <v>20241009</v>
      </c>
      <c r="E606" s="21">
        <v>7.17</v>
      </c>
      <c r="F606" s="2132" t="s">
        <v>354</v>
      </c>
      <c r="G606" s="21" t="s">
        <v>355</v>
      </c>
      <c r="H606" s="21"/>
      <c r="I606" s="21"/>
      <c r="J606" s="21"/>
      <c r="K606" s="2048"/>
      <c r="L606" s="21"/>
      <c r="M606" s="37">
        <v>0.93918701905944</v>
      </c>
      <c r="N606" s="37">
        <v>4.20145265442166</v>
      </c>
      <c r="O606" s="37">
        <v>0.4</v>
      </c>
      <c r="P606" s="37"/>
      <c r="Q606" s="37">
        <f t="shared" ref="Q606:Q669" si="90">SUM(K606:O606)</f>
        <v>5.5406396734811</v>
      </c>
      <c r="R606" s="219"/>
      <c r="S606" s="23" t="s">
        <v>2921</v>
      </c>
      <c r="T606" s="804"/>
      <c r="U606" s="120"/>
      <c r="X606" s="2163"/>
      <c r="AA606" s="839"/>
      <c r="AB606" s="839"/>
      <c r="AC606" s="1940"/>
    </row>
    <row r="607" s="42" customFormat="1" ht="16" hidden="1" customHeight="1" spans="1:29">
      <c r="A607" s="839">
        <v>478</v>
      </c>
      <c r="B607" s="23"/>
      <c r="C607" s="23"/>
      <c r="D607" s="689">
        <v>20241009</v>
      </c>
      <c r="E607" s="21">
        <v>7.17</v>
      </c>
      <c r="F607" s="2132" t="s">
        <v>357</v>
      </c>
      <c r="G607" s="21" t="s">
        <v>358</v>
      </c>
      <c r="H607" s="21"/>
      <c r="I607" s="21"/>
      <c r="J607" s="21"/>
      <c r="K607" s="2048"/>
      <c r="L607" s="21"/>
      <c r="M607" s="37">
        <v>0.913343454166204</v>
      </c>
      <c r="N607" s="37">
        <v>5.00244700669752</v>
      </c>
      <c r="O607" s="37">
        <v>0.4</v>
      </c>
      <c r="P607" s="37"/>
      <c r="Q607" s="37">
        <f t="shared" si="90"/>
        <v>6.31579046086372</v>
      </c>
      <c r="R607" s="219"/>
      <c r="S607" s="23" t="s">
        <v>2922</v>
      </c>
      <c r="T607" s="804"/>
      <c r="U607" s="120"/>
      <c r="X607" s="2163"/>
      <c r="AA607" s="839"/>
      <c r="AB607" s="839"/>
      <c r="AC607" s="1940"/>
    </row>
    <row r="608" s="42" customFormat="1" ht="16" hidden="1" customHeight="1" spans="1:29">
      <c r="A608" s="839">
        <v>479</v>
      </c>
      <c r="B608" s="23"/>
      <c r="C608" s="23"/>
      <c r="D608" s="21">
        <v>20241028</v>
      </c>
      <c r="E608" s="21">
        <v>7.17</v>
      </c>
      <c r="F608" s="2132" t="s">
        <v>360</v>
      </c>
      <c r="G608" s="21" t="s">
        <v>361</v>
      </c>
      <c r="H608" s="21"/>
      <c r="I608" s="21"/>
      <c r="J608" s="21"/>
      <c r="K608" s="2048"/>
      <c r="L608" s="21"/>
      <c r="M608" s="37">
        <v>0.93918701905944</v>
      </c>
      <c r="N608" s="37">
        <v>4.410407312461</v>
      </c>
      <c r="O608" s="37">
        <v>0.4</v>
      </c>
      <c r="P608" s="37"/>
      <c r="Q608" s="37">
        <f t="shared" si="90"/>
        <v>5.74959433152044</v>
      </c>
      <c r="R608" s="219"/>
      <c r="S608" s="23" t="s">
        <v>2923</v>
      </c>
      <c r="T608" s="804"/>
      <c r="U608" s="120"/>
      <c r="X608" s="2163"/>
      <c r="AA608" s="839"/>
      <c r="AB608" s="839"/>
      <c r="AC608" s="1940"/>
    </row>
    <row r="609" s="42" customFormat="1" ht="16" hidden="1" customHeight="1" spans="1:29">
      <c r="A609" s="839">
        <v>480</v>
      </c>
      <c r="B609" s="23"/>
      <c r="C609" s="23"/>
      <c r="D609" s="21">
        <v>20241028</v>
      </c>
      <c r="E609" s="21">
        <v>7.17</v>
      </c>
      <c r="F609" s="2132" t="s">
        <v>363</v>
      </c>
      <c r="G609" s="21" t="s">
        <v>364</v>
      </c>
      <c r="H609" s="21"/>
      <c r="I609" s="21"/>
      <c r="J609" s="21"/>
      <c r="K609" s="2048"/>
      <c r="L609" s="21"/>
      <c r="M609" s="37">
        <v>0.93918701905944</v>
      </c>
      <c r="N609" s="37">
        <v>7.09762246072317</v>
      </c>
      <c r="O609" s="37">
        <v>0.4</v>
      </c>
      <c r="P609" s="37"/>
      <c r="Q609" s="37">
        <f t="shared" si="90"/>
        <v>8.43680947978261</v>
      </c>
      <c r="R609" s="219"/>
      <c r="S609" s="23" t="s">
        <v>2924</v>
      </c>
      <c r="T609" s="804"/>
      <c r="U609" s="120"/>
      <c r="X609" s="2163"/>
      <c r="AA609" s="839"/>
      <c r="AB609" s="839"/>
      <c r="AC609" s="1940"/>
    </row>
    <row r="610" s="42" customFormat="1" ht="16" hidden="1" customHeight="1" spans="1:29">
      <c r="A610" s="839">
        <v>481</v>
      </c>
      <c r="B610" s="23"/>
      <c r="C610" s="23"/>
      <c r="D610" s="21">
        <v>20241028</v>
      </c>
      <c r="E610" s="21">
        <v>7.17</v>
      </c>
      <c r="F610" s="2132" t="s">
        <v>366</v>
      </c>
      <c r="G610" s="21" t="s">
        <v>367</v>
      </c>
      <c r="H610" s="21"/>
      <c r="I610" s="21"/>
      <c r="J610" s="21"/>
      <c r="K610" s="2048"/>
      <c r="L610" s="21"/>
      <c r="M610" s="37">
        <v>0.93918701905944</v>
      </c>
      <c r="N610" s="37">
        <v>5.1131392156055</v>
      </c>
      <c r="O610" s="37">
        <v>0.4</v>
      </c>
      <c r="P610" s="37"/>
      <c r="Q610" s="37">
        <f t="shared" si="90"/>
        <v>6.45232623466494</v>
      </c>
      <c r="R610" s="219"/>
      <c r="S610" s="23" t="s">
        <v>2925</v>
      </c>
      <c r="T610" s="804"/>
      <c r="U610" s="120"/>
      <c r="X610" s="2163"/>
      <c r="AA610" s="839"/>
      <c r="AB610" s="839"/>
      <c r="AC610" s="1940"/>
    </row>
    <row r="611" s="42" customFormat="1" ht="16" hidden="1" customHeight="1" spans="1:29">
      <c r="A611" s="839">
        <v>482</v>
      </c>
      <c r="B611" s="23"/>
      <c r="C611" s="23"/>
      <c r="D611" s="21">
        <v>20241028</v>
      </c>
      <c r="E611" s="21">
        <v>7.17</v>
      </c>
      <c r="F611" s="2132" t="s">
        <v>369</v>
      </c>
      <c r="G611" s="21" t="s">
        <v>370</v>
      </c>
      <c r="H611" s="21"/>
      <c r="I611" s="21"/>
      <c r="J611" s="21"/>
      <c r="K611" s="2048"/>
      <c r="L611" s="21"/>
      <c r="M611" s="37">
        <v>0.93918701905944</v>
      </c>
      <c r="N611" s="37">
        <v>4.71560348671034</v>
      </c>
      <c r="O611" s="37">
        <v>0.4</v>
      </c>
      <c r="P611" s="37"/>
      <c r="Q611" s="37">
        <f t="shared" si="90"/>
        <v>6.05479050576978</v>
      </c>
      <c r="R611" s="219"/>
      <c r="S611" s="23" t="s">
        <v>2923</v>
      </c>
      <c r="T611" s="804"/>
      <c r="U611" s="120"/>
      <c r="X611" s="2163"/>
      <c r="AA611" s="839"/>
      <c r="AB611" s="839"/>
      <c r="AC611" s="1940"/>
    </row>
    <row r="612" s="42" customFormat="1" ht="16" hidden="1" customHeight="1" spans="1:29">
      <c r="A612" s="839">
        <v>483</v>
      </c>
      <c r="B612" s="23"/>
      <c r="C612" s="23"/>
      <c r="D612" s="21">
        <v>20250206</v>
      </c>
      <c r="E612" s="21">
        <v>7.17</v>
      </c>
      <c r="F612" s="2132" t="s">
        <v>1426</v>
      </c>
      <c r="G612" s="21" t="s">
        <v>1427</v>
      </c>
      <c r="H612" s="21"/>
      <c r="I612" s="21"/>
      <c r="J612" s="21"/>
      <c r="K612" s="2048"/>
      <c r="L612" s="21"/>
      <c r="M612" s="37" t="s">
        <v>1428</v>
      </c>
      <c r="N612" s="37">
        <v>0.679655864216525</v>
      </c>
      <c r="O612" s="37">
        <v>0.2</v>
      </c>
      <c r="P612" s="37"/>
      <c r="Q612" s="37">
        <f t="shared" si="90"/>
        <v>0.879655864216525</v>
      </c>
      <c r="R612" s="219"/>
      <c r="S612" s="23" t="s">
        <v>2926</v>
      </c>
      <c r="T612" s="804"/>
      <c r="U612" s="120"/>
      <c r="X612" s="2163"/>
      <c r="AA612" s="839"/>
      <c r="AB612" s="839"/>
      <c r="AC612" s="1940"/>
    </row>
    <row r="613" s="42" customFormat="1" ht="16" hidden="1" customHeight="1" spans="1:29">
      <c r="A613" s="839">
        <v>484</v>
      </c>
      <c r="B613" s="23"/>
      <c r="C613" s="23"/>
      <c r="D613" s="21">
        <v>20240731</v>
      </c>
      <c r="E613" s="21">
        <v>7.17</v>
      </c>
      <c r="F613" s="2132" t="s">
        <v>371</v>
      </c>
      <c r="G613" s="21" t="s">
        <v>372</v>
      </c>
      <c r="H613" s="21"/>
      <c r="I613" s="21"/>
      <c r="J613" s="21"/>
      <c r="K613" s="2048"/>
      <c r="L613" s="21"/>
      <c r="M613" s="37">
        <v>0.883686435171446</v>
      </c>
      <c r="N613" s="37">
        <v>6.58836633648226</v>
      </c>
      <c r="O613" s="37">
        <v>0.4</v>
      </c>
      <c r="P613" s="37"/>
      <c r="Q613" s="37">
        <f t="shared" si="90"/>
        <v>7.87205277165371</v>
      </c>
      <c r="R613" s="219"/>
      <c r="S613" s="23" t="s">
        <v>2927</v>
      </c>
      <c r="T613" s="804"/>
      <c r="U613" s="120" t="s">
        <v>1406</v>
      </c>
      <c r="X613" s="2163"/>
      <c r="AA613" s="839"/>
      <c r="AB613" s="839"/>
      <c r="AC613" s="1940"/>
    </row>
    <row r="614" s="42" customFormat="1" ht="16" hidden="1" customHeight="1" spans="1:29">
      <c r="A614" s="839">
        <v>485</v>
      </c>
      <c r="B614" s="23"/>
      <c r="C614" s="23"/>
      <c r="D614" s="21">
        <v>20240621</v>
      </c>
      <c r="E614" s="21">
        <v>7.17</v>
      </c>
      <c r="F614" s="2132" t="s">
        <v>374</v>
      </c>
      <c r="G614" s="21" t="s">
        <v>375</v>
      </c>
      <c r="H614" s="21"/>
      <c r="I614" s="21"/>
      <c r="J614" s="21"/>
      <c r="K614" s="2048"/>
      <c r="L614" s="21"/>
      <c r="M614" s="37">
        <v>0.883686435171446</v>
      </c>
      <c r="N614" s="37">
        <v>5.32743688258773</v>
      </c>
      <c r="O614" s="37">
        <v>0.4</v>
      </c>
      <c r="P614" s="37"/>
      <c r="Q614" s="37">
        <f t="shared" si="90"/>
        <v>6.61112331775918</v>
      </c>
      <c r="R614" s="219"/>
      <c r="S614" s="23" t="s">
        <v>2928</v>
      </c>
      <c r="T614" s="804"/>
      <c r="U614" s="120" t="s">
        <v>1406</v>
      </c>
      <c r="X614" s="2163"/>
      <c r="AA614" s="839"/>
      <c r="AB614" s="839"/>
      <c r="AC614" s="1940"/>
    </row>
    <row r="615" s="42" customFormat="1" ht="16" hidden="1" customHeight="1" spans="1:29">
      <c r="A615" s="839">
        <v>486</v>
      </c>
      <c r="B615" s="23"/>
      <c r="C615" s="23"/>
      <c r="D615" s="21">
        <v>20240715</v>
      </c>
      <c r="E615" s="21">
        <v>7.17</v>
      </c>
      <c r="F615" s="2132" t="s">
        <v>377</v>
      </c>
      <c r="G615" s="21" t="s">
        <v>378</v>
      </c>
      <c r="H615" s="21"/>
      <c r="I615" s="21"/>
      <c r="J615" s="21"/>
      <c r="K615" s="2048"/>
      <c r="L615" s="21"/>
      <c r="M615" s="37">
        <v>0.881257057804633</v>
      </c>
      <c r="N615" s="37">
        <v>4.09284980995103</v>
      </c>
      <c r="O615" s="37">
        <v>0.4</v>
      </c>
      <c r="P615" s="37"/>
      <c r="Q615" s="37">
        <f t="shared" si="90"/>
        <v>5.37410686775566</v>
      </c>
      <c r="R615" s="219"/>
      <c r="S615" s="23" t="s">
        <v>2859</v>
      </c>
      <c r="T615" s="804"/>
      <c r="U615" s="120"/>
      <c r="X615" s="2163"/>
      <c r="AA615" s="839"/>
      <c r="AB615" s="839"/>
      <c r="AC615" s="1940"/>
    </row>
    <row r="616" s="42" customFormat="1" ht="16" hidden="1" customHeight="1" spans="1:29">
      <c r="A616" s="839">
        <v>487</v>
      </c>
      <c r="B616" s="687" t="s">
        <v>2929</v>
      </c>
      <c r="C616" s="687"/>
      <c r="D616" s="153">
        <v>20250418</v>
      </c>
      <c r="E616" s="153">
        <v>7.17</v>
      </c>
      <c r="F616" s="2125" t="s">
        <v>2930</v>
      </c>
      <c r="G616" s="2192" t="s">
        <v>1629</v>
      </c>
      <c r="H616" s="2192"/>
      <c r="I616" s="153" t="s">
        <v>2931</v>
      </c>
      <c r="J616" s="153" t="s">
        <v>1428</v>
      </c>
      <c r="K616" s="2048">
        <v>300</v>
      </c>
      <c r="L616" s="21" t="s">
        <v>1428</v>
      </c>
      <c r="M616" s="37">
        <v>5.99597635181003</v>
      </c>
      <c r="N616" s="37">
        <v>25.1200811594823</v>
      </c>
      <c r="O616" s="37">
        <v>3.4</v>
      </c>
      <c r="P616" s="37"/>
      <c r="Q616" s="37">
        <f t="shared" si="90"/>
        <v>334.516057511292</v>
      </c>
      <c r="R616" s="219" t="s">
        <v>2854</v>
      </c>
      <c r="S616" s="23" t="s">
        <v>2932</v>
      </c>
      <c r="T616" s="804"/>
      <c r="U616" s="120"/>
      <c r="X616" s="2163"/>
      <c r="AA616" s="839"/>
      <c r="AB616" s="839"/>
      <c r="AC616" s="1940"/>
    </row>
    <row r="617" s="42" customFormat="1" ht="16" hidden="1" customHeight="1" spans="1:29">
      <c r="A617" s="839"/>
      <c r="B617" s="687"/>
      <c r="C617" s="687"/>
      <c r="D617" s="153"/>
      <c r="E617" s="153">
        <v>6.75</v>
      </c>
      <c r="F617" s="1975" t="s">
        <v>2933</v>
      </c>
      <c r="G617" s="2192"/>
      <c r="H617" s="2192"/>
      <c r="I617" s="153"/>
      <c r="J617" s="153" t="s">
        <v>1428</v>
      </c>
      <c r="K617" s="2048" t="s">
        <v>712</v>
      </c>
      <c r="L617" s="153" t="s">
        <v>1428</v>
      </c>
      <c r="M617" s="154">
        <f>56.41/E617/1.13</f>
        <v>7.39560799737791</v>
      </c>
      <c r="N617" s="154">
        <v>26.85</v>
      </c>
      <c r="O617" s="154">
        <v>3.4</v>
      </c>
      <c r="P617" s="154"/>
      <c r="Q617" s="154">
        <f t="shared" si="90"/>
        <v>37.6456079973779</v>
      </c>
      <c r="R617" s="219"/>
      <c r="S617" s="23"/>
      <c r="T617" s="804"/>
      <c r="U617" s="120"/>
      <c r="X617" s="2163"/>
      <c r="AA617" s="839"/>
      <c r="AB617" s="839"/>
      <c r="AC617" s="1940"/>
    </row>
    <row r="618" s="42" customFormat="1" ht="16" hidden="1" customHeight="1" spans="1:29">
      <c r="A618" s="839"/>
      <c r="B618" s="687"/>
      <c r="C618" s="687"/>
      <c r="D618" s="1017">
        <v>46227</v>
      </c>
      <c r="E618" s="153">
        <v>6.78</v>
      </c>
      <c r="F618" s="2125" t="s">
        <v>2934</v>
      </c>
      <c r="G618" s="2192"/>
      <c r="H618" s="2192"/>
      <c r="I618" s="153"/>
      <c r="J618" s="153" t="s">
        <v>1428</v>
      </c>
      <c r="K618" s="2048" t="s">
        <v>712</v>
      </c>
      <c r="L618" s="153" t="s">
        <v>1428</v>
      </c>
      <c r="M618" s="154">
        <f>50.51/E618/1.13*1.05</f>
        <v>6.92242932101183</v>
      </c>
      <c r="N618" s="154">
        <v>30.5</v>
      </c>
      <c r="O618" s="154">
        <v>3.4</v>
      </c>
      <c r="P618" s="154"/>
      <c r="Q618" s="154">
        <f t="shared" si="90"/>
        <v>40.8224293210118</v>
      </c>
      <c r="R618" s="219"/>
      <c r="S618" s="23"/>
      <c r="T618" s="804"/>
      <c r="U618" s="120"/>
      <c r="X618" s="2163"/>
      <c r="AA618" s="839"/>
      <c r="AB618" s="839"/>
      <c r="AC618" s="1940"/>
    </row>
    <row r="619" s="839" customFormat="1" ht="16" hidden="1" customHeight="1" spans="1:29">
      <c r="A619" s="839">
        <v>488</v>
      </c>
      <c r="B619" s="687"/>
      <c r="C619" s="687"/>
      <c r="D619" s="153">
        <v>20250721</v>
      </c>
      <c r="E619" s="153">
        <v>7.17</v>
      </c>
      <c r="F619" s="2125" t="s">
        <v>2935</v>
      </c>
      <c r="G619" s="2192" t="s">
        <v>1645</v>
      </c>
      <c r="H619" s="2192"/>
      <c r="I619" s="153" t="s">
        <v>2692</v>
      </c>
      <c r="J619" s="153"/>
      <c r="K619" s="2048">
        <v>150</v>
      </c>
      <c r="L619" s="21"/>
      <c r="M619" s="37">
        <v>5.99597635181003</v>
      </c>
      <c r="N619" s="37">
        <v>23.13358017347</v>
      </c>
      <c r="O619" s="37">
        <v>3.4</v>
      </c>
      <c r="P619" s="37"/>
      <c r="Q619" s="37">
        <f t="shared" si="90"/>
        <v>182.52955652528</v>
      </c>
      <c r="R619" s="219" t="s">
        <v>2854</v>
      </c>
      <c r="S619" s="23" t="s">
        <v>2936</v>
      </c>
      <c r="T619" s="804"/>
      <c r="U619" s="120"/>
      <c r="X619" s="1940"/>
      <c r="AC619" s="1940"/>
    </row>
    <row r="620" s="839" customFormat="1" ht="16" hidden="1" customHeight="1" spans="1:29">
      <c r="B620" s="687"/>
      <c r="C620" s="687"/>
      <c r="D620" s="153"/>
      <c r="E620" s="153">
        <v>6.8</v>
      </c>
      <c r="F620" s="2125" t="s">
        <v>2937</v>
      </c>
      <c r="G620" s="2192"/>
      <c r="H620" s="2192"/>
      <c r="I620" s="153"/>
      <c r="J620" s="153" t="s">
        <v>1428</v>
      </c>
      <c r="K620" s="2193" t="s">
        <v>712</v>
      </c>
      <c r="L620" s="827" t="s">
        <v>1428</v>
      </c>
      <c r="M620" s="831">
        <f>46.23/E620/1.13</f>
        <v>6.01639770952629</v>
      </c>
      <c r="N620" s="831">
        <v>26.6</v>
      </c>
      <c r="O620" s="831">
        <v>3.4</v>
      </c>
      <c r="P620" s="831"/>
      <c r="Q620" s="831">
        <f t="shared" si="90"/>
        <v>36.0163977095263</v>
      </c>
      <c r="R620" s="219"/>
      <c r="S620" s="23"/>
      <c r="T620" s="804"/>
      <c r="U620" s="120"/>
      <c r="X620" s="1940"/>
      <c r="AC620" s="1940"/>
    </row>
    <row r="621" s="839" customFormat="1" ht="16" hidden="1" customHeight="1" spans="1:29">
      <c r="A621" s="839">
        <v>489</v>
      </c>
      <c r="B621" s="687"/>
      <c r="C621" s="687"/>
      <c r="D621" s="153">
        <v>20250721</v>
      </c>
      <c r="E621" s="153">
        <v>7.17</v>
      </c>
      <c r="F621" s="2125" t="s">
        <v>2938</v>
      </c>
      <c r="G621" s="2192" t="s">
        <v>1571</v>
      </c>
      <c r="H621" s="2192"/>
      <c r="I621" s="153" t="s">
        <v>2664</v>
      </c>
      <c r="J621" s="153"/>
      <c r="K621" s="2048" t="s">
        <v>2939</v>
      </c>
      <c r="L621" s="21"/>
      <c r="M621" s="37">
        <v>5.99597635181003</v>
      </c>
      <c r="N621" s="37">
        <v>23.9386458533215</v>
      </c>
      <c r="O621" s="37">
        <v>3.4</v>
      </c>
      <c r="P621" s="37"/>
      <c r="Q621" s="37">
        <f t="shared" si="90"/>
        <v>33.3346222051315</v>
      </c>
      <c r="R621" s="219" t="s">
        <v>2854</v>
      </c>
      <c r="S621" s="23" t="s">
        <v>2940</v>
      </c>
      <c r="T621" s="804"/>
      <c r="U621" s="120"/>
      <c r="X621" s="1940"/>
      <c r="AC621" s="1940"/>
    </row>
    <row r="622" s="839" customFormat="1" ht="16" hidden="1" customHeight="1" spans="1:29">
      <c r="A622" s="839">
        <v>490</v>
      </c>
      <c r="B622" s="687"/>
      <c r="C622" s="687"/>
      <c r="D622" s="1017">
        <v>46079</v>
      </c>
      <c r="E622" s="153">
        <v>6.8802</v>
      </c>
      <c r="F622" s="2125" t="s">
        <v>2941</v>
      </c>
      <c r="G622" s="2192" t="s">
        <v>1581</v>
      </c>
      <c r="H622" s="2192"/>
      <c r="I622" s="153" t="s">
        <v>2742</v>
      </c>
      <c r="J622" s="153"/>
      <c r="K622" s="2048" t="s">
        <v>712</v>
      </c>
      <c r="L622" s="699" t="s">
        <v>712</v>
      </c>
      <c r="M622" s="37">
        <f>39.83/E622/1.13</f>
        <v>5.1230760167756</v>
      </c>
      <c r="N622" s="37">
        <v>27.5</v>
      </c>
      <c r="O622" s="37">
        <f>3.4*1.04</f>
        <v>3.536</v>
      </c>
      <c r="P622" s="37"/>
      <c r="Q622" s="37">
        <f t="shared" si="90"/>
        <v>36.1590760167756</v>
      </c>
      <c r="R622" s="219" t="s">
        <v>1526</v>
      </c>
      <c r="S622" s="23" t="s">
        <v>2940</v>
      </c>
      <c r="T622" s="804"/>
      <c r="U622" s="120"/>
      <c r="X622" s="1940"/>
      <c r="AC622" s="1940"/>
    </row>
    <row r="623" s="839" customFormat="1" ht="16" hidden="1" customHeight="1" spans="1:29">
      <c r="A623" s="839">
        <v>491</v>
      </c>
      <c r="B623" s="687"/>
      <c r="C623" s="687"/>
      <c r="D623" s="153">
        <v>20250721</v>
      </c>
      <c r="E623" s="153">
        <v>7.17</v>
      </c>
      <c r="F623" s="2125" t="s">
        <v>2942</v>
      </c>
      <c r="G623" s="2192" t="s">
        <v>1685</v>
      </c>
      <c r="H623" s="2192"/>
      <c r="I623" s="153" t="s">
        <v>2931</v>
      </c>
      <c r="J623" s="153"/>
      <c r="K623" s="2048">
        <v>300</v>
      </c>
      <c r="L623" s="21"/>
      <c r="M623" s="37">
        <v>5.99597635181003</v>
      </c>
      <c r="N623" s="37">
        <v>25.9923480537936</v>
      </c>
      <c r="O623" s="37">
        <v>3.4</v>
      </c>
      <c r="P623" s="37"/>
      <c r="Q623" s="37">
        <f t="shared" si="90"/>
        <v>335.388324405604</v>
      </c>
      <c r="R623" s="219" t="s">
        <v>2854</v>
      </c>
      <c r="S623" s="167" t="s">
        <v>2943</v>
      </c>
      <c r="T623" s="804"/>
      <c r="U623" s="120"/>
      <c r="X623" s="1940"/>
      <c r="AC623" s="1940"/>
    </row>
    <row r="624" s="42" customFormat="1" ht="16" hidden="1" customHeight="1" spans="1:29">
      <c r="A624" s="839">
        <v>492</v>
      </c>
      <c r="B624" s="23" t="s">
        <v>2944</v>
      </c>
      <c r="C624" s="23"/>
      <c r="D624" s="21">
        <v>20250211</v>
      </c>
      <c r="E624" s="21">
        <v>7.17</v>
      </c>
      <c r="F624" s="2132" t="s">
        <v>380</v>
      </c>
      <c r="G624" s="21" t="s">
        <v>381</v>
      </c>
      <c r="H624" s="21"/>
      <c r="I624" s="21"/>
      <c r="J624" s="21"/>
      <c r="K624" s="2048"/>
      <c r="L624" s="36"/>
      <c r="M624" s="22">
        <v>0.320015863021777</v>
      </c>
      <c r="N624" s="22">
        <v>1.00364113494327</v>
      </c>
      <c r="O624" s="37">
        <v>0.2</v>
      </c>
      <c r="P624" s="37"/>
      <c r="Q624" s="37">
        <f t="shared" si="90"/>
        <v>1.52365699796505</v>
      </c>
      <c r="R624" s="219"/>
      <c r="S624" s="23" t="s">
        <v>382</v>
      </c>
      <c r="T624" s="804"/>
      <c r="U624" s="120"/>
      <c r="X624" s="2163"/>
      <c r="AA624" s="839"/>
      <c r="AB624" s="839"/>
      <c r="AC624" s="1940"/>
    </row>
    <row r="625" s="42" customFormat="1" ht="16" hidden="1" customHeight="1" spans="1:29">
      <c r="A625" s="839">
        <v>493</v>
      </c>
      <c r="B625" s="23"/>
      <c r="C625" s="23"/>
      <c r="D625" s="21"/>
      <c r="E625" s="21"/>
      <c r="F625" s="2132" t="s">
        <v>383</v>
      </c>
      <c r="G625" s="21" t="s">
        <v>384</v>
      </c>
      <c r="H625" s="21"/>
      <c r="I625" s="21"/>
      <c r="J625" s="21"/>
      <c r="K625" s="2048"/>
      <c r="L625" s="36"/>
      <c r="M625" s="22">
        <v>0.51</v>
      </c>
      <c r="N625" s="22">
        <v>2.68</v>
      </c>
      <c r="O625" s="37">
        <v>0.4</v>
      </c>
      <c r="P625" s="37"/>
      <c r="Q625" s="37">
        <f t="shared" si="90"/>
        <v>3.59</v>
      </c>
      <c r="R625" s="219"/>
      <c r="S625" s="20" t="s">
        <v>25</v>
      </c>
      <c r="T625" s="805"/>
      <c r="U625" s="120" t="s">
        <v>1406</v>
      </c>
      <c r="X625" s="2163"/>
      <c r="AA625" s="839"/>
      <c r="AB625" s="839"/>
      <c r="AC625" s="1940"/>
    </row>
    <row r="626" s="42" customFormat="1" ht="16" hidden="1" customHeight="1" spans="1:29">
      <c r="A626" s="839">
        <v>494</v>
      </c>
      <c r="B626" s="23"/>
      <c r="C626" s="23"/>
      <c r="D626" s="21"/>
      <c r="E626" s="21"/>
      <c r="F626" s="2132" t="s">
        <v>385</v>
      </c>
      <c r="G626" s="21" t="s">
        <v>386</v>
      </c>
      <c r="H626" s="21"/>
      <c r="I626" s="21"/>
      <c r="J626" s="21"/>
      <c r="K626" s="2048"/>
      <c r="L626" s="36"/>
      <c r="M626" s="22">
        <v>0.610837438423645</v>
      </c>
      <c r="N626" s="22">
        <v>2.1871921182266</v>
      </c>
      <c r="O626" s="37">
        <v>0.2</v>
      </c>
      <c r="P626" s="37"/>
      <c r="Q626" s="37">
        <f t="shared" si="90"/>
        <v>2.99802955665025</v>
      </c>
      <c r="R626" s="219"/>
      <c r="S626" s="20"/>
      <c r="T626" s="805"/>
      <c r="U626" s="120" t="s">
        <v>1406</v>
      </c>
      <c r="X626" s="2163"/>
      <c r="AA626" s="839"/>
      <c r="AB626" s="839"/>
      <c r="AC626" s="1940"/>
    </row>
    <row r="627" s="42" customFormat="1" ht="16" hidden="1" customHeight="1" spans="1:29">
      <c r="A627" s="839">
        <v>495</v>
      </c>
      <c r="B627" s="23"/>
      <c r="C627" s="23"/>
      <c r="D627" s="21"/>
      <c r="E627" s="21"/>
      <c r="F627" s="2132" t="s">
        <v>387</v>
      </c>
      <c r="G627" s="21" t="s">
        <v>388</v>
      </c>
      <c r="H627" s="21"/>
      <c r="I627" s="21"/>
      <c r="J627" s="21"/>
      <c r="K627" s="2048"/>
      <c r="L627" s="36"/>
      <c r="M627" s="22">
        <v>0.354679802955665</v>
      </c>
      <c r="N627" s="22">
        <v>1.08843537414966</v>
      </c>
      <c r="O627" s="37">
        <v>0.2</v>
      </c>
      <c r="P627" s="37"/>
      <c r="Q627" s="37">
        <f t="shared" si="90"/>
        <v>1.64311517710532</v>
      </c>
      <c r="R627" s="219"/>
      <c r="S627" s="20"/>
      <c r="T627" s="805"/>
      <c r="U627" s="120" t="s">
        <v>1406</v>
      </c>
      <c r="X627" s="2163"/>
      <c r="AA627" s="839"/>
      <c r="AB627" s="839"/>
      <c r="AC627" s="1940"/>
    </row>
    <row r="628" s="42" customFormat="1" ht="16" hidden="1" customHeight="1" spans="1:29">
      <c r="A628" s="839">
        <v>496</v>
      </c>
      <c r="B628" s="23"/>
      <c r="C628" s="23"/>
      <c r="D628" s="21"/>
      <c r="E628" s="21"/>
      <c r="F628" s="2132" t="s">
        <v>389</v>
      </c>
      <c r="G628" s="21" t="s">
        <v>390</v>
      </c>
      <c r="H628" s="21"/>
      <c r="I628" s="21"/>
      <c r="J628" s="21"/>
      <c r="K628" s="2048"/>
      <c r="L628" s="36"/>
      <c r="M628" s="22">
        <v>0.61</v>
      </c>
      <c r="N628" s="22">
        <v>5.22857142857143</v>
      </c>
      <c r="O628" s="37">
        <v>0.4</v>
      </c>
      <c r="P628" s="37"/>
      <c r="Q628" s="37">
        <f t="shared" si="90"/>
        <v>6.23857142857143</v>
      </c>
      <c r="R628" s="219"/>
      <c r="S628" s="20"/>
      <c r="T628" s="805"/>
      <c r="U628" s="120" t="s">
        <v>1406</v>
      </c>
      <c r="X628" s="2163"/>
      <c r="AA628" s="839"/>
      <c r="AB628" s="839"/>
      <c r="AC628" s="1940"/>
    </row>
    <row r="629" s="42" customFormat="1" ht="16" hidden="1" customHeight="1" spans="1:29">
      <c r="A629" s="839">
        <v>497</v>
      </c>
      <c r="B629" s="23"/>
      <c r="C629" s="23"/>
      <c r="D629" s="21"/>
      <c r="E629" s="21"/>
      <c r="F629" s="2132" t="s">
        <v>391</v>
      </c>
      <c r="G629" s="21" t="s">
        <v>392</v>
      </c>
      <c r="H629" s="21"/>
      <c r="I629" s="21"/>
      <c r="J629" s="21"/>
      <c r="K629" s="2048"/>
      <c r="L629" s="36"/>
      <c r="M629" s="22">
        <v>0.814</v>
      </c>
      <c r="N629" s="22">
        <v>5.06666666666667</v>
      </c>
      <c r="O629" s="37">
        <v>0.4</v>
      </c>
      <c r="P629" s="37"/>
      <c r="Q629" s="37">
        <f t="shared" si="90"/>
        <v>6.28066666666667</v>
      </c>
      <c r="R629" s="219"/>
      <c r="S629" s="20"/>
      <c r="T629" s="805"/>
      <c r="U629" s="120" t="s">
        <v>1406</v>
      </c>
      <c r="X629" s="2163"/>
      <c r="AA629" s="839"/>
      <c r="AB629" s="839"/>
      <c r="AC629" s="1940"/>
    </row>
    <row r="630" s="42" customFormat="1" ht="16" hidden="1" customHeight="1" spans="1:29">
      <c r="A630" s="839">
        <v>498</v>
      </c>
      <c r="B630" s="23"/>
      <c r="C630" s="23"/>
      <c r="D630" s="21"/>
      <c r="E630" s="21"/>
      <c r="F630" s="2132" t="s">
        <v>393</v>
      </c>
      <c r="G630" s="21" t="s">
        <v>394</v>
      </c>
      <c r="H630" s="21"/>
      <c r="I630" s="21"/>
      <c r="J630" s="21"/>
      <c r="K630" s="2048"/>
      <c r="L630" s="36"/>
      <c r="M630" s="22">
        <v>0.363</v>
      </c>
      <c r="N630" s="22">
        <v>1.03809523809524</v>
      </c>
      <c r="O630" s="37">
        <v>0.2</v>
      </c>
      <c r="P630" s="37"/>
      <c r="Q630" s="37">
        <f t="shared" si="90"/>
        <v>1.60109523809524</v>
      </c>
      <c r="R630" s="219"/>
      <c r="S630" s="20"/>
      <c r="T630" s="805"/>
      <c r="U630" s="120" t="s">
        <v>1406</v>
      </c>
      <c r="X630" s="2163"/>
      <c r="AA630" s="839"/>
      <c r="AB630" s="839"/>
      <c r="AC630" s="1940"/>
    </row>
    <row r="631" s="42" customFormat="1" ht="16" hidden="1" customHeight="1" spans="1:29">
      <c r="A631" s="839">
        <v>499</v>
      </c>
      <c r="B631" s="23"/>
      <c r="C631" s="23"/>
      <c r="D631" s="21"/>
      <c r="E631" s="21"/>
      <c r="F631" s="2132" t="s">
        <v>395</v>
      </c>
      <c r="G631" s="21" t="s">
        <v>396</v>
      </c>
      <c r="H631" s="21"/>
      <c r="I631" s="21"/>
      <c r="J631" s="21"/>
      <c r="K631" s="2048"/>
      <c r="L631" s="36"/>
      <c r="M631" s="22">
        <v>0.403940886699507</v>
      </c>
      <c r="N631" s="22">
        <v>2.16748768472906</v>
      </c>
      <c r="O631" s="37">
        <v>0.2</v>
      </c>
      <c r="P631" s="37"/>
      <c r="Q631" s="37">
        <f t="shared" si="90"/>
        <v>2.77142857142857</v>
      </c>
      <c r="R631" s="219"/>
      <c r="S631" s="20"/>
      <c r="T631" s="805"/>
      <c r="U631" s="120" t="s">
        <v>1406</v>
      </c>
      <c r="X631" s="2163"/>
      <c r="AA631" s="839"/>
      <c r="AB631" s="839"/>
      <c r="AC631" s="1940"/>
    </row>
    <row r="632" s="42" customFormat="1" ht="16" hidden="1" customHeight="1" spans="1:29">
      <c r="A632" s="839">
        <v>500</v>
      </c>
      <c r="B632" s="23"/>
      <c r="C632" s="23"/>
      <c r="D632" s="21"/>
      <c r="E632" s="21"/>
      <c r="F632" s="2132" t="s">
        <v>397</v>
      </c>
      <c r="G632" s="21" t="s">
        <v>398</v>
      </c>
      <c r="H632" s="21"/>
      <c r="I632" s="21"/>
      <c r="J632" s="21"/>
      <c r="K632" s="2048"/>
      <c r="L632" s="36"/>
      <c r="M632" s="22">
        <v>0.46354</v>
      </c>
      <c r="N632" s="22">
        <v>3.42857142857143</v>
      </c>
      <c r="O632" s="37">
        <v>0.4</v>
      </c>
      <c r="P632" s="37"/>
      <c r="Q632" s="37">
        <f t="shared" si="90"/>
        <v>4.29211142857143</v>
      </c>
      <c r="R632" s="219"/>
      <c r="S632" s="20"/>
      <c r="T632" s="805"/>
      <c r="U632" s="120" t="s">
        <v>1406</v>
      </c>
      <c r="X632" s="2163"/>
      <c r="AA632" s="839"/>
      <c r="AB632" s="839"/>
      <c r="AC632" s="1940"/>
    </row>
    <row r="633" s="42" customFormat="1" ht="16" hidden="1" customHeight="1" spans="1:29">
      <c r="A633" s="839">
        <v>501</v>
      </c>
      <c r="B633" s="23"/>
      <c r="C633" s="23"/>
      <c r="D633" s="21"/>
      <c r="E633" s="21"/>
      <c r="F633" s="2132" t="s">
        <v>399</v>
      </c>
      <c r="G633" s="21" t="s">
        <v>400</v>
      </c>
      <c r="H633" s="21"/>
      <c r="I633" s="21"/>
      <c r="J633" s="21"/>
      <c r="K633" s="2048"/>
      <c r="L633" s="36"/>
      <c r="M633" s="22">
        <v>0.39</v>
      </c>
      <c r="N633" s="22">
        <v>2.77</v>
      </c>
      <c r="O633" s="37">
        <v>0.4</v>
      </c>
      <c r="P633" s="37"/>
      <c r="Q633" s="37">
        <f t="shared" si="90"/>
        <v>3.56</v>
      </c>
      <c r="R633" s="219"/>
      <c r="S633" s="20"/>
      <c r="T633" s="805"/>
      <c r="U633" s="120" t="s">
        <v>1406</v>
      </c>
      <c r="X633" s="2163"/>
      <c r="AA633" s="839"/>
      <c r="AB633" s="839"/>
      <c r="AC633" s="1940"/>
    </row>
    <row r="634" s="42" customFormat="1" ht="16" hidden="1" customHeight="1" spans="1:29">
      <c r="A634" s="839">
        <v>502</v>
      </c>
      <c r="B634" s="23"/>
      <c r="C634" s="23"/>
      <c r="D634" s="21"/>
      <c r="E634" s="21"/>
      <c r="F634" s="2132" t="s">
        <v>401</v>
      </c>
      <c r="G634" s="21" t="s">
        <v>402</v>
      </c>
      <c r="H634" s="21"/>
      <c r="I634" s="21"/>
      <c r="J634" s="21"/>
      <c r="K634" s="2048"/>
      <c r="L634" s="36"/>
      <c r="M634" s="22">
        <v>0.363</v>
      </c>
      <c r="N634" s="22">
        <v>1.39047619047619</v>
      </c>
      <c r="O634" s="37">
        <v>0.2</v>
      </c>
      <c r="P634" s="37"/>
      <c r="Q634" s="37">
        <f t="shared" si="90"/>
        <v>1.95347619047619</v>
      </c>
      <c r="R634" s="219"/>
      <c r="S634" s="20"/>
      <c r="T634" s="805"/>
      <c r="U634" s="120" t="s">
        <v>1406</v>
      </c>
      <c r="X634" s="2163"/>
      <c r="AA634" s="839"/>
      <c r="AB634" s="839"/>
      <c r="AC634" s="1940"/>
    </row>
    <row r="635" s="42" customFormat="1" ht="16" hidden="1" customHeight="1" spans="1:29">
      <c r="A635" s="839">
        <v>503</v>
      </c>
      <c r="B635" s="23"/>
      <c r="C635" s="23"/>
      <c r="D635" s="21"/>
      <c r="E635" s="21"/>
      <c r="F635" s="2132" t="s">
        <v>403</v>
      </c>
      <c r="G635" s="21" t="s">
        <v>404</v>
      </c>
      <c r="H635" s="21"/>
      <c r="I635" s="21"/>
      <c r="J635" s="21"/>
      <c r="K635" s="2048"/>
      <c r="L635" s="36"/>
      <c r="M635" s="22">
        <v>0.36</v>
      </c>
      <c r="N635" s="22">
        <v>1.38</v>
      </c>
      <c r="O635" s="37">
        <v>0.3</v>
      </c>
      <c r="P635" s="37"/>
      <c r="Q635" s="37">
        <f t="shared" si="90"/>
        <v>2.04</v>
      </c>
      <c r="R635" s="219"/>
      <c r="S635" s="20"/>
      <c r="T635" s="805"/>
      <c r="U635" s="120" t="s">
        <v>1406</v>
      </c>
      <c r="X635" s="2163"/>
      <c r="AA635" s="839"/>
      <c r="AB635" s="839"/>
      <c r="AC635" s="1940"/>
    </row>
    <row r="636" s="42" customFormat="1" ht="16" hidden="1" customHeight="1" spans="1:29">
      <c r="A636" s="839">
        <v>504</v>
      </c>
      <c r="B636" s="23"/>
      <c r="C636" s="23"/>
      <c r="D636" s="21"/>
      <c r="E636" s="21"/>
      <c r="F636" s="2132" t="s">
        <v>405</v>
      </c>
      <c r="G636" s="21" t="s">
        <v>406</v>
      </c>
      <c r="H636" s="21"/>
      <c r="I636" s="21"/>
      <c r="J636" s="21"/>
      <c r="K636" s="2048"/>
      <c r="L636" s="36"/>
      <c r="M636" s="22">
        <v>0.33</v>
      </c>
      <c r="N636" s="22">
        <v>1.78</v>
      </c>
      <c r="O636" s="37">
        <v>0.2</v>
      </c>
      <c r="P636" s="37"/>
      <c r="Q636" s="37">
        <f t="shared" si="90"/>
        <v>2.31</v>
      </c>
      <c r="R636" s="219"/>
      <c r="S636" s="20"/>
      <c r="T636" s="805"/>
      <c r="U636" s="120" t="s">
        <v>1406</v>
      </c>
      <c r="X636" s="2163"/>
      <c r="AA636" s="839"/>
      <c r="AB636" s="839"/>
      <c r="AC636" s="1940"/>
    </row>
    <row r="637" s="839" customFormat="1" ht="16" hidden="1" customHeight="1" spans="1:29">
      <c r="A637" s="839">
        <v>505</v>
      </c>
      <c r="B637" s="23" t="s">
        <v>407</v>
      </c>
      <c r="C637" s="23"/>
      <c r="D637" s="21">
        <v>20240125</v>
      </c>
      <c r="E637" s="21">
        <v>7.17</v>
      </c>
      <c r="F637" s="2132" t="s">
        <v>408</v>
      </c>
      <c r="G637" s="690" t="s">
        <v>409</v>
      </c>
      <c r="H637" s="690"/>
      <c r="I637" s="21"/>
      <c r="J637" s="21"/>
      <c r="K637" s="2048"/>
      <c r="L637" s="779"/>
      <c r="M637" s="22">
        <v>0.274125</v>
      </c>
      <c r="N637" s="22">
        <v>0.650850273597728</v>
      </c>
      <c r="O637" s="37">
        <v>0.2</v>
      </c>
      <c r="P637" s="37"/>
      <c r="Q637" s="37">
        <f t="shared" si="90"/>
        <v>1.12497527359773</v>
      </c>
      <c r="R637" s="219"/>
      <c r="S637" s="39"/>
      <c r="T637" s="1931"/>
      <c r="U637" s="120" t="s">
        <v>1406</v>
      </c>
      <c r="X637" s="1940"/>
      <c r="AC637" s="1940"/>
    </row>
    <row r="638" s="839" customFormat="1" ht="16" hidden="1" customHeight="1" spans="1:29">
      <c r="A638" s="839">
        <v>506</v>
      </c>
      <c r="B638" s="23"/>
      <c r="C638" s="23"/>
      <c r="D638" s="21"/>
      <c r="E638" s="21"/>
      <c r="F638" s="2130" t="s">
        <v>1979</v>
      </c>
      <c r="G638" s="690" t="s">
        <v>410</v>
      </c>
      <c r="H638" s="690"/>
      <c r="I638" s="21"/>
      <c r="J638" s="21"/>
      <c r="K638" s="2048"/>
      <c r="L638" s="779"/>
      <c r="M638" s="22">
        <v>0.615621392843401</v>
      </c>
      <c r="N638" s="22">
        <v>2.09142865702193</v>
      </c>
      <c r="O638" s="37">
        <v>0.4</v>
      </c>
      <c r="P638" s="37"/>
      <c r="Q638" s="37">
        <f t="shared" si="90"/>
        <v>3.10705004986533</v>
      </c>
      <c r="R638" s="219"/>
      <c r="S638" s="39"/>
      <c r="T638" s="1931"/>
      <c r="U638" s="120" t="s">
        <v>1406</v>
      </c>
      <c r="X638" s="1940"/>
      <c r="AC638" s="1940"/>
    </row>
    <row r="639" s="839" customFormat="1" ht="16" hidden="1" customHeight="1" spans="1:29">
      <c r="A639" s="839">
        <v>507</v>
      </c>
      <c r="B639" s="23"/>
      <c r="C639" s="23"/>
      <c r="D639" s="21"/>
      <c r="E639" s="21"/>
      <c r="F639" s="2130" t="s">
        <v>1979</v>
      </c>
      <c r="G639" s="690" t="s">
        <v>411</v>
      </c>
      <c r="H639" s="690"/>
      <c r="I639" s="21"/>
      <c r="J639" s="21"/>
      <c r="K639" s="2048"/>
      <c r="L639" s="779"/>
      <c r="M639" s="22">
        <v>0.76</v>
      </c>
      <c r="N639" s="22">
        <v>2.95238095238096</v>
      </c>
      <c r="O639" s="37">
        <v>0.2</v>
      </c>
      <c r="P639" s="37"/>
      <c r="Q639" s="37">
        <f t="shared" si="90"/>
        <v>3.91238095238096</v>
      </c>
      <c r="R639" s="219"/>
      <c r="S639" s="39"/>
      <c r="T639" s="1931"/>
      <c r="U639" s="120" t="s">
        <v>1406</v>
      </c>
      <c r="X639" s="1940"/>
      <c r="AC639" s="1940"/>
    </row>
    <row r="640" s="839" customFormat="1" ht="16" hidden="1" customHeight="1" spans="1:29">
      <c r="A640" s="839">
        <v>508</v>
      </c>
      <c r="B640" s="23"/>
      <c r="C640" s="23"/>
      <c r="D640" s="21"/>
      <c r="E640" s="21"/>
      <c r="F640" s="2130" t="s">
        <v>1979</v>
      </c>
      <c r="G640" s="690" t="s">
        <v>412</v>
      </c>
      <c r="H640" s="690"/>
      <c r="I640" s="21"/>
      <c r="J640" s="21"/>
      <c r="K640" s="2048"/>
      <c r="L640" s="779"/>
      <c r="M640" s="22">
        <v>0.8</v>
      </c>
      <c r="N640" s="22">
        <v>4.88857612010321</v>
      </c>
      <c r="O640" s="37">
        <v>0.4</v>
      </c>
      <c r="P640" s="37"/>
      <c r="Q640" s="37">
        <f t="shared" si="90"/>
        <v>6.08857612010321</v>
      </c>
      <c r="R640" s="219"/>
      <c r="S640" s="39" t="s">
        <v>2945</v>
      </c>
      <c r="T640" s="1931"/>
      <c r="U640" s="120" t="s">
        <v>1406</v>
      </c>
      <c r="X640" s="1940"/>
      <c r="AC640" s="1940"/>
    </row>
    <row r="641" s="839" customFormat="1" ht="16" hidden="1" customHeight="1" spans="1:29">
      <c r="A641" s="839">
        <v>509</v>
      </c>
      <c r="B641" s="23"/>
      <c r="C641" s="23"/>
      <c r="D641" s="21"/>
      <c r="E641" s="21"/>
      <c r="F641" s="2130" t="s">
        <v>1979</v>
      </c>
      <c r="G641" s="690" t="s">
        <v>414</v>
      </c>
      <c r="H641" s="690"/>
      <c r="I641" s="21"/>
      <c r="J641" s="21"/>
      <c r="K641" s="2048"/>
      <c r="L641" s="779"/>
      <c r="M641" s="22">
        <v>0.83</v>
      </c>
      <c r="N641" s="22">
        <v>5.30143091719446</v>
      </c>
      <c r="O641" s="37">
        <v>0.4</v>
      </c>
      <c r="P641" s="37"/>
      <c r="Q641" s="37">
        <f t="shared" si="90"/>
        <v>6.53143091719446</v>
      </c>
      <c r="R641" s="219"/>
      <c r="S641" s="39" t="s">
        <v>2946</v>
      </c>
      <c r="T641" s="1931"/>
      <c r="U641" s="120" t="s">
        <v>1406</v>
      </c>
      <c r="X641" s="1940"/>
      <c r="AC641" s="1940"/>
    </row>
    <row r="642" s="839" customFormat="1" ht="16" hidden="1" customHeight="1" spans="1:29">
      <c r="A642" s="839">
        <v>510</v>
      </c>
      <c r="B642" s="23"/>
      <c r="C642" s="23"/>
      <c r="D642" s="21"/>
      <c r="E642" s="21"/>
      <c r="F642" s="2130" t="s">
        <v>1979</v>
      </c>
      <c r="G642" s="690" t="s">
        <v>416</v>
      </c>
      <c r="H642" s="690"/>
      <c r="I642" s="21"/>
      <c r="J642" s="21"/>
      <c r="K642" s="2048"/>
      <c r="L642" s="779"/>
      <c r="M642" s="22">
        <v>0.27</v>
      </c>
      <c r="N642" s="22">
        <v>0.476190476190476</v>
      </c>
      <c r="O642" s="37">
        <v>0.2</v>
      </c>
      <c r="P642" s="37"/>
      <c r="Q642" s="37">
        <f t="shared" si="90"/>
        <v>0.946190476190476</v>
      </c>
      <c r="R642" s="219"/>
      <c r="S642" s="39"/>
      <c r="T642" s="1931"/>
      <c r="U642" s="120" t="s">
        <v>1406</v>
      </c>
      <c r="X642" s="1940"/>
      <c r="AC642" s="1940"/>
    </row>
    <row r="643" s="839" customFormat="1" ht="16" hidden="1" customHeight="1" spans="1:29">
      <c r="A643" s="839">
        <v>511</v>
      </c>
      <c r="B643" s="23"/>
      <c r="C643" s="23"/>
      <c r="D643" s="21"/>
      <c r="E643" s="21"/>
      <c r="F643" s="2130" t="s">
        <v>1979</v>
      </c>
      <c r="G643" s="690" t="s">
        <v>417</v>
      </c>
      <c r="H643" s="690"/>
      <c r="I643" s="690"/>
      <c r="J643" s="690"/>
      <c r="K643" s="2048"/>
      <c r="L643" s="779"/>
      <c r="M643" s="22">
        <v>0.79</v>
      </c>
      <c r="N643" s="22">
        <v>4.9047619047619</v>
      </c>
      <c r="O643" s="37">
        <v>0.4</v>
      </c>
      <c r="P643" s="37"/>
      <c r="Q643" s="37">
        <f t="shared" si="90"/>
        <v>6.0947619047619</v>
      </c>
      <c r="R643" s="219"/>
      <c r="S643" s="39" t="s">
        <v>346</v>
      </c>
      <c r="T643" s="1931"/>
      <c r="U643" s="120" t="s">
        <v>1406</v>
      </c>
      <c r="X643" s="1940"/>
      <c r="AC643" s="1940"/>
    </row>
    <row r="644" s="839" customFormat="1" ht="16" hidden="1" customHeight="1" spans="1:29">
      <c r="A644" s="839">
        <v>512</v>
      </c>
      <c r="B644" s="23"/>
      <c r="C644" s="23"/>
      <c r="D644" s="21"/>
      <c r="E644" s="21"/>
      <c r="F644" s="2130" t="s">
        <v>1979</v>
      </c>
      <c r="G644" s="690" t="s">
        <v>418</v>
      </c>
      <c r="H644" s="690"/>
      <c r="I644" s="690"/>
      <c r="J644" s="690"/>
      <c r="K644" s="2048"/>
      <c r="L644" s="779"/>
      <c r="M644" s="22">
        <v>0.73</v>
      </c>
      <c r="N644" s="22">
        <v>4.07224958949097</v>
      </c>
      <c r="O644" s="37">
        <v>0.4</v>
      </c>
      <c r="P644" s="37"/>
      <c r="Q644" s="37">
        <f t="shared" si="90"/>
        <v>5.20224958949097</v>
      </c>
      <c r="R644" s="219"/>
      <c r="S644" s="39" t="s">
        <v>346</v>
      </c>
      <c r="T644" s="1931"/>
      <c r="U644" s="120" t="s">
        <v>1406</v>
      </c>
      <c r="X644" s="1940"/>
      <c r="AC644" s="1940"/>
    </row>
    <row r="645" s="839" customFormat="1" ht="16" hidden="1" customHeight="1" spans="1:29">
      <c r="A645" s="839">
        <v>513</v>
      </c>
      <c r="B645" s="23"/>
      <c r="C645" s="23"/>
      <c r="D645" s="21"/>
      <c r="E645" s="21"/>
      <c r="F645" s="2130" t="s">
        <v>1979</v>
      </c>
      <c r="G645" s="690" t="s">
        <v>419</v>
      </c>
      <c r="H645" s="690"/>
      <c r="I645" s="690"/>
      <c r="J645" s="690"/>
      <c r="K645" s="2048"/>
      <c r="L645" s="779"/>
      <c r="M645" s="22">
        <v>0.58</v>
      </c>
      <c r="N645" s="22">
        <v>3.65001172882946</v>
      </c>
      <c r="O645" s="37">
        <v>0.3</v>
      </c>
      <c r="P645" s="37"/>
      <c r="Q645" s="37">
        <f t="shared" si="90"/>
        <v>4.53001172882946</v>
      </c>
      <c r="R645" s="219"/>
      <c r="S645" s="39" t="s">
        <v>346</v>
      </c>
      <c r="T645" s="1931"/>
      <c r="U645" s="120" t="s">
        <v>1406</v>
      </c>
      <c r="X645" s="1940"/>
      <c r="AC645" s="1940"/>
    </row>
    <row r="646" s="839" customFormat="1" ht="16" hidden="1" customHeight="1" spans="1:29">
      <c r="A646" s="839">
        <v>514</v>
      </c>
      <c r="B646" s="23"/>
      <c r="C646" s="23"/>
      <c r="D646" s="21"/>
      <c r="E646" s="21"/>
      <c r="F646" s="2130" t="s">
        <v>1979</v>
      </c>
      <c r="G646" s="690" t="s">
        <v>420</v>
      </c>
      <c r="H646" s="690"/>
      <c r="I646" s="690"/>
      <c r="J646" s="690"/>
      <c r="K646" s="2048"/>
      <c r="L646" s="779"/>
      <c r="M646" s="22">
        <v>0.35</v>
      </c>
      <c r="N646" s="22">
        <v>1.08571428571429</v>
      </c>
      <c r="O646" s="37">
        <v>0.2</v>
      </c>
      <c r="P646" s="37"/>
      <c r="Q646" s="37">
        <f t="shared" si="90"/>
        <v>1.63571428571429</v>
      </c>
      <c r="R646" s="219"/>
      <c r="S646" s="39"/>
      <c r="T646" s="1931"/>
      <c r="U646" s="120" t="s">
        <v>1406</v>
      </c>
      <c r="X646" s="1940"/>
      <c r="AC646" s="1940"/>
    </row>
    <row r="647" s="839" customFormat="1" ht="16" hidden="1" customHeight="1" spans="1:29">
      <c r="A647" s="839">
        <v>515</v>
      </c>
      <c r="B647" s="23"/>
      <c r="C647" s="23"/>
      <c r="D647" s="21"/>
      <c r="E647" s="21"/>
      <c r="F647" s="2130" t="s">
        <v>1979</v>
      </c>
      <c r="G647" s="690" t="s">
        <v>421</v>
      </c>
      <c r="H647" s="690"/>
      <c r="I647" s="21"/>
      <c r="J647" s="21"/>
      <c r="K647" s="2048"/>
      <c r="L647" s="779"/>
      <c r="M647" s="22">
        <v>0.9</v>
      </c>
      <c r="N647" s="22">
        <v>3.61904761904762</v>
      </c>
      <c r="O647" s="37">
        <v>0.4</v>
      </c>
      <c r="P647" s="37"/>
      <c r="Q647" s="37">
        <f t="shared" si="90"/>
        <v>4.91904761904762</v>
      </c>
      <c r="R647" s="219"/>
      <c r="S647" s="39" t="s">
        <v>2947</v>
      </c>
      <c r="T647" s="1931"/>
      <c r="U647" s="120" t="s">
        <v>1406</v>
      </c>
      <c r="X647" s="1940"/>
      <c r="AC647" s="1940"/>
    </row>
    <row r="648" s="839" customFormat="1" ht="16" hidden="1" customHeight="1" spans="1:29">
      <c r="A648" s="839">
        <v>516</v>
      </c>
      <c r="B648" s="23"/>
      <c r="C648" s="23"/>
      <c r="D648" s="21"/>
      <c r="E648" s="21"/>
      <c r="F648" s="2130" t="s">
        <v>1979</v>
      </c>
      <c r="G648" s="690" t="s">
        <v>423</v>
      </c>
      <c r="H648" s="690"/>
      <c r="I648" s="21"/>
      <c r="J648" s="21"/>
      <c r="K648" s="2048"/>
      <c r="L648" s="779"/>
      <c r="M648" s="22">
        <v>0.86</v>
      </c>
      <c r="N648" s="22">
        <v>3.33333333333333</v>
      </c>
      <c r="O648" s="37">
        <v>0.4</v>
      </c>
      <c r="P648" s="37"/>
      <c r="Q648" s="37">
        <f t="shared" si="90"/>
        <v>4.59333333333333</v>
      </c>
      <c r="R648" s="219"/>
      <c r="S648" s="39" t="s">
        <v>2947</v>
      </c>
      <c r="T648" s="1931"/>
      <c r="U648" s="120" t="s">
        <v>1406</v>
      </c>
      <c r="X648" s="1940"/>
      <c r="AC648" s="1940"/>
    </row>
    <row r="649" s="839" customFormat="1" ht="16" hidden="1" customHeight="1" spans="1:29">
      <c r="A649" s="839">
        <v>517</v>
      </c>
      <c r="B649" s="23"/>
      <c r="C649" s="23"/>
      <c r="D649" s="21"/>
      <c r="E649" s="21"/>
      <c r="F649" s="2130" t="s">
        <v>1979</v>
      </c>
      <c r="G649" s="690" t="s">
        <v>424</v>
      </c>
      <c r="H649" s="690"/>
      <c r="I649" s="21"/>
      <c r="J649" s="21"/>
      <c r="K649" s="2048"/>
      <c r="L649" s="779"/>
      <c r="M649" s="22">
        <v>0.42955</v>
      </c>
      <c r="N649" s="22">
        <v>1.02318095238096</v>
      </c>
      <c r="O649" s="37">
        <v>0.2</v>
      </c>
      <c r="P649" s="37"/>
      <c r="Q649" s="37">
        <f t="shared" si="90"/>
        <v>1.65273095238096</v>
      </c>
      <c r="R649" s="219"/>
      <c r="S649" s="39"/>
      <c r="T649" s="1931"/>
      <c r="U649" s="120" t="s">
        <v>1406</v>
      </c>
      <c r="X649" s="1940"/>
      <c r="AC649" s="1940"/>
    </row>
    <row r="650" s="839" customFormat="1" ht="16" hidden="1" customHeight="1" spans="1:29">
      <c r="A650" s="839">
        <v>518</v>
      </c>
      <c r="B650" s="23"/>
      <c r="C650" s="23"/>
      <c r="D650" s="21"/>
      <c r="E650" s="21"/>
      <c r="F650" s="2130" t="s">
        <v>1979</v>
      </c>
      <c r="G650" s="690" t="s">
        <v>425</v>
      </c>
      <c r="H650" s="690"/>
      <c r="I650" s="21"/>
      <c r="J650" s="21"/>
      <c r="K650" s="2048"/>
      <c r="L650" s="779"/>
      <c r="M650" s="22">
        <v>0.46354</v>
      </c>
      <c r="N650" s="22">
        <v>3.86582219094534</v>
      </c>
      <c r="O650" s="37">
        <v>0.4</v>
      </c>
      <c r="P650" s="37"/>
      <c r="Q650" s="37">
        <f t="shared" si="90"/>
        <v>4.72936219094534</v>
      </c>
      <c r="R650" s="219"/>
      <c r="S650" s="39" t="s">
        <v>2948</v>
      </c>
      <c r="T650" s="1931"/>
      <c r="U650" s="120" t="s">
        <v>1406</v>
      </c>
      <c r="X650" s="1940"/>
      <c r="AC650" s="1940"/>
    </row>
    <row r="651" s="839" customFormat="1" ht="16" hidden="1" customHeight="1" spans="1:29">
      <c r="A651" s="839">
        <v>519</v>
      </c>
      <c r="B651" s="23"/>
      <c r="C651" s="23"/>
      <c r="D651" s="21"/>
      <c r="E651" s="21"/>
      <c r="F651" s="2130" t="s">
        <v>1979</v>
      </c>
      <c r="G651" s="690" t="s">
        <v>427</v>
      </c>
      <c r="H651" s="690"/>
      <c r="I651" s="21"/>
      <c r="J651" s="21"/>
      <c r="K651" s="2048"/>
      <c r="L651" s="779"/>
      <c r="M651" s="22">
        <v>0.46354</v>
      </c>
      <c r="N651" s="22">
        <v>3.43420126671359</v>
      </c>
      <c r="O651" s="37">
        <v>0.4</v>
      </c>
      <c r="P651" s="37"/>
      <c r="Q651" s="37">
        <f t="shared" si="90"/>
        <v>4.29774126671359</v>
      </c>
      <c r="R651" s="219"/>
      <c r="S651" s="39" t="s">
        <v>25</v>
      </c>
      <c r="T651" s="1931"/>
      <c r="U651" s="120" t="s">
        <v>1406</v>
      </c>
      <c r="X651" s="1940"/>
      <c r="AC651" s="1940"/>
    </row>
    <row r="652" s="839" customFormat="1" ht="16" hidden="1" customHeight="1" spans="1:29">
      <c r="A652" s="839">
        <v>520</v>
      </c>
      <c r="B652" s="23"/>
      <c r="C652" s="23"/>
      <c r="D652" s="21"/>
      <c r="E652" s="21"/>
      <c r="F652" s="2130" t="s">
        <v>1979</v>
      </c>
      <c r="G652" s="690" t="s">
        <v>428</v>
      </c>
      <c r="H652" s="690"/>
      <c r="I652" s="21"/>
      <c r="J652" s="21"/>
      <c r="K652" s="2048"/>
      <c r="L652" s="779"/>
      <c r="M652" s="22">
        <v>0.39556</v>
      </c>
      <c r="N652" s="22">
        <v>3.24653999530846</v>
      </c>
      <c r="O652" s="37">
        <v>0.4</v>
      </c>
      <c r="P652" s="37"/>
      <c r="Q652" s="37">
        <f t="shared" si="90"/>
        <v>4.04209999530846</v>
      </c>
      <c r="R652" s="219"/>
      <c r="S652" s="39" t="s">
        <v>25</v>
      </c>
      <c r="T652" s="1931"/>
      <c r="U652" s="120" t="s">
        <v>1406</v>
      </c>
      <c r="X652" s="1940"/>
      <c r="AC652" s="1940"/>
    </row>
    <row r="653" s="839" customFormat="1" ht="16" hidden="1" customHeight="1" spans="1:29">
      <c r="A653" s="839">
        <v>521</v>
      </c>
      <c r="B653" s="23"/>
      <c r="C653" s="23"/>
      <c r="D653" s="21"/>
      <c r="E653" s="21"/>
      <c r="F653" s="2130" t="s">
        <v>1979</v>
      </c>
      <c r="G653" s="690" t="s">
        <v>429</v>
      </c>
      <c r="H653" s="690"/>
      <c r="I653" s="21"/>
      <c r="J653" s="21"/>
      <c r="K653" s="2048"/>
      <c r="L653" s="779"/>
      <c r="M653" s="22">
        <v>0.385</v>
      </c>
      <c r="N653" s="22">
        <v>3.29345531315974</v>
      </c>
      <c r="O653" s="37">
        <v>0.4</v>
      </c>
      <c r="P653" s="37"/>
      <c r="Q653" s="37">
        <f t="shared" si="90"/>
        <v>4.07845531315974</v>
      </c>
      <c r="R653" s="219"/>
      <c r="S653" s="39" t="s">
        <v>25</v>
      </c>
      <c r="T653" s="1931"/>
      <c r="U653" s="120" t="s">
        <v>1406</v>
      </c>
      <c r="X653" s="1940"/>
      <c r="AC653" s="1940"/>
    </row>
    <row r="654" s="839" customFormat="1" ht="16" hidden="1" customHeight="1" spans="1:29">
      <c r="A654" s="839">
        <v>522</v>
      </c>
      <c r="B654" s="23"/>
      <c r="C654" s="23"/>
      <c r="D654" s="21"/>
      <c r="E654" s="21"/>
      <c r="F654" s="2130" t="s">
        <v>1979</v>
      </c>
      <c r="G654" s="690" t="s">
        <v>430</v>
      </c>
      <c r="H654" s="690"/>
      <c r="I654" s="21"/>
      <c r="J654" s="21"/>
      <c r="K654" s="2048"/>
      <c r="L654" s="779"/>
      <c r="M654" s="22">
        <v>0.96206</v>
      </c>
      <c r="N654" s="22">
        <v>4.34435843302838</v>
      </c>
      <c r="O654" s="37">
        <v>0.4</v>
      </c>
      <c r="P654" s="37"/>
      <c r="Q654" s="37">
        <f t="shared" si="90"/>
        <v>5.70641843302838</v>
      </c>
      <c r="R654" s="219"/>
      <c r="S654" s="39" t="s">
        <v>2948</v>
      </c>
      <c r="T654" s="1931"/>
      <c r="U654" s="120" t="s">
        <v>1406</v>
      </c>
      <c r="X654" s="1940"/>
      <c r="AC654" s="1940"/>
    </row>
    <row r="655" s="839" customFormat="1" ht="16" hidden="1" customHeight="1" spans="1:29">
      <c r="A655" s="839">
        <v>523</v>
      </c>
      <c r="B655" s="23"/>
      <c r="C655" s="23"/>
      <c r="D655" s="21"/>
      <c r="E655" s="21"/>
      <c r="F655" s="2130" t="s">
        <v>1979</v>
      </c>
      <c r="G655" s="690" t="s">
        <v>431</v>
      </c>
      <c r="H655" s="690"/>
      <c r="I655" s="21"/>
      <c r="J655" s="21"/>
      <c r="K655" s="2048"/>
      <c r="L655" s="779"/>
      <c r="M655" s="22">
        <v>0.39556</v>
      </c>
      <c r="N655" s="22">
        <v>0.876190476190476</v>
      </c>
      <c r="O655" s="37">
        <v>0.4</v>
      </c>
      <c r="P655" s="37"/>
      <c r="Q655" s="37">
        <f t="shared" si="90"/>
        <v>1.67175047619048</v>
      </c>
      <c r="R655" s="219"/>
      <c r="S655" s="39"/>
      <c r="T655" s="1931"/>
      <c r="U655" s="120" t="s">
        <v>1406</v>
      </c>
      <c r="X655" s="1940"/>
      <c r="AC655" s="1940"/>
    </row>
    <row r="656" s="839" customFormat="1" ht="16" hidden="1" customHeight="1" spans="1:29">
      <c r="A656" s="839">
        <v>524</v>
      </c>
      <c r="B656" s="19" t="s">
        <v>2949</v>
      </c>
      <c r="C656" s="19"/>
      <c r="D656" s="21">
        <v>20250416</v>
      </c>
      <c r="E656" s="21">
        <v>7.17</v>
      </c>
      <c r="F656" s="2132" t="s">
        <v>2950</v>
      </c>
      <c r="G656" s="21" t="s">
        <v>1672</v>
      </c>
      <c r="H656" s="21"/>
      <c r="I656" s="21" t="s">
        <v>2951</v>
      </c>
      <c r="J656" s="21" t="s">
        <v>1720</v>
      </c>
      <c r="K656" s="2048" t="s">
        <v>2952</v>
      </c>
      <c r="L656" s="36">
        <v>2.3</v>
      </c>
      <c r="M656" s="37">
        <v>2.70857491608178</v>
      </c>
      <c r="N656" s="22">
        <v>12.6526070482786</v>
      </c>
      <c r="O656" s="37">
        <f t="shared" ref="O656:O668" si="91">23.19/E656/1.13</f>
        <v>2.86222090569112</v>
      </c>
      <c r="P656" s="37"/>
      <c r="Q656" s="22">
        <f t="shared" si="90"/>
        <v>20.5234028700515</v>
      </c>
      <c r="R656" s="219" t="s">
        <v>2854</v>
      </c>
      <c r="S656" s="23" t="s">
        <v>2953</v>
      </c>
      <c r="T656" s="804"/>
      <c r="U656" s="120" t="s">
        <v>1406</v>
      </c>
      <c r="X656" s="1940"/>
      <c r="AC656" s="1940"/>
    </row>
    <row r="657" s="839" customFormat="1" ht="16" hidden="1" customHeight="1" spans="1:29">
      <c r="A657" s="839">
        <v>525</v>
      </c>
      <c r="B657" s="19"/>
      <c r="C657" s="19"/>
      <c r="D657" s="21">
        <v>20250421</v>
      </c>
      <c r="E657" s="21">
        <v>7.17</v>
      </c>
      <c r="F657" s="2132" t="s">
        <v>2954</v>
      </c>
      <c r="G657" s="21" t="s">
        <v>1581</v>
      </c>
      <c r="H657" s="21"/>
      <c r="I657" s="21" t="s">
        <v>2951</v>
      </c>
      <c r="J657" s="21" t="s">
        <v>2955</v>
      </c>
      <c r="K657" s="2048" t="s">
        <v>2952</v>
      </c>
      <c r="L657" s="36" t="s">
        <v>1428</v>
      </c>
      <c r="M657" s="37">
        <v>2.70857491608178</v>
      </c>
      <c r="N657" s="22">
        <v>11.4034068671627</v>
      </c>
      <c r="O657" s="37">
        <f t="shared" si="91"/>
        <v>2.86222090569112</v>
      </c>
      <c r="P657" s="37"/>
      <c r="Q657" s="22">
        <f t="shared" si="90"/>
        <v>16.9742026889356</v>
      </c>
      <c r="R657" s="219" t="s">
        <v>2854</v>
      </c>
      <c r="S657" s="23" t="s">
        <v>2956</v>
      </c>
      <c r="T657" s="804"/>
      <c r="U657" s="120"/>
      <c r="X657" s="1940"/>
      <c r="AC657" s="1940"/>
    </row>
    <row r="658" s="839" customFormat="1" ht="16" hidden="1" customHeight="1" spans="1:29">
      <c r="A658" s="839">
        <v>526</v>
      </c>
      <c r="B658" s="19"/>
      <c r="C658" s="19"/>
      <c r="D658" s="697"/>
      <c r="E658" s="21">
        <v>7.17</v>
      </c>
      <c r="F658" s="2130" t="s">
        <v>1979</v>
      </c>
      <c r="G658" s="21" t="s">
        <v>2427</v>
      </c>
      <c r="H658" s="21"/>
      <c r="I658" s="21" t="s">
        <v>2951</v>
      </c>
      <c r="J658" s="21" t="s">
        <v>1720</v>
      </c>
      <c r="K658" s="2048" t="s">
        <v>2957</v>
      </c>
      <c r="L658" s="36">
        <v>2.3</v>
      </c>
      <c r="M658" s="37">
        <v>2.70857491608178</v>
      </c>
      <c r="N658" s="22">
        <v>14.8700421643068</v>
      </c>
      <c r="O658" s="37">
        <f t="shared" si="91"/>
        <v>2.86222090569112</v>
      </c>
      <c r="P658" s="37"/>
      <c r="Q658" s="37">
        <f t="shared" si="90"/>
        <v>22.7408379860797</v>
      </c>
      <c r="R658" s="219" t="s">
        <v>2854</v>
      </c>
      <c r="S658" s="23" t="s">
        <v>2958</v>
      </c>
      <c r="T658" s="804"/>
      <c r="U658" s="120" t="s">
        <v>1406</v>
      </c>
      <c r="X658" s="1940"/>
      <c r="AC658" s="1940"/>
    </row>
    <row r="659" s="839" customFormat="1" ht="16" hidden="1" customHeight="1" spans="1:29">
      <c r="A659" s="839">
        <v>527</v>
      </c>
      <c r="B659" s="19"/>
      <c r="C659" s="19"/>
      <c r="D659" s="697">
        <v>20240315</v>
      </c>
      <c r="E659" s="21">
        <v>7.17</v>
      </c>
      <c r="F659" s="2132" t="s">
        <v>2959</v>
      </c>
      <c r="G659" s="21" t="s">
        <v>2546</v>
      </c>
      <c r="H659" s="21"/>
      <c r="I659" s="21" t="s">
        <v>2951</v>
      </c>
      <c r="J659" s="21" t="s">
        <v>1742</v>
      </c>
      <c r="K659" s="2048" t="s">
        <v>2957</v>
      </c>
      <c r="L659" s="21">
        <v>6</v>
      </c>
      <c r="M659" s="37">
        <v>2.70857491608178</v>
      </c>
      <c r="N659" s="22">
        <v>12.0671625264299</v>
      </c>
      <c r="O659" s="37">
        <f t="shared" si="91"/>
        <v>2.86222090569112</v>
      </c>
      <c r="P659" s="37"/>
      <c r="Q659" s="37">
        <f t="shared" si="90"/>
        <v>23.6379583482028</v>
      </c>
      <c r="R659" s="219" t="s">
        <v>2854</v>
      </c>
      <c r="S659" s="23" t="s">
        <v>2958</v>
      </c>
      <c r="T659" s="804"/>
      <c r="U659" s="120" t="s">
        <v>1406</v>
      </c>
      <c r="X659" s="1940"/>
      <c r="AC659" s="1940"/>
    </row>
    <row r="660" s="839" customFormat="1" ht="16" hidden="1" customHeight="1" spans="1:29">
      <c r="A660" s="839">
        <v>528</v>
      </c>
      <c r="B660" s="19"/>
      <c r="C660" s="19"/>
      <c r="D660" s="697">
        <v>20240508</v>
      </c>
      <c r="E660" s="21">
        <v>7.17</v>
      </c>
      <c r="F660" s="2132" t="s">
        <v>2960</v>
      </c>
      <c r="G660" s="21" t="s">
        <v>2431</v>
      </c>
      <c r="H660" s="21"/>
      <c r="I660" s="21" t="s">
        <v>2951</v>
      </c>
      <c r="J660" s="21" t="s">
        <v>1720</v>
      </c>
      <c r="K660" s="2048" t="s">
        <v>2957</v>
      </c>
      <c r="L660" s="36">
        <v>2.3</v>
      </c>
      <c r="M660" s="37">
        <v>2.70857491608178</v>
      </c>
      <c r="N660" s="22">
        <v>13.2174233837873</v>
      </c>
      <c r="O660" s="37">
        <f t="shared" si="91"/>
        <v>2.86222090569112</v>
      </c>
      <c r="P660" s="37"/>
      <c r="Q660" s="37">
        <f t="shared" si="90"/>
        <v>21.0882192055602</v>
      </c>
      <c r="R660" s="219" t="s">
        <v>2854</v>
      </c>
      <c r="S660" s="23" t="s">
        <v>2958</v>
      </c>
      <c r="T660" s="804"/>
      <c r="U660" s="120"/>
      <c r="X660" s="1940"/>
      <c r="AC660" s="1940"/>
    </row>
    <row r="661" s="839" customFormat="1" ht="16" hidden="1" customHeight="1" spans="1:29">
      <c r="A661" s="839">
        <v>529</v>
      </c>
      <c r="B661" s="19"/>
      <c r="C661" s="19"/>
      <c r="D661" s="697">
        <v>20240508</v>
      </c>
      <c r="E661" s="21">
        <v>7.17</v>
      </c>
      <c r="F661" s="2132" t="s">
        <v>2961</v>
      </c>
      <c r="G661" s="21" t="s">
        <v>1667</v>
      </c>
      <c r="H661" s="21"/>
      <c r="I661" s="21" t="s">
        <v>2962</v>
      </c>
      <c r="J661" s="21" t="s">
        <v>1720</v>
      </c>
      <c r="K661" s="2048">
        <v>145</v>
      </c>
      <c r="L661" s="36">
        <v>2.3</v>
      </c>
      <c r="M661" s="37">
        <v>2.70857491608178</v>
      </c>
      <c r="N661" s="22">
        <v>13.4051984915828</v>
      </c>
      <c r="O661" s="37">
        <f t="shared" si="91"/>
        <v>2.86222090569112</v>
      </c>
      <c r="P661" s="37"/>
      <c r="Q661" s="37">
        <f t="shared" si="90"/>
        <v>166.275994313356</v>
      </c>
      <c r="R661" s="219" t="s">
        <v>2854</v>
      </c>
      <c r="S661" s="23" t="s">
        <v>2958</v>
      </c>
      <c r="T661" s="804"/>
      <c r="U661" s="120"/>
      <c r="X661" s="1940"/>
      <c r="AC661" s="1940"/>
    </row>
    <row r="662" s="839" customFormat="1" ht="16" hidden="1" customHeight="1" spans="1:29">
      <c r="A662" s="839">
        <v>530</v>
      </c>
      <c r="B662" s="19"/>
      <c r="C662" s="19"/>
      <c r="D662" s="697">
        <v>20240508</v>
      </c>
      <c r="E662" s="21">
        <v>7.17</v>
      </c>
      <c r="F662" s="2132" t="s">
        <v>2963</v>
      </c>
      <c r="G662" s="21" t="s">
        <v>1558</v>
      </c>
      <c r="H662" s="21"/>
      <c r="I662" s="21" t="s">
        <v>2951</v>
      </c>
      <c r="J662" s="21" t="s">
        <v>1720</v>
      </c>
      <c r="K662" s="2048" t="s">
        <v>2957</v>
      </c>
      <c r="L662" s="36">
        <v>2.3</v>
      </c>
      <c r="M662" s="37">
        <v>2.70857491608178</v>
      </c>
      <c r="N662" s="22">
        <v>12.8838805892187</v>
      </c>
      <c r="O662" s="37">
        <f t="shared" si="91"/>
        <v>2.86222090569112</v>
      </c>
      <c r="P662" s="37"/>
      <c r="Q662" s="37">
        <f t="shared" si="90"/>
        <v>20.7546764109916</v>
      </c>
      <c r="R662" s="219" t="s">
        <v>2854</v>
      </c>
      <c r="S662" s="23" t="s">
        <v>2958</v>
      </c>
      <c r="T662" s="804"/>
      <c r="U662" s="120"/>
      <c r="X662" s="1940"/>
      <c r="AC662" s="1940"/>
    </row>
    <row r="663" s="839" customFormat="1" ht="16" hidden="1" customHeight="1" spans="1:29">
      <c r="A663" s="839">
        <v>531</v>
      </c>
      <c r="B663" s="19"/>
      <c r="C663" s="19"/>
      <c r="D663" s="697">
        <v>20240821</v>
      </c>
      <c r="E663" s="21">
        <v>7.17</v>
      </c>
      <c r="F663" s="2132" t="s">
        <v>2964</v>
      </c>
      <c r="G663" s="21" t="s">
        <v>2311</v>
      </c>
      <c r="H663" s="21"/>
      <c r="I663" s="21" t="s">
        <v>2951</v>
      </c>
      <c r="J663" s="21" t="s">
        <v>1720</v>
      </c>
      <c r="K663" s="2048" t="s">
        <v>2957</v>
      </c>
      <c r="L663" s="36">
        <v>2.3</v>
      </c>
      <c r="M663" s="37">
        <v>2.70857491608178</v>
      </c>
      <c r="N663" s="22">
        <v>12.9223904823428</v>
      </c>
      <c r="O663" s="37">
        <f t="shared" si="91"/>
        <v>2.86222090569112</v>
      </c>
      <c r="P663" s="37"/>
      <c r="Q663" s="37">
        <f t="shared" si="90"/>
        <v>20.7931863041157</v>
      </c>
      <c r="R663" s="219" t="s">
        <v>2854</v>
      </c>
      <c r="S663" s="23" t="s">
        <v>2965</v>
      </c>
      <c r="T663" s="804"/>
      <c r="U663" s="120"/>
      <c r="X663" s="1940"/>
      <c r="AC663" s="1940"/>
    </row>
    <row r="664" s="839" customFormat="1" ht="16" hidden="1" customHeight="1" spans="1:29">
      <c r="A664" s="839">
        <v>532</v>
      </c>
      <c r="B664" s="19"/>
      <c r="C664" s="19"/>
      <c r="D664" s="697">
        <v>20241128</v>
      </c>
      <c r="E664" s="21">
        <v>7.17</v>
      </c>
      <c r="F664" s="2132" t="s">
        <v>2966</v>
      </c>
      <c r="G664" s="21" t="s">
        <v>2314</v>
      </c>
      <c r="H664" s="21"/>
      <c r="I664" s="21" t="s">
        <v>2354</v>
      </c>
      <c r="J664" s="21" t="s">
        <v>1633</v>
      </c>
      <c r="K664" s="2048">
        <v>125</v>
      </c>
      <c r="L664" s="22">
        <v>1.63790153033785</v>
      </c>
      <c r="M664" s="37">
        <v>2.70857491608178</v>
      </c>
      <c r="N664" s="22">
        <v>11.5089993154502</v>
      </c>
      <c r="O664" s="37">
        <f t="shared" si="91"/>
        <v>2.86222090569112</v>
      </c>
      <c r="P664" s="37"/>
      <c r="Q664" s="37">
        <f t="shared" si="90"/>
        <v>143.717696667561</v>
      </c>
      <c r="R664" s="219" t="s">
        <v>2854</v>
      </c>
      <c r="S664" s="23" t="s">
        <v>2965</v>
      </c>
      <c r="T664" s="804"/>
      <c r="U664" s="120"/>
      <c r="X664" s="1940"/>
      <c r="AC664" s="1940"/>
    </row>
    <row r="665" s="839" customFormat="1" ht="16" hidden="1" customHeight="1" spans="1:29">
      <c r="A665" s="839">
        <v>533</v>
      </c>
      <c r="B665" s="19"/>
      <c r="C665" s="19"/>
      <c r="D665" s="21">
        <v>20241012</v>
      </c>
      <c r="E665" s="21">
        <v>7.17</v>
      </c>
      <c r="F665" s="2132" t="s">
        <v>2967</v>
      </c>
      <c r="G665" s="21" t="s">
        <v>2459</v>
      </c>
      <c r="H665" s="21"/>
      <c r="I665" s="21" t="s">
        <v>2968</v>
      </c>
      <c r="J665" s="21" t="s">
        <v>1720</v>
      </c>
      <c r="K665" s="2048" t="s">
        <v>2957</v>
      </c>
      <c r="L665" s="36">
        <v>2.3</v>
      </c>
      <c r="M665" s="37">
        <v>2.70857491608178</v>
      </c>
      <c r="N665" s="22">
        <v>12.7069184164602</v>
      </c>
      <c r="O665" s="37">
        <f t="shared" si="91"/>
        <v>2.86222090569112</v>
      </c>
      <c r="P665" s="37"/>
      <c r="Q665" s="37">
        <f t="shared" si="90"/>
        <v>20.5777142382331</v>
      </c>
      <c r="R665" s="219" t="s">
        <v>2854</v>
      </c>
      <c r="S665" s="23" t="s">
        <v>2969</v>
      </c>
      <c r="T665" s="804"/>
      <c r="U665" s="120"/>
      <c r="X665" s="1940"/>
      <c r="AC665" s="1940"/>
    </row>
    <row r="666" s="839" customFormat="1" ht="16" hidden="1" customHeight="1" spans="1:29">
      <c r="A666" s="839">
        <v>534</v>
      </c>
      <c r="B666" s="19"/>
      <c r="C666" s="19"/>
      <c r="D666" s="21">
        <v>20241012</v>
      </c>
      <c r="E666" s="21">
        <v>7.17</v>
      </c>
      <c r="F666" s="2132" t="s">
        <v>1722</v>
      </c>
      <c r="G666" s="21" t="s">
        <v>1723</v>
      </c>
      <c r="H666" s="21"/>
      <c r="I666" s="21" t="s">
        <v>2970</v>
      </c>
      <c r="J666" s="21" t="s">
        <v>1720</v>
      </c>
      <c r="K666" s="2048">
        <v>145</v>
      </c>
      <c r="L666" s="36">
        <v>2.3</v>
      </c>
      <c r="M666" s="37">
        <v>2.70857491608178</v>
      </c>
      <c r="N666" s="22">
        <v>12.7135713143515</v>
      </c>
      <c r="O666" s="37">
        <f t="shared" si="91"/>
        <v>2.86222090569112</v>
      </c>
      <c r="P666" s="37"/>
      <c r="Q666" s="37">
        <f t="shared" si="90"/>
        <v>165.584367136124</v>
      </c>
      <c r="R666" s="219" t="s">
        <v>2854</v>
      </c>
      <c r="S666" s="23" t="s">
        <v>2971</v>
      </c>
      <c r="T666" s="804"/>
      <c r="U666" s="120"/>
      <c r="X666" s="1940"/>
      <c r="AC666" s="1940"/>
    </row>
    <row r="667" s="839" customFormat="1" ht="16" hidden="1" customHeight="1" spans="1:29">
      <c r="A667" s="839">
        <v>535</v>
      </c>
      <c r="B667" s="19"/>
      <c r="C667" s="19"/>
      <c r="D667" s="21">
        <v>20250416</v>
      </c>
      <c r="E667" s="21">
        <v>7.17</v>
      </c>
      <c r="F667" s="2132" t="s">
        <v>1724</v>
      </c>
      <c r="G667" s="21" t="s">
        <v>1587</v>
      </c>
      <c r="H667" s="21"/>
      <c r="I667" s="21" t="s">
        <v>2968</v>
      </c>
      <c r="J667" s="21" t="s">
        <v>1720</v>
      </c>
      <c r="K667" s="2048" t="s">
        <v>2952</v>
      </c>
      <c r="L667" s="36">
        <v>2.3</v>
      </c>
      <c r="M667" s="37">
        <v>2.70857491608178</v>
      </c>
      <c r="N667" s="22">
        <v>12.3431018986072</v>
      </c>
      <c r="O667" s="37">
        <f t="shared" si="91"/>
        <v>2.86222090569112</v>
      </c>
      <c r="P667" s="37"/>
      <c r="Q667" s="22">
        <f t="shared" si="90"/>
        <v>20.2138977203801</v>
      </c>
      <c r="R667" s="219" t="s">
        <v>2854</v>
      </c>
      <c r="S667" s="23" t="s">
        <v>2969</v>
      </c>
      <c r="T667" s="804"/>
      <c r="U667" s="120"/>
      <c r="X667" s="1940"/>
      <c r="AC667" s="1940"/>
    </row>
    <row r="668" s="839" customFormat="1" ht="16" hidden="1" customHeight="1" spans="1:29">
      <c r="A668" s="839">
        <v>536</v>
      </c>
      <c r="B668" s="19"/>
      <c r="C668" s="19"/>
      <c r="D668" s="21">
        <v>20250416</v>
      </c>
      <c r="E668" s="21">
        <v>7.17</v>
      </c>
      <c r="F668" s="2132" t="s">
        <v>1719</v>
      </c>
      <c r="G668" s="21" t="s">
        <v>1591</v>
      </c>
      <c r="H668" s="21"/>
      <c r="I668" s="21" t="s">
        <v>2972</v>
      </c>
      <c r="J668" s="21" t="s">
        <v>1720</v>
      </c>
      <c r="K668" s="2048">
        <v>65</v>
      </c>
      <c r="L668" s="36">
        <v>2.3</v>
      </c>
      <c r="M668" s="37">
        <v>2.70857491608178</v>
      </c>
      <c r="N668" s="22">
        <v>11.0681546338701</v>
      </c>
      <c r="O668" s="37">
        <f t="shared" si="91"/>
        <v>2.86222090569112</v>
      </c>
      <c r="P668" s="37"/>
      <c r="Q668" s="22">
        <f t="shared" si="90"/>
        <v>83.938950455643</v>
      </c>
      <c r="R668" s="219" t="s">
        <v>2854</v>
      </c>
      <c r="S668" s="23" t="s">
        <v>2973</v>
      </c>
      <c r="T668" s="804"/>
      <c r="U668" s="120"/>
      <c r="X668" s="1940"/>
      <c r="AC668" s="1940"/>
    </row>
    <row r="669" s="839" customFormat="1" ht="16" hidden="1" customHeight="1" spans="1:29">
      <c r="A669" s="839">
        <v>537</v>
      </c>
      <c r="B669" s="19"/>
      <c r="C669" s="19"/>
      <c r="D669" s="21">
        <v>20250609</v>
      </c>
      <c r="E669" s="21"/>
      <c r="F669" s="2132" t="s">
        <v>433</v>
      </c>
      <c r="G669" s="21" t="s">
        <v>434</v>
      </c>
      <c r="H669" s="21"/>
      <c r="I669" s="21"/>
      <c r="J669" s="21"/>
      <c r="K669" s="2048"/>
      <c r="L669" s="36"/>
      <c r="M669" s="37">
        <v>0.286779819562568</v>
      </c>
      <c r="N669" s="22">
        <v>0.824823812715793</v>
      </c>
      <c r="O669" s="37">
        <v>0.2</v>
      </c>
      <c r="P669" s="37"/>
      <c r="Q669" s="22">
        <f t="shared" si="90"/>
        <v>1.31160363227836</v>
      </c>
      <c r="R669" s="219"/>
      <c r="S669" s="23" t="s">
        <v>435</v>
      </c>
      <c r="T669" s="804"/>
      <c r="U669" s="120"/>
      <c r="X669" s="1940"/>
      <c r="AC669" s="1940"/>
    </row>
    <row r="670" s="839" customFormat="1" ht="16" hidden="1" customHeight="1" spans="1:29">
      <c r="A670" s="839">
        <v>538</v>
      </c>
      <c r="B670" s="19"/>
      <c r="C670" s="19"/>
      <c r="D670" s="21">
        <v>20250508</v>
      </c>
      <c r="E670" s="876"/>
      <c r="F670" s="2132" t="s">
        <v>436</v>
      </c>
      <c r="G670" s="21" t="s">
        <v>437</v>
      </c>
      <c r="H670" s="21"/>
      <c r="I670" s="21"/>
      <c r="J670" s="21"/>
      <c r="K670" s="2048"/>
      <c r="L670" s="36"/>
      <c r="M670" s="37">
        <v>0.271353835623136</v>
      </c>
      <c r="N670" s="22">
        <v>0.806148625230529</v>
      </c>
      <c r="O670" s="37">
        <v>0.2</v>
      </c>
      <c r="P670" s="37"/>
      <c r="Q670" s="22">
        <f t="shared" ref="Q670:Q681" si="92">SUM(K670:O670)</f>
        <v>1.27750246085366</v>
      </c>
      <c r="R670" s="219"/>
      <c r="S670" s="23" t="s">
        <v>438</v>
      </c>
      <c r="T670" s="804"/>
      <c r="U670" s="120"/>
      <c r="X670" s="1940"/>
      <c r="AC670" s="1940"/>
    </row>
    <row r="671" s="839" customFormat="1" ht="16" hidden="1" customHeight="1" spans="1:29">
      <c r="A671" s="839">
        <v>539</v>
      </c>
      <c r="B671" s="19"/>
      <c r="C671" s="19"/>
      <c r="D671" s="21">
        <v>20250304</v>
      </c>
      <c r="E671" s="21">
        <v>7.17</v>
      </c>
      <c r="F671" s="2132" t="s">
        <v>439</v>
      </c>
      <c r="G671" s="21" t="s">
        <v>440</v>
      </c>
      <c r="H671" s="21"/>
      <c r="I671" s="21"/>
      <c r="J671" s="21"/>
      <c r="K671" s="2048"/>
      <c r="L671" s="36"/>
      <c r="M671" s="22">
        <v>0.286760178043417</v>
      </c>
      <c r="N671" s="22">
        <v>0.563123446807404</v>
      </c>
      <c r="O671" s="37">
        <v>0.2</v>
      </c>
      <c r="P671" s="37"/>
      <c r="Q671" s="37">
        <f t="shared" si="92"/>
        <v>1.04988362485082</v>
      </c>
      <c r="R671" s="219"/>
      <c r="S671" s="23" t="s">
        <v>435</v>
      </c>
      <c r="T671" s="804"/>
      <c r="U671" s="120"/>
      <c r="X671" s="1940"/>
      <c r="AC671" s="1940"/>
    </row>
    <row r="672" s="839" customFormat="1" ht="16" hidden="1" customHeight="1" spans="1:29">
      <c r="A672" s="839">
        <v>540</v>
      </c>
      <c r="B672" s="19" t="s">
        <v>441</v>
      </c>
      <c r="C672" s="19"/>
      <c r="D672" s="697">
        <v>20240724</v>
      </c>
      <c r="E672" s="21">
        <v>7.17</v>
      </c>
      <c r="F672" s="2132" t="s">
        <v>442</v>
      </c>
      <c r="G672" s="21" t="s">
        <v>2974</v>
      </c>
      <c r="H672" s="21"/>
      <c r="I672" s="21"/>
      <c r="J672" s="21"/>
      <c r="K672" s="2048"/>
      <c r="L672" s="21"/>
      <c r="M672" s="22">
        <v>0.41500432666369</v>
      </c>
      <c r="N672" s="22">
        <v>2.47300121687732</v>
      </c>
      <c r="O672" s="37">
        <v>0.2</v>
      </c>
      <c r="P672" s="37"/>
      <c r="Q672" s="37">
        <f t="shared" si="92"/>
        <v>3.08800554354101</v>
      </c>
      <c r="R672" s="219"/>
      <c r="S672" s="23" t="s">
        <v>2975</v>
      </c>
      <c r="T672" s="804"/>
      <c r="U672" s="120"/>
      <c r="X672" s="1940"/>
      <c r="AC672" s="1940"/>
    </row>
    <row r="673" s="839" customFormat="1" ht="16" hidden="1" customHeight="1" spans="1:29">
      <c r="A673" s="839">
        <v>541</v>
      </c>
      <c r="B673" s="19" t="s">
        <v>2976</v>
      </c>
      <c r="C673" s="19"/>
      <c r="D673" s="21">
        <v>20241122</v>
      </c>
      <c r="E673" s="21">
        <v>7.17</v>
      </c>
      <c r="F673" s="2132" t="s">
        <v>2977</v>
      </c>
      <c r="G673" s="21" t="s">
        <v>2978</v>
      </c>
      <c r="H673" s="21"/>
      <c r="I673" s="21" t="s">
        <v>2951</v>
      </c>
      <c r="J673" s="21" t="s">
        <v>1428</v>
      </c>
      <c r="K673" s="2048" t="s">
        <v>2957</v>
      </c>
      <c r="L673" s="21" t="s">
        <v>1428</v>
      </c>
      <c r="M673" s="22">
        <v>5.15232319148645</v>
      </c>
      <c r="N673" s="22">
        <v>27.9838499221962</v>
      </c>
      <c r="O673" s="37">
        <v>3.04043508287293</v>
      </c>
      <c r="P673" s="37"/>
      <c r="Q673" s="37">
        <f t="shared" si="92"/>
        <v>36.1766081965556</v>
      </c>
      <c r="R673" s="219" t="s">
        <v>2854</v>
      </c>
      <c r="S673" s="23" t="s">
        <v>2979</v>
      </c>
      <c r="T673" s="804"/>
      <c r="U673" s="120" t="s">
        <v>1406</v>
      </c>
      <c r="X673" s="1940"/>
      <c r="AC673" s="1940"/>
    </row>
    <row r="674" s="839" customFormat="1" ht="16" hidden="1" customHeight="1" spans="1:29">
      <c r="A674" s="839">
        <v>542</v>
      </c>
      <c r="B674" s="19"/>
      <c r="C674" s="19"/>
      <c r="D674" s="21">
        <v>20240617</v>
      </c>
      <c r="E674" s="21">
        <v>7.17</v>
      </c>
      <c r="F674" s="2132" t="s">
        <v>2980</v>
      </c>
      <c r="G674" s="21" t="s">
        <v>2981</v>
      </c>
      <c r="H674" s="21"/>
      <c r="I674" s="21" t="s">
        <v>2982</v>
      </c>
      <c r="J674" s="21" t="s">
        <v>1428</v>
      </c>
      <c r="K674" s="2048">
        <v>100</v>
      </c>
      <c r="L674" s="21" t="s">
        <v>1428</v>
      </c>
      <c r="M674" s="22">
        <v>5.15232319148645</v>
      </c>
      <c r="N674" s="22">
        <v>25.8367984624462</v>
      </c>
      <c r="O674" s="37">
        <f>24.87/E674/1.13</f>
        <v>3.06957455474507</v>
      </c>
      <c r="P674" s="37"/>
      <c r="Q674" s="37">
        <f t="shared" si="92"/>
        <v>134.058696208678</v>
      </c>
      <c r="R674" s="219" t="s">
        <v>2854</v>
      </c>
      <c r="S674" s="23" t="s">
        <v>2979</v>
      </c>
      <c r="T674" s="804"/>
      <c r="U674" s="120"/>
      <c r="X674" s="1940"/>
      <c r="AC674" s="1940"/>
    </row>
    <row r="675" s="839" customFormat="1" ht="16" hidden="1" customHeight="1" spans="1:29">
      <c r="A675" s="839">
        <v>543</v>
      </c>
      <c r="B675" s="19"/>
      <c r="C675" s="19"/>
      <c r="D675" s="21">
        <v>20240716</v>
      </c>
      <c r="E675" s="21">
        <v>7.17</v>
      </c>
      <c r="F675" s="2132" t="s">
        <v>2983</v>
      </c>
      <c r="G675" s="21" t="s">
        <v>2984</v>
      </c>
      <c r="H675" s="21"/>
      <c r="I675" s="21" t="s">
        <v>2982</v>
      </c>
      <c r="J675" s="21" t="s">
        <v>2985</v>
      </c>
      <c r="K675" s="2048">
        <v>100</v>
      </c>
      <c r="L675" s="21" t="s">
        <v>1428</v>
      </c>
      <c r="M675" s="22">
        <v>5.15232319148645</v>
      </c>
      <c r="N675" s="22">
        <v>25.9159333281877</v>
      </c>
      <c r="O675" s="37">
        <f>24.87/E675/1.13</f>
        <v>3.06957455474507</v>
      </c>
      <c r="P675" s="37"/>
      <c r="Q675" s="37">
        <f t="shared" si="92"/>
        <v>134.137831074419</v>
      </c>
      <c r="R675" s="219" t="s">
        <v>2854</v>
      </c>
      <c r="S675" s="23" t="s">
        <v>2979</v>
      </c>
      <c r="T675" s="804"/>
      <c r="U675" s="120"/>
      <c r="X675" s="1940"/>
      <c r="AC675" s="1940"/>
    </row>
    <row r="676" s="839" customFormat="1" ht="16" hidden="1" customHeight="1" spans="1:29">
      <c r="A676" s="839">
        <v>544</v>
      </c>
      <c r="B676" s="19"/>
      <c r="C676" s="19"/>
      <c r="D676" s="21">
        <v>20241231</v>
      </c>
      <c r="E676" s="21">
        <v>7.17</v>
      </c>
      <c r="F676" s="2132" t="s">
        <v>2986</v>
      </c>
      <c r="G676" s="21" t="s">
        <v>2987</v>
      </c>
      <c r="H676" s="21"/>
      <c r="I676" s="21" t="s">
        <v>2970</v>
      </c>
      <c r="J676" s="21"/>
      <c r="K676" s="2048">
        <v>145</v>
      </c>
      <c r="L676" s="21"/>
      <c r="M676" s="22">
        <v>5.15232319148645</v>
      </c>
      <c r="N676" s="22">
        <v>25.6328827052055</v>
      </c>
      <c r="O676" s="37">
        <v>3.04043508287293</v>
      </c>
      <c r="P676" s="37"/>
      <c r="Q676" s="37">
        <f t="shared" si="92"/>
        <v>178.825640979565</v>
      </c>
      <c r="R676" s="219" t="s">
        <v>2854</v>
      </c>
      <c r="S676" s="23" t="s">
        <v>2988</v>
      </c>
      <c r="T676" s="804"/>
      <c r="U676" s="120"/>
      <c r="X676" s="1940"/>
      <c r="AC676" s="1940"/>
    </row>
    <row r="677" s="839" customFormat="1" ht="16" hidden="1" customHeight="1" spans="1:29">
      <c r="A677" s="839">
        <v>545</v>
      </c>
      <c r="B677" s="705" t="s">
        <v>2989</v>
      </c>
      <c r="C677" s="705"/>
      <c r="D677" s="701"/>
      <c r="E677" s="701">
        <v>7.17</v>
      </c>
      <c r="F677" s="2130" t="s">
        <v>1979</v>
      </c>
      <c r="G677" s="701" t="s">
        <v>2459</v>
      </c>
      <c r="H677" s="701"/>
      <c r="I677" s="701" t="s">
        <v>2982</v>
      </c>
      <c r="J677" s="1132" t="s">
        <v>1428</v>
      </c>
      <c r="K677" s="2194" t="s">
        <v>712</v>
      </c>
      <c r="L677" s="2195" t="s">
        <v>712</v>
      </c>
      <c r="M677" s="1171">
        <v>3.86107406958419</v>
      </c>
      <c r="N677" s="2196">
        <v>15.305193809882</v>
      </c>
      <c r="O677" s="37">
        <f>25.78/E677/1.13</f>
        <v>3.18189111464929</v>
      </c>
      <c r="P677" s="37"/>
      <c r="Q677" s="37">
        <f t="shared" si="92"/>
        <v>22.3481589941155</v>
      </c>
      <c r="R677" s="219" t="s">
        <v>2854</v>
      </c>
      <c r="S677" s="23" t="s">
        <v>2990</v>
      </c>
      <c r="T677" s="804"/>
      <c r="U677" s="120" t="s">
        <v>1406</v>
      </c>
      <c r="X677" s="1940"/>
      <c r="AC677" s="1940"/>
    </row>
    <row r="678" s="839" customFormat="1" ht="16" hidden="1" customHeight="1" spans="1:29">
      <c r="A678" s="2197" t="s">
        <v>1366</v>
      </c>
      <c r="B678" s="687"/>
      <c r="C678" s="687"/>
      <c r="D678" s="153"/>
      <c r="E678" s="153" t="s">
        <v>1367</v>
      </c>
      <c r="F678" s="2198" t="s">
        <v>1979</v>
      </c>
      <c r="G678" s="152" t="s">
        <v>2110</v>
      </c>
      <c r="H678" s="152">
        <v>2.92</v>
      </c>
      <c r="I678" s="153" t="s">
        <v>2972</v>
      </c>
      <c r="J678" s="152">
        <v>9.82</v>
      </c>
      <c r="K678" s="2048">
        <v>0.76</v>
      </c>
      <c r="L678" s="2199" t="s">
        <v>712</v>
      </c>
      <c r="M678" s="22">
        <v>3.86107406958419</v>
      </c>
      <c r="N678" s="1873" t="s">
        <v>1368</v>
      </c>
      <c r="O678" s="37" t="e">
        <f>25.78/E678/1.13</f>
        <v>#VALUE!</v>
      </c>
      <c r="P678" s="37"/>
      <c r="Q678" s="37" t="e">
        <f t="shared" si="92"/>
        <v>#VALUE!</v>
      </c>
      <c r="R678" s="219" t="s">
        <v>2854</v>
      </c>
      <c r="S678" s="23" t="s">
        <v>2990</v>
      </c>
      <c r="T678" s="804"/>
      <c r="U678" s="120" t="s">
        <v>1406</v>
      </c>
      <c r="X678" s="1940"/>
      <c r="AC678" s="1940"/>
    </row>
    <row r="679" s="839" customFormat="1" ht="16" hidden="1" customHeight="1" spans="1:29">
      <c r="A679" s="839">
        <v>547</v>
      </c>
      <c r="B679" s="707" t="s">
        <v>2991</v>
      </c>
      <c r="C679" s="707"/>
      <c r="D679" s="703">
        <v>20240402</v>
      </c>
      <c r="E679" s="703">
        <v>7.17</v>
      </c>
      <c r="F679" s="2132" t="s">
        <v>2992</v>
      </c>
      <c r="G679" s="703" t="s">
        <v>1571</v>
      </c>
      <c r="H679" s="703"/>
      <c r="I679" s="2200" t="s">
        <v>2993</v>
      </c>
      <c r="J679" s="2200" t="s">
        <v>1428</v>
      </c>
      <c r="K679" s="2201">
        <v>70</v>
      </c>
      <c r="L679" s="703" t="s">
        <v>1428</v>
      </c>
      <c r="M679" s="714">
        <v>3.47137339265633</v>
      </c>
      <c r="N679" s="1221">
        <v>19.1741499527279</v>
      </c>
      <c r="O679" s="37">
        <f t="shared" ref="O679:O681" si="93">27.97/E679/1.13</f>
        <v>3.45219140716604</v>
      </c>
      <c r="P679" s="37"/>
      <c r="Q679" s="37">
        <f t="shared" si="92"/>
        <v>96.0977147525503</v>
      </c>
      <c r="R679" s="219" t="s">
        <v>2854</v>
      </c>
      <c r="S679" s="23" t="s">
        <v>2994</v>
      </c>
      <c r="T679" s="804"/>
      <c r="U679" s="120" t="s">
        <v>1406</v>
      </c>
      <c r="X679" s="1940"/>
      <c r="AC679" s="1940"/>
    </row>
    <row r="680" s="839" customFormat="1" ht="16" hidden="1" customHeight="1" spans="1:29">
      <c r="A680" s="839">
        <v>548</v>
      </c>
      <c r="B680" s="23"/>
      <c r="C680" s="23"/>
      <c r="D680" s="21"/>
      <c r="E680" s="21">
        <v>7.17</v>
      </c>
      <c r="F680" s="2132" t="s">
        <v>2995</v>
      </c>
      <c r="G680" s="21" t="s">
        <v>1669</v>
      </c>
      <c r="H680" s="21"/>
      <c r="I680" s="21" t="s">
        <v>2982</v>
      </c>
      <c r="J680" s="690" t="s">
        <v>1428</v>
      </c>
      <c r="K680" s="2048">
        <v>100</v>
      </c>
      <c r="L680" s="690" t="s">
        <v>1428</v>
      </c>
      <c r="M680" s="37">
        <v>3.47137339265633</v>
      </c>
      <c r="N680" s="22">
        <v>21.2451135481919</v>
      </c>
      <c r="O680" s="37">
        <f t="shared" si="93"/>
        <v>3.45219140716604</v>
      </c>
      <c r="P680" s="37"/>
      <c r="Q680" s="37">
        <f t="shared" si="92"/>
        <v>128.168678348014</v>
      </c>
      <c r="R680" s="219" t="s">
        <v>2854</v>
      </c>
      <c r="S680" s="23" t="s">
        <v>2996</v>
      </c>
      <c r="T680" s="804"/>
      <c r="U680" s="120" t="s">
        <v>1406</v>
      </c>
      <c r="X680" s="1940"/>
      <c r="AC680" s="1940"/>
    </row>
    <row r="681" s="839" customFormat="1" ht="16" hidden="1" customHeight="1" spans="1:29">
      <c r="A681" s="839">
        <v>549</v>
      </c>
      <c r="B681" s="23"/>
      <c r="C681" s="23"/>
      <c r="D681" s="21"/>
      <c r="E681" s="21">
        <v>7.17</v>
      </c>
      <c r="F681" s="2130" t="s">
        <v>1979</v>
      </c>
      <c r="G681" s="21" t="s">
        <v>1998</v>
      </c>
      <c r="H681" s="21"/>
      <c r="I681" s="690" t="s">
        <v>2997</v>
      </c>
      <c r="J681" s="690" t="s">
        <v>1428</v>
      </c>
      <c r="K681" s="2048">
        <v>190</v>
      </c>
      <c r="L681" s="690" t="s">
        <v>1428</v>
      </c>
      <c r="M681" s="37">
        <v>3.47137339265633</v>
      </c>
      <c r="N681" s="22">
        <v>23.422643000064</v>
      </c>
      <c r="O681" s="37">
        <f t="shared" si="93"/>
        <v>3.45219140716604</v>
      </c>
      <c r="P681" s="37"/>
      <c r="Q681" s="37">
        <f t="shared" si="92"/>
        <v>220.346207799886</v>
      </c>
      <c r="R681" s="219" t="s">
        <v>2854</v>
      </c>
      <c r="S681" s="23" t="s">
        <v>2996</v>
      </c>
      <c r="T681" s="804"/>
      <c r="U681" s="120"/>
      <c r="X681" s="1940"/>
      <c r="AC681" s="1940"/>
    </row>
    <row r="682" s="1930" customFormat="1" ht="16" hidden="1" customHeight="1" spans="1:29">
      <c r="A682" s="1930">
        <v>1</v>
      </c>
      <c r="B682" s="959"/>
      <c r="C682" s="959"/>
      <c r="D682" s="1673">
        <v>46121</v>
      </c>
      <c r="E682" s="961" t="s">
        <v>2998</v>
      </c>
      <c r="F682" s="2132" t="s">
        <v>2999</v>
      </c>
      <c r="G682" s="961"/>
      <c r="H682" s="961"/>
      <c r="I682" s="962"/>
      <c r="J682" s="962"/>
      <c r="K682" s="2048"/>
      <c r="L682" s="962"/>
      <c r="M682" s="964">
        <f>30/6.8819/1.13</f>
        <v>3.85775331905022</v>
      </c>
      <c r="N682" s="965">
        <v>22.15</v>
      </c>
      <c r="O682" s="37">
        <v>3.45</v>
      </c>
      <c r="P682" s="37"/>
      <c r="Q682" s="964">
        <f>M682+N682+O682</f>
        <v>29.4577533190502</v>
      </c>
      <c r="R682" s="219"/>
      <c r="S682" s="959"/>
      <c r="T682" s="2079"/>
      <c r="U682" s="1755"/>
      <c r="X682" s="1977"/>
      <c r="AC682" s="1977"/>
    </row>
    <row r="683" s="1930" customFormat="1" ht="16" hidden="1" customHeight="1" spans="1:29">
      <c r="A683" s="1930">
        <v>1</v>
      </c>
      <c r="B683" s="959"/>
      <c r="C683" s="959"/>
      <c r="D683" s="1673">
        <v>46121</v>
      </c>
      <c r="E683" s="961" t="s">
        <v>2998</v>
      </c>
      <c r="F683" s="2132" t="s">
        <v>3000</v>
      </c>
      <c r="G683" s="961"/>
      <c r="H683" s="961"/>
      <c r="I683" s="962"/>
      <c r="J683" s="962"/>
      <c r="K683" s="2048"/>
      <c r="L683" s="962"/>
      <c r="M683" s="964">
        <f>30/6.8819/1.13</f>
        <v>3.85775331905022</v>
      </c>
      <c r="N683" s="965">
        <v>19</v>
      </c>
      <c r="O683" s="964">
        <v>3.45</v>
      </c>
      <c r="P683" s="964"/>
      <c r="Q683" s="964">
        <f>M683+N683+O683</f>
        <v>26.3077533190502</v>
      </c>
      <c r="R683" s="219"/>
      <c r="S683" s="959"/>
      <c r="T683" s="2079"/>
      <c r="U683" s="1755"/>
      <c r="X683" s="1977"/>
      <c r="AC683" s="1977"/>
    </row>
    <row r="684" s="839" customFormat="1" ht="16" hidden="1" customHeight="1" spans="1:29">
      <c r="A684" s="839">
        <v>550</v>
      </c>
      <c r="B684" s="23"/>
      <c r="C684" s="23"/>
      <c r="D684" s="21">
        <v>20250516</v>
      </c>
      <c r="E684" s="21">
        <v>7.17</v>
      </c>
      <c r="F684" s="2132" t="s">
        <v>3001</v>
      </c>
      <c r="G684" s="21" t="s">
        <v>3002</v>
      </c>
      <c r="H684" s="21"/>
      <c r="I684" s="690" t="s">
        <v>2392</v>
      </c>
      <c r="J684" s="690" t="s">
        <v>1428</v>
      </c>
      <c r="K684" s="2048">
        <v>70</v>
      </c>
      <c r="L684" s="690" t="s">
        <v>1428</v>
      </c>
      <c r="M684" s="37">
        <v>3.47137339265633</v>
      </c>
      <c r="N684" s="22">
        <v>16.8027240234244</v>
      </c>
      <c r="O684" s="37">
        <f>27.97/E684/1.13</f>
        <v>3.45219140716604</v>
      </c>
      <c r="P684" s="37"/>
      <c r="Q684" s="37">
        <f t="shared" ref="Q684:Q729" si="94">SUM(K684:O684)</f>
        <v>93.7262888232468</v>
      </c>
      <c r="R684" s="219" t="s">
        <v>2854</v>
      </c>
      <c r="S684" s="23" t="s">
        <v>3003</v>
      </c>
      <c r="T684" s="804"/>
      <c r="U684" s="120"/>
      <c r="X684" s="1940"/>
      <c r="AC684" s="1940"/>
    </row>
    <row r="685" s="839" customFormat="1" ht="16" hidden="1" customHeight="1" spans="1:29">
      <c r="A685" s="839">
        <v>551</v>
      </c>
      <c r="B685" s="23"/>
      <c r="C685" s="23"/>
      <c r="D685" s="21">
        <v>20250428</v>
      </c>
      <c r="E685" s="21">
        <v>7.17</v>
      </c>
      <c r="F685" s="2132" t="s">
        <v>3004</v>
      </c>
      <c r="G685" s="21" t="s">
        <v>2306</v>
      </c>
      <c r="H685" s="21"/>
      <c r="I685" s="21" t="s">
        <v>2982</v>
      </c>
      <c r="J685" s="690" t="s">
        <v>1428</v>
      </c>
      <c r="K685" s="2048">
        <v>100</v>
      </c>
      <c r="L685" s="690" t="s">
        <v>1428</v>
      </c>
      <c r="M685" s="37">
        <v>3.47137339265633</v>
      </c>
      <c r="N685" s="22">
        <v>17.2362324566327</v>
      </c>
      <c r="O685" s="37">
        <f>27.97/E685/1.13</f>
        <v>3.45219140716604</v>
      </c>
      <c r="P685" s="37"/>
      <c r="Q685" s="37">
        <f t="shared" si="94"/>
        <v>124.159797256455</v>
      </c>
      <c r="R685" s="219" t="s">
        <v>2854</v>
      </c>
      <c r="S685" s="23" t="s">
        <v>3005</v>
      </c>
      <c r="T685" s="804"/>
      <c r="U685" s="120" t="s">
        <v>1406</v>
      </c>
      <c r="X685" s="1940"/>
      <c r="AC685" s="1940"/>
    </row>
    <row r="686" s="42" customFormat="1" ht="16" hidden="1" customHeight="1" spans="1:29">
      <c r="A686" s="839">
        <v>552</v>
      </c>
      <c r="B686" s="19" t="s">
        <v>3006</v>
      </c>
      <c r="C686" s="19"/>
      <c r="D686" s="21"/>
      <c r="E686" s="21">
        <v>7.17</v>
      </c>
      <c r="F686" s="2130" t="s">
        <v>1979</v>
      </c>
      <c r="G686" s="21" t="s">
        <v>1617</v>
      </c>
      <c r="H686" s="21"/>
      <c r="I686" s="21" t="s">
        <v>2315</v>
      </c>
      <c r="J686" s="21" t="s">
        <v>1428</v>
      </c>
      <c r="K686" s="2048">
        <v>105</v>
      </c>
      <c r="L686" s="21" t="s">
        <v>1428</v>
      </c>
      <c r="M686" s="37">
        <v>5.51890239131193</v>
      </c>
      <c r="N686" s="22">
        <v>28.1164915798722</v>
      </c>
      <c r="O686" s="37">
        <f t="shared" ref="O686:O689" si="95">24.78/E686/1.13</f>
        <v>3.05846632354575</v>
      </c>
      <c r="P686" s="37"/>
      <c r="Q686" s="37">
        <f t="shared" si="94"/>
        <v>141.69386029473</v>
      </c>
      <c r="R686" s="219" t="s">
        <v>2854</v>
      </c>
      <c r="S686" s="23" t="s">
        <v>3007</v>
      </c>
      <c r="T686" s="804"/>
      <c r="X686" s="2163"/>
      <c r="AA686" s="839"/>
      <c r="AB686" s="839"/>
      <c r="AC686" s="1940"/>
    </row>
    <row r="687" s="42" customFormat="1" ht="16" hidden="1" customHeight="1" spans="1:29">
      <c r="A687" s="839">
        <v>553</v>
      </c>
      <c r="B687" s="19"/>
      <c r="C687" s="19"/>
      <c r="D687" s="21">
        <v>20250218</v>
      </c>
      <c r="E687" s="21">
        <v>7.17</v>
      </c>
      <c r="F687" s="2132" t="s">
        <v>3008</v>
      </c>
      <c r="G687" s="21" t="s">
        <v>1685</v>
      </c>
      <c r="H687" s="21"/>
      <c r="I687" s="21" t="s">
        <v>2315</v>
      </c>
      <c r="J687" s="21" t="s">
        <v>1428</v>
      </c>
      <c r="K687" s="2048">
        <v>105</v>
      </c>
      <c r="L687" s="21" t="s">
        <v>1428</v>
      </c>
      <c r="M687" s="22">
        <v>5.51890239131193</v>
      </c>
      <c r="N687" s="22">
        <v>20.0747925313254</v>
      </c>
      <c r="O687" s="37">
        <f t="shared" si="95"/>
        <v>3.05846632354575</v>
      </c>
      <c r="P687" s="37"/>
      <c r="Q687" s="37">
        <f t="shared" si="94"/>
        <v>133.652161246183</v>
      </c>
      <c r="R687" s="219"/>
      <c r="S687" s="23" t="s">
        <v>3009</v>
      </c>
      <c r="T687" s="804"/>
      <c r="X687" s="2163"/>
      <c r="AA687" s="839"/>
      <c r="AB687" s="839"/>
      <c r="AC687" s="1940"/>
    </row>
    <row r="688" s="42" customFormat="1" ht="16" hidden="1" customHeight="1" spans="1:29">
      <c r="A688" s="839">
        <v>554</v>
      </c>
      <c r="B688" s="19"/>
      <c r="C688" s="19"/>
      <c r="D688" s="21"/>
      <c r="E688" s="21">
        <v>7.17</v>
      </c>
      <c r="F688" s="2130" t="s">
        <v>1979</v>
      </c>
      <c r="G688" s="21" t="s">
        <v>1669</v>
      </c>
      <c r="H688" s="21"/>
      <c r="I688" s="690" t="s">
        <v>3010</v>
      </c>
      <c r="J688" s="21" t="s">
        <v>1428</v>
      </c>
      <c r="K688" s="2048">
        <v>185</v>
      </c>
      <c r="L688" s="21" t="s">
        <v>1428</v>
      </c>
      <c r="M688" s="37">
        <v>5.51890239131193</v>
      </c>
      <c r="N688" s="22">
        <v>23.1245383758246</v>
      </c>
      <c r="O688" s="37">
        <f t="shared" si="95"/>
        <v>3.05846632354575</v>
      </c>
      <c r="P688" s="37"/>
      <c r="Q688" s="37">
        <f t="shared" si="94"/>
        <v>216.701907090682</v>
      </c>
      <c r="R688" s="219" t="s">
        <v>2854</v>
      </c>
      <c r="S688" s="23" t="s">
        <v>3011</v>
      </c>
      <c r="T688" s="804"/>
      <c r="X688" s="2163"/>
      <c r="AA688" s="839"/>
      <c r="AB688" s="839"/>
      <c r="AC688" s="1940"/>
    </row>
    <row r="689" s="42" customFormat="1" ht="16" hidden="1" customHeight="1" spans="1:29">
      <c r="A689" s="839">
        <v>555</v>
      </c>
      <c r="B689" s="19"/>
      <c r="C689" s="19"/>
      <c r="D689" s="21"/>
      <c r="E689" s="21">
        <v>7.17</v>
      </c>
      <c r="F689" s="2130" t="s">
        <v>1979</v>
      </c>
      <c r="G689" s="21" t="s">
        <v>1672</v>
      </c>
      <c r="H689" s="21"/>
      <c r="I689" s="21" t="s">
        <v>2997</v>
      </c>
      <c r="J689" s="21" t="s">
        <v>1428</v>
      </c>
      <c r="K689" s="2048">
        <v>190</v>
      </c>
      <c r="L689" s="21" t="s">
        <v>1428</v>
      </c>
      <c r="M689" s="37">
        <v>5.51890239131193</v>
      </c>
      <c r="N689" s="22">
        <v>25.0222806525872</v>
      </c>
      <c r="O689" s="37">
        <f t="shared" si="95"/>
        <v>3.05846632354575</v>
      </c>
      <c r="P689" s="37"/>
      <c r="Q689" s="37">
        <f t="shared" si="94"/>
        <v>223.599649367445</v>
      </c>
      <c r="R689" s="219" t="s">
        <v>2854</v>
      </c>
      <c r="S689" s="23" t="s">
        <v>3012</v>
      </c>
      <c r="T689" s="804"/>
      <c r="X689" s="2163"/>
      <c r="AA689" s="839"/>
      <c r="AB689" s="839"/>
      <c r="AC689" s="1940"/>
    </row>
    <row r="690" s="42" customFormat="1" ht="16" hidden="1" customHeight="1" spans="1:29">
      <c r="A690" s="839">
        <v>556</v>
      </c>
      <c r="B690" s="19"/>
      <c r="C690" s="19"/>
      <c r="D690" s="21">
        <v>20240123</v>
      </c>
      <c r="E690" s="21">
        <v>7.17</v>
      </c>
      <c r="F690" s="2132" t="s">
        <v>3013</v>
      </c>
      <c r="G690" s="21" t="s">
        <v>3014</v>
      </c>
      <c r="H690" s="21"/>
      <c r="I690" s="21" t="s">
        <v>2315</v>
      </c>
      <c r="J690" s="21" t="s">
        <v>1428</v>
      </c>
      <c r="K690" s="2048">
        <v>105</v>
      </c>
      <c r="L690" s="21" t="s">
        <v>1428</v>
      </c>
      <c r="M690" s="22">
        <v>5.51890239131193</v>
      </c>
      <c r="N690" s="22">
        <v>25.2331068826805</v>
      </c>
      <c r="O690" s="37">
        <v>0.301611562660846</v>
      </c>
      <c r="P690" s="37"/>
      <c r="Q690" s="37">
        <f t="shared" si="94"/>
        <v>136.053620836653</v>
      </c>
      <c r="R690" s="219" t="s">
        <v>2854</v>
      </c>
      <c r="S690" s="23" t="s">
        <v>3015</v>
      </c>
      <c r="T690" s="804"/>
      <c r="X690" s="2163"/>
      <c r="AA690" s="839"/>
      <c r="AB690" s="839"/>
      <c r="AC690" s="1940"/>
    </row>
    <row r="691" s="42" customFormat="1" ht="16" hidden="1" customHeight="1" spans="1:29">
      <c r="A691" s="839">
        <v>557</v>
      </c>
      <c r="B691" s="19"/>
      <c r="C691" s="19"/>
      <c r="D691" s="21"/>
      <c r="E691" s="21">
        <v>7.17</v>
      </c>
      <c r="F691" s="2130" t="s">
        <v>1979</v>
      </c>
      <c r="G691" s="21" t="s">
        <v>2431</v>
      </c>
      <c r="H691" s="21"/>
      <c r="I691" s="21" t="s">
        <v>2951</v>
      </c>
      <c r="J691" s="21" t="s">
        <v>1428</v>
      </c>
      <c r="K691" s="2048" t="s">
        <v>2957</v>
      </c>
      <c r="L691" s="21" t="s">
        <v>1428</v>
      </c>
      <c r="M691" s="37">
        <v>5.51890239131193</v>
      </c>
      <c r="N691" s="22">
        <v>23.7679559318615</v>
      </c>
      <c r="O691" s="37">
        <f t="shared" ref="O691:O695" si="96">24.78/E691/1.13</f>
        <v>3.05846632354575</v>
      </c>
      <c r="P691" s="37"/>
      <c r="Q691" s="37">
        <f t="shared" si="94"/>
        <v>32.3453246467192</v>
      </c>
      <c r="R691" s="219" t="s">
        <v>2854</v>
      </c>
      <c r="S691" s="23" t="s">
        <v>3016</v>
      </c>
      <c r="T691" s="804"/>
      <c r="X691" s="2163"/>
      <c r="AA691" s="839"/>
      <c r="AB691" s="839"/>
      <c r="AC691" s="1940"/>
    </row>
    <row r="692" s="42" customFormat="1" ht="16" hidden="1" customHeight="1" spans="1:29">
      <c r="A692" s="839">
        <v>558</v>
      </c>
      <c r="B692" s="19"/>
      <c r="C692" s="19"/>
      <c r="D692" s="21"/>
      <c r="E692" s="21"/>
      <c r="F692" s="2130" t="s">
        <v>1979</v>
      </c>
      <c r="G692" s="21" t="s">
        <v>3017</v>
      </c>
      <c r="H692" s="21"/>
      <c r="I692" s="21" t="s">
        <v>2982</v>
      </c>
      <c r="J692" s="21" t="s">
        <v>1428</v>
      </c>
      <c r="K692" s="2048">
        <v>100</v>
      </c>
      <c r="L692" s="21" t="s">
        <v>1428</v>
      </c>
      <c r="M692" s="37">
        <v>5.51890239131193</v>
      </c>
      <c r="N692" s="22">
        <v>21.4980455063434</v>
      </c>
      <c r="O692" s="37">
        <v>0.299135954759389</v>
      </c>
      <c r="P692" s="37"/>
      <c r="Q692" s="37">
        <f t="shared" si="94"/>
        <v>127.316083852415</v>
      </c>
      <c r="R692" s="219" t="s">
        <v>2854</v>
      </c>
      <c r="S692" s="23" t="s">
        <v>3016</v>
      </c>
      <c r="T692" s="804"/>
      <c r="X692" s="2163"/>
      <c r="AA692" s="839"/>
      <c r="AB692" s="839"/>
      <c r="AC692" s="1940"/>
    </row>
    <row r="693" s="42" customFormat="1" ht="16" hidden="1" customHeight="1" spans="1:29">
      <c r="A693" s="839">
        <v>559</v>
      </c>
      <c r="B693" s="19"/>
      <c r="C693" s="19"/>
      <c r="D693" s="21"/>
      <c r="E693" s="21">
        <v>7.17</v>
      </c>
      <c r="F693" s="2130" t="s">
        <v>1979</v>
      </c>
      <c r="G693" s="21" t="s">
        <v>3018</v>
      </c>
      <c r="H693" s="21"/>
      <c r="I693" s="21" t="s">
        <v>2982</v>
      </c>
      <c r="J693" s="21" t="s">
        <v>1428</v>
      </c>
      <c r="K693" s="2048">
        <v>100</v>
      </c>
      <c r="L693" s="21" t="s">
        <v>1428</v>
      </c>
      <c r="M693" s="37">
        <v>5.51890239131193</v>
      </c>
      <c r="N693" s="22">
        <v>21.4980455063434</v>
      </c>
      <c r="O693" s="37">
        <f t="shared" si="96"/>
        <v>3.05846632354575</v>
      </c>
      <c r="P693" s="37"/>
      <c r="Q693" s="37">
        <f t="shared" si="94"/>
        <v>130.075414221201</v>
      </c>
      <c r="R693" s="219" t="s">
        <v>2854</v>
      </c>
      <c r="S693" s="23" t="s">
        <v>3016</v>
      </c>
      <c r="T693" s="804"/>
      <c r="X693" s="2163"/>
      <c r="AA693" s="839"/>
      <c r="AB693" s="839"/>
      <c r="AC693" s="1940"/>
    </row>
    <row r="694" s="42" customFormat="1" ht="16" hidden="1" customHeight="1" spans="1:29">
      <c r="A694" s="839">
        <v>560</v>
      </c>
      <c r="B694" s="19"/>
      <c r="C694" s="19"/>
      <c r="D694" s="21">
        <v>20240528</v>
      </c>
      <c r="E694" s="21">
        <v>7.17</v>
      </c>
      <c r="F694" s="2132" t="s">
        <v>3019</v>
      </c>
      <c r="G694" s="21" t="s">
        <v>1591</v>
      </c>
      <c r="H694" s="21"/>
      <c r="I694" s="21" t="s">
        <v>3020</v>
      </c>
      <c r="J694" s="21" t="s">
        <v>1428</v>
      </c>
      <c r="K694" s="2048" t="s">
        <v>1428</v>
      </c>
      <c r="L694" s="21" t="s">
        <v>1428</v>
      </c>
      <c r="M694" s="37">
        <v>5.51890239131193</v>
      </c>
      <c r="N694" s="22">
        <v>21.1793356342239</v>
      </c>
      <c r="O694" s="37">
        <f t="shared" si="96"/>
        <v>3.05846632354575</v>
      </c>
      <c r="P694" s="37"/>
      <c r="Q694" s="37">
        <f t="shared" si="94"/>
        <v>29.7567043490816</v>
      </c>
      <c r="R694" s="219" t="s">
        <v>2854</v>
      </c>
      <c r="S694" s="23" t="s">
        <v>3021</v>
      </c>
      <c r="T694" s="804"/>
      <c r="X694" s="2163"/>
      <c r="AA694" s="839"/>
      <c r="AB694" s="839"/>
      <c r="AC694" s="1940"/>
    </row>
    <row r="695" s="42" customFormat="1" ht="16" hidden="1" customHeight="1" spans="1:29">
      <c r="A695" s="839">
        <v>561</v>
      </c>
      <c r="B695" s="19"/>
      <c r="C695" s="19"/>
      <c r="D695" s="21">
        <v>20240528</v>
      </c>
      <c r="E695" s="21">
        <v>7.17</v>
      </c>
      <c r="F695" s="2132" t="s">
        <v>3022</v>
      </c>
      <c r="G695" s="21" t="s">
        <v>1593</v>
      </c>
      <c r="H695" s="21"/>
      <c r="I695" s="21" t="s">
        <v>3023</v>
      </c>
      <c r="J695" s="21" t="s">
        <v>1428</v>
      </c>
      <c r="K695" s="2048" t="s">
        <v>1428</v>
      </c>
      <c r="L695" s="21" t="s">
        <v>1428</v>
      </c>
      <c r="M695" s="37">
        <v>5.51890239131193</v>
      </c>
      <c r="N695" s="22">
        <v>21.1301115639181</v>
      </c>
      <c r="O695" s="37">
        <f t="shared" si="96"/>
        <v>3.05846632354575</v>
      </c>
      <c r="P695" s="37"/>
      <c r="Q695" s="37">
        <f t="shared" si="94"/>
        <v>29.7074802787758</v>
      </c>
      <c r="R695" s="219" t="s">
        <v>2854</v>
      </c>
      <c r="S695" s="23" t="s">
        <v>3024</v>
      </c>
      <c r="T695" s="804"/>
      <c r="X695" s="2163"/>
      <c r="AA695" s="839"/>
      <c r="AB695" s="839"/>
      <c r="AC695" s="1940"/>
    </row>
    <row r="696" s="1933" customFormat="1" ht="16" hidden="1" customHeight="1" spans="1:29">
      <c r="A696" s="839">
        <v>562</v>
      </c>
      <c r="B696" s="2202"/>
      <c r="C696" s="2202"/>
      <c r="D696" s="2203">
        <v>46098</v>
      </c>
      <c r="E696" s="2204">
        <v>6.901</v>
      </c>
      <c r="F696" s="2132" t="s">
        <v>3025</v>
      </c>
      <c r="G696" s="21" t="s">
        <v>1767</v>
      </c>
      <c r="H696" s="21"/>
      <c r="I696" s="21"/>
      <c r="J696" s="21"/>
      <c r="K696" s="2048"/>
      <c r="L696" s="21" t="s">
        <v>1428</v>
      </c>
      <c r="M696" s="22">
        <f>43.37*1.1/E696/1.13</f>
        <v>6.11774874232669</v>
      </c>
      <c r="N696" s="22">
        <v>20.5</v>
      </c>
      <c r="O696" s="37" t="e">
        <f>#REF!/E697/1.13</f>
        <v>#REF!</v>
      </c>
      <c r="P696" s="37"/>
      <c r="Q696" s="37" t="e">
        <f t="shared" si="94"/>
        <v>#REF!</v>
      </c>
      <c r="R696" s="219"/>
      <c r="S696" s="23"/>
      <c r="T696" s="2107"/>
      <c r="X696" s="2205"/>
      <c r="AC696" s="2109"/>
    </row>
    <row r="697" s="42" customFormat="1" ht="16" hidden="1" customHeight="1" spans="1:29">
      <c r="A697" s="839">
        <v>563</v>
      </c>
      <c r="B697" s="19"/>
      <c r="C697" s="19"/>
      <c r="D697" s="21">
        <v>20240627</v>
      </c>
      <c r="E697" s="21">
        <v>7.17</v>
      </c>
      <c r="F697" s="2132" t="s">
        <v>3026</v>
      </c>
      <c r="G697" s="21" t="s">
        <v>1525</v>
      </c>
      <c r="H697" s="21"/>
      <c r="I697" s="21" t="s">
        <v>2365</v>
      </c>
      <c r="J697" s="21" t="s">
        <v>1428</v>
      </c>
      <c r="K697" s="2048">
        <v>145</v>
      </c>
      <c r="L697" s="21" t="s">
        <v>1428</v>
      </c>
      <c r="M697" s="22">
        <v>5.51890239131193</v>
      </c>
      <c r="N697" s="22">
        <v>21.6314478832407</v>
      </c>
      <c r="O697" s="37">
        <f t="shared" ref="O697:O709" si="97">24.78/E697/1.13</f>
        <v>3.05846632354575</v>
      </c>
      <c r="P697" s="37"/>
      <c r="Q697" s="37">
        <f t="shared" si="94"/>
        <v>175.208816598098</v>
      </c>
      <c r="R697" s="219" t="s">
        <v>2854</v>
      </c>
      <c r="S697" s="23" t="s">
        <v>3021</v>
      </c>
      <c r="T697" s="804"/>
      <c r="X697" s="2163"/>
      <c r="AA697" s="839"/>
      <c r="AB697" s="839"/>
      <c r="AC697" s="1940"/>
    </row>
    <row r="698" s="42" customFormat="1" ht="16" hidden="1" customHeight="1" spans="1:29">
      <c r="A698" s="839">
        <v>564</v>
      </c>
      <c r="B698" s="19"/>
      <c r="C698" s="1128">
        <v>46161</v>
      </c>
      <c r="D698" s="21">
        <v>6.8</v>
      </c>
      <c r="E698" s="21" t="s">
        <v>1285</v>
      </c>
      <c r="F698" s="2132" t="s">
        <v>1286</v>
      </c>
      <c r="G698" s="21">
        <f>3.99/D698/1.13</f>
        <v>0.519260801665799</v>
      </c>
      <c r="H698" s="21"/>
      <c r="I698" s="21" t="s">
        <v>2982</v>
      </c>
      <c r="J698" s="21" t="s">
        <v>1428</v>
      </c>
      <c r="K698" s="2048">
        <v>100</v>
      </c>
      <c r="L698" s="21" t="s">
        <v>1428</v>
      </c>
      <c r="M698" s="22">
        <v>5.51890239131193</v>
      </c>
      <c r="N698" s="22">
        <v>19.9246395066422</v>
      </c>
      <c r="O698" s="37" t="e">
        <f t="shared" si="97"/>
        <v>#VALUE!</v>
      </c>
      <c r="P698" s="37"/>
      <c r="Q698" s="37" t="e">
        <f t="shared" si="94"/>
        <v>#VALUE!</v>
      </c>
      <c r="R698" s="219" t="s">
        <v>2854</v>
      </c>
      <c r="S698" s="23" t="s">
        <v>3016</v>
      </c>
      <c r="T698" s="804"/>
      <c r="X698" s="2163"/>
      <c r="AA698" s="839"/>
      <c r="AB698" s="839"/>
      <c r="AC698" s="1940"/>
    </row>
    <row r="699" s="42" customFormat="1" ht="16" hidden="1" customHeight="1" spans="1:29">
      <c r="A699" s="839">
        <v>565</v>
      </c>
      <c r="B699" s="19"/>
      <c r="C699" s="19"/>
      <c r="D699" s="21">
        <v>20240820</v>
      </c>
      <c r="E699" s="21">
        <v>7.17</v>
      </c>
      <c r="F699" s="2132" t="s">
        <v>3027</v>
      </c>
      <c r="G699" s="21" t="s">
        <v>2110</v>
      </c>
      <c r="H699" s="21"/>
      <c r="I699" s="21" t="s">
        <v>3020</v>
      </c>
      <c r="J699" s="21" t="s">
        <v>1428</v>
      </c>
      <c r="K699" s="2048" t="s">
        <v>1428</v>
      </c>
      <c r="L699" s="21" t="s">
        <v>1428</v>
      </c>
      <c r="M699" s="22">
        <v>5.51890239131193</v>
      </c>
      <c r="N699" s="22">
        <v>21.6099450185454</v>
      </c>
      <c r="O699" s="37">
        <f t="shared" si="97"/>
        <v>3.05846632354575</v>
      </c>
      <c r="P699" s="37"/>
      <c r="Q699" s="37">
        <f t="shared" si="94"/>
        <v>30.1873137334031</v>
      </c>
      <c r="R699" s="219" t="s">
        <v>2854</v>
      </c>
      <c r="S699" s="23" t="s">
        <v>3028</v>
      </c>
      <c r="T699" s="804"/>
      <c r="X699" s="2163"/>
      <c r="AA699" s="839"/>
      <c r="AB699" s="839"/>
      <c r="AC699" s="1940"/>
    </row>
    <row r="700" s="42" customFormat="1" ht="16" hidden="1" customHeight="1" spans="1:29">
      <c r="A700" s="839">
        <v>566</v>
      </c>
      <c r="B700" s="19"/>
      <c r="C700" s="19"/>
      <c r="D700" s="21">
        <v>20240820</v>
      </c>
      <c r="E700" s="21">
        <v>7.17</v>
      </c>
      <c r="F700" s="2132" t="s">
        <v>3029</v>
      </c>
      <c r="G700" s="21" t="s">
        <v>667</v>
      </c>
      <c r="H700" s="21"/>
      <c r="I700" s="21" t="s">
        <v>2438</v>
      </c>
      <c r="J700" s="21" t="s">
        <v>1428</v>
      </c>
      <c r="K700" s="2048">
        <v>125</v>
      </c>
      <c r="L700" s="21" t="s">
        <v>1428</v>
      </c>
      <c r="M700" s="22">
        <v>5.51890239131193</v>
      </c>
      <c r="N700" s="22">
        <v>21.7154837103134</v>
      </c>
      <c r="O700" s="37">
        <f t="shared" si="97"/>
        <v>3.05846632354575</v>
      </c>
      <c r="P700" s="37"/>
      <c r="Q700" s="37">
        <f t="shared" si="94"/>
        <v>155.292852425171</v>
      </c>
      <c r="R700" s="219" t="s">
        <v>2854</v>
      </c>
      <c r="S700" s="23" t="s">
        <v>3030</v>
      </c>
      <c r="T700" s="804"/>
      <c r="X700" s="2163"/>
      <c r="AA700" s="839"/>
      <c r="AB700" s="839"/>
      <c r="AC700" s="1940"/>
    </row>
    <row r="701" s="42" customFormat="1" ht="16" hidden="1" customHeight="1" spans="1:29">
      <c r="A701" s="839">
        <v>567</v>
      </c>
      <c r="B701" s="19"/>
      <c r="C701" s="19"/>
      <c r="D701" s="21">
        <v>20240820</v>
      </c>
      <c r="E701" s="21">
        <v>7.17</v>
      </c>
      <c r="F701" s="2132" t="s">
        <v>3031</v>
      </c>
      <c r="G701" s="21" t="s">
        <v>2483</v>
      </c>
      <c r="H701" s="21"/>
      <c r="I701" s="21" t="s">
        <v>2474</v>
      </c>
      <c r="J701" s="21" t="s">
        <v>1428</v>
      </c>
      <c r="K701" s="2048" t="s">
        <v>1428</v>
      </c>
      <c r="L701" s="21" t="s">
        <v>1428</v>
      </c>
      <c r="M701" s="22">
        <v>5.51890239131193</v>
      </c>
      <c r="N701" s="22">
        <v>21.7212738629789</v>
      </c>
      <c r="O701" s="37">
        <f t="shared" si="97"/>
        <v>3.05846632354575</v>
      </c>
      <c r="P701" s="37"/>
      <c r="Q701" s="37">
        <f t="shared" si="94"/>
        <v>30.2986425778366</v>
      </c>
      <c r="R701" s="219" t="s">
        <v>2854</v>
      </c>
      <c r="S701" s="23" t="s">
        <v>3028</v>
      </c>
      <c r="T701" s="804"/>
      <c r="X701" s="2163"/>
      <c r="AA701" s="839"/>
      <c r="AB701" s="839"/>
      <c r="AC701" s="1940"/>
    </row>
    <row r="702" s="42" customFormat="1" ht="16" hidden="1" customHeight="1" spans="1:29">
      <c r="A702" s="839">
        <v>568</v>
      </c>
      <c r="B702" s="19"/>
      <c r="C702" s="19"/>
      <c r="D702" s="21">
        <v>20240820</v>
      </c>
      <c r="E702" s="21">
        <v>7.17</v>
      </c>
      <c r="F702" s="2132" t="s">
        <v>3032</v>
      </c>
      <c r="G702" s="21" t="s">
        <v>2486</v>
      </c>
      <c r="H702" s="21"/>
      <c r="I702" s="21" t="s">
        <v>2365</v>
      </c>
      <c r="J702" s="21" t="s">
        <v>1428</v>
      </c>
      <c r="K702" s="2048">
        <v>145</v>
      </c>
      <c r="L702" s="21" t="s">
        <v>1428</v>
      </c>
      <c r="M702" s="22">
        <v>5.51890239131193</v>
      </c>
      <c r="N702" s="22">
        <v>21.7243005336906</v>
      </c>
      <c r="O702" s="37">
        <f t="shared" si="97"/>
        <v>3.05846632354575</v>
      </c>
      <c r="P702" s="37"/>
      <c r="Q702" s="37">
        <f t="shared" si="94"/>
        <v>175.301669248548</v>
      </c>
      <c r="R702" s="219" t="s">
        <v>2854</v>
      </c>
      <c r="S702" s="23" t="s">
        <v>3028</v>
      </c>
      <c r="T702" s="804"/>
      <c r="X702" s="2163"/>
      <c r="AA702" s="839"/>
      <c r="AB702" s="839"/>
      <c r="AC702" s="1940"/>
    </row>
    <row r="703" s="42" customFormat="1" ht="16" hidden="1" customHeight="1" spans="1:29">
      <c r="A703" s="839">
        <v>569</v>
      </c>
      <c r="B703" s="19"/>
      <c r="C703" s="19"/>
      <c r="D703" s="21">
        <v>20240926</v>
      </c>
      <c r="E703" s="21">
        <v>7.17</v>
      </c>
      <c r="F703" s="2132" t="s">
        <v>3033</v>
      </c>
      <c r="G703" s="21" t="s">
        <v>2488</v>
      </c>
      <c r="H703" s="21"/>
      <c r="I703" s="21" t="s">
        <v>2358</v>
      </c>
      <c r="J703" s="21" t="s">
        <v>1428</v>
      </c>
      <c r="K703" s="2048">
        <v>145</v>
      </c>
      <c r="L703" s="21" t="s">
        <v>1428</v>
      </c>
      <c r="M703" s="22">
        <v>5.51890239131193</v>
      </c>
      <c r="N703" s="22">
        <v>22.3227446663729</v>
      </c>
      <c r="O703" s="37">
        <f t="shared" si="97"/>
        <v>3.05846632354575</v>
      </c>
      <c r="P703" s="37"/>
      <c r="Q703" s="37">
        <f t="shared" si="94"/>
        <v>175.900113381231</v>
      </c>
      <c r="R703" s="219" t="s">
        <v>2854</v>
      </c>
      <c r="S703" s="23" t="s">
        <v>3034</v>
      </c>
      <c r="T703" s="804"/>
      <c r="X703" s="2163"/>
      <c r="AA703" s="839"/>
      <c r="AB703" s="839"/>
      <c r="AC703" s="1940"/>
    </row>
    <row r="704" s="42" customFormat="1" ht="16" hidden="1" customHeight="1" spans="1:29">
      <c r="A704" s="839">
        <v>570</v>
      </c>
      <c r="B704" s="19"/>
      <c r="C704" s="19"/>
      <c r="D704" s="21">
        <v>20250218</v>
      </c>
      <c r="E704" s="21">
        <v>7.17</v>
      </c>
      <c r="F704" s="2132" t="s">
        <v>3035</v>
      </c>
      <c r="G704" s="21" t="s">
        <v>2383</v>
      </c>
      <c r="H704" s="21"/>
      <c r="I704" s="21" t="s">
        <v>3036</v>
      </c>
      <c r="J704" s="21" t="s">
        <v>1428</v>
      </c>
      <c r="K704" s="2048" t="s">
        <v>1428</v>
      </c>
      <c r="L704" s="21" t="s">
        <v>1428</v>
      </c>
      <c r="M704" s="22">
        <v>5.51890239131193</v>
      </c>
      <c r="N704" s="22">
        <v>18.9830053043834</v>
      </c>
      <c r="O704" s="37">
        <f t="shared" si="97"/>
        <v>3.05846632354575</v>
      </c>
      <c r="P704" s="37"/>
      <c r="Q704" s="37">
        <f t="shared" si="94"/>
        <v>27.5603740192411</v>
      </c>
      <c r="R704" s="219" t="s">
        <v>2854</v>
      </c>
      <c r="S704" s="23" t="s">
        <v>3037</v>
      </c>
      <c r="T704" s="804"/>
      <c r="X704" s="2163"/>
      <c r="AA704" s="839"/>
      <c r="AB704" s="839"/>
      <c r="AC704" s="1940"/>
    </row>
    <row r="705" s="42" customFormat="1" ht="16" hidden="1" customHeight="1" spans="1:29">
      <c r="A705" s="839">
        <v>571</v>
      </c>
      <c r="B705" s="19"/>
      <c r="C705" s="19"/>
      <c r="D705" s="21">
        <v>20250218</v>
      </c>
      <c r="E705" s="21">
        <v>7.17</v>
      </c>
      <c r="F705" s="2132" t="s">
        <v>3038</v>
      </c>
      <c r="G705" s="21" t="s">
        <v>2320</v>
      </c>
      <c r="H705" s="21"/>
      <c r="I705" s="21" t="s">
        <v>3039</v>
      </c>
      <c r="J705" s="21" t="s">
        <v>1428</v>
      </c>
      <c r="K705" s="2048" t="s">
        <v>1428</v>
      </c>
      <c r="L705" s="21" t="s">
        <v>1428</v>
      </c>
      <c r="M705" s="22">
        <v>5.51890239131193</v>
      </c>
      <c r="N705" s="22">
        <v>19.0969512903642</v>
      </c>
      <c r="O705" s="37">
        <f t="shared" si="97"/>
        <v>3.05846632354575</v>
      </c>
      <c r="P705" s="37"/>
      <c r="Q705" s="37">
        <f t="shared" si="94"/>
        <v>27.6743200052219</v>
      </c>
      <c r="R705" s="219" t="s">
        <v>2854</v>
      </c>
      <c r="S705" s="23" t="s">
        <v>3040</v>
      </c>
      <c r="T705" s="804"/>
      <c r="X705" s="2163"/>
      <c r="AA705" s="839"/>
      <c r="AB705" s="839"/>
      <c r="AC705" s="1940"/>
    </row>
    <row r="706" s="42" customFormat="1" ht="16" hidden="1" customHeight="1" spans="1:29">
      <c r="A706" s="839">
        <v>572</v>
      </c>
      <c r="B706" s="19"/>
      <c r="C706" s="19"/>
      <c r="D706" s="21">
        <v>20250313</v>
      </c>
      <c r="E706" s="21">
        <v>7.17</v>
      </c>
      <c r="F706" s="2132" t="s">
        <v>3041</v>
      </c>
      <c r="G706" s="21" t="s">
        <v>3042</v>
      </c>
      <c r="H706" s="21"/>
      <c r="I706" s="21" t="s">
        <v>2354</v>
      </c>
      <c r="J706" s="21" t="s">
        <v>1428</v>
      </c>
      <c r="K706" s="2048">
        <v>125</v>
      </c>
      <c r="L706" s="21" t="s">
        <v>1428</v>
      </c>
      <c r="M706" s="22">
        <v>5.51890239131193</v>
      </c>
      <c r="N706" s="22">
        <v>18.2170521949225</v>
      </c>
      <c r="O706" s="37">
        <f t="shared" si="97"/>
        <v>3.05846632354575</v>
      </c>
      <c r="P706" s="37"/>
      <c r="Q706" s="37">
        <f t="shared" si="94"/>
        <v>151.79442090978</v>
      </c>
      <c r="R706" s="219" t="s">
        <v>2854</v>
      </c>
      <c r="S706" s="23" t="s">
        <v>3043</v>
      </c>
      <c r="T706" s="804"/>
      <c r="X706" s="2163"/>
      <c r="AA706" s="839"/>
      <c r="AB706" s="839"/>
      <c r="AC706" s="1940"/>
    </row>
    <row r="707" s="42" customFormat="1" ht="16" hidden="1" customHeight="1" spans="1:29">
      <c r="A707" s="839">
        <v>573</v>
      </c>
      <c r="B707" s="19"/>
      <c r="C707" s="19"/>
      <c r="D707" s="21">
        <v>20250313</v>
      </c>
      <c r="E707" s="21">
        <v>7.17</v>
      </c>
      <c r="F707" s="2132" t="s">
        <v>3044</v>
      </c>
      <c r="G707" s="21" t="s">
        <v>3045</v>
      </c>
      <c r="H707" s="21"/>
      <c r="I707" s="21" t="s">
        <v>2369</v>
      </c>
      <c r="J707" s="21" t="s">
        <v>1428</v>
      </c>
      <c r="K707" s="2048">
        <v>190</v>
      </c>
      <c r="L707" s="21" t="s">
        <v>1428</v>
      </c>
      <c r="M707" s="22">
        <v>5.51890239131193</v>
      </c>
      <c r="N707" s="22">
        <v>18.1550246393214</v>
      </c>
      <c r="O707" s="37">
        <f t="shared" si="97"/>
        <v>3.05846632354575</v>
      </c>
      <c r="P707" s="37"/>
      <c r="Q707" s="37">
        <f t="shared" si="94"/>
        <v>216.732393354179</v>
      </c>
      <c r="R707" s="219" t="s">
        <v>2854</v>
      </c>
      <c r="S707" s="23" t="s">
        <v>3043</v>
      </c>
      <c r="T707" s="804"/>
      <c r="X707" s="2163"/>
      <c r="AA707" s="839"/>
      <c r="AB707" s="839"/>
      <c r="AC707" s="1940"/>
    </row>
    <row r="708" s="42" customFormat="1" ht="16" hidden="1" customHeight="1" spans="1:29">
      <c r="A708" s="839">
        <v>574</v>
      </c>
      <c r="B708" s="19"/>
      <c r="C708" s="19"/>
      <c r="D708" s="21">
        <v>20250313</v>
      </c>
      <c r="E708" s="21">
        <v>7.17</v>
      </c>
      <c r="F708" s="2132" t="s">
        <v>3046</v>
      </c>
      <c r="G708" s="21" t="s">
        <v>3047</v>
      </c>
      <c r="H708" s="21"/>
      <c r="I708" s="21" t="s">
        <v>2304</v>
      </c>
      <c r="J708" s="21" t="s">
        <v>1428</v>
      </c>
      <c r="K708" s="2048" t="s">
        <v>2952</v>
      </c>
      <c r="L708" s="21" t="s">
        <v>1428</v>
      </c>
      <c r="M708" s="22">
        <v>5.51890239131193</v>
      </c>
      <c r="N708" s="22">
        <v>19.8119601142221</v>
      </c>
      <c r="O708" s="37">
        <f t="shared" si="97"/>
        <v>3.05846632354575</v>
      </c>
      <c r="P708" s="37"/>
      <c r="Q708" s="37">
        <f t="shared" si="94"/>
        <v>28.3893288290798</v>
      </c>
      <c r="R708" s="219" t="s">
        <v>2854</v>
      </c>
      <c r="S708" s="23" t="s">
        <v>3048</v>
      </c>
      <c r="T708" s="804"/>
      <c r="X708" s="2163"/>
      <c r="AA708" s="839"/>
      <c r="AB708" s="839"/>
      <c r="AC708" s="1940"/>
    </row>
    <row r="709" s="42" customFormat="1" ht="16" hidden="1" customHeight="1" spans="1:29">
      <c r="A709" s="839">
        <v>575</v>
      </c>
      <c r="B709" s="19"/>
      <c r="C709" s="19"/>
      <c r="D709" s="21">
        <v>20250313</v>
      </c>
      <c r="E709" s="21">
        <v>7.17</v>
      </c>
      <c r="F709" s="2132" t="s">
        <v>3049</v>
      </c>
      <c r="G709" s="21" t="s">
        <v>3050</v>
      </c>
      <c r="H709" s="21"/>
      <c r="I709" s="21" t="s">
        <v>2358</v>
      </c>
      <c r="J709" s="21" t="s">
        <v>1428</v>
      </c>
      <c r="K709" s="2048">
        <v>145</v>
      </c>
      <c r="L709" s="21" t="s">
        <v>1428</v>
      </c>
      <c r="M709" s="22">
        <v>5.51890239131193</v>
      </c>
      <c r="N709" s="22">
        <v>19.7324396693848</v>
      </c>
      <c r="O709" s="37">
        <f t="shared" si="97"/>
        <v>3.05846632354575</v>
      </c>
      <c r="P709" s="37"/>
      <c r="Q709" s="37">
        <f t="shared" si="94"/>
        <v>173.309808384243</v>
      </c>
      <c r="R709" s="219" t="s">
        <v>2854</v>
      </c>
      <c r="S709" s="23" t="s">
        <v>3048</v>
      </c>
      <c r="T709" s="804"/>
      <c r="X709" s="2163"/>
      <c r="AA709" s="839"/>
      <c r="AB709" s="839"/>
      <c r="AC709" s="1940"/>
    </row>
    <row r="710" s="42" customFormat="1" ht="16" hidden="1" customHeight="1" spans="1:29">
      <c r="A710" s="839">
        <v>576</v>
      </c>
      <c r="B710" s="19"/>
      <c r="C710" s="19"/>
      <c r="D710" s="21">
        <v>20240820</v>
      </c>
      <c r="E710" s="21">
        <v>7.17</v>
      </c>
      <c r="F710" s="2132" t="s">
        <v>446</v>
      </c>
      <c r="G710" s="21" t="s">
        <v>447</v>
      </c>
      <c r="H710" s="21"/>
      <c r="I710" s="21"/>
      <c r="J710" s="21"/>
      <c r="K710" s="2048"/>
      <c r="L710" s="21"/>
      <c r="M710" s="22">
        <v>0.506158857541987</v>
      </c>
      <c r="N710" s="22">
        <v>2.73965500372915</v>
      </c>
      <c r="O710" s="774">
        <v>0.4</v>
      </c>
      <c r="P710" s="774"/>
      <c r="Q710" s="37">
        <f t="shared" si="94"/>
        <v>3.64581386127114</v>
      </c>
      <c r="R710" s="219"/>
      <c r="S710" s="23"/>
      <c r="T710" s="804"/>
      <c r="X710" s="2163"/>
      <c r="AA710" s="839"/>
      <c r="AB710" s="839"/>
      <c r="AC710" s="1940"/>
    </row>
    <row r="711" s="42" customFormat="1" ht="16" hidden="1" customHeight="1" spans="1:29">
      <c r="A711" s="839">
        <v>577</v>
      </c>
      <c r="B711" s="19"/>
      <c r="C711" s="19"/>
      <c r="D711" s="21">
        <v>20240627</v>
      </c>
      <c r="E711" s="21">
        <v>7.17</v>
      </c>
      <c r="F711" s="2132" t="s">
        <v>448</v>
      </c>
      <c r="G711" s="21" t="s">
        <v>449</v>
      </c>
      <c r="H711" s="21"/>
      <c r="I711" s="21"/>
      <c r="J711" s="21"/>
      <c r="K711" s="2048"/>
      <c r="L711" s="21"/>
      <c r="M711" s="22">
        <v>0.435106359527569</v>
      </c>
      <c r="N711" s="22">
        <v>1.6988373315236</v>
      </c>
      <c r="O711" s="774">
        <v>0.2</v>
      </c>
      <c r="P711" s="774"/>
      <c r="Q711" s="37">
        <f t="shared" si="94"/>
        <v>2.33394369105117</v>
      </c>
      <c r="R711" s="219"/>
      <c r="S711" s="23" t="s">
        <v>2851</v>
      </c>
      <c r="T711" s="804"/>
      <c r="X711" s="2163"/>
      <c r="AA711" s="839"/>
      <c r="AB711" s="839"/>
      <c r="AC711" s="1940"/>
    </row>
    <row r="712" s="42" customFormat="1" ht="16" hidden="1" customHeight="1" spans="1:29">
      <c r="A712" s="839">
        <v>578</v>
      </c>
      <c r="B712" s="19"/>
      <c r="C712" s="19"/>
      <c r="D712" s="21"/>
      <c r="E712" s="21"/>
      <c r="F712" s="2130" t="s">
        <v>1979</v>
      </c>
      <c r="G712" s="21" t="s">
        <v>453</v>
      </c>
      <c r="H712" s="21"/>
      <c r="I712" s="21"/>
      <c r="J712" s="21"/>
      <c r="K712" s="2048"/>
      <c r="L712" s="21"/>
      <c r="M712" s="37">
        <v>0.364179321898103</v>
      </c>
      <c r="N712" s="22">
        <v>3.22256856771004</v>
      </c>
      <c r="O712" s="774">
        <v>0.4</v>
      </c>
      <c r="P712" s="774"/>
      <c r="Q712" s="37">
        <f t="shared" si="94"/>
        <v>3.98674788960814</v>
      </c>
      <c r="R712" s="219"/>
      <c r="S712" s="23"/>
      <c r="T712" s="804"/>
      <c r="X712" s="2163"/>
      <c r="AA712" s="839"/>
      <c r="AB712" s="839"/>
      <c r="AC712" s="1940"/>
    </row>
    <row r="713" s="42" customFormat="1" ht="16" hidden="1" customHeight="1" spans="1:29">
      <c r="A713" s="839">
        <v>579</v>
      </c>
      <c r="B713" s="19"/>
      <c r="C713" s="19"/>
      <c r="D713" s="21"/>
      <c r="E713" s="21"/>
      <c r="F713" s="2130" t="s">
        <v>1979</v>
      </c>
      <c r="G713" s="21" t="s">
        <v>454</v>
      </c>
      <c r="H713" s="21"/>
      <c r="I713" s="21"/>
      <c r="J713" s="21"/>
      <c r="K713" s="2048"/>
      <c r="L713" s="21"/>
      <c r="M713" s="37">
        <v>1.12630732099759</v>
      </c>
      <c r="N713" s="22">
        <v>1.751276307321</v>
      </c>
      <c r="O713" s="774">
        <v>0.4</v>
      </c>
      <c r="P713" s="774"/>
      <c r="Q713" s="37">
        <f t="shared" si="94"/>
        <v>3.27758362831859</v>
      </c>
      <c r="R713" s="219"/>
      <c r="S713" s="23"/>
      <c r="T713" s="804"/>
      <c r="X713" s="2163"/>
      <c r="AA713" s="839"/>
      <c r="AB713" s="839"/>
      <c r="AC713" s="1940"/>
    </row>
    <row r="714" s="42" customFormat="1" ht="16" hidden="1" customHeight="1" spans="1:29">
      <c r="A714" s="839">
        <v>580</v>
      </c>
      <c r="B714" s="687" t="s">
        <v>3051</v>
      </c>
      <c r="C714" s="23"/>
      <c r="D714" s="21"/>
      <c r="E714" s="21">
        <v>7.17</v>
      </c>
      <c r="F714" s="2130" t="s">
        <v>1979</v>
      </c>
      <c r="G714" s="21" t="s">
        <v>1565</v>
      </c>
      <c r="H714" s="21"/>
      <c r="I714" s="690" t="s">
        <v>2972</v>
      </c>
      <c r="J714" s="21" t="s">
        <v>1428</v>
      </c>
      <c r="K714" s="2048">
        <v>65</v>
      </c>
      <c r="L714" s="21" t="s">
        <v>1428</v>
      </c>
      <c r="M714" s="37">
        <f t="shared" ref="M714:M729" si="98">37.98/E714/1.13</f>
        <v>4.68767356611249</v>
      </c>
      <c r="N714" s="22">
        <v>12.1705149504425</v>
      </c>
      <c r="O714" s="37">
        <f t="shared" ref="O714:O743" si="99">22.42/E714/1.13</f>
        <v>2.76718381654139</v>
      </c>
      <c r="P714" s="37"/>
      <c r="Q714" s="37">
        <f t="shared" si="94"/>
        <v>84.6253723330964</v>
      </c>
      <c r="R714" s="219" t="s">
        <v>2854</v>
      </c>
      <c r="S714" s="23" t="s">
        <v>3052</v>
      </c>
      <c r="T714" s="804"/>
      <c r="X714" s="2163"/>
      <c r="AA714" s="839"/>
      <c r="AB714" s="839"/>
      <c r="AC714" s="1940"/>
    </row>
    <row r="715" s="42" customFormat="1" ht="16" hidden="1" customHeight="1" spans="1:29">
      <c r="A715" s="839">
        <v>581</v>
      </c>
      <c r="B715" s="687"/>
      <c r="C715" s="23"/>
      <c r="D715" s="21"/>
      <c r="E715" s="21">
        <v>7.17</v>
      </c>
      <c r="F715" s="2130" t="s">
        <v>1979</v>
      </c>
      <c r="G715" s="21" t="s">
        <v>1617</v>
      </c>
      <c r="H715" s="21"/>
      <c r="I715" s="690" t="s">
        <v>2982</v>
      </c>
      <c r="J715" s="21" t="s">
        <v>1742</v>
      </c>
      <c r="K715" s="2048">
        <v>100</v>
      </c>
      <c r="L715" s="21">
        <v>6</v>
      </c>
      <c r="M715" s="37">
        <f t="shared" si="98"/>
        <v>4.68767356611249</v>
      </c>
      <c r="N715" s="22">
        <v>13.7718056815634</v>
      </c>
      <c r="O715" s="37">
        <f t="shared" si="99"/>
        <v>2.76718381654139</v>
      </c>
      <c r="P715" s="37"/>
      <c r="Q715" s="37">
        <f t="shared" si="94"/>
        <v>127.226663064217</v>
      </c>
      <c r="R715" s="219" t="s">
        <v>2854</v>
      </c>
      <c r="S715" s="23" t="s">
        <v>3053</v>
      </c>
      <c r="T715" s="804"/>
      <c r="X715" s="2163"/>
      <c r="AA715" s="839"/>
      <c r="AB715" s="839"/>
      <c r="AC715" s="1940"/>
    </row>
    <row r="716" s="42" customFormat="1" ht="16" hidden="1" customHeight="1" spans="1:29">
      <c r="A716" s="839">
        <v>582</v>
      </c>
      <c r="B716" s="687"/>
      <c r="C716" s="23"/>
      <c r="D716" s="21"/>
      <c r="E716" s="21">
        <v>7.17</v>
      </c>
      <c r="F716" s="2130" t="s">
        <v>1979</v>
      </c>
      <c r="G716" s="21" t="s">
        <v>1629</v>
      </c>
      <c r="H716" s="21"/>
      <c r="I716" s="690" t="s">
        <v>2972</v>
      </c>
      <c r="J716" s="21" t="s">
        <v>1428</v>
      </c>
      <c r="K716" s="2048">
        <v>65</v>
      </c>
      <c r="L716" s="21" t="s">
        <v>1428</v>
      </c>
      <c r="M716" s="37">
        <f t="shared" si="98"/>
        <v>4.68767356611249</v>
      </c>
      <c r="N716" s="22">
        <v>13.2285613276167</v>
      </c>
      <c r="O716" s="37">
        <f t="shared" si="99"/>
        <v>2.76718381654139</v>
      </c>
      <c r="P716" s="37"/>
      <c r="Q716" s="37">
        <f t="shared" si="94"/>
        <v>85.6834187102706</v>
      </c>
      <c r="R716" s="219" t="s">
        <v>2854</v>
      </c>
      <c r="S716" s="23" t="s">
        <v>3053</v>
      </c>
      <c r="T716" s="804"/>
      <c r="X716" s="2163"/>
      <c r="AA716" s="839"/>
      <c r="AB716" s="839"/>
      <c r="AC716" s="1940"/>
    </row>
    <row r="717" s="42" customFormat="1" ht="16" hidden="1" customHeight="1" spans="1:29">
      <c r="A717" s="839">
        <v>583</v>
      </c>
      <c r="B717" s="687"/>
      <c r="C717" s="23"/>
      <c r="D717" s="21"/>
      <c r="E717" s="21">
        <v>7.17</v>
      </c>
      <c r="F717" s="2130" t="s">
        <v>1979</v>
      </c>
      <c r="G717" s="21" t="s">
        <v>1645</v>
      </c>
      <c r="H717" s="21"/>
      <c r="I717" s="690" t="s">
        <v>2951</v>
      </c>
      <c r="J717" s="21" t="s">
        <v>1428</v>
      </c>
      <c r="K717" s="2048" t="s">
        <v>2957</v>
      </c>
      <c r="L717" s="21" t="s">
        <v>1428</v>
      </c>
      <c r="M717" s="37">
        <f t="shared" si="98"/>
        <v>4.68767356611249</v>
      </c>
      <c r="N717" s="22">
        <v>15.3614806663116</v>
      </c>
      <c r="O717" s="37">
        <f t="shared" si="99"/>
        <v>2.76718381654139</v>
      </c>
      <c r="P717" s="37"/>
      <c r="Q717" s="37">
        <f t="shared" si="94"/>
        <v>22.8163380489655</v>
      </c>
      <c r="R717" s="219" t="s">
        <v>2854</v>
      </c>
      <c r="S717" s="23" t="s">
        <v>3053</v>
      </c>
      <c r="T717" s="804"/>
      <c r="X717" s="2163"/>
      <c r="AA717" s="839"/>
      <c r="AB717" s="839"/>
      <c r="AC717" s="1940"/>
    </row>
    <row r="718" s="42" customFormat="1" ht="16" hidden="1" customHeight="1" spans="1:29">
      <c r="A718" s="839">
        <v>584</v>
      </c>
      <c r="B718" s="687"/>
      <c r="C718" s="23"/>
      <c r="D718" s="21"/>
      <c r="E718" s="21">
        <v>7.17</v>
      </c>
      <c r="F718" s="2130" t="s">
        <v>1979</v>
      </c>
      <c r="G718" s="21" t="s">
        <v>1604</v>
      </c>
      <c r="H718" s="21"/>
      <c r="I718" s="690" t="s">
        <v>3054</v>
      </c>
      <c r="J718" s="21" t="s">
        <v>1428</v>
      </c>
      <c r="K718" s="2048" t="s">
        <v>1428</v>
      </c>
      <c r="L718" s="21" t="s">
        <v>1428</v>
      </c>
      <c r="M718" s="37">
        <f t="shared" si="98"/>
        <v>4.68767356611249</v>
      </c>
      <c r="N718" s="22">
        <v>15.6268859535067</v>
      </c>
      <c r="O718" s="37">
        <f t="shared" si="99"/>
        <v>2.76718381654139</v>
      </c>
      <c r="P718" s="37"/>
      <c r="Q718" s="37">
        <f t="shared" si="94"/>
        <v>23.0817433361606</v>
      </c>
      <c r="R718" s="219" t="s">
        <v>2854</v>
      </c>
      <c r="S718" s="23" t="s">
        <v>3055</v>
      </c>
      <c r="T718" s="804"/>
      <c r="X718" s="2163"/>
      <c r="AA718" s="839"/>
      <c r="AB718" s="839"/>
      <c r="AC718" s="1940"/>
    </row>
    <row r="719" s="42" customFormat="1" ht="16" hidden="1" customHeight="1" spans="1:29">
      <c r="A719" s="839">
        <v>585</v>
      </c>
      <c r="B719" s="687"/>
      <c r="C719" s="23"/>
      <c r="D719" s="21"/>
      <c r="E719" s="21">
        <v>7.17</v>
      </c>
      <c r="F719" s="2130" t="s">
        <v>1979</v>
      </c>
      <c r="G719" s="21" t="s">
        <v>1571</v>
      </c>
      <c r="H719" s="21"/>
      <c r="I719" s="690" t="s">
        <v>2365</v>
      </c>
      <c r="J719" s="21" t="s">
        <v>1428</v>
      </c>
      <c r="K719" s="2048">
        <v>145</v>
      </c>
      <c r="L719" s="21" t="s">
        <v>1428</v>
      </c>
      <c r="M719" s="37">
        <f t="shared" si="98"/>
        <v>4.68767356611249</v>
      </c>
      <c r="N719" s="22">
        <v>15.2489111784228</v>
      </c>
      <c r="O719" s="37">
        <f t="shared" si="99"/>
        <v>2.76718381654139</v>
      </c>
      <c r="P719" s="37"/>
      <c r="Q719" s="37">
        <f t="shared" si="94"/>
        <v>167.703768561077</v>
      </c>
      <c r="R719" s="219" t="s">
        <v>2854</v>
      </c>
      <c r="S719" s="23" t="s">
        <v>3056</v>
      </c>
      <c r="T719" s="804"/>
      <c r="X719" s="2163"/>
      <c r="AA719" s="839"/>
      <c r="AB719" s="839"/>
      <c r="AC719" s="1940"/>
    </row>
    <row r="720" s="42" customFormat="1" ht="16" hidden="1" customHeight="1" spans="1:29">
      <c r="A720" s="839">
        <v>586</v>
      </c>
      <c r="B720" s="687"/>
      <c r="C720" s="23"/>
      <c r="D720" s="21"/>
      <c r="E720" s="21">
        <v>7.17</v>
      </c>
      <c r="F720" s="2130" t="s">
        <v>1979</v>
      </c>
      <c r="G720" s="21" t="s">
        <v>1685</v>
      </c>
      <c r="H720" s="21"/>
      <c r="I720" s="690" t="s">
        <v>2972</v>
      </c>
      <c r="J720" s="21" t="s">
        <v>1428</v>
      </c>
      <c r="K720" s="2048">
        <v>65</v>
      </c>
      <c r="L720" s="21" t="s">
        <v>1428</v>
      </c>
      <c r="M720" s="37">
        <f t="shared" si="98"/>
        <v>4.68767356611249</v>
      </c>
      <c r="N720" s="22">
        <v>12.4551296277445</v>
      </c>
      <c r="O720" s="37">
        <f t="shared" si="99"/>
        <v>2.76718381654139</v>
      </c>
      <c r="P720" s="37"/>
      <c r="Q720" s="37">
        <f t="shared" si="94"/>
        <v>84.9099870103984</v>
      </c>
      <c r="R720" s="219" t="s">
        <v>2854</v>
      </c>
      <c r="S720" s="23" t="s">
        <v>3053</v>
      </c>
      <c r="T720" s="804"/>
      <c r="X720" s="2163"/>
      <c r="AA720" s="839"/>
      <c r="AB720" s="839"/>
      <c r="AC720" s="1940"/>
    </row>
    <row r="721" s="42" customFormat="1" ht="16" hidden="1" customHeight="1" spans="1:29">
      <c r="A721" s="839">
        <v>587</v>
      </c>
      <c r="B721" s="687"/>
      <c r="C721" s="23"/>
      <c r="D721" s="21">
        <v>20250612</v>
      </c>
      <c r="E721" s="21">
        <v>7.17</v>
      </c>
      <c r="F721" s="2132" t="s">
        <v>3057</v>
      </c>
      <c r="G721" s="21" t="s">
        <v>1669</v>
      </c>
      <c r="H721" s="21"/>
      <c r="I721" s="690" t="s">
        <v>2972</v>
      </c>
      <c r="J721" s="21" t="s">
        <v>1428</v>
      </c>
      <c r="K721" s="2048">
        <v>65</v>
      </c>
      <c r="L721" s="21" t="s">
        <v>1428</v>
      </c>
      <c r="M721" s="37">
        <f t="shared" si="98"/>
        <v>4.68767356611249</v>
      </c>
      <c r="N721" s="22">
        <v>11.4186152867847</v>
      </c>
      <c r="O721" s="37">
        <f t="shared" si="99"/>
        <v>2.76718381654139</v>
      </c>
      <c r="P721" s="37"/>
      <c r="Q721" s="37">
        <f t="shared" si="94"/>
        <v>83.8734726694386</v>
      </c>
      <c r="R721" s="219" t="s">
        <v>2854</v>
      </c>
      <c r="S721" s="23" t="s">
        <v>3053</v>
      </c>
      <c r="T721" s="804"/>
      <c r="X721" s="2163"/>
      <c r="AA721" s="839"/>
      <c r="AB721" s="839"/>
      <c r="AC721" s="1940"/>
    </row>
    <row r="722" s="42" customFormat="1" ht="16" hidden="1" customHeight="1" spans="1:29">
      <c r="A722" s="839">
        <v>588</v>
      </c>
      <c r="B722" s="687"/>
      <c r="C722" s="23"/>
      <c r="D722" s="21">
        <v>20241108</v>
      </c>
      <c r="E722" s="21">
        <v>7.17</v>
      </c>
      <c r="F722" s="2132" t="s">
        <v>3058</v>
      </c>
      <c r="G722" s="21" t="s">
        <v>1671</v>
      </c>
      <c r="H722" s="21"/>
      <c r="I722" s="690" t="s">
        <v>2641</v>
      </c>
      <c r="J722" s="21" t="s">
        <v>1428</v>
      </c>
      <c r="K722" s="2048">
        <v>100</v>
      </c>
      <c r="L722" s="21" t="s">
        <v>1428</v>
      </c>
      <c r="M722" s="37">
        <f t="shared" si="98"/>
        <v>4.68767356611249</v>
      </c>
      <c r="N722" s="22">
        <v>11.9053230727985</v>
      </c>
      <c r="O722" s="37">
        <f t="shared" si="99"/>
        <v>2.76718381654139</v>
      </c>
      <c r="P722" s="37"/>
      <c r="Q722" s="37">
        <f t="shared" si="94"/>
        <v>119.360180455452</v>
      </c>
      <c r="R722" s="219" t="s">
        <v>2854</v>
      </c>
      <c r="S722" s="23" t="s">
        <v>3059</v>
      </c>
      <c r="T722" s="804"/>
      <c r="X722" s="2163"/>
      <c r="AA722" s="839"/>
      <c r="AB722" s="839"/>
      <c r="AC722" s="1940"/>
    </row>
    <row r="723" s="42" customFormat="1" ht="16" hidden="1" customHeight="1" spans="1:29">
      <c r="A723" s="839">
        <v>589</v>
      </c>
      <c r="B723" s="687"/>
      <c r="C723" s="23"/>
      <c r="D723" s="21">
        <v>20241108</v>
      </c>
      <c r="E723" s="21">
        <v>7.17</v>
      </c>
      <c r="F723" s="2132" t="s">
        <v>3060</v>
      </c>
      <c r="G723" s="21" t="s">
        <v>1672</v>
      </c>
      <c r="H723" s="21"/>
      <c r="I723" s="690" t="s">
        <v>2968</v>
      </c>
      <c r="J723" s="21" t="s">
        <v>1428</v>
      </c>
      <c r="K723" s="2048" t="s">
        <v>2957</v>
      </c>
      <c r="L723" s="21" t="s">
        <v>1428</v>
      </c>
      <c r="M723" s="37">
        <f t="shared" si="98"/>
        <v>4.68767356611249</v>
      </c>
      <c r="N723" s="22">
        <v>14.110099880782</v>
      </c>
      <c r="O723" s="37">
        <f t="shared" si="99"/>
        <v>2.76718381654139</v>
      </c>
      <c r="P723" s="37"/>
      <c r="Q723" s="37">
        <f t="shared" si="94"/>
        <v>21.5649572634359</v>
      </c>
      <c r="R723" s="219" t="s">
        <v>2854</v>
      </c>
      <c r="S723" s="23" t="s">
        <v>3061</v>
      </c>
      <c r="T723" s="804"/>
      <c r="X723" s="2163"/>
      <c r="AA723" s="839"/>
      <c r="AB723" s="839"/>
      <c r="AC723" s="1940"/>
    </row>
    <row r="724" s="42" customFormat="1" ht="16" hidden="1" customHeight="1" spans="1:29">
      <c r="A724" s="839">
        <v>590</v>
      </c>
      <c r="B724" s="687"/>
      <c r="C724" s="23"/>
      <c r="D724" s="21">
        <v>20241108</v>
      </c>
      <c r="E724" s="21">
        <v>7.17</v>
      </c>
      <c r="F724" s="2132" t="s">
        <v>3062</v>
      </c>
      <c r="G724" s="21" t="s">
        <v>1998</v>
      </c>
      <c r="H724" s="21"/>
      <c r="I724" s="690" t="s">
        <v>2970</v>
      </c>
      <c r="J724" s="21" t="s">
        <v>1428</v>
      </c>
      <c r="K724" s="2048">
        <v>145</v>
      </c>
      <c r="L724" s="21" t="s">
        <v>1428</v>
      </c>
      <c r="M724" s="37">
        <f t="shared" si="98"/>
        <v>4.68767356611249</v>
      </c>
      <c r="N724" s="22">
        <v>14.1041778558522</v>
      </c>
      <c r="O724" s="37">
        <f t="shared" si="99"/>
        <v>2.76718381654139</v>
      </c>
      <c r="P724" s="37"/>
      <c r="Q724" s="37">
        <f t="shared" si="94"/>
        <v>166.559035238506</v>
      </c>
      <c r="R724" s="219" t="s">
        <v>2854</v>
      </c>
      <c r="S724" s="23" t="s">
        <v>3063</v>
      </c>
      <c r="T724" s="804"/>
      <c r="X724" s="2163"/>
      <c r="AA724" s="839"/>
      <c r="AB724" s="839"/>
      <c r="AC724" s="1940"/>
    </row>
    <row r="725" s="42" customFormat="1" ht="16" hidden="1" customHeight="1" spans="1:29">
      <c r="A725" s="839">
        <v>591</v>
      </c>
      <c r="B725" s="687"/>
      <c r="C725" s="23"/>
      <c r="D725" s="21">
        <v>20241231</v>
      </c>
      <c r="E725" s="21">
        <v>7.17</v>
      </c>
      <c r="F725" s="2132" t="s">
        <v>3064</v>
      </c>
      <c r="G725" s="21" t="s">
        <v>1581</v>
      </c>
      <c r="H725" s="21"/>
      <c r="I725" s="690" t="s">
        <v>2968</v>
      </c>
      <c r="J725" s="21" t="s">
        <v>1428</v>
      </c>
      <c r="K725" s="2048" t="s">
        <v>2957</v>
      </c>
      <c r="L725" s="21" t="s">
        <v>1428</v>
      </c>
      <c r="M725" s="37">
        <f t="shared" si="98"/>
        <v>4.68767356611249</v>
      </c>
      <c r="N725" s="22">
        <v>13.2879936101272</v>
      </c>
      <c r="O725" s="37">
        <f t="shared" si="99"/>
        <v>2.76718381654139</v>
      </c>
      <c r="P725" s="37"/>
      <c r="Q725" s="37">
        <f t="shared" si="94"/>
        <v>20.7428509927811</v>
      </c>
      <c r="R725" s="219" t="s">
        <v>2854</v>
      </c>
      <c r="S725" s="23" t="s">
        <v>3061</v>
      </c>
      <c r="T725" s="804"/>
      <c r="X725" s="2163"/>
      <c r="AA725" s="839"/>
      <c r="AB725" s="839"/>
      <c r="AC725" s="1940"/>
    </row>
    <row r="726" s="42" customFormat="1" ht="16" hidden="1" customHeight="1" spans="1:29">
      <c r="A726" s="839">
        <v>592</v>
      </c>
      <c r="B726" s="687"/>
      <c r="C726" s="23"/>
      <c r="D726" s="21">
        <v>20241231</v>
      </c>
      <c r="E726" s="21">
        <v>7.17</v>
      </c>
      <c r="F726" s="2132" t="s">
        <v>3065</v>
      </c>
      <c r="G726" s="21" t="s">
        <v>1241</v>
      </c>
      <c r="H726" s="21" t="s">
        <v>1242</v>
      </c>
      <c r="I726" s="690" t="s">
        <v>2970</v>
      </c>
      <c r="J726" s="21" t="s">
        <v>1428</v>
      </c>
      <c r="K726" s="2048">
        <v>145</v>
      </c>
      <c r="L726" s="21" t="s">
        <v>1428</v>
      </c>
      <c r="M726" s="37">
        <f t="shared" si="98"/>
        <v>4.68767356611249</v>
      </c>
      <c r="N726" s="22">
        <v>13.2984812669739</v>
      </c>
      <c r="O726" s="37">
        <f t="shared" si="99"/>
        <v>2.76718381654139</v>
      </c>
      <c r="P726" s="37"/>
      <c r="Q726" s="37">
        <f t="shared" si="94"/>
        <v>165.753338649628</v>
      </c>
      <c r="R726" s="219" t="s">
        <v>2854</v>
      </c>
      <c r="S726" s="23" t="s">
        <v>3066</v>
      </c>
      <c r="T726" s="804"/>
      <c r="X726" s="2163"/>
      <c r="AA726" s="839"/>
      <c r="AB726" s="839"/>
      <c r="AC726" s="1940"/>
    </row>
    <row r="727" s="42" customFormat="1" ht="16" hidden="1" customHeight="1" spans="1:29">
      <c r="A727" s="839">
        <v>593</v>
      </c>
      <c r="B727" s="687"/>
      <c r="C727" s="23"/>
      <c r="D727" s="21">
        <v>20250103</v>
      </c>
      <c r="E727" s="21">
        <v>7.17</v>
      </c>
      <c r="F727" s="2132" t="s">
        <v>3067</v>
      </c>
      <c r="G727" s="21" t="s">
        <v>2449</v>
      </c>
      <c r="H727" s="21"/>
      <c r="I727" s="690" t="s">
        <v>2968</v>
      </c>
      <c r="J727" s="21" t="s">
        <v>1428</v>
      </c>
      <c r="K727" s="2048" t="s">
        <v>2957</v>
      </c>
      <c r="L727" s="21" t="s">
        <v>1428</v>
      </c>
      <c r="M727" s="37">
        <f t="shared" si="98"/>
        <v>4.68767356611249</v>
      </c>
      <c r="N727" s="22">
        <v>13.2608288668707</v>
      </c>
      <c r="O727" s="37">
        <f t="shared" si="99"/>
        <v>2.76718381654139</v>
      </c>
      <c r="P727" s="37"/>
      <c r="Q727" s="37">
        <f t="shared" si="94"/>
        <v>20.7156862495246</v>
      </c>
      <c r="R727" s="219" t="s">
        <v>2854</v>
      </c>
      <c r="S727" s="23" t="s">
        <v>3061</v>
      </c>
      <c r="T727" s="804"/>
      <c r="X727" s="2163"/>
      <c r="AA727" s="839"/>
      <c r="AB727" s="839"/>
      <c r="AC727" s="1940"/>
    </row>
    <row r="728" s="42" customFormat="1" ht="16" hidden="1" customHeight="1" spans="1:29">
      <c r="A728" s="839">
        <v>594</v>
      </c>
      <c r="B728" s="687"/>
      <c r="C728" s="23"/>
      <c r="D728" s="876">
        <v>20250208</v>
      </c>
      <c r="E728" s="21">
        <v>7.17</v>
      </c>
      <c r="F728" s="2132" t="s">
        <v>3068</v>
      </c>
      <c r="G728" s="21" t="s">
        <v>2546</v>
      </c>
      <c r="H728" s="21"/>
      <c r="I728" s="690" t="s">
        <v>2338</v>
      </c>
      <c r="J728" s="21"/>
      <c r="K728" s="2048" t="s">
        <v>1428</v>
      </c>
      <c r="L728" s="21"/>
      <c r="M728" s="37">
        <f t="shared" si="98"/>
        <v>4.68767356611249</v>
      </c>
      <c r="N728" s="22">
        <v>13.2707262359167</v>
      </c>
      <c r="O728" s="37">
        <f t="shared" si="99"/>
        <v>2.76718381654139</v>
      </c>
      <c r="P728" s="37"/>
      <c r="Q728" s="37">
        <f t="shared" si="94"/>
        <v>20.7255836185706</v>
      </c>
      <c r="R728" s="219" t="s">
        <v>2854</v>
      </c>
      <c r="S728" s="23" t="s">
        <v>3069</v>
      </c>
      <c r="T728" s="804"/>
      <c r="X728" s="2163"/>
      <c r="AA728" s="839"/>
      <c r="AB728" s="839"/>
      <c r="AC728" s="1940"/>
    </row>
    <row r="729" s="42" customFormat="1" ht="16" hidden="1" customHeight="1" spans="1:29">
      <c r="A729" s="839">
        <v>595</v>
      </c>
      <c r="B729" s="687"/>
      <c r="C729" s="23"/>
      <c r="D729" s="21">
        <v>20250327</v>
      </c>
      <c r="E729" s="21">
        <v>7.17</v>
      </c>
      <c r="F729" s="2132" t="s">
        <v>3070</v>
      </c>
      <c r="G729" s="21" t="s">
        <v>2306</v>
      </c>
      <c r="H729" s="21"/>
      <c r="I729" s="690" t="s">
        <v>2392</v>
      </c>
      <c r="J729" s="21"/>
      <c r="K729" s="2048">
        <v>70</v>
      </c>
      <c r="L729" s="21"/>
      <c r="M729" s="37">
        <f t="shared" si="98"/>
        <v>4.68767356611249</v>
      </c>
      <c r="N729" s="22">
        <v>10.8314580636138</v>
      </c>
      <c r="O729" s="37">
        <f t="shared" si="99"/>
        <v>2.76718381654139</v>
      </c>
      <c r="P729" s="37"/>
      <c r="Q729" s="37">
        <f t="shared" si="94"/>
        <v>88.2863154462677</v>
      </c>
      <c r="R729" s="219" t="s">
        <v>2854</v>
      </c>
      <c r="S729" s="23" t="s">
        <v>3071</v>
      </c>
      <c r="T729" s="804"/>
      <c r="X729" s="2163"/>
      <c r="AA729" s="839"/>
      <c r="AB729" s="839"/>
      <c r="AC729" s="1940"/>
    </row>
    <row r="730" s="42" customFormat="1" ht="16" hidden="1" customHeight="1" spans="1:29">
      <c r="A730" s="839">
        <v>596</v>
      </c>
      <c r="B730" s="687"/>
      <c r="C730" s="23"/>
      <c r="D730" s="21">
        <v>20250327</v>
      </c>
      <c r="E730" s="21">
        <v>6.8309</v>
      </c>
      <c r="F730" s="2132" t="s">
        <v>3072</v>
      </c>
      <c r="G730" s="21" t="s">
        <v>2431</v>
      </c>
      <c r="H730" s="21"/>
      <c r="I730" s="690" t="s">
        <v>2982</v>
      </c>
      <c r="J730" s="21"/>
      <c r="K730" s="2048">
        <v>100</v>
      </c>
      <c r="L730" s="21"/>
      <c r="M730" s="154">
        <f>39.63/E730/1.13</f>
        <v>5.1341399318065</v>
      </c>
      <c r="N730" s="727">
        <v>12.4</v>
      </c>
      <c r="O730" s="154">
        <f t="shared" si="99"/>
        <v>2.90455254279843</v>
      </c>
      <c r="P730" s="154"/>
      <c r="Q730" s="154">
        <f>SUM(M730:O730)</f>
        <v>20.4386924746049</v>
      </c>
      <c r="R730" s="219" t="s">
        <v>2854</v>
      </c>
      <c r="S730" s="687" t="s">
        <v>3073</v>
      </c>
      <c r="T730" s="804"/>
      <c r="X730" s="2163"/>
      <c r="AA730" s="839"/>
      <c r="AB730" s="839"/>
      <c r="AC730" s="1940"/>
    </row>
    <row r="731" s="42" customFormat="1" ht="16" hidden="1" customHeight="1" spans="1:29">
      <c r="A731" s="839">
        <v>597</v>
      </c>
      <c r="B731" s="687"/>
      <c r="C731" s="23"/>
      <c r="D731" s="21">
        <v>20250327</v>
      </c>
      <c r="E731" s="21">
        <v>7.17</v>
      </c>
      <c r="F731" s="2132" t="s">
        <v>3074</v>
      </c>
      <c r="G731" s="21" t="s">
        <v>1667</v>
      </c>
      <c r="H731" s="21"/>
      <c r="I731" s="690" t="s">
        <v>2477</v>
      </c>
      <c r="J731" s="21"/>
      <c r="K731" s="2048">
        <v>150</v>
      </c>
      <c r="L731" s="21"/>
      <c r="M731" s="37">
        <f t="shared" ref="M731:M733" si="100">37.98/E731/1.13</f>
        <v>4.68767356611249</v>
      </c>
      <c r="N731" s="22">
        <v>13.2635357293269</v>
      </c>
      <c r="O731" s="37">
        <f t="shared" si="99"/>
        <v>2.76718381654139</v>
      </c>
      <c r="P731" s="37"/>
      <c r="Q731" s="37">
        <f t="shared" ref="Q731:Q735" si="101">SUM(K731:O731)</f>
        <v>170.718393111981</v>
      </c>
      <c r="R731" s="219" t="s">
        <v>2854</v>
      </c>
      <c r="S731" s="23" t="s">
        <v>3075</v>
      </c>
      <c r="T731" s="804"/>
      <c r="X731" s="2163"/>
      <c r="AA731" s="839"/>
      <c r="AB731" s="839"/>
      <c r="AC731" s="1940"/>
    </row>
    <row r="732" s="42" customFormat="1" ht="16" hidden="1" customHeight="1" spans="1:29">
      <c r="A732" s="839">
        <v>598</v>
      </c>
      <c r="B732" s="687"/>
      <c r="C732" s="23"/>
      <c r="D732" s="21">
        <v>20250327</v>
      </c>
      <c r="E732" s="21">
        <v>7.17</v>
      </c>
      <c r="F732" s="2132" t="s">
        <v>3076</v>
      </c>
      <c r="G732" s="21" t="s">
        <v>1558</v>
      </c>
      <c r="H732" s="21"/>
      <c r="I732" s="690" t="s">
        <v>2392</v>
      </c>
      <c r="J732" s="21"/>
      <c r="K732" s="2048">
        <v>70</v>
      </c>
      <c r="L732" s="21"/>
      <c r="M732" s="37">
        <f t="shared" si="100"/>
        <v>4.68767356611249</v>
      </c>
      <c r="N732" s="22">
        <v>11.9149760201327</v>
      </c>
      <c r="O732" s="37">
        <f t="shared" si="99"/>
        <v>2.76718381654139</v>
      </c>
      <c r="P732" s="37"/>
      <c r="Q732" s="37">
        <f t="shared" si="101"/>
        <v>89.3698334027866</v>
      </c>
      <c r="R732" s="219" t="s">
        <v>2854</v>
      </c>
      <c r="S732" s="23" t="s">
        <v>3073</v>
      </c>
      <c r="T732" s="804"/>
      <c r="X732" s="2163"/>
      <c r="AA732" s="839"/>
      <c r="AB732" s="839"/>
      <c r="AC732" s="1940"/>
    </row>
    <row r="733" s="42" customFormat="1" ht="16" hidden="1" customHeight="1" spans="1:29">
      <c r="A733" s="839">
        <v>599</v>
      </c>
      <c r="B733" s="687"/>
      <c r="C733" s="23"/>
      <c r="D733" s="21">
        <v>20250429</v>
      </c>
      <c r="E733" s="21">
        <v>7.17</v>
      </c>
      <c r="F733" s="2132" t="s">
        <v>3077</v>
      </c>
      <c r="G733" s="21" t="s">
        <v>2311</v>
      </c>
      <c r="H733" s="21"/>
      <c r="I733" s="690" t="s">
        <v>2982</v>
      </c>
      <c r="J733" s="21"/>
      <c r="K733" s="2048">
        <v>100</v>
      </c>
      <c r="L733" s="21"/>
      <c r="M733" s="37">
        <f t="shared" si="100"/>
        <v>4.68767356611249</v>
      </c>
      <c r="N733" s="22">
        <v>11.7073186882589</v>
      </c>
      <c r="O733" s="37">
        <f t="shared" si="99"/>
        <v>2.76718381654139</v>
      </c>
      <c r="P733" s="37"/>
      <c r="Q733" s="37">
        <f t="shared" si="101"/>
        <v>119.162176070913</v>
      </c>
      <c r="R733" s="219" t="s">
        <v>2854</v>
      </c>
      <c r="S733" s="23" t="s">
        <v>3078</v>
      </c>
      <c r="T733" s="804"/>
      <c r="X733" s="2163"/>
      <c r="AA733" s="839"/>
      <c r="AB733" s="839"/>
      <c r="AC733" s="1940"/>
    </row>
    <row r="734" s="42" customFormat="1" ht="16" hidden="1" customHeight="1" spans="1:29">
      <c r="A734" s="839"/>
      <c r="B734" s="687"/>
      <c r="C734" s="23"/>
      <c r="D734" s="21"/>
      <c r="E734" s="21">
        <v>6.78</v>
      </c>
      <c r="F734" s="2206" t="s">
        <v>3079</v>
      </c>
      <c r="G734" s="2207"/>
      <c r="H734" s="2207"/>
      <c r="I734" s="2208"/>
      <c r="J734" s="2207" t="s">
        <v>1428</v>
      </c>
      <c r="K734" s="2209" t="s">
        <v>712</v>
      </c>
      <c r="L734" s="2207" t="s">
        <v>1428</v>
      </c>
      <c r="M734" s="2210">
        <f>52.18/E734/1.13*1.1</f>
        <v>7.49184222204819</v>
      </c>
      <c r="N734" s="2211">
        <v>16.3</v>
      </c>
      <c r="O734" s="2210">
        <f t="shared" si="99"/>
        <v>2.92635810687342</v>
      </c>
      <c r="P734" s="2210"/>
      <c r="Q734" s="2210">
        <f t="shared" si="101"/>
        <v>26.7182003289216</v>
      </c>
      <c r="R734" s="219"/>
      <c r="S734" s="23"/>
      <c r="T734" s="804"/>
      <c r="X734" s="2163"/>
      <c r="AA734" s="839"/>
      <c r="AB734" s="839"/>
      <c r="AC734" s="1940"/>
    </row>
    <row r="735" s="42" customFormat="1" ht="16" hidden="1" customHeight="1" spans="1:29">
      <c r="A735" s="839"/>
      <c r="B735" s="687"/>
      <c r="C735" s="23"/>
      <c r="D735" s="21"/>
      <c r="E735" s="21">
        <v>6.78</v>
      </c>
      <c r="F735" s="2125" t="s">
        <v>3080</v>
      </c>
      <c r="G735" s="153"/>
      <c r="H735" s="153"/>
      <c r="I735" s="152"/>
      <c r="J735" s="153" t="s">
        <v>1428</v>
      </c>
      <c r="K735" s="2048" t="s">
        <v>712</v>
      </c>
      <c r="L735" s="153" t="s">
        <v>1428</v>
      </c>
      <c r="M735" s="154">
        <f>52/6.7/1.13*1.1</f>
        <v>7.55514463082816</v>
      </c>
      <c r="N735" s="727">
        <v>16.7</v>
      </c>
      <c r="O735" s="154">
        <f t="shared" si="99"/>
        <v>2.92635810687342</v>
      </c>
      <c r="P735" s="154"/>
      <c r="Q735" s="154">
        <f t="shared" si="101"/>
        <v>27.1815027377016</v>
      </c>
      <c r="R735" s="219"/>
      <c r="S735" s="23"/>
      <c r="T735" s="804"/>
      <c r="X735" s="2163"/>
      <c r="AA735" s="839"/>
      <c r="AB735" s="839"/>
      <c r="AC735" s="1940"/>
    </row>
    <row r="736" s="42" customFormat="1" ht="16" hidden="1" customHeight="1" spans="1:29">
      <c r="A736" s="839">
        <v>600</v>
      </c>
      <c r="B736" s="687"/>
      <c r="C736" s="23"/>
      <c r="D736" s="1149">
        <v>46261</v>
      </c>
      <c r="E736" s="21">
        <v>6.73</v>
      </c>
      <c r="F736" s="2125" t="s">
        <v>3081</v>
      </c>
      <c r="G736" s="2207" t="s">
        <v>2314</v>
      </c>
      <c r="H736" s="2207"/>
      <c r="I736" s="2208" t="s">
        <v>2982</v>
      </c>
      <c r="J736" s="153" t="s">
        <v>1428</v>
      </c>
      <c r="K736" s="2048" t="s">
        <v>712</v>
      </c>
      <c r="L736" s="153" t="s">
        <v>1428</v>
      </c>
      <c r="M736" s="154">
        <f>59.28/E736/1.13</f>
        <v>7.79497429289011</v>
      </c>
      <c r="N736" s="727">
        <v>15.3</v>
      </c>
      <c r="O736" s="154">
        <f t="shared" si="99"/>
        <v>2.94809925179818</v>
      </c>
      <c r="P736" s="154"/>
      <c r="Q736" s="154">
        <f>SUBTOTAL(109,M736:O736)</f>
        <v>0</v>
      </c>
      <c r="R736" s="219" t="s">
        <v>2854</v>
      </c>
      <c r="S736" s="23" t="s">
        <v>3078</v>
      </c>
      <c r="T736" s="804"/>
      <c r="X736" s="2163"/>
      <c r="AA736" s="839"/>
      <c r="AB736" s="839"/>
      <c r="AC736" s="1940"/>
    </row>
    <row r="737" s="42" customFormat="1" ht="16" hidden="1" customHeight="1" spans="1:29">
      <c r="A737" s="839">
        <v>601</v>
      </c>
      <c r="B737" s="687"/>
      <c r="C737" s="23"/>
      <c r="D737" s="21">
        <v>20250429</v>
      </c>
      <c r="E737" s="21">
        <v>7.17</v>
      </c>
      <c r="F737" s="2132" t="s">
        <v>3082</v>
      </c>
      <c r="G737" s="21" t="s">
        <v>2459</v>
      </c>
      <c r="H737" s="21"/>
      <c r="I737" s="690" t="s">
        <v>2358</v>
      </c>
      <c r="J737" s="21"/>
      <c r="K737" s="2048">
        <v>145</v>
      </c>
      <c r="L737" s="21"/>
      <c r="M737" s="37">
        <f>37.98/E737/1.13*1.1</f>
        <v>5.15644092272374</v>
      </c>
      <c r="N737" s="22">
        <v>13.0587139039939</v>
      </c>
      <c r="O737" s="37">
        <f t="shared" si="99"/>
        <v>2.76718381654139</v>
      </c>
      <c r="P737" s="37"/>
      <c r="Q737" s="37">
        <f t="shared" ref="Q737:Q748" si="102">SUM(K737:O737)</f>
        <v>165.982338643259</v>
      </c>
      <c r="R737" s="219" t="s">
        <v>2854</v>
      </c>
      <c r="S737" s="23" t="s">
        <v>3083</v>
      </c>
      <c r="T737" s="804"/>
      <c r="X737" s="2163"/>
      <c r="AA737" s="839"/>
      <c r="AB737" s="839"/>
      <c r="AC737" s="1940"/>
    </row>
    <row r="738" s="42" customFormat="1" ht="16" hidden="1" customHeight="1" spans="1:29">
      <c r="A738" s="839">
        <v>602</v>
      </c>
      <c r="B738" s="687"/>
      <c r="C738" s="23"/>
      <c r="D738" s="21">
        <v>20250804</v>
      </c>
      <c r="E738" s="21">
        <v>7.17</v>
      </c>
      <c r="F738" s="2132" t="s">
        <v>3084</v>
      </c>
      <c r="G738" s="21" t="s">
        <v>1723</v>
      </c>
      <c r="H738" s="21"/>
      <c r="I738" s="690" t="s">
        <v>2392</v>
      </c>
      <c r="J738" s="21"/>
      <c r="K738" s="2048">
        <v>70</v>
      </c>
      <c r="L738" s="21"/>
      <c r="M738" s="37">
        <f t="shared" ref="M738:M743" si="103">37.98/E738/1.13</f>
        <v>4.68767356611249</v>
      </c>
      <c r="N738" s="22">
        <v>11.4929805295072</v>
      </c>
      <c r="O738" s="37">
        <f t="shared" si="99"/>
        <v>2.76718381654139</v>
      </c>
      <c r="P738" s="37"/>
      <c r="Q738" s="37">
        <f t="shared" si="102"/>
        <v>88.9478379121611</v>
      </c>
      <c r="R738" s="219" t="s">
        <v>2854</v>
      </c>
      <c r="S738" s="23" t="s">
        <v>3085</v>
      </c>
      <c r="T738" s="804"/>
      <c r="X738" s="2163"/>
      <c r="AA738" s="839"/>
      <c r="AB738" s="839"/>
      <c r="AC738" s="1940"/>
    </row>
    <row r="739" s="42" customFormat="1" ht="16" hidden="1" customHeight="1" spans="1:29">
      <c r="A739" s="839">
        <v>603</v>
      </c>
      <c r="B739" s="687"/>
      <c r="C739" s="23"/>
      <c r="D739" s="21">
        <v>20250804</v>
      </c>
      <c r="E739" s="21">
        <v>7.17</v>
      </c>
      <c r="F739" s="2132" t="s">
        <v>3086</v>
      </c>
      <c r="G739" s="21" t="s">
        <v>1587</v>
      </c>
      <c r="H739" s="21"/>
      <c r="I739" s="690" t="s">
        <v>3087</v>
      </c>
      <c r="J739" s="21"/>
      <c r="K739" s="2048">
        <v>125</v>
      </c>
      <c r="L739" s="21"/>
      <c r="M739" s="37">
        <f t="shared" si="103"/>
        <v>4.68767356611249</v>
      </c>
      <c r="N739" s="22">
        <v>13.9087672277743</v>
      </c>
      <c r="O739" s="37">
        <f t="shared" si="99"/>
        <v>2.76718381654139</v>
      </c>
      <c r="P739" s="37"/>
      <c r="Q739" s="37">
        <f t="shared" si="102"/>
        <v>146.363624610428</v>
      </c>
      <c r="R739" s="219" t="s">
        <v>2854</v>
      </c>
      <c r="S739" s="23" t="s">
        <v>3088</v>
      </c>
      <c r="T739" s="804"/>
      <c r="X739" s="2163"/>
      <c r="AA739" s="839"/>
      <c r="AB739" s="839"/>
      <c r="AC739" s="1940"/>
    </row>
    <row r="740" s="42" customFormat="1" ht="16" hidden="1" customHeight="1" spans="1:29">
      <c r="A740" s="839">
        <v>604</v>
      </c>
      <c r="B740" s="687"/>
      <c r="C740" s="23"/>
      <c r="D740" s="21">
        <v>20250804</v>
      </c>
      <c r="E740" s="21">
        <v>7.17</v>
      </c>
      <c r="F740" s="2132" t="s">
        <v>3089</v>
      </c>
      <c r="G740" s="21" t="s">
        <v>1591</v>
      </c>
      <c r="H740" s="21"/>
      <c r="I740" s="690" t="s">
        <v>3090</v>
      </c>
      <c r="J740" s="21"/>
      <c r="K740" s="2048">
        <v>145</v>
      </c>
      <c r="L740" s="21"/>
      <c r="M740" s="37">
        <f t="shared" si="103"/>
        <v>4.68767356611249</v>
      </c>
      <c r="N740" s="22">
        <v>13.877525062369</v>
      </c>
      <c r="O740" s="37">
        <f t="shared" si="99"/>
        <v>2.76718381654139</v>
      </c>
      <c r="P740" s="37"/>
      <c r="Q740" s="37">
        <f t="shared" si="102"/>
        <v>166.332382445023</v>
      </c>
      <c r="R740" s="219" t="s">
        <v>2854</v>
      </c>
      <c r="S740" s="23" t="s">
        <v>3091</v>
      </c>
      <c r="T740" s="804"/>
      <c r="X740" s="2163"/>
      <c r="AA740" s="839"/>
      <c r="AB740" s="839"/>
      <c r="AC740" s="1940"/>
    </row>
    <row r="741" s="839" customFormat="1" ht="16" hidden="1" customHeight="1" spans="1:29">
      <c r="A741" s="839">
        <v>605</v>
      </c>
      <c r="B741" s="687"/>
      <c r="C741" s="23"/>
      <c r="D741" s="21">
        <v>20250822</v>
      </c>
      <c r="E741" s="21">
        <v>7.17</v>
      </c>
      <c r="F741" s="2132" t="s">
        <v>3092</v>
      </c>
      <c r="G741" s="21" t="s">
        <v>1593</v>
      </c>
      <c r="H741" s="21"/>
      <c r="I741" s="690" t="s">
        <v>2982</v>
      </c>
      <c r="J741" s="21"/>
      <c r="K741" s="2048">
        <v>100</v>
      </c>
      <c r="L741" s="21"/>
      <c r="M741" s="37">
        <f t="shared" si="103"/>
        <v>4.68767356611249</v>
      </c>
      <c r="N741" s="22">
        <v>11.4754222919021</v>
      </c>
      <c r="O741" s="37">
        <f t="shared" si="99"/>
        <v>2.76718381654139</v>
      </c>
      <c r="P741" s="37"/>
      <c r="Q741" s="37">
        <f t="shared" si="102"/>
        <v>118.930279674556</v>
      </c>
      <c r="R741" s="219" t="s">
        <v>2854</v>
      </c>
      <c r="S741" s="23" t="s">
        <v>3093</v>
      </c>
      <c r="T741" s="804"/>
      <c r="X741" s="1940"/>
      <c r="AC741" s="1940"/>
    </row>
    <row r="742" s="839" customFormat="1" ht="16" hidden="1" customHeight="1" spans="1:29">
      <c r="A742" s="839">
        <v>606</v>
      </c>
      <c r="B742" s="687"/>
      <c r="C742" s="23"/>
      <c r="D742" s="21">
        <v>20250822</v>
      </c>
      <c r="E742" s="21">
        <v>7.17</v>
      </c>
      <c r="F742" s="2132" t="s">
        <v>1699</v>
      </c>
      <c r="G742" s="21" t="s">
        <v>1525</v>
      </c>
      <c r="H742" s="21"/>
      <c r="I742" s="690" t="s">
        <v>3090</v>
      </c>
      <c r="J742" s="21"/>
      <c r="K742" s="2048">
        <v>145</v>
      </c>
      <c r="L742" s="21"/>
      <c r="M742" s="37">
        <f t="shared" si="103"/>
        <v>4.68767356611249</v>
      </c>
      <c r="N742" s="22">
        <v>13.9886761402784</v>
      </c>
      <c r="O742" s="37">
        <f t="shared" si="99"/>
        <v>2.76718381654139</v>
      </c>
      <c r="P742" s="37"/>
      <c r="Q742" s="37">
        <f t="shared" si="102"/>
        <v>166.443533522932</v>
      </c>
      <c r="R742" s="219" t="s">
        <v>2854</v>
      </c>
      <c r="S742" s="23" t="s">
        <v>3094</v>
      </c>
      <c r="T742" s="804"/>
      <c r="X742" s="1940"/>
      <c r="AC742" s="1940"/>
    </row>
    <row r="743" s="839" customFormat="1" ht="16" hidden="1" customHeight="1" spans="1:29">
      <c r="A743" s="839">
        <v>607</v>
      </c>
      <c r="B743" s="687"/>
      <c r="C743" s="23"/>
      <c r="D743" s="153">
        <v>20250811</v>
      </c>
      <c r="E743" s="153">
        <v>7.17</v>
      </c>
      <c r="F743" s="2132" t="s">
        <v>3095</v>
      </c>
      <c r="G743" s="21" t="s">
        <v>2081</v>
      </c>
      <c r="H743" s="21"/>
      <c r="I743" s="690" t="s">
        <v>3096</v>
      </c>
      <c r="J743" s="21" t="s">
        <v>3097</v>
      </c>
      <c r="K743" s="2048">
        <v>100</v>
      </c>
      <c r="L743" s="22">
        <f>13.2/E743/1.13</f>
        <v>1.62920724256674</v>
      </c>
      <c r="M743" s="37">
        <f t="shared" si="103"/>
        <v>4.68767356611249</v>
      </c>
      <c r="N743" s="22">
        <v>10.3223595055504</v>
      </c>
      <c r="O743" s="37">
        <f t="shared" si="99"/>
        <v>2.76718381654139</v>
      </c>
      <c r="P743" s="37"/>
      <c r="Q743" s="37">
        <f t="shared" si="102"/>
        <v>119.406424130771</v>
      </c>
      <c r="R743" s="219" t="s">
        <v>2854</v>
      </c>
      <c r="S743" s="23" t="s">
        <v>3098</v>
      </c>
      <c r="T743" s="1764"/>
      <c r="U743" s="1764"/>
      <c r="X743" s="1940"/>
      <c r="AC743" s="1940"/>
    </row>
    <row r="744" s="42" customFormat="1" ht="16" hidden="1" customHeight="1" spans="1:29">
      <c r="A744" s="839">
        <v>608</v>
      </c>
      <c r="B744" s="687"/>
      <c r="C744" s="23"/>
      <c r="D744" s="21">
        <v>20250324</v>
      </c>
      <c r="E744" s="21">
        <v>7.17</v>
      </c>
      <c r="F744" s="2132" t="s">
        <v>456</v>
      </c>
      <c r="G744" s="21" t="s">
        <v>457</v>
      </c>
      <c r="H744" s="21"/>
      <c r="I744" s="690"/>
      <c r="J744" s="21"/>
      <c r="K744" s="2048"/>
      <c r="L744" s="21"/>
      <c r="M744" s="37">
        <v>0.357433381812804</v>
      </c>
      <c r="N744" s="22">
        <v>2.14475132124719</v>
      </c>
      <c r="O744" s="37">
        <v>0.4</v>
      </c>
      <c r="P744" s="37"/>
      <c r="Q744" s="37">
        <f t="shared" si="102"/>
        <v>2.90218470305999</v>
      </c>
      <c r="R744" s="219"/>
      <c r="S744" s="23" t="s">
        <v>2842</v>
      </c>
      <c r="T744" s="804"/>
      <c r="X744" s="2163"/>
      <c r="AA744" s="839"/>
      <c r="AB744" s="839"/>
      <c r="AC744" s="1940"/>
    </row>
    <row r="745" s="42" customFormat="1" ht="16" hidden="1" customHeight="1" spans="1:29">
      <c r="A745" s="839">
        <v>609</v>
      </c>
      <c r="B745" s="687"/>
      <c r="C745" s="23"/>
      <c r="D745" s="21">
        <v>20250418</v>
      </c>
      <c r="E745" s="21"/>
      <c r="F745" s="2132" t="s">
        <v>458</v>
      </c>
      <c r="G745" s="21" t="s">
        <v>459</v>
      </c>
      <c r="H745" s="21"/>
      <c r="I745" s="690"/>
      <c r="J745" s="21"/>
      <c r="K745" s="2048"/>
      <c r="L745" s="21"/>
      <c r="M745" s="37">
        <v>0.353494721958117</v>
      </c>
      <c r="N745" s="22">
        <v>2.21371073046442</v>
      </c>
      <c r="O745" s="37">
        <v>0.4</v>
      </c>
      <c r="P745" s="37"/>
      <c r="Q745" s="37">
        <f t="shared" si="102"/>
        <v>2.96720545242254</v>
      </c>
      <c r="R745" s="219"/>
      <c r="S745" s="23" t="s">
        <v>2842</v>
      </c>
      <c r="T745" s="804"/>
      <c r="X745" s="2163"/>
      <c r="AA745" s="839"/>
      <c r="AB745" s="839"/>
      <c r="AC745" s="1940"/>
    </row>
    <row r="746" s="42" customFormat="1" ht="16" hidden="1" customHeight="1" spans="1:29">
      <c r="A746" s="839">
        <v>610</v>
      </c>
      <c r="B746" s="687"/>
      <c r="C746" s="23"/>
      <c r="D746" s="21">
        <v>20250418</v>
      </c>
      <c r="E746" s="21">
        <v>7.17</v>
      </c>
      <c r="F746" s="2132" t="s">
        <v>460</v>
      </c>
      <c r="G746" s="21" t="s">
        <v>461</v>
      </c>
      <c r="H746" s="21"/>
      <c r="I746" s="690"/>
      <c r="J746" s="21"/>
      <c r="K746" s="2048"/>
      <c r="L746" s="36"/>
      <c r="M746" s="37">
        <v>0.35275319567355</v>
      </c>
      <c r="N746" s="22">
        <v>2.23582749248649</v>
      </c>
      <c r="O746" s="37">
        <v>0.4</v>
      </c>
      <c r="P746" s="37"/>
      <c r="Q746" s="37">
        <f t="shared" si="102"/>
        <v>2.98858068816004</v>
      </c>
      <c r="R746" s="219"/>
      <c r="S746" s="23" t="s">
        <v>2842</v>
      </c>
      <c r="T746" s="804"/>
      <c r="X746" s="2163"/>
      <c r="AA746" s="839"/>
      <c r="AB746" s="839"/>
      <c r="AC746" s="1940"/>
    </row>
    <row r="747" s="839" customFormat="1" ht="16" hidden="1" customHeight="1" spans="1:29">
      <c r="A747" s="839">
        <v>611</v>
      </c>
      <c r="B747" s="687"/>
      <c r="C747" s="23"/>
      <c r="D747" s="21">
        <v>20250731</v>
      </c>
      <c r="E747" s="21">
        <v>7.17</v>
      </c>
      <c r="F747" s="2132" t="s">
        <v>462</v>
      </c>
      <c r="G747" s="21" t="s">
        <v>463</v>
      </c>
      <c r="H747" s="21"/>
      <c r="I747" s="690"/>
      <c r="J747" s="21"/>
      <c r="K747" s="2048"/>
      <c r="L747" s="36"/>
      <c r="M747" s="37">
        <v>0.366571629577517</v>
      </c>
      <c r="N747" s="22">
        <v>2.23582749248649</v>
      </c>
      <c r="O747" s="37">
        <v>0.4</v>
      </c>
      <c r="P747" s="37"/>
      <c r="Q747" s="37">
        <f t="shared" si="102"/>
        <v>3.00239912206401</v>
      </c>
      <c r="R747" s="219"/>
      <c r="S747" s="23" t="s">
        <v>2842</v>
      </c>
      <c r="T747" s="804"/>
      <c r="X747" s="1940"/>
      <c r="AC747" s="1940"/>
    </row>
    <row r="748" s="42" customFormat="1" ht="16" hidden="1" customHeight="1" spans="1:29">
      <c r="A748" s="839">
        <v>612</v>
      </c>
      <c r="B748" s="687"/>
      <c r="C748" s="23"/>
      <c r="D748" s="21"/>
      <c r="E748" s="21"/>
      <c r="F748" s="2130" t="s">
        <v>1979</v>
      </c>
      <c r="G748" s="21" t="s">
        <v>464</v>
      </c>
      <c r="H748" s="21"/>
      <c r="I748" s="690"/>
      <c r="J748" s="21"/>
      <c r="K748" s="2048"/>
      <c r="L748" s="21"/>
      <c r="M748" s="37">
        <v>0.310963618485742</v>
      </c>
      <c r="N748" s="22">
        <v>2.0671348299705</v>
      </c>
      <c r="O748" s="37">
        <v>0.4</v>
      </c>
      <c r="P748" s="37"/>
      <c r="Q748" s="37">
        <f t="shared" si="102"/>
        <v>2.77809844845624</v>
      </c>
      <c r="R748" s="219"/>
      <c r="S748" s="23" t="s">
        <v>2842</v>
      </c>
      <c r="T748" s="804"/>
      <c r="X748" s="2163"/>
      <c r="AA748" s="839"/>
      <c r="AB748" s="839"/>
      <c r="AC748" s="1940"/>
    </row>
    <row r="749" s="42" customFormat="1" ht="16" hidden="1" customHeight="1" spans="1:29">
      <c r="A749" s="839"/>
      <c r="B749" s="687" t="s">
        <v>3099</v>
      </c>
      <c r="C749" s="23"/>
      <c r="D749" s="21"/>
      <c r="E749" s="21">
        <v>6.7</v>
      </c>
      <c r="F749" s="2198" t="s">
        <v>3100</v>
      </c>
      <c r="G749" s="21"/>
      <c r="H749" s="21"/>
      <c r="I749" s="690"/>
      <c r="J749" s="153" t="s">
        <v>1428</v>
      </c>
      <c r="K749" s="2048" t="s">
        <v>712</v>
      </c>
      <c r="L749" s="153" t="s">
        <v>1428</v>
      </c>
      <c r="M749" s="154">
        <f>64.1/E749/1.13</f>
        <v>8.46651697265883</v>
      </c>
      <c r="N749" s="727">
        <v>17.1</v>
      </c>
      <c r="O749" s="154">
        <f>22/6.7</f>
        <v>3.28358208955224</v>
      </c>
      <c r="P749" s="154"/>
      <c r="Q749" s="154">
        <f>O749+N749+M749</f>
        <v>28.8500990622111</v>
      </c>
      <c r="R749" s="219"/>
      <c r="S749" s="23"/>
      <c r="T749" s="804"/>
      <c r="X749" s="2163"/>
      <c r="AA749" s="839"/>
      <c r="AB749" s="839"/>
      <c r="AC749" s="1940"/>
    </row>
    <row r="750" s="42" customFormat="1" ht="16" hidden="1" customHeight="1" spans="1:29">
      <c r="A750" s="839"/>
      <c r="B750" s="687" t="s">
        <v>3099</v>
      </c>
      <c r="C750" s="687"/>
      <c r="D750" s="153"/>
      <c r="E750" s="153">
        <v>6.7</v>
      </c>
      <c r="F750" s="2198" t="s">
        <v>3101</v>
      </c>
      <c r="G750" s="21"/>
      <c r="H750" s="21"/>
      <c r="I750" s="21"/>
      <c r="J750" s="153" t="s">
        <v>1428</v>
      </c>
      <c r="K750" s="2048" t="s">
        <v>712</v>
      </c>
      <c r="L750" s="153" t="s">
        <v>1428</v>
      </c>
      <c r="M750" s="727">
        <f>4.2/6.7/1.13+2000/1000/6.7/1.13</f>
        <v>0.818914278166689</v>
      </c>
      <c r="N750" s="727">
        <v>1.8</v>
      </c>
      <c r="O750" s="154">
        <v>0.2</v>
      </c>
      <c r="P750" s="154"/>
      <c r="Q750" s="154">
        <f>O750+N750+M750</f>
        <v>2.81891427816669</v>
      </c>
      <c r="R750" s="219"/>
      <c r="S750" s="20"/>
      <c r="T750" s="805"/>
      <c r="U750" s="120"/>
      <c r="X750" s="2163"/>
      <c r="AA750" s="839"/>
      <c r="AB750" s="839"/>
      <c r="AC750" s="1940"/>
    </row>
    <row r="751" s="42" customFormat="1" ht="16" hidden="1" customHeight="1" spans="1:29">
      <c r="A751" s="839">
        <v>613</v>
      </c>
      <c r="B751" s="23" t="s">
        <v>469</v>
      </c>
      <c r="C751" s="23"/>
      <c r="D751" s="21"/>
      <c r="E751" s="21"/>
      <c r="F751" s="2130" t="s">
        <v>1979</v>
      </c>
      <c r="G751" s="21" t="s">
        <v>3102</v>
      </c>
      <c r="H751" s="21"/>
      <c r="I751" s="21" t="s">
        <v>3103</v>
      </c>
      <c r="J751" s="21" t="s">
        <v>1428</v>
      </c>
      <c r="K751" s="2048">
        <v>70</v>
      </c>
      <c r="L751" s="36" t="s">
        <v>1428</v>
      </c>
      <c r="M751" s="22">
        <v>0.55</v>
      </c>
      <c r="N751" s="22">
        <v>8.57142857142857</v>
      </c>
      <c r="O751" s="37">
        <v>0.4</v>
      </c>
      <c r="P751" s="37"/>
      <c r="Q751" s="37">
        <f t="shared" ref="Q751:Q814" si="104">SUM(K751:O751)</f>
        <v>79.5214285714286</v>
      </c>
      <c r="R751" s="219"/>
      <c r="S751" s="20"/>
      <c r="T751" s="805"/>
      <c r="U751" s="120" t="s">
        <v>1406</v>
      </c>
      <c r="X751" s="2163"/>
      <c r="AA751" s="839"/>
      <c r="AB751" s="839"/>
      <c r="AC751" s="1940"/>
    </row>
    <row r="752" s="42" customFormat="1" ht="16" hidden="1" customHeight="1" spans="1:29">
      <c r="A752" s="839">
        <v>614</v>
      </c>
      <c r="B752" s="23"/>
      <c r="C752" s="23"/>
      <c r="D752" s="21"/>
      <c r="E752" s="21"/>
      <c r="F752" s="2130" t="s">
        <v>1979</v>
      </c>
      <c r="G752" s="21" t="s">
        <v>471</v>
      </c>
      <c r="H752" s="21"/>
      <c r="I752" s="21"/>
      <c r="J752" s="21"/>
      <c r="K752" s="2048"/>
      <c r="L752" s="36"/>
      <c r="M752" s="22">
        <v>0.675188462799082</v>
      </c>
      <c r="N752" s="22">
        <v>1.56272654587021</v>
      </c>
      <c r="O752" s="37">
        <v>0.2</v>
      </c>
      <c r="P752" s="37"/>
      <c r="Q752" s="37">
        <f t="shared" si="104"/>
        <v>2.43791500866929</v>
      </c>
      <c r="R752" s="219"/>
      <c r="S752" s="20"/>
      <c r="T752" s="805"/>
      <c r="U752" s="120"/>
      <c r="X752" s="2163"/>
      <c r="AA752" s="839"/>
      <c r="AB752" s="839"/>
      <c r="AC752" s="1940"/>
    </row>
    <row r="753" s="42" customFormat="1" ht="16" hidden="1" customHeight="1" spans="1:29">
      <c r="A753" s="839"/>
      <c r="B753" s="687"/>
      <c r="C753" s="23"/>
      <c r="D753" s="21"/>
      <c r="E753" s="21">
        <v>6.7</v>
      </c>
      <c r="F753" s="2212" t="s">
        <v>3104</v>
      </c>
      <c r="G753" s="21"/>
      <c r="H753" s="21"/>
      <c r="I753" s="21"/>
      <c r="J753" s="153" t="s">
        <v>1428</v>
      </c>
      <c r="K753" s="2048" t="s">
        <v>712</v>
      </c>
      <c r="L753" s="153" t="s">
        <v>1428</v>
      </c>
      <c r="M753" s="727">
        <f>46.78/E753/1.13</f>
        <v>6.17884031171576</v>
      </c>
      <c r="N753" s="727">
        <v>20.5</v>
      </c>
      <c r="O753" s="154">
        <f>22.42/E753/1.13</f>
        <v>2.96129969620922</v>
      </c>
      <c r="P753" s="154"/>
      <c r="Q753" s="154">
        <f t="shared" si="104"/>
        <v>29.640140007925</v>
      </c>
      <c r="R753" s="219"/>
      <c r="S753" s="20"/>
      <c r="T753" s="805"/>
      <c r="U753" s="120"/>
      <c r="X753" s="2163"/>
      <c r="AA753" s="839"/>
      <c r="AB753" s="839"/>
      <c r="AC753" s="1940"/>
    </row>
    <row r="754" s="42" customFormat="1" ht="16" hidden="1" customHeight="1" spans="1:29">
      <c r="A754" s="839">
        <v>615</v>
      </c>
      <c r="B754" s="23"/>
      <c r="C754" s="23"/>
      <c r="D754" s="21">
        <v>20241018</v>
      </c>
      <c r="E754" s="21">
        <v>7.17</v>
      </c>
      <c r="F754" s="2132" t="s">
        <v>472</v>
      </c>
      <c r="G754" s="21" t="s">
        <v>473</v>
      </c>
      <c r="H754" s="21"/>
      <c r="I754" s="21"/>
      <c r="J754" s="20"/>
      <c r="K754" s="2048"/>
      <c r="L754" s="772"/>
      <c r="M754" s="22">
        <v>0.429899602024461</v>
      </c>
      <c r="N754" s="22">
        <v>2.28306887872718</v>
      </c>
      <c r="O754" s="37">
        <v>0.4</v>
      </c>
      <c r="P754" s="37"/>
      <c r="Q754" s="37">
        <f t="shared" si="104"/>
        <v>3.11296848075164</v>
      </c>
      <c r="R754" s="219"/>
      <c r="S754" s="20" t="s">
        <v>25</v>
      </c>
      <c r="T754" s="805"/>
      <c r="U754" s="120"/>
      <c r="X754" s="2163"/>
      <c r="AA754" s="839"/>
      <c r="AB754" s="839"/>
      <c r="AC754" s="1940"/>
    </row>
    <row r="755" s="42" customFormat="1" ht="16" hidden="1" customHeight="1" spans="1:29">
      <c r="A755" s="839">
        <v>616</v>
      </c>
      <c r="B755" s="23"/>
      <c r="C755" s="23"/>
      <c r="D755" s="21"/>
      <c r="E755" s="21"/>
      <c r="F755" s="2130" t="s">
        <v>1979</v>
      </c>
      <c r="G755" s="21" t="s">
        <v>474</v>
      </c>
      <c r="H755" s="21"/>
      <c r="I755" s="21"/>
      <c r="J755" s="20"/>
      <c r="K755" s="2048"/>
      <c r="L755" s="772"/>
      <c r="M755" s="22">
        <v>0.413793103448276</v>
      </c>
      <c r="N755" s="22">
        <v>1.0097963651799</v>
      </c>
      <c r="O755" s="37">
        <v>0.4</v>
      </c>
      <c r="P755" s="37"/>
      <c r="Q755" s="37">
        <f t="shared" si="104"/>
        <v>1.82358946862818</v>
      </c>
      <c r="R755" s="219"/>
      <c r="S755" s="20"/>
      <c r="T755" s="805"/>
      <c r="U755" s="120"/>
      <c r="X755" s="2163"/>
      <c r="AA755" s="839"/>
      <c r="AB755" s="839"/>
      <c r="AC755" s="1940"/>
    </row>
    <row r="756" s="42" customFormat="1" ht="16" hidden="1" customHeight="1" spans="1:29">
      <c r="A756" s="839">
        <v>617</v>
      </c>
      <c r="B756" s="23"/>
      <c r="C756" s="23"/>
      <c r="D756" s="21"/>
      <c r="E756" s="21"/>
      <c r="F756" s="2130" t="s">
        <v>1979</v>
      </c>
      <c r="G756" s="21" t="s">
        <v>396</v>
      </c>
      <c r="H756" s="21"/>
      <c r="I756" s="21"/>
      <c r="J756" s="21"/>
      <c r="K756" s="2048"/>
      <c r="L756" s="36"/>
      <c r="M756" s="22">
        <v>0.403940886699507</v>
      </c>
      <c r="N756" s="22">
        <v>2.16748768472906</v>
      </c>
      <c r="O756" s="37">
        <v>0.2</v>
      </c>
      <c r="P756" s="37"/>
      <c r="Q756" s="37">
        <f t="shared" si="104"/>
        <v>2.77142857142857</v>
      </c>
      <c r="R756" s="219"/>
      <c r="S756" s="20"/>
      <c r="T756" s="805"/>
      <c r="U756" s="120"/>
      <c r="X756" s="2163"/>
      <c r="AA756" s="839"/>
      <c r="AB756" s="839"/>
      <c r="AC756" s="1940"/>
    </row>
    <row r="757" s="42" customFormat="1" ht="16" hidden="1" customHeight="1" spans="1:29">
      <c r="A757" s="839">
        <v>618</v>
      </c>
      <c r="B757" s="23"/>
      <c r="C757" s="23"/>
      <c r="D757" s="21"/>
      <c r="E757" s="21"/>
      <c r="F757" s="2130" t="s">
        <v>1979</v>
      </c>
      <c r="G757" s="21" t="s">
        <v>475</v>
      </c>
      <c r="H757" s="21"/>
      <c r="I757" s="21"/>
      <c r="J757" s="20"/>
      <c r="K757" s="2048"/>
      <c r="L757" s="772"/>
      <c r="M757" s="22">
        <v>0.798029556650246</v>
      </c>
      <c r="N757" s="22">
        <v>6.08022519352569</v>
      </c>
      <c r="O757" s="37">
        <v>0.4</v>
      </c>
      <c r="P757" s="37"/>
      <c r="Q757" s="37">
        <f t="shared" si="104"/>
        <v>7.27825475017594</v>
      </c>
      <c r="R757" s="219"/>
      <c r="S757" s="23" t="s">
        <v>476</v>
      </c>
      <c r="T757" s="804"/>
      <c r="U757" s="120"/>
      <c r="X757" s="2163"/>
      <c r="AA757" s="839"/>
      <c r="AB757" s="839"/>
      <c r="AC757" s="1940"/>
    </row>
    <row r="758" s="42" customFormat="1" ht="16" hidden="1" customHeight="1" spans="1:29">
      <c r="A758" s="839">
        <v>619</v>
      </c>
      <c r="B758" s="23"/>
      <c r="C758" s="23"/>
      <c r="D758" s="21"/>
      <c r="E758" s="21"/>
      <c r="F758" s="2130" t="s">
        <v>1979</v>
      </c>
      <c r="G758" s="21" t="s">
        <v>402</v>
      </c>
      <c r="H758" s="21"/>
      <c r="I758" s="21"/>
      <c r="J758" s="21"/>
      <c r="K758" s="2048"/>
      <c r="L758" s="36"/>
      <c r="M758" s="22">
        <v>0.363</v>
      </c>
      <c r="N758" s="22">
        <v>1.39047619047619</v>
      </c>
      <c r="O758" s="37">
        <v>0.2</v>
      </c>
      <c r="P758" s="37"/>
      <c r="Q758" s="37">
        <f t="shared" si="104"/>
        <v>1.95347619047619</v>
      </c>
      <c r="R758" s="219"/>
      <c r="S758" s="20"/>
      <c r="T758" s="805"/>
      <c r="U758" s="120"/>
      <c r="X758" s="2163"/>
      <c r="AA758" s="839"/>
      <c r="AB758" s="839"/>
      <c r="AC758" s="1940"/>
    </row>
    <row r="759" s="42" customFormat="1" ht="16" hidden="1" customHeight="1" spans="1:29">
      <c r="A759" s="839">
        <v>620</v>
      </c>
      <c r="B759" s="23"/>
      <c r="C759" s="23"/>
      <c r="D759" s="21"/>
      <c r="E759" s="21"/>
      <c r="F759" s="2130" t="s">
        <v>1979</v>
      </c>
      <c r="G759" s="21" t="s">
        <v>477</v>
      </c>
      <c r="H759" s="21"/>
      <c r="I759" s="21"/>
      <c r="J759" s="21"/>
      <c r="K759" s="2048"/>
      <c r="L759" s="36"/>
      <c r="M759" s="22">
        <v>0.23694</v>
      </c>
      <c r="N759" s="22">
        <v>1.4607619047619</v>
      </c>
      <c r="O759" s="37">
        <v>0.2</v>
      </c>
      <c r="P759" s="37"/>
      <c r="Q759" s="37">
        <f t="shared" si="104"/>
        <v>1.8977019047619</v>
      </c>
      <c r="R759" s="219"/>
      <c r="S759" s="20"/>
      <c r="T759" s="805"/>
      <c r="U759" s="120"/>
      <c r="X759" s="2163"/>
      <c r="AA759" s="839"/>
      <c r="AB759" s="839"/>
      <c r="AC759" s="1940"/>
    </row>
    <row r="760" s="839" customFormat="1" ht="16" hidden="1" customHeight="1" spans="1:29">
      <c r="A760" s="839">
        <v>621</v>
      </c>
      <c r="B760" s="23" t="s">
        <v>478</v>
      </c>
      <c r="C760" s="23"/>
      <c r="D760" s="21"/>
      <c r="E760" s="21"/>
      <c r="F760" s="2130" t="s">
        <v>1979</v>
      </c>
      <c r="G760" s="21" t="s">
        <v>3105</v>
      </c>
      <c r="H760" s="21"/>
      <c r="I760" s="21"/>
      <c r="J760" s="20"/>
      <c r="K760" s="2048"/>
      <c r="L760" s="772"/>
      <c r="M760" s="22">
        <v>0.3</v>
      </c>
      <c r="N760" s="22">
        <v>0.866666666666667</v>
      </c>
      <c r="O760" s="37">
        <v>0.2</v>
      </c>
      <c r="P760" s="37"/>
      <c r="Q760" s="37">
        <f t="shared" si="104"/>
        <v>1.36666666666667</v>
      </c>
      <c r="R760" s="219"/>
      <c r="S760" s="20"/>
      <c r="T760" s="805"/>
      <c r="U760" s="120" t="s">
        <v>1406</v>
      </c>
      <c r="X760" s="1940"/>
      <c r="AC760" s="1940"/>
    </row>
    <row r="761" s="839" customFormat="1" ht="16" hidden="1" customHeight="1" spans="1:29">
      <c r="A761" s="839">
        <v>622</v>
      </c>
      <c r="B761" s="23" t="s">
        <v>478</v>
      </c>
      <c r="C761" s="23"/>
      <c r="D761" s="21"/>
      <c r="E761" s="21"/>
      <c r="F761" s="2130" t="s">
        <v>1979</v>
      </c>
      <c r="G761" s="21" t="s">
        <v>480</v>
      </c>
      <c r="H761" s="21"/>
      <c r="I761" s="21"/>
      <c r="J761" s="20"/>
      <c r="K761" s="2048"/>
      <c r="L761" s="772"/>
      <c r="M761" s="22">
        <v>0.299236908478766</v>
      </c>
      <c r="N761" s="22">
        <v>0.77671241126223</v>
      </c>
      <c r="O761" s="37">
        <v>0.2</v>
      </c>
      <c r="P761" s="37"/>
      <c r="Q761" s="37">
        <f t="shared" si="104"/>
        <v>1.275949319741</v>
      </c>
      <c r="R761" s="219"/>
      <c r="S761" s="20"/>
      <c r="T761" s="805"/>
      <c r="U761" s="120" t="s">
        <v>1406</v>
      </c>
      <c r="X761" s="1940"/>
      <c r="AC761" s="1940"/>
    </row>
    <row r="762" s="839" customFormat="1" ht="16" hidden="1" customHeight="1" spans="1:29">
      <c r="A762" s="839">
        <v>623</v>
      </c>
      <c r="B762" s="23" t="s">
        <v>478</v>
      </c>
      <c r="C762" s="23"/>
      <c r="D762" s="21"/>
      <c r="E762" s="21"/>
      <c r="F762" s="2130" t="s">
        <v>1979</v>
      </c>
      <c r="G762" s="21" t="s">
        <v>481</v>
      </c>
      <c r="H762" s="21"/>
      <c r="I762" s="21"/>
      <c r="J762" s="20"/>
      <c r="K762" s="2048"/>
      <c r="L762" s="772"/>
      <c r="M762" s="22">
        <v>0.04</v>
      </c>
      <c r="N762" s="22">
        <v>0.07</v>
      </c>
      <c r="O762" s="37">
        <v>0.07</v>
      </c>
      <c r="P762" s="37"/>
      <c r="Q762" s="37">
        <f t="shared" si="104"/>
        <v>0.18</v>
      </c>
      <c r="R762" s="219"/>
      <c r="S762" s="39"/>
      <c r="T762" s="1931"/>
      <c r="U762" s="120" t="s">
        <v>1406</v>
      </c>
      <c r="X762" s="1940"/>
      <c r="AC762" s="1940"/>
    </row>
    <row r="763" s="839" customFormat="1" ht="16" hidden="1" customHeight="1" spans="1:29">
      <c r="A763" s="839">
        <v>624</v>
      </c>
      <c r="B763" s="23" t="s">
        <v>478</v>
      </c>
      <c r="C763" s="23"/>
      <c r="D763" s="21">
        <v>20241114</v>
      </c>
      <c r="E763" s="21">
        <v>7.17</v>
      </c>
      <c r="F763" s="2132" t="s">
        <v>482</v>
      </c>
      <c r="G763" s="21" t="s">
        <v>483</v>
      </c>
      <c r="H763" s="21"/>
      <c r="I763" s="21"/>
      <c r="J763" s="20"/>
      <c r="K763" s="2048"/>
      <c r="L763" s="772"/>
      <c r="M763" s="22">
        <v>0.424280290615099</v>
      </c>
      <c r="N763" s="22">
        <v>0.67453105205561</v>
      </c>
      <c r="O763" s="37">
        <v>0.2</v>
      </c>
      <c r="P763" s="37"/>
      <c r="Q763" s="37">
        <f t="shared" si="104"/>
        <v>1.29881134267071</v>
      </c>
      <c r="R763" s="219"/>
      <c r="S763" s="39" t="s">
        <v>484</v>
      </c>
      <c r="T763" s="1931"/>
      <c r="U763" s="120"/>
      <c r="X763" s="1940"/>
      <c r="AC763" s="1940"/>
    </row>
    <row r="764" s="839" customFormat="1" ht="16" hidden="1" customHeight="1" spans="1:29">
      <c r="A764" s="839">
        <v>625</v>
      </c>
      <c r="B764" s="23" t="s">
        <v>478</v>
      </c>
      <c r="C764" s="23"/>
      <c r="D764" s="21">
        <v>20240510</v>
      </c>
      <c r="E764" s="21">
        <v>7.17</v>
      </c>
      <c r="F764" s="2132" t="s">
        <v>485</v>
      </c>
      <c r="G764" s="21" t="s">
        <v>486</v>
      </c>
      <c r="H764" s="21"/>
      <c r="I764" s="21"/>
      <c r="J764" s="20"/>
      <c r="K764" s="2048"/>
      <c r="L764" s="772"/>
      <c r="M764" s="22">
        <v>0.42193296294317</v>
      </c>
      <c r="N764" s="22">
        <v>0.673278783580775</v>
      </c>
      <c r="O764" s="37">
        <v>0.2</v>
      </c>
      <c r="P764" s="37"/>
      <c r="Q764" s="37">
        <f t="shared" si="104"/>
        <v>1.29521174652394</v>
      </c>
      <c r="R764" s="219"/>
      <c r="S764" s="39"/>
      <c r="T764" s="1931"/>
      <c r="U764" s="120"/>
      <c r="X764" s="1940"/>
      <c r="AC764" s="1940"/>
    </row>
    <row r="765" s="42" customFormat="1" ht="16" hidden="1" customHeight="1" spans="1:29">
      <c r="A765" s="839">
        <v>626</v>
      </c>
      <c r="B765" s="23" t="s">
        <v>478</v>
      </c>
      <c r="C765" s="23"/>
      <c r="D765" s="21"/>
      <c r="E765" s="21"/>
      <c r="F765" s="2130" t="s">
        <v>1979</v>
      </c>
      <c r="G765" s="21" t="s">
        <v>487</v>
      </c>
      <c r="H765" s="21"/>
      <c r="I765" s="21"/>
      <c r="J765" s="21"/>
      <c r="K765" s="2048"/>
      <c r="L765" s="36"/>
      <c r="M765" s="22">
        <v>0.374265052095281</v>
      </c>
      <c r="N765" s="22">
        <v>0.649263510002535</v>
      </c>
      <c r="O765" s="37">
        <v>0.2</v>
      </c>
      <c r="P765" s="37"/>
      <c r="Q765" s="37">
        <f t="shared" si="104"/>
        <v>1.22352856209782</v>
      </c>
      <c r="R765" s="219"/>
      <c r="S765" s="23"/>
      <c r="T765" s="804"/>
      <c r="U765" s="120" t="s">
        <v>1406</v>
      </c>
      <c r="X765" s="2163"/>
      <c r="AA765" s="839"/>
      <c r="AB765" s="839"/>
      <c r="AC765" s="1940"/>
    </row>
    <row r="766" s="42" customFormat="1" ht="16" hidden="1" customHeight="1" spans="1:29">
      <c r="A766" s="839">
        <v>627</v>
      </c>
      <c r="B766" s="23" t="s">
        <v>478</v>
      </c>
      <c r="C766" s="23"/>
      <c r="D766" s="21">
        <v>20250418</v>
      </c>
      <c r="E766" s="21">
        <v>7.17</v>
      </c>
      <c r="F766" s="2130" t="s">
        <v>1979</v>
      </c>
      <c r="G766" s="21" t="s">
        <v>488</v>
      </c>
      <c r="H766" s="21"/>
      <c r="I766" s="21"/>
      <c r="J766" s="21"/>
      <c r="K766" s="2048"/>
      <c r="L766" s="36"/>
      <c r="M766" s="37">
        <v>0.482758620689655</v>
      </c>
      <c r="N766" s="22">
        <v>2.07066719502672</v>
      </c>
      <c r="O766" s="37">
        <v>0.4</v>
      </c>
      <c r="P766" s="37"/>
      <c r="Q766" s="37">
        <f t="shared" si="104"/>
        <v>2.95342581571637</v>
      </c>
      <c r="R766" s="219"/>
      <c r="S766" s="23" t="s">
        <v>25</v>
      </c>
      <c r="T766" s="804"/>
      <c r="U766" s="120" t="s">
        <v>1406</v>
      </c>
      <c r="X766" s="2163"/>
      <c r="AA766" s="839"/>
      <c r="AB766" s="839"/>
      <c r="AC766" s="1940"/>
    </row>
    <row r="767" s="839" customFormat="1" ht="16" hidden="1" customHeight="1" spans="1:29">
      <c r="A767" s="839">
        <v>628</v>
      </c>
      <c r="B767" s="23" t="s">
        <v>478</v>
      </c>
      <c r="C767" s="23"/>
      <c r="D767" s="21">
        <v>20240606</v>
      </c>
      <c r="E767" s="21">
        <v>7.17</v>
      </c>
      <c r="F767" s="2132" t="s">
        <v>489</v>
      </c>
      <c r="G767" s="21" t="s">
        <v>490</v>
      </c>
      <c r="H767" s="21"/>
      <c r="I767" s="21"/>
      <c r="J767" s="20"/>
      <c r="K767" s="2048"/>
      <c r="L767" s="772"/>
      <c r="M767" s="22">
        <v>0.51645138846506</v>
      </c>
      <c r="N767" s="22">
        <v>0.839053299968137</v>
      </c>
      <c r="O767" s="37">
        <v>0.2</v>
      </c>
      <c r="P767" s="37"/>
      <c r="Q767" s="37">
        <f t="shared" si="104"/>
        <v>1.5555046884332</v>
      </c>
      <c r="R767" s="219"/>
      <c r="S767" s="39" t="s">
        <v>435</v>
      </c>
      <c r="T767" s="1931"/>
      <c r="U767" s="120"/>
      <c r="X767" s="1940"/>
      <c r="AC767" s="1940"/>
    </row>
    <row r="768" s="839" customFormat="1" ht="16" hidden="1" customHeight="1" spans="1:29">
      <c r="A768" s="839">
        <v>629</v>
      </c>
      <c r="B768" s="23" t="s">
        <v>491</v>
      </c>
      <c r="C768" s="23"/>
      <c r="D768" s="21">
        <v>20240513</v>
      </c>
      <c r="E768" s="21">
        <v>7.17</v>
      </c>
      <c r="F768" s="2132" t="s">
        <v>492</v>
      </c>
      <c r="G768" s="21" t="s">
        <v>493</v>
      </c>
      <c r="H768" s="21"/>
      <c r="I768" s="21"/>
      <c r="J768" s="20"/>
      <c r="K768" s="2048"/>
      <c r="L768" s="772"/>
      <c r="M768" s="22">
        <v>0.35419603710758</v>
      </c>
      <c r="N768" s="22">
        <v>2.28625114154598</v>
      </c>
      <c r="O768" s="37">
        <v>0.4</v>
      </c>
      <c r="P768" s="37"/>
      <c r="Q768" s="37">
        <f t="shared" si="104"/>
        <v>3.04044717865356</v>
      </c>
      <c r="R768" s="219"/>
      <c r="S768" s="39"/>
      <c r="T768" s="1931"/>
      <c r="U768" s="120"/>
      <c r="X768" s="1940"/>
      <c r="AC768" s="1940"/>
    </row>
    <row r="769" s="839" customFormat="1" ht="16" hidden="1" customHeight="1" spans="1:29">
      <c r="A769" s="839">
        <v>630</v>
      </c>
      <c r="B769" s="23" t="s">
        <v>491</v>
      </c>
      <c r="C769" s="23"/>
      <c r="D769" s="21">
        <v>20250822</v>
      </c>
      <c r="E769" s="21">
        <v>7.17</v>
      </c>
      <c r="F769" s="2132" t="s">
        <v>494</v>
      </c>
      <c r="G769" s="21" t="s">
        <v>495</v>
      </c>
      <c r="H769" s="21"/>
      <c r="I769" s="21"/>
      <c r="J769" s="20"/>
      <c r="K769" s="2048"/>
      <c r="L769" s="772"/>
      <c r="M769" s="22">
        <v>0.382616852420977</v>
      </c>
      <c r="N769" s="22">
        <v>2.2706073462016</v>
      </c>
      <c r="O769" s="37">
        <v>0.4</v>
      </c>
      <c r="P769" s="37"/>
      <c r="Q769" s="37">
        <f t="shared" si="104"/>
        <v>3.05322419862258</v>
      </c>
      <c r="R769" s="219"/>
      <c r="S769" s="39" t="s">
        <v>496</v>
      </c>
      <c r="T769" s="1931"/>
      <c r="U769" s="120"/>
      <c r="X769" s="1940"/>
      <c r="AC769" s="1940"/>
    </row>
    <row r="770" s="839" customFormat="1" ht="16" hidden="1" customHeight="1" spans="1:29">
      <c r="A770" s="839">
        <v>631</v>
      </c>
      <c r="B770" s="23" t="s">
        <v>497</v>
      </c>
      <c r="C770" s="23"/>
      <c r="D770" s="21"/>
      <c r="E770" s="21"/>
      <c r="F770" s="2130" t="s">
        <v>1979</v>
      </c>
      <c r="G770" s="21" t="s">
        <v>498</v>
      </c>
      <c r="H770" s="21"/>
      <c r="I770" s="21"/>
      <c r="J770" s="20"/>
      <c r="K770" s="2048"/>
      <c r="L770" s="772"/>
      <c r="M770" s="22">
        <v>0.83</v>
      </c>
      <c r="N770" s="22">
        <v>4.66</v>
      </c>
      <c r="O770" s="37">
        <v>0.4</v>
      </c>
      <c r="P770" s="37"/>
      <c r="Q770" s="37">
        <f t="shared" si="104"/>
        <v>5.89</v>
      </c>
      <c r="R770" s="219"/>
      <c r="S770" s="20" t="s">
        <v>499</v>
      </c>
      <c r="T770" s="805"/>
      <c r="U770" s="120" t="s">
        <v>1406</v>
      </c>
      <c r="X770" s="1940"/>
      <c r="AC770" s="1940"/>
    </row>
    <row r="771" s="839" customFormat="1" ht="16" hidden="1" customHeight="1" spans="1:29">
      <c r="A771" s="839">
        <v>632</v>
      </c>
      <c r="B771" s="23"/>
      <c r="C771" s="23"/>
      <c r="D771" s="21"/>
      <c r="E771" s="21"/>
      <c r="F771" s="2130" t="s">
        <v>1979</v>
      </c>
      <c r="G771" s="21" t="s">
        <v>500</v>
      </c>
      <c r="H771" s="21"/>
      <c r="I771" s="21"/>
      <c r="J771" s="20"/>
      <c r="K771" s="2048"/>
      <c r="L771" s="772"/>
      <c r="M771" s="22">
        <v>0.83</v>
      </c>
      <c r="N771" s="22">
        <v>4.65</v>
      </c>
      <c r="O771" s="37">
        <v>0.4</v>
      </c>
      <c r="P771" s="37"/>
      <c r="Q771" s="37">
        <f t="shared" si="104"/>
        <v>5.88</v>
      </c>
      <c r="R771" s="219"/>
      <c r="S771" s="20" t="s">
        <v>499</v>
      </c>
      <c r="T771" s="805"/>
      <c r="U771" s="120" t="s">
        <v>1406</v>
      </c>
      <c r="X771" s="1940"/>
      <c r="AC771" s="1940"/>
    </row>
    <row r="772" s="839" customFormat="1" ht="16" hidden="1" customHeight="1" spans="1:29">
      <c r="A772" s="839">
        <v>633</v>
      </c>
      <c r="B772" s="23"/>
      <c r="C772" s="23"/>
      <c r="D772" s="21"/>
      <c r="E772" s="21"/>
      <c r="F772" s="2130" t="s">
        <v>1979</v>
      </c>
      <c r="G772" s="21" t="s">
        <v>501</v>
      </c>
      <c r="H772" s="21"/>
      <c r="I772" s="21"/>
      <c r="J772" s="20"/>
      <c r="K772" s="2048"/>
      <c r="L772" s="772"/>
      <c r="M772" s="22">
        <v>0.403940886699507</v>
      </c>
      <c r="N772" s="22">
        <v>1.24137931034483</v>
      </c>
      <c r="O772" s="37">
        <v>0.2</v>
      </c>
      <c r="P772" s="37"/>
      <c r="Q772" s="37">
        <f t="shared" si="104"/>
        <v>1.84532019704434</v>
      </c>
      <c r="R772" s="219"/>
      <c r="S772" s="20"/>
      <c r="T772" s="805"/>
      <c r="U772" s="120" t="s">
        <v>1406</v>
      </c>
      <c r="X772" s="1940"/>
      <c r="AC772" s="1940"/>
    </row>
    <row r="773" s="839" customFormat="1" ht="16" hidden="1" customHeight="1" spans="1:29">
      <c r="A773" s="839">
        <v>634</v>
      </c>
      <c r="B773" s="23"/>
      <c r="C773" s="23"/>
      <c r="D773" s="21"/>
      <c r="E773" s="21"/>
      <c r="F773" s="2130" t="s">
        <v>1979</v>
      </c>
      <c r="G773" s="21" t="s">
        <v>502</v>
      </c>
      <c r="H773" s="21"/>
      <c r="I773" s="21"/>
      <c r="J773" s="20"/>
      <c r="K773" s="2048"/>
      <c r="L773" s="772"/>
      <c r="M773" s="22">
        <v>0.492610837438424</v>
      </c>
      <c r="N773" s="22">
        <v>5.20197044334975</v>
      </c>
      <c r="O773" s="37">
        <v>0.4</v>
      </c>
      <c r="P773" s="37"/>
      <c r="Q773" s="37">
        <f t="shared" si="104"/>
        <v>6.09458128078817</v>
      </c>
      <c r="R773" s="219"/>
      <c r="S773" s="20"/>
      <c r="T773" s="805"/>
      <c r="U773" s="120" t="s">
        <v>1406</v>
      </c>
      <c r="X773" s="1940"/>
      <c r="AC773" s="1940"/>
    </row>
    <row r="774" s="839" customFormat="1" ht="16" hidden="1" customHeight="1" spans="1:29">
      <c r="A774" s="839">
        <v>635</v>
      </c>
      <c r="B774" s="23"/>
      <c r="C774" s="23"/>
      <c r="D774" s="21"/>
      <c r="E774" s="21"/>
      <c r="F774" s="2130" t="s">
        <v>1979</v>
      </c>
      <c r="G774" s="21" t="s">
        <v>503</v>
      </c>
      <c r="H774" s="21"/>
      <c r="I774" s="21"/>
      <c r="J774" s="20"/>
      <c r="K774" s="2048"/>
      <c r="L774" s="772"/>
      <c r="M774" s="22">
        <v>0.413793103448276</v>
      </c>
      <c r="N774" s="22">
        <v>1.20197044334975</v>
      </c>
      <c r="O774" s="37">
        <v>0.4</v>
      </c>
      <c r="P774" s="37"/>
      <c r="Q774" s="37">
        <f t="shared" si="104"/>
        <v>2.01576354679803</v>
      </c>
      <c r="R774" s="219"/>
      <c r="S774" s="20"/>
      <c r="T774" s="805"/>
      <c r="U774" s="120" t="s">
        <v>1406</v>
      </c>
      <c r="X774" s="1940"/>
      <c r="AC774" s="1940"/>
    </row>
    <row r="775" s="839" customFormat="1" ht="16" hidden="1" customHeight="1" spans="1:29">
      <c r="A775" s="839">
        <v>636</v>
      </c>
      <c r="B775" s="23"/>
      <c r="C775" s="23"/>
      <c r="D775" s="21">
        <v>20250528</v>
      </c>
      <c r="E775" s="21">
        <v>7.17</v>
      </c>
      <c r="F775" s="2132" t="s">
        <v>504</v>
      </c>
      <c r="G775" s="21" t="s">
        <v>505</v>
      </c>
      <c r="H775" s="21"/>
      <c r="I775" s="21"/>
      <c r="J775" s="20"/>
      <c r="K775" s="2048"/>
      <c r="L775" s="772"/>
      <c r="M775" s="22">
        <v>0.538132089211439</v>
      </c>
      <c r="N775" s="22">
        <v>0.573113260147369</v>
      </c>
      <c r="O775" s="37">
        <v>0.2</v>
      </c>
      <c r="P775" s="37"/>
      <c r="Q775" s="37">
        <f t="shared" si="104"/>
        <v>1.31124534935881</v>
      </c>
      <c r="R775" s="219"/>
      <c r="S775" s="2213"/>
      <c r="T775" s="2214"/>
      <c r="U775" s="1935"/>
      <c r="V775" s="120" t="s">
        <v>1406</v>
      </c>
      <c r="X775" s="1940"/>
      <c r="AC775" s="1940"/>
    </row>
    <row r="776" s="839" customFormat="1" ht="16" hidden="1" customHeight="1" spans="1:29">
      <c r="A776" s="839">
        <v>637</v>
      </c>
      <c r="B776" s="23" t="s">
        <v>506</v>
      </c>
      <c r="C776" s="23"/>
      <c r="D776" s="21"/>
      <c r="E776" s="21"/>
      <c r="F776" s="2130" t="s">
        <v>1979</v>
      </c>
      <c r="G776" s="21" t="s">
        <v>507</v>
      </c>
      <c r="H776" s="21"/>
      <c r="I776" s="21"/>
      <c r="J776" s="20"/>
      <c r="K776" s="2048"/>
      <c r="L776" s="772"/>
      <c r="M776" s="22">
        <v>0.52</v>
      </c>
      <c r="N776" s="22">
        <v>2.93</v>
      </c>
      <c r="O776" s="37">
        <v>0.4</v>
      </c>
      <c r="P776" s="37"/>
      <c r="Q776" s="37">
        <f t="shared" si="104"/>
        <v>3.85</v>
      </c>
      <c r="R776" s="219"/>
      <c r="S776" s="20" t="s">
        <v>25</v>
      </c>
      <c r="T776" s="805"/>
      <c r="U776" s="120" t="s">
        <v>1406</v>
      </c>
      <c r="X776" s="1940"/>
      <c r="AC776" s="1940"/>
    </row>
    <row r="777" s="839" customFormat="1" ht="16" hidden="1" customHeight="1" spans="1:29">
      <c r="A777" s="839">
        <v>638</v>
      </c>
      <c r="B777" s="23" t="s">
        <v>506</v>
      </c>
      <c r="C777" s="23"/>
      <c r="D777" s="21"/>
      <c r="E777" s="21"/>
      <c r="F777" s="2130" t="s">
        <v>1979</v>
      </c>
      <c r="G777" s="21" t="s">
        <v>508</v>
      </c>
      <c r="H777" s="21"/>
      <c r="I777" s="21"/>
      <c r="J777" s="20"/>
      <c r="K777" s="2048"/>
      <c r="L777" s="772"/>
      <c r="M777" s="22">
        <v>0.0295566502463054</v>
      </c>
      <c r="N777" s="22">
        <v>0.0492610837438424</v>
      </c>
      <c r="O777" s="37">
        <v>0.4</v>
      </c>
      <c r="P777" s="37"/>
      <c r="Q777" s="37">
        <f t="shared" si="104"/>
        <v>0.478817733990148</v>
      </c>
      <c r="R777" s="219"/>
      <c r="S777" s="20"/>
      <c r="T777" s="805"/>
      <c r="U777" s="120" t="s">
        <v>1406</v>
      </c>
      <c r="X777" s="1940"/>
      <c r="AC777" s="1940"/>
    </row>
    <row r="778" s="839" customFormat="1" ht="16" hidden="1" customHeight="1" spans="1:29">
      <c r="A778" s="839">
        <v>639</v>
      </c>
      <c r="B778" s="23" t="s">
        <v>506</v>
      </c>
      <c r="C778" s="23"/>
      <c r="D778" s="21"/>
      <c r="E778" s="21"/>
      <c r="F778" s="2130" t="s">
        <v>1979</v>
      </c>
      <c r="G778" s="21" t="s">
        <v>509</v>
      </c>
      <c r="H778" s="21"/>
      <c r="I778" s="21"/>
      <c r="J778" s="20"/>
      <c r="K778" s="2048"/>
      <c r="L778" s="772"/>
      <c r="M778" s="22">
        <v>0.620689655172414</v>
      </c>
      <c r="N778" s="22">
        <v>3.03448275862069</v>
      </c>
      <c r="O778" s="37">
        <v>0.4</v>
      </c>
      <c r="P778" s="37"/>
      <c r="Q778" s="37">
        <f t="shared" si="104"/>
        <v>4.0551724137931</v>
      </c>
      <c r="R778" s="219"/>
      <c r="S778" s="20" t="s">
        <v>25</v>
      </c>
      <c r="T778" s="805"/>
      <c r="U778" s="120" t="s">
        <v>1406</v>
      </c>
      <c r="X778" s="1940"/>
      <c r="AC778" s="1940"/>
    </row>
    <row r="779" s="839" customFormat="1" ht="16" hidden="1" customHeight="1" spans="1:29">
      <c r="A779" s="839">
        <v>640</v>
      </c>
      <c r="B779" s="23" t="s">
        <v>506</v>
      </c>
      <c r="C779" s="23"/>
      <c r="D779" s="21"/>
      <c r="E779" s="21"/>
      <c r="F779" s="2130" t="s">
        <v>1979</v>
      </c>
      <c r="G779" s="21" t="s">
        <v>510</v>
      </c>
      <c r="H779" s="21"/>
      <c r="I779" s="21"/>
      <c r="J779" s="20"/>
      <c r="K779" s="2048"/>
      <c r="L779" s="772"/>
      <c r="M779" s="22">
        <v>0.502463054187192</v>
      </c>
      <c r="N779" s="22">
        <v>2.1871921182266</v>
      </c>
      <c r="O779" s="37">
        <v>0.4</v>
      </c>
      <c r="P779" s="37"/>
      <c r="Q779" s="37">
        <f t="shared" si="104"/>
        <v>3.08965517241379</v>
      </c>
      <c r="R779" s="219"/>
      <c r="S779" s="20" t="s">
        <v>25</v>
      </c>
      <c r="T779" s="805"/>
      <c r="U779" s="120" t="s">
        <v>1406</v>
      </c>
      <c r="X779" s="1940"/>
      <c r="AC779" s="1940"/>
    </row>
    <row r="780" s="839" customFormat="1" ht="16" hidden="1" customHeight="1" spans="1:29">
      <c r="A780" s="839">
        <v>641</v>
      </c>
      <c r="B780" s="23" t="s">
        <v>506</v>
      </c>
      <c r="C780" s="23"/>
      <c r="D780" s="21"/>
      <c r="E780" s="21"/>
      <c r="F780" s="2130" t="s">
        <v>1979</v>
      </c>
      <c r="G780" s="21" t="s">
        <v>511</v>
      </c>
      <c r="H780" s="21"/>
      <c r="I780" s="21"/>
      <c r="J780" s="20"/>
      <c r="K780" s="2048"/>
      <c r="L780" s="772"/>
      <c r="M780" s="22">
        <v>0.413793103448276</v>
      </c>
      <c r="N780" s="22">
        <v>0.77832512315271</v>
      </c>
      <c r="O780" s="37">
        <v>0.2</v>
      </c>
      <c r="P780" s="37"/>
      <c r="Q780" s="37">
        <f t="shared" si="104"/>
        <v>1.39211822660099</v>
      </c>
      <c r="R780" s="219"/>
      <c r="S780" s="20"/>
      <c r="T780" s="805"/>
      <c r="U780" s="120" t="s">
        <v>1406</v>
      </c>
      <c r="X780" s="1940"/>
      <c r="AC780" s="1940"/>
    </row>
    <row r="781" s="839" customFormat="1" ht="16" hidden="1" customHeight="1" spans="1:29">
      <c r="A781" s="839">
        <v>642</v>
      </c>
      <c r="B781" s="23" t="s">
        <v>506</v>
      </c>
      <c r="C781" s="23"/>
      <c r="D781" s="21"/>
      <c r="E781" s="21"/>
      <c r="F781" s="2130" t="s">
        <v>1979</v>
      </c>
      <c r="G781" s="21" t="s">
        <v>512</v>
      </c>
      <c r="H781" s="21"/>
      <c r="I781" s="21"/>
      <c r="J781" s="20"/>
      <c r="K781" s="2048"/>
      <c r="L781" s="772"/>
      <c r="M781" s="22">
        <v>0.413793103448276</v>
      </c>
      <c r="N781" s="22">
        <v>1.26671358198452</v>
      </c>
      <c r="O781" s="37">
        <v>0.2</v>
      </c>
      <c r="P781" s="37"/>
      <c r="Q781" s="37">
        <f t="shared" si="104"/>
        <v>1.8805066854328</v>
      </c>
      <c r="R781" s="219"/>
      <c r="S781" s="20"/>
      <c r="T781" s="805"/>
      <c r="U781" s="120" t="s">
        <v>1406</v>
      </c>
      <c r="X781" s="1940"/>
      <c r="AC781" s="1940"/>
    </row>
    <row r="782" s="839" customFormat="1" ht="16" hidden="1" customHeight="1" spans="1:29">
      <c r="A782" s="839">
        <v>643</v>
      </c>
      <c r="B782" s="23" t="s">
        <v>506</v>
      </c>
      <c r="C782" s="23"/>
      <c r="D782" s="21"/>
      <c r="E782" s="21"/>
      <c r="F782" s="2130" t="s">
        <v>1979</v>
      </c>
      <c r="G782" s="21" t="s">
        <v>513</v>
      </c>
      <c r="H782" s="21"/>
      <c r="I782" s="21"/>
      <c r="J782" s="20"/>
      <c r="K782" s="2048"/>
      <c r="L782" s="772"/>
      <c r="M782" s="22">
        <v>0.394088669950739</v>
      </c>
      <c r="N782" s="22">
        <v>0.910157166314802</v>
      </c>
      <c r="O782" s="37">
        <v>0.4</v>
      </c>
      <c r="P782" s="37"/>
      <c r="Q782" s="37">
        <f t="shared" si="104"/>
        <v>1.70424583626554</v>
      </c>
      <c r="R782" s="219"/>
      <c r="S782" s="20"/>
      <c r="T782" s="805"/>
      <c r="U782" s="120" t="s">
        <v>1406</v>
      </c>
      <c r="X782" s="1940"/>
      <c r="AC782" s="1940"/>
    </row>
    <row r="783" s="839" customFormat="1" ht="16" hidden="1" customHeight="1" spans="1:29">
      <c r="A783" s="839">
        <v>644</v>
      </c>
      <c r="B783" s="23" t="s">
        <v>506</v>
      </c>
      <c r="C783" s="23"/>
      <c r="D783" s="21"/>
      <c r="E783" s="21"/>
      <c r="F783" s="2130" t="s">
        <v>1979</v>
      </c>
      <c r="G783" s="21" t="s">
        <v>514</v>
      </c>
      <c r="H783" s="21"/>
      <c r="I783" s="21"/>
      <c r="J783" s="20"/>
      <c r="K783" s="2048"/>
      <c r="L783" s="772"/>
      <c r="M783" s="22">
        <v>0.42</v>
      </c>
      <c r="N783" s="22">
        <v>0.876190476190476</v>
      </c>
      <c r="O783" s="37">
        <v>0.2</v>
      </c>
      <c r="P783" s="37"/>
      <c r="Q783" s="37">
        <f t="shared" si="104"/>
        <v>1.49619047619048</v>
      </c>
      <c r="R783" s="219"/>
      <c r="S783" s="20"/>
      <c r="T783" s="805"/>
      <c r="U783" s="120" t="s">
        <v>1406</v>
      </c>
      <c r="X783" s="1940"/>
      <c r="AC783" s="1940"/>
    </row>
    <row r="784" s="839" customFormat="1" ht="16" hidden="1" customHeight="1" spans="1:29">
      <c r="A784" s="839">
        <v>645</v>
      </c>
      <c r="B784" s="23" t="s">
        <v>506</v>
      </c>
      <c r="C784" s="23"/>
      <c r="D784" s="21"/>
      <c r="E784" s="21"/>
      <c r="F784" s="2130" t="s">
        <v>1979</v>
      </c>
      <c r="G784" s="21" t="s">
        <v>515</v>
      </c>
      <c r="H784" s="21"/>
      <c r="I784" s="21"/>
      <c r="J784" s="20"/>
      <c r="K784" s="2048"/>
      <c r="L784" s="772"/>
      <c r="M784" s="22">
        <v>0.48</v>
      </c>
      <c r="N784" s="22">
        <v>0.952380952380953</v>
      </c>
      <c r="O784" s="37">
        <v>0.2</v>
      </c>
      <c r="P784" s="37"/>
      <c r="Q784" s="37">
        <f t="shared" si="104"/>
        <v>1.63238095238095</v>
      </c>
      <c r="R784" s="219"/>
      <c r="S784" s="20"/>
      <c r="T784" s="805"/>
      <c r="U784" s="120" t="s">
        <v>1406</v>
      </c>
      <c r="X784" s="1940"/>
      <c r="AC784" s="1940"/>
    </row>
    <row r="785" s="839" customFormat="1" ht="16" hidden="1" customHeight="1" spans="1:29">
      <c r="A785" s="839">
        <v>646</v>
      </c>
      <c r="B785" s="23" t="s">
        <v>506</v>
      </c>
      <c r="C785" s="23"/>
      <c r="D785" s="21"/>
      <c r="E785" s="21"/>
      <c r="F785" s="2130" t="s">
        <v>1979</v>
      </c>
      <c r="G785" s="21" t="s">
        <v>516</v>
      </c>
      <c r="H785" s="21"/>
      <c r="I785" s="21"/>
      <c r="J785" s="20"/>
      <c r="K785" s="2048"/>
      <c r="L785" s="772"/>
      <c r="M785" s="22">
        <v>0.39</v>
      </c>
      <c r="N785" s="22">
        <v>0.952380952380953</v>
      </c>
      <c r="O785" s="37">
        <v>0.2</v>
      </c>
      <c r="P785" s="37"/>
      <c r="Q785" s="37">
        <f t="shared" si="104"/>
        <v>1.54238095238095</v>
      </c>
      <c r="R785" s="219"/>
      <c r="S785" s="20"/>
      <c r="T785" s="805"/>
      <c r="U785" s="120" t="s">
        <v>1406</v>
      </c>
      <c r="X785" s="1940"/>
      <c r="AC785" s="1940"/>
    </row>
    <row r="786" s="839" customFormat="1" ht="16" hidden="1" customHeight="1" spans="1:29">
      <c r="A786" s="839">
        <v>647</v>
      </c>
      <c r="B786" s="23" t="s">
        <v>506</v>
      </c>
      <c r="C786" s="23"/>
      <c r="D786" s="21"/>
      <c r="E786" s="21"/>
      <c r="F786" s="2130" t="s">
        <v>1979</v>
      </c>
      <c r="G786" s="21" t="s">
        <v>517</v>
      </c>
      <c r="H786" s="21"/>
      <c r="I786" s="21"/>
      <c r="J786" s="20"/>
      <c r="K786" s="2048"/>
      <c r="L786" s="772"/>
      <c r="M786" s="22">
        <v>0.48</v>
      </c>
      <c r="N786" s="22">
        <v>1.06666666666667</v>
      </c>
      <c r="O786" s="37">
        <v>0.2</v>
      </c>
      <c r="P786" s="37"/>
      <c r="Q786" s="37">
        <f t="shared" si="104"/>
        <v>1.74666666666667</v>
      </c>
      <c r="R786" s="219"/>
      <c r="S786" s="20"/>
      <c r="T786" s="805"/>
      <c r="U786" s="120" t="s">
        <v>1406</v>
      </c>
      <c r="X786" s="1940"/>
      <c r="AC786" s="1940"/>
    </row>
    <row r="787" s="839" customFormat="1" ht="16" hidden="1" customHeight="1" spans="1:29">
      <c r="A787" s="839">
        <v>648</v>
      </c>
      <c r="B787" s="23" t="s">
        <v>506</v>
      </c>
      <c r="C787" s="23"/>
      <c r="D787" s="21"/>
      <c r="E787" s="21"/>
      <c r="F787" s="2130" t="s">
        <v>1979</v>
      </c>
      <c r="G787" s="21" t="s">
        <v>518</v>
      </c>
      <c r="H787" s="21"/>
      <c r="I787" s="21"/>
      <c r="J787" s="20"/>
      <c r="K787" s="2048"/>
      <c r="L787" s="772"/>
      <c r="M787" s="22">
        <v>0.0255767558442887</v>
      </c>
      <c r="N787" s="22">
        <v>2.76012509686634</v>
      </c>
      <c r="O787" s="37">
        <v>0.4</v>
      </c>
      <c r="P787" s="37"/>
      <c r="Q787" s="37">
        <f t="shared" si="104"/>
        <v>3.18570185271063</v>
      </c>
      <c r="R787" s="219"/>
      <c r="S787" s="20" t="s">
        <v>25</v>
      </c>
      <c r="T787" s="805"/>
      <c r="U787" s="120" t="s">
        <v>1406</v>
      </c>
      <c r="X787" s="1940"/>
      <c r="AC787" s="1940"/>
    </row>
    <row r="788" s="839" customFormat="1" ht="16" hidden="1" customHeight="1" spans="1:29">
      <c r="A788" s="839">
        <v>649</v>
      </c>
      <c r="B788" s="23" t="s">
        <v>506</v>
      </c>
      <c r="C788" s="23"/>
      <c r="D788" s="21">
        <v>20240829</v>
      </c>
      <c r="E788" s="21">
        <v>7.17</v>
      </c>
      <c r="F788" s="2132" t="s">
        <v>519</v>
      </c>
      <c r="G788" s="21" t="s">
        <v>520</v>
      </c>
      <c r="H788" s="21"/>
      <c r="I788" s="21"/>
      <c r="J788" s="20"/>
      <c r="K788" s="2048"/>
      <c r="L788" s="772"/>
      <c r="M788" s="22">
        <v>0.395585751106334</v>
      </c>
      <c r="N788" s="22">
        <v>0.628281391073533</v>
      </c>
      <c r="O788" s="37">
        <v>0.2</v>
      </c>
      <c r="P788" s="37"/>
      <c r="Q788" s="37">
        <f t="shared" si="104"/>
        <v>1.22386714217987</v>
      </c>
      <c r="R788" s="219"/>
      <c r="S788" s="20"/>
      <c r="T788" s="805"/>
      <c r="U788" s="120"/>
      <c r="X788" s="1940"/>
      <c r="AC788" s="1940"/>
    </row>
    <row r="789" s="839" customFormat="1" ht="16" hidden="1" customHeight="1" spans="1:29">
      <c r="A789" s="839">
        <v>650</v>
      </c>
      <c r="B789" s="23" t="s">
        <v>506</v>
      </c>
      <c r="C789" s="23"/>
      <c r="D789" s="21">
        <v>20240829</v>
      </c>
      <c r="E789" s="21">
        <v>7.17</v>
      </c>
      <c r="F789" s="2132" t="s">
        <v>521</v>
      </c>
      <c r="G789" s="21" t="s">
        <v>522</v>
      </c>
      <c r="H789" s="21"/>
      <c r="I789" s="21"/>
      <c r="J789" s="20"/>
      <c r="K789" s="2048"/>
      <c r="L789" s="772"/>
      <c r="M789" s="22">
        <v>0.527022307119084</v>
      </c>
      <c r="N789" s="22">
        <v>2.47133738768934</v>
      </c>
      <c r="O789" s="37">
        <v>0.2</v>
      </c>
      <c r="P789" s="37"/>
      <c r="Q789" s="37">
        <f t="shared" si="104"/>
        <v>3.19835969480842</v>
      </c>
      <c r="R789" s="219"/>
      <c r="S789" s="20" t="s">
        <v>25</v>
      </c>
      <c r="T789" s="805"/>
      <c r="U789" s="120"/>
      <c r="X789" s="1940"/>
      <c r="AC789" s="1940"/>
    </row>
    <row r="790" s="839" customFormat="1" ht="16" hidden="1" customHeight="1" spans="1:29">
      <c r="A790" s="839">
        <v>651</v>
      </c>
      <c r="B790" s="23" t="s">
        <v>506</v>
      </c>
      <c r="C790" s="23"/>
      <c r="D790" s="21">
        <v>20240829</v>
      </c>
      <c r="E790" s="21">
        <v>7.17</v>
      </c>
      <c r="F790" s="2132" t="s">
        <v>523</v>
      </c>
      <c r="G790" s="21" t="s">
        <v>524</v>
      </c>
      <c r="H790" s="21"/>
      <c r="I790" s="21"/>
      <c r="J790" s="20"/>
      <c r="K790" s="2048"/>
      <c r="L790" s="772"/>
      <c r="M790" s="22">
        <v>0.047215073519143</v>
      </c>
      <c r="N790" s="22">
        <v>0.0418743219826762</v>
      </c>
      <c r="O790" s="37">
        <v>0.2</v>
      </c>
      <c r="P790" s="37"/>
      <c r="Q790" s="37">
        <f t="shared" si="104"/>
        <v>0.289089395501819</v>
      </c>
      <c r="R790" s="219"/>
      <c r="S790" s="20"/>
      <c r="T790" s="805"/>
      <c r="U790" s="120"/>
      <c r="X790" s="1940"/>
      <c r="AC790" s="1940"/>
    </row>
    <row r="791" s="839" customFormat="1" ht="16" hidden="1" customHeight="1" spans="1:29">
      <c r="A791" s="839">
        <v>652</v>
      </c>
      <c r="B791" s="23" t="s">
        <v>506</v>
      </c>
      <c r="C791" s="23"/>
      <c r="D791" s="21">
        <v>20240906</v>
      </c>
      <c r="E791" s="21">
        <v>7.17</v>
      </c>
      <c r="F791" s="2132" t="s">
        <v>525</v>
      </c>
      <c r="G791" s="21" t="s">
        <v>526</v>
      </c>
      <c r="H791" s="21"/>
      <c r="I791" s="21"/>
      <c r="J791" s="20"/>
      <c r="K791" s="2048"/>
      <c r="L791" s="772"/>
      <c r="M791" s="22">
        <v>0.0246146075573748</v>
      </c>
      <c r="N791" s="22">
        <v>0.0354908025633202</v>
      </c>
      <c r="O791" s="37">
        <v>0.2</v>
      </c>
      <c r="P791" s="37"/>
      <c r="Q791" s="37">
        <f t="shared" si="104"/>
        <v>0.260105410120695</v>
      </c>
      <c r="R791" s="219"/>
      <c r="S791" s="2215"/>
      <c r="T791" s="1935"/>
      <c r="U791" s="120"/>
      <c r="X791" s="1940"/>
      <c r="AC791" s="1940"/>
    </row>
    <row r="792" s="839" customFormat="1" ht="16" hidden="1" customHeight="1" spans="1:29">
      <c r="A792" s="839">
        <v>653</v>
      </c>
      <c r="B792" s="23" t="s">
        <v>506</v>
      </c>
      <c r="C792" s="23"/>
      <c r="D792" s="21">
        <v>20240906</v>
      </c>
      <c r="E792" s="21">
        <v>7.17</v>
      </c>
      <c r="F792" s="2132" t="s">
        <v>527</v>
      </c>
      <c r="G792" s="21" t="s">
        <v>528</v>
      </c>
      <c r="H792" s="21"/>
      <c r="I792" s="21"/>
      <c r="J792" s="20"/>
      <c r="K792" s="2048"/>
      <c r="L792" s="772"/>
      <c r="M792" s="22">
        <v>0.453260933480473</v>
      </c>
      <c r="N792" s="22">
        <v>1.8495012301213</v>
      </c>
      <c r="O792" s="37">
        <v>0.4</v>
      </c>
      <c r="P792" s="37"/>
      <c r="Q792" s="37">
        <f t="shared" si="104"/>
        <v>2.70276216360177</v>
      </c>
      <c r="R792" s="219"/>
      <c r="S792" s="20" t="s">
        <v>2975</v>
      </c>
      <c r="T792" s="805"/>
      <c r="U792" s="120"/>
      <c r="X792" s="1940"/>
      <c r="AC792" s="1940"/>
    </row>
    <row r="793" s="839" customFormat="1" ht="16" hidden="1" customHeight="1" spans="1:29">
      <c r="A793" s="839">
        <v>654</v>
      </c>
      <c r="B793" s="23" t="s">
        <v>506</v>
      </c>
      <c r="C793" s="23"/>
      <c r="D793" s="21">
        <v>20241127</v>
      </c>
      <c r="E793" s="21">
        <v>7.17</v>
      </c>
      <c r="F793" s="2132" t="s">
        <v>529</v>
      </c>
      <c r="G793" s="21" t="s">
        <v>530</v>
      </c>
      <c r="H793" s="21"/>
      <c r="I793" s="21"/>
      <c r="J793" s="20"/>
      <c r="K793" s="2048"/>
      <c r="L793" s="772"/>
      <c r="M793" s="22">
        <v>0.494455882472863</v>
      </c>
      <c r="N793" s="22">
        <v>0.802564190589191</v>
      </c>
      <c r="O793" s="37">
        <v>0.2</v>
      </c>
      <c r="P793" s="37"/>
      <c r="Q793" s="37">
        <f t="shared" si="104"/>
        <v>1.49702007306205</v>
      </c>
      <c r="R793" s="219"/>
      <c r="S793" s="20" t="s">
        <v>3106</v>
      </c>
      <c r="T793" s="805"/>
      <c r="U793" s="120"/>
      <c r="X793" s="1940"/>
      <c r="AC793" s="1940"/>
    </row>
    <row r="794" s="839" customFormat="1" ht="16" hidden="1" customHeight="1" spans="1:29">
      <c r="A794" s="839">
        <v>655</v>
      </c>
      <c r="B794" s="23" t="s">
        <v>506</v>
      </c>
      <c r="C794" s="23"/>
      <c r="D794" s="21">
        <v>20240929</v>
      </c>
      <c r="E794" s="21">
        <v>7.17</v>
      </c>
      <c r="F794" s="2132" t="s">
        <v>532</v>
      </c>
      <c r="G794" s="21" t="s">
        <v>533</v>
      </c>
      <c r="H794" s="21"/>
      <c r="I794" s="21"/>
      <c r="J794" s="20"/>
      <c r="K794" s="2048"/>
      <c r="L794" s="772"/>
      <c r="M794" s="22">
        <v>0.502912328791152</v>
      </c>
      <c r="N794" s="22">
        <v>2.08119467939984</v>
      </c>
      <c r="O794" s="37">
        <v>0.4</v>
      </c>
      <c r="P794" s="37"/>
      <c r="Q794" s="37">
        <f t="shared" si="104"/>
        <v>2.98410700819099</v>
      </c>
      <c r="R794" s="219"/>
      <c r="S794" s="20" t="s">
        <v>3107</v>
      </c>
      <c r="T794" s="805"/>
      <c r="U794" s="120"/>
      <c r="X794" s="1940"/>
      <c r="AC794" s="1940"/>
    </row>
    <row r="795" s="839" customFormat="1" ht="16" hidden="1" customHeight="1" spans="1:29">
      <c r="A795" s="839">
        <v>656</v>
      </c>
      <c r="B795" s="23" t="s">
        <v>535</v>
      </c>
      <c r="C795" s="23"/>
      <c r="D795" s="21"/>
      <c r="E795" s="21"/>
      <c r="F795" s="2130" t="s">
        <v>1979</v>
      </c>
      <c r="G795" s="21" t="s">
        <v>536</v>
      </c>
      <c r="H795" s="21"/>
      <c r="I795" s="21"/>
      <c r="J795" s="20"/>
      <c r="K795" s="2048"/>
      <c r="L795" s="772"/>
      <c r="M795" s="22">
        <v>0.344827586206897</v>
      </c>
      <c r="N795" s="22">
        <v>1.25733051841427</v>
      </c>
      <c r="O795" s="37">
        <v>0.25</v>
      </c>
      <c r="P795" s="37"/>
      <c r="Q795" s="37">
        <f t="shared" si="104"/>
        <v>1.85215810462117</v>
      </c>
      <c r="R795" s="219"/>
      <c r="S795" s="20"/>
      <c r="T795" s="805"/>
      <c r="U795" s="120" t="s">
        <v>1406</v>
      </c>
      <c r="X795" s="1940"/>
      <c r="AC795" s="1940"/>
    </row>
    <row r="796" s="839" customFormat="1" ht="16" hidden="1" customHeight="1" spans="1:29">
      <c r="A796" s="839">
        <v>657</v>
      </c>
      <c r="B796" s="23" t="s">
        <v>537</v>
      </c>
      <c r="C796" s="23"/>
      <c r="D796" s="21"/>
      <c r="E796" s="21"/>
      <c r="F796" s="2130" t="s">
        <v>1979</v>
      </c>
      <c r="G796" s="21" t="s">
        <v>538</v>
      </c>
      <c r="H796" s="21"/>
      <c r="I796" s="21"/>
      <c r="J796" s="20"/>
      <c r="K796" s="2048"/>
      <c r="L796" s="772"/>
      <c r="M796" s="22">
        <v>0.55</v>
      </c>
      <c r="N796" s="22">
        <v>5.75</v>
      </c>
      <c r="O796" s="37">
        <v>0.4</v>
      </c>
      <c r="P796" s="37"/>
      <c r="Q796" s="37">
        <f t="shared" si="104"/>
        <v>6.7</v>
      </c>
      <c r="R796" s="219"/>
      <c r="S796" s="20" t="s">
        <v>3108</v>
      </c>
      <c r="T796" s="805"/>
      <c r="U796" s="120" t="s">
        <v>1406</v>
      </c>
      <c r="X796" s="1940"/>
      <c r="AC796" s="1940"/>
    </row>
    <row r="797" s="839" customFormat="1" ht="16" hidden="1" customHeight="1" spans="1:29">
      <c r="A797" s="839">
        <v>658</v>
      </c>
      <c r="B797" s="23" t="s">
        <v>537</v>
      </c>
      <c r="C797" s="23"/>
      <c r="D797" s="21">
        <v>20241028</v>
      </c>
      <c r="E797" s="21">
        <v>7.17</v>
      </c>
      <c r="F797" s="2132" t="s">
        <v>540</v>
      </c>
      <c r="G797" s="21" t="s">
        <v>541</v>
      </c>
      <c r="H797" s="21"/>
      <c r="I797" s="21"/>
      <c r="J797" s="20"/>
      <c r="K797" s="2048"/>
      <c r="L797" s="772"/>
      <c r="M797" s="22">
        <v>0.39669929243068</v>
      </c>
      <c r="N797" s="22">
        <v>2.12840096794634</v>
      </c>
      <c r="O797" s="37">
        <v>0.4</v>
      </c>
      <c r="P797" s="37"/>
      <c r="Q797" s="37">
        <f t="shared" si="104"/>
        <v>2.92510026037702</v>
      </c>
      <c r="R797" s="219"/>
      <c r="S797" s="20" t="s">
        <v>25</v>
      </c>
      <c r="T797" s="805"/>
      <c r="U797" s="120" t="s">
        <v>1406</v>
      </c>
      <c r="X797" s="1940"/>
      <c r="AC797" s="1940"/>
    </row>
    <row r="798" s="839" customFormat="1" ht="16" hidden="1" customHeight="1" spans="1:29">
      <c r="A798" s="839">
        <v>659</v>
      </c>
      <c r="B798" s="23" t="s">
        <v>537</v>
      </c>
      <c r="C798" s="23"/>
      <c r="D798" s="21"/>
      <c r="E798" s="21"/>
      <c r="F798" s="2130" t="s">
        <v>1979</v>
      </c>
      <c r="G798" s="21" t="s">
        <v>542</v>
      </c>
      <c r="H798" s="21"/>
      <c r="I798" s="21"/>
      <c r="J798" s="20"/>
      <c r="K798" s="2048"/>
      <c r="L798" s="772"/>
      <c r="M798" s="22">
        <v>0.51</v>
      </c>
      <c r="N798" s="22">
        <v>2.44</v>
      </c>
      <c r="O798" s="37">
        <v>0.4</v>
      </c>
      <c r="P798" s="37"/>
      <c r="Q798" s="37">
        <f t="shared" si="104"/>
        <v>3.35</v>
      </c>
      <c r="R798" s="219"/>
      <c r="S798" s="20" t="s">
        <v>25</v>
      </c>
      <c r="T798" s="805"/>
      <c r="U798" s="120" t="s">
        <v>1406</v>
      </c>
      <c r="X798" s="1940"/>
      <c r="AC798" s="1940"/>
    </row>
    <row r="799" s="839" customFormat="1" ht="16" hidden="1" customHeight="1" spans="1:29">
      <c r="A799" s="839">
        <v>660</v>
      </c>
      <c r="B799" s="23" t="s">
        <v>537</v>
      </c>
      <c r="C799" s="23"/>
      <c r="D799" s="21"/>
      <c r="E799" s="21"/>
      <c r="F799" s="2130" t="s">
        <v>1979</v>
      </c>
      <c r="G799" s="21" t="s">
        <v>543</v>
      </c>
      <c r="H799" s="21"/>
      <c r="I799" s="21"/>
      <c r="J799" s="20"/>
      <c r="K799" s="2048"/>
      <c r="L799" s="772"/>
      <c r="M799" s="22">
        <v>0.502463054187192</v>
      </c>
      <c r="N799" s="22">
        <v>2.22</v>
      </c>
      <c r="O799" s="37">
        <v>0.4</v>
      </c>
      <c r="P799" s="37"/>
      <c r="Q799" s="37">
        <f t="shared" si="104"/>
        <v>3.12246305418719</v>
      </c>
      <c r="R799" s="219"/>
      <c r="S799" s="20" t="s">
        <v>25</v>
      </c>
      <c r="T799" s="805"/>
      <c r="U799" s="120" t="s">
        <v>1406</v>
      </c>
      <c r="X799" s="1940"/>
      <c r="AC799" s="1940"/>
    </row>
    <row r="800" s="839" customFormat="1" ht="16" hidden="1" customHeight="1" spans="1:29">
      <c r="A800" s="839">
        <v>661</v>
      </c>
      <c r="B800" s="23" t="s">
        <v>537</v>
      </c>
      <c r="C800" s="23"/>
      <c r="D800" s="21"/>
      <c r="E800" s="21"/>
      <c r="F800" s="2130" t="s">
        <v>1979</v>
      </c>
      <c r="G800" s="21" t="s">
        <v>544</v>
      </c>
      <c r="H800" s="21"/>
      <c r="I800" s="21"/>
      <c r="J800" s="20"/>
      <c r="K800" s="2048"/>
      <c r="L800" s="772"/>
      <c r="M800" s="22">
        <v>0.38423645320197</v>
      </c>
      <c r="N800" s="22">
        <v>1.74384236453202</v>
      </c>
      <c r="O800" s="37">
        <v>0.2</v>
      </c>
      <c r="P800" s="37"/>
      <c r="Q800" s="37">
        <f t="shared" si="104"/>
        <v>2.32807881773399</v>
      </c>
      <c r="R800" s="219"/>
      <c r="S800" s="20"/>
      <c r="T800" s="805"/>
      <c r="U800" s="120" t="s">
        <v>1406</v>
      </c>
      <c r="X800" s="1940"/>
      <c r="AC800" s="1940"/>
    </row>
    <row r="801" s="839" customFormat="1" ht="16" hidden="1" customHeight="1" spans="1:29">
      <c r="A801" s="839">
        <v>662</v>
      </c>
      <c r="B801" s="23" t="s">
        <v>537</v>
      </c>
      <c r="C801" s="23"/>
      <c r="D801" s="21"/>
      <c r="E801" s="21"/>
      <c r="F801" s="2130" t="s">
        <v>1979</v>
      </c>
      <c r="G801" s="21" t="s">
        <v>545</v>
      </c>
      <c r="H801" s="21"/>
      <c r="I801" s="21"/>
      <c r="J801" s="20"/>
      <c r="K801" s="2048"/>
      <c r="L801" s="772"/>
      <c r="M801" s="22">
        <v>0.669950738916256</v>
      </c>
      <c r="N801" s="22">
        <v>2.89655172413793</v>
      </c>
      <c r="O801" s="37">
        <v>0.4</v>
      </c>
      <c r="P801" s="37"/>
      <c r="Q801" s="37">
        <f t="shared" si="104"/>
        <v>3.96650246305419</v>
      </c>
      <c r="R801" s="219"/>
      <c r="S801" s="20" t="s">
        <v>25</v>
      </c>
      <c r="T801" s="805"/>
      <c r="U801" s="120" t="s">
        <v>1406</v>
      </c>
      <c r="X801" s="1940"/>
      <c r="AC801" s="1940"/>
    </row>
    <row r="802" s="839" customFormat="1" ht="16" hidden="1" customHeight="1" spans="1:29">
      <c r="A802" s="839">
        <v>663</v>
      </c>
      <c r="B802" s="23" t="s">
        <v>537</v>
      </c>
      <c r="C802" s="23"/>
      <c r="D802" s="21"/>
      <c r="E802" s="21"/>
      <c r="F802" s="2130" t="s">
        <v>1979</v>
      </c>
      <c r="G802" s="21" t="s">
        <v>546</v>
      </c>
      <c r="H802" s="21"/>
      <c r="I802" s="21"/>
      <c r="J802" s="20"/>
      <c r="K802" s="2048"/>
      <c r="L802" s="772"/>
      <c r="M802" s="22">
        <v>0.669950738916256</v>
      </c>
      <c r="N802" s="22">
        <v>2.87684729064039</v>
      </c>
      <c r="O802" s="37">
        <v>0.4</v>
      </c>
      <c r="P802" s="37"/>
      <c r="Q802" s="37">
        <f t="shared" si="104"/>
        <v>3.94679802955665</v>
      </c>
      <c r="R802" s="219"/>
      <c r="S802" s="20" t="s">
        <v>25</v>
      </c>
      <c r="T802" s="805"/>
      <c r="U802" s="120" t="s">
        <v>1406</v>
      </c>
      <c r="X802" s="1940"/>
      <c r="AC802" s="1940"/>
    </row>
    <row r="803" s="839" customFormat="1" ht="16" hidden="1" customHeight="1" spans="1:29">
      <c r="A803" s="839">
        <v>664</v>
      </c>
      <c r="B803" s="23" t="s">
        <v>537</v>
      </c>
      <c r="C803" s="23"/>
      <c r="D803" s="21"/>
      <c r="E803" s="21"/>
      <c r="F803" s="2130" t="s">
        <v>1979</v>
      </c>
      <c r="G803" s="21" t="s">
        <v>547</v>
      </c>
      <c r="H803" s="21"/>
      <c r="I803" s="21"/>
      <c r="J803" s="20"/>
      <c r="K803" s="2048"/>
      <c r="L803" s="772"/>
      <c r="M803" s="22">
        <v>0.83743842364532</v>
      </c>
      <c r="N803" s="22">
        <v>2.77832512315271</v>
      </c>
      <c r="O803" s="37">
        <v>0.2</v>
      </c>
      <c r="P803" s="37"/>
      <c r="Q803" s="37">
        <f t="shared" si="104"/>
        <v>3.81576354679803</v>
      </c>
      <c r="R803" s="219"/>
      <c r="S803" s="20"/>
      <c r="T803" s="805"/>
      <c r="U803" s="120" t="s">
        <v>1406</v>
      </c>
      <c r="X803" s="1940"/>
      <c r="AC803" s="1940"/>
    </row>
    <row r="804" s="839" customFormat="1" ht="16" hidden="1" customHeight="1" spans="1:29">
      <c r="A804" s="839">
        <v>665</v>
      </c>
      <c r="B804" s="23" t="s">
        <v>537</v>
      </c>
      <c r="C804" s="23"/>
      <c r="D804" s="21"/>
      <c r="E804" s="21"/>
      <c r="F804" s="2130" t="s">
        <v>1979</v>
      </c>
      <c r="G804" s="21" t="s">
        <v>548</v>
      </c>
      <c r="H804" s="21"/>
      <c r="I804" s="21"/>
      <c r="J804" s="20"/>
      <c r="K804" s="2048"/>
      <c r="L804" s="772"/>
      <c r="M804" s="22">
        <v>0.699507389162562</v>
      </c>
      <c r="N804" s="22">
        <v>3.37931034482759</v>
      </c>
      <c r="O804" s="37">
        <v>0.4</v>
      </c>
      <c r="P804" s="37"/>
      <c r="Q804" s="37">
        <f t="shared" si="104"/>
        <v>4.47881773399015</v>
      </c>
      <c r="R804" s="219"/>
      <c r="S804" s="20" t="s">
        <v>25</v>
      </c>
      <c r="T804" s="805"/>
      <c r="U804" s="120" t="s">
        <v>1406</v>
      </c>
      <c r="X804" s="1940"/>
      <c r="AC804" s="1940"/>
    </row>
    <row r="805" s="839" customFormat="1" ht="16" hidden="1" customHeight="1" spans="1:29">
      <c r="A805" s="839">
        <v>667</v>
      </c>
      <c r="B805" s="23" t="s">
        <v>537</v>
      </c>
      <c r="C805" s="23"/>
      <c r="D805" s="21"/>
      <c r="E805" s="21"/>
      <c r="F805" s="2130" t="s">
        <v>1979</v>
      </c>
      <c r="G805" s="21" t="s">
        <v>551</v>
      </c>
      <c r="H805" s="21"/>
      <c r="I805" s="21"/>
      <c r="J805" s="20"/>
      <c r="K805" s="2048"/>
      <c r="L805" s="772"/>
      <c r="M805" s="22">
        <v>0.541871921182266</v>
      </c>
      <c r="N805" s="22">
        <v>2.82758620689655</v>
      </c>
      <c r="O805" s="37">
        <v>0.4</v>
      </c>
      <c r="P805" s="37"/>
      <c r="Q805" s="37">
        <f t="shared" si="104"/>
        <v>3.76945812807882</v>
      </c>
      <c r="R805" s="219"/>
      <c r="S805" s="20" t="s">
        <v>25</v>
      </c>
      <c r="T805" s="805"/>
      <c r="U805" s="120" t="s">
        <v>1406</v>
      </c>
      <c r="X805" s="1940"/>
      <c r="AC805" s="1940"/>
    </row>
    <row r="806" s="839" customFormat="1" ht="16" hidden="1" customHeight="1" spans="1:29">
      <c r="A806" s="839">
        <v>668</v>
      </c>
      <c r="B806" s="23" t="s">
        <v>537</v>
      </c>
      <c r="C806" s="23"/>
      <c r="D806" s="21"/>
      <c r="E806" s="21"/>
      <c r="F806" s="2130" t="s">
        <v>1979</v>
      </c>
      <c r="G806" s="21" t="s">
        <v>552</v>
      </c>
      <c r="H806" s="21"/>
      <c r="I806" s="21"/>
      <c r="J806" s="20"/>
      <c r="K806" s="2048"/>
      <c r="L806" s="772"/>
      <c r="M806" s="22">
        <v>0.45320197044335</v>
      </c>
      <c r="N806" s="22">
        <v>2.66995073891626</v>
      </c>
      <c r="O806" s="37">
        <v>0.2</v>
      </c>
      <c r="P806" s="37"/>
      <c r="Q806" s="37">
        <f t="shared" si="104"/>
        <v>3.32315270935961</v>
      </c>
      <c r="R806" s="219"/>
      <c r="S806" s="20"/>
      <c r="T806" s="805"/>
      <c r="U806" s="120" t="s">
        <v>1406</v>
      </c>
      <c r="X806" s="1940"/>
      <c r="AC806" s="1940"/>
    </row>
    <row r="807" s="42" customFormat="1" ht="16" hidden="1" customHeight="1" spans="1:29">
      <c r="A807" s="839">
        <v>669</v>
      </c>
      <c r="B807" s="23" t="s">
        <v>537</v>
      </c>
      <c r="C807" s="23"/>
      <c r="D807" s="21"/>
      <c r="E807" s="21"/>
      <c r="F807" s="2130" t="s">
        <v>1979</v>
      </c>
      <c r="G807" s="21" t="s">
        <v>386</v>
      </c>
      <c r="H807" s="21"/>
      <c r="I807" s="21"/>
      <c r="J807" s="21"/>
      <c r="K807" s="2048"/>
      <c r="L807" s="36"/>
      <c r="M807" s="22">
        <v>0.610837438423645</v>
      </c>
      <c r="N807" s="22">
        <v>2.1871921182266</v>
      </c>
      <c r="O807" s="37">
        <v>0.2</v>
      </c>
      <c r="P807" s="37"/>
      <c r="Q807" s="37">
        <f t="shared" si="104"/>
        <v>2.99802955665025</v>
      </c>
      <c r="R807" s="219"/>
      <c r="S807" s="20"/>
      <c r="T807" s="805"/>
      <c r="U807" s="120" t="s">
        <v>1406</v>
      </c>
      <c r="X807" s="2163"/>
      <c r="AA807" s="839"/>
      <c r="AB807" s="839"/>
      <c r="AC807" s="1940"/>
    </row>
    <row r="808" s="839" customFormat="1" ht="16" hidden="1" customHeight="1" spans="1:29">
      <c r="A808" s="839">
        <v>670</v>
      </c>
      <c r="B808" s="23" t="s">
        <v>537</v>
      </c>
      <c r="C808" s="23"/>
      <c r="D808" s="21"/>
      <c r="E808" s="21"/>
      <c r="F808" s="2130" t="s">
        <v>1979</v>
      </c>
      <c r="G808" s="21" t="s">
        <v>553</v>
      </c>
      <c r="H808" s="21"/>
      <c r="I808" s="21"/>
      <c r="J808" s="20"/>
      <c r="K808" s="2048"/>
      <c r="L808" s="772"/>
      <c r="M808" s="22">
        <v>0.630541871921182</v>
      </c>
      <c r="N808" s="22">
        <v>2.19704433497537</v>
      </c>
      <c r="O808" s="37">
        <v>0.4</v>
      </c>
      <c r="P808" s="37"/>
      <c r="Q808" s="37">
        <f t="shared" si="104"/>
        <v>3.22758620689655</v>
      </c>
      <c r="R808" s="219"/>
      <c r="S808" s="20" t="s">
        <v>25</v>
      </c>
      <c r="T808" s="805"/>
      <c r="U808" s="120" t="s">
        <v>1406</v>
      </c>
      <c r="X808" s="1940"/>
      <c r="AC808" s="1940"/>
    </row>
    <row r="809" s="839" customFormat="1" ht="16" hidden="1" customHeight="1" spans="1:29">
      <c r="A809" s="839">
        <v>671</v>
      </c>
      <c r="B809" s="23" t="s">
        <v>537</v>
      </c>
      <c r="C809" s="23"/>
      <c r="D809" s="21"/>
      <c r="E809" s="21"/>
      <c r="F809" s="2130" t="s">
        <v>1979</v>
      </c>
      <c r="G809" s="21" t="s">
        <v>554</v>
      </c>
      <c r="H809" s="21"/>
      <c r="I809" s="21"/>
      <c r="J809" s="20"/>
      <c r="K809" s="2048"/>
      <c r="L809" s="772"/>
      <c r="M809" s="22">
        <v>0.669950738916256</v>
      </c>
      <c r="N809" s="22">
        <v>2.92610837438424</v>
      </c>
      <c r="O809" s="37">
        <v>0.4</v>
      </c>
      <c r="P809" s="37"/>
      <c r="Q809" s="37">
        <f t="shared" si="104"/>
        <v>3.9960591133005</v>
      </c>
      <c r="R809" s="219"/>
      <c r="S809" s="20" t="s">
        <v>25</v>
      </c>
      <c r="T809" s="805"/>
      <c r="U809" s="120" t="s">
        <v>1406</v>
      </c>
      <c r="X809" s="1940"/>
      <c r="AC809" s="1940"/>
    </row>
    <row r="810" s="839" customFormat="1" ht="16" hidden="1" customHeight="1" spans="1:29">
      <c r="A810" s="839">
        <v>672</v>
      </c>
      <c r="B810" s="23" t="s">
        <v>537</v>
      </c>
      <c r="C810" s="23"/>
      <c r="D810" s="21"/>
      <c r="E810" s="21"/>
      <c r="F810" s="2130" t="s">
        <v>1979</v>
      </c>
      <c r="G810" s="21" t="s">
        <v>555</v>
      </c>
      <c r="H810" s="21"/>
      <c r="I810" s="21"/>
      <c r="J810" s="20"/>
      <c r="K810" s="2048"/>
      <c r="L810" s="772"/>
      <c r="M810" s="22">
        <v>0.669950738916256</v>
      </c>
      <c r="N810" s="22">
        <v>2.88669950738916</v>
      </c>
      <c r="O810" s="37">
        <v>0.4</v>
      </c>
      <c r="P810" s="37"/>
      <c r="Q810" s="37">
        <f t="shared" si="104"/>
        <v>3.95665024630542</v>
      </c>
      <c r="R810" s="219"/>
      <c r="S810" s="20" t="s">
        <v>25</v>
      </c>
      <c r="T810" s="805"/>
      <c r="U810" s="120" t="s">
        <v>1406</v>
      </c>
      <c r="X810" s="1940"/>
      <c r="AC810" s="1940"/>
    </row>
    <row r="811" s="839" customFormat="1" ht="16" hidden="1" customHeight="1" spans="1:29">
      <c r="A811" s="839">
        <v>673</v>
      </c>
      <c r="B811" s="23" t="s">
        <v>537</v>
      </c>
      <c r="C811" s="23"/>
      <c r="D811" s="21"/>
      <c r="E811" s="21"/>
      <c r="F811" s="2130" t="s">
        <v>1979</v>
      </c>
      <c r="G811" s="21" t="s">
        <v>556</v>
      </c>
      <c r="H811" s="21"/>
      <c r="I811" s="21"/>
      <c r="J811" s="20"/>
      <c r="K811" s="2048"/>
      <c r="L811" s="772"/>
      <c r="M811" s="22">
        <v>0.532019704433498</v>
      </c>
      <c r="N811" s="22">
        <v>2.86699507389163</v>
      </c>
      <c r="O811" s="37">
        <v>0.4</v>
      </c>
      <c r="P811" s="37"/>
      <c r="Q811" s="37">
        <f t="shared" si="104"/>
        <v>3.79901477832513</v>
      </c>
      <c r="R811" s="219"/>
      <c r="S811" s="20" t="s">
        <v>25</v>
      </c>
      <c r="T811" s="805"/>
      <c r="U811" s="120" t="s">
        <v>1406</v>
      </c>
      <c r="X811" s="1940"/>
      <c r="AC811" s="1940"/>
    </row>
    <row r="812" s="839" customFormat="1" ht="16" hidden="1" customHeight="1" spans="1:29">
      <c r="A812" s="839">
        <v>674</v>
      </c>
      <c r="B812" s="23" t="s">
        <v>537</v>
      </c>
      <c r="C812" s="23"/>
      <c r="D812" s="876"/>
      <c r="E812" s="876"/>
      <c r="F812" s="2130" t="s">
        <v>1979</v>
      </c>
      <c r="G812" s="21" t="s">
        <v>473</v>
      </c>
      <c r="H812" s="21"/>
      <c r="I812" s="21"/>
      <c r="J812" s="20"/>
      <c r="K812" s="2048"/>
      <c r="L812" s="772"/>
      <c r="M812" s="22">
        <v>0.51</v>
      </c>
      <c r="N812" s="22">
        <v>3.16</v>
      </c>
      <c r="O812" s="37">
        <v>0.4</v>
      </c>
      <c r="P812" s="37"/>
      <c r="Q812" s="37">
        <f t="shared" si="104"/>
        <v>4.07</v>
      </c>
      <c r="R812" s="219"/>
      <c r="S812" s="20" t="s">
        <v>25</v>
      </c>
      <c r="T812" s="805"/>
      <c r="U812" s="120" t="s">
        <v>1406</v>
      </c>
      <c r="X812" s="1940"/>
      <c r="AC812" s="1940"/>
    </row>
    <row r="813" s="839" customFormat="1" ht="16" hidden="1" customHeight="1" spans="1:29">
      <c r="A813" s="839">
        <v>675</v>
      </c>
      <c r="B813" s="23" t="s">
        <v>537</v>
      </c>
      <c r="C813" s="23"/>
      <c r="D813" s="21"/>
      <c r="E813" s="21"/>
      <c r="F813" s="2130" t="s">
        <v>1979</v>
      </c>
      <c r="G813" s="21" t="s">
        <v>557</v>
      </c>
      <c r="H813" s="21"/>
      <c r="I813" s="21"/>
      <c r="J813" s="20"/>
      <c r="K813" s="2048"/>
      <c r="L813" s="772"/>
      <c r="M813" s="22">
        <v>0.58128078817734</v>
      </c>
      <c r="N813" s="22">
        <v>4.77832512315271</v>
      </c>
      <c r="O813" s="37">
        <v>0.4</v>
      </c>
      <c r="P813" s="37"/>
      <c r="Q813" s="37">
        <f t="shared" si="104"/>
        <v>5.75960591133005</v>
      </c>
      <c r="R813" s="219"/>
      <c r="S813" s="20" t="s">
        <v>558</v>
      </c>
      <c r="T813" s="805"/>
      <c r="U813" s="120" t="s">
        <v>1406</v>
      </c>
      <c r="X813" s="1940"/>
      <c r="AC813" s="1940"/>
    </row>
    <row r="814" s="839" customFormat="1" ht="16" hidden="1" customHeight="1" spans="1:29">
      <c r="A814" s="839">
        <v>676</v>
      </c>
      <c r="B814" s="23" t="s">
        <v>537</v>
      </c>
      <c r="C814" s="23"/>
      <c r="D814" s="21"/>
      <c r="E814" s="21"/>
      <c r="F814" s="2130" t="s">
        <v>1979</v>
      </c>
      <c r="G814" s="21" t="s">
        <v>559</v>
      </c>
      <c r="H814" s="21"/>
      <c r="I814" s="21"/>
      <c r="J814" s="20"/>
      <c r="K814" s="2048"/>
      <c r="L814" s="772"/>
      <c r="M814" s="22">
        <v>0.660098522167488</v>
      </c>
      <c r="N814" s="22">
        <v>2.89655172413793</v>
      </c>
      <c r="O814" s="37">
        <v>0.4</v>
      </c>
      <c r="P814" s="37"/>
      <c r="Q814" s="37">
        <f t="shared" si="104"/>
        <v>3.95665024630542</v>
      </c>
      <c r="R814" s="219"/>
      <c r="S814" s="20" t="s">
        <v>25</v>
      </c>
      <c r="T814" s="805"/>
      <c r="U814" s="120" t="s">
        <v>1406</v>
      </c>
      <c r="X814" s="1940"/>
      <c r="AC814" s="1940"/>
    </row>
    <row r="815" s="839" customFormat="1" ht="16" hidden="1" customHeight="1" spans="1:29">
      <c r="A815" s="839">
        <v>677</v>
      </c>
      <c r="B815" s="23" t="s">
        <v>537</v>
      </c>
      <c r="C815" s="23"/>
      <c r="D815" s="21"/>
      <c r="E815" s="21"/>
      <c r="F815" s="2130" t="s">
        <v>1979</v>
      </c>
      <c r="G815" s="21" t="s">
        <v>560</v>
      </c>
      <c r="H815" s="21"/>
      <c r="I815" s="21"/>
      <c r="J815" s="20"/>
      <c r="K815" s="2048"/>
      <c r="L815" s="772"/>
      <c r="M815" s="22">
        <v>0.699507389162562</v>
      </c>
      <c r="N815" s="22">
        <v>5.064039408867</v>
      </c>
      <c r="O815" s="37">
        <v>0.45</v>
      </c>
      <c r="P815" s="37"/>
      <c r="Q815" s="37">
        <f t="shared" ref="Q815:Q878" si="105">SUM(K815:O815)</f>
        <v>6.21354679802956</v>
      </c>
      <c r="R815" s="219"/>
      <c r="S815" s="20" t="s">
        <v>25</v>
      </c>
      <c r="T815" s="805"/>
      <c r="U815" s="120" t="s">
        <v>1406</v>
      </c>
      <c r="X815" s="1940"/>
      <c r="AC815" s="1940"/>
    </row>
    <row r="816" s="42" customFormat="1" ht="16" hidden="1" customHeight="1" spans="1:29">
      <c r="A816" s="839">
        <v>678</v>
      </c>
      <c r="B816" s="23" t="s">
        <v>537</v>
      </c>
      <c r="C816" s="23"/>
      <c r="D816" s="21">
        <v>20241009</v>
      </c>
      <c r="E816" s="21">
        <v>7.17</v>
      </c>
      <c r="F816" s="2132" t="s">
        <v>561</v>
      </c>
      <c r="G816" s="21" t="s">
        <v>562</v>
      </c>
      <c r="H816" s="21"/>
      <c r="I816" s="21"/>
      <c r="J816" s="23"/>
      <c r="K816" s="2048"/>
      <c r="L816" s="973"/>
      <c r="M816" s="22">
        <v>0.313520408533924</v>
      </c>
      <c r="N816" s="22">
        <v>1.31484571214846</v>
      </c>
      <c r="O816" s="37">
        <v>0.2</v>
      </c>
      <c r="P816" s="37"/>
      <c r="Q816" s="22">
        <f t="shared" si="105"/>
        <v>1.82836612068238</v>
      </c>
      <c r="R816" s="219"/>
      <c r="S816" s="23"/>
      <c r="T816" s="804"/>
      <c r="U816" s="120" t="s">
        <v>1406</v>
      </c>
      <c r="X816" s="2163"/>
      <c r="AA816" s="839"/>
      <c r="AB816" s="839"/>
      <c r="AC816" s="1940"/>
    </row>
    <row r="817" s="42" customFormat="1" ht="16" hidden="1" customHeight="1" spans="1:29">
      <c r="A817" s="839">
        <v>679</v>
      </c>
      <c r="B817" s="23" t="s">
        <v>537</v>
      </c>
      <c r="C817" s="23"/>
      <c r="D817" s="21"/>
      <c r="E817" s="21"/>
      <c r="F817" s="2130" t="s">
        <v>1979</v>
      </c>
      <c r="G817" s="21" t="s">
        <v>563</v>
      </c>
      <c r="H817" s="21"/>
      <c r="I817" s="21"/>
      <c r="J817" s="23"/>
      <c r="K817" s="2048"/>
      <c r="L817" s="973"/>
      <c r="M817" s="22">
        <v>0.866995073891626</v>
      </c>
      <c r="N817" s="22">
        <v>5.58620689655172</v>
      </c>
      <c r="O817" s="37">
        <v>0.4</v>
      </c>
      <c r="P817" s="37"/>
      <c r="Q817" s="37">
        <f t="shared" si="105"/>
        <v>6.85320197044335</v>
      </c>
      <c r="R817" s="219"/>
      <c r="S817" s="23" t="s">
        <v>564</v>
      </c>
      <c r="T817" s="804"/>
      <c r="U817" s="120" t="s">
        <v>1406</v>
      </c>
      <c r="X817" s="2163"/>
      <c r="AA817" s="839"/>
      <c r="AB817" s="839"/>
      <c r="AC817" s="1940"/>
    </row>
    <row r="818" s="839" customFormat="1" ht="16" hidden="1" customHeight="1" spans="1:29">
      <c r="A818" s="839">
        <v>680</v>
      </c>
      <c r="B818" s="23" t="s">
        <v>537</v>
      </c>
      <c r="C818" s="23"/>
      <c r="D818" s="21"/>
      <c r="E818" s="21"/>
      <c r="F818" s="2130" t="s">
        <v>1979</v>
      </c>
      <c r="G818" s="21" t="s">
        <v>565</v>
      </c>
      <c r="H818" s="21"/>
      <c r="I818" s="21"/>
      <c r="J818" s="20"/>
      <c r="K818" s="2048"/>
      <c r="L818" s="772"/>
      <c r="M818" s="22">
        <v>0.70935960591133</v>
      </c>
      <c r="N818" s="22">
        <v>4.24630541871921</v>
      </c>
      <c r="O818" s="37">
        <v>0.4</v>
      </c>
      <c r="P818" s="37"/>
      <c r="Q818" s="37">
        <f t="shared" si="105"/>
        <v>5.35566502463054</v>
      </c>
      <c r="R818" s="219"/>
      <c r="S818" s="20" t="s">
        <v>25</v>
      </c>
      <c r="T818" s="805"/>
      <c r="U818" s="120" t="s">
        <v>1406</v>
      </c>
      <c r="X818" s="1940"/>
      <c r="AC818" s="1940"/>
    </row>
    <row r="819" s="839" customFormat="1" ht="16" hidden="1" customHeight="1" spans="1:29">
      <c r="A819" s="839">
        <v>681</v>
      </c>
      <c r="B819" s="23" t="s">
        <v>537</v>
      </c>
      <c r="C819" s="23"/>
      <c r="D819" s="21"/>
      <c r="E819" s="21"/>
      <c r="F819" s="2130" t="s">
        <v>1979</v>
      </c>
      <c r="G819" s="21" t="s">
        <v>566</v>
      </c>
      <c r="H819" s="21"/>
      <c r="I819" s="21"/>
      <c r="J819" s="20"/>
      <c r="K819" s="2048"/>
      <c r="L819" s="772"/>
      <c r="M819" s="22">
        <v>0.58</v>
      </c>
      <c r="N819" s="22">
        <v>3.17</v>
      </c>
      <c r="O819" s="37">
        <v>0.4</v>
      </c>
      <c r="P819" s="37"/>
      <c r="Q819" s="37">
        <f t="shared" si="105"/>
        <v>4.15</v>
      </c>
      <c r="R819" s="219"/>
      <c r="S819" s="23" t="s">
        <v>567</v>
      </c>
      <c r="T819" s="804"/>
      <c r="U819" s="120" t="s">
        <v>1406</v>
      </c>
      <c r="X819" s="1940"/>
      <c r="AC819" s="1940"/>
    </row>
    <row r="820" s="839" customFormat="1" ht="16" hidden="1" customHeight="1" spans="1:29">
      <c r="A820" s="839">
        <v>682</v>
      </c>
      <c r="B820" s="23" t="s">
        <v>537</v>
      </c>
      <c r="C820" s="23"/>
      <c r="D820" s="21"/>
      <c r="E820" s="21"/>
      <c r="F820" s="2130" t="s">
        <v>1979</v>
      </c>
      <c r="G820" s="21" t="s">
        <v>474</v>
      </c>
      <c r="H820" s="21"/>
      <c r="I820" s="21"/>
      <c r="J820" s="20"/>
      <c r="K820" s="2048"/>
      <c r="L820" s="772"/>
      <c r="M820" s="22">
        <v>0.413793103448276</v>
      </c>
      <c r="N820" s="22">
        <v>1.0097963651799</v>
      </c>
      <c r="O820" s="37">
        <v>0.4</v>
      </c>
      <c r="P820" s="37"/>
      <c r="Q820" s="37">
        <f t="shared" si="105"/>
        <v>1.82358946862818</v>
      </c>
      <c r="R820" s="219"/>
      <c r="S820" s="20"/>
      <c r="T820" s="805"/>
      <c r="U820" s="120" t="s">
        <v>1406</v>
      </c>
      <c r="X820" s="1940"/>
      <c r="AC820" s="1940"/>
    </row>
    <row r="821" s="839" customFormat="1" ht="16" hidden="1" customHeight="1" spans="1:29">
      <c r="A821" s="839">
        <v>683</v>
      </c>
      <c r="B821" s="23" t="s">
        <v>537</v>
      </c>
      <c r="C821" s="23"/>
      <c r="D821" s="21"/>
      <c r="E821" s="21"/>
      <c r="F821" s="2130" t="s">
        <v>1979</v>
      </c>
      <c r="G821" s="21" t="s">
        <v>568</v>
      </c>
      <c r="H821" s="21"/>
      <c r="I821" s="21"/>
      <c r="J821" s="20"/>
      <c r="K821" s="2048"/>
      <c r="L821" s="772"/>
      <c r="M821" s="22">
        <v>0.620689655172414</v>
      </c>
      <c r="N821" s="22">
        <v>3.71748042402511</v>
      </c>
      <c r="O821" s="37">
        <v>0.4</v>
      </c>
      <c r="P821" s="37"/>
      <c r="Q821" s="37">
        <f t="shared" si="105"/>
        <v>4.73817007919752</v>
      </c>
      <c r="R821" s="219"/>
      <c r="S821" s="23" t="s">
        <v>567</v>
      </c>
      <c r="T821" s="804"/>
      <c r="U821" s="120" t="s">
        <v>1406</v>
      </c>
      <c r="X821" s="1940"/>
      <c r="AC821" s="1940"/>
    </row>
    <row r="822" s="839" customFormat="1" ht="16" hidden="1" customHeight="1" spans="1:29">
      <c r="A822" s="839">
        <v>684</v>
      </c>
      <c r="B822" s="23" t="s">
        <v>537</v>
      </c>
      <c r="C822" s="23"/>
      <c r="D822" s="21"/>
      <c r="E822" s="21"/>
      <c r="F822" s="2130" t="s">
        <v>1979</v>
      </c>
      <c r="G822" s="21" t="s">
        <v>569</v>
      </c>
      <c r="H822" s="21"/>
      <c r="I822" s="21"/>
      <c r="J822" s="20"/>
      <c r="K822" s="2048"/>
      <c r="L822" s="772"/>
      <c r="M822" s="22">
        <v>0.83</v>
      </c>
      <c r="N822" s="22">
        <v>6.56</v>
      </c>
      <c r="O822" s="37">
        <v>0.4</v>
      </c>
      <c r="P822" s="37"/>
      <c r="Q822" s="37">
        <f t="shared" si="105"/>
        <v>7.79</v>
      </c>
      <c r="R822" s="219"/>
      <c r="S822" s="20" t="s">
        <v>499</v>
      </c>
      <c r="T822" s="805"/>
      <c r="U822" s="120" t="s">
        <v>1406</v>
      </c>
      <c r="X822" s="1940"/>
      <c r="AC822" s="1940"/>
    </row>
    <row r="823" s="839" customFormat="1" ht="16" hidden="1" customHeight="1" spans="1:29">
      <c r="A823" s="839">
        <v>685</v>
      </c>
      <c r="B823" s="23" t="s">
        <v>537</v>
      </c>
      <c r="C823" s="23"/>
      <c r="D823" s="21"/>
      <c r="E823" s="21"/>
      <c r="F823" s="2130" t="s">
        <v>1979</v>
      </c>
      <c r="G823" s="21" t="s">
        <v>570</v>
      </c>
      <c r="H823" s="21"/>
      <c r="I823" s="21"/>
      <c r="J823" s="20"/>
      <c r="K823" s="2048"/>
      <c r="L823" s="772"/>
      <c r="M823" s="22">
        <v>0.719211822660099</v>
      </c>
      <c r="N823" s="22">
        <v>2.07321023647555</v>
      </c>
      <c r="O823" s="37">
        <v>0.2</v>
      </c>
      <c r="P823" s="37"/>
      <c r="Q823" s="37">
        <f t="shared" si="105"/>
        <v>2.99242205913565</v>
      </c>
      <c r="R823" s="219"/>
      <c r="S823" s="20"/>
      <c r="T823" s="805"/>
      <c r="U823" s="120" t="s">
        <v>1406</v>
      </c>
      <c r="X823" s="1940"/>
      <c r="AC823" s="1940"/>
    </row>
    <row r="824" s="839" customFormat="1" ht="16" hidden="1" customHeight="1" spans="1:29">
      <c r="A824" s="839">
        <v>686</v>
      </c>
      <c r="B824" s="23" t="s">
        <v>537</v>
      </c>
      <c r="C824" s="23"/>
      <c r="D824" s="21"/>
      <c r="E824" s="21"/>
      <c r="F824" s="2130" t="s">
        <v>1979</v>
      </c>
      <c r="G824" s="21" t="s">
        <v>571</v>
      </c>
      <c r="H824" s="21"/>
      <c r="I824" s="21"/>
      <c r="J824" s="20"/>
      <c r="K824" s="2048"/>
      <c r="L824" s="772"/>
      <c r="M824" s="22">
        <v>0.56890012642225</v>
      </c>
      <c r="N824" s="22">
        <v>4.13515181415929</v>
      </c>
      <c r="O824" s="37">
        <v>0.4</v>
      </c>
      <c r="P824" s="37"/>
      <c r="Q824" s="37">
        <f t="shared" si="105"/>
        <v>5.10405194058154</v>
      </c>
      <c r="R824" s="219"/>
      <c r="S824" s="23" t="s">
        <v>572</v>
      </c>
      <c r="T824" s="804"/>
      <c r="U824" s="120" t="s">
        <v>1406</v>
      </c>
      <c r="X824" s="1940"/>
      <c r="AC824" s="1940"/>
    </row>
    <row r="825" s="839" customFormat="1" ht="16" hidden="1" customHeight="1" spans="1:29">
      <c r="A825" s="839">
        <v>687</v>
      </c>
      <c r="B825" s="23" t="s">
        <v>537</v>
      </c>
      <c r="C825" s="23"/>
      <c r="D825" s="21"/>
      <c r="E825" s="21"/>
      <c r="F825" s="2130" t="s">
        <v>1979</v>
      </c>
      <c r="G825" s="21" t="s">
        <v>471</v>
      </c>
      <c r="H825" s="21"/>
      <c r="I825" s="21"/>
      <c r="J825" s="20"/>
      <c r="K825" s="2048"/>
      <c r="L825" s="772"/>
      <c r="M825" s="22">
        <v>0.675188462799082</v>
      </c>
      <c r="N825" s="22">
        <v>1.56272654587021</v>
      </c>
      <c r="O825" s="37">
        <v>0.2</v>
      </c>
      <c r="P825" s="37"/>
      <c r="Q825" s="37">
        <f t="shared" si="105"/>
        <v>2.43791500866929</v>
      </c>
      <c r="R825" s="219"/>
      <c r="S825" s="20"/>
      <c r="T825" s="805"/>
      <c r="U825" s="120" t="s">
        <v>1406</v>
      </c>
      <c r="X825" s="1940"/>
      <c r="AC825" s="1940"/>
    </row>
    <row r="826" s="839" customFormat="1" ht="16" hidden="1" customHeight="1" spans="1:29">
      <c r="A826" s="839">
        <v>688</v>
      </c>
      <c r="B826" s="23" t="s">
        <v>537</v>
      </c>
      <c r="C826" s="23"/>
      <c r="D826" s="21"/>
      <c r="E826" s="21"/>
      <c r="F826" s="2130" t="s">
        <v>1979</v>
      </c>
      <c r="G826" s="21" t="s">
        <v>573</v>
      </c>
      <c r="H826" s="21"/>
      <c r="I826" s="21"/>
      <c r="J826" s="20"/>
      <c r="K826" s="2048"/>
      <c r="L826" s="772"/>
      <c r="M826" s="22">
        <v>0.482758620689655</v>
      </c>
      <c r="N826" s="22">
        <v>3.61918166281291</v>
      </c>
      <c r="O826" s="37">
        <v>0.4</v>
      </c>
      <c r="P826" s="37"/>
      <c r="Q826" s="37">
        <f t="shared" si="105"/>
        <v>4.50194028350257</v>
      </c>
      <c r="R826" s="219"/>
      <c r="S826" s="23" t="s">
        <v>567</v>
      </c>
      <c r="T826" s="804"/>
      <c r="U826" s="120" t="s">
        <v>1406</v>
      </c>
      <c r="X826" s="1940"/>
      <c r="AC826" s="1940"/>
    </row>
    <row r="827" s="839" customFormat="1" ht="16" hidden="1" customHeight="1" spans="1:29">
      <c r="A827" s="839">
        <v>689</v>
      </c>
      <c r="B827" s="23" t="s">
        <v>537</v>
      </c>
      <c r="C827" s="23"/>
      <c r="D827" s="21"/>
      <c r="E827" s="21"/>
      <c r="F827" s="2130" t="s">
        <v>1979</v>
      </c>
      <c r="G827" s="21" t="s">
        <v>574</v>
      </c>
      <c r="H827" s="21"/>
      <c r="I827" s="21"/>
      <c r="J827" s="20"/>
      <c r="K827" s="2048"/>
      <c r="L827" s="772"/>
      <c r="M827" s="22">
        <v>0.689655172413793</v>
      </c>
      <c r="N827" s="22">
        <v>4.8768472906404</v>
      </c>
      <c r="O827" s="37">
        <v>0.4</v>
      </c>
      <c r="P827" s="37"/>
      <c r="Q827" s="37">
        <f t="shared" si="105"/>
        <v>5.96650246305419</v>
      </c>
      <c r="R827" s="219"/>
      <c r="S827" s="23" t="s">
        <v>476</v>
      </c>
      <c r="T827" s="804"/>
      <c r="U827" s="120" t="s">
        <v>1406</v>
      </c>
      <c r="X827" s="1940"/>
      <c r="AC827" s="1940"/>
    </row>
    <row r="828" s="839" customFormat="1" ht="16" hidden="1" customHeight="1" spans="1:29">
      <c r="A828" s="839">
        <v>690</v>
      </c>
      <c r="B828" s="23" t="s">
        <v>537</v>
      </c>
      <c r="C828" s="23"/>
      <c r="D828" s="21"/>
      <c r="E828" s="21"/>
      <c r="F828" s="2130" t="s">
        <v>1979</v>
      </c>
      <c r="G828" s="21" t="s">
        <v>575</v>
      </c>
      <c r="H828" s="21"/>
      <c r="I828" s="21"/>
      <c r="J828" s="20"/>
      <c r="K828" s="2048"/>
      <c r="L828" s="772"/>
      <c r="M828" s="22">
        <v>0.81</v>
      </c>
      <c r="N828" s="22">
        <v>6.7</v>
      </c>
      <c r="O828" s="37">
        <v>0.4</v>
      </c>
      <c r="P828" s="37"/>
      <c r="Q828" s="37">
        <f t="shared" si="105"/>
        <v>7.91</v>
      </c>
      <c r="R828" s="219"/>
      <c r="S828" s="23" t="s">
        <v>572</v>
      </c>
      <c r="T828" s="804"/>
      <c r="U828" s="120" t="s">
        <v>1406</v>
      </c>
      <c r="X828" s="1940"/>
      <c r="AC828" s="1940"/>
    </row>
    <row r="829" s="839" customFormat="1" ht="16" hidden="1" customHeight="1" spans="1:29">
      <c r="A829" s="839">
        <v>691</v>
      </c>
      <c r="B829" s="23" t="s">
        <v>537</v>
      </c>
      <c r="C829" s="23"/>
      <c r="D829" s="21">
        <v>20250218</v>
      </c>
      <c r="E829" s="21">
        <v>7.17</v>
      </c>
      <c r="F829" s="2132" t="s">
        <v>576</v>
      </c>
      <c r="G829" s="21" t="s">
        <v>577</v>
      </c>
      <c r="H829" s="21"/>
      <c r="I829" s="21"/>
      <c r="J829" s="20"/>
      <c r="K829" s="2048"/>
      <c r="L829" s="772"/>
      <c r="M829" s="22">
        <v>0.685869769187465</v>
      </c>
      <c r="N829" s="22">
        <v>4.65792963177092</v>
      </c>
      <c r="O829" s="37">
        <v>0.4</v>
      </c>
      <c r="P829" s="37"/>
      <c r="Q829" s="37">
        <f t="shared" si="105"/>
        <v>5.74379940095839</v>
      </c>
      <c r="R829" s="219"/>
      <c r="S829" s="23" t="s">
        <v>476</v>
      </c>
      <c r="T829" s="804"/>
      <c r="U829" s="120" t="s">
        <v>1406</v>
      </c>
      <c r="X829" s="1940"/>
      <c r="AC829" s="1940"/>
    </row>
    <row r="830" s="839" customFormat="1" ht="16" hidden="1" customHeight="1" spans="1:29">
      <c r="A830" s="839">
        <v>692</v>
      </c>
      <c r="B830" s="23" t="s">
        <v>537</v>
      </c>
      <c r="C830" s="23"/>
      <c r="D830" s="21"/>
      <c r="E830" s="21"/>
      <c r="F830" s="2130" t="s">
        <v>1979</v>
      </c>
      <c r="G830" s="21" t="s">
        <v>578</v>
      </c>
      <c r="H830" s="21"/>
      <c r="I830" s="21"/>
      <c r="J830" s="20"/>
      <c r="K830" s="2048"/>
      <c r="L830" s="772"/>
      <c r="M830" s="22">
        <v>0.413793103448276</v>
      </c>
      <c r="N830" s="22">
        <v>2.16780045351474</v>
      </c>
      <c r="O830" s="37">
        <v>0.2</v>
      </c>
      <c r="P830" s="37"/>
      <c r="Q830" s="37">
        <f t="shared" si="105"/>
        <v>2.78159355696302</v>
      </c>
      <c r="R830" s="219"/>
      <c r="S830" s="23"/>
      <c r="T830" s="804"/>
      <c r="U830" s="120" t="s">
        <v>1406</v>
      </c>
      <c r="X830" s="1940"/>
      <c r="AC830" s="1940"/>
    </row>
    <row r="831" s="839" customFormat="1" ht="16" hidden="1" customHeight="1" spans="1:29">
      <c r="A831" s="839">
        <v>693</v>
      </c>
      <c r="B831" s="23" t="s">
        <v>537</v>
      </c>
      <c r="C831" s="23"/>
      <c r="D831" s="21"/>
      <c r="E831" s="21"/>
      <c r="F831" s="2130" t="s">
        <v>1979</v>
      </c>
      <c r="G831" s="21" t="s">
        <v>475</v>
      </c>
      <c r="H831" s="21"/>
      <c r="I831" s="21"/>
      <c r="J831" s="20"/>
      <c r="K831" s="2048"/>
      <c r="L831" s="772"/>
      <c r="M831" s="22">
        <v>0.74</v>
      </c>
      <c r="N831" s="22">
        <v>5.49</v>
      </c>
      <c r="O831" s="37">
        <v>0.4</v>
      </c>
      <c r="P831" s="37"/>
      <c r="Q831" s="37">
        <f t="shared" si="105"/>
        <v>6.63</v>
      </c>
      <c r="R831" s="219"/>
      <c r="S831" s="23" t="s">
        <v>476</v>
      </c>
      <c r="T831" s="804"/>
      <c r="U831" s="120" t="s">
        <v>1406</v>
      </c>
      <c r="X831" s="1940"/>
      <c r="AC831" s="1940"/>
    </row>
    <row r="832" s="839" customFormat="1" ht="16" hidden="1" customHeight="1" spans="1:29">
      <c r="A832" s="839">
        <v>694</v>
      </c>
      <c r="B832" s="23" t="s">
        <v>537</v>
      </c>
      <c r="C832" s="23"/>
      <c r="D832" s="21"/>
      <c r="E832" s="21"/>
      <c r="F832" s="2130" t="s">
        <v>1979</v>
      </c>
      <c r="G832" s="21" t="s">
        <v>579</v>
      </c>
      <c r="H832" s="21"/>
      <c r="I832" s="21"/>
      <c r="J832" s="20"/>
      <c r="K832" s="2048"/>
      <c r="L832" s="772"/>
      <c r="M832" s="22">
        <v>0.59</v>
      </c>
      <c r="N832" s="22">
        <v>5.06685432793807</v>
      </c>
      <c r="O832" s="37">
        <v>0.4</v>
      </c>
      <c r="P832" s="37"/>
      <c r="Q832" s="37">
        <f t="shared" si="105"/>
        <v>6.05685432793807</v>
      </c>
      <c r="R832" s="219"/>
      <c r="S832" s="23" t="s">
        <v>476</v>
      </c>
      <c r="T832" s="804"/>
      <c r="U832" s="120" t="s">
        <v>1406</v>
      </c>
      <c r="X832" s="1940"/>
      <c r="AC832" s="1940"/>
    </row>
    <row r="833" s="839" customFormat="1" ht="16" hidden="1" customHeight="1" spans="1:29">
      <c r="A833" s="839">
        <v>695</v>
      </c>
      <c r="B833" s="23" t="s">
        <v>537</v>
      </c>
      <c r="C833" s="23"/>
      <c r="D833" s="21"/>
      <c r="E833" s="21"/>
      <c r="F833" s="2130" t="s">
        <v>1979</v>
      </c>
      <c r="G833" s="21" t="s">
        <v>580</v>
      </c>
      <c r="H833" s="21"/>
      <c r="I833" s="21"/>
      <c r="J833" s="20"/>
      <c r="K833" s="2048"/>
      <c r="L833" s="772"/>
      <c r="M833" s="22">
        <v>0.571428571428571</v>
      </c>
      <c r="N833" s="22">
        <v>2.77832512315271</v>
      </c>
      <c r="O833" s="37">
        <v>0.4</v>
      </c>
      <c r="P833" s="37"/>
      <c r="Q833" s="37">
        <f t="shared" si="105"/>
        <v>3.74975369458128</v>
      </c>
      <c r="R833" s="219"/>
      <c r="S833" s="23" t="s">
        <v>581</v>
      </c>
      <c r="T833" s="804"/>
      <c r="U833" s="120" t="s">
        <v>1406</v>
      </c>
      <c r="X833" s="1940"/>
      <c r="AC833" s="1940"/>
    </row>
    <row r="834" s="187" customFormat="1" ht="16" hidden="1" customHeight="1" spans="1:29">
      <c r="A834" s="839">
        <v>696</v>
      </c>
      <c r="B834" s="23" t="s">
        <v>537</v>
      </c>
      <c r="C834" s="23"/>
      <c r="D834" s="21"/>
      <c r="E834" s="21"/>
      <c r="F834" s="2130" t="s">
        <v>1979</v>
      </c>
      <c r="G834" s="21" t="s">
        <v>582</v>
      </c>
      <c r="H834" s="21"/>
      <c r="I834" s="21"/>
      <c r="J834" s="21"/>
      <c r="K834" s="2048"/>
      <c r="L834" s="36"/>
      <c r="M834" s="22">
        <v>0.571428571428571</v>
      </c>
      <c r="N834" s="22">
        <v>4.59113300492611</v>
      </c>
      <c r="O834" s="37">
        <v>0.4</v>
      </c>
      <c r="P834" s="37"/>
      <c r="Q834" s="37">
        <f t="shared" si="105"/>
        <v>5.56256157635468</v>
      </c>
      <c r="R834" s="219"/>
      <c r="S834" s="23" t="s">
        <v>476</v>
      </c>
      <c r="T834" s="804"/>
      <c r="U834" s="120" t="s">
        <v>1406</v>
      </c>
      <c r="X834" s="2180"/>
      <c r="AA834" s="839"/>
      <c r="AB834" s="839"/>
      <c r="AC834" s="1940"/>
    </row>
    <row r="835" s="187" customFormat="1" ht="16" hidden="1" customHeight="1" spans="1:29">
      <c r="A835" s="839">
        <v>697</v>
      </c>
      <c r="B835" s="23" t="s">
        <v>537</v>
      </c>
      <c r="C835" s="23"/>
      <c r="D835" s="21">
        <v>20241120</v>
      </c>
      <c r="E835" s="21">
        <v>7.17</v>
      </c>
      <c r="F835" s="2132" t="s">
        <v>583</v>
      </c>
      <c r="G835" s="21" t="s">
        <v>584</v>
      </c>
      <c r="H835" s="21"/>
      <c r="I835" s="21"/>
      <c r="J835" s="21"/>
      <c r="K835" s="2048"/>
      <c r="L835" s="36"/>
      <c r="M835" s="22">
        <v>0.531598246476565</v>
      </c>
      <c r="N835" s="22">
        <v>2.22670179043647</v>
      </c>
      <c r="O835" s="37">
        <v>0.4</v>
      </c>
      <c r="P835" s="37"/>
      <c r="Q835" s="37">
        <f t="shared" si="105"/>
        <v>3.15830003691303</v>
      </c>
      <c r="R835" s="219"/>
      <c r="S835" s="23" t="s">
        <v>3109</v>
      </c>
      <c r="T835" s="804"/>
      <c r="U835" s="120"/>
      <c r="X835" s="2180"/>
      <c r="AA835" s="839"/>
      <c r="AB835" s="839"/>
      <c r="AC835" s="1940"/>
    </row>
    <row r="836" s="187" customFormat="1" ht="16" hidden="1" customHeight="1" spans="1:29">
      <c r="A836" s="839">
        <v>698</v>
      </c>
      <c r="B836" s="23" t="s">
        <v>537</v>
      </c>
      <c r="C836" s="23"/>
      <c r="D836" s="21">
        <v>20240305</v>
      </c>
      <c r="E836" s="21">
        <v>7.17</v>
      </c>
      <c r="F836" s="2132" t="s">
        <v>586</v>
      </c>
      <c r="G836" s="21" t="s">
        <v>587</v>
      </c>
      <c r="H836" s="21"/>
      <c r="I836" s="21"/>
      <c r="J836" s="21"/>
      <c r="K836" s="2048"/>
      <c r="L836" s="36"/>
      <c r="M836" s="22">
        <v>0.380604378345897</v>
      </c>
      <c r="N836" s="22">
        <v>0.890518912872829</v>
      </c>
      <c r="O836" s="37">
        <v>0.2</v>
      </c>
      <c r="P836" s="37"/>
      <c r="Q836" s="37">
        <f t="shared" si="105"/>
        <v>1.47112329121873</v>
      </c>
      <c r="R836" s="219"/>
      <c r="S836" s="23"/>
      <c r="T836" s="804"/>
      <c r="U836" s="120" t="s">
        <v>1406</v>
      </c>
      <c r="X836" s="2180"/>
      <c r="AA836" s="839"/>
      <c r="AB836" s="839"/>
      <c r="AC836" s="1940"/>
    </row>
    <row r="837" s="187" customFormat="1" ht="16" hidden="1" customHeight="1" spans="1:29">
      <c r="A837" s="839">
        <v>699</v>
      </c>
      <c r="B837" s="23" t="s">
        <v>537</v>
      </c>
      <c r="C837" s="23"/>
      <c r="D837" s="21">
        <v>20241028</v>
      </c>
      <c r="E837" s="21">
        <v>7.17</v>
      </c>
      <c r="F837" s="2132" t="s">
        <v>588</v>
      </c>
      <c r="G837" s="21" t="s">
        <v>589</v>
      </c>
      <c r="H837" s="21"/>
      <c r="I837" s="21"/>
      <c r="J837" s="21"/>
      <c r="K837" s="2048"/>
      <c r="L837" s="36"/>
      <c r="M837" s="22">
        <v>0.39669929243068</v>
      </c>
      <c r="N837" s="22">
        <v>2.32378266520322</v>
      </c>
      <c r="O837" s="37">
        <v>0.4</v>
      </c>
      <c r="P837" s="37"/>
      <c r="Q837" s="37">
        <f t="shared" si="105"/>
        <v>3.1204819576339</v>
      </c>
      <c r="R837" s="219"/>
      <c r="S837" s="23" t="s">
        <v>2975</v>
      </c>
      <c r="T837" s="804"/>
      <c r="U837" s="120" t="s">
        <v>1406</v>
      </c>
      <c r="X837" s="2180"/>
      <c r="AA837" s="839"/>
      <c r="AB837" s="839"/>
      <c r="AC837" s="1940"/>
    </row>
    <row r="838" s="187" customFormat="1" ht="16" hidden="1" customHeight="1" spans="1:29">
      <c r="A838" s="839">
        <v>700</v>
      </c>
      <c r="B838" s="23" t="s">
        <v>537</v>
      </c>
      <c r="C838" s="23"/>
      <c r="D838" s="21"/>
      <c r="E838" s="21"/>
      <c r="F838" s="2130" t="s">
        <v>1979</v>
      </c>
      <c r="G838" s="21" t="s">
        <v>590</v>
      </c>
      <c r="H838" s="21"/>
      <c r="I838" s="21"/>
      <c r="J838" s="21"/>
      <c r="K838" s="2048"/>
      <c r="L838" s="36"/>
      <c r="M838" s="22">
        <v>0.410827985949931</v>
      </c>
      <c r="N838" s="22">
        <v>2.50377451240862</v>
      </c>
      <c r="O838" s="37">
        <v>0.4</v>
      </c>
      <c r="P838" s="37"/>
      <c r="Q838" s="37">
        <f t="shared" si="105"/>
        <v>3.31460249835855</v>
      </c>
      <c r="R838" s="219"/>
      <c r="S838" s="23" t="s">
        <v>2975</v>
      </c>
      <c r="T838" s="804"/>
      <c r="U838" s="120" t="s">
        <v>1406</v>
      </c>
      <c r="X838" s="2180"/>
      <c r="AA838" s="839"/>
      <c r="AB838" s="839"/>
      <c r="AC838" s="1940"/>
    </row>
    <row r="839" s="187" customFormat="1" ht="16" hidden="1" customHeight="1" spans="1:29">
      <c r="A839" s="839">
        <v>701</v>
      </c>
      <c r="B839" s="23" t="s">
        <v>537</v>
      </c>
      <c r="C839" s="23"/>
      <c r="D839" s="21">
        <v>20240930</v>
      </c>
      <c r="E839" s="21">
        <v>7.17</v>
      </c>
      <c r="F839" s="2132" t="s">
        <v>591</v>
      </c>
      <c r="G839" s="21" t="s">
        <v>592</v>
      </c>
      <c r="H839" s="21"/>
      <c r="I839" s="21"/>
      <c r="J839" s="21"/>
      <c r="K839" s="2048"/>
      <c r="L839" s="36"/>
      <c r="M839" s="22">
        <v>0.390293856469696</v>
      </c>
      <c r="N839" s="22">
        <v>2.14130527908714</v>
      </c>
      <c r="O839" s="37">
        <v>0.4</v>
      </c>
      <c r="P839" s="37"/>
      <c r="Q839" s="37">
        <f t="shared" si="105"/>
        <v>2.93159913555684</v>
      </c>
      <c r="R839" s="219"/>
      <c r="S839" s="23" t="s">
        <v>2975</v>
      </c>
      <c r="T839" s="804"/>
      <c r="U839" s="120" t="s">
        <v>1406</v>
      </c>
      <c r="X839" s="2180"/>
      <c r="AA839" s="839"/>
      <c r="AB839" s="839"/>
      <c r="AC839" s="1940"/>
    </row>
    <row r="840" s="187" customFormat="1" ht="16" hidden="1" customHeight="1" spans="1:29">
      <c r="A840" s="839">
        <v>702</v>
      </c>
      <c r="B840" s="23" t="s">
        <v>537</v>
      </c>
      <c r="C840" s="23"/>
      <c r="D840" s="21">
        <v>20240125</v>
      </c>
      <c r="E840" s="21">
        <v>7.17</v>
      </c>
      <c r="F840" s="2132" t="s">
        <v>593</v>
      </c>
      <c r="G840" s="21" t="s">
        <v>594</v>
      </c>
      <c r="H840" s="21"/>
      <c r="I840" s="21"/>
      <c r="J840" s="21"/>
      <c r="K840" s="2048"/>
      <c r="L840" s="36"/>
      <c r="M840" s="22">
        <v>0.311970801922867</v>
      </c>
      <c r="N840" s="22">
        <v>1.32924701584039</v>
      </c>
      <c r="O840" s="37">
        <v>0.2</v>
      </c>
      <c r="P840" s="37"/>
      <c r="Q840" s="37">
        <f t="shared" si="105"/>
        <v>1.84121781776326</v>
      </c>
      <c r="R840" s="219"/>
      <c r="S840" s="23"/>
      <c r="T840" s="804"/>
      <c r="U840" s="120" t="s">
        <v>1406</v>
      </c>
      <c r="X840" s="2180"/>
      <c r="AA840" s="839"/>
      <c r="AB840" s="839"/>
      <c r="AC840" s="1940"/>
    </row>
    <row r="841" s="187" customFormat="1" ht="16" hidden="1" customHeight="1" spans="1:29">
      <c r="A841" s="839">
        <v>703</v>
      </c>
      <c r="B841" s="23" t="s">
        <v>537</v>
      </c>
      <c r="C841" s="23"/>
      <c r="D841" s="21">
        <v>20240125</v>
      </c>
      <c r="E841" s="21">
        <v>7.17</v>
      </c>
      <c r="F841" s="2132" t="s">
        <v>595</v>
      </c>
      <c r="G841" s="21" t="s">
        <v>596</v>
      </c>
      <c r="H841" s="21"/>
      <c r="I841" s="21"/>
      <c r="J841" s="21"/>
      <c r="K841" s="2048"/>
      <c r="L841" s="36"/>
      <c r="M841" s="22">
        <v>0.57776992516115</v>
      </c>
      <c r="N841" s="22">
        <v>2.59781271905473</v>
      </c>
      <c r="O841" s="37">
        <v>0.2</v>
      </c>
      <c r="P841" s="37"/>
      <c r="Q841" s="37">
        <f t="shared" si="105"/>
        <v>3.37558264421588</v>
      </c>
      <c r="R841" s="219"/>
      <c r="S841" s="23" t="s">
        <v>2975</v>
      </c>
      <c r="T841" s="804"/>
      <c r="U841" s="120" t="s">
        <v>1406</v>
      </c>
      <c r="X841" s="2180"/>
      <c r="AA841" s="839"/>
      <c r="AB841" s="839"/>
      <c r="AC841" s="1940"/>
    </row>
    <row r="842" s="187" customFormat="1" ht="16" hidden="1" customHeight="1" spans="1:29">
      <c r="A842" s="839">
        <v>704</v>
      </c>
      <c r="B842" s="23" t="s">
        <v>537</v>
      </c>
      <c r="C842" s="23"/>
      <c r="D842" s="21"/>
      <c r="E842" s="21"/>
      <c r="F842" s="2130" t="s">
        <v>1979</v>
      </c>
      <c r="G842" s="21" t="s">
        <v>597</v>
      </c>
      <c r="H842" s="21"/>
      <c r="I842" s="21"/>
      <c r="J842" s="21"/>
      <c r="K842" s="2048"/>
      <c r="L842" s="36"/>
      <c r="M842" s="22">
        <v>0.553252057676836</v>
      </c>
      <c r="N842" s="22">
        <v>2.88761964919364</v>
      </c>
      <c r="O842" s="37">
        <v>0.2</v>
      </c>
      <c r="P842" s="37"/>
      <c r="Q842" s="37">
        <f t="shared" si="105"/>
        <v>3.64087170687048</v>
      </c>
      <c r="R842" s="219"/>
      <c r="S842" s="23" t="s">
        <v>2975</v>
      </c>
      <c r="T842" s="804"/>
      <c r="U842" s="120" t="s">
        <v>1406</v>
      </c>
      <c r="X842" s="2180"/>
      <c r="AA842" s="839"/>
      <c r="AB842" s="839"/>
      <c r="AC842" s="1940"/>
    </row>
    <row r="843" s="187" customFormat="1" ht="16" hidden="1" customHeight="1" spans="1:29">
      <c r="A843" s="839">
        <v>705</v>
      </c>
      <c r="B843" s="23" t="s">
        <v>537</v>
      </c>
      <c r="C843" s="23"/>
      <c r="D843" s="21">
        <v>20250102</v>
      </c>
      <c r="E843" s="21">
        <v>7.17</v>
      </c>
      <c r="F843" s="2132" t="s">
        <v>598</v>
      </c>
      <c r="G843" s="21" t="s">
        <v>599</v>
      </c>
      <c r="H843" s="21"/>
      <c r="I843" s="21"/>
      <c r="J843" s="21"/>
      <c r="K843" s="2048"/>
      <c r="L843" s="36"/>
      <c r="M843" s="22">
        <v>0.402675147554236</v>
      </c>
      <c r="N843" s="22">
        <v>2.09080794460207</v>
      </c>
      <c r="O843" s="37">
        <v>0.4</v>
      </c>
      <c r="P843" s="37"/>
      <c r="Q843" s="37">
        <f t="shared" si="105"/>
        <v>2.89348309215631</v>
      </c>
      <c r="R843" s="219"/>
      <c r="S843" s="23" t="s">
        <v>3110</v>
      </c>
      <c r="T843" s="804"/>
      <c r="U843" s="120"/>
      <c r="X843" s="2180"/>
      <c r="AA843" s="839"/>
      <c r="AB843" s="839"/>
      <c r="AC843" s="1940"/>
    </row>
    <row r="844" s="187" customFormat="1" ht="16" hidden="1" customHeight="1" spans="1:29">
      <c r="A844" s="839">
        <v>706</v>
      </c>
      <c r="B844" s="23" t="s">
        <v>537</v>
      </c>
      <c r="C844" s="23"/>
      <c r="D844" s="21">
        <v>20240517</v>
      </c>
      <c r="E844" s="21">
        <v>7.17</v>
      </c>
      <c r="F844" s="2132" t="s">
        <v>601</v>
      </c>
      <c r="G844" s="21" t="s">
        <v>602</v>
      </c>
      <c r="H844" s="21"/>
      <c r="I844" s="21"/>
      <c r="J844" s="21"/>
      <c r="K844" s="2048"/>
      <c r="L844" s="36"/>
      <c r="M844" s="22">
        <v>0.413434398714422</v>
      </c>
      <c r="N844" s="22">
        <v>3.25467777611108</v>
      </c>
      <c r="O844" s="37">
        <v>0.4</v>
      </c>
      <c r="P844" s="37"/>
      <c r="Q844" s="37">
        <f t="shared" si="105"/>
        <v>4.0681121748255</v>
      </c>
      <c r="R844" s="219"/>
      <c r="S844" s="23" t="s">
        <v>3111</v>
      </c>
      <c r="T844" s="804"/>
      <c r="U844" s="120"/>
      <c r="X844" s="2180"/>
      <c r="AA844" s="839"/>
      <c r="AB844" s="839"/>
      <c r="AC844" s="1940"/>
    </row>
    <row r="845" s="187" customFormat="1" ht="16" hidden="1" customHeight="1" spans="1:29">
      <c r="A845" s="839">
        <v>707</v>
      </c>
      <c r="B845" s="23" t="s">
        <v>537</v>
      </c>
      <c r="C845" s="23"/>
      <c r="D845" s="21">
        <v>20250328</v>
      </c>
      <c r="E845" s="21">
        <v>7.17</v>
      </c>
      <c r="F845" s="2132" t="s">
        <v>604</v>
      </c>
      <c r="G845" s="21" t="s">
        <v>605</v>
      </c>
      <c r="H845" s="21"/>
      <c r="I845" s="21"/>
      <c r="J845" s="21"/>
      <c r="K845" s="2048"/>
      <c r="L845" s="36"/>
      <c r="M845" s="22">
        <v>0.413525406963897</v>
      </c>
      <c r="N845" s="22">
        <v>1.03749052468648</v>
      </c>
      <c r="O845" s="37">
        <v>0.3</v>
      </c>
      <c r="P845" s="37"/>
      <c r="Q845" s="37">
        <f t="shared" si="105"/>
        <v>1.75101593165038</v>
      </c>
      <c r="R845" s="219"/>
      <c r="S845" s="23" t="s">
        <v>606</v>
      </c>
      <c r="T845" s="804"/>
      <c r="U845" s="120"/>
      <c r="X845" s="2180"/>
      <c r="AA845" s="839"/>
      <c r="AB845" s="839"/>
      <c r="AC845" s="1940"/>
    </row>
    <row r="846" s="187" customFormat="1" ht="16" hidden="1" customHeight="1" spans="1:29">
      <c r="A846" s="839">
        <v>708</v>
      </c>
      <c r="B846" s="23" t="s">
        <v>537</v>
      </c>
      <c r="C846" s="23"/>
      <c r="D846" s="21">
        <v>20250113</v>
      </c>
      <c r="E846" s="21">
        <v>7.17</v>
      </c>
      <c r="F846" s="2132" t="s">
        <v>607</v>
      </c>
      <c r="G846" s="21" t="s">
        <v>608</v>
      </c>
      <c r="H846" s="21"/>
      <c r="I846" s="21"/>
      <c r="J846" s="21"/>
      <c r="K846" s="2048"/>
      <c r="L846" s="36"/>
      <c r="M846" s="22">
        <v>0.405086375982704</v>
      </c>
      <c r="N846" s="22">
        <v>1.66406111322576</v>
      </c>
      <c r="O846" s="37">
        <v>0.2</v>
      </c>
      <c r="P846" s="37"/>
      <c r="Q846" s="37">
        <f t="shared" si="105"/>
        <v>2.26914748920846</v>
      </c>
      <c r="R846" s="219"/>
      <c r="S846" s="23" t="s">
        <v>609</v>
      </c>
      <c r="T846" s="804"/>
      <c r="U846" s="120"/>
      <c r="X846" s="2180"/>
      <c r="AA846" s="839"/>
      <c r="AB846" s="839"/>
      <c r="AC846" s="1940"/>
    </row>
    <row r="847" s="187" customFormat="1" ht="16" hidden="1" customHeight="1" spans="1:29">
      <c r="A847" s="839">
        <v>709</v>
      </c>
      <c r="B847" s="23" t="s">
        <v>537</v>
      </c>
      <c r="C847" s="23"/>
      <c r="D847" s="21">
        <v>20240516</v>
      </c>
      <c r="E847" s="21">
        <v>7.17</v>
      </c>
      <c r="F847" s="2132" t="s">
        <v>610</v>
      </c>
      <c r="G847" s="21" t="s">
        <v>611</v>
      </c>
      <c r="H847" s="21"/>
      <c r="I847" s="21"/>
      <c r="J847" s="21"/>
      <c r="K847" s="2048"/>
      <c r="L847" s="36"/>
      <c r="M847" s="22">
        <v>0.409732001113995</v>
      </c>
      <c r="N847" s="22">
        <v>2.00295973690119</v>
      </c>
      <c r="O847" s="37">
        <v>0.4</v>
      </c>
      <c r="P847" s="37"/>
      <c r="Q847" s="37">
        <f t="shared" si="105"/>
        <v>2.81269173801518</v>
      </c>
      <c r="R847" s="219"/>
      <c r="S847" s="23"/>
      <c r="T847" s="804"/>
      <c r="U847" s="120"/>
      <c r="X847" s="2180"/>
      <c r="AA847" s="839"/>
      <c r="AB847" s="839"/>
      <c r="AC847" s="1940"/>
    </row>
    <row r="848" s="187" customFormat="1" ht="16" hidden="1" customHeight="1" spans="1:29">
      <c r="A848" s="839">
        <v>710</v>
      </c>
      <c r="B848" s="23" t="s">
        <v>537</v>
      </c>
      <c r="C848" s="23"/>
      <c r="D848" s="21">
        <v>20240920</v>
      </c>
      <c r="E848" s="21">
        <v>7.17</v>
      </c>
      <c r="F848" s="2132" t="s">
        <v>612</v>
      </c>
      <c r="G848" s="21" t="s">
        <v>613</v>
      </c>
      <c r="H848" s="21"/>
      <c r="I848" s="21"/>
      <c r="J848" s="21"/>
      <c r="K848" s="2048"/>
      <c r="L848" s="36"/>
      <c r="M848" s="22">
        <v>0.360868388598231</v>
      </c>
      <c r="N848" s="22">
        <v>1.84478713209219</v>
      </c>
      <c r="O848" s="37">
        <v>0.2</v>
      </c>
      <c r="P848" s="37"/>
      <c r="Q848" s="37">
        <f t="shared" si="105"/>
        <v>2.40565552069042</v>
      </c>
      <c r="R848" s="219"/>
      <c r="S848" s="23" t="s">
        <v>3112</v>
      </c>
      <c r="T848" s="804"/>
      <c r="U848" s="120"/>
      <c r="X848" s="2180"/>
      <c r="AA848" s="839"/>
      <c r="AB848" s="839"/>
      <c r="AC848" s="1940"/>
    </row>
    <row r="849" s="187" customFormat="1" ht="16" hidden="1" customHeight="1" spans="1:29">
      <c r="A849" s="839">
        <v>711</v>
      </c>
      <c r="B849" s="23" t="s">
        <v>615</v>
      </c>
      <c r="C849" s="23"/>
      <c r="D849" s="21">
        <v>20241219</v>
      </c>
      <c r="E849" s="21">
        <v>7.17</v>
      </c>
      <c r="F849" s="2132" t="s">
        <v>616</v>
      </c>
      <c r="G849" s="21" t="s">
        <v>617</v>
      </c>
      <c r="H849" s="21"/>
      <c r="I849" s="21"/>
      <c r="J849" s="21"/>
      <c r="K849" s="2048"/>
      <c r="L849" s="36"/>
      <c r="M849" s="22">
        <v>0.277291269273874</v>
      </c>
      <c r="N849" s="22">
        <v>1.50105294583552</v>
      </c>
      <c r="O849" s="37">
        <v>0.2</v>
      </c>
      <c r="P849" s="37"/>
      <c r="Q849" s="37">
        <f t="shared" si="105"/>
        <v>1.97834421510939</v>
      </c>
      <c r="R849" s="219"/>
      <c r="S849" s="23" t="s">
        <v>606</v>
      </c>
      <c r="T849" s="804"/>
      <c r="U849" s="120"/>
      <c r="X849" s="2180"/>
      <c r="AA849" s="839"/>
      <c r="AB849" s="839"/>
      <c r="AC849" s="1940"/>
    </row>
    <row r="850" s="187" customFormat="1" ht="16" hidden="1" customHeight="1" spans="1:29">
      <c r="A850" s="839">
        <v>712</v>
      </c>
      <c r="B850" s="23" t="s">
        <v>615</v>
      </c>
      <c r="C850" s="23"/>
      <c r="D850" s="21">
        <v>20241219</v>
      </c>
      <c r="E850" s="21">
        <v>7.17</v>
      </c>
      <c r="F850" s="2132" t="s">
        <v>618</v>
      </c>
      <c r="G850" s="21" t="s">
        <v>619</v>
      </c>
      <c r="H850" s="21"/>
      <c r="I850" s="21"/>
      <c r="J850" s="21"/>
      <c r="K850" s="2048"/>
      <c r="L850" s="36"/>
      <c r="M850" s="22">
        <v>0.277291269273874</v>
      </c>
      <c r="N850" s="22">
        <v>1.31121753913494</v>
      </c>
      <c r="O850" s="37">
        <v>0.2</v>
      </c>
      <c r="P850" s="37"/>
      <c r="Q850" s="37">
        <f t="shared" si="105"/>
        <v>1.78850880840881</v>
      </c>
      <c r="R850" s="219"/>
      <c r="S850" s="23" t="s">
        <v>606</v>
      </c>
      <c r="T850" s="804"/>
      <c r="U850" s="120"/>
      <c r="X850" s="2180"/>
      <c r="AA850" s="839"/>
      <c r="AB850" s="839"/>
      <c r="AC850" s="1940"/>
    </row>
    <row r="851" s="187" customFormat="1" ht="16" hidden="1" customHeight="1" spans="1:29">
      <c r="A851" s="839">
        <v>713</v>
      </c>
      <c r="B851" s="23" t="s">
        <v>615</v>
      </c>
      <c r="C851" s="23"/>
      <c r="D851" s="21">
        <v>20250819</v>
      </c>
      <c r="E851" s="21">
        <v>7.17</v>
      </c>
      <c r="F851" s="2132" t="s">
        <v>620</v>
      </c>
      <c r="G851" s="21" t="s">
        <v>621</v>
      </c>
      <c r="H851" s="21"/>
      <c r="I851" s="21"/>
      <c r="J851" s="21"/>
      <c r="K851" s="2048"/>
      <c r="L851" s="36"/>
      <c r="M851" s="22">
        <v>0.362868885844411</v>
      </c>
      <c r="N851" s="22">
        <v>1.4053518660991</v>
      </c>
      <c r="O851" s="37">
        <v>0.2</v>
      </c>
      <c r="P851" s="37"/>
      <c r="Q851" s="37">
        <f t="shared" si="105"/>
        <v>1.96822075194351</v>
      </c>
      <c r="R851" s="219"/>
      <c r="S851" s="23" t="s">
        <v>606</v>
      </c>
      <c r="T851" s="804"/>
      <c r="U851" s="120"/>
      <c r="X851" s="2180"/>
      <c r="AA851" s="839"/>
      <c r="AB851" s="839"/>
      <c r="AC851" s="1940"/>
    </row>
    <row r="852" s="187" customFormat="1" ht="16" hidden="1" customHeight="1" spans="1:29">
      <c r="A852" s="839">
        <v>714</v>
      </c>
      <c r="B852" s="23" t="s">
        <v>615</v>
      </c>
      <c r="C852" s="23"/>
      <c r="D852" s="21">
        <v>20250819</v>
      </c>
      <c r="E852" s="21">
        <v>7.17</v>
      </c>
      <c r="F852" s="2132" t="s">
        <v>622</v>
      </c>
      <c r="G852" s="21" t="s">
        <v>623</v>
      </c>
      <c r="H852" s="21"/>
      <c r="I852" s="21"/>
      <c r="J852" s="21"/>
      <c r="K852" s="2048"/>
      <c r="L852" s="36"/>
      <c r="M852" s="22">
        <v>0.0246849582207082</v>
      </c>
      <c r="N852" s="22">
        <v>0.2884</v>
      </c>
      <c r="O852" s="37">
        <v>0.2</v>
      </c>
      <c r="P852" s="37"/>
      <c r="Q852" s="37">
        <f t="shared" si="105"/>
        <v>0.513084958220708</v>
      </c>
      <c r="R852" s="219"/>
      <c r="S852" s="23"/>
      <c r="T852" s="804"/>
      <c r="U852" s="120"/>
      <c r="X852" s="2180"/>
      <c r="AA852" s="839"/>
      <c r="AB852" s="839"/>
      <c r="AC852" s="1940"/>
    </row>
    <row r="853" s="187" customFormat="1" ht="16" hidden="1" customHeight="1" spans="1:29">
      <c r="A853" s="839">
        <v>715</v>
      </c>
      <c r="B853" s="23" t="s">
        <v>615</v>
      </c>
      <c r="C853" s="23"/>
      <c r="D853" s="21">
        <v>20250114</v>
      </c>
      <c r="E853" s="21">
        <v>7.17</v>
      </c>
      <c r="F853" s="2132" t="s">
        <v>624</v>
      </c>
      <c r="G853" s="21" t="s">
        <v>625</v>
      </c>
      <c r="H853" s="21"/>
      <c r="I853" s="21"/>
      <c r="J853" s="21"/>
      <c r="K853" s="2048"/>
      <c r="L853" s="36"/>
      <c r="M853" s="22">
        <v>0.0992558070294765</v>
      </c>
      <c r="N853" s="22">
        <v>0.320343786760372</v>
      </c>
      <c r="O853" s="37">
        <v>0.2</v>
      </c>
      <c r="P853" s="37"/>
      <c r="Q853" s="37">
        <f t="shared" si="105"/>
        <v>0.619599593789849</v>
      </c>
      <c r="R853" s="219"/>
      <c r="S853" s="23" t="s">
        <v>3113</v>
      </c>
      <c r="T853" s="804"/>
      <c r="U853" s="120"/>
      <c r="X853" s="2180"/>
      <c r="AA853" s="839"/>
      <c r="AB853" s="839"/>
      <c r="AC853" s="1940"/>
    </row>
    <row r="854" s="187" customFormat="1" ht="16" hidden="1" customHeight="1" spans="1:29">
      <c r="A854" s="839">
        <v>716</v>
      </c>
      <c r="B854" s="23" t="s">
        <v>615</v>
      </c>
      <c r="C854" s="23"/>
      <c r="D854" s="21">
        <v>20240930</v>
      </c>
      <c r="E854" s="21">
        <v>7.17</v>
      </c>
      <c r="F854" s="2132" t="s">
        <v>627</v>
      </c>
      <c r="G854" s="21" t="s">
        <v>628</v>
      </c>
      <c r="H854" s="21"/>
      <c r="I854" s="21"/>
      <c r="J854" s="21"/>
      <c r="K854" s="2048"/>
      <c r="L854" s="36"/>
      <c r="M854" s="22">
        <v>0.271323347398031</v>
      </c>
      <c r="N854" s="22">
        <v>1.58852320675106</v>
      </c>
      <c r="O854" s="37">
        <v>0.2</v>
      </c>
      <c r="P854" s="37"/>
      <c r="Q854" s="37">
        <f t="shared" si="105"/>
        <v>2.05984655414909</v>
      </c>
      <c r="R854" s="219"/>
      <c r="S854" s="23" t="s">
        <v>3114</v>
      </c>
      <c r="T854" s="804"/>
      <c r="U854" s="120"/>
      <c r="X854" s="2180"/>
      <c r="AA854" s="839"/>
      <c r="AB854" s="839"/>
      <c r="AC854" s="1940"/>
    </row>
    <row r="855" s="187" customFormat="1" ht="16" hidden="1" customHeight="1" spans="1:29">
      <c r="A855" s="839">
        <v>717</v>
      </c>
      <c r="B855" s="23" t="s">
        <v>630</v>
      </c>
      <c r="C855" s="23"/>
      <c r="D855" s="21"/>
      <c r="E855" s="21"/>
      <c r="F855" s="2130" t="s">
        <v>1979</v>
      </c>
      <c r="G855" s="21" t="s">
        <v>631</v>
      </c>
      <c r="H855" s="21"/>
      <c r="I855" s="21"/>
      <c r="J855" s="21"/>
      <c r="K855" s="2048"/>
      <c r="L855" s="36"/>
      <c r="M855" s="22">
        <v>0.299236908478766</v>
      </c>
      <c r="N855" s="22">
        <v>0.703144082197387</v>
      </c>
      <c r="O855" s="37">
        <v>0.2</v>
      </c>
      <c r="P855" s="37"/>
      <c r="Q855" s="37">
        <f t="shared" si="105"/>
        <v>1.20238099067615</v>
      </c>
      <c r="R855" s="219"/>
      <c r="S855" s="23"/>
      <c r="T855" s="804"/>
      <c r="U855" s="120" t="s">
        <v>1406</v>
      </c>
      <c r="X855" s="2180"/>
      <c r="AA855" s="839"/>
      <c r="AB855" s="839"/>
      <c r="AC855" s="1940"/>
    </row>
    <row r="856" s="187" customFormat="1" ht="16" hidden="1" customHeight="1" spans="1:29">
      <c r="A856" s="839">
        <v>718</v>
      </c>
      <c r="B856" s="23" t="s">
        <v>632</v>
      </c>
      <c r="C856" s="23"/>
      <c r="D856" s="21"/>
      <c r="E856" s="21"/>
      <c r="F856" s="2130" t="s">
        <v>1979</v>
      </c>
      <c r="G856" s="21" t="s">
        <v>633</v>
      </c>
      <c r="H856" s="21"/>
      <c r="I856" s="21"/>
      <c r="J856" s="21"/>
      <c r="K856" s="2048"/>
      <c r="L856" s="36"/>
      <c r="M856" s="22">
        <v>0.0983284169124877</v>
      </c>
      <c r="N856" s="22">
        <v>0.626250921828909</v>
      </c>
      <c r="O856" s="37">
        <v>0.2</v>
      </c>
      <c r="P856" s="37"/>
      <c r="Q856" s="37">
        <f t="shared" si="105"/>
        <v>0.924579338741397</v>
      </c>
      <c r="R856" s="219"/>
      <c r="S856" s="23"/>
      <c r="T856" s="804"/>
      <c r="U856" s="120" t="s">
        <v>1406</v>
      </c>
      <c r="X856" s="2180"/>
      <c r="AA856" s="839"/>
      <c r="AB856" s="839"/>
      <c r="AC856" s="1940"/>
    </row>
    <row r="857" s="42" customFormat="1" ht="16" hidden="1" customHeight="1" spans="1:29">
      <c r="A857" s="839">
        <v>719</v>
      </c>
      <c r="B857" s="23" t="s">
        <v>634</v>
      </c>
      <c r="C857" s="23"/>
      <c r="D857" s="21"/>
      <c r="E857" s="21"/>
      <c r="F857" s="2130" t="s">
        <v>1979</v>
      </c>
      <c r="G857" s="21" t="s">
        <v>635</v>
      </c>
      <c r="H857" s="21"/>
      <c r="I857" s="21"/>
      <c r="J857" s="21"/>
      <c r="K857" s="2048"/>
      <c r="L857" s="36"/>
      <c r="M857" s="22">
        <v>0.56</v>
      </c>
      <c r="N857" s="22">
        <v>3.57369614512472</v>
      </c>
      <c r="O857" s="37">
        <v>0.4</v>
      </c>
      <c r="P857" s="37"/>
      <c r="Q857" s="37">
        <f t="shared" si="105"/>
        <v>4.53369614512472</v>
      </c>
      <c r="R857" s="219"/>
      <c r="S857" s="20" t="s">
        <v>346</v>
      </c>
      <c r="T857" s="805"/>
      <c r="U857" s="120" t="s">
        <v>1406</v>
      </c>
      <c r="X857" s="2163"/>
      <c r="AA857" s="839"/>
      <c r="AB857" s="839"/>
      <c r="AC857" s="1940"/>
    </row>
    <row r="858" s="42" customFormat="1" ht="16" hidden="1" customHeight="1" spans="1:29">
      <c r="A858" s="839">
        <v>720</v>
      </c>
      <c r="B858" s="23" t="s">
        <v>634</v>
      </c>
      <c r="C858" s="23"/>
      <c r="D858" s="21"/>
      <c r="E858" s="21"/>
      <c r="F858" s="2130" t="s">
        <v>1979</v>
      </c>
      <c r="G858" s="21" t="s">
        <v>636</v>
      </c>
      <c r="H858" s="21"/>
      <c r="I858" s="21"/>
      <c r="J858" s="21"/>
      <c r="K858" s="2048"/>
      <c r="L858" s="36"/>
      <c r="M858" s="22">
        <v>0.53</v>
      </c>
      <c r="N858" s="22">
        <v>2.68087530578734</v>
      </c>
      <c r="O858" s="37">
        <v>0.4</v>
      </c>
      <c r="P858" s="37"/>
      <c r="Q858" s="37">
        <f t="shared" si="105"/>
        <v>3.61087530578734</v>
      </c>
      <c r="R858" s="219"/>
      <c r="S858" s="39" t="s">
        <v>25</v>
      </c>
      <c r="T858" s="1931"/>
      <c r="U858" s="120" t="s">
        <v>1406</v>
      </c>
      <c r="X858" s="2163"/>
      <c r="AA858" s="839"/>
      <c r="AB858" s="839"/>
      <c r="AC858" s="1940"/>
    </row>
    <row r="859" s="42" customFormat="1" ht="16" hidden="1" customHeight="1" spans="1:29">
      <c r="A859" s="839">
        <v>721</v>
      </c>
      <c r="B859" s="19" t="s">
        <v>637</v>
      </c>
      <c r="C859" s="19"/>
      <c r="D859" s="21"/>
      <c r="E859" s="21"/>
      <c r="F859" s="2130" t="s">
        <v>1979</v>
      </c>
      <c r="G859" s="21" t="s">
        <v>638</v>
      </c>
      <c r="H859" s="21"/>
      <c r="I859" s="21"/>
      <c r="J859" s="21"/>
      <c r="K859" s="2048"/>
      <c r="L859" s="36"/>
      <c r="M859" s="22">
        <v>0.28</v>
      </c>
      <c r="N859" s="22">
        <v>1.08</v>
      </c>
      <c r="O859" s="37">
        <v>0.2</v>
      </c>
      <c r="P859" s="37"/>
      <c r="Q859" s="37">
        <f t="shared" si="105"/>
        <v>1.56</v>
      </c>
      <c r="R859" s="219"/>
      <c r="S859" s="39"/>
      <c r="T859" s="1931"/>
      <c r="U859" s="120" t="s">
        <v>1406</v>
      </c>
      <c r="X859" s="2163"/>
      <c r="AA859" s="839"/>
      <c r="AB859" s="839"/>
      <c r="AC859" s="1940"/>
    </row>
    <row r="860" s="42" customFormat="1" ht="16" hidden="1" customHeight="1" spans="1:29">
      <c r="A860" s="839">
        <v>722</v>
      </c>
      <c r="B860" s="19" t="s">
        <v>637</v>
      </c>
      <c r="C860" s="19"/>
      <c r="D860" s="21"/>
      <c r="E860" s="21"/>
      <c r="F860" s="2130" t="s">
        <v>1979</v>
      </c>
      <c r="G860" s="21" t="s">
        <v>639</v>
      </c>
      <c r="H860" s="21"/>
      <c r="I860" s="21"/>
      <c r="J860" s="21"/>
      <c r="K860" s="2048"/>
      <c r="L860" s="36"/>
      <c r="M860" s="22">
        <v>0.19</v>
      </c>
      <c r="N860" s="22">
        <v>0.51</v>
      </c>
      <c r="O860" s="37">
        <v>0.2</v>
      </c>
      <c r="P860" s="37"/>
      <c r="Q860" s="37">
        <f t="shared" si="105"/>
        <v>0.9</v>
      </c>
      <c r="R860" s="219"/>
      <c r="S860" s="39"/>
      <c r="T860" s="1931"/>
      <c r="U860" s="120" t="s">
        <v>1406</v>
      </c>
      <c r="X860" s="2163"/>
      <c r="AA860" s="839"/>
      <c r="AB860" s="839"/>
      <c r="AC860" s="1940"/>
    </row>
    <row r="861" s="42" customFormat="1" ht="16" hidden="1" customHeight="1" spans="1:29">
      <c r="A861" s="839">
        <v>723</v>
      </c>
      <c r="B861" s="19" t="s">
        <v>637</v>
      </c>
      <c r="C861" s="19"/>
      <c r="D861" s="21"/>
      <c r="E861" s="21"/>
      <c r="F861" s="2130" t="s">
        <v>1979</v>
      </c>
      <c r="G861" s="21" t="s">
        <v>640</v>
      </c>
      <c r="H861" s="21"/>
      <c r="I861" s="21"/>
      <c r="J861" s="21"/>
      <c r="K861" s="2048"/>
      <c r="L861" s="36"/>
      <c r="M861" s="22">
        <v>0.0591133004926108</v>
      </c>
      <c r="N861" s="22">
        <v>0.305418719211823</v>
      </c>
      <c r="O861" s="37">
        <v>0.4</v>
      </c>
      <c r="P861" s="37"/>
      <c r="Q861" s="37">
        <f t="shared" si="105"/>
        <v>0.764532019704434</v>
      </c>
      <c r="R861" s="219"/>
      <c r="S861" s="39"/>
      <c r="T861" s="1931"/>
      <c r="U861" s="120" t="s">
        <v>1406</v>
      </c>
      <c r="X861" s="2163"/>
      <c r="AA861" s="839"/>
      <c r="AB861" s="839"/>
      <c r="AC861" s="1940"/>
    </row>
    <row r="862" s="42" customFormat="1" ht="16" hidden="1" customHeight="1" spans="1:29">
      <c r="A862" s="839">
        <v>724</v>
      </c>
      <c r="B862" s="19" t="s">
        <v>637</v>
      </c>
      <c r="C862" s="19"/>
      <c r="D862" s="21"/>
      <c r="E862" s="21"/>
      <c r="F862" s="2130" t="s">
        <v>1979</v>
      </c>
      <c r="G862" s="21" t="s">
        <v>641</v>
      </c>
      <c r="H862" s="21"/>
      <c r="I862" s="21"/>
      <c r="J862" s="21"/>
      <c r="K862" s="2048"/>
      <c r="L862" s="36"/>
      <c r="M862" s="22">
        <v>0.226600985221675</v>
      </c>
      <c r="N862" s="22">
        <v>0.423645320197044</v>
      </c>
      <c r="O862" s="37">
        <v>0.2</v>
      </c>
      <c r="P862" s="37"/>
      <c r="Q862" s="37">
        <f t="shared" si="105"/>
        <v>0.850246305418719</v>
      </c>
      <c r="R862" s="219"/>
      <c r="S862" s="39"/>
      <c r="T862" s="1931"/>
      <c r="U862" s="120" t="s">
        <v>1406</v>
      </c>
      <c r="X862" s="2163"/>
      <c r="AA862" s="839"/>
      <c r="AB862" s="839"/>
      <c r="AC862" s="1940"/>
    </row>
    <row r="863" s="42" customFormat="1" ht="16" hidden="1" customHeight="1" spans="1:29">
      <c r="A863" s="839">
        <v>725</v>
      </c>
      <c r="B863" s="19" t="s">
        <v>637</v>
      </c>
      <c r="C863" s="19"/>
      <c r="D863" s="21"/>
      <c r="E863" s="21"/>
      <c r="F863" s="2130" t="s">
        <v>1979</v>
      </c>
      <c r="G863" s="21" t="s">
        <v>642</v>
      </c>
      <c r="H863" s="21"/>
      <c r="I863" s="21"/>
      <c r="J863" s="21"/>
      <c r="K863" s="2048"/>
      <c r="L863" s="36"/>
      <c r="M863" s="22">
        <v>0.512315270935961</v>
      </c>
      <c r="N863" s="22">
        <v>2.69950738916256</v>
      </c>
      <c r="O863" s="37">
        <v>0.4</v>
      </c>
      <c r="P863" s="37"/>
      <c r="Q863" s="37">
        <f t="shared" si="105"/>
        <v>3.61182266009852</v>
      </c>
      <c r="R863" s="219"/>
      <c r="S863" s="39"/>
      <c r="T863" s="1931"/>
      <c r="U863" s="120" t="s">
        <v>1406</v>
      </c>
      <c r="X863" s="2163"/>
      <c r="AA863" s="839"/>
      <c r="AB863" s="839"/>
      <c r="AC863" s="1940"/>
    </row>
    <row r="864" s="42" customFormat="1" ht="16" hidden="1" customHeight="1" spans="1:29">
      <c r="A864" s="839">
        <v>726</v>
      </c>
      <c r="B864" s="19" t="s">
        <v>637</v>
      </c>
      <c r="C864" s="19"/>
      <c r="D864" s="21"/>
      <c r="E864" s="21"/>
      <c r="F864" s="2130" t="s">
        <v>1979</v>
      </c>
      <c r="G864" s="21" t="s">
        <v>643</v>
      </c>
      <c r="H864" s="21"/>
      <c r="I864" s="21"/>
      <c r="J864" s="21"/>
      <c r="K864" s="2048"/>
      <c r="L864" s="36"/>
      <c r="M864" s="22">
        <v>0.32512315270936</v>
      </c>
      <c r="N864" s="22">
        <v>0.443349753694581</v>
      </c>
      <c r="O864" s="37">
        <v>0.2</v>
      </c>
      <c r="P864" s="37"/>
      <c r="Q864" s="37">
        <f t="shared" si="105"/>
        <v>0.968472906403941</v>
      </c>
      <c r="R864" s="219"/>
      <c r="S864" s="39"/>
      <c r="T864" s="1931"/>
      <c r="U864" s="120" t="s">
        <v>1406</v>
      </c>
      <c r="X864" s="2163"/>
      <c r="AA864" s="839"/>
      <c r="AB864" s="839"/>
      <c r="AC864" s="1940"/>
    </row>
    <row r="865" s="42" customFormat="1" ht="16" hidden="1" customHeight="1" spans="1:29">
      <c r="A865" s="839">
        <v>727</v>
      </c>
      <c r="B865" s="19" t="s">
        <v>637</v>
      </c>
      <c r="C865" s="19"/>
      <c r="D865" s="21"/>
      <c r="E865" s="21"/>
      <c r="F865" s="2130" t="s">
        <v>1979</v>
      </c>
      <c r="G865" s="21" t="s">
        <v>644</v>
      </c>
      <c r="H865" s="21"/>
      <c r="I865" s="21"/>
      <c r="J865" s="21"/>
      <c r="K865" s="2048"/>
      <c r="L865" s="36"/>
      <c r="M865" s="22">
        <v>0.197044334975369</v>
      </c>
      <c r="N865" s="22">
        <v>0.216748768472906</v>
      </c>
      <c r="O865" s="37">
        <v>0.2</v>
      </c>
      <c r="P865" s="37"/>
      <c r="Q865" s="37">
        <f t="shared" si="105"/>
        <v>0.613793103448275</v>
      </c>
      <c r="R865" s="219"/>
      <c r="S865" s="39"/>
      <c r="T865" s="1931"/>
      <c r="U865" s="120" t="s">
        <v>1406</v>
      </c>
      <c r="X865" s="2163"/>
      <c r="AA865" s="839"/>
      <c r="AB865" s="839"/>
      <c r="AC865" s="1940"/>
    </row>
    <row r="866" s="42" customFormat="1" ht="16" hidden="1" customHeight="1" spans="1:29">
      <c r="A866" s="839">
        <v>728</v>
      </c>
      <c r="B866" s="19" t="s">
        <v>637</v>
      </c>
      <c r="C866" s="19"/>
      <c r="D866" s="21"/>
      <c r="E866" s="21"/>
      <c r="F866" s="2130" t="s">
        <v>1979</v>
      </c>
      <c r="G866" s="21" t="s">
        <v>645</v>
      </c>
      <c r="H866" s="21"/>
      <c r="I866" s="21"/>
      <c r="J866" s="21"/>
      <c r="K866" s="2048"/>
      <c r="L866" s="36"/>
      <c r="M866" s="22">
        <v>0.315270935960591</v>
      </c>
      <c r="N866" s="22">
        <v>1.33004926108374</v>
      </c>
      <c r="O866" s="37">
        <v>0.4</v>
      </c>
      <c r="P866" s="37"/>
      <c r="Q866" s="37">
        <f t="shared" si="105"/>
        <v>2.04532019704433</v>
      </c>
      <c r="R866" s="219"/>
      <c r="S866" s="39"/>
      <c r="T866" s="1931"/>
      <c r="U866" s="120" t="s">
        <v>1406</v>
      </c>
      <c r="X866" s="2163"/>
      <c r="AA866" s="839"/>
      <c r="AB866" s="839"/>
      <c r="AC866" s="1940"/>
    </row>
    <row r="867" s="42" customFormat="1" ht="16" hidden="1" customHeight="1" spans="1:29">
      <c r="A867" s="839">
        <v>729</v>
      </c>
      <c r="B867" s="19" t="s">
        <v>637</v>
      </c>
      <c r="C867" s="19"/>
      <c r="D867" s="21"/>
      <c r="E867" s="21"/>
      <c r="F867" s="2130" t="s">
        <v>1979</v>
      </c>
      <c r="G867" s="21" t="s">
        <v>646</v>
      </c>
      <c r="H867" s="21"/>
      <c r="I867" s="21"/>
      <c r="J867" s="21"/>
      <c r="K867" s="2048"/>
      <c r="L867" s="36"/>
      <c r="M867" s="22">
        <v>0.219685691561975</v>
      </c>
      <c r="N867" s="22">
        <v>0.374384236453202</v>
      </c>
      <c r="O867" s="37">
        <v>0.2</v>
      </c>
      <c r="P867" s="37"/>
      <c r="Q867" s="37">
        <f t="shared" si="105"/>
        <v>0.794069928015177</v>
      </c>
      <c r="R867" s="219"/>
      <c r="S867" s="39"/>
      <c r="T867" s="1931"/>
      <c r="U867" s="120" t="s">
        <v>1406</v>
      </c>
      <c r="X867" s="2163"/>
      <c r="AA867" s="839"/>
      <c r="AB867" s="839"/>
      <c r="AC867" s="1940"/>
    </row>
    <row r="868" s="42" customFormat="1" ht="16" hidden="1" customHeight="1" spans="1:29">
      <c r="A868" s="839">
        <v>730</v>
      </c>
      <c r="B868" s="19" t="s">
        <v>637</v>
      </c>
      <c r="C868" s="19"/>
      <c r="D868" s="21"/>
      <c r="E868" s="21"/>
      <c r="F868" s="2130" t="s">
        <v>1979</v>
      </c>
      <c r="G868" s="21" t="s">
        <v>647</v>
      </c>
      <c r="H868" s="21"/>
      <c r="I868" s="21"/>
      <c r="J868" s="21"/>
      <c r="K868" s="2048"/>
      <c r="L868" s="36"/>
      <c r="M868" s="22">
        <v>0.576674940350186</v>
      </c>
      <c r="N868" s="22">
        <v>3.35960591133005</v>
      </c>
      <c r="O868" s="37">
        <v>0.4</v>
      </c>
      <c r="P868" s="37"/>
      <c r="Q868" s="37">
        <f t="shared" si="105"/>
        <v>4.33628085168024</v>
      </c>
      <c r="R868" s="219"/>
      <c r="S868" s="39"/>
      <c r="T868" s="1931"/>
      <c r="U868" s="120" t="s">
        <v>1406</v>
      </c>
      <c r="X868" s="2163"/>
      <c r="AA868" s="839"/>
      <c r="AB868" s="839"/>
      <c r="AC868" s="1940"/>
    </row>
    <row r="869" s="42" customFormat="1" ht="16" hidden="1" customHeight="1" spans="1:29">
      <c r="A869" s="839">
        <v>731</v>
      </c>
      <c r="B869" s="19" t="s">
        <v>637</v>
      </c>
      <c r="C869" s="19"/>
      <c r="D869" s="21"/>
      <c r="E869" s="21"/>
      <c r="F869" s="2130" t="s">
        <v>1979</v>
      </c>
      <c r="G869" s="21" t="s">
        <v>648</v>
      </c>
      <c r="H869" s="21"/>
      <c r="I869" s="21"/>
      <c r="J869" s="21"/>
      <c r="K869" s="2048"/>
      <c r="L869" s="36"/>
      <c r="M869" s="22">
        <v>0.660098522167488</v>
      </c>
      <c r="N869" s="22">
        <v>3.22777386816796</v>
      </c>
      <c r="O869" s="37">
        <v>0.4</v>
      </c>
      <c r="P869" s="37"/>
      <c r="Q869" s="37">
        <f t="shared" si="105"/>
        <v>4.28787239033545</v>
      </c>
      <c r="R869" s="219"/>
      <c r="S869" s="39"/>
      <c r="T869" s="1931"/>
      <c r="U869" s="120" t="s">
        <v>1406</v>
      </c>
      <c r="X869" s="2163"/>
      <c r="AA869" s="839"/>
      <c r="AB869" s="839"/>
      <c r="AC869" s="1940"/>
    </row>
    <row r="870" s="42" customFormat="1" ht="16" hidden="1" customHeight="1" spans="1:29">
      <c r="A870" s="839">
        <v>732</v>
      </c>
      <c r="B870" s="19" t="s">
        <v>637</v>
      </c>
      <c r="C870" s="19"/>
      <c r="D870" s="21"/>
      <c r="E870" s="21"/>
      <c r="F870" s="2130" t="s">
        <v>1979</v>
      </c>
      <c r="G870" s="21" t="s">
        <v>649</v>
      </c>
      <c r="H870" s="21"/>
      <c r="I870" s="21"/>
      <c r="J870" s="21"/>
      <c r="K870" s="2048"/>
      <c r="L870" s="36"/>
      <c r="M870" s="22">
        <v>0.266009852216749</v>
      </c>
      <c r="N870" s="22">
        <v>0.863241848463523</v>
      </c>
      <c r="O870" s="37">
        <v>0.4</v>
      </c>
      <c r="P870" s="37"/>
      <c r="Q870" s="37">
        <f t="shared" si="105"/>
        <v>1.52925170068027</v>
      </c>
      <c r="R870" s="219"/>
      <c r="S870" s="39"/>
      <c r="T870" s="1931"/>
      <c r="U870" s="120" t="s">
        <v>1406</v>
      </c>
      <c r="X870" s="2163"/>
      <c r="AA870" s="839"/>
      <c r="AB870" s="839"/>
      <c r="AC870" s="1940"/>
    </row>
    <row r="871" s="42" customFormat="1" ht="16" hidden="1" customHeight="1" spans="1:29">
      <c r="A871" s="839">
        <v>733</v>
      </c>
      <c r="B871" s="19" t="s">
        <v>637</v>
      </c>
      <c r="C871" s="19"/>
      <c r="D871" s="21"/>
      <c r="E871" s="21"/>
      <c r="F871" s="2130" t="s">
        <v>1979</v>
      </c>
      <c r="G871" s="21" t="s">
        <v>650</v>
      </c>
      <c r="H871" s="21"/>
      <c r="I871" s="21"/>
      <c r="J871" s="21"/>
      <c r="K871" s="2048"/>
      <c r="L871" s="36"/>
      <c r="M871" s="22">
        <v>0.660098522167488</v>
      </c>
      <c r="N871" s="22">
        <v>3.57494722026742</v>
      </c>
      <c r="O871" s="37">
        <v>0.4</v>
      </c>
      <c r="P871" s="37"/>
      <c r="Q871" s="37">
        <f t="shared" si="105"/>
        <v>4.63504574243491</v>
      </c>
      <c r="R871" s="219"/>
      <c r="S871" s="39"/>
      <c r="T871" s="1931"/>
      <c r="U871" s="120" t="s">
        <v>1406</v>
      </c>
      <c r="X871" s="2163"/>
      <c r="AA871" s="839"/>
      <c r="AB871" s="839"/>
      <c r="AC871" s="1940"/>
    </row>
    <row r="872" s="42" customFormat="1" ht="16" hidden="1" customHeight="1" spans="1:29">
      <c r="A872" s="839">
        <v>734</v>
      </c>
      <c r="B872" s="19" t="s">
        <v>637</v>
      </c>
      <c r="C872" s="19"/>
      <c r="D872" s="21"/>
      <c r="E872" s="21"/>
      <c r="F872" s="2130" t="s">
        <v>1979</v>
      </c>
      <c r="G872" s="21" t="s">
        <v>651</v>
      </c>
      <c r="H872" s="21"/>
      <c r="I872" s="21"/>
      <c r="J872" s="21"/>
      <c r="K872" s="2048"/>
      <c r="L872" s="36"/>
      <c r="M872" s="22">
        <v>0.660098522167488</v>
      </c>
      <c r="N872" s="22">
        <v>3.54679802955665</v>
      </c>
      <c r="O872" s="37">
        <v>0.4</v>
      </c>
      <c r="P872" s="37"/>
      <c r="Q872" s="37">
        <f t="shared" si="105"/>
        <v>4.60689655172414</v>
      </c>
      <c r="R872" s="219"/>
      <c r="S872" s="39"/>
      <c r="T872" s="1931"/>
      <c r="U872" s="120" t="s">
        <v>1406</v>
      </c>
      <c r="X872" s="2163"/>
      <c r="AA872" s="839"/>
      <c r="AB872" s="839"/>
      <c r="AC872" s="1940"/>
    </row>
    <row r="873" s="42" customFormat="1" ht="16" hidden="1" customHeight="1" spans="1:29">
      <c r="A873" s="839">
        <v>735</v>
      </c>
      <c r="B873" s="19" t="s">
        <v>637</v>
      </c>
      <c r="C873" s="19"/>
      <c r="D873" s="21"/>
      <c r="E873" s="21"/>
      <c r="F873" s="2130" t="s">
        <v>1979</v>
      </c>
      <c r="G873" s="21" t="s">
        <v>652</v>
      </c>
      <c r="H873" s="21"/>
      <c r="I873" s="21"/>
      <c r="J873" s="21"/>
      <c r="K873" s="2048"/>
      <c r="L873" s="36"/>
      <c r="M873" s="22">
        <v>0.157635467980296</v>
      </c>
      <c r="N873" s="22">
        <v>0.694346704198921</v>
      </c>
      <c r="O873" s="37">
        <v>0.2</v>
      </c>
      <c r="P873" s="37"/>
      <c r="Q873" s="37">
        <f t="shared" si="105"/>
        <v>1.05198217217922</v>
      </c>
      <c r="R873" s="219"/>
      <c r="S873" s="39"/>
      <c r="T873" s="1931"/>
      <c r="U873" s="120" t="s">
        <v>1406</v>
      </c>
      <c r="X873" s="2163"/>
      <c r="AA873" s="839"/>
      <c r="AB873" s="839"/>
      <c r="AC873" s="1940"/>
    </row>
    <row r="874" s="187" customFormat="1" ht="16" hidden="1" customHeight="1" spans="1:29">
      <c r="A874" s="839">
        <v>736</v>
      </c>
      <c r="B874" s="19" t="s">
        <v>637</v>
      </c>
      <c r="C874" s="19"/>
      <c r="D874" s="21"/>
      <c r="E874" s="21"/>
      <c r="F874" s="2130" t="s">
        <v>1979</v>
      </c>
      <c r="G874" s="21" t="s">
        <v>653</v>
      </c>
      <c r="H874" s="21"/>
      <c r="I874" s="21"/>
      <c r="J874" s="21"/>
      <c r="K874" s="2048"/>
      <c r="L874" s="36"/>
      <c r="M874" s="22">
        <v>0.660098522167488</v>
      </c>
      <c r="N874" s="22">
        <v>3.63124560168896</v>
      </c>
      <c r="O874" s="37">
        <v>0.4</v>
      </c>
      <c r="P874" s="37"/>
      <c r="Q874" s="37">
        <f t="shared" si="105"/>
        <v>4.69134412385645</v>
      </c>
      <c r="R874" s="219"/>
      <c r="S874" s="23"/>
      <c r="T874" s="804"/>
      <c r="U874" s="120" t="s">
        <v>1406</v>
      </c>
      <c r="X874" s="2180"/>
      <c r="AA874" s="839"/>
      <c r="AB874" s="839"/>
      <c r="AC874" s="1940"/>
    </row>
    <row r="875" s="187" customFormat="1" ht="16" hidden="1" customHeight="1" spans="1:29">
      <c r="A875" s="839">
        <v>737</v>
      </c>
      <c r="B875" s="19" t="s">
        <v>637</v>
      </c>
      <c r="C875" s="19"/>
      <c r="D875" s="21"/>
      <c r="E875" s="21"/>
      <c r="F875" s="2130" t="s">
        <v>1979</v>
      </c>
      <c r="G875" s="21" t="s">
        <v>654</v>
      </c>
      <c r="H875" s="21"/>
      <c r="I875" s="21"/>
      <c r="J875" s="21"/>
      <c r="K875" s="2048"/>
      <c r="L875" s="36"/>
      <c r="M875" s="22">
        <v>0.0689655172413793</v>
      </c>
      <c r="N875" s="22">
        <v>0.150129017124091</v>
      </c>
      <c r="O875" s="37">
        <v>0.4</v>
      </c>
      <c r="P875" s="37"/>
      <c r="Q875" s="37">
        <f t="shared" si="105"/>
        <v>0.61909453436547</v>
      </c>
      <c r="R875" s="219"/>
      <c r="S875" s="23"/>
      <c r="T875" s="804"/>
      <c r="U875" s="120" t="s">
        <v>1406</v>
      </c>
      <c r="X875" s="2180"/>
      <c r="AA875" s="839"/>
      <c r="AB875" s="839"/>
      <c r="AC875" s="1940"/>
    </row>
    <row r="876" s="187" customFormat="1" ht="16" hidden="1" customHeight="1" spans="1:29">
      <c r="A876" s="839">
        <v>738</v>
      </c>
      <c r="B876" s="19" t="s">
        <v>637</v>
      </c>
      <c r="C876" s="19"/>
      <c r="D876" s="21"/>
      <c r="E876" s="21"/>
      <c r="F876" s="2130" t="s">
        <v>1979</v>
      </c>
      <c r="G876" s="21" t="s">
        <v>655</v>
      </c>
      <c r="H876" s="21"/>
      <c r="I876" s="21"/>
      <c r="J876" s="21"/>
      <c r="K876" s="2048"/>
      <c r="L876" s="36"/>
      <c r="M876" s="22">
        <v>0.315270935960591</v>
      </c>
      <c r="N876" s="22">
        <v>1.7358667604973</v>
      </c>
      <c r="O876" s="37">
        <v>0.2</v>
      </c>
      <c r="P876" s="37"/>
      <c r="Q876" s="37">
        <f t="shared" si="105"/>
        <v>2.25113769645789</v>
      </c>
      <c r="R876" s="219"/>
      <c r="S876" s="23"/>
      <c r="T876" s="804"/>
      <c r="U876" s="120" t="s">
        <v>1406</v>
      </c>
      <c r="X876" s="2180"/>
      <c r="AA876" s="839"/>
      <c r="AB876" s="839"/>
      <c r="AC876" s="1940"/>
    </row>
    <row r="877" s="187" customFormat="1" ht="16" hidden="1" customHeight="1" spans="1:29">
      <c r="A877" s="839">
        <v>739</v>
      </c>
      <c r="B877" s="19" t="s">
        <v>637</v>
      </c>
      <c r="C877" s="19"/>
      <c r="D877" s="21"/>
      <c r="E877" s="21"/>
      <c r="F877" s="2130" t="s">
        <v>1979</v>
      </c>
      <c r="G877" s="21" t="s">
        <v>656</v>
      </c>
      <c r="H877" s="21"/>
      <c r="I877" s="21"/>
      <c r="J877" s="21"/>
      <c r="K877" s="2048"/>
      <c r="L877" s="36"/>
      <c r="M877" s="22">
        <v>0.0788177339901478</v>
      </c>
      <c r="N877" s="22">
        <v>0.300258034248182</v>
      </c>
      <c r="O877" s="37">
        <v>0.2</v>
      </c>
      <c r="P877" s="37"/>
      <c r="Q877" s="37">
        <f t="shared" si="105"/>
        <v>0.57907576823833</v>
      </c>
      <c r="R877" s="219"/>
      <c r="S877" s="23"/>
      <c r="T877" s="804"/>
      <c r="U877" s="120" t="s">
        <v>1406</v>
      </c>
      <c r="X877" s="2180"/>
      <c r="AA877" s="839"/>
      <c r="AB877" s="839"/>
      <c r="AC877" s="1940"/>
    </row>
    <row r="878" s="187" customFormat="1" ht="16" hidden="1" customHeight="1" spans="1:29">
      <c r="A878" s="839">
        <v>740</v>
      </c>
      <c r="B878" s="19" t="s">
        <v>637</v>
      </c>
      <c r="C878" s="19"/>
      <c r="D878" s="21"/>
      <c r="E878" s="21"/>
      <c r="F878" s="2130" t="s">
        <v>1979</v>
      </c>
      <c r="G878" s="21" t="s">
        <v>657</v>
      </c>
      <c r="H878" s="21"/>
      <c r="I878" s="21"/>
      <c r="J878" s="21"/>
      <c r="K878" s="2048"/>
      <c r="L878" s="36"/>
      <c r="M878" s="22">
        <v>0.0985221674876847</v>
      </c>
      <c r="N878" s="22">
        <v>0.309641097818437</v>
      </c>
      <c r="O878" s="37">
        <v>0.2</v>
      </c>
      <c r="P878" s="37"/>
      <c r="Q878" s="37">
        <f t="shared" si="105"/>
        <v>0.608163265306122</v>
      </c>
      <c r="R878" s="219"/>
      <c r="S878" s="23"/>
      <c r="T878" s="804"/>
      <c r="U878" s="120" t="s">
        <v>1406</v>
      </c>
      <c r="X878" s="2180"/>
      <c r="AA878" s="839"/>
      <c r="AB878" s="839"/>
      <c r="AC878" s="1940"/>
    </row>
    <row r="879" s="187" customFormat="1" ht="16" hidden="1" customHeight="1" spans="1:29">
      <c r="A879" s="839">
        <v>741</v>
      </c>
      <c r="B879" s="19" t="s">
        <v>637</v>
      </c>
      <c r="C879" s="19"/>
      <c r="D879" s="21"/>
      <c r="E879" s="21"/>
      <c r="F879" s="2130" t="s">
        <v>1979</v>
      </c>
      <c r="G879" s="21" t="s">
        <v>658</v>
      </c>
      <c r="H879" s="21"/>
      <c r="I879" s="21"/>
      <c r="J879" s="21"/>
      <c r="K879" s="2048"/>
      <c r="L879" s="36"/>
      <c r="M879" s="22">
        <v>0.38423645320197</v>
      </c>
      <c r="N879" s="22">
        <v>2.60849167253108</v>
      </c>
      <c r="O879" s="37">
        <v>0.4</v>
      </c>
      <c r="P879" s="37"/>
      <c r="Q879" s="37">
        <f t="shared" ref="Q879:Q942" si="106">SUM(K879:O879)</f>
        <v>3.39272812573305</v>
      </c>
      <c r="R879" s="219"/>
      <c r="S879" s="23"/>
      <c r="T879" s="804"/>
      <c r="U879" s="120" t="s">
        <v>1406</v>
      </c>
      <c r="X879" s="2180"/>
      <c r="AA879" s="839"/>
      <c r="AB879" s="839"/>
      <c r="AC879" s="1940"/>
    </row>
    <row r="880" s="187" customFormat="1" ht="16" hidden="1" customHeight="1" spans="1:29">
      <c r="A880" s="839">
        <v>742</v>
      </c>
      <c r="B880" s="19" t="s">
        <v>637</v>
      </c>
      <c r="C880" s="19"/>
      <c r="D880" s="21"/>
      <c r="E880" s="21"/>
      <c r="F880" s="2130" t="s">
        <v>1979</v>
      </c>
      <c r="G880" s="21" t="s">
        <v>659</v>
      </c>
      <c r="H880" s="21"/>
      <c r="I880" s="21"/>
      <c r="J880" s="21"/>
      <c r="K880" s="2048"/>
      <c r="L880" s="36"/>
      <c r="M880" s="22">
        <v>0.26</v>
      </c>
      <c r="N880" s="22">
        <v>1.06666666666667</v>
      </c>
      <c r="O880" s="37">
        <v>0.4</v>
      </c>
      <c r="P880" s="37"/>
      <c r="Q880" s="37">
        <f t="shared" si="106"/>
        <v>1.72666666666667</v>
      </c>
      <c r="R880" s="219"/>
      <c r="S880" s="23"/>
      <c r="T880" s="804"/>
      <c r="U880" s="120" t="s">
        <v>1406</v>
      </c>
      <c r="X880" s="2180"/>
      <c r="AA880" s="839"/>
      <c r="AB880" s="839"/>
      <c r="AC880" s="1940"/>
    </row>
    <row r="881" s="187" customFormat="1" ht="16" hidden="1" customHeight="1" spans="1:29">
      <c r="A881" s="839">
        <v>743</v>
      </c>
      <c r="B881" s="19" t="s">
        <v>637</v>
      </c>
      <c r="C881" s="19"/>
      <c r="D881" s="21"/>
      <c r="E881" s="21"/>
      <c r="F881" s="2130" t="s">
        <v>1979</v>
      </c>
      <c r="G881" s="21" t="s">
        <v>660</v>
      </c>
      <c r="H881" s="21"/>
      <c r="I881" s="21"/>
      <c r="J881" s="21"/>
      <c r="K881" s="2048"/>
      <c r="L881" s="36"/>
      <c r="M881" s="22">
        <v>0.21</v>
      </c>
      <c r="N881" s="22">
        <v>0.733333333333333</v>
      </c>
      <c r="O881" s="37">
        <v>0.4</v>
      </c>
      <c r="P881" s="37"/>
      <c r="Q881" s="37">
        <f t="shared" si="106"/>
        <v>1.34333333333333</v>
      </c>
      <c r="R881" s="219"/>
      <c r="S881" s="23"/>
      <c r="T881" s="804"/>
      <c r="U881" s="120" t="s">
        <v>1406</v>
      </c>
      <c r="X881" s="2180"/>
      <c r="AA881" s="839"/>
      <c r="AB881" s="839"/>
      <c r="AC881" s="1940"/>
    </row>
    <row r="882" s="187" customFormat="1" ht="16" hidden="1" customHeight="1" spans="1:29">
      <c r="A882" s="839">
        <v>744</v>
      </c>
      <c r="B882" s="19" t="s">
        <v>637</v>
      </c>
      <c r="C882" s="19"/>
      <c r="D882" s="21"/>
      <c r="E882" s="21"/>
      <c r="F882" s="2130" t="s">
        <v>1979</v>
      </c>
      <c r="G882" s="21" t="s">
        <v>661</v>
      </c>
      <c r="H882" s="21"/>
      <c r="I882" s="21"/>
      <c r="J882" s="21"/>
      <c r="K882" s="2048"/>
      <c r="L882" s="36"/>
      <c r="M882" s="22">
        <v>0.26</v>
      </c>
      <c r="N882" s="22">
        <v>1.16190476190476</v>
      </c>
      <c r="O882" s="37">
        <v>0.2</v>
      </c>
      <c r="P882" s="37"/>
      <c r="Q882" s="37">
        <f t="shared" si="106"/>
        <v>1.62190476190476</v>
      </c>
      <c r="R882" s="219"/>
      <c r="S882" s="23"/>
      <c r="T882" s="804"/>
      <c r="U882" s="120" t="s">
        <v>1406</v>
      </c>
      <c r="X882" s="2180"/>
      <c r="AA882" s="839"/>
      <c r="AB882" s="839"/>
      <c r="AC882" s="1940"/>
    </row>
    <row r="883" s="187" customFormat="1" ht="16" hidden="1" customHeight="1" spans="1:29">
      <c r="A883" s="839">
        <v>745</v>
      </c>
      <c r="B883" s="19" t="s">
        <v>637</v>
      </c>
      <c r="C883" s="19"/>
      <c r="D883" s="21"/>
      <c r="E883" s="21"/>
      <c r="F883" s="2130" t="s">
        <v>1979</v>
      </c>
      <c r="G883" s="21" t="s">
        <v>662</v>
      </c>
      <c r="H883" s="21"/>
      <c r="I883" s="21"/>
      <c r="J883" s="21"/>
      <c r="K883" s="2048"/>
      <c r="L883" s="36"/>
      <c r="M883" s="22">
        <v>0.22</v>
      </c>
      <c r="N883" s="22">
        <v>2.19047619047619</v>
      </c>
      <c r="O883" s="37">
        <v>0.4</v>
      </c>
      <c r="P883" s="37"/>
      <c r="Q883" s="37">
        <f t="shared" si="106"/>
        <v>2.81047619047619</v>
      </c>
      <c r="R883" s="219"/>
      <c r="S883" s="23"/>
      <c r="T883" s="804"/>
      <c r="U883" s="120" t="s">
        <v>1406</v>
      </c>
      <c r="X883" s="2180"/>
      <c r="AA883" s="839"/>
      <c r="AB883" s="839"/>
      <c r="AC883" s="1940"/>
    </row>
    <row r="884" s="187" customFormat="1" ht="16" hidden="1" customHeight="1" spans="1:29">
      <c r="A884" s="839">
        <v>746</v>
      </c>
      <c r="B884" s="19" t="s">
        <v>637</v>
      </c>
      <c r="C884" s="19"/>
      <c r="D884" s="21"/>
      <c r="E884" s="21"/>
      <c r="F884" s="2130" t="s">
        <v>1979</v>
      </c>
      <c r="G884" s="21" t="s">
        <v>663</v>
      </c>
      <c r="H884" s="21"/>
      <c r="I884" s="21"/>
      <c r="J884" s="21"/>
      <c r="K884" s="2048"/>
      <c r="L884" s="36"/>
      <c r="M884" s="22">
        <v>0.35</v>
      </c>
      <c r="N884" s="22">
        <v>1.44761904761904</v>
      </c>
      <c r="O884" s="37">
        <v>0.4</v>
      </c>
      <c r="P884" s="37"/>
      <c r="Q884" s="37">
        <f t="shared" si="106"/>
        <v>2.19761904761904</v>
      </c>
      <c r="R884" s="219"/>
      <c r="S884" s="23"/>
      <c r="T884" s="804"/>
      <c r="U884" s="120" t="s">
        <v>1406</v>
      </c>
      <c r="X884" s="2180"/>
      <c r="AA884" s="839"/>
      <c r="AB884" s="839"/>
      <c r="AC884" s="1940"/>
    </row>
    <row r="885" s="187" customFormat="1" ht="16" hidden="1" customHeight="1" spans="1:29">
      <c r="A885" s="839">
        <v>747</v>
      </c>
      <c r="B885" s="19" t="s">
        <v>637</v>
      </c>
      <c r="C885" s="19"/>
      <c r="D885" s="21"/>
      <c r="E885" s="21"/>
      <c r="F885" s="2130" t="s">
        <v>1979</v>
      </c>
      <c r="G885" s="21" t="s">
        <v>664</v>
      </c>
      <c r="H885" s="21"/>
      <c r="I885" s="21"/>
      <c r="J885" s="21"/>
      <c r="K885" s="2048"/>
      <c r="L885" s="36"/>
      <c r="M885" s="22">
        <v>0.46</v>
      </c>
      <c r="N885" s="22">
        <v>1.88571428571429</v>
      </c>
      <c r="O885" s="37">
        <v>0.2</v>
      </c>
      <c r="P885" s="37"/>
      <c r="Q885" s="37">
        <f t="shared" si="106"/>
        <v>2.54571428571429</v>
      </c>
      <c r="R885" s="219"/>
      <c r="S885" s="23"/>
      <c r="T885" s="804"/>
      <c r="U885" s="120" t="s">
        <v>1406</v>
      </c>
      <c r="X885" s="2180"/>
      <c r="AA885" s="839"/>
      <c r="AB885" s="839"/>
      <c r="AC885" s="1940"/>
    </row>
    <row r="886" s="42" customFormat="1" ht="16" hidden="1" customHeight="1" spans="1:29">
      <c r="A886" s="839">
        <v>748</v>
      </c>
      <c r="B886" s="19" t="s">
        <v>637</v>
      </c>
      <c r="C886" s="19"/>
      <c r="D886" s="21"/>
      <c r="E886" s="21"/>
      <c r="F886" s="2130" t="s">
        <v>1979</v>
      </c>
      <c r="G886" s="21" t="s">
        <v>665</v>
      </c>
      <c r="H886" s="21"/>
      <c r="I886" s="21"/>
      <c r="J886" s="21"/>
      <c r="K886" s="2048"/>
      <c r="L886" s="36"/>
      <c r="M886" s="22">
        <v>0.38423645320197</v>
      </c>
      <c r="N886" s="22">
        <v>0.344827586206897</v>
      </c>
      <c r="O886" s="37">
        <v>0.4</v>
      </c>
      <c r="P886" s="37"/>
      <c r="Q886" s="37">
        <f t="shared" si="106"/>
        <v>1.12906403940887</v>
      </c>
      <c r="R886" s="219"/>
      <c r="S886" s="20"/>
      <c r="T886" s="805"/>
      <c r="U886" s="120" t="s">
        <v>1406</v>
      </c>
      <c r="X886" s="2163"/>
      <c r="AA886" s="839"/>
      <c r="AB886" s="839"/>
      <c r="AC886" s="1940"/>
    </row>
    <row r="887" s="42" customFormat="1" ht="16" hidden="1" customHeight="1" spans="1:29">
      <c r="A887" s="839">
        <v>749</v>
      </c>
      <c r="B887" s="19" t="s">
        <v>637</v>
      </c>
      <c r="C887" s="19"/>
      <c r="D887" s="21"/>
      <c r="E887" s="21"/>
      <c r="F887" s="2130" t="s">
        <v>1979</v>
      </c>
      <c r="G887" s="21" t="s">
        <v>666</v>
      </c>
      <c r="H887" s="21"/>
      <c r="I887" s="21"/>
      <c r="J887" s="21"/>
      <c r="K887" s="2048"/>
      <c r="L887" s="36"/>
      <c r="M887" s="22">
        <v>0.216748768472906</v>
      </c>
      <c r="N887" s="22">
        <v>0.413793103448276</v>
      </c>
      <c r="O887" s="37">
        <v>0.2</v>
      </c>
      <c r="P887" s="37"/>
      <c r="Q887" s="37">
        <f t="shared" si="106"/>
        <v>0.830541871921182</v>
      </c>
      <c r="R887" s="219"/>
      <c r="S887" s="20"/>
      <c r="T887" s="805"/>
      <c r="U887" s="120" t="s">
        <v>1406</v>
      </c>
      <c r="X887" s="2163"/>
      <c r="AA887" s="839"/>
      <c r="AB887" s="839"/>
      <c r="AC887" s="1940"/>
    </row>
    <row r="888" s="187" customFormat="1" ht="16" hidden="1" customHeight="1" spans="1:29">
      <c r="A888" s="839">
        <v>750</v>
      </c>
      <c r="B888" s="19" t="s">
        <v>637</v>
      </c>
      <c r="C888" s="19"/>
      <c r="D888" s="21"/>
      <c r="E888" s="21"/>
      <c r="F888" s="2130" t="s">
        <v>1979</v>
      </c>
      <c r="G888" s="21" t="s">
        <v>668</v>
      </c>
      <c r="H888" s="21"/>
      <c r="I888" s="21"/>
      <c r="J888" s="21"/>
      <c r="K888" s="2048"/>
      <c r="L888" s="36"/>
      <c r="M888" s="22">
        <v>0.315270935960591</v>
      </c>
      <c r="N888" s="22">
        <v>1.17241379310345</v>
      </c>
      <c r="O888" s="37">
        <v>0.2</v>
      </c>
      <c r="P888" s="37"/>
      <c r="Q888" s="37">
        <f t="shared" si="106"/>
        <v>1.68768472906404</v>
      </c>
      <c r="R888" s="219"/>
      <c r="S888" s="23"/>
      <c r="T888" s="804"/>
      <c r="U888" s="120" t="s">
        <v>1406</v>
      </c>
      <c r="X888" s="2180"/>
      <c r="AA888" s="839"/>
      <c r="AB888" s="839"/>
      <c r="AC888" s="1940"/>
    </row>
    <row r="889" s="187" customFormat="1" ht="16" hidden="1" customHeight="1" spans="1:29">
      <c r="A889" s="839">
        <v>751</v>
      </c>
      <c r="B889" s="19" t="s">
        <v>637</v>
      </c>
      <c r="C889" s="19"/>
      <c r="D889" s="21"/>
      <c r="E889" s="21"/>
      <c r="F889" s="2130" t="s">
        <v>1979</v>
      </c>
      <c r="G889" s="21" t="s">
        <v>669</v>
      </c>
      <c r="H889" s="21"/>
      <c r="I889" s="21"/>
      <c r="J889" s="21"/>
      <c r="K889" s="2048"/>
      <c r="L889" s="36"/>
      <c r="M889" s="22">
        <v>0.157635467980296</v>
      </c>
      <c r="N889" s="22">
        <v>0.423645320197044</v>
      </c>
      <c r="O889" s="37">
        <v>0.2</v>
      </c>
      <c r="P889" s="37"/>
      <c r="Q889" s="37">
        <f t="shared" si="106"/>
        <v>0.78128078817734</v>
      </c>
      <c r="R889" s="219"/>
      <c r="S889" s="23"/>
      <c r="T889" s="804"/>
      <c r="U889" s="120" t="s">
        <v>1406</v>
      </c>
      <c r="X889" s="2180"/>
      <c r="AA889" s="839"/>
      <c r="AB889" s="839"/>
      <c r="AC889" s="1940"/>
    </row>
    <row r="890" s="42" customFormat="1" ht="16" hidden="1" customHeight="1" spans="1:29">
      <c r="A890" s="839">
        <v>752</v>
      </c>
      <c r="B890" s="19" t="s">
        <v>637</v>
      </c>
      <c r="C890" s="19"/>
      <c r="D890" s="21"/>
      <c r="E890" s="21"/>
      <c r="F890" s="2130" t="s">
        <v>1979</v>
      </c>
      <c r="G890" s="21" t="s">
        <v>670</v>
      </c>
      <c r="H890" s="21"/>
      <c r="I890" s="21"/>
      <c r="J890" s="21"/>
      <c r="K890" s="2048"/>
      <c r="L890" s="36"/>
      <c r="M890" s="22">
        <v>0.38423645320197</v>
      </c>
      <c r="N890" s="22">
        <v>1.23152709359606</v>
      </c>
      <c r="O890" s="37">
        <v>0.4</v>
      </c>
      <c r="P890" s="37"/>
      <c r="Q890" s="37">
        <f t="shared" si="106"/>
        <v>2.01576354679803</v>
      </c>
      <c r="R890" s="219"/>
      <c r="S890" s="20"/>
      <c r="T890" s="805"/>
      <c r="U890" s="120" t="s">
        <v>1406</v>
      </c>
      <c r="X890" s="2163"/>
      <c r="AA890" s="839"/>
      <c r="AB890" s="839"/>
      <c r="AC890" s="1940"/>
    </row>
    <row r="891" s="42" customFormat="1" ht="16" hidden="1" customHeight="1" spans="1:29">
      <c r="A891" s="839">
        <v>753</v>
      </c>
      <c r="B891" s="19" t="s">
        <v>637</v>
      </c>
      <c r="C891" s="19"/>
      <c r="D891" s="21"/>
      <c r="E891" s="21"/>
      <c r="F891" s="2130" t="s">
        <v>1979</v>
      </c>
      <c r="G891" s="21" t="s">
        <v>671</v>
      </c>
      <c r="H891" s="21"/>
      <c r="I891" s="21"/>
      <c r="J891" s="21"/>
      <c r="K891" s="2048"/>
      <c r="L891" s="36"/>
      <c r="M891" s="22">
        <v>0.21</v>
      </c>
      <c r="N891" s="22">
        <v>0.591133004926108</v>
      </c>
      <c r="O891" s="37">
        <v>0.4</v>
      </c>
      <c r="P891" s="37"/>
      <c r="Q891" s="37">
        <f t="shared" si="106"/>
        <v>1.20113300492611</v>
      </c>
      <c r="R891" s="219"/>
      <c r="S891" s="20"/>
      <c r="T891" s="805"/>
      <c r="U891" s="120" t="s">
        <v>1406</v>
      </c>
      <c r="X891" s="2163"/>
      <c r="AA891" s="839"/>
      <c r="AB891" s="839"/>
      <c r="AC891" s="1940"/>
    </row>
    <row r="892" s="42" customFormat="1" ht="16" hidden="1" customHeight="1" spans="1:29">
      <c r="A892" s="839">
        <v>754</v>
      </c>
      <c r="B892" s="19" t="s">
        <v>637</v>
      </c>
      <c r="C892" s="19"/>
      <c r="D892" s="21"/>
      <c r="E892" s="21"/>
      <c r="F892" s="2130" t="s">
        <v>1979</v>
      </c>
      <c r="G892" s="21" t="s">
        <v>672</v>
      </c>
      <c r="H892" s="21"/>
      <c r="I892" s="21"/>
      <c r="J892" s="21"/>
      <c r="K892" s="2048"/>
      <c r="L892" s="36"/>
      <c r="M892" s="22">
        <v>0.315270935960591</v>
      </c>
      <c r="N892" s="22">
        <v>1.16256157635468</v>
      </c>
      <c r="O892" s="37">
        <v>0.2</v>
      </c>
      <c r="P892" s="37"/>
      <c r="Q892" s="37">
        <f t="shared" si="106"/>
        <v>1.67783251231527</v>
      </c>
      <c r="R892" s="219"/>
      <c r="S892" s="20"/>
      <c r="T892" s="805"/>
      <c r="U892" s="120" t="s">
        <v>1406</v>
      </c>
      <c r="X892" s="2163"/>
      <c r="AA892" s="839"/>
      <c r="AB892" s="839"/>
      <c r="AC892" s="1940"/>
    </row>
    <row r="893" s="187" customFormat="1" ht="16" hidden="1" customHeight="1" spans="1:29">
      <c r="A893" s="839">
        <v>755</v>
      </c>
      <c r="B893" s="23" t="s">
        <v>673</v>
      </c>
      <c r="C893" s="23"/>
      <c r="D893" s="21"/>
      <c r="E893" s="21"/>
      <c r="F893" s="2130" t="s">
        <v>1979</v>
      </c>
      <c r="G893" s="21" t="s">
        <v>3115</v>
      </c>
      <c r="H893" s="21"/>
      <c r="I893" s="21"/>
      <c r="J893" s="21"/>
      <c r="K893" s="2048"/>
      <c r="L893" s="36"/>
      <c r="M893" s="22">
        <v>0.482758620689655</v>
      </c>
      <c r="N893" s="22">
        <v>3.26530612244898</v>
      </c>
      <c r="O893" s="37">
        <v>0.4</v>
      </c>
      <c r="P893" s="37"/>
      <c r="Q893" s="37">
        <f t="shared" si="106"/>
        <v>4.14806474313864</v>
      </c>
      <c r="R893" s="219"/>
      <c r="S893" s="23"/>
      <c r="T893" s="804"/>
      <c r="U893" s="120" t="s">
        <v>1406</v>
      </c>
      <c r="X893" s="2180"/>
      <c r="AA893" s="839"/>
      <c r="AB893" s="839"/>
      <c r="AC893" s="1940"/>
    </row>
    <row r="894" s="187" customFormat="1" ht="16" hidden="1" customHeight="1" spans="1:29">
      <c r="A894" s="839">
        <v>756</v>
      </c>
      <c r="B894" s="23" t="s">
        <v>673</v>
      </c>
      <c r="C894" s="23"/>
      <c r="D894" s="21"/>
      <c r="E894" s="21"/>
      <c r="F894" s="2130" t="s">
        <v>1979</v>
      </c>
      <c r="G894" s="21" t="s">
        <v>675</v>
      </c>
      <c r="H894" s="21"/>
      <c r="I894" s="21"/>
      <c r="J894" s="21"/>
      <c r="K894" s="2048"/>
      <c r="L894" s="36"/>
      <c r="M894" s="22">
        <v>0.357774968394437</v>
      </c>
      <c r="N894" s="22">
        <v>2.17578698893805</v>
      </c>
      <c r="O894" s="37">
        <v>0.4</v>
      </c>
      <c r="P894" s="37"/>
      <c r="Q894" s="37">
        <f t="shared" si="106"/>
        <v>2.93356195733249</v>
      </c>
      <c r="R894" s="219"/>
      <c r="S894" s="23"/>
      <c r="T894" s="804"/>
      <c r="U894" s="120" t="s">
        <v>1406</v>
      </c>
      <c r="X894" s="2180"/>
      <c r="AA894" s="839"/>
      <c r="AB894" s="839"/>
      <c r="AC894" s="1940"/>
    </row>
    <row r="895" s="42" customFormat="1" ht="16" hidden="1" customHeight="1" spans="1:29">
      <c r="A895" s="839">
        <v>757</v>
      </c>
      <c r="B895" s="23" t="s">
        <v>673</v>
      </c>
      <c r="C895" s="23"/>
      <c r="D895" s="21"/>
      <c r="E895" s="21"/>
      <c r="F895" s="2130" t="s">
        <v>1979</v>
      </c>
      <c r="G895" s="21" t="s">
        <v>676</v>
      </c>
      <c r="H895" s="21"/>
      <c r="I895" s="21"/>
      <c r="J895" s="21"/>
      <c r="K895" s="2048"/>
      <c r="L895" s="36"/>
      <c r="M895" s="22">
        <v>0.502463054187192</v>
      </c>
      <c r="N895" s="22">
        <v>2.22660098522167</v>
      </c>
      <c r="O895" s="37">
        <v>0.2</v>
      </c>
      <c r="P895" s="37"/>
      <c r="Q895" s="37">
        <f t="shared" si="106"/>
        <v>2.92906403940886</v>
      </c>
      <c r="R895" s="219"/>
      <c r="S895" s="20"/>
      <c r="T895" s="805"/>
      <c r="U895" s="120" t="s">
        <v>1406</v>
      </c>
      <c r="X895" s="2163"/>
      <c r="AA895" s="839"/>
      <c r="AB895" s="839"/>
      <c r="AC895" s="1940"/>
    </row>
    <row r="896" s="42" customFormat="1" ht="16" hidden="1" customHeight="1" spans="1:29">
      <c r="A896" s="839">
        <v>758</v>
      </c>
      <c r="B896" s="23" t="s">
        <v>673</v>
      </c>
      <c r="C896" s="23"/>
      <c r="D896" s="21"/>
      <c r="E896" s="21"/>
      <c r="F896" s="2130" t="s">
        <v>1979</v>
      </c>
      <c r="G896" s="21" t="s">
        <v>677</v>
      </c>
      <c r="H896" s="21"/>
      <c r="I896" s="21"/>
      <c r="J896" s="21"/>
      <c r="K896" s="2048"/>
      <c r="L896" s="36"/>
      <c r="M896" s="22">
        <v>0.847290640394089</v>
      </c>
      <c r="N896" s="22">
        <v>5.68472906403941</v>
      </c>
      <c r="O896" s="37">
        <v>0.4</v>
      </c>
      <c r="P896" s="37"/>
      <c r="Q896" s="37">
        <f t="shared" si="106"/>
        <v>6.9320197044335</v>
      </c>
      <c r="R896" s="219"/>
      <c r="S896" s="20" t="s">
        <v>346</v>
      </c>
      <c r="T896" s="805"/>
      <c r="U896" s="120" t="s">
        <v>1406</v>
      </c>
      <c r="X896" s="2163"/>
      <c r="AA896" s="839"/>
      <c r="AB896" s="839"/>
      <c r="AC896" s="1940"/>
    </row>
    <row r="897" s="187" customFormat="1" ht="16" hidden="1" customHeight="1" spans="1:29">
      <c r="A897" s="839">
        <v>759</v>
      </c>
      <c r="B897" s="23" t="s">
        <v>673</v>
      </c>
      <c r="C897" s="23"/>
      <c r="D897" s="21"/>
      <c r="E897" s="21"/>
      <c r="F897" s="2130" t="s">
        <v>1979</v>
      </c>
      <c r="G897" s="21" t="s">
        <v>678</v>
      </c>
      <c r="H897" s="21"/>
      <c r="I897" s="21"/>
      <c r="J897" s="21"/>
      <c r="K897" s="2048"/>
      <c r="L897" s="36"/>
      <c r="M897" s="22">
        <v>0.365813905757645</v>
      </c>
      <c r="N897" s="22">
        <v>1.93785703141194</v>
      </c>
      <c r="O897" s="37">
        <v>0.2</v>
      </c>
      <c r="P897" s="37"/>
      <c r="Q897" s="37">
        <f t="shared" si="106"/>
        <v>2.50367093716958</v>
      </c>
      <c r="R897" s="219"/>
      <c r="S897" s="23"/>
      <c r="T897" s="804"/>
      <c r="U897" s="120" t="s">
        <v>1406</v>
      </c>
      <c r="X897" s="2180"/>
      <c r="AA897" s="839"/>
      <c r="AB897" s="839"/>
      <c r="AC897" s="1940"/>
    </row>
    <row r="898" s="187" customFormat="1" ht="16" hidden="1" customHeight="1" spans="1:29">
      <c r="A898" s="839">
        <v>760</v>
      </c>
      <c r="B898" s="23" t="s">
        <v>673</v>
      </c>
      <c r="C898" s="23"/>
      <c r="D898" s="21">
        <v>20240312</v>
      </c>
      <c r="E898" s="21">
        <v>7.17</v>
      </c>
      <c r="F898" s="2132" t="s">
        <v>679</v>
      </c>
      <c r="G898" s="21" t="s">
        <v>680</v>
      </c>
      <c r="H898" s="21"/>
      <c r="I898" s="21"/>
      <c r="J898" s="21"/>
      <c r="K898" s="2048"/>
      <c r="L898" s="36"/>
      <c r="M898" s="22">
        <v>0.410553575330493</v>
      </c>
      <c r="N898" s="22">
        <v>1.84648822763913</v>
      </c>
      <c r="O898" s="37">
        <v>0.2</v>
      </c>
      <c r="P898" s="37"/>
      <c r="Q898" s="37">
        <f t="shared" si="106"/>
        <v>2.45704180296962</v>
      </c>
      <c r="R898" s="219"/>
      <c r="S898" s="23" t="s">
        <v>63</v>
      </c>
      <c r="T898" s="804"/>
      <c r="U898" s="120" t="s">
        <v>1406</v>
      </c>
      <c r="X898" s="2180"/>
      <c r="AA898" s="839"/>
      <c r="AB898" s="839"/>
      <c r="AC898" s="1940"/>
    </row>
    <row r="899" s="187" customFormat="1" ht="16" hidden="1" customHeight="1" spans="1:29">
      <c r="A899" s="839">
        <v>761</v>
      </c>
      <c r="B899" s="23" t="s">
        <v>682</v>
      </c>
      <c r="C899" s="23"/>
      <c r="D899" s="21"/>
      <c r="E899" s="21"/>
      <c r="F899" s="2130" t="s">
        <v>1979</v>
      </c>
      <c r="G899" s="21" t="s">
        <v>683</v>
      </c>
      <c r="H899" s="21"/>
      <c r="I899" s="21"/>
      <c r="J899" s="21"/>
      <c r="K899" s="2048"/>
      <c r="L899" s="36"/>
      <c r="M899" s="22">
        <v>0.405604719764012</v>
      </c>
      <c r="N899" s="22">
        <v>2.33525408893805</v>
      </c>
      <c r="O899" s="37">
        <v>0.2</v>
      </c>
      <c r="P899" s="37"/>
      <c r="Q899" s="37">
        <f t="shared" si="106"/>
        <v>2.94085880870206</v>
      </c>
      <c r="R899" s="219"/>
      <c r="S899" s="23"/>
      <c r="T899" s="804"/>
      <c r="U899" s="120" t="s">
        <v>1406</v>
      </c>
      <c r="X899" s="2180"/>
      <c r="AA899" s="839"/>
      <c r="AB899" s="839"/>
      <c r="AC899" s="1940"/>
    </row>
    <row r="900" s="187" customFormat="1" ht="16" hidden="1" customHeight="1" spans="1:29">
      <c r="A900" s="839">
        <v>762</v>
      </c>
      <c r="B900" s="23" t="s">
        <v>682</v>
      </c>
      <c r="C900" s="23"/>
      <c r="D900" s="21">
        <v>20241122</v>
      </c>
      <c r="E900" s="21">
        <v>7.17</v>
      </c>
      <c r="F900" s="2132" t="s">
        <v>684</v>
      </c>
      <c r="G900" s="21" t="s">
        <v>685</v>
      </c>
      <c r="H900" s="21"/>
      <c r="I900" s="21"/>
      <c r="J900" s="21"/>
      <c r="K900" s="2048"/>
      <c r="L900" s="36"/>
      <c r="M900" s="22">
        <v>0.433015473068939</v>
      </c>
      <c r="N900" s="22">
        <v>2.71384129918365</v>
      </c>
      <c r="O900" s="37">
        <v>0.4</v>
      </c>
      <c r="P900" s="37"/>
      <c r="Q900" s="37">
        <f t="shared" si="106"/>
        <v>3.54685677225259</v>
      </c>
      <c r="R900" s="219"/>
      <c r="S900" s="23" t="s">
        <v>686</v>
      </c>
      <c r="T900" s="804"/>
      <c r="U900" s="120"/>
      <c r="X900" s="2180"/>
      <c r="AA900" s="839"/>
      <c r="AB900" s="839"/>
      <c r="AC900" s="1940"/>
    </row>
    <row r="901" s="187" customFormat="1" ht="16" hidden="1" customHeight="1" spans="1:29">
      <c r="A901" s="839">
        <v>763</v>
      </c>
      <c r="B901" s="23" t="s">
        <v>682</v>
      </c>
      <c r="C901" s="23"/>
      <c r="D901" s="21"/>
      <c r="E901" s="21"/>
      <c r="F901" s="2130" t="s">
        <v>1979</v>
      </c>
      <c r="G901" s="21" t="s">
        <v>687</v>
      </c>
      <c r="H901" s="21"/>
      <c r="I901" s="21"/>
      <c r="J901" s="21"/>
      <c r="K901" s="2048"/>
      <c r="L901" s="36"/>
      <c r="M901" s="22">
        <v>0.414595708570736</v>
      </c>
      <c r="N901" s="22">
        <v>3.05072835971027</v>
      </c>
      <c r="O901" s="37">
        <v>0.2</v>
      </c>
      <c r="P901" s="37"/>
      <c r="Q901" s="37">
        <f t="shared" si="106"/>
        <v>3.66532406828101</v>
      </c>
      <c r="R901" s="219"/>
      <c r="S901" s="23"/>
      <c r="T901" s="804"/>
      <c r="U901" s="120" t="s">
        <v>1406</v>
      </c>
      <c r="X901" s="2180"/>
      <c r="AA901" s="839"/>
      <c r="AB901" s="839"/>
      <c r="AC901" s="1940"/>
    </row>
    <row r="902" s="187" customFormat="1" ht="16" hidden="1" customHeight="1" spans="1:29">
      <c r="A902" s="839">
        <v>764</v>
      </c>
      <c r="B902" s="23" t="s">
        <v>688</v>
      </c>
      <c r="C902" s="23"/>
      <c r="D902" s="21"/>
      <c r="E902" s="21"/>
      <c r="F902" s="2130" t="s">
        <v>1979</v>
      </c>
      <c r="G902" s="21" t="s">
        <v>689</v>
      </c>
      <c r="H902" s="21"/>
      <c r="I902" s="21"/>
      <c r="J902" s="21"/>
      <c r="K902" s="2048"/>
      <c r="L902" s="36"/>
      <c r="M902" s="22">
        <v>0.06</v>
      </c>
      <c r="N902" s="22">
        <v>0.3</v>
      </c>
      <c r="O902" s="37">
        <v>0.4</v>
      </c>
      <c r="P902" s="37"/>
      <c r="Q902" s="37">
        <f t="shared" si="106"/>
        <v>0.76</v>
      </c>
      <c r="R902" s="219"/>
      <c r="S902" s="23"/>
      <c r="T902" s="804"/>
      <c r="U902" s="120" t="s">
        <v>1406</v>
      </c>
      <c r="X902" s="2180"/>
      <c r="AA902" s="839"/>
      <c r="AB902" s="839"/>
      <c r="AC902" s="1940"/>
    </row>
    <row r="903" s="187" customFormat="1" ht="16" hidden="1" customHeight="1" spans="1:29">
      <c r="A903" s="839">
        <v>765</v>
      </c>
      <c r="B903" s="23" t="s">
        <v>688</v>
      </c>
      <c r="C903" s="23"/>
      <c r="D903" s="21"/>
      <c r="E903" s="21"/>
      <c r="F903" s="2130" t="s">
        <v>1979</v>
      </c>
      <c r="G903" s="21" t="s">
        <v>690</v>
      </c>
      <c r="H903" s="21"/>
      <c r="I903" s="21"/>
      <c r="J903" s="21"/>
      <c r="K903" s="2048"/>
      <c r="L903" s="36"/>
      <c r="M903" s="22">
        <v>1.15</v>
      </c>
      <c r="N903" s="22">
        <v>7.12</v>
      </c>
      <c r="O903" s="37">
        <v>0.4</v>
      </c>
      <c r="P903" s="37"/>
      <c r="Q903" s="37">
        <f t="shared" si="106"/>
        <v>8.67</v>
      </c>
      <c r="R903" s="219"/>
      <c r="S903" s="23" t="s">
        <v>3116</v>
      </c>
      <c r="T903" s="804"/>
      <c r="U903" s="120" t="s">
        <v>1406</v>
      </c>
      <c r="X903" s="2180"/>
      <c r="AA903" s="839"/>
      <c r="AB903" s="839"/>
      <c r="AC903" s="1940"/>
    </row>
    <row r="904" s="187" customFormat="1" ht="16" hidden="1" customHeight="1" spans="1:29">
      <c r="A904" s="839">
        <v>766</v>
      </c>
      <c r="B904" s="23" t="s">
        <v>688</v>
      </c>
      <c r="C904" s="23"/>
      <c r="D904" s="21"/>
      <c r="E904" s="21"/>
      <c r="F904" s="2130" t="s">
        <v>1979</v>
      </c>
      <c r="G904" s="21" t="s">
        <v>692</v>
      </c>
      <c r="H904" s="21"/>
      <c r="I904" s="21"/>
      <c r="J904" s="21"/>
      <c r="K904" s="2048"/>
      <c r="L904" s="36"/>
      <c r="M904" s="22">
        <v>1.19211822660099</v>
      </c>
      <c r="N904" s="22">
        <v>5.21182266009852</v>
      </c>
      <c r="O904" s="37">
        <v>0.4</v>
      </c>
      <c r="P904" s="37"/>
      <c r="Q904" s="37">
        <f t="shared" si="106"/>
        <v>6.80394088669951</v>
      </c>
      <c r="R904" s="219"/>
      <c r="S904" s="23" t="s">
        <v>25</v>
      </c>
      <c r="T904" s="804"/>
      <c r="U904" s="120" t="s">
        <v>1406</v>
      </c>
      <c r="X904" s="2180"/>
      <c r="AA904" s="839"/>
      <c r="AB904" s="839"/>
      <c r="AC904" s="1940"/>
    </row>
    <row r="905" s="187" customFormat="1" ht="16" hidden="1" customHeight="1" spans="1:29">
      <c r="A905" s="839">
        <v>767</v>
      </c>
      <c r="B905" s="23" t="s">
        <v>688</v>
      </c>
      <c r="C905" s="23"/>
      <c r="D905" s="21"/>
      <c r="E905" s="21"/>
      <c r="F905" s="2132" t="s">
        <v>693</v>
      </c>
      <c r="G905" s="21" t="s">
        <v>694</v>
      </c>
      <c r="H905" s="21"/>
      <c r="I905" s="21"/>
      <c r="J905" s="21"/>
      <c r="K905" s="2048"/>
      <c r="L905" s="36"/>
      <c r="M905" s="22">
        <v>1.19211822660099</v>
      </c>
      <c r="N905" s="22">
        <v>5.21182266009852</v>
      </c>
      <c r="O905" s="37">
        <v>0.4</v>
      </c>
      <c r="P905" s="37"/>
      <c r="Q905" s="37">
        <f t="shared" si="106"/>
        <v>6.80394088669951</v>
      </c>
      <c r="R905" s="219"/>
      <c r="S905" s="23" t="s">
        <v>25</v>
      </c>
      <c r="T905" s="804"/>
      <c r="U905" s="120" t="s">
        <v>1406</v>
      </c>
      <c r="X905" s="2180"/>
      <c r="AA905" s="839"/>
      <c r="AB905" s="839"/>
      <c r="AC905" s="1940"/>
    </row>
    <row r="906" s="187" customFormat="1" ht="16" hidden="1" customHeight="1" spans="1:29">
      <c r="A906" s="839">
        <v>768</v>
      </c>
      <c r="B906" s="23" t="s">
        <v>688</v>
      </c>
      <c r="C906" s="23"/>
      <c r="D906" s="21"/>
      <c r="E906" s="21"/>
      <c r="F906" s="2132" t="s">
        <v>695</v>
      </c>
      <c r="G906" s="21" t="s">
        <v>696</v>
      </c>
      <c r="H906" s="21"/>
      <c r="I906" s="21"/>
      <c r="J906" s="21"/>
      <c r="K906" s="2048"/>
      <c r="L906" s="36"/>
      <c r="M906" s="22">
        <v>1.19211822660099</v>
      </c>
      <c r="N906" s="22">
        <v>5.20197044334975</v>
      </c>
      <c r="O906" s="37">
        <v>0.4</v>
      </c>
      <c r="P906" s="37"/>
      <c r="Q906" s="37">
        <f t="shared" si="106"/>
        <v>6.79408866995074</v>
      </c>
      <c r="R906" s="219"/>
      <c r="S906" s="23" t="s">
        <v>25</v>
      </c>
      <c r="T906" s="804"/>
      <c r="U906" s="120" t="s">
        <v>1406</v>
      </c>
      <c r="X906" s="2180"/>
      <c r="AA906" s="839"/>
      <c r="AB906" s="839"/>
      <c r="AC906" s="1940"/>
    </row>
    <row r="907" s="187" customFormat="1" ht="16" hidden="1" customHeight="1" spans="1:29">
      <c r="A907" s="839">
        <v>769</v>
      </c>
      <c r="B907" s="23" t="s">
        <v>688</v>
      </c>
      <c r="C907" s="23"/>
      <c r="D907" s="21"/>
      <c r="E907" s="21"/>
      <c r="F907" s="2132" t="s">
        <v>697</v>
      </c>
      <c r="G907" s="21" t="s">
        <v>698</v>
      </c>
      <c r="H907" s="21"/>
      <c r="I907" s="21"/>
      <c r="J907" s="21"/>
      <c r="K907" s="2048"/>
      <c r="L907" s="36"/>
      <c r="M907" s="22">
        <v>1.03448275862069</v>
      </c>
      <c r="N907" s="22">
        <v>5.10344827586207</v>
      </c>
      <c r="O907" s="37">
        <v>0.4</v>
      </c>
      <c r="P907" s="37"/>
      <c r="Q907" s="37">
        <f t="shared" si="106"/>
        <v>6.53793103448276</v>
      </c>
      <c r="R907" s="219"/>
      <c r="S907" s="23" t="s">
        <v>3117</v>
      </c>
      <c r="T907" s="804"/>
      <c r="U907" s="120" t="s">
        <v>1406</v>
      </c>
      <c r="X907" s="2180"/>
      <c r="AA907" s="839"/>
      <c r="AB907" s="839"/>
      <c r="AC907" s="1940"/>
    </row>
    <row r="908" s="187" customFormat="1" ht="16" hidden="1" customHeight="1" spans="1:29">
      <c r="A908" s="839">
        <v>770</v>
      </c>
      <c r="B908" s="23" t="s">
        <v>688</v>
      </c>
      <c r="C908" s="23"/>
      <c r="D908" s="21"/>
      <c r="E908" s="21"/>
      <c r="F908" s="2132" t="s">
        <v>700</v>
      </c>
      <c r="G908" s="21" t="s">
        <v>701</v>
      </c>
      <c r="H908" s="21"/>
      <c r="I908" s="21"/>
      <c r="J908" s="21"/>
      <c r="K908" s="2048"/>
      <c r="L908" s="36"/>
      <c r="M908" s="22">
        <v>0.344827586206897</v>
      </c>
      <c r="N908" s="22">
        <v>2.4771287825475</v>
      </c>
      <c r="O908" s="37">
        <v>0.4</v>
      </c>
      <c r="P908" s="37"/>
      <c r="Q908" s="37">
        <f t="shared" si="106"/>
        <v>3.2219563687544</v>
      </c>
      <c r="R908" s="219"/>
      <c r="S908" s="23"/>
      <c r="T908" s="804"/>
      <c r="U908" s="120" t="s">
        <v>1406</v>
      </c>
      <c r="X908" s="2180"/>
      <c r="AA908" s="839"/>
      <c r="AB908" s="839"/>
      <c r="AC908" s="1940"/>
    </row>
    <row r="909" s="187" customFormat="1" ht="16" hidden="1" customHeight="1" spans="1:29">
      <c r="A909" s="839">
        <v>771</v>
      </c>
      <c r="B909" s="23" t="s">
        <v>688</v>
      </c>
      <c r="C909" s="23"/>
      <c r="D909" s="21"/>
      <c r="E909" s="21"/>
      <c r="F909" s="2132" t="s">
        <v>702</v>
      </c>
      <c r="G909" s="21" t="s">
        <v>703</v>
      </c>
      <c r="H909" s="21"/>
      <c r="I909" s="21"/>
      <c r="J909" s="21"/>
      <c r="K909" s="2048"/>
      <c r="L909" s="36"/>
      <c r="M909" s="22">
        <v>1.19211822660099</v>
      </c>
      <c r="N909" s="22">
        <v>5.68472906403941</v>
      </c>
      <c r="O909" s="37">
        <v>0.4</v>
      </c>
      <c r="P909" s="37"/>
      <c r="Q909" s="37">
        <f t="shared" si="106"/>
        <v>7.2768472906404</v>
      </c>
      <c r="R909" s="219"/>
      <c r="S909" s="39" t="s">
        <v>3118</v>
      </c>
      <c r="T909" s="1931"/>
      <c r="U909" s="120" t="s">
        <v>1406</v>
      </c>
      <c r="X909" s="2180"/>
      <c r="AA909" s="839"/>
      <c r="AB909" s="839"/>
      <c r="AC909" s="1940"/>
    </row>
    <row r="910" s="187" customFormat="1" ht="16" hidden="1" customHeight="1" spans="1:29">
      <c r="A910" s="839">
        <v>772</v>
      </c>
      <c r="B910" s="23" t="s">
        <v>688</v>
      </c>
      <c r="C910" s="23"/>
      <c r="D910" s="21"/>
      <c r="E910" s="21"/>
      <c r="F910" s="2132" t="s">
        <v>705</v>
      </c>
      <c r="G910" s="21" t="s">
        <v>706</v>
      </c>
      <c r="H910" s="21"/>
      <c r="I910" s="21"/>
      <c r="J910" s="21"/>
      <c r="K910" s="2048"/>
      <c r="L910" s="36"/>
      <c r="M910" s="22">
        <v>0.0689655172413793</v>
      </c>
      <c r="N910" s="22">
        <v>0.157635467980296</v>
      </c>
      <c r="O910" s="37">
        <v>0.4</v>
      </c>
      <c r="P910" s="37"/>
      <c r="Q910" s="37">
        <f t="shared" si="106"/>
        <v>0.626600985221675</v>
      </c>
      <c r="R910" s="219"/>
      <c r="S910" s="23" t="s">
        <v>3119</v>
      </c>
      <c r="T910" s="804"/>
      <c r="U910" s="120" t="s">
        <v>1406</v>
      </c>
      <c r="X910" s="2180"/>
      <c r="AA910" s="839"/>
      <c r="AB910" s="839"/>
      <c r="AC910" s="1940"/>
    </row>
    <row r="911" s="839" customFormat="1" ht="16" hidden="1" customHeight="1" spans="1:29">
      <c r="A911" s="839">
        <v>773</v>
      </c>
      <c r="B911" s="23" t="s">
        <v>688</v>
      </c>
      <c r="C911" s="23"/>
      <c r="D911" s="21"/>
      <c r="E911" s="21"/>
      <c r="F911" s="2132" t="s">
        <v>708</v>
      </c>
      <c r="G911" s="690" t="s">
        <v>709</v>
      </c>
      <c r="H911" s="690"/>
      <c r="I911" s="21"/>
      <c r="J911" s="21"/>
      <c r="K911" s="2048"/>
      <c r="L911" s="779"/>
      <c r="M911" s="22">
        <v>1.15</v>
      </c>
      <c r="N911" s="22">
        <v>5.8128078817734</v>
      </c>
      <c r="O911" s="37">
        <v>0.4</v>
      </c>
      <c r="P911" s="37"/>
      <c r="Q911" s="37">
        <f t="shared" si="106"/>
        <v>7.3628078817734</v>
      </c>
      <c r="R911" s="219"/>
      <c r="S911" s="39" t="s">
        <v>3118</v>
      </c>
      <c r="T911" s="1931"/>
      <c r="U911" s="120" t="s">
        <v>1406</v>
      </c>
      <c r="X911" s="1940"/>
      <c r="AC911" s="1940"/>
    </row>
    <row r="912" s="839" customFormat="1" ht="16" hidden="1" customHeight="1" spans="1:29">
      <c r="A912" s="839">
        <v>774</v>
      </c>
      <c r="B912" s="23" t="s">
        <v>688</v>
      </c>
      <c r="C912" s="23"/>
      <c r="D912" s="21"/>
      <c r="E912" s="21"/>
      <c r="F912" s="2132" t="s">
        <v>710</v>
      </c>
      <c r="G912" s="690" t="s">
        <v>711</v>
      </c>
      <c r="H912" s="690"/>
      <c r="I912" s="21"/>
      <c r="J912" s="21"/>
      <c r="K912" s="2048"/>
      <c r="L912" s="779"/>
      <c r="M912" s="22">
        <v>1.15</v>
      </c>
      <c r="N912" s="22">
        <v>5.47</v>
      </c>
      <c r="O912" s="37">
        <v>0.4</v>
      </c>
      <c r="P912" s="37"/>
      <c r="Q912" s="37">
        <f t="shared" si="106"/>
        <v>7.02</v>
      </c>
      <c r="R912" s="219"/>
      <c r="S912" s="39" t="s">
        <v>3118</v>
      </c>
      <c r="T912" s="1931"/>
      <c r="U912" s="120" t="s">
        <v>1406</v>
      </c>
      <c r="X912" s="1940"/>
      <c r="AC912" s="1940"/>
    </row>
    <row r="913" s="839" customFormat="1" ht="16" hidden="1" customHeight="1" spans="1:29">
      <c r="A913" s="839">
        <v>775</v>
      </c>
      <c r="B913" s="23" t="s">
        <v>688</v>
      </c>
      <c r="C913" s="23"/>
      <c r="D913" s="21"/>
      <c r="E913" s="21"/>
      <c r="F913" s="2132" t="s">
        <v>713</v>
      </c>
      <c r="G913" s="690" t="s">
        <v>714</v>
      </c>
      <c r="H913" s="690"/>
      <c r="I913" s="21"/>
      <c r="J913" s="21"/>
      <c r="K913" s="2048"/>
      <c r="L913" s="779"/>
      <c r="M913" s="22">
        <v>0.8348639171815</v>
      </c>
      <c r="N913" s="22">
        <v>4.6035270907587</v>
      </c>
      <c r="O913" s="37">
        <v>0.4</v>
      </c>
      <c r="P913" s="37"/>
      <c r="Q913" s="37">
        <f t="shared" si="106"/>
        <v>5.8383910079402</v>
      </c>
      <c r="R913" s="219"/>
      <c r="S913" s="39"/>
      <c r="T913" s="1931"/>
      <c r="U913" s="120" t="s">
        <v>1406</v>
      </c>
      <c r="X913" s="1940"/>
      <c r="AC913" s="1940"/>
    </row>
    <row r="914" s="839" customFormat="1" ht="16" hidden="1" customHeight="1" spans="1:29">
      <c r="A914" s="839">
        <v>776</v>
      </c>
      <c r="B914" s="23" t="s">
        <v>688</v>
      </c>
      <c r="C914" s="23"/>
      <c r="D914" s="21"/>
      <c r="E914" s="21"/>
      <c r="F914" s="2132" t="s">
        <v>716</v>
      </c>
      <c r="G914" s="690" t="s">
        <v>717</v>
      </c>
      <c r="H914" s="690"/>
      <c r="I914" s="21"/>
      <c r="J914" s="21"/>
      <c r="K914" s="2048"/>
      <c r="L914" s="779"/>
      <c r="M914" s="22">
        <v>0.882434510753095</v>
      </c>
      <c r="N914" s="22">
        <v>5.56663671685198</v>
      </c>
      <c r="O914" s="37">
        <v>0.4</v>
      </c>
      <c r="P914" s="37"/>
      <c r="Q914" s="37">
        <f t="shared" si="106"/>
        <v>6.84907122760508</v>
      </c>
      <c r="R914" s="219"/>
      <c r="S914" s="39"/>
      <c r="T914" s="1931"/>
      <c r="U914" s="120" t="s">
        <v>1406</v>
      </c>
      <c r="X914" s="1940"/>
      <c r="AC914" s="1940"/>
    </row>
    <row r="915" s="839" customFormat="1" ht="16" hidden="1" customHeight="1" spans="1:29">
      <c r="A915" s="839">
        <v>777</v>
      </c>
      <c r="B915" s="23" t="s">
        <v>688</v>
      </c>
      <c r="C915" s="23"/>
      <c r="D915" s="21">
        <v>20240801</v>
      </c>
      <c r="E915" s="21">
        <v>7.17</v>
      </c>
      <c r="F915" s="2132" t="s">
        <v>718</v>
      </c>
      <c r="G915" s="690" t="s">
        <v>719</v>
      </c>
      <c r="H915" s="690"/>
      <c r="I915" s="21"/>
      <c r="J915" s="21"/>
      <c r="K915" s="2048"/>
      <c r="L915" s="779"/>
      <c r="M915" s="22">
        <v>0.368921166810698</v>
      </c>
      <c r="N915" s="22">
        <v>3.10296216920516</v>
      </c>
      <c r="O915" s="37">
        <v>0.4</v>
      </c>
      <c r="P915" s="37"/>
      <c r="Q915" s="37">
        <f t="shared" si="106"/>
        <v>3.87188333601586</v>
      </c>
      <c r="R915" s="219"/>
      <c r="S915" s="39" t="s">
        <v>3120</v>
      </c>
      <c r="T915" s="1931"/>
      <c r="U915" s="120"/>
      <c r="X915" s="1940"/>
      <c r="AC915" s="1940"/>
    </row>
    <row r="916" s="839" customFormat="1" ht="16" hidden="1" customHeight="1" spans="1:29">
      <c r="A916" s="839">
        <v>778</v>
      </c>
      <c r="B916" s="23" t="s">
        <v>688</v>
      </c>
      <c r="C916" s="23"/>
      <c r="D916" s="21"/>
      <c r="E916" s="21"/>
      <c r="F916" s="2130" t="s">
        <v>1979</v>
      </c>
      <c r="G916" s="690" t="s">
        <v>721</v>
      </c>
      <c r="H916" s="690"/>
      <c r="I916" s="21"/>
      <c r="J916" s="21"/>
      <c r="K916" s="2048"/>
      <c r="L916" s="779"/>
      <c r="M916" s="22">
        <v>0.0606134076857801</v>
      </c>
      <c r="N916" s="22">
        <v>0.280797672445145</v>
      </c>
      <c r="O916" s="37">
        <v>0.2</v>
      </c>
      <c r="P916" s="37"/>
      <c r="Q916" s="37">
        <f t="shared" si="106"/>
        <v>0.541411080130925</v>
      </c>
      <c r="R916" s="219"/>
      <c r="S916" s="39"/>
      <c r="T916" s="1931"/>
      <c r="U916" s="120" t="s">
        <v>1406</v>
      </c>
      <c r="X916" s="1940"/>
      <c r="AC916" s="1940"/>
    </row>
    <row r="917" s="839" customFormat="1" ht="16" hidden="1" customHeight="1" spans="1:29">
      <c r="A917" s="839">
        <v>779</v>
      </c>
      <c r="B917" s="23" t="s">
        <v>722</v>
      </c>
      <c r="C917" s="23"/>
      <c r="D917" s="21"/>
      <c r="E917" s="21"/>
      <c r="F917" s="2132" t="s">
        <v>723</v>
      </c>
      <c r="G917" s="690" t="s">
        <v>724</v>
      </c>
      <c r="H917" s="690"/>
      <c r="I917" s="21"/>
      <c r="J917" s="21"/>
      <c r="K917" s="2048"/>
      <c r="L917" s="779"/>
      <c r="M917" s="22">
        <v>0.420353982300885</v>
      </c>
      <c r="N917" s="22">
        <v>3.74982235988201</v>
      </c>
      <c r="O917" s="37">
        <v>0.4</v>
      </c>
      <c r="P917" s="37"/>
      <c r="Q917" s="37">
        <f t="shared" si="106"/>
        <v>4.5701763421829</v>
      </c>
      <c r="R917" s="219"/>
      <c r="S917" s="23" t="s">
        <v>25</v>
      </c>
      <c r="T917" s="804"/>
      <c r="U917" s="120" t="s">
        <v>1406</v>
      </c>
      <c r="X917" s="1940"/>
      <c r="AC917" s="1940"/>
    </row>
    <row r="918" s="839" customFormat="1" ht="16" hidden="1" customHeight="1" spans="1:29">
      <c r="A918" s="839">
        <v>780</v>
      </c>
      <c r="B918" s="23" t="s">
        <v>722</v>
      </c>
      <c r="C918" s="23"/>
      <c r="D918" s="21"/>
      <c r="E918" s="21"/>
      <c r="F918" s="2132" t="s">
        <v>725</v>
      </c>
      <c r="G918" s="690" t="s">
        <v>726</v>
      </c>
      <c r="H918" s="690"/>
      <c r="I918" s="21"/>
      <c r="J918" s="21"/>
      <c r="K918" s="2048"/>
      <c r="L918" s="779"/>
      <c r="M918" s="22">
        <v>0.326864641720034</v>
      </c>
      <c r="N918" s="22">
        <v>1.70907742291321</v>
      </c>
      <c r="O918" s="37">
        <v>0.2</v>
      </c>
      <c r="P918" s="37"/>
      <c r="Q918" s="37">
        <f t="shared" si="106"/>
        <v>2.23594206463324</v>
      </c>
      <c r="R918" s="219"/>
      <c r="S918" s="23"/>
      <c r="T918" s="804"/>
      <c r="U918" s="120" t="s">
        <v>1406</v>
      </c>
      <c r="X918" s="1940"/>
      <c r="AC918" s="1940"/>
    </row>
    <row r="919" s="839" customFormat="1" ht="16" hidden="1" customHeight="1" spans="1:29">
      <c r="A919" s="839">
        <v>781</v>
      </c>
      <c r="B919" s="23" t="s">
        <v>722</v>
      </c>
      <c r="C919" s="23"/>
      <c r="D919" s="21">
        <v>20240724</v>
      </c>
      <c r="E919" s="21">
        <v>7.17</v>
      </c>
      <c r="F919" s="2132" t="s">
        <v>727</v>
      </c>
      <c r="G919" s="690" t="s">
        <v>728</v>
      </c>
      <c r="H919" s="690"/>
      <c r="I919" s="21"/>
      <c r="J919" s="21"/>
      <c r="K919" s="2048"/>
      <c r="L919" s="779"/>
      <c r="M919" s="22">
        <v>0.402798317055935</v>
      </c>
      <c r="N919" s="22">
        <v>2.1128695503944</v>
      </c>
      <c r="O919" s="37">
        <v>0.2</v>
      </c>
      <c r="P919" s="37"/>
      <c r="Q919" s="37">
        <f t="shared" si="106"/>
        <v>2.71566786745034</v>
      </c>
      <c r="R919" s="219"/>
      <c r="S919" s="23"/>
      <c r="T919" s="804"/>
      <c r="U919" s="120" t="s">
        <v>1406</v>
      </c>
      <c r="X919" s="1940"/>
      <c r="AC919" s="1940"/>
    </row>
    <row r="920" s="839" customFormat="1" ht="16" hidden="1" customHeight="1" spans="1:29">
      <c r="A920" s="839">
        <v>782</v>
      </c>
      <c r="B920" s="23" t="s">
        <v>722</v>
      </c>
      <c r="C920" s="23"/>
      <c r="D920" s="21">
        <v>20240521</v>
      </c>
      <c r="E920" s="21">
        <v>7.17</v>
      </c>
      <c r="F920" s="2132" t="s">
        <v>729</v>
      </c>
      <c r="G920" s="690" t="s">
        <v>730</v>
      </c>
      <c r="H920" s="690"/>
      <c r="I920" s="21"/>
      <c r="J920" s="21"/>
      <c r="K920" s="2048"/>
      <c r="L920" s="779"/>
      <c r="M920" s="22">
        <v>0.456480941482061</v>
      </c>
      <c r="N920" s="22">
        <v>1.59118531684741</v>
      </c>
      <c r="O920" s="37">
        <v>0.2</v>
      </c>
      <c r="P920" s="37"/>
      <c r="Q920" s="37">
        <f t="shared" si="106"/>
        <v>2.24766625832947</v>
      </c>
      <c r="R920" s="219"/>
      <c r="S920" s="23" t="s">
        <v>3121</v>
      </c>
      <c r="T920" s="804"/>
      <c r="U920" s="120"/>
      <c r="X920" s="1940"/>
      <c r="AC920" s="1940"/>
    </row>
    <row r="921" s="839" customFormat="1" ht="16" hidden="1" customHeight="1" spans="1:29">
      <c r="A921" s="839">
        <v>783</v>
      </c>
      <c r="B921" s="23" t="s">
        <v>722</v>
      </c>
      <c r="C921" s="23"/>
      <c r="D921" s="21">
        <v>20240606</v>
      </c>
      <c r="E921" s="21">
        <v>7.17</v>
      </c>
      <c r="F921" s="2132" t="s">
        <v>731</v>
      </c>
      <c r="G921" s="690" t="s">
        <v>732</v>
      </c>
      <c r="H921" s="690"/>
      <c r="I921" s="21"/>
      <c r="J921" s="21"/>
      <c r="K921" s="2048"/>
      <c r="L921" s="779"/>
      <c r="M921" s="22">
        <v>0.406141024696684</v>
      </c>
      <c r="N921" s="22">
        <v>2.12368285955546</v>
      </c>
      <c r="O921" s="37">
        <v>0.2</v>
      </c>
      <c r="P921" s="37"/>
      <c r="Q921" s="37">
        <f t="shared" si="106"/>
        <v>2.72982388425214</v>
      </c>
      <c r="R921" s="219"/>
      <c r="S921" s="23" t="s">
        <v>3122</v>
      </c>
      <c r="T921" s="804"/>
      <c r="U921" s="120"/>
      <c r="X921" s="1940"/>
      <c r="AC921" s="1940"/>
    </row>
    <row r="922" s="839" customFormat="1" ht="16" hidden="1" customHeight="1" spans="1:29">
      <c r="A922" s="839">
        <v>784</v>
      </c>
      <c r="B922" s="23" t="s">
        <v>722</v>
      </c>
      <c r="C922" s="23"/>
      <c r="D922" s="153">
        <v>20250811</v>
      </c>
      <c r="E922" s="153">
        <v>7.17</v>
      </c>
      <c r="F922" s="2132" t="s">
        <v>734</v>
      </c>
      <c r="G922" s="690" t="s">
        <v>735</v>
      </c>
      <c r="H922" s="690"/>
      <c r="I922" s="21"/>
      <c r="J922" s="21"/>
      <c r="K922" s="2048"/>
      <c r="L922" s="779"/>
      <c r="M922" s="22">
        <v>0.336949679712667</v>
      </c>
      <c r="N922" s="22">
        <v>2.20705033561175</v>
      </c>
      <c r="O922" s="37">
        <v>0.2</v>
      </c>
      <c r="P922" s="37"/>
      <c r="Q922" s="37">
        <f t="shared" si="106"/>
        <v>2.74400001532442</v>
      </c>
      <c r="R922" s="219"/>
      <c r="S922" s="23" t="s">
        <v>736</v>
      </c>
      <c r="T922" s="804"/>
      <c r="U922" s="120"/>
      <c r="X922" s="1940"/>
      <c r="AC922" s="1940"/>
    </row>
    <row r="923" s="839" customFormat="1" ht="16" hidden="1" customHeight="1" spans="1:29">
      <c r="A923" s="839">
        <v>785</v>
      </c>
      <c r="B923" s="23" t="s">
        <v>722</v>
      </c>
      <c r="C923" s="23"/>
      <c r="D923" s="21">
        <v>20241118</v>
      </c>
      <c r="E923" s="21">
        <v>7.17</v>
      </c>
      <c r="F923" s="2132" t="s">
        <v>737</v>
      </c>
      <c r="G923" s="21" t="s">
        <v>738</v>
      </c>
      <c r="H923" s="21"/>
      <c r="I923" s="21"/>
      <c r="J923" s="21"/>
      <c r="K923" s="2048"/>
      <c r="L923" s="779"/>
      <c r="M923" s="22">
        <v>0.360638247022834</v>
      </c>
      <c r="N923" s="22">
        <v>1.52824179438839</v>
      </c>
      <c r="O923" s="37">
        <v>0.2</v>
      </c>
      <c r="P923" s="37"/>
      <c r="Q923" s="37">
        <f t="shared" si="106"/>
        <v>2.08888004141122</v>
      </c>
      <c r="R923" s="219"/>
      <c r="S923" s="23"/>
      <c r="T923" s="804"/>
      <c r="U923" s="120"/>
      <c r="X923" s="1940"/>
      <c r="AC923" s="1940"/>
    </row>
    <row r="924" s="839" customFormat="1" ht="16" hidden="1" customHeight="1" spans="1:29">
      <c r="A924" s="839">
        <v>786</v>
      </c>
      <c r="B924" s="23" t="s">
        <v>722</v>
      </c>
      <c r="C924" s="23"/>
      <c r="D924" s="21">
        <v>20250529</v>
      </c>
      <c r="E924" s="21">
        <v>7.17</v>
      </c>
      <c r="F924" s="2132" t="s">
        <v>739</v>
      </c>
      <c r="G924" s="21" t="s">
        <v>740</v>
      </c>
      <c r="H924" s="21"/>
      <c r="I924" s="21"/>
      <c r="J924" s="21"/>
      <c r="K924" s="2048"/>
      <c r="L924" s="779"/>
      <c r="M924" s="22">
        <v>0.357931894200269</v>
      </c>
      <c r="N924" s="22">
        <v>2.87866398564273</v>
      </c>
      <c r="O924" s="37">
        <v>0.4</v>
      </c>
      <c r="P924" s="37"/>
      <c r="Q924" s="37">
        <f t="shared" si="106"/>
        <v>3.636595879843</v>
      </c>
      <c r="R924" s="219"/>
      <c r="S924" s="23" t="s">
        <v>741</v>
      </c>
      <c r="T924" s="804"/>
      <c r="U924" s="120"/>
      <c r="X924" s="1940"/>
      <c r="AC924" s="1940"/>
    </row>
    <row r="925" s="839" customFormat="1" ht="16" hidden="1" customHeight="1" spans="1:29">
      <c r="A925" s="839">
        <v>787</v>
      </c>
      <c r="B925" s="23" t="s">
        <v>722</v>
      </c>
      <c r="C925" s="23"/>
      <c r="D925" s="21"/>
      <c r="E925" s="21"/>
      <c r="F925" s="2130" t="s">
        <v>1979</v>
      </c>
      <c r="G925" s="21" t="s">
        <v>742</v>
      </c>
      <c r="H925" s="21"/>
      <c r="I925" s="21"/>
      <c r="J925" s="21"/>
      <c r="K925" s="2048"/>
      <c r="L925" s="779"/>
      <c r="M925" s="22">
        <v>0.384657520906623</v>
      </c>
      <c r="N925" s="22">
        <v>2.10187475687113</v>
      </c>
      <c r="O925" s="37">
        <v>0.2</v>
      </c>
      <c r="P925" s="37"/>
      <c r="Q925" s="37">
        <f t="shared" si="106"/>
        <v>2.68653227777775</v>
      </c>
      <c r="R925" s="219"/>
      <c r="S925" s="23"/>
      <c r="T925" s="804"/>
      <c r="U925" s="120"/>
      <c r="X925" s="1940"/>
      <c r="AC925" s="1940"/>
    </row>
    <row r="926" s="839" customFormat="1" ht="16" hidden="1" customHeight="1" spans="1:29">
      <c r="A926" s="839">
        <v>788</v>
      </c>
      <c r="B926" s="23" t="s">
        <v>722</v>
      </c>
      <c r="C926" s="23"/>
      <c r="D926" s="21"/>
      <c r="E926" s="21"/>
      <c r="F926" s="2130" t="s">
        <v>1979</v>
      </c>
      <c r="G926" s="21" t="s">
        <v>743</v>
      </c>
      <c r="H926" s="21"/>
      <c r="I926" s="21"/>
      <c r="J926" s="21"/>
      <c r="K926" s="2048"/>
      <c r="L926" s="779"/>
      <c r="M926" s="22">
        <v>0.410162076165855</v>
      </c>
      <c r="N926" s="22">
        <v>1.57991924093865</v>
      </c>
      <c r="O926" s="37">
        <v>0.2</v>
      </c>
      <c r="P926" s="37"/>
      <c r="Q926" s="37">
        <f t="shared" si="106"/>
        <v>2.1900813171045</v>
      </c>
      <c r="R926" s="219"/>
      <c r="S926" s="23" t="s">
        <v>2847</v>
      </c>
      <c r="T926" s="804"/>
      <c r="U926" s="120"/>
      <c r="X926" s="1940"/>
      <c r="AC926" s="1940"/>
    </row>
    <row r="927" s="839" customFormat="1" ht="16" hidden="1" customHeight="1" spans="1:29">
      <c r="A927" s="839">
        <v>789</v>
      </c>
      <c r="B927" s="23" t="s">
        <v>744</v>
      </c>
      <c r="C927" s="23"/>
      <c r="D927" s="21"/>
      <c r="E927" s="21"/>
      <c r="F927" s="2132" t="s">
        <v>745</v>
      </c>
      <c r="G927" s="690" t="s">
        <v>746</v>
      </c>
      <c r="H927" s="690"/>
      <c r="I927" s="21"/>
      <c r="J927" s="21"/>
      <c r="K927" s="2048"/>
      <c r="L927" s="779"/>
      <c r="M927" s="22">
        <v>0.915297092288243</v>
      </c>
      <c r="N927" s="22">
        <v>7.95721849646018</v>
      </c>
      <c r="O927" s="37">
        <v>0.4</v>
      </c>
      <c r="P927" s="37"/>
      <c r="Q927" s="37">
        <f t="shared" si="106"/>
        <v>9.27251558874842</v>
      </c>
      <c r="R927" s="219"/>
      <c r="S927" s="39"/>
      <c r="T927" s="1931"/>
      <c r="U927" s="120" t="s">
        <v>1406</v>
      </c>
      <c r="X927" s="1940"/>
      <c r="AC927" s="1940"/>
    </row>
    <row r="928" s="839" customFormat="1" ht="16" hidden="1" customHeight="1" spans="1:29">
      <c r="A928" s="839">
        <v>790</v>
      </c>
      <c r="B928" s="23" t="s">
        <v>744</v>
      </c>
      <c r="C928" s="23"/>
      <c r="D928" s="21"/>
      <c r="E928" s="21"/>
      <c r="F928" s="2132" t="s">
        <v>747</v>
      </c>
      <c r="G928" s="690" t="s">
        <v>748</v>
      </c>
      <c r="H928" s="690"/>
      <c r="I928" s="21"/>
      <c r="J928" s="21"/>
      <c r="K928" s="2048"/>
      <c r="L928" s="779"/>
      <c r="M928" s="22">
        <v>0.96005174803604</v>
      </c>
      <c r="N928" s="22">
        <v>9.05097198221766</v>
      </c>
      <c r="O928" s="37">
        <v>0.4</v>
      </c>
      <c r="P928" s="37"/>
      <c r="Q928" s="37">
        <f t="shared" si="106"/>
        <v>10.4110237302537</v>
      </c>
      <c r="R928" s="219"/>
      <c r="S928" s="39"/>
      <c r="T928" s="1931"/>
      <c r="U928" s="120" t="s">
        <v>1406</v>
      </c>
      <c r="X928" s="1940"/>
      <c r="AC928" s="1940"/>
    </row>
    <row r="929" s="839" customFormat="1" ht="16" hidden="1" customHeight="1" spans="1:29">
      <c r="A929" s="839">
        <v>791</v>
      </c>
      <c r="B929" s="23" t="s">
        <v>744</v>
      </c>
      <c r="C929" s="23"/>
      <c r="D929" s="21"/>
      <c r="E929" s="21"/>
      <c r="F929" s="2132" t="s">
        <v>749</v>
      </c>
      <c r="G929" s="690" t="s">
        <v>750</v>
      </c>
      <c r="H929" s="690"/>
      <c r="I929" s="21"/>
      <c r="J929" s="21"/>
      <c r="K929" s="2048"/>
      <c r="L929" s="779"/>
      <c r="M929" s="22">
        <v>0.915297092288243</v>
      </c>
      <c r="N929" s="22">
        <v>7.99497070884956</v>
      </c>
      <c r="O929" s="37">
        <v>0.4</v>
      </c>
      <c r="P929" s="37"/>
      <c r="Q929" s="37">
        <f t="shared" si="106"/>
        <v>9.3102678011378</v>
      </c>
      <c r="R929" s="219"/>
      <c r="S929" s="39"/>
      <c r="T929" s="1931"/>
      <c r="U929" s="120" t="s">
        <v>1406</v>
      </c>
      <c r="X929" s="1940"/>
      <c r="AC929" s="1940"/>
    </row>
    <row r="930" s="839" customFormat="1" ht="16" hidden="1" customHeight="1" spans="1:29">
      <c r="A930" s="839">
        <v>792</v>
      </c>
      <c r="B930" s="23" t="s">
        <v>744</v>
      </c>
      <c r="C930" s="23"/>
      <c r="D930" s="21"/>
      <c r="E930" s="21"/>
      <c r="F930" s="2132" t="s">
        <v>751</v>
      </c>
      <c r="G930" s="690" t="s">
        <v>752</v>
      </c>
      <c r="H930" s="690"/>
      <c r="I930" s="21"/>
      <c r="J930" s="21"/>
      <c r="K930" s="2048"/>
      <c r="L930" s="779"/>
      <c r="M930" s="22">
        <v>0.76819075712881</v>
      </c>
      <c r="N930" s="22">
        <v>7.15895254233038</v>
      </c>
      <c r="O930" s="37">
        <v>0.4</v>
      </c>
      <c r="P930" s="37"/>
      <c r="Q930" s="37">
        <f t="shared" si="106"/>
        <v>8.32714329945919</v>
      </c>
      <c r="R930" s="219"/>
      <c r="S930" s="39"/>
      <c r="T930" s="1931"/>
      <c r="U930" s="120" t="s">
        <v>1406</v>
      </c>
      <c r="X930" s="1940"/>
      <c r="AC930" s="1940"/>
    </row>
    <row r="931" s="839" customFormat="1" ht="16" hidden="1" customHeight="1" spans="1:29">
      <c r="A931" s="839">
        <v>793</v>
      </c>
      <c r="B931" s="23" t="s">
        <v>744</v>
      </c>
      <c r="C931" s="23"/>
      <c r="D931" s="21"/>
      <c r="E931" s="21"/>
      <c r="F931" s="2132" t="s">
        <v>753</v>
      </c>
      <c r="G931" s="690" t="s">
        <v>754</v>
      </c>
      <c r="H931" s="690"/>
      <c r="I931" s="21"/>
      <c r="J931" s="21"/>
      <c r="K931" s="2048"/>
      <c r="L931" s="779"/>
      <c r="M931" s="22">
        <v>0.803733785913444</v>
      </c>
      <c r="N931" s="22">
        <v>6.72391985977088</v>
      </c>
      <c r="O931" s="37">
        <v>0.4</v>
      </c>
      <c r="P931" s="37"/>
      <c r="Q931" s="37">
        <f t="shared" si="106"/>
        <v>7.92765364568432</v>
      </c>
      <c r="R931" s="219"/>
      <c r="S931" s="39" t="s">
        <v>25</v>
      </c>
      <c r="T931" s="1931"/>
      <c r="U931" s="120" t="s">
        <v>1406</v>
      </c>
      <c r="X931" s="1940"/>
      <c r="AC931" s="1940"/>
    </row>
    <row r="932" s="839" customFormat="1" ht="16" hidden="1" customHeight="1" spans="1:29">
      <c r="A932" s="839">
        <v>794</v>
      </c>
      <c r="B932" s="23" t="s">
        <v>744</v>
      </c>
      <c r="C932" s="23"/>
      <c r="D932" s="21"/>
      <c r="E932" s="21"/>
      <c r="F932" s="2132" t="s">
        <v>755</v>
      </c>
      <c r="G932" s="690" t="s">
        <v>1431</v>
      </c>
      <c r="H932" s="690"/>
      <c r="I932" s="21"/>
      <c r="J932" s="21"/>
      <c r="K932" s="2048"/>
      <c r="L932" s="779"/>
      <c r="M932" s="22">
        <v>0.748714297988291</v>
      </c>
      <c r="N932" s="22">
        <v>6.82680040059382</v>
      </c>
      <c r="O932" s="37">
        <v>0.4</v>
      </c>
      <c r="P932" s="37"/>
      <c r="Q932" s="37">
        <f t="shared" si="106"/>
        <v>7.97551469858211</v>
      </c>
      <c r="R932" s="219"/>
      <c r="S932" s="39" t="s">
        <v>757</v>
      </c>
      <c r="T932" s="1931"/>
      <c r="U932" s="120" t="s">
        <v>1406</v>
      </c>
      <c r="X932" s="1940"/>
      <c r="AC932" s="1940"/>
    </row>
    <row r="933" s="839" customFormat="1" ht="16" hidden="1" customHeight="1" spans="1:29">
      <c r="A933" s="839">
        <v>795</v>
      </c>
      <c r="B933" s="23" t="s">
        <v>758</v>
      </c>
      <c r="C933" s="23"/>
      <c r="D933" s="21"/>
      <c r="E933" s="21"/>
      <c r="F933" s="2130" t="s">
        <v>1979</v>
      </c>
      <c r="G933" s="690" t="s">
        <v>759</v>
      </c>
      <c r="H933" s="690"/>
      <c r="I933" s="21"/>
      <c r="J933" s="21"/>
      <c r="K933" s="2048"/>
      <c r="L933" s="779"/>
      <c r="M933" s="22">
        <v>0.0601053762340785</v>
      </c>
      <c r="N933" s="22">
        <v>0.0988772315719474</v>
      </c>
      <c r="O933" s="37">
        <v>0.2</v>
      </c>
      <c r="P933" s="37"/>
      <c r="Q933" s="37">
        <f t="shared" si="106"/>
        <v>0.358982607806026</v>
      </c>
      <c r="R933" s="219"/>
      <c r="S933" s="39"/>
      <c r="T933" s="1931"/>
      <c r="U933" s="120" t="s">
        <v>1406</v>
      </c>
      <c r="X933" s="1940"/>
      <c r="AC933" s="1940"/>
    </row>
    <row r="934" s="839" customFormat="1" ht="16" hidden="1" customHeight="1" spans="1:29">
      <c r="A934" s="839">
        <v>796</v>
      </c>
      <c r="B934" s="23" t="s">
        <v>758</v>
      </c>
      <c r="C934" s="23"/>
      <c r="D934" s="21">
        <v>20250724</v>
      </c>
      <c r="E934" s="21">
        <v>7.17</v>
      </c>
      <c r="F934" s="2132" t="s">
        <v>760</v>
      </c>
      <c r="G934" s="21" t="s">
        <v>761</v>
      </c>
      <c r="H934" s="21"/>
      <c r="I934" s="21"/>
      <c r="J934" s="21"/>
      <c r="K934" s="2048"/>
      <c r="L934" s="779"/>
      <c r="M934" s="22">
        <v>0.625763690894953</v>
      </c>
      <c r="N934" s="22">
        <v>2.67818063146295</v>
      </c>
      <c r="O934" s="37">
        <v>0.4</v>
      </c>
      <c r="P934" s="37"/>
      <c r="Q934" s="37">
        <f t="shared" si="106"/>
        <v>3.7039443223579</v>
      </c>
      <c r="R934" s="219"/>
      <c r="S934" s="39" t="s">
        <v>762</v>
      </c>
      <c r="T934" s="1931"/>
      <c r="U934" s="120"/>
      <c r="X934" s="1940"/>
      <c r="AC934" s="1940"/>
    </row>
    <row r="935" s="839" customFormat="1" ht="16" hidden="1" customHeight="1" spans="1:29">
      <c r="A935" s="839">
        <v>797</v>
      </c>
      <c r="B935" s="23" t="s">
        <v>758</v>
      </c>
      <c r="C935" s="23"/>
      <c r="D935" s="21">
        <v>20240517</v>
      </c>
      <c r="E935" s="21">
        <v>7.17</v>
      </c>
      <c r="F935" s="2130" t="s">
        <v>1979</v>
      </c>
      <c r="G935" s="690" t="s">
        <v>763</v>
      </c>
      <c r="H935" s="690"/>
      <c r="I935" s="21"/>
      <c r="J935" s="21"/>
      <c r="K935" s="2048"/>
      <c r="L935" s="779"/>
      <c r="M935" s="22">
        <v>0.0415941546018933</v>
      </c>
      <c r="N935" s="22">
        <v>0.101737080509991</v>
      </c>
      <c r="O935" s="37">
        <v>0.2</v>
      </c>
      <c r="P935" s="37"/>
      <c r="Q935" s="37">
        <f t="shared" si="106"/>
        <v>0.343331235111884</v>
      </c>
      <c r="R935" s="219"/>
      <c r="S935" s="39"/>
      <c r="T935" s="1931"/>
      <c r="U935" s="120"/>
      <c r="X935" s="1940"/>
      <c r="AC935" s="1940"/>
    </row>
    <row r="936" s="839" customFormat="1" ht="16" hidden="1" customHeight="1" spans="1:29">
      <c r="A936" s="839">
        <v>798</v>
      </c>
      <c r="B936" s="23" t="s">
        <v>764</v>
      </c>
      <c r="C936" s="23"/>
      <c r="D936" s="21" t="s">
        <v>765</v>
      </c>
      <c r="E936" s="21">
        <v>7.17</v>
      </c>
      <c r="F936" s="2132" t="s">
        <v>766</v>
      </c>
      <c r="G936" s="690" t="s">
        <v>767</v>
      </c>
      <c r="H936" s="690"/>
      <c r="I936" s="21"/>
      <c r="J936" s="21"/>
      <c r="K936" s="2048"/>
      <c r="L936" s="779"/>
      <c r="M936" s="22">
        <v>0.0611984067919884</v>
      </c>
      <c r="N936" s="22">
        <v>0.169602718768266</v>
      </c>
      <c r="O936" s="37">
        <v>0.2</v>
      </c>
      <c r="P936" s="37"/>
      <c r="Q936" s="37">
        <f t="shared" si="106"/>
        <v>0.430801125560254</v>
      </c>
      <c r="R936" s="219"/>
      <c r="S936" s="39"/>
      <c r="T936" s="1931"/>
      <c r="U936" s="120" t="s">
        <v>1406</v>
      </c>
      <c r="X936" s="1940"/>
      <c r="AC936" s="1940"/>
    </row>
    <row r="937" s="839" customFormat="1" ht="16" hidden="1" customHeight="1" spans="1:29">
      <c r="A937" s="839">
        <v>799</v>
      </c>
      <c r="B937" s="880" t="s">
        <v>768</v>
      </c>
      <c r="C937" s="880"/>
      <c r="D937" s="876">
        <v>20250801</v>
      </c>
      <c r="E937" s="21">
        <v>7.17</v>
      </c>
      <c r="F937" s="2132" t="s">
        <v>769</v>
      </c>
      <c r="G937" s="690" t="s">
        <v>770</v>
      </c>
      <c r="H937" s="690"/>
      <c r="I937" s="21"/>
      <c r="J937" s="21"/>
      <c r="K937" s="2048"/>
      <c r="L937" s="779"/>
      <c r="M937" s="22">
        <v>0.177731699189099</v>
      </c>
      <c r="N937" s="22">
        <v>0.29</v>
      </c>
      <c r="O937" s="37">
        <v>0.2</v>
      </c>
      <c r="P937" s="37"/>
      <c r="Q937" s="37">
        <f t="shared" si="106"/>
        <v>0.667731699189099</v>
      </c>
      <c r="R937" s="219"/>
      <c r="S937" s="39"/>
      <c r="T937" s="1931"/>
      <c r="X937" s="1940"/>
      <c r="AC937" s="1940"/>
    </row>
    <row r="938" s="839" customFormat="1" ht="16" hidden="1" customHeight="1" spans="1:29">
      <c r="A938" s="839">
        <v>800</v>
      </c>
      <c r="B938" s="880" t="s">
        <v>768</v>
      </c>
      <c r="C938" s="880"/>
      <c r="D938" s="876">
        <v>20240829</v>
      </c>
      <c r="E938" s="21">
        <v>7.17</v>
      </c>
      <c r="F938" s="2132" t="s">
        <v>771</v>
      </c>
      <c r="G938" s="690" t="s">
        <v>772</v>
      </c>
      <c r="H938" s="690"/>
      <c r="I938" s="21"/>
      <c r="J938" s="21"/>
      <c r="K938" s="2048"/>
      <c r="L938" s="779"/>
      <c r="M938" s="22">
        <v>0.283290441114858</v>
      </c>
      <c r="N938" s="22">
        <v>1.14099105659458</v>
      </c>
      <c r="O938" s="37">
        <v>0.2</v>
      </c>
      <c r="P938" s="37"/>
      <c r="Q938" s="37">
        <f t="shared" si="106"/>
        <v>1.62428149770944</v>
      </c>
      <c r="R938" s="219"/>
      <c r="S938" s="39"/>
      <c r="T938" s="1931"/>
      <c r="X938" s="1940"/>
      <c r="AC938" s="1940"/>
    </row>
    <row r="939" s="839" customFormat="1" ht="16" hidden="1" customHeight="1" spans="1:29">
      <c r="A939" s="839">
        <v>801</v>
      </c>
      <c r="B939" s="880" t="s">
        <v>768</v>
      </c>
      <c r="C939" s="880"/>
      <c r="D939" s="876">
        <v>20240829</v>
      </c>
      <c r="E939" s="21">
        <v>7.17</v>
      </c>
      <c r="F939" s="2132" t="s">
        <v>773</v>
      </c>
      <c r="G939" s="690" t="s">
        <v>774</v>
      </c>
      <c r="H939" s="690"/>
      <c r="I939" s="21"/>
      <c r="J939" s="21"/>
      <c r="K939" s="2048"/>
      <c r="L939" s="779"/>
      <c r="M939" s="22">
        <v>0.164614715782959</v>
      </c>
      <c r="N939" s="22">
        <v>0.33829122702841</v>
      </c>
      <c r="O939" s="37">
        <v>0.2</v>
      </c>
      <c r="P939" s="37"/>
      <c r="Q939" s="37">
        <f t="shared" si="106"/>
        <v>0.702905942811369</v>
      </c>
      <c r="R939" s="219"/>
      <c r="S939" s="39"/>
      <c r="T939" s="1931"/>
      <c r="X939" s="1940"/>
      <c r="AC939" s="1940"/>
    </row>
    <row r="940" s="839" customFormat="1" ht="16" hidden="1" customHeight="1" spans="1:29">
      <c r="A940" s="839">
        <v>802</v>
      </c>
      <c r="B940" s="880" t="s">
        <v>768</v>
      </c>
      <c r="C940" s="880"/>
      <c r="D940" s="876">
        <v>20250723</v>
      </c>
      <c r="E940" s="21">
        <v>7.17</v>
      </c>
      <c r="F940" s="2132" t="s">
        <v>775</v>
      </c>
      <c r="G940" s="876" t="s">
        <v>776</v>
      </c>
      <c r="H940" s="876"/>
      <c r="I940" s="21"/>
      <c r="J940" s="21"/>
      <c r="K940" s="2048"/>
      <c r="L940" s="779"/>
      <c r="M940" s="22">
        <v>0.130830278569754</v>
      </c>
      <c r="N940" s="22">
        <v>0.240384591649079</v>
      </c>
      <c r="O940" s="37">
        <v>0.2</v>
      </c>
      <c r="P940" s="37"/>
      <c r="Q940" s="37">
        <f t="shared" si="106"/>
        <v>0.571214870218833</v>
      </c>
      <c r="R940" s="219"/>
      <c r="S940" s="39"/>
      <c r="T940" s="1931"/>
      <c r="X940" s="1940"/>
      <c r="AC940" s="1940"/>
    </row>
    <row r="941" s="839" customFormat="1" ht="16" hidden="1" customHeight="1" spans="1:29">
      <c r="A941" s="839">
        <v>803</v>
      </c>
      <c r="B941" s="880" t="s">
        <v>768</v>
      </c>
      <c r="C941" s="880"/>
      <c r="D941" s="876">
        <v>20250723</v>
      </c>
      <c r="E941" s="21">
        <v>7.17</v>
      </c>
      <c r="F941" s="2132" t="s">
        <v>778</v>
      </c>
      <c r="G941" s="876" t="s">
        <v>779</v>
      </c>
      <c r="H941" s="876"/>
      <c r="I941" s="21"/>
      <c r="J941" s="21"/>
      <c r="K941" s="2048"/>
      <c r="L941" s="779"/>
      <c r="M941" s="22">
        <v>0.12095629528147</v>
      </c>
      <c r="N941" s="22">
        <v>0.257278946885399</v>
      </c>
      <c r="O941" s="37">
        <v>0.2</v>
      </c>
      <c r="P941" s="37"/>
      <c r="Q941" s="37">
        <f t="shared" si="106"/>
        <v>0.578235242166869</v>
      </c>
      <c r="R941" s="219"/>
      <c r="S941" s="39"/>
      <c r="T941" s="1931"/>
      <c r="X941" s="1940"/>
      <c r="AC941" s="1940"/>
    </row>
    <row r="942" s="839" customFormat="1" ht="16" hidden="1" customHeight="1" spans="1:29">
      <c r="A942" s="839">
        <v>804</v>
      </c>
      <c r="B942" s="880" t="s">
        <v>768</v>
      </c>
      <c r="C942" s="880"/>
      <c r="D942" s="876">
        <v>20240914</v>
      </c>
      <c r="E942" s="21">
        <v>7.17</v>
      </c>
      <c r="F942" s="2132" t="s">
        <v>780</v>
      </c>
      <c r="G942" s="690" t="s">
        <v>781</v>
      </c>
      <c r="H942" s="690"/>
      <c r="I942" s="21"/>
      <c r="J942" s="21"/>
      <c r="K942" s="2048"/>
      <c r="L942" s="779"/>
      <c r="M942" s="22">
        <v>0.135645564508555</v>
      </c>
      <c r="N942" s="22">
        <v>1.933211952676</v>
      </c>
      <c r="O942" s="37">
        <v>0.2</v>
      </c>
      <c r="P942" s="37"/>
      <c r="Q942" s="37">
        <f t="shared" si="106"/>
        <v>2.26885751718456</v>
      </c>
      <c r="R942" s="219"/>
      <c r="S942" s="39"/>
      <c r="T942" s="1931"/>
      <c r="X942" s="1940"/>
      <c r="AC942" s="1940"/>
    </row>
    <row r="943" s="839" customFormat="1" ht="16" hidden="1" customHeight="1" spans="1:29">
      <c r="A943" s="839">
        <v>805</v>
      </c>
      <c r="B943" s="880" t="s">
        <v>782</v>
      </c>
      <c r="C943" s="880"/>
      <c r="D943" s="876">
        <v>20240910</v>
      </c>
      <c r="E943" s="21">
        <v>7.17</v>
      </c>
      <c r="F943" s="2132" t="s">
        <v>783</v>
      </c>
      <c r="G943" s="690" t="s">
        <v>784</v>
      </c>
      <c r="H943" s="690"/>
      <c r="I943" s="21"/>
      <c r="J943" s="21"/>
      <c r="K943" s="2048"/>
      <c r="L943" s="779"/>
      <c r="M943" s="22">
        <v>0.206027697036579</v>
      </c>
      <c r="N943" s="22">
        <v>1.08512081001771</v>
      </c>
      <c r="O943" s="37">
        <v>0.3</v>
      </c>
      <c r="P943" s="37"/>
      <c r="Q943" s="37">
        <f t="shared" ref="Q943:Q954" si="107">SUM(K943:O943)</f>
        <v>1.59114850705429</v>
      </c>
      <c r="R943" s="219"/>
      <c r="S943" s="39" t="s">
        <v>2847</v>
      </c>
      <c r="T943" s="1931"/>
      <c r="X943" s="1940"/>
      <c r="AC943" s="1940"/>
    </row>
    <row r="944" s="839" customFormat="1" ht="16" hidden="1" customHeight="1" spans="1:29">
      <c r="A944" s="839">
        <v>806</v>
      </c>
      <c r="B944" s="880"/>
      <c r="C944" s="880"/>
      <c r="D944" s="977">
        <v>20250812</v>
      </c>
      <c r="E944" s="153">
        <v>7.17</v>
      </c>
      <c r="F944" s="2132" t="s">
        <v>1432</v>
      </c>
      <c r="G944" s="690" t="s">
        <v>1433</v>
      </c>
      <c r="H944" s="690"/>
      <c r="I944" s="21"/>
      <c r="J944" s="21"/>
      <c r="K944" s="2048"/>
      <c r="L944" s="779"/>
      <c r="M944" s="22">
        <v>0.224633119808445</v>
      </c>
      <c r="N944" s="22">
        <v>1.06407856581257</v>
      </c>
      <c r="O944" s="37">
        <v>0.3</v>
      </c>
      <c r="P944" s="37"/>
      <c r="Q944" s="37">
        <f t="shared" si="107"/>
        <v>1.58871168562102</v>
      </c>
      <c r="R944" s="219"/>
      <c r="S944" s="39"/>
      <c r="T944" s="1931"/>
      <c r="X944" s="1940"/>
      <c r="AC944" s="1940"/>
    </row>
    <row r="945" s="839" customFormat="1" ht="16" hidden="1" customHeight="1" spans="1:29">
      <c r="A945" s="839">
        <v>807</v>
      </c>
      <c r="B945" s="777" t="s">
        <v>785</v>
      </c>
      <c r="C945" s="777"/>
      <c r="D945" s="876">
        <v>20240827</v>
      </c>
      <c r="E945" s="21">
        <v>7.17</v>
      </c>
      <c r="F945" s="2132" t="s">
        <v>786</v>
      </c>
      <c r="G945" s="690" t="s">
        <v>787</v>
      </c>
      <c r="H945" s="690"/>
      <c r="I945" s="21"/>
      <c r="J945" s="21"/>
      <c r="K945" s="2048"/>
      <c r="L945" s="779"/>
      <c r="M945" s="22">
        <v>0.842214824936066</v>
      </c>
      <c r="N945" s="22">
        <v>6.11323206119363</v>
      </c>
      <c r="O945" s="37">
        <v>0.4</v>
      </c>
      <c r="P945" s="37"/>
      <c r="Q945" s="37">
        <f t="shared" si="107"/>
        <v>7.3554468861297</v>
      </c>
      <c r="R945" s="219"/>
      <c r="S945" s="39" t="s">
        <v>3123</v>
      </c>
      <c r="T945" s="778"/>
      <c r="U945" s="840"/>
      <c r="X945" s="1940"/>
      <c r="AC945" s="1940"/>
    </row>
    <row r="946" s="839" customFormat="1" ht="16" hidden="1" customHeight="1" spans="1:29">
      <c r="A946" s="839">
        <v>808</v>
      </c>
      <c r="B946" s="1683" t="s">
        <v>3124</v>
      </c>
      <c r="C946" s="1683"/>
      <c r="D946" s="2216">
        <v>46079</v>
      </c>
      <c r="E946" s="1682">
        <v>6.8802</v>
      </c>
      <c r="F946" s="2132" t="s">
        <v>3125</v>
      </c>
      <c r="G946" s="1683" t="s">
        <v>1565</v>
      </c>
      <c r="H946" s="2217" t="s">
        <v>3126</v>
      </c>
      <c r="I946" s="1686" t="s">
        <v>2156</v>
      </c>
      <c r="J946" s="1686" t="s">
        <v>3127</v>
      </c>
      <c r="K946" s="2048"/>
      <c r="L946" s="1679">
        <v>11.5</v>
      </c>
      <c r="M946" s="965">
        <f>37.91/E946/1.13</f>
        <v>4.87611879979822</v>
      </c>
      <c r="N946" s="965">
        <v>28.93</v>
      </c>
      <c r="O946" s="964">
        <f t="shared" ref="O946:O948" si="108">23.5/E946</f>
        <v>3.41559838376791</v>
      </c>
      <c r="P946" s="964"/>
      <c r="Q946" s="964">
        <f t="shared" si="107"/>
        <v>48.7217171835661</v>
      </c>
      <c r="R946" s="219" t="s">
        <v>3128</v>
      </c>
      <c r="S946" s="2218" t="s">
        <v>3129</v>
      </c>
      <c r="X946" s="1940"/>
      <c r="AC946" s="1940"/>
    </row>
    <row r="947" ht="16" hidden="1" customHeight="1" spans="1:29">
      <c r="A947" s="839">
        <v>809</v>
      </c>
      <c r="B947" s="777" t="s">
        <v>3124</v>
      </c>
      <c r="C947" s="777"/>
      <c r="D947" s="2219">
        <v>46079</v>
      </c>
      <c r="E947" s="876">
        <v>6.8802</v>
      </c>
      <c r="F947" s="2132" t="s">
        <v>3130</v>
      </c>
      <c r="G947" s="777" t="s">
        <v>1617</v>
      </c>
      <c r="H947" s="2220" t="s">
        <v>3126</v>
      </c>
      <c r="I947" s="798" t="s">
        <v>2156</v>
      </c>
      <c r="J947" s="798" t="s">
        <v>3127</v>
      </c>
      <c r="K947" s="2048"/>
      <c r="L947" s="1086">
        <v>11.5</v>
      </c>
      <c r="M947" s="22">
        <f>37.91/E947/1.13</f>
        <v>4.87611879979822</v>
      </c>
      <c r="N947" s="22">
        <v>28.24</v>
      </c>
      <c r="O947" s="37">
        <f t="shared" si="108"/>
        <v>3.41559838376791</v>
      </c>
      <c r="P947" s="37"/>
      <c r="Q947" s="37">
        <f t="shared" si="107"/>
        <v>48.0317171835661</v>
      </c>
      <c r="R947" s="219" t="s">
        <v>3131</v>
      </c>
      <c r="S947" s="840" t="s">
        <v>3129</v>
      </c>
    </row>
    <row r="948" ht="16" hidden="1" customHeight="1" spans="1:29">
      <c r="A948" s="839"/>
      <c r="B948" s="2221" t="s">
        <v>3124</v>
      </c>
      <c r="C948" s="2221" t="s">
        <v>3132</v>
      </c>
      <c r="D948" s="2222">
        <v>46205</v>
      </c>
      <c r="E948" s="2223">
        <v>6.8</v>
      </c>
      <c r="F948" s="2132" t="s">
        <v>3133</v>
      </c>
      <c r="G948" s="2223"/>
      <c r="H948" s="2223"/>
      <c r="I948" s="825"/>
      <c r="J948" s="2020" t="s">
        <v>1428</v>
      </c>
      <c r="K948" s="2184" t="s">
        <v>712</v>
      </c>
      <c r="L948" s="2185" t="s">
        <v>1428</v>
      </c>
      <c r="M948" s="829">
        <f>38.9/E948/1.13</f>
        <v>5.06246746486205</v>
      </c>
      <c r="N948" s="829">
        <v>35</v>
      </c>
      <c r="O948" s="831">
        <f t="shared" si="108"/>
        <v>3.45588235294118</v>
      </c>
      <c r="P948" s="831"/>
      <c r="Q948" s="831">
        <f t="shared" si="107"/>
        <v>43.5183498178032</v>
      </c>
      <c r="R948" s="219" t="s">
        <v>3134</v>
      </c>
      <c r="S948" s="2197"/>
    </row>
    <row r="949" ht="16" hidden="1" customHeight="1" spans="1:29">
      <c r="A949" s="839"/>
      <c r="B949" s="976" t="s">
        <v>3135</v>
      </c>
      <c r="C949" s="2221"/>
      <c r="D949" s="2222"/>
      <c r="E949" s="2223">
        <v>6.78</v>
      </c>
      <c r="F949" s="2125" t="s">
        <v>3136</v>
      </c>
      <c r="G949" s="2223"/>
      <c r="H949" s="2223"/>
      <c r="I949" s="825"/>
      <c r="J949" s="1975" t="s">
        <v>1428</v>
      </c>
      <c r="K949" s="2224" t="s">
        <v>712</v>
      </c>
      <c r="L949" s="2225" t="s">
        <v>1428</v>
      </c>
      <c r="M949" s="727">
        <f>145/6.78/1.13</f>
        <v>18.9260448482001</v>
      </c>
      <c r="N949" s="727">
        <v>21</v>
      </c>
      <c r="O949" s="154">
        <f>22/E949</f>
        <v>3.24483775811209</v>
      </c>
      <c r="P949" s="154"/>
      <c r="Q949" s="154">
        <f t="shared" si="107"/>
        <v>43.1708826063122</v>
      </c>
      <c r="R949" s="219"/>
      <c r="S949" s="2197"/>
    </row>
    <row r="950" ht="16" hidden="1" customHeight="1" spans="1:29">
      <c r="A950" s="839">
        <v>810</v>
      </c>
      <c r="B950" s="976" t="s">
        <v>3135</v>
      </c>
      <c r="C950" s="976"/>
      <c r="D950" s="2226">
        <v>46087</v>
      </c>
      <c r="E950" s="977">
        <v>6.8802</v>
      </c>
      <c r="F950" s="2132" t="s">
        <v>3136</v>
      </c>
      <c r="G950" s="977" t="s">
        <v>1604</v>
      </c>
      <c r="H950" s="977" t="s">
        <v>3136</v>
      </c>
      <c r="I950" s="924" t="s">
        <v>2156</v>
      </c>
      <c r="J950" s="924" t="s">
        <v>3137</v>
      </c>
      <c r="K950" s="2048"/>
      <c r="L950" s="911"/>
      <c r="M950" s="727">
        <f>105.9/E950/1.13</f>
        <v>13.6212339989088</v>
      </c>
      <c r="N950" s="727">
        <v>18.64</v>
      </c>
      <c r="O950" s="154">
        <f>22/E950</f>
        <v>3.19758146565507</v>
      </c>
      <c r="P950" s="154"/>
      <c r="Q950" s="37">
        <f t="shared" si="107"/>
        <v>35.4588154645638</v>
      </c>
      <c r="R950" s="219"/>
      <c r="S950" s="2197"/>
    </row>
    <row r="951" ht="16" hidden="1" customHeight="1" spans="1:29">
      <c r="A951" s="839"/>
      <c r="B951" s="976"/>
      <c r="C951" s="976"/>
      <c r="D951" s="2226"/>
      <c r="E951" s="977">
        <v>6.78</v>
      </c>
      <c r="F951" s="2132" t="s">
        <v>3138</v>
      </c>
      <c r="G951" s="977"/>
      <c r="H951" s="977"/>
      <c r="I951" s="924"/>
      <c r="J951" s="924" t="s">
        <v>1428</v>
      </c>
      <c r="K951" s="2048" t="s">
        <v>712</v>
      </c>
      <c r="L951" s="911" t="s">
        <v>1428</v>
      </c>
      <c r="M951" s="727">
        <f>74.51*1.05/6.78/1.13</f>
        <v>10.2116453911818</v>
      </c>
      <c r="N951" s="727">
        <v>23.22</v>
      </c>
      <c r="O951" s="154">
        <f t="shared" ref="O951:O954" si="109">24.5/E951</f>
        <v>3.61356932153392</v>
      </c>
      <c r="P951" s="154"/>
      <c r="Q951" s="154">
        <f t="shared" si="107"/>
        <v>37.0452147127157</v>
      </c>
      <c r="R951" s="219"/>
      <c r="S951" s="2197"/>
    </row>
    <row r="952" ht="16" hidden="1" customHeight="1" spans="1:29">
      <c r="A952" s="839">
        <v>811</v>
      </c>
      <c r="B952" s="902" t="s">
        <v>1322</v>
      </c>
      <c r="C952" s="902"/>
      <c r="D952" s="2227">
        <v>46105</v>
      </c>
      <c r="E952" s="727">
        <v>6.7851</v>
      </c>
      <c r="F952" s="2132" t="s">
        <v>1979</v>
      </c>
      <c r="G952" s="727"/>
      <c r="H952" s="2228" t="s">
        <v>3139</v>
      </c>
      <c r="I952" s="727" t="s">
        <v>1979</v>
      </c>
      <c r="J952" s="727" t="s">
        <v>1871</v>
      </c>
      <c r="K952" s="2048"/>
      <c r="L952" s="727">
        <v>7.5</v>
      </c>
      <c r="M952" s="727">
        <f>45.4/E952/1.13*1.2</f>
        <v>7.10562694441216</v>
      </c>
      <c r="N952" s="727">
        <f>26.1*1.02</f>
        <v>26.622</v>
      </c>
      <c r="O952" s="154">
        <f t="shared" si="109"/>
        <v>3.61085319302589</v>
      </c>
      <c r="P952" s="154"/>
      <c r="Q952" s="154">
        <f t="shared" si="107"/>
        <v>44.8384801374381</v>
      </c>
      <c r="R952" s="219" t="s">
        <v>3140</v>
      </c>
      <c r="S952" s="2229" t="s">
        <v>3141</v>
      </c>
    </row>
    <row r="953" ht="16" hidden="1" customHeight="1" spans="1:29">
      <c r="A953" s="839">
        <v>1</v>
      </c>
      <c r="B953" s="902"/>
      <c r="C953" s="902"/>
      <c r="D953" s="2227">
        <v>46175</v>
      </c>
      <c r="E953" s="727">
        <v>6.7693</v>
      </c>
      <c r="F953" s="2132" t="s">
        <v>3142</v>
      </c>
      <c r="G953" s="727"/>
      <c r="H953" s="2228"/>
      <c r="I953" s="727"/>
      <c r="J953" s="727"/>
      <c r="K953" s="2048"/>
      <c r="L953" s="727"/>
      <c r="M953" s="727">
        <f>45.4/E953/1.13*1.2</f>
        <v>7.12221195404709</v>
      </c>
      <c r="N953" s="727">
        <v>23</v>
      </c>
      <c r="O953" s="154">
        <f t="shared" si="109"/>
        <v>3.61928116644262</v>
      </c>
      <c r="P953" s="154"/>
      <c r="Q953" s="154">
        <f t="shared" si="107"/>
        <v>33.7414931204897</v>
      </c>
      <c r="R953" s="219"/>
      <c r="S953" s="640" t="s">
        <v>3143</v>
      </c>
    </row>
    <row r="954" ht="16" hidden="1" customHeight="1" spans="1:29">
      <c r="A954" s="839">
        <v>1</v>
      </c>
      <c r="B954" s="2230"/>
      <c r="C954" s="2230"/>
      <c r="D954" s="2231">
        <v>46199</v>
      </c>
      <c r="E954" s="2232">
        <v>6.73</v>
      </c>
      <c r="F954" s="1975" t="s">
        <v>3144</v>
      </c>
      <c r="G954" s="727"/>
      <c r="H954" s="2228">
        <f>5000/1575</f>
        <v>3.17460317460317</v>
      </c>
      <c r="I954" s="727"/>
      <c r="J954" s="727" t="s">
        <v>1428</v>
      </c>
      <c r="K954" s="2048" t="s">
        <v>712</v>
      </c>
      <c r="L954" s="727" t="s">
        <v>1428</v>
      </c>
      <c r="M954" s="727">
        <f>75.66/E954/1.13*1.05</f>
        <v>10.446291206985</v>
      </c>
      <c r="N954" s="727">
        <v>25.1</v>
      </c>
      <c r="O954" s="154">
        <f t="shared" si="109"/>
        <v>3.64041604754829</v>
      </c>
      <c r="P954" s="154"/>
      <c r="Q954" s="154">
        <f t="shared" si="107"/>
        <v>39.1867072545333</v>
      </c>
      <c r="R954" s="219"/>
      <c r="S954" s="640" t="s">
        <v>3145</v>
      </c>
    </row>
    <row r="955" ht="16" hidden="1" customHeight="1" spans="1:29">
      <c r="A955" s="839"/>
      <c r="B955" s="2230"/>
      <c r="C955" s="2230"/>
      <c r="D955" s="2231"/>
      <c r="E955" s="2232"/>
      <c r="F955" s="2132"/>
      <c r="G955" s="727"/>
      <c r="H955" s="2228"/>
      <c r="I955" s="727"/>
      <c r="J955" s="727"/>
      <c r="K955" s="2048"/>
      <c r="L955" s="727"/>
      <c r="M955" s="727"/>
      <c r="N955" s="727"/>
      <c r="O955" s="154"/>
      <c r="P955" s="154"/>
      <c r="Q955" s="154"/>
      <c r="R955" s="219"/>
      <c r="S955" s="640"/>
    </row>
    <row r="956" ht="16" hidden="1" customHeight="1" spans="1:29">
      <c r="A956" s="839"/>
      <c r="B956" s="902"/>
      <c r="C956" s="902"/>
      <c r="D956" s="2227">
        <v>46210</v>
      </c>
      <c r="E956" s="727">
        <v>6.78</v>
      </c>
      <c r="F956" s="1975" t="s">
        <v>3146</v>
      </c>
      <c r="G956" s="727"/>
      <c r="H956" s="2228">
        <v>71.34</v>
      </c>
      <c r="I956" s="727"/>
      <c r="J956" s="727" t="s">
        <v>1428</v>
      </c>
      <c r="K956" s="2048" t="s">
        <v>712</v>
      </c>
      <c r="L956" s="727" t="s">
        <v>1428</v>
      </c>
      <c r="M956" s="727">
        <f>56.3/E956/1.13*1.2</f>
        <v>8.81823165478894</v>
      </c>
      <c r="N956" s="727">
        <f>24.77*1.05</f>
        <v>26.0085</v>
      </c>
      <c r="O956" s="154">
        <f>24.5/E956</f>
        <v>3.61356932153392</v>
      </c>
      <c r="P956" s="154"/>
      <c r="Q956" s="154">
        <f t="shared" ref="Q956:Q961" si="110">SUM(K956:O956)</f>
        <v>38.4403009763229</v>
      </c>
      <c r="R956" s="219"/>
      <c r="S956" s="640"/>
    </row>
    <row r="957" ht="16" hidden="1" customHeight="1" spans="1:29">
      <c r="A957" s="839"/>
      <c r="B957" s="727"/>
      <c r="C957" s="1526"/>
      <c r="D957" s="2219">
        <v>46210</v>
      </c>
      <c r="E957" s="876">
        <v>6.78</v>
      </c>
      <c r="F957" s="1975" t="s">
        <v>3147</v>
      </c>
      <c r="G957" s="1022"/>
      <c r="H957" s="1022">
        <v>1575</v>
      </c>
      <c r="I957" s="1005"/>
      <c r="J957" s="727" t="s">
        <v>1428</v>
      </c>
      <c r="K957" s="2048" t="s">
        <v>712</v>
      </c>
      <c r="L957" s="727" t="s">
        <v>1428</v>
      </c>
      <c r="M957" s="727">
        <f>56.3/E957/1.13*1.2</f>
        <v>8.81823165478894</v>
      </c>
      <c r="N957" s="727">
        <f>24.8*1.05</f>
        <v>26.04</v>
      </c>
      <c r="O957" s="154">
        <f>24.5/E957</f>
        <v>3.61356932153392</v>
      </c>
      <c r="P957" s="154"/>
      <c r="Q957" s="154">
        <f t="shared" si="110"/>
        <v>38.4718009763229</v>
      </c>
      <c r="R957" s="219"/>
      <c r="S957" s="640"/>
    </row>
    <row r="958" ht="16" hidden="1" customHeight="1" spans="1:29">
      <c r="A958" s="839">
        <v>1</v>
      </c>
      <c r="B958" s="2233"/>
      <c r="C958" s="2234" t="s">
        <v>3148</v>
      </c>
      <c r="D958" s="2235">
        <v>46132</v>
      </c>
      <c r="E958" s="2236">
        <v>6.7851</v>
      </c>
      <c r="F958" s="2132" t="s">
        <v>3149</v>
      </c>
      <c r="G958" s="1022"/>
      <c r="H958" s="1022">
        <v>530</v>
      </c>
      <c r="I958" s="1005"/>
      <c r="J958" s="2237"/>
      <c r="K958" s="2048"/>
      <c r="L958" s="2238"/>
      <c r="M958" s="727">
        <f t="shared" ref="M958:M961" si="111">45.4/E958/1.13*1.15</f>
        <v>6.80955915506166</v>
      </c>
      <c r="N958" s="727">
        <v>22.7</v>
      </c>
      <c r="O958" s="154">
        <v>4</v>
      </c>
      <c r="P958" s="154"/>
      <c r="Q958" s="154">
        <f t="shared" si="110"/>
        <v>33.5095591550617</v>
      </c>
      <c r="R958" s="219"/>
      <c r="S958" s="640" t="s">
        <v>3143</v>
      </c>
    </row>
    <row r="959" ht="16" hidden="1" customHeight="1" spans="1:29">
      <c r="A959" s="839">
        <v>1</v>
      </c>
      <c r="B959" s="727"/>
      <c r="C959" s="1526"/>
      <c r="D959" s="2219">
        <v>46132</v>
      </c>
      <c r="E959" s="876">
        <v>6.7851</v>
      </c>
      <c r="F959" s="2132" t="s">
        <v>3150</v>
      </c>
      <c r="G959" s="1022"/>
      <c r="H959" s="1022">
        <f>8.21</f>
        <v>8.21</v>
      </c>
      <c r="I959" s="1005"/>
      <c r="J959" s="2237"/>
      <c r="K959" s="2048"/>
      <c r="L959" s="2238"/>
      <c r="M959" s="727">
        <f t="shared" si="111"/>
        <v>6.80955915506166</v>
      </c>
      <c r="N959" s="727">
        <v>18.7</v>
      </c>
      <c r="O959" s="154">
        <v>4</v>
      </c>
      <c r="P959" s="154"/>
      <c r="Q959" s="154">
        <f t="shared" si="110"/>
        <v>29.5095591550617</v>
      </c>
      <c r="R959" s="219"/>
      <c r="S959" s="640" t="s">
        <v>3143</v>
      </c>
    </row>
    <row r="960" ht="16" hidden="1" customHeight="1" spans="1:29">
      <c r="A960" s="839">
        <v>1</v>
      </c>
      <c r="B960" s="727"/>
      <c r="C960" s="1526"/>
      <c r="D960" s="2219">
        <v>46132</v>
      </c>
      <c r="E960" s="876">
        <v>6.7851</v>
      </c>
      <c r="F960" s="2132" t="s">
        <v>3151</v>
      </c>
      <c r="G960" s="1022"/>
      <c r="H960" s="1022">
        <f>1900/300</f>
        <v>6.33333333333333</v>
      </c>
      <c r="I960" s="1005"/>
      <c r="J960" s="2237"/>
      <c r="K960" s="2048"/>
      <c r="L960" s="2238"/>
      <c r="M960" s="727">
        <f t="shared" si="111"/>
        <v>6.80955915506166</v>
      </c>
      <c r="N960" s="727">
        <v>18.7</v>
      </c>
      <c r="O960" s="154">
        <v>4</v>
      </c>
      <c r="P960" s="154"/>
      <c r="Q960" s="154">
        <f t="shared" si="110"/>
        <v>29.5095591550617</v>
      </c>
      <c r="R960" s="219"/>
      <c r="S960" s="640" t="s">
        <v>3143</v>
      </c>
    </row>
    <row r="961" ht="16" hidden="1" customHeight="1" spans="1:20">
      <c r="A961" s="839">
        <v>1</v>
      </c>
      <c r="B961" s="727"/>
      <c r="C961" s="1526"/>
      <c r="D961" s="2219">
        <v>46132</v>
      </c>
      <c r="E961" s="876">
        <v>6.7851</v>
      </c>
      <c r="F961" s="2132" t="s">
        <v>3152</v>
      </c>
      <c r="G961" s="1022"/>
      <c r="H961" s="1022"/>
      <c r="I961" s="1005"/>
      <c r="J961" s="2237"/>
      <c r="K961" s="2048"/>
      <c r="L961" s="2238"/>
      <c r="M961" s="727">
        <f t="shared" si="111"/>
        <v>6.80955915506166</v>
      </c>
      <c r="N961" s="727">
        <v>21.9</v>
      </c>
      <c r="O961" s="154">
        <v>4</v>
      </c>
      <c r="P961" s="154"/>
      <c r="Q961" s="154">
        <f t="shared" si="110"/>
        <v>32.7095591550617</v>
      </c>
      <c r="R961" s="219"/>
      <c r="S961" s="640" t="s">
        <v>3143</v>
      </c>
    </row>
    <row r="962" ht="16" hidden="1" customHeight="1" spans="1:20">
      <c r="A962" s="839">
        <v>1</v>
      </c>
      <c r="B962" s="907" t="s">
        <v>3153</v>
      </c>
      <c r="D962" s="2239">
        <v>46149</v>
      </c>
      <c r="E962" s="876">
        <v>6.83</v>
      </c>
      <c r="F962" s="2132" t="s">
        <v>3154</v>
      </c>
      <c r="J962" s="2240"/>
      <c r="K962" s="2048"/>
      <c r="L962" s="2241"/>
      <c r="M962" s="727">
        <f>24.81/E962/1.13</f>
        <v>3.21460500913461</v>
      </c>
      <c r="N962" s="727">
        <f>57.45+18.4</f>
        <v>75.85</v>
      </c>
      <c r="O962" s="154">
        <v>3.00520413398813</v>
      </c>
      <c r="P962" s="154"/>
      <c r="Q962" s="154">
        <f>SUM(M962:O962)</f>
        <v>82.0698091431227</v>
      </c>
      <c r="R962" s="219"/>
      <c r="S962" s="2242" t="s">
        <v>3155</v>
      </c>
    </row>
    <row r="963" ht="16" hidden="1" customHeight="1" spans="1:20">
      <c r="A963" s="839">
        <v>812</v>
      </c>
      <c r="B963" s="976" t="s">
        <v>3153</v>
      </c>
      <c r="C963" s="2243"/>
      <c r="D963" s="2244">
        <v>46108</v>
      </c>
      <c r="E963" s="977">
        <v>6.8215</v>
      </c>
      <c r="F963" s="2132" t="s">
        <v>3154</v>
      </c>
      <c r="G963" s="1938" t="s">
        <v>1629</v>
      </c>
      <c r="H963" s="1938" t="s">
        <v>1428</v>
      </c>
      <c r="I963" s="1104" t="s">
        <v>1822</v>
      </c>
      <c r="J963" s="2240" t="s">
        <v>1507</v>
      </c>
      <c r="K963" s="2194" t="s">
        <v>712</v>
      </c>
      <c r="L963" s="2241" t="s">
        <v>712</v>
      </c>
      <c r="M963" s="2232">
        <f>24.81/E963/1.13</f>
        <v>3.21861060065812</v>
      </c>
      <c r="N963" s="2232">
        <v>55.15</v>
      </c>
      <c r="O963" s="1173">
        <f>20.5/E963</f>
        <v>3.00520413398813</v>
      </c>
      <c r="P963" s="1173"/>
      <c r="Q963" s="2245">
        <f>SUM(M963:O963)</f>
        <v>61.3738147346462</v>
      </c>
      <c r="R963" s="2246" t="s">
        <v>3156</v>
      </c>
      <c r="S963" s="2247" t="s">
        <v>3157</v>
      </c>
    </row>
    <row r="964" ht="16" hidden="1" customHeight="1" spans="1:20">
      <c r="A964" s="839"/>
      <c r="B964" s="976" t="s">
        <v>3158</v>
      </c>
      <c r="C964" s="2243"/>
      <c r="D964" s="2244">
        <v>46253</v>
      </c>
      <c r="E964" s="977">
        <v>6.75</v>
      </c>
      <c r="F964" s="1975" t="s">
        <v>3159</v>
      </c>
      <c r="J964" s="1841" t="s">
        <v>1428</v>
      </c>
      <c r="K964" s="2048" t="s">
        <v>712</v>
      </c>
      <c r="L964" s="1841" t="s">
        <v>1428</v>
      </c>
      <c r="M964" s="727">
        <f>81.5/E964/1.13</f>
        <v>10.6850213044903</v>
      </c>
      <c r="N964" s="727">
        <v>28.3</v>
      </c>
      <c r="O964" s="1985">
        <f t="shared" ref="O964:O968" si="112">26/E964</f>
        <v>3.85185185185185</v>
      </c>
      <c r="P964" s="1985"/>
      <c r="Q964" s="1563">
        <f>SUBTOTAL(109,M964:O964)</f>
        <v>0</v>
      </c>
      <c r="R964" s="219" t="s">
        <v>2205</v>
      </c>
      <c r="S964" s="2247"/>
    </row>
    <row r="965" ht="16" hidden="1" customHeight="1" spans="1:20">
      <c r="A965" s="839"/>
      <c r="B965" s="2248" t="s">
        <v>3158</v>
      </c>
      <c r="C965" s="2243"/>
      <c r="D965" s="2244"/>
      <c r="E965" s="977">
        <v>6.78</v>
      </c>
      <c r="F965" s="2132" t="s">
        <v>3160</v>
      </c>
      <c r="J965" s="2240"/>
      <c r="K965" s="2201"/>
      <c r="L965" s="2241"/>
      <c r="M965" s="2233">
        <f>72.71/E965/1.13*1.1</f>
        <v>10.4394758138199</v>
      </c>
      <c r="N965" s="2233">
        <v>27.5</v>
      </c>
      <c r="O965" s="2249">
        <f t="shared" si="112"/>
        <v>3.83480825958702</v>
      </c>
      <c r="P965" s="2249"/>
      <c r="Q965" s="2250">
        <f>SUBTOTAL(109,M965:O965)</f>
        <v>0</v>
      </c>
      <c r="R965" s="2126"/>
      <c r="S965" s="2247"/>
    </row>
    <row r="966" ht="16" hidden="1" customHeight="1" spans="1:20">
      <c r="A966" s="839">
        <v>813</v>
      </c>
      <c r="B966" s="2251" t="s">
        <v>3161</v>
      </c>
      <c r="C966" s="2251"/>
      <c r="D966" s="2252">
        <v>46043</v>
      </c>
      <c r="E966" s="2033">
        <v>6.8802</v>
      </c>
      <c r="F966" s="2132" t="s">
        <v>3162</v>
      </c>
      <c r="G966" s="2105" t="s">
        <v>1565</v>
      </c>
      <c r="H966" s="1988" t="s">
        <v>3163</v>
      </c>
      <c r="I966" s="1988" t="s">
        <v>1594</v>
      </c>
      <c r="J966" s="2033" t="s">
        <v>712</v>
      </c>
      <c r="K966" s="2048" t="s">
        <v>712</v>
      </c>
      <c r="L966" s="2033" t="s">
        <v>712</v>
      </c>
      <c r="M966" s="1987">
        <f t="shared" ref="M966:M968" si="113">37.8/E966/1.13</f>
        <v>4.86197020924222</v>
      </c>
      <c r="N966" s="1987">
        <f>23.2-0.68-1.05+0.55+0.23</f>
        <v>22.25</v>
      </c>
      <c r="O966" s="1987">
        <f t="shared" si="112"/>
        <v>3.77895991395599</v>
      </c>
      <c r="P966" s="1987"/>
      <c r="Q966" s="1987">
        <f t="shared" ref="Q966:Q970" si="114">SUM(K966:O966)</f>
        <v>30.8909301231982</v>
      </c>
      <c r="R966" s="219" t="s">
        <v>1748</v>
      </c>
      <c r="S966" s="1989" t="s">
        <v>3164</v>
      </c>
      <c r="T966" s="1989"/>
    </row>
    <row r="967" ht="16" hidden="1" customHeight="1" spans="1:20">
      <c r="A967" s="839">
        <v>814</v>
      </c>
      <c r="B967" s="2253"/>
      <c r="C967" s="2253"/>
      <c r="D967" s="2219">
        <v>46119</v>
      </c>
      <c r="E967" s="876">
        <v>6.8819</v>
      </c>
      <c r="F967" s="2132" t="s">
        <v>3165</v>
      </c>
      <c r="G967" s="1682" t="s">
        <v>1645</v>
      </c>
      <c r="H967" s="2217" t="s">
        <v>3166</v>
      </c>
      <c r="I967" s="1686"/>
      <c r="J967" s="1686" t="s">
        <v>1428</v>
      </c>
      <c r="K967" s="2048" t="s">
        <v>712</v>
      </c>
      <c r="L967" s="1679" t="s">
        <v>1428</v>
      </c>
      <c r="M967" s="1987">
        <f t="shared" si="113"/>
        <v>4.86076918200327</v>
      </c>
      <c r="N967" s="1987">
        <v>22.42</v>
      </c>
      <c r="O967" s="1987">
        <f t="shared" si="112"/>
        <v>3.77802641712318</v>
      </c>
      <c r="P967" s="1987"/>
      <c r="Q967" s="1987">
        <f t="shared" si="114"/>
        <v>31.0587955991265</v>
      </c>
      <c r="R967" s="219" t="s">
        <v>1428</v>
      </c>
      <c r="S967" s="2218" t="s">
        <v>3167</v>
      </c>
    </row>
    <row r="968" ht="16" hidden="1" customHeight="1" spans="1:20">
      <c r="A968" s="839">
        <v>815</v>
      </c>
      <c r="B968" s="2253"/>
      <c r="C968" s="2253"/>
      <c r="D968" s="2254">
        <v>46119</v>
      </c>
      <c r="E968" s="2255">
        <v>6.8819</v>
      </c>
      <c r="F968" s="2132" t="s">
        <v>3168</v>
      </c>
      <c r="G968" s="2256" t="s">
        <v>1604</v>
      </c>
      <c r="H968" s="2257" t="s">
        <v>3166</v>
      </c>
      <c r="I968" s="2258"/>
      <c r="J968" s="2258" t="s">
        <v>1428</v>
      </c>
      <c r="K968" s="2048" t="s">
        <v>712</v>
      </c>
      <c r="L968" s="2259" t="s">
        <v>1428</v>
      </c>
      <c r="M968" s="2260">
        <f t="shared" si="113"/>
        <v>4.86076918200327</v>
      </c>
      <c r="N968" s="2260">
        <v>21.5</v>
      </c>
      <c r="O968" s="2260">
        <f t="shared" si="112"/>
        <v>3.77802641712318</v>
      </c>
      <c r="P968" s="2260"/>
      <c r="Q968" s="2260">
        <f t="shared" si="114"/>
        <v>30.1387955991265</v>
      </c>
      <c r="R968" s="219" t="s">
        <v>1428</v>
      </c>
      <c r="S968" s="2261" t="s">
        <v>3169</v>
      </c>
    </row>
    <row r="969" ht="16" hidden="1" customHeight="1" spans="1:20">
      <c r="A969" s="839">
        <v>817</v>
      </c>
      <c r="B969" s="977" t="s">
        <v>3170</v>
      </c>
      <c r="C969" s="1022"/>
      <c r="D969" s="2219">
        <v>46120</v>
      </c>
      <c r="E969" s="876">
        <v>6.8819</v>
      </c>
      <c r="F969" s="1975" t="s">
        <v>3171</v>
      </c>
      <c r="G969" s="1022" t="s">
        <v>3172</v>
      </c>
      <c r="H969" s="2257" t="s">
        <v>3166</v>
      </c>
      <c r="I969" s="1005"/>
      <c r="J969" s="924" t="s">
        <v>1428</v>
      </c>
      <c r="K969" s="2048" t="s">
        <v>712</v>
      </c>
      <c r="L969" s="911" t="s">
        <v>1428</v>
      </c>
      <c r="M969" s="727">
        <f>38.29/E969/1.13</f>
        <v>4.92377915288109</v>
      </c>
      <c r="N969" s="727">
        <v>40.2</v>
      </c>
      <c r="O969" s="154">
        <f>22.5/E969</f>
        <v>3.26944593789506</v>
      </c>
      <c r="P969" s="154"/>
      <c r="Q969" s="1985">
        <f t="shared" si="114"/>
        <v>48.3932250907762</v>
      </c>
      <c r="R969" s="266" t="s">
        <v>3173</v>
      </c>
      <c r="S969" s="2197" t="s">
        <v>3174</v>
      </c>
    </row>
    <row r="970" ht="16" hidden="1" customHeight="1" spans="1:20">
      <c r="A970" s="839">
        <v>1</v>
      </c>
      <c r="B970" s="976" t="s">
        <v>3175</v>
      </c>
      <c r="C970" s="2262" t="s">
        <v>2030</v>
      </c>
      <c r="D970" s="2219">
        <v>46163</v>
      </c>
      <c r="E970" s="876">
        <v>6.75</v>
      </c>
      <c r="F970" s="1975" t="s">
        <v>3176</v>
      </c>
      <c r="G970" s="1022"/>
      <c r="H970" s="2257"/>
      <c r="I970" s="1005"/>
      <c r="J970" s="924" t="s">
        <v>1428</v>
      </c>
      <c r="K970" s="2048" t="s">
        <v>712</v>
      </c>
      <c r="L970" s="924" t="s">
        <v>1428</v>
      </c>
      <c r="M970" s="2011">
        <f>67.38/6.73/1.13</f>
        <v>8.86007705558258</v>
      </c>
      <c r="N970" s="727">
        <v>76</v>
      </c>
      <c r="O970" s="2012">
        <f>40/E970</f>
        <v>5.92592592592593</v>
      </c>
      <c r="P970" s="2012"/>
      <c r="Q970" s="2012">
        <f t="shared" si="114"/>
        <v>90.7860029815085</v>
      </c>
      <c r="R970" s="219"/>
      <c r="S970" s="2263"/>
    </row>
    <row r="971" ht="16" hidden="1" customHeight="1" spans="1:20">
      <c r="A971" s="839">
        <v>818</v>
      </c>
      <c r="B971" s="2264" t="s">
        <v>2029</v>
      </c>
      <c r="C971" s="2264"/>
      <c r="D971" s="2032">
        <v>20251112</v>
      </c>
      <c r="E971" s="2265">
        <v>6.8802</v>
      </c>
      <c r="F971" s="2132" t="s">
        <v>2035</v>
      </c>
      <c r="G971" s="1988" t="s">
        <v>1617</v>
      </c>
      <c r="H971" s="2266" t="s">
        <v>2003</v>
      </c>
      <c r="I971" s="2033" t="s">
        <v>2036</v>
      </c>
      <c r="J971" s="2032" t="s">
        <v>1507</v>
      </c>
      <c r="K971" s="2048" t="s">
        <v>712</v>
      </c>
      <c r="L971" s="2267" t="s">
        <v>1507</v>
      </c>
      <c r="M971" s="2104">
        <f>17403.05/16/E971/1.13</f>
        <v>139.902630042911</v>
      </c>
      <c r="N971" s="1987">
        <v>73.6294797155859</v>
      </c>
      <c r="O971" s="1987">
        <v>4.153444</v>
      </c>
      <c r="P971" s="1987"/>
      <c r="Q971" s="1739">
        <f t="shared" ref="Q971:Q979" si="115">SUM(M971:O971)</f>
        <v>217.685553758497</v>
      </c>
      <c r="R971" s="219"/>
      <c r="S971" s="1988" t="s">
        <v>3177</v>
      </c>
    </row>
    <row r="972" ht="16" hidden="1" customHeight="1" spans="1:20">
      <c r="A972" s="839">
        <v>819</v>
      </c>
      <c r="B972" s="1988" t="s">
        <v>3178</v>
      </c>
      <c r="C972" s="1988"/>
      <c r="D972" s="2032">
        <v>20251113</v>
      </c>
      <c r="E972" s="2265">
        <v>6.8802</v>
      </c>
      <c r="F972" s="2132" t="s">
        <v>3179</v>
      </c>
      <c r="G972" s="2105" t="s">
        <v>1629</v>
      </c>
      <c r="H972" s="2266"/>
      <c r="I972" s="2033" t="s">
        <v>3180</v>
      </c>
      <c r="J972" s="2032" t="s">
        <v>1507</v>
      </c>
      <c r="K972" s="2048" t="s">
        <v>712</v>
      </c>
      <c r="L972" s="2033" t="s">
        <v>1507</v>
      </c>
      <c r="M972" s="2033">
        <f>28.93/E972/1.13</f>
        <v>3.72107931622692</v>
      </c>
      <c r="N972" s="2033">
        <v>23.9987823395598</v>
      </c>
      <c r="O972" s="2033">
        <v>5.191805</v>
      </c>
      <c r="P972" s="2268"/>
      <c r="Q972" s="2269">
        <f t="shared" si="115"/>
        <v>32.9116666557867</v>
      </c>
      <c r="R972" s="219"/>
      <c r="S972" s="1988" t="s">
        <v>3181</v>
      </c>
    </row>
    <row r="973" ht="16" hidden="1" customHeight="1" spans="1:20">
      <c r="A973" s="839">
        <v>820</v>
      </c>
      <c r="B973" s="2105" t="s">
        <v>1825</v>
      </c>
      <c r="C973" s="2105"/>
      <c r="D973" s="2270">
        <v>46056</v>
      </c>
      <c r="E973" s="2033">
        <v>6.8802</v>
      </c>
      <c r="F973" s="2132" t="s">
        <v>2118</v>
      </c>
      <c r="G973" s="1988" t="s">
        <v>1565</v>
      </c>
      <c r="H973" s="2266" t="s">
        <v>3182</v>
      </c>
      <c r="I973" s="2033" t="s">
        <v>2004</v>
      </c>
      <c r="J973" s="2033" t="s">
        <v>1507</v>
      </c>
      <c r="K973" s="2048" t="s">
        <v>1507</v>
      </c>
      <c r="L973" s="2033" t="s">
        <v>1507</v>
      </c>
      <c r="M973" s="1987">
        <f>21.7/E973/1.13</f>
        <v>2.79113104604646</v>
      </c>
      <c r="N973" s="1987">
        <f>17.117278+0.72</f>
        <v>17.837278</v>
      </c>
      <c r="O973" s="1987">
        <f t="shared" ref="O973:O976" si="116">22/E973</f>
        <v>3.19758146565507</v>
      </c>
      <c r="P973" s="2271"/>
      <c r="Q973" s="2269">
        <f t="shared" si="115"/>
        <v>23.8259905117015</v>
      </c>
      <c r="R973" s="219" t="s">
        <v>1823</v>
      </c>
      <c r="S973" s="1988" t="s">
        <v>2120</v>
      </c>
    </row>
    <row r="974" ht="16" hidden="1" customHeight="1" spans="1:20">
      <c r="A974" s="839">
        <v>821</v>
      </c>
      <c r="B974" s="2105" t="s">
        <v>1825</v>
      </c>
      <c r="C974" s="2105"/>
      <c r="D974" s="2270">
        <v>46056</v>
      </c>
      <c r="E974" s="2033">
        <v>6.8802</v>
      </c>
      <c r="F974" s="2132" t="s">
        <v>2121</v>
      </c>
      <c r="G974" s="1988" t="s">
        <v>1617</v>
      </c>
      <c r="H974" s="2266" t="s">
        <v>3182</v>
      </c>
      <c r="I974" s="2033" t="s">
        <v>2004</v>
      </c>
      <c r="J974" s="2033" t="s">
        <v>1507</v>
      </c>
      <c r="K974" s="2048" t="s">
        <v>1507</v>
      </c>
      <c r="L974" s="2033" t="s">
        <v>1507</v>
      </c>
      <c r="M974" s="1987">
        <f>21.7/E974/1.13</f>
        <v>2.79113104604646</v>
      </c>
      <c r="N974" s="1987">
        <f>13.302104+0.72</f>
        <v>14.022104</v>
      </c>
      <c r="O974" s="1987">
        <f t="shared" si="116"/>
        <v>3.19758146565507</v>
      </c>
      <c r="P974" s="2271"/>
      <c r="Q974" s="2269">
        <f t="shared" si="115"/>
        <v>20.0108165117015</v>
      </c>
      <c r="R974" s="219" t="s">
        <v>1526</v>
      </c>
      <c r="S974" s="1988" t="s">
        <v>3183</v>
      </c>
    </row>
    <row r="975" ht="16" hidden="1" customHeight="1" spans="1:20">
      <c r="A975" s="839"/>
      <c r="B975" s="1982" t="s">
        <v>3184</v>
      </c>
      <c r="C975" s="2105"/>
      <c r="D975" s="2270"/>
      <c r="E975" s="2033">
        <v>6.75</v>
      </c>
      <c r="F975" s="2125" t="s">
        <v>3185</v>
      </c>
      <c r="G975" s="1988"/>
      <c r="H975" s="2266"/>
      <c r="I975" s="2033"/>
      <c r="J975" s="1980" t="s">
        <v>1507</v>
      </c>
      <c r="K975" s="2048" t="s">
        <v>1507</v>
      </c>
      <c r="L975" s="1980" t="s">
        <v>1507</v>
      </c>
      <c r="M975" s="1985">
        <f>38.98/E975/1.13</f>
        <v>5.11045558833169</v>
      </c>
      <c r="N975" s="1985">
        <v>15.5</v>
      </c>
      <c r="O975" s="1985">
        <f t="shared" si="116"/>
        <v>3.25925925925926</v>
      </c>
      <c r="P975" s="2272"/>
      <c r="Q975" s="2273">
        <f t="shared" si="115"/>
        <v>23.869714847591</v>
      </c>
      <c r="R975" s="219"/>
      <c r="S975" s="1988"/>
    </row>
    <row r="976" ht="16" hidden="1" customHeight="1" spans="1:20">
      <c r="A976" s="839">
        <v>822</v>
      </c>
      <c r="B976" s="2105" t="s">
        <v>3184</v>
      </c>
      <c r="C976" s="2105"/>
      <c r="D976" s="2270">
        <v>46058</v>
      </c>
      <c r="E976" s="2033">
        <v>6.91</v>
      </c>
      <c r="F976" s="2132" t="s">
        <v>3186</v>
      </c>
      <c r="G976" s="1988" t="s">
        <v>1565</v>
      </c>
      <c r="H976" s="2266" t="s">
        <v>3182</v>
      </c>
      <c r="I976" s="2033"/>
      <c r="J976" s="2033" t="s">
        <v>1507</v>
      </c>
      <c r="K976" s="2048" t="s">
        <v>1507</v>
      </c>
      <c r="L976" s="2033" t="s">
        <v>1507</v>
      </c>
      <c r="M976" s="1987">
        <f>24.33/E976/1.13</f>
        <v>3.11591511596634</v>
      </c>
      <c r="N976" s="1987">
        <f>15.311701+0.72</f>
        <v>16.031701</v>
      </c>
      <c r="O976" s="1987">
        <f t="shared" si="116"/>
        <v>3.18379160636758</v>
      </c>
      <c r="P976" s="2271"/>
      <c r="Q976" s="2269">
        <f t="shared" si="115"/>
        <v>22.3314077223339</v>
      </c>
      <c r="R976" s="219" t="s">
        <v>1423</v>
      </c>
      <c r="S976" s="1988" t="s">
        <v>3187</v>
      </c>
    </row>
    <row r="977" ht="16" hidden="1" customHeight="1" spans="1:29">
      <c r="A977" s="839">
        <v>824</v>
      </c>
      <c r="B977" s="2274" t="s">
        <v>3188</v>
      </c>
      <c r="C977" s="2274"/>
      <c r="D977" s="2275">
        <v>46097</v>
      </c>
      <c r="E977" s="2276">
        <v>6.901</v>
      </c>
      <c r="F977" s="2132" t="s">
        <v>3189</v>
      </c>
      <c r="G977" s="2274" t="s">
        <v>1629</v>
      </c>
      <c r="H977" s="2277" t="s">
        <v>2119</v>
      </c>
      <c r="I977" s="2278" t="s">
        <v>1859</v>
      </c>
      <c r="J977" s="2278" t="s">
        <v>1654</v>
      </c>
      <c r="K977" s="2048" t="s">
        <v>712</v>
      </c>
      <c r="L977" s="2279">
        <f>27/E977/1.13</f>
        <v>3.46236854220178</v>
      </c>
      <c r="M977" s="2280">
        <f>23.32/E977/1.13</f>
        <v>2.99046053348687</v>
      </c>
      <c r="N977" s="2280">
        <f>13.9+0.72</f>
        <v>14.62</v>
      </c>
      <c r="O977" s="2260">
        <f t="shared" ref="O977:O982" si="117">22.5/E977</f>
        <v>3.26039704390668</v>
      </c>
      <c r="P977" s="2271"/>
      <c r="Q977" s="2269">
        <f t="shared" si="115"/>
        <v>20.8708575773936</v>
      </c>
      <c r="R977" s="219" t="s">
        <v>3190</v>
      </c>
      <c r="S977" s="2281" t="s">
        <v>3191</v>
      </c>
    </row>
    <row r="978" ht="16" hidden="1" customHeight="1" spans="1:29">
      <c r="A978" s="839">
        <v>825</v>
      </c>
      <c r="B978" s="1683" t="s">
        <v>3192</v>
      </c>
      <c r="C978" s="1683"/>
      <c r="D978" s="2216">
        <v>46121</v>
      </c>
      <c r="E978" s="1682">
        <v>6.8819</v>
      </c>
      <c r="F978" s="2132" t="s">
        <v>3193</v>
      </c>
      <c r="G978" s="1682"/>
      <c r="H978" s="1682"/>
      <c r="I978" s="1686"/>
      <c r="J978" s="1686"/>
      <c r="K978" s="2048"/>
      <c r="L978" s="1679"/>
      <c r="M978" s="965">
        <f>23.077/E978/1.13</f>
        <v>2.96751244479073</v>
      </c>
      <c r="N978" s="965">
        <v>16.03</v>
      </c>
      <c r="O978" s="964">
        <f>26.67/E978/1.13</f>
        <v>3.42954270063564</v>
      </c>
      <c r="P978" s="2282"/>
      <c r="Q978" s="2283">
        <f t="shared" si="115"/>
        <v>22.4270551454264</v>
      </c>
      <c r="R978" s="219"/>
      <c r="S978" s="1930"/>
    </row>
    <row r="979" ht="16" hidden="1" customHeight="1" spans="1:29">
      <c r="A979" s="839">
        <v>826</v>
      </c>
      <c r="B979" s="977" t="s">
        <v>3194</v>
      </c>
      <c r="C979" s="2284"/>
      <c r="D979" s="2244">
        <v>46121</v>
      </c>
      <c r="E979" s="2284">
        <v>6.8819</v>
      </c>
      <c r="F979" s="2130" t="s">
        <v>1979</v>
      </c>
      <c r="G979" s="2284"/>
      <c r="H979" s="2284"/>
      <c r="I979" s="1243"/>
      <c r="J979" s="924" t="s">
        <v>3195</v>
      </c>
      <c r="K979" s="2048"/>
      <c r="L979" s="911">
        <v>6</v>
      </c>
      <c r="M979" s="727">
        <f>20.61/E979/1.13</f>
        <v>2.6502765301875</v>
      </c>
      <c r="N979" s="727">
        <v>17.6</v>
      </c>
      <c r="O979" s="154">
        <f>24.81/E979/1.13</f>
        <v>3.19036199485453</v>
      </c>
      <c r="P979" s="154"/>
      <c r="Q979" s="1563">
        <f t="shared" si="115"/>
        <v>23.440638525042</v>
      </c>
      <c r="R979" s="219"/>
      <c r="S979" s="993"/>
    </row>
    <row r="980" ht="16" hidden="1" customHeight="1" spans="1:29">
      <c r="A980" s="839"/>
      <c r="B980" s="976" t="s">
        <v>3196</v>
      </c>
      <c r="C980" s="2284"/>
      <c r="D980" s="2244">
        <v>46268</v>
      </c>
      <c r="E980" s="2284">
        <v>6.73</v>
      </c>
      <c r="F980" s="2198" t="s">
        <v>3197</v>
      </c>
      <c r="G980" s="2284"/>
      <c r="H980" s="2284"/>
      <c r="I980" s="1243"/>
      <c r="J980" s="924" t="s">
        <v>1428</v>
      </c>
      <c r="K980" s="2048" t="s">
        <v>712</v>
      </c>
      <c r="L980" s="924" t="s">
        <v>1428</v>
      </c>
      <c r="M980" s="727">
        <f>62/E980/1.13</f>
        <v>8.15263843048561</v>
      </c>
      <c r="N980" s="727">
        <v>19.1</v>
      </c>
      <c r="O980" s="154">
        <f t="shared" si="117"/>
        <v>3.34323922734027</v>
      </c>
      <c r="P980" s="154"/>
      <c r="Q980" s="1563">
        <f t="shared" ref="Q980:Q990" si="118">SUBTOTAL(109,L980:O980)</f>
        <v>0</v>
      </c>
      <c r="R980" s="219"/>
      <c r="S980" s="2197" t="s">
        <v>3198</v>
      </c>
    </row>
    <row r="981" ht="16" hidden="1" customHeight="1" spans="1:29">
      <c r="A981" s="991">
        <v>1</v>
      </c>
      <c r="B981" s="2243" t="s">
        <v>3196</v>
      </c>
      <c r="C981" s="2243"/>
      <c r="D981" s="2244">
        <v>46122</v>
      </c>
      <c r="E981" s="2284">
        <v>6.8819</v>
      </c>
      <c r="F981" s="2132" t="s">
        <v>3199</v>
      </c>
      <c r="G981" s="2284" t="s">
        <v>1645</v>
      </c>
      <c r="H981" s="2284"/>
      <c r="I981" s="1243"/>
      <c r="J981" s="1243" t="s">
        <v>3137</v>
      </c>
      <c r="K981" s="2201"/>
      <c r="L981" s="2285">
        <v>6</v>
      </c>
      <c r="M981" s="1249">
        <f>36.3/E981/1.13</f>
        <v>4.66788151605076</v>
      </c>
      <c r="N981" s="1249">
        <v>16.8</v>
      </c>
      <c r="O981" s="2286">
        <f t="shared" si="117"/>
        <v>3.26944593789506</v>
      </c>
      <c r="P981" s="2286"/>
      <c r="Q981" s="2250">
        <f t="shared" si="118"/>
        <v>0</v>
      </c>
      <c r="R981" s="219"/>
      <c r="S981" s="993" t="s">
        <v>3200</v>
      </c>
    </row>
    <row r="982" s="1931" customFormat="1" ht="16" hidden="1" customHeight="1" spans="1:29">
      <c r="A982" s="839">
        <v>1</v>
      </c>
      <c r="B982" s="2287" t="s">
        <v>3196</v>
      </c>
      <c r="C982" s="2288"/>
      <c r="D982" s="2289">
        <v>46196</v>
      </c>
      <c r="E982" s="2290">
        <v>6.7739</v>
      </c>
      <c r="F982" s="2132" t="s">
        <v>3201</v>
      </c>
      <c r="G982" s="2288"/>
      <c r="H982" s="2291"/>
      <c r="I982" s="2290"/>
      <c r="J982" s="2290"/>
      <c r="K982" s="256"/>
      <c r="L982" s="2290"/>
      <c r="M982" s="2292">
        <f>37.8*1.3/1.13/E982</f>
        <v>6.41974721559468</v>
      </c>
      <c r="N982" s="2292">
        <v>22</v>
      </c>
      <c r="O982" s="809">
        <f t="shared" si="117"/>
        <v>3.32157250623717</v>
      </c>
      <c r="P982" s="809"/>
      <c r="Q982" s="37">
        <f>SUBTOTAL(109,N982:O982)</f>
        <v>0</v>
      </c>
      <c r="R982" s="227"/>
      <c r="S982" s="2293"/>
      <c r="X982" s="2029"/>
      <c r="AC982" s="2029"/>
    </row>
    <row r="983" ht="16" hidden="1" customHeight="1" spans="1:29">
      <c r="A983" s="839">
        <v>1</v>
      </c>
      <c r="B983" s="2294" t="s">
        <v>3202</v>
      </c>
      <c r="C983" s="2294"/>
      <c r="D983" s="2295">
        <v>20250916</v>
      </c>
      <c r="E983" s="2033">
        <v>6.837</v>
      </c>
      <c r="F983" s="2132" t="s">
        <v>1658</v>
      </c>
      <c r="G983" s="2296" t="s">
        <v>1565</v>
      </c>
      <c r="H983" s="2266" t="s">
        <v>3205</v>
      </c>
      <c r="I983" s="2033" t="s">
        <v>1506</v>
      </c>
      <c r="J983" s="2033" t="s">
        <v>1507</v>
      </c>
      <c r="K983" s="2048" t="s">
        <v>712</v>
      </c>
      <c r="L983" s="2033" t="s">
        <v>1507</v>
      </c>
      <c r="M983" s="1987">
        <f>33.08/E983/1.13</f>
        <v>4.28175168687814</v>
      </c>
      <c r="N983" s="1987">
        <v>26.03</v>
      </c>
      <c r="O983" s="2297">
        <v>4</v>
      </c>
      <c r="P983" s="2297"/>
      <c r="Q983" s="1563">
        <f t="shared" si="118"/>
        <v>0</v>
      </c>
      <c r="R983" s="219"/>
      <c r="S983" s="2298" t="s">
        <v>3206</v>
      </c>
    </row>
    <row r="984" ht="16" hidden="1" customHeight="1" spans="1:29">
      <c r="A984" s="839">
        <v>1</v>
      </c>
      <c r="B984" s="2299" t="s">
        <v>3202</v>
      </c>
      <c r="C984" s="2299"/>
      <c r="D984" s="2300">
        <v>20250916</v>
      </c>
      <c r="E984" s="2278">
        <v>6.837</v>
      </c>
      <c r="F984" s="2132" t="s">
        <v>1661</v>
      </c>
      <c r="G984" s="2301" t="s">
        <v>1617</v>
      </c>
      <c r="H984" s="2277" t="s">
        <v>3205</v>
      </c>
      <c r="I984" s="2278" t="s">
        <v>1511</v>
      </c>
      <c r="J984" s="2278" t="s">
        <v>1507</v>
      </c>
      <c r="K984" s="2194" t="s">
        <v>712</v>
      </c>
      <c r="L984" s="2278" t="s">
        <v>1507</v>
      </c>
      <c r="M984" s="2260">
        <f>33.08/E984/1.13</f>
        <v>4.28175168687814</v>
      </c>
      <c r="N984" s="2260">
        <v>28.3240095622731</v>
      </c>
      <c r="O984" s="2302">
        <f>23.5/6.91</f>
        <v>3.40086830680174</v>
      </c>
      <c r="P984" s="2302"/>
      <c r="Q984" s="2245">
        <f t="shared" si="118"/>
        <v>0</v>
      </c>
      <c r="R984" s="219"/>
      <c r="S984" s="2298" t="s">
        <v>3206</v>
      </c>
    </row>
    <row r="985" ht="16" hidden="1" customHeight="1" spans="1:29">
      <c r="A985" s="839">
        <v>1</v>
      </c>
      <c r="B985" s="2303" t="s">
        <v>3207</v>
      </c>
      <c r="C985" s="2304" t="s">
        <v>1868</v>
      </c>
      <c r="D985" s="2305">
        <v>46129</v>
      </c>
      <c r="E985" s="1595">
        <v>6.837</v>
      </c>
      <c r="F985" s="2306" t="s">
        <v>2016</v>
      </c>
      <c r="G985" s="2307" t="s">
        <v>1565</v>
      </c>
      <c r="H985" s="2308" t="s">
        <v>1870</v>
      </c>
      <c r="I985" s="1595" t="s">
        <v>2156</v>
      </c>
      <c r="J985" s="2309" t="s">
        <v>1876</v>
      </c>
      <c r="K985" s="2310" t="s">
        <v>712</v>
      </c>
      <c r="L985" s="1596">
        <f>26.17/E985/1.13</f>
        <v>3.38734708723098</v>
      </c>
      <c r="M985" s="2311">
        <f>49.32/E985/1.13</f>
        <v>6.3837966504483</v>
      </c>
      <c r="N985" s="1596">
        <v>20.88</v>
      </c>
      <c r="O985" s="2312">
        <f t="shared" ref="O985:O999" si="119">22.5/E985</f>
        <v>3.29091706888986</v>
      </c>
      <c r="P985" s="2312"/>
      <c r="Q985" s="2312">
        <f t="shared" si="118"/>
        <v>0</v>
      </c>
      <c r="R985" s="2313" t="s">
        <v>1877</v>
      </c>
      <c r="S985" s="266" t="s">
        <v>3208</v>
      </c>
    </row>
    <row r="986" ht="16" hidden="1" customHeight="1" spans="1:29">
      <c r="A986" s="839">
        <v>1</v>
      </c>
      <c r="B986" s="2303"/>
      <c r="C986" s="2304" t="s">
        <v>3209</v>
      </c>
      <c r="D986" s="2305">
        <v>46150</v>
      </c>
      <c r="E986" s="1595">
        <v>6.7693</v>
      </c>
      <c r="F986" s="2306" t="s">
        <v>3210</v>
      </c>
      <c r="G986" s="2307" t="s">
        <v>1604</v>
      </c>
      <c r="H986" s="2308" t="s">
        <v>1870</v>
      </c>
      <c r="I986" s="1595" t="s">
        <v>2156</v>
      </c>
      <c r="J986" s="2309" t="s">
        <v>1876</v>
      </c>
      <c r="K986" s="2310" t="s">
        <v>712</v>
      </c>
      <c r="L986" s="1596"/>
      <c r="M986" s="2311">
        <f>49.32/E986/1.13</f>
        <v>6.44764121831135</v>
      </c>
      <c r="N986" s="1596">
        <v>13.4</v>
      </c>
      <c r="O986" s="2312">
        <f t="shared" si="119"/>
        <v>3.32382964265138</v>
      </c>
      <c r="P986" s="2312"/>
      <c r="Q986" s="2312">
        <f t="shared" si="118"/>
        <v>0</v>
      </c>
      <c r="R986" s="2313" t="s">
        <v>3211</v>
      </c>
      <c r="S986" s="266" t="s">
        <v>3212</v>
      </c>
    </row>
    <row r="987" ht="16" hidden="1" customHeight="1" spans="1:29">
      <c r="A987" s="839"/>
      <c r="B987" s="2303"/>
      <c r="C987" s="2304"/>
      <c r="D987" s="2305">
        <v>46269</v>
      </c>
      <c r="E987" s="1595">
        <v>6.7</v>
      </c>
      <c r="F987" s="2306" t="s">
        <v>3213</v>
      </c>
      <c r="G987" s="2307"/>
      <c r="H987" s="2308"/>
      <c r="I987" s="1595"/>
      <c r="J987" s="2314" t="s">
        <v>1428</v>
      </c>
      <c r="K987" s="2315" t="s">
        <v>712</v>
      </c>
      <c r="L987" s="2314" t="s">
        <v>1428</v>
      </c>
      <c r="M987" s="2311">
        <f>58.45/E987/1.13</f>
        <v>7.72024831594241</v>
      </c>
      <c r="N987" s="1596">
        <v>15.9</v>
      </c>
      <c r="O987" s="2312">
        <f t="shared" si="119"/>
        <v>3.35820895522388</v>
      </c>
      <c r="P987" s="2312"/>
      <c r="Q987" s="2312">
        <f t="shared" si="118"/>
        <v>0</v>
      </c>
      <c r="R987" s="2313"/>
      <c r="S987" s="266"/>
    </row>
    <row r="988" ht="16" hidden="1" customHeight="1" spans="1:29">
      <c r="A988" s="839">
        <v>1</v>
      </c>
      <c r="B988" s="2303"/>
      <c r="C988" s="2304"/>
      <c r="D988" s="2316">
        <v>46175</v>
      </c>
      <c r="E988" s="2317">
        <v>6.7693</v>
      </c>
      <c r="F988" s="2306" t="s">
        <v>3214</v>
      </c>
      <c r="G988" s="2307"/>
      <c r="H988" s="2308"/>
      <c r="I988" s="1595"/>
      <c r="J988" s="2314" t="s">
        <v>1428</v>
      </c>
      <c r="K988" s="2315" t="s">
        <v>712</v>
      </c>
      <c r="L988" s="2314" t="s">
        <v>1428</v>
      </c>
      <c r="M988" s="2311">
        <f>46/E988/1.13*1.1</f>
        <v>6.61497659461789</v>
      </c>
      <c r="N988" s="1596">
        <v>16.25</v>
      </c>
      <c r="O988" s="2312">
        <f t="shared" si="119"/>
        <v>3.32382964265138</v>
      </c>
      <c r="P988" s="2312"/>
      <c r="Q988" s="2312">
        <f t="shared" si="118"/>
        <v>0</v>
      </c>
      <c r="R988" s="2313"/>
      <c r="S988" s="266"/>
    </row>
    <row r="989" s="1936" customFormat="1" ht="16" hidden="1" customHeight="1" spans="1:29">
      <c r="A989" s="1936">
        <v>1</v>
      </c>
      <c r="B989" s="2303"/>
      <c r="C989" s="2304"/>
      <c r="D989" s="2305">
        <v>46176</v>
      </c>
      <c r="E989" s="1595">
        <v>6.75</v>
      </c>
      <c r="F989" s="2306" t="s">
        <v>3215</v>
      </c>
      <c r="G989" s="2307" t="s">
        <v>1667</v>
      </c>
      <c r="H989" s="2308"/>
      <c r="I989" s="1595"/>
      <c r="J989" s="2306" t="s">
        <v>1428</v>
      </c>
      <c r="K989" s="2318" t="s">
        <v>712</v>
      </c>
      <c r="L989" s="2319" t="s">
        <v>1428</v>
      </c>
      <c r="M989" s="2311">
        <f>47.13/E989/1.13*1.05</f>
        <v>6.48790560471977</v>
      </c>
      <c r="N989" s="2311">
        <f>15.85*1.05</f>
        <v>16.6425</v>
      </c>
      <c r="O989" s="2312">
        <f t="shared" si="119"/>
        <v>3.33333333333333</v>
      </c>
      <c r="P989" s="2312"/>
      <c r="Q989" s="2312">
        <f t="shared" si="118"/>
        <v>0</v>
      </c>
      <c r="R989" s="2313"/>
      <c r="S989" s="651"/>
      <c r="X989" s="2320"/>
      <c r="AC989" s="2320"/>
    </row>
    <row r="990" s="1936" customFormat="1" ht="16" hidden="1" customHeight="1" spans="1:29">
      <c r="B990" s="2303"/>
      <c r="C990" s="2304"/>
      <c r="D990" s="2305"/>
      <c r="E990" s="1595">
        <v>6.78</v>
      </c>
      <c r="F990" s="2306" t="s">
        <v>3216</v>
      </c>
      <c r="G990" s="2307"/>
      <c r="H990" s="2308"/>
      <c r="I990" s="1595"/>
      <c r="J990" s="2314" t="s">
        <v>1428</v>
      </c>
      <c r="K990" s="2315" t="s">
        <v>712</v>
      </c>
      <c r="L990" s="2314" t="s">
        <v>1428</v>
      </c>
      <c r="M990" s="2311">
        <f>52/E990/1.13*1.05</f>
        <v>7.12663481870154</v>
      </c>
      <c r="N990" s="2311">
        <v>21</v>
      </c>
      <c r="O990" s="2312">
        <f t="shared" si="119"/>
        <v>3.31858407079646</v>
      </c>
      <c r="P990" s="2312"/>
      <c r="Q990" s="2312">
        <f t="shared" si="118"/>
        <v>0</v>
      </c>
      <c r="R990" s="2313"/>
      <c r="S990" s="651"/>
      <c r="X990" s="2320"/>
      <c r="AC990" s="2320"/>
    </row>
    <row r="991" s="1936" customFormat="1" ht="16" hidden="1" customHeight="1" spans="1:29">
      <c r="B991" s="2303"/>
      <c r="C991" s="2304"/>
      <c r="D991" s="2305" t="s">
        <v>3219</v>
      </c>
      <c r="E991" s="1595">
        <v>6.75</v>
      </c>
      <c r="F991" s="2306" t="s">
        <v>3220</v>
      </c>
      <c r="G991" s="2321"/>
      <c r="H991" s="2322"/>
      <c r="I991" s="2323"/>
      <c r="J991" s="2324" t="s">
        <v>3221</v>
      </c>
      <c r="K991" s="2325">
        <f>310/E991</f>
        <v>45.9259259259259</v>
      </c>
      <c r="L991" s="2325">
        <f>27.5/E991/1.13</f>
        <v>3.60537528679122</v>
      </c>
      <c r="M991" s="2326">
        <f>40/E991/1.13</f>
        <v>5.24418223533268</v>
      </c>
      <c r="N991" s="2326">
        <v>14.5</v>
      </c>
      <c r="O991" s="2326">
        <f t="shared" si="119"/>
        <v>3.33333333333333</v>
      </c>
      <c r="P991" s="2326"/>
      <c r="Q991" s="2326">
        <f>SUBTOTAL(109,K991:O991)</f>
        <v>0</v>
      </c>
      <c r="R991" s="315" t="s">
        <v>3222</v>
      </c>
      <c r="S991" s="651"/>
      <c r="X991" s="2320"/>
      <c r="AC991" s="2320"/>
    </row>
    <row r="992" s="1936" customFormat="1" ht="16" hidden="1" customHeight="1" spans="1:29">
      <c r="B992" s="2303"/>
      <c r="C992" s="2304"/>
      <c r="D992" s="2305" t="s">
        <v>3223</v>
      </c>
      <c r="E992" s="1595">
        <v>6.75</v>
      </c>
      <c r="F992" s="2306" t="s">
        <v>3220</v>
      </c>
      <c r="G992" s="2321"/>
      <c r="H992" s="2322"/>
      <c r="I992" s="2323"/>
      <c r="J992" s="2324" t="s">
        <v>3224</v>
      </c>
      <c r="K992" s="2325">
        <f>300/E992</f>
        <v>44.4444444444444</v>
      </c>
      <c r="L992" s="2325">
        <f>33.8/E992/1.13</f>
        <v>4.43133398885611</v>
      </c>
      <c r="M992" s="2326">
        <f>46/E992/1.13</f>
        <v>6.03080957063258</v>
      </c>
      <c r="N992" s="2326">
        <v>16.3</v>
      </c>
      <c r="O992" s="2326">
        <f t="shared" si="119"/>
        <v>3.33333333333333</v>
      </c>
      <c r="P992" s="2326"/>
      <c r="Q992" s="2326">
        <f>SUBTOTAL(109,K992:O992)</f>
        <v>0</v>
      </c>
      <c r="R992" s="315" t="s">
        <v>3225</v>
      </c>
      <c r="S992" s="651"/>
      <c r="X992" s="2320"/>
      <c r="AC992" s="2320"/>
    </row>
    <row r="993" s="1936" customFormat="1" ht="16" customHeight="1" spans="1:1024 1025:16383">
      <c r="B993" s="2303"/>
      <c r="C993" s="2304"/>
      <c r="D993" s="2327" t="s">
        <v>3305</v>
      </c>
      <c r="E993" s="2328">
        <v>6.75</v>
      </c>
      <c r="F993" s="2329"/>
      <c r="G993" s="2330"/>
      <c r="H993" s="2331"/>
      <c r="I993" s="2328"/>
      <c r="J993" s="2332"/>
      <c r="K993" s="2333">
        <f>310/E993</f>
        <v>45.9259259259259</v>
      </c>
      <c r="L993" s="2333">
        <f>27.5/E993/1.13</f>
        <v>3.60537528679122</v>
      </c>
      <c r="M993" s="2334">
        <v>4.84</v>
      </c>
      <c r="N993" s="2334">
        <v>14.1</v>
      </c>
      <c r="O993" s="2334">
        <f t="shared" si="119"/>
        <v>3.33333333333333</v>
      </c>
      <c r="P993" s="2334">
        <v>2.25</v>
      </c>
      <c r="Q993" s="2334">
        <f>P993+O993+N993+M993+L993+K993</f>
        <v>74.0546345460505</v>
      </c>
      <c r="R993" s="315" t="s">
        <v>3306</v>
      </c>
      <c r="S993" s="651"/>
      <c r="X993" s="2320"/>
      <c r="AC993" s="2320"/>
    </row>
    <row r="994" s="1936" customFormat="1" ht="20" customHeight="1" spans="1:1024 1025:16383">
      <c r="A994" s="2335"/>
      <c r="B994" s="2303"/>
      <c r="C994" s="2304"/>
      <c r="D994" s="2327" t="s">
        <v>3219</v>
      </c>
      <c r="E994" s="2328">
        <v>6.75</v>
      </c>
      <c r="F994" s="2329" t="s">
        <v>3220</v>
      </c>
      <c r="G994" s="2330"/>
      <c r="H994" s="2331"/>
      <c r="I994" s="2328"/>
      <c r="J994" s="2336" t="s">
        <v>1428</v>
      </c>
      <c r="K994" s="2333">
        <f>310/E994</f>
        <v>45.9259259259259</v>
      </c>
      <c r="L994" s="2333">
        <f>27.5/E994/1.13</f>
        <v>3.60537528679122</v>
      </c>
      <c r="M994" s="2334">
        <f>40/E994/1.13</f>
        <v>5.24418223533268</v>
      </c>
      <c r="N994" s="2334">
        <v>14.5</v>
      </c>
      <c r="O994" s="2334">
        <f t="shared" si="119"/>
        <v>3.33333333333333</v>
      </c>
      <c r="P994" s="2334">
        <v>2.19</v>
      </c>
      <c r="Q994" s="2334">
        <f>P994+O994+N994+M994+L994+K994</f>
        <v>74.7988167813832</v>
      </c>
      <c r="R994" s="315" t="s">
        <v>3222</v>
      </c>
      <c r="S994" s="651"/>
      <c r="T994" s="2335"/>
      <c r="U994" s="2335"/>
      <c r="V994" s="2335"/>
      <c r="W994" s="2335"/>
      <c r="X994" s="2337"/>
      <c r="Y994" s="2335"/>
      <c r="Z994" s="2335"/>
      <c r="AA994" s="2335"/>
      <c r="AB994" s="2335"/>
      <c r="AC994" s="2337"/>
      <c r="AD994" s="2335"/>
      <c r="AE994" s="2335"/>
      <c r="AF994" s="2335"/>
      <c r="AG994" s="2335"/>
      <c r="AH994" s="2335"/>
      <c r="AI994" s="2335"/>
      <c r="AJ994" s="2335"/>
      <c r="AK994" s="2335"/>
      <c r="AL994" s="2335"/>
      <c r="AM994" s="2335"/>
      <c r="AN994" s="2335"/>
      <c r="AO994" s="2335"/>
      <c r="AP994" s="2335"/>
      <c r="AQ994" s="2335"/>
      <c r="AR994" s="2335"/>
      <c r="AS994" s="2335"/>
      <c r="AT994" s="2335"/>
      <c r="AU994" s="2335"/>
      <c r="AV994" s="2335"/>
      <c r="AW994" s="2335"/>
      <c r="AX994" s="2335"/>
      <c r="AY994" s="2335"/>
      <c r="AZ994" s="2335"/>
      <c r="BA994" s="2335"/>
      <c r="BB994" s="2335"/>
      <c r="BC994" s="2335"/>
      <c r="BD994" s="2335"/>
      <c r="BE994" s="2335"/>
      <c r="BF994" s="2335"/>
      <c r="BG994" s="2335"/>
      <c r="BH994" s="2335"/>
      <c r="BI994" s="2335"/>
      <c r="BJ994" s="2335"/>
      <c r="BK994" s="2335"/>
      <c r="BL994" s="2335"/>
      <c r="BM994" s="2335"/>
      <c r="BN994" s="2335"/>
      <c r="BO994" s="2335"/>
      <c r="BP994" s="2335"/>
      <c r="BQ994" s="2335"/>
      <c r="BR994" s="2335"/>
      <c r="BS994" s="2335"/>
      <c r="BT994" s="2335"/>
      <c r="BU994" s="2335"/>
      <c r="BV994" s="2335"/>
      <c r="BW994" s="2335"/>
      <c r="BX994" s="2335"/>
      <c r="BY994" s="2335"/>
      <c r="BZ994" s="2335"/>
      <c r="CA994" s="2335"/>
      <c r="CB994" s="2335"/>
      <c r="CC994" s="2335"/>
      <c r="CD994" s="2335"/>
      <c r="CE994" s="2335"/>
      <c r="CF994" s="2335"/>
      <c r="CG994" s="2335"/>
      <c r="CH994" s="2335"/>
      <c r="CI994" s="2335"/>
      <c r="CJ994" s="2335"/>
      <c r="CK994" s="2335"/>
      <c r="CL994" s="2335"/>
      <c r="CM994" s="2335"/>
      <c r="CN994" s="2335"/>
      <c r="CO994" s="2335"/>
      <c r="CP994" s="2335"/>
      <c r="CQ994" s="2335"/>
      <c r="CR994" s="2335"/>
      <c r="CS994" s="2335"/>
      <c r="CT994" s="2335"/>
      <c r="CU994" s="2335"/>
      <c r="CV994" s="2335"/>
      <c r="CW994" s="2335"/>
      <c r="CX994" s="2335"/>
      <c r="CY994" s="2335"/>
      <c r="CZ994" s="2335"/>
      <c r="DA994" s="2335"/>
      <c r="DB994" s="2335"/>
      <c r="DC994" s="2335"/>
      <c r="DD994" s="2335"/>
      <c r="DE994" s="2335"/>
      <c r="DF994" s="2335"/>
      <c r="DG994" s="2335"/>
      <c r="DH994" s="2335"/>
      <c r="DI994" s="2335"/>
      <c r="DJ994" s="2335"/>
      <c r="DK994" s="2335"/>
      <c r="DL994" s="2335"/>
      <c r="DM994" s="2335"/>
      <c r="DN994" s="2335"/>
      <c r="DO994" s="2335"/>
      <c r="DP994" s="2335"/>
      <c r="DQ994" s="2335"/>
      <c r="DR994" s="2335"/>
      <c r="DS994" s="2335"/>
      <c r="DT994" s="2335"/>
      <c r="DU994" s="2335"/>
      <c r="DV994" s="2335"/>
      <c r="DW994" s="2335"/>
      <c r="DX994" s="2335"/>
      <c r="DY994" s="2335"/>
      <c r="DZ994" s="2335"/>
      <c r="EA994" s="2335"/>
      <c r="EB994" s="2335"/>
      <c r="EC994" s="2335"/>
      <c r="ED994" s="2335"/>
      <c r="EE994" s="2335"/>
      <c r="EF994" s="2335"/>
      <c r="EG994" s="2335"/>
      <c r="EH994" s="2335"/>
      <c r="EI994" s="2335"/>
      <c r="EJ994" s="2335"/>
      <c r="EK994" s="2335"/>
      <c r="EL994" s="2335"/>
      <c r="EM994" s="2335"/>
      <c r="EN994" s="2335"/>
      <c r="EO994" s="2335"/>
      <c r="EP994" s="2335"/>
      <c r="EQ994" s="2335"/>
      <c r="ER994" s="2335"/>
      <c r="ES994" s="2335"/>
      <c r="ET994" s="2335"/>
      <c r="EU994" s="2335"/>
      <c r="EV994" s="2335"/>
      <c r="EW994" s="2335"/>
      <c r="EX994" s="2335"/>
      <c r="EY994" s="2335"/>
      <c r="EZ994" s="2335"/>
      <c r="FA994" s="2335"/>
      <c r="FB994" s="2335"/>
      <c r="FC994" s="2335"/>
      <c r="FD994" s="2335"/>
      <c r="FE994" s="2335"/>
      <c r="FF994" s="2335"/>
      <c r="FG994" s="2335"/>
      <c r="FH994" s="2335"/>
      <c r="FI994" s="2335"/>
      <c r="FJ994" s="2335"/>
      <c r="FK994" s="2335"/>
      <c r="FL994" s="2335"/>
      <c r="FM994" s="2335"/>
      <c r="FN994" s="2335"/>
      <c r="FO994" s="2335"/>
      <c r="FP994" s="2335"/>
      <c r="FQ994" s="2335"/>
      <c r="FR994" s="2335"/>
      <c r="FS994" s="2335"/>
      <c r="FT994" s="2335"/>
      <c r="FU994" s="2335"/>
      <c r="FV994" s="2335"/>
      <c r="FW994" s="2335"/>
      <c r="FX994" s="2335"/>
      <c r="FY994" s="2335"/>
      <c r="FZ994" s="2335"/>
      <c r="GA994" s="2335"/>
      <c r="GB994" s="2335"/>
      <c r="GC994" s="2335"/>
      <c r="GD994" s="2335"/>
      <c r="GE994" s="2335"/>
      <c r="GF994" s="2335"/>
      <c r="GG994" s="2335"/>
      <c r="GH994" s="2335"/>
      <c r="GI994" s="2335"/>
      <c r="GJ994" s="2335"/>
      <c r="GK994" s="2335"/>
      <c r="GL994" s="2335"/>
      <c r="GM994" s="2335"/>
      <c r="GN994" s="2335"/>
      <c r="GO994" s="2335"/>
      <c r="GP994" s="2335"/>
      <c r="GQ994" s="2335"/>
      <c r="GR994" s="2335"/>
      <c r="GS994" s="2335"/>
      <c r="GT994" s="2335"/>
      <c r="GU994" s="2335"/>
      <c r="GV994" s="2335"/>
      <c r="GW994" s="2335"/>
      <c r="GX994" s="2335"/>
      <c r="GY994" s="2335"/>
      <c r="GZ994" s="2335"/>
      <c r="HA994" s="2335"/>
      <c r="HB994" s="2335"/>
      <c r="HC994" s="2335"/>
      <c r="HD994" s="2335"/>
      <c r="HE994" s="2335"/>
      <c r="HF994" s="2335"/>
      <c r="HG994" s="2335"/>
      <c r="HH994" s="2335"/>
      <c r="HI994" s="2335"/>
      <c r="HJ994" s="2335"/>
      <c r="HK994" s="2335"/>
      <c r="HL994" s="2335"/>
      <c r="HM994" s="2335"/>
      <c r="HN994" s="2335"/>
      <c r="HO994" s="2335"/>
      <c r="HP994" s="2335"/>
      <c r="HQ994" s="2335"/>
      <c r="HR994" s="2335"/>
      <c r="HS994" s="2335"/>
      <c r="HT994" s="2335"/>
      <c r="HU994" s="2335"/>
      <c r="HV994" s="2335"/>
      <c r="HW994" s="2335"/>
      <c r="HX994" s="2335"/>
      <c r="HY994" s="2335"/>
      <c r="HZ994" s="2335"/>
      <c r="IA994" s="2335"/>
      <c r="IB994" s="2335"/>
      <c r="IC994" s="2335"/>
      <c r="ID994" s="2335"/>
      <c r="IE994" s="2335"/>
      <c r="IF994" s="2335"/>
      <c r="IG994" s="2335"/>
      <c r="IH994" s="2335"/>
      <c r="II994" s="2335"/>
      <c r="IJ994" s="2335"/>
      <c r="IK994" s="2335"/>
      <c r="IL994" s="2335"/>
      <c r="IM994" s="2335"/>
      <c r="IN994" s="2335"/>
      <c r="IO994" s="2335"/>
      <c r="IP994" s="2335"/>
      <c r="IQ994" s="2335"/>
      <c r="IR994" s="2335"/>
      <c r="IS994" s="2335"/>
      <c r="IT994" s="2335"/>
      <c r="IU994" s="2335"/>
      <c r="IV994" s="2335"/>
      <c r="IW994" s="2335"/>
      <c r="IX994" s="2335"/>
      <c r="IY994" s="2335"/>
      <c r="IZ994" s="2335"/>
      <c r="JA994" s="2335"/>
      <c r="JB994" s="2335"/>
      <c r="JC994" s="2335"/>
      <c r="JD994" s="2335"/>
      <c r="JE994" s="2335"/>
      <c r="JF994" s="2335"/>
      <c r="JG994" s="2335"/>
      <c r="JH994" s="2335"/>
      <c r="JI994" s="2335"/>
      <c r="JJ994" s="2335"/>
      <c r="JK994" s="2335"/>
      <c r="JL994" s="2335"/>
      <c r="JM994" s="2335"/>
      <c r="JN994" s="2335"/>
      <c r="JO994" s="2335"/>
      <c r="JP994" s="2335"/>
      <c r="JQ994" s="2335"/>
      <c r="JR994" s="2335"/>
      <c r="JS994" s="2335"/>
      <c r="JT994" s="2335"/>
      <c r="JU994" s="2335"/>
      <c r="JV994" s="2335"/>
      <c r="JW994" s="2335"/>
      <c r="JX994" s="2335"/>
      <c r="JY994" s="2335"/>
      <c r="JZ994" s="2335"/>
      <c r="KA994" s="2335"/>
      <c r="KB994" s="2335"/>
      <c r="KC994" s="2335"/>
      <c r="KD994" s="2335"/>
      <c r="KE994" s="2335"/>
      <c r="KF994" s="2335"/>
      <c r="KG994" s="2335"/>
      <c r="KH994" s="2335"/>
      <c r="KI994" s="2335"/>
      <c r="KJ994" s="2335"/>
      <c r="KK994" s="2335"/>
      <c r="KL994" s="2335"/>
      <c r="KM994" s="2335"/>
      <c r="KN994" s="2335"/>
      <c r="KO994" s="2335"/>
      <c r="KP994" s="2335"/>
      <c r="KQ994" s="2335"/>
      <c r="KR994" s="2335"/>
      <c r="KS994" s="2335"/>
      <c r="KT994" s="2335"/>
      <c r="KU994" s="2335"/>
      <c r="KV994" s="2335"/>
      <c r="KW994" s="2335"/>
      <c r="KX994" s="2335"/>
      <c r="KY994" s="2335"/>
      <c r="KZ994" s="2335"/>
      <c r="LA994" s="2335"/>
      <c r="LB994" s="2335"/>
      <c r="LC994" s="2335"/>
      <c r="LD994" s="2335"/>
      <c r="LE994" s="2335"/>
      <c r="LF994" s="2335"/>
      <c r="LG994" s="2335"/>
      <c r="LH994" s="2335"/>
      <c r="LI994" s="2335"/>
      <c r="LJ994" s="2335"/>
      <c r="LK994" s="2335"/>
      <c r="LL994" s="2335"/>
      <c r="LM994" s="2335"/>
      <c r="LN994" s="2335"/>
      <c r="LO994" s="2335"/>
      <c r="LP994" s="2335"/>
      <c r="LQ994" s="2335"/>
      <c r="LR994" s="2335"/>
      <c r="LS994" s="2335"/>
      <c r="LT994" s="2335"/>
      <c r="LU994" s="2335"/>
      <c r="LV994" s="2335"/>
      <c r="LW994" s="2335"/>
      <c r="LX994" s="2335"/>
      <c r="LY994" s="2335"/>
      <c r="LZ994" s="2335"/>
      <c r="MA994" s="2335"/>
      <c r="MB994" s="2335"/>
      <c r="MC994" s="2335"/>
      <c r="MD994" s="2335"/>
      <c r="ME994" s="2335"/>
      <c r="MF994" s="2335"/>
      <c r="MG994" s="2335"/>
      <c r="MH994" s="2335"/>
      <c r="MI994" s="2335"/>
      <c r="MJ994" s="2335"/>
      <c r="MK994" s="2335"/>
      <c r="ML994" s="2335"/>
      <c r="MM994" s="2335"/>
      <c r="MN994" s="2335"/>
      <c r="MO994" s="2335"/>
      <c r="MP994" s="2335"/>
      <c r="MQ994" s="2335"/>
      <c r="MR994" s="2335"/>
      <c r="MS994" s="2335"/>
      <c r="MT994" s="2335"/>
      <c r="MU994" s="2335"/>
      <c r="MV994" s="2335"/>
      <c r="MW994" s="2335"/>
      <c r="MX994" s="2335"/>
      <c r="MY994" s="2335"/>
      <c r="MZ994" s="2335"/>
      <c r="NA994" s="2335"/>
      <c r="NB994" s="2335"/>
      <c r="NC994" s="2335"/>
      <c r="ND994" s="2335"/>
      <c r="NE994" s="2335"/>
      <c r="NF994" s="2335"/>
      <c r="NG994" s="2335"/>
      <c r="NH994" s="2335"/>
      <c r="NI994" s="2335"/>
      <c r="NJ994" s="2335"/>
      <c r="NK994" s="2335"/>
      <c r="NL994" s="2335"/>
      <c r="NM994" s="2335"/>
      <c r="NN994" s="2335"/>
      <c r="NO994" s="2335"/>
      <c r="NP994" s="2335"/>
      <c r="NQ994" s="2335"/>
      <c r="NR994" s="2335"/>
      <c r="NS994" s="2335"/>
      <c r="NT994" s="2335"/>
      <c r="NU994" s="2335"/>
      <c r="NV994" s="2335"/>
      <c r="NW994" s="2335"/>
      <c r="NX994" s="2335"/>
      <c r="NY994" s="2335"/>
      <c r="NZ994" s="2335"/>
      <c r="OA994" s="2335"/>
      <c r="OB994" s="2335"/>
      <c r="OC994" s="2335"/>
      <c r="OD994" s="2335"/>
      <c r="OE994" s="2335"/>
      <c r="OF994" s="2335"/>
      <c r="OG994" s="2335"/>
      <c r="OH994" s="2335"/>
      <c r="OI994" s="2335"/>
      <c r="OJ994" s="2335"/>
      <c r="OK994" s="2335"/>
      <c r="OL994" s="2335"/>
      <c r="OM994" s="2335"/>
      <c r="ON994" s="2335"/>
      <c r="OO994" s="2335"/>
      <c r="OP994" s="2335"/>
      <c r="OQ994" s="2335"/>
      <c r="OR994" s="2335"/>
      <c r="OS994" s="2335"/>
      <c r="OT994" s="2335"/>
      <c r="OU994" s="2335"/>
      <c r="OV994" s="2335"/>
      <c r="OW994" s="2335"/>
      <c r="OX994" s="2335"/>
      <c r="OY994" s="2335"/>
      <c r="OZ994" s="2335"/>
      <c r="PA994" s="2335"/>
      <c r="PB994" s="2335"/>
      <c r="PC994" s="2335"/>
      <c r="PD994" s="2335"/>
      <c r="PE994" s="2335"/>
      <c r="PF994" s="2335"/>
      <c r="PG994" s="2335"/>
      <c r="PH994" s="2335"/>
      <c r="PI994" s="2335"/>
      <c r="PJ994" s="2335"/>
      <c r="PK994" s="2335"/>
      <c r="PL994" s="2335"/>
      <c r="PM994" s="2335"/>
      <c r="PN994" s="2335"/>
      <c r="PO994" s="2335"/>
      <c r="PP994" s="2335"/>
      <c r="PQ994" s="2335"/>
      <c r="PR994" s="2335"/>
      <c r="PS994" s="2335"/>
      <c r="PT994" s="2335"/>
      <c r="PU994" s="2335"/>
      <c r="PV994" s="2335"/>
      <c r="PW994" s="2335"/>
      <c r="PX994" s="2335"/>
      <c r="PY994" s="2335"/>
      <c r="PZ994" s="2335"/>
      <c r="QA994" s="2335"/>
      <c r="QB994" s="2335"/>
      <c r="QC994" s="2335"/>
      <c r="QD994" s="2335"/>
      <c r="QE994" s="2335"/>
      <c r="QF994" s="2335"/>
      <c r="QG994" s="2335"/>
      <c r="QH994" s="2335"/>
      <c r="QI994" s="2335"/>
      <c r="QJ994" s="2335"/>
      <c r="QK994" s="2335"/>
      <c r="QL994" s="2335"/>
      <c r="QM994" s="2335"/>
      <c r="QN994" s="2335"/>
      <c r="QO994" s="2335"/>
      <c r="QP994" s="2335"/>
      <c r="QQ994" s="2335"/>
      <c r="QR994" s="2335"/>
      <c r="QS994" s="2335"/>
      <c r="QT994" s="2335"/>
      <c r="QU994" s="2335"/>
      <c r="QV994" s="2335"/>
      <c r="QW994" s="2335"/>
      <c r="QX994" s="2335"/>
      <c r="QY994" s="2335"/>
      <c r="QZ994" s="2335"/>
      <c r="RA994" s="2335"/>
      <c r="RB994" s="2335"/>
      <c r="RC994" s="2335"/>
      <c r="RD994" s="2335"/>
      <c r="RE994" s="2335"/>
      <c r="RF994" s="2335"/>
      <c r="RG994" s="2335"/>
      <c r="RH994" s="2335"/>
      <c r="RI994" s="2335"/>
      <c r="RJ994" s="2335"/>
      <c r="RK994" s="2335"/>
      <c r="RL994" s="2335"/>
      <c r="RM994" s="2335"/>
      <c r="RN994" s="2335"/>
      <c r="RO994" s="2335"/>
      <c r="RP994" s="2335"/>
      <c r="RQ994" s="2335"/>
      <c r="RR994" s="2335"/>
      <c r="RS994" s="2335"/>
      <c r="RT994" s="2335"/>
      <c r="RU994" s="2335"/>
      <c r="RV994" s="2335"/>
      <c r="RW994" s="2335"/>
      <c r="RX994" s="2335"/>
      <c r="RY994" s="2335"/>
      <c r="RZ994" s="2335"/>
      <c r="SA994" s="2335"/>
      <c r="SB994" s="2335"/>
      <c r="SC994" s="2335"/>
      <c r="SD994" s="2335"/>
      <c r="SE994" s="2335"/>
      <c r="SF994" s="2335"/>
      <c r="SG994" s="2335"/>
      <c r="SH994" s="2335"/>
      <c r="SI994" s="2335"/>
      <c r="SJ994" s="2335"/>
      <c r="SK994" s="2335"/>
      <c r="SL994" s="2335"/>
      <c r="SM994" s="2335"/>
      <c r="SN994" s="2335"/>
      <c r="SO994" s="2335"/>
      <c r="SP994" s="2335"/>
      <c r="SQ994" s="2335"/>
      <c r="SR994" s="2335"/>
      <c r="SS994" s="2335"/>
      <c r="ST994" s="2335"/>
      <c r="SU994" s="2335"/>
      <c r="SV994" s="2335"/>
      <c r="SW994" s="2335"/>
      <c r="SX994" s="2335"/>
      <c r="SY994" s="2335"/>
      <c r="SZ994" s="2335"/>
      <c r="TA994" s="2335"/>
      <c r="TB994" s="2335"/>
      <c r="TC994" s="2335"/>
      <c r="TD994" s="2335"/>
      <c r="TE994" s="2335"/>
      <c r="TF994" s="2335"/>
      <c r="TG994" s="2335"/>
      <c r="TH994" s="2335"/>
      <c r="TI994" s="2335"/>
      <c r="TJ994" s="2335"/>
      <c r="TK994" s="2335"/>
      <c r="TL994" s="2335"/>
      <c r="TM994" s="2335"/>
      <c r="TN994" s="2335"/>
      <c r="TO994" s="2335"/>
      <c r="TP994" s="2335"/>
      <c r="TQ994" s="2335"/>
      <c r="TR994" s="2335"/>
      <c r="TS994" s="2335"/>
      <c r="TT994" s="2335"/>
      <c r="TU994" s="2335"/>
      <c r="TV994" s="2335"/>
      <c r="TW994" s="2335"/>
      <c r="TX994" s="2335"/>
      <c r="TY994" s="2335"/>
      <c r="TZ994" s="2335"/>
      <c r="UA994" s="2335"/>
      <c r="UB994" s="2335"/>
      <c r="UC994" s="2335"/>
      <c r="UD994" s="2335"/>
      <c r="UE994" s="2335"/>
      <c r="UF994" s="2335"/>
      <c r="UG994" s="2335"/>
      <c r="UH994" s="2335"/>
      <c r="UI994" s="2335"/>
      <c r="UJ994" s="2335"/>
      <c r="UK994" s="2335"/>
      <c r="UL994" s="2335"/>
      <c r="UM994" s="2335"/>
      <c r="UN994" s="2335"/>
      <c r="UO994" s="2335"/>
      <c r="UP994" s="2335"/>
      <c r="UQ994" s="2335"/>
      <c r="UR994" s="2335"/>
      <c r="US994" s="2335"/>
      <c r="UT994" s="2335"/>
      <c r="UU994" s="2335"/>
      <c r="UV994" s="2335"/>
      <c r="UW994" s="2335"/>
      <c r="UX994" s="2335"/>
      <c r="UY994" s="2335"/>
      <c r="UZ994" s="2335"/>
      <c r="VA994" s="2335"/>
      <c r="VB994" s="2335"/>
      <c r="VC994" s="2335"/>
      <c r="VD994" s="2335"/>
      <c r="VE994" s="2335"/>
      <c r="VF994" s="2335"/>
      <c r="VG994" s="2335"/>
      <c r="VH994" s="2335"/>
      <c r="VI994" s="2335"/>
      <c r="VJ994" s="2335"/>
      <c r="VK994" s="2335"/>
      <c r="VL994" s="2335"/>
      <c r="VM994" s="2335"/>
      <c r="VN994" s="2335"/>
      <c r="VO994" s="2335"/>
      <c r="VP994" s="2335"/>
      <c r="VQ994" s="2335"/>
      <c r="VR994" s="2335"/>
      <c r="VS994" s="2335"/>
      <c r="VT994" s="2335"/>
      <c r="VU994" s="2335"/>
      <c r="VV994" s="2335"/>
      <c r="VW994" s="2335"/>
      <c r="VX994" s="2335"/>
      <c r="VY994" s="2335"/>
      <c r="VZ994" s="2335"/>
      <c r="WA994" s="2335"/>
      <c r="WB994" s="2335"/>
      <c r="WC994" s="2335"/>
      <c r="WD994" s="2335"/>
      <c r="WE994" s="2335"/>
      <c r="WF994" s="2335"/>
      <c r="WG994" s="2335"/>
      <c r="WH994" s="2335"/>
      <c r="WI994" s="2335"/>
      <c r="WJ994" s="2335"/>
      <c r="WK994" s="2335"/>
      <c r="WL994" s="2335"/>
      <c r="WM994" s="2335"/>
      <c r="WN994" s="2335"/>
      <c r="WO994" s="2335"/>
      <c r="WP994" s="2335"/>
      <c r="WQ994" s="2335"/>
      <c r="WR994" s="2335"/>
      <c r="WS994" s="2335"/>
      <c r="WT994" s="2335"/>
      <c r="WU994" s="2335"/>
      <c r="WV994" s="2335"/>
      <c r="WW994" s="2335"/>
      <c r="WX994" s="2335"/>
      <c r="WY994" s="2335"/>
      <c r="WZ994" s="2335"/>
      <c r="XA994" s="2335"/>
      <c r="XB994" s="2335"/>
      <c r="XC994" s="2335"/>
      <c r="XD994" s="2335"/>
      <c r="XE994" s="2335"/>
      <c r="XF994" s="2335"/>
      <c r="XG994" s="2335"/>
      <c r="XH994" s="2335"/>
      <c r="XI994" s="2335"/>
      <c r="XJ994" s="2335"/>
      <c r="XK994" s="2335"/>
      <c r="XL994" s="2335"/>
      <c r="XM994" s="2335"/>
      <c r="XN994" s="2335"/>
      <c r="XO994" s="2335"/>
      <c r="XP994" s="2335"/>
      <c r="XQ994" s="2335"/>
      <c r="XR994" s="2335"/>
      <c r="XS994" s="2335"/>
      <c r="XT994" s="2335"/>
      <c r="XU994" s="2335"/>
      <c r="XV994" s="2335"/>
      <c r="XW994" s="2335"/>
      <c r="XX994" s="2335"/>
      <c r="XY994" s="2335"/>
      <c r="XZ994" s="2335"/>
      <c r="YA994" s="2335"/>
      <c r="YB994" s="2335"/>
      <c r="YC994" s="2335"/>
      <c r="YD994" s="2335"/>
      <c r="YE994" s="2335"/>
      <c r="YF994" s="2335"/>
      <c r="YG994" s="2335"/>
      <c r="YH994" s="2335"/>
      <c r="YI994" s="2335"/>
      <c r="YJ994" s="2335"/>
      <c r="YK994" s="2335"/>
      <c r="YL994" s="2335"/>
      <c r="YM994" s="2335"/>
      <c r="YN994" s="2335"/>
      <c r="YO994" s="2335"/>
      <c r="YP994" s="2335"/>
      <c r="YQ994" s="2335"/>
      <c r="YR994" s="2335"/>
      <c r="YS994" s="2335"/>
      <c r="YT994" s="2335"/>
      <c r="YU994" s="2335"/>
      <c r="YV994" s="2335"/>
      <c r="YW994" s="2335"/>
      <c r="YX994" s="2335"/>
      <c r="YY994" s="2335"/>
      <c r="YZ994" s="2335"/>
      <c r="ZA994" s="2335"/>
      <c r="ZB994" s="2335"/>
      <c r="ZC994" s="2335"/>
      <c r="ZD994" s="2335"/>
      <c r="ZE994" s="2335"/>
      <c r="ZF994" s="2335"/>
      <c r="ZG994" s="2335"/>
      <c r="ZH994" s="2335"/>
      <c r="ZI994" s="2335"/>
      <c r="ZJ994" s="2335"/>
      <c r="ZK994" s="2335"/>
      <c r="ZL994" s="2335"/>
      <c r="ZM994" s="2335"/>
      <c r="ZN994" s="2335"/>
      <c r="ZO994" s="2335"/>
      <c r="ZP994" s="2335"/>
      <c r="ZQ994" s="2335"/>
      <c r="ZR994" s="2335"/>
      <c r="ZS994" s="2335"/>
      <c r="ZT994" s="2335"/>
      <c r="ZU994" s="2335"/>
      <c r="ZV994" s="2335"/>
      <c r="ZW994" s="2335"/>
      <c r="ZX994" s="2335"/>
      <c r="ZY994" s="2335"/>
      <c r="ZZ994" s="2335"/>
      <c r="AAA994" s="2335"/>
      <c r="AAB994" s="2335"/>
      <c r="AAC994" s="2335"/>
      <c r="AAD994" s="2335"/>
      <c r="AAE994" s="2335"/>
      <c r="AAF994" s="2335"/>
      <c r="AAG994" s="2335"/>
      <c r="AAH994" s="2335"/>
      <c r="AAI994" s="2335"/>
      <c r="AAJ994" s="2335"/>
      <c r="AAK994" s="2335"/>
      <c r="AAL994" s="2335"/>
      <c r="AAM994" s="2335"/>
      <c r="AAN994" s="2335"/>
      <c r="AAO994" s="2335"/>
      <c r="AAP994" s="2335"/>
      <c r="AAQ994" s="2335"/>
      <c r="AAR994" s="2335"/>
      <c r="AAS994" s="2335"/>
      <c r="AAT994" s="2335"/>
      <c r="AAU994" s="2335"/>
      <c r="AAV994" s="2335"/>
      <c r="AAW994" s="2335"/>
      <c r="AAX994" s="2335"/>
      <c r="AAY994" s="2335"/>
      <c r="AAZ994" s="2335"/>
      <c r="ABA994" s="2335"/>
      <c r="ABB994" s="2335"/>
      <c r="ABC994" s="2335"/>
      <c r="ABD994" s="2335"/>
      <c r="ABE994" s="2335"/>
      <c r="ABF994" s="2335"/>
      <c r="ABG994" s="2335"/>
      <c r="ABH994" s="2335"/>
      <c r="ABI994" s="2335"/>
      <c r="ABJ994" s="2335"/>
      <c r="ABK994" s="2335"/>
      <c r="ABL994" s="2335"/>
      <c r="ABM994" s="2335"/>
      <c r="ABN994" s="2335"/>
      <c r="ABO994" s="2335"/>
      <c r="ABP994" s="2335"/>
      <c r="ABQ994" s="2335"/>
      <c r="ABR994" s="2335"/>
      <c r="ABS994" s="2335"/>
      <c r="ABT994" s="2335"/>
      <c r="ABU994" s="2335"/>
      <c r="ABV994" s="2335"/>
      <c r="ABW994" s="2335"/>
      <c r="ABX994" s="2335"/>
      <c r="ABY994" s="2335"/>
      <c r="ABZ994" s="2335"/>
      <c r="ACA994" s="2335"/>
      <c r="ACB994" s="2335"/>
      <c r="ACC994" s="2335"/>
      <c r="ACD994" s="2335"/>
      <c r="ACE994" s="2335"/>
      <c r="ACF994" s="2335"/>
      <c r="ACG994" s="2335"/>
      <c r="ACH994" s="2335"/>
      <c r="ACI994" s="2335"/>
      <c r="ACJ994" s="2335"/>
      <c r="ACK994" s="2335"/>
      <c r="ACL994" s="2335"/>
      <c r="ACM994" s="2335"/>
      <c r="ACN994" s="2335"/>
      <c r="ACO994" s="2335"/>
      <c r="ACP994" s="2335"/>
      <c r="ACQ994" s="2335"/>
      <c r="ACR994" s="2335"/>
      <c r="ACS994" s="2335"/>
      <c r="ACT994" s="2335"/>
      <c r="ACU994" s="2335"/>
      <c r="ACV994" s="2335"/>
      <c r="ACW994" s="2335"/>
      <c r="ACX994" s="2335"/>
      <c r="ACY994" s="2335"/>
      <c r="ACZ994" s="2335"/>
      <c r="ADA994" s="2335"/>
      <c r="ADB994" s="2335"/>
      <c r="ADC994" s="2335"/>
      <c r="ADD994" s="2335"/>
      <c r="ADE994" s="2335"/>
      <c r="ADF994" s="2335"/>
      <c r="ADG994" s="2335"/>
      <c r="ADH994" s="2335"/>
      <c r="ADI994" s="2335"/>
      <c r="ADJ994" s="2335"/>
      <c r="ADK994" s="2335"/>
      <c r="ADL994" s="2335"/>
      <c r="ADM994" s="2335"/>
      <c r="ADN994" s="2335"/>
      <c r="ADO994" s="2335"/>
      <c r="ADP994" s="2335"/>
      <c r="ADQ994" s="2335"/>
      <c r="ADR994" s="2335"/>
      <c r="ADS994" s="2335"/>
      <c r="ADT994" s="2335"/>
      <c r="ADU994" s="2335"/>
      <c r="ADV994" s="2335"/>
      <c r="ADW994" s="2335"/>
      <c r="ADX994" s="2335"/>
      <c r="ADY994" s="2335"/>
      <c r="ADZ994" s="2335"/>
      <c r="AEA994" s="2335"/>
      <c r="AEB994" s="2335"/>
      <c r="AEC994" s="2335"/>
      <c r="AED994" s="2335"/>
      <c r="AEE994" s="2335"/>
      <c r="AEF994" s="2335"/>
      <c r="AEG994" s="2335"/>
      <c r="AEH994" s="2335"/>
      <c r="AEI994" s="2335"/>
      <c r="AEJ994" s="2335"/>
      <c r="AEK994" s="2335"/>
      <c r="AEL994" s="2335"/>
      <c r="AEM994" s="2335"/>
      <c r="AEN994" s="2335"/>
      <c r="AEO994" s="2335"/>
      <c r="AEP994" s="2335"/>
      <c r="AEQ994" s="2335"/>
      <c r="AER994" s="2335"/>
      <c r="AES994" s="2335"/>
      <c r="AET994" s="2335"/>
      <c r="AEU994" s="2335"/>
      <c r="AEV994" s="2335"/>
      <c r="AEW994" s="2335"/>
      <c r="AEX994" s="2335"/>
      <c r="AEY994" s="2335"/>
      <c r="AEZ994" s="2335"/>
      <c r="AFA994" s="2335"/>
      <c r="AFB994" s="2335"/>
      <c r="AFC994" s="2335"/>
      <c r="AFD994" s="2335"/>
      <c r="AFE994" s="2335"/>
      <c r="AFF994" s="2335"/>
      <c r="AFG994" s="2335"/>
      <c r="AFH994" s="2335"/>
      <c r="AFI994" s="2335"/>
      <c r="AFJ994" s="2335"/>
      <c r="AFK994" s="2335"/>
      <c r="AFL994" s="2335"/>
      <c r="AFM994" s="2335"/>
      <c r="AFN994" s="2335"/>
      <c r="AFO994" s="2335"/>
      <c r="AFP994" s="2335"/>
      <c r="AFQ994" s="2335"/>
      <c r="AFR994" s="2335"/>
      <c r="AFS994" s="2335"/>
      <c r="AFT994" s="2335"/>
      <c r="AFU994" s="2335"/>
      <c r="AFV994" s="2335"/>
      <c r="AFW994" s="2335"/>
      <c r="AFX994" s="2335"/>
      <c r="AFY994" s="2335"/>
      <c r="AFZ994" s="2335"/>
      <c r="AGA994" s="2335"/>
      <c r="AGB994" s="2335"/>
      <c r="AGC994" s="2335"/>
      <c r="AGD994" s="2335"/>
      <c r="AGE994" s="2335"/>
      <c r="AGF994" s="2335"/>
      <c r="AGG994" s="2335"/>
      <c r="AGH994" s="2335"/>
      <c r="AGI994" s="2335"/>
      <c r="AGJ994" s="2335"/>
      <c r="AGK994" s="2335"/>
      <c r="AGL994" s="2335"/>
      <c r="AGM994" s="2335"/>
      <c r="AGN994" s="2335"/>
      <c r="AGO994" s="2335"/>
      <c r="AGP994" s="2335"/>
      <c r="AGQ994" s="2335"/>
      <c r="AGR994" s="2335"/>
      <c r="AGS994" s="2335"/>
      <c r="AGT994" s="2335"/>
      <c r="AGU994" s="2335"/>
      <c r="AGV994" s="2335"/>
      <c r="AGW994" s="2335"/>
      <c r="AGX994" s="2335"/>
      <c r="AGY994" s="2335"/>
      <c r="AGZ994" s="2335"/>
      <c r="AHA994" s="2335"/>
      <c r="AHB994" s="2335"/>
      <c r="AHC994" s="2335"/>
      <c r="AHD994" s="2335"/>
      <c r="AHE994" s="2335"/>
      <c r="AHF994" s="2335"/>
      <c r="AHG994" s="2335"/>
      <c r="AHH994" s="2335"/>
      <c r="AHI994" s="2335"/>
      <c r="AHJ994" s="2335"/>
      <c r="AHK994" s="2335"/>
      <c r="AHL994" s="2335"/>
      <c r="AHM994" s="2335"/>
      <c r="AHN994" s="2335"/>
      <c r="AHO994" s="2335"/>
      <c r="AHP994" s="2335"/>
      <c r="AHQ994" s="2335"/>
      <c r="AHR994" s="2335"/>
      <c r="AHS994" s="2335"/>
      <c r="AHT994" s="2335"/>
      <c r="AHU994" s="2335"/>
      <c r="AHV994" s="2335"/>
      <c r="AHW994" s="2335"/>
      <c r="AHX994" s="2335"/>
      <c r="AHY994" s="2335"/>
      <c r="AHZ994" s="2335"/>
      <c r="AIA994" s="2335"/>
      <c r="AIB994" s="2335"/>
      <c r="AIC994" s="2335"/>
      <c r="AID994" s="2335"/>
      <c r="AIE994" s="2335"/>
      <c r="AIF994" s="2335"/>
      <c r="AIG994" s="2335"/>
      <c r="AIH994" s="2335"/>
      <c r="AII994" s="2335"/>
      <c r="AIJ994" s="2335"/>
      <c r="AIK994" s="2335"/>
      <c r="AIL994" s="2335"/>
      <c r="AIM994" s="2335"/>
      <c r="AIN994" s="2335"/>
      <c r="AIO994" s="2335"/>
      <c r="AIP994" s="2335"/>
      <c r="AIQ994" s="2335"/>
      <c r="AIR994" s="2335"/>
      <c r="AIS994" s="2335"/>
      <c r="AIT994" s="2335"/>
      <c r="AIU994" s="2335"/>
      <c r="AIV994" s="2335"/>
      <c r="AIW994" s="2335"/>
      <c r="AIX994" s="2335"/>
      <c r="AIY994" s="2335"/>
      <c r="AIZ994" s="2335"/>
      <c r="AJA994" s="2335"/>
      <c r="AJB994" s="2335"/>
      <c r="AJC994" s="2335"/>
      <c r="AJD994" s="2335"/>
      <c r="AJE994" s="2335"/>
      <c r="AJF994" s="2335"/>
      <c r="AJG994" s="2335"/>
      <c r="AJH994" s="2335"/>
      <c r="AJI994" s="2335"/>
      <c r="AJJ994" s="2335"/>
      <c r="AJK994" s="2335"/>
      <c r="AJL994" s="2335"/>
      <c r="AJM994" s="2335"/>
      <c r="AJN994" s="2335"/>
      <c r="AJO994" s="2335"/>
      <c r="AJP994" s="2335"/>
      <c r="AJQ994" s="2335"/>
      <c r="AJR994" s="2335"/>
      <c r="AJS994" s="2335"/>
      <c r="AJT994" s="2335"/>
      <c r="AJU994" s="2335"/>
      <c r="AJV994" s="2335"/>
      <c r="AJW994" s="2335"/>
      <c r="AJX994" s="2335"/>
      <c r="AJY994" s="2335"/>
      <c r="AJZ994" s="2335"/>
      <c r="AKA994" s="2335"/>
      <c r="AKB994" s="2335"/>
      <c r="AKC994" s="2335"/>
      <c r="AKD994" s="2335"/>
      <c r="AKE994" s="2335"/>
      <c r="AKF994" s="2335"/>
      <c r="AKG994" s="2335"/>
      <c r="AKH994" s="2335"/>
      <c r="AKI994" s="2335"/>
      <c r="AKJ994" s="2335"/>
      <c r="AKK994" s="2335"/>
      <c r="AKL994" s="2335"/>
      <c r="AKM994" s="2335"/>
      <c r="AKN994" s="2335"/>
      <c r="AKO994" s="2335"/>
      <c r="AKP994" s="2335"/>
      <c r="AKQ994" s="2335"/>
      <c r="AKR994" s="2335"/>
      <c r="AKS994" s="2335"/>
      <c r="AKT994" s="2335"/>
      <c r="AKU994" s="2335"/>
      <c r="AKV994" s="2335"/>
      <c r="AKW994" s="2335"/>
      <c r="AKX994" s="2335"/>
      <c r="AKY994" s="2335"/>
      <c r="AKZ994" s="2335"/>
      <c r="ALA994" s="2335"/>
      <c r="ALB994" s="2335"/>
      <c r="ALC994" s="2335"/>
      <c r="ALD994" s="2335"/>
      <c r="ALE994" s="2335"/>
      <c r="ALF994" s="2335"/>
      <c r="ALG994" s="2335"/>
      <c r="ALH994" s="2335"/>
      <c r="ALI994" s="2335"/>
      <c r="ALJ994" s="2335"/>
      <c r="ALK994" s="2335"/>
      <c r="ALL994" s="2335"/>
      <c r="ALM994" s="2335"/>
      <c r="ALN994" s="2335"/>
      <c r="ALO994" s="2335"/>
      <c r="ALP994" s="2335"/>
      <c r="ALQ994" s="2335"/>
      <c r="ALR994" s="2335"/>
      <c r="ALS994" s="2335"/>
      <c r="ALT994" s="2335"/>
      <c r="ALU994" s="2335"/>
      <c r="ALV994" s="2335"/>
      <c r="ALW994" s="2335"/>
      <c r="ALX994" s="2335"/>
      <c r="ALY994" s="2335"/>
      <c r="ALZ994" s="2335"/>
      <c r="AMA994" s="2335"/>
      <c r="AMB994" s="2335"/>
      <c r="AMC994" s="2335"/>
      <c r="AMD994" s="2335"/>
      <c r="AME994" s="2335"/>
      <c r="AMF994" s="2335"/>
      <c r="AMG994" s="2335"/>
      <c r="AMH994" s="2335"/>
      <c r="AMI994" s="2335"/>
      <c r="AMJ994" s="2335"/>
      <c r="AMK994" s="2335"/>
      <c r="AML994" s="2335"/>
      <c r="AMM994" s="2335"/>
      <c r="AMN994" s="2335"/>
      <c r="AMO994" s="2335"/>
      <c r="AMP994" s="2335"/>
      <c r="AMQ994" s="2335"/>
      <c r="AMR994" s="2335"/>
      <c r="AMS994" s="2335"/>
      <c r="AMT994" s="2335"/>
      <c r="AMU994" s="2335"/>
      <c r="AMV994" s="2335"/>
      <c r="AMW994" s="2335"/>
      <c r="AMX994" s="2335"/>
      <c r="AMY994" s="2335"/>
      <c r="AMZ994" s="2335"/>
      <c r="ANA994" s="2335"/>
      <c r="ANB994" s="2335"/>
      <c r="ANC994" s="2335"/>
      <c r="AND994" s="2335"/>
      <c r="ANE994" s="2335"/>
      <c r="ANF994" s="2335"/>
      <c r="ANG994" s="2335"/>
      <c r="ANH994" s="2335"/>
      <c r="ANI994" s="2335"/>
      <c r="ANJ994" s="2335"/>
      <c r="ANK994" s="2335"/>
      <c r="ANL994" s="2335"/>
      <c r="ANM994" s="2335"/>
      <c r="ANN994" s="2335"/>
      <c r="ANO994" s="2335"/>
      <c r="ANP994" s="2335"/>
      <c r="ANQ994" s="2335"/>
      <c r="ANR994" s="2335"/>
      <c r="ANS994" s="2335"/>
      <c r="ANT994" s="2335"/>
      <c r="ANU994" s="2335"/>
      <c r="ANV994" s="2335"/>
      <c r="ANW994" s="2335"/>
      <c r="ANX994" s="2335"/>
      <c r="ANY994" s="2335"/>
      <c r="ANZ994" s="2335"/>
      <c r="AOA994" s="2335"/>
      <c r="AOB994" s="2335"/>
      <c r="AOC994" s="2335"/>
      <c r="AOD994" s="2335"/>
      <c r="AOE994" s="2335"/>
      <c r="AOF994" s="2335"/>
      <c r="AOG994" s="2335"/>
      <c r="AOH994" s="2335"/>
      <c r="AOI994" s="2335"/>
      <c r="AOJ994" s="2335"/>
      <c r="AOK994" s="2335"/>
      <c r="AOL994" s="2335"/>
      <c r="AOM994" s="2335"/>
      <c r="AON994" s="2335"/>
      <c r="AOO994" s="2335"/>
      <c r="AOP994" s="2335"/>
      <c r="AOQ994" s="2335"/>
      <c r="AOR994" s="2335"/>
      <c r="AOS994" s="2335"/>
      <c r="AOT994" s="2335"/>
      <c r="AOU994" s="2335"/>
      <c r="AOV994" s="2335"/>
      <c r="AOW994" s="2335"/>
      <c r="AOX994" s="2335"/>
      <c r="AOY994" s="2335"/>
      <c r="AOZ994" s="2335"/>
      <c r="APA994" s="2335"/>
      <c r="APB994" s="2335"/>
      <c r="APC994" s="2335"/>
      <c r="APD994" s="2335"/>
      <c r="APE994" s="2335"/>
      <c r="APF994" s="2335"/>
      <c r="APG994" s="2335"/>
      <c r="APH994" s="2335"/>
      <c r="API994" s="2335"/>
      <c r="APJ994" s="2335"/>
      <c r="APK994" s="2335"/>
      <c r="APL994" s="2335"/>
      <c r="APM994" s="2335"/>
      <c r="APN994" s="2335"/>
      <c r="APO994" s="2335"/>
      <c r="APP994" s="2335"/>
      <c r="APQ994" s="2335"/>
      <c r="APR994" s="2335"/>
      <c r="APS994" s="2335"/>
      <c r="APT994" s="2335"/>
      <c r="APU994" s="2335"/>
      <c r="APV994" s="2335"/>
      <c r="APW994" s="2335"/>
      <c r="APX994" s="2335"/>
      <c r="APY994" s="2335"/>
      <c r="APZ994" s="2335"/>
      <c r="AQA994" s="2335"/>
      <c r="AQB994" s="2335"/>
      <c r="AQC994" s="2335"/>
      <c r="AQD994" s="2335"/>
      <c r="AQE994" s="2335"/>
      <c r="AQF994" s="2335"/>
      <c r="AQG994" s="2335"/>
      <c r="AQH994" s="2335"/>
      <c r="AQI994" s="2335"/>
      <c r="AQJ994" s="2335"/>
      <c r="AQK994" s="2335"/>
      <c r="AQL994" s="2335"/>
      <c r="AQM994" s="2335"/>
      <c r="AQN994" s="2335"/>
      <c r="AQO994" s="2335"/>
      <c r="AQP994" s="2335"/>
      <c r="AQQ994" s="2335"/>
      <c r="AQR994" s="2335"/>
      <c r="AQS994" s="2335"/>
      <c r="AQT994" s="2335"/>
      <c r="AQU994" s="2335"/>
      <c r="AQV994" s="2335"/>
      <c r="AQW994" s="2335"/>
      <c r="AQX994" s="2335"/>
      <c r="AQY994" s="2335"/>
      <c r="AQZ994" s="2335"/>
      <c r="ARA994" s="2335"/>
      <c r="ARB994" s="2335"/>
      <c r="ARC994" s="2335"/>
      <c r="ARD994" s="2335"/>
      <c r="ARE994" s="2335"/>
      <c r="ARF994" s="2335"/>
      <c r="ARG994" s="2335"/>
      <c r="ARH994" s="2335"/>
      <c r="ARI994" s="2335"/>
      <c r="ARJ994" s="2335"/>
      <c r="ARK994" s="2335"/>
      <c r="ARL994" s="2335"/>
      <c r="ARM994" s="2335"/>
      <c r="ARN994" s="2335"/>
      <c r="ARO994" s="2335"/>
      <c r="ARP994" s="2335"/>
      <c r="ARQ994" s="2335"/>
      <c r="ARR994" s="2335"/>
      <c r="ARS994" s="2335"/>
      <c r="ART994" s="2335"/>
      <c r="ARU994" s="2335"/>
      <c r="ARV994" s="2335"/>
      <c r="ARW994" s="2335"/>
      <c r="ARX994" s="2335"/>
      <c r="ARY994" s="2335"/>
      <c r="ARZ994" s="2335"/>
      <c r="ASA994" s="2335"/>
      <c r="ASB994" s="2335"/>
      <c r="ASC994" s="2335"/>
      <c r="ASD994" s="2335"/>
      <c r="ASE994" s="2335"/>
      <c r="ASF994" s="2335"/>
      <c r="ASG994" s="2335"/>
      <c r="ASH994" s="2335"/>
      <c r="ASI994" s="2335"/>
      <c r="ASJ994" s="2335"/>
      <c r="ASK994" s="2335"/>
      <c r="ASL994" s="2335"/>
      <c r="ASM994" s="2335"/>
      <c r="ASN994" s="2335"/>
      <c r="ASO994" s="2335"/>
      <c r="ASP994" s="2335"/>
      <c r="ASQ994" s="2335"/>
      <c r="ASR994" s="2335"/>
      <c r="ASS994" s="2335"/>
      <c r="AST994" s="2335"/>
      <c r="ASU994" s="2335"/>
      <c r="ASV994" s="2335"/>
      <c r="ASW994" s="2335"/>
      <c r="ASX994" s="2335"/>
      <c r="ASY994" s="2335"/>
      <c r="ASZ994" s="2335"/>
      <c r="ATA994" s="2335"/>
      <c r="ATB994" s="2335"/>
      <c r="ATC994" s="2335"/>
      <c r="ATD994" s="2335"/>
      <c r="ATE994" s="2335"/>
      <c r="ATF994" s="2335"/>
      <c r="ATG994" s="2335"/>
      <c r="ATH994" s="2335"/>
      <c r="ATI994" s="2335"/>
      <c r="ATJ994" s="2335"/>
      <c r="ATK994" s="2335"/>
      <c r="ATL994" s="2335"/>
      <c r="ATM994" s="2335"/>
      <c r="ATN994" s="2335"/>
      <c r="ATO994" s="2335"/>
      <c r="ATP994" s="2335"/>
      <c r="ATQ994" s="2335"/>
      <c r="ATR994" s="2335"/>
      <c r="ATS994" s="2335"/>
      <c r="ATT994" s="2335"/>
      <c r="ATU994" s="2335"/>
      <c r="ATV994" s="2335"/>
      <c r="ATW994" s="2335"/>
      <c r="ATX994" s="2335"/>
      <c r="ATY994" s="2335"/>
      <c r="ATZ994" s="2335"/>
      <c r="AUA994" s="2335"/>
      <c r="AUB994" s="2335"/>
      <c r="AUC994" s="2335"/>
      <c r="AUD994" s="2335"/>
      <c r="AUE994" s="2335"/>
      <c r="AUF994" s="2335"/>
      <c r="AUG994" s="2335"/>
      <c r="AUH994" s="2335"/>
      <c r="AUI994" s="2335"/>
      <c r="AUJ994" s="2335"/>
      <c r="AUK994" s="2335"/>
      <c r="AUL994" s="2335"/>
      <c r="AUM994" s="2335"/>
      <c r="AUN994" s="2335"/>
      <c r="AUO994" s="2335"/>
      <c r="AUP994" s="2335"/>
      <c r="AUQ994" s="2335"/>
      <c r="AUR994" s="2335"/>
      <c r="AUS994" s="2335"/>
      <c r="AUT994" s="2335"/>
      <c r="AUU994" s="2335"/>
      <c r="AUV994" s="2335"/>
      <c r="AUW994" s="2335"/>
      <c r="AUX994" s="2335"/>
      <c r="AUY994" s="2335"/>
      <c r="AUZ994" s="2335"/>
      <c r="AVA994" s="2335"/>
      <c r="AVB994" s="2335"/>
      <c r="AVC994" s="2335"/>
      <c r="AVD994" s="2335"/>
      <c r="AVE994" s="2335"/>
      <c r="AVF994" s="2335"/>
      <c r="AVG994" s="2335"/>
      <c r="AVH994" s="2335"/>
      <c r="AVI994" s="2335"/>
      <c r="AVJ994" s="2335"/>
      <c r="AVK994" s="2335"/>
      <c r="AVL994" s="2335"/>
      <c r="AVM994" s="2335"/>
      <c r="AVN994" s="2335"/>
      <c r="AVO994" s="2335"/>
      <c r="AVP994" s="2335"/>
      <c r="AVQ994" s="2335"/>
      <c r="AVR994" s="2335"/>
      <c r="AVS994" s="2335"/>
      <c r="AVT994" s="2335"/>
      <c r="AVU994" s="2335"/>
      <c r="AVV994" s="2335"/>
      <c r="AVW994" s="2335"/>
      <c r="AVX994" s="2335"/>
      <c r="AVY994" s="2335"/>
      <c r="AVZ994" s="2335"/>
      <c r="AWA994" s="2335"/>
      <c r="AWB994" s="2335"/>
      <c r="AWC994" s="2335"/>
      <c r="AWD994" s="2335"/>
      <c r="AWE994" s="2335"/>
      <c r="AWF994" s="2335"/>
      <c r="AWG994" s="2335"/>
      <c r="AWH994" s="2335"/>
      <c r="AWI994" s="2335"/>
      <c r="AWJ994" s="2335"/>
      <c r="AWK994" s="2335"/>
      <c r="AWL994" s="2335"/>
      <c r="AWM994" s="2335"/>
      <c r="AWN994" s="2335"/>
      <c r="AWO994" s="2335"/>
      <c r="AWP994" s="2335"/>
      <c r="AWQ994" s="2335"/>
      <c r="AWR994" s="2335"/>
      <c r="AWS994" s="2335"/>
      <c r="AWT994" s="2335"/>
      <c r="AWU994" s="2335"/>
      <c r="AWV994" s="2335"/>
      <c r="AWW994" s="2335"/>
      <c r="AWX994" s="2335"/>
      <c r="AWY994" s="2335"/>
      <c r="AWZ994" s="2335"/>
      <c r="AXA994" s="2335"/>
      <c r="AXB994" s="2335"/>
      <c r="AXC994" s="2335"/>
      <c r="AXD994" s="2335"/>
      <c r="AXE994" s="2335"/>
      <c r="AXF994" s="2335"/>
      <c r="AXG994" s="2335"/>
      <c r="AXH994" s="2335"/>
      <c r="AXI994" s="2335"/>
      <c r="AXJ994" s="2335"/>
      <c r="AXK994" s="2335"/>
      <c r="AXL994" s="2335"/>
      <c r="AXM994" s="2335"/>
      <c r="AXN994" s="2335"/>
      <c r="AXO994" s="2335"/>
      <c r="AXP994" s="2335"/>
      <c r="AXQ994" s="2335"/>
      <c r="AXR994" s="2335"/>
      <c r="AXS994" s="2335"/>
      <c r="AXT994" s="2335"/>
      <c r="AXU994" s="2335"/>
      <c r="AXV994" s="2335"/>
      <c r="AXW994" s="2335"/>
      <c r="AXX994" s="2335"/>
      <c r="AXY994" s="2335"/>
      <c r="AXZ994" s="2335"/>
      <c r="AYA994" s="2335"/>
      <c r="AYB994" s="2335"/>
      <c r="AYC994" s="2335"/>
      <c r="AYD994" s="2335"/>
      <c r="AYE994" s="2335"/>
      <c r="AYF994" s="2335"/>
      <c r="AYG994" s="2335"/>
      <c r="AYH994" s="2335"/>
      <c r="AYI994" s="2335"/>
      <c r="AYJ994" s="2335"/>
      <c r="AYK994" s="2335"/>
      <c r="AYL994" s="2335"/>
      <c r="AYM994" s="2335"/>
      <c r="AYN994" s="2335"/>
      <c r="AYO994" s="2335"/>
      <c r="AYP994" s="2335"/>
      <c r="AYQ994" s="2335"/>
      <c r="AYR994" s="2335"/>
      <c r="AYS994" s="2335"/>
      <c r="AYT994" s="2335"/>
      <c r="AYU994" s="2335"/>
      <c r="AYV994" s="2335"/>
      <c r="AYW994" s="2335"/>
      <c r="AYX994" s="2335"/>
      <c r="AYY994" s="2335"/>
      <c r="AYZ994" s="2335"/>
      <c r="AZA994" s="2335"/>
      <c r="AZB994" s="2335"/>
      <c r="AZC994" s="2335"/>
      <c r="AZD994" s="2335"/>
      <c r="AZE994" s="2335"/>
      <c r="AZF994" s="2335"/>
      <c r="AZG994" s="2335"/>
      <c r="AZH994" s="2335"/>
      <c r="AZI994" s="2335"/>
      <c r="AZJ994" s="2335"/>
      <c r="AZK994" s="2335"/>
      <c r="AZL994" s="2335"/>
      <c r="AZM994" s="2335"/>
      <c r="AZN994" s="2335"/>
      <c r="AZO994" s="2335"/>
      <c r="AZP994" s="2335"/>
      <c r="AZQ994" s="2335"/>
      <c r="AZR994" s="2335"/>
      <c r="AZS994" s="2335"/>
      <c r="AZT994" s="2335"/>
      <c r="AZU994" s="2335"/>
      <c r="AZV994" s="2335"/>
      <c r="AZW994" s="2335"/>
      <c r="AZX994" s="2335"/>
      <c r="AZY994" s="2335"/>
      <c r="AZZ994" s="2335"/>
      <c r="BAA994" s="2335"/>
      <c r="BAB994" s="2335"/>
      <c r="BAC994" s="2335"/>
      <c r="BAD994" s="2335"/>
      <c r="BAE994" s="2335"/>
      <c r="BAF994" s="2335"/>
      <c r="BAG994" s="2335"/>
      <c r="BAH994" s="2335"/>
      <c r="BAI994" s="2335"/>
      <c r="BAJ994" s="2335"/>
      <c r="BAK994" s="2335"/>
      <c r="BAL994" s="2335"/>
      <c r="BAM994" s="2335"/>
      <c r="BAN994" s="2335"/>
      <c r="BAO994" s="2335"/>
      <c r="BAP994" s="2335"/>
      <c r="BAQ994" s="2335"/>
      <c r="BAR994" s="2335"/>
      <c r="BAS994" s="2335"/>
      <c r="BAT994" s="2335"/>
      <c r="BAU994" s="2335"/>
      <c r="BAV994" s="2335"/>
      <c r="BAW994" s="2335"/>
      <c r="BAX994" s="2335"/>
      <c r="BAY994" s="2335"/>
      <c r="BAZ994" s="2335"/>
      <c r="BBA994" s="2335"/>
      <c r="BBB994" s="2335"/>
      <c r="BBC994" s="2335"/>
      <c r="BBD994" s="2335"/>
      <c r="BBE994" s="2335"/>
      <c r="BBF994" s="2335"/>
      <c r="BBG994" s="2335"/>
      <c r="BBH994" s="2335"/>
      <c r="BBI994" s="2335"/>
      <c r="BBJ994" s="2335"/>
      <c r="BBK994" s="2335"/>
      <c r="BBL994" s="2335"/>
      <c r="BBM994" s="2335"/>
      <c r="BBN994" s="2335"/>
      <c r="BBO994" s="2335"/>
      <c r="BBP994" s="2335"/>
      <c r="BBQ994" s="2335"/>
      <c r="BBR994" s="2335"/>
      <c r="BBS994" s="2335"/>
      <c r="BBT994" s="2335"/>
      <c r="BBU994" s="2335"/>
      <c r="BBV994" s="2335"/>
      <c r="BBW994" s="2335"/>
      <c r="BBX994" s="2335"/>
      <c r="BBY994" s="2335"/>
      <c r="BBZ994" s="2335"/>
      <c r="BCA994" s="2335"/>
      <c r="BCB994" s="2335"/>
      <c r="BCC994" s="2335"/>
      <c r="BCD994" s="2335"/>
      <c r="BCE994" s="2335"/>
      <c r="BCF994" s="2335"/>
      <c r="BCG994" s="2335"/>
      <c r="BCH994" s="2335"/>
      <c r="BCI994" s="2335"/>
      <c r="BCJ994" s="2335"/>
      <c r="BCK994" s="2335"/>
      <c r="BCL994" s="2335"/>
      <c r="BCM994" s="2335"/>
      <c r="BCN994" s="2335"/>
      <c r="BCO994" s="2335"/>
      <c r="BCP994" s="2335"/>
      <c r="BCQ994" s="2335"/>
      <c r="BCR994" s="2335"/>
      <c r="BCS994" s="2335"/>
      <c r="BCT994" s="2335"/>
      <c r="BCU994" s="2335"/>
      <c r="BCV994" s="2335"/>
      <c r="BCW994" s="2335"/>
      <c r="BCX994" s="2335"/>
      <c r="BCY994" s="2335"/>
      <c r="BCZ994" s="2335"/>
      <c r="BDA994" s="2335"/>
      <c r="BDB994" s="2335"/>
      <c r="BDC994" s="2335"/>
      <c r="BDD994" s="2335"/>
      <c r="BDE994" s="2335"/>
      <c r="BDF994" s="2335"/>
      <c r="BDG994" s="2335"/>
      <c r="BDH994" s="2335"/>
      <c r="BDI994" s="2335"/>
      <c r="BDJ994" s="2335"/>
      <c r="BDK994" s="2335"/>
      <c r="BDL994" s="2335"/>
      <c r="BDM994" s="2335"/>
      <c r="BDN994" s="2335"/>
      <c r="BDO994" s="2335"/>
      <c r="BDP994" s="2335"/>
      <c r="BDQ994" s="2335"/>
      <c r="BDR994" s="2335"/>
      <c r="BDS994" s="2335"/>
      <c r="BDT994" s="2335"/>
      <c r="BDU994" s="2335"/>
      <c r="BDV994" s="2335"/>
      <c r="BDW994" s="2335"/>
      <c r="BDX994" s="2335"/>
      <c r="BDY994" s="2335"/>
      <c r="BDZ994" s="2335"/>
      <c r="BEA994" s="2335"/>
      <c r="BEB994" s="2335"/>
      <c r="BEC994" s="2335"/>
      <c r="BED994" s="2335"/>
      <c r="BEE994" s="2335"/>
      <c r="BEF994" s="2335"/>
      <c r="BEG994" s="2335"/>
      <c r="BEH994" s="2335"/>
      <c r="BEI994" s="2335"/>
      <c r="BEJ994" s="2335"/>
      <c r="BEK994" s="2335"/>
      <c r="BEL994" s="2335"/>
      <c r="BEM994" s="2335"/>
      <c r="BEN994" s="2335"/>
      <c r="BEO994" s="2335"/>
      <c r="BEP994" s="2335"/>
      <c r="BEQ994" s="2335"/>
      <c r="BER994" s="2335"/>
      <c r="BES994" s="2335"/>
      <c r="BET994" s="2335"/>
      <c r="BEU994" s="2335"/>
      <c r="BEV994" s="2335"/>
      <c r="BEW994" s="2335"/>
      <c r="BEX994" s="2335"/>
      <c r="BEY994" s="2335"/>
      <c r="BEZ994" s="2335"/>
      <c r="BFA994" s="2335"/>
      <c r="BFB994" s="2335"/>
      <c r="BFC994" s="2335"/>
      <c r="BFD994" s="2335"/>
      <c r="BFE994" s="2335"/>
      <c r="BFF994" s="2335"/>
      <c r="BFG994" s="2335"/>
      <c r="BFH994" s="2335"/>
      <c r="BFI994" s="2335"/>
      <c r="BFJ994" s="2335"/>
      <c r="BFK994" s="2335"/>
      <c r="BFL994" s="2335"/>
      <c r="BFM994" s="2335"/>
      <c r="BFN994" s="2335"/>
      <c r="BFO994" s="2335"/>
      <c r="BFP994" s="2335"/>
      <c r="BFQ994" s="2335"/>
      <c r="BFR994" s="2335"/>
      <c r="BFS994" s="2335"/>
      <c r="BFT994" s="2335"/>
      <c r="BFU994" s="2335"/>
      <c r="BFV994" s="2335"/>
      <c r="BFW994" s="2335"/>
      <c r="BFX994" s="2335"/>
      <c r="BFY994" s="2335"/>
      <c r="BFZ994" s="2335"/>
      <c r="BGA994" s="2335"/>
      <c r="BGB994" s="2335"/>
      <c r="BGC994" s="2335"/>
      <c r="BGD994" s="2335"/>
      <c r="BGE994" s="2335"/>
      <c r="BGF994" s="2335"/>
      <c r="BGG994" s="2335"/>
      <c r="BGH994" s="2335"/>
      <c r="BGI994" s="2335"/>
      <c r="BGJ994" s="2335"/>
      <c r="BGK994" s="2335"/>
      <c r="BGL994" s="2335"/>
      <c r="BGM994" s="2335"/>
      <c r="BGN994" s="2335"/>
      <c r="BGO994" s="2335"/>
      <c r="BGP994" s="2335"/>
      <c r="BGQ994" s="2335"/>
      <c r="BGR994" s="2335"/>
      <c r="BGS994" s="2335"/>
      <c r="BGT994" s="2335"/>
      <c r="BGU994" s="2335"/>
      <c r="BGV994" s="2335"/>
      <c r="BGW994" s="2335"/>
      <c r="BGX994" s="2335"/>
      <c r="BGY994" s="2335"/>
      <c r="BGZ994" s="2335"/>
      <c r="BHA994" s="2335"/>
      <c r="BHB994" s="2335"/>
      <c r="BHC994" s="2335"/>
      <c r="BHD994" s="2335"/>
      <c r="BHE994" s="2335"/>
      <c r="BHF994" s="2335"/>
      <c r="BHG994" s="2335"/>
      <c r="BHH994" s="2335"/>
      <c r="BHI994" s="2335"/>
      <c r="BHJ994" s="2335"/>
      <c r="BHK994" s="2335"/>
      <c r="BHL994" s="2335"/>
      <c r="BHM994" s="2335"/>
      <c r="BHN994" s="2335"/>
      <c r="BHO994" s="2335"/>
      <c r="BHP994" s="2335"/>
      <c r="BHQ994" s="2335"/>
      <c r="BHR994" s="2335"/>
      <c r="BHS994" s="2335"/>
      <c r="BHT994" s="2335"/>
      <c r="BHU994" s="2335"/>
      <c r="BHV994" s="2335"/>
      <c r="BHW994" s="2335"/>
      <c r="BHX994" s="2335"/>
      <c r="BHY994" s="2335"/>
      <c r="BHZ994" s="2335"/>
      <c r="BIA994" s="2335"/>
      <c r="BIB994" s="2335"/>
      <c r="BIC994" s="2335"/>
      <c r="BID994" s="2335"/>
      <c r="BIE994" s="2335"/>
      <c r="BIF994" s="2335"/>
      <c r="BIG994" s="2335"/>
      <c r="BIH994" s="2335"/>
      <c r="BII994" s="2335"/>
      <c r="BIJ994" s="2335"/>
      <c r="BIK994" s="2335"/>
      <c r="BIL994" s="2335"/>
      <c r="BIM994" s="2335"/>
      <c r="BIN994" s="2335"/>
      <c r="BIO994" s="2335"/>
      <c r="BIP994" s="2335"/>
      <c r="BIQ994" s="2335"/>
      <c r="BIR994" s="2335"/>
      <c r="BIS994" s="2335"/>
      <c r="BIT994" s="2335"/>
      <c r="BIU994" s="2335"/>
      <c r="BIV994" s="2335"/>
      <c r="BIW994" s="2335"/>
      <c r="BIX994" s="2335"/>
      <c r="BIY994" s="2335"/>
      <c r="BIZ994" s="2335"/>
      <c r="BJA994" s="2335"/>
      <c r="BJB994" s="2335"/>
      <c r="BJC994" s="2335"/>
      <c r="BJD994" s="2335"/>
      <c r="BJE994" s="2335"/>
      <c r="BJF994" s="2335"/>
      <c r="BJG994" s="2335"/>
      <c r="BJH994" s="2335"/>
      <c r="BJI994" s="2335"/>
      <c r="BJJ994" s="2335"/>
      <c r="BJK994" s="2335"/>
      <c r="BJL994" s="2335"/>
      <c r="BJM994" s="2335"/>
      <c r="BJN994" s="2335"/>
      <c r="BJO994" s="2335"/>
      <c r="BJP994" s="2335"/>
      <c r="BJQ994" s="2335"/>
      <c r="BJR994" s="2335"/>
      <c r="BJS994" s="2335"/>
      <c r="BJT994" s="2335"/>
      <c r="BJU994" s="2335"/>
      <c r="BJV994" s="2335"/>
      <c r="BJW994" s="2335"/>
      <c r="BJX994" s="2335"/>
      <c r="BJY994" s="2335"/>
      <c r="BJZ994" s="2335"/>
      <c r="BKA994" s="2335"/>
      <c r="BKB994" s="2335"/>
      <c r="BKC994" s="2335"/>
      <c r="BKD994" s="2335"/>
      <c r="BKE994" s="2335"/>
      <c r="BKF994" s="2335"/>
      <c r="BKG994" s="2335"/>
      <c r="BKH994" s="2335"/>
      <c r="BKI994" s="2335"/>
      <c r="BKJ994" s="2335"/>
      <c r="BKK994" s="2335"/>
      <c r="BKL994" s="2335"/>
      <c r="BKM994" s="2335"/>
      <c r="BKN994" s="2335"/>
      <c r="BKO994" s="2335"/>
      <c r="BKP994" s="2335"/>
      <c r="BKQ994" s="2335"/>
      <c r="BKR994" s="2335"/>
      <c r="BKS994" s="2335"/>
      <c r="BKT994" s="2335"/>
      <c r="BKU994" s="2335"/>
      <c r="BKV994" s="2335"/>
      <c r="BKW994" s="2335"/>
      <c r="BKX994" s="2335"/>
      <c r="BKY994" s="2335"/>
      <c r="BKZ994" s="2335"/>
      <c r="BLA994" s="2335"/>
      <c r="BLB994" s="2335"/>
      <c r="BLC994" s="2335"/>
      <c r="BLD994" s="2335"/>
      <c r="BLE994" s="2335"/>
      <c r="BLF994" s="2335"/>
      <c r="BLG994" s="2335"/>
      <c r="BLH994" s="2335"/>
      <c r="BLI994" s="2335"/>
      <c r="BLJ994" s="2335"/>
      <c r="BLK994" s="2335"/>
      <c r="BLL994" s="2335"/>
      <c r="BLM994" s="2335"/>
      <c r="BLN994" s="2335"/>
      <c r="BLO994" s="2335"/>
      <c r="BLP994" s="2335"/>
      <c r="BLQ994" s="2335"/>
      <c r="BLR994" s="2335"/>
      <c r="BLS994" s="2335"/>
      <c r="BLT994" s="2335"/>
      <c r="BLU994" s="2335"/>
      <c r="BLV994" s="2335"/>
      <c r="BLW994" s="2335"/>
      <c r="BLX994" s="2335"/>
      <c r="BLY994" s="2335"/>
      <c r="BLZ994" s="2335"/>
      <c r="BMA994" s="2335"/>
      <c r="BMB994" s="2335"/>
      <c r="BMC994" s="2335"/>
      <c r="BMD994" s="2335"/>
      <c r="BME994" s="2335"/>
      <c r="BMF994" s="2335"/>
      <c r="BMG994" s="2335"/>
      <c r="BMH994" s="2335"/>
      <c r="BMI994" s="2335"/>
      <c r="BMJ994" s="2335"/>
      <c r="BMK994" s="2335"/>
      <c r="BML994" s="2335"/>
      <c r="BMM994" s="2335"/>
      <c r="BMN994" s="2335"/>
      <c r="BMO994" s="2335"/>
      <c r="BMP994" s="2335"/>
      <c r="BMQ994" s="2335"/>
      <c r="BMR994" s="2335"/>
      <c r="BMS994" s="2335"/>
      <c r="BMT994" s="2335"/>
      <c r="BMU994" s="2335"/>
      <c r="BMV994" s="2335"/>
      <c r="BMW994" s="2335"/>
      <c r="BMX994" s="2335"/>
      <c r="BMY994" s="2335"/>
      <c r="BMZ994" s="2335"/>
      <c r="BNA994" s="2335"/>
      <c r="BNB994" s="2335"/>
      <c r="BNC994" s="2335"/>
      <c r="BND994" s="2335"/>
      <c r="BNE994" s="2335"/>
      <c r="BNF994" s="2335"/>
      <c r="BNG994" s="2335"/>
      <c r="BNH994" s="2335"/>
      <c r="BNI994" s="2335"/>
      <c r="BNJ994" s="2335"/>
      <c r="BNK994" s="2335"/>
      <c r="BNL994" s="2335"/>
      <c r="BNM994" s="2335"/>
      <c r="BNN994" s="2335"/>
      <c r="BNO994" s="2335"/>
      <c r="BNP994" s="2335"/>
      <c r="BNQ994" s="2335"/>
      <c r="BNR994" s="2335"/>
      <c r="BNS994" s="2335"/>
      <c r="BNT994" s="2335"/>
      <c r="BNU994" s="2335"/>
      <c r="BNV994" s="2335"/>
      <c r="BNW994" s="2335"/>
      <c r="BNX994" s="2335"/>
      <c r="BNY994" s="2335"/>
      <c r="BNZ994" s="2335"/>
      <c r="BOA994" s="2335"/>
      <c r="BOB994" s="2335"/>
      <c r="BOC994" s="2335"/>
      <c r="BOD994" s="2335"/>
      <c r="BOE994" s="2335"/>
      <c r="BOF994" s="2335"/>
      <c r="BOG994" s="2335"/>
      <c r="BOH994" s="2335"/>
      <c r="BOI994" s="2335"/>
      <c r="BOJ994" s="2335"/>
      <c r="BOK994" s="2335"/>
      <c r="BOL994" s="2335"/>
      <c r="BOM994" s="2335"/>
      <c r="BON994" s="2335"/>
      <c r="BOO994" s="2335"/>
      <c r="BOP994" s="2335"/>
      <c r="BOQ994" s="2335"/>
      <c r="BOR994" s="2335"/>
      <c r="BOS994" s="2335"/>
      <c r="BOT994" s="2335"/>
      <c r="BOU994" s="2335"/>
      <c r="BOV994" s="2335"/>
      <c r="BOW994" s="2335"/>
      <c r="BOX994" s="2335"/>
      <c r="BOY994" s="2335"/>
      <c r="BOZ994" s="2335"/>
      <c r="BPA994" s="2335"/>
      <c r="BPB994" s="2335"/>
      <c r="BPC994" s="2335"/>
      <c r="BPD994" s="2335"/>
      <c r="BPE994" s="2335"/>
      <c r="BPF994" s="2335"/>
      <c r="BPG994" s="2335"/>
      <c r="BPH994" s="2335"/>
      <c r="BPI994" s="2335"/>
      <c r="BPJ994" s="2335"/>
      <c r="BPK994" s="2335"/>
      <c r="BPL994" s="2335"/>
      <c r="BPM994" s="2335"/>
      <c r="BPN994" s="2335"/>
      <c r="BPO994" s="2335"/>
      <c r="BPP994" s="2335"/>
      <c r="BPQ994" s="2335"/>
      <c r="BPR994" s="2335"/>
      <c r="BPS994" s="2335"/>
      <c r="BPT994" s="2335"/>
      <c r="BPU994" s="2335"/>
      <c r="BPV994" s="2335"/>
      <c r="BPW994" s="2335"/>
      <c r="BPX994" s="2335"/>
      <c r="BPY994" s="2335"/>
      <c r="BPZ994" s="2335"/>
      <c r="BQA994" s="2335"/>
      <c r="BQB994" s="2335"/>
      <c r="BQC994" s="2335"/>
      <c r="BQD994" s="2335"/>
      <c r="BQE994" s="2335"/>
      <c r="BQF994" s="2335"/>
      <c r="BQG994" s="2335"/>
      <c r="BQH994" s="2335"/>
      <c r="BQI994" s="2335"/>
      <c r="BQJ994" s="2335"/>
      <c r="BQK994" s="2335"/>
      <c r="BQL994" s="2335"/>
      <c r="BQM994" s="2335"/>
      <c r="BQN994" s="2335"/>
      <c r="BQO994" s="2335"/>
      <c r="BQP994" s="2335"/>
      <c r="BQQ994" s="2335"/>
      <c r="BQR994" s="2335"/>
      <c r="BQS994" s="2335"/>
      <c r="BQT994" s="2335"/>
      <c r="BQU994" s="2335"/>
      <c r="BQV994" s="2335"/>
      <c r="BQW994" s="2335"/>
      <c r="BQX994" s="2335"/>
      <c r="BQY994" s="2335"/>
      <c r="BQZ994" s="2335"/>
      <c r="BRA994" s="2335"/>
      <c r="BRB994" s="2335"/>
      <c r="BRC994" s="2335"/>
      <c r="BRD994" s="2335"/>
      <c r="BRE994" s="2335"/>
      <c r="BRF994" s="2335"/>
      <c r="BRG994" s="2335"/>
      <c r="BRH994" s="2335"/>
      <c r="BRI994" s="2335"/>
      <c r="BRJ994" s="2335"/>
      <c r="BRK994" s="2335"/>
      <c r="BRL994" s="2335"/>
      <c r="BRM994" s="2335"/>
      <c r="BRN994" s="2335"/>
      <c r="BRO994" s="2335"/>
      <c r="BRP994" s="2335"/>
      <c r="BRQ994" s="2335"/>
      <c r="BRR994" s="2335"/>
      <c r="BRS994" s="2335"/>
      <c r="BRT994" s="2335"/>
      <c r="BRU994" s="2335"/>
      <c r="BRV994" s="2335"/>
      <c r="BRW994" s="2335"/>
      <c r="BRX994" s="2335"/>
      <c r="BRY994" s="2335"/>
      <c r="BRZ994" s="2335"/>
      <c r="BSA994" s="2335"/>
      <c r="BSB994" s="2335"/>
      <c r="BSC994" s="2335"/>
      <c r="BSD994" s="2335"/>
      <c r="BSE994" s="2335"/>
      <c r="BSF994" s="2335"/>
      <c r="BSG994" s="2335"/>
      <c r="BSH994" s="2335"/>
      <c r="BSI994" s="2335"/>
      <c r="BSJ994" s="2335"/>
      <c r="BSK994" s="2335"/>
      <c r="BSL994" s="2335"/>
      <c r="BSM994" s="2335"/>
      <c r="BSN994" s="2335"/>
      <c r="BSO994" s="2335"/>
      <c r="BSP994" s="2335"/>
      <c r="BSQ994" s="2335"/>
      <c r="BSR994" s="2335"/>
      <c r="BSS994" s="2335"/>
      <c r="BST994" s="2335"/>
      <c r="BSU994" s="2335"/>
      <c r="BSV994" s="2335"/>
      <c r="BSW994" s="2335"/>
      <c r="BSX994" s="2335"/>
      <c r="BSY994" s="2335"/>
      <c r="BSZ994" s="2335"/>
      <c r="BTA994" s="2335"/>
      <c r="BTB994" s="2335"/>
      <c r="BTC994" s="2335"/>
      <c r="BTD994" s="2335"/>
      <c r="BTE994" s="2335"/>
      <c r="BTF994" s="2335"/>
      <c r="BTG994" s="2335"/>
      <c r="BTH994" s="2335"/>
      <c r="BTI994" s="2335"/>
      <c r="BTJ994" s="2335"/>
      <c r="BTK994" s="2335"/>
      <c r="BTL994" s="2335"/>
      <c r="BTM994" s="2335"/>
      <c r="BTN994" s="2335"/>
      <c r="BTO994" s="2335"/>
      <c r="BTP994" s="2335"/>
      <c r="BTQ994" s="2335"/>
      <c r="BTR994" s="2335"/>
      <c r="BTS994" s="2335"/>
      <c r="BTT994" s="2335"/>
      <c r="BTU994" s="2335"/>
      <c r="BTV994" s="2335"/>
      <c r="BTW994" s="2335"/>
      <c r="BTX994" s="2335"/>
      <c r="BTY994" s="2335"/>
      <c r="BTZ994" s="2335"/>
      <c r="BUA994" s="2335"/>
      <c r="BUB994" s="2335"/>
      <c r="BUC994" s="2335"/>
      <c r="BUD994" s="2335"/>
      <c r="BUE994" s="2335"/>
      <c r="BUF994" s="2335"/>
      <c r="BUG994" s="2335"/>
      <c r="BUH994" s="2335"/>
      <c r="BUI994" s="2335"/>
      <c r="BUJ994" s="2335"/>
      <c r="BUK994" s="2335"/>
      <c r="BUL994" s="2335"/>
      <c r="BUM994" s="2335"/>
      <c r="BUN994" s="2335"/>
      <c r="BUO994" s="2335"/>
      <c r="BUP994" s="2335"/>
      <c r="BUQ994" s="2335"/>
      <c r="BUR994" s="2335"/>
      <c r="BUS994" s="2335"/>
      <c r="BUT994" s="2335"/>
      <c r="BUU994" s="2335"/>
      <c r="BUV994" s="2335"/>
      <c r="BUW994" s="2335"/>
      <c r="BUX994" s="2335"/>
      <c r="BUY994" s="2335"/>
      <c r="BUZ994" s="2335"/>
      <c r="BVA994" s="2335"/>
      <c r="BVB994" s="2335"/>
      <c r="BVC994" s="2335"/>
      <c r="BVD994" s="2335"/>
      <c r="BVE994" s="2335"/>
      <c r="BVF994" s="2335"/>
      <c r="BVG994" s="2335"/>
      <c r="BVH994" s="2335"/>
      <c r="BVI994" s="2335"/>
      <c r="BVJ994" s="2335"/>
      <c r="BVK994" s="2335"/>
      <c r="BVL994" s="2335"/>
      <c r="BVM994" s="2335"/>
      <c r="BVN994" s="2335"/>
      <c r="BVO994" s="2335"/>
      <c r="BVP994" s="2335"/>
      <c r="BVQ994" s="2335"/>
      <c r="BVR994" s="2335"/>
      <c r="BVS994" s="2335"/>
      <c r="BVT994" s="2335"/>
      <c r="BVU994" s="2335"/>
      <c r="BVV994" s="2335"/>
      <c r="BVW994" s="2335"/>
      <c r="BVX994" s="2335"/>
      <c r="BVY994" s="2335"/>
      <c r="BVZ994" s="2335"/>
      <c r="BWA994" s="2335"/>
      <c r="BWB994" s="2335"/>
      <c r="BWC994" s="2335"/>
      <c r="BWD994" s="2335"/>
      <c r="BWE994" s="2335"/>
      <c r="BWF994" s="2335"/>
      <c r="BWG994" s="2335"/>
      <c r="BWH994" s="2335"/>
      <c r="BWI994" s="2335"/>
      <c r="BWJ994" s="2335"/>
      <c r="BWK994" s="2335"/>
      <c r="BWL994" s="2335"/>
      <c r="BWM994" s="2335"/>
      <c r="BWN994" s="2335"/>
      <c r="BWO994" s="2335"/>
      <c r="BWP994" s="2335"/>
      <c r="BWQ994" s="2335"/>
      <c r="BWR994" s="2335"/>
      <c r="BWS994" s="2335"/>
      <c r="BWT994" s="2335"/>
      <c r="BWU994" s="2335"/>
      <c r="BWV994" s="2335"/>
      <c r="BWW994" s="2335"/>
      <c r="BWX994" s="2335"/>
      <c r="BWY994" s="2335"/>
      <c r="BWZ994" s="2335"/>
      <c r="BXA994" s="2335"/>
      <c r="BXB994" s="2335"/>
      <c r="BXC994" s="2335"/>
      <c r="BXD994" s="2335"/>
      <c r="BXE994" s="2335"/>
      <c r="BXF994" s="2335"/>
      <c r="BXG994" s="2335"/>
      <c r="BXH994" s="2335"/>
      <c r="BXI994" s="2335"/>
      <c r="BXJ994" s="2335"/>
      <c r="BXK994" s="2335"/>
      <c r="BXL994" s="2335"/>
      <c r="BXM994" s="2335"/>
      <c r="BXN994" s="2335"/>
      <c r="BXO994" s="2335"/>
      <c r="BXP994" s="2335"/>
      <c r="BXQ994" s="2335"/>
      <c r="BXR994" s="2335"/>
      <c r="BXS994" s="2335"/>
      <c r="BXT994" s="2335"/>
      <c r="BXU994" s="2335"/>
      <c r="BXV994" s="2335"/>
      <c r="BXW994" s="2335"/>
      <c r="BXX994" s="2335"/>
      <c r="BXY994" s="2335"/>
      <c r="BXZ994" s="2335"/>
      <c r="BYA994" s="2335"/>
      <c r="BYB994" s="2335"/>
      <c r="BYC994" s="2335"/>
      <c r="BYD994" s="2335"/>
      <c r="BYE994" s="2335"/>
      <c r="BYF994" s="2335"/>
      <c r="BYG994" s="2335"/>
      <c r="BYH994" s="2335"/>
      <c r="BYI994" s="2335"/>
      <c r="BYJ994" s="2335"/>
      <c r="BYK994" s="2335"/>
      <c r="BYL994" s="2335"/>
      <c r="BYM994" s="2335"/>
      <c r="BYN994" s="2335"/>
      <c r="BYO994" s="2335"/>
      <c r="BYP994" s="2335"/>
      <c r="BYQ994" s="2335"/>
      <c r="BYR994" s="2335"/>
      <c r="BYS994" s="2335"/>
      <c r="BYT994" s="2335"/>
      <c r="BYU994" s="2335"/>
      <c r="BYV994" s="2335"/>
      <c r="BYW994" s="2335"/>
      <c r="BYX994" s="2335"/>
      <c r="BYY994" s="2335"/>
      <c r="BYZ994" s="2335"/>
      <c r="BZA994" s="2335"/>
      <c r="BZB994" s="2335"/>
      <c r="BZC994" s="2335"/>
      <c r="BZD994" s="2335"/>
      <c r="BZE994" s="2335"/>
      <c r="BZF994" s="2335"/>
      <c r="BZG994" s="2335"/>
      <c r="BZH994" s="2335"/>
      <c r="BZI994" s="2335"/>
      <c r="BZJ994" s="2335"/>
      <c r="BZK994" s="2335"/>
      <c r="BZL994" s="2335"/>
      <c r="BZM994" s="2335"/>
      <c r="BZN994" s="2335"/>
      <c r="BZO994" s="2335"/>
      <c r="BZP994" s="2335"/>
      <c r="BZQ994" s="2335"/>
      <c r="BZR994" s="2335"/>
      <c r="BZS994" s="2335"/>
      <c r="BZT994" s="2335"/>
      <c r="BZU994" s="2335"/>
      <c r="BZV994" s="2335"/>
      <c r="BZW994" s="2335"/>
      <c r="BZX994" s="2335"/>
      <c r="BZY994" s="2335"/>
      <c r="BZZ994" s="2335"/>
      <c r="CAA994" s="2335"/>
      <c r="CAB994" s="2335"/>
      <c r="CAC994" s="2335"/>
      <c r="CAD994" s="2335"/>
      <c r="CAE994" s="2335"/>
      <c r="CAF994" s="2335"/>
      <c r="CAG994" s="2335"/>
      <c r="CAH994" s="2335"/>
      <c r="CAI994" s="2335"/>
      <c r="CAJ994" s="2335"/>
      <c r="CAK994" s="2335"/>
      <c r="CAL994" s="2335"/>
      <c r="CAM994" s="2335"/>
      <c r="CAN994" s="2335"/>
      <c r="CAO994" s="2335"/>
      <c r="CAP994" s="2335"/>
      <c r="CAQ994" s="2335"/>
      <c r="CAR994" s="2335"/>
      <c r="CAS994" s="2335"/>
      <c r="CAT994" s="2335"/>
      <c r="CAU994" s="2335"/>
      <c r="CAV994" s="2335"/>
      <c r="CAW994" s="2335"/>
      <c r="CAX994" s="2335"/>
      <c r="CAY994" s="2335"/>
      <c r="CAZ994" s="2335"/>
      <c r="CBA994" s="2335"/>
      <c r="CBB994" s="2335"/>
      <c r="CBC994" s="2335"/>
      <c r="CBD994" s="2335"/>
      <c r="CBE994" s="2335"/>
      <c r="CBF994" s="2335"/>
      <c r="CBG994" s="2335"/>
      <c r="CBH994" s="2335"/>
      <c r="CBI994" s="2335"/>
      <c r="CBJ994" s="2335"/>
      <c r="CBK994" s="2335"/>
      <c r="CBL994" s="2335"/>
      <c r="CBM994" s="2335"/>
      <c r="CBN994" s="2335"/>
      <c r="CBO994" s="2335"/>
      <c r="CBP994" s="2335"/>
      <c r="CBQ994" s="2335"/>
      <c r="CBR994" s="2335"/>
      <c r="CBS994" s="2335"/>
      <c r="CBT994" s="2335"/>
      <c r="CBU994" s="2335"/>
      <c r="CBV994" s="2335"/>
      <c r="CBW994" s="2335"/>
      <c r="CBX994" s="2335"/>
      <c r="CBY994" s="2335"/>
      <c r="CBZ994" s="2335"/>
      <c r="CCA994" s="2335"/>
      <c r="CCB994" s="2335"/>
      <c r="CCC994" s="2335"/>
      <c r="CCD994" s="2335"/>
      <c r="CCE994" s="2335"/>
      <c r="CCF994" s="2335"/>
      <c r="CCG994" s="2335"/>
      <c r="CCH994" s="2335"/>
      <c r="CCI994" s="2335"/>
      <c r="CCJ994" s="2335"/>
      <c r="CCK994" s="2335"/>
      <c r="CCL994" s="2335"/>
      <c r="CCM994" s="2335"/>
      <c r="CCN994" s="2335"/>
      <c r="CCO994" s="2335"/>
      <c r="CCP994" s="2335"/>
      <c r="CCQ994" s="2335"/>
      <c r="CCR994" s="2335"/>
      <c r="CCS994" s="2335"/>
      <c r="CCT994" s="2335"/>
      <c r="CCU994" s="2335"/>
      <c r="CCV994" s="2335"/>
      <c r="CCW994" s="2335"/>
      <c r="CCX994" s="2335"/>
      <c r="CCY994" s="2335"/>
      <c r="CCZ994" s="2335"/>
      <c r="CDA994" s="2335"/>
      <c r="CDB994" s="2335"/>
      <c r="CDC994" s="2335"/>
      <c r="CDD994" s="2335"/>
      <c r="CDE994" s="2335"/>
      <c r="CDF994" s="2335"/>
      <c r="CDG994" s="2335"/>
      <c r="CDH994" s="2335"/>
      <c r="CDI994" s="2335"/>
      <c r="CDJ994" s="2335"/>
      <c r="CDK994" s="2335"/>
      <c r="CDL994" s="2335"/>
      <c r="CDM994" s="2335"/>
      <c r="CDN994" s="2335"/>
      <c r="CDO994" s="2335"/>
      <c r="CDP994" s="2335"/>
      <c r="CDQ994" s="2335"/>
      <c r="CDR994" s="2335"/>
      <c r="CDS994" s="2335"/>
      <c r="CDT994" s="2335"/>
      <c r="CDU994" s="2335"/>
      <c r="CDV994" s="2335"/>
      <c r="CDW994" s="2335"/>
      <c r="CDX994" s="2335"/>
      <c r="CDY994" s="2335"/>
      <c r="CDZ994" s="2335"/>
      <c r="CEA994" s="2335"/>
      <c r="CEB994" s="2335"/>
      <c r="CEC994" s="2335"/>
      <c r="CED994" s="2335"/>
      <c r="CEE994" s="2335"/>
      <c r="CEF994" s="2335"/>
      <c r="CEG994" s="2335"/>
      <c r="CEH994" s="2335"/>
      <c r="CEI994" s="2335"/>
      <c r="CEJ994" s="2335"/>
      <c r="CEK994" s="2335"/>
      <c r="CEL994" s="2335"/>
      <c r="CEM994" s="2335"/>
      <c r="CEN994" s="2335"/>
      <c r="CEO994" s="2335"/>
      <c r="CEP994" s="2335"/>
      <c r="CEQ994" s="2335"/>
      <c r="CER994" s="2335"/>
      <c r="CES994" s="2335"/>
      <c r="CET994" s="2335"/>
      <c r="CEU994" s="2335"/>
      <c r="CEV994" s="2335"/>
      <c r="CEW994" s="2335"/>
      <c r="CEX994" s="2335"/>
      <c r="CEY994" s="2335"/>
      <c r="CEZ994" s="2335"/>
      <c r="CFA994" s="2335"/>
      <c r="CFB994" s="2335"/>
      <c r="CFC994" s="2335"/>
      <c r="CFD994" s="2335"/>
      <c r="CFE994" s="2335"/>
      <c r="CFF994" s="2335"/>
      <c r="CFG994" s="2335"/>
      <c r="CFH994" s="2335"/>
      <c r="CFI994" s="2335"/>
      <c r="CFJ994" s="2335"/>
      <c r="CFK994" s="2335"/>
      <c r="CFL994" s="2335"/>
      <c r="CFM994" s="2335"/>
      <c r="CFN994" s="2335"/>
      <c r="CFO994" s="2335"/>
      <c r="CFP994" s="2335"/>
      <c r="CFQ994" s="2335"/>
      <c r="CFR994" s="2335"/>
      <c r="CFS994" s="2335"/>
      <c r="CFT994" s="2335"/>
      <c r="CFU994" s="2335"/>
      <c r="CFV994" s="2335"/>
      <c r="CFW994" s="2335"/>
      <c r="CFX994" s="2335"/>
      <c r="CFY994" s="2335"/>
      <c r="CFZ994" s="2335"/>
      <c r="CGA994" s="2335"/>
      <c r="CGB994" s="2335"/>
      <c r="CGC994" s="2335"/>
      <c r="CGD994" s="2335"/>
      <c r="CGE994" s="2335"/>
      <c r="CGF994" s="2335"/>
      <c r="CGG994" s="2335"/>
      <c r="CGH994" s="2335"/>
      <c r="CGI994" s="2335"/>
      <c r="CGJ994" s="2335"/>
      <c r="CGK994" s="2335"/>
      <c r="CGL994" s="2335"/>
      <c r="CGM994" s="2335"/>
      <c r="CGN994" s="2335"/>
      <c r="CGO994" s="2335"/>
      <c r="CGP994" s="2335"/>
      <c r="CGQ994" s="2335"/>
      <c r="CGR994" s="2335"/>
      <c r="CGS994" s="2335"/>
      <c r="CGT994" s="2335"/>
      <c r="CGU994" s="2335"/>
      <c r="CGV994" s="2335"/>
      <c r="CGW994" s="2335"/>
      <c r="CGX994" s="2335"/>
      <c r="CGY994" s="2335"/>
      <c r="CGZ994" s="2335"/>
      <c r="CHA994" s="2335"/>
      <c r="CHB994" s="2335"/>
      <c r="CHC994" s="2335"/>
      <c r="CHD994" s="2335"/>
      <c r="CHE994" s="2335"/>
      <c r="CHF994" s="2335"/>
      <c r="CHG994" s="2335"/>
      <c r="CHH994" s="2335"/>
      <c r="CHI994" s="2335"/>
      <c r="CHJ994" s="2335"/>
      <c r="CHK994" s="2335"/>
      <c r="CHL994" s="2335"/>
      <c r="CHM994" s="2335"/>
      <c r="CHN994" s="2335"/>
      <c r="CHO994" s="2335"/>
      <c r="CHP994" s="2335"/>
      <c r="CHQ994" s="2335"/>
      <c r="CHR994" s="2335"/>
      <c r="CHS994" s="2335"/>
      <c r="CHT994" s="2335"/>
      <c r="CHU994" s="2335"/>
      <c r="CHV994" s="2335"/>
      <c r="CHW994" s="2335"/>
      <c r="CHX994" s="2335"/>
      <c r="CHY994" s="2335"/>
      <c r="CHZ994" s="2335"/>
      <c r="CIA994" s="2335"/>
      <c r="CIB994" s="2335"/>
      <c r="CIC994" s="2335"/>
      <c r="CID994" s="2335"/>
      <c r="CIE994" s="2335"/>
      <c r="CIF994" s="2335"/>
      <c r="CIG994" s="2335"/>
      <c r="CIH994" s="2335"/>
      <c r="CII994" s="2335"/>
      <c r="CIJ994" s="2335"/>
      <c r="CIK994" s="2335"/>
      <c r="CIL994" s="2335"/>
      <c r="CIM994" s="2335"/>
      <c r="CIN994" s="2335"/>
      <c r="CIO994" s="2335"/>
      <c r="CIP994" s="2335"/>
      <c r="CIQ994" s="2335"/>
      <c r="CIR994" s="2335"/>
      <c r="CIS994" s="2335"/>
      <c r="CIT994" s="2335"/>
      <c r="CIU994" s="2335"/>
      <c r="CIV994" s="2335"/>
      <c r="CIW994" s="2335"/>
      <c r="CIX994" s="2335"/>
      <c r="CIY994" s="2335"/>
      <c r="CIZ994" s="2335"/>
      <c r="CJA994" s="2335"/>
      <c r="CJB994" s="2335"/>
      <c r="CJC994" s="2335"/>
      <c r="CJD994" s="2335"/>
      <c r="CJE994" s="2335"/>
      <c r="CJF994" s="2335"/>
      <c r="CJG994" s="2335"/>
      <c r="CJH994" s="2335"/>
      <c r="CJI994" s="2335"/>
      <c r="CJJ994" s="2335"/>
      <c r="CJK994" s="2335"/>
      <c r="CJL994" s="2335"/>
      <c r="CJM994" s="2335"/>
      <c r="CJN994" s="2335"/>
      <c r="CJO994" s="2335"/>
      <c r="CJP994" s="2335"/>
      <c r="CJQ994" s="2335"/>
      <c r="CJR994" s="2335"/>
      <c r="CJS994" s="2335"/>
      <c r="CJT994" s="2335"/>
      <c r="CJU994" s="2335"/>
      <c r="CJV994" s="2335"/>
      <c r="CJW994" s="2335"/>
      <c r="CJX994" s="2335"/>
      <c r="CJY994" s="2335"/>
      <c r="CJZ994" s="2335"/>
      <c r="CKA994" s="2335"/>
      <c r="CKB994" s="2335"/>
      <c r="CKC994" s="2335"/>
      <c r="CKD994" s="2335"/>
      <c r="CKE994" s="2335"/>
      <c r="CKF994" s="2335"/>
      <c r="CKG994" s="2335"/>
      <c r="CKH994" s="2335"/>
      <c r="CKI994" s="2335"/>
      <c r="CKJ994" s="2335"/>
      <c r="CKK994" s="2335"/>
      <c r="CKL994" s="2335"/>
      <c r="CKM994" s="2335"/>
      <c r="CKN994" s="2335"/>
      <c r="CKO994" s="2335"/>
      <c r="CKP994" s="2335"/>
      <c r="CKQ994" s="2335"/>
      <c r="CKR994" s="2335"/>
      <c r="CKS994" s="2335"/>
      <c r="CKT994" s="2335"/>
      <c r="CKU994" s="2335"/>
      <c r="CKV994" s="2335"/>
      <c r="CKW994" s="2335"/>
      <c r="CKX994" s="2335"/>
      <c r="CKY994" s="2335"/>
      <c r="CKZ994" s="2335"/>
      <c r="CLA994" s="2335"/>
      <c r="CLB994" s="2335"/>
      <c r="CLC994" s="2335"/>
      <c r="CLD994" s="2335"/>
      <c r="CLE994" s="2335"/>
      <c r="CLF994" s="2335"/>
      <c r="CLG994" s="2335"/>
      <c r="CLH994" s="2335"/>
      <c r="CLI994" s="2335"/>
      <c r="CLJ994" s="2335"/>
      <c r="CLK994" s="2335"/>
      <c r="CLL994" s="2335"/>
      <c r="CLM994" s="2335"/>
      <c r="CLN994" s="2335"/>
      <c r="CLO994" s="2335"/>
      <c r="CLP994" s="2335"/>
      <c r="CLQ994" s="2335"/>
      <c r="CLR994" s="2335"/>
      <c r="CLS994" s="2335"/>
      <c r="CLT994" s="2335"/>
      <c r="CLU994" s="2335"/>
      <c r="CLV994" s="2335"/>
      <c r="CLW994" s="2335"/>
      <c r="CLX994" s="2335"/>
      <c r="CLY994" s="2335"/>
      <c r="CLZ994" s="2335"/>
      <c r="CMA994" s="2335"/>
      <c r="CMB994" s="2335"/>
      <c r="CMC994" s="2335"/>
      <c r="CMD994" s="2335"/>
      <c r="CME994" s="2335"/>
      <c r="CMF994" s="2335"/>
      <c r="CMG994" s="2335"/>
      <c r="CMH994" s="2335"/>
      <c r="CMI994" s="2335"/>
      <c r="CMJ994" s="2335"/>
      <c r="CMK994" s="2335"/>
      <c r="CML994" s="2335"/>
      <c r="CMM994" s="2335"/>
      <c r="CMN994" s="2335"/>
      <c r="CMO994" s="2335"/>
      <c r="CMP994" s="2335"/>
      <c r="CMQ994" s="2335"/>
      <c r="CMR994" s="2335"/>
      <c r="CMS994" s="2335"/>
      <c r="CMT994" s="2335"/>
      <c r="CMU994" s="2335"/>
      <c r="CMV994" s="2335"/>
      <c r="CMW994" s="2335"/>
      <c r="CMX994" s="2335"/>
      <c r="CMY994" s="2335"/>
      <c r="CMZ994" s="2335"/>
      <c r="CNA994" s="2335"/>
      <c r="CNB994" s="2335"/>
      <c r="CNC994" s="2335"/>
      <c r="CND994" s="2335"/>
      <c r="CNE994" s="2335"/>
      <c r="CNF994" s="2335"/>
      <c r="CNG994" s="2335"/>
      <c r="CNH994" s="2335"/>
      <c r="CNI994" s="2335"/>
      <c r="CNJ994" s="2335"/>
      <c r="CNK994" s="2335"/>
      <c r="CNL994" s="2335"/>
      <c r="CNM994" s="2335"/>
      <c r="CNN994" s="2335"/>
      <c r="CNO994" s="2335"/>
      <c r="CNP994" s="2335"/>
      <c r="CNQ994" s="2335"/>
      <c r="CNR994" s="2335"/>
      <c r="CNS994" s="2335"/>
      <c r="CNT994" s="2335"/>
      <c r="CNU994" s="2335"/>
      <c r="CNV994" s="2335"/>
      <c r="CNW994" s="2335"/>
      <c r="CNX994" s="2335"/>
      <c r="CNY994" s="2335"/>
      <c r="CNZ994" s="2335"/>
      <c r="COA994" s="2335"/>
      <c r="COB994" s="2335"/>
      <c r="COC994" s="2335"/>
      <c r="COD994" s="2335"/>
      <c r="COE994" s="2335"/>
      <c r="COF994" s="2335"/>
      <c r="COG994" s="2335"/>
      <c r="COH994" s="2335"/>
      <c r="COI994" s="2335"/>
      <c r="COJ994" s="2335"/>
      <c r="COK994" s="2335"/>
      <c r="COL994" s="2335"/>
      <c r="COM994" s="2335"/>
      <c r="CON994" s="2335"/>
      <c r="COO994" s="2335"/>
      <c r="COP994" s="2335"/>
      <c r="COQ994" s="2335"/>
      <c r="COR994" s="2335"/>
      <c r="COS994" s="2335"/>
      <c r="COT994" s="2335"/>
      <c r="COU994" s="2335"/>
      <c r="COV994" s="2335"/>
      <c r="COW994" s="2335"/>
      <c r="COX994" s="2335"/>
      <c r="COY994" s="2335"/>
      <c r="COZ994" s="2335"/>
      <c r="CPA994" s="2335"/>
      <c r="CPB994" s="2335"/>
      <c r="CPC994" s="2335"/>
      <c r="CPD994" s="2335"/>
      <c r="CPE994" s="2335"/>
      <c r="CPF994" s="2335"/>
      <c r="CPG994" s="2335"/>
      <c r="CPH994" s="2335"/>
      <c r="CPI994" s="2335"/>
      <c r="CPJ994" s="2335"/>
      <c r="CPK994" s="2335"/>
      <c r="CPL994" s="2335"/>
      <c r="CPM994" s="2335"/>
      <c r="CPN994" s="2335"/>
      <c r="CPO994" s="2335"/>
      <c r="CPP994" s="2335"/>
      <c r="CPQ994" s="2335"/>
      <c r="CPR994" s="2335"/>
      <c r="CPS994" s="2335"/>
      <c r="CPT994" s="2335"/>
      <c r="CPU994" s="2335"/>
      <c r="CPV994" s="2335"/>
      <c r="CPW994" s="2335"/>
      <c r="CPX994" s="2335"/>
      <c r="CPY994" s="2335"/>
      <c r="CPZ994" s="2335"/>
      <c r="CQA994" s="2335"/>
      <c r="CQB994" s="2335"/>
      <c r="CQC994" s="2335"/>
      <c r="CQD994" s="2335"/>
      <c r="CQE994" s="2335"/>
      <c r="CQF994" s="2335"/>
      <c r="CQG994" s="2335"/>
      <c r="CQH994" s="2335"/>
      <c r="CQI994" s="2335"/>
      <c r="CQJ994" s="2335"/>
      <c r="CQK994" s="2335"/>
      <c r="CQL994" s="2335"/>
      <c r="CQM994" s="2335"/>
      <c r="CQN994" s="2335"/>
      <c r="CQO994" s="2335"/>
      <c r="CQP994" s="2335"/>
      <c r="CQQ994" s="2335"/>
      <c r="CQR994" s="2335"/>
      <c r="CQS994" s="2335"/>
      <c r="CQT994" s="2335"/>
      <c r="CQU994" s="2335"/>
      <c r="CQV994" s="2335"/>
      <c r="CQW994" s="2335"/>
      <c r="CQX994" s="2335"/>
      <c r="CQY994" s="2335"/>
      <c r="CQZ994" s="2335"/>
      <c r="CRA994" s="2335"/>
      <c r="CRB994" s="2335"/>
      <c r="CRC994" s="2335"/>
      <c r="CRD994" s="2335"/>
      <c r="CRE994" s="2335"/>
      <c r="CRF994" s="2335"/>
      <c r="CRG994" s="2335"/>
      <c r="CRH994" s="2335"/>
      <c r="CRI994" s="2335"/>
      <c r="CRJ994" s="2335"/>
      <c r="CRK994" s="2335"/>
      <c r="CRL994" s="2335"/>
      <c r="CRM994" s="2335"/>
      <c r="CRN994" s="2335"/>
      <c r="CRO994" s="2335"/>
      <c r="CRP994" s="2335"/>
      <c r="CRQ994" s="2335"/>
      <c r="CRR994" s="2335"/>
      <c r="CRS994" s="2335"/>
      <c r="CRT994" s="2335"/>
      <c r="CRU994" s="2335"/>
      <c r="CRV994" s="2335"/>
      <c r="CRW994" s="2335"/>
      <c r="CRX994" s="2335"/>
      <c r="CRY994" s="2335"/>
      <c r="CRZ994" s="2335"/>
      <c r="CSA994" s="2335"/>
      <c r="CSB994" s="2335"/>
      <c r="CSC994" s="2335"/>
      <c r="CSD994" s="2335"/>
      <c r="CSE994" s="2335"/>
      <c r="CSF994" s="2335"/>
      <c r="CSG994" s="2335"/>
      <c r="CSH994" s="2335"/>
      <c r="CSI994" s="2335"/>
      <c r="CSJ994" s="2335"/>
      <c r="CSK994" s="2335"/>
      <c r="CSL994" s="2335"/>
      <c r="CSM994" s="2335"/>
      <c r="CSN994" s="2335"/>
      <c r="CSO994" s="2335"/>
      <c r="CSP994" s="2335"/>
      <c r="CSQ994" s="2335"/>
      <c r="CSR994" s="2335"/>
      <c r="CSS994" s="2335"/>
      <c r="CST994" s="2335"/>
      <c r="CSU994" s="2335"/>
      <c r="CSV994" s="2335"/>
      <c r="CSW994" s="2335"/>
      <c r="CSX994" s="2335"/>
      <c r="CSY994" s="2335"/>
      <c r="CSZ994" s="2335"/>
      <c r="CTA994" s="2335"/>
      <c r="CTB994" s="2335"/>
      <c r="CTC994" s="2335"/>
      <c r="CTD994" s="2335"/>
      <c r="CTE994" s="2335"/>
      <c r="CTF994" s="2335"/>
      <c r="CTG994" s="2335"/>
      <c r="CTH994" s="2335"/>
      <c r="CTI994" s="2335"/>
      <c r="CTJ994" s="2335"/>
      <c r="CTK994" s="2335"/>
      <c r="CTL994" s="2335"/>
      <c r="CTM994" s="2335"/>
      <c r="CTN994" s="2335"/>
      <c r="CTO994" s="2335"/>
      <c r="CTP994" s="2335"/>
      <c r="CTQ994" s="2335"/>
      <c r="CTR994" s="2335"/>
      <c r="CTS994" s="2335"/>
      <c r="CTT994" s="2335"/>
      <c r="CTU994" s="2335"/>
      <c r="CTV994" s="2335"/>
      <c r="CTW994" s="2335"/>
      <c r="CTX994" s="2335"/>
      <c r="CTY994" s="2335"/>
      <c r="CTZ994" s="2335"/>
      <c r="CUA994" s="2335"/>
      <c r="CUB994" s="2335"/>
      <c r="CUC994" s="2335"/>
      <c r="CUD994" s="2335"/>
      <c r="CUE994" s="2335"/>
      <c r="CUF994" s="2335"/>
      <c r="CUG994" s="2335"/>
      <c r="CUH994" s="2335"/>
      <c r="CUI994" s="2335"/>
      <c r="CUJ994" s="2335"/>
      <c r="CUK994" s="2335"/>
      <c r="CUL994" s="2335"/>
      <c r="CUM994" s="2335"/>
      <c r="CUN994" s="2335"/>
      <c r="CUO994" s="2335"/>
      <c r="CUP994" s="2335"/>
      <c r="CUQ994" s="2335"/>
      <c r="CUR994" s="2335"/>
      <c r="CUS994" s="2335"/>
      <c r="CUT994" s="2335"/>
      <c r="CUU994" s="2335"/>
      <c r="CUV994" s="2335"/>
      <c r="CUW994" s="2335"/>
      <c r="CUX994" s="2335"/>
      <c r="CUY994" s="2335"/>
      <c r="CUZ994" s="2335"/>
      <c r="CVA994" s="2335"/>
      <c r="CVB994" s="2335"/>
      <c r="CVC994" s="2335"/>
      <c r="CVD994" s="2335"/>
      <c r="CVE994" s="2335"/>
      <c r="CVF994" s="2335"/>
      <c r="CVG994" s="2335"/>
      <c r="CVH994" s="2335"/>
      <c r="CVI994" s="2335"/>
      <c r="CVJ994" s="2335"/>
      <c r="CVK994" s="2335"/>
      <c r="CVL994" s="2335"/>
      <c r="CVM994" s="2335"/>
      <c r="CVN994" s="2335"/>
      <c r="CVO994" s="2335"/>
      <c r="CVP994" s="2335"/>
      <c r="CVQ994" s="2335"/>
      <c r="CVR994" s="2335"/>
      <c r="CVS994" s="2335"/>
      <c r="CVT994" s="2335"/>
      <c r="CVU994" s="2335"/>
      <c r="CVV994" s="2335"/>
      <c r="CVW994" s="2335"/>
      <c r="CVX994" s="2335"/>
      <c r="CVY994" s="2335"/>
      <c r="CVZ994" s="2335"/>
      <c r="CWA994" s="2335"/>
      <c r="CWB994" s="2335"/>
      <c r="CWC994" s="2335"/>
      <c r="CWD994" s="2335"/>
      <c r="CWE994" s="2335"/>
      <c r="CWF994" s="2335"/>
      <c r="CWG994" s="2335"/>
      <c r="CWH994" s="2335"/>
      <c r="CWI994" s="2335"/>
      <c r="CWJ994" s="2335"/>
      <c r="CWK994" s="2335"/>
      <c r="CWL994" s="2335"/>
      <c r="CWM994" s="2335"/>
      <c r="CWN994" s="2335"/>
      <c r="CWO994" s="2335"/>
      <c r="CWP994" s="2335"/>
      <c r="CWQ994" s="2335"/>
      <c r="CWR994" s="2335"/>
      <c r="CWS994" s="2335"/>
      <c r="CWT994" s="2335"/>
      <c r="CWU994" s="2335"/>
      <c r="CWV994" s="2335"/>
      <c r="CWW994" s="2335"/>
      <c r="CWX994" s="2335"/>
      <c r="CWY994" s="2335"/>
      <c r="CWZ994" s="2335"/>
      <c r="CXA994" s="2335"/>
      <c r="CXB994" s="2335"/>
      <c r="CXC994" s="2335"/>
      <c r="CXD994" s="2335"/>
      <c r="CXE994" s="2335"/>
      <c r="CXF994" s="2335"/>
      <c r="CXG994" s="2335"/>
      <c r="CXH994" s="2335"/>
      <c r="CXI994" s="2335"/>
      <c r="CXJ994" s="2335"/>
      <c r="CXK994" s="2335"/>
      <c r="CXL994" s="2335"/>
      <c r="CXM994" s="2335"/>
      <c r="CXN994" s="2335"/>
      <c r="CXO994" s="2335"/>
      <c r="CXP994" s="2335"/>
      <c r="CXQ994" s="2335"/>
      <c r="CXR994" s="2335"/>
      <c r="CXS994" s="2335"/>
      <c r="CXT994" s="2335"/>
      <c r="CXU994" s="2335"/>
      <c r="CXV994" s="2335"/>
      <c r="CXW994" s="2335"/>
      <c r="CXX994" s="2335"/>
      <c r="CXY994" s="2335"/>
      <c r="CXZ994" s="2335"/>
      <c r="CYA994" s="2335"/>
      <c r="CYB994" s="2335"/>
      <c r="CYC994" s="2335"/>
      <c r="CYD994" s="2335"/>
      <c r="CYE994" s="2335"/>
      <c r="CYF994" s="2335"/>
      <c r="CYG994" s="2335"/>
      <c r="CYH994" s="2335"/>
      <c r="CYI994" s="2335"/>
      <c r="CYJ994" s="2335"/>
      <c r="CYK994" s="2335"/>
      <c r="CYL994" s="2335"/>
      <c r="CYM994" s="2335"/>
      <c r="CYN994" s="2335"/>
      <c r="CYO994" s="2335"/>
      <c r="CYP994" s="2335"/>
      <c r="CYQ994" s="2335"/>
      <c r="CYR994" s="2335"/>
      <c r="CYS994" s="2335"/>
      <c r="CYT994" s="2335"/>
      <c r="CYU994" s="2335"/>
      <c r="CYV994" s="2335"/>
      <c r="CYW994" s="2335"/>
      <c r="CYX994" s="2335"/>
      <c r="CYY994" s="2335"/>
      <c r="CYZ994" s="2335"/>
      <c r="CZA994" s="2335"/>
      <c r="CZB994" s="2335"/>
      <c r="CZC994" s="2335"/>
      <c r="CZD994" s="2335"/>
      <c r="CZE994" s="2335"/>
      <c r="CZF994" s="2335"/>
      <c r="CZG994" s="2335"/>
      <c r="CZH994" s="2335"/>
      <c r="CZI994" s="2335"/>
      <c r="CZJ994" s="2335"/>
      <c r="CZK994" s="2335"/>
      <c r="CZL994" s="2335"/>
      <c r="CZM994" s="2335"/>
      <c r="CZN994" s="2335"/>
      <c r="CZO994" s="2335"/>
      <c r="CZP994" s="2335"/>
      <c r="CZQ994" s="2335"/>
      <c r="CZR994" s="2335"/>
      <c r="CZS994" s="2335"/>
      <c r="CZT994" s="2335"/>
      <c r="CZU994" s="2335"/>
      <c r="CZV994" s="2335"/>
      <c r="CZW994" s="2335"/>
      <c r="CZX994" s="2335"/>
      <c r="CZY994" s="2335"/>
      <c r="CZZ994" s="2335"/>
      <c r="DAA994" s="2335"/>
      <c r="DAB994" s="2335"/>
      <c r="DAC994" s="2335"/>
      <c r="DAD994" s="2335"/>
      <c r="DAE994" s="2335"/>
      <c r="DAF994" s="2335"/>
      <c r="DAG994" s="2335"/>
      <c r="DAH994" s="2335"/>
      <c r="DAI994" s="2335"/>
      <c r="DAJ994" s="2335"/>
      <c r="DAK994" s="2335"/>
      <c r="DAL994" s="2335"/>
      <c r="DAM994" s="2335"/>
      <c r="DAN994" s="2335"/>
      <c r="DAO994" s="2335"/>
      <c r="DAP994" s="2335"/>
      <c r="DAQ994" s="2335"/>
      <c r="DAR994" s="2335"/>
      <c r="DAS994" s="2335"/>
      <c r="DAT994" s="2335"/>
      <c r="DAU994" s="2335"/>
      <c r="DAV994" s="2335"/>
      <c r="DAW994" s="2335"/>
      <c r="DAX994" s="2335"/>
      <c r="DAY994" s="2335"/>
      <c r="DAZ994" s="2335"/>
      <c r="DBA994" s="2335"/>
      <c r="DBB994" s="2335"/>
      <c r="DBC994" s="2335"/>
      <c r="DBD994" s="2335"/>
      <c r="DBE994" s="2335"/>
      <c r="DBF994" s="2335"/>
      <c r="DBG994" s="2335"/>
      <c r="DBH994" s="2335"/>
      <c r="DBI994" s="2335"/>
      <c r="DBJ994" s="2335"/>
      <c r="DBK994" s="2335"/>
      <c r="DBL994" s="2335"/>
      <c r="DBM994" s="2335"/>
      <c r="DBN994" s="2335"/>
      <c r="DBO994" s="2335"/>
      <c r="DBP994" s="2335"/>
      <c r="DBQ994" s="2335"/>
      <c r="DBR994" s="2335"/>
      <c r="DBS994" s="2335"/>
      <c r="DBT994" s="2335"/>
      <c r="DBU994" s="2335"/>
      <c r="DBV994" s="2335"/>
      <c r="DBW994" s="2335"/>
      <c r="DBX994" s="2335"/>
      <c r="DBY994" s="2335"/>
      <c r="DBZ994" s="2335"/>
      <c r="DCA994" s="2335"/>
      <c r="DCB994" s="2335"/>
      <c r="DCC994" s="2335"/>
      <c r="DCD994" s="2335"/>
      <c r="DCE994" s="2335"/>
      <c r="DCF994" s="2335"/>
      <c r="DCG994" s="2335"/>
      <c r="DCH994" s="2335"/>
      <c r="DCI994" s="2335"/>
      <c r="DCJ994" s="2335"/>
      <c r="DCK994" s="2335"/>
      <c r="DCL994" s="2335"/>
      <c r="DCM994" s="2335"/>
      <c r="DCN994" s="2335"/>
      <c r="DCO994" s="2335"/>
      <c r="DCP994" s="2335"/>
      <c r="DCQ994" s="2335"/>
      <c r="DCR994" s="2335"/>
      <c r="DCS994" s="2335"/>
      <c r="DCT994" s="2335"/>
      <c r="DCU994" s="2335"/>
      <c r="DCV994" s="2335"/>
      <c r="DCW994" s="2335"/>
      <c r="DCX994" s="2335"/>
      <c r="DCY994" s="2335"/>
      <c r="DCZ994" s="2335"/>
      <c r="DDA994" s="2335"/>
      <c r="DDB994" s="2335"/>
      <c r="DDC994" s="2335"/>
      <c r="DDD994" s="2335"/>
      <c r="DDE994" s="2335"/>
      <c r="DDF994" s="2335"/>
      <c r="DDG994" s="2335"/>
      <c r="DDH994" s="2335"/>
      <c r="DDI994" s="2335"/>
      <c r="DDJ994" s="2335"/>
      <c r="DDK994" s="2335"/>
      <c r="DDL994" s="2335"/>
      <c r="DDM994" s="2335"/>
      <c r="DDN994" s="2335"/>
      <c r="DDO994" s="2335"/>
      <c r="DDP994" s="2335"/>
      <c r="DDQ994" s="2335"/>
      <c r="DDR994" s="2335"/>
      <c r="DDS994" s="2335"/>
      <c r="DDT994" s="2335"/>
      <c r="DDU994" s="2335"/>
      <c r="DDV994" s="2335"/>
      <c r="DDW994" s="2335"/>
      <c r="DDX994" s="2335"/>
      <c r="DDY994" s="2335"/>
      <c r="DDZ994" s="2335"/>
      <c r="DEA994" s="2335"/>
      <c r="DEB994" s="2335"/>
      <c r="DEC994" s="2335"/>
      <c r="DED994" s="2335"/>
      <c r="DEE994" s="2335"/>
      <c r="DEF994" s="2335"/>
      <c r="DEG994" s="2335"/>
      <c r="DEH994" s="2335"/>
      <c r="DEI994" s="2335"/>
      <c r="DEJ994" s="2335"/>
      <c r="DEK994" s="2335"/>
      <c r="DEL994" s="2335"/>
      <c r="DEM994" s="2335"/>
      <c r="DEN994" s="2335"/>
      <c r="DEO994" s="2335"/>
      <c r="DEP994" s="2335"/>
      <c r="DEQ994" s="2335"/>
      <c r="DER994" s="2335"/>
      <c r="DES994" s="2335"/>
      <c r="DET994" s="2335"/>
      <c r="DEU994" s="2335"/>
      <c r="DEV994" s="2335"/>
      <c r="DEW994" s="2335"/>
      <c r="DEX994" s="2335"/>
      <c r="DEY994" s="2335"/>
      <c r="DEZ994" s="2335"/>
      <c r="DFA994" s="2335"/>
      <c r="DFB994" s="2335"/>
      <c r="DFC994" s="2335"/>
      <c r="DFD994" s="2335"/>
      <c r="DFE994" s="2335"/>
      <c r="DFF994" s="2335"/>
      <c r="DFG994" s="2335"/>
      <c r="DFH994" s="2335"/>
      <c r="DFI994" s="2335"/>
      <c r="DFJ994" s="2335"/>
      <c r="DFK994" s="2335"/>
      <c r="DFL994" s="2335"/>
      <c r="DFM994" s="2335"/>
      <c r="DFN994" s="2335"/>
      <c r="DFO994" s="2335"/>
      <c r="DFP994" s="2335"/>
      <c r="DFQ994" s="2335"/>
      <c r="DFR994" s="2335"/>
      <c r="DFS994" s="2335"/>
      <c r="DFT994" s="2335"/>
      <c r="DFU994" s="2335"/>
      <c r="DFV994" s="2335"/>
      <c r="DFW994" s="2335"/>
      <c r="DFX994" s="2335"/>
      <c r="DFY994" s="2335"/>
      <c r="DFZ994" s="2335"/>
      <c r="DGA994" s="2335"/>
      <c r="DGB994" s="2335"/>
      <c r="DGC994" s="2335"/>
      <c r="DGD994" s="2335"/>
      <c r="DGE994" s="2335"/>
      <c r="DGF994" s="2335"/>
      <c r="DGG994" s="2335"/>
      <c r="DGH994" s="2335"/>
      <c r="DGI994" s="2335"/>
      <c r="DGJ994" s="2335"/>
      <c r="DGK994" s="2335"/>
      <c r="DGL994" s="2335"/>
      <c r="DGM994" s="2335"/>
      <c r="DGN994" s="2335"/>
      <c r="DGO994" s="2335"/>
      <c r="DGP994" s="2335"/>
      <c r="DGQ994" s="2335"/>
      <c r="DGR994" s="2335"/>
      <c r="DGS994" s="2335"/>
      <c r="DGT994" s="2335"/>
      <c r="DGU994" s="2335"/>
      <c r="DGV994" s="2335"/>
      <c r="DGW994" s="2335"/>
      <c r="DGX994" s="2335"/>
      <c r="DGY994" s="2335"/>
      <c r="DGZ994" s="2335"/>
      <c r="DHA994" s="2335"/>
      <c r="DHB994" s="2335"/>
      <c r="DHC994" s="2335"/>
      <c r="DHD994" s="2335"/>
      <c r="DHE994" s="2335"/>
      <c r="DHF994" s="2335"/>
      <c r="DHG994" s="2335"/>
      <c r="DHH994" s="2335"/>
      <c r="DHI994" s="2335"/>
      <c r="DHJ994" s="2335"/>
      <c r="DHK994" s="2335"/>
      <c r="DHL994" s="2335"/>
      <c r="DHM994" s="2335"/>
      <c r="DHN994" s="2335"/>
      <c r="DHO994" s="2335"/>
      <c r="DHP994" s="2335"/>
      <c r="DHQ994" s="2335"/>
      <c r="DHR994" s="2335"/>
      <c r="DHS994" s="2335"/>
      <c r="DHT994" s="2335"/>
      <c r="DHU994" s="2335"/>
      <c r="DHV994" s="2335"/>
      <c r="DHW994" s="2335"/>
      <c r="DHX994" s="2335"/>
      <c r="DHY994" s="2335"/>
      <c r="DHZ994" s="2335"/>
      <c r="DIA994" s="2335"/>
      <c r="DIB994" s="2335"/>
      <c r="DIC994" s="2335"/>
      <c r="DID994" s="2335"/>
      <c r="DIE994" s="2335"/>
      <c r="DIF994" s="2335"/>
      <c r="DIG994" s="2335"/>
      <c r="DIH994" s="2335"/>
      <c r="DII994" s="2335"/>
      <c r="DIJ994" s="2335"/>
      <c r="DIK994" s="2335"/>
      <c r="DIL994" s="2335"/>
      <c r="DIM994" s="2335"/>
      <c r="DIN994" s="2335"/>
      <c r="DIO994" s="2335"/>
      <c r="DIP994" s="2335"/>
      <c r="DIQ994" s="2335"/>
      <c r="DIR994" s="2335"/>
      <c r="DIS994" s="2335"/>
      <c r="DIT994" s="2335"/>
      <c r="DIU994" s="2335"/>
      <c r="DIV994" s="2335"/>
      <c r="DIW994" s="2335"/>
      <c r="DIX994" s="2335"/>
      <c r="DIY994" s="2335"/>
      <c r="DIZ994" s="2335"/>
      <c r="DJA994" s="2335"/>
      <c r="DJB994" s="2335"/>
      <c r="DJC994" s="2335"/>
      <c r="DJD994" s="2335"/>
      <c r="DJE994" s="2335"/>
      <c r="DJF994" s="2335"/>
      <c r="DJG994" s="2335"/>
      <c r="DJH994" s="2335"/>
      <c r="DJI994" s="2335"/>
      <c r="DJJ994" s="2335"/>
      <c r="DJK994" s="2335"/>
      <c r="DJL994" s="2335"/>
      <c r="DJM994" s="2335"/>
      <c r="DJN994" s="2335"/>
      <c r="DJO994" s="2335"/>
      <c r="DJP994" s="2335"/>
      <c r="DJQ994" s="2335"/>
      <c r="DJR994" s="2335"/>
      <c r="DJS994" s="2335"/>
      <c r="DJT994" s="2335"/>
      <c r="DJU994" s="2335"/>
      <c r="DJV994" s="2335"/>
      <c r="DJW994" s="2335"/>
      <c r="DJX994" s="2335"/>
      <c r="DJY994" s="2335"/>
      <c r="DJZ994" s="2335"/>
      <c r="DKA994" s="2335"/>
      <c r="DKB994" s="2335"/>
      <c r="DKC994" s="2335"/>
      <c r="DKD994" s="2335"/>
      <c r="DKE994" s="2335"/>
      <c r="DKF994" s="2335"/>
      <c r="DKG994" s="2335"/>
      <c r="DKH994" s="2335"/>
      <c r="DKI994" s="2335"/>
      <c r="DKJ994" s="2335"/>
      <c r="DKK994" s="2335"/>
      <c r="DKL994" s="2335"/>
      <c r="DKM994" s="2335"/>
      <c r="DKN994" s="2335"/>
      <c r="DKO994" s="2335"/>
      <c r="DKP994" s="2335"/>
      <c r="DKQ994" s="2335"/>
      <c r="DKR994" s="2335"/>
      <c r="DKS994" s="2335"/>
      <c r="DKT994" s="2335"/>
      <c r="DKU994" s="2335"/>
      <c r="DKV994" s="2335"/>
      <c r="DKW994" s="2335"/>
      <c r="DKX994" s="2335"/>
      <c r="DKY994" s="2335"/>
      <c r="DKZ994" s="2335"/>
      <c r="DLA994" s="2335"/>
      <c r="DLB994" s="2335"/>
      <c r="DLC994" s="2335"/>
      <c r="DLD994" s="2335"/>
      <c r="DLE994" s="2335"/>
      <c r="DLF994" s="2335"/>
      <c r="DLG994" s="2335"/>
      <c r="DLH994" s="2335"/>
      <c r="DLI994" s="2335"/>
      <c r="DLJ994" s="2335"/>
      <c r="DLK994" s="2335"/>
      <c r="DLL994" s="2335"/>
      <c r="DLM994" s="2335"/>
      <c r="DLN994" s="2335"/>
      <c r="DLO994" s="2335"/>
      <c r="DLP994" s="2335"/>
      <c r="DLQ994" s="2335"/>
      <c r="DLR994" s="2335"/>
      <c r="DLS994" s="2335"/>
      <c r="DLT994" s="2335"/>
      <c r="DLU994" s="2335"/>
      <c r="DLV994" s="2335"/>
      <c r="DLW994" s="2335"/>
      <c r="DLX994" s="2335"/>
      <c r="DLY994" s="2335"/>
      <c r="DLZ994" s="2335"/>
      <c r="DMA994" s="2335"/>
      <c r="DMB994" s="2335"/>
      <c r="DMC994" s="2335"/>
      <c r="DMD994" s="2335"/>
      <c r="DME994" s="2335"/>
      <c r="DMF994" s="2335"/>
      <c r="DMG994" s="2335"/>
      <c r="DMH994" s="2335"/>
      <c r="DMI994" s="2335"/>
      <c r="DMJ994" s="2335"/>
      <c r="DMK994" s="2335"/>
      <c r="DML994" s="2335"/>
      <c r="DMM994" s="2335"/>
      <c r="DMN994" s="2335"/>
      <c r="DMO994" s="2335"/>
      <c r="DMP994" s="2335"/>
      <c r="DMQ994" s="2335"/>
      <c r="DMR994" s="2335"/>
      <c r="DMS994" s="2335"/>
      <c r="DMT994" s="2335"/>
      <c r="DMU994" s="2335"/>
      <c r="DMV994" s="2335"/>
      <c r="DMW994" s="2335"/>
      <c r="DMX994" s="2335"/>
      <c r="DMY994" s="2335"/>
      <c r="DMZ994" s="2335"/>
      <c r="DNA994" s="2335"/>
      <c r="DNB994" s="2335"/>
      <c r="DNC994" s="2335"/>
      <c r="DND994" s="2335"/>
      <c r="DNE994" s="2335"/>
      <c r="DNF994" s="2335"/>
      <c r="DNG994" s="2335"/>
      <c r="DNH994" s="2335"/>
      <c r="DNI994" s="2335"/>
      <c r="DNJ994" s="2335"/>
      <c r="DNK994" s="2335"/>
      <c r="DNL994" s="2335"/>
      <c r="DNM994" s="2335"/>
      <c r="DNN994" s="2335"/>
      <c r="DNO994" s="2335"/>
      <c r="DNP994" s="2335"/>
      <c r="DNQ994" s="2335"/>
      <c r="DNR994" s="2335"/>
      <c r="DNS994" s="2335"/>
      <c r="DNT994" s="2335"/>
      <c r="DNU994" s="2335"/>
      <c r="DNV994" s="2335"/>
      <c r="DNW994" s="2335"/>
      <c r="DNX994" s="2335"/>
      <c r="DNY994" s="2335"/>
      <c r="DNZ994" s="2335"/>
      <c r="DOA994" s="2335"/>
      <c r="DOB994" s="2335"/>
      <c r="DOC994" s="2335"/>
      <c r="DOD994" s="2335"/>
      <c r="DOE994" s="2335"/>
      <c r="DOF994" s="2335"/>
      <c r="DOG994" s="2335"/>
      <c r="DOH994" s="2335"/>
      <c r="DOI994" s="2335"/>
      <c r="DOJ994" s="2335"/>
      <c r="DOK994" s="2335"/>
      <c r="DOL994" s="2335"/>
      <c r="DOM994" s="2335"/>
      <c r="DON994" s="2335"/>
      <c r="DOO994" s="2335"/>
      <c r="DOP994" s="2335"/>
      <c r="DOQ994" s="2335"/>
      <c r="DOR994" s="2335"/>
      <c r="DOS994" s="2335"/>
      <c r="DOT994" s="2335"/>
      <c r="DOU994" s="2335"/>
      <c r="DOV994" s="2335"/>
      <c r="DOW994" s="2335"/>
      <c r="DOX994" s="2335"/>
      <c r="DOY994" s="2335"/>
      <c r="DOZ994" s="2335"/>
      <c r="DPA994" s="2335"/>
      <c r="DPB994" s="2335"/>
      <c r="DPC994" s="2335"/>
      <c r="DPD994" s="2335"/>
      <c r="DPE994" s="2335"/>
      <c r="DPF994" s="2335"/>
      <c r="DPG994" s="2335"/>
      <c r="DPH994" s="2335"/>
      <c r="DPI994" s="2335"/>
      <c r="DPJ994" s="2335"/>
      <c r="DPK994" s="2335"/>
      <c r="DPL994" s="2335"/>
      <c r="DPM994" s="2335"/>
      <c r="DPN994" s="2335"/>
      <c r="DPO994" s="2335"/>
      <c r="DPP994" s="2335"/>
      <c r="DPQ994" s="2335"/>
      <c r="DPR994" s="2335"/>
      <c r="DPS994" s="2335"/>
      <c r="DPT994" s="2335"/>
      <c r="DPU994" s="2335"/>
      <c r="DPV994" s="2335"/>
      <c r="DPW994" s="2335"/>
      <c r="DPX994" s="2335"/>
      <c r="DPY994" s="2335"/>
      <c r="DPZ994" s="2335"/>
      <c r="DQA994" s="2335"/>
      <c r="DQB994" s="2335"/>
      <c r="DQC994" s="2335"/>
      <c r="DQD994" s="2335"/>
      <c r="DQE994" s="2335"/>
      <c r="DQF994" s="2335"/>
      <c r="DQG994" s="2335"/>
      <c r="DQH994" s="2335"/>
      <c r="DQI994" s="2335"/>
      <c r="DQJ994" s="2335"/>
      <c r="DQK994" s="2335"/>
      <c r="DQL994" s="2335"/>
      <c r="DQM994" s="2335"/>
      <c r="DQN994" s="2335"/>
      <c r="DQO994" s="2335"/>
      <c r="DQP994" s="2335"/>
      <c r="DQQ994" s="2335"/>
      <c r="DQR994" s="2335"/>
      <c r="DQS994" s="2335"/>
      <c r="DQT994" s="2335"/>
      <c r="DQU994" s="2335"/>
      <c r="DQV994" s="2335"/>
      <c r="DQW994" s="2335"/>
      <c r="DQX994" s="2335"/>
      <c r="DQY994" s="2335"/>
      <c r="DQZ994" s="2335"/>
      <c r="DRA994" s="2335"/>
      <c r="DRB994" s="2335"/>
      <c r="DRC994" s="2335"/>
      <c r="DRD994" s="2335"/>
      <c r="DRE994" s="2335"/>
      <c r="DRF994" s="2335"/>
      <c r="DRG994" s="2335"/>
      <c r="DRH994" s="2335"/>
      <c r="DRI994" s="2335"/>
      <c r="DRJ994" s="2335"/>
      <c r="DRK994" s="2335"/>
      <c r="DRL994" s="2335"/>
      <c r="DRM994" s="2335"/>
      <c r="DRN994" s="2335"/>
      <c r="DRO994" s="2335"/>
      <c r="DRP994" s="2335"/>
      <c r="DRQ994" s="2335"/>
      <c r="DRR994" s="2335"/>
      <c r="DRS994" s="2335"/>
      <c r="DRT994" s="2335"/>
      <c r="DRU994" s="2335"/>
      <c r="DRV994" s="2335"/>
      <c r="DRW994" s="2335"/>
      <c r="DRX994" s="2335"/>
      <c r="DRY994" s="2335"/>
      <c r="DRZ994" s="2335"/>
      <c r="DSA994" s="2335"/>
      <c r="DSB994" s="2335"/>
      <c r="DSC994" s="2335"/>
      <c r="DSD994" s="2335"/>
      <c r="DSE994" s="2335"/>
      <c r="DSF994" s="2335"/>
      <c r="DSG994" s="2335"/>
      <c r="DSH994" s="2335"/>
      <c r="DSI994" s="2335"/>
      <c r="DSJ994" s="2335"/>
      <c r="DSK994" s="2335"/>
      <c r="DSL994" s="2335"/>
      <c r="DSM994" s="2335"/>
      <c r="DSN994" s="2335"/>
      <c r="DSO994" s="2335"/>
      <c r="DSP994" s="2335"/>
      <c r="DSQ994" s="2335"/>
      <c r="DSR994" s="2335"/>
      <c r="DSS994" s="2335"/>
      <c r="DST994" s="2335"/>
      <c r="DSU994" s="2335"/>
      <c r="DSV994" s="2335"/>
      <c r="DSW994" s="2335"/>
      <c r="DSX994" s="2335"/>
      <c r="DSY994" s="2335"/>
      <c r="DSZ994" s="2335"/>
      <c r="DTA994" s="2335"/>
      <c r="DTB994" s="2335"/>
      <c r="DTC994" s="2335"/>
      <c r="DTD994" s="2335"/>
      <c r="DTE994" s="2335"/>
      <c r="DTF994" s="2335"/>
      <c r="DTG994" s="2335"/>
      <c r="DTH994" s="2335"/>
      <c r="DTI994" s="2335"/>
      <c r="DTJ994" s="2335"/>
      <c r="DTK994" s="2335"/>
      <c r="DTL994" s="2335"/>
      <c r="DTM994" s="2335"/>
      <c r="DTN994" s="2335"/>
      <c r="DTO994" s="2335"/>
      <c r="DTP994" s="2335"/>
      <c r="DTQ994" s="2335"/>
      <c r="DTR994" s="2335"/>
      <c r="DTS994" s="2335"/>
      <c r="DTT994" s="2335"/>
      <c r="DTU994" s="2335"/>
      <c r="DTV994" s="2335"/>
      <c r="DTW994" s="2335"/>
      <c r="DTX994" s="2335"/>
      <c r="DTY994" s="2335"/>
      <c r="DTZ994" s="2335"/>
      <c r="DUA994" s="2335"/>
      <c r="DUB994" s="2335"/>
      <c r="DUC994" s="2335"/>
      <c r="DUD994" s="2335"/>
      <c r="DUE994" s="2335"/>
      <c r="DUF994" s="2335"/>
      <c r="DUG994" s="2335"/>
      <c r="DUH994" s="2335"/>
      <c r="DUI994" s="2335"/>
      <c r="DUJ994" s="2335"/>
      <c r="DUK994" s="2335"/>
      <c r="DUL994" s="2335"/>
      <c r="DUM994" s="2335"/>
      <c r="DUN994" s="2335"/>
      <c r="DUO994" s="2335"/>
      <c r="DUP994" s="2335"/>
      <c r="DUQ994" s="2335"/>
      <c r="DUR994" s="2335"/>
      <c r="DUS994" s="2335"/>
      <c r="DUT994" s="2335"/>
      <c r="DUU994" s="2335"/>
      <c r="DUV994" s="2335"/>
      <c r="DUW994" s="2335"/>
      <c r="DUX994" s="2335"/>
      <c r="DUY994" s="2335"/>
      <c r="DUZ994" s="2335"/>
      <c r="DVA994" s="2335"/>
      <c r="DVB994" s="2335"/>
      <c r="DVC994" s="2335"/>
      <c r="DVD994" s="2335"/>
      <c r="DVE994" s="2335"/>
      <c r="DVF994" s="2335"/>
      <c r="DVG994" s="2335"/>
      <c r="DVH994" s="2335"/>
      <c r="DVI994" s="2335"/>
      <c r="DVJ994" s="2335"/>
      <c r="DVK994" s="2335"/>
      <c r="DVL994" s="2335"/>
      <c r="DVM994" s="2335"/>
      <c r="DVN994" s="2335"/>
      <c r="DVO994" s="2335"/>
      <c r="DVP994" s="2335"/>
      <c r="DVQ994" s="2335"/>
      <c r="DVR994" s="2335"/>
      <c r="DVS994" s="2335"/>
      <c r="DVT994" s="2335"/>
      <c r="DVU994" s="2335"/>
      <c r="DVV994" s="2335"/>
      <c r="DVW994" s="2335"/>
      <c r="DVX994" s="2335"/>
      <c r="DVY994" s="2335"/>
      <c r="DVZ994" s="2335"/>
      <c r="DWA994" s="2335"/>
      <c r="DWB994" s="2335"/>
      <c r="DWC994" s="2335"/>
      <c r="DWD994" s="2335"/>
      <c r="DWE994" s="2335"/>
      <c r="DWF994" s="2335"/>
      <c r="DWG994" s="2335"/>
      <c r="DWH994" s="2335"/>
      <c r="DWI994" s="2335"/>
      <c r="DWJ994" s="2335"/>
      <c r="DWK994" s="2335"/>
      <c r="DWL994" s="2335"/>
      <c r="DWM994" s="2335"/>
      <c r="DWN994" s="2335"/>
      <c r="DWO994" s="2335"/>
      <c r="DWP994" s="2335"/>
      <c r="DWQ994" s="2335"/>
      <c r="DWR994" s="2335"/>
      <c r="DWS994" s="2335"/>
      <c r="DWT994" s="2335"/>
      <c r="DWU994" s="2335"/>
      <c r="DWV994" s="2335"/>
      <c r="DWW994" s="2335"/>
      <c r="DWX994" s="2335"/>
      <c r="DWY994" s="2335"/>
      <c r="DWZ994" s="2335"/>
      <c r="DXA994" s="2335"/>
      <c r="DXB994" s="2335"/>
      <c r="DXC994" s="2335"/>
      <c r="DXD994" s="2335"/>
      <c r="DXE994" s="2335"/>
      <c r="DXF994" s="2335"/>
      <c r="DXG994" s="2335"/>
      <c r="DXH994" s="2335"/>
      <c r="DXI994" s="2335"/>
      <c r="DXJ994" s="2335"/>
      <c r="DXK994" s="2335"/>
      <c r="DXL994" s="2335"/>
      <c r="DXM994" s="2335"/>
      <c r="DXN994" s="2335"/>
      <c r="DXO994" s="2335"/>
      <c r="DXP994" s="2335"/>
      <c r="DXQ994" s="2335"/>
      <c r="DXR994" s="2335"/>
      <c r="DXS994" s="2335"/>
      <c r="DXT994" s="2335"/>
      <c r="DXU994" s="2335"/>
      <c r="DXV994" s="2335"/>
      <c r="DXW994" s="2335"/>
      <c r="DXX994" s="2335"/>
      <c r="DXY994" s="2335"/>
      <c r="DXZ994" s="2335"/>
      <c r="DYA994" s="2335"/>
      <c r="DYB994" s="2335"/>
      <c r="DYC994" s="2335"/>
      <c r="DYD994" s="2335"/>
      <c r="DYE994" s="2335"/>
      <c r="DYF994" s="2335"/>
      <c r="DYG994" s="2335"/>
      <c r="DYH994" s="2335"/>
      <c r="DYI994" s="2335"/>
      <c r="DYJ994" s="2335"/>
      <c r="DYK994" s="2335"/>
      <c r="DYL994" s="2335"/>
      <c r="DYM994" s="2335"/>
      <c r="DYN994" s="2335"/>
      <c r="DYO994" s="2335"/>
      <c r="DYP994" s="2335"/>
      <c r="DYQ994" s="2335"/>
      <c r="DYR994" s="2335"/>
      <c r="DYS994" s="2335"/>
      <c r="DYT994" s="2335"/>
      <c r="DYU994" s="2335"/>
      <c r="DYV994" s="2335"/>
      <c r="DYW994" s="2335"/>
      <c r="DYX994" s="2335"/>
      <c r="DYY994" s="2335"/>
      <c r="DYZ994" s="2335"/>
      <c r="DZA994" s="2335"/>
      <c r="DZB994" s="2335"/>
      <c r="DZC994" s="2335"/>
      <c r="DZD994" s="2335"/>
      <c r="DZE994" s="2335"/>
      <c r="DZF994" s="2335"/>
      <c r="DZG994" s="2335"/>
      <c r="DZH994" s="2335"/>
      <c r="DZI994" s="2335"/>
      <c r="DZJ994" s="2335"/>
      <c r="DZK994" s="2335"/>
      <c r="DZL994" s="2335"/>
      <c r="DZM994" s="2335"/>
      <c r="DZN994" s="2335"/>
      <c r="DZO994" s="2335"/>
      <c r="DZP994" s="2335"/>
      <c r="DZQ994" s="2335"/>
      <c r="DZR994" s="2335"/>
      <c r="DZS994" s="2335"/>
      <c r="DZT994" s="2335"/>
      <c r="DZU994" s="2335"/>
      <c r="DZV994" s="2335"/>
      <c r="DZW994" s="2335"/>
      <c r="DZX994" s="2335"/>
      <c r="DZY994" s="2335"/>
      <c r="DZZ994" s="2335"/>
      <c r="EAA994" s="2335"/>
      <c r="EAB994" s="2335"/>
      <c r="EAC994" s="2335"/>
      <c r="EAD994" s="2335"/>
      <c r="EAE994" s="2335"/>
      <c r="EAF994" s="2335"/>
      <c r="EAG994" s="2335"/>
      <c r="EAH994" s="2335"/>
      <c r="EAI994" s="2335"/>
      <c r="EAJ994" s="2335"/>
      <c r="EAK994" s="2335"/>
      <c r="EAL994" s="2335"/>
      <c r="EAM994" s="2335"/>
      <c r="EAN994" s="2335"/>
      <c r="EAO994" s="2335"/>
      <c r="EAP994" s="2335"/>
      <c r="EAQ994" s="2335"/>
      <c r="EAR994" s="2335"/>
      <c r="EAS994" s="2335"/>
      <c r="EAT994" s="2335"/>
      <c r="EAU994" s="2335"/>
      <c r="EAV994" s="2335"/>
      <c r="EAW994" s="2335"/>
      <c r="EAX994" s="2335"/>
      <c r="EAY994" s="2335"/>
      <c r="EAZ994" s="2335"/>
      <c r="EBA994" s="2335"/>
      <c r="EBB994" s="2335"/>
      <c r="EBC994" s="2335"/>
      <c r="EBD994" s="2335"/>
      <c r="EBE994" s="2335"/>
      <c r="EBF994" s="2335"/>
      <c r="EBG994" s="2335"/>
      <c r="EBH994" s="2335"/>
      <c r="EBI994" s="2335"/>
      <c r="EBJ994" s="2335"/>
      <c r="EBK994" s="2335"/>
      <c r="EBL994" s="2335"/>
      <c r="EBM994" s="2335"/>
      <c r="EBN994" s="2335"/>
      <c r="EBO994" s="2335"/>
      <c r="EBP994" s="2335"/>
      <c r="EBQ994" s="2335"/>
      <c r="EBR994" s="2335"/>
      <c r="EBS994" s="2335"/>
      <c r="EBT994" s="2335"/>
      <c r="EBU994" s="2335"/>
      <c r="EBV994" s="2335"/>
      <c r="EBW994" s="2335"/>
      <c r="EBX994" s="2335"/>
      <c r="EBY994" s="2335"/>
      <c r="EBZ994" s="2335"/>
      <c r="ECA994" s="2335"/>
      <c r="ECB994" s="2335"/>
      <c r="ECC994" s="2335"/>
      <c r="ECD994" s="2335"/>
      <c r="ECE994" s="2335"/>
      <c r="ECF994" s="2335"/>
      <c r="ECG994" s="2335"/>
      <c r="ECH994" s="2335"/>
      <c r="ECI994" s="2335"/>
      <c r="ECJ994" s="2335"/>
      <c r="ECK994" s="2335"/>
      <c r="ECL994" s="2335"/>
      <c r="ECM994" s="2335"/>
      <c r="ECN994" s="2335"/>
      <c r="ECO994" s="2335"/>
      <c r="ECP994" s="2335"/>
      <c r="ECQ994" s="2335"/>
      <c r="ECR994" s="2335"/>
      <c r="ECS994" s="2335"/>
      <c r="ECT994" s="2335"/>
      <c r="ECU994" s="2335"/>
      <c r="ECV994" s="2335"/>
      <c r="ECW994" s="2335"/>
      <c r="ECX994" s="2335"/>
      <c r="ECY994" s="2335"/>
      <c r="ECZ994" s="2335"/>
      <c r="EDA994" s="2335"/>
      <c r="EDB994" s="2335"/>
      <c r="EDC994" s="2335"/>
      <c r="EDD994" s="2335"/>
      <c r="EDE994" s="2335"/>
      <c r="EDF994" s="2335"/>
      <c r="EDG994" s="2335"/>
      <c r="EDH994" s="2335"/>
      <c r="EDI994" s="2335"/>
      <c r="EDJ994" s="2335"/>
      <c r="EDK994" s="2335"/>
      <c r="EDL994" s="2335"/>
      <c r="EDM994" s="2335"/>
      <c r="EDN994" s="2335"/>
      <c r="EDO994" s="2335"/>
      <c r="EDP994" s="2335"/>
      <c r="EDQ994" s="2335"/>
      <c r="EDR994" s="2335"/>
      <c r="EDS994" s="2335"/>
      <c r="EDT994" s="2335"/>
      <c r="EDU994" s="2335"/>
      <c r="EDV994" s="2335"/>
      <c r="EDW994" s="2335"/>
      <c r="EDX994" s="2335"/>
      <c r="EDY994" s="2335"/>
      <c r="EDZ994" s="2335"/>
      <c r="EEA994" s="2335"/>
      <c r="EEB994" s="2335"/>
      <c r="EEC994" s="2335"/>
      <c r="EED994" s="2335"/>
      <c r="EEE994" s="2335"/>
      <c r="EEF994" s="2335"/>
      <c r="EEG994" s="2335"/>
      <c r="EEH994" s="2335"/>
      <c r="EEI994" s="2335"/>
      <c r="EEJ994" s="2335"/>
      <c r="EEK994" s="2335"/>
      <c r="EEL994" s="2335"/>
      <c r="EEM994" s="2335"/>
      <c r="EEN994" s="2335"/>
      <c r="EEO994" s="2335"/>
      <c r="EEP994" s="2335"/>
      <c r="EEQ994" s="2335"/>
      <c r="EER994" s="2335"/>
      <c r="EES994" s="2335"/>
      <c r="EET994" s="2335"/>
      <c r="EEU994" s="2335"/>
      <c r="EEV994" s="2335"/>
      <c r="EEW994" s="2335"/>
      <c r="EEX994" s="2335"/>
      <c r="EEY994" s="2335"/>
      <c r="EEZ994" s="2335"/>
      <c r="EFA994" s="2335"/>
      <c r="EFB994" s="2335"/>
      <c r="EFC994" s="2335"/>
      <c r="EFD994" s="2335"/>
      <c r="EFE994" s="2335"/>
      <c r="EFF994" s="2335"/>
      <c r="EFG994" s="2335"/>
      <c r="EFH994" s="2335"/>
      <c r="EFI994" s="2335"/>
      <c r="EFJ994" s="2335"/>
      <c r="EFK994" s="2335"/>
      <c r="EFL994" s="2335"/>
      <c r="EFM994" s="2335"/>
      <c r="EFN994" s="2335"/>
      <c r="EFO994" s="2335"/>
      <c r="EFP994" s="2335"/>
      <c r="EFQ994" s="2335"/>
      <c r="EFR994" s="2335"/>
      <c r="EFS994" s="2335"/>
      <c r="EFT994" s="2335"/>
      <c r="EFU994" s="2335"/>
      <c r="EFV994" s="2335"/>
      <c r="EFW994" s="2335"/>
      <c r="EFX994" s="2335"/>
      <c r="EFY994" s="2335"/>
      <c r="EFZ994" s="2335"/>
      <c r="EGA994" s="2335"/>
      <c r="EGB994" s="2335"/>
      <c r="EGC994" s="2335"/>
      <c r="EGD994" s="2335"/>
      <c r="EGE994" s="2335"/>
      <c r="EGF994" s="2335"/>
      <c r="EGG994" s="2335"/>
      <c r="EGH994" s="2335"/>
      <c r="EGI994" s="2335"/>
      <c r="EGJ994" s="2335"/>
      <c r="EGK994" s="2335"/>
      <c r="EGL994" s="2335"/>
      <c r="EGM994" s="2335"/>
      <c r="EGN994" s="2335"/>
      <c r="EGO994" s="2335"/>
      <c r="EGP994" s="2335"/>
      <c r="EGQ994" s="2335"/>
      <c r="EGR994" s="2335"/>
      <c r="EGS994" s="2335"/>
      <c r="EGT994" s="2335"/>
      <c r="EGU994" s="2335"/>
      <c r="EGV994" s="2335"/>
      <c r="EGW994" s="2335"/>
      <c r="EGX994" s="2335"/>
      <c r="EGY994" s="2335"/>
      <c r="EGZ994" s="2335"/>
      <c r="EHA994" s="2335"/>
      <c r="EHB994" s="2335"/>
      <c r="EHC994" s="2335"/>
      <c r="EHD994" s="2335"/>
      <c r="EHE994" s="2335"/>
      <c r="EHF994" s="2335"/>
      <c r="EHG994" s="2335"/>
      <c r="EHH994" s="2335"/>
      <c r="EHI994" s="2335"/>
      <c r="EHJ994" s="2335"/>
      <c r="EHK994" s="2335"/>
      <c r="EHL994" s="2335"/>
      <c r="EHM994" s="2335"/>
      <c r="EHN994" s="2335"/>
      <c r="EHO994" s="2335"/>
      <c r="EHP994" s="2335"/>
      <c r="EHQ994" s="2335"/>
      <c r="EHR994" s="2335"/>
      <c r="EHS994" s="2335"/>
      <c r="EHT994" s="2335"/>
      <c r="EHU994" s="2335"/>
      <c r="EHV994" s="2335"/>
      <c r="EHW994" s="2335"/>
      <c r="EHX994" s="2335"/>
      <c r="EHY994" s="2335"/>
      <c r="EHZ994" s="2335"/>
      <c r="EIA994" s="2335"/>
      <c r="EIB994" s="2335"/>
      <c r="EIC994" s="2335"/>
      <c r="EID994" s="2335"/>
      <c r="EIE994" s="2335"/>
      <c r="EIF994" s="2335"/>
      <c r="EIG994" s="2335"/>
      <c r="EIH994" s="2335"/>
      <c r="EII994" s="2335"/>
      <c r="EIJ994" s="2335"/>
      <c r="EIK994" s="2335"/>
      <c r="EIL994" s="2335"/>
      <c r="EIM994" s="2335"/>
      <c r="EIN994" s="2335"/>
      <c r="EIO994" s="2335"/>
      <c r="EIP994" s="2335"/>
      <c r="EIQ994" s="2335"/>
      <c r="EIR994" s="2335"/>
      <c r="EIS994" s="2335"/>
      <c r="EIT994" s="2335"/>
      <c r="EIU994" s="2335"/>
      <c r="EIV994" s="2335"/>
      <c r="EIW994" s="2335"/>
      <c r="EIX994" s="2335"/>
      <c r="EIY994" s="2335"/>
      <c r="EIZ994" s="2335"/>
      <c r="EJA994" s="2335"/>
      <c r="EJB994" s="2335"/>
      <c r="EJC994" s="2335"/>
      <c r="EJD994" s="2335"/>
      <c r="EJE994" s="2335"/>
      <c r="EJF994" s="2335"/>
      <c r="EJG994" s="2335"/>
      <c r="EJH994" s="2335"/>
      <c r="EJI994" s="2335"/>
      <c r="EJJ994" s="2335"/>
      <c r="EJK994" s="2335"/>
      <c r="EJL994" s="2335"/>
      <c r="EJM994" s="2335"/>
      <c r="EJN994" s="2335"/>
      <c r="EJO994" s="2335"/>
      <c r="EJP994" s="2335"/>
      <c r="EJQ994" s="2335"/>
      <c r="EJR994" s="2335"/>
      <c r="EJS994" s="2335"/>
      <c r="EJT994" s="2335"/>
      <c r="EJU994" s="2335"/>
      <c r="EJV994" s="2335"/>
      <c r="EJW994" s="2335"/>
      <c r="EJX994" s="2335"/>
      <c r="EJY994" s="2335"/>
      <c r="EJZ994" s="2335"/>
      <c r="EKA994" s="2335"/>
      <c r="EKB994" s="2335"/>
      <c r="EKC994" s="2335"/>
      <c r="EKD994" s="2335"/>
      <c r="EKE994" s="2335"/>
      <c r="EKF994" s="2335"/>
      <c r="EKG994" s="2335"/>
      <c r="EKH994" s="2335"/>
      <c r="EKI994" s="2335"/>
      <c r="EKJ994" s="2335"/>
      <c r="EKK994" s="2335"/>
      <c r="EKL994" s="2335"/>
      <c r="EKM994" s="2335"/>
      <c r="EKN994" s="2335"/>
      <c r="EKO994" s="2335"/>
      <c r="EKP994" s="2335"/>
      <c r="EKQ994" s="2335"/>
      <c r="EKR994" s="2335"/>
      <c r="EKS994" s="2335"/>
      <c r="EKT994" s="2335"/>
      <c r="EKU994" s="2335"/>
      <c r="EKV994" s="2335"/>
      <c r="EKW994" s="2335"/>
      <c r="EKX994" s="2335"/>
      <c r="EKY994" s="2335"/>
      <c r="EKZ994" s="2335"/>
      <c r="ELA994" s="2335"/>
      <c r="ELB994" s="2335"/>
      <c r="ELC994" s="2335"/>
      <c r="ELD994" s="2335"/>
      <c r="ELE994" s="2335"/>
      <c r="ELF994" s="2335"/>
      <c r="ELG994" s="2335"/>
      <c r="ELH994" s="2335"/>
      <c r="ELI994" s="2335"/>
      <c r="ELJ994" s="2335"/>
      <c r="ELK994" s="2335"/>
      <c r="ELL994" s="2335"/>
      <c r="ELM994" s="2335"/>
      <c r="ELN994" s="2335"/>
      <c r="ELO994" s="2335"/>
      <c r="ELP994" s="2335"/>
      <c r="ELQ994" s="2335"/>
      <c r="ELR994" s="2335"/>
      <c r="ELS994" s="2335"/>
      <c r="ELT994" s="2335"/>
      <c r="ELU994" s="2335"/>
      <c r="ELV994" s="2335"/>
      <c r="ELW994" s="2335"/>
      <c r="ELX994" s="2335"/>
      <c r="ELY994" s="2335"/>
      <c r="ELZ994" s="2335"/>
      <c r="EMA994" s="2335"/>
      <c r="EMB994" s="2335"/>
      <c r="EMC994" s="2335"/>
      <c r="EMD994" s="2335"/>
      <c r="EME994" s="2335"/>
      <c r="EMF994" s="2335"/>
      <c r="EMG994" s="2335"/>
      <c r="EMH994" s="2335"/>
      <c r="EMI994" s="2335"/>
      <c r="EMJ994" s="2335"/>
      <c r="EMK994" s="2335"/>
      <c r="EML994" s="2335"/>
      <c r="EMM994" s="2335"/>
      <c r="EMN994" s="2335"/>
      <c r="EMO994" s="2335"/>
      <c r="EMP994" s="2335"/>
      <c r="EMQ994" s="2335"/>
      <c r="EMR994" s="2335"/>
      <c r="EMS994" s="2335"/>
      <c r="EMT994" s="2335"/>
      <c r="EMU994" s="2335"/>
      <c r="EMV994" s="2335"/>
      <c r="EMW994" s="2335"/>
      <c r="EMX994" s="2335"/>
      <c r="EMY994" s="2335"/>
      <c r="EMZ994" s="2335"/>
      <c r="ENA994" s="2335"/>
      <c r="ENB994" s="2335"/>
      <c r="ENC994" s="2335"/>
      <c r="END994" s="2335"/>
      <c r="ENE994" s="2335"/>
      <c r="ENF994" s="2335"/>
      <c r="ENG994" s="2335"/>
      <c r="ENH994" s="2335"/>
      <c r="ENI994" s="2335"/>
      <c r="ENJ994" s="2335"/>
      <c r="ENK994" s="2335"/>
      <c r="ENL994" s="2335"/>
      <c r="ENM994" s="2335"/>
      <c r="ENN994" s="2335"/>
      <c r="ENO994" s="2335"/>
      <c r="ENP994" s="2335"/>
      <c r="ENQ994" s="2335"/>
      <c r="ENR994" s="2335"/>
      <c r="ENS994" s="2335"/>
      <c r="ENT994" s="2335"/>
      <c r="ENU994" s="2335"/>
      <c r="ENV994" s="2335"/>
      <c r="ENW994" s="2335"/>
      <c r="ENX994" s="2335"/>
      <c r="ENY994" s="2335"/>
      <c r="ENZ994" s="2335"/>
      <c r="EOA994" s="2335"/>
      <c r="EOB994" s="2335"/>
      <c r="EOC994" s="2335"/>
      <c r="EOD994" s="2335"/>
      <c r="EOE994" s="2335"/>
      <c r="EOF994" s="2335"/>
      <c r="EOG994" s="2335"/>
      <c r="EOH994" s="2335"/>
      <c r="EOI994" s="2335"/>
      <c r="EOJ994" s="2335"/>
      <c r="EOK994" s="2335"/>
      <c r="EOL994" s="2335"/>
      <c r="EOM994" s="2335"/>
      <c r="EON994" s="2335"/>
      <c r="EOO994" s="2335"/>
      <c r="EOP994" s="2335"/>
      <c r="EOQ994" s="2335"/>
      <c r="EOR994" s="2335"/>
      <c r="EOS994" s="2335"/>
      <c r="EOT994" s="2335"/>
      <c r="EOU994" s="2335"/>
      <c r="EOV994" s="2335"/>
      <c r="EOW994" s="2335"/>
      <c r="EOX994" s="2335"/>
      <c r="EOY994" s="2335"/>
      <c r="EOZ994" s="2335"/>
      <c r="EPA994" s="2335"/>
      <c r="EPB994" s="2335"/>
      <c r="EPC994" s="2335"/>
      <c r="EPD994" s="2335"/>
      <c r="EPE994" s="2335"/>
      <c r="EPF994" s="2335"/>
      <c r="EPG994" s="2335"/>
      <c r="EPH994" s="2335"/>
      <c r="EPI994" s="2335"/>
      <c r="EPJ994" s="2335"/>
      <c r="EPK994" s="2335"/>
      <c r="EPL994" s="2335"/>
      <c r="EPM994" s="2335"/>
      <c r="EPN994" s="2335"/>
      <c r="EPO994" s="2335"/>
      <c r="EPP994" s="2335"/>
      <c r="EPQ994" s="2335"/>
      <c r="EPR994" s="2335"/>
      <c r="EPS994" s="2335"/>
      <c r="EPT994" s="2335"/>
      <c r="EPU994" s="2335"/>
      <c r="EPV994" s="2335"/>
      <c r="EPW994" s="2335"/>
      <c r="EPX994" s="2335"/>
      <c r="EPY994" s="2335"/>
      <c r="EPZ994" s="2335"/>
      <c r="EQA994" s="2335"/>
      <c r="EQB994" s="2335"/>
      <c r="EQC994" s="2335"/>
      <c r="EQD994" s="2335"/>
      <c r="EQE994" s="2335"/>
      <c r="EQF994" s="2335"/>
      <c r="EQG994" s="2335"/>
      <c r="EQH994" s="2335"/>
      <c r="EQI994" s="2335"/>
      <c r="EQJ994" s="2335"/>
      <c r="EQK994" s="2335"/>
      <c r="EQL994" s="2335"/>
      <c r="EQM994" s="2335"/>
      <c r="EQN994" s="2335"/>
      <c r="EQO994" s="2335"/>
      <c r="EQP994" s="2335"/>
      <c r="EQQ994" s="2335"/>
      <c r="EQR994" s="2335"/>
      <c r="EQS994" s="2335"/>
      <c r="EQT994" s="2335"/>
      <c r="EQU994" s="2335"/>
      <c r="EQV994" s="2335"/>
      <c r="EQW994" s="2335"/>
      <c r="EQX994" s="2335"/>
      <c r="EQY994" s="2335"/>
      <c r="EQZ994" s="2335"/>
      <c r="ERA994" s="2335"/>
      <c r="ERB994" s="2335"/>
      <c r="ERC994" s="2335"/>
      <c r="ERD994" s="2335"/>
      <c r="ERE994" s="2335"/>
      <c r="ERF994" s="2335"/>
      <c r="ERG994" s="2335"/>
      <c r="ERH994" s="2335"/>
      <c r="ERI994" s="2335"/>
      <c r="ERJ994" s="2335"/>
      <c r="ERK994" s="2335"/>
      <c r="ERL994" s="2335"/>
      <c r="ERM994" s="2335"/>
      <c r="ERN994" s="2335"/>
      <c r="ERO994" s="2335"/>
      <c r="ERP994" s="2335"/>
      <c r="ERQ994" s="2335"/>
      <c r="ERR994" s="2335"/>
      <c r="ERS994" s="2335"/>
      <c r="ERT994" s="2335"/>
      <c r="ERU994" s="2335"/>
      <c r="ERV994" s="2335"/>
      <c r="ERW994" s="2335"/>
      <c r="ERX994" s="2335"/>
      <c r="ERY994" s="2335"/>
      <c r="ERZ994" s="2335"/>
      <c r="ESA994" s="2335"/>
      <c r="ESB994" s="2335"/>
      <c r="ESC994" s="2335"/>
      <c r="ESD994" s="2335"/>
      <c r="ESE994" s="2335"/>
      <c r="ESF994" s="2335"/>
      <c r="ESG994" s="2335"/>
      <c r="ESH994" s="2335"/>
      <c r="ESI994" s="2335"/>
      <c r="ESJ994" s="2335"/>
      <c r="ESK994" s="2335"/>
      <c r="ESL994" s="2335"/>
      <c r="ESM994" s="2335"/>
      <c r="ESN994" s="2335"/>
      <c r="ESO994" s="2335"/>
      <c r="ESP994" s="2335"/>
      <c r="ESQ994" s="2335"/>
      <c r="ESR994" s="2335"/>
      <c r="ESS994" s="2335"/>
      <c r="EST994" s="2335"/>
      <c r="ESU994" s="2335"/>
      <c r="ESV994" s="2335"/>
      <c r="ESW994" s="2335"/>
      <c r="ESX994" s="2335"/>
      <c r="ESY994" s="2335"/>
      <c r="ESZ994" s="2335"/>
      <c r="ETA994" s="2335"/>
      <c r="ETB994" s="2335"/>
      <c r="ETC994" s="2335"/>
      <c r="ETD994" s="2335"/>
      <c r="ETE994" s="2335"/>
      <c r="ETF994" s="2335"/>
      <c r="ETG994" s="2335"/>
      <c r="ETH994" s="2335"/>
      <c r="ETI994" s="2335"/>
      <c r="ETJ994" s="2335"/>
      <c r="ETK994" s="2335"/>
      <c r="ETL994" s="2335"/>
      <c r="ETM994" s="2335"/>
      <c r="ETN994" s="2335"/>
      <c r="ETO994" s="2335"/>
      <c r="ETP994" s="2335"/>
      <c r="ETQ994" s="2335"/>
      <c r="ETR994" s="2335"/>
      <c r="ETS994" s="2335"/>
      <c r="ETT994" s="2335"/>
      <c r="ETU994" s="2335"/>
      <c r="ETV994" s="2335"/>
      <c r="ETW994" s="2335"/>
      <c r="ETX994" s="2335"/>
      <c r="ETY994" s="2335"/>
      <c r="ETZ994" s="2335"/>
      <c r="EUA994" s="2335"/>
      <c r="EUB994" s="2335"/>
      <c r="EUC994" s="2335"/>
      <c r="EUD994" s="2335"/>
      <c r="EUE994" s="2335"/>
      <c r="EUF994" s="2335"/>
      <c r="EUG994" s="2335"/>
      <c r="EUH994" s="2335"/>
      <c r="EUI994" s="2335"/>
      <c r="EUJ994" s="2335"/>
      <c r="EUK994" s="2335"/>
      <c r="EUL994" s="2335"/>
      <c r="EUM994" s="2335"/>
      <c r="EUN994" s="2335"/>
      <c r="EUO994" s="2335"/>
      <c r="EUP994" s="2335"/>
      <c r="EUQ994" s="2335"/>
      <c r="EUR994" s="2335"/>
      <c r="EUS994" s="2335"/>
      <c r="EUT994" s="2335"/>
      <c r="EUU994" s="2335"/>
      <c r="EUV994" s="2335"/>
      <c r="EUW994" s="2335"/>
      <c r="EUX994" s="2335"/>
      <c r="EUY994" s="2335"/>
      <c r="EUZ994" s="2335"/>
      <c r="EVA994" s="2335"/>
      <c r="EVB994" s="2335"/>
      <c r="EVC994" s="2335"/>
      <c r="EVD994" s="2335"/>
      <c r="EVE994" s="2335"/>
      <c r="EVF994" s="2335"/>
      <c r="EVG994" s="2335"/>
      <c r="EVH994" s="2335"/>
      <c r="EVI994" s="2335"/>
      <c r="EVJ994" s="2335"/>
      <c r="EVK994" s="2335"/>
      <c r="EVL994" s="2335"/>
      <c r="EVM994" s="2335"/>
      <c r="EVN994" s="2335"/>
      <c r="EVO994" s="2335"/>
      <c r="EVP994" s="2335"/>
      <c r="EVQ994" s="2335"/>
      <c r="EVR994" s="2335"/>
      <c r="EVS994" s="2335"/>
      <c r="EVT994" s="2335"/>
      <c r="EVU994" s="2335"/>
      <c r="EVV994" s="2335"/>
      <c r="EVW994" s="2335"/>
      <c r="EVX994" s="2335"/>
      <c r="EVY994" s="2335"/>
      <c r="EVZ994" s="2335"/>
      <c r="EWA994" s="2335"/>
      <c r="EWB994" s="2335"/>
      <c r="EWC994" s="2335"/>
      <c r="EWD994" s="2335"/>
      <c r="EWE994" s="2335"/>
      <c r="EWF994" s="2335"/>
      <c r="EWG994" s="2335"/>
      <c r="EWH994" s="2335"/>
      <c r="EWI994" s="2335"/>
      <c r="EWJ994" s="2335"/>
      <c r="EWK994" s="2335"/>
      <c r="EWL994" s="2335"/>
      <c r="EWM994" s="2335"/>
      <c r="EWN994" s="2335"/>
      <c r="EWO994" s="2335"/>
      <c r="EWP994" s="2335"/>
      <c r="EWQ994" s="2335"/>
      <c r="EWR994" s="2335"/>
      <c r="EWS994" s="2335"/>
      <c r="EWT994" s="2335"/>
      <c r="EWU994" s="2335"/>
      <c r="EWV994" s="2335"/>
      <c r="EWW994" s="2335"/>
      <c r="EWX994" s="2335"/>
      <c r="EWY994" s="2335"/>
      <c r="EWZ994" s="2335"/>
      <c r="EXA994" s="2335"/>
      <c r="EXB994" s="2335"/>
      <c r="EXC994" s="2335"/>
      <c r="EXD994" s="2335"/>
      <c r="EXE994" s="2335"/>
      <c r="EXF994" s="2335"/>
      <c r="EXG994" s="2335"/>
      <c r="EXH994" s="2335"/>
      <c r="EXI994" s="2335"/>
      <c r="EXJ994" s="2335"/>
      <c r="EXK994" s="2335"/>
      <c r="EXL994" s="2335"/>
      <c r="EXM994" s="2335"/>
      <c r="EXN994" s="2335"/>
      <c r="EXO994" s="2335"/>
      <c r="EXP994" s="2335"/>
      <c r="EXQ994" s="2335"/>
      <c r="EXR994" s="2335"/>
      <c r="EXS994" s="2335"/>
      <c r="EXT994" s="2335"/>
      <c r="EXU994" s="2335"/>
      <c r="EXV994" s="2335"/>
      <c r="EXW994" s="2335"/>
      <c r="EXX994" s="2335"/>
      <c r="EXY994" s="2335"/>
      <c r="EXZ994" s="2335"/>
      <c r="EYA994" s="2335"/>
      <c r="EYB994" s="2335"/>
      <c r="EYC994" s="2335"/>
      <c r="EYD994" s="2335"/>
      <c r="EYE994" s="2335"/>
      <c r="EYF994" s="2335"/>
      <c r="EYG994" s="2335"/>
      <c r="EYH994" s="2335"/>
      <c r="EYI994" s="2335"/>
      <c r="EYJ994" s="2335"/>
      <c r="EYK994" s="2335"/>
      <c r="EYL994" s="2335"/>
      <c r="EYM994" s="2335"/>
      <c r="EYN994" s="2335"/>
      <c r="EYO994" s="2335"/>
      <c r="EYP994" s="2335"/>
      <c r="EYQ994" s="2335"/>
      <c r="EYR994" s="2335"/>
      <c r="EYS994" s="2335"/>
      <c r="EYT994" s="2335"/>
      <c r="EYU994" s="2335"/>
      <c r="EYV994" s="2335"/>
      <c r="EYW994" s="2335"/>
      <c r="EYX994" s="2335"/>
      <c r="EYY994" s="2335"/>
      <c r="EYZ994" s="2335"/>
      <c r="EZA994" s="2335"/>
      <c r="EZB994" s="2335"/>
      <c r="EZC994" s="2335"/>
      <c r="EZD994" s="2335"/>
      <c r="EZE994" s="2335"/>
      <c r="EZF994" s="2335"/>
      <c r="EZG994" s="2335"/>
      <c r="EZH994" s="2335"/>
      <c r="EZI994" s="2335"/>
      <c r="EZJ994" s="2335"/>
      <c r="EZK994" s="2335"/>
      <c r="EZL994" s="2335"/>
      <c r="EZM994" s="2335"/>
      <c r="EZN994" s="2335"/>
      <c r="EZO994" s="2335"/>
      <c r="EZP994" s="2335"/>
      <c r="EZQ994" s="2335"/>
      <c r="EZR994" s="2335"/>
      <c r="EZS994" s="2335"/>
      <c r="EZT994" s="2335"/>
      <c r="EZU994" s="2335"/>
      <c r="EZV994" s="2335"/>
      <c r="EZW994" s="2335"/>
      <c r="EZX994" s="2335"/>
      <c r="EZY994" s="2335"/>
      <c r="EZZ994" s="2335"/>
      <c r="FAA994" s="2335"/>
      <c r="FAB994" s="2335"/>
      <c r="FAC994" s="2335"/>
      <c r="FAD994" s="2335"/>
      <c r="FAE994" s="2335"/>
      <c r="FAF994" s="2335"/>
      <c r="FAG994" s="2335"/>
      <c r="FAH994" s="2335"/>
      <c r="FAI994" s="2335"/>
      <c r="FAJ994" s="2335"/>
      <c r="FAK994" s="2335"/>
      <c r="FAL994" s="2335"/>
      <c r="FAM994" s="2335"/>
      <c r="FAN994" s="2335"/>
      <c r="FAO994" s="2335"/>
      <c r="FAP994" s="2335"/>
      <c r="FAQ994" s="2335"/>
      <c r="FAR994" s="2335"/>
      <c r="FAS994" s="2335"/>
      <c r="FAT994" s="2335"/>
      <c r="FAU994" s="2335"/>
      <c r="FAV994" s="2335"/>
      <c r="FAW994" s="2335"/>
      <c r="FAX994" s="2335"/>
      <c r="FAY994" s="2335"/>
      <c r="FAZ994" s="2335"/>
      <c r="FBA994" s="2335"/>
      <c r="FBB994" s="2335"/>
      <c r="FBC994" s="2335"/>
      <c r="FBD994" s="2335"/>
      <c r="FBE994" s="2335"/>
      <c r="FBF994" s="2335"/>
      <c r="FBG994" s="2335"/>
      <c r="FBH994" s="2335"/>
      <c r="FBI994" s="2335"/>
      <c r="FBJ994" s="2335"/>
      <c r="FBK994" s="2335"/>
      <c r="FBL994" s="2335"/>
      <c r="FBM994" s="2335"/>
      <c r="FBN994" s="2335"/>
      <c r="FBO994" s="2335"/>
      <c r="FBP994" s="2335"/>
      <c r="FBQ994" s="2335"/>
      <c r="FBR994" s="2335"/>
      <c r="FBS994" s="2335"/>
      <c r="FBT994" s="2335"/>
      <c r="FBU994" s="2335"/>
      <c r="FBV994" s="2335"/>
      <c r="FBW994" s="2335"/>
      <c r="FBX994" s="2335"/>
      <c r="FBY994" s="2335"/>
      <c r="FBZ994" s="2335"/>
      <c r="FCA994" s="2335"/>
      <c r="FCB994" s="2335"/>
      <c r="FCC994" s="2335"/>
      <c r="FCD994" s="2335"/>
      <c r="FCE994" s="2335"/>
      <c r="FCF994" s="2335"/>
      <c r="FCG994" s="2335"/>
      <c r="FCH994" s="2335"/>
      <c r="FCI994" s="2335"/>
      <c r="FCJ994" s="2335"/>
      <c r="FCK994" s="2335"/>
      <c r="FCL994" s="2335"/>
      <c r="FCM994" s="2335"/>
      <c r="FCN994" s="2335"/>
      <c r="FCO994" s="2335"/>
      <c r="FCP994" s="2335"/>
      <c r="FCQ994" s="2335"/>
      <c r="FCR994" s="2335"/>
      <c r="FCS994" s="2335"/>
      <c r="FCT994" s="2335"/>
      <c r="FCU994" s="2335"/>
      <c r="FCV994" s="2335"/>
      <c r="FCW994" s="2335"/>
      <c r="FCX994" s="2335"/>
      <c r="FCY994" s="2335"/>
      <c r="FCZ994" s="2335"/>
      <c r="FDA994" s="2335"/>
      <c r="FDB994" s="2335"/>
      <c r="FDC994" s="2335"/>
      <c r="FDD994" s="2335"/>
      <c r="FDE994" s="2335"/>
      <c r="FDF994" s="2335"/>
      <c r="FDG994" s="2335"/>
      <c r="FDH994" s="2335"/>
      <c r="FDI994" s="2335"/>
      <c r="FDJ994" s="2335"/>
      <c r="FDK994" s="2335"/>
      <c r="FDL994" s="2335"/>
      <c r="FDM994" s="2335"/>
      <c r="FDN994" s="2335"/>
      <c r="FDO994" s="2335"/>
      <c r="FDP994" s="2335"/>
      <c r="FDQ994" s="2335"/>
      <c r="FDR994" s="2335"/>
      <c r="FDS994" s="2335"/>
      <c r="FDT994" s="2335"/>
      <c r="FDU994" s="2335"/>
      <c r="FDV994" s="2335"/>
      <c r="FDW994" s="2335"/>
      <c r="FDX994" s="2335"/>
      <c r="FDY994" s="2335"/>
      <c r="FDZ994" s="2335"/>
      <c r="FEA994" s="2335"/>
      <c r="FEB994" s="2335"/>
      <c r="FEC994" s="2335"/>
      <c r="FED994" s="2335"/>
      <c r="FEE994" s="2335"/>
      <c r="FEF994" s="2335"/>
      <c r="FEG994" s="2335"/>
      <c r="FEH994" s="2335"/>
      <c r="FEI994" s="2335"/>
      <c r="FEJ994" s="2335"/>
      <c r="FEK994" s="2335"/>
      <c r="FEL994" s="2335"/>
      <c r="FEM994" s="2335"/>
      <c r="FEN994" s="2335"/>
      <c r="FEO994" s="2335"/>
      <c r="FEP994" s="2335"/>
      <c r="FEQ994" s="2335"/>
      <c r="FER994" s="2335"/>
      <c r="FES994" s="2335"/>
      <c r="FET994" s="2335"/>
      <c r="FEU994" s="2335"/>
      <c r="FEV994" s="2335"/>
      <c r="FEW994" s="2335"/>
      <c r="FEX994" s="2335"/>
      <c r="FEY994" s="2335"/>
      <c r="FEZ994" s="2335"/>
      <c r="FFA994" s="2335"/>
      <c r="FFB994" s="2335"/>
      <c r="FFC994" s="2335"/>
      <c r="FFD994" s="2335"/>
      <c r="FFE994" s="2335"/>
      <c r="FFF994" s="2335"/>
      <c r="FFG994" s="2335"/>
      <c r="FFH994" s="2335"/>
      <c r="FFI994" s="2335"/>
      <c r="FFJ994" s="2335"/>
      <c r="FFK994" s="2335"/>
      <c r="FFL994" s="2335"/>
      <c r="FFM994" s="2335"/>
      <c r="FFN994" s="2335"/>
      <c r="FFO994" s="2335"/>
      <c r="FFP994" s="2335"/>
      <c r="FFQ994" s="2335"/>
      <c r="FFR994" s="2335"/>
      <c r="FFS994" s="2335"/>
      <c r="FFT994" s="2335"/>
      <c r="FFU994" s="2335"/>
      <c r="FFV994" s="2335"/>
      <c r="FFW994" s="2335"/>
      <c r="FFX994" s="2335"/>
      <c r="FFY994" s="2335"/>
      <c r="FFZ994" s="2335"/>
      <c r="FGA994" s="2335"/>
      <c r="FGB994" s="2335"/>
      <c r="FGC994" s="2335"/>
      <c r="FGD994" s="2335"/>
      <c r="FGE994" s="2335"/>
      <c r="FGF994" s="2335"/>
      <c r="FGG994" s="2335"/>
      <c r="FGH994" s="2335"/>
      <c r="FGI994" s="2335"/>
      <c r="FGJ994" s="2335"/>
      <c r="FGK994" s="2335"/>
      <c r="FGL994" s="2335"/>
      <c r="FGM994" s="2335"/>
      <c r="FGN994" s="2335"/>
      <c r="FGO994" s="2335"/>
      <c r="FGP994" s="2335"/>
      <c r="FGQ994" s="2335"/>
      <c r="FGR994" s="2335"/>
      <c r="FGS994" s="2335"/>
      <c r="FGT994" s="2335"/>
      <c r="FGU994" s="2335"/>
      <c r="FGV994" s="2335"/>
      <c r="FGW994" s="2335"/>
      <c r="FGX994" s="2335"/>
      <c r="FGY994" s="2335"/>
      <c r="FGZ994" s="2335"/>
      <c r="FHA994" s="2335"/>
      <c r="FHB994" s="2335"/>
      <c r="FHC994" s="2335"/>
      <c r="FHD994" s="2335"/>
      <c r="FHE994" s="2335"/>
      <c r="FHF994" s="2335"/>
      <c r="FHG994" s="2335"/>
      <c r="FHH994" s="2335"/>
      <c r="FHI994" s="2335"/>
      <c r="FHJ994" s="2335"/>
      <c r="FHK994" s="2335"/>
      <c r="FHL994" s="2335"/>
      <c r="FHM994" s="2335"/>
      <c r="FHN994" s="2335"/>
      <c r="FHO994" s="2335"/>
      <c r="FHP994" s="2335"/>
      <c r="FHQ994" s="2335"/>
      <c r="FHR994" s="2335"/>
      <c r="FHS994" s="2335"/>
      <c r="FHT994" s="2335"/>
      <c r="FHU994" s="2335"/>
      <c r="FHV994" s="2335"/>
      <c r="FHW994" s="2335"/>
      <c r="FHX994" s="2335"/>
      <c r="FHY994" s="2335"/>
      <c r="FHZ994" s="2335"/>
      <c r="FIA994" s="2335"/>
      <c r="FIB994" s="2335"/>
      <c r="FIC994" s="2335"/>
      <c r="FID994" s="2335"/>
      <c r="FIE994" s="2335"/>
      <c r="FIF994" s="2335"/>
      <c r="FIG994" s="2335"/>
      <c r="FIH994" s="2335"/>
      <c r="FII994" s="2335"/>
      <c r="FIJ994" s="2335"/>
      <c r="FIK994" s="2335"/>
      <c r="FIL994" s="2335"/>
      <c r="FIM994" s="2335"/>
      <c r="FIN994" s="2335"/>
      <c r="FIO994" s="2335"/>
      <c r="FIP994" s="2335"/>
      <c r="FIQ994" s="2335"/>
      <c r="FIR994" s="2335"/>
      <c r="FIS994" s="2335"/>
      <c r="FIT994" s="2335"/>
      <c r="FIU994" s="2335"/>
      <c r="FIV994" s="2335"/>
      <c r="FIW994" s="2335"/>
      <c r="FIX994" s="2335"/>
      <c r="FIY994" s="2335"/>
      <c r="FIZ994" s="2335"/>
      <c r="FJA994" s="2335"/>
      <c r="FJB994" s="2335"/>
      <c r="FJC994" s="2335"/>
      <c r="FJD994" s="2335"/>
      <c r="FJE994" s="2335"/>
      <c r="FJF994" s="2335"/>
      <c r="FJG994" s="2335"/>
      <c r="FJH994" s="2335"/>
      <c r="FJI994" s="2335"/>
      <c r="FJJ994" s="2335"/>
      <c r="FJK994" s="2335"/>
      <c r="FJL994" s="2335"/>
      <c r="FJM994" s="2335"/>
      <c r="FJN994" s="2335"/>
      <c r="FJO994" s="2335"/>
      <c r="FJP994" s="2335"/>
      <c r="FJQ994" s="2335"/>
      <c r="FJR994" s="2335"/>
      <c r="FJS994" s="2335"/>
      <c r="FJT994" s="2335"/>
      <c r="FJU994" s="2335"/>
      <c r="FJV994" s="2335"/>
      <c r="FJW994" s="2335"/>
      <c r="FJX994" s="2335"/>
      <c r="FJY994" s="2335"/>
      <c r="FJZ994" s="2335"/>
      <c r="FKA994" s="2335"/>
      <c r="FKB994" s="2335"/>
      <c r="FKC994" s="2335"/>
      <c r="FKD994" s="2335"/>
      <c r="FKE994" s="2335"/>
      <c r="FKF994" s="2335"/>
      <c r="FKG994" s="2335"/>
      <c r="FKH994" s="2335"/>
      <c r="FKI994" s="2335"/>
      <c r="FKJ994" s="2335"/>
      <c r="FKK994" s="2335"/>
      <c r="FKL994" s="2335"/>
      <c r="FKM994" s="2335"/>
      <c r="FKN994" s="2335"/>
      <c r="FKO994" s="2335"/>
      <c r="FKP994" s="2335"/>
      <c r="FKQ994" s="2335"/>
      <c r="FKR994" s="2335"/>
      <c r="FKS994" s="2335"/>
      <c r="FKT994" s="2335"/>
      <c r="FKU994" s="2335"/>
      <c r="FKV994" s="2335"/>
      <c r="FKW994" s="2335"/>
      <c r="FKX994" s="2335"/>
      <c r="FKY994" s="2335"/>
      <c r="FKZ994" s="2335"/>
      <c r="FLA994" s="2335"/>
      <c r="FLB994" s="2335"/>
      <c r="FLC994" s="2335"/>
      <c r="FLD994" s="2335"/>
      <c r="FLE994" s="2335"/>
      <c r="FLF994" s="2335"/>
      <c r="FLG994" s="2335"/>
      <c r="FLH994" s="2335"/>
      <c r="FLI994" s="2335"/>
      <c r="FLJ994" s="2335"/>
      <c r="FLK994" s="2335"/>
      <c r="FLL994" s="2335"/>
      <c r="FLM994" s="2335"/>
      <c r="FLN994" s="2335"/>
      <c r="FLO994" s="2335"/>
      <c r="FLP994" s="2335"/>
      <c r="FLQ994" s="2335"/>
      <c r="FLR994" s="2335"/>
      <c r="FLS994" s="2335"/>
      <c r="FLT994" s="2335"/>
      <c r="FLU994" s="2335"/>
      <c r="FLV994" s="2335"/>
      <c r="FLW994" s="2335"/>
      <c r="FLX994" s="2335"/>
      <c r="FLY994" s="2335"/>
      <c r="FLZ994" s="2335"/>
      <c r="FMA994" s="2335"/>
      <c r="FMB994" s="2335"/>
      <c r="FMC994" s="2335"/>
      <c r="FMD994" s="2335"/>
      <c r="FME994" s="2335"/>
      <c r="FMF994" s="2335"/>
      <c r="FMG994" s="2335"/>
      <c r="FMH994" s="2335"/>
      <c r="FMI994" s="2335"/>
      <c r="FMJ994" s="2335"/>
      <c r="FMK994" s="2335"/>
      <c r="FML994" s="2335"/>
      <c r="FMM994" s="2335"/>
      <c r="FMN994" s="2335"/>
      <c r="FMO994" s="2335"/>
      <c r="FMP994" s="2335"/>
      <c r="FMQ994" s="2335"/>
      <c r="FMR994" s="2335"/>
      <c r="FMS994" s="2335"/>
      <c r="FMT994" s="2335"/>
      <c r="FMU994" s="2335"/>
      <c r="FMV994" s="2335"/>
      <c r="FMW994" s="2335"/>
      <c r="FMX994" s="2335"/>
      <c r="FMY994" s="2335"/>
      <c r="FMZ994" s="2335"/>
      <c r="FNA994" s="2335"/>
      <c r="FNB994" s="2335"/>
      <c r="FNC994" s="2335"/>
      <c r="FND994" s="2335"/>
      <c r="FNE994" s="2335"/>
      <c r="FNF994" s="2335"/>
      <c r="FNG994" s="2335"/>
      <c r="FNH994" s="2335"/>
      <c r="FNI994" s="2335"/>
      <c r="FNJ994" s="2335"/>
      <c r="FNK994" s="2335"/>
      <c r="FNL994" s="2335"/>
      <c r="FNM994" s="2335"/>
      <c r="FNN994" s="2335"/>
      <c r="FNO994" s="2335"/>
      <c r="FNP994" s="2335"/>
      <c r="FNQ994" s="2335"/>
      <c r="FNR994" s="2335"/>
      <c r="FNS994" s="2335"/>
      <c r="FNT994" s="2335"/>
      <c r="FNU994" s="2335"/>
      <c r="FNV994" s="2335"/>
      <c r="FNW994" s="2335"/>
      <c r="FNX994" s="2335"/>
      <c r="FNY994" s="2335"/>
      <c r="FNZ994" s="2335"/>
      <c r="FOA994" s="2335"/>
      <c r="FOB994" s="2335"/>
      <c r="FOC994" s="2335"/>
      <c r="FOD994" s="2335"/>
      <c r="FOE994" s="2335"/>
      <c r="FOF994" s="2335"/>
      <c r="FOG994" s="2335"/>
      <c r="FOH994" s="2335"/>
      <c r="FOI994" s="2335"/>
      <c r="FOJ994" s="2335"/>
      <c r="FOK994" s="2335"/>
      <c r="FOL994" s="2335"/>
      <c r="FOM994" s="2335"/>
      <c r="FON994" s="2335"/>
      <c r="FOO994" s="2335"/>
      <c r="FOP994" s="2335"/>
      <c r="FOQ994" s="2335"/>
      <c r="FOR994" s="2335"/>
      <c r="FOS994" s="2335"/>
      <c r="FOT994" s="2335"/>
      <c r="FOU994" s="2335"/>
      <c r="FOV994" s="2335"/>
      <c r="FOW994" s="2335"/>
      <c r="FOX994" s="2335"/>
      <c r="FOY994" s="2335"/>
      <c r="FOZ994" s="2335"/>
      <c r="FPA994" s="2335"/>
      <c r="FPB994" s="2335"/>
      <c r="FPC994" s="2335"/>
      <c r="FPD994" s="2335"/>
      <c r="FPE994" s="2335"/>
      <c r="FPF994" s="2335"/>
      <c r="FPG994" s="2335"/>
      <c r="FPH994" s="2335"/>
      <c r="FPI994" s="2335"/>
      <c r="FPJ994" s="2335"/>
      <c r="FPK994" s="2335"/>
      <c r="FPL994" s="2335"/>
      <c r="FPM994" s="2335"/>
      <c r="FPN994" s="2335"/>
      <c r="FPO994" s="2335"/>
      <c r="FPP994" s="2335"/>
      <c r="FPQ994" s="2335"/>
      <c r="FPR994" s="2335"/>
      <c r="FPS994" s="2335"/>
      <c r="FPT994" s="2335"/>
      <c r="FPU994" s="2335"/>
      <c r="FPV994" s="2335"/>
      <c r="FPW994" s="2335"/>
      <c r="FPX994" s="2335"/>
      <c r="FPY994" s="2335"/>
      <c r="FPZ994" s="2335"/>
      <c r="FQA994" s="2335"/>
      <c r="FQB994" s="2335"/>
      <c r="FQC994" s="2335"/>
      <c r="FQD994" s="2335"/>
      <c r="FQE994" s="2335"/>
      <c r="FQF994" s="2335"/>
      <c r="FQG994" s="2335"/>
      <c r="FQH994" s="2335"/>
      <c r="FQI994" s="2335"/>
      <c r="FQJ994" s="2335"/>
      <c r="FQK994" s="2335"/>
      <c r="FQL994" s="2335"/>
      <c r="FQM994" s="2335"/>
      <c r="FQN994" s="2335"/>
      <c r="FQO994" s="2335"/>
      <c r="FQP994" s="2335"/>
      <c r="FQQ994" s="2335"/>
      <c r="FQR994" s="2335"/>
      <c r="FQS994" s="2335"/>
      <c r="FQT994" s="2335"/>
      <c r="FQU994" s="2335"/>
      <c r="FQV994" s="2335"/>
      <c r="FQW994" s="2335"/>
      <c r="FQX994" s="2335"/>
      <c r="FQY994" s="2335"/>
      <c r="FQZ994" s="2335"/>
      <c r="FRA994" s="2335"/>
      <c r="FRB994" s="2335"/>
      <c r="FRC994" s="2335"/>
      <c r="FRD994" s="2335"/>
      <c r="FRE994" s="2335"/>
      <c r="FRF994" s="2335"/>
      <c r="FRG994" s="2335"/>
      <c r="FRH994" s="2335"/>
      <c r="FRI994" s="2335"/>
      <c r="FRJ994" s="2335"/>
      <c r="FRK994" s="2335"/>
      <c r="FRL994" s="2335"/>
      <c r="FRM994" s="2335"/>
      <c r="FRN994" s="2335"/>
      <c r="FRO994" s="2335"/>
      <c r="FRP994" s="2335"/>
      <c r="FRQ994" s="2335"/>
      <c r="FRR994" s="2335"/>
      <c r="FRS994" s="2335"/>
      <c r="FRT994" s="2335"/>
      <c r="FRU994" s="2335"/>
      <c r="FRV994" s="2335"/>
      <c r="FRW994" s="2335"/>
      <c r="FRX994" s="2335"/>
      <c r="FRY994" s="2335"/>
      <c r="FRZ994" s="2335"/>
      <c r="FSA994" s="2335"/>
      <c r="FSB994" s="2335"/>
      <c r="FSC994" s="2335"/>
      <c r="FSD994" s="2335"/>
      <c r="FSE994" s="2335"/>
      <c r="FSF994" s="2335"/>
      <c r="FSG994" s="2335"/>
      <c r="FSH994" s="2335"/>
      <c r="FSI994" s="2335"/>
      <c r="FSJ994" s="2335"/>
      <c r="FSK994" s="2335"/>
      <c r="FSL994" s="2335"/>
      <c r="FSM994" s="2335"/>
      <c r="FSN994" s="2335"/>
      <c r="FSO994" s="2335"/>
      <c r="FSP994" s="2335"/>
      <c r="FSQ994" s="2335"/>
      <c r="FSR994" s="2335"/>
      <c r="FSS994" s="2335"/>
      <c r="FST994" s="2335"/>
      <c r="FSU994" s="2335"/>
      <c r="FSV994" s="2335"/>
      <c r="FSW994" s="2335"/>
      <c r="FSX994" s="2335"/>
      <c r="FSY994" s="2335"/>
      <c r="FSZ994" s="2335"/>
      <c r="FTA994" s="2335"/>
      <c r="FTB994" s="2335"/>
      <c r="FTC994" s="2335"/>
      <c r="FTD994" s="2335"/>
      <c r="FTE994" s="2335"/>
      <c r="FTF994" s="2335"/>
      <c r="FTG994" s="2335"/>
      <c r="FTH994" s="2335"/>
      <c r="FTI994" s="2335"/>
      <c r="FTJ994" s="2335"/>
      <c r="FTK994" s="2335"/>
      <c r="FTL994" s="2335"/>
      <c r="FTM994" s="2335"/>
      <c r="FTN994" s="2335"/>
      <c r="FTO994" s="2335"/>
      <c r="FTP994" s="2335"/>
      <c r="FTQ994" s="2335"/>
      <c r="FTR994" s="2335"/>
      <c r="FTS994" s="2335"/>
      <c r="FTT994" s="2335"/>
      <c r="FTU994" s="2335"/>
      <c r="FTV994" s="2335"/>
      <c r="FTW994" s="2335"/>
      <c r="FTX994" s="2335"/>
      <c r="FTY994" s="2335"/>
      <c r="FTZ994" s="2335"/>
      <c r="FUA994" s="2335"/>
      <c r="FUB994" s="2335"/>
      <c r="FUC994" s="2335"/>
      <c r="FUD994" s="2335"/>
      <c r="FUE994" s="2335"/>
      <c r="FUF994" s="2335"/>
      <c r="FUG994" s="2335"/>
      <c r="FUH994" s="2335"/>
      <c r="FUI994" s="2335"/>
      <c r="FUJ994" s="2335"/>
      <c r="FUK994" s="2335"/>
      <c r="FUL994" s="2335"/>
      <c r="FUM994" s="2335"/>
      <c r="FUN994" s="2335"/>
      <c r="FUO994" s="2335"/>
      <c r="FUP994" s="2335"/>
      <c r="FUQ994" s="2335"/>
      <c r="FUR994" s="2335"/>
      <c r="FUS994" s="2335"/>
      <c r="FUT994" s="2335"/>
      <c r="FUU994" s="2335"/>
      <c r="FUV994" s="2335"/>
      <c r="FUW994" s="2335"/>
      <c r="FUX994" s="2335"/>
      <c r="FUY994" s="2335"/>
      <c r="FUZ994" s="2335"/>
      <c r="FVA994" s="2335"/>
      <c r="FVB994" s="2335"/>
      <c r="FVC994" s="2335"/>
      <c r="FVD994" s="2335"/>
      <c r="FVE994" s="2335"/>
      <c r="FVF994" s="2335"/>
      <c r="FVG994" s="2335"/>
      <c r="FVH994" s="2335"/>
      <c r="FVI994" s="2335"/>
      <c r="FVJ994" s="2335"/>
      <c r="FVK994" s="2335"/>
      <c r="FVL994" s="2335"/>
      <c r="FVM994" s="2335"/>
      <c r="FVN994" s="2335"/>
      <c r="FVO994" s="2335"/>
      <c r="FVP994" s="2335"/>
      <c r="FVQ994" s="2335"/>
      <c r="FVR994" s="2335"/>
      <c r="FVS994" s="2335"/>
      <c r="FVT994" s="2335"/>
      <c r="FVU994" s="2335"/>
      <c r="FVV994" s="2335"/>
      <c r="FVW994" s="2335"/>
      <c r="FVX994" s="2335"/>
      <c r="FVY994" s="2335"/>
      <c r="FVZ994" s="2335"/>
      <c r="FWA994" s="2335"/>
      <c r="FWB994" s="2335"/>
      <c r="FWC994" s="2335"/>
      <c r="FWD994" s="2335"/>
      <c r="FWE994" s="2335"/>
      <c r="FWF994" s="2335"/>
      <c r="FWG994" s="2335"/>
      <c r="FWH994" s="2335"/>
      <c r="FWI994" s="2335"/>
      <c r="FWJ994" s="2335"/>
      <c r="FWK994" s="2335"/>
      <c r="FWL994" s="2335"/>
      <c r="FWM994" s="2335"/>
      <c r="FWN994" s="2335"/>
      <c r="FWO994" s="2335"/>
      <c r="FWP994" s="2335"/>
      <c r="FWQ994" s="2335"/>
      <c r="FWR994" s="2335"/>
      <c r="FWS994" s="2335"/>
      <c r="FWT994" s="2335"/>
      <c r="FWU994" s="2335"/>
      <c r="FWV994" s="2335"/>
      <c r="FWW994" s="2335"/>
      <c r="FWX994" s="2335"/>
      <c r="FWY994" s="2335"/>
      <c r="FWZ994" s="2335"/>
      <c r="FXA994" s="2335"/>
      <c r="FXB994" s="2335"/>
      <c r="FXC994" s="2335"/>
      <c r="FXD994" s="2335"/>
      <c r="FXE994" s="2335"/>
      <c r="FXF994" s="2335"/>
      <c r="FXG994" s="2335"/>
      <c r="FXH994" s="2335"/>
      <c r="FXI994" s="2335"/>
      <c r="FXJ994" s="2335"/>
      <c r="FXK994" s="2335"/>
      <c r="FXL994" s="2335"/>
      <c r="FXM994" s="2335"/>
      <c r="FXN994" s="2335"/>
      <c r="FXO994" s="2335"/>
      <c r="FXP994" s="2335"/>
      <c r="FXQ994" s="2335"/>
      <c r="FXR994" s="2335"/>
      <c r="FXS994" s="2335"/>
      <c r="FXT994" s="2335"/>
      <c r="FXU994" s="2335"/>
      <c r="FXV994" s="2335"/>
      <c r="FXW994" s="2335"/>
      <c r="FXX994" s="2335"/>
      <c r="FXY994" s="2335"/>
      <c r="FXZ994" s="2335"/>
      <c r="FYA994" s="2335"/>
      <c r="FYB994" s="2335"/>
      <c r="FYC994" s="2335"/>
      <c r="FYD994" s="2335"/>
      <c r="FYE994" s="2335"/>
      <c r="FYF994" s="2335"/>
      <c r="FYG994" s="2335"/>
      <c r="FYH994" s="2335"/>
      <c r="FYI994" s="2335"/>
      <c r="FYJ994" s="2335"/>
      <c r="FYK994" s="2335"/>
      <c r="FYL994" s="2335"/>
      <c r="FYM994" s="2335"/>
      <c r="FYN994" s="2335"/>
      <c r="FYO994" s="2335"/>
      <c r="FYP994" s="2335"/>
      <c r="FYQ994" s="2335"/>
      <c r="FYR994" s="2335"/>
      <c r="FYS994" s="2335"/>
      <c r="FYT994" s="2335"/>
      <c r="FYU994" s="2335"/>
      <c r="FYV994" s="2335"/>
      <c r="FYW994" s="2335"/>
      <c r="FYX994" s="2335"/>
      <c r="FYY994" s="2335"/>
      <c r="FYZ994" s="2335"/>
      <c r="FZA994" s="2335"/>
      <c r="FZB994" s="2335"/>
      <c r="FZC994" s="2335"/>
      <c r="FZD994" s="2335"/>
      <c r="FZE994" s="2335"/>
      <c r="FZF994" s="2335"/>
      <c r="FZG994" s="2335"/>
      <c r="FZH994" s="2335"/>
      <c r="FZI994" s="2335"/>
      <c r="FZJ994" s="2335"/>
      <c r="FZK994" s="2335"/>
      <c r="FZL994" s="2335"/>
      <c r="FZM994" s="2335"/>
      <c r="FZN994" s="2335"/>
      <c r="FZO994" s="2335"/>
      <c r="FZP994" s="2335"/>
      <c r="FZQ994" s="2335"/>
      <c r="FZR994" s="2335"/>
      <c r="FZS994" s="2335"/>
      <c r="FZT994" s="2335"/>
      <c r="FZU994" s="2335"/>
      <c r="FZV994" s="2335"/>
      <c r="FZW994" s="2335"/>
      <c r="FZX994" s="2335"/>
      <c r="FZY994" s="2335"/>
      <c r="FZZ994" s="2335"/>
      <c r="GAA994" s="2335"/>
      <c r="GAB994" s="2335"/>
      <c r="GAC994" s="2335"/>
      <c r="GAD994" s="2335"/>
      <c r="GAE994" s="2335"/>
      <c r="GAF994" s="2335"/>
      <c r="GAG994" s="2335"/>
      <c r="GAH994" s="2335"/>
      <c r="GAI994" s="2335"/>
      <c r="GAJ994" s="2335"/>
      <c r="GAK994" s="2335"/>
      <c r="GAL994" s="2335"/>
      <c r="GAM994" s="2335"/>
      <c r="GAN994" s="2335"/>
      <c r="GAO994" s="2335"/>
      <c r="GAP994" s="2335"/>
      <c r="GAQ994" s="2335"/>
      <c r="GAR994" s="2335"/>
      <c r="GAS994" s="2335"/>
      <c r="GAT994" s="2335"/>
      <c r="GAU994" s="2335"/>
      <c r="GAV994" s="2335"/>
      <c r="GAW994" s="2335"/>
      <c r="GAX994" s="2335"/>
      <c r="GAY994" s="2335"/>
      <c r="GAZ994" s="2335"/>
      <c r="GBA994" s="2335"/>
      <c r="GBB994" s="2335"/>
      <c r="GBC994" s="2335"/>
      <c r="GBD994" s="2335"/>
      <c r="GBE994" s="2335"/>
      <c r="GBF994" s="2335"/>
      <c r="GBG994" s="2335"/>
      <c r="GBH994" s="2335"/>
      <c r="GBI994" s="2335"/>
      <c r="GBJ994" s="2335"/>
      <c r="GBK994" s="2335"/>
      <c r="GBL994" s="2335"/>
      <c r="GBM994" s="2335"/>
      <c r="GBN994" s="2335"/>
      <c r="GBO994" s="2335"/>
      <c r="GBP994" s="2335"/>
      <c r="GBQ994" s="2335"/>
      <c r="GBR994" s="2335"/>
      <c r="GBS994" s="2335"/>
      <c r="GBT994" s="2335"/>
      <c r="GBU994" s="2335"/>
      <c r="GBV994" s="2335"/>
      <c r="GBW994" s="2335"/>
      <c r="GBX994" s="2335"/>
      <c r="GBY994" s="2335"/>
      <c r="GBZ994" s="2335"/>
      <c r="GCA994" s="2335"/>
      <c r="GCB994" s="2335"/>
      <c r="GCC994" s="2335"/>
      <c r="GCD994" s="2335"/>
      <c r="GCE994" s="2335"/>
      <c r="GCF994" s="2335"/>
      <c r="GCG994" s="2335"/>
      <c r="GCH994" s="2335"/>
      <c r="GCI994" s="2335"/>
      <c r="GCJ994" s="2335"/>
      <c r="GCK994" s="2335"/>
      <c r="GCL994" s="2335"/>
      <c r="GCM994" s="2335"/>
      <c r="GCN994" s="2335"/>
      <c r="GCO994" s="2335"/>
      <c r="GCP994" s="2335"/>
      <c r="GCQ994" s="2335"/>
      <c r="GCR994" s="2335"/>
      <c r="GCS994" s="2335"/>
      <c r="GCT994" s="2335"/>
      <c r="GCU994" s="2335"/>
      <c r="GCV994" s="2335"/>
      <c r="GCW994" s="2335"/>
      <c r="GCX994" s="2335"/>
      <c r="GCY994" s="2335"/>
      <c r="GCZ994" s="2335"/>
      <c r="GDA994" s="2335"/>
      <c r="GDB994" s="2335"/>
      <c r="GDC994" s="2335"/>
      <c r="GDD994" s="2335"/>
      <c r="GDE994" s="2335"/>
      <c r="GDF994" s="2335"/>
      <c r="GDG994" s="2335"/>
      <c r="GDH994" s="2335"/>
      <c r="GDI994" s="2335"/>
      <c r="GDJ994" s="2335"/>
      <c r="GDK994" s="2335"/>
      <c r="GDL994" s="2335"/>
      <c r="GDM994" s="2335"/>
      <c r="GDN994" s="2335"/>
      <c r="GDO994" s="2335"/>
      <c r="GDP994" s="2335"/>
      <c r="GDQ994" s="2335"/>
      <c r="GDR994" s="2335"/>
      <c r="GDS994" s="2335"/>
      <c r="GDT994" s="2335"/>
      <c r="GDU994" s="2335"/>
      <c r="GDV994" s="2335"/>
      <c r="GDW994" s="2335"/>
      <c r="GDX994" s="2335"/>
      <c r="GDY994" s="2335"/>
      <c r="GDZ994" s="2335"/>
      <c r="GEA994" s="2335"/>
      <c r="GEB994" s="2335"/>
      <c r="GEC994" s="2335"/>
      <c r="GED994" s="2335"/>
      <c r="GEE994" s="2335"/>
      <c r="GEF994" s="2335"/>
      <c r="GEG994" s="2335"/>
      <c r="GEH994" s="2335"/>
      <c r="GEI994" s="2335"/>
      <c r="GEJ994" s="2335"/>
      <c r="GEK994" s="2335"/>
      <c r="GEL994" s="2335"/>
      <c r="GEM994" s="2335"/>
      <c r="GEN994" s="2335"/>
      <c r="GEO994" s="2335"/>
      <c r="GEP994" s="2335"/>
      <c r="GEQ994" s="2335"/>
      <c r="GER994" s="2335"/>
      <c r="GES994" s="2335"/>
      <c r="GET994" s="2335"/>
      <c r="GEU994" s="2335"/>
      <c r="GEV994" s="2335"/>
      <c r="GEW994" s="2335"/>
      <c r="GEX994" s="2335"/>
      <c r="GEY994" s="2335"/>
      <c r="GEZ994" s="2335"/>
      <c r="GFA994" s="2335"/>
      <c r="GFB994" s="2335"/>
      <c r="GFC994" s="2335"/>
      <c r="GFD994" s="2335"/>
      <c r="GFE994" s="2335"/>
      <c r="GFF994" s="2335"/>
      <c r="GFG994" s="2335"/>
      <c r="GFH994" s="2335"/>
      <c r="GFI994" s="2335"/>
      <c r="GFJ994" s="2335"/>
      <c r="GFK994" s="2335"/>
      <c r="GFL994" s="2335"/>
      <c r="GFM994" s="2335"/>
      <c r="GFN994" s="2335"/>
      <c r="GFO994" s="2335"/>
      <c r="GFP994" s="2335"/>
      <c r="GFQ994" s="2335"/>
      <c r="GFR994" s="2335"/>
      <c r="GFS994" s="2335"/>
      <c r="GFT994" s="2335"/>
      <c r="GFU994" s="2335"/>
      <c r="GFV994" s="2335"/>
      <c r="GFW994" s="2335"/>
      <c r="GFX994" s="2335"/>
      <c r="GFY994" s="2335"/>
      <c r="GFZ994" s="2335"/>
      <c r="GGA994" s="2335"/>
      <c r="GGB994" s="2335"/>
      <c r="GGC994" s="2335"/>
      <c r="GGD994" s="2335"/>
      <c r="GGE994" s="2335"/>
      <c r="GGF994" s="2335"/>
      <c r="GGG994" s="2335"/>
      <c r="GGH994" s="2335"/>
      <c r="GGI994" s="2335"/>
      <c r="GGJ994" s="2335"/>
      <c r="GGK994" s="2335"/>
      <c r="GGL994" s="2335"/>
      <c r="GGM994" s="2335"/>
      <c r="GGN994" s="2335"/>
      <c r="GGO994" s="2335"/>
      <c r="GGP994" s="2335"/>
      <c r="GGQ994" s="2335"/>
      <c r="GGR994" s="2335"/>
      <c r="GGS994" s="2335"/>
      <c r="GGT994" s="2335"/>
      <c r="GGU994" s="2335"/>
      <c r="GGV994" s="2335"/>
      <c r="GGW994" s="2335"/>
      <c r="GGX994" s="2335"/>
      <c r="GGY994" s="2335"/>
      <c r="GGZ994" s="2335"/>
      <c r="GHA994" s="2335"/>
      <c r="GHB994" s="2335"/>
      <c r="GHC994" s="2335"/>
      <c r="GHD994" s="2335"/>
      <c r="GHE994" s="2335"/>
      <c r="GHF994" s="2335"/>
      <c r="GHG994" s="2335"/>
      <c r="GHH994" s="2335"/>
      <c r="GHI994" s="2335"/>
      <c r="GHJ994" s="2335"/>
      <c r="GHK994" s="2335"/>
      <c r="GHL994" s="2335"/>
      <c r="GHM994" s="2335"/>
      <c r="GHN994" s="2335"/>
      <c r="GHO994" s="2335"/>
      <c r="GHP994" s="2335"/>
      <c r="GHQ994" s="2335"/>
      <c r="GHR994" s="2335"/>
      <c r="GHS994" s="2335"/>
      <c r="GHT994" s="2335"/>
      <c r="GHU994" s="2335"/>
      <c r="GHV994" s="2335"/>
      <c r="GHW994" s="2335"/>
      <c r="GHX994" s="2335"/>
      <c r="GHY994" s="2335"/>
      <c r="GHZ994" s="2335"/>
      <c r="GIA994" s="2335"/>
      <c r="GIB994" s="2335"/>
      <c r="GIC994" s="2335"/>
      <c r="GID994" s="2335"/>
      <c r="GIE994" s="2335"/>
      <c r="GIF994" s="2335"/>
      <c r="GIG994" s="2335"/>
      <c r="GIH994" s="2335"/>
      <c r="GII994" s="2335"/>
      <c r="GIJ994" s="2335"/>
      <c r="GIK994" s="2335"/>
      <c r="GIL994" s="2335"/>
      <c r="GIM994" s="2335"/>
      <c r="GIN994" s="2335"/>
      <c r="GIO994" s="2335"/>
      <c r="GIP994" s="2335"/>
      <c r="GIQ994" s="2335"/>
      <c r="GIR994" s="2335"/>
      <c r="GIS994" s="2335"/>
      <c r="GIT994" s="2335"/>
      <c r="GIU994" s="2335"/>
      <c r="GIV994" s="2335"/>
      <c r="GIW994" s="2335"/>
      <c r="GIX994" s="2335"/>
      <c r="GIY994" s="2335"/>
      <c r="GIZ994" s="2335"/>
      <c r="GJA994" s="2335"/>
      <c r="GJB994" s="2335"/>
      <c r="GJC994" s="2335"/>
      <c r="GJD994" s="2335"/>
      <c r="GJE994" s="2335"/>
      <c r="GJF994" s="2335"/>
      <c r="GJG994" s="2335"/>
      <c r="GJH994" s="2335"/>
      <c r="GJI994" s="2335"/>
      <c r="GJJ994" s="2335"/>
      <c r="GJK994" s="2335"/>
      <c r="GJL994" s="2335"/>
      <c r="GJM994" s="2335"/>
      <c r="GJN994" s="2335"/>
      <c r="GJO994" s="2335"/>
      <c r="GJP994" s="2335"/>
      <c r="GJQ994" s="2335"/>
      <c r="GJR994" s="2335"/>
      <c r="GJS994" s="2335"/>
      <c r="GJT994" s="2335"/>
      <c r="GJU994" s="2335"/>
      <c r="GJV994" s="2335"/>
      <c r="GJW994" s="2335"/>
      <c r="GJX994" s="2335"/>
      <c r="GJY994" s="2335"/>
      <c r="GJZ994" s="2335"/>
      <c r="GKA994" s="2335"/>
      <c r="GKB994" s="2335"/>
      <c r="GKC994" s="2335"/>
      <c r="GKD994" s="2335"/>
      <c r="GKE994" s="2335"/>
      <c r="GKF994" s="2335"/>
      <c r="GKG994" s="2335"/>
      <c r="GKH994" s="2335"/>
      <c r="GKI994" s="2335"/>
      <c r="GKJ994" s="2335"/>
      <c r="GKK994" s="2335"/>
      <c r="GKL994" s="2335"/>
      <c r="GKM994" s="2335"/>
      <c r="GKN994" s="2335"/>
      <c r="GKO994" s="2335"/>
      <c r="GKP994" s="2335"/>
      <c r="GKQ994" s="2335"/>
      <c r="GKR994" s="2335"/>
      <c r="GKS994" s="2335"/>
      <c r="GKT994" s="2335"/>
      <c r="GKU994" s="2335"/>
      <c r="GKV994" s="2335"/>
      <c r="GKW994" s="2335"/>
      <c r="GKX994" s="2335"/>
      <c r="GKY994" s="2335"/>
      <c r="GKZ994" s="2335"/>
      <c r="GLA994" s="2335"/>
      <c r="GLB994" s="2335"/>
      <c r="GLC994" s="2335"/>
      <c r="GLD994" s="2335"/>
      <c r="GLE994" s="2335"/>
      <c r="GLF994" s="2335"/>
      <c r="GLG994" s="2335"/>
      <c r="GLH994" s="2335"/>
      <c r="GLI994" s="2335"/>
      <c r="GLJ994" s="2335"/>
      <c r="GLK994" s="2335"/>
      <c r="GLL994" s="2335"/>
      <c r="GLM994" s="2335"/>
      <c r="GLN994" s="2335"/>
      <c r="GLO994" s="2335"/>
      <c r="GLP994" s="2335"/>
      <c r="GLQ994" s="2335"/>
      <c r="GLR994" s="2335"/>
      <c r="GLS994" s="2335"/>
      <c r="GLT994" s="2335"/>
      <c r="GLU994" s="2335"/>
      <c r="GLV994" s="2335"/>
      <c r="GLW994" s="2335"/>
      <c r="GLX994" s="2335"/>
      <c r="GLY994" s="2335"/>
      <c r="GLZ994" s="2335"/>
      <c r="GMA994" s="2335"/>
      <c r="GMB994" s="2335"/>
      <c r="GMC994" s="2335"/>
      <c r="GMD994" s="2335"/>
      <c r="GME994" s="2335"/>
      <c r="GMF994" s="2335"/>
      <c r="GMG994" s="2335"/>
      <c r="GMH994" s="2335"/>
      <c r="GMI994" s="2335"/>
      <c r="GMJ994" s="2335"/>
      <c r="GMK994" s="2335"/>
      <c r="GML994" s="2335"/>
      <c r="GMM994" s="2335"/>
      <c r="GMN994" s="2335"/>
      <c r="GMO994" s="2335"/>
      <c r="GMP994" s="2335"/>
      <c r="GMQ994" s="2335"/>
      <c r="GMR994" s="2335"/>
      <c r="GMS994" s="2335"/>
      <c r="GMT994" s="2335"/>
      <c r="GMU994" s="2335"/>
      <c r="GMV994" s="2335"/>
      <c r="GMW994" s="2335"/>
      <c r="GMX994" s="2335"/>
      <c r="GMY994" s="2335"/>
      <c r="GMZ994" s="2335"/>
      <c r="GNA994" s="2335"/>
      <c r="GNB994" s="2335"/>
      <c r="GNC994" s="2335"/>
      <c r="GND994" s="2335"/>
      <c r="GNE994" s="2335"/>
      <c r="GNF994" s="2335"/>
      <c r="GNG994" s="2335"/>
      <c r="GNH994" s="2335"/>
      <c r="GNI994" s="2335"/>
      <c r="GNJ994" s="2335"/>
      <c r="GNK994" s="2335"/>
      <c r="GNL994" s="2335"/>
      <c r="GNM994" s="2335"/>
      <c r="GNN994" s="2335"/>
      <c r="GNO994" s="2335"/>
      <c r="GNP994" s="2335"/>
      <c r="GNQ994" s="2335"/>
      <c r="GNR994" s="2335"/>
      <c r="GNS994" s="2335"/>
      <c r="GNT994" s="2335"/>
      <c r="GNU994" s="2335"/>
      <c r="GNV994" s="2335"/>
      <c r="GNW994" s="2335"/>
      <c r="GNX994" s="2335"/>
      <c r="GNY994" s="2335"/>
      <c r="GNZ994" s="2335"/>
      <c r="GOA994" s="2335"/>
      <c r="GOB994" s="2335"/>
      <c r="GOC994" s="2335"/>
      <c r="GOD994" s="2335"/>
      <c r="GOE994" s="2335"/>
      <c r="GOF994" s="2335"/>
      <c r="GOG994" s="2335"/>
      <c r="GOH994" s="2335"/>
      <c r="GOI994" s="2335"/>
      <c r="GOJ994" s="2335"/>
      <c r="GOK994" s="2335"/>
      <c r="GOL994" s="2335"/>
      <c r="GOM994" s="2335"/>
      <c r="GON994" s="2335"/>
      <c r="GOO994" s="2335"/>
      <c r="GOP994" s="2335"/>
      <c r="GOQ994" s="2335"/>
      <c r="GOR994" s="2335"/>
      <c r="GOS994" s="2335"/>
      <c r="GOT994" s="2335"/>
      <c r="GOU994" s="2335"/>
      <c r="GOV994" s="2335"/>
      <c r="GOW994" s="2335"/>
      <c r="GOX994" s="2335"/>
      <c r="GOY994" s="2335"/>
      <c r="GOZ994" s="2335"/>
      <c r="GPA994" s="2335"/>
      <c r="GPB994" s="2335"/>
      <c r="GPC994" s="2335"/>
      <c r="GPD994" s="2335"/>
      <c r="GPE994" s="2335"/>
      <c r="GPF994" s="2335"/>
      <c r="GPG994" s="2335"/>
      <c r="GPH994" s="2335"/>
      <c r="GPI994" s="2335"/>
      <c r="GPJ994" s="2335"/>
      <c r="GPK994" s="2335"/>
      <c r="GPL994" s="2335"/>
      <c r="GPM994" s="2335"/>
      <c r="GPN994" s="2335"/>
      <c r="GPO994" s="2335"/>
      <c r="GPP994" s="2335"/>
      <c r="GPQ994" s="2335"/>
      <c r="GPR994" s="2335"/>
      <c r="GPS994" s="2335"/>
      <c r="GPT994" s="2335"/>
      <c r="GPU994" s="2335"/>
      <c r="GPV994" s="2335"/>
      <c r="GPW994" s="2335"/>
      <c r="GPX994" s="2335"/>
      <c r="GPY994" s="2335"/>
      <c r="GPZ994" s="2335"/>
      <c r="GQA994" s="2335"/>
      <c r="GQB994" s="2335"/>
      <c r="GQC994" s="2335"/>
      <c r="GQD994" s="2335"/>
      <c r="GQE994" s="2335"/>
      <c r="GQF994" s="2335"/>
      <c r="GQG994" s="2335"/>
      <c r="GQH994" s="2335"/>
      <c r="GQI994" s="2335"/>
      <c r="GQJ994" s="2335"/>
      <c r="GQK994" s="2335"/>
      <c r="GQL994" s="2335"/>
      <c r="GQM994" s="2335"/>
      <c r="GQN994" s="2335"/>
      <c r="GQO994" s="2335"/>
      <c r="GQP994" s="2335"/>
      <c r="GQQ994" s="2335"/>
      <c r="GQR994" s="2335"/>
      <c r="GQS994" s="2335"/>
      <c r="GQT994" s="2335"/>
      <c r="GQU994" s="2335"/>
      <c r="GQV994" s="2335"/>
      <c r="GQW994" s="2335"/>
      <c r="GQX994" s="2335"/>
      <c r="GQY994" s="2335"/>
      <c r="GQZ994" s="2335"/>
      <c r="GRA994" s="2335"/>
      <c r="GRB994" s="2335"/>
      <c r="GRC994" s="2335"/>
      <c r="GRD994" s="2335"/>
      <c r="GRE994" s="2335"/>
      <c r="GRF994" s="2335"/>
      <c r="GRG994" s="2335"/>
      <c r="GRH994" s="2335"/>
      <c r="GRI994" s="2335"/>
      <c r="GRJ994" s="2335"/>
      <c r="GRK994" s="2335"/>
      <c r="GRL994" s="2335"/>
      <c r="GRM994" s="2335"/>
      <c r="GRN994" s="2335"/>
      <c r="GRO994" s="2335"/>
      <c r="GRP994" s="2335"/>
      <c r="GRQ994" s="2335"/>
      <c r="GRR994" s="2335"/>
      <c r="GRS994" s="2335"/>
      <c r="GRT994" s="2335"/>
      <c r="GRU994" s="2335"/>
      <c r="GRV994" s="2335"/>
      <c r="GRW994" s="2335"/>
      <c r="GRX994" s="2335"/>
      <c r="GRY994" s="2335"/>
      <c r="GRZ994" s="2335"/>
      <c r="GSA994" s="2335"/>
      <c r="GSB994" s="2335"/>
      <c r="GSC994" s="2335"/>
      <c r="GSD994" s="2335"/>
      <c r="GSE994" s="2335"/>
      <c r="GSF994" s="2335"/>
      <c r="GSG994" s="2335"/>
      <c r="GSH994" s="2335"/>
      <c r="GSI994" s="2335"/>
      <c r="GSJ994" s="2335"/>
      <c r="GSK994" s="2335"/>
      <c r="GSL994" s="2335"/>
      <c r="GSM994" s="2335"/>
      <c r="GSN994" s="2335"/>
      <c r="GSO994" s="2335"/>
      <c r="GSP994" s="2335"/>
      <c r="GSQ994" s="2335"/>
      <c r="GSR994" s="2335"/>
      <c r="GSS994" s="2335"/>
      <c r="GST994" s="2335"/>
      <c r="GSU994" s="2335"/>
      <c r="GSV994" s="2335"/>
      <c r="GSW994" s="2335"/>
      <c r="GSX994" s="2335"/>
      <c r="GSY994" s="2335"/>
      <c r="GSZ994" s="2335"/>
      <c r="GTA994" s="2335"/>
      <c r="GTB994" s="2335"/>
      <c r="GTC994" s="2335"/>
      <c r="GTD994" s="2335"/>
      <c r="GTE994" s="2335"/>
      <c r="GTF994" s="2335"/>
      <c r="GTG994" s="2335"/>
      <c r="GTH994" s="2335"/>
      <c r="GTI994" s="2335"/>
      <c r="GTJ994" s="2335"/>
      <c r="GTK994" s="2335"/>
      <c r="GTL994" s="2335"/>
      <c r="GTM994" s="2335"/>
      <c r="GTN994" s="2335"/>
      <c r="GTO994" s="2335"/>
      <c r="GTP994" s="2335"/>
      <c r="GTQ994" s="2335"/>
      <c r="GTR994" s="2335"/>
      <c r="GTS994" s="2335"/>
      <c r="GTT994" s="2335"/>
      <c r="GTU994" s="2335"/>
      <c r="GTV994" s="2335"/>
      <c r="GTW994" s="2335"/>
      <c r="GTX994" s="2335"/>
      <c r="GTY994" s="2335"/>
      <c r="GTZ994" s="2335"/>
      <c r="GUA994" s="2335"/>
      <c r="GUB994" s="2335"/>
      <c r="GUC994" s="2335"/>
      <c r="GUD994" s="2335"/>
      <c r="GUE994" s="2335"/>
      <c r="GUF994" s="2335"/>
      <c r="GUG994" s="2335"/>
      <c r="GUH994" s="2335"/>
      <c r="GUI994" s="2335"/>
      <c r="GUJ994" s="2335"/>
      <c r="GUK994" s="2335"/>
      <c r="GUL994" s="2335"/>
      <c r="GUM994" s="2335"/>
      <c r="GUN994" s="2335"/>
      <c r="GUO994" s="2335"/>
      <c r="GUP994" s="2335"/>
      <c r="GUQ994" s="2335"/>
      <c r="GUR994" s="2335"/>
      <c r="GUS994" s="2335"/>
      <c r="GUT994" s="2335"/>
      <c r="GUU994" s="2335"/>
      <c r="GUV994" s="2335"/>
      <c r="GUW994" s="2335"/>
      <c r="GUX994" s="2335"/>
      <c r="GUY994" s="2335"/>
      <c r="GUZ994" s="2335"/>
      <c r="GVA994" s="2335"/>
      <c r="GVB994" s="2335"/>
      <c r="GVC994" s="2335"/>
      <c r="GVD994" s="2335"/>
      <c r="GVE994" s="2335"/>
      <c r="GVF994" s="2335"/>
      <c r="GVG994" s="2335"/>
      <c r="GVH994" s="2335"/>
      <c r="GVI994" s="2335"/>
      <c r="GVJ994" s="2335"/>
      <c r="GVK994" s="2335"/>
      <c r="GVL994" s="2335"/>
      <c r="GVM994" s="2335"/>
      <c r="GVN994" s="2335"/>
      <c r="GVO994" s="2335"/>
      <c r="GVP994" s="2335"/>
      <c r="GVQ994" s="2335"/>
      <c r="GVR994" s="2335"/>
      <c r="GVS994" s="2335"/>
      <c r="GVT994" s="2335"/>
      <c r="GVU994" s="2335"/>
      <c r="GVV994" s="2335"/>
      <c r="GVW994" s="2335"/>
      <c r="GVX994" s="2335"/>
      <c r="GVY994" s="2335"/>
      <c r="GVZ994" s="2335"/>
      <c r="GWA994" s="2335"/>
      <c r="GWB994" s="2335"/>
      <c r="GWC994" s="2335"/>
      <c r="GWD994" s="2335"/>
      <c r="GWE994" s="2335"/>
      <c r="GWF994" s="2335"/>
      <c r="GWG994" s="2335"/>
      <c r="GWH994" s="2335"/>
      <c r="GWI994" s="2335"/>
      <c r="GWJ994" s="2335"/>
      <c r="GWK994" s="2335"/>
      <c r="GWL994" s="2335"/>
      <c r="GWM994" s="2335"/>
      <c r="GWN994" s="2335"/>
      <c r="GWO994" s="2335"/>
      <c r="GWP994" s="2335"/>
      <c r="GWQ994" s="2335"/>
      <c r="GWR994" s="2335"/>
      <c r="GWS994" s="2335"/>
      <c r="GWT994" s="2335"/>
      <c r="GWU994" s="2335"/>
      <c r="GWV994" s="2335"/>
      <c r="GWW994" s="2335"/>
      <c r="GWX994" s="2335"/>
      <c r="GWY994" s="2335"/>
      <c r="GWZ994" s="2335"/>
      <c r="GXA994" s="2335"/>
      <c r="GXB994" s="2335"/>
      <c r="GXC994" s="2335"/>
      <c r="GXD994" s="2335"/>
      <c r="GXE994" s="2335"/>
      <c r="GXF994" s="2335"/>
      <c r="GXG994" s="2335"/>
      <c r="GXH994" s="2335"/>
      <c r="GXI994" s="2335"/>
      <c r="GXJ994" s="2335"/>
      <c r="GXK994" s="2335"/>
      <c r="GXL994" s="2335"/>
      <c r="GXM994" s="2335"/>
      <c r="GXN994" s="2335"/>
      <c r="GXO994" s="2335"/>
      <c r="GXP994" s="2335"/>
      <c r="GXQ994" s="2335"/>
      <c r="GXR994" s="2335"/>
      <c r="GXS994" s="2335"/>
      <c r="GXT994" s="2335"/>
      <c r="GXU994" s="2335"/>
      <c r="GXV994" s="2335"/>
      <c r="GXW994" s="2335"/>
      <c r="GXX994" s="2335"/>
      <c r="GXY994" s="2335"/>
      <c r="GXZ994" s="2335"/>
      <c r="GYA994" s="2335"/>
      <c r="GYB994" s="2335"/>
      <c r="GYC994" s="2335"/>
      <c r="GYD994" s="2335"/>
      <c r="GYE994" s="2335"/>
      <c r="GYF994" s="2335"/>
      <c r="GYG994" s="2335"/>
      <c r="GYH994" s="2335"/>
      <c r="GYI994" s="2335"/>
      <c r="GYJ994" s="2335"/>
      <c r="GYK994" s="2335"/>
      <c r="GYL994" s="2335"/>
      <c r="GYM994" s="2335"/>
      <c r="GYN994" s="2335"/>
      <c r="GYO994" s="2335"/>
      <c r="GYP994" s="2335"/>
      <c r="GYQ994" s="2335"/>
      <c r="GYR994" s="2335"/>
      <c r="GYS994" s="2335"/>
      <c r="GYT994" s="2335"/>
      <c r="GYU994" s="2335"/>
      <c r="GYV994" s="2335"/>
      <c r="GYW994" s="2335"/>
      <c r="GYX994" s="2335"/>
      <c r="GYY994" s="2335"/>
      <c r="GYZ994" s="2335"/>
      <c r="GZA994" s="2335"/>
      <c r="GZB994" s="2335"/>
      <c r="GZC994" s="2335"/>
      <c r="GZD994" s="2335"/>
      <c r="GZE994" s="2335"/>
      <c r="GZF994" s="2335"/>
      <c r="GZG994" s="2335"/>
      <c r="GZH994" s="2335"/>
      <c r="GZI994" s="2335"/>
      <c r="GZJ994" s="2335"/>
      <c r="GZK994" s="2335"/>
      <c r="GZL994" s="2335"/>
      <c r="GZM994" s="2335"/>
      <c r="GZN994" s="2335"/>
      <c r="GZO994" s="2335"/>
      <c r="GZP994" s="2335"/>
      <c r="GZQ994" s="2335"/>
      <c r="GZR994" s="2335"/>
      <c r="GZS994" s="2335"/>
      <c r="GZT994" s="2335"/>
      <c r="GZU994" s="2335"/>
      <c r="GZV994" s="2335"/>
      <c r="GZW994" s="2335"/>
      <c r="GZX994" s="2335"/>
      <c r="GZY994" s="2335"/>
      <c r="GZZ994" s="2335"/>
      <c r="HAA994" s="2335"/>
      <c r="HAB994" s="2335"/>
      <c r="HAC994" s="2335"/>
      <c r="HAD994" s="2335"/>
      <c r="HAE994" s="2335"/>
      <c r="HAF994" s="2335"/>
      <c r="HAG994" s="2335"/>
      <c r="HAH994" s="2335"/>
      <c r="HAI994" s="2335"/>
      <c r="HAJ994" s="2335"/>
      <c r="HAK994" s="2335"/>
      <c r="HAL994" s="2335"/>
      <c r="HAM994" s="2335"/>
      <c r="HAN994" s="2335"/>
      <c r="HAO994" s="2335"/>
      <c r="HAP994" s="2335"/>
      <c r="HAQ994" s="2335"/>
      <c r="HAR994" s="2335"/>
      <c r="HAS994" s="2335"/>
      <c r="HAT994" s="2335"/>
      <c r="HAU994" s="2335"/>
      <c r="HAV994" s="2335"/>
      <c r="HAW994" s="2335"/>
      <c r="HAX994" s="2335"/>
      <c r="HAY994" s="2335"/>
      <c r="HAZ994" s="2335"/>
      <c r="HBA994" s="2335"/>
      <c r="HBB994" s="2335"/>
      <c r="HBC994" s="2335"/>
      <c r="HBD994" s="2335"/>
      <c r="HBE994" s="2335"/>
      <c r="HBF994" s="2335"/>
      <c r="HBG994" s="2335"/>
      <c r="HBH994" s="2335"/>
      <c r="HBI994" s="2335"/>
      <c r="HBJ994" s="2335"/>
      <c r="HBK994" s="2335"/>
      <c r="HBL994" s="2335"/>
      <c r="HBM994" s="2335"/>
      <c r="HBN994" s="2335"/>
      <c r="HBO994" s="2335"/>
      <c r="HBP994" s="2335"/>
      <c r="HBQ994" s="2335"/>
      <c r="HBR994" s="2335"/>
      <c r="HBS994" s="2335"/>
      <c r="HBT994" s="2335"/>
      <c r="HBU994" s="2335"/>
      <c r="HBV994" s="2335"/>
      <c r="HBW994" s="2335"/>
      <c r="HBX994" s="2335"/>
      <c r="HBY994" s="2335"/>
      <c r="HBZ994" s="2335"/>
      <c r="HCA994" s="2335"/>
      <c r="HCB994" s="2335"/>
      <c r="HCC994" s="2335"/>
      <c r="HCD994" s="2335"/>
      <c r="HCE994" s="2335"/>
      <c r="HCF994" s="2335"/>
      <c r="HCG994" s="2335"/>
      <c r="HCH994" s="2335"/>
      <c r="HCI994" s="2335"/>
      <c r="HCJ994" s="2335"/>
      <c r="HCK994" s="2335"/>
      <c r="HCL994" s="2335"/>
      <c r="HCM994" s="2335"/>
      <c r="HCN994" s="2335"/>
      <c r="HCO994" s="2335"/>
      <c r="HCP994" s="2335"/>
      <c r="HCQ994" s="2335"/>
      <c r="HCR994" s="2335"/>
      <c r="HCS994" s="2335"/>
      <c r="HCT994" s="2335"/>
      <c r="HCU994" s="2335"/>
      <c r="HCV994" s="2335"/>
      <c r="HCW994" s="2335"/>
      <c r="HCX994" s="2335"/>
      <c r="HCY994" s="2335"/>
      <c r="HCZ994" s="2335"/>
      <c r="HDA994" s="2335"/>
      <c r="HDB994" s="2335"/>
      <c r="HDC994" s="2335"/>
      <c r="HDD994" s="2335"/>
      <c r="HDE994" s="2335"/>
      <c r="HDF994" s="2335"/>
      <c r="HDG994" s="2335"/>
      <c r="HDH994" s="2335"/>
      <c r="HDI994" s="2335"/>
      <c r="HDJ994" s="2335"/>
      <c r="HDK994" s="2335"/>
      <c r="HDL994" s="2335"/>
      <c r="HDM994" s="2335"/>
      <c r="HDN994" s="2335"/>
      <c r="HDO994" s="2335"/>
      <c r="HDP994" s="2335"/>
      <c r="HDQ994" s="2335"/>
      <c r="HDR994" s="2335"/>
      <c r="HDS994" s="2335"/>
      <c r="HDT994" s="2335"/>
      <c r="HDU994" s="2335"/>
      <c r="HDV994" s="2335"/>
      <c r="HDW994" s="2335"/>
      <c r="HDX994" s="2335"/>
      <c r="HDY994" s="2335"/>
      <c r="HDZ994" s="2335"/>
      <c r="HEA994" s="2335"/>
      <c r="HEB994" s="2335"/>
      <c r="HEC994" s="2335"/>
      <c r="HED994" s="2335"/>
      <c r="HEE994" s="2335"/>
      <c r="HEF994" s="2335"/>
      <c r="HEG994" s="2335"/>
      <c r="HEH994" s="2335"/>
      <c r="HEI994" s="2335"/>
      <c r="HEJ994" s="2335"/>
      <c r="HEK994" s="2335"/>
      <c r="HEL994" s="2335"/>
      <c r="HEM994" s="2335"/>
      <c r="HEN994" s="2335"/>
      <c r="HEO994" s="2335"/>
      <c r="HEP994" s="2335"/>
      <c r="HEQ994" s="2335"/>
      <c r="HER994" s="2335"/>
      <c r="HES994" s="2335"/>
      <c r="HET994" s="2335"/>
      <c r="HEU994" s="2335"/>
      <c r="HEV994" s="2335"/>
      <c r="HEW994" s="2335"/>
      <c r="HEX994" s="2335"/>
      <c r="HEY994" s="2335"/>
      <c r="HEZ994" s="2335"/>
      <c r="HFA994" s="2335"/>
      <c r="HFB994" s="2335"/>
      <c r="HFC994" s="2335"/>
      <c r="HFD994" s="2335"/>
      <c r="HFE994" s="2335"/>
      <c r="HFF994" s="2335"/>
      <c r="HFG994" s="2335"/>
      <c r="HFH994" s="2335"/>
      <c r="HFI994" s="2335"/>
      <c r="HFJ994" s="2335"/>
      <c r="HFK994" s="2335"/>
      <c r="HFL994" s="2335"/>
      <c r="HFM994" s="2335"/>
      <c r="HFN994" s="2335"/>
      <c r="HFO994" s="2335"/>
      <c r="HFP994" s="2335"/>
      <c r="HFQ994" s="2335"/>
      <c r="HFR994" s="2335"/>
      <c r="HFS994" s="2335"/>
      <c r="HFT994" s="2335"/>
      <c r="HFU994" s="2335"/>
      <c r="HFV994" s="2335"/>
      <c r="HFW994" s="2335"/>
      <c r="HFX994" s="2335"/>
      <c r="HFY994" s="2335"/>
      <c r="HFZ994" s="2335"/>
      <c r="HGA994" s="2335"/>
      <c r="HGB994" s="2335"/>
      <c r="HGC994" s="2335"/>
      <c r="HGD994" s="2335"/>
      <c r="HGE994" s="2335"/>
      <c r="HGF994" s="2335"/>
      <c r="HGG994" s="2335"/>
      <c r="HGH994" s="2335"/>
      <c r="HGI994" s="2335"/>
      <c r="HGJ994" s="2335"/>
      <c r="HGK994" s="2335"/>
      <c r="HGL994" s="2335"/>
      <c r="HGM994" s="2335"/>
      <c r="HGN994" s="2335"/>
      <c r="HGO994" s="2335"/>
      <c r="HGP994" s="2335"/>
      <c r="HGQ994" s="2335"/>
      <c r="HGR994" s="2335"/>
      <c r="HGS994" s="2335"/>
      <c r="HGT994" s="2335"/>
      <c r="HGU994" s="2335"/>
      <c r="HGV994" s="2335"/>
      <c r="HGW994" s="2335"/>
      <c r="HGX994" s="2335"/>
      <c r="HGY994" s="2335"/>
      <c r="HGZ994" s="2335"/>
      <c r="HHA994" s="2335"/>
      <c r="HHB994" s="2335"/>
      <c r="HHC994" s="2335"/>
      <c r="HHD994" s="2335"/>
      <c r="HHE994" s="2335"/>
      <c r="HHF994" s="2335"/>
      <c r="HHG994" s="2335"/>
      <c r="HHH994" s="2335"/>
      <c r="HHI994" s="2335"/>
      <c r="HHJ994" s="2335"/>
      <c r="HHK994" s="2335"/>
      <c r="HHL994" s="2335"/>
      <c r="HHM994" s="2335"/>
      <c r="HHN994" s="2335"/>
      <c r="HHO994" s="2335"/>
      <c r="HHP994" s="2335"/>
      <c r="HHQ994" s="2335"/>
      <c r="HHR994" s="2335"/>
      <c r="HHS994" s="2335"/>
      <c r="HHT994" s="2335"/>
      <c r="HHU994" s="2335"/>
      <c r="HHV994" s="2335"/>
      <c r="HHW994" s="2335"/>
      <c r="HHX994" s="2335"/>
      <c r="HHY994" s="2335"/>
      <c r="HHZ994" s="2335"/>
      <c r="HIA994" s="2335"/>
      <c r="HIB994" s="2335"/>
      <c r="HIC994" s="2335"/>
      <c r="HID994" s="2335"/>
      <c r="HIE994" s="2335"/>
      <c r="HIF994" s="2335"/>
      <c r="HIG994" s="2335"/>
      <c r="HIH994" s="2335"/>
      <c r="HII994" s="2335"/>
      <c r="HIJ994" s="2335"/>
      <c r="HIK994" s="2335"/>
      <c r="HIL994" s="2335"/>
      <c r="HIM994" s="2335"/>
      <c r="HIN994" s="2335"/>
      <c r="HIO994" s="2335"/>
      <c r="HIP994" s="2335"/>
      <c r="HIQ994" s="2335"/>
      <c r="HIR994" s="2335"/>
      <c r="HIS994" s="2335"/>
      <c r="HIT994" s="2335"/>
      <c r="HIU994" s="2335"/>
      <c r="HIV994" s="2335"/>
      <c r="HIW994" s="2335"/>
      <c r="HIX994" s="2335"/>
      <c r="HIY994" s="2335"/>
      <c r="HIZ994" s="2335"/>
      <c r="HJA994" s="2335"/>
      <c r="HJB994" s="2335"/>
      <c r="HJC994" s="2335"/>
      <c r="HJD994" s="2335"/>
      <c r="HJE994" s="2335"/>
      <c r="HJF994" s="2335"/>
      <c r="HJG994" s="2335"/>
      <c r="HJH994" s="2335"/>
      <c r="HJI994" s="2335"/>
      <c r="HJJ994" s="2335"/>
      <c r="HJK994" s="2335"/>
      <c r="HJL994" s="2335"/>
      <c r="HJM994" s="2335"/>
      <c r="HJN994" s="2335"/>
      <c r="HJO994" s="2335"/>
      <c r="HJP994" s="2335"/>
      <c r="HJQ994" s="2335"/>
      <c r="HJR994" s="2335"/>
      <c r="HJS994" s="2335"/>
      <c r="HJT994" s="2335"/>
      <c r="HJU994" s="2335"/>
      <c r="HJV994" s="2335"/>
      <c r="HJW994" s="2335"/>
      <c r="HJX994" s="2335"/>
      <c r="HJY994" s="2335"/>
      <c r="HJZ994" s="2335"/>
      <c r="HKA994" s="2335"/>
      <c r="HKB994" s="2335"/>
      <c r="HKC994" s="2335"/>
      <c r="HKD994" s="2335"/>
      <c r="HKE994" s="2335"/>
      <c r="HKF994" s="2335"/>
      <c r="HKG994" s="2335"/>
      <c r="HKH994" s="2335"/>
      <c r="HKI994" s="2335"/>
      <c r="HKJ994" s="2335"/>
      <c r="HKK994" s="2335"/>
      <c r="HKL994" s="2335"/>
      <c r="HKM994" s="2335"/>
      <c r="HKN994" s="2335"/>
      <c r="HKO994" s="2335"/>
      <c r="HKP994" s="2335"/>
      <c r="HKQ994" s="2335"/>
      <c r="HKR994" s="2335"/>
      <c r="HKS994" s="2335"/>
      <c r="HKT994" s="2335"/>
      <c r="HKU994" s="2335"/>
      <c r="HKV994" s="2335"/>
      <c r="HKW994" s="2335"/>
      <c r="HKX994" s="2335"/>
      <c r="HKY994" s="2335"/>
      <c r="HKZ994" s="2335"/>
      <c r="HLA994" s="2335"/>
      <c r="HLB994" s="2335"/>
      <c r="HLC994" s="2335"/>
      <c r="HLD994" s="2335"/>
      <c r="HLE994" s="2335"/>
      <c r="HLF994" s="2335"/>
      <c r="HLG994" s="2335"/>
      <c r="HLH994" s="2335"/>
      <c r="HLI994" s="2335"/>
      <c r="HLJ994" s="2335"/>
      <c r="HLK994" s="2335"/>
      <c r="HLL994" s="2335"/>
      <c r="HLM994" s="2335"/>
      <c r="HLN994" s="2335"/>
      <c r="HLO994" s="2335"/>
      <c r="HLP994" s="2335"/>
      <c r="HLQ994" s="2335"/>
      <c r="HLR994" s="2335"/>
      <c r="HLS994" s="2335"/>
      <c r="HLT994" s="2335"/>
      <c r="HLU994" s="2335"/>
      <c r="HLV994" s="2335"/>
      <c r="HLW994" s="2335"/>
      <c r="HLX994" s="2335"/>
      <c r="HLY994" s="2335"/>
      <c r="HLZ994" s="2335"/>
      <c r="HMA994" s="2335"/>
      <c r="HMB994" s="2335"/>
      <c r="HMC994" s="2335"/>
      <c r="HMD994" s="2335"/>
      <c r="HME994" s="2335"/>
      <c r="HMF994" s="2335"/>
      <c r="HMG994" s="2335"/>
      <c r="HMH994" s="2335"/>
      <c r="HMI994" s="2335"/>
      <c r="HMJ994" s="2335"/>
      <c r="HMK994" s="2335"/>
      <c r="HML994" s="2335"/>
      <c r="HMM994" s="2335"/>
      <c r="HMN994" s="2335"/>
      <c r="HMO994" s="2335"/>
      <c r="HMP994" s="2335"/>
      <c r="HMQ994" s="2335"/>
      <c r="HMR994" s="2335"/>
      <c r="HMS994" s="2335"/>
      <c r="HMT994" s="2335"/>
      <c r="HMU994" s="2335"/>
      <c r="HMV994" s="2335"/>
      <c r="HMW994" s="2335"/>
      <c r="HMX994" s="2335"/>
      <c r="HMY994" s="2335"/>
      <c r="HMZ994" s="2335"/>
      <c r="HNA994" s="2335"/>
      <c r="HNB994" s="2335"/>
      <c r="HNC994" s="2335"/>
      <c r="HND994" s="2335"/>
      <c r="HNE994" s="2335"/>
      <c r="HNF994" s="2335"/>
      <c r="HNG994" s="2335"/>
      <c r="HNH994" s="2335"/>
      <c r="HNI994" s="2335"/>
      <c r="HNJ994" s="2335"/>
      <c r="HNK994" s="2335"/>
      <c r="HNL994" s="2335"/>
      <c r="HNM994" s="2335"/>
      <c r="HNN994" s="2335"/>
      <c r="HNO994" s="2335"/>
      <c r="HNP994" s="2335"/>
      <c r="HNQ994" s="2335"/>
      <c r="HNR994" s="2335"/>
      <c r="HNS994" s="2335"/>
      <c r="HNT994" s="2335"/>
      <c r="HNU994" s="2335"/>
      <c r="HNV994" s="2335"/>
      <c r="HNW994" s="2335"/>
      <c r="HNX994" s="2335"/>
      <c r="HNY994" s="2335"/>
      <c r="HNZ994" s="2335"/>
      <c r="HOA994" s="2335"/>
      <c r="HOB994" s="2335"/>
      <c r="HOC994" s="2335"/>
      <c r="HOD994" s="2335"/>
      <c r="HOE994" s="2335"/>
      <c r="HOF994" s="2335"/>
      <c r="HOG994" s="2335"/>
      <c r="HOH994" s="2335"/>
      <c r="HOI994" s="2335"/>
      <c r="HOJ994" s="2335"/>
      <c r="HOK994" s="2335"/>
      <c r="HOL994" s="2335"/>
      <c r="HOM994" s="2335"/>
      <c r="HON994" s="2335"/>
      <c r="HOO994" s="2335"/>
      <c r="HOP994" s="2335"/>
      <c r="HOQ994" s="2335"/>
      <c r="HOR994" s="2335"/>
      <c r="HOS994" s="2335"/>
      <c r="HOT994" s="2335"/>
      <c r="HOU994" s="2335"/>
      <c r="HOV994" s="2335"/>
      <c r="HOW994" s="2335"/>
      <c r="HOX994" s="2335"/>
      <c r="HOY994" s="2335"/>
      <c r="HOZ994" s="2335"/>
      <c r="HPA994" s="2335"/>
      <c r="HPB994" s="2335"/>
      <c r="HPC994" s="2335"/>
      <c r="HPD994" s="2335"/>
      <c r="HPE994" s="2335"/>
      <c r="HPF994" s="2335"/>
      <c r="HPG994" s="2335"/>
      <c r="HPH994" s="2335"/>
      <c r="HPI994" s="2335"/>
      <c r="HPJ994" s="2335"/>
      <c r="HPK994" s="2335"/>
      <c r="HPL994" s="2335"/>
      <c r="HPM994" s="2335"/>
      <c r="HPN994" s="2335"/>
      <c r="HPO994" s="2335"/>
      <c r="HPP994" s="2335"/>
      <c r="HPQ994" s="2335"/>
      <c r="HPR994" s="2335"/>
      <c r="HPS994" s="2335"/>
      <c r="HPT994" s="2335"/>
      <c r="HPU994" s="2335"/>
      <c r="HPV994" s="2335"/>
      <c r="HPW994" s="2335"/>
      <c r="HPX994" s="2335"/>
      <c r="HPY994" s="2335"/>
      <c r="HPZ994" s="2335"/>
      <c r="HQA994" s="2335"/>
      <c r="HQB994" s="2335"/>
      <c r="HQC994" s="2335"/>
      <c r="HQD994" s="2335"/>
      <c r="HQE994" s="2335"/>
      <c r="HQF994" s="2335"/>
      <c r="HQG994" s="2335"/>
      <c r="HQH994" s="2335"/>
      <c r="HQI994" s="2335"/>
      <c r="HQJ994" s="2335"/>
      <c r="HQK994" s="2335"/>
      <c r="HQL994" s="2335"/>
      <c r="HQM994" s="2335"/>
      <c r="HQN994" s="2335"/>
      <c r="HQO994" s="2335"/>
      <c r="HQP994" s="2335"/>
      <c r="HQQ994" s="2335"/>
      <c r="HQR994" s="2335"/>
      <c r="HQS994" s="2335"/>
      <c r="HQT994" s="2335"/>
      <c r="HQU994" s="2335"/>
      <c r="HQV994" s="2335"/>
      <c r="HQW994" s="2335"/>
      <c r="HQX994" s="2335"/>
      <c r="HQY994" s="2335"/>
      <c r="HQZ994" s="2335"/>
      <c r="HRA994" s="2335"/>
      <c r="HRB994" s="2335"/>
      <c r="HRC994" s="2335"/>
      <c r="HRD994" s="2335"/>
      <c r="HRE994" s="2335"/>
      <c r="HRF994" s="2335"/>
      <c r="HRG994" s="2335"/>
      <c r="HRH994" s="2335"/>
      <c r="HRI994" s="2335"/>
      <c r="HRJ994" s="2335"/>
      <c r="HRK994" s="2335"/>
      <c r="HRL994" s="2335"/>
      <c r="HRM994" s="2335"/>
      <c r="HRN994" s="2335"/>
      <c r="HRO994" s="2335"/>
      <c r="HRP994" s="2335"/>
      <c r="HRQ994" s="2335"/>
      <c r="HRR994" s="2335"/>
      <c r="HRS994" s="2335"/>
      <c r="HRT994" s="2335"/>
      <c r="HRU994" s="2335"/>
      <c r="HRV994" s="2335"/>
      <c r="HRW994" s="2335"/>
      <c r="HRX994" s="2335"/>
      <c r="HRY994" s="2335"/>
      <c r="HRZ994" s="2335"/>
      <c r="HSA994" s="2335"/>
      <c r="HSB994" s="2335"/>
      <c r="HSC994" s="2335"/>
      <c r="HSD994" s="2335"/>
      <c r="HSE994" s="2335"/>
      <c r="HSF994" s="2335"/>
      <c r="HSG994" s="2335"/>
      <c r="HSH994" s="2335"/>
      <c r="HSI994" s="2335"/>
      <c r="HSJ994" s="2335"/>
      <c r="HSK994" s="2335"/>
      <c r="HSL994" s="2335"/>
      <c r="HSM994" s="2335"/>
      <c r="HSN994" s="2335"/>
      <c r="HSO994" s="2335"/>
      <c r="HSP994" s="2335"/>
      <c r="HSQ994" s="2335"/>
      <c r="HSR994" s="2335"/>
      <c r="HSS994" s="2335"/>
      <c r="HST994" s="2335"/>
      <c r="HSU994" s="2335"/>
      <c r="HSV994" s="2335"/>
      <c r="HSW994" s="2335"/>
      <c r="HSX994" s="2335"/>
      <c r="HSY994" s="2335"/>
      <c r="HSZ994" s="2335"/>
      <c r="HTA994" s="2335"/>
      <c r="HTB994" s="2335"/>
      <c r="HTC994" s="2335"/>
      <c r="HTD994" s="2335"/>
      <c r="HTE994" s="2335"/>
      <c r="HTF994" s="2335"/>
      <c r="HTG994" s="2335"/>
      <c r="HTH994" s="2335"/>
      <c r="HTI994" s="2335"/>
      <c r="HTJ994" s="2335"/>
      <c r="HTK994" s="2335"/>
      <c r="HTL994" s="2335"/>
      <c r="HTM994" s="2335"/>
      <c r="HTN994" s="2335"/>
      <c r="HTO994" s="2335"/>
      <c r="HTP994" s="2335"/>
      <c r="HTQ994" s="2335"/>
      <c r="HTR994" s="2335"/>
      <c r="HTS994" s="2335"/>
      <c r="HTT994" s="2335"/>
      <c r="HTU994" s="2335"/>
      <c r="HTV994" s="2335"/>
      <c r="HTW994" s="2335"/>
      <c r="HTX994" s="2335"/>
      <c r="HTY994" s="2335"/>
      <c r="HTZ994" s="2335"/>
      <c r="HUA994" s="2335"/>
      <c r="HUB994" s="2335"/>
      <c r="HUC994" s="2335"/>
      <c r="HUD994" s="2335"/>
      <c r="HUE994" s="2335"/>
      <c r="HUF994" s="2335"/>
      <c r="HUG994" s="2335"/>
      <c r="HUH994" s="2335"/>
      <c r="HUI994" s="2335"/>
      <c r="HUJ994" s="2335"/>
      <c r="HUK994" s="2335"/>
      <c r="HUL994" s="2335"/>
      <c r="HUM994" s="2335"/>
      <c r="HUN994" s="2335"/>
      <c r="HUO994" s="2335"/>
      <c r="HUP994" s="2335"/>
      <c r="HUQ994" s="2335"/>
      <c r="HUR994" s="2335"/>
      <c r="HUS994" s="2335"/>
      <c r="HUT994" s="2335"/>
      <c r="HUU994" s="2335"/>
      <c r="HUV994" s="2335"/>
      <c r="HUW994" s="2335"/>
      <c r="HUX994" s="2335"/>
      <c r="HUY994" s="2335"/>
      <c r="HUZ994" s="2335"/>
      <c r="HVA994" s="2335"/>
      <c r="HVB994" s="2335"/>
      <c r="HVC994" s="2335"/>
      <c r="HVD994" s="2335"/>
      <c r="HVE994" s="2335"/>
      <c r="HVF994" s="2335"/>
      <c r="HVG994" s="2335"/>
      <c r="HVH994" s="2335"/>
      <c r="HVI994" s="2335"/>
      <c r="HVJ994" s="2335"/>
      <c r="HVK994" s="2335"/>
      <c r="HVL994" s="2335"/>
      <c r="HVM994" s="2335"/>
      <c r="HVN994" s="2335"/>
      <c r="HVO994" s="2335"/>
      <c r="HVP994" s="2335"/>
      <c r="HVQ994" s="2335"/>
      <c r="HVR994" s="2335"/>
      <c r="HVS994" s="2335"/>
      <c r="HVT994" s="2335"/>
      <c r="HVU994" s="2335"/>
      <c r="HVV994" s="2335"/>
      <c r="HVW994" s="2335"/>
      <c r="HVX994" s="2335"/>
      <c r="HVY994" s="2335"/>
      <c r="HVZ994" s="2335"/>
      <c r="HWA994" s="2335"/>
      <c r="HWB994" s="2335"/>
      <c r="HWC994" s="2335"/>
      <c r="HWD994" s="2335"/>
      <c r="HWE994" s="2335"/>
      <c r="HWF994" s="2335"/>
      <c r="HWG994" s="2335"/>
      <c r="HWH994" s="2335"/>
      <c r="HWI994" s="2335"/>
      <c r="HWJ994" s="2335"/>
      <c r="HWK994" s="2335"/>
      <c r="HWL994" s="2335"/>
      <c r="HWM994" s="2335"/>
      <c r="HWN994" s="2335"/>
      <c r="HWO994" s="2335"/>
      <c r="HWP994" s="2335"/>
      <c r="HWQ994" s="2335"/>
      <c r="HWR994" s="2335"/>
      <c r="HWS994" s="2335"/>
      <c r="HWT994" s="2335"/>
      <c r="HWU994" s="2335"/>
      <c r="HWV994" s="2335"/>
      <c r="HWW994" s="2335"/>
      <c r="HWX994" s="2335"/>
      <c r="HWY994" s="2335"/>
      <c r="HWZ994" s="2335"/>
      <c r="HXA994" s="2335"/>
      <c r="HXB994" s="2335"/>
      <c r="HXC994" s="2335"/>
      <c r="HXD994" s="2335"/>
      <c r="HXE994" s="2335"/>
      <c r="HXF994" s="2335"/>
      <c r="HXG994" s="2335"/>
      <c r="HXH994" s="2335"/>
      <c r="HXI994" s="2335"/>
      <c r="HXJ994" s="2335"/>
      <c r="HXK994" s="2335"/>
      <c r="HXL994" s="2335"/>
      <c r="HXM994" s="2335"/>
      <c r="HXN994" s="2335"/>
      <c r="HXO994" s="2335"/>
      <c r="HXP994" s="2335"/>
      <c r="HXQ994" s="2335"/>
      <c r="HXR994" s="2335"/>
      <c r="HXS994" s="2335"/>
      <c r="HXT994" s="2335"/>
      <c r="HXU994" s="2335"/>
      <c r="HXV994" s="2335"/>
      <c r="HXW994" s="2335"/>
      <c r="HXX994" s="2335"/>
      <c r="HXY994" s="2335"/>
      <c r="HXZ994" s="2335"/>
      <c r="HYA994" s="2335"/>
      <c r="HYB994" s="2335"/>
      <c r="HYC994" s="2335"/>
      <c r="HYD994" s="2335"/>
      <c r="HYE994" s="2335"/>
      <c r="HYF994" s="2335"/>
      <c r="HYG994" s="2335"/>
      <c r="HYH994" s="2335"/>
      <c r="HYI994" s="2335"/>
      <c r="HYJ994" s="2335"/>
      <c r="HYK994" s="2335"/>
      <c r="HYL994" s="2335"/>
      <c r="HYM994" s="2335"/>
      <c r="HYN994" s="2335"/>
      <c r="HYO994" s="2335"/>
      <c r="HYP994" s="2335"/>
      <c r="HYQ994" s="2335"/>
      <c r="HYR994" s="2335"/>
      <c r="HYS994" s="2335"/>
      <c r="HYT994" s="2335"/>
      <c r="HYU994" s="2335"/>
      <c r="HYV994" s="2335"/>
      <c r="HYW994" s="2335"/>
      <c r="HYX994" s="2335"/>
      <c r="HYY994" s="2335"/>
      <c r="HYZ994" s="2335"/>
      <c r="HZA994" s="2335"/>
      <c r="HZB994" s="2335"/>
      <c r="HZC994" s="2335"/>
      <c r="HZD994" s="2335"/>
      <c r="HZE994" s="2335"/>
      <c r="HZF994" s="2335"/>
      <c r="HZG994" s="2335"/>
      <c r="HZH994" s="2335"/>
      <c r="HZI994" s="2335"/>
      <c r="HZJ994" s="2335"/>
      <c r="HZK994" s="2335"/>
      <c r="HZL994" s="2335"/>
      <c r="HZM994" s="2335"/>
      <c r="HZN994" s="2335"/>
      <c r="HZO994" s="2335"/>
      <c r="HZP994" s="2335"/>
      <c r="HZQ994" s="2335"/>
      <c r="HZR994" s="2335"/>
      <c r="HZS994" s="2335"/>
      <c r="HZT994" s="2335"/>
      <c r="HZU994" s="2335"/>
      <c r="HZV994" s="2335"/>
      <c r="HZW994" s="2335"/>
      <c r="HZX994" s="2335"/>
      <c r="HZY994" s="2335"/>
      <c r="HZZ994" s="2335"/>
      <c r="IAA994" s="2335"/>
      <c r="IAB994" s="2335"/>
      <c r="IAC994" s="2335"/>
      <c r="IAD994" s="2335"/>
      <c r="IAE994" s="2335"/>
      <c r="IAF994" s="2335"/>
      <c r="IAG994" s="2335"/>
      <c r="IAH994" s="2335"/>
      <c r="IAI994" s="2335"/>
      <c r="IAJ994" s="2335"/>
      <c r="IAK994" s="2335"/>
      <c r="IAL994" s="2335"/>
      <c r="IAM994" s="2335"/>
      <c r="IAN994" s="2335"/>
      <c r="IAO994" s="2335"/>
      <c r="IAP994" s="2335"/>
      <c r="IAQ994" s="2335"/>
      <c r="IAR994" s="2335"/>
      <c r="IAS994" s="2335"/>
      <c r="IAT994" s="2335"/>
      <c r="IAU994" s="2335"/>
      <c r="IAV994" s="2335"/>
      <c r="IAW994" s="2335"/>
      <c r="IAX994" s="2335"/>
      <c r="IAY994" s="2335"/>
      <c r="IAZ994" s="2335"/>
      <c r="IBA994" s="2335"/>
      <c r="IBB994" s="2335"/>
      <c r="IBC994" s="2335"/>
      <c r="IBD994" s="2335"/>
      <c r="IBE994" s="2335"/>
      <c r="IBF994" s="2335"/>
      <c r="IBG994" s="2335"/>
      <c r="IBH994" s="2335"/>
      <c r="IBI994" s="2335"/>
      <c r="IBJ994" s="2335"/>
      <c r="IBK994" s="2335"/>
      <c r="IBL994" s="2335"/>
      <c r="IBM994" s="2335"/>
      <c r="IBN994" s="2335"/>
      <c r="IBO994" s="2335"/>
      <c r="IBP994" s="2335"/>
      <c r="IBQ994" s="2335"/>
      <c r="IBR994" s="2335"/>
      <c r="IBS994" s="2335"/>
      <c r="IBT994" s="2335"/>
      <c r="IBU994" s="2335"/>
      <c r="IBV994" s="2335"/>
      <c r="IBW994" s="2335"/>
      <c r="IBX994" s="2335"/>
      <c r="IBY994" s="2335"/>
      <c r="IBZ994" s="2335"/>
      <c r="ICA994" s="2335"/>
      <c r="ICB994" s="2335"/>
      <c r="ICC994" s="2335"/>
      <c r="ICD994" s="2335"/>
      <c r="ICE994" s="2335"/>
      <c r="ICF994" s="2335"/>
      <c r="ICG994" s="2335"/>
      <c r="ICH994" s="2335"/>
      <c r="ICI994" s="2335"/>
      <c r="ICJ994" s="2335"/>
      <c r="ICK994" s="2335"/>
      <c r="ICL994" s="2335"/>
      <c r="ICM994" s="2335"/>
      <c r="ICN994" s="2335"/>
      <c r="ICO994" s="2335"/>
      <c r="ICP994" s="2335"/>
      <c r="ICQ994" s="2335"/>
      <c r="ICR994" s="2335"/>
      <c r="ICS994" s="2335"/>
      <c r="ICT994" s="2335"/>
      <c r="ICU994" s="2335"/>
      <c r="ICV994" s="2335"/>
      <c r="ICW994" s="2335"/>
      <c r="ICX994" s="2335"/>
      <c r="ICY994" s="2335"/>
      <c r="ICZ994" s="2335"/>
      <c r="IDA994" s="2335"/>
      <c r="IDB994" s="2335"/>
      <c r="IDC994" s="2335"/>
      <c r="IDD994" s="2335"/>
      <c r="IDE994" s="2335"/>
      <c r="IDF994" s="2335"/>
      <c r="IDG994" s="2335"/>
      <c r="IDH994" s="2335"/>
      <c r="IDI994" s="2335"/>
      <c r="IDJ994" s="2335"/>
      <c r="IDK994" s="2335"/>
      <c r="IDL994" s="2335"/>
      <c r="IDM994" s="2335"/>
      <c r="IDN994" s="2335"/>
      <c r="IDO994" s="2335"/>
      <c r="IDP994" s="2335"/>
      <c r="IDQ994" s="2335"/>
      <c r="IDR994" s="2335"/>
      <c r="IDS994" s="2335"/>
      <c r="IDT994" s="2335"/>
      <c r="IDU994" s="2335"/>
      <c r="IDV994" s="2335"/>
      <c r="IDW994" s="2335"/>
      <c r="IDX994" s="2335"/>
      <c r="IDY994" s="2335"/>
      <c r="IDZ994" s="2335"/>
      <c r="IEA994" s="2335"/>
      <c r="IEB994" s="2335"/>
      <c r="IEC994" s="2335"/>
      <c r="IED994" s="2335"/>
      <c r="IEE994" s="2335"/>
      <c r="IEF994" s="2335"/>
      <c r="IEG994" s="2335"/>
      <c r="IEH994" s="2335"/>
      <c r="IEI994" s="2335"/>
      <c r="IEJ994" s="2335"/>
      <c r="IEK994" s="2335"/>
      <c r="IEL994" s="2335"/>
      <c r="IEM994" s="2335"/>
      <c r="IEN994" s="2335"/>
      <c r="IEO994" s="2335"/>
      <c r="IEP994" s="2335"/>
      <c r="IEQ994" s="2335"/>
      <c r="IER994" s="2335"/>
      <c r="IES994" s="2335"/>
      <c r="IET994" s="2335"/>
      <c r="IEU994" s="2335"/>
      <c r="IEV994" s="2335"/>
      <c r="IEW994" s="2335"/>
      <c r="IEX994" s="2335"/>
      <c r="IEY994" s="2335"/>
      <c r="IEZ994" s="2335"/>
      <c r="IFA994" s="2335"/>
      <c r="IFB994" s="2335"/>
      <c r="IFC994" s="2335"/>
      <c r="IFD994" s="2335"/>
      <c r="IFE994" s="2335"/>
      <c r="IFF994" s="2335"/>
      <c r="IFG994" s="2335"/>
      <c r="IFH994" s="2335"/>
      <c r="IFI994" s="2335"/>
      <c r="IFJ994" s="2335"/>
      <c r="IFK994" s="2335"/>
      <c r="IFL994" s="2335"/>
      <c r="IFM994" s="2335"/>
      <c r="IFN994" s="2335"/>
      <c r="IFO994" s="2335"/>
      <c r="IFP994" s="2335"/>
      <c r="IFQ994" s="2335"/>
      <c r="IFR994" s="2335"/>
      <c r="IFS994" s="2335"/>
      <c r="IFT994" s="2335"/>
      <c r="IFU994" s="2335"/>
      <c r="IFV994" s="2335"/>
      <c r="IFW994" s="2335"/>
      <c r="IFX994" s="2335"/>
      <c r="IFY994" s="2335"/>
      <c r="IFZ994" s="2335"/>
      <c r="IGA994" s="2335"/>
      <c r="IGB994" s="2335"/>
      <c r="IGC994" s="2335"/>
      <c r="IGD994" s="2335"/>
      <c r="IGE994" s="2335"/>
      <c r="IGF994" s="2335"/>
      <c r="IGG994" s="2335"/>
      <c r="IGH994" s="2335"/>
      <c r="IGI994" s="2335"/>
      <c r="IGJ994" s="2335"/>
      <c r="IGK994" s="2335"/>
      <c r="IGL994" s="2335"/>
      <c r="IGM994" s="2335"/>
      <c r="IGN994" s="2335"/>
      <c r="IGO994" s="2335"/>
      <c r="IGP994" s="2335"/>
      <c r="IGQ994" s="2335"/>
      <c r="IGR994" s="2335"/>
      <c r="IGS994" s="2335"/>
      <c r="IGT994" s="2335"/>
      <c r="IGU994" s="2335"/>
      <c r="IGV994" s="2335"/>
      <c r="IGW994" s="2335"/>
      <c r="IGX994" s="2335"/>
      <c r="IGY994" s="2335"/>
      <c r="IGZ994" s="2335"/>
      <c r="IHA994" s="2335"/>
      <c r="IHB994" s="2335"/>
      <c r="IHC994" s="2335"/>
      <c r="IHD994" s="2335"/>
      <c r="IHE994" s="2335"/>
      <c r="IHF994" s="2335"/>
      <c r="IHG994" s="2335"/>
      <c r="IHH994" s="2335"/>
      <c r="IHI994" s="2335"/>
      <c r="IHJ994" s="2335"/>
      <c r="IHK994" s="2335"/>
      <c r="IHL994" s="2335"/>
      <c r="IHM994" s="2335"/>
      <c r="IHN994" s="2335"/>
      <c r="IHO994" s="2335"/>
      <c r="IHP994" s="2335"/>
      <c r="IHQ994" s="2335"/>
      <c r="IHR994" s="2335"/>
      <c r="IHS994" s="2335"/>
      <c r="IHT994" s="2335"/>
      <c r="IHU994" s="2335"/>
      <c r="IHV994" s="2335"/>
      <c r="IHW994" s="2335"/>
      <c r="IHX994" s="2335"/>
      <c r="IHY994" s="2335"/>
      <c r="IHZ994" s="2335"/>
      <c r="IIA994" s="2335"/>
      <c r="IIB994" s="2335"/>
      <c r="IIC994" s="2335"/>
      <c r="IID994" s="2335"/>
      <c r="IIE994" s="2335"/>
      <c r="IIF994" s="2335"/>
      <c r="IIG994" s="2335"/>
      <c r="IIH994" s="2335"/>
      <c r="III994" s="2335"/>
      <c r="IIJ994" s="2335"/>
      <c r="IIK994" s="2335"/>
      <c r="IIL994" s="2335"/>
      <c r="IIM994" s="2335"/>
      <c r="IIN994" s="2335"/>
      <c r="IIO994" s="2335"/>
      <c r="IIP994" s="2335"/>
      <c r="IIQ994" s="2335"/>
      <c r="IIR994" s="2335"/>
      <c r="IIS994" s="2335"/>
      <c r="IIT994" s="2335"/>
      <c r="IIU994" s="2335"/>
      <c r="IIV994" s="2335"/>
      <c r="IIW994" s="2335"/>
      <c r="IIX994" s="2335"/>
      <c r="IIY994" s="2335"/>
      <c r="IIZ994" s="2335"/>
      <c r="IJA994" s="2335"/>
      <c r="IJB994" s="2335"/>
      <c r="IJC994" s="2335"/>
      <c r="IJD994" s="2335"/>
      <c r="IJE994" s="2335"/>
      <c r="IJF994" s="2335"/>
      <c r="IJG994" s="2335"/>
      <c r="IJH994" s="2335"/>
      <c r="IJI994" s="2335"/>
      <c r="IJJ994" s="2335"/>
      <c r="IJK994" s="2335"/>
      <c r="IJL994" s="2335"/>
      <c r="IJM994" s="2335"/>
      <c r="IJN994" s="2335"/>
      <c r="IJO994" s="2335"/>
      <c r="IJP994" s="2335"/>
      <c r="IJQ994" s="2335"/>
      <c r="IJR994" s="2335"/>
      <c r="IJS994" s="2335"/>
      <c r="IJT994" s="2335"/>
      <c r="IJU994" s="2335"/>
      <c r="IJV994" s="2335"/>
      <c r="IJW994" s="2335"/>
      <c r="IJX994" s="2335"/>
      <c r="IJY994" s="2335"/>
      <c r="IJZ994" s="2335"/>
      <c r="IKA994" s="2335"/>
      <c r="IKB994" s="2335"/>
      <c r="IKC994" s="2335"/>
      <c r="IKD994" s="2335"/>
      <c r="IKE994" s="2335"/>
      <c r="IKF994" s="2335"/>
      <c r="IKG994" s="2335"/>
      <c r="IKH994" s="2335"/>
      <c r="IKI994" s="2335"/>
      <c r="IKJ994" s="2335"/>
      <c r="IKK994" s="2335"/>
      <c r="IKL994" s="2335"/>
      <c r="IKM994" s="2335"/>
      <c r="IKN994" s="2335"/>
      <c r="IKO994" s="2335"/>
      <c r="IKP994" s="2335"/>
      <c r="IKQ994" s="2335"/>
      <c r="IKR994" s="2335"/>
      <c r="IKS994" s="2335"/>
      <c r="IKT994" s="2335"/>
      <c r="IKU994" s="2335"/>
      <c r="IKV994" s="2335"/>
      <c r="IKW994" s="2335"/>
      <c r="IKX994" s="2335"/>
      <c r="IKY994" s="2335"/>
      <c r="IKZ994" s="2335"/>
      <c r="ILA994" s="2335"/>
      <c r="ILB994" s="2335"/>
      <c r="ILC994" s="2335"/>
      <c r="ILD994" s="2335"/>
      <c r="ILE994" s="2335"/>
      <c r="ILF994" s="2335"/>
      <c r="ILG994" s="2335"/>
      <c r="ILH994" s="2335"/>
      <c r="ILI994" s="2335"/>
      <c r="ILJ994" s="2335"/>
      <c r="ILK994" s="2335"/>
      <c r="ILL994" s="2335"/>
      <c r="ILM994" s="2335"/>
      <c r="ILN994" s="2335"/>
      <c r="ILO994" s="2335"/>
      <c r="ILP994" s="2335"/>
      <c r="ILQ994" s="2335"/>
      <c r="ILR994" s="2335"/>
      <c r="ILS994" s="2335"/>
      <c r="ILT994" s="2335"/>
      <c r="ILU994" s="2335"/>
      <c r="ILV994" s="2335"/>
      <c r="ILW994" s="2335"/>
      <c r="ILX994" s="2335"/>
      <c r="ILY994" s="2335"/>
      <c r="ILZ994" s="2335"/>
      <c r="IMA994" s="2335"/>
      <c r="IMB994" s="2335"/>
      <c r="IMC994" s="2335"/>
      <c r="IMD994" s="2335"/>
      <c r="IME994" s="2335"/>
      <c r="IMF994" s="2335"/>
      <c r="IMG994" s="2335"/>
      <c r="IMH994" s="2335"/>
      <c r="IMI994" s="2335"/>
      <c r="IMJ994" s="2335"/>
      <c r="IMK994" s="2335"/>
      <c r="IML994" s="2335"/>
      <c r="IMM994" s="2335"/>
      <c r="IMN994" s="2335"/>
      <c r="IMO994" s="2335"/>
      <c r="IMP994" s="2335"/>
      <c r="IMQ994" s="2335"/>
      <c r="IMR994" s="2335"/>
      <c r="IMS994" s="2335"/>
      <c r="IMT994" s="2335"/>
      <c r="IMU994" s="2335"/>
      <c r="IMV994" s="2335"/>
      <c r="IMW994" s="2335"/>
      <c r="IMX994" s="2335"/>
      <c r="IMY994" s="2335"/>
      <c r="IMZ994" s="2335"/>
      <c r="INA994" s="2335"/>
      <c r="INB994" s="2335"/>
      <c r="INC994" s="2335"/>
      <c r="IND994" s="2335"/>
      <c r="INE994" s="2335"/>
      <c r="INF994" s="2335"/>
      <c r="ING994" s="2335"/>
      <c r="INH994" s="2335"/>
      <c r="INI994" s="2335"/>
      <c r="INJ994" s="2335"/>
      <c r="INK994" s="2335"/>
      <c r="INL994" s="2335"/>
      <c r="INM994" s="2335"/>
      <c r="INN994" s="2335"/>
      <c r="INO994" s="2335"/>
      <c r="INP994" s="2335"/>
      <c r="INQ994" s="2335"/>
      <c r="INR994" s="2335"/>
      <c r="INS994" s="2335"/>
      <c r="INT994" s="2335"/>
      <c r="INU994" s="2335"/>
      <c r="INV994" s="2335"/>
      <c r="INW994" s="2335"/>
      <c r="INX994" s="2335"/>
      <c r="INY994" s="2335"/>
      <c r="INZ994" s="2335"/>
      <c r="IOA994" s="2335"/>
      <c r="IOB994" s="2335"/>
      <c r="IOC994" s="2335"/>
      <c r="IOD994" s="2335"/>
      <c r="IOE994" s="2335"/>
      <c r="IOF994" s="2335"/>
      <c r="IOG994" s="2335"/>
      <c r="IOH994" s="2335"/>
      <c r="IOI994" s="2335"/>
      <c r="IOJ994" s="2335"/>
      <c r="IOK994" s="2335"/>
      <c r="IOL994" s="2335"/>
      <c r="IOM994" s="2335"/>
      <c r="ION994" s="2335"/>
      <c r="IOO994" s="2335"/>
      <c r="IOP994" s="2335"/>
      <c r="IOQ994" s="2335"/>
      <c r="IOR994" s="2335"/>
      <c r="IOS994" s="2335"/>
      <c r="IOT994" s="2335"/>
      <c r="IOU994" s="2335"/>
      <c r="IOV994" s="2335"/>
      <c r="IOW994" s="2335"/>
      <c r="IOX994" s="2335"/>
      <c r="IOY994" s="2335"/>
      <c r="IOZ994" s="2335"/>
      <c r="IPA994" s="2335"/>
      <c r="IPB994" s="2335"/>
      <c r="IPC994" s="2335"/>
      <c r="IPD994" s="2335"/>
      <c r="IPE994" s="2335"/>
      <c r="IPF994" s="2335"/>
      <c r="IPG994" s="2335"/>
      <c r="IPH994" s="2335"/>
      <c r="IPI994" s="2335"/>
      <c r="IPJ994" s="2335"/>
      <c r="IPK994" s="2335"/>
      <c r="IPL994" s="2335"/>
      <c r="IPM994" s="2335"/>
      <c r="IPN994" s="2335"/>
      <c r="IPO994" s="2335"/>
      <c r="IPP994" s="2335"/>
      <c r="IPQ994" s="2335"/>
      <c r="IPR994" s="2335"/>
      <c r="IPS994" s="2335"/>
      <c r="IPT994" s="2335"/>
      <c r="IPU994" s="2335"/>
      <c r="IPV994" s="2335"/>
      <c r="IPW994" s="2335"/>
      <c r="IPX994" s="2335"/>
      <c r="IPY994" s="2335"/>
      <c r="IPZ994" s="2335"/>
      <c r="IQA994" s="2335"/>
      <c r="IQB994" s="2335"/>
      <c r="IQC994" s="2335"/>
      <c r="IQD994" s="2335"/>
      <c r="IQE994" s="2335"/>
      <c r="IQF994" s="2335"/>
      <c r="IQG994" s="2335"/>
      <c r="IQH994" s="2335"/>
      <c r="IQI994" s="2335"/>
      <c r="IQJ994" s="2335"/>
      <c r="IQK994" s="2335"/>
      <c r="IQL994" s="2335"/>
      <c r="IQM994" s="2335"/>
      <c r="IQN994" s="2335"/>
      <c r="IQO994" s="2335"/>
      <c r="IQP994" s="2335"/>
      <c r="IQQ994" s="2335"/>
      <c r="IQR994" s="2335"/>
      <c r="IQS994" s="2335"/>
      <c r="IQT994" s="2335"/>
      <c r="IQU994" s="2335"/>
      <c r="IQV994" s="2335"/>
      <c r="IQW994" s="2335"/>
      <c r="IQX994" s="2335"/>
      <c r="IQY994" s="2335"/>
      <c r="IQZ994" s="2335"/>
      <c r="IRA994" s="2335"/>
      <c r="IRB994" s="2335"/>
      <c r="IRC994" s="2335"/>
      <c r="IRD994" s="2335"/>
      <c r="IRE994" s="2335"/>
      <c r="IRF994" s="2335"/>
      <c r="IRG994" s="2335"/>
      <c r="IRH994" s="2335"/>
      <c r="IRI994" s="2335"/>
      <c r="IRJ994" s="2335"/>
      <c r="IRK994" s="2335"/>
      <c r="IRL994" s="2335"/>
      <c r="IRM994" s="2335"/>
      <c r="IRN994" s="2335"/>
      <c r="IRO994" s="2335"/>
      <c r="IRP994" s="2335"/>
      <c r="IRQ994" s="2335"/>
      <c r="IRR994" s="2335"/>
      <c r="IRS994" s="2335"/>
      <c r="IRT994" s="2335"/>
      <c r="IRU994" s="2335"/>
      <c r="IRV994" s="2335"/>
      <c r="IRW994" s="2335"/>
      <c r="IRX994" s="2335"/>
      <c r="IRY994" s="2335"/>
      <c r="IRZ994" s="2335"/>
      <c r="ISA994" s="2335"/>
      <c r="ISB994" s="2335"/>
      <c r="ISC994" s="2335"/>
      <c r="ISD994" s="2335"/>
      <c r="ISE994" s="2335"/>
      <c r="ISF994" s="2335"/>
      <c r="ISG994" s="2335"/>
      <c r="ISH994" s="2335"/>
      <c r="ISI994" s="2335"/>
      <c r="ISJ994" s="2335"/>
      <c r="ISK994" s="2335"/>
      <c r="ISL994" s="2335"/>
      <c r="ISM994" s="2335"/>
      <c r="ISN994" s="2335"/>
      <c r="ISO994" s="2335"/>
      <c r="ISP994" s="2335"/>
      <c r="ISQ994" s="2335"/>
      <c r="ISR994" s="2335"/>
      <c r="ISS994" s="2335"/>
      <c r="IST994" s="2335"/>
      <c r="ISU994" s="2335"/>
      <c r="ISV994" s="2335"/>
      <c r="ISW994" s="2335"/>
      <c r="ISX994" s="2335"/>
      <c r="ISY994" s="2335"/>
      <c r="ISZ994" s="2335"/>
      <c r="ITA994" s="2335"/>
      <c r="ITB994" s="2335"/>
      <c r="ITC994" s="2335"/>
      <c r="ITD994" s="2335"/>
      <c r="ITE994" s="2335"/>
      <c r="ITF994" s="2335"/>
      <c r="ITG994" s="2335"/>
      <c r="ITH994" s="2335"/>
      <c r="ITI994" s="2335"/>
      <c r="ITJ994" s="2335"/>
      <c r="ITK994" s="2335"/>
      <c r="ITL994" s="2335"/>
      <c r="ITM994" s="2335"/>
      <c r="ITN994" s="2335"/>
      <c r="ITO994" s="2335"/>
      <c r="ITP994" s="2335"/>
      <c r="ITQ994" s="2335"/>
      <c r="ITR994" s="2335"/>
      <c r="ITS994" s="2335"/>
      <c r="ITT994" s="2335"/>
      <c r="ITU994" s="2335"/>
      <c r="ITV994" s="2335"/>
      <c r="ITW994" s="2335"/>
      <c r="ITX994" s="2335"/>
      <c r="ITY994" s="2335"/>
      <c r="ITZ994" s="2335"/>
      <c r="IUA994" s="2335"/>
      <c r="IUB994" s="2335"/>
      <c r="IUC994" s="2335"/>
      <c r="IUD994" s="2335"/>
      <c r="IUE994" s="2335"/>
      <c r="IUF994" s="2335"/>
      <c r="IUG994" s="2335"/>
      <c r="IUH994" s="2335"/>
      <c r="IUI994" s="2335"/>
      <c r="IUJ994" s="2335"/>
      <c r="IUK994" s="2335"/>
      <c r="IUL994" s="2335"/>
      <c r="IUM994" s="2335"/>
      <c r="IUN994" s="2335"/>
      <c r="IUO994" s="2335"/>
      <c r="IUP994" s="2335"/>
      <c r="IUQ994" s="2335"/>
      <c r="IUR994" s="2335"/>
      <c r="IUS994" s="2335"/>
      <c r="IUT994" s="2335"/>
      <c r="IUU994" s="2335"/>
      <c r="IUV994" s="2335"/>
      <c r="IUW994" s="2335"/>
      <c r="IUX994" s="2335"/>
      <c r="IUY994" s="2335"/>
      <c r="IUZ994" s="2335"/>
      <c r="IVA994" s="2335"/>
      <c r="IVB994" s="2335"/>
      <c r="IVC994" s="2335"/>
      <c r="IVD994" s="2335"/>
      <c r="IVE994" s="2335"/>
      <c r="IVF994" s="2335"/>
      <c r="IVG994" s="2335"/>
      <c r="IVH994" s="2335"/>
      <c r="IVI994" s="2335"/>
      <c r="IVJ994" s="2335"/>
      <c r="IVK994" s="2335"/>
      <c r="IVL994" s="2335"/>
      <c r="IVM994" s="2335"/>
      <c r="IVN994" s="2335"/>
      <c r="IVO994" s="2335"/>
      <c r="IVP994" s="2335"/>
      <c r="IVQ994" s="2335"/>
      <c r="IVR994" s="2335"/>
      <c r="IVS994" s="2335"/>
      <c r="IVT994" s="2335"/>
      <c r="IVU994" s="2335"/>
      <c r="IVV994" s="2335"/>
      <c r="IVW994" s="2335"/>
      <c r="IVX994" s="2335"/>
      <c r="IVY994" s="2335"/>
      <c r="IVZ994" s="2335"/>
      <c r="IWA994" s="2335"/>
      <c r="IWB994" s="2335"/>
      <c r="IWC994" s="2335"/>
      <c r="IWD994" s="2335"/>
      <c r="IWE994" s="2335"/>
      <c r="IWF994" s="2335"/>
      <c r="IWG994" s="2335"/>
      <c r="IWH994" s="2335"/>
      <c r="IWI994" s="2335"/>
      <c r="IWJ994" s="2335"/>
      <c r="IWK994" s="2335"/>
      <c r="IWL994" s="2335"/>
      <c r="IWM994" s="2335"/>
      <c r="IWN994" s="2335"/>
      <c r="IWO994" s="2335"/>
      <c r="IWP994" s="2335"/>
      <c r="IWQ994" s="2335"/>
      <c r="IWR994" s="2335"/>
      <c r="IWS994" s="2335"/>
      <c r="IWT994" s="2335"/>
      <c r="IWU994" s="2335"/>
      <c r="IWV994" s="2335"/>
      <c r="IWW994" s="2335"/>
      <c r="IWX994" s="2335"/>
      <c r="IWY994" s="2335"/>
      <c r="IWZ994" s="2335"/>
      <c r="IXA994" s="2335"/>
      <c r="IXB994" s="2335"/>
      <c r="IXC994" s="2335"/>
      <c r="IXD994" s="2335"/>
      <c r="IXE994" s="2335"/>
      <c r="IXF994" s="2335"/>
      <c r="IXG994" s="2335"/>
      <c r="IXH994" s="2335"/>
      <c r="IXI994" s="2335"/>
      <c r="IXJ994" s="2335"/>
      <c r="IXK994" s="2335"/>
      <c r="IXL994" s="2335"/>
      <c r="IXM994" s="2335"/>
      <c r="IXN994" s="2335"/>
      <c r="IXO994" s="2335"/>
      <c r="IXP994" s="2335"/>
      <c r="IXQ994" s="2335"/>
      <c r="IXR994" s="2335"/>
      <c r="IXS994" s="2335"/>
      <c r="IXT994" s="2335"/>
      <c r="IXU994" s="2335"/>
      <c r="IXV994" s="2335"/>
      <c r="IXW994" s="2335"/>
      <c r="IXX994" s="2335"/>
      <c r="IXY994" s="2335"/>
      <c r="IXZ994" s="2335"/>
      <c r="IYA994" s="2335"/>
      <c r="IYB994" s="2335"/>
      <c r="IYC994" s="2335"/>
      <c r="IYD994" s="2335"/>
      <c r="IYE994" s="2335"/>
      <c r="IYF994" s="2335"/>
      <c r="IYG994" s="2335"/>
      <c r="IYH994" s="2335"/>
      <c r="IYI994" s="2335"/>
      <c r="IYJ994" s="2335"/>
      <c r="IYK994" s="2335"/>
      <c r="IYL994" s="2335"/>
      <c r="IYM994" s="2335"/>
      <c r="IYN994" s="2335"/>
      <c r="IYO994" s="2335"/>
      <c r="IYP994" s="2335"/>
      <c r="IYQ994" s="2335"/>
      <c r="IYR994" s="2335"/>
      <c r="IYS994" s="2335"/>
      <c r="IYT994" s="2335"/>
      <c r="IYU994" s="2335"/>
      <c r="IYV994" s="2335"/>
      <c r="IYW994" s="2335"/>
      <c r="IYX994" s="2335"/>
      <c r="IYY994" s="2335"/>
      <c r="IYZ994" s="2335"/>
      <c r="IZA994" s="2335"/>
      <c r="IZB994" s="2335"/>
      <c r="IZC994" s="2335"/>
      <c r="IZD994" s="2335"/>
      <c r="IZE994" s="2335"/>
      <c r="IZF994" s="2335"/>
      <c r="IZG994" s="2335"/>
      <c r="IZH994" s="2335"/>
      <c r="IZI994" s="2335"/>
      <c r="IZJ994" s="2335"/>
      <c r="IZK994" s="2335"/>
      <c r="IZL994" s="2335"/>
      <c r="IZM994" s="2335"/>
      <c r="IZN994" s="2335"/>
      <c r="IZO994" s="2335"/>
      <c r="IZP994" s="2335"/>
      <c r="IZQ994" s="2335"/>
      <c r="IZR994" s="2335"/>
      <c r="IZS994" s="2335"/>
      <c r="IZT994" s="2335"/>
      <c r="IZU994" s="2335"/>
      <c r="IZV994" s="2335"/>
      <c r="IZW994" s="2335"/>
      <c r="IZX994" s="2335"/>
      <c r="IZY994" s="2335"/>
      <c r="IZZ994" s="2335"/>
      <c r="JAA994" s="2335"/>
      <c r="JAB994" s="2335"/>
      <c r="JAC994" s="2335"/>
      <c r="JAD994" s="2335"/>
      <c r="JAE994" s="2335"/>
      <c r="JAF994" s="2335"/>
      <c r="JAG994" s="2335"/>
      <c r="JAH994" s="2335"/>
      <c r="JAI994" s="2335"/>
      <c r="JAJ994" s="2335"/>
      <c r="JAK994" s="2335"/>
      <c r="JAL994" s="2335"/>
      <c r="JAM994" s="2335"/>
      <c r="JAN994" s="2335"/>
      <c r="JAO994" s="2335"/>
      <c r="JAP994" s="2335"/>
      <c r="JAQ994" s="2335"/>
      <c r="JAR994" s="2335"/>
      <c r="JAS994" s="2335"/>
      <c r="JAT994" s="2335"/>
      <c r="JAU994" s="2335"/>
      <c r="JAV994" s="2335"/>
      <c r="JAW994" s="2335"/>
      <c r="JAX994" s="2335"/>
      <c r="JAY994" s="2335"/>
      <c r="JAZ994" s="2335"/>
      <c r="JBA994" s="2335"/>
      <c r="JBB994" s="2335"/>
      <c r="JBC994" s="2335"/>
      <c r="JBD994" s="2335"/>
      <c r="JBE994" s="2335"/>
      <c r="JBF994" s="2335"/>
      <c r="JBG994" s="2335"/>
      <c r="JBH994" s="2335"/>
      <c r="JBI994" s="2335"/>
      <c r="JBJ994" s="2335"/>
      <c r="JBK994" s="2335"/>
      <c r="JBL994" s="2335"/>
      <c r="JBM994" s="2335"/>
      <c r="JBN994" s="2335"/>
      <c r="JBO994" s="2335"/>
      <c r="JBP994" s="2335"/>
      <c r="JBQ994" s="2335"/>
      <c r="JBR994" s="2335"/>
      <c r="JBS994" s="2335"/>
      <c r="JBT994" s="2335"/>
      <c r="JBU994" s="2335"/>
      <c r="JBV994" s="2335"/>
      <c r="JBW994" s="2335"/>
      <c r="JBX994" s="2335"/>
      <c r="JBY994" s="2335"/>
      <c r="JBZ994" s="2335"/>
      <c r="JCA994" s="2335"/>
      <c r="JCB994" s="2335"/>
      <c r="JCC994" s="2335"/>
      <c r="JCD994" s="2335"/>
      <c r="JCE994" s="2335"/>
      <c r="JCF994" s="2335"/>
      <c r="JCG994" s="2335"/>
      <c r="JCH994" s="2335"/>
      <c r="JCI994" s="2335"/>
      <c r="JCJ994" s="2335"/>
      <c r="JCK994" s="2335"/>
      <c r="JCL994" s="2335"/>
      <c r="JCM994" s="2335"/>
      <c r="JCN994" s="2335"/>
      <c r="JCO994" s="2335"/>
      <c r="JCP994" s="2335"/>
      <c r="JCQ994" s="2335"/>
      <c r="JCR994" s="2335"/>
      <c r="JCS994" s="2335"/>
      <c r="JCT994" s="2335"/>
      <c r="JCU994" s="2335"/>
      <c r="JCV994" s="2335"/>
      <c r="JCW994" s="2335"/>
      <c r="JCX994" s="2335"/>
      <c r="JCY994" s="2335"/>
      <c r="JCZ994" s="2335"/>
      <c r="JDA994" s="2335"/>
      <c r="JDB994" s="2335"/>
      <c r="JDC994" s="2335"/>
      <c r="JDD994" s="2335"/>
      <c r="JDE994" s="2335"/>
      <c r="JDF994" s="2335"/>
      <c r="JDG994" s="2335"/>
      <c r="JDH994" s="2335"/>
      <c r="JDI994" s="2335"/>
      <c r="JDJ994" s="2335"/>
      <c r="JDK994" s="2335"/>
      <c r="JDL994" s="2335"/>
      <c r="JDM994" s="2335"/>
      <c r="JDN994" s="2335"/>
      <c r="JDO994" s="2335"/>
      <c r="JDP994" s="2335"/>
      <c r="JDQ994" s="2335"/>
      <c r="JDR994" s="2335"/>
      <c r="JDS994" s="2335"/>
      <c r="JDT994" s="2335"/>
      <c r="JDU994" s="2335"/>
      <c r="JDV994" s="2335"/>
      <c r="JDW994" s="2335"/>
      <c r="JDX994" s="2335"/>
      <c r="JDY994" s="2335"/>
      <c r="JDZ994" s="2335"/>
      <c r="JEA994" s="2335"/>
      <c r="JEB994" s="2335"/>
      <c r="JEC994" s="2335"/>
      <c r="JED994" s="2335"/>
      <c r="JEE994" s="2335"/>
      <c r="JEF994" s="2335"/>
      <c r="JEG994" s="2335"/>
      <c r="JEH994" s="2335"/>
      <c r="JEI994" s="2335"/>
      <c r="JEJ994" s="2335"/>
      <c r="JEK994" s="2335"/>
      <c r="JEL994" s="2335"/>
      <c r="JEM994" s="2335"/>
      <c r="JEN994" s="2335"/>
      <c r="JEO994" s="2335"/>
      <c r="JEP994" s="2335"/>
      <c r="JEQ994" s="2335"/>
      <c r="JER994" s="2335"/>
      <c r="JES994" s="2335"/>
      <c r="JET994" s="2335"/>
      <c r="JEU994" s="2335"/>
      <c r="JEV994" s="2335"/>
      <c r="JEW994" s="2335"/>
      <c r="JEX994" s="2335"/>
      <c r="JEY994" s="2335"/>
      <c r="JEZ994" s="2335"/>
      <c r="JFA994" s="2335"/>
      <c r="JFB994" s="2335"/>
      <c r="JFC994" s="2335"/>
      <c r="JFD994" s="2335"/>
      <c r="JFE994" s="2335"/>
      <c r="JFF994" s="2335"/>
      <c r="JFG994" s="2335"/>
      <c r="JFH994" s="2335"/>
      <c r="JFI994" s="2335"/>
      <c r="JFJ994" s="2335"/>
      <c r="JFK994" s="2335"/>
      <c r="JFL994" s="2335"/>
      <c r="JFM994" s="2335"/>
      <c r="JFN994" s="2335"/>
      <c r="JFO994" s="2335"/>
      <c r="JFP994" s="2335"/>
      <c r="JFQ994" s="2335"/>
      <c r="JFR994" s="2335"/>
      <c r="JFS994" s="2335"/>
      <c r="JFT994" s="2335"/>
      <c r="JFU994" s="2335"/>
      <c r="JFV994" s="2335"/>
      <c r="JFW994" s="2335"/>
      <c r="JFX994" s="2335"/>
      <c r="JFY994" s="2335"/>
      <c r="JFZ994" s="2335"/>
      <c r="JGA994" s="2335"/>
      <c r="JGB994" s="2335"/>
      <c r="JGC994" s="2335"/>
      <c r="JGD994" s="2335"/>
      <c r="JGE994" s="2335"/>
      <c r="JGF994" s="2335"/>
      <c r="JGG994" s="2335"/>
      <c r="JGH994" s="2335"/>
      <c r="JGI994" s="2335"/>
      <c r="JGJ994" s="2335"/>
      <c r="JGK994" s="2335"/>
      <c r="JGL994" s="2335"/>
      <c r="JGM994" s="2335"/>
      <c r="JGN994" s="2335"/>
      <c r="JGO994" s="2335"/>
      <c r="JGP994" s="2335"/>
      <c r="JGQ994" s="2335"/>
      <c r="JGR994" s="2335"/>
      <c r="JGS994" s="2335"/>
      <c r="JGT994" s="2335"/>
      <c r="JGU994" s="2335"/>
      <c r="JGV994" s="2335"/>
      <c r="JGW994" s="2335"/>
      <c r="JGX994" s="2335"/>
      <c r="JGY994" s="2335"/>
      <c r="JGZ994" s="2335"/>
      <c r="JHA994" s="2335"/>
      <c r="JHB994" s="2335"/>
      <c r="JHC994" s="2335"/>
      <c r="JHD994" s="2335"/>
      <c r="JHE994" s="2335"/>
      <c r="JHF994" s="2335"/>
      <c r="JHG994" s="2335"/>
      <c r="JHH994" s="2335"/>
      <c r="JHI994" s="2335"/>
      <c r="JHJ994" s="2335"/>
      <c r="JHK994" s="2335"/>
      <c r="JHL994" s="2335"/>
      <c r="JHM994" s="2335"/>
      <c r="JHN994" s="2335"/>
      <c r="JHO994" s="2335"/>
      <c r="JHP994" s="2335"/>
      <c r="JHQ994" s="2335"/>
      <c r="JHR994" s="2335"/>
      <c r="JHS994" s="2335"/>
      <c r="JHT994" s="2335"/>
      <c r="JHU994" s="2335"/>
      <c r="JHV994" s="2335"/>
      <c r="JHW994" s="2335"/>
      <c r="JHX994" s="2335"/>
      <c r="JHY994" s="2335"/>
      <c r="JHZ994" s="2335"/>
      <c r="JIA994" s="2335"/>
      <c r="JIB994" s="2335"/>
      <c r="JIC994" s="2335"/>
      <c r="JID994" s="2335"/>
      <c r="JIE994" s="2335"/>
      <c r="JIF994" s="2335"/>
      <c r="JIG994" s="2335"/>
      <c r="JIH994" s="2335"/>
      <c r="JII994" s="2335"/>
      <c r="JIJ994" s="2335"/>
      <c r="JIK994" s="2335"/>
      <c r="JIL994" s="2335"/>
      <c r="JIM994" s="2335"/>
      <c r="JIN994" s="2335"/>
      <c r="JIO994" s="2335"/>
      <c r="JIP994" s="2335"/>
      <c r="JIQ994" s="2335"/>
      <c r="JIR994" s="2335"/>
      <c r="JIS994" s="2335"/>
      <c r="JIT994" s="2335"/>
      <c r="JIU994" s="2335"/>
      <c r="JIV994" s="2335"/>
      <c r="JIW994" s="2335"/>
      <c r="JIX994" s="2335"/>
      <c r="JIY994" s="2335"/>
      <c r="JIZ994" s="2335"/>
      <c r="JJA994" s="2335"/>
      <c r="JJB994" s="2335"/>
      <c r="JJC994" s="2335"/>
      <c r="JJD994" s="2335"/>
      <c r="JJE994" s="2335"/>
      <c r="JJF994" s="2335"/>
      <c r="JJG994" s="2335"/>
      <c r="JJH994" s="2335"/>
      <c r="JJI994" s="2335"/>
      <c r="JJJ994" s="2335"/>
      <c r="JJK994" s="2335"/>
      <c r="JJL994" s="2335"/>
      <c r="JJM994" s="2335"/>
      <c r="JJN994" s="2335"/>
      <c r="JJO994" s="2335"/>
      <c r="JJP994" s="2335"/>
      <c r="JJQ994" s="2335"/>
      <c r="JJR994" s="2335"/>
      <c r="JJS994" s="2335"/>
      <c r="JJT994" s="2335"/>
      <c r="JJU994" s="2335"/>
      <c r="JJV994" s="2335"/>
      <c r="JJW994" s="2335"/>
      <c r="JJX994" s="2335"/>
      <c r="JJY994" s="2335"/>
      <c r="JJZ994" s="2335"/>
      <c r="JKA994" s="2335"/>
      <c r="JKB994" s="2335"/>
      <c r="JKC994" s="2335"/>
      <c r="JKD994" s="2335"/>
      <c r="JKE994" s="2335"/>
      <c r="JKF994" s="2335"/>
      <c r="JKG994" s="2335"/>
      <c r="JKH994" s="2335"/>
      <c r="JKI994" s="2335"/>
      <c r="JKJ994" s="2335"/>
      <c r="JKK994" s="2335"/>
      <c r="JKL994" s="2335"/>
      <c r="JKM994" s="2335"/>
      <c r="JKN994" s="2335"/>
      <c r="JKO994" s="2335"/>
      <c r="JKP994" s="2335"/>
      <c r="JKQ994" s="2335"/>
      <c r="JKR994" s="2335"/>
      <c r="JKS994" s="2335"/>
      <c r="JKT994" s="2335"/>
      <c r="JKU994" s="2335"/>
      <c r="JKV994" s="2335"/>
      <c r="JKW994" s="2335"/>
      <c r="JKX994" s="2335"/>
      <c r="JKY994" s="2335"/>
      <c r="JKZ994" s="2335"/>
      <c r="JLA994" s="2335"/>
      <c r="JLB994" s="2335"/>
      <c r="JLC994" s="2335"/>
      <c r="JLD994" s="2335"/>
      <c r="JLE994" s="2335"/>
      <c r="JLF994" s="2335"/>
      <c r="JLG994" s="2335"/>
      <c r="JLH994" s="2335"/>
      <c r="JLI994" s="2335"/>
      <c r="JLJ994" s="2335"/>
      <c r="JLK994" s="2335"/>
      <c r="JLL994" s="2335"/>
      <c r="JLM994" s="2335"/>
      <c r="JLN994" s="2335"/>
      <c r="JLO994" s="2335"/>
      <c r="JLP994" s="2335"/>
      <c r="JLQ994" s="2335"/>
      <c r="JLR994" s="2335"/>
      <c r="JLS994" s="2335"/>
      <c r="JLT994" s="2335"/>
      <c r="JLU994" s="2335"/>
      <c r="JLV994" s="2335"/>
      <c r="JLW994" s="2335"/>
      <c r="JLX994" s="2335"/>
      <c r="JLY994" s="2335"/>
      <c r="JLZ994" s="2335"/>
      <c r="JMA994" s="2335"/>
      <c r="JMB994" s="2335"/>
      <c r="JMC994" s="2335"/>
      <c r="JMD994" s="2335"/>
      <c r="JME994" s="2335"/>
      <c r="JMF994" s="2335"/>
      <c r="JMG994" s="2335"/>
      <c r="JMH994" s="2335"/>
      <c r="JMI994" s="2335"/>
      <c r="JMJ994" s="2335"/>
      <c r="JMK994" s="2335"/>
      <c r="JML994" s="2335"/>
      <c r="JMM994" s="2335"/>
      <c r="JMN994" s="2335"/>
      <c r="JMO994" s="2335"/>
      <c r="JMP994" s="2335"/>
      <c r="JMQ994" s="2335"/>
      <c r="JMR994" s="2335"/>
      <c r="JMS994" s="2335"/>
      <c r="JMT994" s="2335"/>
      <c r="JMU994" s="2335"/>
      <c r="JMV994" s="2335"/>
      <c r="JMW994" s="2335"/>
      <c r="JMX994" s="2335"/>
      <c r="JMY994" s="2335"/>
      <c r="JMZ994" s="2335"/>
      <c r="JNA994" s="2335"/>
      <c r="JNB994" s="2335"/>
      <c r="JNC994" s="2335"/>
      <c r="JND994" s="2335"/>
      <c r="JNE994" s="2335"/>
      <c r="JNF994" s="2335"/>
      <c r="JNG994" s="2335"/>
      <c r="JNH994" s="2335"/>
      <c r="JNI994" s="2335"/>
      <c r="JNJ994" s="2335"/>
      <c r="JNK994" s="2335"/>
      <c r="JNL994" s="2335"/>
      <c r="JNM994" s="2335"/>
      <c r="JNN994" s="2335"/>
      <c r="JNO994" s="2335"/>
      <c r="JNP994" s="2335"/>
      <c r="JNQ994" s="2335"/>
      <c r="JNR994" s="2335"/>
      <c r="JNS994" s="2335"/>
      <c r="JNT994" s="2335"/>
      <c r="JNU994" s="2335"/>
      <c r="JNV994" s="2335"/>
      <c r="JNW994" s="2335"/>
      <c r="JNX994" s="2335"/>
      <c r="JNY994" s="2335"/>
      <c r="JNZ994" s="2335"/>
      <c r="JOA994" s="2335"/>
      <c r="JOB994" s="2335"/>
      <c r="JOC994" s="2335"/>
      <c r="JOD994" s="2335"/>
      <c r="JOE994" s="2335"/>
      <c r="JOF994" s="2335"/>
      <c r="JOG994" s="2335"/>
      <c r="JOH994" s="2335"/>
      <c r="JOI994" s="2335"/>
      <c r="JOJ994" s="2335"/>
      <c r="JOK994" s="2335"/>
      <c r="JOL994" s="2335"/>
      <c r="JOM994" s="2335"/>
      <c r="JON994" s="2335"/>
      <c r="JOO994" s="2335"/>
      <c r="JOP994" s="2335"/>
      <c r="JOQ994" s="2335"/>
      <c r="JOR994" s="2335"/>
      <c r="JOS994" s="2335"/>
      <c r="JOT994" s="2335"/>
      <c r="JOU994" s="2335"/>
      <c r="JOV994" s="2335"/>
      <c r="JOW994" s="2335"/>
      <c r="JOX994" s="2335"/>
      <c r="JOY994" s="2335"/>
      <c r="JOZ994" s="2335"/>
      <c r="JPA994" s="2335"/>
      <c r="JPB994" s="2335"/>
      <c r="JPC994" s="2335"/>
      <c r="JPD994" s="2335"/>
      <c r="JPE994" s="2335"/>
      <c r="JPF994" s="2335"/>
      <c r="JPG994" s="2335"/>
      <c r="JPH994" s="2335"/>
      <c r="JPI994" s="2335"/>
      <c r="JPJ994" s="2335"/>
      <c r="JPK994" s="2335"/>
      <c r="JPL994" s="2335"/>
      <c r="JPM994" s="2335"/>
      <c r="JPN994" s="2335"/>
      <c r="JPO994" s="2335"/>
      <c r="JPP994" s="2335"/>
      <c r="JPQ994" s="2335"/>
      <c r="JPR994" s="2335"/>
      <c r="JPS994" s="2335"/>
      <c r="JPT994" s="2335"/>
      <c r="JPU994" s="2335"/>
      <c r="JPV994" s="2335"/>
      <c r="JPW994" s="2335"/>
      <c r="JPX994" s="2335"/>
      <c r="JPY994" s="2335"/>
      <c r="JPZ994" s="2335"/>
      <c r="JQA994" s="2335"/>
      <c r="JQB994" s="2335"/>
      <c r="JQC994" s="2335"/>
      <c r="JQD994" s="2335"/>
      <c r="JQE994" s="2335"/>
      <c r="JQF994" s="2335"/>
      <c r="JQG994" s="2335"/>
      <c r="JQH994" s="2335"/>
      <c r="JQI994" s="2335"/>
      <c r="JQJ994" s="2335"/>
      <c r="JQK994" s="2335"/>
      <c r="JQL994" s="2335"/>
      <c r="JQM994" s="2335"/>
      <c r="JQN994" s="2335"/>
      <c r="JQO994" s="2335"/>
      <c r="JQP994" s="2335"/>
      <c r="JQQ994" s="2335"/>
      <c r="JQR994" s="2335"/>
      <c r="JQS994" s="2335"/>
      <c r="JQT994" s="2335"/>
      <c r="JQU994" s="2335"/>
      <c r="JQV994" s="2335"/>
      <c r="JQW994" s="2335"/>
      <c r="JQX994" s="2335"/>
      <c r="JQY994" s="2335"/>
      <c r="JQZ994" s="2335"/>
      <c r="JRA994" s="2335"/>
      <c r="JRB994" s="2335"/>
      <c r="JRC994" s="2335"/>
      <c r="JRD994" s="2335"/>
      <c r="JRE994" s="2335"/>
      <c r="JRF994" s="2335"/>
      <c r="JRG994" s="2335"/>
      <c r="JRH994" s="2335"/>
      <c r="JRI994" s="2335"/>
      <c r="JRJ994" s="2335"/>
      <c r="JRK994" s="2335"/>
      <c r="JRL994" s="2335"/>
      <c r="JRM994" s="2335"/>
      <c r="JRN994" s="2335"/>
      <c r="JRO994" s="2335"/>
      <c r="JRP994" s="2335"/>
      <c r="JRQ994" s="2335"/>
      <c r="JRR994" s="2335"/>
      <c r="JRS994" s="2335"/>
      <c r="JRT994" s="2335"/>
      <c r="JRU994" s="2335"/>
      <c r="JRV994" s="2335"/>
      <c r="JRW994" s="2335"/>
      <c r="JRX994" s="2335"/>
      <c r="JRY994" s="2335"/>
      <c r="JRZ994" s="2335"/>
      <c r="JSA994" s="2335"/>
      <c r="JSB994" s="2335"/>
      <c r="JSC994" s="2335"/>
      <c r="JSD994" s="2335"/>
      <c r="JSE994" s="2335"/>
      <c r="JSF994" s="2335"/>
      <c r="JSG994" s="2335"/>
      <c r="JSH994" s="2335"/>
      <c r="JSI994" s="2335"/>
      <c r="JSJ994" s="2335"/>
      <c r="JSK994" s="2335"/>
      <c r="JSL994" s="2335"/>
      <c r="JSM994" s="2335"/>
      <c r="JSN994" s="2335"/>
      <c r="JSO994" s="2335"/>
      <c r="JSP994" s="2335"/>
      <c r="JSQ994" s="2335"/>
      <c r="JSR994" s="2335"/>
      <c r="JSS994" s="2335"/>
      <c r="JST994" s="2335"/>
      <c r="JSU994" s="2335"/>
      <c r="JSV994" s="2335"/>
      <c r="JSW994" s="2335"/>
      <c r="JSX994" s="2335"/>
      <c r="JSY994" s="2335"/>
      <c r="JSZ994" s="2335"/>
      <c r="JTA994" s="2335"/>
      <c r="JTB994" s="2335"/>
      <c r="JTC994" s="2335"/>
      <c r="JTD994" s="2335"/>
      <c r="JTE994" s="2335"/>
      <c r="JTF994" s="2335"/>
      <c r="JTG994" s="2335"/>
      <c r="JTH994" s="2335"/>
      <c r="JTI994" s="2335"/>
      <c r="JTJ994" s="2335"/>
      <c r="JTK994" s="2335"/>
      <c r="JTL994" s="2335"/>
      <c r="JTM994" s="2335"/>
      <c r="JTN994" s="2335"/>
      <c r="JTO994" s="2335"/>
      <c r="JTP994" s="2335"/>
      <c r="JTQ994" s="2335"/>
      <c r="JTR994" s="2335"/>
      <c r="JTS994" s="2335"/>
      <c r="JTT994" s="2335"/>
      <c r="JTU994" s="2335"/>
      <c r="JTV994" s="2335"/>
      <c r="JTW994" s="2335"/>
      <c r="JTX994" s="2335"/>
      <c r="JTY994" s="2335"/>
      <c r="JTZ994" s="2335"/>
      <c r="JUA994" s="2335"/>
      <c r="JUB994" s="2335"/>
      <c r="JUC994" s="2335"/>
      <c r="JUD994" s="2335"/>
      <c r="JUE994" s="2335"/>
      <c r="JUF994" s="2335"/>
      <c r="JUG994" s="2335"/>
      <c r="JUH994" s="2335"/>
      <c r="JUI994" s="2335"/>
      <c r="JUJ994" s="2335"/>
      <c r="JUK994" s="2335"/>
      <c r="JUL994" s="2335"/>
      <c r="JUM994" s="2335"/>
      <c r="JUN994" s="2335"/>
      <c r="JUO994" s="2335"/>
      <c r="JUP994" s="2335"/>
      <c r="JUQ994" s="2335"/>
      <c r="JUR994" s="2335"/>
      <c r="JUS994" s="2335"/>
      <c r="JUT994" s="2335"/>
      <c r="JUU994" s="2335"/>
      <c r="JUV994" s="2335"/>
      <c r="JUW994" s="2335"/>
      <c r="JUX994" s="2335"/>
      <c r="JUY994" s="2335"/>
      <c r="JUZ994" s="2335"/>
      <c r="JVA994" s="2335"/>
      <c r="JVB994" s="2335"/>
      <c r="JVC994" s="2335"/>
      <c r="JVD994" s="2335"/>
      <c r="JVE994" s="2335"/>
      <c r="JVF994" s="2335"/>
      <c r="JVG994" s="2335"/>
      <c r="JVH994" s="2335"/>
      <c r="JVI994" s="2335"/>
      <c r="JVJ994" s="2335"/>
      <c r="JVK994" s="2335"/>
      <c r="JVL994" s="2335"/>
      <c r="JVM994" s="2335"/>
      <c r="JVN994" s="2335"/>
      <c r="JVO994" s="2335"/>
      <c r="JVP994" s="2335"/>
      <c r="JVQ994" s="2335"/>
      <c r="JVR994" s="2335"/>
      <c r="JVS994" s="2335"/>
      <c r="JVT994" s="2335"/>
      <c r="JVU994" s="2335"/>
      <c r="JVV994" s="2335"/>
      <c r="JVW994" s="2335"/>
      <c r="JVX994" s="2335"/>
      <c r="JVY994" s="2335"/>
      <c r="JVZ994" s="2335"/>
      <c r="JWA994" s="2335"/>
      <c r="JWB994" s="2335"/>
      <c r="JWC994" s="2335"/>
      <c r="JWD994" s="2335"/>
      <c r="JWE994" s="2335"/>
      <c r="JWF994" s="2335"/>
      <c r="JWG994" s="2335"/>
      <c r="JWH994" s="2335"/>
      <c r="JWI994" s="2335"/>
      <c r="JWJ994" s="2335"/>
      <c r="JWK994" s="2335"/>
      <c r="JWL994" s="2335"/>
      <c r="JWM994" s="2335"/>
      <c r="JWN994" s="2335"/>
      <c r="JWO994" s="2335"/>
      <c r="JWP994" s="2335"/>
      <c r="JWQ994" s="2335"/>
      <c r="JWR994" s="2335"/>
      <c r="JWS994" s="2335"/>
      <c r="JWT994" s="2335"/>
      <c r="JWU994" s="2335"/>
      <c r="JWV994" s="2335"/>
      <c r="JWW994" s="2335"/>
      <c r="JWX994" s="2335"/>
      <c r="JWY994" s="2335"/>
      <c r="JWZ994" s="2335"/>
      <c r="JXA994" s="2335"/>
      <c r="JXB994" s="2335"/>
      <c r="JXC994" s="2335"/>
      <c r="JXD994" s="2335"/>
      <c r="JXE994" s="2335"/>
      <c r="JXF994" s="2335"/>
      <c r="JXG994" s="2335"/>
      <c r="JXH994" s="2335"/>
      <c r="JXI994" s="2335"/>
      <c r="JXJ994" s="2335"/>
      <c r="JXK994" s="2335"/>
      <c r="JXL994" s="2335"/>
      <c r="JXM994" s="2335"/>
      <c r="JXN994" s="2335"/>
      <c r="JXO994" s="2335"/>
      <c r="JXP994" s="2335"/>
      <c r="JXQ994" s="2335"/>
      <c r="JXR994" s="2335"/>
      <c r="JXS994" s="2335"/>
      <c r="JXT994" s="2335"/>
      <c r="JXU994" s="2335"/>
      <c r="JXV994" s="2335"/>
      <c r="JXW994" s="2335"/>
      <c r="JXX994" s="2335"/>
      <c r="JXY994" s="2335"/>
      <c r="JXZ994" s="2335"/>
      <c r="JYA994" s="2335"/>
      <c r="JYB994" s="2335"/>
      <c r="JYC994" s="2335"/>
      <c r="JYD994" s="2335"/>
      <c r="JYE994" s="2335"/>
      <c r="JYF994" s="2335"/>
      <c r="JYG994" s="2335"/>
      <c r="JYH994" s="2335"/>
      <c r="JYI994" s="2335"/>
      <c r="JYJ994" s="2335"/>
      <c r="JYK994" s="2335"/>
      <c r="JYL994" s="2335"/>
      <c r="JYM994" s="2335"/>
      <c r="JYN994" s="2335"/>
      <c r="JYO994" s="2335"/>
      <c r="JYP994" s="2335"/>
      <c r="JYQ994" s="2335"/>
      <c r="JYR994" s="2335"/>
      <c r="JYS994" s="2335"/>
      <c r="JYT994" s="2335"/>
      <c r="JYU994" s="2335"/>
      <c r="JYV994" s="2335"/>
      <c r="JYW994" s="2335"/>
      <c r="JYX994" s="2335"/>
      <c r="JYY994" s="2335"/>
      <c r="JYZ994" s="2335"/>
      <c r="JZA994" s="2335"/>
      <c r="JZB994" s="2335"/>
      <c r="JZC994" s="2335"/>
      <c r="JZD994" s="2335"/>
      <c r="JZE994" s="2335"/>
      <c r="JZF994" s="2335"/>
      <c r="JZG994" s="2335"/>
      <c r="JZH994" s="2335"/>
      <c r="JZI994" s="2335"/>
      <c r="JZJ994" s="2335"/>
      <c r="JZK994" s="2335"/>
      <c r="JZL994" s="2335"/>
      <c r="JZM994" s="2335"/>
      <c r="JZN994" s="2335"/>
      <c r="JZO994" s="2335"/>
      <c r="JZP994" s="2335"/>
      <c r="JZQ994" s="2335"/>
      <c r="JZR994" s="2335"/>
      <c r="JZS994" s="2335"/>
      <c r="JZT994" s="2335"/>
      <c r="JZU994" s="2335"/>
      <c r="JZV994" s="2335"/>
      <c r="JZW994" s="2335"/>
      <c r="JZX994" s="2335"/>
      <c r="JZY994" s="2335"/>
      <c r="JZZ994" s="2335"/>
      <c r="KAA994" s="2335"/>
      <c r="KAB994" s="2335"/>
      <c r="KAC994" s="2335"/>
      <c r="KAD994" s="2335"/>
      <c r="KAE994" s="2335"/>
      <c r="KAF994" s="2335"/>
      <c r="KAG994" s="2335"/>
      <c r="KAH994" s="2335"/>
      <c r="KAI994" s="2335"/>
      <c r="KAJ994" s="2335"/>
      <c r="KAK994" s="2335"/>
      <c r="KAL994" s="2335"/>
      <c r="KAM994" s="2335"/>
      <c r="KAN994" s="2335"/>
      <c r="KAO994" s="2335"/>
      <c r="KAP994" s="2335"/>
      <c r="KAQ994" s="2335"/>
      <c r="KAR994" s="2335"/>
      <c r="KAS994" s="2335"/>
      <c r="KAT994" s="2335"/>
      <c r="KAU994" s="2335"/>
      <c r="KAV994" s="2335"/>
      <c r="KAW994" s="2335"/>
      <c r="KAX994" s="2335"/>
      <c r="KAY994" s="2335"/>
      <c r="KAZ994" s="2335"/>
      <c r="KBA994" s="2335"/>
      <c r="KBB994" s="2335"/>
      <c r="KBC994" s="2335"/>
      <c r="KBD994" s="2335"/>
      <c r="KBE994" s="2335"/>
      <c r="KBF994" s="2335"/>
      <c r="KBG994" s="2335"/>
      <c r="KBH994" s="2335"/>
      <c r="KBI994" s="2335"/>
      <c r="KBJ994" s="2335"/>
      <c r="KBK994" s="2335"/>
      <c r="KBL994" s="2335"/>
      <c r="KBM994" s="2335"/>
      <c r="KBN994" s="2335"/>
      <c r="KBO994" s="2335"/>
      <c r="KBP994" s="2335"/>
      <c r="KBQ994" s="2335"/>
      <c r="KBR994" s="2335"/>
      <c r="KBS994" s="2335"/>
      <c r="KBT994" s="2335"/>
      <c r="KBU994" s="2335"/>
      <c r="KBV994" s="2335"/>
      <c r="KBW994" s="2335"/>
      <c r="KBX994" s="2335"/>
      <c r="KBY994" s="2335"/>
      <c r="KBZ994" s="2335"/>
      <c r="KCA994" s="2335"/>
      <c r="KCB994" s="2335"/>
      <c r="KCC994" s="2335"/>
      <c r="KCD994" s="2335"/>
      <c r="KCE994" s="2335"/>
      <c r="KCF994" s="2335"/>
      <c r="KCG994" s="2335"/>
      <c r="KCH994" s="2335"/>
      <c r="KCI994" s="2335"/>
      <c r="KCJ994" s="2335"/>
      <c r="KCK994" s="2335"/>
      <c r="KCL994" s="2335"/>
      <c r="KCM994" s="2335"/>
      <c r="KCN994" s="2335"/>
      <c r="KCO994" s="2335"/>
      <c r="KCP994" s="2335"/>
      <c r="KCQ994" s="2335"/>
      <c r="KCR994" s="2335"/>
      <c r="KCS994" s="2335"/>
      <c r="KCT994" s="2335"/>
      <c r="KCU994" s="2335"/>
      <c r="KCV994" s="2335"/>
      <c r="KCW994" s="2335"/>
      <c r="KCX994" s="2335"/>
      <c r="KCY994" s="2335"/>
      <c r="KCZ994" s="2335"/>
      <c r="KDA994" s="2335"/>
      <c r="KDB994" s="2335"/>
      <c r="KDC994" s="2335"/>
      <c r="KDD994" s="2335"/>
      <c r="KDE994" s="2335"/>
      <c r="KDF994" s="2335"/>
      <c r="KDG994" s="2335"/>
      <c r="KDH994" s="2335"/>
      <c r="KDI994" s="2335"/>
      <c r="KDJ994" s="2335"/>
      <c r="KDK994" s="2335"/>
      <c r="KDL994" s="2335"/>
      <c r="KDM994" s="2335"/>
      <c r="KDN994" s="2335"/>
      <c r="KDO994" s="2335"/>
      <c r="KDP994" s="2335"/>
      <c r="KDQ994" s="2335"/>
      <c r="KDR994" s="2335"/>
      <c r="KDS994" s="2335"/>
      <c r="KDT994" s="2335"/>
      <c r="KDU994" s="2335"/>
      <c r="KDV994" s="2335"/>
      <c r="KDW994" s="2335"/>
      <c r="KDX994" s="2335"/>
      <c r="KDY994" s="2335"/>
      <c r="KDZ994" s="2335"/>
      <c r="KEA994" s="2335"/>
      <c r="KEB994" s="2335"/>
      <c r="KEC994" s="2335"/>
      <c r="KED994" s="2335"/>
      <c r="KEE994" s="2335"/>
      <c r="KEF994" s="2335"/>
      <c r="KEG994" s="2335"/>
      <c r="KEH994" s="2335"/>
      <c r="KEI994" s="2335"/>
      <c r="KEJ994" s="2335"/>
      <c r="KEK994" s="2335"/>
      <c r="KEL994" s="2335"/>
      <c r="KEM994" s="2335"/>
      <c r="KEN994" s="2335"/>
      <c r="KEO994" s="2335"/>
      <c r="KEP994" s="2335"/>
      <c r="KEQ994" s="2335"/>
      <c r="KER994" s="2335"/>
      <c r="KES994" s="2335"/>
      <c r="KET994" s="2335"/>
      <c r="KEU994" s="2335"/>
      <c r="KEV994" s="2335"/>
      <c r="KEW994" s="2335"/>
      <c r="KEX994" s="2335"/>
      <c r="KEY994" s="2335"/>
      <c r="KEZ994" s="2335"/>
      <c r="KFA994" s="2335"/>
      <c r="KFB994" s="2335"/>
      <c r="KFC994" s="2335"/>
      <c r="KFD994" s="2335"/>
      <c r="KFE994" s="2335"/>
      <c r="KFF994" s="2335"/>
      <c r="KFG994" s="2335"/>
      <c r="KFH994" s="2335"/>
      <c r="KFI994" s="2335"/>
      <c r="KFJ994" s="2335"/>
      <c r="KFK994" s="2335"/>
      <c r="KFL994" s="2335"/>
      <c r="KFM994" s="2335"/>
      <c r="KFN994" s="2335"/>
      <c r="KFO994" s="2335"/>
      <c r="KFP994" s="2335"/>
      <c r="KFQ994" s="2335"/>
      <c r="KFR994" s="2335"/>
      <c r="KFS994" s="2335"/>
      <c r="KFT994" s="2335"/>
      <c r="KFU994" s="2335"/>
      <c r="KFV994" s="2335"/>
      <c r="KFW994" s="2335"/>
      <c r="KFX994" s="2335"/>
      <c r="KFY994" s="2335"/>
      <c r="KFZ994" s="2335"/>
      <c r="KGA994" s="2335"/>
      <c r="KGB994" s="2335"/>
      <c r="KGC994" s="2335"/>
      <c r="KGD994" s="2335"/>
      <c r="KGE994" s="2335"/>
      <c r="KGF994" s="2335"/>
      <c r="KGG994" s="2335"/>
      <c r="KGH994" s="2335"/>
      <c r="KGI994" s="2335"/>
      <c r="KGJ994" s="2335"/>
      <c r="KGK994" s="2335"/>
      <c r="KGL994" s="2335"/>
      <c r="KGM994" s="2335"/>
      <c r="KGN994" s="2335"/>
      <c r="KGO994" s="2335"/>
      <c r="KGP994" s="2335"/>
      <c r="KGQ994" s="2335"/>
      <c r="KGR994" s="2335"/>
      <c r="KGS994" s="2335"/>
      <c r="KGT994" s="2335"/>
      <c r="KGU994" s="2335"/>
      <c r="KGV994" s="2335"/>
      <c r="KGW994" s="2335"/>
      <c r="KGX994" s="2335"/>
      <c r="KGY994" s="2335"/>
      <c r="KGZ994" s="2335"/>
      <c r="KHA994" s="2335"/>
      <c r="KHB994" s="2335"/>
      <c r="KHC994" s="2335"/>
      <c r="KHD994" s="2335"/>
      <c r="KHE994" s="2335"/>
      <c r="KHF994" s="2335"/>
      <c r="KHG994" s="2335"/>
      <c r="KHH994" s="2335"/>
      <c r="KHI994" s="2335"/>
      <c r="KHJ994" s="2335"/>
      <c r="KHK994" s="2335"/>
      <c r="KHL994" s="2335"/>
      <c r="KHM994" s="2335"/>
      <c r="KHN994" s="2335"/>
      <c r="KHO994" s="2335"/>
      <c r="KHP994" s="2335"/>
      <c r="KHQ994" s="2335"/>
      <c r="KHR994" s="2335"/>
      <c r="KHS994" s="2335"/>
      <c r="KHT994" s="2335"/>
      <c r="KHU994" s="2335"/>
      <c r="KHV994" s="2335"/>
      <c r="KHW994" s="2335"/>
      <c r="KHX994" s="2335"/>
      <c r="KHY994" s="2335"/>
      <c r="KHZ994" s="2335"/>
      <c r="KIA994" s="2335"/>
      <c r="KIB994" s="2335"/>
      <c r="KIC994" s="2335"/>
      <c r="KID994" s="2335"/>
      <c r="KIE994" s="2335"/>
      <c r="KIF994" s="2335"/>
      <c r="KIG994" s="2335"/>
      <c r="KIH994" s="2335"/>
      <c r="KII994" s="2335"/>
      <c r="KIJ994" s="2335"/>
      <c r="KIK994" s="2335"/>
      <c r="KIL994" s="2335"/>
      <c r="KIM994" s="2335"/>
      <c r="KIN994" s="2335"/>
      <c r="KIO994" s="2335"/>
      <c r="KIP994" s="2335"/>
      <c r="KIQ994" s="2335"/>
      <c r="KIR994" s="2335"/>
      <c r="KIS994" s="2335"/>
      <c r="KIT994" s="2335"/>
      <c r="KIU994" s="2335"/>
      <c r="KIV994" s="2335"/>
      <c r="KIW994" s="2335"/>
      <c r="KIX994" s="2335"/>
      <c r="KIY994" s="2335"/>
      <c r="KIZ994" s="2335"/>
      <c r="KJA994" s="2335"/>
      <c r="KJB994" s="2335"/>
      <c r="KJC994" s="2335"/>
      <c r="KJD994" s="2335"/>
      <c r="KJE994" s="2335"/>
      <c r="KJF994" s="2335"/>
      <c r="KJG994" s="2335"/>
      <c r="KJH994" s="2335"/>
      <c r="KJI994" s="2335"/>
      <c r="KJJ994" s="2335"/>
      <c r="KJK994" s="2335"/>
      <c r="KJL994" s="2335"/>
      <c r="KJM994" s="2335"/>
      <c r="KJN994" s="2335"/>
      <c r="KJO994" s="2335"/>
      <c r="KJP994" s="2335"/>
      <c r="KJQ994" s="2335"/>
      <c r="KJR994" s="2335"/>
      <c r="KJS994" s="2335"/>
      <c r="KJT994" s="2335"/>
      <c r="KJU994" s="2335"/>
      <c r="KJV994" s="2335"/>
      <c r="KJW994" s="2335"/>
      <c r="KJX994" s="2335"/>
      <c r="KJY994" s="2335"/>
      <c r="KJZ994" s="2335"/>
      <c r="KKA994" s="2335"/>
      <c r="KKB994" s="2335"/>
      <c r="KKC994" s="2335"/>
      <c r="KKD994" s="2335"/>
      <c r="KKE994" s="2335"/>
      <c r="KKF994" s="2335"/>
      <c r="KKG994" s="2335"/>
      <c r="KKH994" s="2335"/>
      <c r="KKI994" s="2335"/>
      <c r="KKJ994" s="2335"/>
      <c r="KKK994" s="2335"/>
      <c r="KKL994" s="2335"/>
      <c r="KKM994" s="2335"/>
      <c r="KKN994" s="2335"/>
      <c r="KKO994" s="2335"/>
      <c r="KKP994" s="2335"/>
      <c r="KKQ994" s="2335"/>
      <c r="KKR994" s="2335"/>
      <c r="KKS994" s="2335"/>
      <c r="KKT994" s="2335"/>
      <c r="KKU994" s="2335"/>
      <c r="KKV994" s="2335"/>
      <c r="KKW994" s="2335"/>
      <c r="KKX994" s="2335"/>
      <c r="KKY994" s="2335"/>
      <c r="KKZ994" s="2335"/>
      <c r="KLA994" s="2335"/>
      <c r="KLB994" s="2335"/>
      <c r="KLC994" s="2335"/>
      <c r="KLD994" s="2335"/>
      <c r="KLE994" s="2335"/>
      <c r="KLF994" s="2335"/>
      <c r="KLG994" s="2335"/>
      <c r="KLH994" s="2335"/>
      <c r="KLI994" s="2335"/>
      <c r="KLJ994" s="2335"/>
      <c r="KLK994" s="2335"/>
      <c r="KLL994" s="2335"/>
      <c r="KLM994" s="2335"/>
      <c r="KLN994" s="2335"/>
      <c r="KLO994" s="2335"/>
      <c r="KLP994" s="2335"/>
      <c r="KLQ994" s="2335"/>
      <c r="KLR994" s="2335"/>
      <c r="KLS994" s="2335"/>
      <c r="KLT994" s="2335"/>
      <c r="KLU994" s="2335"/>
      <c r="KLV994" s="2335"/>
      <c r="KLW994" s="2335"/>
      <c r="KLX994" s="2335"/>
      <c r="KLY994" s="2335"/>
      <c r="KLZ994" s="2335"/>
      <c r="KMA994" s="2335"/>
      <c r="KMB994" s="2335"/>
      <c r="KMC994" s="2335"/>
      <c r="KMD994" s="2335"/>
      <c r="KME994" s="2335"/>
      <c r="KMF994" s="2335"/>
      <c r="KMG994" s="2335"/>
      <c r="KMH994" s="2335"/>
      <c r="KMI994" s="2335"/>
      <c r="KMJ994" s="2335"/>
      <c r="KMK994" s="2335"/>
      <c r="KML994" s="2335"/>
      <c r="KMM994" s="2335"/>
      <c r="KMN994" s="2335"/>
      <c r="KMO994" s="2335"/>
      <c r="KMP994" s="2335"/>
      <c r="KMQ994" s="2335"/>
      <c r="KMR994" s="2335"/>
      <c r="KMS994" s="2335"/>
      <c r="KMT994" s="2335"/>
      <c r="KMU994" s="2335"/>
      <c r="KMV994" s="2335"/>
      <c r="KMW994" s="2335"/>
      <c r="KMX994" s="2335"/>
      <c r="KMY994" s="2335"/>
      <c r="KMZ994" s="2335"/>
      <c r="KNA994" s="2335"/>
      <c r="KNB994" s="2335"/>
      <c r="KNC994" s="2335"/>
      <c r="KND994" s="2335"/>
      <c r="KNE994" s="2335"/>
      <c r="KNF994" s="2335"/>
      <c r="KNG994" s="2335"/>
      <c r="KNH994" s="2335"/>
      <c r="KNI994" s="2335"/>
      <c r="KNJ994" s="2335"/>
      <c r="KNK994" s="2335"/>
      <c r="KNL994" s="2335"/>
      <c r="KNM994" s="2335"/>
      <c r="KNN994" s="2335"/>
      <c r="KNO994" s="2335"/>
      <c r="KNP994" s="2335"/>
      <c r="KNQ994" s="2335"/>
      <c r="KNR994" s="2335"/>
      <c r="KNS994" s="2335"/>
      <c r="KNT994" s="2335"/>
      <c r="KNU994" s="2335"/>
      <c r="KNV994" s="2335"/>
      <c r="KNW994" s="2335"/>
      <c r="KNX994" s="2335"/>
      <c r="KNY994" s="2335"/>
      <c r="KNZ994" s="2335"/>
      <c r="KOA994" s="2335"/>
      <c r="KOB994" s="2335"/>
      <c r="KOC994" s="2335"/>
      <c r="KOD994" s="2335"/>
      <c r="KOE994" s="2335"/>
      <c r="KOF994" s="2335"/>
      <c r="KOG994" s="2335"/>
      <c r="KOH994" s="2335"/>
      <c r="KOI994" s="2335"/>
      <c r="KOJ994" s="2335"/>
      <c r="KOK994" s="2335"/>
      <c r="KOL994" s="2335"/>
      <c r="KOM994" s="2335"/>
      <c r="KON994" s="2335"/>
      <c r="KOO994" s="2335"/>
      <c r="KOP994" s="2335"/>
      <c r="KOQ994" s="2335"/>
      <c r="KOR994" s="2335"/>
      <c r="KOS994" s="2335"/>
      <c r="KOT994" s="2335"/>
      <c r="KOU994" s="2335"/>
      <c r="KOV994" s="2335"/>
      <c r="KOW994" s="2335"/>
      <c r="KOX994" s="2335"/>
      <c r="KOY994" s="2335"/>
      <c r="KOZ994" s="2335"/>
      <c r="KPA994" s="2335"/>
      <c r="KPB994" s="2335"/>
      <c r="KPC994" s="2335"/>
      <c r="KPD994" s="2335"/>
      <c r="KPE994" s="2335"/>
      <c r="KPF994" s="2335"/>
      <c r="KPG994" s="2335"/>
      <c r="KPH994" s="2335"/>
      <c r="KPI994" s="2335"/>
      <c r="KPJ994" s="2335"/>
      <c r="KPK994" s="2335"/>
      <c r="KPL994" s="2335"/>
      <c r="KPM994" s="2335"/>
      <c r="KPN994" s="2335"/>
      <c r="KPO994" s="2335"/>
      <c r="KPP994" s="2335"/>
      <c r="KPQ994" s="2335"/>
      <c r="KPR994" s="2335"/>
      <c r="KPS994" s="2335"/>
      <c r="KPT994" s="2335"/>
      <c r="KPU994" s="2335"/>
      <c r="KPV994" s="2335"/>
      <c r="KPW994" s="2335"/>
      <c r="KPX994" s="2335"/>
      <c r="KPY994" s="2335"/>
      <c r="KPZ994" s="2335"/>
      <c r="KQA994" s="2335"/>
      <c r="KQB994" s="2335"/>
      <c r="KQC994" s="2335"/>
      <c r="KQD994" s="2335"/>
      <c r="KQE994" s="2335"/>
      <c r="KQF994" s="2335"/>
      <c r="KQG994" s="2335"/>
      <c r="KQH994" s="2335"/>
      <c r="KQI994" s="2335"/>
      <c r="KQJ994" s="2335"/>
      <c r="KQK994" s="2335"/>
      <c r="KQL994" s="2335"/>
      <c r="KQM994" s="2335"/>
      <c r="KQN994" s="2335"/>
      <c r="KQO994" s="2335"/>
      <c r="KQP994" s="2335"/>
      <c r="KQQ994" s="2335"/>
      <c r="KQR994" s="2335"/>
      <c r="KQS994" s="2335"/>
      <c r="KQT994" s="2335"/>
      <c r="KQU994" s="2335"/>
      <c r="KQV994" s="2335"/>
      <c r="KQW994" s="2335"/>
      <c r="KQX994" s="2335"/>
      <c r="KQY994" s="2335"/>
      <c r="KQZ994" s="2335"/>
      <c r="KRA994" s="2335"/>
      <c r="KRB994" s="2335"/>
      <c r="KRC994" s="2335"/>
      <c r="KRD994" s="2335"/>
      <c r="KRE994" s="2335"/>
      <c r="KRF994" s="2335"/>
      <c r="KRG994" s="2335"/>
      <c r="KRH994" s="2335"/>
      <c r="KRI994" s="2335"/>
      <c r="KRJ994" s="2335"/>
      <c r="KRK994" s="2335"/>
      <c r="KRL994" s="2335"/>
      <c r="KRM994" s="2335"/>
      <c r="KRN994" s="2335"/>
      <c r="KRO994" s="2335"/>
      <c r="KRP994" s="2335"/>
      <c r="KRQ994" s="2335"/>
      <c r="KRR994" s="2335"/>
      <c r="KRS994" s="2335"/>
      <c r="KRT994" s="2335"/>
      <c r="KRU994" s="2335"/>
      <c r="KRV994" s="2335"/>
      <c r="KRW994" s="2335"/>
      <c r="KRX994" s="2335"/>
      <c r="KRY994" s="2335"/>
      <c r="KRZ994" s="2335"/>
      <c r="KSA994" s="2335"/>
      <c r="KSB994" s="2335"/>
      <c r="KSC994" s="2335"/>
      <c r="KSD994" s="2335"/>
      <c r="KSE994" s="2335"/>
      <c r="KSF994" s="2335"/>
      <c r="KSG994" s="2335"/>
      <c r="KSH994" s="2335"/>
      <c r="KSI994" s="2335"/>
      <c r="KSJ994" s="2335"/>
      <c r="KSK994" s="2335"/>
      <c r="KSL994" s="2335"/>
      <c r="KSM994" s="2335"/>
      <c r="KSN994" s="2335"/>
      <c r="KSO994" s="2335"/>
      <c r="KSP994" s="2335"/>
      <c r="KSQ994" s="2335"/>
      <c r="KSR994" s="2335"/>
      <c r="KSS994" s="2335"/>
      <c r="KST994" s="2335"/>
      <c r="KSU994" s="2335"/>
      <c r="KSV994" s="2335"/>
      <c r="KSW994" s="2335"/>
      <c r="KSX994" s="2335"/>
      <c r="KSY994" s="2335"/>
      <c r="KSZ994" s="2335"/>
      <c r="KTA994" s="2335"/>
      <c r="KTB994" s="2335"/>
      <c r="KTC994" s="2335"/>
      <c r="KTD994" s="2335"/>
      <c r="KTE994" s="2335"/>
      <c r="KTF994" s="2335"/>
      <c r="KTG994" s="2335"/>
      <c r="KTH994" s="2335"/>
      <c r="KTI994" s="2335"/>
      <c r="KTJ994" s="2335"/>
      <c r="KTK994" s="2335"/>
      <c r="KTL994" s="2335"/>
      <c r="KTM994" s="2335"/>
      <c r="KTN994" s="2335"/>
      <c r="KTO994" s="2335"/>
      <c r="KTP994" s="2335"/>
      <c r="KTQ994" s="2335"/>
      <c r="KTR994" s="2335"/>
      <c r="KTS994" s="2335"/>
      <c r="KTT994" s="2335"/>
      <c r="KTU994" s="2335"/>
      <c r="KTV994" s="2335"/>
      <c r="KTW994" s="2335"/>
      <c r="KTX994" s="2335"/>
      <c r="KTY994" s="2335"/>
      <c r="KTZ994" s="2335"/>
      <c r="KUA994" s="2335"/>
      <c r="KUB994" s="2335"/>
      <c r="KUC994" s="2335"/>
      <c r="KUD994" s="2335"/>
      <c r="KUE994" s="2335"/>
      <c r="KUF994" s="2335"/>
      <c r="KUG994" s="2335"/>
      <c r="KUH994" s="2335"/>
      <c r="KUI994" s="2335"/>
      <c r="KUJ994" s="2335"/>
      <c r="KUK994" s="2335"/>
      <c r="KUL994" s="2335"/>
      <c r="KUM994" s="2335"/>
      <c r="KUN994" s="2335"/>
      <c r="KUO994" s="2335"/>
      <c r="KUP994" s="2335"/>
      <c r="KUQ994" s="2335"/>
      <c r="KUR994" s="2335"/>
      <c r="KUS994" s="2335"/>
      <c r="KUT994" s="2335"/>
      <c r="KUU994" s="2335"/>
      <c r="KUV994" s="2335"/>
      <c r="KUW994" s="2335"/>
      <c r="KUX994" s="2335"/>
      <c r="KUY994" s="2335"/>
      <c r="KUZ994" s="2335"/>
      <c r="KVA994" s="2335"/>
      <c r="KVB994" s="2335"/>
      <c r="KVC994" s="2335"/>
      <c r="KVD994" s="2335"/>
      <c r="KVE994" s="2335"/>
      <c r="KVF994" s="2335"/>
      <c r="KVG994" s="2335"/>
      <c r="KVH994" s="2335"/>
      <c r="KVI994" s="2335"/>
      <c r="KVJ994" s="2335"/>
      <c r="KVK994" s="2335"/>
      <c r="KVL994" s="2335"/>
      <c r="KVM994" s="2335"/>
      <c r="KVN994" s="2335"/>
      <c r="KVO994" s="2335"/>
      <c r="KVP994" s="2335"/>
      <c r="KVQ994" s="2335"/>
      <c r="KVR994" s="2335"/>
      <c r="KVS994" s="2335"/>
      <c r="KVT994" s="2335"/>
      <c r="KVU994" s="2335"/>
      <c r="KVV994" s="2335"/>
      <c r="KVW994" s="2335"/>
      <c r="KVX994" s="2335"/>
      <c r="KVY994" s="2335"/>
      <c r="KVZ994" s="2335"/>
      <c r="KWA994" s="2335"/>
      <c r="KWB994" s="2335"/>
      <c r="KWC994" s="2335"/>
      <c r="KWD994" s="2335"/>
      <c r="KWE994" s="2335"/>
      <c r="KWF994" s="2335"/>
      <c r="KWG994" s="2335"/>
      <c r="KWH994" s="2335"/>
      <c r="KWI994" s="2335"/>
      <c r="KWJ994" s="2335"/>
      <c r="KWK994" s="2335"/>
      <c r="KWL994" s="2335"/>
      <c r="KWM994" s="2335"/>
      <c r="KWN994" s="2335"/>
      <c r="KWO994" s="2335"/>
      <c r="KWP994" s="2335"/>
      <c r="KWQ994" s="2335"/>
      <c r="KWR994" s="2335"/>
      <c r="KWS994" s="2335"/>
      <c r="KWT994" s="2335"/>
      <c r="KWU994" s="2335"/>
      <c r="KWV994" s="2335"/>
      <c r="KWW994" s="2335"/>
      <c r="KWX994" s="2335"/>
      <c r="KWY994" s="2335"/>
      <c r="KWZ994" s="2335"/>
      <c r="KXA994" s="2335"/>
      <c r="KXB994" s="2335"/>
      <c r="KXC994" s="2335"/>
      <c r="KXD994" s="2335"/>
      <c r="KXE994" s="2335"/>
      <c r="KXF994" s="2335"/>
      <c r="KXG994" s="2335"/>
      <c r="KXH994" s="2335"/>
      <c r="KXI994" s="2335"/>
      <c r="KXJ994" s="2335"/>
      <c r="KXK994" s="2335"/>
      <c r="KXL994" s="2335"/>
      <c r="KXM994" s="2335"/>
      <c r="KXN994" s="2335"/>
      <c r="KXO994" s="2335"/>
      <c r="KXP994" s="2335"/>
      <c r="KXQ994" s="2335"/>
      <c r="KXR994" s="2335"/>
      <c r="KXS994" s="2335"/>
      <c r="KXT994" s="2335"/>
      <c r="KXU994" s="2335"/>
      <c r="KXV994" s="2335"/>
      <c r="KXW994" s="2335"/>
      <c r="KXX994" s="2335"/>
      <c r="KXY994" s="2335"/>
      <c r="KXZ994" s="2335"/>
      <c r="KYA994" s="2335"/>
      <c r="KYB994" s="2335"/>
      <c r="KYC994" s="2335"/>
      <c r="KYD994" s="2335"/>
      <c r="KYE994" s="2335"/>
      <c r="KYF994" s="2335"/>
      <c r="KYG994" s="2335"/>
      <c r="KYH994" s="2335"/>
      <c r="KYI994" s="2335"/>
      <c r="KYJ994" s="2335"/>
      <c r="KYK994" s="2335"/>
      <c r="KYL994" s="2335"/>
      <c r="KYM994" s="2335"/>
      <c r="KYN994" s="2335"/>
      <c r="KYO994" s="2335"/>
      <c r="KYP994" s="2335"/>
      <c r="KYQ994" s="2335"/>
      <c r="KYR994" s="2335"/>
      <c r="KYS994" s="2335"/>
      <c r="KYT994" s="2335"/>
      <c r="KYU994" s="2335"/>
      <c r="KYV994" s="2335"/>
      <c r="KYW994" s="2335"/>
      <c r="KYX994" s="2335"/>
      <c r="KYY994" s="2335"/>
      <c r="KYZ994" s="2335"/>
      <c r="KZA994" s="2335"/>
      <c r="KZB994" s="2335"/>
      <c r="KZC994" s="2335"/>
      <c r="KZD994" s="2335"/>
      <c r="KZE994" s="2335"/>
      <c r="KZF994" s="2335"/>
      <c r="KZG994" s="2335"/>
      <c r="KZH994" s="2335"/>
      <c r="KZI994" s="2335"/>
      <c r="KZJ994" s="2335"/>
      <c r="KZK994" s="2335"/>
      <c r="KZL994" s="2335"/>
      <c r="KZM994" s="2335"/>
      <c r="KZN994" s="2335"/>
      <c r="KZO994" s="2335"/>
      <c r="KZP994" s="2335"/>
      <c r="KZQ994" s="2335"/>
      <c r="KZR994" s="2335"/>
      <c r="KZS994" s="2335"/>
      <c r="KZT994" s="2335"/>
      <c r="KZU994" s="2335"/>
      <c r="KZV994" s="2335"/>
      <c r="KZW994" s="2335"/>
      <c r="KZX994" s="2335"/>
      <c r="KZY994" s="2335"/>
      <c r="KZZ994" s="2335"/>
      <c r="LAA994" s="2335"/>
      <c r="LAB994" s="2335"/>
      <c r="LAC994" s="2335"/>
      <c r="LAD994" s="2335"/>
      <c r="LAE994" s="2335"/>
      <c r="LAF994" s="2335"/>
      <c r="LAG994" s="2335"/>
      <c r="LAH994" s="2335"/>
      <c r="LAI994" s="2335"/>
      <c r="LAJ994" s="2335"/>
      <c r="LAK994" s="2335"/>
      <c r="LAL994" s="2335"/>
      <c r="LAM994" s="2335"/>
      <c r="LAN994" s="2335"/>
      <c r="LAO994" s="2335"/>
      <c r="LAP994" s="2335"/>
      <c r="LAQ994" s="2335"/>
      <c r="LAR994" s="2335"/>
      <c r="LAS994" s="2335"/>
      <c r="LAT994" s="2335"/>
      <c r="LAU994" s="2335"/>
      <c r="LAV994" s="2335"/>
      <c r="LAW994" s="2335"/>
      <c r="LAX994" s="2335"/>
      <c r="LAY994" s="2335"/>
      <c r="LAZ994" s="2335"/>
      <c r="LBA994" s="2335"/>
      <c r="LBB994" s="2335"/>
      <c r="LBC994" s="2335"/>
      <c r="LBD994" s="2335"/>
      <c r="LBE994" s="2335"/>
      <c r="LBF994" s="2335"/>
      <c r="LBG994" s="2335"/>
      <c r="LBH994" s="2335"/>
      <c r="LBI994" s="2335"/>
      <c r="LBJ994" s="2335"/>
      <c r="LBK994" s="2335"/>
      <c r="LBL994" s="2335"/>
      <c r="LBM994" s="2335"/>
      <c r="LBN994" s="2335"/>
      <c r="LBO994" s="2335"/>
      <c r="LBP994" s="2335"/>
      <c r="LBQ994" s="2335"/>
      <c r="LBR994" s="2335"/>
      <c r="LBS994" s="2335"/>
      <c r="LBT994" s="2335"/>
      <c r="LBU994" s="2335"/>
      <c r="LBV994" s="2335"/>
      <c r="LBW994" s="2335"/>
      <c r="LBX994" s="2335"/>
      <c r="LBY994" s="2335"/>
      <c r="LBZ994" s="2335"/>
      <c r="LCA994" s="2335"/>
      <c r="LCB994" s="2335"/>
      <c r="LCC994" s="2335"/>
      <c r="LCD994" s="2335"/>
      <c r="LCE994" s="2335"/>
      <c r="LCF994" s="2335"/>
      <c r="LCG994" s="2335"/>
      <c r="LCH994" s="2335"/>
      <c r="LCI994" s="2335"/>
      <c r="LCJ994" s="2335"/>
      <c r="LCK994" s="2335"/>
      <c r="LCL994" s="2335"/>
      <c r="LCM994" s="2335"/>
      <c r="LCN994" s="2335"/>
      <c r="LCO994" s="2335"/>
      <c r="LCP994" s="2335"/>
      <c r="LCQ994" s="2335"/>
      <c r="LCR994" s="2335"/>
      <c r="LCS994" s="2335"/>
      <c r="LCT994" s="2335"/>
      <c r="LCU994" s="2335"/>
      <c r="LCV994" s="2335"/>
      <c r="LCW994" s="2335"/>
      <c r="LCX994" s="2335"/>
      <c r="LCY994" s="2335"/>
      <c r="LCZ994" s="2335"/>
      <c r="LDA994" s="2335"/>
      <c r="LDB994" s="2335"/>
      <c r="LDC994" s="2335"/>
      <c r="LDD994" s="2335"/>
      <c r="LDE994" s="2335"/>
      <c r="LDF994" s="2335"/>
      <c r="LDG994" s="2335"/>
      <c r="LDH994" s="2335"/>
      <c r="LDI994" s="2335"/>
      <c r="LDJ994" s="2335"/>
      <c r="LDK994" s="2335"/>
      <c r="LDL994" s="2335"/>
      <c r="LDM994" s="2335"/>
      <c r="LDN994" s="2335"/>
      <c r="LDO994" s="2335"/>
      <c r="LDP994" s="2335"/>
      <c r="LDQ994" s="2335"/>
      <c r="LDR994" s="2335"/>
      <c r="LDS994" s="2335"/>
      <c r="LDT994" s="2335"/>
      <c r="LDU994" s="2335"/>
      <c r="LDV994" s="2335"/>
      <c r="LDW994" s="2335"/>
      <c r="LDX994" s="2335"/>
      <c r="LDY994" s="2335"/>
      <c r="LDZ994" s="2335"/>
      <c r="LEA994" s="2335"/>
      <c r="LEB994" s="2335"/>
      <c r="LEC994" s="2335"/>
      <c r="LED994" s="2335"/>
      <c r="LEE994" s="2335"/>
      <c r="LEF994" s="2335"/>
      <c r="LEG994" s="2335"/>
      <c r="LEH994" s="2335"/>
      <c r="LEI994" s="2335"/>
      <c r="LEJ994" s="2335"/>
      <c r="LEK994" s="2335"/>
      <c r="LEL994" s="2335"/>
      <c r="LEM994" s="2335"/>
      <c r="LEN994" s="2335"/>
      <c r="LEO994" s="2335"/>
      <c r="LEP994" s="2335"/>
      <c r="LEQ994" s="2335"/>
      <c r="LER994" s="2335"/>
      <c r="LES994" s="2335"/>
      <c r="LET994" s="2335"/>
      <c r="LEU994" s="2335"/>
      <c r="LEV994" s="2335"/>
      <c r="LEW994" s="2335"/>
      <c r="LEX994" s="2335"/>
      <c r="LEY994" s="2335"/>
      <c r="LEZ994" s="2335"/>
      <c r="LFA994" s="2335"/>
      <c r="LFB994" s="2335"/>
      <c r="LFC994" s="2335"/>
      <c r="LFD994" s="2335"/>
      <c r="LFE994" s="2335"/>
      <c r="LFF994" s="2335"/>
      <c r="LFG994" s="2335"/>
      <c r="LFH994" s="2335"/>
      <c r="LFI994" s="2335"/>
      <c r="LFJ994" s="2335"/>
      <c r="LFK994" s="2335"/>
      <c r="LFL994" s="2335"/>
      <c r="LFM994" s="2335"/>
      <c r="LFN994" s="2335"/>
      <c r="LFO994" s="2335"/>
      <c r="LFP994" s="2335"/>
      <c r="LFQ994" s="2335"/>
      <c r="LFR994" s="2335"/>
      <c r="LFS994" s="2335"/>
      <c r="LFT994" s="2335"/>
      <c r="LFU994" s="2335"/>
      <c r="LFV994" s="2335"/>
      <c r="LFW994" s="2335"/>
      <c r="LFX994" s="2335"/>
      <c r="LFY994" s="2335"/>
      <c r="LFZ994" s="2335"/>
      <c r="LGA994" s="2335"/>
      <c r="LGB994" s="2335"/>
      <c r="LGC994" s="2335"/>
      <c r="LGD994" s="2335"/>
      <c r="LGE994" s="2335"/>
      <c r="LGF994" s="2335"/>
      <c r="LGG994" s="2335"/>
      <c r="LGH994" s="2335"/>
      <c r="LGI994" s="2335"/>
      <c r="LGJ994" s="2335"/>
      <c r="LGK994" s="2335"/>
      <c r="LGL994" s="2335"/>
      <c r="LGM994" s="2335"/>
      <c r="LGN994" s="2335"/>
      <c r="LGO994" s="2335"/>
      <c r="LGP994" s="2335"/>
      <c r="LGQ994" s="2335"/>
      <c r="LGR994" s="2335"/>
      <c r="LGS994" s="2335"/>
      <c r="LGT994" s="2335"/>
      <c r="LGU994" s="2335"/>
      <c r="LGV994" s="2335"/>
      <c r="LGW994" s="2335"/>
      <c r="LGX994" s="2335"/>
      <c r="LGY994" s="2335"/>
      <c r="LGZ994" s="2335"/>
      <c r="LHA994" s="2335"/>
      <c r="LHB994" s="2335"/>
      <c r="LHC994" s="2335"/>
      <c r="LHD994" s="2335"/>
      <c r="LHE994" s="2335"/>
      <c r="LHF994" s="2335"/>
      <c r="LHG994" s="2335"/>
      <c r="LHH994" s="2335"/>
      <c r="LHI994" s="2335"/>
      <c r="LHJ994" s="2335"/>
      <c r="LHK994" s="2335"/>
      <c r="LHL994" s="2335"/>
      <c r="LHM994" s="2335"/>
      <c r="LHN994" s="2335"/>
      <c r="LHO994" s="2335"/>
      <c r="LHP994" s="2335"/>
      <c r="LHQ994" s="2335"/>
      <c r="LHR994" s="2335"/>
      <c r="LHS994" s="2335"/>
      <c r="LHT994" s="2335"/>
      <c r="LHU994" s="2335"/>
      <c r="LHV994" s="2335"/>
      <c r="LHW994" s="2335"/>
      <c r="LHX994" s="2335"/>
      <c r="LHY994" s="2335"/>
      <c r="LHZ994" s="2335"/>
      <c r="LIA994" s="2335"/>
      <c r="LIB994" s="2335"/>
      <c r="LIC994" s="2335"/>
      <c r="LID994" s="2335"/>
      <c r="LIE994" s="2335"/>
      <c r="LIF994" s="2335"/>
      <c r="LIG994" s="2335"/>
      <c r="LIH994" s="2335"/>
      <c r="LII994" s="2335"/>
      <c r="LIJ994" s="2335"/>
      <c r="LIK994" s="2335"/>
      <c r="LIL994" s="2335"/>
      <c r="LIM994" s="2335"/>
      <c r="LIN994" s="2335"/>
      <c r="LIO994" s="2335"/>
      <c r="LIP994" s="2335"/>
      <c r="LIQ994" s="2335"/>
      <c r="LIR994" s="2335"/>
      <c r="LIS994" s="2335"/>
      <c r="LIT994" s="2335"/>
      <c r="LIU994" s="2335"/>
      <c r="LIV994" s="2335"/>
      <c r="LIW994" s="2335"/>
      <c r="LIX994" s="2335"/>
      <c r="LIY994" s="2335"/>
      <c r="LIZ994" s="2335"/>
      <c r="LJA994" s="2335"/>
      <c r="LJB994" s="2335"/>
      <c r="LJC994" s="2335"/>
      <c r="LJD994" s="2335"/>
      <c r="LJE994" s="2335"/>
      <c r="LJF994" s="2335"/>
      <c r="LJG994" s="2335"/>
      <c r="LJH994" s="2335"/>
      <c r="LJI994" s="2335"/>
      <c r="LJJ994" s="2335"/>
      <c r="LJK994" s="2335"/>
      <c r="LJL994" s="2335"/>
      <c r="LJM994" s="2335"/>
      <c r="LJN994" s="2335"/>
      <c r="LJO994" s="2335"/>
      <c r="LJP994" s="2335"/>
      <c r="LJQ994" s="2335"/>
      <c r="LJR994" s="2335"/>
      <c r="LJS994" s="2335"/>
      <c r="LJT994" s="2335"/>
      <c r="LJU994" s="2335"/>
      <c r="LJV994" s="2335"/>
      <c r="LJW994" s="2335"/>
      <c r="LJX994" s="2335"/>
      <c r="LJY994" s="2335"/>
      <c r="LJZ994" s="2335"/>
      <c r="LKA994" s="2335"/>
      <c r="LKB994" s="2335"/>
      <c r="LKC994" s="2335"/>
      <c r="LKD994" s="2335"/>
      <c r="LKE994" s="2335"/>
      <c r="LKF994" s="2335"/>
      <c r="LKG994" s="2335"/>
      <c r="LKH994" s="2335"/>
      <c r="LKI994" s="2335"/>
      <c r="LKJ994" s="2335"/>
      <c r="LKK994" s="2335"/>
      <c r="LKL994" s="2335"/>
      <c r="LKM994" s="2335"/>
      <c r="LKN994" s="2335"/>
      <c r="LKO994" s="2335"/>
      <c r="LKP994" s="2335"/>
      <c r="LKQ994" s="2335"/>
      <c r="LKR994" s="2335"/>
      <c r="LKS994" s="2335"/>
      <c r="LKT994" s="2335"/>
      <c r="LKU994" s="2335"/>
      <c r="LKV994" s="2335"/>
      <c r="LKW994" s="2335"/>
      <c r="LKX994" s="2335"/>
      <c r="LKY994" s="2335"/>
      <c r="LKZ994" s="2335"/>
      <c r="LLA994" s="2335"/>
      <c r="LLB994" s="2335"/>
      <c r="LLC994" s="2335"/>
      <c r="LLD994" s="2335"/>
      <c r="LLE994" s="2335"/>
      <c r="LLF994" s="2335"/>
      <c r="LLG994" s="2335"/>
      <c r="LLH994" s="2335"/>
      <c r="LLI994" s="2335"/>
      <c r="LLJ994" s="2335"/>
      <c r="LLK994" s="2335"/>
      <c r="LLL994" s="2335"/>
      <c r="LLM994" s="2335"/>
      <c r="LLN994" s="2335"/>
      <c r="LLO994" s="2335"/>
      <c r="LLP994" s="2335"/>
      <c r="LLQ994" s="2335"/>
      <c r="LLR994" s="2335"/>
      <c r="LLS994" s="2335"/>
      <c r="LLT994" s="2335"/>
      <c r="LLU994" s="2335"/>
      <c r="LLV994" s="2335"/>
      <c r="LLW994" s="2335"/>
      <c r="LLX994" s="2335"/>
      <c r="LLY994" s="2335"/>
      <c r="LLZ994" s="2335"/>
      <c r="LMA994" s="2335"/>
      <c r="LMB994" s="2335"/>
      <c r="LMC994" s="2335"/>
      <c r="LMD994" s="2335"/>
      <c r="LME994" s="2335"/>
      <c r="LMF994" s="2335"/>
      <c r="LMG994" s="2335"/>
      <c r="LMH994" s="2335"/>
      <c r="LMI994" s="2335"/>
      <c r="LMJ994" s="2335"/>
      <c r="LMK994" s="2335"/>
      <c r="LML994" s="2335"/>
      <c r="LMM994" s="2335"/>
      <c r="LMN994" s="2335"/>
      <c r="LMO994" s="2335"/>
      <c r="LMP994" s="2335"/>
      <c r="LMQ994" s="2335"/>
      <c r="LMR994" s="2335"/>
      <c r="LMS994" s="2335"/>
      <c r="LMT994" s="2335"/>
      <c r="LMU994" s="2335"/>
      <c r="LMV994" s="2335"/>
      <c r="LMW994" s="2335"/>
      <c r="LMX994" s="2335"/>
      <c r="LMY994" s="2335"/>
      <c r="LMZ994" s="2335"/>
      <c r="LNA994" s="2335"/>
      <c r="LNB994" s="2335"/>
      <c r="LNC994" s="2335"/>
      <c r="LND994" s="2335"/>
      <c r="LNE994" s="2335"/>
      <c r="LNF994" s="2335"/>
      <c r="LNG994" s="2335"/>
      <c r="LNH994" s="2335"/>
      <c r="LNI994" s="2335"/>
      <c r="LNJ994" s="2335"/>
      <c r="LNK994" s="2335"/>
      <c r="LNL994" s="2335"/>
      <c r="LNM994" s="2335"/>
      <c r="LNN994" s="2335"/>
      <c r="LNO994" s="2335"/>
      <c r="LNP994" s="2335"/>
      <c r="LNQ994" s="2335"/>
      <c r="LNR994" s="2335"/>
      <c r="LNS994" s="2335"/>
      <c r="LNT994" s="2335"/>
      <c r="LNU994" s="2335"/>
      <c r="LNV994" s="2335"/>
      <c r="LNW994" s="2335"/>
      <c r="LNX994" s="2335"/>
      <c r="LNY994" s="2335"/>
      <c r="LNZ994" s="2335"/>
      <c r="LOA994" s="2335"/>
      <c r="LOB994" s="2335"/>
      <c r="LOC994" s="2335"/>
      <c r="LOD994" s="2335"/>
      <c r="LOE994" s="2335"/>
      <c r="LOF994" s="2335"/>
      <c r="LOG994" s="2335"/>
      <c r="LOH994" s="2335"/>
      <c r="LOI994" s="2335"/>
      <c r="LOJ994" s="2335"/>
      <c r="LOK994" s="2335"/>
      <c r="LOL994" s="2335"/>
      <c r="LOM994" s="2335"/>
      <c r="LON994" s="2335"/>
      <c r="LOO994" s="2335"/>
      <c r="LOP994" s="2335"/>
      <c r="LOQ994" s="2335"/>
      <c r="LOR994" s="2335"/>
      <c r="LOS994" s="2335"/>
      <c r="LOT994" s="2335"/>
      <c r="LOU994" s="2335"/>
      <c r="LOV994" s="2335"/>
      <c r="LOW994" s="2335"/>
      <c r="LOX994" s="2335"/>
      <c r="LOY994" s="2335"/>
      <c r="LOZ994" s="2335"/>
      <c r="LPA994" s="2335"/>
      <c r="LPB994" s="2335"/>
      <c r="LPC994" s="2335"/>
      <c r="LPD994" s="2335"/>
      <c r="LPE994" s="2335"/>
      <c r="LPF994" s="2335"/>
      <c r="LPG994" s="2335"/>
      <c r="LPH994" s="2335"/>
      <c r="LPI994" s="2335"/>
      <c r="LPJ994" s="2335"/>
      <c r="LPK994" s="2335"/>
      <c r="LPL994" s="2335"/>
      <c r="LPM994" s="2335"/>
      <c r="LPN994" s="2335"/>
      <c r="LPO994" s="2335"/>
      <c r="LPP994" s="2335"/>
      <c r="LPQ994" s="2335"/>
      <c r="LPR994" s="2335"/>
      <c r="LPS994" s="2335"/>
      <c r="LPT994" s="2335"/>
      <c r="LPU994" s="2335"/>
      <c r="LPV994" s="2335"/>
      <c r="LPW994" s="2335"/>
      <c r="LPX994" s="2335"/>
      <c r="LPY994" s="2335"/>
      <c r="LPZ994" s="2335"/>
      <c r="LQA994" s="2335"/>
      <c r="LQB994" s="2335"/>
      <c r="LQC994" s="2335"/>
      <c r="LQD994" s="2335"/>
      <c r="LQE994" s="2335"/>
      <c r="LQF994" s="2335"/>
      <c r="LQG994" s="2335"/>
      <c r="LQH994" s="2335"/>
      <c r="LQI994" s="2335"/>
      <c r="LQJ994" s="2335"/>
      <c r="LQK994" s="2335"/>
      <c r="LQL994" s="2335"/>
      <c r="LQM994" s="2335"/>
      <c r="LQN994" s="2335"/>
      <c r="LQO994" s="2335"/>
      <c r="LQP994" s="2335"/>
      <c r="LQQ994" s="2335"/>
      <c r="LQR994" s="2335"/>
      <c r="LQS994" s="2335"/>
      <c r="LQT994" s="2335"/>
      <c r="LQU994" s="2335"/>
      <c r="LQV994" s="2335"/>
      <c r="LQW994" s="2335"/>
      <c r="LQX994" s="2335"/>
      <c r="LQY994" s="2335"/>
      <c r="LQZ994" s="2335"/>
      <c r="LRA994" s="2335"/>
      <c r="LRB994" s="2335"/>
      <c r="LRC994" s="2335"/>
      <c r="LRD994" s="2335"/>
      <c r="LRE994" s="2335"/>
      <c r="LRF994" s="2335"/>
      <c r="LRG994" s="2335"/>
      <c r="LRH994" s="2335"/>
      <c r="LRI994" s="2335"/>
      <c r="LRJ994" s="2335"/>
      <c r="LRK994" s="2335"/>
      <c r="LRL994" s="2335"/>
      <c r="LRM994" s="2335"/>
      <c r="LRN994" s="2335"/>
      <c r="LRO994" s="2335"/>
      <c r="LRP994" s="2335"/>
      <c r="LRQ994" s="2335"/>
      <c r="LRR994" s="2335"/>
      <c r="LRS994" s="2335"/>
      <c r="LRT994" s="2335"/>
      <c r="LRU994" s="2335"/>
      <c r="LRV994" s="2335"/>
      <c r="LRW994" s="2335"/>
      <c r="LRX994" s="2335"/>
      <c r="LRY994" s="2335"/>
      <c r="LRZ994" s="2335"/>
      <c r="LSA994" s="2335"/>
      <c r="LSB994" s="2335"/>
      <c r="LSC994" s="2335"/>
      <c r="LSD994" s="2335"/>
      <c r="LSE994" s="2335"/>
      <c r="LSF994" s="2335"/>
      <c r="LSG994" s="2335"/>
      <c r="LSH994" s="2335"/>
      <c r="LSI994" s="2335"/>
      <c r="LSJ994" s="2335"/>
      <c r="LSK994" s="2335"/>
      <c r="LSL994" s="2335"/>
      <c r="LSM994" s="2335"/>
      <c r="LSN994" s="2335"/>
      <c r="LSO994" s="2335"/>
      <c r="LSP994" s="2335"/>
      <c r="LSQ994" s="2335"/>
      <c r="LSR994" s="2335"/>
      <c r="LSS994" s="2335"/>
      <c r="LST994" s="2335"/>
      <c r="LSU994" s="2335"/>
      <c r="LSV994" s="2335"/>
      <c r="LSW994" s="2335"/>
      <c r="LSX994" s="2335"/>
      <c r="LSY994" s="2335"/>
      <c r="LSZ994" s="2335"/>
      <c r="LTA994" s="2335"/>
      <c r="LTB994" s="2335"/>
      <c r="LTC994" s="2335"/>
      <c r="LTD994" s="2335"/>
      <c r="LTE994" s="2335"/>
      <c r="LTF994" s="2335"/>
      <c r="LTG994" s="2335"/>
      <c r="LTH994" s="2335"/>
      <c r="LTI994" s="2335"/>
      <c r="LTJ994" s="2335"/>
      <c r="LTK994" s="2335"/>
      <c r="LTL994" s="2335"/>
      <c r="LTM994" s="2335"/>
      <c r="LTN994" s="2335"/>
      <c r="LTO994" s="2335"/>
      <c r="LTP994" s="2335"/>
      <c r="LTQ994" s="2335"/>
      <c r="LTR994" s="2335"/>
      <c r="LTS994" s="2335"/>
      <c r="LTT994" s="2335"/>
      <c r="LTU994" s="2335"/>
      <c r="LTV994" s="2335"/>
      <c r="LTW994" s="2335"/>
      <c r="LTX994" s="2335"/>
      <c r="LTY994" s="2335"/>
      <c r="LTZ994" s="2335"/>
      <c r="LUA994" s="2335"/>
      <c r="LUB994" s="2335"/>
      <c r="LUC994" s="2335"/>
      <c r="LUD994" s="2335"/>
      <c r="LUE994" s="2335"/>
      <c r="LUF994" s="2335"/>
      <c r="LUG994" s="2335"/>
      <c r="LUH994" s="2335"/>
      <c r="LUI994" s="2335"/>
      <c r="LUJ994" s="2335"/>
      <c r="LUK994" s="2335"/>
      <c r="LUL994" s="2335"/>
      <c r="LUM994" s="2335"/>
      <c r="LUN994" s="2335"/>
      <c r="LUO994" s="2335"/>
      <c r="LUP994" s="2335"/>
      <c r="LUQ994" s="2335"/>
      <c r="LUR994" s="2335"/>
      <c r="LUS994" s="2335"/>
      <c r="LUT994" s="2335"/>
      <c r="LUU994" s="2335"/>
      <c r="LUV994" s="2335"/>
      <c r="LUW994" s="2335"/>
      <c r="LUX994" s="2335"/>
      <c r="LUY994" s="2335"/>
      <c r="LUZ994" s="2335"/>
      <c r="LVA994" s="2335"/>
      <c r="LVB994" s="2335"/>
      <c r="LVC994" s="2335"/>
      <c r="LVD994" s="2335"/>
      <c r="LVE994" s="2335"/>
      <c r="LVF994" s="2335"/>
      <c r="LVG994" s="2335"/>
      <c r="LVH994" s="2335"/>
      <c r="LVI994" s="2335"/>
      <c r="LVJ994" s="2335"/>
      <c r="LVK994" s="2335"/>
      <c r="LVL994" s="2335"/>
      <c r="LVM994" s="2335"/>
      <c r="LVN994" s="2335"/>
      <c r="LVO994" s="2335"/>
      <c r="LVP994" s="2335"/>
      <c r="LVQ994" s="2335"/>
      <c r="LVR994" s="2335"/>
      <c r="LVS994" s="2335"/>
      <c r="LVT994" s="2335"/>
      <c r="LVU994" s="2335"/>
      <c r="LVV994" s="2335"/>
      <c r="LVW994" s="2335"/>
      <c r="LVX994" s="2335"/>
      <c r="LVY994" s="2335"/>
      <c r="LVZ994" s="2335"/>
      <c r="LWA994" s="2335"/>
      <c r="LWB994" s="2335"/>
      <c r="LWC994" s="2335"/>
      <c r="LWD994" s="2335"/>
      <c r="LWE994" s="2335"/>
      <c r="LWF994" s="2335"/>
      <c r="LWG994" s="2335"/>
      <c r="LWH994" s="2335"/>
      <c r="LWI994" s="2335"/>
      <c r="LWJ994" s="2335"/>
      <c r="LWK994" s="2335"/>
      <c r="LWL994" s="2335"/>
      <c r="LWM994" s="2335"/>
      <c r="LWN994" s="2335"/>
      <c r="LWO994" s="2335"/>
      <c r="LWP994" s="2335"/>
      <c r="LWQ994" s="2335"/>
      <c r="LWR994" s="2335"/>
      <c r="LWS994" s="2335"/>
      <c r="LWT994" s="2335"/>
      <c r="LWU994" s="2335"/>
      <c r="LWV994" s="2335"/>
      <c r="LWW994" s="2335"/>
      <c r="LWX994" s="2335"/>
      <c r="LWY994" s="2335"/>
      <c r="LWZ994" s="2335"/>
      <c r="LXA994" s="2335"/>
      <c r="LXB994" s="2335"/>
      <c r="LXC994" s="2335"/>
      <c r="LXD994" s="2335"/>
      <c r="LXE994" s="2335"/>
      <c r="LXF994" s="2335"/>
      <c r="LXG994" s="2335"/>
      <c r="LXH994" s="2335"/>
      <c r="LXI994" s="2335"/>
      <c r="LXJ994" s="2335"/>
      <c r="LXK994" s="2335"/>
      <c r="LXL994" s="2335"/>
      <c r="LXM994" s="2335"/>
      <c r="LXN994" s="2335"/>
      <c r="LXO994" s="2335"/>
      <c r="LXP994" s="2335"/>
      <c r="LXQ994" s="2335"/>
      <c r="LXR994" s="2335"/>
      <c r="LXS994" s="2335"/>
      <c r="LXT994" s="2335"/>
      <c r="LXU994" s="2335"/>
      <c r="LXV994" s="2335"/>
      <c r="LXW994" s="2335"/>
      <c r="LXX994" s="2335"/>
      <c r="LXY994" s="2335"/>
      <c r="LXZ994" s="2335"/>
      <c r="LYA994" s="2335"/>
      <c r="LYB994" s="2335"/>
      <c r="LYC994" s="2335"/>
      <c r="LYD994" s="2335"/>
      <c r="LYE994" s="2335"/>
      <c r="LYF994" s="2335"/>
      <c r="LYG994" s="2335"/>
      <c r="LYH994" s="2335"/>
      <c r="LYI994" s="2335"/>
      <c r="LYJ994" s="2335"/>
      <c r="LYK994" s="2335"/>
      <c r="LYL994" s="2335"/>
      <c r="LYM994" s="2335"/>
      <c r="LYN994" s="2335"/>
      <c r="LYO994" s="2335"/>
      <c r="LYP994" s="2335"/>
      <c r="LYQ994" s="2335"/>
      <c r="LYR994" s="2335"/>
      <c r="LYS994" s="2335"/>
      <c r="LYT994" s="2335"/>
      <c r="LYU994" s="2335"/>
      <c r="LYV994" s="2335"/>
      <c r="LYW994" s="2335"/>
      <c r="LYX994" s="2335"/>
      <c r="LYY994" s="2335"/>
      <c r="LYZ994" s="2335"/>
      <c r="LZA994" s="2335"/>
      <c r="LZB994" s="2335"/>
      <c r="LZC994" s="2335"/>
      <c r="LZD994" s="2335"/>
      <c r="LZE994" s="2335"/>
      <c r="LZF994" s="2335"/>
      <c r="LZG994" s="2335"/>
      <c r="LZH994" s="2335"/>
      <c r="LZI994" s="2335"/>
      <c r="LZJ994" s="2335"/>
      <c r="LZK994" s="2335"/>
      <c r="LZL994" s="2335"/>
      <c r="LZM994" s="2335"/>
      <c r="LZN994" s="2335"/>
      <c r="LZO994" s="2335"/>
      <c r="LZP994" s="2335"/>
      <c r="LZQ994" s="2335"/>
      <c r="LZR994" s="2335"/>
      <c r="LZS994" s="2335"/>
      <c r="LZT994" s="2335"/>
      <c r="LZU994" s="2335"/>
      <c r="LZV994" s="2335"/>
      <c r="LZW994" s="2335"/>
      <c r="LZX994" s="2335"/>
      <c r="LZY994" s="2335"/>
      <c r="LZZ994" s="2335"/>
      <c r="MAA994" s="2335"/>
      <c r="MAB994" s="2335"/>
      <c r="MAC994" s="2335"/>
      <c r="MAD994" s="2335"/>
      <c r="MAE994" s="2335"/>
      <c r="MAF994" s="2335"/>
      <c r="MAG994" s="2335"/>
      <c r="MAH994" s="2335"/>
      <c r="MAI994" s="2335"/>
      <c r="MAJ994" s="2335"/>
      <c r="MAK994" s="2335"/>
      <c r="MAL994" s="2335"/>
      <c r="MAM994" s="2335"/>
      <c r="MAN994" s="2335"/>
      <c r="MAO994" s="2335"/>
      <c r="MAP994" s="2335"/>
      <c r="MAQ994" s="2335"/>
      <c r="MAR994" s="2335"/>
      <c r="MAS994" s="2335"/>
      <c r="MAT994" s="2335"/>
      <c r="MAU994" s="2335"/>
      <c r="MAV994" s="2335"/>
      <c r="MAW994" s="2335"/>
      <c r="MAX994" s="2335"/>
      <c r="MAY994" s="2335"/>
      <c r="MAZ994" s="2335"/>
      <c r="MBA994" s="2335"/>
      <c r="MBB994" s="2335"/>
      <c r="MBC994" s="2335"/>
      <c r="MBD994" s="2335"/>
      <c r="MBE994" s="2335"/>
      <c r="MBF994" s="2335"/>
      <c r="MBG994" s="2335"/>
      <c r="MBH994" s="2335"/>
      <c r="MBI994" s="2335"/>
      <c r="MBJ994" s="2335"/>
      <c r="MBK994" s="2335"/>
      <c r="MBL994" s="2335"/>
      <c r="MBM994" s="2335"/>
      <c r="MBN994" s="2335"/>
      <c r="MBO994" s="2335"/>
      <c r="MBP994" s="2335"/>
      <c r="MBQ994" s="2335"/>
      <c r="MBR994" s="2335"/>
      <c r="MBS994" s="2335"/>
      <c r="MBT994" s="2335"/>
      <c r="MBU994" s="2335"/>
      <c r="MBV994" s="2335"/>
      <c r="MBW994" s="2335"/>
      <c r="MBX994" s="2335"/>
      <c r="MBY994" s="2335"/>
      <c r="MBZ994" s="2335"/>
      <c r="MCA994" s="2335"/>
      <c r="MCB994" s="2335"/>
      <c r="MCC994" s="2335"/>
      <c r="MCD994" s="2335"/>
      <c r="MCE994" s="2335"/>
      <c r="MCF994" s="2335"/>
      <c r="MCG994" s="2335"/>
      <c r="MCH994" s="2335"/>
      <c r="MCI994" s="2335"/>
      <c r="MCJ994" s="2335"/>
      <c r="MCK994" s="2335"/>
      <c r="MCL994" s="2335"/>
      <c r="MCM994" s="2335"/>
      <c r="MCN994" s="2335"/>
      <c r="MCO994" s="2335"/>
      <c r="MCP994" s="2335"/>
      <c r="MCQ994" s="2335"/>
      <c r="MCR994" s="2335"/>
      <c r="MCS994" s="2335"/>
      <c r="MCT994" s="2335"/>
      <c r="MCU994" s="2335"/>
      <c r="MCV994" s="2335"/>
      <c r="MCW994" s="2335"/>
      <c r="MCX994" s="2335"/>
      <c r="MCY994" s="2335"/>
      <c r="MCZ994" s="2335"/>
      <c r="MDA994" s="2335"/>
      <c r="MDB994" s="2335"/>
      <c r="MDC994" s="2335"/>
      <c r="MDD994" s="2335"/>
      <c r="MDE994" s="2335"/>
      <c r="MDF994" s="2335"/>
      <c r="MDG994" s="2335"/>
      <c r="MDH994" s="2335"/>
      <c r="MDI994" s="2335"/>
      <c r="MDJ994" s="2335"/>
      <c r="MDK994" s="2335"/>
      <c r="MDL994" s="2335"/>
      <c r="MDM994" s="2335"/>
      <c r="MDN994" s="2335"/>
      <c r="MDO994" s="2335"/>
      <c r="MDP994" s="2335"/>
      <c r="MDQ994" s="2335"/>
      <c r="MDR994" s="2335"/>
      <c r="MDS994" s="2335"/>
      <c r="MDT994" s="2335"/>
      <c r="MDU994" s="2335"/>
      <c r="MDV994" s="2335"/>
      <c r="MDW994" s="2335"/>
      <c r="MDX994" s="2335"/>
      <c r="MDY994" s="2335"/>
      <c r="MDZ994" s="2335"/>
      <c r="MEA994" s="2335"/>
      <c r="MEB994" s="2335"/>
      <c r="MEC994" s="2335"/>
      <c r="MED994" s="2335"/>
      <c r="MEE994" s="2335"/>
      <c r="MEF994" s="2335"/>
      <c r="MEG994" s="2335"/>
      <c r="MEH994" s="2335"/>
      <c r="MEI994" s="2335"/>
      <c r="MEJ994" s="2335"/>
      <c r="MEK994" s="2335"/>
      <c r="MEL994" s="2335"/>
      <c r="MEM994" s="2335"/>
      <c r="MEN994" s="2335"/>
      <c r="MEO994" s="2335"/>
      <c r="MEP994" s="2335"/>
      <c r="MEQ994" s="2335"/>
      <c r="MER994" s="2335"/>
      <c r="MES994" s="2335"/>
      <c r="MET994" s="2335"/>
      <c r="MEU994" s="2335"/>
      <c r="MEV994" s="2335"/>
      <c r="MEW994" s="2335"/>
      <c r="MEX994" s="2335"/>
      <c r="MEY994" s="2335"/>
      <c r="MEZ994" s="2335"/>
      <c r="MFA994" s="2335"/>
      <c r="MFB994" s="2335"/>
      <c r="MFC994" s="2335"/>
      <c r="MFD994" s="2335"/>
      <c r="MFE994" s="2335"/>
      <c r="MFF994" s="2335"/>
      <c r="MFG994" s="2335"/>
      <c r="MFH994" s="2335"/>
      <c r="MFI994" s="2335"/>
      <c r="MFJ994" s="2335"/>
      <c r="MFK994" s="2335"/>
      <c r="MFL994" s="2335"/>
      <c r="MFM994" s="2335"/>
      <c r="MFN994" s="2335"/>
      <c r="MFO994" s="2335"/>
      <c r="MFP994" s="2335"/>
      <c r="MFQ994" s="2335"/>
      <c r="MFR994" s="2335"/>
      <c r="MFS994" s="2335"/>
      <c r="MFT994" s="2335"/>
      <c r="MFU994" s="2335"/>
      <c r="MFV994" s="2335"/>
      <c r="MFW994" s="2335"/>
      <c r="MFX994" s="2335"/>
      <c r="MFY994" s="2335"/>
      <c r="MFZ994" s="2335"/>
      <c r="MGA994" s="2335"/>
      <c r="MGB994" s="2335"/>
      <c r="MGC994" s="2335"/>
      <c r="MGD994" s="2335"/>
      <c r="MGE994" s="2335"/>
      <c r="MGF994" s="2335"/>
      <c r="MGG994" s="2335"/>
      <c r="MGH994" s="2335"/>
      <c r="MGI994" s="2335"/>
      <c r="MGJ994" s="2335"/>
      <c r="MGK994" s="2335"/>
      <c r="MGL994" s="2335"/>
      <c r="MGM994" s="2335"/>
      <c r="MGN994" s="2335"/>
      <c r="MGO994" s="2335"/>
      <c r="MGP994" s="2335"/>
      <c r="MGQ994" s="2335"/>
      <c r="MGR994" s="2335"/>
      <c r="MGS994" s="2335"/>
      <c r="MGT994" s="2335"/>
      <c r="MGU994" s="2335"/>
      <c r="MGV994" s="2335"/>
      <c r="MGW994" s="2335"/>
      <c r="MGX994" s="2335"/>
      <c r="MGY994" s="2335"/>
      <c r="MGZ994" s="2335"/>
      <c r="MHA994" s="2335"/>
      <c r="MHB994" s="2335"/>
      <c r="MHC994" s="2335"/>
      <c r="MHD994" s="2335"/>
      <c r="MHE994" s="2335"/>
      <c r="MHF994" s="2335"/>
      <c r="MHG994" s="2335"/>
      <c r="MHH994" s="2335"/>
      <c r="MHI994" s="2335"/>
      <c r="MHJ994" s="2335"/>
      <c r="MHK994" s="2335"/>
      <c r="MHL994" s="2335"/>
      <c r="MHM994" s="2335"/>
      <c r="MHN994" s="2335"/>
      <c r="MHO994" s="2335"/>
      <c r="MHP994" s="2335"/>
      <c r="MHQ994" s="2335"/>
      <c r="MHR994" s="2335"/>
      <c r="MHS994" s="2335"/>
      <c r="MHT994" s="2335"/>
      <c r="MHU994" s="2335"/>
      <c r="MHV994" s="2335"/>
      <c r="MHW994" s="2335"/>
      <c r="MHX994" s="2335"/>
      <c r="MHY994" s="2335"/>
      <c r="MHZ994" s="2335"/>
      <c r="MIA994" s="2335"/>
      <c r="MIB994" s="2335"/>
      <c r="MIC994" s="2335"/>
      <c r="MID994" s="2335"/>
      <c r="MIE994" s="2335"/>
      <c r="MIF994" s="2335"/>
      <c r="MIG994" s="2335"/>
      <c r="MIH994" s="2335"/>
      <c r="MII994" s="2335"/>
      <c r="MIJ994" s="2335"/>
      <c r="MIK994" s="2335"/>
      <c r="MIL994" s="2335"/>
      <c r="MIM994" s="2335"/>
      <c r="MIN994" s="2335"/>
      <c r="MIO994" s="2335"/>
      <c r="MIP994" s="2335"/>
      <c r="MIQ994" s="2335"/>
      <c r="MIR994" s="2335"/>
      <c r="MIS994" s="2335"/>
      <c r="MIT994" s="2335"/>
      <c r="MIU994" s="2335"/>
      <c r="MIV994" s="2335"/>
      <c r="MIW994" s="2335"/>
      <c r="MIX994" s="2335"/>
      <c r="MIY994" s="2335"/>
      <c r="MIZ994" s="2335"/>
      <c r="MJA994" s="2335"/>
      <c r="MJB994" s="2335"/>
      <c r="MJC994" s="2335"/>
      <c r="MJD994" s="2335"/>
      <c r="MJE994" s="2335"/>
      <c r="MJF994" s="2335"/>
      <c r="MJG994" s="2335"/>
      <c r="MJH994" s="2335"/>
      <c r="MJI994" s="2335"/>
      <c r="MJJ994" s="2335"/>
      <c r="MJK994" s="2335"/>
      <c r="MJL994" s="2335"/>
      <c r="MJM994" s="2335"/>
      <c r="MJN994" s="2335"/>
      <c r="MJO994" s="2335"/>
      <c r="MJP994" s="2335"/>
      <c r="MJQ994" s="2335"/>
      <c r="MJR994" s="2335"/>
      <c r="MJS994" s="2335"/>
      <c r="MJT994" s="2335"/>
      <c r="MJU994" s="2335"/>
      <c r="MJV994" s="2335"/>
      <c r="MJW994" s="2335"/>
      <c r="MJX994" s="2335"/>
      <c r="MJY994" s="2335"/>
      <c r="MJZ994" s="2335"/>
      <c r="MKA994" s="2335"/>
      <c r="MKB994" s="2335"/>
      <c r="MKC994" s="2335"/>
      <c r="MKD994" s="2335"/>
      <c r="MKE994" s="2335"/>
      <c r="MKF994" s="2335"/>
      <c r="MKG994" s="2335"/>
      <c r="MKH994" s="2335"/>
      <c r="MKI994" s="2335"/>
      <c r="MKJ994" s="2335"/>
      <c r="MKK994" s="2335"/>
      <c r="MKL994" s="2335"/>
      <c r="MKM994" s="2335"/>
      <c r="MKN994" s="2335"/>
      <c r="MKO994" s="2335"/>
      <c r="MKP994" s="2335"/>
      <c r="MKQ994" s="2335"/>
      <c r="MKR994" s="2335"/>
      <c r="MKS994" s="2335"/>
      <c r="MKT994" s="2335"/>
      <c r="MKU994" s="2335"/>
      <c r="MKV994" s="2335"/>
      <c r="MKW994" s="2335"/>
      <c r="MKX994" s="2335"/>
      <c r="MKY994" s="2335"/>
      <c r="MKZ994" s="2335"/>
      <c r="MLA994" s="2335"/>
      <c r="MLB994" s="2335"/>
      <c r="MLC994" s="2335"/>
      <c r="MLD994" s="2335"/>
      <c r="MLE994" s="2335"/>
      <c r="MLF994" s="2335"/>
      <c r="MLG994" s="2335"/>
      <c r="MLH994" s="2335"/>
      <c r="MLI994" s="2335"/>
      <c r="MLJ994" s="2335"/>
      <c r="MLK994" s="2335"/>
      <c r="MLL994" s="2335"/>
      <c r="MLM994" s="2335"/>
      <c r="MLN994" s="2335"/>
      <c r="MLO994" s="2335"/>
      <c r="MLP994" s="2335"/>
      <c r="MLQ994" s="2335"/>
      <c r="MLR994" s="2335"/>
      <c r="MLS994" s="2335"/>
      <c r="MLT994" s="2335"/>
      <c r="MLU994" s="2335"/>
      <c r="MLV994" s="2335"/>
      <c r="MLW994" s="2335"/>
      <c r="MLX994" s="2335"/>
      <c r="MLY994" s="2335"/>
      <c r="MLZ994" s="2335"/>
      <c r="MMA994" s="2335"/>
      <c r="MMB994" s="2335"/>
      <c r="MMC994" s="2335"/>
      <c r="MMD994" s="2335"/>
      <c r="MME994" s="2335"/>
      <c r="MMF994" s="2335"/>
      <c r="MMG994" s="2335"/>
      <c r="MMH994" s="2335"/>
      <c r="MMI994" s="2335"/>
      <c r="MMJ994" s="2335"/>
      <c r="MMK994" s="2335"/>
      <c r="MML994" s="2335"/>
      <c r="MMM994" s="2335"/>
      <c r="MMN994" s="2335"/>
      <c r="MMO994" s="2335"/>
      <c r="MMP994" s="2335"/>
      <c r="MMQ994" s="2335"/>
      <c r="MMR994" s="2335"/>
      <c r="MMS994" s="2335"/>
      <c r="MMT994" s="2335"/>
      <c r="MMU994" s="2335"/>
      <c r="MMV994" s="2335"/>
      <c r="MMW994" s="2335"/>
      <c r="MMX994" s="2335"/>
      <c r="MMY994" s="2335"/>
      <c r="MMZ994" s="2335"/>
      <c r="MNA994" s="2335"/>
      <c r="MNB994" s="2335"/>
      <c r="MNC994" s="2335"/>
      <c r="MND994" s="2335"/>
      <c r="MNE994" s="2335"/>
      <c r="MNF994" s="2335"/>
      <c r="MNG994" s="2335"/>
      <c r="MNH994" s="2335"/>
      <c r="MNI994" s="2335"/>
      <c r="MNJ994" s="2335"/>
      <c r="MNK994" s="2335"/>
      <c r="MNL994" s="2335"/>
      <c r="MNM994" s="2335"/>
      <c r="MNN994" s="2335"/>
      <c r="MNO994" s="2335"/>
      <c r="MNP994" s="2335"/>
      <c r="MNQ994" s="2335"/>
      <c r="MNR994" s="2335"/>
      <c r="MNS994" s="2335"/>
      <c r="MNT994" s="2335"/>
      <c r="MNU994" s="2335"/>
      <c r="MNV994" s="2335"/>
      <c r="MNW994" s="2335"/>
      <c r="MNX994" s="2335"/>
      <c r="MNY994" s="2335"/>
      <c r="MNZ994" s="2335"/>
      <c r="MOA994" s="2335"/>
      <c r="MOB994" s="2335"/>
      <c r="MOC994" s="2335"/>
      <c r="MOD994" s="2335"/>
      <c r="MOE994" s="2335"/>
      <c r="MOF994" s="2335"/>
      <c r="MOG994" s="2335"/>
      <c r="MOH994" s="2335"/>
      <c r="MOI994" s="2335"/>
      <c r="MOJ994" s="2335"/>
      <c r="MOK994" s="2335"/>
      <c r="MOL994" s="2335"/>
      <c r="MOM994" s="2335"/>
      <c r="MON994" s="2335"/>
      <c r="MOO994" s="2335"/>
      <c r="MOP994" s="2335"/>
      <c r="MOQ994" s="2335"/>
      <c r="MOR994" s="2335"/>
      <c r="MOS994" s="2335"/>
      <c r="MOT994" s="2335"/>
      <c r="MOU994" s="2335"/>
      <c r="MOV994" s="2335"/>
      <c r="MOW994" s="2335"/>
      <c r="MOX994" s="2335"/>
      <c r="MOY994" s="2335"/>
      <c r="MOZ994" s="2335"/>
      <c r="MPA994" s="2335"/>
      <c r="MPB994" s="2335"/>
      <c r="MPC994" s="2335"/>
      <c r="MPD994" s="2335"/>
      <c r="MPE994" s="2335"/>
      <c r="MPF994" s="2335"/>
      <c r="MPG994" s="2335"/>
      <c r="MPH994" s="2335"/>
      <c r="MPI994" s="2335"/>
      <c r="MPJ994" s="2335"/>
      <c r="MPK994" s="2335"/>
      <c r="MPL994" s="2335"/>
      <c r="MPM994" s="2335"/>
      <c r="MPN994" s="2335"/>
      <c r="MPO994" s="2335"/>
      <c r="MPP994" s="2335"/>
      <c r="MPQ994" s="2335"/>
      <c r="MPR994" s="2335"/>
      <c r="MPS994" s="2335"/>
      <c r="MPT994" s="2335"/>
      <c r="MPU994" s="2335"/>
      <c r="MPV994" s="2335"/>
      <c r="MPW994" s="2335"/>
      <c r="MPX994" s="2335"/>
      <c r="MPY994" s="2335"/>
      <c r="MPZ994" s="2335"/>
      <c r="MQA994" s="2335"/>
      <c r="MQB994" s="2335"/>
      <c r="MQC994" s="2335"/>
      <c r="MQD994" s="2335"/>
      <c r="MQE994" s="2335"/>
      <c r="MQF994" s="2335"/>
      <c r="MQG994" s="2335"/>
      <c r="MQH994" s="2335"/>
      <c r="MQI994" s="2335"/>
      <c r="MQJ994" s="2335"/>
      <c r="MQK994" s="2335"/>
      <c r="MQL994" s="2335"/>
      <c r="MQM994" s="2335"/>
      <c r="MQN994" s="2335"/>
      <c r="MQO994" s="2335"/>
      <c r="MQP994" s="2335"/>
      <c r="MQQ994" s="2335"/>
      <c r="MQR994" s="2335"/>
      <c r="MQS994" s="2335"/>
      <c r="MQT994" s="2335"/>
      <c r="MQU994" s="2335"/>
      <c r="MQV994" s="2335"/>
      <c r="MQW994" s="2335"/>
      <c r="MQX994" s="2335"/>
      <c r="MQY994" s="2335"/>
      <c r="MQZ994" s="2335"/>
      <c r="MRA994" s="2335"/>
      <c r="MRB994" s="2335"/>
      <c r="MRC994" s="2335"/>
      <c r="MRD994" s="2335"/>
      <c r="MRE994" s="2335"/>
      <c r="MRF994" s="2335"/>
      <c r="MRG994" s="2335"/>
      <c r="MRH994" s="2335"/>
      <c r="MRI994" s="2335"/>
      <c r="MRJ994" s="2335"/>
      <c r="MRK994" s="2335"/>
      <c r="MRL994" s="2335"/>
      <c r="MRM994" s="2335"/>
      <c r="MRN994" s="2335"/>
      <c r="MRO994" s="2335"/>
      <c r="MRP994" s="2335"/>
      <c r="MRQ994" s="2335"/>
      <c r="MRR994" s="2335"/>
      <c r="MRS994" s="2335"/>
      <c r="MRT994" s="2335"/>
      <c r="MRU994" s="2335"/>
      <c r="MRV994" s="2335"/>
      <c r="MRW994" s="2335"/>
      <c r="MRX994" s="2335"/>
      <c r="MRY994" s="2335"/>
      <c r="MRZ994" s="2335"/>
      <c r="MSA994" s="2335"/>
      <c r="MSB994" s="2335"/>
      <c r="MSC994" s="2335"/>
      <c r="MSD994" s="2335"/>
      <c r="MSE994" s="2335"/>
      <c r="MSF994" s="2335"/>
      <c r="MSG994" s="2335"/>
      <c r="MSH994" s="2335"/>
      <c r="MSI994" s="2335"/>
      <c r="MSJ994" s="2335"/>
      <c r="MSK994" s="2335"/>
      <c r="MSL994" s="2335"/>
      <c r="MSM994" s="2335"/>
      <c r="MSN994" s="2335"/>
      <c r="MSO994" s="2335"/>
      <c r="MSP994" s="2335"/>
      <c r="MSQ994" s="2335"/>
      <c r="MSR994" s="2335"/>
      <c r="MSS994" s="2335"/>
      <c r="MST994" s="2335"/>
      <c r="MSU994" s="2335"/>
      <c r="MSV994" s="2335"/>
      <c r="MSW994" s="2335"/>
      <c r="MSX994" s="2335"/>
      <c r="MSY994" s="2335"/>
      <c r="MSZ994" s="2335"/>
      <c r="MTA994" s="2335"/>
      <c r="MTB994" s="2335"/>
      <c r="MTC994" s="2335"/>
      <c r="MTD994" s="2335"/>
      <c r="MTE994" s="2335"/>
      <c r="MTF994" s="2335"/>
      <c r="MTG994" s="2335"/>
      <c r="MTH994" s="2335"/>
      <c r="MTI994" s="2335"/>
      <c r="MTJ994" s="2335"/>
      <c r="MTK994" s="2335"/>
      <c r="MTL994" s="2335"/>
      <c r="MTM994" s="2335"/>
      <c r="MTN994" s="2335"/>
      <c r="MTO994" s="2335"/>
      <c r="MTP994" s="2335"/>
      <c r="MTQ994" s="2335"/>
      <c r="MTR994" s="2335"/>
      <c r="MTS994" s="2335"/>
      <c r="MTT994" s="2335"/>
      <c r="MTU994" s="2335"/>
      <c r="MTV994" s="2335"/>
      <c r="MTW994" s="2335"/>
      <c r="MTX994" s="2335"/>
      <c r="MTY994" s="2335"/>
      <c r="MTZ994" s="2335"/>
      <c r="MUA994" s="2335"/>
      <c r="MUB994" s="2335"/>
      <c r="MUC994" s="2335"/>
      <c r="MUD994" s="2335"/>
      <c r="MUE994" s="2335"/>
      <c r="MUF994" s="2335"/>
      <c r="MUG994" s="2335"/>
      <c r="MUH994" s="2335"/>
      <c r="MUI994" s="2335"/>
      <c r="MUJ994" s="2335"/>
      <c r="MUK994" s="2335"/>
      <c r="MUL994" s="2335"/>
      <c r="MUM994" s="2335"/>
      <c r="MUN994" s="2335"/>
      <c r="MUO994" s="2335"/>
      <c r="MUP994" s="2335"/>
      <c r="MUQ994" s="2335"/>
      <c r="MUR994" s="2335"/>
      <c r="MUS994" s="2335"/>
      <c r="MUT994" s="2335"/>
      <c r="MUU994" s="2335"/>
      <c r="MUV994" s="2335"/>
      <c r="MUW994" s="2335"/>
      <c r="MUX994" s="2335"/>
      <c r="MUY994" s="2335"/>
      <c r="MUZ994" s="2335"/>
      <c r="MVA994" s="2335"/>
      <c r="MVB994" s="2335"/>
      <c r="MVC994" s="2335"/>
      <c r="MVD994" s="2335"/>
      <c r="MVE994" s="2335"/>
      <c r="MVF994" s="2335"/>
      <c r="MVG994" s="2335"/>
      <c r="MVH994" s="2335"/>
      <c r="MVI994" s="2335"/>
      <c r="MVJ994" s="2335"/>
      <c r="MVK994" s="2335"/>
      <c r="MVL994" s="2335"/>
      <c r="MVM994" s="2335"/>
      <c r="MVN994" s="2335"/>
      <c r="MVO994" s="2335"/>
      <c r="MVP994" s="2335"/>
      <c r="MVQ994" s="2335"/>
      <c r="MVR994" s="2335"/>
      <c r="MVS994" s="2335"/>
      <c r="MVT994" s="2335"/>
      <c r="MVU994" s="2335"/>
      <c r="MVV994" s="2335"/>
      <c r="MVW994" s="2335"/>
      <c r="MVX994" s="2335"/>
      <c r="MVY994" s="2335"/>
      <c r="MVZ994" s="2335"/>
      <c r="MWA994" s="2335"/>
      <c r="MWB994" s="2335"/>
      <c r="MWC994" s="2335"/>
      <c r="MWD994" s="2335"/>
      <c r="MWE994" s="2335"/>
      <c r="MWF994" s="2335"/>
      <c r="MWG994" s="2335"/>
      <c r="MWH994" s="2335"/>
      <c r="MWI994" s="2335"/>
      <c r="MWJ994" s="2335"/>
      <c r="MWK994" s="2335"/>
      <c r="MWL994" s="2335"/>
      <c r="MWM994" s="2335"/>
      <c r="MWN994" s="2335"/>
      <c r="MWO994" s="2335"/>
      <c r="MWP994" s="2335"/>
      <c r="MWQ994" s="2335"/>
      <c r="MWR994" s="2335"/>
      <c r="MWS994" s="2335"/>
      <c r="MWT994" s="2335"/>
      <c r="MWU994" s="2335"/>
      <c r="MWV994" s="2335"/>
      <c r="MWW994" s="2335"/>
      <c r="MWX994" s="2335"/>
      <c r="MWY994" s="2335"/>
      <c r="MWZ994" s="2335"/>
      <c r="MXA994" s="2335"/>
      <c r="MXB994" s="2335"/>
      <c r="MXC994" s="2335"/>
      <c r="MXD994" s="2335"/>
      <c r="MXE994" s="2335"/>
      <c r="MXF994" s="2335"/>
      <c r="MXG994" s="2335"/>
      <c r="MXH994" s="2335"/>
      <c r="MXI994" s="2335"/>
      <c r="MXJ994" s="2335"/>
      <c r="MXK994" s="2335"/>
      <c r="MXL994" s="2335"/>
      <c r="MXM994" s="2335"/>
      <c r="MXN994" s="2335"/>
      <c r="MXO994" s="2335"/>
      <c r="MXP994" s="2335"/>
      <c r="MXQ994" s="2335"/>
      <c r="MXR994" s="2335"/>
      <c r="MXS994" s="2335"/>
      <c r="MXT994" s="2335"/>
      <c r="MXU994" s="2335"/>
      <c r="MXV994" s="2335"/>
      <c r="MXW994" s="2335"/>
      <c r="MXX994" s="2335"/>
      <c r="MXY994" s="2335"/>
      <c r="MXZ994" s="2335"/>
      <c r="MYA994" s="2335"/>
      <c r="MYB994" s="2335"/>
      <c r="MYC994" s="2335"/>
      <c r="MYD994" s="2335"/>
      <c r="MYE994" s="2335"/>
      <c r="MYF994" s="2335"/>
      <c r="MYG994" s="2335"/>
      <c r="MYH994" s="2335"/>
      <c r="MYI994" s="2335"/>
      <c r="MYJ994" s="2335"/>
      <c r="MYK994" s="2335"/>
      <c r="MYL994" s="2335"/>
      <c r="MYM994" s="2335"/>
      <c r="MYN994" s="2335"/>
      <c r="MYO994" s="2335"/>
      <c r="MYP994" s="2335"/>
      <c r="MYQ994" s="2335"/>
      <c r="MYR994" s="2335"/>
      <c r="MYS994" s="2335"/>
      <c r="MYT994" s="2335"/>
      <c r="MYU994" s="2335"/>
      <c r="MYV994" s="2335"/>
      <c r="MYW994" s="2335"/>
      <c r="MYX994" s="2335"/>
      <c r="MYY994" s="2335"/>
      <c r="MYZ994" s="2335"/>
      <c r="MZA994" s="2335"/>
      <c r="MZB994" s="2335"/>
      <c r="MZC994" s="2335"/>
      <c r="MZD994" s="2335"/>
      <c r="MZE994" s="2335"/>
      <c r="MZF994" s="2335"/>
      <c r="MZG994" s="2335"/>
      <c r="MZH994" s="2335"/>
      <c r="MZI994" s="2335"/>
      <c r="MZJ994" s="2335"/>
      <c r="MZK994" s="2335"/>
      <c r="MZL994" s="2335"/>
      <c r="MZM994" s="2335"/>
      <c r="MZN994" s="2335"/>
      <c r="MZO994" s="2335"/>
      <c r="MZP994" s="2335"/>
      <c r="MZQ994" s="2335"/>
      <c r="MZR994" s="2335"/>
      <c r="MZS994" s="2335"/>
      <c r="MZT994" s="2335"/>
      <c r="MZU994" s="2335"/>
      <c r="MZV994" s="2335"/>
      <c r="MZW994" s="2335"/>
      <c r="MZX994" s="2335"/>
      <c r="MZY994" s="2335"/>
      <c r="MZZ994" s="2335"/>
      <c r="NAA994" s="2335"/>
      <c r="NAB994" s="2335"/>
      <c r="NAC994" s="2335"/>
      <c r="NAD994" s="2335"/>
      <c r="NAE994" s="2335"/>
      <c r="NAF994" s="2335"/>
      <c r="NAG994" s="2335"/>
      <c r="NAH994" s="2335"/>
      <c r="NAI994" s="2335"/>
      <c r="NAJ994" s="2335"/>
      <c r="NAK994" s="2335"/>
      <c r="NAL994" s="2335"/>
      <c r="NAM994" s="2335"/>
      <c r="NAN994" s="2335"/>
      <c r="NAO994" s="2335"/>
      <c r="NAP994" s="2335"/>
      <c r="NAQ994" s="2335"/>
      <c r="NAR994" s="2335"/>
      <c r="NAS994" s="2335"/>
      <c r="NAT994" s="2335"/>
      <c r="NAU994" s="2335"/>
      <c r="NAV994" s="2335"/>
      <c r="NAW994" s="2335"/>
      <c r="NAX994" s="2335"/>
      <c r="NAY994" s="2335"/>
      <c r="NAZ994" s="2335"/>
      <c r="NBA994" s="2335"/>
      <c r="NBB994" s="2335"/>
      <c r="NBC994" s="2335"/>
      <c r="NBD994" s="2335"/>
      <c r="NBE994" s="2335"/>
      <c r="NBF994" s="2335"/>
      <c r="NBG994" s="2335"/>
      <c r="NBH994" s="2335"/>
      <c r="NBI994" s="2335"/>
      <c r="NBJ994" s="2335"/>
      <c r="NBK994" s="2335"/>
      <c r="NBL994" s="2335"/>
      <c r="NBM994" s="2335"/>
      <c r="NBN994" s="2335"/>
      <c r="NBO994" s="2335"/>
      <c r="NBP994" s="2335"/>
      <c r="NBQ994" s="2335"/>
      <c r="NBR994" s="2335"/>
      <c r="NBS994" s="2335"/>
      <c r="NBT994" s="2335"/>
      <c r="NBU994" s="2335"/>
      <c r="NBV994" s="2335"/>
      <c r="NBW994" s="2335"/>
      <c r="NBX994" s="2335"/>
      <c r="NBY994" s="2335"/>
      <c r="NBZ994" s="2335"/>
      <c r="NCA994" s="2335"/>
      <c r="NCB994" s="2335"/>
      <c r="NCC994" s="2335"/>
      <c r="NCD994" s="2335"/>
      <c r="NCE994" s="2335"/>
      <c r="NCF994" s="2335"/>
      <c r="NCG994" s="2335"/>
      <c r="NCH994" s="2335"/>
      <c r="NCI994" s="2335"/>
      <c r="NCJ994" s="2335"/>
      <c r="NCK994" s="2335"/>
      <c r="NCL994" s="2335"/>
      <c r="NCM994" s="2335"/>
      <c r="NCN994" s="2335"/>
      <c r="NCO994" s="2335"/>
      <c r="NCP994" s="2335"/>
      <c r="NCQ994" s="2335"/>
      <c r="NCR994" s="2335"/>
      <c r="NCS994" s="2335"/>
      <c r="NCT994" s="2335"/>
      <c r="NCU994" s="2335"/>
      <c r="NCV994" s="2335"/>
      <c r="NCW994" s="2335"/>
      <c r="NCX994" s="2335"/>
      <c r="NCY994" s="2335"/>
      <c r="NCZ994" s="2335"/>
      <c r="NDA994" s="2335"/>
      <c r="NDB994" s="2335"/>
      <c r="NDC994" s="2335"/>
      <c r="NDD994" s="2335"/>
      <c r="NDE994" s="2335"/>
      <c r="NDF994" s="2335"/>
      <c r="NDG994" s="2335"/>
      <c r="NDH994" s="2335"/>
      <c r="NDI994" s="2335"/>
      <c r="NDJ994" s="2335"/>
      <c r="NDK994" s="2335"/>
      <c r="NDL994" s="2335"/>
      <c r="NDM994" s="2335"/>
      <c r="NDN994" s="2335"/>
      <c r="NDO994" s="2335"/>
      <c r="NDP994" s="2335"/>
      <c r="NDQ994" s="2335"/>
      <c r="NDR994" s="2335"/>
      <c r="NDS994" s="2335"/>
      <c r="NDT994" s="2335"/>
      <c r="NDU994" s="2335"/>
      <c r="NDV994" s="2335"/>
      <c r="NDW994" s="2335"/>
      <c r="NDX994" s="2335"/>
      <c r="NDY994" s="2335"/>
      <c r="NDZ994" s="2335"/>
      <c r="NEA994" s="2335"/>
      <c r="NEB994" s="2335"/>
      <c r="NEC994" s="2335"/>
      <c r="NED994" s="2335"/>
      <c r="NEE994" s="2335"/>
      <c r="NEF994" s="2335"/>
      <c r="NEG994" s="2335"/>
      <c r="NEH994" s="2335"/>
      <c r="NEI994" s="2335"/>
      <c r="NEJ994" s="2335"/>
      <c r="NEK994" s="2335"/>
      <c r="NEL994" s="2335"/>
      <c r="NEM994" s="2335"/>
      <c r="NEN994" s="2335"/>
      <c r="NEO994" s="2335"/>
      <c r="NEP994" s="2335"/>
      <c r="NEQ994" s="2335"/>
      <c r="NER994" s="2335"/>
      <c r="NES994" s="2335"/>
      <c r="NET994" s="2335"/>
      <c r="NEU994" s="2335"/>
      <c r="NEV994" s="2335"/>
      <c r="NEW994" s="2335"/>
      <c r="NEX994" s="2335"/>
      <c r="NEY994" s="2335"/>
      <c r="NEZ994" s="2335"/>
      <c r="NFA994" s="2335"/>
      <c r="NFB994" s="2335"/>
      <c r="NFC994" s="2335"/>
      <c r="NFD994" s="2335"/>
      <c r="NFE994" s="2335"/>
      <c r="NFF994" s="2335"/>
      <c r="NFG994" s="2335"/>
      <c r="NFH994" s="2335"/>
      <c r="NFI994" s="2335"/>
      <c r="NFJ994" s="2335"/>
      <c r="NFK994" s="2335"/>
      <c r="NFL994" s="2335"/>
      <c r="NFM994" s="2335"/>
      <c r="NFN994" s="2335"/>
      <c r="NFO994" s="2335"/>
      <c r="NFP994" s="2335"/>
      <c r="NFQ994" s="2335"/>
      <c r="NFR994" s="2335"/>
      <c r="NFS994" s="2335"/>
      <c r="NFT994" s="2335"/>
      <c r="NFU994" s="2335"/>
      <c r="NFV994" s="2335"/>
      <c r="NFW994" s="2335"/>
      <c r="NFX994" s="2335"/>
      <c r="NFY994" s="2335"/>
      <c r="NFZ994" s="2335"/>
      <c r="NGA994" s="2335"/>
      <c r="NGB994" s="2335"/>
      <c r="NGC994" s="2335"/>
      <c r="NGD994" s="2335"/>
      <c r="NGE994" s="2335"/>
      <c r="NGF994" s="2335"/>
      <c r="NGG994" s="2335"/>
      <c r="NGH994" s="2335"/>
      <c r="NGI994" s="2335"/>
      <c r="NGJ994" s="2335"/>
      <c r="NGK994" s="2335"/>
      <c r="NGL994" s="2335"/>
      <c r="NGM994" s="2335"/>
      <c r="NGN994" s="2335"/>
      <c r="NGO994" s="2335"/>
      <c r="NGP994" s="2335"/>
      <c r="NGQ994" s="2335"/>
      <c r="NGR994" s="2335"/>
      <c r="NGS994" s="2335"/>
      <c r="NGT994" s="2335"/>
      <c r="NGU994" s="2335"/>
      <c r="NGV994" s="2335"/>
      <c r="NGW994" s="2335"/>
      <c r="NGX994" s="2335"/>
      <c r="NGY994" s="2335"/>
      <c r="NGZ994" s="2335"/>
      <c r="NHA994" s="2335"/>
      <c r="NHB994" s="2335"/>
      <c r="NHC994" s="2335"/>
      <c r="NHD994" s="2335"/>
      <c r="NHE994" s="2335"/>
      <c r="NHF994" s="2335"/>
      <c r="NHG994" s="2335"/>
      <c r="NHH994" s="2335"/>
      <c r="NHI994" s="2335"/>
      <c r="NHJ994" s="2335"/>
      <c r="NHK994" s="2335"/>
      <c r="NHL994" s="2335"/>
      <c r="NHM994" s="2335"/>
      <c r="NHN994" s="2335"/>
      <c r="NHO994" s="2335"/>
      <c r="NHP994" s="2335"/>
      <c r="NHQ994" s="2335"/>
      <c r="NHR994" s="2335"/>
      <c r="NHS994" s="2335"/>
      <c r="NHT994" s="2335"/>
      <c r="NHU994" s="2335"/>
      <c r="NHV994" s="2335"/>
      <c r="NHW994" s="2335"/>
      <c r="NHX994" s="2335"/>
      <c r="NHY994" s="2335"/>
      <c r="NHZ994" s="2335"/>
      <c r="NIA994" s="2335"/>
      <c r="NIB994" s="2335"/>
      <c r="NIC994" s="2335"/>
      <c r="NID994" s="2335"/>
      <c r="NIE994" s="2335"/>
      <c r="NIF994" s="2335"/>
      <c r="NIG994" s="2335"/>
      <c r="NIH994" s="2335"/>
      <c r="NII994" s="2335"/>
      <c r="NIJ994" s="2335"/>
      <c r="NIK994" s="2335"/>
      <c r="NIL994" s="2335"/>
      <c r="NIM994" s="2335"/>
      <c r="NIN994" s="2335"/>
      <c r="NIO994" s="2335"/>
      <c r="NIP994" s="2335"/>
      <c r="NIQ994" s="2335"/>
      <c r="NIR994" s="2335"/>
      <c r="NIS994" s="2335"/>
      <c r="NIT994" s="2335"/>
      <c r="NIU994" s="2335"/>
      <c r="NIV994" s="2335"/>
      <c r="NIW994" s="2335"/>
      <c r="NIX994" s="2335"/>
      <c r="NIY994" s="2335"/>
      <c r="NIZ994" s="2335"/>
      <c r="NJA994" s="2335"/>
      <c r="NJB994" s="2335"/>
      <c r="NJC994" s="2335"/>
      <c r="NJD994" s="2335"/>
      <c r="NJE994" s="2335"/>
      <c r="NJF994" s="2335"/>
      <c r="NJG994" s="2335"/>
      <c r="NJH994" s="2335"/>
      <c r="NJI994" s="2335"/>
      <c r="NJJ994" s="2335"/>
      <c r="NJK994" s="2335"/>
      <c r="NJL994" s="2335"/>
      <c r="NJM994" s="2335"/>
      <c r="NJN994" s="2335"/>
      <c r="NJO994" s="2335"/>
      <c r="NJP994" s="2335"/>
      <c r="NJQ994" s="2335"/>
      <c r="NJR994" s="2335"/>
      <c r="NJS994" s="2335"/>
      <c r="NJT994" s="2335"/>
      <c r="NJU994" s="2335"/>
      <c r="NJV994" s="2335"/>
      <c r="NJW994" s="2335"/>
      <c r="NJX994" s="2335"/>
      <c r="NJY994" s="2335"/>
      <c r="NJZ994" s="2335"/>
      <c r="NKA994" s="2335"/>
      <c r="NKB994" s="2335"/>
      <c r="NKC994" s="2335"/>
      <c r="NKD994" s="2335"/>
      <c r="NKE994" s="2335"/>
      <c r="NKF994" s="2335"/>
      <c r="NKG994" s="2335"/>
      <c r="NKH994" s="2335"/>
      <c r="NKI994" s="2335"/>
      <c r="NKJ994" s="2335"/>
      <c r="NKK994" s="2335"/>
      <c r="NKL994" s="2335"/>
      <c r="NKM994" s="2335"/>
      <c r="NKN994" s="2335"/>
      <c r="NKO994" s="2335"/>
      <c r="NKP994" s="2335"/>
      <c r="NKQ994" s="2335"/>
      <c r="NKR994" s="2335"/>
      <c r="NKS994" s="2335"/>
      <c r="NKT994" s="2335"/>
      <c r="NKU994" s="2335"/>
      <c r="NKV994" s="2335"/>
      <c r="NKW994" s="2335"/>
      <c r="NKX994" s="2335"/>
      <c r="NKY994" s="2335"/>
      <c r="NKZ994" s="2335"/>
      <c r="NLA994" s="2335"/>
      <c r="NLB994" s="2335"/>
      <c r="NLC994" s="2335"/>
      <c r="NLD994" s="2335"/>
      <c r="NLE994" s="2335"/>
      <c r="NLF994" s="2335"/>
      <c r="NLG994" s="2335"/>
      <c r="NLH994" s="2335"/>
      <c r="NLI994" s="2335"/>
      <c r="NLJ994" s="2335"/>
      <c r="NLK994" s="2335"/>
      <c r="NLL994" s="2335"/>
      <c r="NLM994" s="2335"/>
      <c r="NLN994" s="2335"/>
      <c r="NLO994" s="2335"/>
      <c r="NLP994" s="2335"/>
      <c r="NLQ994" s="2335"/>
      <c r="NLR994" s="2335"/>
      <c r="NLS994" s="2335"/>
      <c r="NLT994" s="2335"/>
      <c r="NLU994" s="2335"/>
      <c r="NLV994" s="2335"/>
      <c r="NLW994" s="2335"/>
      <c r="NLX994" s="2335"/>
      <c r="NLY994" s="2335"/>
      <c r="NLZ994" s="2335"/>
      <c r="NMA994" s="2335"/>
      <c r="NMB994" s="2335"/>
      <c r="NMC994" s="2335"/>
      <c r="NMD994" s="2335"/>
      <c r="NME994" s="2335"/>
      <c r="NMF994" s="2335"/>
      <c r="NMG994" s="2335"/>
      <c r="NMH994" s="2335"/>
      <c r="NMI994" s="2335"/>
      <c r="NMJ994" s="2335"/>
      <c r="NMK994" s="2335"/>
      <c r="NML994" s="2335"/>
      <c r="NMM994" s="2335"/>
      <c r="NMN994" s="2335"/>
      <c r="NMO994" s="2335"/>
      <c r="NMP994" s="2335"/>
      <c r="NMQ994" s="2335"/>
      <c r="NMR994" s="2335"/>
      <c r="NMS994" s="2335"/>
      <c r="NMT994" s="2335"/>
      <c r="NMU994" s="2335"/>
      <c r="NMV994" s="2335"/>
      <c r="NMW994" s="2335"/>
      <c r="NMX994" s="2335"/>
      <c r="NMY994" s="2335"/>
      <c r="NMZ994" s="2335"/>
      <c r="NNA994" s="2335"/>
      <c r="NNB994" s="2335"/>
      <c r="NNC994" s="2335"/>
      <c r="NND994" s="2335"/>
      <c r="NNE994" s="2335"/>
      <c r="NNF994" s="2335"/>
      <c r="NNG994" s="2335"/>
      <c r="NNH994" s="2335"/>
      <c r="NNI994" s="2335"/>
      <c r="NNJ994" s="2335"/>
      <c r="NNK994" s="2335"/>
      <c r="NNL994" s="2335"/>
      <c r="NNM994" s="2335"/>
      <c r="NNN994" s="2335"/>
      <c r="NNO994" s="2335"/>
      <c r="NNP994" s="2335"/>
      <c r="NNQ994" s="2335"/>
      <c r="NNR994" s="2335"/>
      <c r="NNS994" s="2335"/>
      <c r="NNT994" s="2335"/>
      <c r="NNU994" s="2335"/>
      <c r="NNV994" s="2335"/>
      <c r="NNW994" s="2335"/>
      <c r="NNX994" s="2335"/>
      <c r="NNY994" s="2335"/>
      <c r="NNZ994" s="2335"/>
      <c r="NOA994" s="2335"/>
      <c r="NOB994" s="2335"/>
      <c r="NOC994" s="2335"/>
      <c r="NOD994" s="2335"/>
      <c r="NOE994" s="2335"/>
      <c r="NOF994" s="2335"/>
      <c r="NOG994" s="2335"/>
      <c r="NOH994" s="2335"/>
      <c r="NOI994" s="2335"/>
      <c r="NOJ994" s="2335"/>
      <c r="NOK994" s="2335"/>
      <c r="NOL994" s="2335"/>
      <c r="NOM994" s="2335"/>
      <c r="NON994" s="2335"/>
      <c r="NOO994" s="2335"/>
      <c r="NOP994" s="2335"/>
      <c r="NOQ994" s="2335"/>
      <c r="NOR994" s="2335"/>
      <c r="NOS994" s="2335"/>
      <c r="NOT994" s="2335"/>
      <c r="NOU994" s="2335"/>
      <c r="NOV994" s="2335"/>
      <c r="NOW994" s="2335"/>
      <c r="NOX994" s="2335"/>
      <c r="NOY994" s="2335"/>
      <c r="NOZ994" s="2335"/>
      <c r="NPA994" s="2335"/>
      <c r="NPB994" s="2335"/>
      <c r="NPC994" s="2335"/>
      <c r="NPD994" s="2335"/>
      <c r="NPE994" s="2335"/>
      <c r="NPF994" s="2335"/>
      <c r="NPG994" s="2335"/>
      <c r="NPH994" s="2335"/>
      <c r="NPI994" s="2335"/>
      <c r="NPJ994" s="2335"/>
      <c r="NPK994" s="2335"/>
      <c r="NPL994" s="2335"/>
      <c r="NPM994" s="2335"/>
      <c r="NPN994" s="2335"/>
      <c r="NPO994" s="2335"/>
      <c r="NPP994" s="2335"/>
      <c r="NPQ994" s="2335"/>
      <c r="NPR994" s="2335"/>
      <c r="NPS994" s="2335"/>
      <c r="NPT994" s="2335"/>
      <c r="NPU994" s="2335"/>
      <c r="NPV994" s="2335"/>
      <c r="NPW994" s="2335"/>
      <c r="NPX994" s="2335"/>
      <c r="NPY994" s="2335"/>
      <c r="NPZ994" s="2335"/>
      <c r="NQA994" s="2335"/>
      <c r="NQB994" s="2335"/>
      <c r="NQC994" s="2335"/>
      <c r="NQD994" s="2335"/>
      <c r="NQE994" s="2335"/>
      <c r="NQF994" s="2335"/>
      <c r="NQG994" s="2335"/>
      <c r="NQH994" s="2335"/>
      <c r="NQI994" s="2335"/>
      <c r="NQJ994" s="2335"/>
      <c r="NQK994" s="2335"/>
      <c r="NQL994" s="2335"/>
      <c r="NQM994" s="2335"/>
      <c r="NQN994" s="2335"/>
      <c r="NQO994" s="2335"/>
      <c r="NQP994" s="2335"/>
      <c r="NQQ994" s="2335"/>
      <c r="NQR994" s="2335"/>
      <c r="NQS994" s="2335"/>
      <c r="NQT994" s="2335"/>
      <c r="NQU994" s="2335"/>
      <c r="NQV994" s="2335"/>
      <c r="NQW994" s="2335"/>
      <c r="NQX994" s="2335"/>
      <c r="NQY994" s="2335"/>
      <c r="NQZ994" s="2335"/>
      <c r="NRA994" s="2335"/>
      <c r="NRB994" s="2335"/>
      <c r="NRC994" s="2335"/>
      <c r="NRD994" s="2335"/>
      <c r="NRE994" s="2335"/>
      <c r="NRF994" s="2335"/>
      <c r="NRG994" s="2335"/>
      <c r="NRH994" s="2335"/>
      <c r="NRI994" s="2335"/>
      <c r="NRJ994" s="2335"/>
      <c r="NRK994" s="2335"/>
      <c r="NRL994" s="2335"/>
      <c r="NRM994" s="2335"/>
      <c r="NRN994" s="2335"/>
      <c r="NRO994" s="2335"/>
      <c r="NRP994" s="2335"/>
      <c r="NRQ994" s="2335"/>
      <c r="NRR994" s="2335"/>
      <c r="NRS994" s="2335"/>
      <c r="NRT994" s="2335"/>
      <c r="NRU994" s="2335"/>
      <c r="NRV994" s="2335"/>
      <c r="NRW994" s="2335"/>
      <c r="NRX994" s="2335"/>
      <c r="NRY994" s="2335"/>
      <c r="NRZ994" s="2335"/>
      <c r="NSA994" s="2335"/>
      <c r="NSB994" s="2335"/>
      <c r="NSC994" s="2335"/>
      <c r="NSD994" s="2335"/>
      <c r="NSE994" s="2335"/>
      <c r="NSF994" s="2335"/>
      <c r="NSG994" s="2335"/>
      <c r="NSH994" s="2335"/>
      <c r="NSI994" s="2335"/>
      <c r="NSJ994" s="2335"/>
      <c r="NSK994" s="2335"/>
      <c r="NSL994" s="2335"/>
      <c r="NSM994" s="2335"/>
      <c r="NSN994" s="2335"/>
      <c r="NSO994" s="2335"/>
      <c r="NSP994" s="2335"/>
      <c r="NSQ994" s="2335"/>
      <c r="NSR994" s="2335"/>
      <c r="NSS994" s="2335"/>
      <c r="NST994" s="2335"/>
      <c r="NSU994" s="2335"/>
      <c r="NSV994" s="2335"/>
      <c r="NSW994" s="2335"/>
      <c r="NSX994" s="2335"/>
      <c r="NSY994" s="2335"/>
      <c r="NSZ994" s="2335"/>
      <c r="NTA994" s="2335"/>
      <c r="NTB994" s="2335"/>
      <c r="NTC994" s="2335"/>
      <c r="NTD994" s="2335"/>
      <c r="NTE994" s="2335"/>
      <c r="NTF994" s="2335"/>
      <c r="NTG994" s="2335"/>
      <c r="NTH994" s="2335"/>
      <c r="NTI994" s="2335"/>
      <c r="NTJ994" s="2335"/>
      <c r="NTK994" s="2335"/>
      <c r="NTL994" s="2335"/>
      <c r="NTM994" s="2335"/>
      <c r="NTN994" s="2335"/>
      <c r="NTO994" s="2335"/>
      <c r="NTP994" s="2335"/>
      <c r="NTQ994" s="2335"/>
      <c r="NTR994" s="2335"/>
      <c r="NTS994" s="2335"/>
      <c r="NTT994" s="2335"/>
      <c r="NTU994" s="2335"/>
      <c r="NTV994" s="2335"/>
      <c r="NTW994" s="2335"/>
      <c r="NTX994" s="2335"/>
      <c r="NTY994" s="2335"/>
      <c r="NTZ994" s="2335"/>
      <c r="NUA994" s="2335"/>
      <c r="NUB994" s="2335"/>
      <c r="NUC994" s="2335"/>
      <c r="NUD994" s="2335"/>
      <c r="NUE994" s="2335"/>
      <c r="NUF994" s="2335"/>
      <c r="NUG994" s="2335"/>
      <c r="NUH994" s="2335"/>
      <c r="NUI994" s="2335"/>
      <c r="NUJ994" s="2335"/>
      <c r="NUK994" s="2335"/>
      <c r="NUL994" s="2335"/>
      <c r="NUM994" s="2335"/>
      <c r="NUN994" s="2335"/>
      <c r="NUO994" s="2335"/>
      <c r="NUP994" s="2335"/>
      <c r="NUQ994" s="2335"/>
      <c r="NUR994" s="2335"/>
      <c r="NUS994" s="2335"/>
      <c r="NUT994" s="2335"/>
      <c r="NUU994" s="2335"/>
      <c r="NUV994" s="2335"/>
      <c r="NUW994" s="2335"/>
      <c r="NUX994" s="2335"/>
      <c r="NUY994" s="2335"/>
      <c r="NUZ994" s="2335"/>
      <c r="NVA994" s="2335"/>
      <c r="NVB994" s="2335"/>
      <c r="NVC994" s="2335"/>
      <c r="NVD994" s="2335"/>
      <c r="NVE994" s="2335"/>
      <c r="NVF994" s="2335"/>
      <c r="NVG994" s="2335"/>
      <c r="NVH994" s="2335"/>
      <c r="NVI994" s="2335"/>
      <c r="NVJ994" s="2335"/>
      <c r="NVK994" s="2335"/>
      <c r="NVL994" s="2335"/>
      <c r="NVM994" s="2335"/>
      <c r="NVN994" s="2335"/>
      <c r="NVO994" s="2335"/>
      <c r="NVP994" s="2335"/>
      <c r="NVQ994" s="2335"/>
      <c r="NVR994" s="2335"/>
      <c r="NVS994" s="2335"/>
      <c r="NVT994" s="2335"/>
      <c r="NVU994" s="2335"/>
      <c r="NVV994" s="2335"/>
      <c r="NVW994" s="2335"/>
      <c r="NVX994" s="2335"/>
      <c r="NVY994" s="2335"/>
      <c r="NVZ994" s="2335"/>
      <c r="NWA994" s="2335"/>
      <c r="NWB994" s="2335"/>
      <c r="NWC994" s="2335"/>
      <c r="NWD994" s="2335"/>
      <c r="NWE994" s="2335"/>
      <c r="NWF994" s="2335"/>
      <c r="NWG994" s="2335"/>
      <c r="NWH994" s="2335"/>
      <c r="NWI994" s="2335"/>
      <c r="NWJ994" s="2335"/>
      <c r="NWK994" s="2335"/>
      <c r="NWL994" s="2335"/>
      <c r="NWM994" s="2335"/>
      <c r="NWN994" s="2335"/>
      <c r="NWO994" s="2335"/>
      <c r="NWP994" s="2335"/>
      <c r="NWQ994" s="2335"/>
      <c r="NWR994" s="2335"/>
      <c r="NWS994" s="2335"/>
      <c r="NWT994" s="2335"/>
      <c r="NWU994" s="2335"/>
      <c r="NWV994" s="2335"/>
      <c r="NWW994" s="2335"/>
      <c r="NWX994" s="2335"/>
      <c r="NWY994" s="2335"/>
      <c r="NWZ994" s="2335"/>
      <c r="NXA994" s="2335"/>
      <c r="NXB994" s="2335"/>
      <c r="NXC994" s="2335"/>
      <c r="NXD994" s="2335"/>
      <c r="NXE994" s="2335"/>
      <c r="NXF994" s="2335"/>
      <c r="NXG994" s="2335"/>
      <c r="NXH994" s="2335"/>
      <c r="NXI994" s="2335"/>
      <c r="NXJ994" s="2335"/>
      <c r="NXK994" s="2335"/>
      <c r="NXL994" s="2335"/>
      <c r="NXM994" s="2335"/>
      <c r="NXN994" s="2335"/>
      <c r="NXO994" s="2335"/>
      <c r="NXP994" s="2335"/>
      <c r="NXQ994" s="2335"/>
      <c r="NXR994" s="2335"/>
      <c r="NXS994" s="2335"/>
      <c r="NXT994" s="2335"/>
      <c r="NXU994" s="2335"/>
      <c r="NXV994" s="2335"/>
      <c r="NXW994" s="2335"/>
      <c r="NXX994" s="2335"/>
      <c r="NXY994" s="2335"/>
      <c r="NXZ994" s="2335"/>
      <c r="NYA994" s="2335"/>
      <c r="NYB994" s="2335"/>
      <c r="NYC994" s="2335"/>
      <c r="NYD994" s="2335"/>
      <c r="NYE994" s="2335"/>
      <c r="NYF994" s="2335"/>
      <c r="NYG994" s="2335"/>
      <c r="NYH994" s="2335"/>
      <c r="NYI994" s="2335"/>
      <c r="NYJ994" s="2335"/>
      <c r="NYK994" s="2335"/>
      <c r="NYL994" s="2335"/>
      <c r="NYM994" s="2335"/>
      <c r="NYN994" s="2335"/>
      <c r="NYO994" s="2335"/>
      <c r="NYP994" s="2335"/>
      <c r="NYQ994" s="2335"/>
      <c r="NYR994" s="2335"/>
      <c r="NYS994" s="2335"/>
      <c r="NYT994" s="2335"/>
      <c r="NYU994" s="2335"/>
      <c r="NYV994" s="2335"/>
      <c r="NYW994" s="2335"/>
      <c r="NYX994" s="2335"/>
      <c r="NYY994" s="2335"/>
      <c r="NYZ994" s="2335"/>
      <c r="NZA994" s="2335"/>
      <c r="NZB994" s="2335"/>
      <c r="NZC994" s="2335"/>
      <c r="NZD994" s="2335"/>
      <c r="NZE994" s="2335"/>
      <c r="NZF994" s="2335"/>
      <c r="NZG994" s="2335"/>
      <c r="NZH994" s="2335"/>
      <c r="NZI994" s="2335"/>
      <c r="NZJ994" s="2335"/>
      <c r="NZK994" s="2335"/>
      <c r="NZL994" s="2335"/>
      <c r="NZM994" s="2335"/>
      <c r="NZN994" s="2335"/>
      <c r="NZO994" s="2335"/>
      <c r="NZP994" s="2335"/>
      <c r="NZQ994" s="2335"/>
      <c r="NZR994" s="2335"/>
      <c r="NZS994" s="2335"/>
      <c r="NZT994" s="2335"/>
      <c r="NZU994" s="2335"/>
      <c r="NZV994" s="2335"/>
      <c r="NZW994" s="2335"/>
      <c r="NZX994" s="2335"/>
      <c r="NZY994" s="2335"/>
      <c r="NZZ994" s="2335"/>
      <c r="OAA994" s="2335"/>
      <c r="OAB994" s="2335"/>
      <c r="OAC994" s="2335"/>
      <c r="OAD994" s="2335"/>
      <c r="OAE994" s="2335"/>
      <c r="OAF994" s="2335"/>
      <c r="OAG994" s="2335"/>
      <c r="OAH994" s="2335"/>
      <c r="OAI994" s="2335"/>
      <c r="OAJ994" s="2335"/>
      <c r="OAK994" s="2335"/>
      <c r="OAL994" s="2335"/>
      <c r="OAM994" s="2335"/>
      <c r="OAN994" s="2335"/>
      <c r="OAO994" s="2335"/>
      <c r="OAP994" s="2335"/>
      <c r="OAQ994" s="2335"/>
      <c r="OAR994" s="2335"/>
      <c r="OAS994" s="2335"/>
      <c r="OAT994" s="2335"/>
      <c r="OAU994" s="2335"/>
      <c r="OAV994" s="2335"/>
      <c r="OAW994" s="2335"/>
      <c r="OAX994" s="2335"/>
      <c r="OAY994" s="2335"/>
      <c r="OAZ994" s="2335"/>
      <c r="OBA994" s="2335"/>
      <c r="OBB994" s="2335"/>
      <c r="OBC994" s="2335"/>
      <c r="OBD994" s="2335"/>
      <c r="OBE994" s="2335"/>
      <c r="OBF994" s="2335"/>
      <c r="OBG994" s="2335"/>
      <c r="OBH994" s="2335"/>
      <c r="OBI994" s="2335"/>
      <c r="OBJ994" s="2335"/>
      <c r="OBK994" s="2335"/>
      <c r="OBL994" s="2335"/>
      <c r="OBM994" s="2335"/>
      <c r="OBN994" s="2335"/>
      <c r="OBO994" s="2335"/>
      <c r="OBP994" s="2335"/>
      <c r="OBQ994" s="2335"/>
      <c r="OBR994" s="2335"/>
      <c r="OBS994" s="2335"/>
      <c r="OBT994" s="2335"/>
      <c r="OBU994" s="2335"/>
      <c r="OBV994" s="2335"/>
      <c r="OBW994" s="2335"/>
      <c r="OBX994" s="2335"/>
      <c r="OBY994" s="2335"/>
      <c r="OBZ994" s="2335"/>
      <c r="OCA994" s="2335"/>
      <c r="OCB994" s="2335"/>
      <c r="OCC994" s="2335"/>
      <c r="OCD994" s="2335"/>
      <c r="OCE994" s="2335"/>
      <c r="OCF994" s="2335"/>
      <c r="OCG994" s="2335"/>
      <c r="OCH994" s="2335"/>
      <c r="OCI994" s="2335"/>
      <c r="OCJ994" s="2335"/>
      <c r="OCK994" s="2335"/>
      <c r="OCL994" s="2335"/>
      <c r="OCM994" s="2335"/>
      <c r="OCN994" s="2335"/>
      <c r="OCO994" s="2335"/>
      <c r="OCP994" s="2335"/>
      <c r="OCQ994" s="2335"/>
      <c r="OCR994" s="2335"/>
      <c r="OCS994" s="2335"/>
      <c r="OCT994" s="2335"/>
      <c r="OCU994" s="2335"/>
      <c r="OCV994" s="2335"/>
      <c r="OCW994" s="2335"/>
      <c r="OCX994" s="2335"/>
      <c r="OCY994" s="2335"/>
      <c r="OCZ994" s="2335"/>
      <c r="ODA994" s="2335"/>
      <c r="ODB994" s="2335"/>
      <c r="ODC994" s="2335"/>
      <c r="ODD994" s="2335"/>
      <c r="ODE994" s="2335"/>
      <c r="ODF994" s="2335"/>
      <c r="ODG994" s="2335"/>
      <c r="ODH994" s="2335"/>
      <c r="ODI994" s="2335"/>
      <c r="ODJ994" s="2335"/>
      <c r="ODK994" s="2335"/>
      <c r="ODL994" s="2335"/>
      <c r="ODM994" s="2335"/>
      <c r="ODN994" s="2335"/>
      <c r="ODO994" s="2335"/>
      <c r="ODP994" s="2335"/>
      <c r="ODQ994" s="2335"/>
      <c r="ODR994" s="2335"/>
      <c r="ODS994" s="2335"/>
      <c r="ODT994" s="2335"/>
      <c r="ODU994" s="2335"/>
      <c r="ODV994" s="2335"/>
      <c r="ODW994" s="2335"/>
      <c r="ODX994" s="2335"/>
      <c r="ODY994" s="2335"/>
      <c r="ODZ994" s="2335"/>
      <c r="OEA994" s="2335"/>
      <c r="OEB994" s="2335"/>
      <c r="OEC994" s="2335"/>
      <c r="OED994" s="2335"/>
      <c r="OEE994" s="2335"/>
      <c r="OEF994" s="2335"/>
      <c r="OEG994" s="2335"/>
      <c r="OEH994" s="2335"/>
      <c r="OEI994" s="2335"/>
      <c r="OEJ994" s="2335"/>
      <c r="OEK994" s="2335"/>
      <c r="OEL994" s="2335"/>
      <c r="OEM994" s="2335"/>
      <c r="OEN994" s="2335"/>
      <c r="OEO994" s="2335"/>
      <c r="OEP994" s="2335"/>
      <c r="OEQ994" s="2335"/>
      <c r="OER994" s="2335"/>
      <c r="OES994" s="2335"/>
      <c r="OET994" s="2335"/>
      <c r="OEU994" s="2335"/>
      <c r="OEV994" s="2335"/>
      <c r="OEW994" s="2335"/>
      <c r="OEX994" s="2335"/>
      <c r="OEY994" s="2335"/>
      <c r="OEZ994" s="2335"/>
      <c r="OFA994" s="2335"/>
      <c r="OFB994" s="2335"/>
      <c r="OFC994" s="2335"/>
      <c r="OFD994" s="2335"/>
      <c r="OFE994" s="2335"/>
      <c r="OFF994" s="2335"/>
      <c r="OFG994" s="2335"/>
      <c r="OFH994" s="2335"/>
      <c r="OFI994" s="2335"/>
      <c r="OFJ994" s="2335"/>
      <c r="OFK994" s="2335"/>
      <c r="OFL994" s="2335"/>
      <c r="OFM994" s="2335"/>
      <c r="OFN994" s="2335"/>
      <c r="OFO994" s="2335"/>
      <c r="OFP994" s="2335"/>
      <c r="OFQ994" s="2335"/>
      <c r="OFR994" s="2335"/>
      <c r="OFS994" s="2335"/>
      <c r="OFT994" s="2335"/>
      <c r="OFU994" s="2335"/>
      <c r="OFV994" s="2335"/>
      <c r="OFW994" s="2335"/>
      <c r="OFX994" s="2335"/>
      <c r="OFY994" s="2335"/>
      <c r="OFZ994" s="2335"/>
      <c r="OGA994" s="2335"/>
      <c r="OGB994" s="2335"/>
      <c r="OGC994" s="2335"/>
      <c r="OGD994" s="2335"/>
      <c r="OGE994" s="2335"/>
      <c r="OGF994" s="2335"/>
      <c r="OGG994" s="2335"/>
      <c r="OGH994" s="2335"/>
      <c r="OGI994" s="2335"/>
      <c r="OGJ994" s="2335"/>
      <c r="OGK994" s="2335"/>
      <c r="OGL994" s="2335"/>
      <c r="OGM994" s="2335"/>
      <c r="OGN994" s="2335"/>
      <c r="OGO994" s="2335"/>
      <c r="OGP994" s="2335"/>
      <c r="OGQ994" s="2335"/>
      <c r="OGR994" s="2335"/>
      <c r="OGS994" s="2335"/>
      <c r="OGT994" s="2335"/>
      <c r="OGU994" s="2335"/>
      <c r="OGV994" s="2335"/>
      <c r="OGW994" s="2335"/>
      <c r="OGX994" s="2335"/>
      <c r="OGY994" s="2335"/>
      <c r="OGZ994" s="2335"/>
      <c r="OHA994" s="2335"/>
      <c r="OHB994" s="2335"/>
      <c r="OHC994" s="2335"/>
      <c r="OHD994" s="2335"/>
      <c r="OHE994" s="2335"/>
      <c r="OHF994" s="2335"/>
      <c r="OHG994" s="2335"/>
      <c r="OHH994" s="2335"/>
      <c r="OHI994" s="2335"/>
      <c r="OHJ994" s="2335"/>
      <c r="OHK994" s="2335"/>
      <c r="OHL994" s="2335"/>
      <c r="OHM994" s="2335"/>
      <c r="OHN994" s="2335"/>
      <c r="OHO994" s="2335"/>
      <c r="OHP994" s="2335"/>
      <c r="OHQ994" s="2335"/>
      <c r="OHR994" s="2335"/>
      <c r="OHS994" s="2335"/>
      <c r="OHT994" s="2335"/>
      <c r="OHU994" s="2335"/>
      <c r="OHV994" s="2335"/>
      <c r="OHW994" s="2335"/>
      <c r="OHX994" s="2335"/>
      <c r="OHY994" s="2335"/>
      <c r="OHZ994" s="2335"/>
      <c r="OIA994" s="2335"/>
      <c r="OIB994" s="2335"/>
      <c r="OIC994" s="2335"/>
      <c r="OID994" s="2335"/>
      <c r="OIE994" s="2335"/>
      <c r="OIF994" s="2335"/>
      <c r="OIG994" s="2335"/>
      <c r="OIH994" s="2335"/>
      <c r="OII994" s="2335"/>
      <c r="OIJ994" s="2335"/>
      <c r="OIK994" s="2335"/>
      <c r="OIL994" s="2335"/>
      <c r="OIM994" s="2335"/>
      <c r="OIN994" s="2335"/>
      <c r="OIO994" s="2335"/>
      <c r="OIP994" s="2335"/>
      <c r="OIQ994" s="2335"/>
      <c r="OIR994" s="2335"/>
      <c r="OIS994" s="2335"/>
      <c r="OIT994" s="2335"/>
      <c r="OIU994" s="2335"/>
      <c r="OIV994" s="2335"/>
      <c r="OIW994" s="2335"/>
      <c r="OIX994" s="2335"/>
      <c r="OIY994" s="2335"/>
      <c r="OIZ994" s="2335"/>
      <c r="OJA994" s="2335"/>
      <c r="OJB994" s="2335"/>
      <c r="OJC994" s="2335"/>
      <c r="OJD994" s="2335"/>
      <c r="OJE994" s="2335"/>
      <c r="OJF994" s="2335"/>
      <c r="OJG994" s="2335"/>
      <c r="OJH994" s="2335"/>
      <c r="OJI994" s="2335"/>
      <c r="OJJ994" s="2335"/>
      <c r="OJK994" s="2335"/>
      <c r="OJL994" s="2335"/>
      <c r="OJM994" s="2335"/>
      <c r="OJN994" s="2335"/>
      <c r="OJO994" s="2335"/>
      <c r="OJP994" s="2335"/>
      <c r="OJQ994" s="2335"/>
      <c r="OJR994" s="2335"/>
      <c r="OJS994" s="2335"/>
      <c r="OJT994" s="2335"/>
      <c r="OJU994" s="2335"/>
      <c r="OJV994" s="2335"/>
      <c r="OJW994" s="2335"/>
      <c r="OJX994" s="2335"/>
      <c r="OJY994" s="2335"/>
      <c r="OJZ994" s="2335"/>
      <c r="OKA994" s="2335"/>
      <c r="OKB994" s="2335"/>
      <c r="OKC994" s="2335"/>
      <c r="OKD994" s="2335"/>
      <c r="OKE994" s="2335"/>
      <c r="OKF994" s="2335"/>
      <c r="OKG994" s="2335"/>
      <c r="OKH994" s="2335"/>
      <c r="OKI994" s="2335"/>
      <c r="OKJ994" s="2335"/>
      <c r="OKK994" s="2335"/>
      <c r="OKL994" s="2335"/>
      <c r="OKM994" s="2335"/>
      <c r="OKN994" s="2335"/>
      <c r="OKO994" s="2335"/>
      <c r="OKP994" s="2335"/>
      <c r="OKQ994" s="2335"/>
      <c r="OKR994" s="2335"/>
      <c r="OKS994" s="2335"/>
      <c r="OKT994" s="2335"/>
      <c r="OKU994" s="2335"/>
      <c r="OKV994" s="2335"/>
      <c r="OKW994" s="2335"/>
      <c r="OKX994" s="2335"/>
      <c r="OKY994" s="2335"/>
      <c r="OKZ994" s="2335"/>
      <c r="OLA994" s="2335"/>
      <c r="OLB994" s="2335"/>
      <c r="OLC994" s="2335"/>
      <c r="OLD994" s="2335"/>
      <c r="OLE994" s="2335"/>
      <c r="OLF994" s="2335"/>
      <c r="OLG994" s="2335"/>
      <c r="OLH994" s="2335"/>
      <c r="OLI994" s="2335"/>
      <c r="OLJ994" s="2335"/>
      <c r="OLK994" s="2335"/>
      <c r="OLL994" s="2335"/>
      <c r="OLM994" s="2335"/>
      <c r="OLN994" s="2335"/>
      <c r="OLO994" s="2335"/>
      <c r="OLP994" s="2335"/>
      <c r="OLQ994" s="2335"/>
      <c r="OLR994" s="2335"/>
      <c r="OLS994" s="2335"/>
      <c r="OLT994" s="2335"/>
      <c r="OLU994" s="2335"/>
      <c r="OLV994" s="2335"/>
      <c r="OLW994" s="2335"/>
      <c r="OLX994" s="2335"/>
      <c r="OLY994" s="2335"/>
      <c r="OLZ994" s="2335"/>
      <c r="OMA994" s="2335"/>
      <c r="OMB994" s="2335"/>
      <c r="OMC994" s="2335"/>
      <c r="OMD994" s="2335"/>
      <c r="OME994" s="2335"/>
      <c r="OMF994" s="2335"/>
      <c r="OMG994" s="2335"/>
      <c r="OMH994" s="2335"/>
      <c r="OMI994" s="2335"/>
      <c r="OMJ994" s="2335"/>
      <c r="OMK994" s="2335"/>
      <c r="OML994" s="2335"/>
      <c r="OMM994" s="2335"/>
      <c r="OMN994" s="2335"/>
      <c r="OMO994" s="2335"/>
      <c r="OMP994" s="2335"/>
      <c r="OMQ994" s="2335"/>
      <c r="OMR994" s="2335"/>
      <c r="OMS994" s="2335"/>
      <c r="OMT994" s="2335"/>
      <c r="OMU994" s="2335"/>
      <c r="OMV994" s="2335"/>
      <c r="OMW994" s="2335"/>
      <c r="OMX994" s="2335"/>
      <c r="OMY994" s="2335"/>
      <c r="OMZ994" s="2335"/>
      <c r="ONA994" s="2335"/>
      <c r="ONB994" s="2335"/>
      <c r="ONC994" s="2335"/>
      <c r="OND994" s="2335"/>
      <c r="ONE994" s="2335"/>
      <c r="ONF994" s="2335"/>
      <c r="ONG994" s="2335"/>
      <c r="ONH994" s="2335"/>
      <c r="ONI994" s="2335"/>
      <c r="ONJ994" s="2335"/>
      <c r="ONK994" s="2335"/>
      <c r="ONL994" s="2335"/>
      <c r="ONM994" s="2335"/>
      <c r="ONN994" s="2335"/>
      <c r="ONO994" s="2335"/>
      <c r="ONP994" s="2335"/>
      <c r="ONQ994" s="2335"/>
      <c r="ONR994" s="2335"/>
      <c r="ONS994" s="2335"/>
      <c r="ONT994" s="2335"/>
      <c r="ONU994" s="2335"/>
      <c r="ONV994" s="2335"/>
      <c r="ONW994" s="2335"/>
      <c r="ONX994" s="2335"/>
      <c r="ONY994" s="2335"/>
      <c r="ONZ994" s="2335"/>
      <c r="OOA994" s="2335"/>
      <c r="OOB994" s="2335"/>
      <c r="OOC994" s="2335"/>
      <c r="OOD994" s="2335"/>
      <c r="OOE994" s="2335"/>
      <c r="OOF994" s="2335"/>
      <c r="OOG994" s="2335"/>
      <c r="OOH994" s="2335"/>
      <c r="OOI994" s="2335"/>
      <c r="OOJ994" s="2335"/>
      <c r="OOK994" s="2335"/>
      <c r="OOL994" s="2335"/>
      <c r="OOM994" s="2335"/>
      <c r="OON994" s="2335"/>
      <c r="OOO994" s="2335"/>
      <c r="OOP994" s="2335"/>
      <c r="OOQ994" s="2335"/>
      <c r="OOR994" s="2335"/>
      <c r="OOS994" s="2335"/>
      <c r="OOT994" s="2335"/>
      <c r="OOU994" s="2335"/>
      <c r="OOV994" s="2335"/>
      <c r="OOW994" s="2335"/>
      <c r="OOX994" s="2335"/>
      <c r="OOY994" s="2335"/>
      <c r="OOZ994" s="2335"/>
      <c r="OPA994" s="2335"/>
      <c r="OPB994" s="2335"/>
      <c r="OPC994" s="2335"/>
      <c r="OPD994" s="2335"/>
      <c r="OPE994" s="2335"/>
      <c r="OPF994" s="2335"/>
      <c r="OPG994" s="2335"/>
      <c r="OPH994" s="2335"/>
      <c r="OPI994" s="2335"/>
      <c r="OPJ994" s="2335"/>
      <c r="OPK994" s="2335"/>
      <c r="OPL994" s="2335"/>
      <c r="OPM994" s="2335"/>
      <c r="OPN994" s="2335"/>
      <c r="OPO994" s="2335"/>
      <c r="OPP994" s="2335"/>
      <c r="OPQ994" s="2335"/>
      <c r="OPR994" s="2335"/>
      <c r="OPS994" s="2335"/>
      <c r="OPT994" s="2335"/>
      <c r="OPU994" s="2335"/>
      <c r="OPV994" s="2335"/>
      <c r="OPW994" s="2335"/>
      <c r="OPX994" s="2335"/>
      <c r="OPY994" s="2335"/>
      <c r="OPZ994" s="2335"/>
      <c r="OQA994" s="2335"/>
      <c r="OQB994" s="2335"/>
      <c r="OQC994" s="2335"/>
      <c r="OQD994" s="2335"/>
      <c r="OQE994" s="2335"/>
      <c r="OQF994" s="2335"/>
      <c r="OQG994" s="2335"/>
      <c r="OQH994" s="2335"/>
      <c r="OQI994" s="2335"/>
      <c r="OQJ994" s="2335"/>
      <c r="OQK994" s="2335"/>
      <c r="OQL994" s="2335"/>
      <c r="OQM994" s="2335"/>
      <c r="OQN994" s="2335"/>
      <c r="OQO994" s="2335"/>
      <c r="OQP994" s="2335"/>
      <c r="OQQ994" s="2335"/>
      <c r="OQR994" s="2335"/>
      <c r="OQS994" s="2335"/>
      <c r="OQT994" s="2335"/>
      <c r="OQU994" s="2335"/>
      <c r="OQV994" s="2335"/>
      <c r="OQW994" s="2335"/>
      <c r="OQX994" s="2335"/>
      <c r="OQY994" s="2335"/>
      <c r="OQZ994" s="2335"/>
      <c r="ORA994" s="2335"/>
      <c r="ORB994" s="2335"/>
      <c r="ORC994" s="2335"/>
      <c r="ORD994" s="2335"/>
      <c r="ORE994" s="2335"/>
      <c r="ORF994" s="2335"/>
      <c r="ORG994" s="2335"/>
      <c r="ORH994" s="2335"/>
      <c r="ORI994" s="2335"/>
      <c r="ORJ994" s="2335"/>
      <c r="ORK994" s="2335"/>
      <c r="ORL994" s="2335"/>
      <c r="ORM994" s="2335"/>
      <c r="ORN994" s="2335"/>
      <c r="ORO994" s="2335"/>
      <c r="ORP994" s="2335"/>
      <c r="ORQ994" s="2335"/>
      <c r="ORR994" s="2335"/>
      <c r="ORS994" s="2335"/>
      <c r="ORT994" s="2335"/>
      <c r="ORU994" s="2335"/>
      <c r="ORV994" s="2335"/>
      <c r="ORW994" s="2335"/>
      <c r="ORX994" s="2335"/>
      <c r="ORY994" s="2335"/>
      <c r="ORZ994" s="2335"/>
      <c r="OSA994" s="2335"/>
      <c r="OSB994" s="2335"/>
      <c r="OSC994" s="2335"/>
      <c r="OSD994" s="2335"/>
      <c r="OSE994" s="2335"/>
      <c r="OSF994" s="2335"/>
      <c r="OSG994" s="2335"/>
      <c r="OSH994" s="2335"/>
      <c r="OSI994" s="2335"/>
      <c r="OSJ994" s="2335"/>
      <c r="OSK994" s="2335"/>
      <c r="OSL994" s="2335"/>
      <c r="OSM994" s="2335"/>
      <c r="OSN994" s="2335"/>
      <c r="OSO994" s="2335"/>
      <c r="OSP994" s="2335"/>
      <c r="OSQ994" s="2335"/>
      <c r="OSR994" s="2335"/>
      <c r="OSS994" s="2335"/>
      <c r="OST994" s="2335"/>
      <c r="OSU994" s="2335"/>
      <c r="OSV994" s="2335"/>
      <c r="OSW994" s="2335"/>
      <c r="OSX994" s="2335"/>
      <c r="OSY994" s="2335"/>
      <c r="OSZ994" s="2335"/>
      <c r="OTA994" s="2335"/>
      <c r="OTB994" s="2335"/>
      <c r="OTC994" s="2335"/>
      <c r="OTD994" s="2335"/>
      <c r="OTE994" s="2335"/>
      <c r="OTF994" s="2335"/>
      <c r="OTG994" s="2335"/>
      <c r="OTH994" s="2335"/>
      <c r="OTI994" s="2335"/>
      <c r="OTJ994" s="2335"/>
      <c r="OTK994" s="2335"/>
      <c r="OTL994" s="2335"/>
      <c r="OTM994" s="2335"/>
      <c r="OTN994" s="2335"/>
      <c r="OTO994" s="2335"/>
      <c r="OTP994" s="2335"/>
      <c r="OTQ994" s="2335"/>
      <c r="OTR994" s="2335"/>
      <c r="OTS994" s="2335"/>
      <c r="OTT994" s="2335"/>
      <c r="OTU994" s="2335"/>
      <c r="OTV994" s="2335"/>
      <c r="OTW994" s="2335"/>
      <c r="OTX994" s="2335"/>
      <c r="OTY994" s="2335"/>
      <c r="OTZ994" s="2335"/>
      <c r="OUA994" s="2335"/>
      <c r="OUB994" s="2335"/>
      <c r="OUC994" s="2335"/>
      <c r="OUD994" s="2335"/>
      <c r="OUE994" s="2335"/>
      <c r="OUF994" s="2335"/>
      <c r="OUG994" s="2335"/>
      <c r="OUH994" s="2335"/>
      <c r="OUI994" s="2335"/>
      <c r="OUJ994" s="2335"/>
      <c r="OUK994" s="2335"/>
      <c r="OUL994" s="2335"/>
      <c r="OUM994" s="2335"/>
      <c r="OUN994" s="2335"/>
      <c r="OUO994" s="2335"/>
      <c r="OUP994" s="2335"/>
      <c r="OUQ994" s="2335"/>
      <c r="OUR994" s="2335"/>
      <c r="OUS994" s="2335"/>
      <c r="OUT994" s="2335"/>
      <c r="OUU994" s="2335"/>
      <c r="OUV994" s="2335"/>
      <c r="OUW994" s="2335"/>
      <c r="OUX994" s="2335"/>
      <c r="OUY994" s="2335"/>
      <c r="OUZ994" s="2335"/>
      <c r="OVA994" s="2335"/>
      <c r="OVB994" s="2335"/>
      <c r="OVC994" s="2335"/>
      <c r="OVD994" s="2335"/>
      <c r="OVE994" s="2335"/>
      <c r="OVF994" s="2335"/>
      <c r="OVG994" s="2335"/>
      <c r="OVH994" s="2335"/>
      <c r="OVI994" s="2335"/>
      <c r="OVJ994" s="2335"/>
      <c r="OVK994" s="2335"/>
      <c r="OVL994" s="2335"/>
      <c r="OVM994" s="2335"/>
      <c r="OVN994" s="2335"/>
      <c r="OVO994" s="2335"/>
      <c r="OVP994" s="2335"/>
      <c r="OVQ994" s="2335"/>
      <c r="OVR994" s="2335"/>
      <c r="OVS994" s="2335"/>
      <c r="OVT994" s="2335"/>
      <c r="OVU994" s="2335"/>
      <c r="OVV994" s="2335"/>
      <c r="OVW994" s="2335"/>
      <c r="OVX994" s="2335"/>
      <c r="OVY994" s="2335"/>
      <c r="OVZ994" s="2335"/>
      <c r="OWA994" s="2335"/>
      <c r="OWB994" s="2335"/>
      <c r="OWC994" s="2335"/>
      <c r="OWD994" s="2335"/>
      <c r="OWE994" s="2335"/>
      <c r="OWF994" s="2335"/>
      <c r="OWG994" s="2335"/>
      <c r="OWH994" s="2335"/>
      <c r="OWI994" s="2335"/>
      <c r="OWJ994" s="2335"/>
      <c r="OWK994" s="2335"/>
      <c r="OWL994" s="2335"/>
      <c r="OWM994" s="2335"/>
      <c r="OWN994" s="2335"/>
      <c r="OWO994" s="2335"/>
      <c r="OWP994" s="2335"/>
      <c r="OWQ994" s="2335"/>
      <c r="OWR994" s="2335"/>
      <c r="OWS994" s="2335"/>
      <c r="OWT994" s="2335"/>
      <c r="OWU994" s="2335"/>
      <c r="OWV994" s="2335"/>
      <c r="OWW994" s="2335"/>
      <c r="OWX994" s="2335"/>
      <c r="OWY994" s="2335"/>
      <c r="OWZ994" s="2335"/>
      <c r="OXA994" s="2335"/>
      <c r="OXB994" s="2335"/>
      <c r="OXC994" s="2335"/>
      <c r="OXD994" s="2335"/>
      <c r="OXE994" s="2335"/>
      <c r="OXF994" s="2335"/>
      <c r="OXG994" s="2335"/>
      <c r="OXH994" s="2335"/>
      <c r="OXI994" s="2335"/>
      <c r="OXJ994" s="2335"/>
      <c r="OXK994" s="2335"/>
      <c r="OXL994" s="2335"/>
      <c r="OXM994" s="2335"/>
      <c r="OXN994" s="2335"/>
      <c r="OXO994" s="2335"/>
      <c r="OXP994" s="2335"/>
      <c r="OXQ994" s="2335"/>
      <c r="OXR994" s="2335"/>
      <c r="OXS994" s="2335"/>
      <c r="OXT994" s="2335"/>
      <c r="OXU994" s="2335"/>
      <c r="OXV994" s="2335"/>
      <c r="OXW994" s="2335"/>
      <c r="OXX994" s="2335"/>
      <c r="OXY994" s="2335"/>
      <c r="OXZ994" s="2335"/>
      <c r="OYA994" s="2335"/>
      <c r="OYB994" s="2335"/>
      <c r="OYC994" s="2335"/>
      <c r="OYD994" s="2335"/>
      <c r="OYE994" s="2335"/>
      <c r="OYF994" s="2335"/>
      <c r="OYG994" s="2335"/>
      <c r="OYH994" s="2335"/>
      <c r="OYI994" s="2335"/>
      <c r="OYJ994" s="2335"/>
      <c r="OYK994" s="2335"/>
      <c r="OYL994" s="2335"/>
      <c r="OYM994" s="2335"/>
      <c r="OYN994" s="2335"/>
      <c r="OYO994" s="2335"/>
      <c r="OYP994" s="2335"/>
      <c r="OYQ994" s="2335"/>
      <c r="OYR994" s="2335"/>
      <c r="OYS994" s="2335"/>
      <c r="OYT994" s="2335"/>
      <c r="OYU994" s="2335"/>
      <c r="OYV994" s="2335"/>
      <c r="OYW994" s="2335"/>
      <c r="OYX994" s="2335"/>
      <c r="OYY994" s="2335"/>
      <c r="OYZ994" s="2335"/>
      <c r="OZA994" s="2335"/>
      <c r="OZB994" s="2335"/>
      <c r="OZC994" s="2335"/>
      <c r="OZD994" s="2335"/>
      <c r="OZE994" s="2335"/>
      <c r="OZF994" s="2335"/>
      <c r="OZG994" s="2335"/>
      <c r="OZH994" s="2335"/>
      <c r="OZI994" s="2335"/>
      <c r="OZJ994" s="2335"/>
      <c r="OZK994" s="2335"/>
      <c r="OZL994" s="2335"/>
      <c r="OZM994" s="2335"/>
      <c r="OZN994" s="2335"/>
      <c r="OZO994" s="2335"/>
      <c r="OZP994" s="2335"/>
      <c r="OZQ994" s="2335"/>
      <c r="OZR994" s="2335"/>
      <c r="OZS994" s="2335"/>
      <c r="OZT994" s="2335"/>
      <c r="OZU994" s="2335"/>
      <c r="OZV994" s="2335"/>
      <c r="OZW994" s="2335"/>
      <c r="OZX994" s="2335"/>
      <c r="OZY994" s="2335"/>
      <c r="OZZ994" s="2335"/>
      <c r="PAA994" s="2335"/>
      <c r="PAB994" s="2335"/>
      <c r="PAC994" s="2335"/>
      <c r="PAD994" s="2335"/>
      <c r="PAE994" s="2335"/>
      <c r="PAF994" s="2335"/>
      <c r="PAG994" s="2335"/>
      <c r="PAH994" s="2335"/>
      <c r="PAI994" s="2335"/>
      <c r="PAJ994" s="2335"/>
      <c r="PAK994" s="2335"/>
      <c r="PAL994" s="2335"/>
      <c r="PAM994" s="2335"/>
      <c r="PAN994" s="2335"/>
      <c r="PAO994" s="2335"/>
      <c r="PAP994" s="2335"/>
      <c r="PAQ994" s="2335"/>
      <c r="PAR994" s="2335"/>
      <c r="PAS994" s="2335"/>
      <c r="PAT994" s="2335"/>
      <c r="PAU994" s="2335"/>
      <c r="PAV994" s="2335"/>
      <c r="PAW994" s="2335"/>
      <c r="PAX994" s="2335"/>
      <c r="PAY994" s="2335"/>
      <c r="PAZ994" s="2335"/>
      <c r="PBA994" s="2335"/>
      <c r="PBB994" s="2335"/>
      <c r="PBC994" s="2335"/>
      <c r="PBD994" s="2335"/>
      <c r="PBE994" s="2335"/>
      <c r="PBF994" s="2335"/>
      <c r="PBG994" s="2335"/>
      <c r="PBH994" s="2335"/>
      <c r="PBI994" s="2335"/>
      <c r="PBJ994" s="2335"/>
      <c r="PBK994" s="2335"/>
      <c r="PBL994" s="2335"/>
      <c r="PBM994" s="2335"/>
      <c r="PBN994" s="2335"/>
      <c r="PBO994" s="2335"/>
      <c r="PBP994" s="2335"/>
      <c r="PBQ994" s="2335"/>
      <c r="PBR994" s="2335"/>
      <c r="PBS994" s="2335"/>
      <c r="PBT994" s="2335"/>
      <c r="PBU994" s="2335"/>
      <c r="PBV994" s="2335"/>
      <c r="PBW994" s="2335"/>
      <c r="PBX994" s="2335"/>
      <c r="PBY994" s="2335"/>
      <c r="PBZ994" s="2335"/>
      <c r="PCA994" s="2335"/>
      <c r="PCB994" s="2335"/>
      <c r="PCC994" s="2335"/>
      <c r="PCD994" s="2335"/>
      <c r="PCE994" s="2335"/>
      <c r="PCF994" s="2335"/>
      <c r="PCG994" s="2335"/>
      <c r="PCH994" s="2335"/>
      <c r="PCI994" s="2335"/>
      <c r="PCJ994" s="2335"/>
      <c r="PCK994" s="2335"/>
      <c r="PCL994" s="2335"/>
      <c r="PCM994" s="2335"/>
      <c r="PCN994" s="2335"/>
      <c r="PCO994" s="2335"/>
      <c r="PCP994" s="2335"/>
      <c r="PCQ994" s="2335"/>
      <c r="PCR994" s="2335"/>
      <c r="PCS994" s="2335"/>
      <c r="PCT994" s="2335"/>
      <c r="PCU994" s="2335"/>
      <c r="PCV994" s="2335"/>
      <c r="PCW994" s="2335"/>
      <c r="PCX994" s="2335"/>
      <c r="PCY994" s="2335"/>
      <c r="PCZ994" s="2335"/>
      <c r="PDA994" s="2335"/>
      <c r="PDB994" s="2335"/>
      <c r="PDC994" s="2335"/>
      <c r="PDD994" s="2335"/>
      <c r="PDE994" s="2335"/>
      <c r="PDF994" s="2335"/>
      <c r="PDG994" s="2335"/>
      <c r="PDH994" s="2335"/>
      <c r="PDI994" s="2335"/>
      <c r="PDJ994" s="2335"/>
      <c r="PDK994" s="2335"/>
      <c r="PDL994" s="2335"/>
      <c r="PDM994" s="2335"/>
      <c r="PDN994" s="2335"/>
      <c r="PDO994" s="2335"/>
      <c r="PDP994" s="2335"/>
      <c r="PDQ994" s="2335"/>
      <c r="PDR994" s="2335"/>
      <c r="PDS994" s="2335"/>
      <c r="PDT994" s="2335"/>
      <c r="PDU994" s="2335"/>
      <c r="PDV994" s="2335"/>
      <c r="PDW994" s="2335"/>
      <c r="PDX994" s="2335"/>
      <c r="PDY994" s="2335"/>
      <c r="PDZ994" s="2335"/>
      <c r="PEA994" s="2335"/>
      <c r="PEB994" s="2335"/>
      <c r="PEC994" s="2335"/>
      <c r="PED994" s="2335"/>
      <c r="PEE994" s="2335"/>
      <c r="PEF994" s="2335"/>
      <c r="PEG994" s="2335"/>
      <c r="PEH994" s="2335"/>
      <c r="PEI994" s="2335"/>
      <c r="PEJ994" s="2335"/>
      <c r="PEK994" s="2335"/>
      <c r="PEL994" s="2335"/>
      <c r="PEM994" s="2335"/>
      <c r="PEN994" s="2335"/>
      <c r="PEO994" s="2335"/>
      <c r="PEP994" s="2335"/>
      <c r="PEQ994" s="2335"/>
      <c r="PER994" s="2335"/>
      <c r="PES994" s="2335"/>
      <c r="PET994" s="2335"/>
      <c r="PEU994" s="2335"/>
      <c r="PEV994" s="2335"/>
      <c r="PEW994" s="2335"/>
      <c r="PEX994" s="2335"/>
      <c r="PEY994" s="2335"/>
      <c r="PEZ994" s="2335"/>
      <c r="PFA994" s="2335"/>
      <c r="PFB994" s="2335"/>
      <c r="PFC994" s="2335"/>
      <c r="PFD994" s="2335"/>
      <c r="PFE994" s="2335"/>
      <c r="PFF994" s="2335"/>
      <c r="PFG994" s="2335"/>
      <c r="PFH994" s="2335"/>
      <c r="PFI994" s="2335"/>
      <c r="PFJ994" s="2335"/>
      <c r="PFK994" s="2335"/>
      <c r="PFL994" s="2335"/>
      <c r="PFM994" s="2335"/>
      <c r="PFN994" s="2335"/>
      <c r="PFO994" s="2335"/>
      <c r="PFP994" s="2335"/>
      <c r="PFQ994" s="2335"/>
      <c r="PFR994" s="2335"/>
      <c r="PFS994" s="2335"/>
      <c r="PFT994" s="2335"/>
      <c r="PFU994" s="2335"/>
      <c r="PFV994" s="2335"/>
      <c r="PFW994" s="2335"/>
      <c r="PFX994" s="2335"/>
      <c r="PFY994" s="2335"/>
      <c r="PFZ994" s="2335"/>
      <c r="PGA994" s="2335"/>
      <c r="PGB994" s="2335"/>
      <c r="PGC994" s="2335"/>
      <c r="PGD994" s="2335"/>
      <c r="PGE994" s="2335"/>
      <c r="PGF994" s="2335"/>
      <c r="PGG994" s="2335"/>
      <c r="PGH994" s="2335"/>
      <c r="PGI994" s="2335"/>
      <c r="PGJ994" s="2335"/>
      <c r="PGK994" s="2335"/>
      <c r="PGL994" s="2335"/>
      <c r="PGM994" s="2335"/>
      <c r="PGN994" s="2335"/>
      <c r="PGO994" s="2335"/>
      <c r="PGP994" s="2335"/>
      <c r="PGQ994" s="2335"/>
      <c r="PGR994" s="2335"/>
      <c r="PGS994" s="2335"/>
      <c r="PGT994" s="2335"/>
      <c r="PGU994" s="2335"/>
      <c r="PGV994" s="2335"/>
      <c r="PGW994" s="2335"/>
      <c r="PGX994" s="2335"/>
      <c r="PGY994" s="2335"/>
      <c r="PGZ994" s="2335"/>
      <c r="PHA994" s="2335"/>
      <c r="PHB994" s="2335"/>
      <c r="PHC994" s="2335"/>
      <c r="PHD994" s="2335"/>
      <c r="PHE994" s="2335"/>
      <c r="PHF994" s="2335"/>
      <c r="PHG994" s="2335"/>
      <c r="PHH994" s="2335"/>
      <c r="PHI994" s="2335"/>
      <c r="PHJ994" s="2335"/>
      <c r="PHK994" s="2335"/>
      <c r="PHL994" s="2335"/>
      <c r="PHM994" s="2335"/>
      <c r="PHN994" s="2335"/>
      <c r="PHO994" s="2335"/>
      <c r="PHP994" s="2335"/>
      <c r="PHQ994" s="2335"/>
      <c r="PHR994" s="2335"/>
      <c r="PHS994" s="2335"/>
      <c r="PHT994" s="2335"/>
      <c r="PHU994" s="2335"/>
      <c r="PHV994" s="2335"/>
      <c r="PHW994" s="2335"/>
      <c r="PHX994" s="2335"/>
      <c r="PHY994" s="2335"/>
      <c r="PHZ994" s="2335"/>
      <c r="PIA994" s="2335"/>
      <c r="PIB994" s="2335"/>
      <c r="PIC994" s="2335"/>
      <c r="PID994" s="2335"/>
      <c r="PIE994" s="2335"/>
      <c r="PIF994" s="2335"/>
      <c r="PIG994" s="2335"/>
      <c r="PIH994" s="2335"/>
      <c r="PII994" s="2335"/>
      <c r="PIJ994" s="2335"/>
      <c r="PIK994" s="2335"/>
      <c r="PIL994" s="2335"/>
      <c r="PIM994" s="2335"/>
      <c r="PIN994" s="2335"/>
      <c r="PIO994" s="2335"/>
      <c r="PIP994" s="2335"/>
      <c r="PIQ994" s="2335"/>
      <c r="PIR994" s="2335"/>
      <c r="PIS994" s="2335"/>
      <c r="PIT994" s="2335"/>
      <c r="PIU994" s="2335"/>
      <c r="PIV994" s="2335"/>
      <c r="PIW994" s="2335"/>
      <c r="PIX994" s="2335"/>
      <c r="PIY994" s="2335"/>
      <c r="PIZ994" s="2335"/>
      <c r="PJA994" s="2335"/>
      <c r="PJB994" s="2335"/>
      <c r="PJC994" s="2335"/>
      <c r="PJD994" s="2335"/>
      <c r="PJE994" s="2335"/>
      <c r="PJF994" s="2335"/>
      <c r="PJG994" s="2335"/>
      <c r="PJH994" s="2335"/>
      <c r="PJI994" s="2335"/>
      <c r="PJJ994" s="2335"/>
      <c r="PJK994" s="2335"/>
      <c r="PJL994" s="2335"/>
      <c r="PJM994" s="2335"/>
      <c r="PJN994" s="2335"/>
      <c r="PJO994" s="2335"/>
      <c r="PJP994" s="2335"/>
      <c r="PJQ994" s="2335"/>
      <c r="PJR994" s="2335"/>
      <c r="PJS994" s="2335"/>
      <c r="PJT994" s="2335"/>
      <c r="PJU994" s="2335"/>
      <c r="PJV994" s="2335"/>
      <c r="PJW994" s="2335"/>
      <c r="PJX994" s="2335"/>
      <c r="PJY994" s="2335"/>
      <c r="PJZ994" s="2335"/>
      <c r="PKA994" s="2335"/>
      <c r="PKB994" s="2335"/>
      <c r="PKC994" s="2335"/>
      <c r="PKD994" s="2335"/>
      <c r="PKE994" s="2335"/>
      <c r="PKF994" s="2335"/>
      <c r="PKG994" s="2335"/>
      <c r="PKH994" s="2335"/>
      <c r="PKI994" s="2335"/>
      <c r="PKJ994" s="2335"/>
      <c r="PKK994" s="2335"/>
      <c r="PKL994" s="2335"/>
      <c r="PKM994" s="2335"/>
      <c r="PKN994" s="2335"/>
      <c r="PKO994" s="2335"/>
      <c r="PKP994" s="2335"/>
      <c r="PKQ994" s="2335"/>
      <c r="PKR994" s="2335"/>
      <c r="PKS994" s="2335"/>
      <c r="PKT994" s="2335"/>
      <c r="PKU994" s="2335"/>
      <c r="PKV994" s="2335"/>
      <c r="PKW994" s="2335"/>
      <c r="PKX994" s="2335"/>
      <c r="PKY994" s="2335"/>
      <c r="PKZ994" s="2335"/>
      <c r="PLA994" s="2335"/>
      <c r="PLB994" s="2335"/>
      <c r="PLC994" s="2335"/>
      <c r="PLD994" s="2335"/>
      <c r="PLE994" s="2335"/>
      <c r="PLF994" s="2335"/>
      <c r="PLG994" s="2335"/>
      <c r="PLH994" s="2335"/>
      <c r="PLI994" s="2335"/>
      <c r="PLJ994" s="2335"/>
      <c r="PLK994" s="2335"/>
      <c r="PLL994" s="2335"/>
      <c r="PLM994" s="2335"/>
      <c r="PLN994" s="2335"/>
      <c r="PLO994" s="2335"/>
      <c r="PLP994" s="2335"/>
      <c r="PLQ994" s="2335"/>
      <c r="PLR994" s="2335"/>
      <c r="PLS994" s="2335"/>
      <c r="PLT994" s="2335"/>
      <c r="PLU994" s="2335"/>
      <c r="PLV994" s="2335"/>
      <c r="PLW994" s="2335"/>
      <c r="PLX994" s="2335"/>
      <c r="PLY994" s="2335"/>
      <c r="PLZ994" s="2335"/>
      <c r="PMA994" s="2335"/>
      <c r="PMB994" s="2335"/>
      <c r="PMC994" s="2335"/>
      <c r="PMD994" s="2335"/>
      <c r="PME994" s="2335"/>
      <c r="PMF994" s="2335"/>
      <c r="PMG994" s="2335"/>
      <c r="PMH994" s="2335"/>
      <c r="PMI994" s="2335"/>
      <c r="PMJ994" s="2335"/>
      <c r="PMK994" s="2335"/>
      <c r="PML994" s="2335"/>
      <c r="PMM994" s="2335"/>
      <c r="PMN994" s="2335"/>
      <c r="PMO994" s="2335"/>
      <c r="PMP994" s="2335"/>
      <c r="PMQ994" s="2335"/>
      <c r="PMR994" s="2335"/>
      <c r="PMS994" s="2335"/>
      <c r="PMT994" s="2335"/>
      <c r="PMU994" s="2335"/>
      <c r="PMV994" s="2335"/>
      <c r="PMW994" s="2335"/>
      <c r="PMX994" s="2335"/>
      <c r="PMY994" s="2335"/>
      <c r="PMZ994" s="2335"/>
      <c r="PNA994" s="2335"/>
      <c r="PNB994" s="2335"/>
      <c r="PNC994" s="2335"/>
      <c r="PND994" s="2335"/>
      <c r="PNE994" s="2335"/>
      <c r="PNF994" s="2335"/>
      <c r="PNG994" s="2335"/>
      <c r="PNH994" s="2335"/>
      <c r="PNI994" s="2335"/>
      <c r="PNJ994" s="2335"/>
      <c r="PNK994" s="2335"/>
      <c r="PNL994" s="2335"/>
      <c r="PNM994" s="2335"/>
      <c r="PNN994" s="2335"/>
      <c r="PNO994" s="2335"/>
      <c r="PNP994" s="2335"/>
      <c r="PNQ994" s="2335"/>
      <c r="PNR994" s="2335"/>
      <c r="PNS994" s="2335"/>
      <c r="PNT994" s="2335"/>
      <c r="PNU994" s="2335"/>
      <c r="PNV994" s="2335"/>
      <c r="PNW994" s="2335"/>
      <c r="PNX994" s="2335"/>
      <c r="PNY994" s="2335"/>
      <c r="PNZ994" s="2335"/>
      <c r="POA994" s="2335"/>
      <c r="POB994" s="2335"/>
      <c r="POC994" s="2335"/>
      <c r="POD994" s="2335"/>
      <c r="POE994" s="2335"/>
      <c r="POF994" s="2335"/>
      <c r="POG994" s="2335"/>
      <c r="POH994" s="2335"/>
      <c r="POI994" s="2335"/>
      <c r="POJ994" s="2335"/>
      <c r="POK994" s="2335"/>
      <c r="POL994" s="2335"/>
      <c r="POM994" s="2335"/>
      <c r="PON994" s="2335"/>
      <c r="POO994" s="2335"/>
      <c r="POP994" s="2335"/>
      <c r="POQ994" s="2335"/>
      <c r="POR994" s="2335"/>
      <c r="POS994" s="2335"/>
      <c r="POT994" s="2335"/>
      <c r="POU994" s="2335"/>
      <c r="POV994" s="2335"/>
      <c r="POW994" s="2335"/>
      <c r="POX994" s="2335"/>
      <c r="POY994" s="2335"/>
      <c r="POZ994" s="2335"/>
      <c r="PPA994" s="2335"/>
      <c r="PPB994" s="2335"/>
      <c r="PPC994" s="2335"/>
      <c r="PPD994" s="2335"/>
      <c r="PPE994" s="2335"/>
      <c r="PPF994" s="2335"/>
      <c r="PPG994" s="2335"/>
      <c r="PPH994" s="2335"/>
      <c r="PPI994" s="2335"/>
      <c r="PPJ994" s="2335"/>
      <c r="PPK994" s="2335"/>
      <c r="PPL994" s="2335"/>
      <c r="PPM994" s="2335"/>
      <c r="PPN994" s="2335"/>
      <c r="PPO994" s="2335"/>
      <c r="PPP994" s="2335"/>
      <c r="PPQ994" s="2335"/>
      <c r="PPR994" s="2335"/>
      <c r="PPS994" s="2335"/>
      <c r="PPT994" s="2335"/>
      <c r="PPU994" s="2335"/>
      <c r="PPV994" s="2335"/>
      <c r="PPW994" s="2335"/>
      <c r="PPX994" s="2335"/>
      <c r="PPY994" s="2335"/>
      <c r="PPZ994" s="2335"/>
      <c r="PQA994" s="2335"/>
      <c r="PQB994" s="2335"/>
      <c r="PQC994" s="2335"/>
      <c r="PQD994" s="2335"/>
      <c r="PQE994" s="2335"/>
      <c r="PQF994" s="2335"/>
      <c r="PQG994" s="2335"/>
      <c r="PQH994" s="2335"/>
      <c r="PQI994" s="2335"/>
      <c r="PQJ994" s="2335"/>
      <c r="PQK994" s="2335"/>
      <c r="PQL994" s="2335"/>
      <c r="PQM994" s="2335"/>
      <c r="PQN994" s="2335"/>
      <c r="PQO994" s="2335"/>
      <c r="PQP994" s="2335"/>
      <c r="PQQ994" s="2335"/>
      <c r="PQR994" s="2335"/>
      <c r="PQS994" s="2335"/>
      <c r="PQT994" s="2335"/>
      <c r="PQU994" s="2335"/>
      <c r="PQV994" s="2335"/>
      <c r="PQW994" s="2335"/>
      <c r="PQX994" s="2335"/>
      <c r="PQY994" s="2335"/>
      <c r="PQZ994" s="2335"/>
      <c r="PRA994" s="2335"/>
      <c r="PRB994" s="2335"/>
      <c r="PRC994" s="2335"/>
      <c r="PRD994" s="2335"/>
      <c r="PRE994" s="2335"/>
      <c r="PRF994" s="2335"/>
      <c r="PRG994" s="2335"/>
      <c r="PRH994" s="2335"/>
      <c r="PRI994" s="2335"/>
      <c r="PRJ994" s="2335"/>
      <c r="PRK994" s="2335"/>
      <c r="PRL994" s="2335"/>
      <c r="PRM994" s="2335"/>
      <c r="PRN994" s="2335"/>
      <c r="PRO994" s="2335"/>
      <c r="PRP994" s="2335"/>
      <c r="PRQ994" s="2335"/>
      <c r="PRR994" s="2335"/>
      <c r="PRS994" s="2335"/>
      <c r="PRT994" s="2335"/>
      <c r="PRU994" s="2335"/>
      <c r="PRV994" s="2335"/>
      <c r="PRW994" s="2335"/>
      <c r="PRX994" s="2335"/>
      <c r="PRY994" s="2335"/>
      <c r="PRZ994" s="2335"/>
      <c r="PSA994" s="2335"/>
      <c r="PSB994" s="2335"/>
      <c r="PSC994" s="2335"/>
      <c r="PSD994" s="2335"/>
      <c r="PSE994" s="2335"/>
      <c r="PSF994" s="2335"/>
      <c r="PSG994" s="2335"/>
      <c r="PSH994" s="2335"/>
      <c r="PSI994" s="2335"/>
      <c r="PSJ994" s="2335"/>
      <c r="PSK994" s="2335"/>
      <c r="PSL994" s="2335"/>
      <c r="PSM994" s="2335"/>
      <c r="PSN994" s="2335"/>
      <c r="PSO994" s="2335"/>
      <c r="PSP994" s="2335"/>
      <c r="PSQ994" s="2335"/>
      <c r="PSR994" s="2335"/>
      <c r="PSS994" s="2335"/>
      <c r="PST994" s="2335"/>
      <c r="PSU994" s="2335"/>
      <c r="PSV994" s="2335"/>
      <c r="PSW994" s="2335"/>
      <c r="PSX994" s="2335"/>
      <c r="PSY994" s="2335"/>
      <c r="PSZ994" s="2335"/>
      <c r="PTA994" s="2335"/>
      <c r="PTB994" s="2335"/>
      <c r="PTC994" s="2335"/>
      <c r="PTD994" s="2335"/>
      <c r="PTE994" s="2335"/>
      <c r="PTF994" s="2335"/>
      <c r="PTG994" s="2335"/>
      <c r="PTH994" s="2335"/>
      <c r="PTI994" s="2335"/>
      <c r="PTJ994" s="2335"/>
      <c r="PTK994" s="2335"/>
      <c r="PTL994" s="2335"/>
      <c r="PTM994" s="2335"/>
      <c r="PTN994" s="2335"/>
      <c r="PTO994" s="2335"/>
      <c r="PTP994" s="2335"/>
      <c r="PTQ994" s="2335"/>
      <c r="PTR994" s="2335"/>
      <c r="PTS994" s="2335"/>
      <c r="PTT994" s="2335"/>
      <c r="PTU994" s="2335"/>
      <c r="PTV994" s="2335"/>
      <c r="PTW994" s="2335"/>
      <c r="PTX994" s="2335"/>
      <c r="PTY994" s="2335"/>
      <c r="PTZ994" s="2335"/>
      <c r="PUA994" s="2335"/>
      <c r="PUB994" s="2335"/>
      <c r="PUC994" s="2335"/>
      <c r="PUD994" s="2335"/>
      <c r="PUE994" s="2335"/>
      <c r="PUF994" s="2335"/>
      <c r="PUG994" s="2335"/>
      <c r="PUH994" s="2335"/>
      <c r="PUI994" s="2335"/>
      <c r="PUJ994" s="2335"/>
      <c r="PUK994" s="2335"/>
      <c r="PUL994" s="2335"/>
      <c r="PUM994" s="2335"/>
      <c r="PUN994" s="2335"/>
      <c r="PUO994" s="2335"/>
      <c r="PUP994" s="2335"/>
      <c r="PUQ994" s="2335"/>
      <c r="PUR994" s="2335"/>
      <c r="PUS994" s="2335"/>
      <c r="PUT994" s="2335"/>
      <c r="PUU994" s="2335"/>
      <c r="PUV994" s="2335"/>
      <c r="PUW994" s="2335"/>
      <c r="PUX994" s="2335"/>
      <c r="PUY994" s="2335"/>
      <c r="PUZ994" s="2335"/>
      <c r="PVA994" s="2335"/>
      <c r="PVB994" s="2335"/>
      <c r="PVC994" s="2335"/>
      <c r="PVD994" s="2335"/>
      <c r="PVE994" s="2335"/>
      <c r="PVF994" s="2335"/>
      <c r="PVG994" s="2335"/>
      <c r="PVH994" s="2335"/>
      <c r="PVI994" s="2335"/>
      <c r="PVJ994" s="2335"/>
      <c r="PVK994" s="2335"/>
      <c r="PVL994" s="2335"/>
      <c r="PVM994" s="2335"/>
      <c r="PVN994" s="2335"/>
      <c r="PVO994" s="2335"/>
      <c r="PVP994" s="2335"/>
      <c r="PVQ994" s="2335"/>
      <c r="PVR994" s="2335"/>
      <c r="PVS994" s="2335"/>
      <c r="PVT994" s="2335"/>
      <c r="PVU994" s="2335"/>
      <c r="PVV994" s="2335"/>
      <c r="PVW994" s="2335"/>
      <c r="PVX994" s="2335"/>
      <c r="PVY994" s="2335"/>
      <c r="PVZ994" s="2335"/>
      <c r="PWA994" s="2335"/>
      <c r="PWB994" s="2335"/>
      <c r="PWC994" s="2335"/>
      <c r="PWD994" s="2335"/>
      <c r="PWE994" s="2335"/>
      <c r="PWF994" s="2335"/>
      <c r="PWG994" s="2335"/>
      <c r="PWH994" s="2335"/>
      <c r="PWI994" s="2335"/>
      <c r="PWJ994" s="2335"/>
      <c r="PWK994" s="2335"/>
      <c r="PWL994" s="2335"/>
      <c r="PWM994" s="2335"/>
      <c r="PWN994" s="2335"/>
      <c r="PWO994" s="2335"/>
      <c r="PWP994" s="2335"/>
      <c r="PWQ994" s="2335"/>
      <c r="PWR994" s="2335"/>
      <c r="PWS994" s="2335"/>
      <c r="PWT994" s="2335"/>
      <c r="PWU994" s="2335"/>
      <c r="PWV994" s="2335"/>
      <c r="PWW994" s="2335"/>
      <c r="PWX994" s="2335"/>
      <c r="PWY994" s="2335"/>
      <c r="PWZ994" s="2335"/>
      <c r="PXA994" s="2335"/>
      <c r="PXB994" s="2335"/>
      <c r="PXC994" s="2335"/>
      <c r="PXD994" s="2335"/>
      <c r="PXE994" s="2335"/>
      <c r="PXF994" s="2335"/>
      <c r="PXG994" s="2335"/>
      <c r="PXH994" s="2335"/>
      <c r="PXI994" s="2335"/>
      <c r="PXJ994" s="2335"/>
      <c r="PXK994" s="2335"/>
      <c r="PXL994" s="2335"/>
      <c r="PXM994" s="2335"/>
      <c r="PXN994" s="2335"/>
      <c r="PXO994" s="2335"/>
      <c r="PXP994" s="2335"/>
      <c r="PXQ994" s="2335"/>
      <c r="PXR994" s="2335"/>
      <c r="PXS994" s="2335"/>
      <c r="PXT994" s="2335"/>
      <c r="PXU994" s="2335"/>
      <c r="PXV994" s="2335"/>
      <c r="PXW994" s="2335"/>
      <c r="PXX994" s="2335"/>
      <c r="PXY994" s="2335"/>
      <c r="PXZ994" s="2335"/>
      <c r="PYA994" s="2335"/>
      <c r="PYB994" s="2335"/>
      <c r="PYC994" s="2335"/>
      <c r="PYD994" s="2335"/>
      <c r="PYE994" s="2335"/>
      <c r="PYF994" s="2335"/>
      <c r="PYG994" s="2335"/>
      <c r="PYH994" s="2335"/>
      <c r="PYI994" s="2335"/>
      <c r="PYJ994" s="2335"/>
      <c r="PYK994" s="2335"/>
      <c r="PYL994" s="2335"/>
      <c r="PYM994" s="2335"/>
      <c r="PYN994" s="2335"/>
      <c r="PYO994" s="2335"/>
      <c r="PYP994" s="2335"/>
      <c r="PYQ994" s="2335"/>
      <c r="PYR994" s="2335"/>
      <c r="PYS994" s="2335"/>
      <c r="PYT994" s="2335"/>
      <c r="PYU994" s="2335"/>
      <c r="PYV994" s="2335"/>
      <c r="PYW994" s="2335"/>
      <c r="PYX994" s="2335"/>
      <c r="PYY994" s="2335"/>
      <c r="PYZ994" s="2335"/>
      <c r="PZA994" s="2335"/>
      <c r="PZB994" s="2335"/>
      <c r="PZC994" s="2335"/>
      <c r="PZD994" s="2335"/>
      <c r="PZE994" s="2335"/>
      <c r="PZF994" s="2335"/>
      <c r="PZG994" s="2335"/>
      <c r="PZH994" s="2335"/>
      <c r="PZI994" s="2335"/>
      <c r="PZJ994" s="2335"/>
      <c r="PZK994" s="2335"/>
      <c r="PZL994" s="2335"/>
      <c r="PZM994" s="2335"/>
      <c r="PZN994" s="2335"/>
      <c r="PZO994" s="2335"/>
      <c r="PZP994" s="2335"/>
      <c r="PZQ994" s="2335"/>
      <c r="PZR994" s="2335"/>
      <c r="PZS994" s="2335"/>
      <c r="PZT994" s="2335"/>
      <c r="PZU994" s="2335"/>
      <c r="PZV994" s="2335"/>
      <c r="PZW994" s="2335"/>
      <c r="PZX994" s="2335"/>
      <c r="PZY994" s="2335"/>
      <c r="PZZ994" s="2335"/>
      <c r="QAA994" s="2335"/>
      <c r="QAB994" s="2335"/>
      <c r="QAC994" s="2335"/>
      <c r="QAD994" s="2335"/>
      <c r="QAE994" s="2335"/>
      <c r="QAF994" s="2335"/>
      <c r="QAG994" s="2335"/>
      <c r="QAH994" s="2335"/>
      <c r="QAI994" s="2335"/>
      <c r="QAJ994" s="2335"/>
      <c r="QAK994" s="2335"/>
      <c r="QAL994" s="2335"/>
      <c r="QAM994" s="2335"/>
      <c r="QAN994" s="2335"/>
      <c r="QAO994" s="2335"/>
      <c r="QAP994" s="2335"/>
      <c r="QAQ994" s="2335"/>
      <c r="QAR994" s="2335"/>
      <c r="QAS994" s="2335"/>
      <c r="QAT994" s="2335"/>
      <c r="QAU994" s="2335"/>
      <c r="QAV994" s="2335"/>
      <c r="QAW994" s="2335"/>
      <c r="QAX994" s="2335"/>
      <c r="QAY994" s="2335"/>
      <c r="QAZ994" s="2335"/>
      <c r="QBA994" s="2335"/>
      <c r="QBB994" s="2335"/>
      <c r="QBC994" s="2335"/>
      <c r="QBD994" s="2335"/>
      <c r="QBE994" s="2335"/>
      <c r="QBF994" s="2335"/>
      <c r="QBG994" s="2335"/>
      <c r="QBH994" s="2335"/>
      <c r="QBI994" s="2335"/>
      <c r="QBJ994" s="2335"/>
      <c r="QBK994" s="2335"/>
      <c r="QBL994" s="2335"/>
      <c r="QBM994" s="2335"/>
      <c r="QBN994" s="2335"/>
      <c r="QBO994" s="2335"/>
      <c r="QBP994" s="2335"/>
      <c r="QBQ994" s="2335"/>
      <c r="QBR994" s="2335"/>
      <c r="QBS994" s="2335"/>
      <c r="QBT994" s="2335"/>
      <c r="QBU994" s="2335"/>
      <c r="QBV994" s="2335"/>
      <c r="QBW994" s="2335"/>
      <c r="QBX994" s="2335"/>
      <c r="QBY994" s="2335"/>
      <c r="QBZ994" s="2335"/>
      <c r="QCA994" s="2335"/>
      <c r="QCB994" s="2335"/>
      <c r="QCC994" s="2335"/>
      <c r="QCD994" s="2335"/>
      <c r="QCE994" s="2335"/>
      <c r="QCF994" s="2335"/>
      <c r="QCG994" s="2335"/>
      <c r="QCH994" s="2335"/>
      <c r="QCI994" s="2335"/>
      <c r="QCJ994" s="2335"/>
      <c r="QCK994" s="2335"/>
      <c r="QCL994" s="2335"/>
      <c r="QCM994" s="2335"/>
      <c r="QCN994" s="2335"/>
      <c r="QCO994" s="2335"/>
      <c r="QCP994" s="2335"/>
      <c r="QCQ994" s="2335"/>
      <c r="QCR994" s="2335"/>
      <c r="QCS994" s="2335"/>
      <c r="QCT994" s="2335"/>
      <c r="QCU994" s="2335"/>
      <c r="QCV994" s="2335"/>
      <c r="QCW994" s="2335"/>
      <c r="QCX994" s="2335"/>
      <c r="QCY994" s="2335"/>
      <c r="QCZ994" s="2335"/>
      <c r="QDA994" s="2335"/>
      <c r="QDB994" s="2335"/>
      <c r="QDC994" s="2335"/>
      <c r="QDD994" s="2335"/>
      <c r="QDE994" s="2335"/>
      <c r="QDF994" s="2335"/>
      <c r="QDG994" s="2335"/>
      <c r="QDH994" s="2335"/>
      <c r="QDI994" s="2335"/>
      <c r="QDJ994" s="2335"/>
      <c r="QDK994" s="2335"/>
      <c r="QDL994" s="2335"/>
      <c r="QDM994" s="2335"/>
      <c r="QDN994" s="2335"/>
      <c r="QDO994" s="2335"/>
      <c r="QDP994" s="2335"/>
      <c r="QDQ994" s="2335"/>
      <c r="QDR994" s="2335"/>
      <c r="QDS994" s="2335"/>
      <c r="QDT994" s="2335"/>
      <c r="QDU994" s="2335"/>
      <c r="QDV994" s="2335"/>
      <c r="QDW994" s="2335"/>
      <c r="QDX994" s="2335"/>
      <c r="QDY994" s="2335"/>
      <c r="QDZ994" s="2335"/>
      <c r="QEA994" s="2335"/>
      <c r="QEB994" s="2335"/>
      <c r="QEC994" s="2335"/>
      <c r="QED994" s="2335"/>
      <c r="QEE994" s="2335"/>
      <c r="QEF994" s="2335"/>
      <c r="QEG994" s="2335"/>
      <c r="QEH994" s="2335"/>
      <c r="QEI994" s="2335"/>
      <c r="QEJ994" s="2335"/>
      <c r="QEK994" s="2335"/>
      <c r="QEL994" s="2335"/>
      <c r="QEM994" s="2335"/>
      <c r="QEN994" s="2335"/>
      <c r="QEO994" s="2335"/>
      <c r="QEP994" s="2335"/>
      <c r="QEQ994" s="2335"/>
      <c r="QER994" s="2335"/>
      <c r="QES994" s="2335"/>
      <c r="QET994" s="2335"/>
      <c r="QEU994" s="2335"/>
      <c r="QEV994" s="2335"/>
      <c r="QEW994" s="2335"/>
      <c r="QEX994" s="2335"/>
      <c r="QEY994" s="2335"/>
      <c r="QEZ994" s="2335"/>
      <c r="QFA994" s="2335"/>
      <c r="QFB994" s="2335"/>
      <c r="QFC994" s="2335"/>
      <c r="QFD994" s="2335"/>
      <c r="QFE994" s="2335"/>
      <c r="QFF994" s="2335"/>
      <c r="QFG994" s="2335"/>
      <c r="QFH994" s="2335"/>
      <c r="QFI994" s="2335"/>
      <c r="QFJ994" s="2335"/>
      <c r="QFK994" s="2335"/>
      <c r="QFL994" s="2335"/>
      <c r="QFM994" s="2335"/>
      <c r="QFN994" s="2335"/>
      <c r="QFO994" s="2335"/>
      <c r="QFP994" s="2335"/>
      <c r="QFQ994" s="2335"/>
      <c r="QFR994" s="2335"/>
      <c r="QFS994" s="2335"/>
      <c r="QFT994" s="2335"/>
      <c r="QFU994" s="2335"/>
      <c r="QFV994" s="2335"/>
      <c r="QFW994" s="2335"/>
      <c r="QFX994" s="2335"/>
      <c r="QFY994" s="2335"/>
      <c r="QFZ994" s="2335"/>
      <c r="QGA994" s="2335"/>
      <c r="QGB994" s="2335"/>
      <c r="QGC994" s="2335"/>
      <c r="QGD994" s="2335"/>
      <c r="QGE994" s="2335"/>
      <c r="QGF994" s="2335"/>
      <c r="QGG994" s="2335"/>
      <c r="QGH994" s="2335"/>
      <c r="QGI994" s="2335"/>
      <c r="QGJ994" s="2335"/>
      <c r="QGK994" s="2335"/>
      <c r="QGL994" s="2335"/>
      <c r="QGM994" s="2335"/>
      <c r="QGN994" s="2335"/>
      <c r="QGO994" s="2335"/>
      <c r="QGP994" s="2335"/>
      <c r="QGQ994" s="2335"/>
      <c r="QGR994" s="2335"/>
      <c r="QGS994" s="2335"/>
      <c r="QGT994" s="2335"/>
      <c r="QGU994" s="2335"/>
      <c r="QGV994" s="2335"/>
      <c r="QGW994" s="2335"/>
      <c r="QGX994" s="2335"/>
      <c r="QGY994" s="2335"/>
      <c r="QGZ994" s="2335"/>
      <c r="QHA994" s="2335"/>
      <c r="QHB994" s="2335"/>
      <c r="QHC994" s="2335"/>
      <c r="QHD994" s="2335"/>
      <c r="QHE994" s="2335"/>
      <c r="QHF994" s="2335"/>
      <c r="QHG994" s="2335"/>
      <c r="QHH994" s="2335"/>
      <c r="QHI994" s="2335"/>
      <c r="QHJ994" s="2335"/>
      <c r="QHK994" s="2335"/>
      <c r="QHL994" s="2335"/>
      <c r="QHM994" s="2335"/>
      <c r="QHN994" s="2335"/>
      <c r="QHO994" s="2335"/>
      <c r="QHP994" s="2335"/>
      <c r="QHQ994" s="2335"/>
      <c r="QHR994" s="2335"/>
      <c r="QHS994" s="2335"/>
      <c r="QHT994" s="2335"/>
      <c r="QHU994" s="2335"/>
      <c r="QHV994" s="2335"/>
      <c r="QHW994" s="2335"/>
      <c r="QHX994" s="2335"/>
      <c r="QHY994" s="2335"/>
      <c r="QHZ994" s="2335"/>
      <c r="QIA994" s="2335"/>
      <c r="QIB994" s="2335"/>
      <c r="QIC994" s="2335"/>
      <c r="QID994" s="2335"/>
      <c r="QIE994" s="2335"/>
      <c r="QIF994" s="2335"/>
      <c r="QIG994" s="2335"/>
      <c r="QIH994" s="2335"/>
      <c r="QII994" s="2335"/>
      <c r="QIJ994" s="2335"/>
      <c r="QIK994" s="2335"/>
      <c r="QIL994" s="2335"/>
      <c r="QIM994" s="2335"/>
      <c r="QIN994" s="2335"/>
      <c r="QIO994" s="2335"/>
      <c r="QIP994" s="2335"/>
      <c r="QIQ994" s="2335"/>
      <c r="QIR994" s="2335"/>
      <c r="QIS994" s="2335"/>
      <c r="QIT994" s="2335"/>
      <c r="QIU994" s="2335"/>
      <c r="QIV994" s="2335"/>
      <c r="QIW994" s="2335"/>
      <c r="QIX994" s="2335"/>
      <c r="QIY994" s="2335"/>
      <c r="QIZ994" s="2335"/>
      <c r="QJA994" s="2335"/>
      <c r="QJB994" s="2335"/>
      <c r="QJC994" s="2335"/>
      <c r="QJD994" s="2335"/>
      <c r="QJE994" s="2335"/>
      <c r="QJF994" s="2335"/>
      <c r="QJG994" s="2335"/>
      <c r="QJH994" s="2335"/>
      <c r="QJI994" s="2335"/>
      <c r="QJJ994" s="2335"/>
      <c r="QJK994" s="2335"/>
      <c r="QJL994" s="2335"/>
      <c r="QJM994" s="2335"/>
      <c r="QJN994" s="2335"/>
      <c r="QJO994" s="2335"/>
      <c r="QJP994" s="2335"/>
      <c r="QJQ994" s="2335"/>
      <c r="QJR994" s="2335"/>
      <c r="QJS994" s="2335"/>
      <c r="QJT994" s="2335"/>
      <c r="QJU994" s="2335"/>
      <c r="QJV994" s="2335"/>
      <c r="QJW994" s="2335"/>
      <c r="QJX994" s="2335"/>
      <c r="QJY994" s="2335"/>
      <c r="QJZ994" s="2335"/>
      <c r="QKA994" s="2335"/>
      <c r="QKB994" s="2335"/>
      <c r="QKC994" s="2335"/>
      <c r="QKD994" s="2335"/>
      <c r="QKE994" s="2335"/>
      <c r="QKF994" s="2335"/>
      <c r="QKG994" s="2335"/>
      <c r="QKH994" s="2335"/>
      <c r="QKI994" s="2335"/>
      <c r="QKJ994" s="2335"/>
      <c r="QKK994" s="2335"/>
      <c r="QKL994" s="2335"/>
      <c r="QKM994" s="2335"/>
      <c r="QKN994" s="2335"/>
      <c r="QKO994" s="2335"/>
      <c r="QKP994" s="2335"/>
      <c r="QKQ994" s="2335"/>
      <c r="QKR994" s="2335"/>
      <c r="QKS994" s="2335"/>
      <c r="QKT994" s="2335"/>
      <c r="QKU994" s="2335"/>
      <c r="QKV994" s="2335"/>
      <c r="QKW994" s="2335"/>
      <c r="QKX994" s="2335"/>
      <c r="QKY994" s="2335"/>
      <c r="QKZ994" s="2335"/>
      <c r="QLA994" s="2335"/>
      <c r="QLB994" s="2335"/>
      <c r="QLC994" s="2335"/>
      <c r="QLD994" s="2335"/>
      <c r="QLE994" s="2335"/>
      <c r="QLF994" s="2335"/>
      <c r="QLG994" s="2335"/>
      <c r="QLH994" s="2335"/>
      <c r="QLI994" s="2335"/>
      <c r="QLJ994" s="2335"/>
      <c r="QLK994" s="2335"/>
      <c r="QLL994" s="2335"/>
      <c r="QLM994" s="2335"/>
      <c r="QLN994" s="2335"/>
      <c r="QLO994" s="2335"/>
      <c r="QLP994" s="2335"/>
      <c r="QLQ994" s="2335"/>
      <c r="QLR994" s="2335"/>
      <c r="QLS994" s="2335"/>
      <c r="QLT994" s="2335"/>
      <c r="QLU994" s="2335"/>
      <c r="QLV994" s="2335"/>
      <c r="QLW994" s="2335"/>
      <c r="QLX994" s="2335"/>
      <c r="QLY994" s="2335"/>
      <c r="QLZ994" s="2335"/>
      <c r="QMA994" s="2335"/>
      <c r="QMB994" s="2335"/>
      <c r="QMC994" s="2335"/>
      <c r="QMD994" s="2335"/>
      <c r="QME994" s="2335"/>
      <c r="QMF994" s="2335"/>
      <c r="QMG994" s="2335"/>
      <c r="QMH994" s="2335"/>
      <c r="QMI994" s="2335"/>
      <c r="QMJ994" s="2335"/>
      <c r="QMK994" s="2335"/>
      <c r="QML994" s="2335"/>
      <c r="QMM994" s="2335"/>
      <c r="QMN994" s="2335"/>
      <c r="QMO994" s="2335"/>
      <c r="QMP994" s="2335"/>
      <c r="QMQ994" s="2335"/>
      <c r="QMR994" s="2335"/>
      <c r="QMS994" s="2335"/>
      <c r="QMT994" s="2335"/>
      <c r="QMU994" s="2335"/>
      <c r="QMV994" s="2335"/>
      <c r="QMW994" s="2335"/>
      <c r="QMX994" s="2335"/>
      <c r="QMY994" s="2335"/>
      <c r="QMZ994" s="2335"/>
      <c r="QNA994" s="2335"/>
      <c r="QNB994" s="2335"/>
      <c r="QNC994" s="2335"/>
      <c r="QND994" s="2335"/>
      <c r="QNE994" s="2335"/>
      <c r="QNF994" s="2335"/>
      <c r="QNG994" s="2335"/>
      <c r="QNH994" s="2335"/>
      <c r="QNI994" s="2335"/>
      <c r="QNJ994" s="2335"/>
      <c r="QNK994" s="2335"/>
      <c r="QNL994" s="2335"/>
      <c r="QNM994" s="2335"/>
      <c r="QNN994" s="2335"/>
      <c r="QNO994" s="2335"/>
      <c r="QNP994" s="2335"/>
      <c r="QNQ994" s="2335"/>
      <c r="QNR994" s="2335"/>
      <c r="QNS994" s="2335"/>
      <c r="QNT994" s="2335"/>
      <c r="QNU994" s="2335"/>
      <c r="QNV994" s="2335"/>
      <c r="QNW994" s="2335"/>
      <c r="QNX994" s="2335"/>
      <c r="QNY994" s="2335"/>
      <c r="QNZ994" s="2335"/>
      <c r="QOA994" s="2335"/>
      <c r="QOB994" s="2335"/>
      <c r="QOC994" s="2335"/>
      <c r="QOD994" s="2335"/>
      <c r="QOE994" s="2335"/>
      <c r="QOF994" s="2335"/>
      <c r="QOG994" s="2335"/>
      <c r="QOH994" s="2335"/>
      <c r="QOI994" s="2335"/>
      <c r="QOJ994" s="2335"/>
      <c r="QOK994" s="2335"/>
      <c r="QOL994" s="2335"/>
      <c r="QOM994" s="2335"/>
      <c r="QON994" s="2335"/>
      <c r="QOO994" s="2335"/>
      <c r="QOP994" s="2335"/>
      <c r="QOQ994" s="2335"/>
      <c r="QOR994" s="2335"/>
      <c r="QOS994" s="2335"/>
      <c r="QOT994" s="2335"/>
      <c r="QOU994" s="2335"/>
      <c r="QOV994" s="2335"/>
      <c r="QOW994" s="2335"/>
      <c r="QOX994" s="2335"/>
      <c r="QOY994" s="2335"/>
      <c r="QOZ994" s="2335"/>
      <c r="QPA994" s="2335"/>
      <c r="QPB994" s="2335"/>
      <c r="QPC994" s="2335"/>
      <c r="QPD994" s="2335"/>
      <c r="QPE994" s="2335"/>
      <c r="QPF994" s="2335"/>
      <c r="QPG994" s="2335"/>
      <c r="QPH994" s="2335"/>
      <c r="QPI994" s="2335"/>
      <c r="QPJ994" s="2335"/>
      <c r="QPK994" s="2335"/>
      <c r="QPL994" s="2335"/>
      <c r="QPM994" s="2335"/>
      <c r="QPN994" s="2335"/>
      <c r="QPO994" s="2335"/>
      <c r="QPP994" s="2335"/>
      <c r="QPQ994" s="2335"/>
      <c r="QPR994" s="2335"/>
      <c r="QPS994" s="2335"/>
      <c r="QPT994" s="2335"/>
      <c r="QPU994" s="2335"/>
      <c r="QPV994" s="2335"/>
      <c r="QPW994" s="2335"/>
      <c r="QPX994" s="2335"/>
      <c r="QPY994" s="2335"/>
      <c r="QPZ994" s="2335"/>
      <c r="QQA994" s="2335"/>
      <c r="QQB994" s="2335"/>
      <c r="QQC994" s="2335"/>
      <c r="QQD994" s="2335"/>
      <c r="QQE994" s="2335"/>
      <c r="QQF994" s="2335"/>
      <c r="QQG994" s="2335"/>
      <c r="QQH994" s="2335"/>
      <c r="QQI994" s="2335"/>
      <c r="QQJ994" s="2335"/>
      <c r="QQK994" s="2335"/>
      <c r="QQL994" s="2335"/>
      <c r="QQM994" s="2335"/>
      <c r="QQN994" s="2335"/>
      <c r="QQO994" s="2335"/>
      <c r="QQP994" s="2335"/>
      <c r="QQQ994" s="2335"/>
      <c r="QQR994" s="2335"/>
      <c r="QQS994" s="2335"/>
      <c r="QQT994" s="2335"/>
      <c r="QQU994" s="2335"/>
      <c r="QQV994" s="2335"/>
      <c r="QQW994" s="2335"/>
      <c r="QQX994" s="2335"/>
      <c r="QQY994" s="2335"/>
      <c r="QQZ994" s="2335"/>
      <c r="QRA994" s="2335"/>
      <c r="QRB994" s="2335"/>
      <c r="QRC994" s="2335"/>
      <c r="QRD994" s="2335"/>
      <c r="QRE994" s="2335"/>
      <c r="QRF994" s="2335"/>
      <c r="QRG994" s="2335"/>
      <c r="QRH994" s="2335"/>
      <c r="QRI994" s="2335"/>
      <c r="QRJ994" s="2335"/>
      <c r="QRK994" s="2335"/>
      <c r="QRL994" s="2335"/>
      <c r="QRM994" s="2335"/>
      <c r="QRN994" s="2335"/>
      <c r="QRO994" s="2335"/>
      <c r="QRP994" s="2335"/>
      <c r="QRQ994" s="2335"/>
      <c r="QRR994" s="2335"/>
      <c r="QRS994" s="2335"/>
      <c r="QRT994" s="2335"/>
      <c r="QRU994" s="2335"/>
      <c r="QRV994" s="2335"/>
      <c r="QRW994" s="2335"/>
      <c r="QRX994" s="2335"/>
      <c r="QRY994" s="2335"/>
      <c r="QRZ994" s="2335"/>
      <c r="QSA994" s="2335"/>
      <c r="QSB994" s="2335"/>
      <c r="QSC994" s="2335"/>
      <c r="QSD994" s="2335"/>
      <c r="QSE994" s="2335"/>
      <c r="QSF994" s="2335"/>
      <c r="QSG994" s="2335"/>
      <c r="QSH994" s="2335"/>
      <c r="QSI994" s="2335"/>
      <c r="QSJ994" s="2335"/>
      <c r="QSK994" s="2335"/>
      <c r="QSL994" s="2335"/>
      <c r="QSM994" s="2335"/>
      <c r="QSN994" s="2335"/>
      <c r="QSO994" s="2335"/>
      <c r="QSP994" s="2335"/>
      <c r="QSQ994" s="2335"/>
      <c r="QSR994" s="2335"/>
      <c r="QSS994" s="2335"/>
      <c r="QST994" s="2335"/>
      <c r="QSU994" s="2335"/>
      <c r="QSV994" s="2335"/>
      <c r="QSW994" s="2335"/>
      <c r="QSX994" s="2335"/>
      <c r="QSY994" s="2335"/>
      <c r="QSZ994" s="2335"/>
      <c r="QTA994" s="2335"/>
      <c r="QTB994" s="2335"/>
      <c r="QTC994" s="2335"/>
      <c r="QTD994" s="2335"/>
      <c r="QTE994" s="2335"/>
      <c r="QTF994" s="2335"/>
      <c r="QTG994" s="2335"/>
      <c r="QTH994" s="2335"/>
      <c r="QTI994" s="2335"/>
      <c r="QTJ994" s="2335"/>
      <c r="QTK994" s="2335"/>
      <c r="QTL994" s="2335"/>
      <c r="QTM994" s="2335"/>
      <c r="QTN994" s="2335"/>
      <c r="QTO994" s="2335"/>
      <c r="QTP994" s="2335"/>
      <c r="QTQ994" s="2335"/>
      <c r="QTR994" s="2335"/>
      <c r="QTS994" s="2335"/>
      <c r="QTT994" s="2335"/>
      <c r="QTU994" s="2335"/>
      <c r="QTV994" s="2335"/>
      <c r="QTW994" s="2335"/>
      <c r="QTX994" s="2335"/>
      <c r="QTY994" s="2335"/>
      <c r="QTZ994" s="2335"/>
      <c r="QUA994" s="2335"/>
      <c r="QUB994" s="2335"/>
      <c r="QUC994" s="2335"/>
      <c r="QUD994" s="2335"/>
      <c r="QUE994" s="2335"/>
      <c r="QUF994" s="2335"/>
      <c r="QUG994" s="2335"/>
      <c r="QUH994" s="2335"/>
      <c r="QUI994" s="2335"/>
      <c r="QUJ994" s="2335"/>
      <c r="QUK994" s="2335"/>
      <c r="QUL994" s="2335"/>
      <c r="QUM994" s="2335"/>
      <c r="QUN994" s="2335"/>
      <c r="QUO994" s="2335"/>
      <c r="QUP994" s="2335"/>
      <c r="QUQ994" s="2335"/>
      <c r="QUR994" s="2335"/>
      <c r="QUS994" s="2335"/>
      <c r="QUT994" s="2335"/>
      <c r="QUU994" s="2335"/>
      <c r="QUV994" s="2335"/>
      <c r="QUW994" s="2335"/>
      <c r="QUX994" s="2335"/>
      <c r="QUY994" s="2335"/>
      <c r="QUZ994" s="2335"/>
      <c r="QVA994" s="2335"/>
      <c r="QVB994" s="2335"/>
      <c r="QVC994" s="2335"/>
      <c r="QVD994" s="2335"/>
      <c r="QVE994" s="2335"/>
      <c r="QVF994" s="2335"/>
      <c r="QVG994" s="2335"/>
      <c r="QVH994" s="2335"/>
      <c r="QVI994" s="2335"/>
      <c r="QVJ994" s="2335"/>
      <c r="QVK994" s="2335"/>
      <c r="QVL994" s="2335"/>
      <c r="QVM994" s="2335"/>
      <c r="QVN994" s="2335"/>
      <c r="QVO994" s="2335"/>
      <c r="QVP994" s="2335"/>
      <c r="QVQ994" s="2335"/>
      <c r="QVR994" s="2335"/>
      <c r="QVS994" s="2335"/>
      <c r="QVT994" s="2335"/>
      <c r="QVU994" s="2335"/>
      <c r="QVV994" s="2335"/>
      <c r="QVW994" s="2335"/>
      <c r="QVX994" s="2335"/>
      <c r="QVY994" s="2335"/>
      <c r="QVZ994" s="2335"/>
      <c r="QWA994" s="2335"/>
      <c r="QWB994" s="2335"/>
      <c r="QWC994" s="2335"/>
      <c r="QWD994" s="2335"/>
      <c r="QWE994" s="2335"/>
      <c r="QWF994" s="2335"/>
      <c r="QWG994" s="2335"/>
      <c r="QWH994" s="2335"/>
      <c r="QWI994" s="2335"/>
      <c r="QWJ994" s="2335"/>
      <c r="QWK994" s="2335"/>
      <c r="QWL994" s="2335"/>
      <c r="QWM994" s="2335"/>
      <c r="QWN994" s="2335"/>
      <c r="QWO994" s="2335"/>
      <c r="QWP994" s="2335"/>
      <c r="QWQ994" s="2335"/>
      <c r="QWR994" s="2335"/>
      <c r="QWS994" s="2335"/>
      <c r="QWT994" s="2335"/>
      <c r="QWU994" s="2335"/>
      <c r="QWV994" s="2335"/>
      <c r="QWW994" s="2335"/>
      <c r="QWX994" s="2335"/>
      <c r="QWY994" s="2335"/>
      <c r="QWZ994" s="2335"/>
      <c r="QXA994" s="2335"/>
      <c r="QXB994" s="2335"/>
      <c r="QXC994" s="2335"/>
      <c r="QXD994" s="2335"/>
      <c r="QXE994" s="2335"/>
      <c r="QXF994" s="2335"/>
      <c r="QXG994" s="2335"/>
      <c r="QXH994" s="2335"/>
      <c r="QXI994" s="2335"/>
      <c r="QXJ994" s="2335"/>
      <c r="QXK994" s="2335"/>
      <c r="QXL994" s="2335"/>
      <c r="QXM994" s="2335"/>
      <c r="QXN994" s="2335"/>
      <c r="QXO994" s="2335"/>
      <c r="QXP994" s="2335"/>
      <c r="QXQ994" s="2335"/>
      <c r="QXR994" s="2335"/>
      <c r="QXS994" s="2335"/>
      <c r="QXT994" s="2335"/>
      <c r="QXU994" s="2335"/>
      <c r="QXV994" s="2335"/>
      <c r="QXW994" s="2335"/>
      <c r="QXX994" s="2335"/>
      <c r="QXY994" s="2335"/>
      <c r="QXZ994" s="2335"/>
      <c r="QYA994" s="2335"/>
      <c r="QYB994" s="2335"/>
      <c r="QYC994" s="2335"/>
      <c r="QYD994" s="2335"/>
      <c r="QYE994" s="2335"/>
      <c r="QYF994" s="2335"/>
      <c r="QYG994" s="2335"/>
      <c r="QYH994" s="2335"/>
      <c r="QYI994" s="2335"/>
      <c r="QYJ994" s="2335"/>
      <c r="QYK994" s="2335"/>
      <c r="QYL994" s="2335"/>
      <c r="QYM994" s="2335"/>
      <c r="QYN994" s="2335"/>
      <c r="QYO994" s="2335"/>
      <c r="QYP994" s="2335"/>
      <c r="QYQ994" s="2335"/>
      <c r="QYR994" s="2335"/>
      <c r="QYS994" s="2335"/>
      <c r="QYT994" s="2335"/>
      <c r="QYU994" s="2335"/>
      <c r="QYV994" s="2335"/>
      <c r="QYW994" s="2335"/>
      <c r="QYX994" s="2335"/>
      <c r="QYY994" s="2335"/>
      <c r="QYZ994" s="2335"/>
      <c r="QZA994" s="2335"/>
      <c r="QZB994" s="2335"/>
      <c r="QZC994" s="2335"/>
      <c r="QZD994" s="2335"/>
      <c r="QZE994" s="2335"/>
      <c r="QZF994" s="2335"/>
      <c r="QZG994" s="2335"/>
      <c r="QZH994" s="2335"/>
      <c r="QZI994" s="2335"/>
      <c r="QZJ994" s="2335"/>
      <c r="QZK994" s="2335"/>
      <c r="QZL994" s="2335"/>
      <c r="QZM994" s="2335"/>
      <c r="QZN994" s="2335"/>
      <c r="QZO994" s="2335"/>
      <c r="QZP994" s="2335"/>
      <c r="QZQ994" s="2335"/>
      <c r="QZR994" s="2335"/>
      <c r="QZS994" s="2335"/>
      <c r="QZT994" s="2335"/>
      <c r="QZU994" s="2335"/>
      <c r="QZV994" s="2335"/>
      <c r="QZW994" s="2335"/>
      <c r="QZX994" s="2335"/>
      <c r="QZY994" s="2335"/>
      <c r="QZZ994" s="2335"/>
      <c r="RAA994" s="2335"/>
      <c r="RAB994" s="2335"/>
      <c r="RAC994" s="2335"/>
      <c r="RAD994" s="2335"/>
      <c r="RAE994" s="2335"/>
      <c r="RAF994" s="2335"/>
      <c r="RAG994" s="2335"/>
      <c r="RAH994" s="2335"/>
      <c r="RAI994" s="2335"/>
      <c r="RAJ994" s="2335"/>
      <c r="RAK994" s="2335"/>
      <c r="RAL994" s="2335"/>
      <c r="RAM994" s="2335"/>
      <c r="RAN994" s="2335"/>
      <c r="RAO994" s="2335"/>
      <c r="RAP994" s="2335"/>
      <c r="RAQ994" s="2335"/>
      <c r="RAR994" s="2335"/>
      <c r="RAS994" s="2335"/>
      <c r="RAT994" s="2335"/>
      <c r="RAU994" s="2335"/>
      <c r="RAV994" s="2335"/>
      <c r="RAW994" s="2335"/>
      <c r="RAX994" s="2335"/>
      <c r="RAY994" s="2335"/>
      <c r="RAZ994" s="2335"/>
      <c r="RBA994" s="2335"/>
      <c r="RBB994" s="2335"/>
      <c r="RBC994" s="2335"/>
      <c r="RBD994" s="2335"/>
      <c r="RBE994" s="2335"/>
      <c r="RBF994" s="2335"/>
      <c r="RBG994" s="2335"/>
      <c r="RBH994" s="2335"/>
      <c r="RBI994" s="2335"/>
      <c r="RBJ994" s="2335"/>
      <c r="RBK994" s="2335"/>
      <c r="RBL994" s="2335"/>
      <c r="RBM994" s="2335"/>
      <c r="RBN994" s="2335"/>
      <c r="RBO994" s="2335"/>
      <c r="RBP994" s="2335"/>
      <c r="RBQ994" s="2335"/>
      <c r="RBR994" s="2335"/>
      <c r="RBS994" s="2335"/>
      <c r="RBT994" s="2335"/>
      <c r="RBU994" s="2335"/>
      <c r="RBV994" s="2335"/>
      <c r="RBW994" s="2335"/>
      <c r="RBX994" s="2335"/>
      <c r="RBY994" s="2335"/>
      <c r="RBZ994" s="2335"/>
      <c r="RCA994" s="2335"/>
      <c r="RCB994" s="2335"/>
      <c r="RCC994" s="2335"/>
      <c r="RCD994" s="2335"/>
      <c r="RCE994" s="2335"/>
      <c r="RCF994" s="2335"/>
      <c r="RCG994" s="2335"/>
      <c r="RCH994" s="2335"/>
      <c r="RCI994" s="2335"/>
      <c r="RCJ994" s="2335"/>
      <c r="RCK994" s="2335"/>
      <c r="RCL994" s="2335"/>
      <c r="RCM994" s="2335"/>
      <c r="RCN994" s="2335"/>
      <c r="RCO994" s="2335"/>
      <c r="RCP994" s="2335"/>
      <c r="RCQ994" s="2335"/>
      <c r="RCR994" s="2335"/>
      <c r="RCS994" s="2335"/>
      <c r="RCT994" s="2335"/>
      <c r="RCU994" s="2335"/>
      <c r="RCV994" s="2335"/>
      <c r="RCW994" s="2335"/>
      <c r="RCX994" s="2335"/>
      <c r="RCY994" s="2335"/>
      <c r="RCZ994" s="2335"/>
      <c r="RDA994" s="2335"/>
      <c r="RDB994" s="2335"/>
      <c r="RDC994" s="2335"/>
      <c r="RDD994" s="2335"/>
      <c r="RDE994" s="2335"/>
      <c r="RDF994" s="2335"/>
      <c r="RDG994" s="2335"/>
      <c r="RDH994" s="2335"/>
      <c r="RDI994" s="2335"/>
      <c r="RDJ994" s="2335"/>
      <c r="RDK994" s="2335"/>
      <c r="RDL994" s="2335"/>
      <c r="RDM994" s="2335"/>
      <c r="RDN994" s="2335"/>
      <c r="RDO994" s="2335"/>
      <c r="RDP994" s="2335"/>
      <c r="RDQ994" s="2335"/>
      <c r="RDR994" s="2335"/>
      <c r="RDS994" s="2335"/>
      <c r="RDT994" s="2335"/>
      <c r="RDU994" s="2335"/>
      <c r="RDV994" s="2335"/>
      <c r="RDW994" s="2335"/>
      <c r="RDX994" s="2335"/>
      <c r="RDY994" s="2335"/>
      <c r="RDZ994" s="2335"/>
      <c r="REA994" s="2335"/>
      <c r="REB994" s="2335"/>
      <c r="REC994" s="2335"/>
      <c r="RED994" s="2335"/>
      <c r="REE994" s="2335"/>
      <c r="REF994" s="2335"/>
      <c r="REG994" s="2335"/>
      <c r="REH994" s="2335"/>
      <c r="REI994" s="2335"/>
      <c r="REJ994" s="2335"/>
      <c r="REK994" s="2335"/>
      <c r="REL994" s="2335"/>
      <c r="REM994" s="2335"/>
      <c r="REN994" s="2335"/>
      <c r="REO994" s="2335"/>
      <c r="REP994" s="2335"/>
      <c r="REQ994" s="2335"/>
      <c r="RER994" s="2335"/>
      <c r="RES994" s="2335"/>
      <c r="RET994" s="2335"/>
      <c r="REU994" s="2335"/>
      <c r="REV994" s="2335"/>
      <c r="REW994" s="2335"/>
      <c r="REX994" s="2335"/>
      <c r="REY994" s="2335"/>
      <c r="REZ994" s="2335"/>
      <c r="RFA994" s="2335"/>
      <c r="RFB994" s="2335"/>
      <c r="RFC994" s="2335"/>
      <c r="RFD994" s="2335"/>
      <c r="RFE994" s="2335"/>
      <c r="RFF994" s="2335"/>
      <c r="RFG994" s="2335"/>
      <c r="RFH994" s="2335"/>
      <c r="RFI994" s="2335"/>
      <c r="RFJ994" s="2335"/>
      <c r="RFK994" s="2335"/>
      <c r="RFL994" s="2335"/>
      <c r="RFM994" s="2335"/>
      <c r="RFN994" s="2335"/>
      <c r="RFO994" s="2335"/>
      <c r="RFP994" s="2335"/>
      <c r="RFQ994" s="2335"/>
      <c r="RFR994" s="2335"/>
      <c r="RFS994" s="2335"/>
      <c r="RFT994" s="2335"/>
      <c r="RFU994" s="2335"/>
      <c r="RFV994" s="2335"/>
      <c r="RFW994" s="2335"/>
      <c r="RFX994" s="2335"/>
      <c r="RFY994" s="2335"/>
      <c r="RFZ994" s="2335"/>
      <c r="RGA994" s="2335"/>
      <c r="RGB994" s="2335"/>
      <c r="RGC994" s="2335"/>
      <c r="RGD994" s="2335"/>
      <c r="RGE994" s="2335"/>
      <c r="RGF994" s="2335"/>
      <c r="RGG994" s="2335"/>
      <c r="RGH994" s="2335"/>
      <c r="RGI994" s="2335"/>
      <c r="RGJ994" s="2335"/>
      <c r="RGK994" s="2335"/>
      <c r="RGL994" s="2335"/>
      <c r="RGM994" s="2335"/>
      <c r="RGN994" s="2335"/>
      <c r="RGO994" s="2335"/>
      <c r="RGP994" s="2335"/>
      <c r="RGQ994" s="2335"/>
      <c r="RGR994" s="2335"/>
      <c r="RGS994" s="2335"/>
      <c r="RGT994" s="2335"/>
      <c r="RGU994" s="2335"/>
      <c r="RGV994" s="2335"/>
      <c r="RGW994" s="2335"/>
      <c r="RGX994" s="2335"/>
      <c r="RGY994" s="2335"/>
      <c r="RGZ994" s="2335"/>
      <c r="RHA994" s="2335"/>
      <c r="RHB994" s="2335"/>
      <c r="RHC994" s="2335"/>
      <c r="RHD994" s="2335"/>
      <c r="RHE994" s="2335"/>
      <c r="RHF994" s="2335"/>
      <c r="RHG994" s="2335"/>
      <c r="RHH994" s="2335"/>
      <c r="RHI994" s="2335"/>
      <c r="RHJ994" s="2335"/>
      <c r="RHK994" s="2335"/>
      <c r="RHL994" s="2335"/>
      <c r="RHM994" s="2335"/>
      <c r="RHN994" s="2335"/>
      <c r="RHO994" s="2335"/>
      <c r="RHP994" s="2335"/>
      <c r="RHQ994" s="2335"/>
      <c r="RHR994" s="2335"/>
      <c r="RHS994" s="2335"/>
      <c r="RHT994" s="2335"/>
      <c r="RHU994" s="2335"/>
      <c r="RHV994" s="2335"/>
      <c r="RHW994" s="2335"/>
      <c r="RHX994" s="2335"/>
      <c r="RHY994" s="2335"/>
      <c r="RHZ994" s="2335"/>
      <c r="RIA994" s="2335"/>
      <c r="RIB994" s="2335"/>
      <c r="RIC994" s="2335"/>
      <c r="RID994" s="2335"/>
      <c r="RIE994" s="2335"/>
      <c r="RIF994" s="2335"/>
      <c r="RIG994" s="2335"/>
      <c r="RIH994" s="2335"/>
      <c r="RII994" s="2335"/>
      <c r="RIJ994" s="2335"/>
      <c r="RIK994" s="2335"/>
      <c r="RIL994" s="2335"/>
      <c r="RIM994" s="2335"/>
      <c r="RIN994" s="2335"/>
      <c r="RIO994" s="2335"/>
      <c r="RIP994" s="2335"/>
      <c r="RIQ994" s="2335"/>
      <c r="RIR994" s="2335"/>
      <c r="RIS994" s="2335"/>
      <c r="RIT994" s="2335"/>
      <c r="RIU994" s="2335"/>
      <c r="RIV994" s="2335"/>
      <c r="RIW994" s="2335"/>
      <c r="RIX994" s="2335"/>
      <c r="RIY994" s="2335"/>
      <c r="RIZ994" s="2335"/>
      <c r="RJA994" s="2335"/>
      <c r="RJB994" s="2335"/>
      <c r="RJC994" s="2335"/>
      <c r="RJD994" s="2335"/>
      <c r="RJE994" s="2335"/>
      <c r="RJF994" s="2335"/>
      <c r="RJG994" s="2335"/>
      <c r="RJH994" s="2335"/>
      <c r="RJI994" s="2335"/>
      <c r="RJJ994" s="2335"/>
      <c r="RJK994" s="2335"/>
      <c r="RJL994" s="2335"/>
      <c r="RJM994" s="2335"/>
      <c r="RJN994" s="2335"/>
      <c r="RJO994" s="2335"/>
      <c r="RJP994" s="2335"/>
      <c r="RJQ994" s="2335"/>
      <c r="RJR994" s="2335"/>
      <c r="RJS994" s="2335"/>
      <c r="RJT994" s="2335"/>
      <c r="RJU994" s="2335"/>
      <c r="RJV994" s="2335"/>
      <c r="RJW994" s="2335"/>
      <c r="RJX994" s="2335"/>
      <c r="RJY994" s="2335"/>
      <c r="RJZ994" s="2335"/>
      <c r="RKA994" s="2335"/>
      <c r="RKB994" s="2335"/>
      <c r="RKC994" s="2335"/>
      <c r="RKD994" s="2335"/>
      <c r="RKE994" s="2335"/>
      <c r="RKF994" s="2335"/>
      <c r="RKG994" s="2335"/>
      <c r="RKH994" s="2335"/>
      <c r="RKI994" s="2335"/>
      <c r="RKJ994" s="2335"/>
      <c r="RKK994" s="2335"/>
      <c r="RKL994" s="2335"/>
      <c r="RKM994" s="2335"/>
      <c r="RKN994" s="2335"/>
      <c r="RKO994" s="2335"/>
      <c r="RKP994" s="2335"/>
      <c r="RKQ994" s="2335"/>
      <c r="RKR994" s="2335"/>
      <c r="RKS994" s="2335"/>
      <c r="RKT994" s="2335"/>
      <c r="RKU994" s="2335"/>
      <c r="RKV994" s="2335"/>
      <c r="RKW994" s="2335"/>
      <c r="RKX994" s="2335"/>
      <c r="RKY994" s="2335"/>
      <c r="RKZ994" s="2335"/>
      <c r="RLA994" s="2335"/>
      <c r="RLB994" s="2335"/>
      <c r="RLC994" s="2335"/>
      <c r="RLD994" s="2335"/>
      <c r="RLE994" s="2335"/>
      <c r="RLF994" s="2335"/>
      <c r="RLG994" s="2335"/>
      <c r="RLH994" s="2335"/>
      <c r="RLI994" s="2335"/>
      <c r="RLJ994" s="2335"/>
      <c r="RLK994" s="2335"/>
      <c r="RLL994" s="2335"/>
      <c r="RLM994" s="2335"/>
      <c r="RLN994" s="2335"/>
      <c r="RLO994" s="2335"/>
      <c r="RLP994" s="2335"/>
      <c r="RLQ994" s="2335"/>
      <c r="RLR994" s="2335"/>
      <c r="RLS994" s="2335"/>
      <c r="RLT994" s="2335"/>
      <c r="RLU994" s="2335"/>
      <c r="RLV994" s="2335"/>
      <c r="RLW994" s="2335"/>
      <c r="RLX994" s="2335"/>
      <c r="RLY994" s="2335"/>
      <c r="RLZ994" s="2335"/>
      <c r="RMA994" s="2335"/>
      <c r="RMB994" s="2335"/>
      <c r="RMC994" s="2335"/>
      <c r="RMD994" s="2335"/>
      <c r="RME994" s="2335"/>
      <c r="RMF994" s="2335"/>
      <c r="RMG994" s="2335"/>
      <c r="RMH994" s="2335"/>
      <c r="RMI994" s="2335"/>
      <c r="RMJ994" s="2335"/>
      <c r="RMK994" s="2335"/>
      <c r="RML994" s="2335"/>
      <c r="RMM994" s="2335"/>
      <c r="RMN994" s="2335"/>
      <c r="RMO994" s="2335"/>
      <c r="RMP994" s="2335"/>
      <c r="RMQ994" s="2335"/>
      <c r="RMR994" s="2335"/>
      <c r="RMS994" s="2335"/>
      <c r="RMT994" s="2335"/>
      <c r="RMU994" s="2335"/>
      <c r="RMV994" s="2335"/>
      <c r="RMW994" s="2335"/>
      <c r="RMX994" s="2335"/>
      <c r="RMY994" s="2335"/>
      <c r="RMZ994" s="2335"/>
      <c r="RNA994" s="2335"/>
      <c r="RNB994" s="2335"/>
      <c r="RNC994" s="2335"/>
      <c r="RND994" s="2335"/>
      <c r="RNE994" s="2335"/>
      <c r="RNF994" s="2335"/>
      <c r="RNG994" s="2335"/>
      <c r="RNH994" s="2335"/>
      <c r="RNI994" s="2335"/>
      <c r="RNJ994" s="2335"/>
      <c r="RNK994" s="2335"/>
      <c r="RNL994" s="2335"/>
      <c r="RNM994" s="2335"/>
      <c r="RNN994" s="2335"/>
      <c r="RNO994" s="2335"/>
      <c r="RNP994" s="2335"/>
      <c r="RNQ994" s="2335"/>
      <c r="RNR994" s="2335"/>
      <c r="RNS994" s="2335"/>
      <c r="RNT994" s="2335"/>
      <c r="RNU994" s="2335"/>
      <c r="RNV994" s="2335"/>
      <c r="RNW994" s="2335"/>
      <c r="RNX994" s="2335"/>
      <c r="RNY994" s="2335"/>
      <c r="RNZ994" s="2335"/>
      <c r="ROA994" s="2335"/>
      <c r="ROB994" s="2335"/>
      <c r="ROC994" s="2335"/>
      <c r="ROD994" s="2335"/>
      <c r="ROE994" s="2335"/>
      <c r="ROF994" s="2335"/>
      <c r="ROG994" s="2335"/>
      <c r="ROH994" s="2335"/>
      <c r="ROI994" s="2335"/>
      <c r="ROJ994" s="2335"/>
      <c r="ROK994" s="2335"/>
      <c r="ROL994" s="2335"/>
      <c r="ROM994" s="2335"/>
      <c r="RON994" s="2335"/>
      <c r="ROO994" s="2335"/>
      <c r="ROP994" s="2335"/>
      <c r="ROQ994" s="2335"/>
      <c r="ROR994" s="2335"/>
      <c r="ROS994" s="2335"/>
      <c r="ROT994" s="2335"/>
      <c r="ROU994" s="2335"/>
      <c r="ROV994" s="2335"/>
      <c r="ROW994" s="2335"/>
      <c r="ROX994" s="2335"/>
      <c r="ROY994" s="2335"/>
      <c r="ROZ994" s="2335"/>
      <c r="RPA994" s="2335"/>
      <c r="RPB994" s="2335"/>
      <c r="RPC994" s="2335"/>
      <c r="RPD994" s="2335"/>
      <c r="RPE994" s="2335"/>
      <c r="RPF994" s="2335"/>
      <c r="RPG994" s="2335"/>
      <c r="RPH994" s="2335"/>
      <c r="RPI994" s="2335"/>
      <c r="RPJ994" s="2335"/>
      <c r="RPK994" s="2335"/>
      <c r="RPL994" s="2335"/>
      <c r="RPM994" s="2335"/>
      <c r="RPN994" s="2335"/>
      <c r="RPO994" s="2335"/>
      <c r="RPP994" s="2335"/>
      <c r="RPQ994" s="2335"/>
      <c r="RPR994" s="2335"/>
      <c r="RPS994" s="2335"/>
      <c r="RPT994" s="2335"/>
      <c r="RPU994" s="2335"/>
      <c r="RPV994" s="2335"/>
      <c r="RPW994" s="2335"/>
      <c r="RPX994" s="2335"/>
      <c r="RPY994" s="2335"/>
      <c r="RPZ994" s="2335"/>
      <c r="RQA994" s="2335"/>
      <c r="RQB994" s="2335"/>
      <c r="RQC994" s="2335"/>
      <c r="RQD994" s="2335"/>
      <c r="RQE994" s="2335"/>
      <c r="RQF994" s="2335"/>
      <c r="RQG994" s="2335"/>
      <c r="RQH994" s="2335"/>
      <c r="RQI994" s="2335"/>
      <c r="RQJ994" s="2335"/>
      <c r="RQK994" s="2335"/>
      <c r="RQL994" s="2335"/>
      <c r="RQM994" s="2335"/>
      <c r="RQN994" s="2335"/>
      <c r="RQO994" s="2335"/>
      <c r="RQP994" s="2335"/>
      <c r="RQQ994" s="2335"/>
      <c r="RQR994" s="2335"/>
      <c r="RQS994" s="2335"/>
      <c r="RQT994" s="2335"/>
      <c r="RQU994" s="2335"/>
      <c r="RQV994" s="2335"/>
      <c r="RQW994" s="2335"/>
      <c r="RQX994" s="2335"/>
      <c r="RQY994" s="2335"/>
      <c r="RQZ994" s="2335"/>
      <c r="RRA994" s="2335"/>
      <c r="RRB994" s="2335"/>
      <c r="RRC994" s="2335"/>
      <c r="RRD994" s="2335"/>
      <c r="RRE994" s="2335"/>
      <c r="RRF994" s="2335"/>
      <c r="RRG994" s="2335"/>
      <c r="RRH994" s="2335"/>
      <c r="RRI994" s="2335"/>
      <c r="RRJ994" s="2335"/>
      <c r="RRK994" s="2335"/>
      <c r="RRL994" s="2335"/>
      <c r="RRM994" s="2335"/>
      <c r="RRN994" s="2335"/>
      <c r="RRO994" s="2335"/>
      <c r="RRP994" s="2335"/>
      <c r="RRQ994" s="2335"/>
      <c r="RRR994" s="2335"/>
      <c r="RRS994" s="2335"/>
      <c r="RRT994" s="2335"/>
      <c r="RRU994" s="2335"/>
      <c r="RRV994" s="2335"/>
      <c r="RRW994" s="2335"/>
      <c r="RRX994" s="2335"/>
      <c r="RRY994" s="2335"/>
      <c r="RRZ994" s="2335"/>
      <c r="RSA994" s="2335"/>
      <c r="RSB994" s="2335"/>
      <c r="RSC994" s="2335"/>
      <c r="RSD994" s="2335"/>
      <c r="RSE994" s="2335"/>
      <c r="RSF994" s="2335"/>
      <c r="RSG994" s="2335"/>
      <c r="RSH994" s="2335"/>
      <c r="RSI994" s="2335"/>
      <c r="RSJ994" s="2335"/>
      <c r="RSK994" s="2335"/>
      <c r="RSL994" s="2335"/>
      <c r="RSM994" s="2335"/>
      <c r="RSN994" s="2335"/>
      <c r="RSO994" s="2335"/>
      <c r="RSP994" s="2335"/>
      <c r="RSQ994" s="2335"/>
      <c r="RSR994" s="2335"/>
      <c r="RSS994" s="2335"/>
      <c r="RST994" s="2335"/>
      <c r="RSU994" s="2335"/>
      <c r="RSV994" s="2335"/>
      <c r="RSW994" s="2335"/>
      <c r="RSX994" s="2335"/>
      <c r="RSY994" s="2335"/>
      <c r="RSZ994" s="2335"/>
      <c r="RTA994" s="2335"/>
      <c r="RTB994" s="2335"/>
      <c r="RTC994" s="2335"/>
      <c r="RTD994" s="2335"/>
      <c r="RTE994" s="2335"/>
      <c r="RTF994" s="2335"/>
      <c r="RTG994" s="2335"/>
      <c r="RTH994" s="2335"/>
      <c r="RTI994" s="2335"/>
      <c r="RTJ994" s="2335"/>
      <c r="RTK994" s="2335"/>
      <c r="RTL994" s="2335"/>
      <c r="RTM994" s="2335"/>
      <c r="RTN994" s="2335"/>
      <c r="RTO994" s="2335"/>
      <c r="RTP994" s="2335"/>
      <c r="RTQ994" s="2335"/>
      <c r="RTR994" s="2335"/>
      <c r="RTS994" s="2335"/>
      <c r="RTT994" s="2335"/>
      <c r="RTU994" s="2335"/>
      <c r="RTV994" s="2335"/>
      <c r="RTW994" s="2335"/>
      <c r="RTX994" s="2335"/>
      <c r="RTY994" s="2335"/>
      <c r="RTZ994" s="2335"/>
      <c r="RUA994" s="2335"/>
      <c r="RUB994" s="2335"/>
      <c r="RUC994" s="2335"/>
      <c r="RUD994" s="2335"/>
      <c r="RUE994" s="2335"/>
      <c r="RUF994" s="2335"/>
      <c r="RUG994" s="2335"/>
      <c r="RUH994" s="2335"/>
      <c r="RUI994" s="2335"/>
      <c r="RUJ994" s="2335"/>
      <c r="RUK994" s="2335"/>
      <c r="RUL994" s="2335"/>
      <c r="RUM994" s="2335"/>
      <c r="RUN994" s="2335"/>
      <c r="RUO994" s="2335"/>
      <c r="RUP994" s="2335"/>
      <c r="RUQ994" s="2335"/>
      <c r="RUR994" s="2335"/>
      <c r="RUS994" s="2335"/>
      <c r="RUT994" s="2335"/>
      <c r="RUU994" s="2335"/>
      <c r="RUV994" s="2335"/>
      <c r="RUW994" s="2335"/>
      <c r="RUX994" s="2335"/>
      <c r="RUY994" s="2335"/>
      <c r="RUZ994" s="2335"/>
      <c r="RVA994" s="2335"/>
      <c r="RVB994" s="2335"/>
      <c r="RVC994" s="2335"/>
      <c r="RVD994" s="2335"/>
      <c r="RVE994" s="2335"/>
      <c r="RVF994" s="2335"/>
      <c r="RVG994" s="2335"/>
      <c r="RVH994" s="2335"/>
      <c r="RVI994" s="2335"/>
      <c r="RVJ994" s="2335"/>
      <c r="RVK994" s="2335"/>
      <c r="RVL994" s="2335"/>
      <c r="RVM994" s="2335"/>
      <c r="RVN994" s="2335"/>
      <c r="RVO994" s="2335"/>
      <c r="RVP994" s="2335"/>
      <c r="RVQ994" s="2335"/>
      <c r="RVR994" s="2335"/>
      <c r="RVS994" s="2335"/>
      <c r="RVT994" s="2335"/>
      <c r="RVU994" s="2335"/>
      <c r="RVV994" s="2335"/>
      <c r="RVW994" s="2335"/>
      <c r="RVX994" s="2335"/>
      <c r="RVY994" s="2335"/>
      <c r="RVZ994" s="2335"/>
      <c r="RWA994" s="2335"/>
      <c r="RWB994" s="2335"/>
      <c r="RWC994" s="2335"/>
      <c r="RWD994" s="2335"/>
      <c r="RWE994" s="2335"/>
      <c r="RWF994" s="2335"/>
      <c r="RWG994" s="2335"/>
      <c r="RWH994" s="2335"/>
      <c r="RWI994" s="2335"/>
      <c r="RWJ994" s="2335"/>
      <c r="RWK994" s="2335"/>
      <c r="RWL994" s="2335"/>
      <c r="RWM994" s="2335"/>
      <c r="RWN994" s="2335"/>
      <c r="RWO994" s="2335"/>
      <c r="RWP994" s="2335"/>
      <c r="RWQ994" s="2335"/>
      <c r="RWR994" s="2335"/>
      <c r="RWS994" s="2335"/>
      <c r="RWT994" s="2335"/>
      <c r="RWU994" s="2335"/>
      <c r="RWV994" s="2335"/>
      <c r="RWW994" s="2335"/>
      <c r="RWX994" s="2335"/>
      <c r="RWY994" s="2335"/>
      <c r="RWZ994" s="2335"/>
      <c r="RXA994" s="2335"/>
      <c r="RXB994" s="2335"/>
      <c r="RXC994" s="2335"/>
      <c r="RXD994" s="2335"/>
      <c r="RXE994" s="2335"/>
      <c r="RXF994" s="2335"/>
      <c r="RXG994" s="2335"/>
      <c r="RXH994" s="2335"/>
      <c r="RXI994" s="2335"/>
      <c r="RXJ994" s="2335"/>
      <c r="RXK994" s="2335"/>
      <c r="RXL994" s="2335"/>
      <c r="RXM994" s="2335"/>
      <c r="RXN994" s="2335"/>
      <c r="RXO994" s="2335"/>
      <c r="RXP994" s="2335"/>
      <c r="RXQ994" s="2335"/>
      <c r="RXR994" s="2335"/>
      <c r="RXS994" s="2335"/>
      <c r="RXT994" s="2335"/>
      <c r="RXU994" s="2335"/>
      <c r="RXV994" s="2335"/>
      <c r="RXW994" s="2335"/>
      <c r="RXX994" s="2335"/>
      <c r="RXY994" s="2335"/>
      <c r="RXZ994" s="2335"/>
      <c r="RYA994" s="2335"/>
      <c r="RYB994" s="2335"/>
      <c r="RYC994" s="2335"/>
      <c r="RYD994" s="2335"/>
      <c r="RYE994" s="2335"/>
      <c r="RYF994" s="2335"/>
      <c r="RYG994" s="2335"/>
      <c r="RYH994" s="2335"/>
      <c r="RYI994" s="2335"/>
      <c r="RYJ994" s="2335"/>
      <c r="RYK994" s="2335"/>
      <c r="RYL994" s="2335"/>
      <c r="RYM994" s="2335"/>
      <c r="RYN994" s="2335"/>
      <c r="RYO994" s="2335"/>
      <c r="RYP994" s="2335"/>
      <c r="RYQ994" s="2335"/>
      <c r="RYR994" s="2335"/>
      <c r="RYS994" s="2335"/>
      <c r="RYT994" s="2335"/>
      <c r="RYU994" s="2335"/>
      <c r="RYV994" s="2335"/>
      <c r="RYW994" s="2335"/>
      <c r="RYX994" s="2335"/>
      <c r="RYY994" s="2335"/>
      <c r="RYZ994" s="2335"/>
      <c r="RZA994" s="2335"/>
      <c r="RZB994" s="2335"/>
      <c r="RZC994" s="2335"/>
      <c r="RZD994" s="2335"/>
      <c r="RZE994" s="2335"/>
      <c r="RZF994" s="2335"/>
      <c r="RZG994" s="2335"/>
      <c r="RZH994" s="2335"/>
      <c r="RZI994" s="2335"/>
      <c r="RZJ994" s="2335"/>
      <c r="RZK994" s="2335"/>
      <c r="RZL994" s="2335"/>
      <c r="RZM994" s="2335"/>
      <c r="RZN994" s="2335"/>
      <c r="RZO994" s="2335"/>
      <c r="RZP994" s="2335"/>
      <c r="RZQ994" s="2335"/>
      <c r="RZR994" s="2335"/>
      <c r="RZS994" s="2335"/>
      <c r="RZT994" s="2335"/>
      <c r="RZU994" s="2335"/>
      <c r="RZV994" s="2335"/>
      <c r="RZW994" s="2335"/>
      <c r="RZX994" s="2335"/>
      <c r="RZY994" s="2335"/>
      <c r="RZZ994" s="2335"/>
      <c r="SAA994" s="2335"/>
      <c r="SAB994" s="2335"/>
      <c r="SAC994" s="2335"/>
      <c r="SAD994" s="2335"/>
      <c r="SAE994" s="2335"/>
      <c r="SAF994" s="2335"/>
      <c r="SAG994" s="2335"/>
      <c r="SAH994" s="2335"/>
      <c r="SAI994" s="2335"/>
      <c r="SAJ994" s="2335"/>
      <c r="SAK994" s="2335"/>
      <c r="SAL994" s="2335"/>
      <c r="SAM994" s="2335"/>
      <c r="SAN994" s="2335"/>
      <c r="SAO994" s="2335"/>
      <c r="SAP994" s="2335"/>
      <c r="SAQ994" s="2335"/>
      <c r="SAR994" s="2335"/>
      <c r="SAS994" s="2335"/>
      <c r="SAT994" s="2335"/>
      <c r="SAU994" s="2335"/>
      <c r="SAV994" s="2335"/>
      <c r="SAW994" s="2335"/>
      <c r="SAX994" s="2335"/>
      <c r="SAY994" s="2335"/>
      <c r="SAZ994" s="2335"/>
      <c r="SBA994" s="2335"/>
      <c r="SBB994" s="2335"/>
      <c r="SBC994" s="2335"/>
      <c r="SBD994" s="2335"/>
      <c r="SBE994" s="2335"/>
      <c r="SBF994" s="2335"/>
      <c r="SBG994" s="2335"/>
      <c r="SBH994" s="2335"/>
      <c r="SBI994" s="2335"/>
      <c r="SBJ994" s="2335"/>
      <c r="SBK994" s="2335"/>
      <c r="SBL994" s="2335"/>
      <c r="SBM994" s="2335"/>
      <c r="SBN994" s="2335"/>
      <c r="SBO994" s="2335"/>
      <c r="SBP994" s="2335"/>
      <c r="SBQ994" s="2335"/>
      <c r="SBR994" s="2335"/>
      <c r="SBS994" s="2335"/>
      <c r="SBT994" s="2335"/>
      <c r="SBU994" s="2335"/>
      <c r="SBV994" s="2335"/>
      <c r="SBW994" s="2335"/>
      <c r="SBX994" s="2335"/>
      <c r="SBY994" s="2335"/>
      <c r="SBZ994" s="2335"/>
      <c r="SCA994" s="2335"/>
      <c r="SCB994" s="2335"/>
      <c r="SCC994" s="2335"/>
      <c r="SCD994" s="2335"/>
      <c r="SCE994" s="2335"/>
      <c r="SCF994" s="2335"/>
      <c r="SCG994" s="2335"/>
      <c r="SCH994" s="2335"/>
      <c r="SCI994" s="2335"/>
      <c r="SCJ994" s="2335"/>
      <c r="SCK994" s="2335"/>
      <c r="SCL994" s="2335"/>
      <c r="SCM994" s="2335"/>
      <c r="SCN994" s="2335"/>
      <c r="SCO994" s="2335"/>
      <c r="SCP994" s="2335"/>
      <c r="SCQ994" s="2335"/>
      <c r="SCR994" s="2335"/>
      <c r="SCS994" s="2335"/>
      <c r="SCT994" s="2335"/>
      <c r="SCU994" s="2335"/>
      <c r="SCV994" s="2335"/>
      <c r="SCW994" s="2335"/>
      <c r="SCX994" s="2335"/>
      <c r="SCY994" s="2335"/>
      <c r="SCZ994" s="2335"/>
      <c r="SDA994" s="2335"/>
      <c r="SDB994" s="2335"/>
      <c r="SDC994" s="2335"/>
      <c r="SDD994" s="2335"/>
      <c r="SDE994" s="2335"/>
      <c r="SDF994" s="2335"/>
      <c r="SDG994" s="2335"/>
      <c r="SDH994" s="2335"/>
      <c r="SDI994" s="2335"/>
      <c r="SDJ994" s="2335"/>
      <c r="SDK994" s="2335"/>
      <c r="SDL994" s="2335"/>
      <c r="SDM994" s="2335"/>
      <c r="SDN994" s="2335"/>
      <c r="SDO994" s="2335"/>
      <c r="SDP994" s="2335"/>
      <c r="SDQ994" s="2335"/>
      <c r="SDR994" s="2335"/>
      <c r="SDS994" s="2335"/>
      <c r="SDT994" s="2335"/>
      <c r="SDU994" s="2335"/>
      <c r="SDV994" s="2335"/>
      <c r="SDW994" s="2335"/>
      <c r="SDX994" s="2335"/>
      <c r="SDY994" s="2335"/>
      <c r="SDZ994" s="2335"/>
      <c r="SEA994" s="2335"/>
      <c r="SEB994" s="2335"/>
      <c r="SEC994" s="2335"/>
      <c r="SED994" s="2335"/>
      <c r="SEE994" s="2335"/>
      <c r="SEF994" s="2335"/>
      <c r="SEG994" s="2335"/>
      <c r="SEH994" s="2335"/>
      <c r="SEI994" s="2335"/>
      <c r="SEJ994" s="2335"/>
      <c r="SEK994" s="2335"/>
      <c r="SEL994" s="2335"/>
      <c r="SEM994" s="2335"/>
      <c r="SEN994" s="2335"/>
      <c r="SEO994" s="2335"/>
      <c r="SEP994" s="2335"/>
      <c r="SEQ994" s="2335"/>
      <c r="SER994" s="2335"/>
      <c r="SES994" s="2335"/>
      <c r="SET994" s="2335"/>
      <c r="SEU994" s="2335"/>
      <c r="SEV994" s="2335"/>
      <c r="SEW994" s="2335"/>
      <c r="SEX994" s="2335"/>
      <c r="SEY994" s="2335"/>
      <c r="SEZ994" s="2335"/>
      <c r="SFA994" s="2335"/>
      <c r="SFB994" s="2335"/>
      <c r="SFC994" s="2335"/>
      <c r="SFD994" s="2335"/>
      <c r="SFE994" s="2335"/>
      <c r="SFF994" s="2335"/>
      <c r="SFG994" s="2335"/>
      <c r="SFH994" s="2335"/>
      <c r="SFI994" s="2335"/>
      <c r="SFJ994" s="2335"/>
      <c r="SFK994" s="2335"/>
      <c r="SFL994" s="2335"/>
      <c r="SFM994" s="2335"/>
      <c r="SFN994" s="2335"/>
      <c r="SFO994" s="2335"/>
      <c r="SFP994" s="2335"/>
      <c r="SFQ994" s="2335"/>
      <c r="SFR994" s="2335"/>
      <c r="SFS994" s="2335"/>
      <c r="SFT994" s="2335"/>
      <c r="SFU994" s="2335"/>
      <c r="SFV994" s="2335"/>
      <c r="SFW994" s="2335"/>
      <c r="SFX994" s="2335"/>
      <c r="SFY994" s="2335"/>
      <c r="SFZ994" s="2335"/>
      <c r="SGA994" s="2335"/>
      <c r="SGB994" s="2335"/>
      <c r="SGC994" s="2335"/>
      <c r="SGD994" s="2335"/>
      <c r="SGE994" s="2335"/>
      <c r="SGF994" s="2335"/>
      <c r="SGG994" s="2335"/>
      <c r="SGH994" s="2335"/>
      <c r="SGI994" s="2335"/>
      <c r="SGJ994" s="2335"/>
      <c r="SGK994" s="2335"/>
      <c r="SGL994" s="2335"/>
      <c r="SGM994" s="2335"/>
      <c r="SGN994" s="2335"/>
      <c r="SGO994" s="2335"/>
      <c r="SGP994" s="2335"/>
      <c r="SGQ994" s="2335"/>
      <c r="SGR994" s="2335"/>
      <c r="SGS994" s="2335"/>
      <c r="SGT994" s="2335"/>
      <c r="SGU994" s="2335"/>
      <c r="SGV994" s="2335"/>
      <c r="SGW994" s="2335"/>
      <c r="SGX994" s="2335"/>
      <c r="SGY994" s="2335"/>
      <c r="SGZ994" s="2335"/>
      <c r="SHA994" s="2335"/>
      <c r="SHB994" s="2335"/>
      <c r="SHC994" s="2335"/>
      <c r="SHD994" s="2335"/>
      <c r="SHE994" s="2335"/>
      <c r="SHF994" s="2335"/>
      <c r="SHG994" s="2335"/>
      <c r="SHH994" s="2335"/>
      <c r="SHI994" s="2335"/>
      <c r="SHJ994" s="2335"/>
      <c r="SHK994" s="2335"/>
      <c r="SHL994" s="2335"/>
      <c r="SHM994" s="2335"/>
      <c r="SHN994" s="2335"/>
      <c r="SHO994" s="2335"/>
      <c r="SHP994" s="2335"/>
      <c r="SHQ994" s="2335"/>
      <c r="SHR994" s="2335"/>
      <c r="SHS994" s="2335"/>
      <c r="SHT994" s="2335"/>
      <c r="SHU994" s="2335"/>
      <c r="SHV994" s="2335"/>
      <c r="SHW994" s="2335"/>
      <c r="SHX994" s="2335"/>
      <c r="SHY994" s="2335"/>
      <c r="SHZ994" s="2335"/>
      <c r="SIA994" s="2335"/>
      <c r="SIB994" s="2335"/>
      <c r="SIC994" s="2335"/>
      <c r="SID994" s="2335"/>
      <c r="SIE994" s="2335"/>
      <c r="SIF994" s="2335"/>
      <c r="SIG994" s="2335"/>
      <c r="SIH994" s="2335"/>
      <c r="SII994" s="2335"/>
      <c r="SIJ994" s="2335"/>
      <c r="SIK994" s="2335"/>
      <c r="SIL994" s="2335"/>
      <c r="SIM994" s="2335"/>
      <c r="SIN994" s="2335"/>
      <c r="SIO994" s="2335"/>
      <c r="SIP994" s="2335"/>
      <c r="SIQ994" s="2335"/>
      <c r="SIR994" s="2335"/>
      <c r="SIS994" s="2335"/>
      <c r="SIT994" s="2335"/>
      <c r="SIU994" s="2335"/>
      <c r="SIV994" s="2335"/>
      <c r="SIW994" s="2335"/>
      <c r="SIX994" s="2335"/>
      <c r="SIY994" s="2335"/>
      <c r="SIZ994" s="2335"/>
      <c r="SJA994" s="2335"/>
      <c r="SJB994" s="2335"/>
      <c r="SJC994" s="2335"/>
      <c r="SJD994" s="2335"/>
      <c r="SJE994" s="2335"/>
      <c r="SJF994" s="2335"/>
      <c r="SJG994" s="2335"/>
      <c r="SJH994" s="2335"/>
      <c r="SJI994" s="2335"/>
      <c r="SJJ994" s="2335"/>
      <c r="SJK994" s="2335"/>
      <c r="SJL994" s="2335"/>
      <c r="SJM994" s="2335"/>
      <c r="SJN994" s="2335"/>
      <c r="SJO994" s="2335"/>
      <c r="SJP994" s="2335"/>
      <c r="SJQ994" s="2335"/>
      <c r="SJR994" s="2335"/>
      <c r="SJS994" s="2335"/>
      <c r="SJT994" s="2335"/>
      <c r="SJU994" s="2335"/>
      <c r="SJV994" s="2335"/>
      <c r="SJW994" s="2335"/>
      <c r="SJX994" s="2335"/>
      <c r="SJY994" s="2335"/>
      <c r="SJZ994" s="2335"/>
      <c r="SKA994" s="2335"/>
      <c r="SKB994" s="2335"/>
      <c r="SKC994" s="2335"/>
      <c r="SKD994" s="2335"/>
      <c r="SKE994" s="2335"/>
      <c r="SKF994" s="2335"/>
      <c r="SKG994" s="2335"/>
      <c r="SKH994" s="2335"/>
      <c r="SKI994" s="2335"/>
      <c r="SKJ994" s="2335"/>
      <c r="SKK994" s="2335"/>
      <c r="SKL994" s="2335"/>
      <c r="SKM994" s="2335"/>
      <c r="SKN994" s="2335"/>
      <c r="SKO994" s="2335"/>
      <c r="SKP994" s="2335"/>
      <c r="SKQ994" s="2335"/>
      <c r="SKR994" s="2335"/>
      <c r="SKS994" s="2335"/>
      <c r="SKT994" s="2335"/>
      <c r="SKU994" s="2335"/>
      <c r="SKV994" s="2335"/>
      <c r="SKW994" s="2335"/>
      <c r="SKX994" s="2335"/>
      <c r="SKY994" s="2335"/>
      <c r="SKZ994" s="2335"/>
      <c r="SLA994" s="2335"/>
      <c r="SLB994" s="2335"/>
      <c r="SLC994" s="2335"/>
      <c r="SLD994" s="2335"/>
      <c r="SLE994" s="2335"/>
      <c r="SLF994" s="2335"/>
      <c r="SLG994" s="2335"/>
      <c r="SLH994" s="2335"/>
      <c r="SLI994" s="2335"/>
      <c r="SLJ994" s="2335"/>
      <c r="SLK994" s="2335"/>
      <c r="SLL994" s="2335"/>
      <c r="SLM994" s="2335"/>
      <c r="SLN994" s="2335"/>
      <c r="SLO994" s="2335"/>
      <c r="SLP994" s="2335"/>
      <c r="SLQ994" s="2335"/>
      <c r="SLR994" s="2335"/>
      <c r="SLS994" s="2335"/>
      <c r="SLT994" s="2335"/>
      <c r="SLU994" s="2335"/>
      <c r="SLV994" s="2335"/>
      <c r="SLW994" s="2335"/>
      <c r="SLX994" s="2335"/>
      <c r="SLY994" s="2335"/>
      <c r="SLZ994" s="2335"/>
      <c r="SMA994" s="2335"/>
      <c r="SMB994" s="2335"/>
      <c r="SMC994" s="2335"/>
      <c r="SMD994" s="2335"/>
      <c r="SME994" s="2335"/>
      <c r="SMF994" s="2335"/>
      <c r="SMG994" s="2335"/>
      <c r="SMH994" s="2335"/>
      <c r="SMI994" s="2335"/>
      <c r="SMJ994" s="2335"/>
      <c r="SMK994" s="2335"/>
      <c r="SML994" s="2335"/>
      <c r="SMM994" s="2335"/>
      <c r="SMN994" s="2335"/>
      <c r="SMO994" s="2335"/>
      <c r="SMP994" s="2335"/>
      <c r="SMQ994" s="2335"/>
      <c r="SMR994" s="2335"/>
      <c r="SMS994" s="2335"/>
      <c r="SMT994" s="2335"/>
      <c r="SMU994" s="2335"/>
      <c r="SMV994" s="2335"/>
      <c r="SMW994" s="2335"/>
      <c r="SMX994" s="2335"/>
      <c r="SMY994" s="2335"/>
      <c r="SMZ994" s="2335"/>
      <c r="SNA994" s="2335"/>
      <c r="SNB994" s="2335"/>
      <c r="SNC994" s="2335"/>
      <c r="SND994" s="2335"/>
      <c r="SNE994" s="2335"/>
      <c r="SNF994" s="2335"/>
      <c r="SNG994" s="2335"/>
      <c r="SNH994" s="2335"/>
      <c r="SNI994" s="2335"/>
      <c r="SNJ994" s="2335"/>
      <c r="SNK994" s="2335"/>
      <c r="SNL994" s="2335"/>
      <c r="SNM994" s="2335"/>
      <c r="SNN994" s="2335"/>
      <c r="SNO994" s="2335"/>
      <c r="SNP994" s="2335"/>
      <c r="SNQ994" s="2335"/>
      <c r="SNR994" s="2335"/>
      <c r="SNS994" s="2335"/>
      <c r="SNT994" s="2335"/>
      <c r="SNU994" s="2335"/>
      <c r="SNV994" s="2335"/>
      <c r="SNW994" s="2335"/>
      <c r="SNX994" s="2335"/>
      <c r="SNY994" s="2335"/>
      <c r="SNZ994" s="2335"/>
      <c r="SOA994" s="2335"/>
      <c r="SOB994" s="2335"/>
      <c r="SOC994" s="2335"/>
      <c r="SOD994" s="2335"/>
      <c r="SOE994" s="2335"/>
      <c r="SOF994" s="2335"/>
      <c r="SOG994" s="2335"/>
      <c r="SOH994" s="2335"/>
      <c r="SOI994" s="2335"/>
      <c r="SOJ994" s="2335"/>
      <c r="SOK994" s="2335"/>
      <c r="SOL994" s="2335"/>
      <c r="SOM994" s="2335"/>
      <c r="SON994" s="2335"/>
      <c r="SOO994" s="2335"/>
      <c r="SOP994" s="2335"/>
      <c r="SOQ994" s="2335"/>
      <c r="SOR994" s="2335"/>
      <c r="SOS994" s="2335"/>
      <c r="SOT994" s="2335"/>
      <c r="SOU994" s="2335"/>
      <c r="SOV994" s="2335"/>
      <c r="SOW994" s="2335"/>
      <c r="SOX994" s="2335"/>
      <c r="SOY994" s="2335"/>
      <c r="SOZ994" s="2335"/>
      <c r="SPA994" s="2335"/>
      <c r="SPB994" s="2335"/>
      <c r="SPC994" s="2335"/>
      <c r="SPD994" s="2335"/>
      <c r="SPE994" s="2335"/>
      <c r="SPF994" s="2335"/>
      <c r="SPG994" s="2335"/>
      <c r="SPH994" s="2335"/>
      <c r="SPI994" s="2335"/>
      <c r="SPJ994" s="2335"/>
      <c r="SPK994" s="2335"/>
      <c r="SPL994" s="2335"/>
      <c r="SPM994" s="2335"/>
      <c r="SPN994" s="2335"/>
      <c r="SPO994" s="2335"/>
      <c r="SPP994" s="2335"/>
      <c r="SPQ994" s="2335"/>
      <c r="SPR994" s="2335"/>
      <c r="SPS994" s="2335"/>
      <c r="SPT994" s="2335"/>
      <c r="SPU994" s="2335"/>
      <c r="SPV994" s="2335"/>
      <c r="SPW994" s="2335"/>
      <c r="SPX994" s="2335"/>
      <c r="SPY994" s="2335"/>
      <c r="SPZ994" s="2335"/>
      <c r="SQA994" s="2335"/>
      <c r="SQB994" s="2335"/>
      <c r="SQC994" s="2335"/>
      <c r="SQD994" s="2335"/>
      <c r="SQE994" s="2335"/>
      <c r="SQF994" s="2335"/>
      <c r="SQG994" s="2335"/>
      <c r="SQH994" s="2335"/>
      <c r="SQI994" s="2335"/>
      <c r="SQJ994" s="2335"/>
      <c r="SQK994" s="2335"/>
      <c r="SQL994" s="2335"/>
      <c r="SQM994" s="2335"/>
      <c r="SQN994" s="2335"/>
      <c r="SQO994" s="2335"/>
      <c r="SQP994" s="2335"/>
      <c r="SQQ994" s="2335"/>
      <c r="SQR994" s="2335"/>
      <c r="SQS994" s="2335"/>
      <c r="SQT994" s="2335"/>
      <c r="SQU994" s="2335"/>
      <c r="SQV994" s="2335"/>
      <c r="SQW994" s="2335"/>
      <c r="SQX994" s="2335"/>
      <c r="SQY994" s="2335"/>
      <c r="SQZ994" s="2335"/>
      <c r="SRA994" s="2335"/>
      <c r="SRB994" s="2335"/>
      <c r="SRC994" s="2335"/>
      <c r="SRD994" s="2335"/>
      <c r="SRE994" s="2335"/>
      <c r="SRF994" s="2335"/>
      <c r="SRG994" s="2335"/>
      <c r="SRH994" s="2335"/>
      <c r="SRI994" s="2335"/>
      <c r="SRJ994" s="2335"/>
      <c r="SRK994" s="2335"/>
      <c r="SRL994" s="2335"/>
      <c r="SRM994" s="2335"/>
      <c r="SRN994" s="2335"/>
      <c r="SRO994" s="2335"/>
      <c r="SRP994" s="2335"/>
      <c r="SRQ994" s="2335"/>
      <c r="SRR994" s="2335"/>
      <c r="SRS994" s="2335"/>
      <c r="SRT994" s="2335"/>
      <c r="SRU994" s="2335"/>
      <c r="SRV994" s="2335"/>
      <c r="SRW994" s="2335"/>
      <c r="SRX994" s="2335"/>
      <c r="SRY994" s="2335"/>
      <c r="SRZ994" s="2335"/>
      <c r="SSA994" s="2335"/>
      <c r="SSB994" s="2335"/>
      <c r="SSC994" s="2335"/>
      <c r="SSD994" s="2335"/>
      <c r="SSE994" s="2335"/>
      <c r="SSF994" s="2335"/>
      <c r="SSG994" s="2335"/>
      <c r="SSH994" s="2335"/>
      <c r="SSI994" s="2335"/>
      <c r="SSJ994" s="2335"/>
      <c r="SSK994" s="2335"/>
      <c r="SSL994" s="2335"/>
      <c r="SSM994" s="2335"/>
      <c r="SSN994" s="2335"/>
      <c r="SSO994" s="2335"/>
      <c r="SSP994" s="2335"/>
      <c r="SSQ994" s="2335"/>
      <c r="SSR994" s="2335"/>
      <c r="SSS994" s="2335"/>
      <c r="SST994" s="2335"/>
      <c r="SSU994" s="2335"/>
      <c r="SSV994" s="2335"/>
      <c r="SSW994" s="2335"/>
      <c r="SSX994" s="2335"/>
      <c r="SSY994" s="2335"/>
      <c r="SSZ994" s="2335"/>
      <c r="STA994" s="2335"/>
      <c r="STB994" s="2335"/>
      <c r="STC994" s="2335"/>
      <c r="STD994" s="2335"/>
      <c r="STE994" s="2335"/>
      <c r="STF994" s="2335"/>
      <c r="STG994" s="2335"/>
      <c r="STH994" s="2335"/>
      <c r="STI994" s="2335"/>
      <c r="STJ994" s="2335"/>
      <c r="STK994" s="2335"/>
      <c r="STL994" s="2335"/>
      <c r="STM994" s="2335"/>
      <c r="STN994" s="2335"/>
      <c r="STO994" s="2335"/>
      <c r="STP994" s="2335"/>
      <c r="STQ994" s="2335"/>
      <c r="STR994" s="2335"/>
      <c r="STS994" s="2335"/>
      <c r="STT994" s="2335"/>
      <c r="STU994" s="2335"/>
      <c r="STV994" s="2335"/>
      <c r="STW994" s="2335"/>
      <c r="STX994" s="2335"/>
      <c r="STY994" s="2335"/>
      <c r="STZ994" s="2335"/>
      <c r="SUA994" s="2335"/>
      <c r="SUB994" s="2335"/>
      <c r="SUC994" s="2335"/>
      <c r="SUD994" s="2335"/>
      <c r="SUE994" s="2335"/>
      <c r="SUF994" s="2335"/>
      <c r="SUG994" s="2335"/>
      <c r="SUH994" s="2335"/>
      <c r="SUI994" s="2335"/>
      <c r="SUJ994" s="2335"/>
      <c r="SUK994" s="2335"/>
      <c r="SUL994" s="2335"/>
      <c r="SUM994" s="2335"/>
      <c r="SUN994" s="2335"/>
      <c r="SUO994" s="2335"/>
      <c r="SUP994" s="2335"/>
      <c r="SUQ994" s="2335"/>
      <c r="SUR994" s="2335"/>
      <c r="SUS994" s="2335"/>
      <c r="SUT994" s="2335"/>
      <c r="SUU994" s="2335"/>
      <c r="SUV994" s="2335"/>
      <c r="SUW994" s="2335"/>
      <c r="SUX994" s="2335"/>
      <c r="SUY994" s="2335"/>
      <c r="SUZ994" s="2335"/>
      <c r="SVA994" s="2335"/>
      <c r="SVB994" s="2335"/>
      <c r="SVC994" s="2335"/>
      <c r="SVD994" s="2335"/>
      <c r="SVE994" s="2335"/>
      <c r="SVF994" s="2335"/>
      <c r="SVG994" s="2335"/>
      <c r="SVH994" s="2335"/>
      <c r="SVI994" s="2335"/>
      <c r="SVJ994" s="2335"/>
      <c r="SVK994" s="2335"/>
      <c r="SVL994" s="2335"/>
      <c r="SVM994" s="2335"/>
      <c r="SVN994" s="2335"/>
      <c r="SVO994" s="2335"/>
      <c r="SVP994" s="2335"/>
      <c r="SVQ994" s="2335"/>
      <c r="SVR994" s="2335"/>
      <c r="SVS994" s="2335"/>
      <c r="SVT994" s="2335"/>
      <c r="SVU994" s="2335"/>
      <c r="SVV994" s="2335"/>
      <c r="SVW994" s="2335"/>
      <c r="SVX994" s="2335"/>
      <c r="SVY994" s="2335"/>
      <c r="SVZ994" s="2335"/>
      <c r="SWA994" s="2335"/>
      <c r="SWB994" s="2335"/>
      <c r="SWC994" s="2335"/>
      <c r="SWD994" s="2335"/>
      <c r="SWE994" s="2335"/>
      <c r="SWF994" s="2335"/>
      <c r="SWG994" s="2335"/>
      <c r="SWH994" s="2335"/>
      <c r="SWI994" s="2335"/>
      <c r="SWJ994" s="2335"/>
      <c r="SWK994" s="2335"/>
      <c r="SWL994" s="2335"/>
      <c r="SWM994" s="2335"/>
      <c r="SWN994" s="2335"/>
      <c r="SWO994" s="2335"/>
      <c r="SWP994" s="2335"/>
      <c r="SWQ994" s="2335"/>
      <c r="SWR994" s="2335"/>
      <c r="SWS994" s="2335"/>
      <c r="SWT994" s="2335"/>
      <c r="SWU994" s="2335"/>
      <c r="SWV994" s="2335"/>
      <c r="SWW994" s="2335"/>
      <c r="SWX994" s="2335"/>
      <c r="SWY994" s="2335"/>
      <c r="SWZ994" s="2335"/>
      <c r="SXA994" s="2335"/>
      <c r="SXB994" s="2335"/>
      <c r="SXC994" s="2335"/>
      <c r="SXD994" s="2335"/>
      <c r="SXE994" s="2335"/>
      <c r="SXF994" s="2335"/>
      <c r="SXG994" s="2335"/>
      <c r="SXH994" s="2335"/>
      <c r="SXI994" s="2335"/>
      <c r="SXJ994" s="2335"/>
      <c r="SXK994" s="2335"/>
      <c r="SXL994" s="2335"/>
      <c r="SXM994" s="2335"/>
      <c r="SXN994" s="2335"/>
      <c r="SXO994" s="2335"/>
      <c r="SXP994" s="2335"/>
      <c r="SXQ994" s="2335"/>
      <c r="SXR994" s="2335"/>
      <c r="SXS994" s="2335"/>
      <c r="SXT994" s="2335"/>
      <c r="SXU994" s="2335"/>
      <c r="SXV994" s="2335"/>
      <c r="SXW994" s="2335"/>
      <c r="SXX994" s="2335"/>
      <c r="SXY994" s="2335"/>
      <c r="SXZ994" s="2335"/>
      <c r="SYA994" s="2335"/>
      <c r="SYB994" s="2335"/>
      <c r="SYC994" s="2335"/>
      <c r="SYD994" s="2335"/>
      <c r="SYE994" s="2335"/>
      <c r="SYF994" s="2335"/>
      <c r="SYG994" s="2335"/>
      <c r="SYH994" s="2335"/>
      <c r="SYI994" s="2335"/>
      <c r="SYJ994" s="2335"/>
      <c r="SYK994" s="2335"/>
      <c r="SYL994" s="2335"/>
      <c r="SYM994" s="2335"/>
      <c r="SYN994" s="2335"/>
      <c r="SYO994" s="2335"/>
      <c r="SYP994" s="2335"/>
      <c r="SYQ994" s="2335"/>
      <c r="SYR994" s="2335"/>
      <c r="SYS994" s="2335"/>
      <c r="SYT994" s="2335"/>
      <c r="SYU994" s="2335"/>
      <c r="SYV994" s="2335"/>
      <c r="SYW994" s="2335"/>
      <c r="SYX994" s="2335"/>
      <c r="SYY994" s="2335"/>
      <c r="SYZ994" s="2335"/>
      <c r="SZA994" s="2335"/>
      <c r="SZB994" s="2335"/>
      <c r="SZC994" s="2335"/>
      <c r="SZD994" s="2335"/>
      <c r="SZE994" s="2335"/>
      <c r="SZF994" s="2335"/>
      <c r="SZG994" s="2335"/>
      <c r="SZH994" s="2335"/>
      <c r="SZI994" s="2335"/>
      <c r="SZJ994" s="2335"/>
      <c r="SZK994" s="2335"/>
      <c r="SZL994" s="2335"/>
      <c r="SZM994" s="2335"/>
      <c r="SZN994" s="2335"/>
      <c r="SZO994" s="2335"/>
      <c r="SZP994" s="2335"/>
      <c r="SZQ994" s="2335"/>
      <c r="SZR994" s="2335"/>
      <c r="SZS994" s="2335"/>
      <c r="SZT994" s="2335"/>
      <c r="SZU994" s="2335"/>
      <c r="SZV994" s="2335"/>
      <c r="SZW994" s="2335"/>
      <c r="SZX994" s="2335"/>
      <c r="SZY994" s="2335"/>
      <c r="SZZ994" s="2335"/>
      <c r="TAA994" s="2335"/>
      <c r="TAB994" s="2335"/>
      <c r="TAC994" s="2335"/>
      <c r="TAD994" s="2335"/>
      <c r="TAE994" s="2335"/>
      <c r="TAF994" s="2335"/>
      <c r="TAG994" s="2335"/>
      <c r="TAH994" s="2335"/>
      <c r="TAI994" s="2335"/>
      <c r="TAJ994" s="2335"/>
      <c r="TAK994" s="2335"/>
      <c r="TAL994" s="2335"/>
      <c r="TAM994" s="2335"/>
      <c r="TAN994" s="2335"/>
      <c r="TAO994" s="2335"/>
      <c r="TAP994" s="2335"/>
      <c r="TAQ994" s="2335"/>
      <c r="TAR994" s="2335"/>
      <c r="TAS994" s="2335"/>
      <c r="TAT994" s="2335"/>
      <c r="TAU994" s="2335"/>
      <c r="TAV994" s="2335"/>
      <c r="TAW994" s="2335"/>
      <c r="TAX994" s="2335"/>
      <c r="TAY994" s="2335"/>
      <c r="TAZ994" s="2335"/>
      <c r="TBA994" s="2335"/>
      <c r="TBB994" s="2335"/>
      <c r="TBC994" s="2335"/>
      <c r="TBD994" s="2335"/>
      <c r="TBE994" s="2335"/>
      <c r="TBF994" s="2335"/>
      <c r="TBG994" s="2335"/>
      <c r="TBH994" s="2335"/>
      <c r="TBI994" s="2335"/>
      <c r="TBJ994" s="2335"/>
      <c r="TBK994" s="2335"/>
      <c r="TBL994" s="2335"/>
      <c r="TBM994" s="2335"/>
      <c r="TBN994" s="2335"/>
      <c r="TBO994" s="2335"/>
      <c r="TBP994" s="2335"/>
      <c r="TBQ994" s="2335"/>
      <c r="TBR994" s="2335"/>
      <c r="TBS994" s="2335"/>
      <c r="TBT994" s="2335"/>
      <c r="TBU994" s="2335"/>
      <c r="TBV994" s="2335"/>
      <c r="TBW994" s="2335"/>
      <c r="TBX994" s="2335"/>
      <c r="TBY994" s="2335"/>
      <c r="TBZ994" s="2335"/>
      <c r="TCA994" s="2335"/>
      <c r="TCB994" s="2335"/>
      <c r="TCC994" s="2335"/>
      <c r="TCD994" s="2335"/>
      <c r="TCE994" s="2335"/>
      <c r="TCF994" s="2335"/>
      <c r="TCG994" s="2335"/>
      <c r="TCH994" s="2335"/>
      <c r="TCI994" s="2335"/>
      <c r="TCJ994" s="2335"/>
      <c r="TCK994" s="2335"/>
      <c r="TCL994" s="2335"/>
      <c r="TCM994" s="2335"/>
      <c r="TCN994" s="2335"/>
      <c r="TCO994" s="2335"/>
      <c r="TCP994" s="2335"/>
      <c r="TCQ994" s="2335"/>
      <c r="TCR994" s="2335"/>
      <c r="TCS994" s="2335"/>
      <c r="TCT994" s="2335"/>
      <c r="TCU994" s="2335"/>
      <c r="TCV994" s="2335"/>
      <c r="TCW994" s="2335"/>
      <c r="TCX994" s="2335"/>
      <c r="TCY994" s="2335"/>
      <c r="TCZ994" s="2335"/>
      <c r="TDA994" s="2335"/>
      <c r="TDB994" s="2335"/>
      <c r="TDC994" s="2335"/>
      <c r="TDD994" s="2335"/>
      <c r="TDE994" s="2335"/>
      <c r="TDF994" s="2335"/>
      <c r="TDG994" s="2335"/>
      <c r="TDH994" s="2335"/>
      <c r="TDI994" s="2335"/>
      <c r="TDJ994" s="2335"/>
      <c r="TDK994" s="2335"/>
      <c r="TDL994" s="2335"/>
      <c r="TDM994" s="2335"/>
      <c r="TDN994" s="2335"/>
      <c r="TDO994" s="2335"/>
      <c r="TDP994" s="2335"/>
      <c r="TDQ994" s="2335"/>
      <c r="TDR994" s="2335"/>
      <c r="TDS994" s="2335"/>
      <c r="TDT994" s="2335"/>
      <c r="TDU994" s="2335"/>
      <c r="TDV994" s="2335"/>
      <c r="TDW994" s="2335"/>
      <c r="TDX994" s="2335"/>
      <c r="TDY994" s="2335"/>
      <c r="TDZ994" s="2335"/>
      <c r="TEA994" s="2335"/>
      <c r="TEB994" s="2335"/>
      <c r="TEC994" s="2335"/>
      <c r="TED994" s="2335"/>
      <c r="TEE994" s="2335"/>
      <c r="TEF994" s="2335"/>
      <c r="TEG994" s="2335"/>
      <c r="TEH994" s="2335"/>
      <c r="TEI994" s="2335"/>
      <c r="TEJ994" s="2335"/>
      <c r="TEK994" s="2335"/>
      <c r="TEL994" s="2335"/>
      <c r="TEM994" s="2335"/>
      <c r="TEN994" s="2335"/>
      <c r="TEO994" s="2335"/>
      <c r="TEP994" s="2335"/>
      <c r="TEQ994" s="2335"/>
      <c r="TER994" s="2335"/>
      <c r="TES994" s="2335"/>
      <c r="TET994" s="2335"/>
      <c r="TEU994" s="2335"/>
      <c r="TEV994" s="2335"/>
      <c r="TEW994" s="2335"/>
      <c r="TEX994" s="2335"/>
      <c r="TEY994" s="2335"/>
      <c r="TEZ994" s="2335"/>
      <c r="TFA994" s="2335"/>
      <c r="TFB994" s="2335"/>
      <c r="TFC994" s="2335"/>
      <c r="TFD994" s="2335"/>
      <c r="TFE994" s="2335"/>
      <c r="TFF994" s="2335"/>
      <c r="TFG994" s="2335"/>
      <c r="TFH994" s="2335"/>
      <c r="TFI994" s="2335"/>
      <c r="TFJ994" s="2335"/>
      <c r="TFK994" s="2335"/>
      <c r="TFL994" s="2335"/>
      <c r="TFM994" s="2335"/>
      <c r="TFN994" s="2335"/>
      <c r="TFO994" s="2335"/>
      <c r="TFP994" s="2335"/>
      <c r="TFQ994" s="2335"/>
      <c r="TFR994" s="2335"/>
      <c r="TFS994" s="2335"/>
      <c r="TFT994" s="2335"/>
      <c r="TFU994" s="2335"/>
      <c r="TFV994" s="2335"/>
      <c r="TFW994" s="2335"/>
      <c r="TFX994" s="2335"/>
      <c r="TFY994" s="2335"/>
      <c r="TFZ994" s="2335"/>
      <c r="TGA994" s="2335"/>
      <c r="TGB994" s="2335"/>
      <c r="TGC994" s="2335"/>
      <c r="TGD994" s="2335"/>
      <c r="TGE994" s="2335"/>
      <c r="TGF994" s="2335"/>
      <c r="TGG994" s="2335"/>
      <c r="TGH994" s="2335"/>
      <c r="TGI994" s="2335"/>
      <c r="TGJ994" s="2335"/>
      <c r="TGK994" s="2335"/>
      <c r="TGL994" s="2335"/>
      <c r="TGM994" s="2335"/>
      <c r="TGN994" s="2335"/>
      <c r="TGO994" s="2335"/>
      <c r="TGP994" s="2335"/>
      <c r="TGQ994" s="2335"/>
      <c r="TGR994" s="2335"/>
      <c r="TGS994" s="2335"/>
      <c r="TGT994" s="2335"/>
      <c r="TGU994" s="2335"/>
      <c r="TGV994" s="2335"/>
      <c r="TGW994" s="2335"/>
      <c r="TGX994" s="2335"/>
      <c r="TGY994" s="2335"/>
      <c r="TGZ994" s="2335"/>
      <c r="THA994" s="2335"/>
      <c r="THB994" s="2335"/>
      <c r="THC994" s="2335"/>
      <c r="THD994" s="2335"/>
      <c r="THE994" s="2335"/>
      <c r="THF994" s="2335"/>
      <c r="THG994" s="2335"/>
      <c r="THH994" s="2335"/>
      <c r="THI994" s="2335"/>
      <c r="THJ994" s="2335"/>
      <c r="THK994" s="2335"/>
      <c r="THL994" s="2335"/>
      <c r="THM994" s="2335"/>
      <c r="THN994" s="2335"/>
      <c r="THO994" s="2335"/>
      <c r="THP994" s="2335"/>
      <c r="THQ994" s="2335"/>
      <c r="THR994" s="2335"/>
      <c r="THS994" s="2335"/>
      <c r="THT994" s="2335"/>
      <c r="THU994" s="2335"/>
      <c r="THV994" s="2335"/>
      <c r="THW994" s="2335"/>
      <c r="THX994" s="2335"/>
      <c r="THY994" s="2335"/>
      <c r="THZ994" s="2335"/>
      <c r="TIA994" s="2335"/>
      <c r="TIB994" s="2335"/>
      <c r="TIC994" s="2335"/>
      <c r="TID994" s="2335"/>
      <c r="TIE994" s="2335"/>
      <c r="TIF994" s="2335"/>
      <c r="TIG994" s="2335"/>
      <c r="TIH994" s="2335"/>
      <c r="TII994" s="2335"/>
      <c r="TIJ994" s="2335"/>
      <c r="TIK994" s="2335"/>
      <c r="TIL994" s="2335"/>
      <c r="TIM994" s="2335"/>
      <c r="TIN994" s="2335"/>
      <c r="TIO994" s="2335"/>
      <c r="TIP994" s="2335"/>
      <c r="TIQ994" s="2335"/>
      <c r="TIR994" s="2335"/>
      <c r="TIS994" s="2335"/>
      <c r="TIT994" s="2335"/>
      <c r="TIU994" s="2335"/>
      <c r="TIV994" s="2335"/>
      <c r="TIW994" s="2335"/>
      <c r="TIX994" s="2335"/>
      <c r="TIY994" s="2335"/>
      <c r="TIZ994" s="2335"/>
      <c r="TJA994" s="2335"/>
      <c r="TJB994" s="2335"/>
      <c r="TJC994" s="2335"/>
      <c r="TJD994" s="2335"/>
      <c r="TJE994" s="2335"/>
      <c r="TJF994" s="2335"/>
      <c r="TJG994" s="2335"/>
      <c r="TJH994" s="2335"/>
      <c r="TJI994" s="2335"/>
      <c r="TJJ994" s="2335"/>
      <c r="TJK994" s="2335"/>
      <c r="TJL994" s="2335"/>
      <c r="TJM994" s="2335"/>
      <c r="TJN994" s="2335"/>
      <c r="TJO994" s="2335"/>
      <c r="TJP994" s="2335"/>
      <c r="TJQ994" s="2335"/>
      <c r="TJR994" s="2335"/>
      <c r="TJS994" s="2335"/>
      <c r="TJT994" s="2335"/>
      <c r="TJU994" s="2335"/>
      <c r="TJV994" s="2335"/>
      <c r="TJW994" s="2335"/>
      <c r="TJX994" s="2335"/>
      <c r="TJY994" s="2335"/>
      <c r="TJZ994" s="2335"/>
      <c r="TKA994" s="2335"/>
      <c r="TKB994" s="2335"/>
      <c r="TKC994" s="2335"/>
      <c r="TKD994" s="2335"/>
      <c r="TKE994" s="2335"/>
      <c r="TKF994" s="2335"/>
      <c r="TKG994" s="2335"/>
      <c r="TKH994" s="2335"/>
      <c r="TKI994" s="2335"/>
      <c r="TKJ994" s="2335"/>
      <c r="TKK994" s="2335"/>
      <c r="TKL994" s="2335"/>
      <c r="TKM994" s="2335"/>
      <c r="TKN994" s="2335"/>
      <c r="TKO994" s="2335"/>
      <c r="TKP994" s="2335"/>
      <c r="TKQ994" s="2335"/>
      <c r="TKR994" s="2335"/>
      <c r="TKS994" s="2335"/>
      <c r="TKT994" s="2335"/>
      <c r="TKU994" s="2335"/>
      <c r="TKV994" s="2335"/>
      <c r="TKW994" s="2335"/>
      <c r="TKX994" s="2335"/>
      <c r="TKY994" s="2335"/>
      <c r="TKZ994" s="2335"/>
      <c r="TLA994" s="2335"/>
      <c r="TLB994" s="2335"/>
      <c r="TLC994" s="2335"/>
      <c r="TLD994" s="2335"/>
      <c r="TLE994" s="2335"/>
      <c r="TLF994" s="2335"/>
      <c r="TLG994" s="2335"/>
      <c r="TLH994" s="2335"/>
      <c r="TLI994" s="2335"/>
      <c r="TLJ994" s="2335"/>
      <c r="TLK994" s="2335"/>
      <c r="TLL994" s="2335"/>
      <c r="TLM994" s="2335"/>
      <c r="TLN994" s="2335"/>
      <c r="TLO994" s="2335"/>
      <c r="TLP994" s="2335"/>
      <c r="TLQ994" s="2335"/>
      <c r="TLR994" s="2335"/>
      <c r="TLS994" s="2335"/>
      <c r="TLT994" s="2335"/>
      <c r="TLU994" s="2335"/>
      <c r="TLV994" s="2335"/>
      <c r="TLW994" s="2335"/>
      <c r="TLX994" s="2335"/>
      <c r="TLY994" s="2335"/>
      <c r="TLZ994" s="2335"/>
      <c r="TMA994" s="2335"/>
      <c r="TMB994" s="2335"/>
      <c r="TMC994" s="2335"/>
      <c r="TMD994" s="2335"/>
      <c r="TME994" s="2335"/>
      <c r="TMF994" s="2335"/>
      <c r="TMG994" s="2335"/>
      <c r="TMH994" s="2335"/>
      <c r="TMI994" s="2335"/>
      <c r="TMJ994" s="2335"/>
      <c r="TMK994" s="2335"/>
      <c r="TML994" s="2335"/>
      <c r="TMM994" s="2335"/>
      <c r="TMN994" s="2335"/>
      <c r="TMO994" s="2335"/>
      <c r="TMP994" s="2335"/>
      <c r="TMQ994" s="2335"/>
      <c r="TMR994" s="2335"/>
      <c r="TMS994" s="2335"/>
      <c r="TMT994" s="2335"/>
      <c r="TMU994" s="2335"/>
      <c r="TMV994" s="2335"/>
      <c r="TMW994" s="2335"/>
      <c r="TMX994" s="2335"/>
      <c r="TMY994" s="2335"/>
      <c r="TMZ994" s="2335"/>
      <c r="TNA994" s="2335"/>
      <c r="TNB994" s="2335"/>
      <c r="TNC994" s="2335"/>
      <c r="TND994" s="2335"/>
      <c r="TNE994" s="2335"/>
      <c r="TNF994" s="2335"/>
      <c r="TNG994" s="2335"/>
      <c r="TNH994" s="2335"/>
      <c r="TNI994" s="2335"/>
      <c r="TNJ994" s="2335"/>
      <c r="TNK994" s="2335"/>
      <c r="TNL994" s="2335"/>
      <c r="TNM994" s="2335"/>
      <c r="TNN994" s="2335"/>
      <c r="TNO994" s="2335"/>
      <c r="TNP994" s="2335"/>
      <c r="TNQ994" s="2335"/>
      <c r="TNR994" s="2335"/>
      <c r="TNS994" s="2335"/>
      <c r="TNT994" s="2335"/>
      <c r="TNU994" s="2335"/>
      <c r="TNV994" s="2335"/>
      <c r="TNW994" s="2335"/>
      <c r="TNX994" s="2335"/>
      <c r="TNY994" s="2335"/>
      <c r="TNZ994" s="2335"/>
      <c r="TOA994" s="2335"/>
      <c r="TOB994" s="2335"/>
      <c r="TOC994" s="2335"/>
      <c r="TOD994" s="2335"/>
      <c r="TOE994" s="2335"/>
      <c r="TOF994" s="2335"/>
      <c r="TOG994" s="2335"/>
      <c r="TOH994" s="2335"/>
      <c r="TOI994" s="2335"/>
      <c r="TOJ994" s="2335"/>
      <c r="TOK994" s="2335"/>
      <c r="TOL994" s="2335"/>
      <c r="TOM994" s="2335"/>
      <c r="TON994" s="2335"/>
      <c r="TOO994" s="2335"/>
      <c r="TOP994" s="2335"/>
      <c r="TOQ994" s="2335"/>
      <c r="TOR994" s="2335"/>
      <c r="TOS994" s="2335"/>
      <c r="TOT994" s="2335"/>
      <c r="TOU994" s="2335"/>
      <c r="TOV994" s="2335"/>
      <c r="TOW994" s="2335"/>
      <c r="TOX994" s="2335"/>
      <c r="TOY994" s="2335"/>
      <c r="TOZ994" s="2335"/>
      <c r="TPA994" s="2335"/>
      <c r="TPB994" s="2335"/>
      <c r="TPC994" s="2335"/>
      <c r="TPD994" s="2335"/>
      <c r="TPE994" s="2335"/>
      <c r="TPF994" s="2335"/>
      <c r="TPG994" s="2335"/>
      <c r="TPH994" s="2335"/>
      <c r="TPI994" s="2335"/>
      <c r="TPJ994" s="2335"/>
      <c r="TPK994" s="2335"/>
      <c r="TPL994" s="2335"/>
      <c r="TPM994" s="2335"/>
      <c r="TPN994" s="2335"/>
      <c r="TPO994" s="2335"/>
      <c r="TPP994" s="2335"/>
      <c r="TPQ994" s="2335"/>
      <c r="TPR994" s="2335"/>
      <c r="TPS994" s="2335"/>
      <c r="TPT994" s="2335"/>
      <c r="TPU994" s="2335"/>
      <c r="TPV994" s="2335"/>
      <c r="TPW994" s="2335"/>
      <c r="TPX994" s="2335"/>
      <c r="TPY994" s="2335"/>
      <c r="TPZ994" s="2335"/>
      <c r="TQA994" s="2335"/>
      <c r="TQB994" s="2335"/>
      <c r="TQC994" s="2335"/>
      <c r="TQD994" s="2335"/>
      <c r="TQE994" s="2335"/>
      <c r="TQF994" s="2335"/>
      <c r="TQG994" s="2335"/>
      <c r="TQH994" s="2335"/>
      <c r="TQI994" s="2335"/>
      <c r="TQJ994" s="2335"/>
      <c r="TQK994" s="2335"/>
      <c r="TQL994" s="2335"/>
      <c r="TQM994" s="2335"/>
      <c r="TQN994" s="2335"/>
      <c r="TQO994" s="2335"/>
      <c r="TQP994" s="2335"/>
      <c r="TQQ994" s="2335"/>
      <c r="TQR994" s="2335"/>
      <c r="TQS994" s="2335"/>
      <c r="TQT994" s="2335"/>
      <c r="TQU994" s="2335"/>
      <c r="TQV994" s="2335"/>
      <c r="TQW994" s="2335"/>
      <c r="TQX994" s="2335"/>
      <c r="TQY994" s="2335"/>
      <c r="TQZ994" s="2335"/>
      <c r="TRA994" s="2335"/>
      <c r="TRB994" s="2335"/>
      <c r="TRC994" s="2335"/>
      <c r="TRD994" s="2335"/>
      <c r="TRE994" s="2335"/>
      <c r="TRF994" s="2335"/>
      <c r="TRG994" s="2335"/>
      <c r="TRH994" s="2335"/>
      <c r="TRI994" s="2335"/>
      <c r="TRJ994" s="2335"/>
      <c r="TRK994" s="2335"/>
      <c r="TRL994" s="2335"/>
      <c r="TRM994" s="2335"/>
      <c r="TRN994" s="2335"/>
      <c r="TRO994" s="2335"/>
      <c r="TRP994" s="2335"/>
      <c r="TRQ994" s="2335"/>
      <c r="TRR994" s="2335"/>
      <c r="TRS994" s="2335"/>
      <c r="TRT994" s="2335"/>
      <c r="TRU994" s="2335"/>
      <c r="TRV994" s="2335"/>
      <c r="TRW994" s="2335"/>
      <c r="TRX994" s="2335"/>
      <c r="TRY994" s="2335"/>
      <c r="TRZ994" s="2335"/>
      <c r="TSA994" s="2335"/>
      <c r="TSB994" s="2335"/>
      <c r="TSC994" s="2335"/>
      <c r="TSD994" s="2335"/>
      <c r="TSE994" s="2335"/>
      <c r="TSF994" s="2335"/>
      <c r="TSG994" s="2335"/>
      <c r="TSH994" s="2335"/>
      <c r="TSI994" s="2335"/>
      <c r="TSJ994" s="2335"/>
      <c r="TSK994" s="2335"/>
      <c r="TSL994" s="2335"/>
      <c r="TSM994" s="2335"/>
      <c r="TSN994" s="2335"/>
      <c r="TSO994" s="2335"/>
      <c r="TSP994" s="2335"/>
      <c r="TSQ994" s="2335"/>
      <c r="TSR994" s="2335"/>
      <c r="TSS994" s="2335"/>
      <c r="TST994" s="2335"/>
      <c r="TSU994" s="2335"/>
      <c r="TSV994" s="2335"/>
      <c r="TSW994" s="2335"/>
      <c r="TSX994" s="2335"/>
      <c r="TSY994" s="2335"/>
      <c r="TSZ994" s="2335"/>
      <c r="TTA994" s="2335"/>
      <c r="TTB994" s="2335"/>
      <c r="TTC994" s="2335"/>
      <c r="TTD994" s="2335"/>
      <c r="TTE994" s="2335"/>
      <c r="TTF994" s="2335"/>
      <c r="TTG994" s="2335"/>
      <c r="TTH994" s="2335"/>
      <c r="TTI994" s="2335"/>
      <c r="TTJ994" s="2335"/>
      <c r="TTK994" s="2335"/>
      <c r="TTL994" s="2335"/>
      <c r="TTM994" s="2335"/>
      <c r="TTN994" s="2335"/>
      <c r="TTO994" s="2335"/>
      <c r="TTP994" s="2335"/>
      <c r="TTQ994" s="2335"/>
      <c r="TTR994" s="2335"/>
      <c r="TTS994" s="2335"/>
      <c r="TTT994" s="2335"/>
      <c r="TTU994" s="2335"/>
      <c r="TTV994" s="2335"/>
      <c r="TTW994" s="2335"/>
      <c r="TTX994" s="2335"/>
      <c r="TTY994" s="2335"/>
      <c r="TTZ994" s="2335"/>
      <c r="TUA994" s="2335"/>
      <c r="TUB994" s="2335"/>
      <c r="TUC994" s="2335"/>
      <c r="TUD994" s="2335"/>
      <c r="TUE994" s="2335"/>
      <c r="TUF994" s="2335"/>
      <c r="TUG994" s="2335"/>
      <c r="TUH994" s="2335"/>
      <c r="TUI994" s="2335"/>
      <c r="TUJ994" s="2335"/>
      <c r="TUK994" s="2335"/>
      <c r="TUL994" s="2335"/>
      <c r="TUM994" s="2335"/>
      <c r="TUN994" s="2335"/>
      <c r="TUO994" s="2335"/>
      <c r="TUP994" s="2335"/>
      <c r="TUQ994" s="2335"/>
      <c r="TUR994" s="2335"/>
      <c r="TUS994" s="2335"/>
      <c r="TUT994" s="2335"/>
      <c r="TUU994" s="2335"/>
      <c r="TUV994" s="2335"/>
      <c r="TUW994" s="2335"/>
      <c r="TUX994" s="2335"/>
      <c r="TUY994" s="2335"/>
      <c r="TUZ994" s="2335"/>
      <c r="TVA994" s="2335"/>
      <c r="TVB994" s="2335"/>
      <c r="TVC994" s="2335"/>
      <c r="TVD994" s="2335"/>
      <c r="TVE994" s="2335"/>
      <c r="TVF994" s="2335"/>
      <c r="TVG994" s="2335"/>
      <c r="TVH994" s="2335"/>
      <c r="TVI994" s="2335"/>
      <c r="TVJ994" s="2335"/>
      <c r="TVK994" s="2335"/>
      <c r="TVL994" s="2335"/>
      <c r="TVM994" s="2335"/>
      <c r="TVN994" s="2335"/>
      <c r="TVO994" s="2335"/>
      <c r="TVP994" s="2335"/>
      <c r="TVQ994" s="2335"/>
      <c r="TVR994" s="2335"/>
      <c r="TVS994" s="2335"/>
      <c r="TVT994" s="2335"/>
      <c r="TVU994" s="2335"/>
      <c r="TVV994" s="2335"/>
      <c r="TVW994" s="2335"/>
      <c r="TVX994" s="2335"/>
      <c r="TVY994" s="2335"/>
      <c r="TVZ994" s="2335"/>
      <c r="TWA994" s="2335"/>
      <c r="TWB994" s="2335"/>
      <c r="TWC994" s="2335"/>
      <c r="TWD994" s="2335"/>
      <c r="TWE994" s="2335"/>
      <c r="TWF994" s="2335"/>
      <c r="TWG994" s="2335"/>
      <c r="TWH994" s="2335"/>
      <c r="TWI994" s="2335"/>
      <c r="TWJ994" s="2335"/>
      <c r="TWK994" s="2335"/>
      <c r="TWL994" s="2335"/>
      <c r="TWM994" s="2335"/>
      <c r="TWN994" s="2335"/>
      <c r="TWO994" s="2335"/>
      <c r="TWP994" s="2335"/>
      <c r="TWQ994" s="2335"/>
      <c r="TWR994" s="2335"/>
      <c r="TWS994" s="2335"/>
      <c r="TWT994" s="2335"/>
      <c r="TWU994" s="2335"/>
      <c r="TWV994" s="2335"/>
      <c r="TWW994" s="2335"/>
      <c r="TWX994" s="2335"/>
      <c r="TWY994" s="2335"/>
      <c r="TWZ994" s="2335"/>
      <c r="TXA994" s="2335"/>
      <c r="TXB994" s="2335"/>
      <c r="TXC994" s="2335"/>
      <c r="TXD994" s="2335"/>
      <c r="TXE994" s="2335"/>
      <c r="TXF994" s="2335"/>
      <c r="TXG994" s="2335"/>
      <c r="TXH994" s="2335"/>
      <c r="TXI994" s="2335"/>
      <c r="TXJ994" s="2335"/>
      <c r="TXK994" s="2335"/>
      <c r="TXL994" s="2335"/>
      <c r="TXM994" s="2335"/>
      <c r="TXN994" s="2335"/>
      <c r="TXO994" s="2335"/>
      <c r="TXP994" s="2335"/>
      <c r="TXQ994" s="2335"/>
      <c r="TXR994" s="2335"/>
      <c r="TXS994" s="2335"/>
      <c r="TXT994" s="2335"/>
      <c r="TXU994" s="2335"/>
      <c r="TXV994" s="2335"/>
      <c r="TXW994" s="2335"/>
      <c r="TXX994" s="2335"/>
      <c r="TXY994" s="2335"/>
      <c r="TXZ994" s="2335"/>
      <c r="TYA994" s="2335"/>
      <c r="TYB994" s="2335"/>
      <c r="TYC994" s="2335"/>
      <c r="TYD994" s="2335"/>
      <c r="TYE994" s="2335"/>
      <c r="TYF994" s="2335"/>
      <c r="TYG994" s="2335"/>
      <c r="TYH994" s="2335"/>
      <c r="TYI994" s="2335"/>
      <c r="TYJ994" s="2335"/>
      <c r="TYK994" s="2335"/>
      <c r="TYL994" s="2335"/>
      <c r="TYM994" s="2335"/>
      <c r="TYN994" s="2335"/>
      <c r="TYO994" s="2335"/>
      <c r="TYP994" s="2335"/>
      <c r="TYQ994" s="2335"/>
      <c r="TYR994" s="2335"/>
      <c r="TYS994" s="2335"/>
      <c r="TYT994" s="2335"/>
      <c r="TYU994" s="2335"/>
      <c r="TYV994" s="2335"/>
      <c r="TYW994" s="2335"/>
      <c r="TYX994" s="2335"/>
      <c r="TYY994" s="2335"/>
      <c r="TYZ994" s="2335"/>
      <c r="TZA994" s="2335"/>
      <c r="TZB994" s="2335"/>
      <c r="TZC994" s="2335"/>
      <c r="TZD994" s="2335"/>
      <c r="TZE994" s="2335"/>
      <c r="TZF994" s="2335"/>
      <c r="TZG994" s="2335"/>
      <c r="TZH994" s="2335"/>
      <c r="TZI994" s="2335"/>
      <c r="TZJ994" s="2335"/>
      <c r="TZK994" s="2335"/>
      <c r="TZL994" s="2335"/>
      <c r="TZM994" s="2335"/>
      <c r="TZN994" s="2335"/>
      <c r="TZO994" s="2335"/>
      <c r="TZP994" s="2335"/>
      <c r="TZQ994" s="2335"/>
      <c r="TZR994" s="2335"/>
      <c r="TZS994" s="2335"/>
      <c r="TZT994" s="2335"/>
      <c r="TZU994" s="2335"/>
      <c r="TZV994" s="2335"/>
      <c r="TZW994" s="2335"/>
      <c r="TZX994" s="2335"/>
      <c r="TZY994" s="2335"/>
      <c r="TZZ994" s="2335"/>
      <c r="UAA994" s="2335"/>
      <c r="UAB994" s="2335"/>
      <c r="UAC994" s="2335"/>
      <c r="UAD994" s="2335"/>
      <c r="UAE994" s="2335"/>
      <c r="UAF994" s="2335"/>
      <c r="UAG994" s="2335"/>
      <c r="UAH994" s="2335"/>
      <c r="UAI994" s="2335"/>
      <c r="UAJ994" s="2335"/>
      <c r="UAK994" s="2335"/>
      <c r="UAL994" s="2335"/>
      <c r="UAM994" s="2335"/>
      <c r="UAN994" s="2335"/>
      <c r="UAO994" s="2335"/>
      <c r="UAP994" s="2335"/>
      <c r="UAQ994" s="2335"/>
      <c r="UAR994" s="2335"/>
      <c r="UAS994" s="2335"/>
      <c r="UAT994" s="2335"/>
      <c r="UAU994" s="2335"/>
      <c r="UAV994" s="2335"/>
      <c r="UAW994" s="2335"/>
      <c r="UAX994" s="2335"/>
      <c r="UAY994" s="2335"/>
      <c r="UAZ994" s="2335"/>
      <c r="UBA994" s="2335"/>
      <c r="UBB994" s="2335"/>
      <c r="UBC994" s="2335"/>
      <c r="UBD994" s="2335"/>
      <c r="UBE994" s="2335"/>
      <c r="UBF994" s="2335"/>
      <c r="UBG994" s="2335"/>
      <c r="UBH994" s="2335"/>
      <c r="UBI994" s="2335"/>
      <c r="UBJ994" s="2335"/>
      <c r="UBK994" s="2335"/>
      <c r="UBL994" s="2335"/>
      <c r="UBM994" s="2335"/>
      <c r="UBN994" s="2335"/>
      <c r="UBO994" s="2335"/>
      <c r="UBP994" s="2335"/>
      <c r="UBQ994" s="2335"/>
      <c r="UBR994" s="2335"/>
      <c r="UBS994" s="2335"/>
      <c r="UBT994" s="2335"/>
      <c r="UBU994" s="2335"/>
      <c r="UBV994" s="2335"/>
      <c r="UBW994" s="2335"/>
      <c r="UBX994" s="2335"/>
      <c r="UBY994" s="2335"/>
      <c r="UBZ994" s="2335"/>
      <c r="UCA994" s="2335"/>
      <c r="UCB994" s="2335"/>
      <c r="UCC994" s="2335"/>
      <c r="UCD994" s="2335"/>
      <c r="UCE994" s="2335"/>
      <c r="UCF994" s="2335"/>
      <c r="UCG994" s="2335"/>
      <c r="UCH994" s="2335"/>
      <c r="UCI994" s="2335"/>
      <c r="UCJ994" s="2335"/>
      <c r="UCK994" s="2335"/>
      <c r="UCL994" s="2335"/>
      <c r="UCM994" s="2335"/>
      <c r="UCN994" s="2335"/>
      <c r="UCO994" s="2335"/>
      <c r="UCP994" s="2335"/>
      <c r="UCQ994" s="2335"/>
      <c r="UCR994" s="2335"/>
      <c r="UCS994" s="2335"/>
      <c r="UCT994" s="2335"/>
      <c r="UCU994" s="2335"/>
      <c r="UCV994" s="2335"/>
      <c r="UCW994" s="2335"/>
      <c r="UCX994" s="2335"/>
      <c r="UCY994" s="2335"/>
      <c r="UCZ994" s="2335"/>
      <c r="UDA994" s="2335"/>
      <c r="UDB994" s="2335"/>
      <c r="UDC994" s="2335"/>
      <c r="UDD994" s="2335"/>
      <c r="UDE994" s="2335"/>
      <c r="UDF994" s="2335"/>
      <c r="UDG994" s="2335"/>
      <c r="UDH994" s="2335"/>
      <c r="UDI994" s="2335"/>
      <c r="UDJ994" s="2335"/>
      <c r="UDK994" s="2335"/>
      <c r="UDL994" s="2335"/>
      <c r="UDM994" s="2335"/>
      <c r="UDN994" s="2335"/>
      <c r="UDO994" s="2335"/>
      <c r="UDP994" s="2335"/>
      <c r="UDQ994" s="2335"/>
      <c r="UDR994" s="2335"/>
      <c r="UDS994" s="2335"/>
      <c r="UDT994" s="2335"/>
      <c r="UDU994" s="2335"/>
      <c r="UDV994" s="2335"/>
      <c r="UDW994" s="2335"/>
      <c r="UDX994" s="2335"/>
      <c r="UDY994" s="2335"/>
      <c r="UDZ994" s="2335"/>
      <c r="UEA994" s="2335"/>
      <c r="UEB994" s="2335"/>
      <c r="UEC994" s="2335"/>
      <c r="UED994" s="2335"/>
      <c r="UEE994" s="2335"/>
      <c r="UEF994" s="2335"/>
      <c r="UEG994" s="2335"/>
      <c r="UEH994" s="2335"/>
      <c r="UEI994" s="2335"/>
      <c r="UEJ994" s="2335"/>
      <c r="UEK994" s="2335"/>
      <c r="UEL994" s="2335"/>
      <c r="UEM994" s="2335"/>
      <c r="UEN994" s="2335"/>
      <c r="UEO994" s="2335"/>
      <c r="UEP994" s="2335"/>
      <c r="UEQ994" s="2335"/>
      <c r="UER994" s="2335"/>
      <c r="UES994" s="2335"/>
      <c r="UET994" s="2335"/>
      <c r="UEU994" s="2335"/>
      <c r="UEV994" s="2335"/>
      <c r="UEW994" s="2335"/>
      <c r="UEX994" s="2335"/>
      <c r="UEY994" s="2335"/>
      <c r="UEZ994" s="2335"/>
      <c r="UFA994" s="2335"/>
      <c r="UFB994" s="2335"/>
      <c r="UFC994" s="2335"/>
      <c r="UFD994" s="2335"/>
      <c r="UFE994" s="2335"/>
      <c r="UFF994" s="2335"/>
      <c r="UFG994" s="2335"/>
      <c r="UFH994" s="2335"/>
      <c r="UFI994" s="2335"/>
      <c r="UFJ994" s="2335"/>
      <c r="UFK994" s="2335"/>
      <c r="UFL994" s="2335"/>
      <c r="UFM994" s="2335"/>
      <c r="UFN994" s="2335"/>
      <c r="UFO994" s="2335"/>
      <c r="UFP994" s="2335"/>
      <c r="UFQ994" s="2335"/>
      <c r="UFR994" s="2335"/>
      <c r="UFS994" s="2335"/>
      <c r="UFT994" s="2335"/>
      <c r="UFU994" s="2335"/>
      <c r="UFV994" s="2335"/>
      <c r="UFW994" s="2335"/>
      <c r="UFX994" s="2335"/>
      <c r="UFY994" s="2335"/>
      <c r="UFZ994" s="2335"/>
      <c r="UGA994" s="2335"/>
      <c r="UGB994" s="2335"/>
      <c r="UGC994" s="2335"/>
      <c r="UGD994" s="2335"/>
      <c r="UGE994" s="2335"/>
      <c r="UGF994" s="2335"/>
      <c r="UGG994" s="2335"/>
      <c r="UGH994" s="2335"/>
      <c r="UGI994" s="2335"/>
      <c r="UGJ994" s="2335"/>
      <c r="UGK994" s="2335"/>
      <c r="UGL994" s="2335"/>
      <c r="UGM994" s="2335"/>
      <c r="UGN994" s="2335"/>
      <c r="UGO994" s="2335"/>
      <c r="UGP994" s="2335"/>
      <c r="UGQ994" s="2335"/>
      <c r="UGR994" s="2335"/>
      <c r="UGS994" s="2335"/>
      <c r="UGT994" s="2335"/>
      <c r="UGU994" s="2335"/>
      <c r="UGV994" s="2335"/>
      <c r="UGW994" s="2335"/>
      <c r="UGX994" s="2335"/>
      <c r="UGY994" s="2335"/>
      <c r="UGZ994" s="2335"/>
      <c r="UHA994" s="2335"/>
      <c r="UHB994" s="2335"/>
      <c r="UHC994" s="2335"/>
      <c r="UHD994" s="2335"/>
      <c r="UHE994" s="2335"/>
      <c r="UHF994" s="2335"/>
      <c r="UHG994" s="2335"/>
      <c r="UHH994" s="2335"/>
      <c r="UHI994" s="2335"/>
      <c r="UHJ994" s="2335"/>
      <c r="UHK994" s="2335"/>
      <c r="UHL994" s="2335"/>
      <c r="UHM994" s="2335"/>
      <c r="UHN994" s="2335"/>
      <c r="UHO994" s="2335"/>
      <c r="UHP994" s="2335"/>
      <c r="UHQ994" s="2335"/>
      <c r="UHR994" s="2335"/>
      <c r="UHS994" s="2335"/>
      <c r="UHT994" s="2335"/>
      <c r="UHU994" s="2335"/>
      <c r="UHV994" s="2335"/>
      <c r="UHW994" s="2335"/>
      <c r="UHX994" s="2335"/>
      <c r="UHY994" s="2335"/>
      <c r="UHZ994" s="2335"/>
      <c r="UIA994" s="2335"/>
      <c r="UIB994" s="2335"/>
      <c r="UIC994" s="2335"/>
      <c r="UID994" s="2335"/>
      <c r="UIE994" s="2335"/>
      <c r="UIF994" s="2335"/>
      <c r="UIG994" s="2335"/>
      <c r="UIH994" s="2335"/>
      <c r="UII994" s="2335"/>
      <c r="UIJ994" s="2335"/>
      <c r="UIK994" s="2335"/>
      <c r="UIL994" s="2335"/>
      <c r="UIM994" s="2335"/>
      <c r="UIN994" s="2335"/>
      <c r="UIO994" s="2335"/>
      <c r="UIP994" s="2335"/>
      <c r="UIQ994" s="2335"/>
      <c r="UIR994" s="2335"/>
      <c r="UIS994" s="2335"/>
      <c r="UIT994" s="2335"/>
      <c r="UIU994" s="2335"/>
      <c r="UIV994" s="2335"/>
      <c r="UIW994" s="2335"/>
      <c r="UIX994" s="2335"/>
      <c r="UIY994" s="2335"/>
      <c r="UIZ994" s="2335"/>
      <c r="UJA994" s="2335"/>
      <c r="UJB994" s="2335"/>
      <c r="UJC994" s="2335"/>
      <c r="UJD994" s="2335"/>
      <c r="UJE994" s="2335"/>
      <c r="UJF994" s="2335"/>
      <c r="UJG994" s="2335"/>
      <c r="UJH994" s="2335"/>
      <c r="UJI994" s="2335"/>
      <c r="UJJ994" s="2335"/>
      <c r="UJK994" s="2335"/>
      <c r="UJL994" s="2335"/>
      <c r="UJM994" s="2335"/>
      <c r="UJN994" s="2335"/>
      <c r="UJO994" s="2335"/>
      <c r="UJP994" s="2335"/>
      <c r="UJQ994" s="2335"/>
      <c r="UJR994" s="2335"/>
      <c r="UJS994" s="2335"/>
      <c r="UJT994" s="2335"/>
      <c r="UJU994" s="2335"/>
      <c r="UJV994" s="2335"/>
      <c r="UJW994" s="2335"/>
      <c r="UJX994" s="2335"/>
      <c r="UJY994" s="2335"/>
      <c r="UJZ994" s="2335"/>
      <c r="UKA994" s="2335"/>
      <c r="UKB994" s="2335"/>
      <c r="UKC994" s="2335"/>
      <c r="UKD994" s="2335"/>
      <c r="UKE994" s="2335"/>
      <c r="UKF994" s="2335"/>
      <c r="UKG994" s="2335"/>
      <c r="UKH994" s="2335"/>
      <c r="UKI994" s="2335"/>
      <c r="UKJ994" s="2335"/>
      <c r="UKK994" s="2335"/>
      <c r="UKL994" s="2335"/>
      <c r="UKM994" s="2335"/>
      <c r="UKN994" s="2335"/>
      <c r="UKO994" s="2335"/>
      <c r="UKP994" s="2335"/>
      <c r="UKQ994" s="2335"/>
      <c r="UKR994" s="2335"/>
      <c r="UKS994" s="2335"/>
      <c r="UKT994" s="2335"/>
      <c r="UKU994" s="2335"/>
      <c r="UKV994" s="2335"/>
      <c r="UKW994" s="2335"/>
      <c r="UKX994" s="2335"/>
      <c r="UKY994" s="2335"/>
      <c r="UKZ994" s="2335"/>
      <c r="ULA994" s="2335"/>
      <c r="ULB994" s="2335"/>
      <c r="ULC994" s="2335"/>
      <c r="ULD994" s="2335"/>
      <c r="ULE994" s="2335"/>
      <c r="ULF994" s="2335"/>
      <c r="ULG994" s="2335"/>
      <c r="ULH994" s="2335"/>
      <c r="ULI994" s="2335"/>
      <c r="ULJ994" s="2335"/>
      <c r="ULK994" s="2335"/>
      <c r="ULL994" s="2335"/>
      <c r="ULM994" s="2335"/>
      <c r="ULN994" s="2335"/>
      <c r="ULO994" s="2335"/>
      <c r="ULP994" s="2335"/>
      <c r="ULQ994" s="2335"/>
      <c r="ULR994" s="2335"/>
      <c r="ULS994" s="2335"/>
      <c r="ULT994" s="2335"/>
      <c r="ULU994" s="2335"/>
      <c r="ULV994" s="2335"/>
      <c r="ULW994" s="2335"/>
      <c r="ULX994" s="2335"/>
      <c r="ULY994" s="2335"/>
      <c r="ULZ994" s="2335"/>
      <c r="UMA994" s="2335"/>
      <c r="UMB994" s="2335"/>
      <c r="UMC994" s="2335"/>
      <c r="UMD994" s="2335"/>
      <c r="UME994" s="2335"/>
      <c r="UMF994" s="2335"/>
      <c r="UMG994" s="2335"/>
      <c r="UMH994" s="2335"/>
      <c r="UMI994" s="2335"/>
      <c r="UMJ994" s="2335"/>
      <c r="UMK994" s="2335"/>
      <c r="UML994" s="2335"/>
      <c r="UMM994" s="2335"/>
      <c r="UMN994" s="2335"/>
      <c r="UMO994" s="2335"/>
      <c r="UMP994" s="2335"/>
      <c r="UMQ994" s="2335"/>
      <c r="UMR994" s="2335"/>
      <c r="UMS994" s="2335"/>
      <c r="UMT994" s="2335"/>
      <c r="UMU994" s="2335"/>
      <c r="UMV994" s="2335"/>
      <c r="UMW994" s="2335"/>
      <c r="UMX994" s="2335"/>
      <c r="UMY994" s="2335"/>
      <c r="UMZ994" s="2335"/>
      <c r="UNA994" s="2335"/>
      <c r="UNB994" s="2335"/>
      <c r="UNC994" s="2335"/>
      <c r="UND994" s="2335"/>
      <c r="UNE994" s="2335"/>
      <c r="UNF994" s="2335"/>
      <c r="UNG994" s="2335"/>
      <c r="UNH994" s="2335"/>
      <c r="UNI994" s="2335"/>
      <c r="UNJ994" s="2335"/>
      <c r="UNK994" s="2335"/>
      <c r="UNL994" s="2335"/>
      <c r="UNM994" s="2335"/>
      <c r="UNN994" s="2335"/>
      <c r="UNO994" s="2335"/>
      <c r="UNP994" s="2335"/>
      <c r="UNQ994" s="2335"/>
      <c r="UNR994" s="2335"/>
      <c r="UNS994" s="2335"/>
      <c r="UNT994" s="2335"/>
      <c r="UNU994" s="2335"/>
      <c r="UNV994" s="2335"/>
      <c r="UNW994" s="2335"/>
      <c r="UNX994" s="2335"/>
      <c r="UNY994" s="2335"/>
      <c r="UNZ994" s="2335"/>
      <c r="UOA994" s="2335"/>
      <c r="UOB994" s="2335"/>
      <c r="UOC994" s="2335"/>
      <c r="UOD994" s="2335"/>
      <c r="UOE994" s="2335"/>
      <c r="UOF994" s="2335"/>
      <c r="UOG994" s="2335"/>
      <c r="UOH994" s="2335"/>
      <c r="UOI994" s="2335"/>
      <c r="UOJ994" s="2335"/>
      <c r="UOK994" s="2335"/>
      <c r="UOL994" s="2335"/>
      <c r="UOM994" s="2335"/>
      <c r="UON994" s="2335"/>
      <c r="UOO994" s="2335"/>
      <c r="UOP994" s="2335"/>
      <c r="UOQ994" s="2335"/>
      <c r="UOR994" s="2335"/>
      <c r="UOS994" s="2335"/>
      <c r="UOT994" s="2335"/>
      <c r="UOU994" s="2335"/>
      <c r="UOV994" s="2335"/>
      <c r="UOW994" s="2335"/>
      <c r="UOX994" s="2335"/>
      <c r="UOY994" s="2335"/>
      <c r="UOZ994" s="2335"/>
      <c r="UPA994" s="2335"/>
      <c r="UPB994" s="2335"/>
      <c r="UPC994" s="2335"/>
      <c r="UPD994" s="2335"/>
      <c r="UPE994" s="2335"/>
      <c r="UPF994" s="2335"/>
      <c r="UPG994" s="2335"/>
      <c r="UPH994" s="2335"/>
      <c r="UPI994" s="2335"/>
      <c r="UPJ994" s="2335"/>
      <c r="UPK994" s="2335"/>
      <c r="UPL994" s="2335"/>
      <c r="UPM994" s="2335"/>
      <c r="UPN994" s="2335"/>
      <c r="UPO994" s="2335"/>
      <c r="UPP994" s="2335"/>
      <c r="UPQ994" s="2335"/>
      <c r="UPR994" s="2335"/>
      <c r="UPS994" s="2335"/>
      <c r="UPT994" s="2335"/>
      <c r="UPU994" s="2335"/>
      <c r="UPV994" s="2335"/>
      <c r="UPW994" s="2335"/>
      <c r="UPX994" s="2335"/>
      <c r="UPY994" s="2335"/>
      <c r="UPZ994" s="2335"/>
      <c r="UQA994" s="2335"/>
      <c r="UQB994" s="2335"/>
      <c r="UQC994" s="2335"/>
      <c r="UQD994" s="2335"/>
      <c r="UQE994" s="2335"/>
      <c r="UQF994" s="2335"/>
      <c r="UQG994" s="2335"/>
      <c r="UQH994" s="2335"/>
      <c r="UQI994" s="2335"/>
      <c r="UQJ994" s="2335"/>
      <c r="UQK994" s="2335"/>
      <c r="UQL994" s="2335"/>
      <c r="UQM994" s="2335"/>
      <c r="UQN994" s="2335"/>
      <c r="UQO994" s="2335"/>
      <c r="UQP994" s="2335"/>
      <c r="UQQ994" s="2335"/>
      <c r="UQR994" s="2335"/>
      <c r="UQS994" s="2335"/>
      <c r="UQT994" s="2335"/>
      <c r="UQU994" s="2335"/>
      <c r="UQV994" s="2335"/>
      <c r="UQW994" s="2335"/>
      <c r="UQX994" s="2335"/>
      <c r="UQY994" s="2335"/>
      <c r="UQZ994" s="2335"/>
      <c r="URA994" s="2335"/>
      <c r="URB994" s="2335"/>
      <c r="URC994" s="2335"/>
      <c r="URD994" s="2335"/>
      <c r="URE994" s="2335"/>
      <c r="URF994" s="2335"/>
      <c r="URG994" s="2335"/>
      <c r="URH994" s="2335"/>
      <c r="URI994" s="2335"/>
      <c r="URJ994" s="2335"/>
      <c r="URK994" s="2335"/>
      <c r="URL994" s="2335"/>
      <c r="URM994" s="2335"/>
      <c r="URN994" s="2335"/>
      <c r="URO994" s="2335"/>
      <c r="URP994" s="2335"/>
      <c r="URQ994" s="2335"/>
      <c r="URR994" s="2335"/>
      <c r="URS994" s="2335"/>
      <c r="URT994" s="2335"/>
      <c r="URU994" s="2335"/>
      <c r="URV994" s="2335"/>
      <c r="URW994" s="2335"/>
      <c r="URX994" s="2335"/>
      <c r="URY994" s="2335"/>
      <c r="URZ994" s="2335"/>
      <c r="USA994" s="2335"/>
      <c r="USB994" s="2335"/>
      <c r="USC994" s="2335"/>
      <c r="USD994" s="2335"/>
      <c r="USE994" s="2335"/>
      <c r="USF994" s="2335"/>
      <c r="USG994" s="2335"/>
      <c r="USH994" s="2335"/>
      <c r="USI994" s="2335"/>
      <c r="USJ994" s="2335"/>
      <c r="USK994" s="2335"/>
      <c r="USL994" s="2335"/>
      <c r="USM994" s="2335"/>
      <c r="USN994" s="2335"/>
      <c r="USO994" s="2335"/>
      <c r="USP994" s="2335"/>
      <c r="USQ994" s="2335"/>
      <c r="USR994" s="2335"/>
      <c r="USS994" s="2335"/>
      <c r="UST994" s="2335"/>
      <c r="USU994" s="2335"/>
      <c r="USV994" s="2335"/>
      <c r="USW994" s="2335"/>
      <c r="USX994" s="2335"/>
      <c r="USY994" s="2335"/>
      <c r="USZ994" s="2335"/>
      <c r="UTA994" s="2335"/>
      <c r="UTB994" s="2335"/>
      <c r="UTC994" s="2335"/>
      <c r="UTD994" s="2335"/>
      <c r="UTE994" s="2335"/>
      <c r="UTF994" s="2335"/>
      <c r="UTG994" s="2335"/>
      <c r="UTH994" s="2335"/>
      <c r="UTI994" s="2335"/>
      <c r="UTJ994" s="2335"/>
      <c r="UTK994" s="2335"/>
      <c r="UTL994" s="2335"/>
      <c r="UTM994" s="2335"/>
      <c r="UTN994" s="2335"/>
      <c r="UTO994" s="2335"/>
      <c r="UTP994" s="2335"/>
      <c r="UTQ994" s="2335"/>
      <c r="UTR994" s="2335"/>
      <c r="UTS994" s="2335"/>
      <c r="UTT994" s="2335"/>
      <c r="UTU994" s="2335"/>
      <c r="UTV994" s="2335"/>
      <c r="UTW994" s="2335"/>
      <c r="UTX994" s="2335"/>
      <c r="UTY994" s="2335"/>
      <c r="UTZ994" s="2335"/>
      <c r="UUA994" s="2335"/>
      <c r="UUB994" s="2335"/>
      <c r="UUC994" s="2335"/>
      <c r="UUD994" s="2335"/>
      <c r="UUE994" s="2335"/>
      <c r="UUF994" s="2335"/>
      <c r="UUG994" s="2335"/>
      <c r="UUH994" s="2335"/>
      <c r="UUI994" s="2335"/>
      <c r="UUJ994" s="2335"/>
      <c r="UUK994" s="2335"/>
      <c r="UUL994" s="2335"/>
      <c r="UUM994" s="2335"/>
      <c r="UUN994" s="2335"/>
      <c r="UUO994" s="2335"/>
      <c r="UUP994" s="2335"/>
      <c r="UUQ994" s="2335"/>
      <c r="UUR994" s="2335"/>
      <c r="UUS994" s="2335"/>
      <c r="UUT994" s="2335"/>
      <c r="UUU994" s="2335"/>
      <c r="UUV994" s="2335"/>
      <c r="UUW994" s="2335"/>
      <c r="UUX994" s="2335"/>
      <c r="UUY994" s="2335"/>
      <c r="UUZ994" s="2335"/>
      <c r="UVA994" s="2335"/>
      <c r="UVB994" s="2335"/>
      <c r="UVC994" s="2335"/>
      <c r="UVD994" s="2335"/>
      <c r="UVE994" s="2335"/>
      <c r="UVF994" s="2335"/>
      <c r="UVG994" s="2335"/>
      <c r="UVH994" s="2335"/>
      <c r="UVI994" s="2335"/>
      <c r="UVJ994" s="2335"/>
      <c r="UVK994" s="2335"/>
      <c r="UVL994" s="2335"/>
      <c r="UVM994" s="2335"/>
      <c r="UVN994" s="2335"/>
      <c r="UVO994" s="2335"/>
      <c r="UVP994" s="2335"/>
      <c r="UVQ994" s="2335"/>
      <c r="UVR994" s="2335"/>
      <c r="UVS994" s="2335"/>
      <c r="UVT994" s="2335"/>
      <c r="UVU994" s="2335"/>
      <c r="UVV994" s="2335"/>
      <c r="UVW994" s="2335"/>
      <c r="UVX994" s="2335"/>
      <c r="UVY994" s="2335"/>
      <c r="UVZ994" s="2335"/>
      <c r="UWA994" s="2335"/>
      <c r="UWB994" s="2335"/>
      <c r="UWC994" s="2335"/>
      <c r="UWD994" s="2335"/>
      <c r="UWE994" s="2335"/>
      <c r="UWF994" s="2335"/>
      <c r="UWG994" s="2335"/>
      <c r="UWH994" s="2335"/>
      <c r="UWI994" s="2335"/>
      <c r="UWJ994" s="2335"/>
      <c r="UWK994" s="2335"/>
      <c r="UWL994" s="2335"/>
      <c r="UWM994" s="2335"/>
      <c r="UWN994" s="2335"/>
      <c r="UWO994" s="2335"/>
      <c r="UWP994" s="2335"/>
      <c r="UWQ994" s="2335"/>
      <c r="UWR994" s="2335"/>
      <c r="UWS994" s="2335"/>
      <c r="UWT994" s="2335"/>
      <c r="UWU994" s="2335"/>
      <c r="UWV994" s="2335"/>
      <c r="UWW994" s="2335"/>
      <c r="UWX994" s="2335"/>
      <c r="UWY994" s="2335"/>
      <c r="UWZ994" s="2335"/>
      <c r="UXA994" s="2335"/>
      <c r="UXB994" s="2335"/>
      <c r="UXC994" s="2335"/>
      <c r="UXD994" s="2335"/>
      <c r="UXE994" s="2335"/>
      <c r="UXF994" s="2335"/>
      <c r="UXG994" s="2335"/>
      <c r="UXH994" s="2335"/>
      <c r="UXI994" s="2335"/>
      <c r="UXJ994" s="2335"/>
      <c r="UXK994" s="2335"/>
      <c r="UXL994" s="2335"/>
      <c r="UXM994" s="2335"/>
      <c r="UXN994" s="2335"/>
      <c r="UXO994" s="2335"/>
      <c r="UXP994" s="2335"/>
      <c r="UXQ994" s="2335"/>
      <c r="UXR994" s="2335"/>
      <c r="UXS994" s="2335"/>
      <c r="UXT994" s="2335"/>
      <c r="UXU994" s="2335"/>
      <c r="UXV994" s="2335"/>
      <c r="UXW994" s="2335"/>
      <c r="UXX994" s="2335"/>
      <c r="UXY994" s="2335"/>
      <c r="UXZ994" s="2335"/>
      <c r="UYA994" s="2335"/>
      <c r="UYB994" s="2335"/>
      <c r="UYC994" s="2335"/>
      <c r="UYD994" s="2335"/>
      <c r="UYE994" s="2335"/>
      <c r="UYF994" s="2335"/>
      <c r="UYG994" s="2335"/>
      <c r="UYH994" s="2335"/>
      <c r="UYI994" s="2335"/>
      <c r="UYJ994" s="2335"/>
      <c r="UYK994" s="2335"/>
      <c r="UYL994" s="2335"/>
      <c r="UYM994" s="2335"/>
      <c r="UYN994" s="2335"/>
      <c r="UYO994" s="2335"/>
      <c r="UYP994" s="2335"/>
      <c r="UYQ994" s="2335"/>
      <c r="UYR994" s="2335"/>
      <c r="UYS994" s="2335"/>
      <c r="UYT994" s="2335"/>
      <c r="UYU994" s="2335"/>
      <c r="UYV994" s="2335"/>
      <c r="UYW994" s="2335"/>
      <c r="UYX994" s="2335"/>
      <c r="UYY994" s="2335"/>
      <c r="UYZ994" s="2335"/>
      <c r="UZA994" s="2335"/>
      <c r="UZB994" s="2335"/>
      <c r="UZC994" s="2335"/>
      <c r="UZD994" s="2335"/>
      <c r="UZE994" s="2335"/>
      <c r="UZF994" s="2335"/>
      <c r="UZG994" s="2335"/>
      <c r="UZH994" s="2335"/>
      <c r="UZI994" s="2335"/>
      <c r="UZJ994" s="2335"/>
      <c r="UZK994" s="2335"/>
      <c r="UZL994" s="2335"/>
      <c r="UZM994" s="2335"/>
      <c r="UZN994" s="2335"/>
      <c r="UZO994" s="2335"/>
      <c r="UZP994" s="2335"/>
      <c r="UZQ994" s="2335"/>
      <c r="UZR994" s="2335"/>
      <c r="UZS994" s="2335"/>
      <c r="UZT994" s="2335"/>
      <c r="UZU994" s="2335"/>
      <c r="UZV994" s="2335"/>
      <c r="UZW994" s="2335"/>
      <c r="UZX994" s="2335"/>
      <c r="UZY994" s="2335"/>
      <c r="UZZ994" s="2335"/>
      <c r="VAA994" s="2335"/>
      <c r="VAB994" s="2335"/>
      <c r="VAC994" s="2335"/>
      <c r="VAD994" s="2335"/>
      <c r="VAE994" s="2335"/>
      <c r="VAF994" s="2335"/>
      <c r="VAG994" s="2335"/>
      <c r="VAH994" s="2335"/>
      <c r="VAI994" s="2335"/>
      <c r="VAJ994" s="2335"/>
      <c r="VAK994" s="2335"/>
      <c r="VAL994" s="2335"/>
      <c r="VAM994" s="2335"/>
      <c r="VAN994" s="2335"/>
      <c r="VAO994" s="2335"/>
      <c r="VAP994" s="2335"/>
      <c r="VAQ994" s="2335"/>
      <c r="VAR994" s="2335"/>
      <c r="VAS994" s="2335"/>
      <c r="VAT994" s="2335"/>
      <c r="VAU994" s="2335"/>
      <c r="VAV994" s="2335"/>
      <c r="VAW994" s="2335"/>
      <c r="VAX994" s="2335"/>
      <c r="VAY994" s="2335"/>
      <c r="VAZ994" s="2335"/>
      <c r="VBA994" s="2335"/>
      <c r="VBB994" s="2335"/>
      <c r="VBC994" s="2335"/>
      <c r="VBD994" s="2335"/>
      <c r="VBE994" s="2335"/>
      <c r="VBF994" s="2335"/>
      <c r="VBG994" s="2335"/>
      <c r="VBH994" s="2335"/>
      <c r="VBI994" s="2335"/>
      <c r="VBJ994" s="2335"/>
      <c r="VBK994" s="2335"/>
      <c r="VBL994" s="2335"/>
      <c r="VBM994" s="2335"/>
      <c r="VBN994" s="2335"/>
      <c r="VBO994" s="2335"/>
      <c r="VBP994" s="2335"/>
      <c r="VBQ994" s="2335"/>
      <c r="VBR994" s="2335"/>
      <c r="VBS994" s="2335"/>
      <c r="VBT994" s="2335"/>
      <c r="VBU994" s="2335"/>
      <c r="VBV994" s="2335"/>
      <c r="VBW994" s="2335"/>
      <c r="VBX994" s="2335"/>
      <c r="VBY994" s="2335"/>
      <c r="VBZ994" s="2335"/>
      <c r="VCA994" s="2335"/>
      <c r="VCB994" s="2335"/>
      <c r="VCC994" s="2335"/>
      <c r="VCD994" s="2335"/>
      <c r="VCE994" s="2335"/>
      <c r="VCF994" s="2335"/>
      <c r="VCG994" s="2335"/>
      <c r="VCH994" s="2335"/>
      <c r="VCI994" s="2335"/>
      <c r="VCJ994" s="2335"/>
      <c r="VCK994" s="2335"/>
      <c r="VCL994" s="2335"/>
      <c r="VCM994" s="2335"/>
      <c r="VCN994" s="2335"/>
      <c r="VCO994" s="2335"/>
      <c r="VCP994" s="2335"/>
      <c r="VCQ994" s="2335"/>
      <c r="VCR994" s="2335"/>
      <c r="VCS994" s="2335"/>
      <c r="VCT994" s="2335"/>
      <c r="VCU994" s="2335"/>
      <c r="VCV994" s="2335"/>
      <c r="VCW994" s="2335"/>
      <c r="VCX994" s="2335"/>
      <c r="VCY994" s="2335"/>
      <c r="VCZ994" s="2335"/>
      <c r="VDA994" s="2335"/>
      <c r="VDB994" s="2335"/>
      <c r="VDC994" s="2335"/>
      <c r="VDD994" s="2335"/>
      <c r="VDE994" s="2335"/>
      <c r="VDF994" s="2335"/>
      <c r="VDG994" s="2335"/>
      <c r="VDH994" s="2335"/>
      <c r="VDI994" s="2335"/>
      <c r="VDJ994" s="2335"/>
      <c r="VDK994" s="2335"/>
      <c r="VDL994" s="2335"/>
      <c r="VDM994" s="2335"/>
      <c r="VDN994" s="2335"/>
      <c r="VDO994" s="2335"/>
      <c r="VDP994" s="2335"/>
      <c r="VDQ994" s="2335"/>
      <c r="VDR994" s="2335"/>
      <c r="VDS994" s="2335"/>
      <c r="VDT994" s="2335"/>
      <c r="VDU994" s="2335"/>
      <c r="VDV994" s="2335"/>
      <c r="VDW994" s="2335"/>
      <c r="VDX994" s="2335"/>
      <c r="VDY994" s="2335"/>
      <c r="VDZ994" s="2335"/>
      <c r="VEA994" s="2335"/>
      <c r="VEB994" s="2335"/>
      <c r="VEC994" s="2335"/>
      <c r="VED994" s="2335"/>
      <c r="VEE994" s="2335"/>
      <c r="VEF994" s="2335"/>
      <c r="VEG994" s="2335"/>
      <c r="VEH994" s="2335"/>
      <c r="VEI994" s="2335"/>
      <c r="VEJ994" s="2335"/>
      <c r="VEK994" s="2335"/>
      <c r="VEL994" s="2335"/>
      <c r="VEM994" s="2335"/>
      <c r="VEN994" s="2335"/>
      <c r="VEO994" s="2335"/>
      <c r="VEP994" s="2335"/>
      <c r="VEQ994" s="2335"/>
      <c r="VER994" s="2335"/>
      <c r="VES994" s="2335"/>
      <c r="VET994" s="2335"/>
      <c r="VEU994" s="2335"/>
      <c r="VEV994" s="2335"/>
      <c r="VEW994" s="2335"/>
      <c r="VEX994" s="2335"/>
      <c r="VEY994" s="2335"/>
      <c r="VEZ994" s="2335"/>
      <c r="VFA994" s="2335"/>
      <c r="VFB994" s="2335"/>
      <c r="VFC994" s="2335"/>
      <c r="VFD994" s="2335"/>
      <c r="VFE994" s="2335"/>
      <c r="VFF994" s="2335"/>
      <c r="VFG994" s="2335"/>
      <c r="VFH994" s="2335"/>
      <c r="VFI994" s="2335"/>
      <c r="VFJ994" s="2335"/>
      <c r="VFK994" s="2335"/>
      <c r="VFL994" s="2335"/>
      <c r="VFM994" s="2335"/>
      <c r="VFN994" s="2335"/>
      <c r="VFO994" s="2335"/>
      <c r="VFP994" s="2335"/>
      <c r="VFQ994" s="2335"/>
      <c r="VFR994" s="2335"/>
      <c r="VFS994" s="2335"/>
      <c r="VFT994" s="2335"/>
      <c r="VFU994" s="2335"/>
      <c r="VFV994" s="2335"/>
      <c r="VFW994" s="2335"/>
      <c r="VFX994" s="2335"/>
      <c r="VFY994" s="2335"/>
      <c r="VFZ994" s="2335"/>
      <c r="VGA994" s="2335"/>
      <c r="VGB994" s="2335"/>
      <c r="VGC994" s="2335"/>
      <c r="VGD994" s="2335"/>
      <c r="VGE994" s="2335"/>
      <c r="VGF994" s="2335"/>
      <c r="VGG994" s="2335"/>
      <c r="VGH994" s="2335"/>
      <c r="VGI994" s="2335"/>
      <c r="VGJ994" s="2335"/>
      <c r="VGK994" s="2335"/>
      <c r="VGL994" s="2335"/>
      <c r="VGM994" s="2335"/>
      <c r="VGN994" s="2335"/>
      <c r="VGO994" s="2335"/>
      <c r="VGP994" s="2335"/>
      <c r="VGQ994" s="2335"/>
      <c r="VGR994" s="2335"/>
      <c r="VGS994" s="2335"/>
      <c r="VGT994" s="2335"/>
      <c r="VGU994" s="2335"/>
      <c r="VGV994" s="2335"/>
      <c r="VGW994" s="2335"/>
      <c r="VGX994" s="2335"/>
      <c r="VGY994" s="2335"/>
      <c r="VGZ994" s="2335"/>
      <c r="VHA994" s="2335"/>
      <c r="VHB994" s="2335"/>
      <c r="VHC994" s="2335"/>
      <c r="VHD994" s="2335"/>
      <c r="VHE994" s="2335"/>
      <c r="VHF994" s="2335"/>
      <c r="VHG994" s="2335"/>
      <c r="VHH994" s="2335"/>
      <c r="VHI994" s="2335"/>
      <c r="VHJ994" s="2335"/>
      <c r="VHK994" s="2335"/>
      <c r="VHL994" s="2335"/>
      <c r="VHM994" s="2335"/>
      <c r="VHN994" s="2335"/>
      <c r="VHO994" s="2335"/>
      <c r="VHP994" s="2335"/>
      <c r="VHQ994" s="2335"/>
      <c r="VHR994" s="2335"/>
      <c r="VHS994" s="2335"/>
      <c r="VHT994" s="2335"/>
      <c r="VHU994" s="2335"/>
      <c r="VHV994" s="2335"/>
      <c r="VHW994" s="2335"/>
      <c r="VHX994" s="2335"/>
      <c r="VHY994" s="2335"/>
      <c r="VHZ994" s="2335"/>
      <c r="VIA994" s="2335"/>
      <c r="VIB994" s="2335"/>
      <c r="VIC994" s="2335"/>
      <c r="VID994" s="2335"/>
      <c r="VIE994" s="2335"/>
      <c r="VIF994" s="2335"/>
      <c r="VIG994" s="2335"/>
      <c r="VIH994" s="2335"/>
      <c r="VII994" s="2335"/>
      <c r="VIJ994" s="2335"/>
      <c r="VIK994" s="2335"/>
      <c r="VIL994" s="2335"/>
      <c r="VIM994" s="2335"/>
      <c r="VIN994" s="2335"/>
      <c r="VIO994" s="2335"/>
      <c r="VIP994" s="2335"/>
      <c r="VIQ994" s="2335"/>
      <c r="VIR994" s="2335"/>
      <c r="VIS994" s="2335"/>
      <c r="VIT994" s="2335"/>
      <c r="VIU994" s="2335"/>
      <c r="VIV994" s="2335"/>
      <c r="VIW994" s="2335"/>
      <c r="VIX994" s="2335"/>
      <c r="VIY994" s="2335"/>
      <c r="VIZ994" s="2335"/>
      <c r="VJA994" s="2335"/>
      <c r="VJB994" s="2335"/>
      <c r="VJC994" s="2335"/>
      <c r="VJD994" s="2335"/>
      <c r="VJE994" s="2335"/>
      <c r="VJF994" s="2335"/>
      <c r="VJG994" s="2335"/>
      <c r="VJH994" s="2335"/>
      <c r="VJI994" s="2335"/>
      <c r="VJJ994" s="2335"/>
      <c r="VJK994" s="2335"/>
      <c r="VJL994" s="2335"/>
      <c r="VJM994" s="2335"/>
      <c r="VJN994" s="2335"/>
      <c r="VJO994" s="2335"/>
      <c r="VJP994" s="2335"/>
      <c r="VJQ994" s="2335"/>
      <c r="VJR994" s="2335"/>
      <c r="VJS994" s="2335"/>
      <c r="VJT994" s="2335"/>
      <c r="VJU994" s="2335"/>
      <c r="VJV994" s="2335"/>
      <c r="VJW994" s="2335"/>
      <c r="VJX994" s="2335"/>
      <c r="VJY994" s="2335"/>
      <c r="VJZ994" s="2335"/>
      <c r="VKA994" s="2335"/>
      <c r="VKB994" s="2335"/>
      <c r="VKC994" s="2335"/>
      <c r="VKD994" s="2335"/>
      <c r="VKE994" s="2335"/>
      <c r="VKF994" s="2335"/>
      <c r="VKG994" s="2335"/>
      <c r="VKH994" s="2335"/>
      <c r="VKI994" s="2335"/>
      <c r="VKJ994" s="2335"/>
      <c r="VKK994" s="2335"/>
      <c r="VKL994" s="2335"/>
      <c r="VKM994" s="2335"/>
      <c r="VKN994" s="2335"/>
      <c r="VKO994" s="2335"/>
      <c r="VKP994" s="2335"/>
      <c r="VKQ994" s="2335"/>
      <c r="VKR994" s="2335"/>
      <c r="VKS994" s="2335"/>
      <c r="VKT994" s="2335"/>
      <c r="VKU994" s="2335"/>
      <c r="VKV994" s="2335"/>
      <c r="VKW994" s="2335"/>
      <c r="VKX994" s="2335"/>
      <c r="VKY994" s="2335"/>
      <c r="VKZ994" s="2335"/>
      <c r="VLA994" s="2335"/>
      <c r="VLB994" s="2335"/>
      <c r="VLC994" s="2335"/>
      <c r="VLD994" s="2335"/>
      <c r="VLE994" s="2335"/>
      <c r="VLF994" s="2335"/>
      <c r="VLG994" s="2335"/>
      <c r="VLH994" s="2335"/>
      <c r="VLI994" s="2335"/>
      <c r="VLJ994" s="2335"/>
      <c r="VLK994" s="2335"/>
      <c r="VLL994" s="2335"/>
      <c r="VLM994" s="2335"/>
      <c r="VLN994" s="2335"/>
      <c r="VLO994" s="2335"/>
      <c r="VLP994" s="2335"/>
      <c r="VLQ994" s="2335"/>
      <c r="VLR994" s="2335"/>
      <c r="VLS994" s="2335"/>
      <c r="VLT994" s="2335"/>
      <c r="VLU994" s="2335"/>
      <c r="VLV994" s="2335"/>
      <c r="VLW994" s="2335"/>
      <c r="VLX994" s="2335"/>
      <c r="VLY994" s="2335"/>
      <c r="VLZ994" s="2335"/>
      <c r="VMA994" s="2335"/>
      <c r="VMB994" s="2335"/>
      <c r="VMC994" s="2335"/>
      <c r="VMD994" s="2335"/>
      <c r="VME994" s="2335"/>
      <c r="VMF994" s="2335"/>
      <c r="VMG994" s="2335"/>
      <c r="VMH994" s="2335"/>
      <c r="VMI994" s="2335"/>
      <c r="VMJ994" s="2335"/>
      <c r="VMK994" s="2335"/>
      <c r="VML994" s="2335"/>
      <c r="VMM994" s="2335"/>
      <c r="VMN994" s="2335"/>
      <c r="VMO994" s="2335"/>
      <c r="VMP994" s="2335"/>
      <c r="VMQ994" s="2335"/>
      <c r="VMR994" s="2335"/>
      <c r="VMS994" s="2335"/>
      <c r="VMT994" s="2335"/>
      <c r="VMU994" s="2335"/>
      <c r="VMV994" s="2335"/>
      <c r="VMW994" s="2335"/>
      <c r="VMX994" s="2335"/>
      <c r="VMY994" s="2335"/>
      <c r="VMZ994" s="2335"/>
      <c r="VNA994" s="2335"/>
      <c r="VNB994" s="2335"/>
      <c r="VNC994" s="2335"/>
      <c r="VND994" s="2335"/>
      <c r="VNE994" s="2335"/>
      <c r="VNF994" s="2335"/>
      <c r="VNG994" s="2335"/>
      <c r="VNH994" s="2335"/>
      <c r="VNI994" s="2335"/>
      <c r="VNJ994" s="2335"/>
      <c r="VNK994" s="2335"/>
      <c r="VNL994" s="2335"/>
      <c r="VNM994" s="2335"/>
      <c r="VNN994" s="2335"/>
      <c r="VNO994" s="2335"/>
      <c r="VNP994" s="2335"/>
      <c r="VNQ994" s="2335"/>
      <c r="VNR994" s="2335"/>
      <c r="VNS994" s="2335"/>
      <c r="VNT994" s="2335"/>
      <c r="VNU994" s="2335"/>
      <c r="VNV994" s="2335"/>
      <c r="VNW994" s="2335"/>
      <c r="VNX994" s="2335"/>
      <c r="VNY994" s="2335"/>
      <c r="VNZ994" s="2335"/>
      <c r="VOA994" s="2335"/>
      <c r="VOB994" s="2335"/>
      <c r="VOC994" s="2335"/>
      <c r="VOD994" s="2335"/>
      <c r="VOE994" s="2335"/>
      <c r="VOF994" s="2335"/>
      <c r="VOG994" s="2335"/>
      <c r="VOH994" s="2335"/>
      <c r="VOI994" s="2335"/>
      <c r="VOJ994" s="2335"/>
      <c r="VOK994" s="2335"/>
      <c r="VOL994" s="2335"/>
      <c r="VOM994" s="2335"/>
      <c r="VON994" s="2335"/>
      <c r="VOO994" s="2335"/>
      <c r="VOP994" s="2335"/>
      <c r="VOQ994" s="2335"/>
      <c r="VOR994" s="2335"/>
      <c r="VOS994" s="2335"/>
      <c r="VOT994" s="2335"/>
      <c r="VOU994" s="2335"/>
      <c r="VOV994" s="2335"/>
      <c r="VOW994" s="2335"/>
      <c r="VOX994" s="2335"/>
      <c r="VOY994" s="2335"/>
      <c r="VOZ994" s="2335"/>
      <c r="VPA994" s="2335"/>
      <c r="VPB994" s="2335"/>
      <c r="VPC994" s="2335"/>
      <c r="VPD994" s="2335"/>
      <c r="VPE994" s="2335"/>
      <c r="VPF994" s="2335"/>
      <c r="VPG994" s="2335"/>
      <c r="VPH994" s="2335"/>
      <c r="VPI994" s="2335"/>
      <c r="VPJ994" s="2335"/>
      <c r="VPK994" s="2335"/>
      <c r="VPL994" s="2335"/>
      <c r="VPM994" s="2335"/>
      <c r="VPN994" s="2335"/>
      <c r="VPO994" s="2335"/>
      <c r="VPP994" s="2335"/>
      <c r="VPQ994" s="2335"/>
      <c r="VPR994" s="2335"/>
      <c r="VPS994" s="2335"/>
      <c r="VPT994" s="2335"/>
      <c r="VPU994" s="2335"/>
      <c r="VPV994" s="2335"/>
      <c r="VPW994" s="2335"/>
      <c r="VPX994" s="2335"/>
      <c r="VPY994" s="2335"/>
      <c r="VPZ994" s="2335"/>
      <c r="VQA994" s="2335"/>
      <c r="VQB994" s="2335"/>
      <c r="VQC994" s="2335"/>
      <c r="VQD994" s="2335"/>
      <c r="VQE994" s="2335"/>
      <c r="VQF994" s="2335"/>
      <c r="VQG994" s="2335"/>
      <c r="VQH994" s="2335"/>
      <c r="VQI994" s="2335"/>
      <c r="VQJ994" s="2335"/>
      <c r="VQK994" s="2335"/>
      <c r="VQL994" s="2335"/>
      <c r="VQM994" s="2335"/>
      <c r="VQN994" s="2335"/>
      <c r="VQO994" s="2335"/>
      <c r="VQP994" s="2335"/>
      <c r="VQQ994" s="2335"/>
      <c r="VQR994" s="2335"/>
      <c r="VQS994" s="2335"/>
      <c r="VQT994" s="2335"/>
      <c r="VQU994" s="2335"/>
      <c r="VQV994" s="2335"/>
      <c r="VQW994" s="2335"/>
      <c r="VQX994" s="2335"/>
      <c r="VQY994" s="2335"/>
      <c r="VQZ994" s="2335"/>
      <c r="VRA994" s="2335"/>
      <c r="VRB994" s="2335"/>
      <c r="VRC994" s="2335"/>
      <c r="VRD994" s="2335"/>
      <c r="VRE994" s="2335"/>
      <c r="VRF994" s="2335"/>
      <c r="VRG994" s="2335"/>
      <c r="VRH994" s="2335"/>
      <c r="VRI994" s="2335"/>
      <c r="VRJ994" s="2335"/>
      <c r="VRK994" s="2335"/>
      <c r="VRL994" s="2335"/>
      <c r="VRM994" s="2335"/>
      <c r="VRN994" s="2335"/>
      <c r="VRO994" s="2335"/>
      <c r="VRP994" s="2335"/>
      <c r="VRQ994" s="2335"/>
      <c r="VRR994" s="2335"/>
      <c r="VRS994" s="2335"/>
      <c r="VRT994" s="2335"/>
      <c r="VRU994" s="2335"/>
      <c r="VRV994" s="2335"/>
      <c r="VRW994" s="2335"/>
      <c r="VRX994" s="2335"/>
      <c r="VRY994" s="2335"/>
      <c r="VRZ994" s="2335"/>
      <c r="VSA994" s="2335"/>
      <c r="VSB994" s="2335"/>
      <c r="VSC994" s="2335"/>
      <c r="VSD994" s="2335"/>
      <c r="VSE994" s="2335"/>
      <c r="VSF994" s="2335"/>
      <c r="VSG994" s="2335"/>
      <c r="VSH994" s="2335"/>
      <c r="VSI994" s="2335"/>
      <c r="VSJ994" s="2335"/>
      <c r="VSK994" s="2335"/>
      <c r="VSL994" s="2335"/>
      <c r="VSM994" s="2335"/>
      <c r="VSN994" s="2335"/>
      <c r="VSO994" s="2335"/>
      <c r="VSP994" s="2335"/>
      <c r="VSQ994" s="2335"/>
      <c r="VSR994" s="2335"/>
      <c r="VSS994" s="2335"/>
      <c r="VST994" s="2335"/>
      <c r="VSU994" s="2335"/>
      <c r="VSV994" s="2335"/>
      <c r="VSW994" s="2335"/>
      <c r="VSX994" s="2335"/>
      <c r="VSY994" s="2335"/>
      <c r="VSZ994" s="2335"/>
      <c r="VTA994" s="2335"/>
      <c r="VTB994" s="2335"/>
      <c r="VTC994" s="2335"/>
      <c r="VTD994" s="2335"/>
      <c r="VTE994" s="2335"/>
      <c r="VTF994" s="2335"/>
      <c r="VTG994" s="2335"/>
      <c r="VTH994" s="2335"/>
      <c r="VTI994" s="2335"/>
      <c r="VTJ994" s="2335"/>
      <c r="VTK994" s="2335"/>
      <c r="VTL994" s="2335"/>
      <c r="VTM994" s="2335"/>
      <c r="VTN994" s="2335"/>
      <c r="VTO994" s="2335"/>
      <c r="VTP994" s="2335"/>
      <c r="VTQ994" s="2335"/>
      <c r="VTR994" s="2335"/>
      <c r="VTS994" s="2335"/>
      <c r="VTT994" s="2335"/>
      <c r="VTU994" s="2335"/>
      <c r="VTV994" s="2335"/>
      <c r="VTW994" s="2335"/>
      <c r="VTX994" s="2335"/>
      <c r="VTY994" s="2335"/>
      <c r="VTZ994" s="2335"/>
      <c r="VUA994" s="2335"/>
      <c r="VUB994" s="2335"/>
      <c r="VUC994" s="2335"/>
      <c r="VUD994" s="2335"/>
      <c r="VUE994" s="2335"/>
      <c r="VUF994" s="2335"/>
      <c r="VUG994" s="2335"/>
      <c r="VUH994" s="2335"/>
      <c r="VUI994" s="2335"/>
      <c r="VUJ994" s="2335"/>
      <c r="VUK994" s="2335"/>
      <c r="VUL994" s="2335"/>
      <c r="VUM994" s="2335"/>
      <c r="VUN994" s="2335"/>
      <c r="VUO994" s="2335"/>
      <c r="VUP994" s="2335"/>
      <c r="VUQ994" s="2335"/>
      <c r="VUR994" s="2335"/>
      <c r="VUS994" s="2335"/>
      <c r="VUT994" s="2335"/>
      <c r="VUU994" s="2335"/>
      <c r="VUV994" s="2335"/>
      <c r="VUW994" s="2335"/>
      <c r="VUX994" s="2335"/>
      <c r="VUY994" s="2335"/>
      <c r="VUZ994" s="2335"/>
      <c r="VVA994" s="2335"/>
      <c r="VVB994" s="2335"/>
      <c r="VVC994" s="2335"/>
      <c r="VVD994" s="2335"/>
      <c r="VVE994" s="2335"/>
      <c r="VVF994" s="2335"/>
      <c r="VVG994" s="2335"/>
      <c r="VVH994" s="2335"/>
      <c r="VVI994" s="2335"/>
      <c r="VVJ994" s="2335"/>
      <c r="VVK994" s="2335"/>
      <c r="VVL994" s="2335"/>
      <c r="VVM994" s="2335"/>
      <c r="VVN994" s="2335"/>
      <c r="VVO994" s="2335"/>
      <c r="VVP994" s="2335"/>
      <c r="VVQ994" s="2335"/>
      <c r="VVR994" s="2335"/>
      <c r="VVS994" s="2335"/>
      <c r="VVT994" s="2335"/>
      <c r="VVU994" s="2335"/>
      <c r="VVV994" s="2335"/>
      <c r="VVW994" s="2335"/>
      <c r="VVX994" s="2335"/>
      <c r="VVY994" s="2335"/>
      <c r="VVZ994" s="2335"/>
      <c r="VWA994" s="2335"/>
      <c r="VWB994" s="2335"/>
      <c r="VWC994" s="2335"/>
      <c r="VWD994" s="2335"/>
      <c r="VWE994" s="2335"/>
      <c r="VWF994" s="2335"/>
      <c r="VWG994" s="2335"/>
      <c r="VWH994" s="2335"/>
      <c r="VWI994" s="2335"/>
      <c r="VWJ994" s="2335"/>
      <c r="VWK994" s="2335"/>
      <c r="VWL994" s="2335"/>
      <c r="VWM994" s="2335"/>
      <c r="VWN994" s="2335"/>
      <c r="VWO994" s="2335"/>
      <c r="VWP994" s="2335"/>
      <c r="VWQ994" s="2335"/>
      <c r="VWR994" s="2335"/>
      <c r="VWS994" s="2335"/>
      <c r="VWT994" s="2335"/>
      <c r="VWU994" s="2335"/>
      <c r="VWV994" s="2335"/>
      <c r="VWW994" s="2335"/>
      <c r="VWX994" s="2335"/>
      <c r="VWY994" s="2335"/>
      <c r="VWZ994" s="2335"/>
      <c r="VXA994" s="2335"/>
      <c r="VXB994" s="2335"/>
      <c r="VXC994" s="2335"/>
      <c r="VXD994" s="2335"/>
      <c r="VXE994" s="2335"/>
      <c r="VXF994" s="2335"/>
      <c r="VXG994" s="2335"/>
      <c r="VXH994" s="2335"/>
      <c r="VXI994" s="2335"/>
      <c r="VXJ994" s="2335"/>
      <c r="VXK994" s="2335"/>
      <c r="VXL994" s="2335"/>
      <c r="VXM994" s="2335"/>
      <c r="VXN994" s="2335"/>
      <c r="VXO994" s="2335"/>
      <c r="VXP994" s="2335"/>
      <c r="VXQ994" s="2335"/>
      <c r="VXR994" s="2335"/>
      <c r="VXS994" s="2335"/>
      <c r="VXT994" s="2335"/>
      <c r="VXU994" s="2335"/>
      <c r="VXV994" s="2335"/>
      <c r="VXW994" s="2335"/>
      <c r="VXX994" s="2335"/>
      <c r="VXY994" s="2335"/>
      <c r="VXZ994" s="2335"/>
      <c r="VYA994" s="2335"/>
      <c r="VYB994" s="2335"/>
      <c r="VYC994" s="2335"/>
      <c r="VYD994" s="2335"/>
      <c r="VYE994" s="2335"/>
      <c r="VYF994" s="2335"/>
      <c r="VYG994" s="2335"/>
      <c r="VYH994" s="2335"/>
      <c r="VYI994" s="2335"/>
      <c r="VYJ994" s="2335"/>
      <c r="VYK994" s="2335"/>
      <c r="VYL994" s="2335"/>
      <c r="VYM994" s="2335"/>
      <c r="VYN994" s="2335"/>
      <c r="VYO994" s="2335"/>
      <c r="VYP994" s="2335"/>
      <c r="VYQ994" s="2335"/>
      <c r="VYR994" s="2335"/>
      <c r="VYS994" s="2335"/>
      <c r="VYT994" s="2335"/>
      <c r="VYU994" s="2335"/>
      <c r="VYV994" s="2335"/>
      <c r="VYW994" s="2335"/>
      <c r="VYX994" s="2335"/>
      <c r="VYY994" s="2335"/>
      <c r="VYZ994" s="2335"/>
      <c r="VZA994" s="2335"/>
      <c r="VZB994" s="2335"/>
      <c r="VZC994" s="2335"/>
      <c r="VZD994" s="2335"/>
      <c r="VZE994" s="2335"/>
      <c r="VZF994" s="2335"/>
      <c r="VZG994" s="2335"/>
      <c r="VZH994" s="2335"/>
      <c r="VZI994" s="2335"/>
      <c r="VZJ994" s="2335"/>
      <c r="VZK994" s="2335"/>
      <c r="VZL994" s="2335"/>
      <c r="VZM994" s="2335"/>
      <c r="VZN994" s="2335"/>
      <c r="VZO994" s="2335"/>
      <c r="VZP994" s="2335"/>
      <c r="VZQ994" s="2335"/>
      <c r="VZR994" s="2335"/>
      <c r="VZS994" s="2335"/>
      <c r="VZT994" s="2335"/>
      <c r="VZU994" s="2335"/>
      <c r="VZV994" s="2335"/>
      <c r="VZW994" s="2335"/>
      <c r="VZX994" s="2335"/>
      <c r="VZY994" s="2335"/>
      <c r="VZZ994" s="2335"/>
      <c r="WAA994" s="2335"/>
      <c r="WAB994" s="2335"/>
      <c r="WAC994" s="2335"/>
      <c r="WAD994" s="2335"/>
      <c r="WAE994" s="2335"/>
      <c r="WAF994" s="2335"/>
      <c r="WAG994" s="2335"/>
      <c r="WAH994" s="2335"/>
      <c r="WAI994" s="2335"/>
      <c r="WAJ994" s="2335"/>
      <c r="WAK994" s="2335"/>
      <c r="WAL994" s="2335"/>
      <c r="WAM994" s="2335"/>
      <c r="WAN994" s="2335"/>
      <c r="WAO994" s="2335"/>
      <c r="WAP994" s="2335"/>
      <c r="WAQ994" s="2335"/>
      <c r="WAR994" s="2335"/>
      <c r="WAS994" s="2335"/>
      <c r="WAT994" s="2335"/>
      <c r="WAU994" s="2335"/>
      <c r="WAV994" s="2335"/>
      <c r="WAW994" s="2335"/>
      <c r="WAX994" s="2335"/>
      <c r="WAY994" s="2335"/>
      <c r="WAZ994" s="2335"/>
      <c r="WBA994" s="2335"/>
      <c r="WBB994" s="2335"/>
      <c r="WBC994" s="2335"/>
      <c r="WBD994" s="2335"/>
      <c r="WBE994" s="2335"/>
      <c r="WBF994" s="2335"/>
      <c r="WBG994" s="2335"/>
      <c r="WBH994" s="2335"/>
      <c r="WBI994" s="2335"/>
      <c r="WBJ994" s="2335"/>
      <c r="WBK994" s="2335"/>
      <c r="WBL994" s="2335"/>
      <c r="WBM994" s="2335"/>
      <c r="WBN994" s="2335"/>
      <c r="WBO994" s="2335"/>
      <c r="WBP994" s="2335"/>
      <c r="WBQ994" s="2335"/>
      <c r="WBR994" s="2335"/>
      <c r="WBS994" s="2335"/>
      <c r="WBT994" s="2335"/>
      <c r="WBU994" s="2335"/>
      <c r="WBV994" s="2335"/>
      <c r="WBW994" s="2335"/>
      <c r="WBX994" s="2335"/>
      <c r="WBY994" s="2335"/>
      <c r="WBZ994" s="2335"/>
      <c r="WCA994" s="2335"/>
      <c r="WCB994" s="2335"/>
      <c r="WCC994" s="2335"/>
      <c r="WCD994" s="2335"/>
      <c r="WCE994" s="2335"/>
      <c r="WCF994" s="2335"/>
      <c r="WCG994" s="2335"/>
      <c r="WCH994" s="2335"/>
      <c r="WCI994" s="2335"/>
      <c r="WCJ994" s="2335"/>
      <c r="WCK994" s="2335"/>
      <c r="WCL994" s="2335"/>
      <c r="WCM994" s="2335"/>
      <c r="WCN994" s="2335"/>
      <c r="WCO994" s="2335"/>
      <c r="WCP994" s="2335"/>
      <c r="WCQ994" s="2335"/>
      <c r="WCR994" s="2335"/>
      <c r="WCS994" s="2335"/>
      <c r="WCT994" s="2335"/>
      <c r="WCU994" s="2335"/>
      <c r="WCV994" s="2335"/>
      <c r="WCW994" s="2335"/>
      <c r="WCX994" s="2335"/>
      <c r="WCY994" s="2335"/>
      <c r="WCZ994" s="2335"/>
      <c r="WDA994" s="2335"/>
      <c r="WDB994" s="2335"/>
      <c r="WDC994" s="2335"/>
      <c r="WDD994" s="2335"/>
      <c r="WDE994" s="2335"/>
      <c r="WDF994" s="2335"/>
      <c r="WDG994" s="2335"/>
      <c r="WDH994" s="2335"/>
      <c r="WDI994" s="2335"/>
      <c r="WDJ994" s="2335"/>
      <c r="WDK994" s="2335"/>
      <c r="WDL994" s="2335"/>
      <c r="WDM994" s="2335"/>
      <c r="WDN994" s="2335"/>
      <c r="WDO994" s="2335"/>
      <c r="WDP994" s="2335"/>
      <c r="WDQ994" s="2335"/>
      <c r="WDR994" s="2335"/>
      <c r="WDS994" s="2335"/>
      <c r="WDT994" s="2335"/>
      <c r="WDU994" s="2335"/>
      <c r="WDV994" s="2335"/>
      <c r="WDW994" s="2335"/>
      <c r="WDX994" s="2335"/>
      <c r="WDY994" s="2335"/>
      <c r="WDZ994" s="2335"/>
      <c r="WEA994" s="2335"/>
      <c r="WEB994" s="2335"/>
      <c r="WEC994" s="2335"/>
      <c r="WED994" s="2335"/>
      <c r="WEE994" s="2335"/>
      <c r="WEF994" s="2335"/>
      <c r="WEG994" s="2335"/>
      <c r="WEH994" s="2335"/>
      <c r="WEI994" s="2335"/>
      <c r="WEJ994" s="2335"/>
      <c r="WEK994" s="2335"/>
      <c r="WEL994" s="2335"/>
      <c r="WEM994" s="2335"/>
      <c r="WEN994" s="2335"/>
      <c r="WEO994" s="2335"/>
      <c r="WEP994" s="2335"/>
      <c r="WEQ994" s="2335"/>
      <c r="WER994" s="2335"/>
      <c r="WES994" s="2335"/>
      <c r="WET994" s="2335"/>
      <c r="WEU994" s="2335"/>
      <c r="WEV994" s="2335"/>
      <c r="WEW994" s="2335"/>
      <c r="WEX994" s="2335"/>
      <c r="WEY994" s="2335"/>
      <c r="WEZ994" s="2335"/>
      <c r="WFA994" s="2335"/>
      <c r="WFB994" s="2335"/>
      <c r="WFC994" s="2335"/>
      <c r="WFD994" s="2335"/>
      <c r="WFE994" s="2335"/>
      <c r="WFF994" s="2335"/>
      <c r="WFG994" s="2335"/>
      <c r="WFH994" s="2335"/>
      <c r="WFI994" s="2335"/>
      <c r="WFJ994" s="2335"/>
      <c r="WFK994" s="2335"/>
      <c r="WFL994" s="2335"/>
      <c r="WFM994" s="2335"/>
      <c r="WFN994" s="2335"/>
      <c r="WFO994" s="2335"/>
      <c r="WFP994" s="2335"/>
      <c r="WFQ994" s="2335"/>
      <c r="WFR994" s="2335"/>
      <c r="WFS994" s="2335"/>
      <c r="WFT994" s="2335"/>
      <c r="WFU994" s="2335"/>
      <c r="WFV994" s="2335"/>
      <c r="WFW994" s="2335"/>
      <c r="WFX994" s="2335"/>
      <c r="WFY994" s="2335"/>
      <c r="WFZ994" s="2335"/>
      <c r="WGA994" s="2335"/>
      <c r="WGB994" s="2335"/>
      <c r="WGC994" s="2335"/>
      <c r="WGD994" s="2335"/>
      <c r="WGE994" s="2335"/>
      <c r="WGF994" s="2335"/>
      <c r="WGG994" s="2335"/>
      <c r="WGH994" s="2335"/>
      <c r="WGI994" s="2335"/>
      <c r="WGJ994" s="2335"/>
      <c r="WGK994" s="2335"/>
      <c r="WGL994" s="2335"/>
      <c r="WGM994" s="2335"/>
      <c r="WGN994" s="2335"/>
      <c r="WGO994" s="2335"/>
      <c r="WGP994" s="2335"/>
      <c r="WGQ994" s="2335"/>
      <c r="WGR994" s="2335"/>
      <c r="WGS994" s="2335"/>
      <c r="WGT994" s="2335"/>
      <c r="WGU994" s="2335"/>
      <c r="WGV994" s="2335"/>
      <c r="WGW994" s="2335"/>
      <c r="WGX994" s="2335"/>
      <c r="WGY994" s="2335"/>
      <c r="WGZ994" s="2335"/>
      <c r="WHA994" s="2335"/>
      <c r="WHB994" s="2335"/>
      <c r="WHC994" s="2335"/>
      <c r="WHD994" s="2335"/>
      <c r="WHE994" s="2335"/>
      <c r="WHF994" s="2335"/>
      <c r="WHG994" s="2335"/>
      <c r="WHH994" s="2335"/>
      <c r="WHI994" s="2335"/>
      <c r="WHJ994" s="2335"/>
      <c r="WHK994" s="2335"/>
      <c r="WHL994" s="2335"/>
      <c r="WHM994" s="2335"/>
      <c r="WHN994" s="2335"/>
      <c r="WHO994" s="2335"/>
      <c r="WHP994" s="2335"/>
      <c r="WHQ994" s="2335"/>
      <c r="WHR994" s="2335"/>
      <c r="WHS994" s="2335"/>
      <c r="WHT994" s="2335"/>
      <c r="WHU994" s="2335"/>
      <c r="WHV994" s="2335"/>
      <c r="WHW994" s="2335"/>
      <c r="WHX994" s="2335"/>
      <c r="WHY994" s="2335"/>
      <c r="WHZ994" s="2335"/>
      <c r="WIA994" s="2335"/>
      <c r="WIB994" s="2335"/>
      <c r="WIC994" s="2335"/>
      <c r="WID994" s="2335"/>
      <c r="WIE994" s="2335"/>
      <c r="WIF994" s="2335"/>
      <c r="WIG994" s="2335"/>
      <c r="WIH994" s="2335"/>
      <c r="WII994" s="2335"/>
      <c r="WIJ994" s="2335"/>
      <c r="WIK994" s="2335"/>
      <c r="WIL994" s="2335"/>
      <c r="WIM994" s="2335"/>
      <c r="WIN994" s="2335"/>
      <c r="WIO994" s="2335"/>
      <c r="WIP994" s="2335"/>
      <c r="WIQ994" s="2335"/>
      <c r="WIR994" s="2335"/>
      <c r="WIS994" s="2335"/>
      <c r="WIT994" s="2335"/>
      <c r="WIU994" s="2335"/>
      <c r="WIV994" s="2335"/>
      <c r="WIW994" s="2335"/>
      <c r="WIX994" s="2335"/>
      <c r="WIY994" s="2335"/>
      <c r="WIZ994" s="2335"/>
      <c r="WJA994" s="2335"/>
      <c r="WJB994" s="2335"/>
      <c r="WJC994" s="2335"/>
      <c r="WJD994" s="2335"/>
      <c r="WJE994" s="2335"/>
      <c r="WJF994" s="2335"/>
      <c r="WJG994" s="2335"/>
      <c r="WJH994" s="2335"/>
      <c r="WJI994" s="2335"/>
      <c r="WJJ994" s="2335"/>
      <c r="WJK994" s="2335"/>
      <c r="WJL994" s="2335"/>
      <c r="WJM994" s="2335"/>
      <c r="WJN994" s="2335"/>
      <c r="WJO994" s="2335"/>
      <c r="WJP994" s="2335"/>
      <c r="WJQ994" s="2335"/>
      <c r="WJR994" s="2335"/>
      <c r="WJS994" s="2335"/>
      <c r="WJT994" s="2335"/>
      <c r="WJU994" s="2335"/>
      <c r="WJV994" s="2335"/>
      <c r="WJW994" s="2335"/>
      <c r="WJX994" s="2335"/>
      <c r="WJY994" s="2335"/>
      <c r="WJZ994" s="2335"/>
      <c r="WKA994" s="2335"/>
      <c r="WKB994" s="2335"/>
      <c r="WKC994" s="2335"/>
      <c r="WKD994" s="2335"/>
      <c r="WKE994" s="2335"/>
      <c r="WKF994" s="2335"/>
      <c r="WKG994" s="2335"/>
      <c r="WKH994" s="2335"/>
      <c r="WKI994" s="2335"/>
      <c r="WKJ994" s="2335"/>
      <c r="WKK994" s="2335"/>
      <c r="WKL994" s="2335"/>
      <c r="WKM994" s="2335"/>
      <c r="WKN994" s="2335"/>
      <c r="WKO994" s="2335"/>
      <c r="WKP994" s="2335"/>
      <c r="WKQ994" s="2335"/>
      <c r="WKR994" s="2335"/>
      <c r="WKS994" s="2335"/>
      <c r="WKT994" s="2335"/>
      <c r="WKU994" s="2335"/>
      <c r="WKV994" s="2335"/>
      <c r="WKW994" s="2335"/>
      <c r="WKX994" s="2335"/>
      <c r="WKY994" s="2335"/>
      <c r="WKZ994" s="2335"/>
      <c r="WLA994" s="2335"/>
      <c r="WLB994" s="2335"/>
      <c r="WLC994" s="2335"/>
      <c r="WLD994" s="2335"/>
      <c r="WLE994" s="2335"/>
      <c r="WLF994" s="2335"/>
      <c r="WLG994" s="2335"/>
      <c r="WLH994" s="2335"/>
      <c r="WLI994" s="2335"/>
      <c r="WLJ994" s="2335"/>
      <c r="WLK994" s="2335"/>
      <c r="WLL994" s="2335"/>
      <c r="WLM994" s="2335"/>
      <c r="WLN994" s="2335"/>
      <c r="WLO994" s="2335"/>
      <c r="WLP994" s="2335"/>
      <c r="WLQ994" s="2335"/>
      <c r="WLR994" s="2335"/>
      <c r="WLS994" s="2335"/>
      <c r="WLT994" s="2335"/>
      <c r="WLU994" s="2335"/>
      <c r="WLV994" s="2335"/>
      <c r="WLW994" s="2335"/>
      <c r="WLX994" s="2335"/>
      <c r="WLY994" s="2335"/>
      <c r="WLZ994" s="2335"/>
      <c r="WMA994" s="2335"/>
      <c r="WMB994" s="2335"/>
      <c r="WMC994" s="2335"/>
      <c r="WMD994" s="2335"/>
      <c r="WME994" s="2335"/>
      <c r="WMF994" s="2335"/>
      <c r="WMG994" s="2335"/>
      <c r="WMH994" s="2335"/>
      <c r="WMI994" s="2335"/>
      <c r="WMJ994" s="2335"/>
      <c r="WMK994" s="2335"/>
      <c r="WML994" s="2335"/>
      <c r="WMM994" s="2335"/>
      <c r="WMN994" s="2335"/>
      <c r="WMO994" s="2335"/>
      <c r="WMP994" s="2335"/>
      <c r="WMQ994" s="2335"/>
      <c r="WMR994" s="2335"/>
      <c r="WMS994" s="2335"/>
      <c r="WMT994" s="2335"/>
      <c r="WMU994" s="2335"/>
      <c r="WMV994" s="2335"/>
      <c r="WMW994" s="2335"/>
      <c r="WMX994" s="2335"/>
      <c r="WMY994" s="2335"/>
      <c r="WMZ994" s="2335"/>
      <c r="WNA994" s="2335"/>
      <c r="WNB994" s="2335"/>
      <c r="WNC994" s="2335"/>
      <c r="WND994" s="2335"/>
      <c r="WNE994" s="2335"/>
      <c r="WNF994" s="2335"/>
      <c r="WNG994" s="2335"/>
      <c r="WNH994" s="2335"/>
      <c r="WNI994" s="2335"/>
      <c r="WNJ994" s="2335"/>
      <c r="WNK994" s="2335"/>
      <c r="WNL994" s="2335"/>
      <c r="WNM994" s="2335"/>
      <c r="WNN994" s="2335"/>
      <c r="WNO994" s="2335"/>
      <c r="WNP994" s="2335"/>
      <c r="WNQ994" s="2335"/>
      <c r="WNR994" s="2335"/>
      <c r="WNS994" s="2335"/>
      <c r="WNT994" s="2335"/>
      <c r="WNU994" s="2335"/>
      <c r="WNV994" s="2335"/>
      <c r="WNW994" s="2335"/>
      <c r="WNX994" s="2335"/>
      <c r="WNY994" s="2335"/>
      <c r="WNZ994" s="2335"/>
      <c r="WOA994" s="2335"/>
      <c r="WOB994" s="2335"/>
      <c r="WOC994" s="2335"/>
      <c r="WOD994" s="2335"/>
      <c r="WOE994" s="2335"/>
      <c r="WOF994" s="2335"/>
      <c r="WOG994" s="2335"/>
      <c r="WOH994" s="2335"/>
      <c r="WOI994" s="2335"/>
      <c r="WOJ994" s="2335"/>
      <c r="WOK994" s="2335"/>
      <c r="WOL994" s="2335"/>
      <c r="WOM994" s="2335"/>
      <c r="WON994" s="2335"/>
      <c r="WOO994" s="2335"/>
      <c r="WOP994" s="2335"/>
      <c r="WOQ994" s="2335"/>
      <c r="WOR994" s="2335"/>
      <c r="WOS994" s="2335"/>
      <c r="WOT994" s="2335"/>
      <c r="WOU994" s="2335"/>
      <c r="WOV994" s="2335"/>
      <c r="WOW994" s="2335"/>
      <c r="WOX994" s="2335"/>
      <c r="WOY994" s="2335"/>
      <c r="WOZ994" s="2335"/>
      <c r="WPA994" s="2335"/>
      <c r="WPB994" s="2335"/>
      <c r="WPC994" s="2335"/>
      <c r="WPD994" s="2335"/>
      <c r="WPE994" s="2335"/>
      <c r="WPF994" s="2335"/>
      <c r="WPG994" s="2335"/>
      <c r="WPH994" s="2335"/>
      <c r="WPI994" s="2335"/>
      <c r="WPJ994" s="2335"/>
      <c r="WPK994" s="2335"/>
      <c r="WPL994" s="2335"/>
      <c r="WPM994" s="2335"/>
      <c r="WPN994" s="2335"/>
      <c r="WPO994" s="2335"/>
      <c r="WPP994" s="2335"/>
      <c r="WPQ994" s="2335"/>
      <c r="WPR994" s="2335"/>
      <c r="WPS994" s="2335"/>
      <c r="WPT994" s="2335"/>
      <c r="WPU994" s="2335"/>
      <c r="WPV994" s="2335"/>
      <c r="WPW994" s="2335"/>
      <c r="WPX994" s="2335"/>
      <c r="WPY994" s="2335"/>
      <c r="WPZ994" s="2335"/>
      <c r="WQA994" s="2335"/>
      <c r="WQB994" s="2335"/>
      <c r="WQC994" s="2335"/>
      <c r="WQD994" s="2335"/>
      <c r="WQE994" s="2335"/>
      <c r="WQF994" s="2335"/>
      <c r="WQG994" s="2335"/>
      <c r="WQH994" s="2335"/>
      <c r="WQI994" s="2335"/>
      <c r="WQJ994" s="2335"/>
      <c r="WQK994" s="2335"/>
      <c r="WQL994" s="2335"/>
      <c r="WQM994" s="2335"/>
      <c r="WQN994" s="2335"/>
      <c r="WQO994" s="2335"/>
      <c r="WQP994" s="2335"/>
      <c r="WQQ994" s="2335"/>
      <c r="WQR994" s="2335"/>
      <c r="WQS994" s="2335"/>
      <c r="WQT994" s="2335"/>
      <c r="WQU994" s="2335"/>
      <c r="WQV994" s="2335"/>
      <c r="WQW994" s="2335"/>
      <c r="WQX994" s="2335"/>
      <c r="WQY994" s="2335"/>
      <c r="WQZ994" s="2335"/>
      <c r="WRA994" s="2335"/>
      <c r="WRB994" s="2335"/>
      <c r="WRC994" s="2335"/>
      <c r="WRD994" s="2335"/>
      <c r="WRE994" s="2335"/>
      <c r="WRF994" s="2335"/>
      <c r="WRG994" s="2335"/>
      <c r="WRH994" s="2335"/>
      <c r="WRI994" s="2335"/>
      <c r="WRJ994" s="2335"/>
      <c r="WRK994" s="2335"/>
      <c r="WRL994" s="2335"/>
      <c r="WRM994" s="2335"/>
      <c r="WRN994" s="2335"/>
      <c r="WRO994" s="2335"/>
      <c r="WRP994" s="2335"/>
      <c r="WRQ994" s="2335"/>
      <c r="WRR994" s="2335"/>
      <c r="WRS994" s="2335"/>
      <c r="WRT994" s="2335"/>
      <c r="WRU994" s="2335"/>
      <c r="WRV994" s="2335"/>
      <c r="WRW994" s="2335"/>
      <c r="WRX994" s="2335"/>
      <c r="WRY994" s="2335"/>
      <c r="WRZ994" s="2335"/>
      <c r="WSA994" s="2335"/>
      <c r="WSB994" s="2335"/>
      <c r="WSC994" s="2335"/>
      <c r="WSD994" s="2335"/>
      <c r="WSE994" s="2335"/>
      <c r="WSF994" s="2335"/>
      <c r="WSG994" s="2335"/>
      <c r="WSH994" s="2335"/>
      <c r="WSI994" s="2335"/>
      <c r="WSJ994" s="2335"/>
      <c r="WSK994" s="2335"/>
      <c r="WSL994" s="2335"/>
      <c r="WSM994" s="2335"/>
      <c r="WSN994" s="2335"/>
      <c r="WSO994" s="2335"/>
      <c r="WSP994" s="2335"/>
      <c r="WSQ994" s="2335"/>
      <c r="WSR994" s="2335"/>
      <c r="WSS994" s="2335"/>
      <c r="WST994" s="2335"/>
      <c r="WSU994" s="2335"/>
      <c r="WSV994" s="2335"/>
      <c r="WSW994" s="2335"/>
      <c r="WSX994" s="2335"/>
      <c r="WSY994" s="2335"/>
      <c r="WSZ994" s="2335"/>
      <c r="WTA994" s="2335"/>
      <c r="WTB994" s="2335"/>
      <c r="WTC994" s="2335"/>
      <c r="WTD994" s="2335"/>
      <c r="WTE994" s="2335"/>
      <c r="WTF994" s="2335"/>
      <c r="WTG994" s="2335"/>
      <c r="WTH994" s="2335"/>
      <c r="WTI994" s="2335"/>
      <c r="WTJ994" s="2335"/>
      <c r="WTK994" s="2335"/>
      <c r="WTL994" s="2335"/>
      <c r="WTM994" s="2335"/>
      <c r="WTN994" s="2335"/>
      <c r="WTO994" s="2335"/>
      <c r="WTP994" s="2335"/>
      <c r="WTQ994" s="2335"/>
      <c r="WTR994" s="2335"/>
      <c r="WTS994" s="2335"/>
      <c r="WTT994" s="2335"/>
      <c r="WTU994" s="2335"/>
      <c r="WTV994" s="2335"/>
      <c r="WTW994" s="2335"/>
      <c r="WTX994" s="2335"/>
      <c r="WTY994" s="2335"/>
      <c r="WTZ994" s="2335"/>
      <c r="WUA994" s="2335"/>
      <c r="WUB994" s="2335"/>
      <c r="WUC994" s="2335"/>
      <c r="WUD994" s="2335"/>
      <c r="WUE994" s="2335"/>
      <c r="WUF994" s="2335"/>
      <c r="WUG994" s="2335"/>
      <c r="WUH994" s="2335"/>
      <c r="WUI994" s="2335"/>
      <c r="WUJ994" s="2335"/>
      <c r="WUK994" s="2335"/>
      <c r="WUL994" s="2335"/>
      <c r="WUM994" s="2335"/>
      <c r="WUN994" s="2335"/>
      <c r="WUO994" s="2335"/>
      <c r="WUP994" s="2335"/>
      <c r="WUQ994" s="2335"/>
      <c r="WUR994" s="2335"/>
      <c r="WUS994" s="2335"/>
      <c r="WUT994" s="2335"/>
      <c r="WUU994" s="2335"/>
      <c r="WUV994" s="2335"/>
      <c r="WUW994" s="2335"/>
      <c r="WUX994" s="2335"/>
      <c r="WUY994" s="2335"/>
      <c r="WUZ994" s="2335"/>
      <c r="WVA994" s="2335"/>
      <c r="WVB994" s="2335"/>
      <c r="WVC994" s="2335"/>
      <c r="WVD994" s="2335"/>
      <c r="WVE994" s="2335"/>
      <c r="WVF994" s="2335"/>
      <c r="WVG994" s="2335"/>
      <c r="WVH994" s="2335"/>
      <c r="WVI994" s="2335"/>
      <c r="WVJ994" s="2335"/>
      <c r="WVK994" s="2335"/>
      <c r="WVL994" s="2335"/>
      <c r="WVM994" s="2335"/>
      <c r="WVN994" s="2335"/>
      <c r="WVO994" s="2335"/>
      <c r="WVP994" s="2335"/>
      <c r="WVQ994" s="2335"/>
      <c r="WVR994" s="2335"/>
      <c r="WVS994" s="2335"/>
      <c r="WVT994" s="2335"/>
      <c r="WVU994" s="2335"/>
      <c r="WVV994" s="2335"/>
      <c r="WVW994" s="2335"/>
      <c r="WVX994" s="2335"/>
      <c r="WVY994" s="2335"/>
      <c r="WVZ994" s="2335"/>
      <c r="WWA994" s="2335"/>
      <c r="WWB994" s="2335"/>
      <c r="WWC994" s="2335"/>
      <c r="WWD994" s="2335"/>
      <c r="WWE994" s="2335"/>
      <c r="WWF994" s="2335"/>
      <c r="WWG994" s="2335"/>
      <c r="WWH994" s="2335"/>
      <c r="WWI994" s="2335"/>
      <c r="WWJ994" s="2335"/>
      <c r="WWK994" s="2335"/>
      <c r="WWL994" s="2335"/>
      <c r="WWM994" s="2335"/>
      <c r="WWN994" s="2335"/>
      <c r="WWO994" s="2335"/>
      <c r="WWP994" s="2335"/>
      <c r="WWQ994" s="2335"/>
      <c r="WWR994" s="2335"/>
      <c r="WWS994" s="2335"/>
      <c r="WWT994" s="2335"/>
      <c r="WWU994" s="2335"/>
      <c r="WWV994" s="2335"/>
      <c r="WWW994" s="2335"/>
      <c r="WWX994" s="2335"/>
      <c r="WWY994" s="2335"/>
      <c r="WWZ994" s="2335"/>
      <c r="WXA994" s="2335"/>
      <c r="WXB994" s="2335"/>
      <c r="WXC994" s="2335"/>
      <c r="WXD994" s="2335"/>
      <c r="WXE994" s="2335"/>
      <c r="WXF994" s="2335"/>
      <c r="WXG994" s="2335"/>
      <c r="WXH994" s="2335"/>
      <c r="WXI994" s="2335"/>
      <c r="WXJ994" s="2335"/>
      <c r="WXK994" s="2335"/>
      <c r="WXL994" s="2335"/>
      <c r="WXM994" s="2335"/>
      <c r="WXN994" s="2335"/>
      <c r="WXO994" s="2335"/>
      <c r="WXP994" s="2335"/>
      <c r="WXQ994" s="2335"/>
      <c r="WXR994" s="2335"/>
      <c r="WXS994" s="2335"/>
      <c r="WXT994" s="2335"/>
      <c r="WXU994" s="2335"/>
      <c r="WXV994" s="2335"/>
      <c r="WXW994" s="2335"/>
      <c r="WXX994" s="2335"/>
      <c r="WXY994" s="2335"/>
      <c r="WXZ994" s="2335"/>
      <c r="WYA994" s="2335"/>
      <c r="WYB994" s="2335"/>
      <c r="WYC994" s="2335"/>
      <c r="WYD994" s="2335"/>
      <c r="WYE994" s="2335"/>
      <c r="WYF994" s="2335"/>
      <c r="WYG994" s="2335"/>
      <c r="WYH994" s="2335"/>
      <c r="WYI994" s="2335"/>
      <c r="WYJ994" s="2335"/>
      <c r="WYK994" s="2335"/>
      <c r="WYL994" s="2335"/>
      <c r="WYM994" s="2335"/>
      <c r="WYN994" s="2335"/>
      <c r="WYO994" s="2335"/>
      <c r="WYP994" s="2335"/>
      <c r="WYQ994" s="2335"/>
      <c r="WYR994" s="2335"/>
      <c r="WYS994" s="2335"/>
      <c r="WYT994" s="2335"/>
      <c r="WYU994" s="2335"/>
      <c r="WYV994" s="2335"/>
      <c r="WYW994" s="2335"/>
      <c r="WYX994" s="2335"/>
      <c r="WYY994" s="2335"/>
      <c r="WYZ994" s="2335"/>
      <c r="WZA994" s="2335"/>
      <c r="WZB994" s="2335"/>
      <c r="WZC994" s="2335"/>
      <c r="WZD994" s="2335"/>
      <c r="WZE994" s="2335"/>
      <c r="WZF994" s="2335"/>
      <c r="WZG994" s="2335"/>
      <c r="WZH994" s="2335"/>
      <c r="WZI994" s="2335"/>
      <c r="WZJ994" s="2335"/>
      <c r="WZK994" s="2335"/>
      <c r="WZL994" s="2335"/>
      <c r="WZM994" s="2335"/>
      <c r="WZN994" s="2335"/>
      <c r="WZO994" s="2335"/>
      <c r="WZP994" s="2335"/>
      <c r="WZQ994" s="2335"/>
      <c r="WZR994" s="2335"/>
      <c r="WZS994" s="2335"/>
      <c r="WZT994" s="2335"/>
      <c r="WZU994" s="2335"/>
      <c r="WZV994" s="2335"/>
      <c r="WZW994" s="2335"/>
      <c r="WZX994" s="2335"/>
      <c r="WZY994" s="2335"/>
      <c r="WZZ994" s="2335"/>
      <c r="XAA994" s="2335"/>
      <c r="XAB994" s="2335"/>
      <c r="XAC994" s="2335"/>
      <c r="XAD994" s="2335"/>
      <c r="XAE994" s="2335"/>
      <c r="XAF994" s="2335"/>
      <c r="XAG994" s="2335"/>
      <c r="XAH994" s="2335"/>
      <c r="XAI994" s="2335"/>
      <c r="XAJ994" s="2335"/>
      <c r="XAK994" s="2335"/>
      <c r="XAL994" s="2335"/>
      <c r="XAM994" s="2335"/>
      <c r="XAN994" s="2335"/>
      <c r="XAO994" s="2335"/>
      <c r="XAP994" s="2335"/>
      <c r="XAQ994" s="2335"/>
      <c r="XAR994" s="2335"/>
      <c r="XAS994" s="2335"/>
      <c r="XAT994" s="2335"/>
      <c r="XAU994" s="2335"/>
      <c r="XAV994" s="2335"/>
      <c r="XAW994" s="2335"/>
      <c r="XAX994" s="2335"/>
      <c r="XAY994" s="2335"/>
      <c r="XAZ994" s="2335"/>
      <c r="XBA994" s="2335"/>
      <c r="XBB994" s="2335"/>
      <c r="XBC994" s="2335"/>
      <c r="XBD994" s="2335"/>
      <c r="XBE994" s="2335"/>
      <c r="XBF994" s="2335"/>
      <c r="XBG994" s="2335"/>
      <c r="XBH994" s="2335"/>
      <c r="XBI994" s="2335"/>
      <c r="XBJ994" s="2335"/>
      <c r="XBK994" s="2335"/>
      <c r="XBL994" s="2335"/>
      <c r="XBM994" s="2335"/>
      <c r="XBN994" s="2335"/>
      <c r="XBO994" s="2335"/>
      <c r="XBP994" s="2335"/>
      <c r="XBQ994" s="2335"/>
      <c r="XBR994" s="2335"/>
      <c r="XBS994" s="2335"/>
      <c r="XBT994" s="2335"/>
      <c r="XBU994" s="2335"/>
      <c r="XBV994" s="2335"/>
      <c r="XBW994" s="2335"/>
      <c r="XBX994" s="2335"/>
      <c r="XBY994" s="2335"/>
      <c r="XBZ994" s="2335"/>
      <c r="XCA994" s="2335"/>
      <c r="XCB994" s="2335"/>
      <c r="XCC994" s="2335"/>
      <c r="XCD994" s="2335"/>
      <c r="XCE994" s="2335"/>
      <c r="XCF994" s="2335"/>
      <c r="XCG994" s="2335"/>
      <c r="XCH994" s="2335"/>
      <c r="XCI994" s="2335"/>
      <c r="XCJ994" s="2335"/>
      <c r="XCK994" s="2335"/>
      <c r="XCL994" s="2335"/>
      <c r="XCM994" s="2335"/>
      <c r="XCN994" s="2335"/>
      <c r="XCO994" s="2335"/>
      <c r="XCP994" s="2335"/>
      <c r="XCQ994" s="2335"/>
      <c r="XCR994" s="2335"/>
      <c r="XCS994" s="2335"/>
      <c r="XCT994" s="2335"/>
      <c r="XCU994" s="2335"/>
      <c r="XCV994" s="2335"/>
      <c r="XCW994" s="2335"/>
      <c r="XCX994" s="2335"/>
      <c r="XCY994" s="2335"/>
      <c r="XCZ994" s="2335"/>
      <c r="XDA994" s="2335"/>
      <c r="XDB994" s="2335"/>
      <c r="XDC994" s="2335"/>
      <c r="XDD994" s="2335"/>
      <c r="XDE994" s="2335"/>
      <c r="XDF994" s="2335"/>
      <c r="XDG994" s="2335"/>
      <c r="XDH994" s="2335"/>
      <c r="XDI994" s="2335"/>
      <c r="XDJ994" s="2335"/>
      <c r="XDK994" s="2335"/>
      <c r="XDL994" s="2335"/>
      <c r="XDM994" s="2335"/>
      <c r="XDN994" s="2335"/>
      <c r="XDO994" s="2335"/>
      <c r="XDP994" s="2335"/>
      <c r="XDQ994" s="2335"/>
      <c r="XDR994" s="2335"/>
      <c r="XDS994" s="2335"/>
      <c r="XDT994" s="2335"/>
      <c r="XDU994" s="2335"/>
      <c r="XDV994" s="2335"/>
      <c r="XDW994" s="2335"/>
      <c r="XDX994" s="2335"/>
      <c r="XDY994" s="2335"/>
      <c r="XDZ994" s="2335"/>
      <c r="XEA994" s="2335"/>
      <c r="XEB994" s="2335"/>
      <c r="XEC994" s="2335"/>
      <c r="XED994" s="2335"/>
      <c r="XEE994" s="2335"/>
      <c r="XEF994" s="2335"/>
      <c r="XEG994" s="2335"/>
      <c r="XEH994" s="2335"/>
      <c r="XEI994" s="2335"/>
      <c r="XEJ994" s="2335"/>
      <c r="XEK994" s="2335"/>
      <c r="XEL994" s="2335"/>
      <c r="XEM994" s="2335"/>
      <c r="XEN994" s="2335"/>
      <c r="XEO994" s="2335"/>
      <c r="XEP994" s="2335"/>
      <c r="XEQ994" s="2335"/>
      <c r="XER994" s="2335"/>
      <c r="XES994" s="2335"/>
      <c r="XET994" s="2335"/>
      <c r="XEU994" s="2335"/>
      <c r="XEV994" s="2335"/>
      <c r="XEW994" s="2335"/>
      <c r="XEX994" s="2335"/>
      <c r="XEY994" s="2335"/>
      <c r="XEZ994" s="2335"/>
      <c r="XFA994" s="2335"/>
      <c r="XFB994" s="2335"/>
      <c r="XFC994" s="2335"/>
    </row>
    <row r="995" s="1936" customFormat="1" ht="20" customHeight="1" spans="1:1024 1025:16383">
      <c r="A995" s="2335"/>
      <c r="B995" s="2303"/>
      <c r="C995" s="2304"/>
      <c r="D995" s="2327" t="s">
        <v>3223</v>
      </c>
      <c r="E995" s="2328">
        <v>6.75</v>
      </c>
      <c r="F995" s="2329" t="s">
        <v>3220</v>
      </c>
      <c r="G995" s="2330"/>
      <c r="H995" s="2331"/>
      <c r="I995" s="2328"/>
      <c r="J995" s="2336" t="s">
        <v>1428</v>
      </c>
      <c r="K995" s="2333">
        <f>290/E995</f>
        <v>42.962962962963</v>
      </c>
      <c r="L995" s="2333">
        <f>33.8/E995/1.13</f>
        <v>4.43133398885611</v>
      </c>
      <c r="M995" s="2334">
        <f>46/E995/1.13</f>
        <v>6.03080957063258</v>
      </c>
      <c r="N995" s="2334">
        <v>16.3</v>
      </c>
      <c r="O995" s="2334">
        <f t="shared" si="119"/>
        <v>3.33333333333333</v>
      </c>
      <c r="P995" s="2334">
        <v>2.31</v>
      </c>
      <c r="Q995" s="2334">
        <f>P995+O995+N995+M995+L995+K995</f>
        <v>75.368439855785</v>
      </c>
      <c r="R995" s="315" t="s">
        <v>3225</v>
      </c>
      <c r="S995" s="651"/>
      <c r="T995" s="2335"/>
      <c r="U995" s="2335"/>
      <c r="V995" s="2335"/>
      <c r="W995" s="2335"/>
      <c r="X995" s="2337"/>
      <c r="Y995" s="2335"/>
      <c r="Z995" s="2335"/>
      <c r="AA995" s="2335"/>
      <c r="AB995" s="2335"/>
      <c r="AC995" s="2337"/>
      <c r="AD995" s="2335"/>
      <c r="AE995" s="2335"/>
      <c r="AF995" s="2335"/>
      <c r="AG995" s="2335"/>
      <c r="AH995" s="2335"/>
      <c r="AI995" s="2335"/>
      <c r="AJ995" s="2335"/>
      <c r="AK995" s="2335"/>
      <c r="AL995" s="2335"/>
      <c r="AM995" s="2335"/>
      <c r="AN995" s="2335"/>
      <c r="AO995" s="2335"/>
      <c r="AP995" s="2335"/>
      <c r="AQ995" s="2335"/>
      <c r="AR995" s="2335"/>
      <c r="AS995" s="2335"/>
      <c r="AT995" s="2335"/>
      <c r="AU995" s="2335"/>
      <c r="AV995" s="2335"/>
      <c r="AW995" s="2335"/>
      <c r="AX995" s="2335"/>
      <c r="AY995" s="2335"/>
      <c r="AZ995" s="2335"/>
      <c r="BA995" s="2335"/>
      <c r="BB995" s="2335"/>
      <c r="BC995" s="2335"/>
      <c r="BD995" s="2335"/>
      <c r="BE995" s="2335"/>
      <c r="BF995" s="2335"/>
      <c r="BG995" s="2335"/>
      <c r="BH995" s="2335"/>
      <c r="BI995" s="2335"/>
      <c r="BJ995" s="2335"/>
      <c r="BK995" s="2335"/>
      <c r="BL995" s="2335"/>
      <c r="BM995" s="2335"/>
      <c r="BN995" s="2335"/>
      <c r="BO995" s="2335"/>
      <c r="BP995" s="2335"/>
      <c r="BQ995" s="2335"/>
      <c r="BR995" s="2335"/>
      <c r="BS995" s="2335"/>
      <c r="BT995" s="2335"/>
      <c r="BU995" s="2335"/>
      <c r="BV995" s="2335"/>
      <c r="BW995" s="2335"/>
      <c r="BX995" s="2335"/>
      <c r="BY995" s="2335"/>
      <c r="BZ995" s="2335"/>
      <c r="CA995" s="2335"/>
      <c r="CB995" s="2335"/>
      <c r="CC995" s="2335"/>
      <c r="CD995" s="2335"/>
      <c r="CE995" s="2335"/>
      <c r="CF995" s="2335"/>
      <c r="CG995" s="2335"/>
      <c r="CH995" s="2335"/>
      <c r="CI995" s="2335"/>
      <c r="CJ995" s="2335"/>
      <c r="CK995" s="2335"/>
      <c r="CL995" s="2335"/>
      <c r="CM995" s="2335"/>
      <c r="CN995" s="2335"/>
      <c r="CO995" s="2335"/>
      <c r="CP995" s="2335"/>
      <c r="CQ995" s="2335"/>
      <c r="CR995" s="2335"/>
      <c r="CS995" s="2335"/>
      <c r="CT995" s="2335"/>
      <c r="CU995" s="2335"/>
      <c r="CV995" s="2335"/>
      <c r="CW995" s="2335"/>
      <c r="CX995" s="2335"/>
      <c r="CY995" s="2335"/>
      <c r="CZ995" s="2335"/>
      <c r="DA995" s="2335"/>
      <c r="DB995" s="2335"/>
      <c r="DC995" s="2335"/>
      <c r="DD995" s="2335"/>
      <c r="DE995" s="2335"/>
      <c r="DF995" s="2335"/>
      <c r="DG995" s="2335"/>
      <c r="DH995" s="2335"/>
      <c r="DI995" s="2335"/>
      <c r="DJ995" s="2335"/>
      <c r="DK995" s="2335"/>
      <c r="DL995" s="2335"/>
      <c r="DM995" s="2335"/>
      <c r="DN995" s="2335"/>
      <c r="DO995" s="2335"/>
      <c r="DP995" s="2335"/>
      <c r="DQ995" s="2335"/>
      <c r="DR995" s="2335"/>
      <c r="DS995" s="2335"/>
      <c r="DT995" s="2335"/>
      <c r="DU995" s="2335"/>
      <c r="DV995" s="2335"/>
      <c r="DW995" s="2335"/>
      <c r="DX995" s="2335"/>
      <c r="DY995" s="2335"/>
      <c r="DZ995" s="2335"/>
      <c r="EA995" s="2335"/>
      <c r="EB995" s="2335"/>
      <c r="EC995" s="2335"/>
      <c r="ED995" s="2335"/>
      <c r="EE995" s="2335"/>
      <c r="EF995" s="2335"/>
      <c r="EG995" s="2335"/>
      <c r="EH995" s="2335"/>
      <c r="EI995" s="2335"/>
      <c r="EJ995" s="2335"/>
      <c r="EK995" s="2335"/>
      <c r="EL995" s="2335"/>
      <c r="EM995" s="2335"/>
      <c r="EN995" s="2335"/>
      <c r="EO995" s="2335"/>
      <c r="EP995" s="2335"/>
      <c r="EQ995" s="2335"/>
      <c r="ER995" s="2335"/>
      <c r="ES995" s="2335"/>
      <c r="ET995" s="2335"/>
      <c r="EU995" s="2335"/>
      <c r="EV995" s="2335"/>
      <c r="EW995" s="2335"/>
      <c r="EX995" s="2335"/>
      <c r="EY995" s="2335"/>
      <c r="EZ995" s="2335"/>
      <c r="FA995" s="2335"/>
      <c r="FB995" s="2335"/>
      <c r="FC995" s="2335"/>
      <c r="FD995" s="2335"/>
      <c r="FE995" s="2335"/>
      <c r="FF995" s="2335"/>
      <c r="FG995" s="2335"/>
      <c r="FH995" s="2335"/>
      <c r="FI995" s="2335"/>
      <c r="FJ995" s="2335"/>
      <c r="FK995" s="2335"/>
      <c r="FL995" s="2335"/>
      <c r="FM995" s="2335"/>
      <c r="FN995" s="2335"/>
      <c r="FO995" s="2335"/>
      <c r="FP995" s="2335"/>
      <c r="FQ995" s="2335"/>
      <c r="FR995" s="2335"/>
      <c r="FS995" s="2335"/>
      <c r="FT995" s="2335"/>
      <c r="FU995" s="2335"/>
      <c r="FV995" s="2335"/>
      <c r="FW995" s="2335"/>
      <c r="FX995" s="2335"/>
      <c r="FY995" s="2335"/>
      <c r="FZ995" s="2335"/>
      <c r="GA995" s="2335"/>
      <c r="GB995" s="2335"/>
      <c r="GC995" s="2335"/>
      <c r="GD995" s="2335"/>
      <c r="GE995" s="2335"/>
      <c r="GF995" s="2335"/>
      <c r="GG995" s="2335"/>
      <c r="GH995" s="2335"/>
      <c r="GI995" s="2335"/>
      <c r="GJ995" s="2335"/>
      <c r="GK995" s="2335"/>
      <c r="GL995" s="2335"/>
      <c r="GM995" s="2335"/>
      <c r="GN995" s="2335"/>
      <c r="GO995" s="2335"/>
      <c r="GP995" s="2335"/>
      <c r="GQ995" s="2335"/>
      <c r="GR995" s="2335"/>
      <c r="GS995" s="2335"/>
      <c r="GT995" s="2335"/>
      <c r="GU995" s="2335"/>
      <c r="GV995" s="2335"/>
      <c r="GW995" s="2335"/>
      <c r="GX995" s="2335"/>
      <c r="GY995" s="2335"/>
      <c r="GZ995" s="2335"/>
      <c r="HA995" s="2335"/>
      <c r="HB995" s="2335"/>
      <c r="HC995" s="2335"/>
      <c r="HD995" s="2335"/>
      <c r="HE995" s="2335"/>
      <c r="HF995" s="2335"/>
      <c r="HG995" s="2335"/>
      <c r="HH995" s="2335"/>
      <c r="HI995" s="2335"/>
      <c r="HJ995" s="2335"/>
      <c r="HK995" s="2335"/>
      <c r="HL995" s="2335"/>
      <c r="HM995" s="2335"/>
      <c r="HN995" s="2335"/>
      <c r="HO995" s="2335"/>
      <c r="HP995" s="2335"/>
      <c r="HQ995" s="2335"/>
      <c r="HR995" s="2335"/>
      <c r="HS995" s="2335"/>
      <c r="HT995" s="2335"/>
      <c r="HU995" s="2335"/>
      <c r="HV995" s="2335"/>
      <c r="HW995" s="2335"/>
      <c r="HX995" s="2335"/>
      <c r="HY995" s="2335"/>
      <c r="HZ995" s="2335"/>
      <c r="IA995" s="2335"/>
      <c r="IB995" s="2335"/>
      <c r="IC995" s="2335"/>
      <c r="ID995" s="2335"/>
      <c r="IE995" s="2335"/>
      <c r="IF995" s="2335"/>
      <c r="IG995" s="2335"/>
      <c r="IH995" s="2335"/>
      <c r="II995" s="2335"/>
      <c r="IJ995" s="2335"/>
      <c r="IK995" s="2335"/>
      <c r="IL995" s="2335"/>
      <c r="IM995" s="2335"/>
      <c r="IN995" s="2335"/>
      <c r="IO995" s="2335"/>
      <c r="IP995" s="2335"/>
      <c r="IQ995" s="2335"/>
      <c r="IR995" s="2335"/>
      <c r="IS995" s="2335"/>
      <c r="IT995" s="2335"/>
      <c r="IU995" s="2335"/>
      <c r="IV995" s="2335"/>
      <c r="IW995" s="2335"/>
      <c r="IX995" s="2335"/>
      <c r="IY995" s="2335"/>
      <c r="IZ995" s="2335"/>
      <c r="JA995" s="2335"/>
      <c r="JB995" s="2335"/>
      <c r="JC995" s="2335"/>
      <c r="JD995" s="2335"/>
      <c r="JE995" s="2335"/>
      <c r="JF995" s="2335"/>
      <c r="JG995" s="2335"/>
      <c r="JH995" s="2335"/>
      <c r="JI995" s="2335"/>
      <c r="JJ995" s="2335"/>
      <c r="JK995" s="2335"/>
      <c r="JL995" s="2335"/>
      <c r="JM995" s="2335"/>
      <c r="JN995" s="2335"/>
      <c r="JO995" s="2335"/>
      <c r="JP995" s="2335"/>
      <c r="JQ995" s="2335"/>
      <c r="JR995" s="2335"/>
      <c r="JS995" s="2335"/>
      <c r="JT995" s="2335"/>
      <c r="JU995" s="2335"/>
      <c r="JV995" s="2335"/>
      <c r="JW995" s="2335"/>
      <c r="JX995" s="2335"/>
      <c r="JY995" s="2335"/>
      <c r="JZ995" s="2335"/>
      <c r="KA995" s="2335"/>
      <c r="KB995" s="2335"/>
      <c r="KC995" s="2335"/>
      <c r="KD995" s="2335"/>
      <c r="KE995" s="2335"/>
      <c r="KF995" s="2335"/>
      <c r="KG995" s="2335"/>
      <c r="KH995" s="2335"/>
      <c r="KI995" s="2335"/>
      <c r="KJ995" s="2335"/>
      <c r="KK995" s="2335"/>
      <c r="KL995" s="2335"/>
      <c r="KM995" s="2335"/>
      <c r="KN995" s="2335"/>
      <c r="KO995" s="2335"/>
      <c r="KP995" s="2335"/>
      <c r="KQ995" s="2335"/>
      <c r="KR995" s="2335"/>
      <c r="KS995" s="2335"/>
      <c r="KT995" s="2335"/>
      <c r="KU995" s="2335"/>
      <c r="KV995" s="2335"/>
      <c r="KW995" s="2335"/>
      <c r="KX995" s="2335"/>
      <c r="KY995" s="2335"/>
      <c r="KZ995" s="2335"/>
      <c r="LA995" s="2335"/>
      <c r="LB995" s="2335"/>
      <c r="LC995" s="2335"/>
      <c r="LD995" s="2335"/>
      <c r="LE995" s="2335"/>
      <c r="LF995" s="2335"/>
      <c r="LG995" s="2335"/>
      <c r="LH995" s="2335"/>
      <c r="LI995" s="2335"/>
      <c r="LJ995" s="2335"/>
      <c r="LK995" s="2335"/>
      <c r="LL995" s="2335"/>
      <c r="LM995" s="2335"/>
      <c r="LN995" s="2335"/>
      <c r="LO995" s="2335"/>
      <c r="LP995" s="2335"/>
      <c r="LQ995" s="2335"/>
      <c r="LR995" s="2335"/>
      <c r="LS995" s="2335"/>
      <c r="LT995" s="2335"/>
      <c r="LU995" s="2335"/>
      <c r="LV995" s="2335"/>
      <c r="LW995" s="2335"/>
      <c r="LX995" s="2335"/>
      <c r="LY995" s="2335"/>
      <c r="LZ995" s="2335"/>
      <c r="MA995" s="2335"/>
      <c r="MB995" s="2335"/>
      <c r="MC995" s="2335"/>
      <c r="MD995" s="2335"/>
      <c r="ME995" s="2335"/>
      <c r="MF995" s="2335"/>
      <c r="MG995" s="2335"/>
      <c r="MH995" s="2335"/>
      <c r="MI995" s="2335"/>
      <c r="MJ995" s="2335"/>
      <c r="MK995" s="2335"/>
      <c r="ML995" s="2335"/>
      <c r="MM995" s="2335"/>
      <c r="MN995" s="2335"/>
      <c r="MO995" s="2335"/>
      <c r="MP995" s="2335"/>
      <c r="MQ995" s="2335"/>
      <c r="MR995" s="2335"/>
      <c r="MS995" s="2335"/>
      <c r="MT995" s="2335"/>
      <c r="MU995" s="2335"/>
      <c r="MV995" s="2335"/>
      <c r="MW995" s="2335"/>
      <c r="MX995" s="2335"/>
      <c r="MY995" s="2335"/>
      <c r="MZ995" s="2335"/>
      <c r="NA995" s="2335"/>
      <c r="NB995" s="2335"/>
      <c r="NC995" s="2335"/>
      <c r="ND995" s="2335"/>
      <c r="NE995" s="2335"/>
      <c r="NF995" s="2335"/>
      <c r="NG995" s="2335"/>
      <c r="NH995" s="2335"/>
      <c r="NI995" s="2335"/>
      <c r="NJ995" s="2335"/>
      <c r="NK995" s="2335"/>
      <c r="NL995" s="2335"/>
      <c r="NM995" s="2335"/>
      <c r="NN995" s="2335"/>
      <c r="NO995" s="2335"/>
      <c r="NP995" s="2335"/>
      <c r="NQ995" s="2335"/>
      <c r="NR995" s="2335"/>
      <c r="NS995" s="2335"/>
      <c r="NT995" s="2335"/>
      <c r="NU995" s="2335"/>
      <c r="NV995" s="2335"/>
      <c r="NW995" s="2335"/>
      <c r="NX995" s="2335"/>
      <c r="NY995" s="2335"/>
      <c r="NZ995" s="2335"/>
      <c r="OA995" s="2335"/>
      <c r="OB995" s="2335"/>
      <c r="OC995" s="2335"/>
      <c r="OD995" s="2335"/>
      <c r="OE995" s="2335"/>
      <c r="OF995" s="2335"/>
      <c r="OG995" s="2335"/>
      <c r="OH995" s="2335"/>
      <c r="OI995" s="2335"/>
      <c r="OJ995" s="2335"/>
      <c r="OK995" s="2335"/>
      <c r="OL995" s="2335"/>
      <c r="OM995" s="2335"/>
      <c r="ON995" s="2335"/>
      <c r="OO995" s="2335"/>
      <c r="OP995" s="2335"/>
      <c r="OQ995" s="2335"/>
      <c r="OR995" s="2335"/>
      <c r="OS995" s="2335"/>
      <c r="OT995" s="2335"/>
      <c r="OU995" s="2335"/>
      <c r="OV995" s="2335"/>
      <c r="OW995" s="2335"/>
      <c r="OX995" s="2335"/>
      <c r="OY995" s="2335"/>
      <c r="OZ995" s="2335"/>
      <c r="PA995" s="2335"/>
      <c r="PB995" s="2335"/>
      <c r="PC995" s="2335"/>
      <c r="PD995" s="2335"/>
      <c r="PE995" s="2335"/>
      <c r="PF995" s="2335"/>
      <c r="PG995" s="2335"/>
      <c r="PH995" s="2335"/>
      <c r="PI995" s="2335"/>
      <c r="PJ995" s="2335"/>
      <c r="PK995" s="2335"/>
      <c r="PL995" s="2335"/>
      <c r="PM995" s="2335"/>
      <c r="PN995" s="2335"/>
      <c r="PO995" s="2335"/>
      <c r="PP995" s="2335"/>
      <c r="PQ995" s="2335"/>
      <c r="PR995" s="2335"/>
      <c r="PS995" s="2335"/>
      <c r="PT995" s="2335"/>
      <c r="PU995" s="2335"/>
      <c r="PV995" s="2335"/>
      <c r="PW995" s="2335"/>
      <c r="PX995" s="2335"/>
      <c r="PY995" s="2335"/>
      <c r="PZ995" s="2335"/>
      <c r="QA995" s="2335"/>
      <c r="QB995" s="2335"/>
      <c r="QC995" s="2335"/>
      <c r="QD995" s="2335"/>
      <c r="QE995" s="2335"/>
      <c r="QF995" s="2335"/>
      <c r="QG995" s="2335"/>
      <c r="QH995" s="2335"/>
      <c r="QI995" s="2335"/>
      <c r="QJ995" s="2335"/>
      <c r="QK995" s="2335"/>
      <c r="QL995" s="2335"/>
      <c r="QM995" s="2335"/>
      <c r="QN995" s="2335"/>
      <c r="QO995" s="2335"/>
      <c r="QP995" s="2335"/>
      <c r="QQ995" s="2335"/>
      <c r="QR995" s="2335"/>
      <c r="QS995" s="2335"/>
      <c r="QT995" s="2335"/>
      <c r="QU995" s="2335"/>
      <c r="QV995" s="2335"/>
      <c r="QW995" s="2335"/>
      <c r="QX995" s="2335"/>
      <c r="QY995" s="2335"/>
      <c r="QZ995" s="2335"/>
      <c r="RA995" s="2335"/>
      <c r="RB995" s="2335"/>
      <c r="RC995" s="2335"/>
      <c r="RD995" s="2335"/>
      <c r="RE995" s="2335"/>
      <c r="RF995" s="2335"/>
      <c r="RG995" s="2335"/>
      <c r="RH995" s="2335"/>
      <c r="RI995" s="2335"/>
      <c r="RJ995" s="2335"/>
      <c r="RK995" s="2335"/>
      <c r="RL995" s="2335"/>
      <c r="RM995" s="2335"/>
      <c r="RN995" s="2335"/>
      <c r="RO995" s="2335"/>
      <c r="RP995" s="2335"/>
      <c r="RQ995" s="2335"/>
      <c r="RR995" s="2335"/>
      <c r="RS995" s="2335"/>
      <c r="RT995" s="2335"/>
      <c r="RU995" s="2335"/>
      <c r="RV995" s="2335"/>
      <c r="RW995" s="2335"/>
      <c r="RX995" s="2335"/>
      <c r="RY995" s="2335"/>
      <c r="RZ995" s="2335"/>
      <c r="SA995" s="2335"/>
      <c r="SB995" s="2335"/>
      <c r="SC995" s="2335"/>
      <c r="SD995" s="2335"/>
      <c r="SE995" s="2335"/>
      <c r="SF995" s="2335"/>
      <c r="SG995" s="2335"/>
      <c r="SH995" s="2335"/>
      <c r="SI995" s="2335"/>
      <c r="SJ995" s="2335"/>
      <c r="SK995" s="2335"/>
      <c r="SL995" s="2335"/>
      <c r="SM995" s="2335"/>
      <c r="SN995" s="2335"/>
      <c r="SO995" s="2335"/>
      <c r="SP995" s="2335"/>
      <c r="SQ995" s="2335"/>
      <c r="SR995" s="2335"/>
      <c r="SS995" s="2335"/>
      <c r="ST995" s="2335"/>
      <c r="SU995" s="2335"/>
      <c r="SV995" s="2335"/>
      <c r="SW995" s="2335"/>
      <c r="SX995" s="2335"/>
      <c r="SY995" s="2335"/>
      <c r="SZ995" s="2335"/>
      <c r="TA995" s="2335"/>
      <c r="TB995" s="2335"/>
      <c r="TC995" s="2335"/>
      <c r="TD995" s="2335"/>
      <c r="TE995" s="2335"/>
      <c r="TF995" s="2335"/>
      <c r="TG995" s="2335"/>
      <c r="TH995" s="2335"/>
      <c r="TI995" s="2335"/>
      <c r="TJ995" s="2335"/>
      <c r="TK995" s="2335"/>
      <c r="TL995" s="2335"/>
      <c r="TM995" s="2335"/>
      <c r="TN995" s="2335"/>
      <c r="TO995" s="2335"/>
      <c r="TP995" s="2335"/>
      <c r="TQ995" s="2335"/>
      <c r="TR995" s="2335"/>
      <c r="TS995" s="2335"/>
      <c r="TT995" s="2335"/>
      <c r="TU995" s="2335"/>
      <c r="TV995" s="2335"/>
      <c r="TW995" s="2335"/>
      <c r="TX995" s="2335"/>
      <c r="TY995" s="2335"/>
      <c r="TZ995" s="2335"/>
      <c r="UA995" s="2335"/>
      <c r="UB995" s="2335"/>
      <c r="UC995" s="2335"/>
      <c r="UD995" s="2335"/>
      <c r="UE995" s="2335"/>
      <c r="UF995" s="2335"/>
      <c r="UG995" s="2335"/>
      <c r="UH995" s="2335"/>
      <c r="UI995" s="2335"/>
      <c r="UJ995" s="2335"/>
      <c r="UK995" s="2335"/>
      <c r="UL995" s="2335"/>
      <c r="UM995" s="2335"/>
      <c r="UN995" s="2335"/>
      <c r="UO995" s="2335"/>
      <c r="UP995" s="2335"/>
      <c r="UQ995" s="2335"/>
      <c r="UR995" s="2335"/>
      <c r="US995" s="2335"/>
      <c r="UT995" s="2335"/>
      <c r="UU995" s="2335"/>
      <c r="UV995" s="2335"/>
      <c r="UW995" s="2335"/>
      <c r="UX995" s="2335"/>
      <c r="UY995" s="2335"/>
      <c r="UZ995" s="2335"/>
      <c r="VA995" s="2335"/>
      <c r="VB995" s="2335"/>
      <c r="VC995" s="2335"/>
      <c r="VD995" s="2335"/>
      <c r="VE995" s="2335"/>
      <c r="VF995" s="2335"/>
      <c r="VG995" s="2335"/>
      <c r="VH995" s="2335"/>
      <c r="VI995" s="2335"/>
      <c r="VJ995" s="2335"/>
      <c r="VK995" s="2335"/>
      <c r="VL995" s="2335"/>
      <c r="VM995" s="2335"/>
      <c r="VN995" s="2335"/>
      <c r="VO995" s="2335"/>
      <c r="VP995" s="2335"/>
      <c r="VQ995" s="2335"/>
      <c r="VR995" s="2335"/>
      <c r="VS995" s="2335"/>
      <c r="VT995" s="2335"/>
      <c r="VU995" s="2335"/>
      <c r="VV995" s="2335"/>
      <c r="VW995" s="2335"/>
      <c r="VX995" s="2335"/>
      <c r="VY995" s="2335"/>
      <c r="VZ995" s="2335"/>
      <c r="WA995" s="2335"/>
      <c r="WB995" s="2335"/>
      <c r="WC995" s="2335"/>
      <c r="WD995" s="2335"/>
      <c r="WE995" s="2335"/>
      <c r="WF995" s="2335"/>
      <c r="WG995" s="2335"/>
      <c r="WH995" s="2335"/>
      <c r="WI995" s="2335"/>
      <c r="WJ995" s="2335"/>
      <c r="WK995" s="2335"/>
      <c r="WL995" s="2335"/>
      <c r="WM995" s="2335"/>
      <c r="WN995" s="2335"/>
      <c r="WO995" s="2335"/>
      <c r="WP995" s="2335"/>
      <c r="WQ995" s="2335"/>
      <c r="WR995" s="2335"/>
      <c r="WS995" s="2335"/>
      <c r="WT995" s="2335"/>
      <c r="WU995" s="2335"/>
      <c r="WV995" s="2335"/>
      <c r="WW995" s="2335"/>
      <c r="WX995" s="2335"/>
      <c r="WY995" s="2335"/>
      <c r="WZ995" s="2335"/>
      <c r="XA995" s="2335"/>
      <c r="XB995" s="2335"/>
      <c r="XC995" s="2335"/>
      <c r="XD995" s="2335"/>
      <c r="XE995" s="2335"/>
      <c r="XF995" s="2335"/>
      <c r="XG995" s="2335"/>
      <c r="XH995" s="2335"/>
      <c r="XI995" s="2335"/>
      <c r="XJ995" s="2335"/>
      <c r="XK995" s="2335"/>
      <c r="XL995" s="2335"/>
      <c r="XM995" s="2335"/>
      <c r="XN995" s="2335"/>
      <c r="XO995" s="2335"/>
      <c r="XP995" s="2335"/>
      <c r="XQ995" s="2335"/>
      <c r="XR995" s="2335"/>
      <c r="XS995" s="2335"/>
      <c r="XT995" s="2335"/>
      <c r="XU995" s="2335"/>
      <c r="XV995" s="2335"/>
      <c r="XW995" s="2335"/>
      <c r="XX995" s="2335"/>
      <c r="XY995" s="2335"/>
      <c r="XZ995" s="2335"/>
      <c r="YA995" s="2335"/>
      <c r="YB995" s="2335"/>
      <c r="YC995" s="2335"/>
      <c r="YD995" s="2335"/>
      <c r="YE995" s="2335"/>
      <c r="YF995" s="2335"/>
      <c r="YG995" s="2335"/>
      <c r="YH995" s="2335"/>
      <c r="YI995" s="2335"/>
      <c r="YJ995" s="2335"/>
      <c r="YK995" s="2335"/>
      <c r="YL995" s="2335"/>
      <c r="YM995" s="2335"/>
      <c r="YN995" s="2335"/>
      <c r="YO995" s="2335"/>
      <c r="YP995" s="2335"/>
      <c r="YQ995" s="2335"/>
      <c r="YR995" s="2335"/>
      <c r="YS995" s="2335"/>
      <c r="YT995" s="2335"/>
      <c r="YU995" s="2335"/>
      <c r="YV995" s="2335"/>
      <c r="YW995" s="2335"/>
      <c r="YX995" s="2335"/>
      <c r="YY995" s="2335"/>
      <c r="YZ995" s="2335"/>
      <c r="ZA995" s="2335"/>
      <c r="ZB995" s="2335"/>
      <c r="ZC995" s="2335"/>
      <c r="ZD995" s="2335"/>
      <c r="ZE995" s="2335"/>
      <c r="ZF995" s="2335"/>
      <c r="ZG995" s="2335"/>
      <c r="ZH995" s="2335"/>
      <c r="ZI995" s="2335"/>
      <c r="ZJ995" s="2335"/>
      <c r="ZK995" s="2335"/>
      <c r="ZL995" s="2335"/>
      <c r="ZM995" s="2335"/>
      <c r="ZN995" s="2335"/>
      <c r="ZO995" s="2335"/>
      <c r="ZP995" s="2335"/>
      <c r="ZQ995" s="2335"/>
      <c r="ZR995" s="2335"/>
      <c r="ZS995" s="2335"/>
      <c r="ZT995" s="2335"/>
      <c r="ZU995" s="2335"/>
      <c r="ZV995" s="2335"/>
      <c r="ZW995" s="2335"/>
      <c r="ZX995" s="2335"/>
      <c r="ZY995" s="2335"/>
      <c r="ZZ995" s="2335"/>
      <c r="AAA995" s="2335"/>
      <c r="AAB995" s="2335"/>
      <c r="AAC995" s="2335"/>
      <c r="AAD995" s="2335"/>
      <c r="AAE995" s="2335"/>
      <c r="AAF995" s="2335"/>
      <c r="AAG995" s="2335"/>
      <c r="AAH995" s="2335"/>
      <c r="AAI995" s="2335"/>
      <c r="AAJ995" s="2335"/>
      <c r="AAK995" s="2335"/>
      <c r="AAL995" s="2335"/>
      <c r="AAM995" s="2335"/>
      <c r="AAN995" s="2335"/>
      <c r="AAO995" s="2335"/>
      <c r="AAP995" s="2335"/>
      <c r="AAQ995" s="2335"/>
      <c r="AAR995" s="2335"/>
      <c r="AAS995" s="2335"/>
      <c r="AAT995" s="2335"/>
      <c r="AAU995" s="2335"/>
      <c r="AAV995" s="2335"/>
      <c r="AAW995" s="2335"/>
      <c r="AAX995" s="2335"/>
      <c r="AAY995" s="2335"/>
      <c r="AAZ995" s="2335"/>
      <c r="ABA995" s="2335"/>
      <c r="ABB995" s="2335"/>
      <c r="ABC995" s="2335"/>
      <c r="ABD995" s="2335"/>
      <c r="ABE995" s="2335"/>
      <c r="ABF995" s="2335"/>
      <c r="ABG995" s="2335"/>
      <c r="ABH995" s="2335"/>
      <c r="ABI995" s="2335"/>
      <c r="ABJ995" s="2335"/>
      <c r="ABK995" s="2335"/>
      <c r="ABL995" s="2335"/>
      <c r="ABM995" s="2335"/>
      <c r="ABN995" s="2335"/>
      <c r="ABO995" s="2335"/>
      <c r="ABP995" s="2335"/>
      <c r="ABQ995" s="2335"/>
      <c r="ABR995" s="2335"/>
      <c r="ABS995" s="2335"/>
      <c r="ABT995" s="2335"/>
      <c r="ABU995" s="2335"/>
      <c r="ABV995" s="2335"/>
      <c r="ABW995" s="2335"/>
      <c r="ABX995" s="2335"/>
      <c r="ABY995" s="2335"/>
      <c r="ABZ995" s="2335"/>
      <c r="ACA995" s="2335"/>
      <c r="ACB995" s="2335"/>
      <c r="ACC995" s="2335"/>
      <c r="ACD995" s="2335"/>
      <c r="ACE995" s="2335"/>
      <c r="ACF995" s="2335"/>
      <c r="ACG995" s="2335"/>
      <c r="ACH995" s="2335"/>
      <c r="ACI995" s="2335"/>
      <c r="ACJ995" s="2335"/>
      <c r="ACK995" s="2335"/>
      <c r="ACL995" s="2335"/>
      <c r="ACM995" s="2335"/>
      <c r="ACN995" s="2335"/>
      <c r="ACO995" s="2335"/>
      <c r="ACP995" s="2335"/>
      <c r="ACQ995" s="2335"/>
      <c r="ACR995" s="2335"/>
      <c r="ACS995" s="2335"/>
      <c r="ACT995" s="2335"/>
      <c r="ACU995" s="2335"/>
      <c r="ACV995" s="2335"/>
      <c r="ACW995" s="2335"/>
      <c r="ACX995" s="2335"/>
      <c r="ACY995" s="2335"/>
      <c r="ACZ995" s="2335"/>
      <c r="ADA995" s="2335"/>
      <c r="ADB995" s="2335"/>
      <c r="ADC995" s="2335"/>
      <c r="ADD995" s="2335"/>
      <c r="ADE995" s="2335"/>
      <c r="ADF995" s="2335"/>
      <c r="ADG995" s="2335"/>
      <c r="ADH995" s="2335"/>
      <c r="ADI995" s="2335"/>
      <c r="ADJ995" s="2335"/>
      <c r="ADK995" s="2335"/>
      <c r="ADL995" s="2335"/>
      <c r="ADM995" s="2335"/>
      <c r="ADN995" s="2335"/>
      <c r="ADO995" s="2335"/>
      <c r="ADP995" s="2335"/>
      <c r="ADQ995" s="2335"/>
      <c r="ADR995" s="2335"/>
      <c r="ADS995" s="2335"/>
      <c r="ADT995" s="2335"/>
      <c r="ADU995" s="2335"/>
      <c r="ADV995" s="2335"/>
      <c r="ADW995" s="2335"/>
      <c r="ADX995" s="2335"/>
      <c r="ADY995" s="2335"/>
      <c r="ADZ995" s="2335"/>
      <c r="AEA995" s="2335"/>
      <c r="AEB995" s="2335"/>
      <c r="AEC995" s="2335"/>
      <c r="AED995" s="2335"/>
      <c r="AEE995" s="2335"/>
      <c r="AEF995" s="2335"/>
      <c r="AEG995" s="2335"/>
      <c r="AEH995" s="2335"/>
      <c r="AEI995" s="2335"/>
      <c r="AEJ995" s="2335"/>
      <c r="AEK995" s="2335"/>
      <c r="AEL995" s="2335"/>
      <c r="AEM995" s="2335"/>
      <c r="AEN995" s="2335"/>
      <c r="AEO995" s="2335"/>
      <c r="AEP995" s="2335"/>
      <c r="AEQ995" s="2335"/>
      <c r="AER995" s="2335"/>
      <c r="AES995" s="2335"/>
      <c r="AET995" s="2335"/>
      <c r="AEU995" s="2335"/>
      <c r="AEV995" s="2335"/>
      <c r="AEW995" s="2335"/>
      <c r="AEX995" s="2335"/>
      <c r="AEY995" s="2335"/>
      <c r="AEZ995" s="2335"/>
      <c r="AFA995" s="2335"/>
      <c r="AFB995" s="2335"/>
      <c r="AFC995" s="2335"/>
      <c r="AFD995" s="2335"/>
      <c r="AFE995" s="2335"/>
      <c r="AFF995" s="2335"/>
      <c r="AFG995" s="2335"/>
      <c r="AFH995" s="2335"/>
      <c r="AFI995" s="2335"/>
      <c r="AFJ995" s="2335"/>
      <c r="AFK995" s="2335"/>
      <c r="AFL995" s="2335"/>
      <c r="AFM995" s="2335"/>
      <c r="AFN995" s="2335"/>
      <c r="AFO995" s="2335"/>
      <c r="AFP995" s="2335"/>
      <c r="AFQ995" s="2335"/>
      <c r="AFR995" s="2335"/>
      <c r="AFS995" s="2335"/>
      <c r="AFT995" s="2335"/>
      <c r="AFU995" s="2335"/>
      <c r="AFV995" s="2335"/>
      <c r="AFW995" s="2335"/>
      <c r="AFX995" s="2335"/>
      <c r="AFY995" s="2335"/>
      <c r="AFZ995" s="2335"/>
      <c r="AGA995" s="2335"/>
      <c r="AGB995" s="2335"/>
      <c r="AGC995" s="2335"/>
      <c r="AGD995" s="2335"/>
      <c r="AGE995" s="2335"/>
      <c r="AGF995" s="2335"/>
      <c r="AGG995" s="2335"/>
      <c r="AGH995" s="2335"/>
      <c r="AGI995" s="2335"/>
      <c r="AGJ995" s="2335"/>
      <c r="AGK995" s="2335"/>
      <c r="AGL995" s="2335"/>
      <c r="AGM995" s="2335"/>
      <c r="AGN995" s="2335"/>
      <c r="AGO995" s="2335"/>
      <c r="AGP995" s="2335"/>
      <c r="AGQ995" s="2335"/>
      <c r="AGR995" s="2335"/>
      <c r="AGS995" s="2335"/>
      <c r="AGT995" s="2335"/>
      <c r="AGU995" s="2335"/>
      <c r="AGV995" s="2335"/>
      <c r="AGW995" s="2335"/>
      <c r="AGX995" s="2335"/>
      <c r="AGY995" s="2335"/>
      <c r="AGZ995" s="2335"/>
      <c r="AHA995" s="2335"/>
      <c r="AHB995" s="2335"/>
      <c r="AHC995" s="2335"/>
      <c r="AHD995" s="2335"/>
      <c r="AHE995" s="2335"/>
      <c r="AHF995" s="2335"/>
      <c r="AHG995" s="2335"/>
      <c r="AHH995" s="2335"/>
      <c r="AHI995" s="2335"/>
      <c r="AHJ995" s="2335"/>
      <c r="AHK995" s="2335"/>
      <c r="AHL995" s="2335"/>
      <c r="AHM995" s="2335"/>
      <c r="AHN995" s="2335"/>
      <c r="AHO995" s="2335"/>
      <c r="AHP995" s="2335"/>
      <c r="AHQ995" s="2335"/>
      <c r="AHR995" s="2335"/>
      <c r="AHS995" s="2335"/>
      <c r="AHT995" s="2335"/>
      <c r="AHU995" s="2335"/>
      <c r="AHV995" s="2335"/>
      <c r="AHW995" s="2335"/>
      <c r="AHX995" s="2335"/>
      <c r="AHY995" s="2335"/>
      <c r="AHZ995" s="2335"/>
      <c r="AIA995" s="2335"/>
      <c r="AIB995" s="2335"/>
      <c r="AIC995" s="2335"/>
      <c r="AID995" s="2335"/>
      <c r="AIE995" s="2335"/>
      <c r="AIF995" s="2335"/>
      <c r="AIG995" s="2335"/>
      <c r="AIH995" s="2335"/>
      <c r="AII995" s="2335"/>
      <c r="AIJ995" s="2335"/>
      <c r="AIK995" s="2335"/>
      <c r="AIL995" s="2335"/>
      <c r="AIM995" s="2335"/>
      <c r="AIN995" s="2335"/>
      <c r="AIO995" s="2335"/>
      <c r="AIP995" s="2335"/>
      <c r="AIQ995" s="2335"/>
      <c r="AIR995" s="2335"/>
      <c r="AIS995" s="2335"/>
      <c r="AIT995" s="2335"/>
      <c r="AIU995" s="2335"/>
      <c r="AIV995" s="2335"/>
      <c r="AIW995" s="2335"/>
      <c r="AIX995" s="2335"/>
      <c r="AIY995" s="2335"/>
      <c r="AIZ995" s="2335"/>
      <c r="AJA995" s="2335"/>
      <c r="AJB995" s="2335"/>
      <c r="AJC995" s="2335"/>
      <c r="AJD995" s="2335"/>
      <c r="AJE995" s="2335"/>
      <c r="AJF995" s="2335"/>
      <c r="AJG995" s="2335"/>
      <c r="AJH995" s="2335"/>
      <c r="AJI995" s="2335"/>
      <c r="AJJ995" s="2335"/>
      <c r="AJK995" s="2335"/>
      <c r="AJL995" s="2335"/>
      <c r="AJM995" s="2335"/>
      <c r="AJN995" s="2335"/>
      <c r="AJO995" s="2335"/>
      <c r="AJP995" s="2335"/>
      <c r="AJQ995" s="2335"/>
      <c r="AJR995" s="2335"/>
      <c r="AJS995" s="2335"/>
      <c r="AJT995" s="2335"/>
      <c r="AJU995" s="2335"/>
      <c r="AJV995" s="2335"/>
      <c r="AJW995" s="2335"/>
      <c r="AJX995" s="2335"/>
      <c r="AJY995" s="2335"/>
      <c r="AJZ995" s="2335"/>
      <c r="AKA995" s="2335"/>
      <c r="AKB995" s="2335"/>
      <c r="AKC995" s="2335"/>
      <c r="AKD995" s="2335"/>
      <c r="AKE995" s="2335"/>
      <c r="AKF995" s="2335"/>
      <c r="AKG995" s="2335"/>
      <c r="AKH995" s="2335"/>
      <c r="AKI995" s="2335"/>
      <c r="AKJ995" s="2335"/>
      <c r="AKK995" s="2335"/>
      <c r="AKL995" s="2335"/>
      <c r="AKM995" s="2335"/>
      <c r="AKN995" s="2335"/>
      <c r="AKO995" s="2335"/>
      <c r="AKP995" s="2335"/>
      <c r="AKQ995" s="2335"/>
      <c r="AKR995" s="2335"/>
      <c r="AKS995" s="2335"/>
      <c r="AKT995" s="2335"/>
      <c r="AKU995" s="2335"/>
      <c r="AKV995" s="2335"/>
      <c r="AKW995" s="2335"/>
      <c r="AKX995" s="2335"/>
      <c r="AKY995" s="2335"/>
      <c r="AKZ995" s="2335"/>
      <c r="ALA995" s="2335"/>
      <c r="ALB995" s="2335"/>
      <c r="ALC995" s="2335"/>
      <c r="ALD995" s="2335"/>
      <c r="ALE995" s="2335"/>
      <c r="ALF995" s="2335"/>
      <c r="ALG995" s="2335"/>
      <c r="ALH995" s="2335"/>
      <c r="ALI995" s="2335"/>
      <c r="ALJ995" s="2335"/>
      <c r="ALK995" s="2335"/>
      <c r="ALL995" s="2335"/>
      <c r="ALM995" s="2335"/>
      <c r="ALN995" s="2335"/>
      <c r="ALO995" s="2335"/>
      <c r="ALP995" s="2335"/>
      <c r="ALQ995" s="2335"/>
      <c r="ALR995" s="2335"/>
      <c r="ALS995" s="2335"/>
      <c r="ALT995" s="2335"/>
      <c r="ALU995" s="2335"/>
      <c r="ALV995" s="2335"/>
      <c r="ALW995" s="2335"/>
      <c r="ALX995" s="2335"/>
      <c r="ALY995" s="2335"/>
      <c r="ALZ995" s="2335"/>
      <c r="AMA995" s="2335"/>
      <c r="AMB995" s="2335"/>
      <c r="AMC995" s="2335"/>
      <c r="AMD995" s="2335"/>
      <c r="AME995" s="2335"/>
      <c r="AMF995" s="2335"/>
      <c r="AMG995" s="2335"/>
      <c r="AMH995" s="2335"/>
      <c r="AMI995" s="2335"/>
      <c r="AMJ995" s="2335"/>
      <c r="AMK995" s="2335"/>
      <c r="AML995" s="2335"/>
      <c r="AMM995" s="2335"/>
      <c r="AMN995" s="2335"/>
      <c r="AMO995" s="2335"/>
      <c r="AMP995" s="2335"/>
      <c r="AMQ995" s="2335"/>
      <c r="AMR995" s="2335"/>
      <c r="AMS995" s="2335"/>
      <c r="AMT995" s="2335"/>
      <c r="AMU995" s="2335"/>
      <c r="AMV995" s="2335"/>
      <c r="AMW995" s="2335"/>
      <c r="AMX995" s="2335"/>
      <c r="AMY995" s="2335"/>
      <c r="AMZ995" s="2335"/>
      <c r="ANA995" s="2335"/>
      <c r="ANB995" s="2335"/>
      <c r="ANC995" s="2335"/>
      <c r="AND995" s="2335"/>
      <c r="ANE995" s="2335"/>
      <c r="ANF995" s="2335"/>
      <c r="ANG995" s="2335"/>
      <c r="ANH995" s="2335"/>
      <c r="ANI995" s="2335"/>
      <c r="ANJ995" s="2335"/>
      <c r="ANK995" s="2335"/>
      <c r="ANL995" s="2335"/>
      <c r="ANM995" s="2335"/>
      <c r="ANN995" s="2335"/>
      <c r="ANO995" s="2335"/>
      <c r="ANP995" s="2335"/>
      <c r="ANQ995" s="2335"/>
      <c r="ANR995" s="2335"/>
      <c r="ANS995" s="2335"/>
      <c r="ANT995" s="2335"/>
      <c r="ANU995" s="2335"/>
      <c r="ANV995" s="2335"/>
      <c r="ANW995" s="2335"/>
      <c r="ANX995" s="2335"/>
      <c r="ANY995" s="2335"/>
      <c r="ANZ995" s="2335"/>
      <c r="AOA995" s="2335"/>
      <c r="AOB995" s="2335"/>
      <c r="AOC995" s="2335"/>
      <c r="AOD995" s="2335"/>
      <c r="AOE995" s="2335"/>
      <c r="AOF995" s="2335"/>
      <c r="AOG995" s="2335"/>
      <c r="AOH995" s="2335"/>
      <c r="AOI995" s="2335"/>
      <c r="AOJ995" s="2335"/>
      <c r="AOK995" s="2335"/>
      <c r="AOL995" s="2335"/>
      <c r="AOM995" s="2335"/>
      <c r="AON995" s="2335"/>
      <c r="AOO995" s="2335"/>
      <c r="AOP995" s="2335"/>
      <c r="AOQ995" s="2335"/>
      <c r="AOR995" s="2335"/>
      <c r="AOS995" s="2335"/>
      <c r="AOT995" s="2335"/>
      <c r="AOU995" s="2335"/>
      <c r="AOV995" s="2335"/>
      <c r="AOW995" s="2335"/>
      <c r="AOX995" s="2335"/>
      <c r="AOY995" s="2335"/>
      <c r="AOZ995" s="2335"/>
      <c r="APA995" s="2335"/>
      <c r="APB995" s="2335"/>
      <c r="APC995" s="2335"/>
      <c r="APD995" s="2335"/>
      <c r="APE995" s="2335"/>
      <c r="APF995" s="2335"/>
      <c r="APG995" s="2335"/>
      <c r="APH995" s="2335"/>
      <c r="API995" s="2335"/>
      <c r="APJ995" s="2335"/>
      <c r="APK995" s="2335"/>
      <c r="APL995" s="2335"/>
      <c r="APM995" s="2335"/>
      <c r="APN995" s="2335"/>
      <c r="APO995" s="2335"/>
      <c r="APP995" s="2335"/>
      <c r="APQ995" s="2335"/>
      <c r="APR995" s="2335"/>
      <c r="APS995" s="2335"/>
      <c r="APT995" s="2335"/>
      <c r="APU995" s="2335"/>
      <c r="APV995" s="2335"/>
      <c r="APW995" s="2335"/>
      <c r="APX995" s="2335"/>
      <c r="APY995" s="2335"/>
      <c r="APZ995" s="2335"/>
      <c r="AQA995" s="2335"/>
      <c r="AQB995" s="2335"/>
      <c r="AQC995" s="2335"/>
      <c r="AQD995" s="2335"/>
      <c r="AQE995" s="2335"/>
      <c r="AQF995" s="2335"/>
      <c r="AQG995" s="2335"/>
      <c r="AQH995" s="2335"/>
      <c r="AQI995" s="2335"/>
      <c r="AQJ995" s="2335"/>
      <c r="AQK995" s="2335"/>
      <c r="AQL995" s="2335"/>
      <c r="AQM995" s="2335"/>
      <c r="AQN995" s="2335"/>
      <c r="AQO995" s="2335"/>
      <c r="AQP995" s="2335"/>
      <c r="AQQ995" s="2335"/>
      <c r="AQR995" s="2335"/>
      <c r="AQS995" s="2335"/>
      <c r="AQT995" s="2335"/>
      <c r="AQU995" s="2335"/>
      <c r="AQV995" s="2335"/>
      <c r="AQW995" s="2335"/>
      <c r="AQX995" s="2335"/>
      <c r="AQY995" s="2335"/>
      <c r="AQZ995" s="2335"/>
      <c r="ARA995" s="2335"/>
      <c r="ARB995" s="2335"/>
      <c r="ARC995" s="2335"/>
      <c r="ARD995" s="2335"/>
      <c r="ARE995" s="2335"/>
      <c r="ARF995" s="2335"/>
      <c r="ARG995" s="2335"/>
      <c r="ARH995" s="2335"/>
      <c r="ARI995" s="2335"/>
      <c r="ARJ995" s="2335"/>
      <c r="ARK995" s="2335"/>
      <c r="ARL995" s="2335"/>
      <c r="ARM995" s="2335"/>
      <c r="ARN995" s="2335"/>
      <c r="ARO995" s="2335"/>
      <c r="ARP995" s="2335"/>
      <c r="ARQ995" s="2335"/>
      <c r="ARR995" s="2335"/>
      <c r="ARS995" s="2335"/>
      <c r="ART995" s="2335"/>
      <c r="ARU995" s="2335"/>
      <c r="ARV995" s="2335"/>
      <c r="ARW995" s="2335"/>
      <c r="ARX995" s="2335"/>
      <c r="ARY995" s="2335"/>
      <c r="ARZ995" s="2335"/>
      <c r="ASA995" s="2335"/>
      <c r="ASB995" s="2335"/>
      <c r="ASC995" s="2335"/>
      <c r="ASD995" s="2335"/>
      <c r="ASE995" s="2335"/>
      <c r="ASF995" s="2335"/>
      <c r="ASG995" s="2335"/>
      <c r="ASH995" s="2335"/>
      <c r="ASI995" s="2335"/>
      <c r="ASJ995" s="2335"/>
      <c r="ASK995" s="2335"/>
      <c r="ASL995" s="2335"/>
      <c r="ASM995" s="2335"/>
      <c r="ASN995" s="2335"/>
      <c r="ASO995" s="2335"/>
      <c r="ASP995" s="2335"/>
      <c r="ASQ995" s="2335"/>
      <c r="ASR995" s="2335"/>
      <c r="ASS995" s="2335"/>
      <c r="AST995" s="2335"/>
      <c r="ASU995" s="2335"/>
      <c r="ASV995" s="2335"/>
      <c r="ASW995" s="2335"/>
      <c r="ASX995" s="2335"/>
      <c r="ASY995" s="2335"/>
      <c r="ASZ995" s="2335"/>
      <c r="ATA995" s="2335"/>
      <c r="ATB995" s="2335"/>
      <c r="ATC995" s="2335"/>
      <c r="ATD995" s="2335"/>
      <c r="ATE995" s="2335"/>
      <c r="ATF995" s="2335"/>
      <c r="ATG995" s="2335"/>
      <c r="ATH995" s="2335"/>
      <c r="ATI995" s="2335"/>
      <c r="ATJ995" s="2335"/>
      <c r="ATK995" s="2335"/>
      <c r="ATL995" s="2335"/>
      <c r="ATM995" s="2335"/>
      <c r="ATN995" s="2335"/>
      <c r="ATO995" s="2335"/>
      <c r="ATP995" s="2335"/>
      <c r="ATQ995" s="2335"/>
      <c r="ATR995" s="2335"/>
      <c r="ATS995" s="2335"/>
      <c r="ATT995" s="2335"/>
      <c r="ATU995" s="2335"/>
      <c r="ATV995" s="2335"/>
      <c r="ATW995" s="2335"/>
      <c r="ATX995" s="2335"/>
      <c r="ATY995" s="2335"/>
      <c r="ATZ995" s="2335"/>
      <c r="AUA995" s="2335"/>
      <c r="AUB995" s="2335"/>
      <c r="AUC995" s="2335"/>
      <c r="AUD995" s="2335"/>
      <c r="AUE995" s="2335"/>
      <c r="AUF995" s="2335"/>
      <c r="AUG995" s="2335"/>
      <c r="AUH995" s="2335"/>
      <c r="AUI995" s="2335"/>
      <c r="AUJ995" s="2335"/>
      <c r="AUK995" s="2335"/>
      <c r="AUL995" s="2335"/>
      <c r="AUM995" s="2335"/>
      <c r="AUN995" s="2335"/>
      <c r="AUO995" s="2335"/>
      <c r="AUP995" s="2335"/>
      <c r="AUQ995" s="2335"/>
      <c r="AUR995" s="2335"/>
      <c r="AUS995" s="2335"/>
      <c r="AUT995" s="2335"/>
      <c r="AUU995" s="2335"/>
      <c r="AUV995" s="2335"/>
      <c r="AUW995" s="2335"/>
      <c r="AUX995" s="2335"/>
      <c r="AUY995" s="2335"/>
      <c r="AUZ995" s="2335"/>
      <c r="AVA995" s="2335"/>
      <c r="AVB995" s="2335"/>
      <c r="AVC995" s="2335"/>
      <c r="AVD995" s="2335"/>
      <c r="AVE995" s="2335"/>
      <c r="AVF995" s="2335"/>
      <c r="AVG995" s="2335"/>
      <c r="AVH995" s="2335"/>
      <c r="AVI995" s="2335"/>
      <c r="AVJ995" s="2335"/>
      <c r="AVK995" s="2335"/>
      <c r="AVL995" s="2335"/>
      <c r="AVM995" s="2335"/>
      <c r="AVN995" s="2335"/>
      <c r="AVO995" s="2335"/>
      <c r="AVP995" s="2335"/>
      <c r="AVQ995" s="2335"/>
      <c r="AVR995" s="2335"/>
      <c r="AVS995" s="2335"/>
      <c r="AVT995" s="2335"/>
      <c r="AVU995" s="2335"/>
      <c r="AVV995" s="2335"/>
      <c r="AVW995" s="2335"/>
      <c r="AVX995" s="2335"/>
      <c r="AVY995" s="2335"/>
      <c r="AVZ995" s="2335"/>
      <c r="AWA995" s="2335"/>
      <c r="AWB995" s="2335"/>
      <c r="AWC995" s="2335"/>
      <c r="AWD995" s="2335"/>
      <c r="AWE995" s="2335"/>
      <c r="AWF995" s="2335"/>
      <c r="AWG995" s="2335"/>
      <c r="AWH995" s="2335"/>
      <c r="AWI995" s="2335"/>
      <c r="AWJ995" s="2335"/>
      <c r="AWK995" s="2335"/>
      <c r="AWL995" s="2335"/>
      <c r="AWM995" s="2335"/>
      <c r="AWN995" s="2335"/>
      <c r="AWO995" s="2335"/>
      <c r="AWP995" s="2335"/>
      <c r="AWQ995" s="2335"/>
      <c r="AWR995" s="2335"/>
      <c r="AWS995" s="2335"/>
      <c r="AWT995" s="2335"/>
      <c r="AWU995" s="2335"/>
      <c r="AWV995" s="2335"/>
      <c r="AWW995" s="2335"/>
      <c r="AWX995" s="2335"/>
      <c r="AWY995" s="2335"/>
      <c r="AWZ995" s="2335"/>
      <c r="AXA995" s="2335"/>
      <c r="AXB995" s="2335"/>
      <c r="AXC995" s="2335"/>
      <c r="AXD995" s="2335"/>
      <c r="AXE995" s="2335"/>
      <c r="AXF995" s="2335"/>
      <c r="AXG995" s="2335"/>
      <c r="AXH995" s="2335"/>
      <c r="AXI995" s="2335"/>
      <c r="AXJ995" s="2335"/>
      <c r="AXK995" s="2335"/>
      <c r="AXL995" s="2335"/>
      <c r="AXM995" s="2335"/>
      <c r="AXN995" s="2335"/>
      <c r="AXO995" s="2335"/>
      <c r="AXP995" s="2335"/>
      <c r="AXQ995" s="2335"/>
      <c r="AXR995" s="2335"/>
      <c r="AXS995" s="2335"/>
      <c r="AXT995" s="2335"/>
      <c r="AXU995" s="2335"/>
      <c r="AXV995" s="2335"/>
      <c r="AXW995" s="2335"/>
      <c r="AXX995" s="2335"/>
      <c r="AXY995" s="2335"/>
      <c r="AXZ995" s="2335"/>
      <c r="AYA995" s="2335"/>
      <c r="AYB995" s="2335"/>
      <c r="AYC995" s="2335"/>
      <c r="AYD995" s="2335"/>
      <c r="AYE995" s="2335"/>
      <c r="AYF995" s="2335"/>
      <c r="AYG995" s="2335"/>
      <c r="AYH995" s="2335"/>
      <c r="AYI995" s="2335"/>
      <c r="AYJ995" s="2335"/>
      <c r="AYK995" s="2335"/>
      <c r="AYL995" s="2335"/>
      <c r="AYM995" s="2335"/>
      <c r="AYN995" s="2335"/>
      <c r="AYO995" s="2335"/>
      <c r="AYP995" s="2335"/>
      <c r="AYQ995" s="2335"/>
      <c r="AYR995" s="2335"/>
      <c r="AYS995" s="2335"/>
      <c r="AYT995" s="2335"/>
      <c r="AYU995" s="2335"/>
      <c r="AYV995" s="2335"/>
      <c r="AYW995" s="2335"/>
      <c r="AYX995" s="2335"/>
      <c r="AYY995" s="2335"/>
      <c r="AYZ995" s="2335"/>
      <c r="AZA995" s="2335"/>
      <c r="AZB995" s="2335"/>
      <c r="AZC995" s="2335"/>
      <c r="AZD995" s="2335"/>
      <c r="AZE995" s="2335"/>
      <c r="AZF995" s="2335"/>
      <c r="AZG995" s="2335"/>
      <c r="AZH995" s="2335"/>
      <c r="AZI995" s="2335"/>
      <c r="AZJ995" s="2335"/>
      <c r="AZK995" s="2335"/>
      <c r="AZL995" s="2335"/>
      <c r="AZM995" s="2335"/>
      <c r="AZN995" s="2335"/>
      <c r="AZO995" s="2335"/>
      <c r="AZP995" s="2335"/>
      <c r="AZQ995" s="2335"/>
      <c r="AZR995" s="2335"/>
      <c r="AZS995" s="2335"/>
      <c r="AZT995" s="2335"/>
      <c r="AZU995" s="2335"/>
      <c r="AZV995" s="2335"/>
      <c r="AZW995" s="2335"/>
      <c r="AZX995" s="2335"/>
      <c r="AZY995" s="2335"/>
      <c r="AZZ995" s="2335"/>
      <c r="BAA995" s="2335"/>
      <c r="BAB995" s="2335"/>
      <c r="BAC995" s="2335"/>
      <c r="BAD995" s="2335"/>
      <c r="BAE995" s="2335"/>
      <c r="BAF995" s="2335"/>
      <c r="BAG995" s="2335"/>
      <c r="BAH995" s="2335"/>
      <c r="BAI995" s="2335"/>
      <c r="BAJ995" s="2335"/>
      <c r="BAK995" s="2335"/>
      <c r="BAL995" s="2335"/>
      <c r="BAM995" s="2335"/>
      <c r="BAN995" s="2335"/>
      <c r="BAO995" s="2335"/>
      <c r="BAP995" s="2335"/>
      <c r="BAQ995" s="2335"/>
      <c r="BAR995" s="2335"/>
      <c r="BAS995" s="2335"/>
      <c r="BAT995" s="2335"/>
      <c r="BAU995" s="2335"/>
      <c r="BAV995" s="2335"/>
      <c r="BAW995" s="2335"/>
      <c r="BAX995" s="2335"/>
      <c r="BAY995" s="2335"/>
      <c r="BAZ995" s="2335"/>
      <c r="BBA995" s="2335"/>
      <c r="BBB995" s="2335"/>
      <c r="BBC995" s="2335"/>
      <c r="BBD995" s="2335"/>
      <c r="BBE995" s="2335"/>
      <c r="BBF995" s="2335"/>
      <c r="BBG995" s="2335"/>
      <c r="BBH995" s="2335"/>
      <c r="BBI995" s="2335"/>
      <c r="BBJ995" s="2335"/>
      <c r="BBK995" s="2335"/>
      <c r="BBL995" s="2335"/>
      <c r="BBM995" s="2335"/>
      <c r="BBN995" s="2335"/>
      <c r="BBO995" s="2335"/>
      <c r="BBP995" s="2335"/>
      <c r="BBQ995" s="2335"/>
      <c r="BBR995" s="2335"/>
      <c r="BBS995" s="2335"/>
      <c r="BBT995" s="2335"/>
      <c r="BBU995" s="2335"/>
      <c r="BBV995" s="2335"/>
      <c r="BBW995" s="2335"/>
      <c r="BBX995" s="2335"/>
      <c r="BBY995" s="2335"/>
      <c r="BBZ995" s="2335"/>
      <c r="BCA995" s="2335"/>
      <c r="BCB995" s="2335"/>
      <c r="BCC995" s="2335"/>
      <c r="BCD995" s="2335"/>
      <c r="BCE995" s="2335"/>
      <c r="BCF995" s="2335"/>
      <c r="BCG995" s="2335"/>
      <c r="BCH995" s="2335"/>
      <c r="BCI995" s="2335"/>
      <c r="BCJ995" s="2335"/>
      <c r="BCK995" s="2335"/>
      <c r="BCL995" s="2335"/>
      <c r="BCM995" s="2335"/>
      <c r="BCN995" s="2335"/>
      <c r="BCO995" s="2335"/>
      <c r="BCP995" s="2335"/>
      <c r="BCQ995" s="2335"/>
      <c r="BCR995" s="2335"/>
      <c r="BCS995" s="2335"/>
      <c r="BCT995" s="2335"/>
      <c r="BCU995" s="2335"/>
      <c r="BCV995" s="2335"/>
      <c r="BCW995" s="2335"/>
      <c r="BCX995" s="2335"/>
      <c r="BCY995" s="2335"/>
      <c r="BCZ995" s="2335"/>
      <c r="BDA995" s="2335"/>
      <c r="BDB995" s="2335"/>
      <c r="BDC995" s="2335"/>
      <c r="BDD995" s="2335"/>
      <c r="BDE995" s="2335"/>
      <c r="BDF995" s="2335"/>
      <c r="BDG995" s="2335"/>
      <c r="BDH995" s="2335"/>
      <c r="BDI995" s="2335"/>
      <c r="BDJ995" s="2335"/>
      <c r="BDK995" s="2335"/>
      <c r="BDL995" s="2335"/>
      <c r="BDM995" s="2335"/>
      <c r="BDN995" s="2335"/>
      <c r="BDO995" s="2335"/>
      <c r="BDP995" s="2335"/>
      <c r="BDQ995" s="2335"/>
      <c r="BDR995" s="2335"/>
      <c r="BDS995" s="2335"/>
      <c r="BDT995" s="2335"/>
      <c r="BDU995" s="2335"/>
      <c r="BDV995" s="2335"/>
      <c r="BDW995" s="2335"/>
      <c r="BDX995" s="2335"/>
      <c r="BDY995" s="2335"/>
      <c r="BDZ995" s="2335"/>
      <c r="BEA995" s="2335"/>
      <c r="BEB995" s="2335"/>
      <c r="BEC995" s="2335"/>
      <c r="BED995" s="2335"/>
      <c r="BEE995" s="2335"/>
      <c r="BEF995" s="2335"/>
      <c r="BEG995" s="2335"/>
      <c r="BEH995" s="2335"/>
      <c r="BEI995" s="2335"/>
      <c r="BEJ995" s="2335"/>
      <c r="BEK995" s="2335"/>
      <c r="BEL995" s="2335"/>
      <c r="BEM995" s="2335"/>
      <c r="BEN995" s="2335"/>
      <c r="BEO995" s="2335"/>
      <c r="BEP995" s="2335"/>
      <c r="BEQ995" s="2335"/>
      <c r="BER995" s="2335"/>
      <c r="BES995" s="2335"/>
      <c r="BET995" s="2335"/>
      <c r="BEU995" s="2335"/>
      <c r="BEV995" s="2335"/>
      <c r="BEW995" s="2335"/>
      <c r="BEX995" s="2335"/>
      <c r="BEY995" s="2335"/>
      <c r="BEZ995" s="2335"/>
      <c r="BFA995" s="2335"/>
      <c r="BFB995" s="2335"/>
      <c r="BFC995" s="2335"/>
      <c r="BFD995" s="2335"/>
      <c r="BFE995" s="2335"/>
      <c r="BFF995" s="2335"/>
      <c r="BFG995" s="2335"/>
      <c r="BFH995" s="2335"/>
      <c r="BFI995" s="2335"/>
      <c r="BFJ995" s="2335"/>
      <c r="BFK995" s="2335"/>
      <c r="BFL995" s="2335"/>
      <c r="BFM995" s="2335"/>
      <c r="BFN995" s="2335"/>
      <c r="BFO995" s="2335"/>
      <c r="BFP995" s="2335"/>
      <c r="BFQ995" s="2335"/>
      <c r="BFR995" s="2335"/>
      <c r="BFS995" s="2335"/>
      <c r="BFT995" s="2335"/>
      <c r="BFU995" s="2335"/>
      <c r="BFV995" s="2335"/>
      <c r="BFW995" s="2335"/>
      <c r="BFX995" s="2335"/>
      <c r="BFY995" s="2335"/>
      <c r="BFZ995" s="2335"/>
      <c r="BGA995" s="2335"/>
      <c r="BGB995" s="2335"/>
      <c r="BGC995" s="2335"/>
      <c r="BGD995" s="2335"/>
      <c r="BGE995" s="2335"/>
      <c r="BGF995" s="2335"/>
      <c r="BGG995" s="2335"/>
      <c r="BGH995" s="2335"/>
      <c r="BGI995" s="2335"/>
      <c r="BGJ995" s="2335"/>
      <c r="BGK995" s="2335"/>
      <c r="BGL995" s="2335"/>
      <c r="BGM995" s="2335"/>
      <c r="BGN995" s="2335"/>
      <c r="BGO995" s="2335"/>
      <c r="BGP995" s="2335"/>
      <c r="BGQ995" s="2335"/>
      <c r="BGR995" s="2335"/>
      <c r="BGS995" s="2335"/>
      <c r="BGT995" s="2335"/>
      <c r="BGU995" s="2335"/>
      <c r="BGV995" s="2335"/>
      <c r="BGW995" s="2335"/>
      <c r="BGX995" s="2335"/>
      <c r="BGY995" s="2335"/>
      <c r="BGZ995" s="2335"/>
      <c r="BHA995" s="2335"/>
      <c r="BHB995" s="2335"/>
      <c r="BHC995" s="2335"/>
      <c r="BHD995" s="2335"/>
      <c r="BHE995" s="2335"/>
      <c r="BHF995" s="2335"/>
      <c r="BHG995" s="2335"/>
      <c r="BHH995" s="2335"/>
      <c r="BHI995" s="2335"/>
      <c r="BHJ995" s="2335"/>
      <c r="BHK995" s="2335"/>
      <c r="BHL995" s="2335"/>
      <c r="BHM995" s="2335"/>
      <c r="BHN995" s="2335"/>
      <c r="BHO995" s="2335"/>
      <c r="BHP995" s="2335"/>
      <c r="BHQ995" s="2335"/>
      <c r="BHR995" s="2335"/>
      <c r="BHS995" s="2335"/>
      <c r="BHT995" s="2335"/>
      <c r="BHU995" s="2335"/>
      <c r="BHV995" s="2335"/>
      <c r="BHW995" s="2335"/>
      <c r="BHX995" s="2335"/>
      <c r="BHY995" s="2335"/>
      <c r="BHZ995" s="2335"/>
      <c r="BIA995" s="2335"/>
      <c r="BIB995" s="2335"/>
      <c r="BIC995" s="2335"/>
      <c r="BID995" s="2335"/>
      <c r="BIE995" s="2335"/>
      <c r="BIF995" s="2335"/>
      <c r="BIG995" s="2335"/>
      <c r="BIH995" s="2335"/>
      <c r="BII995" s="2335"/>
      <c r="BIJ995" s="2335"/>
      <c r="BIK995" s="2335"/>
      <c r="BIL995" s="2335"/>
      <c r="BIM995" s="2335"/>
      <c r="BIN995" s="2335"/>
      <c r="BIO995" s="2335"/>
      <c r="BIP995" s="2335"/>
      <c r="BIQ995" s="2335"/>
      <c r="BIR995" s="2335"/>
      <c r="BIS995" s="2335"/>
      <c r="BIT995" s="2335"/>
      <c r="BIU995" s="2335"/>
      <c r="BIV995" s="2335"/>
      <c r="BIW995" s="2335"/>
      <c r="BIX995" s="2335"/>
      <c r="BIY995" s="2335"/>
      <c r="BIZ995" s="2335"/>
      <c r="BJA995" s="2335"/>
      <c r="BJB995" s="2335"/>
      <c r="BJC995" s="2335"/>
      <c r="BJD995" s="2335"/>
      <c r="BJE995" s="2335"/>
      <c r="BJF995" s="2335"/>
      <c r="BJG995" s="2335"/>
      <c r="BJH995" s="2335"/>
      <c r="BJI995" s="2335"/>
      <c r="BJJ995" s="2335"/>
      <c r="BJK995" s="2335"/>
      <c r="BJL995" s="2335"/>
      <c r="BJM995" s="2335"/>
      <c r="BJN995" s="2335"/>
      <c r="BJO995" s="2335"/>
      <c r="BJP995" s="2335"/>
      <c r="BJQ995" s="2335"/>
      <c r="BJR995" s="2335"/>
      <c r="BJS995" s="2335"/>
      <c r="BJT995" s="2335"/>
      <c r="BJU995" s="2335"/>
      <c r="BJV995" s="2335"/>
      <c r="BJW995" s="2335"/>
      <c r="BJX995" s="2335"/>
      <c r="BJY995" s="2335"/>
      <c r="BJZ995" s="2335"/>
      <c r="BKA995" s="2335"/>
      <c r="BKB995" s="2335"/>
      <c r="BKC995" s="2335"/>
      <c r="BKD995" s="2335"/>
      <c r="BKE995" s="2335"/>
      <c r="BKF995" s="2335"/>
      <c r="BKG995" s="2335"/>
      <c r="BKH995" s="2335"/>
      <c r="BKI995" s="2335"/>
      <c r="BKJ995" s="2335"/>
      <c r="BKK995" s="2335"/>
      <c r="BKL995" s="2335"/>
      <c r="BKM995" s="2335"/>
      <c r="BKN995" s="2335"/>
      <c r="BKO995" s="2335"/>
      <c r="BKP995" s="2335"/>
      <c r="BKQ995" s="2335"/>
      <c r="BKR995" s="2335"/>
      <c r="BKS995" s="2335"/>
      <c r="BKT995" s="2335"/>
      <c r="BKU995" s="2335"/>
      <c r="BKV995" s="2335"/>
      <c r="BKW995" s="2335"/>
      <c r="BKX995" s="2335"/>
      <c r="BKY995" s="2335"/>
      <c r="BKZ995" s="2335"/>
      <c r="BLA995" s="2335"/>
      <c r="BLB995" s="2335"/>
      <c r="BLC995" s="2335"/>
      <c r="BLD995" s="2335"/>
      <c r="BLE995" s="2335"/>
      <c r="BLF995" s="2335"/>
      <c r="BLG995" s="2335"/>
      <c r="BLH995" s="2335"/>
      <c r="BLI995" s="2335"/>
      <c r="BLJ995" s="2335"/>
      <c r="BLK995" s="2335"/>
      <c r="BLL995" s="2335"/>
      <c r="BLM995" s="2335"/>
      <c r="BLN995" s="2335"/>
      <c r="BLO995" s="2335"/>
      <c r="BLP995" s="2335"/>
      <c r="BLQ995" s="2335"/>
      <c r="BLR995" s="2335"/>
      <c r="BLS995" s="2335"/>
      <c r="BLT995" s="2335"/>
      <c r="BLU995" s="2335"/>
      <c r="BLV995" s="2335"/>
      <c r="BLW995" s="2335"/>
      <c r="BLX995" s="2335"/>
      <c r="BLY995" s="2335"/>
      <c r="BLZ995" s="2335"/>
      <c r="BMA995" s="2335"/>
      <c r="BMB995" s="2335"/>
      <c r="BMC995" s="2335"/>
      <c r="BMD995" s="2335"/>
      <c r="BME995" s="2335"/>
      <c r="BMF995" s="2335"/>
      <c r="BMG995" s="2335"/>
      <c r="BMH995" s="2335"/>
      <c r="BMI995" s="2335"/>
      <c r="BMJ995" s="2335"/>
      <c r="BMK995" s="2335"/>
      <c r="BML995" s="2335"/>
      <c r="BMM995" s="2335"/>
      <c r="BMN995" s="2335"/>
      <c r="BMO995" s="2335"/>
      <c r="BMP995" s="2335"/>
      <c r="BMQ995" s="2335"/>
      <c r="BMR995" s="2335"/>
      <c r="BMS995" s="2335"/>
      <c r="BMT995" s="2335"/>
      <c r="BMU995" s="2335"/>
      <c r="BMV995" s="2335"/>
      <c r="BMW995" s="2335"/>
      <c r="BMX995" s="2335"/>
      <c r="BMY995" s="2335"/>
      <c r="BMZ995" s="2335"/>
      <c r="BNA995" s="2335"/>
      <c r="BNB995" s="2335"/>
      <c r="BNC995" s="2335"/>
      <c r="BND995" s="2335"/>
      <c r="BNE995" s="2335"/>
      <c r="BNF995" s="2335"/>
      <c r="BNG995" s="2335"/>
      <c r="BNH995" s="2335"/>
      <c r="BNI995" s="2335"/>
      <c r="BNJ995" s="2335"/>
      <c r="BNK995" s="2335"/>
      <c r="BNL995" s="2335"/>
      <c r="BNM995" s="2335"/>
      <c r="BNN995" s="2335"/>
      <c r="BNO995" s="2335"/>
      <c r="BNP995" s="2335"/>
      <c r="BNQ995" s="2335"/>
      <c r="BNR995" s="2335"/>
      <c r="BNS995" s="2335"/>
      <c r="BNT995" s="2335"/>
      <c r="BNU995" s="2335"/>
      <c r="BNV995" s="2335"/>
      <c r="BNW995" s="2335"/>
      <c r="BNX995" s="2335"/>
      <c r="BNY995" s="2335"/>
      <c r="BNZ995" s="2335"/>
      <c r="BOA995" s="2335"/>
      <c r="BOB995" s="2335"/>
      <c r="BOC995" s="2335"/>
      <c r="BOD995" s="2335"/>
      <c r="BOE995" s="2335"/>
      <c r="BOF995" s="2335"/>
      <c r="BOG995" s="2335"/>
      <c r="BOH995" s="2335"/>
      <c r="BOI995" s="2335"/>
      <c r="BOJ995" s="2335"/>
      <c r="BOK995" s="2335"/>
      <c r="BOL995" s="2335"/>
      <c r="BOM995" s="2335"/>
      <c r="BON995" s="2335"/>
      <c r="BOO995" s="2335"/>
      <c r="BOP995" s="2335"/>
      <c r="BOQ995" s="2335"/>
      <c r="BOR995" s="2335"/>
      <c r="BOS995" s="2335"/>
      <c r="BOT995" s="2335"/>
      <c r="BOU995" s="2335"/>
      <c r="BOV995" s="2335"/>
      <c r="BOW995" s="2335"/>
      <c r="BOX995" s="2335"/>
      <c r="BOY995" s="2335"/>
      <c r="BOZ995" s="2335"/>
      <c r="BPA995" s="2335"/>
      <c r="BPB995" s="2335"/>
      <c r="BPC995" s="2335"/>
      <c r="BPD995" s="2335"/>
      <c r="BPE995" s="2335"/>
      <c r="BPF995" s="2335"/>
      <c r="BPG995" s="2335"/>
      <c r="BPH995" s="2335"/>
      <c r="BPI995" s="2335"/>
      <c r="BPJ995" s="2335"/>
      <c r="BPK995" s="2335"/>
      <c r="BPL995" s="2335"/>
      <c r="BPM995" s="2335"/>
      <c r="BPN995" s="2335"/>
      <c r="BPO995" s="2335"/>
      <c r="BPP995" s="2335"/>
      <c r="BPQ995" s="2335"/>
      <c r="BPR995" s="2335"/>
      <c r="BPS995" s="2335"/>
      <c r="BPT995" s="2335"/>
      <c r="BPU995" s="2335"/>
      <c r="BPV995" s="2335"/>
      <c r="BPW995" s="2335"/>
      <c r="BPX995" s="2335"/>
      <c r="BPY995" s="2335"/>
      <c r="BPZ995" s="2335"/>
      <c r="BQA995" s="2335"/>
      <c r="BQB995" s="2335"/>
      <c r="BQC995" s="2335"/>
      <c r="BQD995" s="2335"/>
      <c r="BQE995" s="2335"/>
      <c r="BQF995" s="2335"/>
      <c r="BQG995" s="2335"/>
      <c r="BQH995" s="2335"/>
      <c r="BQI995" s="2335"/>
      <c r="BQJ995" s="2335"/>
      <c r="BQK995" s="2335"/>
      <c r="BQL995" s="2335"/>
      <c r="BQM995" s="2335"/>
      <c r="BQN995" s="2335"/>
      <c r="BQO995" s="2335"/>
      <c r="BQP995" s="2335"/>
      <c r="BQQ995" s="2335"/>
      <c r="BQR995" s="2335"/>
      <c r="BQS995" s="2335"/>
      <c r="BQT995" s="2335"/>
      <c r="BQU995" s="2335"/>
      <c r="BQV995" s="2335"/>
      <c r="BQW995" s="2335"/>
      <c r="BQX995" s="2335"/>
      <c r="BQY995" s="2335"/>
      <c r="BQZ995" s="2335"/>
      <c r="BRA995" s="2335"/>
      <c r="BRB995" s="2335"/>
      <c r="BRC995" s="2335"/>
      <c r="BRD995" s="2335"/>
      <c r="BRE995" s="2335"/>
      <c r="BRF995" s="2335"/>
      <c r="BRG995" s="2335"/>
      <c r="BRH995" s="2335"/>
      <c r="BRI995" s="2335"/>
      <c r="BRJ995" s="2335"/>
      <c r="BRK995" s="2335"/>
      <c r="BRL995" s="2335"/>
      <c r="BRM995" s="2335"/>
      <c r="BRN995" s="2335"/>
      <c r="BRO995" s="2335"/>
      <c r="BRP995" s="2335"/>
      <c r="BRQ995" s="2335"/>
      <c r="BRR995" s="2335"/>
      <c r="BRS995" s="2335"/>
      <c r="BRT995" s="2335"/>
      <c r="BRU995" s="2335"/>
      <c r="BRV995" s="2335"/>
      <c r="BRW995" s="2335"/>
      <c r="BRX995" s="2335"/>
      <c r="BRY995" s="2335"/>
      <c r="BRZ995" s="2335"/>
      <c r="BSA995" s="2335"/>
      <c r="BSB995" s="2335"/>
      <c r="BSC995" s="2335"/>
      <c r="BSD995" s="2335"/>
      <c r="BSE995" s="2335"/>
      <c r="BSF995" s="2335"/>
      <c r="BSG995" s="2335"/>
      <c r="BSH995" s="2335"/>
      <c r="BSI995" s="2335"/>
      <c r="BSJ995" s="2335"/>
      <c r="BSK995" s="2335"/>
      <c r="BSL995" s="2335"/>
      <c r="BSM995" s="2335"/>
      <c r="BSN995" s="2335"/>
      <c r="BSO995" s="2335"/>
      <c r="BSP995" s="2335"/>
      <c r="BSQ995" s="2335"/>
      <c r="BSR995" s="2335"/>
      <c r="BSS995" s="2335"/>
      <c r="BST995" s="2335"/>
      <c r="BSU995" s="2335"/>
      <c r="BSV995" s="2335"/>
      <c r="BSW995" s="2335"/>
      <c r="BSX995" s="2335"/>
      <c r="BSY995" s="2335"/>
      <c r="BSZ995" s="2335"/>
      <c r="BTA995" s="2335"/>
      <c r="BTB995" s="2335"/>
      <c r="BTC995" s="2335"/>
      <c r="BTD995" s="2335"/>
      <c r="BTE995" s="2335"/>
      <c r="BTF995" s="2335"/>
      <c r="BTG995" s="2335"/>
      <c r="BTH995" s="2335"/>
      <c r="BTI995" s="2335"/>
      <c r="BTJ995" s="2335"/>
      <c r="BTK995" s="2335"/>
      <c r="BTL995" s="2335"/>
      <c r="BTM995" s="2335"/>
      <c r="BTN995" s="2335"/>
      <c r="BTO995" s="2335"/>
      <c r="BTP995" s="2335"/>
      <c r="BTQ995" s="2335"/>
      <c r="BTR995" s="2335"/>
      <c r="BTS995" s="2335"/>
      <c r="BTT995" s="2335"/>
      <c r="BTU995" s="2335"/>
      <c r="BTV995" s="2335"/>
      <c r="BTW995" s="2335"/>
      <c r="BTX995" s="2335"/>
      <c r="BTY995" s="2335"/>
      <c r="BTZ995" s="2335"/>
      <c r="BUA995" s="2335"/>
      <c r="BUB995" s="2335"/>
      <c r="BUC995" s="2335"/>
      <c r="BUD995" s="2335"/>
      <c r="BUE995" s="2335"/>
      <c r="BUF995" s="2335"/>
      <c r="BUG995" s="2335"/>
      <c r="BUH995" s="2335"/>
      <c r="BUI995" s="2335"/>
      <c r="BUJ995" s="2335"/>
      <c r="BUK995" s="2335"/>
      <c r="BUL995" s="2335"/>
      <c r="BUM995" s="2335"/>
      <c r="BUN995" s="2335"/>
      <c r="BUO995" s="2335"/>
      <c r="BUP995" s="2335"/>
      <c r="BUQ995" s="2335"/>
      <c r="BUR995" s="2335"/>
      <c r="BUS995" s="2335"/>
      <c r="BUT995" s="2335"/>
      <c r="BUU995" s="2335"/>
      <c r="BUV995" s="2335"/>
      <c r="BUW995" s="2335"/>
      <c r="BUX995" s="2335"/>
      <c r="BUY995" s="2335"/>
      <c r="BUZ995" s="2335"/>
      <c r="BVA995" s="2335"/>
      <c r="BVB995" s="2335"/>
      <c r="BVC995" s="2335"/>
      <c r="BVD995" s="2335"/>
      <c r="BVE995" s="2335"/>
      <c r="BVF995" s="2335"/>
      <c r="BVG995" s="2335"/>
      <c r="BVH995" s="2335"/>
      <c r="BVI995" s="2335"/>
      <c r="BVJ995" s="2335"/>
      <c r="BVK995" s="2335"/>
      <c r="BVL995" s="2335"/>
      <c r="BVM995" s="2335"/>
      <c r="BVN995" s="2335"/>
      <c r="BVO995" s="2335"/>
      <c r="BVP995" s="2335"/>
      <c r="BVQ995" s="2335"/>
      <c r="BVR995" s="2335"/>
      <c r="BVS995" s="2335"/>
      <c r="BVT995" s="2335"/>
      <c r="BVU995" s="2335"/>
      <c r="BVV995" s="2335"/>
      <c r="BVW995" s="2335"/>
      <c r="BVX995" s="2335"/>
      <c r="BVY995" s="2335"/>
      <c r="BVZ995" s="2335"/>
      <c r="BWA995" s="2335"/>
      <c r="BWB995" s="2335"/>
      <c r="BWC995" s="2335"/>
      <c r="BWD995" s="2335"/>
      <c r="BWE995" s="2335"/>
      <c r="BWF995" s="2335"/>
      <c r="BWG995" s="2335"/>
      <c r="BWH995" s="2335"/>
      <c r="BWI995" s="2335"/>
      <c r="BWJ995" s="2335"/>
      <c r="BWK995" s="2335"/>
      <c r="BWL995" s="2335"/>
      <c r="BWM995" s="2335"/>
      <c r="BWN995" s="2335"/>
      <c r="BWO995" s="2335"/>
      <c r="BWP995" s="2335"/>
      <c r="BWQ995" s="2335"/>
      <c r="BWR995" s="2335"/>
      <c r="BWS995" s="2335"/>
      <c r="BWT995" s="2335"/>
      <c r="BWU995" s="2335"/>
      <c r="BWV995" s="2335"/>
      <c r="BWW995" s="2335"/>
      <c r="BWX995" s="2335"/>
      <c r="BWY995" s="2335"/>
      <c r="BWZ995" s="2335"/>
      <c r="BXA995" s="2335"/>
      <c r="BXB995" s="2335"/>
      <c r="BXC995" s="2335"/>
      <c r="BXD995" s="2335"/>
      <c r="BXE995" s="2335"/>
      <c r="BXF995" s="2335"/>
      <c r="BXG995" s="2335"/>
      <c r="BXH995" s="2335"/>
      <c r="BXI995" s="2335"/>
      <c r="BXJ995" s="2335"/>
      <c r="BXK995" s="2335"/>
      <c r="BXL995" s="2335"/>
      <c r="BXM995" s="2335"/>
      <c r="BXN995" s="2335"/>
      <c r="BXO995" s="2335"/>
      <c r="BXP995" s="2335"/>
      <c r="BXQ995" s="2335"/>
      <c r="BXR995" s="2335"/>
      <c r="BXS995" s="2335"/>
      <c r="BXT995" s="2335"/>
      <c r="BXU995" s="2335"/>
      <c r="BXV995" s="2335"/>
      <c r="BXW995" s="2335"/>
      <c r="BXX995" s="2335"/>
      <c r="BXY995" s="2335"/>
      <c r="BXZ995" s="2335"/>
      <c r="BYA995" s="2335"/>
      <c r="BYB995" s="2335"/>
      <c r="BYC995" s="2335"/>
      <c r="BYD995" s="2335"/>
      <c r="BYE995" s="2335"/>
      <c r="BYF995" s="2335"/>
      <c r="BYG995" s="2335"/>
      <c r="BYH995" s="2335"/>
      <c r="BYI995" s="2335"/>
      <c r="BYJ995" s="2335"/>
      <c r="BYK995" s="2335"/>
      <c r="BYL995" s="2335"/>
      <c r="BYM995" s="2335"/>
      <c r="BYN995" s="2335"/>
      <c r="BYO995" s="2335"/>
      <c r="BYP995" s="2335"/>
      <c r="BYQ995" s="2335"/>
      <c r="BYR995" s="2335"/>
      <c r="BYS995" s="2335"/>
      <c r="BYT995" s="2335"/>
      <c r="BYU995" s="2335"/>
      <c r="BYV995" s="2335"/>
      <c r="BYW995" s="2335"/>
      <c r="BYX995" s="2335"/>
      <c r="BYY995" s="2335"/>
      <c r="BYZ995" s="2335"/>
      <c r="BZA995" s="2335"/>
      <c r="BZB995" s="2335"/>
      <c r="BZC995" s="2335"/>
      <c r="BZD995" s="2335"/>
      <c r="BZE995" s="2335"/>
      <c r="BZF995" s="2335"/>
      <c r="BZG995" s="2335"/>
      <c r="BZH995" s="2335"/>
      <c r="BZI995" s="2335"/>
      <c r="BZJ995" s="2335"/>
      <c r="BZK995" s="2335"/>
      <c r="BZL995" s="2335"/>
      <c r="BZM995" s="2335"/>
      <c r="BZN995" s="2335"/>
      <c r="BZO995" s="2335"/>
      <c r="BZP995" s="2335"/>
      <c r="BZQ995" s="2335"/>
      <c r="BZR995" s="2335"/>
      <c r="BZS995" s="2335"/>
      <c r="BZT995" s="2335"/>
      <c r="BZU995" s="2335"/>
      <c r="BZV995" s="2335"/>
      <c r="BZW995" s="2335"/>
      <c r="BZX995" s="2335"/>
      <c r="BZY995" s="2335"/>
      <c r="BZZ995" s="2335"/>
      <c r="CAA995" s="2335"/>
      <c r="CAB995" s="2335"/>
      <c r="CAC995" s="2335"/>
      <c r="CAD995" s="2335"/>
      <c r="CAE995" s="2335"/>
      <c r="CAF995" s="2335"/>
      <c r="CAG995" s="2335"/>
      <c r="CAH995" s="2335"/>
      <c r="CAI995" s="2335"/>
      <c r="CAJ995" s="2335"/>
      <c r="CAK995" s="2335"/>
      <c r="CAL995" s="2335"/>
      <c r="CAM995" s="2335"/>
      <c r="CAN995" s="2335"/>
      <c r="CAO995" s="2335"/>
      <c r="CAP995" s="2335"/>
      <c r="CAQ995" s="2335"/>
      <c r="CAR995" s="2335"/>
      <c r="CAS995" s="2335"/>
      <c r="CAT995" s="2335"/>
      <c r="CAU995" s="2335"/>
      <c r="CAV995" s="2335"/>
      <c r="CAW995" s="2335"/>
      <c r="CAX995" s="2335"/>
      <c r="CAY995" s="2335"/>
      <c r="CAZ995" s="2335"/>
      <c r="CBA995" s="2335"/>
      <c r="CBB995" s="2335"/>
      <c r="CBC995" s="2335"/>
      <c r="CBD995" s="2335"/>
      <c r="CBE995" s="2335"/>
      <c r="CBF995" s="2335"/>
      <c r="CBG995" s="2335"/>
      <c r="CBH995" s="2335"/>
      <c r="CBI995" s="2335"/>
      <c r="CBJ995" s="2335"/>
      <c r="CBK995" s="2335"/>
      <c r="CBL995" s="2335"/>
      <c r="CBM995" s="2335"/>
      <c r="CBN995" s="2335"/>
      <c r="CBO995" s="2335"/>
      <c r="CBP995" s="2335"/>
      <c r="CBQ995" s="2335"/>
      <c r="CBR995" s="2335"/>
      <c r="CBS995" s="2335"/>
      <c r="CBT995" s="2335"/>
      <c r="CBU995" s="2335"/>
      <c r="CBV995" s="2335"/>
      <c r="CBW995" s="2335"/>
      <c r="CBX995" s="2335"/>
      <c r="CBY995" s="2335"/>
      <c r="CBZ995" s="2335"/>
      <c r="CCA995" s="2335"/>
      <c r="CCB995" s="2335"/>
      <c r="CCC995" s="2335"/>
      <c r="CCD995" s="2335"/>
      <c r="CCE995" s="2335"/>
      <c r="CCF995" s="2335"/>
      <c r="CCG995" s="2335"/>
      <c r="CCH995" s="2335"/>
      <c r="CCI995" s="2335"/>
      <c r="CCJ995" s="2335"/>
      <c r="CCK995" s="2335"/>
      <c r="CCL995" s="2335"/>
      <c r="CCM995" s="2335"/>
      <c r="CCN995" s="2335"/>
      <c r="CCO995" s="2335"/>
      <c r="CCP995" s="2335"/>
      <c r="CCQ995" s="2335"/>
      <c r="CCR995" s="2335"/>
      <c r="CCS995" s="2335"/>
      <c r="CCT995" s="2335"/>
      <c r="CCU995" s="2335"/>
      <c r="CCV995" s="2335"/>
      <c r="CCW995" s="2335"/>
      <c r="CCX995" s="2335"/>
      <c r="CCY995" s="2335"/>
      <c r="CCZ995" s="2335"/>
      <c r="CDA995" s="2335"/>
      <c r="CDB995" s="2335"/>
      <c r="CDC995" s="2335"/>
      <c r="CDD995" s="2335"/>
      <c r="CDE995" s="2335"/>
      <c r="CDF995" s="2335"/>
      <c r="CDG995" s="2335"/>
      <c r="CDH995" s="2335"/>
      <c r="CDI995" s="2335"/>
      <c r="CDJ995" s="2335"/>
      <c r="CDK995" s="2335"/>
      <c r="CDL995" s="2335"/>
      <c r="CDM995" s="2335"/>
      <c r="CDN995" s="2335"/>
      <c r="CDO995" s="2335"/>
      <c r="CDP995" s="2335"/>
      <c r="CDQ995" s="2335"/>
      <c r="CDR995" s="2335"/>
      <c r="CDS995" s="2335"/>
      <c r="CDT995" s="2335"/>
      <c r="CDU995" s="2335"/>
      <c r="CDV995" s="2335"/>
      <c r="CDW995" s="2335"/>
      <c r="CDX995" s="2335"/>
      <c r="CDY995" s="2335"/>
      <c r="CDZ995" s="2335"/>
      <c r="CEA995" s="2335"/>
      <c r="CEB995" s="2335"/>
      <c r="CEC995" s="2335"/>
      <c r="CED995" s="2335"/>
      <c r="CEE995" s="2335"/>
      <c r="CEF995" s="2335"/>
      <c r="CEG995" s="2335"/>
      <c r="CEH995" s="2335"/>
      <c r="CEI995" s="2335"/>
      <c r="CEJ995" s="2335"/>
      <c r="CEK995" s="2335"/>
      <c r="CEL995" s="2335"/>
      <c r="CEM995" s="2335"/>
      <c r="CEN995" s="2335"/>
      <c r="CEO995" s="2335"/>
      <c r="CEP995" s="2335"/>
      <c r="CEQ995" s="2335"/>
      <c r="CER995" s="2335"/>
      <c r="CES995" s="2335"/>
      <c r="CET995" s="2335"/>
      <c r="CEU995" s="2335"/>
      <c r="CEV995" s="2335"/>
      <c r="CEW995" s="2335"/>
      <c r="CEX995" s="2335"/>
      <c r="CEY995" s="2335"/>
      <c r="CEZ995" s="2335"/>
      <c r="CFA995" s="2335"/>
      <c r="CFB995" s="2335"/>
      <c r="CFC995" s="2335"/>
      <c r="CFD995" s="2335"/>
      <c r="CFE995" s="2335"/>
      <c r="CFF995" s="2335"/>
      <c r="CFG995" s="2335"/>
      <c r="CFH995" s="2335"/>
      <c r="CFI995" s="2335"/>
      <c r="CFJ995" s="2335"/>
      <c r="CFK995" s="2335"/>
      <c r="CFL995" s="2335"/>
      <c r="CFM995" s="2335"/>
      <c r="CFN995" s="2335"/>
      <c r="CFO995" s="2335"/>
      <c r="CFP995" s="2335"/>
      <c r="CFQ995" s="2335"/>
      <c r="CFR995" s="2335"/>
      <c r="CFS995" s="2335"/>
      <c r="CFT995" s="2335"/>
      <c r="CFU995" s="2335"/>
      <c r="CFV995" s="2335"/>
      <c r="CFW995" s="2335"/>
      <c r="CFX995" s="2335"/>
      <c r="CFY995" s="2335"/>
      <c r="CFZ995" s="2335"/>
      <c r="CGA995" s="2335"/>
      <c r="CGB995" s="2335"/>
      <c r="CGC995" s="2335"/>
      <c r="CGD995" s="2335"/>
      <c r="CGE995" s="2335"/>
      <c r="CGF995" s="2335"/>
      <c r="CGG995" s="2335"/>
      <c r="CGH995" s="2335"/>
      <c r="CGI995" s="2335"/>
      <c r="CGJ995" s="2335"/>
      <c r="CGK995" s="2335"/>
      <c r="CGL995" s="2335"/>
      <c r="CGM995" s="2335"/>
      <c r="CGN995" s="2335"/>
      <c r="CGO995" s="2335"/>
      <c r="CGP995" s="2335"/>
      <c r="CGQ995" s="2335"/>
      <c r="CGR995" s="2335"/>
      <c r="CGS995" s="2335"/>
      <c r="CGT995" s="2335"/>
      <c r="CGU995" s="2335"/>
      <c r="CGV995" s="2335"/>
      <c r="CGW995" s="2335"/>
      <c r="CGX995" s="2335"/>
      <c r="CGY995" s="2335"/>
      <c r="CGZ995" s="2335"/>
      <c r="CHA995" s="2335"/>
      <c r="CHB995" s="2335"/>
      <c r="CHC995" s="2335"/>
      <c r="CHD995" s="2335"/>
      <c r="CHE995" s="2335"/>
      <c r="CHF995" s="2335"/>
      <c r="CHG995" s="2335"/>
      <c r="CHH995" s="2335"/>
      <c r="CHI995" s="2335"/>
      <c r="CHJ995" s="2335"/>
      <c r="CHK995" s="2335"/>
      <c r="CHL995" s="2335"/>
      <c r="CHM995" s="2335"/>
      <c r="CHN995" s="2335"/>
      <c r="CHO995" s="2335"/>
      <c r="CHP995" s="2335"/>
      <c r="CHQ995" s="2335"/>
      <c r="CHR995" s="2335"/>
      <c r="CHS995" s="2335"/>
      <c r="CHT995" s="2335"/>
      <c r="CHU995" s="2335"/>
      <c r="CHV995" s="2335"/>
      <c r="CHW995" s="2335"/>
      <c r="CHX995" s="2335"/>
      <c r="CHY995" s="2335"/>
      <c r="CHZ995" s="2335"/>
      <c r="CIA995" s="2335"/>
      <c r="CIB995" s="2335"/>
      <c r="CIC995" s="2335"/>
      <c r="CID995" s="2335"/>
      <c r="CIE995" s="2335"/>
      <c r="CIF995" s="2335"/>
      <c r="CIG995" s="2335"/>
      <c r="CIH995" s="2335"/>
      <c r="CII995" s="2335"/>
      <c r="CIJ995" s="2335"/>
      <c r="CIK995" s="2335"/>
      <c r="CIL995" s="2335"/>
      <c r="CIM995" s="2335"/>
      <c r="CIN995" s="2335"/>
      <c r="CIO995" s="2335"/>
      <c r="CIP995" s="2335"/>
      <c r="CIQ995" s="2335"/>
      <c r="CIR995" s="2335"/>
      <c r="CIS995" s="2335"/>
      <c r="CIT995" s="2335"/>
      <c r="CIU995" s="2335"/>
      <c r="CIV995" s="2335"/>
      <c r="CIW995" s="2335"/>
      <c r="CIX995" s="2335"/>
      <c r="CIY995" s="2335"/>
      <c r="CIZ995" s="2335"/>
      <c r="CJA995" s="2335"/>
      <c r="CJB995" s="2335"/>
      <c r="CJC995" s="2335"/>
      <c r="CJD995" s="2335"/>
      <c r="CJE995" s="2335"/>
      <c r="CJF995" s="2335"/>
      <c r="CJG995" s="2335"/>
      <c r="CJH995" s="2335"/>
      <c r="CJI995" s="2335"/>
      <c r="CJJ995" s="2335"/>
      <c r="CJK995" s="2335"/>
      <c r="CJL995" s="2335"/>
      <c r="CJM995" s="2335"/>
      <c r="CJN995" s="2335"/>
      <c r="CJO995" s="2335"/>
      <c r="CJP995" s="2335"/>
      <c r="CJQ995" s="2335"/>
      <c r="CJR995" s="2335"/>
      <c r="CJS995" s="2335"/>
      <c r="CJT995" s="2335"/>
      <c r="CJU995" s="2335"/>
      <c r="CJV995" s="2335"/>
      <c r="CJW995" s="2335"/>
      <c r="CJX995" s="2335"/>
      <c r="CJY995" s="2335"/>
      <c r="CJZ995" s="2335"/>
      <c r="CKA995" s="2335"/>
      <c r="CKB995" s="2335"/>
      <c r="CKC995" s="2335"/>
      <c r="CKD995" s="2335"/>
      <c r="CKE995" s="2335"/>
      <c r="CKF995" s="2335"/>
      <c r="CKG995" s="2335"/>
      <c r="CKH995" s="2335"/>
      <c r="CKI995" s="2335"/>
      <c r="CKJ995" s="2335"/>
      <c r="CKK995" s="2335"/>
      <c r="CKL995" s="2335"/>
      <c r="CKM995" s="2335"/>
      <c r="CKN995" s="2335"/>
      <c r="CKO995" s="2335"/>
      <c r="CKP995" s="2335"/>
      <c r="CKQ995" s="2335"/>
      <c r="CKR995" s="2335"/>
      <c r="CKS995" s="2335"/>
      <c r="CKT995" s="2335"/>
      <c r="CKU995" s="2335"/>
      <c r="CKV995" s="2335"/>
      <c r="CKW995" s="2335"/>
      <c r="CKX995" s="2335"/>
      <c r="CKY995" s="2335"/>
      <c r="CKZ995" s="2335"/>
      <c r="CLA995" s="2335"/>
      <c r="CLB995" s="2335"/>
      <c r="CLC995" s="2335"/>
      <c r="CLD995" s="2335"/>
      <c r="CLE995" s="2335"/>
      <c r="CLF995" s="2335"/>
      <c r="CLG995" s="2335"/>
      <c r="CLH995" s="2335"/>
      <c r="CLI995" s="2335"/>
      <c r="CLJ995" s="2335"/>
      <c r="CLK995" s="2335"/>
      <c r="CLL995" s="2335"/>
      <c r="CLM995" s="2335"/>
      <c r="CLN995" s="2335"/>
      <c r="CLO995" s="2335"/>
      <c r="CLP995" s="2335"/>
      <c r="CLQ995" s="2335"/>
      <c r="CLR995" s="2335"/>
      <c r="CLS995" s="2335"/>
      <c r="CLT995" s="2335"/>
      <c r="CLU995" s="2335"/>
      <c r="CLV995" s="2335"/>
      <c r="CLW995" s="2335"/>
      <c r="CLX995" s="2335"/>
      <c r="CLY995" s="2335"/>
      <c r="CLZ995" s="2335"/>
      <c r="CMA995" s="2335"/>
      <c r="CMB995" s="2335"/>
      <c r="CMC995" s="2335"/>
      <c r="CMD995" s="2335"/>
      <c r="CME995" s="2335"/>
      <c r="CMF995" s="2335"/>
      <c r="CMG995" s="2335"/>
      <c r="CMH995" s="2335"/>
      <c r="CMI995" s="2335"/>
      <c r="CMJ995" s="2335"/>
      <c r="CMK995" s="2335"/>
      <c r="CML995" s="2335"/>
      <c r="CMM995" s="2335"/>
      <c r="CMN995" s="2335"/>
      <c r="CMO995" s="2335"/>
      <c r="CMP995" s="2335"/>
      <c r="CMQ995" s="2335"/>
      <c r="CMR995" s="2335"/>
      <c r="CMS995" s="2335"/>
      <c r="CMT995" s="2335"/>
      <c r="CMU995" s="2335"/>
      <c r="CMV995" s="2335"/>
      <c r="CMW995" s="2335"/>
      <c r="CMX995" s="2335"/>
      <c r="CMY995" s="2335"/>
      <c r="CMZ995" s="2335"/>
      <c r="CNA995" s="2335"/>
      <c r="CNB995" s="2335"/>
      <c r="CNC995" s="2335"/>
      <c r="CND995" s="2335"/>
      <c r="CNE995" s="2335"/>
      <c r="CNF995" s="2335"/>
      <c r="CNG995" s="2335"/>
      <c r="CNH995" s="2335"/>
      <c r="CNI995" s="2335"/>
      <c r="CNJ995" s="2335"/>
      <c r="CNK995" s="2335"/>
      <c r="CNL995" s="2335"/>
      <c r="CNM995" s="2335"/>
      <c r="CNN995" s="2335"/>
      <c r="CNO995" s="2335"/>
      <c r="CNP995" s="2335"/>
      <c r="CNQ995" s="2335"/>
      <c r="CNR995" s="2335"/>
      <c r="CNS995" s="2335"/>
      <c r="CNT995" s="2335"/>
      <c r="CNU995" s="2335"/>
      <c r="CNV995" s="2335"/>
      <c r="CNW995" s="2335"/>
      <c r="CNX995" s="2335"/>
      <c r="CNY995" s="2335"/>
      <c r="CNZ995" s="2335"/>
      <c r="COA995" s="2335"/>
      <c r="COB995" s="2335"/>
      <c r="COC995" s="2335"/>
      <c r="COD995" s="2335"/>
      <c r="COE995" s="2335"/>
      <c r="COF995" s="2335"/>
      <c r="COG995" s="2335"/>
      <c r="COH995" s="2335"/>
      <c r="COI995" s="2335"/>
      <c r="COJ995" s="2335"/>
      <c r="COK995" s="2335"/>
      <c r="COL995" s="2335"/>
      <c r="COM995" s="2335"/>
      <c r="CON995" s="2335"/>
      <c r="COO995" s="2335"/>
      <c r="COP995" s="2335"/>
      <c r="COQ995" s="2335"/>
      <c r="COR995" s="2335"/>
      <c r="COS995" s="2335"/>
      <c r="COT995" s="2335"/>
      <c r="COU995" s="2335"/>
      <c r="COV995" s="2335"/>
      <c r="COW995" s="2335"/>
      <c r="COX995" s="2335"/>
      <c r="COY995" s="2335"/>
      <c r="COZ995" s="2335"/>
      <c r="CPA995" s="2335"/>
      <c r="CPB995" s="2335"/>
      <c r="CPC995" s="2335"/>
      <c r="CPD995" s="2335"/>
      <c r="CPE995" s="2335"/>
      <c r="CPF995" s="2335"/>
      <c r="CPG995" s="2335"/>
      <c r="CPH995" s="2335"/>
      <c r="CPI995" s="2335"/>
      <c r="CPJ995" s="2335"/>
      <c r="CPK995" s="2335"/>
      <c r="CPL995" s="2335"/>
      <c r="CPM995" s="2335"/>
      <c r="CPN995" s="2335"/>
      <c r="CPO995" s="2335"/>
      <c r="CPP995" s="2335"/>
      <c r="CPQ995" s="2335"/>
      <c r="CPR995" s="2335"/>
      <c r="CPS995" s="2335"/>
      <c r="CPT995" s="2335"/>
      <c r="CPU995" s="2335"/>
      <c r="CPV995" s="2335"/>
      <c r="CPW995" s="2335"/>
      <c r="CPX995" s="2335"/>
      <c r="CPY995" s="2335"/>
      <c r="CPZ995" s="2335"/>
      <c r="CQA995" s="2335"/>
      <c r="CQB995" s="2335"/>
      <c r="CQC995" s="2335"/>
      <c r="CQD995" s="2335"/>
      <c r="CQE995" s="2335"/>
      <c r="CQF995" s="2335"/>
      <c r="CQG995" s="2335"/>
      <c r="CQH995" s="2335"/>
      <c r="CQI995" s="2335"/>
      <c r="CQJ995" s="2335"/>
      <c r="CQK995" s="2335"/>
      <c r="CQL995" s="2335"/>
      <c r="CQM995" s="2335"/>
      <c r="CQN995" s="2335"/>
      <c r="CQO995" s="2335"/>
      <c r="CQP995" s="2335"/>
      <c r="CQQ995" s="2335"/>
      <c r="CQR995" s="2335"/>
      <c r="CQS995" s="2335"/>
      <c r="CQT995" s="2335"/>
      <c r="CQU995" s="2335"/>
      <c r="CQV995" s="2335"/>
      <c r="CQW995" s="2335"/>
      <c r="CQX995" s="2335"/>
      <c r="CQY995" s="2335"/>
      <c r="CQZ995" s="2335"/>
      <c r="CRA995" s="2335"/>
      <c r="CRB995" s="2335"/>
      <c r="CRC995" s="2335"/>
      <c r="CRD995" s="2335"/>
      <c r="CRE995" s="2335"/>
      <c r="CRF995" s="2335"/>
      <c r="CRG995" s="2335"/>
      <c r="CRH995" s="2335"/>
      <c r="CRI995" s="2335"/>
      <c r="CRJ995" s="2335"/>
      <c r="CRK995" s="2335"/>
      <c r="CRL995" s="2335"/>
      <c r="CRM995" s="2335"/>
      <c r="CRN995" s="2335"/>
      <c r="CRO995" s="2335"/>
      <c r="CRP995" s="2335"/>
      <c r="CRQ995" s="2335"/>
      <c r="CRR995" s="2335"/>
      <c r="CRS995" s="2335"/>
      <c r="CRT995" s="2335"/>
      <c r="CRU995" s="2335"/>
      <c r="CRV995" s="2335"/>
      <c r="CRW995" s="2335"/>
      <c r="CRX995" s="2335"/>
      <c r="CRY995" s="2335"/>
      <c r="CRZ995" s="2335"/>
      <c r="CSA995" s="2335"/>
      <c r="CSB995" s="2335"/>
      <c r="CSC995" s="2335"/>
      <c r="CSD995" s="2335"/>
      <c r="CSE995" s="2335"/>
      <c r="CSF995" s="2335"/>
      <c r="CSG995" s="2335"/>
      <c r="CSH995" s="2335"/>
      <c r="CSI995" s="2335"/>
      <c r="CSJ995" s="2335"/>
      <c r="CSK995" s="2335"/>
      <c r="CSL995" s="2335"/>
      <c r="CSM995" s="2335"/>
      <c r="CSN995" s="2335"/>
      <c r="CSO995" s="2335"/>
      <c r="CSP995" s="2335"/>
      <c r="CSQ995" s="2335"/>
      <c r="CSR995" s="2335"/>
      <c r="CSS995" s="2335"/>
      <c r="CST995" s="2335"/>
      <c r="CSU995" s="2335"/>
      <c r="CSV995" s="2335"/>
      <c r="CSW995" s="2335"/>
      <c r="CSX995" s="2335"/>
      <c r="CSY995" s="2335"/>
      <c r="CSZ995" s="2335"/>
      <c r="CTA995" s="2335"/>
      <c r="CTB995" s="2335"/>
      <c r="CTC995" s="2335"/>
      <c r="CTD995" s="2335"/>
      <c r="CTE995" s="2335"/>
      <c r="CTF995" s="2335"/>
      <c r="CTG995" s="2335"/>
      <c r="CTH995" s="2335"/>
      <c r="CTI995" s="2335"/>
      <c r="CTJ995" s="2335"/>
      <c r="CTK995" s="2335"/>
      <c r="CTL995" s="2335"/>
      <c r="CTM995" s="2335"/>
      <c r="CTN995" s="2335"/>
      <c r="CTO995" s="2335"/>
      <c r="CTP995" s="2335"/>
      <c r="CTQ995" s="2335"/>
      <c r="CTR995" s="2335"/>
      <c r="CTS995" s="2335"/>
      <c r="CTT995" s="2335"/>
      <c r="CTU995" s="2335"/>
      <c r="CTV995" s="2335"/>
      <c r="CTW995" s="2335"/>
      <c r="CTX995" s="2335"/>
      <c r="CTY995" s="2335"/>
      <c r="CTZ995" s="2335"/>
      <c r="CUA995" s="2335"/>
      <c r="CUB995" s="2335"/>
      <c r="CUC995" s="2335"/>
      <c r="CUD995" s="2335"/>
      <c r="CUE995" s="2335"/>
      <c r="CUF995" s="2335"/>
      <c r="CUG995" s="2335"/>
      <c r="CUH995" s="2335"/>
      <c r="CUI995" s="2335"/>
      <c r="CUJ995" s="2335"/>
      <c r="CUK995" s="2335"/>
      <c r="CUL995" s="2335"/>
      <c r="CUM995" s="2335"/>
      <c r="CUN995" s="2335"/>
      <c r="CUO995" s="2335"/>
      <c r="CUP995" s="2335"/>
      <c r="CUQ995" s="2335"/>
      <c r="CUR995" s="2335"/>
      <c r="CUS995" s="2335"/>
      <c r="CUT995" s="2335"/>
      <c r="CUU995" s="2335"/>
      <c r="CUV995" s="2335"/>
      <c r="CUW995" s="2335"/>
      <c r="CUX995" s="2335"/>
      <c r="CUY995" s="2335"/>
      <c r="CUZ995" s="2335"/>
      <c r="CVA995" s="2335"/>
      <c r="CVB995" s="2335"/>
      <c r="CVC995" s="2335"/>
      <c r="CVD995" s="2335"/>
      <c r="CVE995" s="2335"/>
      <c r="CVF995" s="2335"/>
      <c r="CVG995" s="2335"/>
      <c r="CVH995" s="2335"/>
      <c r="CVI995" s="2335"/>
      <c r="CVJ995" s="2335"/>
      <c r="CVK995" s="2335"/>
      <c r="CVL995" s="2335"/>
      <c r="CVM995" s="2335"/>
      <c r="CVN995" s="2335"/>
      <c r="CVO995" s="2335"/>
      <c r="CVP995" s="2335"/>
      <c r="CVQ995" s="2335"/>
      <c r="CVR995" s="2335"/>
      <c r="CVS995" s="2335"/>
      <c r="CVT995" s="2335"/>
      <c r="CVU995" s="2335"/>
      <c r="CVV995" s="2335"/>
      <c r="CVW995" s="2335"/>
      <c r="CVX995" s="2335"/>
      <c r="CVY995" s="2335"/>
      <c r="CVZ995" s="2335"/>
      <c r="CWA995" s="2335"/>
      <c r="CWB995" s="2335"/>
      <c r="CWC995" s="2335"/>
      <c r="CWD995" s="2335"/>
      <c r="CWE995" s="2335"/>
      <c r="CWF995" s="2335"/>
      <c r="CWG995" s="2335"/>
      <c r="CWH995" s="2335"/>
      <c r="CWI995" s="2335"/>
      <c r="CWJ995" s="2335"/>
      <c r="CWK995" s="2335"/>
      <c r="CWL995" s="2335"/>
      <c r="CWM995" s="2335"/>
      <c r="CWN995" s="2335"/>
      <c r="CWO995" s="2335"/>
      <c r="CWP995" s="2335"/>
      <c r="CWQ995" s="2335"/>
      <c r="CWR995" s="2335"/>
      <c r="CWS995" s="2335"/>
      <c r="CWT995" s="2335"/>
      <c r="CWU995" s="2335"/>
      <c r="CWV995" s="2335"/>
      <c r="CWW995" s="2335"/>
      <c r="CWX995" s="2335"/>
      <c r="CWY995" s="2335"/>
      <c r="CWZ995" s="2335"/>
      <c r="CXA995" s="2335"/>
      <c r="CXB995" s="2335"/>
      <c r="CXC995" s="2335"/>
      <c r="CXD995" s="2335"/>
      <c r="CXE995" s="2335"/>
      <c r="CXF995" s="2335"/>
      <c r="CXG995" s="2335"/>
      <c r="CXH995" s="2335"/>
      <c r="CXI995" s="2335"/>
      <c r="CXJ995" s="2335"/>
      <c r="CXK995" s="2335"/>
      <c r="CXL995" s="2335"/>
      <c r="CXM995" s="2335"/>
      <c r="CXN995" s="2335"/>
      <c r="CXO995" s="2335"/>
      <c r="CXP995" s="2335"/>
      <c r="CXQ995" s="2335"/>
      <c r="CXR995" s="2335"/>
      <c r="CXS995" s="2335"/>
      <c r="CXT995" s="2335"/>
      <c r="CXU995" s="2335"/>
      <c r="CXV995" s="2335"/>
      <c r="CXW995" s="2335"/>
      <c r="CXX995" s="2335"/>
      <c r="CXY995" s="2335"/>
      <c r="CXZ995" s="2335"/>
      <c r="CYA995" s="2335"/>
      <c r="CYB995" s="2335"/>
      <c r="CYC995" s="2335"/>
      <c r="CYD995" s="2335"/>
      <c r="CYE995" s="2335"/>
      <c r="CYF995" s="2335"/>
      <c r="CYG995" s="2335"/>
      <c r="CYH995" s="2335"/>
      <c r="CYI995" s="2335"/>
      <c r="CYJ995" s="2335"/>
      <c r="CYK995" s="2335"/>
      <c r="CYL995" s="2335"/>
      <c r="CYM995" s="2335"/>
      <c r="CYN995" s="2335"/>
      <c r="CYO995" s="2335"/>
      <c r="CYP995" s="2335"/>
      <c r="CYQ995" s="2335"/>
      <c r="CYR995" s="2335"/>
      <c r="CYS995" s="2335"/>
      <c r="CYT995" s="2335"/>
      <c r="CYU995" s="2335"/>
      <c r="CYV995" s="2335"/>
      <c r="CYW995" s="2335"/>
      <c r="CYX995" s="2335"/>
      <c r="CYY995" s="2335"/>
      <c r="CYZ995" s="2335"/>
      <c r="CZA995" s="2335"/>
      <c r="CZB995" s="2335"/>
      <c r="CZC995" s="2335"/>
      <c r="CZD995" s="2335"/>
      <c r="CZE995" s="2335"/>
      <c r="CZF995" s="2335"/>
      <c r="CZG995" s="2335"/>
      <c r="CZH995" s="2335"/>
      <c r="CZI995" s="2335"/>
      <c r="CZJ995" s="2335"/>
      <c r="CZK995" s="2335"/>
      <c r="CZL995" s="2335"/>
      <c r="CZM995" s="2335"/>
      <c r="CZN995" s="2335"/>
      <c r="CZO995" s="2335"/>
      <c r="CZP995" s="2335"/>
      <c r="CZQ995" s="2335"/>
      <c r="CZR995" s="2335"/>
      <c r="CZS995" s="2335"/>
      <c r="CZT995" s="2335"/>
      <c r="CZU995" s="2335"/>
      <c r="CZV995" s="2335"/>
      <c r="CZW995" s="2335"/>
      <c r="CZX995" s="2335"/>
      <c r="CZY995" s="2335"/>
      <c r="CZZ995" s="2335"/>
      <c r="DAA995" s="2335"/>
      <c r="DAB995" s="2335"/>
      <c r="DAC995" s="2335"/>
      <c r="DAD995" s="2335"/>
      <c r="DAE995" s="2335"/>
      <c r="DAF995" s="2335"/>
      <c r="DAG995" s="2335"/>
      <c r="DAH995" s="2335"/>
      <c r="DAI995" s="2335"/>
      <c r="DAJ995" s="2335"/>
      <c r="DAK995" s="2335"/>
      <c r="DAL995" s="2335"/>
      <c r="DAM995" s="2335"/>
      <c r="DAN995" s="2335"/>
      <c r="DAO995" s="2335"/>
      <c r="DAP995" s="2335"/>
      <c r="DAQ995" s="2335"/>
      <c r="DAR995" s="2335"/>
      <c r="DAS995" s="2335"/>
      <c r="DAT995" s="2335"/>
      <c r="DAU995" s="2335"/>
      <c r="DAV995" s="2335"/>
      <c r="DAW995" s="2335"/>
      <c r="DAX995" s="2335"/>
      <c r="DAY995" s="2335"/>
      <c r="DAZ995" s="2335"/>
      <c r="DBA995" s="2335"/>
      <c r="DBB995" s="2335"/>
      <c r="DBC995" s="2335"/>
      <c r="DBD995" s="2335"/>
      <c r="DBE995" s="2335"/>
      <c r="DBF995" s="2335"/>
      <c r="DBG995" s="2335"/>
      <c r="DBH995" s="2335"/>
      <c r="DBI995" s="2335"/>
      <c r="DBJ995" s="2335"/>
      <c r="DBK995" s="2335"/>
      <c r="DBL995" s="2335"/>
      <c r="DBM995" s="2335"/>
      <c r="DBN995" s="2335"/>
      <c r="DBO995" s="2335"/>
      <c r="DBP995" s="2335"/>
      <c r="DBQ995" s="2335"/>
      <c r="DBR995" s="2335"/>
      <c r="DBS995" s="2335"/>
      <c r="DBT995" s="2335"/>
      <c r="DBU995" s="2335"/>
      <c r="DBV995" s="2335"/>
      <c r="DBW995" s="2335"/>
      <c r="DBX995" s="2335"/>
      <c r="DBY995" s="2335"/>
      <c r="DBZ995" s="2335"/>
      <c r="DCA995" s="2335"/>
      <c r="DCB995" s="2335"/>
      <c r="DCC995" s="2335"/>
      <c r="DCD995" s="2335"/>
      <c r="DCE995" s="2335"/>
      <c r="DCF995" s="2335"/>
      <c r="DCG995" s="2335"/>
      <c r="DCH995" s="2335"/>
      <c r="DCI995" s="2335"/>
      <c r="DCJ995" s="2335"/>
      <c r="DCK995" s="2335"/>
      <c r="DCL995" s="2335"/>
      <c r="DCM995" s="2335"/>
      <c r="DCN995" s="2335"/>
      <c r="DCO995" s="2335"/>
      <c r="DCP995" s="2335"/>
      <c r="DCQ995" s="2335"/>
      <c r="DCR995" s="2335"/>
      <c r="DCS995" s="2335"/>
      <c r="DCT995" s="2335"/>
      <c r="DCU995" s="2335"/>
      <c r="DCV995" s="2335"/>
      <c r="DCW995" s="2335"/>
      <c r="DCX995" s="2335"/>
      <c r="DCY995" s="2335"/>
      <c r="DCZ995" s="2335"/>
      <c r="DDA995" s="2335"/>
      <c r="DDB995" s="2335"/>
      <c r="DDC995" s="2335"/>
      <c r="DDD995" s="2335"/>
      <c r="DDE995" s="2335"/>
      <c r="DDF995" s="2335"/>
      <c r="DDG995" s="2335"/>
      <c r="DDH995" s="2335"/>
      <c r="DDI995" s="2335"/>
      <c r="DDJ995" s="2335"/>
      <c r="DDK995" s="2335"/>
      <c r="DDL995" s="2335"/>
      <c r="DDM995" s="2335"/>
      <c r="DDN995" s="2335"/>
      <c r="DDO995" s="2335"/>
      <c r="DDP995" s="2335"/>
      <c r="DDQ995" s="2335"/>
      <c r="DDR995" s="2335"/>
      <c r="DDS995" s="2335"/>
      <c r="DDT995" s="2335"/>
      <c r="DDU995" s="2335"/>
      <c r="DDV995" s="2335"/>
      <c r="DDW995" s="2335"/>
      <c r="DDX995" s="2335"/>
      <c r="DDY995" s="2335"/>
      <c r="DDZ995" s="2335"/>
      <c r="DEA995" s="2335"/>
      <c r="DEB995" s="2335"/>
      <c r="DEC995" s="2335"/>
      <c r="DED995" s="2335"/>
      <c r="DEE995" s="2335"/>
      <c r="DEF995" s="2335"/>
      <c r="DEG995" s="2335"/>
      <c r="DEH995" s="2335"/>
      <c r="DEI995" s="2335"/>
      <c r="DEJ995" s="2335"/>
      <c r="DEK995" s="2335"/>
      <c r="DEL995" s="2335"/>
      <c r="DEM995" s="2335"/>
      <c r="DEN995" s="2335"/>
      <c r="DEO995" s="2335"/>
      <c r="DEP995" s="2335"/>
      <c r="DEQ995" s="2335"/>
      <c r="DER995" s="2335"/>
      <c r="DES995" s="2335"/>
      <c r="DET995" s="2335"/>
      <c r="DEU995" s="2335"/>
      <c r="DEV995" s="2335"/>
      <c r="DEW995" s="2335"/>
      <c r="DEX995" s="2335"/>
      <c r="DEY995" s="2335"/>
      <c r="DEZ995" s="2335"/>
      <c r="DFA995" s="2335"/>
      <c r="DFB995" s="2335"/>
      <c r="DFC995" s="2335"/>
      <c r="DFD995" s="2335"/>
      <c r="DFE995" s="2335"/>
      <c r="DFF995" s="2335"/>
      <c r="DFG995" s="2335"/>
      <c r="DFH995" s="2335"/>
      <c r="DFI995" s="2335"/>
      <c r="DFJ995" s="2335"/>
      <c r="DFK995" s="2335"/>
      <c r="DFL995" s="2335"/>
      <c r="DFM995" s="2335"/>
      <c r="DFN995" s="2335"/>
      <c r="DFO995" s="2335"/>
      <c r="DFP995" s="2335"/>
      <c r="DFQ995" s="2335"/>
      <c r="DFR995" s="2335"/>
      <c r="DFS995" s="2335"/>
      <c r="DFT995" s="2335"/>
      <c r="DFU995" s="2335"/>
      <c r="DFV995" s="2335"/>
      <c r="DFW995" s="2335"/>
      <c r="DFX995" s="2335"/>
      <c r="DFY995" s="2335"/>
      <c r="DFZ995" s="2335"/>
      <c r="DGA995" s="2335"/>
      <c r="DGB995" s="2335"/>
      <c r="DGC995" s="2335"/>
      <c r="DGD995" s="2335"/>
      <c r="DGE995" s="2335"/>
      <c r="DGF995" s="2335"/>
      <c r="DGG995" s="2335"/>
      <c r="DGH995" s="2335"/>
      <c r="DGI995" s="2335"/>
      <c r="DGJ995" s="2335"/>
      <c r="DGK995" s="2335"/>
      <c r="DGL995" s="2335"/>
      <c r="DGM995" s="2335"/>
      <c r="DGN995" s="2335"/>
      <c r="DGO995" s="2335"/>
      <c r="DGP995" s="2335"/>
      <c r="DGQ995" s="2335"/>
      <c r="DGR995" s="2335"/>
      <c r="DGS995" s="2335"/>
      <c r="DGT995" s="2335"/>
      <c r="DGU995" s="2335"/>
      <c r="DGV995" s="2335"/>
      <c r="DGW995" s="2335"/>
      <c r="DGX995" s="2335"/>
      <c r="DGY995" s="2335"/>
      <c r="DGZ995" s="2335"/>
      <c r="DHA995" s="2335"/>
      <c r="DHB995" s="2335"/>
      <c r="DHC995" s="2335"/>
      <c r="DHD995" s="2335"/>
      <c r="DHE995" s="2335"/>
      <c r="DHF995" s="2335"/>
      <c r="DHG995" s="2335"/>
      <c r="DHH995" s="2335"/>
      <c r="DHI995" s="2335"/>
      <c r="DHJ995" s="2335"/>
      <c r="DHK995" s="2335"/>
      <c r="DHL995" s="2335"/>
      <c r="DHM995" s="2335"/>
      <c r="DHN995" s="2335"/>
      <c r="DHO995" s="2335"/>
      <c r="DHP995" s="2335"/>
      <c r="DHQ995" s="2335"/>
      <c r="DHR995" s="2335"/>
      <c r="DHS995" s="2335"/>
      <c r="DHT995" s="2335"/>
      <c r="DHU995" s="2335"/>
      <c r="DHV995" s="2335"/>
      <c r="DHW995" s="2335"/>
      <c r="DHX995" s="2335"/>
      <c r="DHY995" s="2335"/>
      <c r="DHZ995" s="2335"/>
      <c r="DIA995" s="2335"/>
      <c r="DIB995" s="2335"/>
      <c r="DIC995" s="2335"/>
      <c r="DID995" s="2335"/>
      <c r="DIE995" s="2335"/>
      <c r="DIF995" s="2335"/>
      <c r="DIG995" s="2335"/>
      <c r="DIH995" s="2335"/>
      <c r="DII995" s="2335"/>
      <c r="DIJ995" s="2335"/>
      <c r="DIK995" s="2335"/>
      <c r="DIL995" s="2335"/>
      <c r="DIM995" s="2335"/>
      <c r="DIN995" s="2335"/>
      <c r="DIO995" s="2335"/>
      <c r="DIP995" s="2335"/>
      <c r="DIQ995" s="2335"/>
      <c r="DIR995" s="2335"/>
      <c r="DIS995" s="2335"/>
      <c r="DIT995" s="2335"/>
      <c r="DIU995" s="2335"/>
      <c r="DIV995" s="2335"/>
      <c r="DIW995" s="2335"/>
      <c r="DIX995" s="2335"/>
      <c r="DIY995" s="2335"/>
      <c r="DIZ995" s="2335"/>
      <c r="DJA995" s="2335"/>
      <c r="DJB995" s="2335"/>
      <c r="DJC995" s="2335"/>
      <c r="DJD995" s="2335"/>
      <c r="DJE995" s="2335"/>
      <c r="DJF995" s="2335"/>
      <c r="DJG995" s="2335"/>
      <c r="DJH995" s="2335"/>
      <c r="DJI995" s="2335"/>
      <c r="DJJ995" s="2335"/>
      <c r="DJK995" s="2335"/>
      <c r="DJL995" s="2335"/>
      <c r="DJM995" s="2335"/>
      <c r="DJN995" s="2335"/>
      <c r="DJO995" s="2335"/>
      <c r="DJP995" s="2335"/>
      <c r="DJQ995" s="2335"/>
      <c r="DJR995" s="2335"/>
      <c r="DJS995" s="2335"/>
      <c r="DJT995" s="2335"/>
      <c r="DJU995" s="2335"/>
      <c r="DJV995" s="2335"/>
      <c r="DJW995" s="2335"/>
      <c r="DJX995" s="2335"/>
      <c r="DJY995" s="2335"/>
      <c r="DJZ995" s="2335"/>
      <c r="DKA995" s="2335"/>
      <c r="DKB995" s="2335"/>
      <c r="DKC995" s="2335"/>
      <c r="DKD995" s="2335"/>
      <c r="DKE995" s="2335"/>
      <c r="DKF995" s="2335"/>
      <c r="DKG995" s="2335"/>
      <c r="DKH995" s="2335"/>
      <c r="DKI995" s="2335"/>
      <c r="DKJ995" s="2335"/>
      <c r="DKK995" s="2335"/>
      <c r="DKL995" s="2335"/>
      <c r="DKM995" s="2335"/>
      <c r="DKN995" s="2335"/>
      <c r="DKO995" s="2335"/>
      <c r="DKP995" s="2335"/>
      <c r="DKQ995" s="2335"/>
      <c r="DKR995" s="2335"/>
      <c r="DKS995" s="2335"/>
      <c r="DKT995" s="2335"/>
      <c r="DKU995" s="2335"/>
      <c r="DKV995" s="2335"/>
      <c r="DKW995" s="2335"/>
      <c r="DKX995" s="2335"/>
      <c r="DKY995" s="2335"/>
      <c r="DKZ995" s="2335"/>
      <c r="DLA995" s="2335"/>
      <c r="DLB995" s="2335"/>
      <c r="DLC995" s="2335"/>
      <c r="DLD995" s="2335"/>
      <c r="DLE995" s="2335"/>
      <c r="DLF995" s="2335"/>
      <c r="DLG995" s="2335"/>
      <c r="DLH995" s="2335"/>
      <c r="DLI995" s="2335"/>
      <c r="DLJ995" s="2335"/>
      <c r="DLK995" s="2335"/>
      <c r="DLL995" s="2335"/>
      <c r="DLM995" s="2335"/>
      <c r="DLN995" s="2335"/>
      <c r="DLO995" s="2335"/>
      <c r="DLP995" s="2335"/>
      <c r="DLQ995" s="2335"/>
      <c r="DLR995" s="2335"/>
      <c r="DLS995" s="2335"/>
      <c r="DLT995" s="2335"/>
      <c r="DLU995" s="2335"/>
      <c r="DLV995" s="2335"/>
      <c r="DLW995" s="2335"/>
      <c r="DLX995" s="2335"/>
      <c r="DLY995" s="2335"/>
      <c r="DLZ995" s="2335"/>
      <c r="DMA995" s="2335"/>
      <c r="DMB995" s="2335"/>
      <c r="DMC995" s="2335"/>
      <c r="DMD995" s="2335"/>
      <c r="DME995" s="2335"/>
      <c r="DMF995" s="2335"/>
      <c r="DMG995" s="2335"/>
      <c r="DMH995" s="2335"/>
      <c r="DMI995" s="2335"/>
      <c r="DMJ995" s="2335"/>
      <c r="DMK995" s="2335"/>
      <c r="DML995" s="2335"/>
      <c r="DMM995" s="2335"/>
      <c r="DMN995" s="2335"/>
      <c r="DMO995" s="2335"/>
      <c r="DMP995" s="2335"/>
      <c r="DMQ995" s="2335"/>
      <c r="DMR995" s="2335"/>
      <c r="DMS995" s="2335"/>
      <c r="DMT995" s="2335"/>
      <c r="DMU995" s="2335"/>
      <c r="DMV995" s="2335"/>
      <c r="DMW995" s="2335"/>
      <c r="DMX995" s="2335"/>
      <c r="DMY995" s="2335"/>
      <c r="DMZ995" s="2335"/>
      <c r="DNA995" s="2335"/>
      <c r="DNB995" s="2335"/>
      <c r="DNC995" s="2335"/>
      <c r="DND995" s="2335"/>
      <c r="DNE995" s="2335"/>
      <c r="DNF995" s="2335"/>
      <c r="DNG995" s="2335"/>
      <c r="DNH995" s="2335"/>
      <c r="DNI995" s="2335"/>
      <c r="DNJ995" s="2335"/>
      <c r="DNK995" s="2335"/>
      <c r="DNL995" s="2335"/>
      <c r="DNM995" s="2335"/>
      <c r="DNN995" s="2335"/>
      <c r="DNO995" s="2335"/>
      <c r="DNP995" s="2335"/>
      <c r="DNQ995" s="2335"/>
      <c r="DNR995" s="2335"/>
      <c r="DNS995" s="2335"/>
      <c r="DNT995" s="2335"/>
      <c r="DNU995" s="2335"/>
      <c r="DNV995" s="2335"/>
      <c r="DNW995" s="2335"/>
      <c r="DNX995" s="2335"/>
      <c r="DNY995" s="2335"/>
      <c r="DNZ995" s="2335"/>
      <c r="DOA995" s="2335"/>
      <c r="DOB995" s="2335"/>
      <c r="DOC995" s="2335"/>
      <c r="DOD995" s="2335"/>
      <c r="DOE995" s="2335"/>
      <c r="DOF995" s="2335"/>
      <c r="DOG995" s="2335"/>
      <c r="DOH995" s="2335"/>
      <c r="DOI995" s="2335"/>
      <c r="DOJ995" s="2335"/>
      <c r="DOK995" s="2335"/>
      <c r="DOL995" s="2335"/>
      <c r="DOM995" s="2335"/>
      <c r="DON995" s="2335"/>
      <c r="DOO995" s="2335"/>
      <c r="DOP995" s="2335"/>
      <c r="DOQ995" s="2335"/>
      <c r="DOR995" s="2335"/>
      <c r="DOS995" s="2335"/>
      <c r="DOT995" s="2335"/>
      <c r="DOU995" s="2335"/>
      <c r="DOV995" s="2335"/>
      <c r="DOW995" s="2335"/>
      <c r="DOX995" s="2335"/>
      <c r="DOY995" s="2335"/>
      <c r="DOZ995" s="2335"/>
      <c r="DPA995" s="2335"/>
      <c r="DPB995" s="2335"/>
      <c r="DPC995" s="2335"/>
      <c r="DPD995" s="2335"/>
      <c r="DPE995" s="2335"/>
      <c r="DPF995" s="2335"/>
      <c r="DPG995" s="2335"/>
      <c r="DPH995" s="2335"/>
      <c r="DPI995" s="2335"/>
      <c r="DPJ995" s="2335"/>
      <c r="DPK995" s="2335"/>
      <c r="DPL995" s="2335"/>
      <c r="DPM995" s="2335"/>
      <c r="DPN995" s="2335"/>
      <c r="DPO995" s="2335"/>
      <c r="DPP995" s="2335"/>
      <c r="DPQ995" s="2335"/>
      <c r="DPR995" s="2335"/>
      <c r="DPS995" s="2335"/>
      <c r="DPT995" s="2335"/>
      <c r="DPU995" s="2335"/>
      <c r="DPV995" s="2335"/>
      <c r="DPW995" s="2335"/>
      <c r="DPX995" s="2335"/>
      <c r="DPY995" s="2335"/>
      <c r="DPZ995" s="2335"/>
      <c r="DQA995" s="2335"/>
      <c r="DQB995" s="2335"/>
      <c r="DQC995" s="2335"/>
      <c r="DQD995" s="2335"/>
      <c r="DQE995" s="2335"/>
      <c r="DQF995" s="2335"/>
      <c r="DQG995" s="2335"/>
      <c r="DQH995" s="2335"/>
      <c r="DQI995" s="2335"/>
      <c r="DQJ995" s="2335"/>
      <c r="DQK995" s="2335"/>
      <c r="DQL995" s="2335"/>
      <c r="DQM995" s="2335"/>
      <c r="DQN995" s="2335"/>
      <c r="DQO995" s="2335"/>
      <c r="DQP995" s="2335"/>
      <c r="DQQ995" s="2335"/>
      <c r="DQR995" s="2335"/>
      <c r="DQS995" s="2335"/>
      <c r="DQT995" s="2335"/>
      <c r="DQU995" s="2335"/>
      <c r="DQV995" s="2335"/>
      <c r="DQW995" s="2335"/>
      <c r="DQX995" s="2335"/>
      <c r="DQY995" s="2335"/>
      <c r="DQZ995" s="2335"/>
      <c r="DRA995" s="2335"/>
      <c r="DRB995" s="2335"/>
      <c r="DRC995" s="2335"/>
      <c r="DRD995" s="2335"/>
      <c r="DRE995" s="2335"/>
      <c r="DRF995" s="2335"/>
      <c r="DRG995" s="2335"/>
      <c r="DRH995" s="2335"/>
      <c r="DRI995" s="2335"/>
      <c r="DRJ995" s="2335"/>
      <c r="DRK995" s="2335"/>
      <c r="DRL995" s="2335"/>
      <c r="DRM995" s="2335"/>
      <c r="DRN995" s="2335"/>
      <c r="DRO995" s="2335"/>
      <c r="DRP995" s="2335"/>
      <c r="DRQ995" s="2335"/>
      <c r="DRR995" s="2335"/>
      <c r="DRS995" s="2335"/>
      <c r="DRT995" s="2335"/>
      <c r="DRU995" s="2335"/>
      <c r="DRV995" s="2335"/>
      <c r="DRW995" s="2335"/>
      <c r="DRX995" s="2335"/>
      <c r="DRY995" s="2335"/>
      <c r="DRZ995" s="2335"/>
      <c r="DSA995" s="2335"/>
      <c r="DSB995" s="2335"/>
      <c r="DSC995" s="2335"/>
      <c r="DSD995" s="2335"/>
      <c r="DSE995" s="2335"/>
      <c r="DSF995" s="2335"/>
      <c r="DSG995" s="2335"/>
      <c r="DSH995" s="2335"/>
      <c r="DSI995" s="2335"/>
      <c r="DSJ995" s="2335"/>
      <c r="DSK995" s="2335"/>
      <c r="DSL995" s="2335"/>
      <c r="DSM995" s="2335"/>
      <c r="DSN995" s="2335"/>
      <c r="DSO995" s="2335"/>
      <c r="DSP995" s="2335"/>
      <c r="DSQ995" s="2335"/>
      <c r="DSR995" s="2335"/>
      <c r="DSS995" s="2335"/>
      <c r="DST995" s="2335"/>
      <c r="DSU995" s="2335"/>
      <c r="DSV995" s="2335"/>
      <c r="DSW995" s="2335"/>
      <c r="DSX995" s="2335"/>
      <c r="DSY995" s="2335"/>
      <c r="DSZ995" s="2335"/>
      <c r="DTA995" s="2335"/>
      <c r="DTB995" s="2335"/>
      <c r="DTC995" s="2335"/>
      <c r="DTD995" s="2335"/>
      <c r="DTE995" s="2335"/>
      <c r="DTF995" s="2335"/>
      <c r="DTG995" s="2335"/>
      <c r="DTH995" s="2335"/>
      <c r="DTI995" s="2335"/>
      <c r="DTJ995" s="2335"/>
      <c r="DTK995" s="2335"/>
      <c r="DTL995" s="2335"/>
      <c r="DTM995" s="2335"/>
      <c r="DTN995" s="2335"/>
      <c r="DTO995" s="2335"/>
      <c r="DTP995" s="2335"/>
      <c r="DTQ995" s="2335"/>
      <c r="DTR995" s="2335"/>
      <c r="DTS995" s="2335"/>
      <c r="DTT995" s="2335"/>
      <c r="DTU995" s="2335"/>
      <c r="DTV995" s="2335"/>
      <c r="DTW995" s="2335"/>
      <c r="DTX995" s="2335"/>
      <c r="DTY995" s="2335"/>
      <c r="DTZ995" s="2335"/>
      <c r="DUA995" s="2335"/>
      <c r="DUB995" s="2335"/>
      <c r="DUC995" s="2335"/>
      <c r="DUD995" s="2335"/>
      <c r="DUE995" s="2335"/>
      <c r="DUF995" s="2335"/>
      <c r="DUG995" s="2335"/>
      <c r="DUH995" s="2335"/>
      <c r="DUI995" s="2335"/>
      <c r="DUJ995" s="2335"/>
      <c r="DUK995" s="2335"/>
      <c r="DUL995" s="2335"/>
      <c r="DUM995" s="2335"/>
      <c r="DUN995" s="2335"/>
      <c r="DUO995" s="2335"/>
      <c r="DUP995" s="2335"/>
      <c r="DUQ995" s="2335"/>
      <c r="DUR995" s="2335"/>
      <c r="DUS995" s="2335"/>
      <c r="DUT995" s="2335"/>
      <c r="DUU995" s="2335"/>
      <c r="DUV995" s="2335"/>
      <c r="DUW995" s="2335"/>
      <c r="DUX995" s="2335"/>
      <c r="DUY995" s="2335"/>
      <c r="DUZ995" s="2335"/>
      <c r="DVA995" s="2335"/>
      <c r="DVB995" s="2335"/>
      <c r="DVC995" s="2335"/>
      <c r="DVD995" s="2335"/>
      <c r="DVE995" s="2335"/>
      <c r="DVF995" s="2335"/>
      <c r="DVG995" s="2335"/>
      <c r="DVH995" s="2335"/>
      <c r="DVI995" s="2335"/>
      <c r="DVJ995" s="2335"/>
      <c r="DVK995" s="2335"/>
      <c r="DVL995" s="2335"/>
      <c r="DVM995" s="2335"/>
      <c r="DVN995" s="2335"/>
      <c r="DVO995" s="2335"/>
      <c r="DVP995" s="2335"/>
      <c r="DVQ995" s="2335"/>
      <c r="DVR995" s="2335"/>
      <c r="DVS995" s="2335"/>
      <c r="DVT995" s="2335"/>
      <c r="DVU995" s="2335"/>
      <c r="DVV995" s="2335"/>
      <c r="DVW995" s="2335"/>
      <c r="DVX995" s="2335"/>
      <c r="DVY995" s="2335"/>
      <c r="DVZ995" s="2335"/>
      <c r="DWA995" s="2335"/>
      <c r="DWB995" s="2335"/>
      <c r="DWC995" s="2335"/>
      <c r="DWD995" s="2335"/>
      <c r="DWE995" s="2335"/>
      <c r="DWF995" s="2335"/>
      <c r="DWG995" s="2335"/>
      <c r="DWH995" s="2335"/>
      <c r="DWI995" s="2335"/>
      <c r="DWJ995" s="2335"/>
      <c r="DWK995" s="2335"/>
      <c r="DWL995" s="2335"/>
      <c r="DWM995" s="2335"/>
      <c r="DWN995" s="2335"/>
      <c r="DWO995" s="2335"/>
      <c r="DWP995" s="2335"/>
      <c r="DWQ995" s="2335"/>
      <c r="DWR995" s="2335"/>
      <c r="DWS995" s="2335"/>
      <c r="DWT995" s="2335"/>
      <c r="DWU995" s="2335"/>
      <c r="DWV995" s="2335"/>
      <c r="DWW995" s="2335"/>
      <c r="DWX995" s="2335"/>
      <c r="DWY995" s="2335"/>
      <c r="DWZ995" s="2335"/>
      <c r="DXA995" s="2335"/>
      <c r="DXB995" s="2335"/>
      <c r="DXC995" s="2335"/>
      <c r="DXD995" s="2335"/>
      <c r="DXE995" s="2335"/>
      <c r="DXF995" s="2335"/>
      <c r="DXG995" s="2335"/>
      <c r="DXH995" s="2335"/>
      <c r="DXI995" s="2335"/>
      <c r="DXJ995" s="2335"/>
      <c r="DXK995" s="2335"/>
      <c r="DXL995" s="2335"/>
      <c r="DXM995" s="2335"/>
      <c r="DXN995" s="2335"/>
      <c r="DXO995" s="2335"/>
      <c r="DXP995" s="2335"/>
      <c r="DXQ995" s="2335"/>
      <c r="DXR995" s="2335"/>
      <c r="DXS995" s="2335"/>
      <c r="DXT995" s="2335"/>
      <c r="DXU995" s="2335"/>
      <c r="DXV995" s="2335"/>
      <c r="DXW995" s="2335"/>
      <c r="DXX995" s="2335"/>
      <c r="DXY995" s="2335"/>
      <c r="DXZ995" s="2335"/>
      <c r="DYA995" s="2335"/>
      <c r="DYB995" s="2335"/>
      <c r="DYC995" s="2335"/>
      <c r="DYD995" s="2335"/>
      <c r="DYE995" s="2335"/>
      <c r="DYF995" s="2335"/>
      <c r="DYG995" s="2335"/>
      <c r="DYH995" s="2335"/>
      <c r="DYI995" s="2335"/>
      <c r="DYJ995" s="2335"/>
      <c r="DYK995" s="2335"/>
      <c r="DYL995" s="2335"/>
      <c r="DYM995" s="2335"/>
      <c r="DYN995" s="2335"/>
      <c r="DYO995" s="2335"/>
      <c r="DYP995" s="2335"/>
      <c r="DYQ995" s="2335"/>
      <c r="DYR995" s="2335"/>
      <c r="DYS995" s="2335"/>
      <c r="DYT995" s="2335"/>
      <c r="DYU995" s="2335"/>
      <c r="DYV995" s="2335"/>
      <c r="DYW995" s="2335"/>
      <c r="DYX995" s="2335"/>
      <c r="DYY995" s="2335"/>
      <c r="DYZ995" s="2335"/>
      <c r="DZA995" s="2335"/>
      <c r="DZB995" s="2335"/>
      <c r="DZC995" s="2335"/>
      <c r="DZD995" s="2335"/>
      <c r="DZE995" s="2335"/>
      <c r="DZF995" s="2335"/>
      <c r="DZG995" s="2335"/>
      <c r="DZH995" s="2335"/>
      <c r="DZI995" s="2335"/>
      <c r="DZJ995" s="2335"/>
      <c r="DZK995" s="2335"/>
      <c r="DZL995" s="2335"/>
      <c r="DZM995" s="2335"/>
      <c r="DZN995" s="2335"/>
      <c r="DZO995" s="2335"/>
      <c r="DZP995" s="2335"/>
      <c r="DZQ995" s="2335"/>
      <c r="DZR995" s="2335"/>
      <c r="DZS995" s="2335"/>
      <c r="DZT995" s="2335"/>
      <c r="DZU995" s="2335"/>
      <c r="DZV995" s="2335"/>
      <c r="DZW995" s="2335"/>
      <c r="DZX995" s="2335"/>
      <c r="DZY995" s="2335"/>
      <c r="DZZ995" s="2335"/>
      <c r="EAA995" s="2335"/>
      <c r="EAB995" s="2335"/>
      <c r="EAC995" s="2335"/>
      <c r="EAD995" s="2335"/>
      <c r="EAE995" s="2335"/>
      <c r="EAF995" s="2335"/>
      <c r="EAG995" s="2335"/>
      <c r="EAH995" s="2335"/>
      <c r="EAI995" s="2335"/>
      <c r="EAJ995" s="2335"/>
      <c r="EAK995" s="2335"/>
      <c r="EAL995" s="2335"/>
      <c r="EAM995" s="2335"/>
      <c r="EAN995" s="2335"/>
      <c r="EAO995" s="2335"/>
      <c r="EAP995" s="2335"/>
      <c r="EAQ995" s="2335"/>
      <c r="EAR995" s="2335"/>
      <c r="EAS995" s="2335"/>
      <c r="EAT995" s="2335"/>
      <c r="EAU995" s="2335"/>
      <c r="EAV995" s="2335"/>
      <c r="EAW995" s="2335"/>
      <c r="EAX995" s="2335"/>
      <c r="EAY995" s="2335"/>
      <c r="EAZ995" s="2335"/>
      <c r="EBA995" s="2335"/>
      <c r="EBB995" s="2335"/>
      <c r="EBC995" s="2335"/>
      <c r="EBD995" s="2335"/>
      <c r="EBE995" s="2335"/>
      <c r="EBF995" s="2335"/>
      <c r="EBG995" s="2335"/>
      <c r="EBH995" s="2335"/>
      <c r="EBI995" s="2335"/>
      <c r="EBJ995" s="2335"/>
      <c r="EBK995" s="2335"/>
      <c r="EBL995" s="2335"/>
      <c r="EBM995" s="2335"/>
      <c r="EBN995" s="2335"/>
      <c r="EBO995" s="2335"/>
      <c r="EBP995" s="2335"/>
      <c r="EBQ995" s="2335"/>
      <c r="EBR995" s="2335"/>
      <c r="EBS995" s="2335"/>
      <c r="EBT995" s="2335"/>
      <c r="EBU995" s="2335"/>
      <c r="EBV995" s="2335"/>
      <c r="EBW995" s="2335"/>
      <c r="EBX995" s="2335"/>
      <c r="EBY995" s="2335"/>
      <c r="EBZ995" s="2335"/>
      <c r="ECA995" s="2335"/>
      <c r="ECB995" s="2335"/>
      <c r="ECC995" s="2335"/>
      <c r="ECD995" s="2335"/>
      <c r="ECE995" s="2335"/>
      <c r="ECF995" s="2335"/>
      <c r="ECG995" s="2335"/>
      <c r="ECH995" s="2335"/>
      <c r="ECI995" s="2335"/>
      <c r="ECJ995" s="2335"/>
      <c r="ECK995" s="2335"/>
      <c r="ECL995" s="2335"/>
      <c r="ECM995" s="2335"/>
      <c r="ECN995" s="2335"/>
      <c r="ECO995" s="2335"/>
      <c r="ECP995" s="2335"/>
      <c r="ECQ995" s="2335"/>
      <c r="ECR995" s="2335"/>
      <c r="ECS995" s="2335"/>
      <c r="ECT995" s="2335"/>
      <c r="ECU995" s="2335"/>
      <c r="ECV995" s="2335"/>
      <c r="ECW995" s="2335"/>
      <c r="ECX995" s="2335"/>
      <c r="ECY995" s="2335"/>
      <c r="ECZ995" s="2335"/>
      <c r="EDA995" s="2335"/>
      <c r="EDB995" s="2335"/>
      <c r="EDC995" s="2335"/>
      <c r="EDD995" s="2335"/>
      <c r="EDE995" s="2335"/>
      <c r="EDF995" s="2335"/>
      <c r="EDG995" s="2335"/>
      <c r="EDH995" s="2335"/>
      <c r="EDI995" s="2335"/>
      <c r="EDJ995" s="2335"/>
      <c r="EDK995" s="2335"/>
      <c r="EDL995" s="2335"/>
      <c r="EDM995" s="2335"/>
      <c r="EDN995" s="2335"/>
      <c r="EDO995" s="2335"/>
      <c r="EDP995" s="2335"/>
      <c r="EDQ995" s="2335"/>
      <c r="EDR995" s="2335"/>
      <c r="EDS995" s="2335"/>
      <c r="EDT995" s="2335"/>
      <c r="EDU995" s="2335"/>
      <c r="EDV995" s="2335"/>
      <c r="EDW995" s="2335"/>
      <c r="EDX995" s="2335"/>
      <c r="EDY995" s="2335"/>
      <c r="EDZ995" s="2335"/>
      <c r="EEA995" s="2335"/>
      <c r="EEB995" s="2335"/>
      <c r="EEC995" s="2335"/>
      <c r="EED995" s="2335"/>
      <c r="EEE995" s="2335"/>
      <c r="EEF995" s="2335"/>
      <c r="EEG995" s="2335"/>
      <c r="EEH995" s="2335"/>
      <c r="EEI995" s="2335"/>
      <c r="EEJ995" s="2335"/>
      <c r="EEK995" s="2335"/>
      <c r="EEL995" s="2335"/>
      <c r="EEM995" s="2335"/>
      <c r="EEN995" s="2335"/>
      <c r="EEO995" s="2335"/>
      <c r="EEP995" s="2335"/>
      <c r="EEQ995" s="2335"/>
      <c r="EER995" s="2335"/>
      <c r="EES995" s="2335"/>
      <c r="EET995" s="2335"/>
      <c r="EEU995" s="2335"/>
      <c r="EEV995" s="2335"/>
      <c r="EEW995" s="2335"/>
      <c r="EEX995" s="2335"/>
      <c r="EEY995" s="2335"/>
      <c r="EEZ995" s="2335"/>
      <c r="EFA995" s="2335"/>
      <c r="EFB995" s="2335"/>
      <c r="EFC995" s="2335"/>
      <c r="EFD995" s="2335"/>
      <c r="EFE995" s="2335"/>
      <c r="EFF995" s="2335"/>
      <c r="EFG995" s="2335"/>
      <c r="EFH995" s="2335"/>
      <c r="EFI995" s="2335"/>
      <c r="EFJ995" s="2335"/>
      <c r="EFK995" s="2335"/>
      <c r="EFL995" s="2335"/>
      <c r="EFM995" s="2335"/>
      <c r="EFN995" s="2335"/>
      <c r="EFO995" s="2335"/>
      <c r="EFP995" s="2335"/>
      <c r="EFQ995" s="2335"/>
      <c r="EFR995" s="2335"/>
      <c r="EFS995" s="2335"/>
      <c r="EFT995" s="2335"/>
      <c r="EFU995" s="2335"/>
      <c r="EFV995" s="2335"/>
      <c r="EFW995" s="2335"/>
      <c r="EFX995" s="2335"/>
      <c r="EFY995" s="2335"/>
      <c r="EFZ995" s="2335"/>
      <c r="EGA995" s="2335"/>
      <c r="EGB995" s="2335"/>
      <c r="EGC995" s="2335"/>
      <c r="EGD995" s="2335"/>
      <c r="EGE995" s="2335"/>
      <c r="EGF995" s="2335"/>
      <c r="EGG995" s="2335"/>
      <c r="EGH995" s="2335"/>
      <c r="EGI995" s="2335"/>
      <c r="EGJ995" s="2335"/>
      <c r="EGK995" s="2335"/>
      <c r="EGL995" s="2335"/>
      <c r="EGM995" s="2335"/>
      <c r="EGN995" s="2335"/>
      <c r="EGO995" s="2335"/>
      <c r="EGP995" s="2335"/>
      <c r="EGQ995" s="2335"/>
      <c r="EGR995" s="2335"/>
      <c r="EGS995" s="2335"/>
      <c r="EGT995" s="2335"/>
      <c r="EGU995" s="2335"/>
      <c r="EGV995" s="2335"/>
      <c r="EGW995" s="2335"/>
      <c r="EGX995" s="2335"/>
      <c r="EGY995" s="2335"/>
      <c r="EGZ995" s="2335"/>
      <c r="EHA995" s="2335"/>
      <c r="EHB995" s="2335"/>
      <c r="EHC995" s="2335"/>
      <c r="EHD995" s="2335"/>
      <c r="EHE995" s="2335"/>
      <c r="EHF995" s="2335"/>
      <c r="EHG995" s="2335"/>
      <c r="EHH995" s="2335"/>
      <c r="EHI995" s="2335"/>
      <c r="EHJ995" s="2335"/>
      <c r="EHK995" s="2335"/>
      <c r="EHL995" s="2335"/>
      <c r="EHM995" s="2335"/>
      <c r="EHN995" s="2335"/>
      <c r="EHO995" s="2335"/>
      <c r="EHP995" s="2335"/>
      <c r="EHQ995" s="2335"/>
      <c r="EHR995" s="2335"/>
      <c r="EHS995" s="2335"/>
      <c r="EHT995" s="2335"/>
      <c r="EHU995" s="2335"/>
      <c r="EHV995" s="2335"/>
      <c r="EHW995" s="2335"/>
      <c r="EHX995" s="2335"/>
      <c r="EHY995" s="2335"/>
      <c r="EHZ995" s="2335"/>
      <c r="EIA995" s="2335"/>
      <c r="EIB995" s="2335"/>
      <c r="EIC995" s="2335"/>
      <c r="EID995" s="2335"/>
      <c r="EIE995" s="2335"/>
      <c r="EIF995" s="2335"/>
      <c r="EIG995" s="2335"/>
      <c r="EIH995" s="2335"/>
      <c r="EII995" s="2335"/>
      <c r="EIJ995" s="2335"/>
      <c r="EIK995" s="2335"/>
      <c r="EIL995" s="2335"/>
      <c r="EIM995" s="2335"/>
      <c r="EIN995" s="2335"/>
      <c r="EIO995" s="2335"/>
      <c r="EIP995" s="2335"/>
      <c r="EIQ995" s="2335"/>
      <c r="EIR995" s="2335"/>
      <c r="EIS995" s="2335"/>
      <c r="EIT995" s="2335"/>
      <c r="EIU995" s="2335"/>
      <c r="EIV995" s="2335"/>
      <c r="EIW995" s="2335"/>
      <c r="EIX995" s="2335"/>
      <c r="EIY995" s="2335"/>
      <c r="EIZ995" s="2335"/>
      <c r="EJA995" s="2335"/>
      <c r="EJB995" s="2335"/>
      <c r="EJC995" s="2335"/>
      <c r="EJD995" s="2335"/>
      <c r="EJE995" s="2335"/>
      <c r="EJF995" s="2335"/>
      <c r="EJG995" s="2335"/>
      <c r="EJH995" s="2335"/>
      <c r="EJI995" s="2335"/>
      <c r="EJJ995" s="2335"/>
      <c r="EJK995" s="2335"/>
      <c r="EJL995" s="2335"/>
      <c r="EJM995" s="2335"/>
      <c r="EJN995" s="2335"/>
      <c r="EJO995" s="2335"/>
      <c r="EJP995" s="2335"/>
      <c r="EJQ995" s="2335"/>
      <c r="EJR995" s="2335"/>
      <c r="EJS995" s="2335"/>
      <c r="EJT995" s="2335"/>
      <c r="EJU995" s="2335"/>
      <c r="EJV995" s="2335"/>
      <c r="EJW995" s="2335"/>
      <c r="EJX995" s="2335"/>
      <c r="EJY995" s="2335"/>
      <c r="EJZ995" s="2335"/>
      <c r="EKA995" s="2335"/>
      <c r="EKB995" s="2335"/>
      <c r="EKC995" s="2335"/>
      <c r="EKD995" s="2335"/>
      <c r="EKE995" s="2335"/>
      <c r="EKF995" s="2335"/>
      <c r="EKG995" s="2335"/>
      <c r="EKH995" s="2335"/>
      <c r="EKI995" s="2335"/>
      <c r="EKJ995" s="2335"/>
      <c r="EKK995" s="2335"/>
      <c r="EKL995" s="2335"/>
      <c r="EKM995" s="2335"/>
      <c r="EKN995" s="2335"/>
      <c r="EKO995" s="2335"/>
      <c r="EKP995" s="2335"/>
      <c r="EKQ995" s="2335"/>
      <c r="EKR995" s="2335"/>
      <c r="EKS995" s="2335"/>
      <c r="EKT995" s="2335"/>
      <c r="EKU995" s="2335"/>
      <c r="EKV995" s="2335"/>
      <c r="EKW995" s="2335"/>
      <c r="EKX995" s="2335"/>
      <c r="EKY995" s="2335"/>
      <c r="EKZ995" s="2335"/>
      <c r="ELA995" s="2335"/>
      <c r="ELB995" s="2335"/>
      <c r="ELC995" s="2335"/>
      <c r="ELD995" s="2335"/>
      <c r="ELE995" s="2335"/>
      <c r="ELF995" s="2335"/>
      <c r="ELG995" s="2335"/>
      <c r="ELH995" s="2335"/>
      <c r="ELI995" s="2335"/>
      <c r="ELJ995" s="2335"/>
      <c r="ELK995" s="2335"/>
      <c r="ELL995" s="2335"/>
      <c r="ELM995" s="2335"/>
      <c r="ELN995" s="2335"/>
      <c r="ELO995" s="2335"/>
      <c r="ELP995" s="2335"/>
      <c r="ELQ995" s="2335"/>
      <c r="ELR995" s="2335"/>
      <c r="ELS995" s="2335"/>
      <c r="ELT995" s="2335"/>
      <c r="ELU995" s="2335"/>
      <c r="ELV995" s="2335"/>
      <c r="ELW995" s="2335"/>
      <c r="ELX995" s="2335"/>
      <c r="ELY995" s="2335"/>
      <c r="ELZ995" s="2335"/>
      <c r="EMA995" s="2335"/>
      <c r="EMB995" s="2335"/>
      <c r="EMC995" s="2335"/>
      <c r="EMD995" s="2335"/>
      <c r="EME995" s="2335"/>
      <c r="EMF995" s="2335"/>
      <c r="EMG995" s="2335"/>
      <c r="EMH995" s="2335"/>
      <c r="EMI995" s="2335"/>
      <c r="EMJ995" s="2335"/>
      <c r="EMK995" s="2335"/>
      <c r="EML995" s="2335"/>
      <c r="EMM995" s="2335"/>
      <c r="EMN995" s="2335"/>
      <c r="EMO995" s="2335"/>
      <c r="EMP995" s="2335"/>
      <c r="EMQ995" s="2335"/>
      <c r="EMR995" s="2335"/>
      <c r="EMS995" s="2335"/>
      <c r="EMT995" s="2335"/>
      <c r="EMU995" s="2335"/>
      <c r="EMV995" s="2335"/>
      <c r="EMW995" s="2335"/>
      <c r="EMX995" s="2335"/>
      <c r="EMY995" s="2335"/>
      <c r="EMZ995" s="2335"/>
      <c r="ENA995" s="2335"/>
      <c r="ENB995" s="2335"/>
      <c r="ENC995" s="2335"/>
      <c r="END995" s="2335"/>
      <c r="ENE995" s="2335"/>
      <c r="ENF995" s="2335"/>
      <c r="ENG995" s="2335"/>
      <c r="ENH995" s="2335"/>
      <c r="ENI995" s="2335"/>
      <c r="ENJ995" s="2335"/>
      <c r="ENK995" s="2335"/>
      <c r="ENL995" s="2335"/>
      <c r="ENM995" s="2335"/>
      <c r="ENN995" s="2335"/>
      <c r="ENO995" s="2335"/>
      <c r="ENP995" s="2335"/>
      <c r="ENQ995" s="2335"/>
      <c r="ENR995" s="2335"/>
      <c r="ENS995" s="2335"/>
      <c r="ENT995" s="2335"/>
      <c r="ENU995" s="2335"/>
      <c r="ENV995" s="2335"/>
      <c r="ENW995" s="2335"/>
      <c r="ENX995" s="2335"/>
      <c r="ENY995" s="2335"/>
      <c r="ENZ995" s="2335"/>
      <c r="EOA995" s="2335"/>
      <c r="EOB995" s="2335"/>
      <c r="EOC995" s="2335"/>
      <c r="EOD995" s="2335"/>
      <c r="EOE995" s="2335"/>
      <c r="EOF995" s="2335"/>
      <c r="EOG995" s="2335"/>
      <c r="EOH995" s="2335"/>
      <c r="EOI995" s="2335"/>
      <c r="EOJ995" s="2335"/>
      <c r="EOK995" s="2335"/>
      <c r="EOL995" s="2335"/>
      <c r="EOM995" s="2335"/>
      <c r="EON995" s="2335"/>
      <c r="EOO995" s="2335"/>
      <c r="EOP995" s="2335"/>
      <c r="EOQ995" s="2335"/>
      <c r="EOR995" s="2335"/>
      <c r="EOS995" s="2335"/>
      <c r="EOT995" s="2335"/>
      <c r="EOU995" s="2335"/>
      <c r="EOV995" s="2335"/>
      <c r="EOW995" s="2335"/>
      <c r="EOX995" s="2335"/>
      <c r="EOY995" s="2335"/>
      <c r="EOZ995" s="2335"/>
      <c r="EPA995" s="2335"/>
      <c r="EPB995" s="2335"/>
      <c r="EPC995" s="2335"/>
      <c r="EPD995" s="2335"/>
      <c r="EPE995" s="2335"/>
      <c r="EPF995" s="2335"/>
      <c r="EPG995" s="2335"/>
      <c r="EPH995" s="2335"/>
      <c r="EPI995" s="2335"/>
      <c r="EPJ995" s="2335"/>
      <c r="EPK995" s="2335"/>
      <c r="EPL995" s="2335"/>
      <c r="EPM995" s="2335"/>
      <c r="EPN995" s="2335"/>
      <c r="EPO995" s="2335"/>
      <c r="EPP995" s="2335"/>
      <c r="EPQ995" s="2335"/>
      <c r="EPR995" s="2335"/>
      <c r="EPS995" s="2335"/>
      <c r="EPT995" s="2335"/>
      <c r="EPU995" s="2335"/>
      <c r="EPV995" s="2335"/>
      <c r="EPW995" s="2335"/>
      <c r="EPX995" s="2335"/>
      <c r="EPY995" s="2335"/>
      <c r="EPZ995" s="2335"/>
      <c r="EQA995" s="2335"/>
      <c r="EQB995" s="2335"/>
      <c r="EQC995" s="2335"/>
      <c r="EQD995" s="2335"/>
      <c r="EQE995" s="2335"/>
      <c r="EQF995" s="2335"/>
      <c r="EQG995" s="2335"/>
      <c r="EQH995" s="2335"/>
      <c r="EQI995" s="2335"/>
      <c r="EQJ995" s="2335"/>
      <c r="EQK995" s="2335"/>
      <c r="EQL995" s="2335"/>
      <c r="EQM995" s="2335"/>
      <c r="EQN995" s="2335"/>
      <c r="EQO995" s="2335"/>
      <c r="EQP995" s="2335"/>
      <c r="EQQ995" s="2335"/>
      <c r="EQR995" s="2335"/>
      <c r="EQS995" s="2335"/>
      <c r="EQT995" s="2335"/>
      <c r="EQU995" s="2335"/>
      <c r="EQV995" s="2335"/>
      <c r="EQW995" s="2335"/>
      <c r="EQX995" s="2335"/>
      <c r="EQY995" s="2335"/>
      <c r="EQZ995" s="2335"/>
      <c r="ERA995" s="2335"/>
      <c r="ERB995" s="2335"/>
      <c r="ERC995" s="2335"/>
      <c r="ERD995" s="2335"/>
      <c r="ERE995" s="2335"/>
      <c r="ERF995" s="2335"/>
      <c r="ERG995" s="2335"/>
      <c r="ERH995" s="2335"/>
      <c r="ERI995" s="2335"/>
      <c r="ERJ995" s="2335"/>
      <c r="ERK995" s="2335"/>
      <c r="ERL995" s="2335"/>
      <c r="ERM995" s="2335"/>
      <c r="ERN995" s="2335"/>
      <c r="ERO995" s="2335"/>
      <c r="ERP995" s="2335"/>
      <c r="ERQ995" s="2335"/>
      <c r="ERR995" s="2335"/>
      <c r="ERS995" s="2335"/>
      <c r="ERT995" s="2335"/>
      <c r="ERU995" s="2335"/>
      <c r="ERV995" s="2335"/>
      <c r="ERW995" s="2335"/>
      <c r="ERX995" s="2335"/>
      <c r="ERY995" s="2335"/>
      <c r="ERZ995" s="2335"/>
      <c r="ESA995" s="2335"/>
      <c r="ESB995" s="2335"/>
      <c r="ESC995" s="2335"/>
      <c r="ESD995" s="2335"/>
      <c r="ESE995" s="2335"/>
      <c r="ESF995" s="2335"/>
      <c r="ESG995" s="2335"/>
      <c r="ESH995" s="2335"/>
      <c r="ESI995" s="2335"/>
      <c r="ESJ995" s="2335"/>
      <c r="ESK995" s="2335"/>
      <c r="ESL995" s="2335"/>
      <c r="ESM995" s="2335"/>
      <c r="ESN995" s="2335"/>
      <c r="ESO995" s="2335"/>
      <c r="ESP995" s="2335"/>
      <c r="ESQ995" s="2335"/>
      <c r="ESR995" s="2335"/>
      <c r="ESS995" s="2335"/>
      <c r="EST995" s="2335"/>
      <c r="ESU995" s="2335"/>
      <c r="ESV995" s="2335"/>
      <c r="ESW995" s="2335"/>
      <c r="ESX995" s="2335"/>
      <c r="ESY995" s="2335"/>
      <c r="ESZ995" s="2335"/>
      <c r="ETA995" s="2335"/>
      <c r="ETB995" s="2335"/>
      <c r="ETC995" s="2335"/>
      <c r="ETD995" s="2335"/>
      <c r="ETE995" s="2335"/>
      <c r="ETF995" s="2335"/>
      <c r="ETG995" s="2335"/>
      <c r="ETH995" s="2335"/>
      <c r="ETI995" s="2335"/>
      <c r="ETJ995" s="2335"/>
      <c r="ETK995" s="2335"/>
      <c r="ETL995" s="2335"/>
      <c r="ETM995" s="2335"/>
      <c r="ETN995" s="2335"/>
      <c r="ETO995" s="2335"/>
      <c r="ETP995" s="2335"/>
      <c r="ETQ995" s="2335"/>
      <c r="ETR995" s="2335"/>
      <c r="ETS995" s="2335"/>
      <c r="ETT995" s="2335"/>
      <c r="ETU995" s="2335"/>
      <c r="ETV995" s="2335"/>
      <c r="ETW995" s="2335"/>
      <c r="ETX995" s="2335"/>
      <c r="ETY995" s="2335"/>
      <c r="ETZ995" s="2335"/>
      <c r="EUA995" s="2335"/>
      <c r="EUB995" s="2335"/>
      <c r="EUC995" s="2335"/>
      <c r="EUD995" s="2335"/>
      <c r="EUE995" s="2335"/>
      <c r="EUF995" s="2335"/>
      <c r="EUG995" s="2335"/>
      <c r="EUH995" s="2335"/>
      <c r="EUI995" s="2335"/>
      <c r="EUJ995" s="2335"/>
      <c r="EUK995" s="2335"/>
      <c r="EUL995" s="2335"/>
      <c r="EUM995" s="2335"/>
      <c r="EUN995" s="2335"/>
      <c r="EUO995" s="2335"/>
      <c r="EUP995" s="2335"/>
      <c r="EUQ995" s="2335"/>
      <c r="EUR995" s="2335"/>
      <c r="EUS995" s="2335"/>
      <c r="EUT995" s="2335"/>
      <c r="EUU995" s="2335"/>
      <c r="EUV995" s="2335"/>
      <c r="EUW995" s="2335"/>
      <c r="EUX995" s="2335"/>
      <c r="EUY995" s="2335"/>
      <c r="EUZ995" s="2335"/>
      <c r="EVA995" s="2335"/>
      <c r="EVB995" s="2335"/>
      <c r="EVC995" s="2335"/>
      <c r="EVD995" s="2335"/>
      <c r="EVE995" s="2335"/>
      <c r="EVF995" s="2335"/>
      <c r="EVG995" s="2335"/>
      <c r="EVH995" s="2335"/>
      <c r="EVI995" s="2335"/>
      <c r="EVJ995" s="2335"/>
      <c r="EVK995" s="2335"/>
      <c r="EVL995" s="2335"/>
      <c r="EVM995" s="2335"/>
      <c r="EVN995" s="2335"/>
      <c r="EVO995" s="2335"/>
      <c r="EVP995" s="2335"/>
      <c r="EVQ995" s="2335"/>
      <c r="EVR995" s="2335"/>
      <c r="EVS995" s="2335"/>
      <c r="EVT995" s="2335"/>
      <c r="EVU995" s="2335"/>
      <c r="EVV995" s="2335"/>
      <c r="EVW995" s="2335"/>
      <c r="EVX995" s="2335"/>
      <c r="EVY995" s="2335"/>
      <c r="EVZ995" s="2335"/>
      <c r="EWA995" s="2335"/>
      <c r="EWB995" s="2335"/>
      <c r="EWC995" s="2335"/>
      <c r="EWD995" s="2335"/>
      <c r="EWE995" s="2335"/>
      <c r="EWF995" s="2335"/>
      <c r="EWG995" s="2335"/>
      <c r="EWH995" s="2335"/>
      <c r="EWI995" s="2335"/>
      <c r="EWJ995" s="2335"/>
      <c r="EWK995" s="2335"/>
      <c r="EWL995" s="2335"/>
      <c r="EWM995" s="2335"/>
      <c r="EWN995" s="2335"/>
      <c r="EWO995" s="2335"/>
      <c r="EWP995" s="2335"/>
      <c r="EWQ995" s="2335"/>
      <c r="EWR995" s="2335"/>
      <c r="EWS995" s="2335"/>
      <c r="EWT995" s="2335"/>
      <c r="EWU995" s="2335"/>
      <c r="EWV995" s="2335"/>
      <c r="EWW995" s="2335"/>
      <c r="EWX995" s="2335"/>
      <c r="EWY995" s="2335"/>
      <c r="EWZ995" s="2335"/>
      <c r="EXA995" s="2335"/>
      <c r="EXB995" s="2335"/>
      <c r="EXC995" s="2335"/>
      <c r="EXD995" s="2335"/>
      <c r="EXE995" s="2335"/>
      <c r="EXF995" s="2335"/>
      <c r="EXG995" s="2335"/>
      <c r="EXH995" s="2335"/>
      <c r="EXI995" s="2335"/>
      <c r="EXJ995" s="2335"/>
      <c r="EXK995" s="2335"/>
      <c r="EXL995" s="2335"/>
      <c r="EXM995" s="2335"/>
      <c r="EXN995" s="2335"/>
      <c r="EXO995" s="2335"/>
      <c r="EXP995" s="2335"/>
      <c r="EXQ995" s="2335"/>
      <c r="EXR995" s="2335"/>
      <c r="EXS995" s="2335"/>
      <c r="EXT995" s="2335"/>
      <c r="EXU995" s="2335"/>
      <c r="EXV995" s="2335"/>
      <c r="EXW995" s="2335"/>
      <c r="EXX995" s="2335"/>
      <c r="EXY995" s="2335"/>
      <c r="EXZ995" s="2335"/>
      <c r="EYA995" s="2335"/>
      <c r="EYB995" s="2335"/>
      <c r="EYC995" s="2335"/>
      <c r="EYD995" s="2335"/>
      <c r="EYE995" s="2335"/>
      <c r="EYF995" s="2335"/>
      <c r="EYG995" s="2335"/>
      <c r="EYH995" s="2335"/>
      <c r="EYI995" s="2335"/>
      <c r="EYJ995" s="2335"/>
      <c r="EYK995" s="2335"/>
      <c r="EYL995" s="2335"/>
      <c r="EYM995" s="2335"/>
      <c r="EYN995" s="2335"/>
      <c r="EYO995" s="2335"/>
      <c r="EYP995" s="2335"/>
      <c r="EYQ995" s="2335"/>
      <c r="EYR995" s="2335"/>
      <c r="EYS995" s="2335"/>
      <c r="EYT995" s="2335"/>
      <c r="EYU995" s="2335"/>
      <c r="EYV995" s="2335"/>
      <c r="EYW995" s="2335"/>
      <c r="EYX995" s="2335"/>
      <c r="EYY995" s="2335"/>
      <c r="EYZ995" s="2335"/>
      <c r="EZA995" s="2335"/>
      <c r="EZB995" s="2335"/>
      <c r="EZC995" s="2335"/>
      <c r="EZD995" s="2335"/>
      <c r="EZE995" s="2335"/>
      <c r="EZF995" s="2335"/>
      <c r="EZG995" s="2335"/>
      <c r="EZH995" s="2335"/>
      <c r="EZI995" s="2335"/>
      <c r="EZJ995" s="2335"/>
      <c r="EZK995" s="2335"/>
      <c r="EZL995" s="2335"/>
      <c r="EZM995" s="2335"/>
      <c r="EZN995" s="2335"/>
      <c r="EZO995" s="2335"/>
      <c r="EZP995" s="2335"/>
      <c r="EZQ995" s="2335"/>
      <c r="EZR995" s="2335"/>
      <c r="EZS995" s="2335"/>
      <c r="EZT995" s="2335"/>
      <c r="EZU995" s="2335"/>
      <c r="EZV995" s="2335"/>
      <c r="EZW995" s="2335"/>
      <c r="EZX995" s="2335"/>
      <c r="EZY995" s="2335"/>
      <c r="EZZ995" s="2335"/>
      <c r="FAA995" s="2335"/>
      <c r="FAB995" s="2335"/>
      <c r="FAC995" s="2335"/>
      <c r="FAD995" s="2335"/>
      <c r="FAE995" s="2335"/>
      <c r="FAF995" s="2335"/>
      <c r="FAG995" s="2335"/>
      <c r="FAH995" s="2335"/>
      <c r="FAI995" s="2335"/>
      <c r="FAJ995" s="2335"/>
      <c r="FAK995" s="2335"/>
      <c r="FAL995" s="2335"/>
      <c r="FAM995" s="2335"/>
      <c r="FAN995" s="2335"/>
      <c r="FAO995" s="2335"/>
      <c r="FAP995" s="2335"/>
      <c r="FAQ995" s="2335"/>
      <c r="FAR995" s="2335"/>
      <c r="FAS995" s="2335"/>
      <c r="FAT995" s="2335"/>
      <c r="FAU995" s="2335"/>
      <c r="FAV995" s="2335"/>
      <c r="FAW995" s="2335"/>
      <c r="FAX995" s="2335"/>
      <c r="FAY995" s="2335"/>
      <c r="FAZ995" s="2335"/>
      <c r="FBA995" s="2335"/>
      <c r="FBB995" s="2335"/>
      <c r="FBC995" s="2335"/>
      <c r="FBD995" s="2335"/>
      <c r="FBE995" s="2335"/>
      <c r="FBF995" s="2335"/>
      <c r="FBG995" s="2335"/>
      <c r="FBH995" s="2335"/>
      <c r="FBI995" s="2335"/>
      <c r="FBJ995" s="2335"/>
      <c r="FBK995" s="2335"/>
      <c r="FBL995" s="2335"/>
      <c r="FBM995" s="2335"/>
      <c r="FBN995" s="2335"/>
      <c r="FBO995" s="2335"/>
      <c r="FBP995" s="2335"/>
      <c r="FBQ995" s="2335"/>
      <c r="FBR995" s="2335"/>
      <c r="FBS995" s="2335"/>
      <c r="FBT995" s="2335"/>
      <c r="FBU995" s="2335"/>
      <c r="FBV995" s="2335"/>
      <c r="FBW995" s="2335"/>
      <c r="FBX995" s="2335"/>
      <c r="FBY995" s="2335"/>
      <c r="FBZ995" s="2335"/>
      <c r="FCA995" s="2335"/>
      <c r="FCB995" s="2335"/>
      <c r="FCC995" s="2335"/>
      <c r="FCD995" s="2335"/>
      <c r="FCE995" s="2335"/>
      <c r="FCF995" s="2335"/>
      <c r="FCG995" s="2335"/>
      <c r="FCH995" s="2335"/>
      <c r="FCI995" s="2335"/>
      <c r="FCJ995" s="2335"/>
      <c r="FCK995" s="2335"/>
      <c r="FCL995" s="2335"/>
      <c r="FCM995" s="2335"/>
      <c r="FCN995" s="2335"/>
      <c r="FCO995" s="2335"/>
      <c r="FCP995" s="2335"/>
      <c r="FCQ995" s="2335"/>
      <c r="FCR995" s="2335"/>
      <c r="FCS995" s="2335"/>
      <c r="FCT995" s="2335"/>
      <c r="FCU995" s="2335"/>
      <c r="FCV995" s="2335"/>
      <c r="FCW995" s="2335"/>
      <c r="FCX995" s="2335"/>
      <c r="FCY995" s="2335"/>
      <c r="FCZ995" s="2335"/>
      <c r="FDA995" s="2335"/>
      <c r="FDB995" s="2335"/>
      <c r="FDC995" s="2335"/>
      <c r="FDD995" s="2335"/>
      <c r="FDE995" s="2335"/>
      <c r="FDF995" s="2335"/>
      <c r="FDG995" s="2335"/>
      <c r="FDH995" s="2335"/>
      <c r="FDI995" s="2335"/>
      <c r="FDJ995" s="2335"/>
      <c r="FDK995" s="2335"/>
      <c r="FDL995" s="2335"/>
      <c r="FDM995" s="2335"/>
      <c r="FDN995" s="2335"/>
      <c r="FDO995" s="2335"/>
      <c r="FDP995" s="2335"/>
      <c r="FDQ995" s="2335"/>
      <c r="FDR995" s="2335"/>
      <c r="FDS995" s="2335"/>
      <c r="FDT995" s="2335"/>
      <c r="FDU995" s="2335"/>
      <c r="FDV995" s="2335"/>
      <c r="FDW995" s="2335"/>
      <c r="FDX995" s="2335"/>
      <c r="FDY995" s="2335"/>
      <c r="FDZ995" s="2335"/>
      <c r="FEA995" s="2335"/>
      <c r="FEB995" s="2335"/>
      <c r="FEC995" s="2335"/>
      <c r="FED995" s="2335"/>
      <c r="FEE995" s="2335"/>
      <c r="FEF995" s="2335"/>
      <c r="FEG995" s="2335"/>
      <c r="FEH995" s="2335"/>
      <c r="FEI995" s="2335"/>
      <c r="FEJ995" s="2335"/>
      <c r="FEK995" s="2335"/>
      <c r="FEL995" s="2335"/>
      <c r="FEM995" s="2335"/>
      <c r="FEN995" s="2335"/>
      <c r="FEO995" s="2335"/>
      <c r="FEP995" s="2335"/>
      <c r="FEQ995" s="2335"/>
      <c r="FER995" s="2335"/>
      <c r="FES995" s="2335"/>
      <c r="FET995" s="2335"/>
      <c r="FEU995" s="2335"/>
      <c r="FEV995" s="2335"/>
      <c r="FEW995" s="2335"/>
      <c r="FEX995" s="2335"/>
      <c r="FEY995" s="2335"/>
      <c r="FEZ995" s="2335"/>
      <c r="FFA995" s="2335"/>
      <c r="FFB995" s="2335"/>
      <c r="FFC995" s="2335"/>
      <c r="FFD995" s="2335"/>
      <c r="FFE995" s="2335"/>
      <c r="FFF995" s="2335"/>
      <c r="FFG995" s="2335"/>
      <c r="FFH995" s="2335"/>
      <c r="FFI995" s="2335"/>
      <c r="FFJ995" s="2335"/>
      <c r="FFK995" s="2335"/>
      <c r="FFL995" s="2335"/>
      <c r="FFM995" s="2335"/>
      <c r="FFN995" s="2335"/>
      <c r="FFO995" s="2335"/>
      <c r="FFP995" s="2335"/>
      <c r="FFQ995" s="2335"/>
      <c r="FFR995" s="2335"/>
      <c r="FFS995" s="2335"/>
      <c r="FFT995" s="2335"/>
      <c r="FFU995" s="2335"/>
      <c r="FFV995" s="2335"/>
      <c r="FFW995" s="2335"/>
      <c r="FFX995" s="2335"/>
      <c r="FFY995" s="2335"/>
      <c r="FFZ995" s="2335"/>
      <c r="FGA995" s="2335"/>
      <c r="FGB995" s="2335"/>
      <c r="FGC995" s="2335"/>
      <c r="FGD995" s="2335"/>
      <c r="FGE995" s="2335"/>
      <c r="FGF995" s="2335"/>
      <c r="FGG995" s="2335"/>
      <c r="FGH995" s="2335"/>
      <c r="FGI995" s="2335"/>
      <c r="FGJ995" s="2335"/>
      <c r="FGK995" s="2335"/>
      <c r="FGL995" s="2335"/>
      <c r="FGM995" s="2335"/>
      <c r="FGN995" s="2335"/>
      <c r="FGO995" s="2335"/>
      <c r="FGP995" s="2335"/>
      <c r="FGQ995" s="2335"/>
      <c r="FGR995" s="2335"/>
      <c r="FGS995" s="2335"/>
      <c r="FGT995" s="2335"/>
      <c r="FGU995" s="2335"/>
      <c r="FGV995" s="2335"/>
      <c r="FGW995" s="2335"/>
      <c r="FGX995" s="2335"/>
      <c r="FGY995" s="2335"/>
      <c r="FGZ995" s="2335"/>
      <c r="FHA995" s="2335"/>
      <c r="FHB995" s="2335"/>
      <c r="FHC995" s="2335"/>
      <c r="FHD995" s="2335"/>
      <c r="FHE995" s="2335"/>
      <c r="FHF995" s="2335"/>
      <c r="FHG995" s="2335"/>
      <c r="FHH995" s="2335"/>
      <c r="FHI995" s="2335"/>
      <c r="FHJ995" s="2335"/>
      <c r="FHK995" s="2335"/>
      <c r="FHL995" s="2335"/>
      <c r="FHM995" s="2335"/>
      <c r="FHN995" s="2335"/>
      <c r="FHO995" s="2335"/>
      <c r="FHP995" s="2335"/>
      <c r="FHQ995" s="2335"/>
      <c r="FHR995" s="2335"/>
      <c r="FHS995" s="2335"/>
      <c r="FHT995" s="2335"/>
      <c r="FHU995" s="2335"/>
      <c r="FHV995" s="2335"/>
      <c r="FHW995" s="2335"/>
      <c r="FHX995" s="2335"/>
      <c r="FHY995" s="2335"/>
      <c r="FHZ995" s="2335"/>
      <c r="FIA995" s="2335"/>
      <c r="FIB995" s="2335"/>
      <c r="FIC995" s="2335"/>
      <c r="FID995" s="2335"/>
      <c r="FIE995" s="2335"/>
      <c r="FIF995" s="2335"/>
      <c r="FIG995" s="2335"/>
      <c r="FIH995" s="2335"/>
      <c r="FII995" s="2335"/>
      <c r="FIJ995" s="2335"/>
      <c r="FIK995" s="2335"/>
      <c r="FIL995" s="2335"/>
      <c r="FIM995" s="2335"/>
      <c r="FIN995" s="2335"/>
      <c r="FIO995" s="2335"/>
      <c r="FIP995" s="2335"/>
      <c r="FIQ995" s="2335"/>
      <c r="FIR995" s="2335"/>
      <c r="FIS995" s="2335"/>
      <c r="FIT995" s="2335"/>
      <c r="FIU995" s="2335"/>
      <c r="FIV995" s="2335"/>
      <c r="FIW995" s="2335"/>
      <c r="FIX995" s="2335"/>
      <c r="FIY995" s="2335"/>
      <c r="FIZ995" s="2335"/>
      <c r="FJA995" s="2335"/>
      <c r="FJB995" s="2335"/>
      <c r="FJC995" s="2335"/>
      <c r="FJD995" s="2335"/>
      <c r="FJE995" s="2335"/>
      <c r="FJF995" s="2335"/>
      <c r="FJG995" s="2335"/>
      <c r="FJH995" s="2335"/>
      <c r="FJI995" s="2335"/>
      <c r="FJJ995" s="2335"/>
      <c r="FJK995" s="2335"/>
      <c r="FJL995" s="2335"/>
      <c r="FJM995" s="2335"/>
      <c r="FJN995" s="2335"/>
      <c r="FJO995" s="2335"/>
      <c r="FJP995" s="2335"/>
      <c r="FJQ995" s="2335"/>
      <c r="FJR995" s="2335"/>
      <c r="FJS995" s="2335"/>
      <c r="FJT995" s="2335"/>
      <c r="FJU995" s="2335"/>
      <c r="FJV995" s="2335"/>
      <c r="FJW995" s="2335"/>
      <c r="FJX995" s="2335"/>
      <c r="FJY995" s="2335"/>
      <c r="FJZ995" s="2335"/>
      <c r="FKA995" s="2335"/>
      <c r="FKB995" s="2335"/>
      <c r="FKC995" s="2335"/>
      <c r="FKD995" s="2335"/>
      <c r="FKE995" s="2335"/>
      <c r="FKF995" s="2335"/>
      <c r="FKG995" s="2335"/>
      <c r="FKH995" s="2335"/>
      <c r="FKI995" s="2335"/>
      <c r="FKJ995" s="2335"/>
      <c r="FKK995" s="2335"/>
      <c r="FKL995" s="2335"/>
      <c r="FKM995" s="2335"/>
      <c r="FKN995" s="2335"/>
      <c r="FKO995" s="2335"/>
      <c r="FKP995" s="2335"/>
      <c r="FKQ995" s="2335"/>
      <c r="FKR995" s="2335"/>
      <c r="FKS995" s="2335"/>
      <c r="FKT995" s="2335"/>
      <c r="FKU995" s="2335"/>
      <c r="FKV995" s="2335"/>
      <c r="FKW995" s="2335"/>
      <c r="FKX995" s="2335"/>
      <c r="FKY995" s="2335"/>
      <c r="FKZ995" s="2335"/>
      <c r="FLA995" s="2335"/>
      <c r="FLB995" s="2335"/>
      <c r="FLC995" s="2335"/>
      <c r="FLD995" s="2335"/>
      <c r="FLE995" s="2335"/>
      <c r="FLF995" s="2335"/>
      <c r="FLG995" s="2335"/>
      <c r="FLH995" s="2335"/>
      <c r="FLI995" s="2335"/>
      <c r="FLJ995" s="2335"/>
      <c r="FLK995" s="2335"/>
      <c r="FLL995" s="2335"/>
      <c r="FLM995" s="2335"/>
      <c r="FLN995" s="2335"/>
      <c r="FLO995" s="2335"/>
      <c r="FLP995" s="2335"/>
      <c r="FLQ995" s="2335"/>
      <c r="FLR995" s="2335"/>
      <c r="FLS995" s="2335"/>
      <c r="FLT995" s="2335"/>
      <c r="FLU995" s="2335"/>
      <c r="FLV995" s="2335"/>
      <c r="FLW995" s="2335"/>
      <c r="FLX995" s="2335"/>
      <c r="FLY995" s="2335"/>
      <c r="FLZ995" s="2335"/>
      <c r="FMA995" s="2335"/>
      <c r="FMB995" s="2335"/>
      <c r="FMC995" s="2335"/>
      <c r="FMD995" s="2335"/>
      <c r="FME995" s="2335"/>
      <c r="FMF995" s="2335"/>
      <c r="FMG995" s="2335"/>
      <c r="FMH995" s="2335"/>
      <c r="FMI995" s="2335"/>
      <c r="FMJ995" s="2335"/>
      <c r="FMK995" s="2335"/>
      <c r="FML995" s="2335"/>
      <c r="FMM995" s="2335"/>
      <c r="FMN995" s="2335"/>
      <c r="FMO995" s="2335"/>
      <c r="FMP995" s="2335"/>
      <c r="FMQ995" s="2335"/>
      <c r="FMR995" s="2335"/>
      <c r="FMS995" s="2335"/>
      <c r="FMT995" s="2335"/>
      <c r="FMU995" s="2335"/>
      <c r="FMV995" s="2335"/>
      <c r="FMW995" s="2335"/>
      <c r="FMX995" s="2335"/>
      <c r="FMY995" s="2335"/>
      <c r="FMZ995" s="2335"/>
      <c r="FNA995" s="2335"/>
      <c r="FNB995" s="2335"/>
      <c r="FNC995" s="2335"/>
      <c r="FND995" s="2335"/>
      <c r="FNE995" s="2335"/>
      <c r="FNF995" s="2335"/>
      <c r="FNG995" s="2335"/>
      <c r="FNH995" s="2335"/>
      <c r="FNI995" s="2335"/>
      <c r="FNJ995" s="2335"/>
      <c r="FNK995" s="2335"/>
      <c r="FNL995" s="2335"/>
      <c r="FNM995" s="2335"/>
      <c r="FNN995" s="2335"/>
      <c r="FNO995" s="2335"/>
      <c r="FNP995" s="2335"/>
      <c r="FNQ995" s="2335"/>
      <c r="FNR995" s="2335"/>
      <c r="FNS995" s="2335"/>
      <c r="FNT995" s="2335"/>
      <c r="FNU995" s="2335"/>
      <c r="FNV995" s="2335"/>
      <c r="FNW995" s="2335"/>
      <c r="FNX995" s="2335"/>
      <c r="FNY995" s="2335"/>
      <c r="FNZ995" s="2335"/>
      <c r="FOA995" s="2335"/>
      <c r="FOB995" s="2335"/>
      <c r="FOC995" s="2335"/>
      <c r="FOD995" s="2335"/>
      <c r="FOE995" s="2335"/>
      <c r="FOF995" s="2335"/>
      <c r="FOG995" s="2335"/>
      <c r="FOH995" s="2335"/>
      <c r="FOI995" s="2335"/>
      <c r="FOJ995" s="2335"/>
      <c r="FOK995" s="2335"/>
      <c r="FOL995" s="2335"/>
      <c r="FOM995" s="2335"/>
      <c r="FON995" s="2335"/>
      <c r="FOO995" s="2335"/>
      <c r="FOP995" s="2335"/>
      <c r="FOQ995" s="2335"/>
      <c r="FOR995" s="2335"/>
      <c r="FOS995" s="2335"/>
      <c r="FOT995" s="2335"/>
      <c r="FOU995" s="2335"/>
      <c r="FOV995" s="2335"/>
      <c r="FOW995" s="2335"/>
      <c r="FOX995" s="2335"/>
      <c r="FOY995" s="2335"/>
      <c r="FOZ995" s="2335"/>
      <c r="FPA995" s="2335"/>
      <c r="FPB995" s="2335"/>
      <c r="FPC995" s="2335"/>
      <c r="FPD995" s="2335"/>
      <c r="FPE995" s="2335"/>
      <c r="FPF995" s="2335"/>
      <c r="FPG995" s="2335"/>
      <c r="FPH995" s="2335"/>
      <c r="FPI995" s="2335"/>
      <c r="FPJ995" s="2335"/>
      <c r="FPK995" s="2335"/>
      <c r="FPL995" s="2335"/>
      <c r="FPM995" s="2335"/>
      <c r="FPN995" s="2335"/>
      <c r="FPO995" s="2335"/>
      <c r="FPP995" s="2335"/>
      <c r="FPQ995" s="2335"/>
      <c r="FPR995" s="2335"/>
      <c r="FPS995" s="2335"/>
      <c r="FPT995" s="2335"/>
      <c r="FPU995" s="2335"/>
      <c r="FPV995" s="2335"/>
      <c r="FPW995" s="2335"/>
      <c r="FPX995" s="2335"/>
      <c r="FPY995" s="2335"/>
      <c r="FPZ995" s="2335"/>
      <c r="FQA995" s="2335"/>
      <c r="FQB995" s="2335"/>
      <c r="FQC995" s="2335"/>
      <c r="FQD995" s="2335"/>
      <c r="FQE995" s="2335"/>
      <c r="FQF995" s="2335"/>
      <c r="FQG995" s="2335"/>
      <c r="FQH995" s="2335"/>
      <c r="FQI995" s="2335"/>
      <c r="FQJ995" s="2335"/>
      <c r="FQK995" s="2335"/>
      <c r="FQL995" s="2335"/>
      <c r="FQM995" s="2335"/>
      <c r="FQN995" s="2335"/>
      <c r="FQO995" s="2335"/>
      <c r="FQP995" s="2335"/>
      <c r="FQQ995" s="2335"/>
      <c r="FQR995" s="2335"/>
      <c r="FQS995" s="2335"/>
      <c r="FQT995" s="2335"/>
      <c r="FQU995" s="2335"/>
      <c r="FQV995" s="2335"/>
      <c r="FQW995" s="2335"/>
      <c r="FQX995" s="2335"/>
      <c r="FQY995" s="2335"/>
      <c r="FQZ995" s="2335"/>
      <c r="FRA995" s="2335"/>
      <c r="FRB995" s="2335"/>
      <c r="FRC995" s="2335"/>
      <c r="FRD995" s="2335"/>
      <c r="FRE995" s="2335"/>
      <c r="FRF995" s="2335"/>
      <c r="FRG995" s="2335"/>
      <c r="FRH995" s="2335"/>
      <c r="FRI995" s="2335"/>
      <c r="FRJ995" s="2335"/>
      <c r="FRK995" s="2335"/>
      <c r="FRL995" s="2335"/>
      <c r="FRM995" s="2335"/>
      <c r="FRN995" s="2335"/>
      <c r="FRO995" s="2335"/>
      <c r="FRP995" s="2335"/>
      <c r="FRQ995" s="2335"/>
      <c r="FRR995" s="2335"/>
      <c r="FRS995" s="2335"/>
      <c r="FRT995" s="2335"/>
      <c r="FRU995" s="2335"/>
      <c r="FRV995" s="2335"/>
      <c r="FRW995" s="2335"/>
      <c r="FRX995" s="2335"/>
      <c r="FRY995" s="2335"/>
      <c r="FRZ995" s="2335"/>
      <c r="FSA995" s="2335"/>
      <c r="FSB995" s="2335"/>
      <c r="FSC995" s="2335"/>
      <c r="FSD995" s="2335"/>
      <c r="FSE995" s="2335"/>
      <c r="FSF995" s="2335"/>
      <c r="FSG995" s="2335"/>
      <c r="FSH995" s="2335"/>
      <c r="FSI995" s="2335"/>
      <c r="FSJ995" s="2335"/>
      <c r="FSK995" s="2335"/>
      <c r="FSL995" s="2335"/>
      <c r="FSM995" s="2335"/>
      <c r="FSN995" s="2335"/>
      <c r="FSO995" s="2335"/>
      <c r="FSP995" s="2335"/>
      <c r="FSQ995" s="2335"/>
      <c r="FSR995" s="2335"/>
      <c r="FSS995" s="2335"/>
      <c r="FST995" s="2335"/>
      <c r="FSU995" s="2335"/>
      <c r="FSV995" s="2335"/>
      <c r="FSW995" s="2335"/>
      <c r="FSX995" s="2335"/>
      <c r="FSY995" s="2335"/>
      <c r="FSZ995" s="2335"/>
      <c r="FTA995" s="2335"/>
      <c r="FTB995" s="2335"/>
      <c r="FTC995" s="2335"/>
      <c r="FTD995" s="2335"/>
      <c r="FTE995" s="2335"/>
      <c r="FTF995" s="2335"/>
      <c r="FTG995" s="2335"/>
      <c r="FTH995" s="2335"/>
      <c r="FTI995" s="2335"/>
      <c r="FTJ995" s="2335"/>
      <c r="FTK995" s="2335"/>
      <c r="FTL995" s="2335"/>
      <c r="FTM995" s="2335"/>
      <c r="FTN995" s="2335"/>
      <c r="FTO995" s="2335"/>
      <c r="FTP995" s="2335"/>
      <c r="FTQ995" s="2335"/>
      <c r="FTR995" s="2335"/>
      <c r="FTS995" s="2335"/>
      <c r="FTT995" s="2335"/>
      <c r="FTU995" s="2335"/>
      <c r="FTV995" s="2335"/>
      <c r="FTW995" s="2335"/>
      <c r="FTX995" s="2335"/>
      <c r="FTY995" s="2335"/>
      <c r="FTZ995" s="2335"/>
      <c r="FUA995" s="2335"/>
      <c r="FUB995" s="2335"/>
      <c r="FUC995" s="2335"/>
      <c r="FUD995" s="2335"/>
      <c r="FUE995" s="2335"/>
      <c r="FUF995" s="2335"/>
      <c r="FUG995" s="2335"/>
      <c r="FUH995" s="2335"/>
      <c r="FUI995" s="2335"/>
      <c r="FUJ995" s="2335"/>
      <c r="FUK995" s="2335"/>
      <c r="FUL995" s="2335"/>
      <c r="FUM995" s="2335"/>
      <c r="FUN995" s="2335"/>
      <c r="FUO995" s="2335"/>
      <c r="FUP995" s="2335"/>
      <c r="FUQ995" s="2335"/>
      <c r="FUR995" s="2335"/>
      <c r="FUS995" s="2335"/>
      <c r="FUT995" s="2335"/>
      <c r="FUU995" s="2335"/>
      <c r="FUV995" s="2335"/>
      <c r="FUW995" s="2335"/>
      <c r="FUX995" s="2335"/>
      <c r="FUY995" s="2335"/>
      <c r="FUZ995" s="2335"/>
      <c r="FVA995" s="2335"/>
      <c r="FVB995" s="2335"/>
      <c r="FVC995" s="2335"/>
      <c r="FVD995" s="2335"/>
      <c r="FVE995" s="2335"/>
      <c r="FVF995" s="2335"/>
      <c r="FVG995" s="2335"/>
      <c r="FVH995" s="2335"/>
      <c r="FVI995" s="2335"/>
      <c r="FVJ995" s="2335"/>
      <c r="FVK995" s="2335"/>
      <c r="FVL995" s="2335"/>
      <c r="FVM995" s="2335"/>
      <c r="FVN995" s="2335"/>
      <c r="FVO995" s="2335"/>
      <c r="FVP995" s="2335"/>
      <c r="FVQ995" s="2335"/>
      <c r="FVR995" s="2335"/>
      <c r="FVS995" s="2335"/>
      <c r="FVT995" s="2335"/>
      <c r="FVU995" s="2335"/>
      <c r="FVV995" s="2335"/>
      <c r="FVW995" s="2335"/>
      <c r="FVX995" s="2335"/>
      <c r="FVY995" s="2335"/>
      <c r="FVZ995" s="2335"/>
      <c r="FWA995" s="2335"/>
      <c r="FWB995" s="2335"/>
      <c r="FWC995" s="2335"/>
      <c r="FWD995" s="2335"/>
      <c r="FWE995" s="2335"/>
      <c r="FWF995" s="2335"/>
      <c r="FWG995" s="2335"/>
      <c r="FWH995" s="2335"/>
      <c r="FWI995" s="2335"/>
      <c r="FWJ995" s="2335"/>
      <c r="FWK995" s="2335"/>
      <c r="FWL995" s="2335"/>
      <c r="FWM995" s="2335"/>
      <c r="FWN995" s="2335"/>
      <c r="FWO995" s="2335"/>
      <c r="FWP995" s="2335"/>
      <c r="FWQ995" s="2335"/>
      <c r="FWR995" s="2335"/>
      <c r="FWS995" s="2335"/>
      <c r="FWT995" s="2335"/>
      <c r="FWU995" s="2335"/>
      <c r="FWV995" s="2335"/>
      <c r="FWW995" s="2335"/>
      <c r="FWX995" s="2335"/>
      <c r="FWY995" s="2335"/>
      <c r="FWZ995" s="2335"/>
      <c r="FXA995" s="2335"/>
      <c r="FXB995" s="2335"/>
      <c r="FXC995" s="2335"/>
      <c r="FXD995" s="2335"/>
      <c r="FXE995" s="2335"/>
      <c r="FXF995" s="2335"/>
      <c r="FXG995" s="2335"/>
      <c r="FXH995" s="2335"/>
      <c r="FXI995" s="2335"/>
      <c r="FXJ995" s="2335"/>
      <c r="FXK995" s="2335"/>
      <c r="FXL995" s="2335"/>
      <c r="FXM995" s="2335"/>
      <c r="FXN995" s="2335"/>
      <c r="FXO995" s="2335"/>
      <c r="FXP995" s="2335"/>
      <c r="FXQ995" s="2335"/>
      <c r="FXR995" s="2335"/>
      <c r="FXS995" s="2335"/>
      <c r="FXT995" s="2335"/>
      <c r="FXU995" s="2335"/>
      <c r="FXV995" s="2335"/>
      <c r="FXW995" s="2335"/>
      <c r="FXX995" s="2335"/>
      <c r="FXY995" s="2335"/>
      <c r="FXZ995" s="2335"/>
      <c r="FYA995" s="2335"/>
      <c r="FYB995" s="2335"/>
      <c r="FYC995" s="2335"/>
      <c r="FYD995" s="2335"/>
      <c r="FYE995" s="2335"/>
      <c r="FYF995" s="2335"/>
      <c r="FYG995" s="2335"/>
      <c r="FYH995" s="2335"/>
      <c r="FYI995" s="2335"/>
      <c r="FYJ995" s="2335"/>
      <c r="FYK995" s="2335"/>
      <c r="FYL995" s="2335"/>
      <c r="FYM995" s="2335"/>
      <c r="FYN995" s="2335"/>
      <c r="FYO995" s="2335"/>
      <c r="FYP995" s="2335"/>
      <c r="FYQ995" s="2335"/>
      <c r="FYR995" s="2335"/>
      <c r="FYS995" s="2335"/>
      <c r="FYT995" s="2335"/>
      <c r="FYU995" s="2335"/>
      <c r="FYV995" s="2335"/>
      <c r="FYW995" s="2335"/>
      <c r="FYX995" s="2335"/>
      <c r="FYY995" s="2335"/>
      <c r="FYZ995" s="2335"/>
      <c r="FZA995" s="2335"/>
      <c r="FZB995" s="2335"/>
      <c r="FZC995" s="2335"/>
      <c r="FZD995" s="2335"/>
      <c r="FZE995" s="2335"/>
      <c r="FZF995" s="2335"/>
      <c r="FZG995" s="2335"/>
      <c r="FZH995" s="2335"/>
      <c r="FZI995" s="2335"/>
      <c r="FZJ995" s="2335"/>
      <c r="FZK995" s="2335"/>
      <c r="FZL995" s="2335"/>
      <c r="FZM995" s="2335"/>
      <c r="FZN995" s="2335"/>
      <c r="FZO995" s="2335"/>
      <c r="FZP995" s="2335"/>
      <c r="FZQ995" s="2335"/>
      <c r="FZR995" s="2335"/>
      <c r="FZS995" s="2335"/>
      <c r="FZT995" s="2335"/>
      <c r="FZU995" s="2335"/>
      <c r="FZV995" s="2335"/>
      <c r="FZW995" s="2335"/>
      <c r="FZX995" s="2335"/>
      <c r="FZY995" s="2335"/>
      <c r="FZZ995" s="2335"/>
      <c r="GAA995" s="2335"/>
      <c r="GAB995" s="2335"/>
      <c r="GAC995" s="2335"/>
      <c r="GAD995" s="2335"/>
      <c r="GAE995" s="2335"/>
      <c r="GAF995" s="2335"/>
      <c r="GAG995" s="2335"/>
      <c r="GAH995" s="2335"/>
      <c r="GAI995" s="2335"/>
      <c r="GAJ995" s="2335"/>
      <c r="GAK995" s="2335"/>
      <c r="GAL995" s="2335"/>
      <c r="GAM995" s="2335"/>
      <c r="GAN995" s="2335"/>
      <c r="GAO995" s="2335"/>
      <c r="GAP995" s="2335"/>
      <c r="GAQ995" s="2335"/>
      <c r="GAR995" s="2335"/>
      <c r="GAS995" s="2335"/>
      <c r="GAT995" s="2335"/>
      <c r="GAU995" s="2335"/>
      <c r="GAV995" s="2335"/>
      <c r="GAW995" s="2335"/>
      <c r="GAX995" s="2335"/>
      <c r="GAY995" s="2335"/>
      <c r="GAZ995" s="2335"/>
      <c r="GBA995" s="2335"/>
      <c r="GBB995" s="2335"/>
      <c r="GBC995" s="2335"/>
      <c r="GBD995" s="2335"/>
      <c r="GBE995" s="2335"/>
      <c r="GBF995" s="2335"/>
      <c r="GBG995" s="2335"/>
      <c r="GBH995" s="2335"/>
      <c r="GBI995" s="2335"/>
      <c r="GBJ995" s="2335"/>
      <c r="GBK995" s="2335"/>
      <c r="GBL995" s="2335"/>
      <c r="GBM995" s="2335"/>
      <c r="GBN995" s="2335"/>
      <c r="GBO995" s="2335"/>
      <c r="GBP995" s="2335"/>
      <c r="GBQ995" s="2335"/>
      <c r="GBR995" s="2335"/>
      <c r="GBS995" s="2335"/>
      <c r="GBT995" s="2335"/>
      <c r="GBU995" s="2335"/>
      <c r="GBV995" s="2335"/>
      <c r="GBW995" s="2335"/>
      <c r="GBX995" s="2335"/>
      <c r="GBY995" s="2335"/>
      <c r="GBZ995" s="2335"/>
      <c r="GCA995" s="2335"/>
      <c r="GCB995" s="2335"/>
      <c r="GCC995" s="2335"/>
      <c r="GCD995" s="2335"/>
      <c r="GCE995" s="2335"/>
      <c r="GCF995" s="2335"/>
      <c r="GCG995" s="2335"/>
      <c r="GCH995" s="2335"/>
      <c r="GCI995" s="2335"/>
      <c r="GCJ995" s="2335"/>
      <c r="GCK995" s="2335"/>
      <c r="GCL995" s="2335"/>
      <c r="GCM995" s="2335"/>
      <c r="GCN995" s="2335"/>
      <c r="GCO995" s="2335"/>
      <c r="GCP995" s="2335"/>
      <c r="GCQ995" s="2335"/>
      <c r="GCR995" s="2335"/>
      <c r="GCS995" s="2335"/>
      <c r="GCT995" s="2335"/>
      <c r="GCU995" s="2335"/>
      <c r="GCV995" s="2335"/>
      <c r="GCW995" s="2335"/>
      <c r="GCX995" s="2335"/>
      <c r="GCY995" s="2335"/>
      <c r="GCZ995" s="2335"/>
      <c r="GDA995" s="2335"/>
      <c r="GDB995" s="2335"/>
      <c r="GDC995" s="2335"/>
      <c r="GDD995" s="2335"/>
      <c r="GDE995" s="2335"/>
      <c r="GDF995" s="2335"/>
      <c r="GDG995" s="2335"/>
      <c r="GDH995" s="2335"/>
      <c r="GDI995" s="2335"/>
      <c r="GDJ995" s="2335"/>
      <c r="GDK995" s="2335"/>
      <c r="GDL995" s="2335"/>
      <c r="GDM995" s="2335"/>
      <c r="GDN995" s="2335"/>
      <c r="GDO995" s="2335"/>
      <c r="GDP995" s="2335"/>
      <c r="GDQ995" s="2335"/>
      <c r="GDR995" s="2335"/>
      <c r="GDS995" s="2335"/>
      <c r="GDT995" s="2335"/>
      <c r="GDU995" s="2335"/>
      <c r="GDV995" s="2335"/>
      <c r="GDW995" s="2335"/>
      <c r="GDX995" s="2335"/>
      <c r="GDY995" s="2335"/>
      <c r="GDZ995" s="2335"/>
      <c r="GEA995" s="2335"/>
      <c r="GEB995" s="2335"/>
      <c r="GEC995" s="2335"/>
      <c r="GED995" s="2335"/>
      <c r="GEE995" s="2335"/>
      <c r="GEF995" s="2335"/>
      <c r="GEG995" s="2335"/>
      <c r="GEH995" s="2335"/>
      <c r="GEI995" s="2335"/>
      <c r="GEJ995" s="2335"/>
      <c r="GEK995" s="2335"/>
      <c r="GEL995" s="2335"/>
      <c r="GEM995" s="2335"/>
      <c r="GEN995" s="2335"/>
      <c r="GEO995" s="2335"/>
      <c r="GEP995" s="2335"/>
      <c r="GEQ995" s="2335"/>
      <c r="GER995" s="2335"/>
      <c r="GES995" s="2335"/>
      <c r="GET995" s="2335"/>
      <c r="GEU995" s="2335"/>
      <c r="GEV995" s="2335"/>
      <c r="GEW995" s="2335"/>
      <c r="GEX995" s="2335"/>
      <c r="GEY995" s="2335"/>
      <c r="GEZ995" s="2335"/>
      <c r="GFA995" s="2335"/>
      <c r="GFB995" s="2335"/>
      <c r="GFC995" s="2335"/>
      <c r="GFD995" s="2335"/>
      <c r="GFE995" s="2335"/>
      <c r="GFF995" s="2335"/>
      <c r="GFG995" s="2335"/>
      <c r="GFH995" s="2335"/>
      <c r="GFI995" s="2335"/>
      <c r="GFJ995" s="2335"/>
      <c r="GFK995" s="2335"/>
      <c r="GFL995" s="2335"/>
      <c r="GFM995" s="2335"/>
      <c r="GFN995" s="2335"/>
      <c r="GFO995" s="2335"/>
      <c r="GFP995" s="2335"/>
      <c r="GFQ995" s="2335"/>
      <c r="GFR995" s="2335"/>
      <c r="GFS995" s="2335"/>
      <c r="GFT995" s="2335"/>
      <c r="GFU995" s="2335"/>
      <c r="GFV995" s="2335"/>
      <c r="GFW995" s="2335"/>
      <c r="GFX995" s="2335"/>
      <c r="GFY995" s="2335"/>
      <c r="GFZ995" s="2335"/>
      <c r="GGA995" s="2335"/>
      <c r="GGB995" s="2335"/>
      <c r="GGC995" s="2335"/>
      <c r="GGD995" s="2335"/>
      <c r="GGE995" s="2335"/>
      <c r="GGF995" s="2335"/>
      <c r="GGG995" s="2335"/>
      <c r="GGH995" s="2335"/>
      <c r="GGI995" s="2335"/>
      <c r="GGJ995" s="2335"/>
      <c r="GGK995" s="2335"/>
      <c r="GGL995" s="2335"/>
      <c r="GGM995" s="2335"/>
      <c r="GGN995" s="2335"/>
      <c r="GGO995" s="2335"/>
      <c r="GGP995" s="2335"/>
      <c r="GGQ995" s="2335"/>
      <c r="GGR995" s="2335"/>
      <c r="GGS995" s="2335"/>
      <c r="GGT995" s="2335"/>
      <c r="GGU995" s="2335"/>
      <c r="GGV995" s="2335"/>
      <c r="GGW995" s="2335"/>
      <c r="GGX995" s="2335"/>
      <c r="GGY995" s="2335"/>
      <c r="GGZ995" s="2335"/>
      <c r="GHA995" s="2335"/>
      <c r="GHB995" s="2335"/>
      <c r="GHC995" s="2335"/>
      <c r="GHD995" s="2335"/>
      <c r="GHE995" s="2335"/>
      <c r="GHF995" s="2335"/>
      <c r="GHG995" s="2335"/>
      <c r="GHH995" s="2335"/>
      <c r="GHI995" s="2335"/>
      <c r="GHJ995" s="2335"/>
      <c r="GHK995" s="2335"/>
      <c r="GHL995" s="2335"/>
      <c r="GHM995" s="2335"/>
      <c r="GHN995" s="2335"/>
      <c r="GHO995" s="2335"/>
      <c r="GHP995" s="2335"/>
      <c r="GHQ995" s="2335"/>
      <c r="GHR995" s="2335"/>
      <c r="GHS995" s="2335"/>
      <c r="GHT995" s="2335"/>
      <c r="GHU995" s="2335"/>
      <c r="GHV995" s="2335"/>
      <c r="GHW995" s="2335"/>
      <c r="GHX995" s="2335"/>
      <c r="GHY995" s="2335"/>
      <c r="GHZ995" s="2335"/>
      <c r="GIA995" s="2335"/>
      <c r="GIB995" s="2335"/>
      <c r="GIC995" s="2335"/>
      <c r="GID995" s="2335"/>
      <c r="GIE995" s="2335"/>
      <c r="GIF995" s="2335"/>
      <c r="GIG995" s="2335"/>
      <c r="GIH995" s="2335"/>
      <c r="GII995" s="2335"/>
      <c r="GIJ995" s="2335"/>
      <c r="GIK995" s="2335"/>
      <c r="GIL995" s="2335"/>
      <c r="GIM995" s="2335"/>
      <c r="GIN995" s="2335"/>
      <c r="GIO995" s="2335"/>
      <c r="GIP995" s="2335"/>
      <c r="GIQ995" s="2335"/>
      <c r="GIR995" s="2335"/>
      <c r="GIS995" s="2335"/>
      <c r="GIT995" s="2335"/>
      <c r="GIU995" s="2335"/>
      <c r="GIV995" s="2335"/>
      <c r="GIW995" s="2335"/>
      <c r="GIX995" s="2335"/>
      <c r="GIY995" s="2335"/>
      <c r="GIZ995" s="2335"/>
      <c r="GJA995" s="2335"/>
      <c r="GJB995" s="2335"/>
      <c r="GJC995" s="2335"/>
      <c r="GJD995" s="2335"/>
      <c r="GJE995" s="2335"/>
      <c r="GJF995" s="2335"/>
      <c r="GJG995" s="2335"/>
      <c r="GJH995" s="2335"/>
      <c r="GJI995" s="2335"/>
      <c r="GJJ995" s="2335"/>
      <c r="GJK995" s="2335"/>
      <c r="GJL995" s="2335"/>
      <c r="GJM995" s="2335"/>
      <c r="GJN995" s="2335"/>
      <c r="GJO995" s="2335"/>
      <c r="GJP995" s="2335"/>
      <c r="GJQ995" s="2335"/>
      <c r="GJR995" s="2335"/>
      <c r="GJS995" s="2335"/>
      <c r="GJT995" s="2335"/>
      <c r="GJU995" s="2335"/>
      <c r="GJV995" s="2335"/>
      <c r="GJW995" s="2335"/>
      <c r="GJX995" s="2335"/>
      <c r="GJY995" s="2335"/>
      <c r="GJZ995" s="2335"/>
      <c r="GKA995" s="2335"/>
      <c r="GKB995" s="2335"/>
      <c r="GKC995" s="2335"/>
      <c r="GKD995" s="2335"/>
      <c r="GKE995" s="2335"/>
      <c r="GKF995" s="2335"/>
      <c r="GKG995" s="2335"/>
      <c r="GKH995" s="2335"/>
      <c r="GKI995" s="2335"/>
      <c r="GKJ995" s="2335"/>
      <c r="GKK995" s="2335"/>
      <c r="GKL995" s="2335"/>
      <c r="GKM995" s="2335"/>
      <c r="GKN995" s="2335"/>
      <c r="GKO995" s="2335"/>
      <c r="GKP995" s="2335"/>
      <c r="GKQ995" s="2335"/>
      <c r="GKR995" s="2335"/>
      <c r="GKS995" s="2335"/>
      <c r="GKT995" s="2335"/>
      <c r="GKU995" s="2335"/>
      <c r="GKV995" s="2335"/>
      <c r="GKW995" s="2335"/>
      <c r="GKX995" s="2335"/>
      <c r="GKY995" s="2335"/>
      <c r="GKZ995" s="2335"/>
      <c r="GLA995" s="2335"/>
      <c r="GLB995" s="2335"/>
      <c r="GLC995" s="2335"/>
      <c r="GLD995" s="2335"/>
      <c r="GLE995" s="2335"/>
      <c r="GLF995" s="2335"/>
      <c r="GLG995" s="2335"/>
      <c r="GLH995" s="2335"/>
      <c r="GLI995" s="2335"/>
      <c r="GLJ995" s="2335"/>
      <c r="GLK995" s="2335"/>
      <c r="GLL995" s="2335"/>
      <c r="GLM995" s="2335"/>
      <c r="GLN995" s="2335"/>
      <c r="GLO995" s="2335"/>
      <c r="GLP995" s="2335"/>
      <c r="GLQ995" s="2335"/>
      <c r="GLR995" s="2335"/>
      <c r="GLS995" s="2335"/>
      <c r="GLT995" s="2335"/>
      <c r="GLU995" s="2335"/>
      <c r="GLV995" s="2335"/>
      <c r="GLW995" s="2335"/>
      <c r="GLX995" s="2335"/>
      <c r="GLY995" s="2335"/>
      <c r="GLZ995" s="2335"/>
      <c r="GMA995" s="2335"/>
      <c r="GMB995" s="2335"/>
      <c r="GMC995" s="2335"/>
      <c r="GMD995" s="2335"/>
      <c r="GME995" s="2335"/>
      <c r="GMF995" s="2335"/>
      <c r="GMG995" s="2335"/>
      <c r="GMH995" s="2335"/>
      <c r="GMI995" s="2335"/>
      <c r="GMJ995" s="2335"/>
      <c r="GMK995" s="2335"/>
      <c r="GML995" s="2335"/>
      <c r="GMM995" s="2335"/>
      <c r="GMN995" s="2335"/>
      <c r="GMO995" s="2335"/>
      <c r="GMP995" s="2335"/>
      <c r="GMQ995" s="2335"/>
      <c r="GMR995" s="2335"/>
      <c r="GMS995" s="2335"/>
      <c r="GMT995" s="2335"/>
      <c r="GMU995" s="2335"/>
      <c r="GMV995" s="2335"/>
      <c r="GMW995" s="2335"/>
      <c r="GMX995" s="2335"/>
      <c r="GMY995" s="2335"/>
      <c r="GMZ995" s="2335"/>
      <c r="GNA995" s="2335"/>
      <c r="GNB995" s="2335"/>
      <c r="GNC995" s="2335"/>
      <c r="GND995" s="2335"/>
      <c r="GNE995" s="2335"/>
      <c r="GNF995" s="2335"/>
      <c r="GNG995" s="2335"/>
      <c r="GNH995" s="2335"/>
      <c r="GNI995" s="2335"/>
      <c r="GNJ995" s="2335"/>
      <c r="GNK995" s="2335"/>
      <c r="GNL995" s="2335"/>
      <c r="GNM995" s="2335"/>
      <c r="GNN995" s="2335"/>
      <c r="GNO995" s="2335"/>
      <c r="GNP995" s="2335"/>
      <c r="GNQ995" s="2335"/>
      <c r="GNR995" s="2335"/>
      <c r="GNS995" s="2335"/>
      <c r="GNT995" s="2335"/>
      <c r="GNU995" s="2335"/>
      <c r="GNV995" s="2335"/>
      <c r="GNW995" s="2335"/>
      <c r="GNX995" s="2335"/>
      <c r="GNY995" s="2335"/>
      <c r="GNZ995" s="2335"/>
      <c r="GOA995" s="2335"/>
      <c r="GOB995" s="2335"/>
      <c r="GOC995" s="2335"/>
      <c r="GOD995" s="2335"/>
      <c r="GOE995" s="2335"/>
      <c r="GOF995" s="2335"/>
      <c r="GOG995" s="2335"/>
      <c r="GOH995" s="2335"/>
      <c r="GOI995" s="2335"/>
      <c r="GOJ995" s="2335"/>
      <c r="GOK995" s="2335"/>
      <c r="GOL995" s="2335"/>
      <c r="GOM995" s="2335"/>
      <c r="GON995" s="2335"/>
      <c r="GOO995" s="2335"/>
      <c r="GOP995" s="2335"/>
      <c r="GOQ995" s="2335"/>
      <c r="GOR995" s="2335"/>
      <c r="GOS995" s="2335"/>
      <c r="GOT995" s="2335"/>
      <c r="GOU995" s="2335"/>
      <c r="GOV995" s="2335"/>
      <c r="GOW995" s="2335"/>
      <c r="GOX995" s="2335"/>
      <c r="GOY995" s="2335"/>
      <c r="GOZ995" s="2335"/>
      <c r="GPA995" s="2335"/>
      <c r="GPB995" s="2335"/>
      <c r="GPC995" s="2335"/>
      <c r="GPD995" s="2335"/>
      <c r="GPE995" s="2335"/>
      <c r="GPF995" s="2335"/>
      <c r="GPG995" s="2335"/>
      <c r="GPH995" s="2335"/>
      <c r="GPI995" s="2335"/>
      <c r="GPJ995" s="2335"/>
      <c r="GPK995" s="2335"/>
      <c r="GPL995" s="2335"/>
      <c r="GPM995" s="2335"/>
      <c r="GPN995" s="2335"/>
      <c r="GPO995" s="2335"/>
      <c r="GPP995" s="2335"/>
      <c r="GPQ995" s="2335"/>
      <c r="GPR995" s="2335"/>
      <c r="GPS995" s="2335"/>
      <c r="GPT995" s="2335"/>
      <c r="GPU995" s="2335"/>
      <c r="GPV995" s="2335"/>
      <c r="GPW995" s="2335"/>
      <c r="GPX995" s="2335"/>
      <c r="GPY995" s="2335"/>
      <c r="GPZ995" s="2335"/>
      <c r="GQA995" s="2335"/>
      <c r="GQB995" s="2335"/>
      <c r="GQC995" s="2335"/>
      <c r="GQD995" s="2335"/>
      <c r="GQE995" s="2335"/>
      <c r="GQF995" s="2335"/>
      <c r="GQG995" s="2335"/>
      <c r="GQH995" s="2335"/>
      <c r="GQI995" s="2335"/>
      <c r="GQJ995" s="2335"/>
      <c r="GQK995" s="2335"/>
      <c r="GQL995" s="2335"/>
      <c r="GQM995" s="2335"/>
      <c r="GQN995" s="2335"/>
      <c r="GQO995" s="2335"/>
      <c r="GQP995" s="2335"/>
      <c r="GQQ995" s="2335"/>
      <c r="GQR995" s="2335"/>
      <c r="GQS995" s="2335"/>
      <c r="GQT995" s="2335"/>
      <c r="GQU995" s="2335"/>
      <c r="GQV995" s="2335"/>
      <c r="GQW995" s="2335"/>
      <c r="GQX995" s="2335"/>
      <c r="GQY995" s="2335"/>
      <c r="GQZ995" s="2335"/>
      <c r="GRA995" s="2335"/>
      <c r="GRB995" s="2335"/>
      <c r="GRC995" s="2335"/>
      <c r="GRD995" s="2335"/>
      <c r="GRE995" s="2335"/>
      <c r="GRF995" s="2335"/>
      <c r="GRG995" s="2335"/>
      <c r="GRH995" s="2335"/>
      <c r="GRI995" s="2335"/>
      <c r="GRJ995" s="2335"/>
      <c r="GRK995" s="2335"/>
      <c r="GRL995" s="2335"/>
      <c r="GRM995" s="2335"/>
      <c r="GRN995" s="2335"/>
      <c r="GRO995" s="2335"/>
      <c r="GRP995" s="2335"/>
      <c r="GRQ995" s="2335"/>
      <c r="GRR995" s="2335"/>
      <c r="GRS995" s="2335"/>
      <c r="GRT995" s="2335"/>
      <c r="GRU995" s="2335"/>
      <c r="GRV995" s="2335"/>
      <c r="GRW995" s="2335"/>
      <c r="GRX995" s="2335"/>
      <c r="GRY995" s="2335"/>
      <c r="GRZ995" s="2335"/>
      <c r="GSA995" s="2335"/>
      <c r="GSB995" s="2335"/>
      <c r="GSC995" s="2335"/>
      <c r="GSD995" s="2335"/>
      <c r="GSE995" s="2335"/>
      <c r="GSF995" s="2335"/>
      <c r="GSG995" s="2335"/>
      <c r="GSH995" s="2335"/>
      <c r="GSI995" s="2335"/>
      <c r="GSJ995" s="2335"/>
      <c r="GSK995" s="2335"/>
      <c r="GSL995" s="2335"/>
      <c r="GSM995" s="2335"/>
      <c r="GSN995" s="2335"/>
      <c r="GSO995" s="2335"/>
      <c r="GSP995" s="2335"/>
      <c r="GSQ995" s="2335"/>
      <c r="GSR995" s="2335"/>
      <c r="GSS995" s="2335"/>
      <c r="GST995" s="2335"/>
      <c r="GSU995" s="2335"/>
      <c r="GSV995" s="2335"/>
      <c r="GSW995" s="2335"/>
      <c r="GSX995" s="2335"/>
      <c r="GSY995" s="2335"/>
      <c r="GSZ995" s="2335"/>
      <c r="GTA995" s="2335"/>
      <c r="GTB995" s="2335"/>
      <c r="GTC995" s="2335"/>
      <c r="GTD995" s="2335"/>
      <c r="GTE995" s="2335"/>
      <c r="GTF995" s="2335"/>
      <c r="GTG995" s="2335"/>
      <c r="GTH995" s="2335"/>
      <c r="GTI995" s="2335"/>
      <c r="GTJ995" s="2335"/>
      <c r="GTK995" s="2335"/>
      <c r="GTL995" s="2335"/>
      <c r="GTM995" s="2335"/>
      <c r="GTN995" s="2335"/>
      <c r="GTO995" s="2335"/>
      <c r="GTP995" s="2335"/>
      <c r="GTQ995" s="2335"/>
      <c r="GTR995" s="2335"/>
      <c r="GTS995" s="2335"/>
      <c r="GTT995" s="2335"/>
      <c r="GTU995" s="2335"/>
      <c r="GTV995" s="2335"/>
      <c r="GTW995" s="2335"/>
      <c r="GTX995" s="2335"/>
      <c r="GTY995" s="2335"/>
      <c r="GTZ995" s="2335"/>
      <c r="GUA995" s="2335"/>
      <c r="GUB995" s="2335"/>
      <c r="GUC995" s="2335"/>
      <c r="GUD995" s="2335"/>
      <c r="GUE995" s="2335"/>
      <c r="GUF995" s="2335"/>
      <c r="GUG995" s="2335"/>
      <c r="GUH995" s="2335"/>
      <c r="GUI995" s="2335"/>
      <c r="GUJ995" s="2335"/>
      <c r="GUK995" s="2335"/>
      <c r="GUL995" s="2335"/>
      <c r="GUM995" s="2335"/>
      <c r="GUN995" s="2335"/>
      <c r="GUO995" s="2335"/>
      <c r="GUP995" s="2335"/>
      <c r="GUQ995" s="2335"/>
      <c r="GUR995" s="2335"/>
      <c r="GUS995" s="2335"/>
      <c r="GUT995" s="2335"/>
      <c r="GUU995" s="2335"/>
      <c r="GUV995" s="2335"/>
      <c r="GUW995" s="2335"/>
      <c r="GUX995" s="2335"/>
      <c r="GUY995" s="2335"/>
      <c r="GUZ995" s="2335"/>
      <c r="GVA995" s="2335"/>
      <c r="GVB995" s="2335"/>
      <c r="GVC995" s="2335"/>
      <c r="GVD995" s="2335"/>
      <c r="GVE995" s="2335"/>
      <c r="GVF995" s="2335"/>
      <c r="GVG995" s="2335"/>
      <c r="GVH995" s="2335"/>
      <c r="GVI995" s="2335"/>
      <c r="GVJ995" s="2335"/>
      <c r="GVK995" s="2335"/>
      <c r="GVL995" s="2335"/>
      <c r="GVM995" s="2335"/>
      <c r="GVN995" s="2335"/>
      <c r="GVO995" s="2335"/>
      <c r="GVP995" s="2335"/>
      <c r="GVQ995" s="2335"/>
      <c r="GVR995" s="2335"/>
      <c r="GVS995" s="2335"/>
      <c r="GVT995" s="2335"/>
      <c r="GVU995" s="2335"/>
      <c r="GVV995" s="2335"/>
      <c r="GVW995" s="2335"/>
      <c r="GVX995" s="2335"/>
      <c r="GVY995" s="2335"/>
      <c r="GVZ995" s="2335"/>
      <c r="GWA995" s="2335"/>
      <c r="GWB995" s="2335"/>
      <c r="GWC995" s="2335"/>
      <c r="GWD995" s="2335"/>
      <c r="GWE995" s="2335"/>
      <c r="GWF995" s="2335"/>
      <c r="GWG995" s="2335"/>
      <c r="GWH995" s="2335"/>
      <c r="GWI995" s="2335"/>
      <c r="GWJ995" s="2335"/>
      <c r="GWK995" s="2335"/>
      <c r="GWL995" s="2335"/>
      <c r="GWM995" s="2335"/>
      <c r="GWN995" s="2335"/>
      <c r="GWO995" s="2335"/>
      <c r="GWP995" s="2335"/>
      <c r="GWQ995" s="2335"/>
      <c r="GWR995" s="2335"/>
      <c r="GWS995" s="2335"/>
      <c r="GWT995" s="2335"/>
      <c r="GWU995" s="2335"/>
      <c r="GWV995" s="2335"/>
      <c r="GWW995" s="2335"/>
      <c r="GWX995" s="2335"/>
      <c r="GWY995" s="2335"/>
      <c r="GWZ995" s="2335"/>
      <c r="GXA995" s="2335"/>
      <c r="GXB995" s="2335"/>
      <c r="GXC995" s="2335"/>
      <c r="GXD995" s="2335"/>
      <c r="GXE995" s="2335"/>
      <c r="GXF995" s="2335"/>
      <c r="GXG995" s="2335"/>
      <c r="GXH995" s="2335"/>
      <c r="GXI995" s="2335"/>
      <c r="GXJ995" s="2335"/>
      <c r="GXK995" s="2335"/>
      <c r="GXL995" s="2335"/>
      <c r="GXM995" s="2335"/>
      <c r="GXN995" s="2335"/>
      <c r="GXO995" s="2335"/>
      <c r="GXP995" s="2335"/>
      <c r="GXQ995" s="2335"/>
      <c r="GXR995" s="2335"/>
      <c r="GXS995" s="2335"/>
      <c r="GXT995" s="2335"/>
      <c r="GXU995" s="2335"/>
      <c r="GXV995" s="2335"/>
      <c r="GXW995" s="2335"/>
      <c r="GXX995" s="2335"/>
      <c r="GXY995" s="2335"/>
      <c r="GXZ995" s="2335"/>
      <c r="GYA995" s="2335"/>
      <c r="GYB995" s="2335"/>
      <c r="GYC995" s="2335"/>
      <c r="GYD995" s="2335"/>
      <c r="GYE995" s="2335"/>
      <c r="GYF995" s="2335"/>
      <c r="GYG995" s="2335"/>
      <c r="GYH995" s="2335"/>
      <c r="GYI995" s="2335"/>
      <c r="GYJ995" s="2335"/>
      <c r="GYK995" s="2335"/>
      <c r="GYL995" s="2335"/>
      <c r="GYM995" s="2335"/>
      <c r="GYN995" s="2335"/>
      <c r="GYO995" s="2335"/>
      <c r="GYP995" s="2335"/>
      <c r="GYQ995" s="2335"/>
      <c r="GYR995" s="2335"/>
      <c r="GYS995" s="2335"/>
      <c r="GYT995" s="2335"/>
      <c r="GYU995" s="2335"/>
      <c r="GYV995" s="2335"/>
      <c r="GYW995" s="2335"/>
      <c r="GYX995" s="2335"/>
      <c r="GYY995" s="2335"/>
      <c r="GYZ995" s="2335"/>
      <c r="GZA995" s="2335"/>
      <c r="GZB995" s="2335"/>
      <c r="GZC995" s="2335"/>
      <c r="GZD995" s="2335"/>
      <c r="GZE995" s="2335"/>
      <c r="GZF995" s="2335"/>
      <c r="GZG995" s="2335"/>
      <c r="GZH995" s="2335"/>
      <c r="GZI995" s="2335"/>
      <c r="GZJ995" s="2335"/>
      <c r="GZK995" s="2335"/>
      <c r="GZL995" s="2335"/>
      <c r="GZM995" s="2335"/>
      <c r="GZN995" s="2335"/>
      <c r="GZO995" s="2335"/>
      <c r="GZP995" s="2335"/>
      <c r="GZQ995" s="2335"/>
      <c r="GZR995" s="2335"/>
      <c r="GZS995" s="2335"/>
      <c r="GZT995" s="2335"/>
      <c r="GZU995" s="2335"/>
      <c r="GZV995" s="2335"/>
      <c r="GZW995" s="2335"/>
      <c r="GZX995" s="2335"/>
      <c r="GZY995" s="2335"/>
      <c r="GZZ995" s="2335"/>
      <c r="HAA995" s="2335"/>
      <c r="HAB995" s="2335"/>
      <c r="HAC995" s="2335"/>
      <c r="HAD995" s="2335"/>
      <c r="HAE995" s="2335"/>
      <c r="HAF995" s="2335"/>
      <c r="HAG995" s="2335"/>
      <c r="HAH995" s="2335"/>
      <c r="HAI995" s="2335"/>
      <c r="HAJ995" s="2335"/>
      <c r="HAK995" s="2335"/>
      <c r="HAL995" s="2335"/>
      <c r="HAM995" s="2335"/>
      <c r="HAN995" s="2335"/>
      <c r="HAO995" s="2335"/>
      <c r="HAP995" s="2335"/>
      <c r="HAQ995" s="2335"/>
      <c r="HAR995" s="2335"/>
      <c r="HAS995" s="2335"/>
      <c r="HAT995" s="2335"/>
      <c r="HAU995" s="2335"/>
      <c r="HAV995" s="2335"/>
      <c r="HAW995" s="2335"/>
      <c r="HAX995" s="2335"/>
      <c r="HAY995" s="2335"/>
      <c r="HAZ995" s="2335"/>
      <c r="HBA995" s="2335"/>
      <c r="HBB995" s="2335"/>
      <c r="HBC995" s="2335"/>
      <c r="HBD995" s="2335"/>
      <c r="HBE995" s="2335"/>
      <c r="HBF995" s="2335"/>
      <c r="HBG995" s="2335"/>
      <c r="HBH995" s="2335"/>
      <c r="HBI995" s="2335"/>
      <c r="HBJ995" s="2335"/>
      <c r="HBK995" s="2335"/>
      <c r="HBL995" s="2335"/>
      <c r="HBM995" s="2335"/>
      <c r="HBN995" s="2335"/>
      <c r="HBO995" s="2335"/>
      <c r="HBP995" s="2335"/>
      <c r="HBQ995" s="2335"/>
      <c r="HBR995" s="2335"/>
      <c r="HBS995" s="2335"/>
      <c r="HBT995" s="2335"/>
      <c r="HBU995" s="2335"/>
      <c r="HBV995" s="2335"/>
      <c r="HBW995" s="2335"/>
      <c r="HBX995" s="2335"/>
      <c r="HBY995" s="2335"/>
      <c r="HBZ995" s="2335"/>
      <c r="HCA995" s="2335"/>
      <c r="HCB995" s="2335"/>
      <c r="HCC995" s="2335"/>
      <c r="HCD995" s="2335"/>
      <c r="HCE995" s="2335"/>
      <c r="HCF995" s="2335"/>
      <c r="HCG995" s="2335"/>
      <c r="HCH995" s="2335"/>
      <c r="HCI995" s="2335"/>
      <c r="HCJ995" s="2335"/>
      <c r="HCK995" s="2335"/>
      <c r="HCL995" s="2335"/>
      <c r="HCM995" s="2335"/>
      <c r="HCN995" s="2335"/>
      <c r="HCO995" s="2335"/>
      <c r="HCP995" s="2335"/>
      <c r="HCQ995" s="2335"/>
      <c r="HCR995" s="2335"/>
      <c r="HCS995" s="2335"/>
      <c r="HCT995" s="2335"/>
      <c r="HCU995" s="2335"/>
      <c r="HCV995" s="2335"/>
      <c r="HCW995" s="2335"/>
      <c r="HCX995" s="2335"/>
      <c r="HCY995" s="2335"/>
      <c r="HCZ995" s="2335"/>
      <c r="HDA995" s="2335"/>
      <c r="HDB995" s="2335"/>
      <c r="HDC995" s="2335"/>
      <c r="HDD995" s="2335"/>
      <c r="HDE995" s="2335"/>
      <c r="HDF995" s="2335"/>
      <c r="HDG995" s="2335"/>
      <c r="HDH995" s="2335"/>
      <c r="HDI995" s="2335"/>
      <c r="HDJ995" s="2335"/>
      <c r="HDK995" s="2335"/>
      <c r="HDL995" s="2335"/>
      <c r="HDM995" s="2335"/>
      <c r="HDN995" s="2335"/>
      <c r="HDO995" s="2335"/>
      <c r="HDP995" s="2335"/>
      <c r="HDQ995" s="2335"/>
      <c r="HDR995" s="2335"/>
      <c r="HDS995" s="2335"/>
      <c r="HDT995" s="2335"/>
      <c r="HDU995" s="2335"/>
      <c r="HDV995" s="2335"/>
      <c r="HDW995" s="2335"/>
      <c r="HDX995" s="2335"/>
      <c r="HDY995" s="2335"/>
      <c r="HDZ995" s="2335"/>
      <c r="HEA995" s="2335"/>
      <c r="HEB995" s="2335"/>
      <c r="HEC995" s="2335"/>
      <c r="HED995" s="2335"/>
      <c r="HEE995" s="2335"/>
      <c r="HEF995" s="2335"/>
      <c r="HEG995" s="2335"/>
      <c r="HEH995" s="2335"/>
      <c r="HEI995" s="2335"/>
      <c r="HEJ995" s="2335"/>
      <c r="HEK995" s="2335"/>
      <c r="HEL995" s="2335"/>
      <c r="HEM995" s="2335"/>
      <c r="HEN995" s="2335"/>
      <c r="HEO995" s="2335"/>
      <c r="HEP995" s="2335"/>
      <c r="HEQ995" s="2335"/>
      <c r="HER995" s="2335"/>
      <c r="HES995" s="2335"/>
      <c r="HET995" s="2335"/>
      <c r="HEU995" s="2335"/>
      <c r="HEV995" s="2335"/>
      <c r="HEW995" s="2335"/>
      <c r="HEX995" s="2335"/>
      <c r="HEY995" s="2335"/>
      <c r="HEZ995" s="2335"/>
      <c r="HFA995" s="2335"/>
      <c r="HFB995" s="2335"/>
      <c r="HFC995" s="2335"/>
      <c r="HFD995" s="2335"/>
      <c r="HFE995" s="2335"/>
      <c r="HFF995" s="2335"/>
      <c r="HFG995" s="2335"/>
      <c r="HFH995" s="2335"/>
      <c r="HFI995" s="2335"/>
      <c r="HFJ995" s="2335"/>
      <c r="HFK995" s="2335"/>
      <c r="HFL995" s="2335"/>
      <c r="HFM995" s="2335"/>
      <c r="HFN995" s="2335"/>
      <c r="HFO995" s="2335"/>
      <c r="HFP995" s="2335"/>
      <c r="HFQ995" s="2335"/>
      <c r="HFR995" s="2335"/>
      <c r="HFS995" s="2335"/>
      <c r="HFT995" s="2335"/>
      <c r="HFU995" s="2335"/>
      <c r="HFV995" s="2335"/>
      <c r="HFW995" s="2335"/>
      <c r="HFX995" s="2335"/>
      <c r="HFY995" s="2335"/>
      <c r="HFZ995" s="2335"/>
      <c r="HGA995" s="2335"/>
      <c r="HGB995" s="2335"/>
      <c r="HGC995" s="2335"/>
      <c r="HGD995" s="2335"/>
      <c r="HGE995" s="2335"/>
      <c r="HGF995" s="2335"/>
      <c r="HGG995" s="2335"/>
      <c r="HGH995" s="2335"/>
      <c r="HGI995" s="2335"/>
      <c r="HGJ995" s="2335"/>
      <c r="HGK995" s="2335"/>
      <c r="HGL995" s="2335"/>
      <c r="HGM995" s="2335"/>
      <c r="HGN995" s="2335"/>
      <c r="HGO995" s="2335"/>
      <c r="HGP995" s="2335"/>
      <c r="HGQ995" s="2335"/>
      <c r="HGR995" s="2335"/>
      <c r="HGS995" s="2335"/>
      <c r="HGT995" s="2335"/>
      <c r="HGU995" s="2335"/>
      <c r="HGV995" s="2335"/>
      <c r="HGW995" s="2335"/>
      <c r="HGX995" s="2335"/>
      <c r="HGY995" s="2335"/>
      <c r="HGZ995" s="2335"/>
      <c r="HHA995" s="2335"/>
      <c r="HHB995" s="2335"/>
      <c r="HHC995" s="2335"/>
      <c r="HHD995" s="2335"/>
      <c r="HHE995" s="2335"/>
      <c r="HHF995" s="2335"/>
      <c r="HHG995" s="2335"/>
      <c r="HHH995" s="2335"/>
      <c r="HHI995" s="2335"/>
      <c r="HHJ995" s="2335"/>
      <c r="HHK995" s="2335"/>
      <c r="HHL995" s="2335"/>
      <c r="HHM995" s="2335"/>
      <c r="HHN995" s="2335"/>
      <c r="HHO995" s="2335"/>
      <c r="HHP995" s="2335"/>
      <c r="HHQ995" s="2335"/>
      <c r="HHR995" s="2335"/>
      <c r="HHS995" s="2335"/>
      <c r="HHT995" s="2335"/>
      <c r="HHU995" s="2335"/>
      <c r="HHV995" s="2335"/>
      <c r="HHW995" s="2335"/>
      <c r="HHX995" s="2335"/>
      <c r="HHY995" s="2335"/>
      <c r="HHZ995" s="2335"/>
      <c r="HIA995" s="2335"/>
      <c r="HIB995" s="2335"/>
      <c r="HIC995" s="2335"/>
      <c r="HID995" s="2335"/>
      <c r="HIE995" s="2335"/>
      <c r="HIF995" s="2335"/>
      <c r="HIG995" s="2335"/>
      <c r="HIH995" s="2335"/>
      <c r="HII995" s="2335"/>
      <c r="HIJ995" s="2335"/>
      <c r="HIK995" s="2335"/>
      <c r="HIL995" s="2335"/>
      <c r="HIM995" s="2335"/>
      <c r="HIN995" s="2335"/>
      <c r="HIO995" s="2335"/>
      <c r="HIP995" s="2335"/>
      <c r="HIQ995" s="2335"/>
      <c r="HIR995" s="2335"/>
      <c r="HIS995" s="2335"/>
      <c r="HIT995" s="2335"/>
      <c r="HIU995" s="2335"/>
      <c r="HIV995" s="2335"/>
      <c r="HIW995" s="2335"/>
      <c r="HIX995" s="2335"/>
      <c r="HIY995" s="2335"/>
      <c r="HIZ995" s="2335"/>
      <c r="HJA995" s="2335"/>
      <c r="HJB995" s="2335"/>
      <c r="HJC995" s="2335"/>
      <c r="HJD995" s="2335"/>
      <c r="HJE995" s="2335"/>
      <c r="HJF995" s="2335"/>
      <c r="HJG995" s="2335"/>
      <c r="HJH995" s="2335"/>
      <c r="HJI995" s="2335"/>
      <c r="HJJ995" s="2335"/>
      <c r="HJK995" s="2335"/>
      <c r="HJL995" s="2335"/>
      <c r="HJM995" s="2335"/>
      <c r="HJN995" s="2335"/>
      <c r="HJO995" s="2335"/>
      <c r="HJP995" s="2335"/>
      <c r="HJQ995" s="2335"/>
      <c r="HJR995" s="2335"/>
      <c r="HJS995" s="2335"/>
      <c r="HJT995" s="2335"/>
      <c r="HJU995" s="2335"/>
      <c r="HJV995" s="2335"/>
      <c r="HJW995" s="2335"/>
      <c r="HJX995" s="2335"/>
      <c r="HJY995" s="2335"/>
      <c r="HJZ995" s="2335"/>
      <c r="HKA995" s="2335"/>
      <c r="HKB995" s="2335"/>
      <c r="HKC995" s="2335"/>
      <c r="HKD995" s="2335"/>
      <c r="HKE995" s="2335"/>
      <c r="HKF995" s="2335"/>
      <c r="HKG995" s="2335"/>
      <c r="HKH995" s="2335"/>
      <c r="HKI995" s="2335"/>
      <c r="HKJ995" s="2335"/>
      <c r="HKK995" s="2335"/>
      <c r="HKL995" s="2335"/>
      <c r="HKM995" s="2335"/>
      <c r="HKN995" s="2335"/>
      <c r="HKO995" s="2335"/>
      <c r="HKP995" s="2335"/>
      <c r="HKQ995" s="2335"/>
      <c r="HKR995" s="2335"/>
      <c r="HKS995" s="2335"/>
      <c r="HKT995" s="2335"/>
      <c r="HKU995" s="2335"/>
      <c r="HKV995" s="2335"/>
      <c r="HKW995" s="2335"/>
      <c r="HKX995" s="2335"/>
      <c r="HKY995" s="2335"/>
      <c r="HKZ995" s="2335"/>
      <c r="HLA995" s="2335"/>
      <c r="HLB995" s="2335"/>
      <c r="HLC995" s="2335"/>
      <c r="HLD995" s="2335"/>
      <c r="HLE995" s="2335"/>
      <c r="HLF995" s="2335"/>
      <c r="HLG995" s="2335"/>
      <c r="HLH995" s="2335"/>
      <c r="HLI995" s="2335"/>
      <c r="HLJ995" s="2335"/>
      <c r="HLK995" s="2335"/>
      <c r="HLL995" s="2335"/>
      <c r="HLM995" s="2335"/>
      <c r="HLN995" s="2335"/>
      <c r="HLO995" s="2335"/>
      <c r="HLP995" s="2335"/>
      <c r="HLQ995" s="2335"/>
      <c r="HLR995" s="2335"/>
      <c r="HLS995" s="2335"/>
      <c r="HLT995" s="2335"/>
      <c r="HLU995" s="2335"/>
      <c r="HLV995" s="2335"/>
      <c r="HLW995" s="2335"/>
      <c r="HLX995" s="2335"/>
      <c r="HLY995" s="2335"/>
      <c r="HLZ995" s="2335"/>
      <c r="HMA995" s="2335"/>
      <c r="HMB995" s="2335"/>
      <c r="HMC995" s="2335"/>
      <c r="HMD995" s="2335"/>
      <c r="HME995" s="2335"/>
      <c r="HMF995" s="2335"/>
      <c r="HMG995" s="2335"/>
      <c r="HMH995" s="2335"/>
      <c r="HMI995" s="2335"/>
      <c r="HMJ995" s="2335"/>
      <c r="HMK995" s="2335"/>
      <c r="HML995" s="2335"/>
      <c r="HMM995" s="2335"/>
      <c r="HMN995" s="2335"/>
      <c r="HMO995" s="2335"/>
      <c r="HMP995" s="2335"/>
      <c r="HMQ995" s="2335"/>
      <c r="HMR995" s="2335"/>
      <c r="HMS995" s="2335"/>
      <c r="HMT995" s="2335"/>
      <c r="HMU995" s="2335"/>
      <c r="HMV995" s="2335"/>
      <c r="HMW995" s="2335"/>
      <c r="HMX995" s="2335"/>
      <c r="HMY995" s="2335"/>
      <c r="HMZ995" s="2335"/>
      <c r="HNA995" s="2335"/>
      <c r="HNB995" s="2335"/>
      <c r="HNC995" s="2335"/>
      <c r="HND995" s="2335"/>
      <c r="HNE995" s="2335"/>
      <c r="HNF995" s="2335"/>
      <c r="HNG995" s="2335"/>
      <c r="HNH995" s="2335"/>
      <c r="HNI995" s="2335"/>
      <c r="HNJ995" s="2335"/>
      <c r="HNK995" s="2335"/>
      <c r="HNL995" s="2335"/>
      <c r="HNM995" s="2335"/>
      <c r="HNN995" s="2335"/>
      <c r="HNO995" s="2335"/>
      <c r="HNP995" s="2335"/>
      <c r="HNQ995" s="2335"/>
      <c r="HNR995" s="2335"/>
      <c r="HNS995" s="2335"/>
      <c r="HNT995" s="2335"/>
      <c r="HNU995" s="2335"/>
      <c r="HNV995" s="2335"/>
      <c r="HNW995" s="2335"/>
      <c r="HNX995" s="2335"/>
      <c r="HNY995" s="2335"/>
      <c r="HNZ995" s="2335"/>
      <c r="HOA995" s="2335"/>
      <c r="HOB995" s="2335"/>
      <c r="HOC995" s="2335"/>
      <c r="HOD995" s="2335"/>
      <c r="HOE995" s="2335"/>
      <c r="HOF995" s="2335"/>
      <c r="HOG995" s="2335"/>
      <c r="HOH995" s="2335"/>
      <c r="HOI995" s="2335"/>
      <c r="HOJ995" s="2335"/>
      <c r="HOK995" s="2335"/>
      <c r="HOL995" s="2335"/>
      <c r="HOM995" s="2335"/>
      <c r="HON995" s="2335"/>
      <c r="HOO995" s="2335"/>
      <c r="HOP995" s="2335"/>
      <c r="HOQ995" s="2335"/>
      <c r="HOR995" s="2335"/>
      <c r="HOS995" s="2335"/>
      <c r="HOT995" s="2335"/>
      <c r="HOU995" s="2335"/>
      <c r="HOV995" s="2335"/>
      <c r="HOW995" s="2335"/>
      <c r="HOX995" s="2335"/>
      <c r="HOY995" s="2335"/>
      <c r="HOZ995" s="2335"/>
      <c r="HPA995" s="2335"/>
      <c r="HPB995" s="2335"/>
      <c r="HPC995" s="2335"/>
      <c r="HPD995" s="2335"/>
      <c r="HPE995" s="2335"/>
      <c r="HPF995" s="2335"/>
      <c r="HPG995" s="2335"/>
      <c r="HPH995" s="2335"/>
      <c r="HPI995" s="2335"/>
      <c r="HPJ995" s="2335"/>
      <c r="HPK995" s="2335"/>
      <c r="HPL995" s="2335"/>
      <c r="HPM995" s="2335"/>
      <c r="HPN995" s="2335"/>
      <c r="HPO995" s="2335"/>
      <c r="HPP995" s="2335"/>
      <c r="HPQ995" s="2335"/>
      <c r="HPR995" s="2335"/>
      <c r="HPS995" s="2335"/>
      <c r="HPT995" s="2335"/>
      <c r="HPU995" s="2335"/>
      <c r="HPV995" s="2335"/>
      <c r="HPW995" s="2335"/>
      <c r="HPX995" s="2335"/>
      <c r="HPY995" s="2335"/>
      <c r="HPZ995" s="2335"/>
      <c r="HQA995" s="2335"/>
      <c r="HQB995" s="2335"/>
      <c r="HQC995" s="2335"/>
      <c r="HQD995" s="2335"/>
      <c r="HQE995" s="2335"/>
      <c r="HQF995" s="2335"/>
      <c r="HQG995" s="2335"/>
      <c r="HQH995" s="2335"/>
      <c r="HQI995" s="2335"/>
      <c r="HQJ995" s="2335"/>
      <c r="HQK995" s="2335"/>
      <c r="HQL995" s="2335"/>
      <c r="HQM995" s="2335"/>
      <c r="HQN995" s="2335"/>
      <c r="HQO995" s="2335"/>
      <c r="HQP995" s="2335"/>
      <c r="HQQ995" s="2335"/>
      <c r="HQR995" s="2335"/>
      <c r="HQS995" s="2335"/>
      <c r="HQT995" s="2335"/>
      <c r="HQU995" s="2335"/>
      <c r="HQV995" s="2335"/>
      <c r="HQW995" s="2335"/>
      <c r="HQX995" s="2335"/>
      <c r="HQY995" s="2335"/>
      <c r="HQZ995" s="2335"/>
      <c r="HRA995" s="2335"/>
      <c r="HRB995" s="2335"/>
      <c r="HRC995" s="2335"/>
      <c r="HRD995" s="2335"/>
      <c r="HRE995" s="2335"/>
      <c r="HRF995" s="2335"/>
      <c r="HRG995" s="2335"/>
      <c r="HRH995" s="2335"/>
      <c r="HRI995" s="2335"/>
      <c r="HRJ995" s="2335"/>
      <c r="HRK995" s="2335"/>
      <c r="HRL995" s="2335"/>
      <c r="HRM995" s="2335"/>
      <c r="HRN995" s="2335"/>
      <c r="HRO995" s="2335"/>
      <c r="HRP995" s="2335"/>
      <c r="HRQ995" s="2335"/>
      <c r="HRR995" s="2335"/>
      <c r="HRS995" s="2335"/>
      <c r="HRT995" s="2335"/>
      <c r="HRU995" s="2335"/>
      <c r="HRV995" s="2335"/>
      <c r="HRW995" s="2335"/>
      <c r="HRX995" s="2335"/>
      <c r="HRY995" s="2335"/>
      <c r="HRZ995" s="2335"/>
      <c r="HSA995" s="2335"/>
      <c r="HSB995" s="2335"/>
      <c r="HSC995" s="2335"/>
      <c r="HSD995" s="2335"/>
      <c r="HSE995" s="2335"/>
      <c r="HSF995" s="2335"/>
      <c r="HSG995" s="2335"/>
      <c r="HSH995" s="2335"/>
      <c r="HSI995" s="2335"/>
      <c r="HSJ995" s="2335"/>
      <c r="HSK995" s="2335"/>
      <c r="HSL995" s="2335"/>
      <c r="HSM995" s="2335"/>
      <c r="HSN995" s="2335"/>
      <c r="HSO995" s="2335"/>
      <c r="HSP995" s="2335"/>
      <c r="HSQ995" s="2335"/>
      <c r="HSR995" s="2335"/>
      <c r="HSS995" s="2335"/>
      <c r="HST995" s="2335"/>
      <c r="HSU995" s="2335"/>
      <c r="HSV995" s="2335"/>
      <c r="HSW995" s="2335"/>
      <c r="HSX995" s="2335"/>
      <c r="HSY995" s="2335"/>
      <c r="HSZ995" s="2335"/>
      <c r="HTA995" s="2335"/>
      <c r="HTB995" s="2335"/>
      <c r="HTC995" s="2335"/>
      <c r="HTD995" s="2335"/>
      <c r="HTE995" s="2335"/>
      <c r="HTF995" s="2335"/>
      <c r="HTG995" s="2335"/>
      <c r="HTH995" s="2335"/>
      <c r="HTI995" s="2335"/>
      <c r="HTJ995" s="2335"/>
      <c r="HTK995" s="2335"/>
      <c r="HTL995" s="2335"/>
      <c r="HTM995" s="2335"/>
      <c r="HTN995" s="2335"/>
      <c r="HTO995" s="2335"/>
      <c r="HTP995" s="2335"/>
      <c r="HTQ995" s="2335"/>
      <c r="HTR995" s="2335"/>
      <c r="HTS995" s="2335"/>
      <c r="HTT995" s="2335"/>
      <c r="HTU995" s="2335"/>
      <c r="HTV995" s="2335"/>
      <c r="HTW995" s="2335"/>
      <c r="HTX995" s="2335"/>
      <c r="HTY995" s="2335"/>
      <c r="HTZ995" s="2335"/>
      <c r="HUA995" s="2335"/>
      <c r="HUB995" s="2335"/>
      <c r="HUC995" s="2335"/>
      <c r="HUD995" s="2335"/>
      <c r="HUE995" s="2335"/>
      <c r="HUF995" s="2335"/>
      <c r="HUG995" s="2335"/>
      <c r="HUH995" s="2335"/>
      <c r="HUI995" s="2335"/>
      <c r="HUJ995" s="2335"/>
      <c r="HUK995" s="2335"/>
      <c r="HUL995" s="2335"/>
      <c r="HUM995" s="2335"/>
      <c r="HUN995" s="2335"/>
      <c r="HUO995" s="2335"/>
      <c r="HUP995" s="2335"/>
      <c r="HUQ995" s="2335"/>
      <c r="HUR995" s="2335"/>
      <c r="HUS995" s="2335"/>
      <c r="HUT995" s="2335"/>
      <c r="HUU995" s="2335"/>
      <c r="HUV995" s="2335"/>
      <c r="HUW995" s="2335"/>
      <c r="HUX995" s="2335"/>
      <c r="HUY995" s="2335"/>
      <c r="HUZ995" s="2335"/>
      <c r="HVA995" s="2335"/>
      <c r="HVB995" s="2335"/>
      <c r="HVC995" s="2335"/>
      <c r="HVD995" s="2335"/>
      <c r="HVE995" s="2335"/>
      <c r="HVF995" s="2335"/>
      <c r="HVG995" s="2335"/>
      <c r="HVH995" s="2335"/>
      <c r="HVI995" s="2335"/>
      <c r="HVJ995" s="2335"/>
      <c r="HVK995" s="2335"/>
      <c r="HVL995" s="2335"/>
      <c r="HVM995" s="2335"/>
      <c r="HVN995" s="2335"/>
      <c r="HVO995" s="2335"/>
      <c r="HVP995" s="2335"/>
      <c r="HVQ995" s="2335"/>
      <c r="HVR995" s="2335"/>
      <c r="HVS995" s="2335"/>
      <c r="HVT995" s="2335"/>
      <c r="HVU995" s="2335"/>
      <c r="HVV995" s="2335"/>
      <c r="HVW995" s="2335"/>
      <c r="HVX995" s="2335"/>
      <c r="HVY995" s="2335"/>
      <c r="HVZ995" s="2335"/>
      <c r="HWA995" s="2335"/>
      <c r="HWB995" s="2335"/>
      <c r="HWC995" s="2335"/>
      <c r="HWD995" s="2335"/>
      <c r="HWE995" s="2335"/>
      <c r="HWF995" s="2335"/>
      <c r="HWG995" s="2335"/>
      <c r="HWH995" s="2335"/>
      <c r="HWI995" s="2335"/>
      <c r="HWJ995" s="2335"/>
      <c r="HWK995" s="2335"/>
      <c r="HWL995" s="2335"/>
      <c r="HWM995" s="2335"/>
      <c r="HWN995" s="2335"/>
      <c r="HWO995" s="2335"/>
      <c r="HWP995" s="2335"/>
      <c r="HWQ995" s="2335"/>
      <c r="HWR995" s="2335"/>
      <c r="HWS995" s="2335"/>
      <c r="HWT995" s="2335"/>
      <c r="HWU995" s="2335"/>
      <c r="HWV995" s="2335"/>
      <c r="HWW995" s="2335"/>
      <c r="HWX995" s="2335"/>
      <c r="HWY995" s="2335"/>
      <c r="HWZ995" s="2335"/>
      <c r="HXA995" s="2335"/>
      <c r="HXB995" s="2335"/>
      <c r="HXC995" s="2335"/>
      <c r="HXD995" s="2335"/>
      <c r="HXE995" s="2335"/>
      <c r="HXF995" s="2335"/>
      <c r="HXG995" s="2335"/>
      <c r="HXH995" s="2335"/>
      <c r="HXI995" s="2335"/>
      <c r="HXJ995" s="2335"/>
      <c r="HXK995" s="2335"/>
      <c r="HXL995" s="2335"/>
      <c r="HXM995" s="2335"/>
      <c r="HXN995" s="2335"/>
      <c r="HXO995" s="2335"/>
      <c r="HXP995" s="2335"/>
      <c r="HXQ995" s="2335"/>
      <c r="HXR995" s="2335"/>
      <c r="HXS995" s="2335"/>
      <c r="HXT995" s="2335"/>
      <c r="HXU995" s="2335"/>
      <c r="HXV995" s="2335"/>
      <c r="HXW995" s="2335"/>
      <c r="HXX995" s="2335"/>
      <c r="HXY995" s="2335"/>
      <c r="HXZ995" s="2335"/>
      <c r="HYA995" s="2335"/>
      <c r="HYB995" s="2335"/>
      <c r="HYC995" s="2335"/>
      <c r="HYD995" s="2335"/>
      <c r="HYE995" s="2335"/>
      <c r="HYF995" s="2335"/>
      <c r="HYG995" s="2335"/>
      <c r="HYH995" s="2335"/>
      <c r="HYI995" s="2335"/>
      <c r="HYJ995" s="2335"/>
      <c r="HYK995" s="2335"/>
      <c r="HYL995" s="2335"/>
      <c r="HYM995" s="2335"/>
      <c r="HYN995" s="2335"/>
      <c r="HYO995" s="2335"/>
      <c r="HYP995" s="2335"/>
      <c r="HYQ995" s="2335"/>
      <c r="HYR995" s="2335"/>
      <c r="HYS995" s="2335"/>
      <c r="HYT995" s="2335"/>
      <c r="HYU995" s="2335"/>
      <c r="HYV995" s="2335"/>
      <c r="HYW995" s="2335"/>
      <c r="HYX995" s="2335"/>
      <c r="HYY995" s="2335"/>
      <c r="HYZ995" s="2335"/>
      <c r="HZA995" s="2335"/>
      <c r="HZB995" s="2335"/>
      <c r="HZC995" s="2335"/>
      <c r="HZD995" s="2335"/>
      <c r="HZE995" s="2335"/>
      <c r="HZF995" s="2335"/>
      <c r="HZG995" s="2335"/>
      <c r="HZH995" s="2335"/>
      <c r="HZI995" s="2335"/>
      <c r="HZJ995" s="2335"/>
      <c r="HZK995" s="2335"/>
      <c r="HZL995" s="2335"/>
      <c r="HZM995" s="2335"/>
      <c r="HZN995" s="2335"/>
      <c r="HZO995" s="2335"/>
      <c r="HZP995" s="2335"/>
      <c r="HZQ995" s="2335"/>
      <c r="HZR995" s="2335"/>
      <c r="HZS995" s="2335"/>
      <c r="HZT995" s="2335"/>
      <c r="HZU995" s="2335"/>
      <c r="HZV995" s="2335"/>
      <c r="HZW995" s="2335"/>
      <c r="HZX995" s="2335"/>
      <c r="HZY995" s="2335"/>
      <c r="HZZ995" s="2335"/>
      <c r="IAA995" s="2335"/>
      <c r="IAB995" s="2335"/>
      <c r="IAC995" s="2335"/>
      <c r="IAD995" s="2335"/>
      <c r="IAE995" s="2335"/>
      <c r="IAF995" s="2335"/>
      <c r="IAG995" s="2335"/>
      <c r="IAH995" s="2335"/>
      <c r="IAI995" s="2335"/>
      <c r="IAJ995" s="2335"/>
      <c r="IAK995" s="2335"/>
      <c r="IAL995" s="2335"/>
      <c r="IAM995" s="2335"/>
      <c r="IAN995" s="2335"/>
      <c r="IAO995" s="2335"/>
      <c r="IAP995" s="2335"/>
      <c r="IAQ995" s="2335"/>
      <c r="IAR995" s="2335"/>
      <c r="IAS995" s="2335"/>
      <c r="IAT995" s="2335"/>
      <c r="IAU995" s="2335"/>
      <c r="IAV995" s="2335"/>
      <c r="IAW995" s="2335"/>
      <c r="IAX995" s="2335"/>
      <c r="IAY995" s="2335"/>
      <c r="IAZ995" s="2335"/>
      <c r="IBA995" s="2335"/>
      <c r="IBB995" s="2335"/>
      <c r="IBC995" s="2335"/>
      <c r="IBD995" s="2335"/>
      <c r="IBE995" s="2335"/>
      <c r="IBF995" s="2335"/>
      <c r="IBG995" s="2335"/>
      <c r="IBH995" s="2335"/>
      <c r="IBI995" s="2335"/>
      <c r="IBJ995" s="2335"/>
      <c r="IBK995" s="2335"/>
      <c r="IBL995" s="2335"/>
      <c r="IBM995" s="2335"/>
      <c r="IBN995" s="2335"/>
      <c r="IBO995" s="2335"/>
      <c r="IBP995" s="2335"/>
      <c r="IBQ995" s="2335"/>
      <c r="IBR995" s="2335"/>
      <c r="IBS995" s="2335"/>
      <c r="IBT995" s="2335"/>
      <c r="IBU995" s="2335"/>
      <c r="IBV995" s="2335"/>
      <c r="IBW995" s="2335"/>
      <c r="IBX995" s="2335"/>
      <c r="IBY995" s="2335"/>
      <c r="IBZ995" s="2335"/>
      <c r="ICA995" s="2335"/>
      <c r="ICB995" s="2335"/>
      <c r="ICC995" s="2335"/>
      <c r="ICD995" s="2335"/>
      <c r="ICE995" s="2335"/>
      <c r="ICF995" s="2335"/>
      <c r="ICG995" s="2335"/>
      <c r="ICH995" s="2335"/>
      <c r="ICI995" s="2335"/>
      <c r="ICJ995" s="2335"/>
      <c r="ICK995" s="2335"/>
      <c r="ICL995" s="2335"/>
      <c r="ICM995" s="2335"/>
      <c r="ICN995" s="2335"/>
      <c r="ICO995" s="2335"/>
      <c r="ICP995" s="2335"/>
      <c r="ICQ995" s="2335"/>
      <c r="ICR995" s="2335"/>
      <c r="ICS995" s="2335"/>
      <c r="ICT995" s="2335"/>
      <c r="ICU995" s="2335"/>
      <c r="ICV995" s="2335"/>
      <c r="ICW995" s="2335"/>
      <c r="ICX995" s="2335"/>
      <c r="ICY995" s="2335"/>
      <c r="ICZ995" s="2335"/>
      <c r="IDA995" s="2335"/>
      <c r="IDB995" s="2335"/>
      <c r="IDC995" s="2335"/>
      <c r="IDD995" s="2335"/>
      <c r="IDE995" s="2335"/>
      <c r="IDF995" s="2335"/>
      <c r="IDG995" s="2335"/>
      <c r="IDH995" s="2335"/>
      <c r="IDI995" s="2335"/>
      <c r="IDJ995" s="2335"/>
      <c r="IDK995" s="2335"/>
      <c r="IDL995" s="2335"/>
      <c r="IDM995" s="2335"/>
      <c r="IDN995" s="2335"/>
      <c r="IDO995" s="2335"/>
      <c r="IDP995" s="2335"/>
      <c r="IDQ995" s="2335"/>
      <c r="IDR995" s="2335"/>
      <c r="IDS995" s="2335"/>
      <c r="IDT995" s="2335"/>
      <c r="IDU995" s="2335"/>
      <c r="IDV995" s="2335"/>
      <c r="IDW995" s="2335"/>
      <c r="IDX995" s="2335"/>
      <c r="IDY995" s="2335"/>
      <c r="IDZ995" s="2335"/>
      <c r="IEA995" s="2335"/>
      <c r="IEB995" s="2335"/>
      <c r="IEC995" s="2335"/>
      <c r="IED995" s="2335"/>
      <c r="IEE995" s="2335"/>
      <c r="IEF995" s="2335"/>
      <c r="IEG995" s="2335"/>
      <c r="IEH995" s="2335"/>
      <c r="IEI995" s="2335"/>
      <c r="IEJ995" s="2335"/>
      <c r="IEK995" s="2335"/>
      <c r="IEL995" s="2335"/>
      <c r="IEM995" s="2335"/>
      <c r="IEN995" s="2335"/>
      <c r="IEO995" s="2335"/>
      <c r="IEP995" s="2335"/>
      <c r="IEQ995" s="2335"/>
      <c r="IER995" s="2335"/>
      <c r="IES995" s="2335"/>
      <c r="IET995" s="2335"/>
      <c r="IEU995" s="2335"/>
      <c r="IEV995" s="2335"/>
      <c r="IEW995" s="2335"/>
      <c r="IEX995" s="2335"/>
      <c r="IEY995" s="2335"/>
      <c r="IEZ995" s="2335"/>
      <c r="IFA995" s="2335"/>
      <c r="IFB995" s="2335"/>
      <c r="IFC995" s="2335"/>
      <c r="IFD995" s="2335"/>
      <c r="IFE995" s="2335"/>
      <c r="IFF995" s="2335"/>
      <c r="IFG995" s="2335"/>
      <c r="IFH995" s="2335"/>
      <c r="IFI995" s="2335"/>
      <c r="IFJ995" s="2335"/>
      <c r="IFK995" s="2335"/>
      <c r="IFL995" s="2335"/>
      <c r="IFM995" s="2335"/>
      <c r="IFN995" s="2335"/>
      <c r="IFO995" s="2335"/>
      <c r="IFP995" s="2335"/>
      <c r="IFQ995" s="2335"/>
      <c r="IFR995" s="2335"/>
      <c r="IFS995" s="2335"/>
      <c r="IFT995" s="2335"/>
      <c r="IFU995" s="2335"/>
      <c r="IFV995" s="2335"/>
      <c r="IFW995" s="2335"/>
      <c r="IFX995" s="2335"/>
      <c r="IFY995" s="2335"/>
      <c r="IFZ995" s="2335"/>
      <c r="IGA995" s="2335"/>
      <c r="IGB995" s="2335"/>
      <c r="IGC995" s="2335"/>
      <c r="IGD995" s="2335"/>
      <c r="IGE995" s="2335"/>
      <c r="IGF995" s="2335"/>
      <c r="IGG995" s="2335"/>
      <c r="IGH995" s="2335"/>
      <c r="IGI995" s="2335"/>
      <c r="IGJ995" s="2335"/>
      <c r="IGK995" s="2335"/>
      <c r="IGL995" s="2335"/>
      <c r="IGM995" s="2335"/>
      <c r="IGN995" s="2335"/>
      <c r="IGO995" s="2335"/>
      <c r="IGP995" s="2335"/>
      <c r="IGQ995" s="2335"/>
      <c r="IGR995" s="2335"/>
      <c r="IGS995" s="2335"/>
      <c r="IGT995" s="2335"/>
      <c r="IGU995" s="2335"/>
      <c r="IGV995" s="2335"/>
      <c r="IGW995" s="2335"/>
      <c r="IGX995" s="2335"/>
      <c r="IGY995" s="2335"/>
      <c r="IGZ995" s="2335"/>
      <c r="IHA995" s="2335"/>
      <c r="IHB995" s="2335"/>
      <c r="IHC995" s="2335"/>
      <c r="IHD995" s="2335"/>
      <c r="IHE995" s="2335"/>
      <c r="IHF995" s="2335"/>
      <c r="IHG995" s="2335"/>
      <c r="IHH995" s="2335"/>
      <c r="IHI995" s="2335"/>
      <c r="IHJ995" s="2335"/>
      <c r="IHK995" s="2335"/>
      <c r="IHL995" s="2335"/>
      <c r="IHM995" s="2335"/>
      <c r="IHN995" s="2335"/>
      <c r="IHO995" s="2335"/>
      <c r="IHP995" s="2335"/>
      <c r="IHQ995" s="2335"/>
      <c r="IHR995" s="2335"/>
      <c r="IHS995" s="2335"/>
      <c r="IHT995" s="2335"/>
      <c r="IHU995" s="2335"/>
      <c r="IHV995" s="2335"/>
      <c r="IHW995" s="2335"/>
      <c r="IHX995" s="2335"/>
      <c r="IHY995" s="2335"/>
      <c r="IHZ995" s="2335"/>
      <c r="IIA995" s="2335"/>
      <c r="IIB995" s="2335"/>
      <c r="IIC995" s="2335"/>
      <c r="IID995" s="2335"/>
      <c r="IIE995" s="2335"/>
      <c r="IIF995" s="2335"/>
      <c r="IIG995" s="2335"/>
      <c r="IIH995" s="2335"/>
      <c r="III995" s="2335"/>
      <c r="IIJ995" s="2335"/>
      <c r="IIK995" s="2335"/>
      <c r="IIL995" s="2335"/>
      <c r="IIM995" s="2335"/>
      <c r="IIN995" s="2335"/>
      <c r="IIO995" s="2335"/>
      <c r="IIP995" s="2335"/>
      <c r="IIQ995" s="2335"/>
      <c r="IIR995" s="2335"/>
      <c r="IIS995" s="2335"/>
      <c r="IIT995" s="2335"/>
      <c r="IIU995" s="2335"/>
      <c r="IIV995" s="2335"/>
      <c r="IIW995" s="2335"/>
      <c r="IIX995" s="2335"/>
      <c r="IIY995" s="2335"/>
      <c r="IIZ995" s="2335"/>
      <c r="IJA995" s="2335"/>
      <c r="IJB995" s="2335"/>
      <c r="IJC995" s="2335"/>
      <c r="IJD995" s="2335"/>
      <c r="IJE995" s="2335"/>
      <c r="IJF995" s="2335"/>
      <c r="IJG995" s="2335"/>
      <c r="IJH995" s="2335"/>
      <c r="IJI995" s="2335"/>
      <c r="IJJ995" s="2335"/>
      <c r="IJK995" s="2335"/>
      <c r="IJL995" s="2335"/>
      <c r="IJM995" s="2335"/>
      <c r="IJN995" s="2335"/>
      <c r="IJO995" s="2335"/>
      <c r="IJP995" s="2335"/>
      <c r="IJQ995" s="2335"/>
      <c r="IJR995" s="2335"/>
      <c r="IJS995" s="2335"/>
      <c r="IJT995" s="2335"/>
      <c r="IJU995" s="2335"/>
      <c r="IJV995" s="2335"/>
      <c r="IJW995" s="2335"/>
      <c r="IJX995" s="2335"/>
      <c r="IJY995" s="2335"/>
      <c r="IJZ995" s="2335"/>
      <c r="IKA995" s="2335"/>
      <c r="IKB995" s="2335"/>
      <c r="IKC995" s="2335"/>
      <c r="IKD995" s="2335"/>
      <c r="IKE995" s="2335"/>
      <c r="IKF995" s="2335"/>
      <c r="IKG995" s="2335"/>
      <c r="IKH995" s="2335"/>
      <c r="IKI995" s="2335"/>
      <c r="IKJ995" s="2335"/>
      <c r="IKK995" s="2335"/>
      <c r="IKL995" s="2335"/>
      <c r="IKM995" s="2335"/>
      <c r="IKN995" s="2335"/>
      <c r="IKO995" s="2335"/>
      <c r="IKP995" s="2335"/>
      <c r="IKQ995" s="2335"/>
      <c r="IKR995" s="2335"/>
      <c r="IKS995" s="2335"/>
      <c r="IKT995" s="2335"/>
      <c r="IKU995" s="2335"/>
      <c r="IKV995" s="2335"/>
      <c r="IKW995" s="2335"/>
      <c r="IKX995" s="2335"/>
      <c r="IKY995" s="2335"/>
      <c r="IKZ995" s="2335"/>
      <c r="ILA995" s="2335"/>
      <c r="ILB995" s="2335"/>
      <c r="ILC995" s="2335"/>
      <c r="ILD995" s="2335"/>
      <c r="ILE995" s="2335"/>
      <c r="ILF995" s="2335"/>
      <c r="ILG995" s="2335"/>
      <c r="ILH995" s="2335"/>
      <c r="ILI995" s="2335"/>
      <c r="ILJ995" s="2335"/>
      <c r="ILK995" s="2335"/>
      <c r="ILL995" s="2335"/>
      <c r="ILM995" s="2335"/>
      <c r="ILN995" s="2335"/>
      <c r="ILO995" s="2335"/>
      <c r="ILP995" s="2335"/>
      <c r="ILQ995" s="2335"/>
      <c r="ILR995" s="2335"/>
      <c r="ILS995" s="2335"/>
      <c r="ILT995" s="2335"/>
      <c r="ILU995" s="2335"/>
      <c r="ILV995" s="2335"/>
      <c r="ILW995" s="2335"/>
      <c r="ILX995" s="2335"/>
      <c r="ILY995" s="2335"/>
      <c r="ILZ995" s="2335"/>
      <c r="IMA995" s="2335"/>
      <c r="IMB995" s="2335"/>
      <c r="IMC995" s="2335"/>
      <c r="IMD995" s="2335"/>
      <c r="IME995" s="2335"/>
      <c r="IMF995" s="2335"/>
      <c r="IMG995" s="2335"/>
      <c r="IMH995" s="2335"/>
      <c r="IMI995" s="2335"/>
      <c r="IMJ995" s="2335"/>
      <c r="IMK995" s="2335"/>
      <c r="IML995" s="2335"/>
      <c r="IMM995" s="2335"/>
      <c r="IMN995" s="2335"/>
      <c r="IMO995" s="2335"/>
      <c r="IMP995" s="2335"/>
      <c r="IMQ995" s="2335"/>
      <c r="IMR995" s="2335"/>
      <c r="IMS995" s="2335"/>
      <c r="IMT995" s="2335"/>
      <c r="IMU995" s="2335"/>
      <c r="IMV995" s="2335"/>
      <c r="IMW995" s="2335"/>
      <c r="IMX995" s="2335"/>
      <c r="IMY995" s="2335"/>
      <c r="IMZ995" s="2335"/>
      <c r="INA995" s="2335"/>
      <c r="INB995" s="2335"/>
      <c r="INC995" s="2335"/>
      <c r="IND995" s="2335"/>
      <c r="INE995" s="2335"/>
      <c r="INF995" s="2335"/>
      <c r="ING995" s="2335"/>
      <c r="INH995" s="2335"/>
      <c r="INI995" s="2335"/>
      <c r="INJ995" s="2335"/>
      <c r="INK995" s="2335"/>
      <c r="INL995" s="2335"/>
      <c r="INM995" s="2335"/>
      <c r="INN995" s="2335"/>
      <c r="INO995" s="2335"/>
      <c r="INP995" s="2335"/>
      <c r="INQ995" s="2335"/>
      <c r="INR995" s="2335"/>
      <c r="INS995" s="2335"/>
      <c r="INT995" s="2335"/>
      <c r="INU995" s="2335"/>
      <c r="INV995" s="2335"/>
      <c r="INW995" s="2335"/>
      <c r="INX995" s="2335"/>
      <c r="INY995" s="2335"/>
      <c r="INZ995" s="2335"/>
      <c r="IOA995" s="2335"/>
      <c r="IOB995" s="2335"/>
      <c r="IOC995" s="2335"/>
      <c r="IOD995" s="2335"/>
      <c r="IOE995" s="2335"/>
      <c r="IOF995" s="2335"/>
      <c r="IOG995" s="2335"/>
      <c r="IOH995" s="2335"/>
      <c r="IOI995" s="2335"/>
      <c r="IOJ995" s="2335"/>
      <c r="IOK995" s="2335"/>
      <c r="IOL995" s="2335"/>
      <c r="IOM995" s="2335"/>
      <c r="ION995" s="2335"/>
      <c r="IOO995" s="2335"/>
      <c r="IOP995" s="2335"/>
      <c r="IOQ995" s="2335"/>
      <c r="IOR995" s="2335"/>
      <c r="IOS995" s="2335"/>
      <c r="IOT995" s="2335"/>
      <c r="IOU995" s="2335"/>
      <c r="IOV995" s="2335"/>
      <c r="IOW995" s="2335"/>
      <c r="IOX995" s="2335"/>
      <c r="IOY995" s="2335"/>
      <c r="IOZ995" s="2335"/>
      <c r="IPA995" s="2335"/>
      <c r="IPB995" s="2335"/>
      <c r="IPC995" s="2335"/>
      <c r="IPD995" s="2335"/>
      <c r="IPE995" s="2335"/>
      <c r="IPF995" s="2335"/>
      <c r="IPG995" s="2335"/>
      <c r="IPH995" s="2335"/>
      <c r="IPI995" s="2335"/>
      <c r="IPJ995" s="2335"/>
      <c r="IPK995" s="2335"/>
      <c r="IPL995" s="2335"/>
      <c r="IPM995" s="2335"/>
      <c r="IPN995" s="2335"/>
      <c r="IPO995" s="2335"/>
      <c r="IPP995" s="2335"/>
      <c r="IPQ995" s="2335"/>
      <c r="IPR995" s="2335"/>
      <c r="IPS995" s="2335"/>
      <c r="IPT995" s="2335"/>
      <c r="IPU995" s="2335"/>
      <c r="IPV995" s="2335"/>
      <c r="IPW995" s="2335"/>
      <c r="IPX995" s="2335"/>
      <c r="IPY995" s="2335"/>
      <c r="IPZ995" s="2335"/>
      <c r="IQA995" s="2335"/>
      <c r="IQB995" s="2335"/>
      <c r="IQC995" s="2335"/>
      <c r="IQD995" s="2335"/>
      <c r="IQE995" s="2335"/>
      <c r="IQF995" s="2335"/>
      <c r="IQG995" s="2335"/>
      <c r="IQH995" s="2335"/>
      <c r="IQI995" s="2335"/>
      <c r="IQJ995" s="2335"/>
      <c r="IQK995" s="2335"/>
      <c r="IQL995" s="2335"/>
      <c r="IQM995" s="2335"/>
      <c r="IQN995" s="2335"/>
      <c r="IQO995" s="2335"/>
      <c r="IQP995" s="2335"/>
      <c r="IQQ995" s="2335"/>
      <c r="IQR995" s="2335"/>
      <c r="IQS995" s="2335"/>
      <c r="IQT995" s="2335"/>
      <c r="IQU995" s="2335"/>
      <c r="IQV995" s="2335"/>
      <c r="IQW995" s="2335"/>
      <c r="IQX995" s="2335"/>
      <c r="IQY995" s="2335"/>
      <c r="IQZ995" s="2335"/>
      <c r="IRA995" s="2335"/>
      <c r="IRB995" s="2335"/>
      <c r="IRC995" s="2335"/>
      <c r="IRD995" s="2335"/>
      <c r="IRE995" s="2335"/>
      <c r="IRF995" s="2335"/>
      <c r="IRG995" s="2335"/>
      <c r="IRH995" s="2335"/>
      <c r="IRI995" s="2335"/>
      <c r="IRJ995" s="2335"/>
      <c r="IRK995" s="2335"/>
      <c r="IRL995" s="2335"/>
      <c r="IRM995" s="2335"/>
      <c r="IRN995" s="2335"/>
      <c r="IRO995" s="2335"/>
      <c r="IRP995" s="2335"/>
      <c r="IRQ995" s="2335"/>
      <c r="IRR995" s="2335"/>
      <c r="IRS995" s="2335"/>
      <c r="IRT995" s="2335"/>
      <c r="IRU995" s="2335"/>
      <c r="IRV995" s="2335"/>
      <c r="IRW995" s="2335"/>
      <c r="IRX995" s="2335"/>
      <c r="IRY995" s="2335"/>
      <c r="IRZ995" s="2335"/>
      <c r="ISA995" s="2335"/>
      <c r="ISB995" s="2335"/>
      <c r="ISC995" s="2335"/>
      <c r="ISD995" s="2335"/>
      <c r="ISE995" s="2335"/>
      <c r="ISF995" s="2335"/>
      <c r="ISG995" s="2335"/>
      <c r="ISH995" s="2335"/>
      <c r="ISI995" s="2335"/>
      <c r="ISJ995" s="2335"/>
      <c r="ISK995" s="2335"/>
      <c r="ISL995" s="2335"/>
      <c r="ISM995" s="2335"/>
      <c r="ISN995" s="2335"/>
      <c r="ISO995" s="2335"/>
      <c r="ISP995" s="2335"/>
      <c r="ISQ995" s="2335"/>
      <c r="ISR995" s="2335"/>
      <c r="ISS995" s="2335"/>
      <c r="IST995" s="2335"/>
      <c r="ISU995" s="2335"/>
      <c r="ISV995" s="2335"/>
      <c r="ISW995" s="2335"/>
      <c r="ISX995" s="2335"/>
      <c r="ISY995" s="2335"/>
      <c r="ISZ995" s="2335"/>
      <c r="ITA995" s="2335"/>
      <c r="ITB995" s="2335"/>
      <c r="ITC995" s="2335"/>
      <c r="ITD995" s="2335"/>
      <c r="ITE995" s="2335"/>
      <c r="ITF995" s="2335"/>
      <c r="ITG995" s="2335"/>
      <c r="ITH995" s="2335"/>
      <c r="ITI995" s="2335"/>
      <c r="ITJ995" s="2335"/>
      <c r="ITK995" s="2335"/>
      <c r="ITL995" s="2335"/>
      <c r="ITM995" s="2335"/>
      <c r="ITN995" s="2335"/>
      <c r="ITO995" s="2335"/>
      <c r="ITP995" s="2335"/>
      <c r="ITQ995" s="2335"/>
      <c r="ITR995" s="2335"/>
      <c r="ITS995" s="2335"/>
      <c r="ITT995" s="2335"/>
      <c r="ITU995" s="2335"/>
      <c r="ITV995" s="2335"/>
      <c r="ITW995" s="2335"/>
      <c r="ITX995" s="2335"/>
      <c r="ITY995" s="2335"/>
      <c r="ITZ995" s="2335"/>
      <c r="IUA995" s="2335"/>
      <c r="IUB995" s="2335"/>
      <c r="IUC995" s="2335"/>
      <c r="IUD995" s="2335"/>
      <c r="IUE995" s="2335"/>
      <c r="IUF995" s="2335"/>
      <c r="IUG995" s="2335"/>
      <c r="IUH995" s="2335"/>
      <c r="IUI995" s="2335"/>
      <c r="IUJ995" s="2335"/>
      <c r="IUK995" s="2335"/>
      <c r="IUL995" s="2335"/>
      <c r="IUM995" s="2335"/>
      <c r="IUN995" s="2335"/>
      <c r="IUO995" s="2335"/>
      <c r="IUP995" s="2335"/>
      <c r="IUQ995" s="2335"/>
      <c r="IUR995" s="2335"/>
      <c r="IUS995" s="2335"/>
      <c r="IUT995" s="2335"/>
      <c r="IUU995" s="2335"/>
      <c r="IUV995" s="2335"/>
      <c r="IUW995" s="2335"/>
      <c r="IUX995" s="2335"/>
      <c r="IUY995" s="2335"/>
      <c r="IUZ995" s="2335"/>
      <c r="IVA995" s="2335"/>
      <c r="IVB995" s="2335"/>
      <c r="IVC995" s="2335"/>
      <c r="IVD995" s="2335"/>
      <c r="IVE995" s="2335"/>
      <c r="IVF995" s="2335"/>
      <c r="IVG995" s="2335"/>
      <c r="IVH995" s="2335"/>
      <c r="IVI995" s="2335"/>
      <c r="IVJ995" s="2335"/>
      <c r="IVK995" s="2335"/>
      <c r="IVL995" s="2335"/>
      <c r="IVM995" s="2335"/>
      <c r="IVN995" s="2335"/>
      <c r="IVO995" s="2335"/>
      <c r="IVP995" s="2335"/>
      <c r="IVQ995" s="2335"/>
      <c r="IVR995" s="2335"/>
      <c r="IVS995" s="2335"/>
      <c r="IVT995" s="2335"/>
      <c r="IVU995" s="2335"/>
      <c r="IVV995" s="2335"/>
      <c r="IVW995" s="2335"/>
      <c r="IVX995" s="2335"/>
      <c r="IVY995" s="2335"/>
      <c r="IVZ995" s="2335"/>
      <c r="IWA995" s="2335"/>
      <c r="IWB995" s="2335"/>
      <c r="IWC995" s="2335"/>
      <c r="IWD995" s="2335"/>
      <c r="IWE995" s="2335"/>
      <c r="IWF995" s="2335"/>
      <c r="IWG995" s="2335"/>
      <c r="IWH995" s="2335"/>
      <c r="IWI995" s="2335"/>
      <c r="IWJ995" s="2335"/>
      <c r="IWK995" s="2335"/>
      <c r="IWL995" s="2335"/>
      <c r="IWM995" s="2335"/>
      <c r="IWN995" s="2335"/>
      <c r="IWO995" s="2335"/>
      <c r="IWP995" s="2335"/>
      <c r="IWQ995" s="2335"/>
      <c r="IWR995" s="2335"/>
      <c r="IWS995" s="2335"/>
      <c r="IWT995" s="2335"/>
      <c r="IWU995" s="2335"/>
      <c r="IWV995" s="2335"/>
      <c r="IWW995" s="2335"/>
      <c r="IWX995" s="2335"/>
      <c r="IWY995" s="2335"/>
      <c r="IWZ995" s="2335"/>
      <c r="IXA995" s="2335"/>
      <c r="IXB995" s="2335"/>
      <c r="IXC995" s="2335"/>
      <c r="IXD995" s="2335"/>
      <c r="IXE995" s="2335"/>
      <c r="IXF995" s="2335"/>
      <c r="IXG995" s="2335"/>
      <c r="IXH995" s="2335"/>
      <c r="IXI995" s="2335"/>
      <c r="IXJ995" s="2335"/>
      <c r="IXK995" s="2335"/>
      <c r="IXL995" s="2335"/>
      <c r="IXM995" s="2335"/>
      <c r="IXN995" s="2335"/>
      <c r="IXO995" s="2335"/>
      <c r="IXP995" s="2335"/>
      <c r="IXQ995" s="2335"/>
      <c r="IXR995" s="2335"/>
      <c r="IXS995" s="2335"/>
      <c r="IXT995" s="2335"/>
      <c r="IXU995" s="2335"/>
      <c r="IXV995" s="2335"/>
      <c r="IXW995" s="2335"/>
      <c r="IXX995" s="2335"/>
      <c r="IXY995" s="2335"/>
      <c r="IXZ995" s="2335"/>
      <c r="IYA995" s="2335"/>
      <c r="IYB995" s="2335"/>
      <c r="IYC995" s="2335"/>
      <c r="IYD995" s="2335"/>
      <c r="IYE995" s="2335"/>
      <c r="IYF995" s="2335"/>
      <c r="IYG995" s="2335"/>
      <c r="IYH995" s="2335"/>
      <c r="IYI995" s="2335"/>
      <c r="IYJ995" s="2335"/>
      <c r="IYK995" s="2335"/>
      <c r="IYL995" s="2335"/>
      <c r="IYM995" s="2335"/>
      <c r="IYN995" s="2335"/>
      <c r="IYO995" s="2335"/>
      <c r="IYP995" s="2335"/>
      <c r="IYQ995" s="2335"/>
      <c r="IYR995" s="2335"/>
      <c r="IYS995" s="2335"/>
      <c r="IYT995" s="2335"/>
      <c r="IYU995" s="2335"/>
      <c r="IYV995" s="2335"/>
      <c r="IYW995" s="2335"/>
      <c r="IYX995" s="2335"/>
      <c r="IYY995" s="2335"/>
      <c r="IYZ995" s="2335"/>
      <c r="IZA995" s="2335"/>
      <c r="IZB995" s="2335"/>
      <c r="IZC995" s="2335"/>
      <c r="IZD995" s="2335"/>
      <c r="IZE995" s="2335"/>
      <c r="IZF995" s="2335"/>
      <c r="IZG995" s="2335"/>
      <c r="IZH995" s="2335"/>
      <c r="IZI995" s="2335"/>
      <c r="IZJ995" s="2335"/>
      <c r="IZK995" s="2335"/>
      <c r="IZL995" s="2335"/>
      <c r="IZM995" s="2335"/>
      <c r="IZN995" s="2335"/>
      <c r="IZO995" s="2335"/>
      <c r="IZP995" s="2335"/>
      <c r="IZQ995" s="2335"/>
      <c r="IZR995" s="2335"/>
      <c r="IZS995" s="2335"/>
      <c r="IZT995" s="2335"/>
      <c r="IZU995" s="2335"/>
      <c r="IZV995" s="2335"/>
      <c r="IZW995" s="2335"/>
      <c r="IZX995" s="2335"/>
      <c r="IZY995" s="2335"/>
      <c r="IZZ995" s="2335"/>
      <c r="JAA995" s="2335"/>
      <c r="JAB995" s="2335"/>
      <c r="JAC995" s="2335"/>
      <c r="JAD995" s="2335"/>
      <c r="JAE995" s="2335"/>
      <c r="JAF995" s="2335"/>
      <c r="JAG995" s="2335"/>
      <c r="JAH995" s="2335"/>
      <c r="JAI995" s="2335"/>
      <c r="JAJ995" s="2335"/>
      <c r="JAK995" s="2335"/>
      <c r="JAL995" s="2335"/>
      <c r="JAM995" s="2335"/>
      <c r="JAN995" s="2335"/>
      <c r="JAO995" s="2335"/>
      <c r="JAP995" s="2335"/>
      <c r="JAQ995" s="2335"/>
      <c r="JAR995" s="2335"/>
      <c r="JAS995" s="2335"/>
      <c r="JAT995" s="2335"/>
      <c r="JAU995" s="2335"/>
      <c r="JAV995" s="2335"/>
      <c r="JAW995" s="2335"/>
      <c r="JAX995" s="2335"/>
      <c r="JAY995" s="2335"/>
      <c r="JAZ995" s="2335"/>
      <c r="JBA995" s="2335"/>
      <c r="JBB995" s="2335"/>
      <c r="JBC995" s="2335"/>
      <c r="JBD995" s="2335"/>
      <c r="JBE995" s="2335"/>
      <c r="JBF995" s="2335"/>
      <c r="JBG995" s="2335"/>
      <c r="JBH995" s="2335"/>
      <c r="JBI995" s="2335"/>
      <c r="JBJ995" s="2335"/>
      <c r="JBK995" s="2335"/>
      <c r="JBL995" s="2335"/>
      <c r="JBM995" s="2335"/>
      <c r="JBN995" s="2335"/>
      <c r="JBO995" s="2335"/>
      <c r="JBP995" s="2335"/>
      <c r="JBQ995" s="2335"/>
      <c r="JBR995" s="2335"/>
      <c r="JBS995" s="2335"/>
      <c r="JBT995" s="2335"/>
      <c r="JBU995" s="2335"/>
      <c r="JBV995" s="2335"/>
      <c r="JBW995" s="2335"/>
      <c r="JBX995" s="2335"/>
      <c r="JBY995" s="2335"/>
      <c r="JBZ995" s="2335"/>
      <c r="JCA995" s="2335"/>
      <c r="JCB995" s="2335"/>
      <c r="JCC995" s="2335"/>
      <c r="JCD995" s="2335"/>
      <c r="JCE995" s="2335"/>
      <c r="JCF995" s="2335"/>
      <c r="JCG995" s="2335"/>
      <c r="JCH995" s="2335"/>
      <c r="JCI995" s="2335"/>
      <c r="JCJ995" s="2335"/>
      <c r="JCK995" s="2335"/>
      <c r="JCL995" s="2335"/>
      <c r="JCM995" s="2335"/>
      <c r="JCN995" s="2335"/>
      <c r="JCO995" s="2335"/>
      <c r="JCP995" s="2335"/>
      <c r="JCQ995" s="2335"/>
      <c r="JCR995" s="2335"/>
      <c r="JCS995" s="2335"/>
      <c r="JCT995" s="2335"/>
      <c r="JCU995" s="2335"/>
      <c r="JCV995" s="2335"/>
      <c r="JCW995" s="2335"/>
      <c r="JCX995" s="2335"/>
      <c r="JCY995" s="2335"/>
      <c r="JCZ995" s="2335"/>
      <c r="JDA995" s="2335"/>
      <c r="JDB995" s="2335"/>
      <c r="JDC995" s="2335"/>
      <c r="JDD995" s="2335"/>
      <c r="JDE995" s="2335"/>
      <c r="JDF995" s="2335"/>
      <c r="JDG995" s="2335"/>
      <c r="JDH995" s="2335"/>
      <c r="JDI995" s="2335"/>
      <c r="JDJ995" s="2335"/>
      <c r="JDK995" s="2335"/>
      <c r="JDL995" s="2335"/>
      <c r="JDM995" s="2335"/>
      <c r="JDN995" s="2335"/>
      <c r="JDO995" s="2335"/>
      <c r="JDP995" s="2335"/>
      <c r="JDQ995" s="2335"/>
      <c r="JDR995" s="2335"/>
      <c r="JDS995" s="2335"/>
      <c r="JDT995" s="2335"/>
      <c r="JDU995" s="2335"/>
      <c r="JDV995" s="2335"/>
      <c r="JDW995" s="2335"/>
      <c r="JDX995" s="2335"/>
      <c r="JDY995" s="2335"/>
      <c r="JDZ995" s="2335"/>
      <c r="JEA995" s="2335"/>
      <c r="JEB995" s="2335"/>
      <c r="JEC995" s="2335"/>
      <c r="JED995" s="2335"/>
      <c r="JEE995" s="2335"/>
      <c r="JEF995" s="2335"/>
      <c r="JEG995" s="2335"/>
      <c r="JEH995" s="2335"/>
      <c r="JEI995" s="2335"/>
      <c r="JEJ995" s="2335"/>
      <c r="JEK995" s="2335"/>
      <c r="JEL995" s="2335"/>
      <c r="JEM995" s="2335"/>
      <c r="JEN995" s="2335"/>
      <c r="JEO995" s="2335"/>
      <c r="JEP995" s="2335"/>
      <c r="JEQ995" s="2335"/>
      <c r="JER995" s="2335"/>
      <c r="JES995" s="2335"/>
      <c r="JET995" s="2335"/>
      <c r="JEU995" s="2335"/>
      <c r="JEV995" s="2335"/>
      <c r="JEW995" s="2335"/>
      <c r="JEX995" s="2335"/>
      <c r="JEY995" s="2335"/>
      <c r="JEZ995" s="2335"/>
      <c r="JFA995" s="2335"/>
      <c r="JFB995" s="2335"/>
      <c r="JFC995" s="2335"/>
      <c r="JFD995" s="2335"/>
      <c r="JFE995" s="2335"/>
      <c r="JFF995" s="2335"/>
      <c r="JFG995" s="2335"/>
      <c r="JFH995" s="2335"/>
      <c r="JFI995" s="2335"/>
      <c r="JFJ995" s="2335"/>
      <c r="JFK995" s="2335"/>
      <c r="JFL995" s="2335"/>
      <c r="JFM995" s="2335"/>
      <c r="JFN995" s="2335"/>
      <c r="JFO995" s="2335"/>
      <c r="JFP995" s="2335"/>
      <c r="JFQ995" s="2335"/>
      <c r="JFR995" s="2335"/>
      <c r="JFS995" s="2335"/>
      <c r="JFT995" s="2335"/>
      <c r="JFU995" s="2335"/>
      <c r="JFV995" s="2335"/>
      <c r="JFW995" s="2335"/>
      <c r="JFX995" s="2335"/>
      <c r="JFY995" s="2335"/>
      <c r="JFZ995" s="2335"/>
      <c r="JGA995" s="2335"/>
      <c r="JGB995" s="2335"/>
      <c r="JGC995" s="2335"/>
      <c r="JGD995" s="2335"/>
      <c r="JGE995" s="2335"/>
      <c r="JGF995" s="2335"/>
      <c r="JGG995" s="2335"/>
      <c r="JGH995" s="2335"/>
      <c r="JGI995" s="2335"/>
      <c r="JGJ995" s="2335"/>
      <c r="JGK995" s="2335"/>
      <c r="JGL995" s="2335"/>
      <c r="JGM995" s="2335"/>
      <c r="JGN995" s="2335"/>
      <c r="JGO995" s="2335"/>
      <c r="JGP995" s="2335"/>
      <c r="JGQ995" s="2335"/>
      <c r="JGR995" s="2335"/>
      <c r="JGS995" s="2335"/>
      <c r="JGT995" s="2335"/>
      <c r="JGU995" s="2335"/>
      <c r="JGV995" s="2335"/>
      <c r="JGW995" s="2335"/>
      <c r="JGX995" s="2335"/>
      <c r="JGY995" s="2335"/>
      <c r="JGZ995" s="2335"/>
      <c r="JHA995" s="2335"/>
      <c r="JHB995" s="2335"/>
      <c r="JHC995" s="2335"/>
      <c r="JHD995" s="2335"/>
      <c r="JHE995" s="2335"/>
      <c r="JHF995" s="2335"/>
      <c r="JHG995" s="2335"/>
      <c r="JHH995" s="2335"/>
      <c r="JHI995" s="2335"/>
      <c r="JHJ995" s="2335"/>
      <c r="JHK995" s="2335"/>
      <c r="JHL995" s="2335"/>
      <c r="JHM995" s="2335"/>
      <c r="JHN995" s="2335"/>
      <c r="JHO995" s="2335"/>
      <c r="JHP995" s="2335"/>
      <c r="JHQ995" s="2335"/>
      <c r="JHR995" s="2335"/>
      <c r="JHS995" s="2335"/>
      <c r="JHT995" s="2335"/>
      <c r="JHU995" s="2335"/>
      <c r="JHV995" s="2335"/>
      <c r="JHW995" s="2335"/>
      <c r="JHX995" s="2335"/>
      <c r="JHY995" s="2335"/>
      <c r="JHZ995" s="2335"/>
      <c r="JIA995" s="2335"/>
      <c r="JIB995" s="2335"/>
      <c r="JIC995" s="2335"/>
      <c r="JID995" s="2335"/>
      <c r="JIE995" s="2335"/>
      <c r="JIF995" s="2335"/>
      <c r="JIG995" s="2335"/>
      <c r="JIH995" s="2335"/>
      <c r="JII995" s="2335"/>
      <c r="JIJ995" s="2335"/>
      <c r="JIK995" s="2335"/>
      <c r="JIL995" s="2335"/>
      <c r="JIM995" s="2335"/>
      <c r="JIN995" s="2335"/>
      <c r="JIO995" s="2335"/>
      <c r="JIP995" s="2335"/>
      <c r="JIQ995" s="2335"/>
      <c r="JIR995" s="2335"/>
      <c r="JIS995" s="2335"/>
      <c r="JIT995" s="2335"/>
      <c r="JIU995" s="2335"/>
      <c r="JIV995" s="2335"/>
      <c r="JIW995" s="2335"/>
      <c r="JIX995" s="2335"/>
      <c r="JIY995" s="2335"/>
      <c r="JIZ995" s="2335"/>
      <c r="JJA995" s="2335"/>
      <c r="JJB995" s="2335"/>
      <c r="JJC995" s="2335"/>
      <c r="JJD995" s="2335"/>
      <c r="JJE995" s="2335"/>
      <c r="JJF995" s="2335"/>
      <c r="JJG995" s="2335"/>
      <c r="JJH995" s="2335"/>
      <c r="JJI995" s="2335"/>
      <c r="JJJ995" s="2335"/>
      <c r="JJK995" s="2335"/>
      <c r="JJL995" s="2335"/>
      <c r="JJM995" s="2335"/>
      <c r="JJN995" s="2335"/>
      <c r="JJO995" s="2335"/>
      <c r="JJP995" s="2335"/>
      <c r="JJQ995" s="2335"/>
      <c r="JJR995" s="2335"/>
      <c r="JJS995" s="2335"/>
      <c r="JJT995" s="2335"/>
      <c r="JJU995" s="2335"/>
      <c r="JJV995" s="2335"/>
      <c r="JJW995" s="2335"/>
      <c r="JJX995" s="2335"/>
      <c r="JJY995" s="2335"/>
      <c r="JJZ995" s="2335"/>
      <c r="JKA995" s="2335"/>
      <c r="JKB995" s="2335"/>
      <c r="JKC995" s="2335"/>
      <c r="JKD995" s="2335"/>
      <c r="JKE995" s="2335"/>
      <c r="JKF995" s="2335"/>
      <c r="JKG995" s="2335"/>
      <c r="JKH995" s="2335"/>
      <c r="JKI995" s="2335"/>
      <c r="JKJ995" s="2335"/>
      <c r="JKK995" s="2335"/>
      <c r="JKL995" s="2335"/>
      <c r="JKM995" s="2335"/>
      <c r="JKN995" s="2335"/>
      <c r="JKO995" s="2335"/>
      <c r="JKP995" s="2335"/>
      <c r="JKQ995" s="2335"/>
      <c r="JKR995" s="2335"/>
      <c r="JKS995" s="2335"/>
      <c r="JKT995" s="2335"/>
      <c r="JKU995" s="2335"/>
      <c r="JKV995" s="2335"/>
      <c r="JKW995" s="2335"/>
      <c r="JKX995" s="2335"/>
      <c r="JKY995" s="2335"/>
      <c r="JKZ995" s="2335"/>
      <c r="JLA995" s="2335"/>
      <c r="JLB995" s="2335"/>
      <c r="JLC995" s="2335"/>
      <c r="JLD995" s="2335"/>
      <c r="JLE995" s="2335"/>
      <c r="JLF995" s="2335"/>
      <c r="JLG995" s="2335"/>
      <c r="JLH995" s="2335"/>
      <c r="JLI995" s="2335"/>
      <c r="JLJ995" s="2335"/>
      <c r="JLK995" s="2335"/>
      <c r="JLL995" s="2335"/>
      <c r="JLM995" s="2335"/>
      <c r="JLN995" s="2335"/>
      <c r="JLO995" s="2335"/>
      <c r="JLP995" s="2335"/>
      <c r="JLQ995" s="2335"/>
      <c r="JLR995" s="2335"/>
      <c r="JLS995" s="2335"/>
      <c r="JLT995" s="2335"/>
      <c r="JLU995" s="2335"/>
      <c r="JLV995" s="2335"/>
      <c r="JLW995" s="2335"/>
      <c r="JLX995" s="2335"/>
      <c r="JLY995" s="2335"/>
      <c r="JLZ995" s="2335"/>
      <c r="JMA995" s="2335"/>
      <c r="JMB995" s="2335"/>
      <c r="JMC995" s="2335"/>
      <c r="JMD995" s="2335"/>
      <c r="JME995" s="2335"/>
      <c r="JMF995" s="2335"/>
      <c r="JMG995" s="2335"/>
      <c r="JMH995" s="2335"/>
      <c r="JMI995" s="2335"/>
      <c r="JMJ995" s="2335"/>
      <c r="JMK995" s="2335"/>
      <c r="JML995" s="2335"/>
      <c r="JMM995" s="2335"/>
      <c r="JMN995" s="2335"/>
      <c r="JMO995" s="2335"/>
      <c r="JMP995" s="2335"/>
      <c r="JMQ995" s="2335"/>
      <c r="JMR995" s="2335"/>
      <c r="JMS995" s="2335"/>
      <c r="JMT995" s="2335"/>
      <c r="JMU995" s="2335"/>
      <c r="JMV995" s="2335"/>
      <c r="JMW995" s="2335"/>
      <c r="JMX995" s="2335"/>
      <c r="JMY995" s="2335"/>
      <c r="JMZ995" s="2335"/>
      <c r="JNA995" s="2335"/>
      <c r="JNB995" s="2335"/>
      <c r="JNC995" s="2335"/>
      <c r="JND995" s="2335"/>
      <c r="JNE995" s="2335"/>
      <c r="JNF995" s="2335"/>
      <c r="JNG995" s="2335"/>
      <c r="JNH995" s="2335"/>
      <c r="JNI995" s="2335"/>
      <c r="JNJ995" s="2335"/>
      <c r="JNK995" s="2335"/>
      <c r="JNL995" s="2335"/>
      <c r="JNM995" s="2335"/>
      <c r="JNN995" s="2335"/>
      <c r="JNO995" s="2335"/>
      <c r="JNP995" s="2335"/>
      <c r="JNQ995" s="2335"/>
      <c r="JNR995" s="2335"/>
      <c r="JNS995" s="2335"/>
      <c r="JNT995" s="2335"/>
      <c r="JNU995" s="2335"/>
      <c r="JNV995" s="2335"/>
      <c r="JNW995" s="2335"/>
      <c r="JNX995" s="2335"/>
      <c r="JNY995" s="2335"/>
      <c r="JNZ995" s="2335"/>
      <c r="JOA995" s="2335"/>
      <c r="JOB995" s="2335"/>
      <c r="JOC995" s="2335"/>
      <c r="JOD995" s="2335"/>
      <c r="JOE995" s="2335"/>
      <c r="JOF995" s="2335"/>
      <c r="JOG995" s="2335"/>
      <c r="JOH995" s="2335"/>
      <c r="JOI995" s="2335"/>
      <c r="JOJ995" s="2335"/>
      <c r="JOK995" s="2335"/>
      <c r="JOL995" s="2335"/>
      <c r="JOM995" s="2335"/>
      <c r="JON995" s="2335"/>
      <c r="JOO995" s="2335"/>
      <c r="JOP995" s="2335"/>
      <c r="JOQ995" s="2335"/>
      <c r="JOR995" s="2335"/>
      <c r="JOS995" s="2335"/>
      <c r="JOT995" s="2335"/>
      <c r="JOU995" s="2335"/>
      <c r="JOV995" s="2335"/>
      <c r="JOW995" s="2335"/>
      <c r="JOX995" s="2335"/>
      <c r="JOY995" s="2335"/>
      <c r="JOZ995" s="2335"/>
      <c r="JPA995" s="2335"/>
      <c r="JPB995" s="2335"/>
      <c r="JPC995" s="2335"/>
      <c r="JPD995" s="2335"/>
      <c r="JPE995" s="2335"/>
      <c r="JPF995" s="2335"/>
      <c r="JPG995" s="2335"/>
      <c r="JPH995" s="2335"/>
      <c r="JPI995" s="2335"/>
      <c r="JPJ995" s="2335"/>
      <c r="JPK995" s="2335"/>
      <c r="JPL995" s="2335"/>
      <c r="JPM995" s="2335"/>
      <c r="JPN995" s="2335"/>
      <c r="JPO995" s="2335"/>
      <c r="JPP995" s="2335"/>
      <c r="JPQ995" s="2335"/>
      <c r="JPR995" s="2335"/>
      <c r="JPS995" s="2335"/>
      <c r="JPT995" s="2335"/>
      <c r="JPU995" s="2335"/>
      <c r="JPV995" s="2335"/>
      <c r="JPW995" s="2335"/>
      <c r="JPX995" s="2335"/>
      <c r="JPY995" s="2335"/>
      <c r="JPZ995" s="2335"/>
      <c r="JQA995" s="2335"/>
      <c r="JQB995" s="2335"/>
      <c r="JQC995" s="2335"/>
      <c r="JQD995" s="2335"/>
      <c r="JQE995" s="2335"/>
      <c r="JQF995" s="2335"/>
      <c r="JQG995" s="2335"/>
      <c r="JQH995" s="2335"/>
      <c r="JQI995" s="2335"/>
      <c r="JQJ995" s="2335"/>
      <c r="JQK995" s="2335"/>
      <c r="JQL995" s="2335"/>
      <c r="JQM995" s="2335"/>
      <c r="JQN995" s="2335"/>
      <c r="JQO995" s="2335"/>
      <c r="JQP995" s="2335"/>
      <c r="JQQ995" s="2335"/>
      <c r="JQR995" s="2335"/>
      <c r="JQS995" s="2335"/>
      <c r="JQT995" s="2335"/>
      <c r="JQU995" s="2335"/>
      <c r="JQV995" s="2335"/>
      <c r="JQW995" s="2335"/>
      <c r="JQX995" s="2335"/>
      <c r="JQY995" s="2335"/>
      <c r="JQZ995" s="2335"/>
      <c r="JRA995" s="2335"/>
      <c r="JRB995" s="2335"/>
      <c r="JRC995" s="2335"/>
      <c r="JRD995" s="2335"/>
      <c r="JRE995" s="2335"/>
      <c r="JRF995" s="2335"/>
      <c r="JRG995" s="2335"/>
      <c r="JRH995" s="2335"/>
      <c r="JRI995" s="2335"/>
      <c r="JRJ995" s="2335"/>
      <c r="JRK995" s="2335"/>
      <c r="JRL995" s="2335"/>
      <c r="JRM995" s="2335"/>
      <c r="JRN995" s="2335"/>
      <c r="JRO995" s="2335"/>
      <c r="JRP995" s="2335"/>
      <c r="JRQ995" s="2335"/>
      <c r="JRR995" s="2335"/>
      <c r="JRS995" s="2335"/>
      <c r="JRT995" s="2335"/>
      <c r="JRU995" s="2335"/>
      <c r="JRV995" s="2335"/>
      <c r="JRW995" s="2335"/>
      <c r="JRX995" s="2335"/>
      <c r="JRY995" s="2335"/>
      <c r="JRZ995" s="2335"/>
      <c r="JSA995" s="2335"/>
      <c r="JSB995" s="2335"/>
      <c r="JSC995" s="2335"/>
      <c r="JSD995" s="2335"/>
      <c r="JSE995" s="2335"/>
      <c r="JSF995" s="2335"/>
      <c r="JSG995" s="2335"/>
      <c r="JSH995" s="2335"/>
      <c r="JSI995" s="2335"/>
      <c r="JSJ995" s="2335"/>
      <c r="JSK995" s="2335"/>
      <c r="JSL995" s="2335"/>
      <c r="JSM995" s="2335"/>
      <c r="JSN995" s="2335"/>
      <c r="JSO995" s="2335"/>
      <c r="JSP995" s="2335"/>
      <c r="JSQ995" s="2335"/>
      <c r="JSR995" s="2335"/>
      <c r="JSS995" s="2335"/>
      <c r="JST995" s="2335"/>
      <c r="JSU995" s="2335"/>
      <c r="JSV995" s="2335"/>
      <c r="JSW995" s="2335"/>
      <c r="JSX995" s="2335"/>
      <c r="JSY995" s="2335"/>
      <c r="JSZ995" s="2335"/>
      <c r="JTA995" s="2335"/>
      <c r="JTB995" s="2335"/>
      <c r="JTC995" s="2335"/>
      <c r="JTD995" s="2335"/>
      <c r="JTE995" s="2335"/>
      <c r="JTF995" s="2335"/>
      <c r="JTG995" s="2335"/>
      <c r="JTH995" s="2335"/>
      <c r="JTI995" s="2335"/>
      <c r="JTJ995" s="2335"/>
      <c r="JTK995" s="2335"/>
      <c r="JTL995" s="2335"/>
      <c r="JTM995" s="2335"/>
      <c r="JTN995" s="2335"/>
      <c r="JTO995" s="2335"/>
      <c r="JTP995" s="2335"/>
      <c r="JTQ995" s="2335"/>
      <c r="JTR995" s="2335"/>
      <c r="JTS995" s="2335"/>
      <c r="JTT995" s="2335"/>
      <c r="JTU995" s="2335"/>
      <c r="JTV995" s="2335"/>
      <c r="JTW995" s="2335"/>
      <c r="JTX995" s="2335"/>
      <c r="JTY995" s="2335"/>
      <c r="JTZ995" s="2335"/>
      <c r="JUA995" s="2335"/>
      <c r="JUB995" s="2335"/>
      <c r="JUC995" s="2335"/>
      <c r="JUD995" s="2335"/>
      <c r="JUE995" s="2335"/>
      <c r="JUF995" s="2335"/>
      <c r="JUG995" s="2335"/>
      <c r="JUH995" s="2335"/>
      <c r="JUI995" s="2335"/>
      <c r="JUJ995" s="2335"/>
      <c r="JUK995" s="2335"/>
      <c r="JUL995" s="2335"/>
      <c r="JUM995" s="2335"/>
      <c r="JUN995" s="2335"/>
      <c r="JUO995" s="2335"/>
      <c r="JUP995" s="2335"/>
      <c r="JUQ995" s="2335"/>
      <c r="JUR995" s="2335"/>
      <c r="JUS995" s="2335"/>
      <c r="JUT995" s="2335"/>
      <c r="JUU995" s="2335"/>
      <c r="JUV995" s="2335"/>
      <c r="JUW995" s="2335"/>
      <c r="JUX995" s="2335"/>
      <c r="JUY995" s="2335"/>
      <c r="JUZ995" s="2335"/>
      <c r="JVA995" s="2335"/>
      <c r="JVB995" s="2335"/>
      <c r="JVC995" s="2335"/>
      <c r="JVD995" s="2335"/>
      <c r="JVE995" s="2335"/>
      <c r="JVF995" s="2335"/>
      <c r="JVG995" s="2335"/>
      <c r="JVH995" s="2335"/>
      <c r="JVI995" s="2335"/>
      <c r="JVJ995" s="2335"/>
      <c r="JVK995" s="2335"/>
      <c r="JVL995" s="2335"/>
      <c r="JVM995" s="2335"/>
      <c r="JVN995" s="2335"/>
      <c r="JVO995" s="2335"/>
      <c r="JVP995" s="2335"/>
      <c r="JVQ995" s="2335"/>
      <c r="JVR995" s="2335"/>
      <c r="JVS995" s="2335"/>
      <c r="JVT995" s="2335"/>
      <c r="JVU995" s="2335"/>
      <c r="JVV995" s="2335"/>
      <c r="JVW995" s="2335"/>
      <c r="JVX995" s="2335"/>
      <c r="JVY995" s="2335"/>
      <c r="JVZ995" s="2335"/>
      <c r="JWA995" s="2335"/>
      <c r="JWB995" s="2335"/>
      <c r="JWC995" s="2335"/>
      <c r="JWD995" s="2335"/>
      <c r="JWE995" s="2335"/>
      <c r="JWF995" s="2335"/>
      <c r="JWG995" s="2335"/>
      <c r="JWH995" s="2335"/>
      <c r="JWI995" s="2335"/>
      <c r="JWJ995" s="2335"/>
      <c r="JWK995" s="2335"/>
      <c r="JWL995" s="2335"/>
      <c r="JWM995" s="2335"/>
      <c r="JWN995" s="2335"/>
      <c r="JWO995" s="2335"/>
      <c r="JWP995" s="2335"/>
      <c r="JWQ995" s="2335"/>
      <c r="JWR995" s="2335"/>
      <c r="JWS995" s="2335"/>
      <c r="JWT995" s="2335"/>
      <c r="JWU995" s="2335"/>
      <c r="JWV995" s="2335"/>
      <c r="JWW995" s="2335"/>
      <c r="JWX995" s="2335"/>
      <c r="JWY995" s="2335"/>
      <c r="JWZ995" s="2335"/>
      <c r="JXA995" s="2335"/>
      <c r="JXB995" s="2335"/>
      <c r="JXC995" s="2335"/>
      <c r="JXD995" s="2335"/>
      <c r="JXE995" s="2335"/>
      <c r="JXF995" s="2335"/>
      <c r="JXG995" s="2335"/>
      <c r="JXH995" s="2335"/>
      <c r="JXI995" s="2335"/>
      <c r="JXJ995" s="2335"/>
      <c r="JXK995" s="2335"/>
      <c r="JXL995" s="2335"/>
      <c r="JXM995" s="2335"/>
      <c r="JXN995" s="2335"/>
      <c r="JXO995" s="2335"/>
      <c r="JXP995" s="2335"/>
      <c r="JXQ995" s="2335"/>
      <c r="JXR995" s="2335"/>
      <c r="JXS995" s="2335"/>
      <c r="JXT995" s="2335"/>
      <c r="JXU995" s="2335"/>
      <c r="JXV995" s="2335"/>
      <c r="JXW995" s="2335"/>
      <c r="JXX995" s="2335"/>
      <c r="JXY995" s="2335"/>
      <c r="JXZ995" s="2335"/>
      <c r="JYA995" s="2335"/>
      <c r="JYB995" s="2335"/>
      <c r="JYC995" s="2335"/>
      <c r="JYD995" s="2335"/>
      <c r="JYE995" s="2335"/>
      <c r="JYF995" s="2335"/>
      <c r="JYG995" s="2335"/>
      <c r="JYH995" s="2335"/>
      <c r="JYI995" s="2335"/>
      <c r="JYJ995" s="2335"/>
      <c r="JYK995" s="2335"/>
      <c r="JYL995" s="2335"/>
      <c r="JYM995" s="2335"/>
      <c r="JYN995" s="2335"/>
      <c r="JYO995" s="2335"/>
      <c r="JYP995" s="2335"/>
      <c r="JYQ995" s="2335"/>
      <c r="JYR995" s="2335"/>
      <c r="JYS995" s="2335"/>
      <c r="JYT995" s="2335"/>
      <c r="JYU995" s="2335"/>
      <c r="JYV995" s="2335"/>
      <c r="JYW995" s="2335"/>
      <c r="JYX995" s="2335"/>
      <c r="JYY995" s="2335"/>
      <c r="JYZ995" s="2335"/>
      <c r="JZA995" s="2335"/>
      <c r="JZB995" s="2335"/>
      <c r="JZC995" s="2335"/>
      <c r="JZD995" s="2335"/>
      <c r="JZE995" s="2335"/>
      <c r="JZF995" s="2335"/>
      <c r="JZG995" s="2335"/>
      <c r="JZH995" s="2335"/>
      <c r="JZI995" s="2335"/>
      <c r="JZJ995" s="2335"/>
      <c r="JZK995" s="2335"/>
      <c r="JZL995" s="2335"/>
      <c r="JZM995" s="2335"/>
      <c r="JZN995" s="2335"/>
      <c r="JZO995" s="2335"/>
      <c r="JZP995" s="2335"/>
      <c r="JZQ995" s="2335"/>
      <c r="JZR995" s="2335"/>
      <c r="JZS995" s="2335"/>
      <c r="JZT995" s="2335"/>
      <c r="JZU995" s="2335"/>
      <c r="JZV995" s="2335"/>
      <c r="JZW995" s="2335"/>
      <c r="JZX995" s="2335"/>
      <c r="JZY995" s="2335"/>
      <c r="JZZ995" s="2335"/>
      <c r="KAA995" s="2335"/>
      <c r="KAB995" s="2335"/>
      <c r="KAC995" s="2335"/>
      <c r="KAD995" s="2335"/>
      <c r="KAE995" s="2335"/>
      <c r="KAF995" s="2335"/>
      <c r="KAG995" s="2335"/>
      <c r="KAH995" s="2335"/>
      <c r="KAI995" s="2335"/>
      <c r="KAJ995" s="2335"/>
      <c r="KAK995" s="2335"/>
      <c r="KAL995" s="2335"/>
      <c r="KAM995" s="2335"/>
      <c r="KAN995" s="2335"/>
      <c r="KAO995" s="2335"/>
      <c r="KAP995" s="2335"/>
      <c r="KAQ995" s="2335"/>
      <c r="KAR995" s="2335"/>
      <c r="KAS995" s="2335"/>
      <c r="KAT995" s="2335"/>
      <c r="KAU995" s="2335"/>
      <c r="KAV995" s="2335"/>
      <c r="KAW995" s="2335"/>
      <c r="KAX995" s="2335"/>
      <c r="KAY995" s="2335"/>
      <c r="KAZ995" s="2335"/>
      <c r="KBA995" s="2335"/>
      <c r="KBB995" s="2335"/>
      <c r="KBC995" s="2335"/>
      <c r="KBD995" s="2335"/>
      <c r="KBE995" s="2335"/>
      <c r="KBF995" s="2335"/>
      <c r="KBG995" s="2335"/>
      <c r="KBH995" s="2335"/>
      <c r="KBI995" s="2335"/>
      <c r="KBJ995" s="2335"/>
      <c r="KBK995" s="2335"/>
      <c r="KBL995" s="2335"/>
      <c r="KBM995" s="2335"/>
      <c r="KBN995" s="2335"/>
      <c r="KBO995" s="2335"/>
      <c r="KBP995" s="2335"/>
      <c r="KBQ995" s="2335"/>
      <c r="KBR995" s="2335"/>
      <c r="KBS995" s="2335"/>
      <c r="KBT995" s="2335"/>
      <c r="KBU995" s="2335"/>
      <c r="KBV995" s="2335"/>
      <c r="KBW995" s="2335"/>
      <c r="KBX995" s="2335"/>
      <c r="KBY995" s="2335"/>
      <c r="KBZ995" s="2335"/>
      <c r="KCA995" s="2335"/>
      <c r="KCB995" s="2335"/>
      <c r="KCC995" s="2335"/>
      <c r="KCD995" s="2335"/>
      <c r="KCE995" s="2335"/>
      <c r="KCF995" s="2335"/>
      <c r="KCG995" s="2335"/>
      <c r="KCH995" s="2335"/>
      <c r="KCI995" s="2335"/>
      <c r="KCJ995" s="2335"/>
      <c r="KCK995" s="2335"/>
      <c r="KCL995" s="2335"/>
      <c r="KCM995" s="2335"/>
      <c r="KCN995" s="2335"/>
      <c r="KCO995" s="2335"/>
      <c r="KCP995" s="2335"/>
      <c r="KCQ995" s="2335"/>
      <c r="KCR995" s="2335"/>
      <c r="KCS995" s="2335"/>
      <c r="KCT995" s="2335"/>
      <c r="KCU995" s="2335"/>
      <c r="KCV995" s="2335"/>
      <c r="KCW995" s="2335"/>
      <c r="KCX995" s="2335"/>
      <c r="KCY995" s="2335"/>
      <c r="KCZ995" s="2335"/>
      <c r="KDA995" s="2335"/>
      <c r="KDB995" s="2335"/>
      <c r="KDC995" s="2335"/>
      <c r="KDD995" s="2335"/>
      <c r="KDE995" s="2335"/>
      <c r="KDF995" s="2335"/>
      <c r="KDG995" s="2335"/>
      <c r="KDH995" s="2335"/>
      <c r="KDI995" s="2335"/>
      <c r="KDJ995" s="2335"/>
      <c r="KDK995" s="2335"/>
      <c r="KDL995" s="2335"/>
      <c r="KDM995" s="2335"/>
      <c r="KDN995" s="2335"/>
      <c r="KDO995" s="2335"/>
      <c r="KDP995" s="2335"/>
      <c r="KDQ995" s="2335"/>
      <c r="KDR995" s="2335"/>
      <c r="KDS995" s="2335"/>
      <c r="KDT995" s="2335"/>
      <c r="KDU995" s="2335"/>
      <c r="KDV995" s="2335"/>
      <c r="KDW995" s="2335"/>
      <c r="KDX995" s="2335"/>
      <c r="KDY995" s="2335"/>
      <c r="KDZ995" s="2335"/>
      <c r="KEA995" s="2335"/>
      <c r="KEB995" s="2335"/>
      <c r="KEC995" s="2335"/>
      <c r="KED995" s="2335"/>
      <c r="KEE995" s="2335"/>
      <c r="KEF995" s="2335"/>
      <c r="KEG995" s="2335"/>
      <c r="KEH995" s="2335"/>
      <c r="KEI995" s="2335"/>
      <c r="KEJ995" s="2335"/>
      <c r="KEK995" s="2335"/>
      <c r="KEL995" s="2335"/>
      <c r="KEM995" s="2335"/>
      <c r="KEN995" s="2335"/>
      <c r="KEO995" s="2335"/>
      <c r="KEP995" s="2335"/>
      <c r="KEQ995" s="2335"/>
      <c r="KER995" s="2335"/>
      <c r="KES995" s="2335"/>
      <c r="KET995" s="2335"/>
      <c r="KEU995" s="2335"/>
      <c r="KEV995" s="2335"/>
      <c r="KEW995" s="2335"/>
      <c r="KEX995" s="2335"/>
      <c r="KEY995" s="2335"/>
      <c r="KEZ995" s="2335"/>
      <c r="KFA995" s="2335"/>
      <c r="KFB995" s="2335"/>
      <c r="KFC995" s="2335"/>
      <c r="KFD995" s="2335"/>
      <c r="KFE995" s="2335"/>
      <c r="KFF995" s="2335"/>
      <c r="KFG995" s="2335"/>
      <c r="KFH995" s="2335"/>
      <c r="KFI995" s="2335"/>
      <c r="KFJ995" s="2335"/>
      <c r="KFK995" s="2335"/>
      <c r="KFL995" s="2335"/>
      <c r="KFM995" s="2335"/>
      <c r="KFN995" s="2335"/>
      <c r="KFO995" s="2335"/>
      <c r="KFP995" s="2335"/>
      <c r="KFQ995" s="2335"/>
      <c r="KFR995" s="2335"/>
      <c r="KFS995" s="2335"/>
      <c r="KFT995" s="2335"/>
      <c r="KFU995" s="2335"/>
      <c r="KFV995" s="2335"/>
      <c r="KFW995" s="2335"/>
      <c r="KFX995" s="2335"/>
      <c r="KFY995" s="2335"/>
      <c r="KFZ995" s="2335"/>
      <c r="KGA995" s="2335"/>
      <c r="KGB995" s="2335"/>
      <c r="KGC995" s="2335"/>
      <c r="KGD995" s="2335"/>
      <c r="KGE995" s="2335"/>
      <c r="KGF995" s="2335"/>
      <c r="KGG995" s="2335"/>
      <c r="KGH995" s="2335"/>
      <c r="KGI995" s="2335"/>
      <c r="KGJ995" s="2335"/>
      <c r="KGK995" s="2335"/>
      <c r="KGL995" s="2335"/>
      <c r="KGM995" s="2335"/>
      <c r="KGN995" s="2335"/>
      <c r="KGO995" s="2335"/>
      <c r="KGP995" s="2335"/>
      <c r="KGQ995" s="2335"/>
      <c r="KGR995" s="2335"/>
      <c r="KGS995" s="2335"/>
      <c r="KGT995" s="2335"/>
      <c r="KGU995" s="2335"/>
      <c r="KGV995" s="2335"/>
      <c r="KGW995" s="2335"/>
      <c r="KGX995" s="2335"/>
      <c r="KGY995" s="2335"/>
      <c r="KGZ995" s="2335"/>
      <c r="KHA995" s="2335"/>
      <c r="KHB995" s="2335"/>
      <c r="KHC995" s="2335"/>
      <c r="KHD995" s="2335"/>
      <c r="KHE995" s="2335"/>
      <c r="KHF995" s="2335"/>
      <c r="KHG995" s="2335"/>
      <c r="KHH995" s="2335"/>
      <c r="KHI995" s="2335"/>
      <c r="KHJ995" s="2335"/>
      <c r="KHK995" s="2335"/>
      <c r="KHL995" s="2335"/>
      <c r="KHM995" s="2335"/>
      <c r="KHN995" s="2335"/>
      <c r="KHO995" s="2335"/>
      <c r="KHP995" s="2335"/>
      <c r="KHQ995" s="2335"/>
      <c r="KHR995" s="2335"/>
      <c r="KHS995" s="2335"/>
      <c r="KHT995" s="2335"/>
      <c r="KHU995" s="2335"/>
      <c r="KHV995" s="2335"/>
      <c r="KHW995" s="2335"/>
      <c r="KHX995" s="2335"/>
      <c r="KHY995" s="2335"/>
      <c r="KHZ995" s="2335"/>
      <c r="KIA995" s="2335"/>
      <c r="KIB995" s="2335"/>
      <c r="KIC995" s="2335"/>
      <c r="KID995" s="2335"/>
      <c r="KIE995" s="2335"/>
      <c r="KIF995" s="2335"/>
      <c r="KIG995" s="2335"/>
      <c r="KIH995" s="2335"/>
      <c r="KII995" s="2335"/>
      <c r="KIJ995" s="2335"/>
      <c r="KIK995" s="2335"/>
      <c r="KIL995" s="2335"/>
      <c r="KIM995" s="2335"/>
      <c r="KIN995" s="2335"/>
      <c r="KIO995" s="2335"/>
      <c r="KIP995" s="2335"/>
      <c r="KIQ995" s="2335"/>
      <c r="KIR995" s="2335"/>
      <c r="KIS995" s="2335"/>
      <c r="KIT995" s="2335"/>
      <c r="KIU995" s="2335"/>
      <c r="KIV995" s="2335"/>
      <c r="KIW995" s="2335"/>
      <c r="KIX995" s="2335"/>
      <c r="KIY995" s="2335"/>
      <c r="KIZ995" s="2335"/>
      <c r="KJA995" s="2335"/>
      <c r="KJB995" s="2335"/>
      <c r="KJC995" s="2335"/>
      <c r="KJD995" s="2335"/>
      <c r="KJE995" s="2335"/>
      <c r="KJF995" s="2335"/>
      <c r="KJG995" s="2335"/>
      <c r="KJH995" s="2335"/>
      <c r="KJI995" s="2335"/>
      <c r="KJJ995" s="2335"/>
      <c r="KJK995" s="2335"/>
      <c r="KJL995" s="2335"/>
      <c r="KJM995" s="2335"/>
      <c r="KJN995" s="2335"/>
      <c r="KJO995" s="2335"/>
      <c r="KJP995" s="2335"/>
      <c r="KJQ995" s="2335"/>
      <c r="KJR995" s="2335"/>
      <c r="KJS995" s="2335"/>
      <c r="KJT995" s="2335"/>
      <c r="KJU995" s="2335"/>
      <c r="KJV995" s="2335"/>
      <c r="KJW995" s="2335"/>
      <c r="KJX995" s="2335"/>
      <c r="KJY995" s="2335"/>
      <c r="KJZ995" s="2335"/>
      <c r="KKA995" s="2335"/>
      <c r="KKB995" s="2335"/>
      <c r="KKC995" s="2335"/>
      <c r="KKD995" s="2335"/>
      <c r="KKE995" s="2335"/>
      <c r="KKF995" s="2335"/>
      <c r="KKG995" s="2335"/>
      <c r="KKH995" s="2335"/>
      <c r="KKI995" s="2335"/>
      <c r="KKJ995" s="2335"/>
      <c r="KKK995" s="2335"/>
      <c r="KKL995" s="2335"/>
      <c r="KKM995" s="2335"/>
      <c r="KKN995" s="2335"/>
      <c r="KKO995" s="2335"/>
      <c r="KKP995" s="2335"/>
      <c r="KKQ995" s="2335"/>
      <c r="KKR995" s="2335"/>
      <c r="KKS995" s="2335"/>
      <c r="KKT995" s="2335"/>
      <c r="KKU995" s="2335"/>
      <c r="KKV995" s="2335"/>
      <c r="KKW995" s="2335"/>
      <c r="KKX995" s="2335"/>
      <c r="KKY995" s="2335"/>
      <c r="KKZ995" s="2335"/>
      <c r="KLA995" s="2335"/>
      <c r="KLB995" s="2335"/>
      <c r="KLC995" s="2335"/>
      <c r="KLD995" s="2335"/>
      <c r="KLE995" s="2335"/>
      <c r="KLF995" s="2335"/>
      <c r="KLG995" s="2335"/>
      <c r="KLH995" s="2335"/>
      <c r="KLI995" s="2335"/>
      <c r="KLJ995" s="2335"/>
      <c r="KLK995" s="2335"/>
      <c r="KLL995" s="2335"/>
      <c r="KLM995" s="2335"/>
      <c r="KLN995" s="2335"/>
      <c r="KLO995" s="2335"/>
      <c r="KLP995" s="2335"/>
      <c r="KLQ995" s="2335"/>
      <c r="KLR995" s="2335"/>
      <c r="KLS995" s="2335"/>
      <c r="KLT995" s="2335"/>
      <c r="KLU995" s="2335"/>
      <c r="KLV995" s="2335"/>
      <c r="KLW995" s="2335"/>
      <c r="KLX995" s="2335"/>
      <c r="KLY995" s="2335"/>
      <c r="KLZ995" s="2335"/>
      <c r="KMA995" s="2335"/>
      <c r="KMB995" s="2335"/>
      <c r="KMC995" s="2335"/>
      <c r="KMD995" s="2335"/>
      <c r="KME995" s="2335"/>
      <c r="KMF995" s="2335"/>
      <c r="KMG995" s="2335"/>
      <c r="KMH995" s="2335"/>
      <c r="KMI995" s="2335"/>
      <c r="KMJ995" s="2335"/>
      <c r="KMK995" s="2335"/>
      <c r="KML995" s="2335"/>
      <c r="KMM995" s="2335"/>
      <c r="KMN995" s="2335"/>
      <c r="KMO995" s="2335"/>
      <c r="KMP995" s="2335"/>
      <c r="KMQ995" s="2335"/>
      <c r="KMR995" s="2335"/>
      <c r="KMS995" s="2335"/>
      <c r="KMT995" s="2335"/>
      <c r="KMU995" s="2335"/>
      <c r="KMV995" s="2335"/>
      <c r="KMW995" s="2335"/>
      <c r="KMX995" s="2335"/>
      <c r="KMY995" s="2335"/>
      <c r="KMZ995" s="2335"/>
      <c r="KNA995" s="2335"/>
      <c r="KNB995" s="2335"/>
      <c r="KNC995" s="2335"/>
      <c r="KND995" s="2335"/>
      <c r="KNE995" s="2335"/>
      <c r="KNF995" s="2335"/>
      <c r="KNG995" s="2335"/>
      <c r="KNH995" s="2335"/>
      <c r="KNI995" s="2335"/>
      <c r="KNJ995" s="2335"/>
      <c r="KNK995" s="2335"/>
      <c r="KNL995" s="2335"/>
      <c r="KNM995" s="2335"/>
      <c r="KNN995" s="2335"/>
      <c r="KNO995" s="2335"/>
      <c r="KNP995" s="2335"/>
      <c r="KNQ995" s="2335"/>
      <c r="KNR995" s="2335"/>
      <c r="KNS995" s="2335"/>
      <c r="KNT995" s="2335"/>
      <c r="KNU995" s="2335"/>
      <c r="KNV995" s="2335"/>
      <c r="KNW995" s="2335"/>
      <c r="KNX995" s="2335"/>
      <c r="KNY995" s="2335"/>
      <c r="KNZ995" s="2335"/>
      <c r="KOA995" s="2335"/>
      <c r="KOB995" s="2335"/>
      <c r="KOC995" s="2335"/>
      <c r="KOD995" s="2335"/>
      <c r="KOE995" s="2335"/>
      <c r="KOF995" s="2335"/>
      <c r="KOG995" s="2335"/>
      <c r="KOH995" s="2335"/>
      <c r="KOI995" s="2335"/>
      <c r="KOJ995" s="2335"/>
      <c r="KOK995" s="2335"/>
      <c r="KOL995" s="2335"/>
      <c r="KOM995" s="2335"/>
      <c r="KON995" s="2335"/>
      <c r="KOO995" s="2335"/>
      <c r="KOP995" s="2335"/>
      <c r="KOQ995" s="2335"/>
      <c r="KOR995" s="2335"/>
      <c r="KOS995" s="2335"/>
      <c r="KOT995" s="2335"/>
      <c r="KOU995" s="2335"/>
      <c r="KOV995" s="2335"/>
      <c r="KOW995" s="2335"/>
      <c r="KOX995" s="2335"/>
      <c r="KOY995" s="2335"/>
      <c r="KOZ995" s="2335"/>
      <c r="KPA995" s="2335"/>
      <c r="KPB995" s="2335"/>
      <c r="KPC995" s="2335"/>
      <c r="KPD995" s="2335"/>
      <c r="KPE995" s="2335"/>
      <c r="KPF995" s="2335"/>
      <c r="KPG995" s="2335"/>
      <c r="KPH995" s="2335"/>
      <c r="KPI995" s="2335"/>
      <c r="KPJ995" s="2335"/>
      <c r="KPK995" s="2335"/>
      <c r="KPL995" s="2335"/>
      <c r="KPM995" s="2335"/>
      <c r="KPN995" s="2335"/>
      <c r="KPO995" s="2335"/>
      <c r="KPP995" s="2335"/>
      <c r="KPQ995" s="2335"/>
      <c r="KPR995" s="2335"/>
      <c r="KPS995" s="2335"/>
      <c r="KPT995" s="2335"/>
      <c r="KPU995" s="2335"/>
      <c r="KPV995" s="2335"/>
      <c r="KPW995" s="2335"/>
      <c r="KPX995" s="2335"/>
      <c r="KPY995" s="2335"/>
      <c r="KPZ995" s="2335"/>
      <c r="KQA995" s="2335"/>
      <c r="KQB995" s="2335"/>
      <c r="KQC995" s="2335"/>
      <c r="KQD995" s="2335"/>
      <c r="KQE995" s="2335"/>
      <c r="KQF995" s="2335"/>
      <c r="KQG995" s="2335"/>
      <c r="KQH995" s="2335"/>
      <c r="KQI995" s="2335"/>
      <c r="KQJ995" s="2335"/>
      <c r="KQK995" s="2335"/>
      <c r="KQL995" s="2335"/>
      <c r="KQM995" s="2335"/>
      <c r="KQN995" s="2335"/>
      <c r="KQO995" s="2335"/>
      <c r="KQP995" s="2335"/>
      <c r="KQQ995" s="2335"/>
      <c r="KQR995" s="2335"/>
      <c r="KQS995" s="2335"/>
      <c r="KQT995" s="2335"/>
      <c r="KQU995" s="2335"/>
      <c r="KQV995" s="2335"/>
      <c r="KQW995" s="2335"/>
      <c r="KQX995" s="2335"/>
      <c r="KQY995" s="2335"/>
      <c r="KQZ995" s="2335"/>
      <c r="KRA995" s="2335"/>
      <c r="KRB995" s="2335"/>
      <c r="KRC995" s="2335"/>
      <c r="KRD995" s="2335"/>
      <c r="KRE995" s="2335"/>
      <c r="KRF995" s="2335"/>
      <c r="KRG995" s="2335"/>
      <c r="KRH995" s="2335"/>
      <c r="KRI995" s="2335"/>
      <c r="KRJ995" s="2335"/>
      <c r="KRK995" s="2335"/>
      <c r="KRL995" s="2335"/>
      <c r="KRM995" s="2335"/>
      <c r="KRN995" s="2335"/>
      <c r="KRO995" s="2335"/>
      <c r="KRP995" s="2335"/>
      <c r="KRQ995" s="2335"/>
      <c r="KRR995" s="2335"/>
      <c r="KRS995" s="2335"/>
      <c r="KRT995" s="2335"/>
      <c r="KRU995" s="2335"/>
      <c r="KRV995" s="2335"/>
      <c r="KRW995" s="2335"/>
      <c r="KRX995" s="2335"/>
      <c r="KRY995" s="2335"/>
      <c r="KRZ995" s="2335"/>
      <c r="KSA995" s="2335"/>
      <c r="KSB995" s="2335"/>
      <c r="KSC995" s="2335"/>
      <c r="KSD995" s="2335"/>
      <c r="KSE995" s="2335"/>
      <c r="KSF995" s="2335"/>
      <c r="KSG995" s="2335"/>
      <c r="KSH995" s="2335"/>
      <c r="KSI995" s="2335"/>
      <c r="KSJ995" s="2335"/>
      <c r="KSK995" s="2335"/>
      <c r="KSL995" s="2335"/>
      <c r="KSM995" s="2335"/>
      <c r="KSN995" s="2335"/>
      <c r="KSO995" s="2335"/>
      <c r="KSP995" s="2335"/>
      <c r="KSQ995" s="2335"/>
      <c r="KSR995" s="2335"/>
      <c r="KSS995" s="2335"/>
      <c r="KST995" s="2335"/>
      <c r="KSU995" s="2335"/>
      <c r="KSV995" s="2335"/>
      <c r="KSW995" s="2335"/>
      <c r="KSX995" s="2335"/>
      <c r="KSY995" s="2335"/>
      <c r="KSZ995" s="2335"/>
      <c r="KTA995" s="2335"/>
      <c r="KTB995" s="2335"/>
      <c r="KTC995" s="2335"/>
      <c r="KTD995" s="2335"/>
      <c r="KTE995" s="2335"/>
      <c r="KTF995" s="2335"/>
      <c r="KTG995" s="2335"/>
      <c r="KTH995" s="2335"/>
      <c r="KTI995" s="2335"/>
      <c r="KTJ995" s="2335"/>
      <c r="KTK995" s="2335"/>
      <c r="KTL995" s="2335"/>
      <c r="KTM995" s="2335"/>
      <c r="KTN995" s="2335"/>
      <c r="KTO995" s="2335"/>
      <c r="KTP995" s="2335"/>
      <c r="KTQ995" s="2335"/>
      <c r="KTR995" s="2335"/>
      <c r="KTS995" s="2335"/>
      <c r="KTT995" s="2335"/>
      <c r="KTU995" s="2335"/>
      <c r="KTV995" s="2335"/>
      <c r="KTW995" s="2335"/>
      <c r="KTX995" s="2335"/>
      <c r="KTY995" s="2335"/>
      <c r="KTZ995" s="2335"/>
      <c r="KUA995" s="2335"/>
      <c r="KUB995" s="2335"/>
      <c r="KUC995" s="2335"/>
      <c r="KUD995" s="2335"/>
      <c r="KUE995" s="2335"/>
      <c r="KUF995" s="2335"/>
      <c r="KUG995" s="2335"/>
      <c r="KUH995" s="2335"/>
      <c r="KUI995" s="2335"/>
      <c r="KUJ995" s="2335"/>
      <c r="KUK995" s="2335"/>
      <c r="KUL995" s="2335"/>
      <c r="KUM995" s="2335"/>
      <c r="KUN995" s="2335"/>
      <c r="KUO995" s="2335"/>
      <c r="KUP995" s="2335"/>
      <c r="KUQ995" s="2335"/>
      <c r="KUR995" s="2335"/>
      <c r="KUS995" s="2335"/>
      <c r="KUT995" s="2335"/>
      <c r="KUU995" s="2335"/>
      <c r="KUV995" s="2335"/>
      <c r="KUW995" s="2335"/>
      <c r="KUX995" s="2335"/>
      <c r="KUY995" s="2335"/>
      <c r="KUZ995" s="2335"/>
      <c r="KVA995" s="2335"/>
      <c r="KVB995" s="2335"/>
      <c r="KVC995" s="2335"/>
      <c r="KVD995" s="2335"/>
      <c r="KVE995" s="2335"/>
      <c r="KVF995" s="2335"/>
      <c r="KVG995" s="2335"/>
      <c r="KVH995" s="2335"/>
      <c r="KVI995" s="2335"/>
      <c r="KVJ995" s="2335"/>
      <c r="KVK995" s="2335"/>
      <c r="KVL995" s="2335"/>
      <c r="KVM995" s="2335"/>
      <c r="KVN995" s="2335"/>
      <c r="KVO995" s="2335"/>
      <c r="KVP995" s="2335"/>
      <c r="KVQ995" s="2335"/>
      <c r="KVR995" s="2335"/>
      <c r="KVS995" s="2335"/>
      <c r="KVT995" s="2335"/>
      <c r="KVU995" s="2335"/>
      <c r="KVV995" s="2335"/>
      <c r="KVW995" s="2335"/>
      <c r="KVX995" s="2335"/>
      <c r="KVY995" s="2335"/>
      <c r="KVZ995" s="2335"/>
      <c r="KWA995" s="2335"/>
      <c r="KWB995" s="2335"/>
      <c r="KWC995" s="2335"/>
      <c r="KWD995" s="2335"/>
      <c r="KWE995" s="2335"/>
      <c r="KWF995" s="2335"/>
      <c r="KWG995" s="2335"/>
      <c r="KWH995" s="2335"/>
      <c r="KWI995" s="2335"/>
      <c r="KWJ995" s="2335"/>
      <c r="KWK995" s="2335"/>
      <c r="KWL995" s="2335"/>
      <c r="KWM995" s="2335"/>
      <c r="KWN995" s="2335"/>
      <c r="KWO995" s="2335"/>
      <c r="KWP995" s="2335"/>
      <c r="KWQ995" s="2335"/>
      <c r="KWR995" s="2335"/>
      <c r="KWS995" s="2335"/>
      <c r="KWT995" s="2335"/>
      <c r="KWU995" s="2335"/>
      <c r="KWV995" s="2335"/>
      <c r="KWW995" s="2335"/>
      <c r="KWX995" s="2335"/>
      <c r="KWY995" s="2335"/>
      <c r="KWZ995" s="2335"/>
      <c r="KXA995" s="2335"/>
      <c r="KXB995" s="2335"/>
      <c r="KXC995" s="2335"/>
      <c r="KXD995" s="2335"/>
      <c r="KXE995" s="2335"/>
      <c r="KXF995" s="2335"/>
      <c r="KXG995" s="2335"/>
      <c r="KXH995" s="2335"/>
      <c r="KXI995" s="2335"/>
      <c r="KXJ995" s="2335"/>
      <c r="KXK995" s="2335"/>
      <c r="KXL995" s="2335"/>
      <c r="KXM995" s="2335"/>
      <c r="KXN995" s="2335"/>
      <c r="KXO995" s="2335"/>
      <c r="KXP995" s="2335"/>
      <c r="KXQ995" s="2335"/>
      <c r="KXR995" s="2335"/>
      <c r="KXS995" s="2335"/>
      <c r="KXT995" s="2335"/>
      <c r="KXU995" s="2335"/>
      <c r="KXV995" s="2335"/>
      <c r="KXW995" s="2335"/>
      <c r="KXX995" s="2335"/>
      <c r="KXY995" s="2335"/>
      <c r="KXZ995" s="2335"/>
      <c r="KYA995" s="2335"/>
      <c r="KYB995" s="2335"/>
      <c r="KYC995" s="2335"/>
      <c r="KYD995" s="2335"/>
      <c r="KYE995" s="2335"/>
      <c r="KYF995" s="2335"/>
      <c r="KYG995" s="2335"/>
      <c r="KYH995" s="2335"/>
      <c r="KYI995" s="2335"/>
      <c r="KYJ995" s="2335"/>
      <c r="KYK995" s="2335"/>
      <c r="KYL995" s="2335"/>
      <c r="KYM995" s="2335"/>
      <c r="KYN995" s="2335"/>
      <c r="KYO995" s="2335"/>
      <c r="KYP995" s="2335"/>
      <c r="KYQ995" s="2335"/>
      <c r="KYR995" s="2335"/>
      <c r="KYS995" s="2335"/>
      <c r="KYT995" s="2335"/>
      <c r="KYU995" s="2335"/>
      <c r="KYV995" s="2335"/>
      <c r="KYW995" s="2335"/>
      <c r="KYX995" s="2335"/>
      <c r="KYY995" s="2335"/>
      <c r="KYZ995" s="2335"/>
      <c r="KZA995" s="2335"/>
      <c r="KZB995" s="2335"/>
      <c r="KZC995" s="2335"/>
      <c r="KZD995" s="2335"/>
      <c r="KZE995" s="2335"/>
      <c r="KZF995" s="2335"/>
      <c r="KZG995" s="2335"/>
      <c r="KZH995" s="2335"/>
      <c r="KZI995" s="2335"/>
      <c r="KZJ995" s="2335"/>
      <c r="KZK995" s="2335"/>
      <c r="KZL995" s="2335"/>
      <c r="KZM995" s="2335"/>
      <c r="KZN995" s="2335"/>
      <c r="KZO995" s="2335"/>
      <c r="KZP995" s="2335"/>
      <c r="KZQ995" s="2335"/>
      <c r="KZR995" s="2335"/>
      <c r="KZS995" s="2335"/>
      <c r="KZT995" s="2335"/>
      <c r="KZU995" s="2335"/>
      <c r="KZV995" s="2335"/>
      <c r="KZW995" s="2335"/>
      <c r="KZX995" s="2335"/>
      <c r="KZY995" s="2335"/>
      <c r="KZZ995" s="2335"/>
      <c r="LAA995" s="2335"/>
      <c r="LAB995" s="2335"/>
      <c r="LAC995" s="2335"/>
      <c r="LAD995" s="2335"/>
      <c r="LAE995" s="2335"/>
      <c r="LAF995" s="2335"/>
      <c r="LAG995" s="2335"/>
      <c r="LAH995" s="2335"/>
      <c r="LAI995" s="2335"/>
      <c r="LAJ995" s="2335"/>
      <c r="LAK995" s="2335"/>
      <c r="LAL995" s="2335"/>
      <c r="LAM995" s="2335"/>
      <c r="LAN995" s="2335"/>
      <c r="LAO995" s="2335"/>
      <c r="LAP995" s="2335"/>
      <c r="LAQ995" s="2335"/>
      <c r="LAR995" s="2335"/>
      <c r="LAS995" s="2335"/>
      <c r="LAT995" s="2335"/>
      <c r="LAU995" s="2335"/>
      <c r="LAV995" s="2335"/>
      <c r="LAW995" s="2335"/>
      <c r="LAX995" s="2335"/>
      <c r="LAY995" s="2335"/>
      <c r="LAZ995" s="2335"/>
      <c r="LBA995" s="2335"/>
      <c r="LBB995" s="2335"/>
      <c r="LBC995" s="2335"/>
      <c r="LBD995" s="2335"/>
      <c r="LBE995" s="2335"/>
      <c r="LBF995" s="2335"/>
      <c r="LBG995" s="2335"/>
      <c r="LBH995" s="2335"/>
      <c r="LBI995" s="2335"/>
      <c r="LBJ995" s="2335"/>
      <c r="LBK995" s="2335"/>
      <c r="LBL995" s="2335"/>
      <c r="LBM995" s="2335"/>
      <c r="LBN995" s="2335"/>
      <c r="LBO995" s="2335"/>
      <c r="LBP995" s="2335"/>
      <c r="LBQ995" s="2335"/>
      <c r="LBR995" s="2335"/>
      <c r="LBS995" s="2335"/>
      <c r="LBT995" s="2335"/>
      <c r="LBU995" s="2335"/>
      <c r="LBV995" s="2335"/>
      <c r="LBW995" s="2335"/>
      <c r="LBX995" s="2335"/>
      <c r="LBY995" s="2335"/>
      <c r="LBZ995" s="2335"/>
      <c r="LCA995" s="2335"/>
      <c r="LCB995" s="2335"/>
      <c r="LCC995" s="2335"/>
      <c r="LCD995" s="2335"/>
      <c r="LCE995" s="2335"/>
      <c r="LCF995" s="2335"/>
      <c r="LCG995" s="2335"/>
      <c r="LCH995" s="2335"/>
      <c r="LCI995" s="2335"/>
      <c r="LCJ995" s="2335"/>
      <c r="LCK995" s="2335"/>
      <c r="LCL995" s="2335"/>
      <c r="LCM995" s="2335"/>
      <c r="LCN995" s="2335"/>
      <c r="LCO995" s="2335"/>
      <c r="LCP995" s="2335"/>
      <c r="LCQ995" s="2335"/>
      <c r="LCR995" s="2335"/>
      <c r="LCS995" s="2335"/>
      <c r="LCT995" s="2335"/>
      <c r="LCU995" s="2335"/>
      <c r="LCV995" s="2335"/>
      <c r="LCW995" s="2335"/>
      <c r="LCX995" s="2335"/>
      <c r="LCY995" s="2335"/>
      <c r="LCZ995" s="2335"/>
      <c r="LDA995" s="2335"/>
      <c r="LDB995" s="2335"/>
      <c r="LDC995" s="2335"/>
      <c r="LDD995" s="2335"/>
      <c r="LDE995" s="2335"/>
      <c r="LDF995" s="2335"/>
      <c r="LDG995" s="2335"/>
      <c r="LDH995" s="2335"/>
      <c r="LDI995" s="2335"/>
      <c r="LDJ995" s="2335"/>
      <c r="LDK995" s="2335"/>
      <c r="LDL995" s="2335"/>
      <c r="LDM995" s="2335"/>
      <c r="LDN995" s="2335"/>
      <c r="LDO995" s="2335"/>
      <c r="LDP995" s="2335"/>
      <c r="LDQ995" s="2335"/>
      <c r="LDR995" s="2335"/>
      <c r="LDS995" s="2335"/>
      <c r="LDT995" s="2335"/>
      <c r="LDU995" s="2335"/>
      <c r="LDV995" s="2335"/>
      <c r="LDW995" s="2335"/>
      <c r="LDX995" s="2335"/>
      <c r="LDY995" s="2335"/>
      <c r="LDZ995" s="2335"/>
      <c r="LEA995" s="2335"/>
      <c r="LEB995" s="2335"/>
      <c r="LEC995" s="2335"/>
      <c r="LED995" s="2335"/>
      <c r="LEE995" s="2335"/>
      <c r="LEF995" s="2335"/>
      <c r="LEG995" s="2335"/>
      <c r="LEH995" s="2335"/>
      <c r="LEI995" s="2335"/>
      <c r="LEJ995" s="2335"/>
      <c r="LEK995" s="2335"/>
      <c r="LEL995" s="2335"/>
      <c r="LEM995" s="2335"/>
      <c r="LEN995" s="2335"/>
      <c r="LEO995" s="2335"/>
      <c r="LEP995" s="2335"/>
      <c r="LEQ995" s="2335"/>
      <c r="LER995" s="2335"/>
      <c r="LES995" s="2335"/>
      <c r="LET995" s="2335"/>
      <c r="LEU995" s="2335"/>
      <c r="LEV995" s="2335"/>
      <c r="LEW995" s="2335"/>
      <c r="LEX995" s="2335"/>
      <c r="LEY995" s="2335"/>
      <c r="LEZ995" s="2335"/>
      <c r="LFA995" s="2335"/>
      <c r="LFB995" s="2335"/>
      <c r="LFC995" s="2335"/>
      <c r="LFD995" s="2335"/>
      <c r="LFE995" s="2335"/>
      <c r="LFF995" s="2335"/>
      <c r="LFG995" s="2335"/>
      <c r="LFH995" s="2335"/>
      <c r="LFI995" s="2335"/>
      <c r="LFJ995" s="2335"/>
      <c r="LFK995" s="2335"/>
      <c r="LFL995" s="2335"/>
      <c r="LFM995" s="2335"/>
      <c r="LFN995" s="2335"/>
      <c r="LFO995" s="2335"/>
      <c r="LFP995" s="2335"/>
      <c r="LFQ995" s="2335"/>
      <c r="LFR995" s="2335"/>
      <c r="LFS995" s="2335"/>
      <c r="LFT995" s="2335"/>
      <c r="LFU995" s="2335"/>
      <c r="LFV995" s="2335"/>
      <c r="LFW995" s="2335"/>
      <c r="LFX995" s="2335"/>
      <c r="LFY995" s="2335"/>
      <c r="LFZ995" s="2335"/>
      <c r="LGA995" s="2335"/>
      <c r="LGB995" s="2335"/>
      <c r="LGC995" s="2335"/>
      <c r="LGD995" s="2335"/>
      <c r="LGE995" s="2335"/>
      <c r="LGF995" s="2335"/>
      <c r="LGG995" s="2335"/>
      <c r="LGH995" s="2335"/>
      <c r="LGI995" s="2335"/>
      <c r="LGJ995" s="2335"/>
      <c r="LGK995" s="2335"/>
      <c r="LGL995" s="2335"/>
      <c r="LGM995" s="2335"/>
      <c r="LGN995" s="2335"/>
      <c r="LGO995" s="2335"/>
      <c r="LGP995" s="2335"/>
      <c r="LGQ995" s="2335"/>
      <c r="LGR995" s="2335"/>
      <c r="LGS995" s="2335"/>
      <c r="LGT995" s="2335"/>
      <c r="LGU995" s="2335"/>
      <c r="LGV995" s="2335"/>
      <c r="LGW995" s="2335"/>
      <c r="LGX995" s="2335"/>
      <c r="LGY995" s="2335"/>
      <c r="LGZ995" s="2335"/>
      <c r="LHA995" s="2335"/>
      <c r="LHB995" s="2335"/>
      <c r="LHC995" s="2335"/>
      <c r="LHD995" s="2335"/>
      <c r="LHE995" s="2335"/>
      <c r="LHF995" s="2335"/>
      <c r="LHG995" s="2335"/>
      <c r="LHH995" s="2335"/>
      <c r="LHI995" s="2335"/>
      <c r="LHJ995" s="2335"/>
      <c r="LHK995" s="2335"/>
      <c r="LHL995" s="2335"/>
      <c r="LHM995" s="2335"/>
      <c r="LHN995" s="2335"/>
      <c r="LHO995" s="2335"/>
      <c r="LHP995" s="2335"/>
      <c r="LHQ995" s="2335"/>
      <c r="LHR995" s="2335"/>
      <c r="LHS995" s="2335"/>
      <c r="LHT995" s="2335"/>
      <c r="LHU995" s="2335"/>
      <c r="LHV995" s="2335"/>
      <c r="LHW995" s="2335"/>
      <c r="LHX995" s="2335"/>
      <c r="LHY995" s="2335"/>
      <c r="LHZ995" s="2335"/>
      <c r="LIA995" s="2335"/>
      <c r="LIB995" s="2335"/>
      <c r="LIC995" s="2335"/>
      <c r="LID995" s="2335"/>
      <c r="LIE995" s="2335"/>
      <c r="LIF995" s="2335"/>
      <c r="LIG995" s="2335"/>
      <c r="LIH995" s="2335"/>
      <c r="LII995" s="2335"/>
      <c r="LIJ995" s="2335"/>
      <c r="LIK995" s="2335"/>
      <c r="LIL995" s="2335"/>
      <c r="LIM995" s="2335"/>
      <c r="LIN995" s="2335"/>
      <c r="LIO995" s="2335"/>
      <c r="LIP995" s="2335"/>
      <c r="LIQ995" s="2335"/>
      <c r="LIR995" s="2335"/>
      <c r="LIS995" s="2335"/>
      <c r="LIT995" s="2335"/>
      <c r="LIU995" s="2335"/>
      <c r="LIV995" s="2335"/>
      <c r="LIW995" s="2335"/>
      <c r="LIX995" s="2335"/>
      <c r="LIY995" s="2335"/>
      <c r="LIZ995" s="2335"/>
      <c r="LJA995" s="2335"/>
      <c r="LJB995" s="2335"/>
      <c r="LJC995" s="2335"/>
      <c r="LJD995" s="2335"/>
      <c r="LJE995" s="2335"/>
      <c r="LJF995" s="2335"/>
      <c r="LJG995" s="2335"/>
      <c r="LJH995" s="2335"/>
      <c r="LJI995" s="2335"/>
      <c r="LJJ995" s="2335"/>
      <c r="LJK995" s="2335"/>
      <c r="LJL995" s="2335"/>
      <c r="LJM995" s="2335"/>
      <c r="LJN995" s="2335"/>
      <c r="LJO995" s="2335"/>
      <c r="LJP995" s="2335"/>
      <c r="LJQ995" s="2335"/>
      <c r="LJR995" s="2335"/>
      <c r="LJS995" s="2335"/>
      <c r="LJT995" s="2335"/>
      <c r="LJU995" s="2335"/>
      <c r="LJV995" s="2335"/>
      <c r="LJW995" s="2335"/>
      <c r="LJX995" s="2335"/>
      <c r="LJY995" s="2335"/>
      <c r="LJZ995" s="2335"/>
      <c r="LKA995" s="2335"/>
      <c r="LKB995" s="2335"/>
      <c r="LKC995" s="2335"/>
      <c r="LKD995" s="2335"/>
      <c r="LKE995" s="2335"/>
      <c r="LKF995" s="2335"/>
      <c r="LKG995" s="2335"/>
      <c r="LKH995" s="2335"/>
      <c r="LKI995" s="2335"/>
      <c r="LKJ995" s="2335"/>
      <c r="LKK995" s="2335"/>
      <c r="LKL995" s="2335"/>
      <c r="LKM995" s="2335"/>
      <c r="LKN995" s="2335"/>
      <c r="LKO995" s="2335"/>
      <c r="LKP995" s="2335"/>
      <c r="LKQ995" s="2335"/>
      <c r="LKR995" s="2335"/>
      <c r="LKS995" s="2335"/>
      <c r="LKT995" s="2335"/>
      <c r="LKU995" s="2335"/>
      <c r="LKV995" s="2335"/>
      <c r="LKW995" s="2335"/>
      <c r="LKX995" s="2335"/>
      <c r="LKY995" s="2335"/>
      <c r="LKZ995" s="2335"/>
      <c r="LLA995" s="2335"/>
      <c r="LLB995" s="2335"/>
      <c r="LLC995" s="2335"/>
      <c r="LLD995" s="2335"/>
      <c r="LLE995" s="2335"/>
      <c r="LLF995" s="2335"/>
      <c r="LLG995" s="2335"/>
      <c r="LLH995" s="2335"/>
      <c r="LLI995" s="2335"/>
      <c r="LLJ995" s="2335"/>
      <c r="LLK995" s="2335"/>
      <c r="LLL995" s="2335"/>
      <c r="LLM995" s="2335"/>
      <c r="LLN995" s="2335"/>
      <c r="LLO995" s="2335"/>
      <c r="LLP995" s="2335"/>
      <c r="LLQ995" s="2335"/>
      <c r="LLR995" s="2335"/>
      <c r="LLS995" s="2335"/>
      <c r="LLT995" s="2335"/>
      <c r="LLU995" s="2335"/>
      <c r="LLV995" s="2335"/>
      <c r="LLW995" s="2335"/>
      <c r="LLX995" s="2335"/>
      <c r="LLY995" s="2335"/>
      <c r="LLZ995" s="2335"/>
      <c r="LMA995" s="2335"/>
      <c r="LMB995" s="2335"/>
      <c r="LMC995" s="2335"/>
      <c r="LMD995" s="2335"/>
      <c r="LME995" s="2335"/>
      <c r="LMF995" s="2335"/>
      <c r="LMG995" s="2335"/>
      <c r="LMH995" s="2335"/>
      <c r="LMI995" s="2335"/>
      <c r="LMJ995" s="2335"/>
      <c r="LMK995" s="2335"/>
      <c r="LML995" s="2335"/>
      <c r="LMM995" s="2335"/>
      <c r="LMN995" s="2335"/>
      <c r="LMO995" s="2335"/>
      <c r="LMP995" s="2335"/>
      <c r="LMQ995" s="2335"/>
      <c r="LMR995" s="2335"/>
      <c r="LMS995" s="2335"/>
      <c r="LMT995" s="2335"/>
      <c r="LMU995" s="2335"/>
      <c r="LMV995" s="2335"/>
      <c r="LMW995" s="2335"/>
      <c r="LMX995" s="2335"/>
      <c r="LMY995" s="2335"/>
      <c r="LMZ995" s="2335"/>
      <c r="LNA995" s="2335"/>
      <c r="LNB995" s="2335"/>
      <c r="LNC995" s="2335"/>
      <c r="LND995" s="2335"/>
      <c r="LNE995" s="2335"/>
      <c r="LNF995" s="2335"/>
      <c r="LNG995" s="2335"/>
      <c r="LNH995" s="2335"/>
      <c r="LNI995" s="2335"/>
      <c r="LNJ995" s="2335"/>
      <c r="LNK995" s="2335"/>
      <c r="LNL995" s="2335"/>
      <c r="LNM995" s="2335"/>
      <c r="LNN995" s="2335"/>
      <c r="LNO995" s="2335"/>
      <c r="LNP995" s="2335"/>
      <c r="LNQ995" s="2335"/>
      <c r="LNR995" s="2335"/>
      <c r="LNS995" s="2335"/>
      <c r="LNT995" s="2335"/>
      <c r="LNU995" s="2335"/>
      <c r="LNV995" s="2335"/>
      <c r="LNW995" s="2335"/>
      <c r="LNX995" s="2335"/>
      <c r="LNY995" s="2335"/>
      <c r="LNZ995" s="2335"/>
      <c r="LOA995" s="2335"/>
      <c r="LOB995" s="2335"/>
      <c r="LOC995" s="2335"/>
      <c r="LOD995" s="2335"/>
      <c r="LOE995" s="2335"/>
      <c r="LOF995" s="2335"/>
      <c r="LOG995" s="2335"/>
      <c r="LOH995" s="2335"/>
      <c r="LOI995" s="2335"/>
      <c r="LOJ995" s="2335"/>
      <c r="LOK995" s="2335"/>
      <c r="LOL995" s="2335"/>
      <c r="LOM995" s="2335"/>
      <c r="LON995" s="2335"/>
      <c r="LOO995" s="2335"/>
      <c r="LOP995" s="2335"/>
      <c r="LOQ995" s="2335"/>
      <c r="LOR995" s="2335"/>
      <c r="LOS995" s="2335"/>
      <c r="LOT995" s="2335"/>
      <c r="LOU995" s="2335"/>
      <c r="LOV995" s="2335"/>
      <c r="LOW995" s="2335"/>
      <c r="LOX995" s="2335"/>
      <c r="LOY995" s="2335"/>
      <c r="LOZ995" s="2335"/>
      <c r="LPA995" s="2335"/>
      <c r="LPB995" s="2335"/>
      <c r="LPC995" s="2335"/>
      <c r="LPD995" s="2335"/>
      <c r="LPE995" s="2335"/>
      <c r="LPF995" s="2335"/>
      <c r="LPG995" s="2335"/>
      <c r="LPH995" s="2335"/>
      <c r="LPI995" s="2335"/>
      <c r="LPJ995" s="2335"/>
      <c r="LPK995" s="2335"/>
      <c r="LPL995" s="2335"/>
      <c r="LPM995" s="2335"/>
      <c r="LPN995" s="2335"/>
      <c r="LPO995" s="2335"/>
      <c r="LPP995" s="2335"/>
      <c r="LPQ995" s="2335"/>
      <c r="LPR995" s="2335"/>
      <c r="LPS995" s="2335"/>
      <c r="LPT995" s="2335"/>
      <c r="LPU995" s="2335"/>
      <c r="LPV995" s="2335"/>
      <c r="LPW995" s="2335"/>
      <c r="LPX995" s="2335"/>
      <c r="LPY995" s="2335"/>
      <c r="LPZ995" s="2335"/>
      <c r="LQA995" s="2335"/>
      <c r="LQB995" s="2335"/>
      <c r="LQC995" s="2335"/>
      <c r="LQD995" s="2335"/>
      <c r="LQE995" s="2335"/>
      <c r="LQF995" s="2335"/>
      <c r="LQG995" s="2335"/>
      <c r="LQH995" s="2335"/>
      <c r="LQI995" s="2335"/>
      <c r="LQJ995" s="2335"/>
      <c r="LQK995" s="2335"/>
      <c r="LQL995" s="2335"/>
      <c r="LQM995" s="2335"/>
      <c r="LQN995" s="2335"/>
      <c r="LQO995" s="2335"/>
      <c r="LQP995" s="2335"/>
      <c r="LQQ995" s="2335"/>
      <c r="LQR995" s="2335"/>
      <c r="LQS995" s="2335"/>
      <c r="LQT995" s="2335"/>
      <c r="LQU995" s="2335"/>
      <c r="LQV995" s="2335"/>
      <c r="LQW995" s="2335"/>
      <c r="LQX995" s="2335"/>
      <c r="LQY995" s="2335"/>
      <c r="LQZ995" s="2335"/>
      <c r="LRA995" s="2335"/>
      <c r="LRB995" s="2335"/>
      <c r="LRC995" s="2335"/>
      <c r="LRD995" s="2335"/>
      <c r="LRE995" s="2335"/>
      <c r="LRF995" s="2335"/>
      <c r="LRG995" s="2335"/>
      <c r="LRH995" s="2335"/>
      <c r="LRI995" s="2335"/>
      <c r="LRJ995" s="2335"/>
      <c r="LRK995" s="2335"/>
      <c r="LRL995" s="2335"/>
      <c r="LRM995" s="2335"/>
      <c r="LRN995" s="2335"/>
      <c r="LRO995" s="2335"/>
      <c r="LRP995" s="2335"/>
      <c r="LRQ995" s="2335"/>
      <c r="LRR995" s="2335"/>
      <c r="LRS995" s="2335"/>
      <c r="LRT995" s="2335"/>
      <c r="LRU995" s="2335"/>
      <c r="LRV995" s="2335"/>
      <c r="LRW995" s="2335"/>
      <c r="LRX995" s="2335"/>
      <c r="LRY995" s="2335"/>
      <c r="LRZ995" s="2335"/>
      <c r="LSA995" s="2335"/>
      <c r="LSB995" s="2335"/>
      <c r="LSC995" s="2335"/>
      <c r="LSD995" s="2335"/>
      <c r="LSE995" s="2335"/>
      <c r="LSF995" s="2335"/>
      <c r="LSG995" s="2335"/>
      <c r="LSH995" s="2335"/>
      <c r="LSI995" s="2335"/>
      <c r="LSJ995" s="2335"/>
      <c r="LSK995" s="2335"/>
      <c r="LSL995" s="2335"/>
      <c r="LSM995" s="2335"/>
      <c r="LSN995" s="2335"/>
      <c r="LSO995" s="2335"/>
      <c r="LSP995" s="2335"/>
      <c r="LSQ995" s="2335"/>
      <c r="LSR995" s="2335"/>
      <c r="LSS995" s="2335"/>
      <c r="LST995" s="2335"/>
      <c r="LSU995" s="2335"/>
      <c r="LSV995" s="2335"/>
      <c r="LSW995" s="2335"/>
      <c r="LSX995" s="2335"/>
      <c r="LSY995" s="2335"/>
      <c r="LSZ995" s="2335"/>
      <c r="LTA995" s="2335"/>
      <c r="LTB995" s="2335"/>
      <c r="LTC995" s="2335"/>
      <c r="LTD995" s="2335"/>
      <c r="LTE995" s="2335"/>
      <c r="LTF995" s="2335"/>
      <c r="LTG995" s="2335"/>
      <c r="LTH995" s="2335"/>
      <c r="LTI995" s="2335"/>
      <c r="LTJ995" s="2335"/>
      <c r="LTK995" s="2335"/>
      <c r="LTL995" s="2335"/>
      <c r="LTM995" s="2335"/>
      <c r="LTN995" s="2335"/>
      <c r="LTO995" s="2335"/>
      <c r="LTP995" s="2335"/>
      <c r="LTQ995" s="2335"/>
      <c r="LTR995" s="2335"/>
      <c r="LTS995" s="2335"/>
      <c r="LTT995" s="2335"/>
      <c r="LTU995" s="2335"/>
      <c r="LTV995" s="2335"/>
      <c r="LTW995" s="2335"/>
      <c r="LTX995" s="2335"/>
      <c r="LTY995" s="2335"/>
      <c r="LTZ995" s="2335"/>
      <c r="LUA995" s="2335"/>
      <c r="LUB995" s="2335"/>
      <c r="LUC995" s="2335"/>
      <c r="LUD995" s="2335"/>
      <c r="LUE995" s="2335"/>
      <c r="LUF995" s="2335"/>
      <c r="LUG995" s="2335"/>
      <c r="LUH995" s="2335"/>
      <c r="LUI995" s="2335"/>
      <c r="LUJ995" s="2335"/>
      <c r="LUK995" s="2335"/>
      <c r="LUL995" s="2335"/>
      <c r="LUM995" s="2335"/>
      <c r="LUN995" s="2335"/>
      <c r="LUO995" s="2335"/>
      <c r="LUP995" s="2335"/>
      <c r="LUQ995" s="2335"/>
      <c r="LUR995" s="2335"/>
      <c r="LUS995" s="2335"/>
      <c r="LUT995" s="2335"/>
      <c r="LUU995" s="2335"/>
      <c r="LUV995" s="2335"/>
      <c r="LUW995" s="2335"/>
      <c r="LUX995" s="2335"/>
      <c r="LUY995" s="2335"/>
      <c r="LUZ995" s="2335"/>
      <c r="LVA995" s="2335"/>
      <c r="LVB995" s="2335"/>
      <c r="LVC995" s="2335"/>
      <c r="LVD995" s="2335"/>
      <c r="LVE995" s="2335"/>
      <c r="LVF995" s="2335"/>
      <c r="LVG995" s="2335"/>
      <c r="LVH995" s="2335"/>
      <c r="LVI995" s="2335"/>
      <c r="LVJ995" s="2335"/>
      <c r="LVK995" s="2335"/>
      <c r="LVL995" s="2335"/>
      <c r="LVM995" s="2335"/>
      <c r="LVN995" s="2335"/>
      <c r="LVO995" s="2335"/>
      <c r="LVP995" s="2335"/>
      <c r="LVQ995" s="2335"/>
      <c r="LVR995" s="2335"/>
      <c r="LVS995" s="2335"/>
      <c r="LVT995" s="2335"/>
      <c r="LVU995" s="2335"/>
      <c r="LVV995" s="2335"/>
      <c r="LVW995" s="2335"/>
      <c r="LVX995" s="2335"/>
      <c r="LVY995" s="2335"/>
      <c r="LVZ995" s="2335"/>
      <c r="LWA995" s="2335"/>
      <c r="LWB995" s="2335"/>
      <c r="LWC995" s="2335"/>
      <c r="LWD995" s="2335"/>
      <c r="LWE995" s="2335"/>
      <c r="LWF995" s="2335"/>
      <c r="LWG995" s="2335"/>
      <c r="LWH995" s="2335"/>
      <c r="LWI995" s="2335"/>
      <c r="LWJ995" s="2335"/>
      <c r="LWK995" s="2335"/>
      <c r="LWL995" s="2335"/>
      <c r="LWM995" s="2335"/>
      <c r="LWN995" s="2335"/>
      <c r="LWO995" s="2335"/>
      <c r="LWP995" s="2335"/>
      <c r="LWQ995" s="2335"/>
      <c r="LWR995" s="2335"/>
      <c r="LWS995" s="2335"/>
      <c r="LWT995" s="2335"/>
      <c r="LWU995" s="2335"/>
      <c r="LWV995" s="2335"/>
      <c r="LWW995" s="2335"/>
      <c r="LWX995" s="2335"/>
      <c r="LWY995" s="2335"/>
      <c r="LWZ995" s="2335"/>
      <c r="LXA995" s="2335"/>
      <c r="LXB995" s="2335"/>
      <c r="LXC995" s="2335"/>
      <c r="LXD995" s="2335"/>
      <c r="LXE995" s="2335"/>
      <c r="LXF995" s="2335"/>
      <c r="LXG995" s="2335"/>
      <c r="LXH995" s="2335"/>
      <c r="LXI995" s="2335"/>
      <c r="LXJ995" s="2335"/>
      <c r="LXK995" s="2335"/>
      <c r="LXL995" s="2335"/>
      <c r="LXM995" s="2335"/>
      <c r="LXN995" s="2335"/>
      <c r="LXO995" s="2335"/>
      <c r="LXP995" s="2335"/>
      <c r="LXQ995" s="2335"/>
      <c r="LXR995" s="2335"/>
      <c r="LXS995" s="2335"/>
      <c r="LXT995" s="2335"/>
      <c r="LXU995" s="2335"/>
      <c r="LXV995" s="2335"/>
      <c r="LXW995" s="2335"/>
      <c r="LXX995" s="2335"/>
      <c r="LXY995" s="2335"/>
      <c r="LXZ995" s="2335"/>
      <c r="LYA995" s="2335"/>
      <c r="LYB995" s="2335"/>
      <c r="LYC995" s="2335"/>
      <c r="LYD995" s="2335"/>
      <c r="LYE995" s="2335"/>
      <c r="LYF995" s="2335"/>
      <c r="LYG995" s="2335"/>
      <c r="LYH995" s="2335"/>
      <c r="LYI995" s="2335"/>
      <c r="LYJ995" s="2335"/>
      <c r="LYK995" s="2335"/>
      <c r="LYL995" s="2335"/>
      <c r="LYM995" s="2335"/>
      <c r="LYN995" s="2335"/>
      <c r="LYO995" s="2335"/>
      <c r="LYP995" s="2335"/>
      <c r="LYQ995" s="2335"/>
      <c r="LYR995" s="2335"/>
      <c r="LYS995" s="2335"/>
      <c r="LYT995" s="2335"/>
      <c r="LYU995" s="2335"/>
      <c r="LYV995" s="2335"/>
      <c r="LYW995" s="2335"/>
      <c r="LYX995" s="2335"/>
      <c r="LYY995" s="2335"/>
      <c r="LYZ995" s="2335"/>
      <c r="LZA995" s="2335"/>
      <c r="LZB995" s="2335"/>
      <c r="LZC995" s="2335"/>
      <c r="LZD995" s="2335"/>
      <c r="LZE995" s="2335"/>
      <c r="LZF995" s="2335"/>
      <c r="LZG995" s="2335"/>
      <c r="LZH995" s="2335"/>
      <c r="LZI995" s="2335"/>
      <c r="LZJ995" s="2335"/>
      <c r="LZK995" s="2335"/>
      <c r="LZL995" s="2335"/>
      <c r="LZM995" s="2335"/>
      <c r="LZN995" s="2335"/>
      <c r="LZO995" s="2335"/>
      <c r="LZP995" s="2335"/>
      <c r="LZQ995" s="2335"/>
      <c r="LZR995" s="2335"/>
      <c r="LZS995" s="2335"/>
      <c r="LZT995" s="2335"/>
      <c r="LZU995" s="2335"/>
      <c r="LZV995" s="2335"/>
      <c r="LZW995" s="2335"/>
      <c r="LZX995" s="2335"/>
      <c r="LZY995" s="2335"/>
      <c r="LZZ995" s="2335"/>
      <c r="MAA995" s="2335"/>
      <c r="MAB995" s="2335"/>
      <c r="MAC995" s="2335"/>
      <c r="MAD995" s="2335"/>
      <c r="MAE995" s="2335"/>
      <c r="MAF995" s="2335"/>
      <c r="MAG995" s="2335"/>
      <c r="MAH995" s="2335"/>
      <c r="MAI995" s="2335"/>
      <c r="MAJ995" s="2335"/>
      <c r="MAK995" s="2335"/>
      <c r="MAL995" s="2335"/>
      <c r="MAM995" s="2335"/>
      <c r="MAN995" s="2335"/>
      <c r="MAO995" s="2335"/>
      <c r="MAP995" s="2335"/>
      <c r="MAQ995" s="2335"/>
      <c r="MAR995" s="2335"/>
      <c r="MAS995" s="2335"/>
      <c r="MAT995" s="2335"/>
      <c r="MAU995" s="2335"/>
      <c r="MAV995" s="2335"/>
      <c r="MAW995" s="2335"/>
      <c r="MAX995" s="2335"/>
      <c r="MAY995" s="2335"/>
      <c r="MAZ995" s="2335"/>
      <c r="MBA995" s="2335"/>
      <c r="MBB995" s="2335"/>
      <c r="MBC995" s="2335"/>
      <c r="MBD995" s="2335"/>
      <c r="MBE995" s="2335"/>
      <c r="MBF995" s="2335"/>
      <c r="MBG995" s="2335"/>
      <c r="MBH995" s="2335"/>
      <c r="MBI995" s="2335"/>
      <c r="MBJ995" s="2335"/>
      <c r="MBK995" s="2335"/>
      <c r="MBL995" s="2335"/>
      <c r="MBM995" s="2335"/>
      <c r="MBN995" s="2335"/>
      <c r="MBO995" s="2335"/>
      <c r="MBP995" s="2335"/>
      <c r="MBQ995" s="2335"/>
      <c r="MBR995" s="2335"/>
      <c r="MBS995" s="2335"/>
      <c r="MBT995" s="2335"/>
      <c r="MBU995" s="2335"/>
      <c r="MBV995" s="2335"/>
      <c r="MBW995" s="2335"/>
      <c r="MBX995" s="2335"/>
      <c r="MBY995" s="2335"/>
      <c r="MBZ995" s="2335"/>
      <c r="MCA995" s="2335"/>
      <c r="MCB995" s="2335"/>
      <c r="MCC995" s="2335"/>
      <c r="MCD995" s="2335"/>
      <c r="MCE995" s="2335"/>
      <c r="MCF995" s="2335"/>
      <c r="MCG995" s="2335"/>
      <c r="MCH995" s="2335"/>
      <c r="MCI995" s="2335"/>
      <c r="MCJ995" s="2335"/>
      <c r="MCK995" s="2335"/>
      <c r="MCL995" s="2335"/>
      <c r="MCM995" s="2335"/>
      <c r="MCN995" s="2335"/>
      <c r="MCO995" s="2335"/>
      <c r="MCP995" s="2335"/>
      <c r="MCQ995" s="2335"/>
      <c r="MCR995" s="2335"/>
      <c r="MCS995" s="2335"/>
      <c r="MCT995" s="2335"/>
      <c r="MCU995" s="2335"/>
      <c r="MCV995" s="2335"/>
      <c r="MCW995" s="2335"/>
      <c r="MCX995" s="2335"/>
      <c r="MCY995" s="2335"/>
      <c r="MCZ995" s="2335"/>
      <c r="MDA995" s="2335"/>
      <c r="MDB995" s="2335"/>
      <c r="MDC995" s="2335"/>
      <c r="MDD995" s="2335"/>
      <c r="MDE995" s="2335"/>
      <c r="MDF995" s="2335"/>
      <c r="MDG995" s="2335"/>
      <c r="MDH995" s="2335"/>
      <c r="MDI995" s="2335"/>
      <c r="MDJ995" s="2335"/>
      <c r="MDK995" s="2335"/>
      <c r="MDL995" s="2335"/>
      <c r="MDM995" s="2335"/>
      <c r="MDN995" s="2335"/>
      <c r="MDO995" s="2335"/>
      <c r="MDP995" s="2335"/>
      <c r="MDQ995" s="2335"/>
      <c r="MDR995" s="2335"/>
      <c r="MDS995" s="2335"/>
      <c r="MDT995" s="2335"/>
      <c r="MDU995" s="2335"/>
      <c r="MDV995" s="2335"/>
      <c r="MDW995" s="2335"/>
      <c r="MDX995" s="2335"/>
      <c r="MDY995" s="2335"/>
      <c r="MDZ995" s="2335"/>
      <c r="MEA995" s="2335"/>
      <c r="MEB995" s="2335"/>
      <c r="MEC995" s="2335"/>
      <c r="MED995" s="2335"/>
      <c r="MEE995" s="2335"/>
      <c r="MEF995" s="2335"/>
      <c r="MEG995" s="2335"/>
      <c r="MEH995" s="2335"/>
      <c r="MEI995" s="2335"/>
      <c r="MEJ995" s="2335"/>
      <c r="MEK995" s="2335"/>
      <c r="MEL995" s="2335"/>
      <c r="MEM995" s="2335"/>
      <c r="MEN995" s="2335"/>
      <c r="MEO995" s="2335"/>
      <c r="MEP995" s="2335"/>
      <c r="MEQ995" s="2335"/>
      <c r="MER995" s="2335"/>
      <c r="MES995" s="2335"/>
      <c r="MET995" s="2335"/>
      <c r="MEU995" s="2335"/>
      <c r="MEV995" s="2335"/>
      <c r="MEW995" s="2335"/>
      <c r="MEX995" s="2335"/>
      <c r="MEY995" s="2335"/>
      <c r="MEZ995" s="2335"/>
      <c r="MFA995" s="2335"/>
      <c r="MFB995" s="2335"/>
      <c r="MFC995" s="2335"/>
      <c r="MFD995" s="2335"/>
      <c r="MFE995" s="2335"/>
      <c r="MFF995" s="2335"/>
      <c r="MFG995" s="2335"/>
      <c r="MFH995" s="2335"/>
      <c r="MFI995" s="2335"/>
      <c r="MFJ995" s="2335"/>
      <c r="MFK995" s="2335"/>
      <c r="MFL995" s="2335"/>
      <c r="MFM995" s="2335"/>
      <c r="MFN995" s="2335"/>
      <c r="MFO995" s="2335"/>
      <c r="MFP995" s="2335"/>
      <c r="MFQ995" s="2335"/>
      <c r="MFR995" s="2335"/>
      <c r="MFS995" s="2335"/>
      <c r="MFT995" s="2335"/>
      <c r="MFU995" s="2335"/>
      <c r="MFV995" s="2335"/>
      <c r="MFW995" s="2335"/>
      <c r="MFX995" s="2335"/>
      <c r="MFY995" s="2335"/>
      <c r="MFZ995" s="2335"/>
      <c r="MGA995" s="2335"/>
      <c r="MGB995" s="2335"/>
      <c r="MGC995" s="2335"/>
      <c r="MGD995" s="2335"/>
      <c r="MGE995" s="2335"/>
      <c r="MGF995" s="2335"/>
      <c r="MGG995" s="2335"/>
      <c r="MGH995" s="2335"/>
      <c r="MGI995" s="2335"/>
      <c r="MGJ995" s="2335"/>
      <c r="MGK995" s="2335"/>
      <c r="MGL995" s="2335"/>
      <c r="MGM995" s="2335"/>
      <c r="MGN995" s="2335"/>
      <c r="MGO995" s="2335"/>
      <c r="MGP995" s="2335"/>
      <c r="MGQ995" s="2335"/>
      <c r="MGR995" s="2335"/>
      <c r="MGS995" s="2335"/>
      <c r="MGT995" s="2335"/>
      <c r="MGU995" s="2335"/>
      <c r="MGV995" s="2335"/>
      <c r="MGW995" s="2335"/>
      <c r="MGX995" s="2335"/>
      <c r="MGY995" s="2335"/>
      <c r="MGZ995" s="2335"/>
      <c r="MHA995" s="2335"/>
      <c r="MHB995" s="2335"/>
      <c r="MHC995" s="2335"/>
      <c r="MHD995" s="2335"/>
      <c r="MHE995" s="2335"/>
      <c r="MHF995" s="2335"/>
      <c r="MHG995" s="2335"/>
      <c r="MHH995" s="2335"/>
      <c r="MHI995" s="2335"/>
      <c r="MHJ995" s="2335"/>
      <c r="MHK995" s="2335"/>
      <c r="MHL995" s="2335"/>
      <c r="MHM995" s="2335"/>
      <c r="MHN995" s="2335"/>
      <c r="MHO995" s="2335"/>
      <c r="MHP995" s="2335"/>
      <c r="MHQ995" s="2335"/>
      <c r="MHR995" s="2335"/>
      <c r="MHS995" s="2335"/>
      <c r="MHT995" s="2335"/>
      <c r="MHU995" s="2335"/>
      <c r="MHV995" s="2335"/>
      <c r="MHW995" s="2335"/>
      <c r="MHX995" s="2335"/>
      <c r="MHY995" s="2335"/>
      <c r="MHZ995" s="2335"/>
      <c r="MIA995" s="2335"/>
      <c r="MIB995" s="2335"/>
      <c r="MIC995" s="2335"/>
      <c r="MID995" s="2335"/>
      <c r="MIE995" s="2335"/>
      <c r="MIF995" s="2335"/>
      <c r="MIG995" s="2335"/>
      <c r="MIH995" s="2335"/>
      <c r="MII995" s="2335"/>
      <c r="MIJ995" s="2335"/>
      <c r="MIK995" s="2335"/>
      <c r="MIL995" s="2335"/>
      <c r="MIM995" s="2335"/>
      <c r="MIN995" s="2335"/>
      <c r="MIO995" s="2335"/>
      <c r="MIP995" s="2335"/>
      <c r="MIQ995" s="2335"/>
      <c r="MIR995" s="2335"/>
      <c r="MIS995" s="2335"/>
      <c r="MIT995" s="2335"/>
      <c r="MIU995" s="2335"/>
      <c r="MIV995" s="2335"/>
      <c r="MIW995" s="2335"/>
      <c r="MIX995" s="2335"/>
      <c r="MIY995" s="2335"/>
      <c r="MIZ995" s="2335"/>
      <c r="MJA995" s="2335"/>
      <c r="MJB995" s="2335"/>
      <c r="MJC995" s="2335"/>
      <c r="MJD995" s="2335"/>
      <c r="MJE995" s="2335"/>
      <c r="MJF995" s="2335"/>
      <c r="MJG995" s="2335"/>
      <c r="MJH995" s="2335"/>
      <c r="MJI995" s="2335"/>
      <c r="MJJ995" s="2335"/>
      <c r="MJK995" s="2335"/>
      <c r="MJL995" s="2335"/>
      <c r="MJM995" s="2335"/>
      <c r="MJN995" s="2335"/>
      <c r="MJO995" s="2335"/>
      <c r="MJP995" s="2335"/>
      <c r="MJQ995" s="2335"/>
      <c r="MJR995" s="2335"/>
      <c r="MJS995" s="2335"/>
      <c r="MJT995" s="2335"/>
      <c r="MJU995" s="2335"/>
      <c r="MJV995" s="2335"/>
      <c r="MJW995" s="2335"/>
      <c r="MJX995" s="2335"/>
      <c r="MJY995" s="2335"/>
      <c r="MJZ995" s="2335"/>
      <c r="MKA995" s="2335"/>
      <c r="MKB995" s="2335"/>
      <c r="MKC995" s="2335"/>
      <c r="MKD995" s="2335"/>
      <c r="MKE995" s="2335"/>
      <c r="MKF995" s="2335"/>
      <c r="MKG995" s="2335"/>
      <c r="MKH995" s="2335"/>
      <c r="MKI995" s="2335"/>
      <c r="MKJ995" s="2335"/>
      <c r="MKK995" s="2335"/>
      <c r="MKL995" s="2335"/>
      <c r="MKM995" s="2335"/>
      <c r="MKN995" s="2335"/>
      <c r="MKO995" s="2335"/>
      <c r="MKP995" s="2335"/>
      <c r="MKQ995" s="2335"/>
      <c r="MKR995" s="2335"/>
      <c r="MKS995" s="2335"/>
      <c r="MKT995" s="2335"/>
      <c r="MKU995" s="2335"/>
      <c r="MKV995" s="2335"/>
      <c r="MKW995" s="2335"/>
      <c r="MKX995" s="2335"/>
      <c r="MKY995" s="2335"/>
      <c r="MKZ995" s="2335"/>
      <c r="MLA995" s="2335"/>
      <c r="MLB995" s="2335"/>
      <c r="MLC995" s="2335"/>
      <c r="MLD995" s="2335"/>
      <c r="MLE995" s="2335"/>
      <c r="MLF995" s="2335"/>
      <c r="MLG995" s="2335"/>
      <c r="MLH995" s="2335"/>
      <c r="MLI995" s="2335"/>
      <c r="MLJ995" s="2335"/>
      <c r="MLK995" s="2335"/>
      <c r="MLL995" s="2335"/>
      <c r="MLM995" s="2335"/>
      <c r="MLN995" s="2335"/>
      <c r="MLO995" s="2335"/>
      <c r="MLP995" s="2335"/>
      <c r="MLQ995" s="2335"/>
      <c r="MLR995" s="2335"/>
      <c r="MLS995" s="2335"/>
      <c r="MLT995" s="2335"/>
      <c r="MLU995" s="2335"/>
      <c r="MLV995" s="2335"/>
      <c r="MLW995" s="2335"/>
      <c r="MLX995" s="2335"/>
      <c r="MLY995" s="2335"/>
      <c r="MLZ995" s="2335"/>
      <c r="MMA995" s="2335"/>
      <c r="MMB995" s="2335"/>
      <c r="MMC995" s="2335"/>
      <c r="MMD995" s="2335"/>
      <c r="MME995" s="2335"/>
      <c r="MMF995" s="2335"/>
      <c r="MMG995" s="2335"/>
      <c r="MMH995" s="2335"/>
      <c r="MMI995" s="2335"/>
      <c r="MMJ995" s="2335"/>
      <c r="MMK995" s="2335"/>
      <c r="MML995" s="2335"/>
      <c r="MMM995" s="2335"/>
      <c r="MMN995" s="2335"/>
      <c r="MMO995" s="2335"/>
      <c r="MMP995" s="2335"/>
      <c r="MMQ995" s="2335"/>
      <c r="MMR995" s="2335"/>
      <c r="MMS995" s="2335"/>
      <c r="MMT995" s="2335"/>
      <c r="MMU995" s="2335"/>
      <c r="MMV995" s="2335"/>
      <c r="MMW995" s="2335"/>
      <c r="MMX995" s="2335"/>
      <c r="MMY995" s="2335"/>
      <c r="MMZ995" s="2335"/>
      <c r="MNA995" s="2335"/>
      <c r="MNB995" s="2335"/>
      <c r="MNC995" s="2335"/>
      <c r="MND995" s="2335"/>
      <c r="MNE995" s="2335"/>
      <c r="MNF995" s="2335"/>
      <c r="MNG995" s="2335"/>
      <c r="MNH995" s="2335"/>
      <c r="MNI995" s="2335"/>
      <c r="MNJ995" s="2335"/>
      <c r="MNK995" s="2335"/>
      <c r="MNL995" s="2335"/>
      <c r="MNM995" s="2335"/>
      <c r="MNN995" s="2335"/>
      <c r="MNO995" s="2335"/>
      <c r="MNP995" s="2335"/>
      <c r="MNQ995" s="2335"/>
      <c r="MNR995" s="2335"/>
      <c r="MNS995" s="2335"/>
      <c r="MNT995" s="2335"/>
      <c r="MNU995" s="2335"/>
      <c r="MNV995" s="2335"/>
      <c r="MNW995" s="2335"/>
      <c r="MNX995" s="2335"/>
      <c r="MNY995" s="2335"/>
      <c r="MNZ995" s="2335"/>
      <c r="MOA995" s="2335"/>
      <c r="MOB995" s="2335"/>
      <c r="MOC995" s="2335"/>
      <c r="MOD995" s="2335"/>
      <c r="MOE995" s="2335"/>
      <c r="MOF995" s="2335"/>
      <c r="MOG995" s="2335"/>
      <c r="MOH995" s="2335"/>
      <c r="MOI995" s="2335"/>
      <c r="MOJ995" s="2335"/>
      <c r="MOK995" s="2335"/>
      <c r="MOL995" s="2335"/>
      <c r="MOM995" s="2335"/>
      <c r="MON995" s="2335"/>
      <c r="MOO995" s="2335"/>
      <c r="MOP995" s="2335"/>
      <c r="MOQ995" s="2335"/>
      <c r="MOR995" s="2335"/>
      <c r="MOS995" s="2335"/>
      <c r="MOT995" s="2335"/>
      <c r="MOU995" s="2335"/>
      <c r="MOV995" s="2335"/>
      <c r="MOW995" s="2335"/>
      <c r="MOX995" s="2335"/>
      <c r="MOY995" s="2335"/>
      <c r="MOZ995" s="2335"/>
      <c r="MPA995" s="2335"/>
      <c r="MPB995" s="2335"/>
      <c r="MPC995" s="2335"/>
      <c r="MPD995" s="2335"/>
      <c r="MPE995" s="2335"/>
      <c r="MPF995" s="2335"/>
      <c r="MPG995" s="2335"/>
      <c r="MPH995" s="2335"/>
      <c r="MPI995" s="2335"/>
      <c r="MPJ995" s="2335"/>
      <c r="MPK995" s="2335"/>
      <c r="MPL995" s="2335"/>
      <c r="MPM995" s="2335"/>
      <c r="MPN995" s="2335"/>
      <c r="MPO995" s="2335"/>
      <c r="MPP995" s="2335"/>
      <c r="MPQ995" s="2335"/>
      <c r="MPR995" s="2335"/>
      <c r="MPS995" s="2335"/>
      <c r="MPT995" s="2335"/>
      <c r="MPU995" s="2335"/>
      <c r="MPV995" s="2335"/>
      <c r="MPW995" s="2335"/>
      <c r="MPX995" s="2335"/>
      <c r="MPY995" s="2335"/>
      <c r="MPZ995" s="2335"/>
      <c r="MQA995" s="2335"/>
      <c r="MQB995" s="2335"/>
      <c r="MQC995" s="2335"/>
      <c r="MQD995" s="2335"/>
      <c r="MQE995" s="2335"/>
      <c r="MQF995" s="2335"/>
      <c r="MQG995" s="2335"/>
      <c r="MQH995" s="2335"/>
      <c r="MQI995" s="2335"/>
      <c r="MQJ995" s="2335"/>
      <c r="MQK995" s="2335"/>
      <c r="MQL995" s="2335"/>
      <c r="MQM995" s="2335"/>
      <c r="MQN995" s="2335"/>
      <c r="MQO995" s="2335"/>
      <c r="MQP995" s="2335"/>
      <c r="MQQ995" s="2335"/>
      <c r="MQR995" s="2335"/>
      <c r="MQS995" s="2335"/>
      <c r="MQT995" s="2335"/>
      <c r="MQU995" s="2335"/>
      <c r="MQV995" s="2335"/>
      <c r="MQW995" s="2335"/>
      <c r="MQX995" s="2335"/>
      <c r="MQY995" s="2335"/>
      <c r="MQZ995" s="2335"/>
      <c r="MRA995" s="2335"/>
      <c r="MRB995" s="2335"/>
      <c r="MRC995" s="2335"/>
      <c r="MRD995" s="2335"/>
      <c r="MRE995" s="2335"/>
      <c r="MRF995" s="2335"/>
      <c r="MRG995" s="2335"/>
      <c r="MRH995" s="2335"/>
      <c r="MRI995" s="2335"/>
      <c r="MRJ995" s="2335"/>
      <c r="MRK995" s="2335"/>
      <c r="MRL995" s="2335"/>
      <c r="MRM995" s="2335"/>
      <c r="MRN995" s="2335"/>
      <c r="MRO995" s="2335"/>
      <c r="MRP995" s="2335"/>
      <c r="MRQ995" s="2335"/>
      <c r="MRR995" s="2335"/>
      <c r="MRS995" s="2335"/>
      <c r="MRT995" s="2335"/>
      <c r="MRU995" s="2335"/>
      <c r="MRV995" s="2335"/>
      <c r="MRW995" s="2335"/>
      <c r="MRX995" s="2335"/>
      <c r="MRY995" s="2335"/>
      <c r="MRZ995" s="2335"/>
      <c r="MSA995" s="2335"/>
      <c r="MSB995" s="2335"/>
      <c r="MSC995" s="2335"/>
      <c r="MSD995" s="2335"/>
      <c r="MSE995" s="2335"/>
      <c r="MSF995" s="2335"/>
      <c r="MSG995" s="2335"/>
      <c r="MSH995" s="2335"/>
      <c r="MSI995" s="2335"/>
      <c r="MSJ995" s="2335"/>
      <c r="MSK995" s="2335"/>
      <c r="MSL995" s="2335"/>
      <c r="MSM995" s="2335"/>
      <c r="MSN995" s="2335"/>
      <c r="MSO995" s="2335"/>
      <c r="MSP995" s="2335"/>
      <c r="MSQ995" s="2335"/>
      <c r="MSR995" s="2335"/>
      <c r="MSS995" s="2335"/>
      <c r="MST995" s="2335"/>
      <c r="MSU995" s="2335"/>
      <c r="MSV995" s="2335"/>
      <c r="MSW995" s="2335"/>
      <c r="MSX995" s="2335"/>
      <c r="MSY995" s="2335"/>
      <c r="MSZ995" s="2335"/>
      <c r="MTA995" s="2335"/>
      <c r="MTB995" s="2335"/>
      <c r="MTC995" s="2335"/>
      <c r="MTD995" s="2335"/>
      <c r="MTE995" s="2335"/>
      <c r="MTF995" s="2335"/>
      <c r="MTG995" s="2335"/>
      <c r="MTH995" s="2335"/>
      <c r="MTI995" s="2335"/>
      <c r="MTJ995" s="2335"/>
      <c r="MTK995" s="2335"/>
      <c r="MTL995" s="2335"/>
      <c r="MTM995" s="2335"/>
      <c r="MTN995" s="2335"/>
      <c r="MTO995" s="2335"/>
      <c r="MTP995" s="2335"/>
      <c r="MTQ995" s="2335"/>
      <c r="MTR995" s="2335"/>
      <c r="MTS995" s="2335"/>
      <c r="MTT995" s="2335"/>
      <c r="MTU995" s="2335"/>
      <c r="MTV995" s="2335"/>
      <c r="MTW995" s="2335"/>
      <c r="MTX995" s="2335"/>
      <c r="MTY995" s="2335"/>
      <c r="MTZ995" s="2335"/>
      <c r="MUA995" s="2335"/>
      <c r="MUB995" s="2335"/>
      <c r="MUC995" s="2335"/>
      <c r="MUD995" s="2335"/>
      <c r="MUE995" s="2335"/>
      <c r="MUF995" s="2335"/>
      <c r="MUG995" s="2335"/>
      <c r="MUH995" s="2335"/>
      <c r="MUI995" s="2335"/>
      <c r="MUJ995" s="2335"/>
      <c r="MUK995" s="2335"/>
      <c r="MUL995" s="2335"/>
      <c r="MUM995" s="2335"/>
      <c r="MUN995" s="2335"/>
      <c r="MUO995" s="2335"/>
      <c r="MUP995" s="2335"/>
      <c r="MUQ995" s="2335"/>
      <c r="MUR995" s="2335"/>
      <c r="MUS995" s="2335"/>
      <c r="MUT995" s="2335"/>
      <c r="MUU995" s="2335"/>
      <c r="MUV995" s="2335"/>
      <c r="MUW995" s="2335"/>
      <c r="MUX995" s="2335"/>
      <c r="MUY995" s="2335"/>
      <c r="MUZ995" s="2335"/>
      <c r="MVA995" s="2335"/>
      <c r="MVB995" s="2335"/>
      <c r="MVC995" s="2335"/>
      <c r="MVD995" s="2335"/>
      <c r="MVE995" s="2335"/>
      <c r="MVF995" s="2335"/>
      <c r="MVG995" s="2335"/>
      <c r="MVH995" s="2335"/>
      <c r="MVI995" s="2335"/>
      <c r="MVJ995" s="2335"/>
      <c r="MVK995" s="2335"/>
      <c r="MVL995" s="2335"/>
      <c r="MVM995" s="2335"/>
      <c r="MVN995" s="2335"/>
      <c r="MVO995" s="2335"/>
      <c r="MVP995" s="2335"/>
      <c r="MVQ995" s="2335"/>
      <c r="MVR995" s="2335"/>
      <c r="MVS995" s="2335"/>
      <c r="MVT995" s="2335"/>
      <c r="MVU995" s="2335"/>
      <c r="MVV995" s="2335"/>
      <c r="MVW995" s="2335"/>
      <c r="MVX995" s="2335"/>
      <c r="MVY995" s="2335"/>
      <c r="MVZ995" s="2335"/>
      <c r="MWA995" s="2335"/>
      <c r="MWB995" s="2335"/>
      <c r="MWC995" s="2335"/>
      <c r="MWD995" s="2335"/>
      <c r="MWE995" s="2335"/>
      <c r="MWF995" s="2335"/>
      <c r="MWG995" s="2335"/>
      <c r="MWH995" s="2335"/>
      <c r="MWI995" s="2335"/>
      <c r="MWJ995" s="2335"/>
      <c r="MWK995" s="2335"/>
      <c r="MWL995" s="2335"/>
      <c r="MWM995" s="2335"/>
      <c r="MWN995" s="2335"/>
      <c r="MWO995" s="2335"/>
      <c r="MWP995" s="2335"/>
      <c r="MWQ995" s="2335"/>
      <c r="MWR995" s="2335"/>
      <c r="MWS995" s="2335"/>
      <c r="MWT995" s="2335"/>
      <c r="MWU995" s="2335"/>
      <c r="MWV995" s="2335"/>
      <c r="MWW995" s="2335"/>
      <c r="MWX995" s="2335"/>
      <c r="MWY995" s="2335"/>
      <c r="MWZ995" s="2335"/>
      <c r="MXA995" s="2335"/>
      <c r="MXB995" s="2335"/>
      <c r="MXC995" s="2335"/>
      <c r="MXD995" s="2335"/>
      <c r="MXE995" s="2335"/>
      <c r="MXF995" s="2335"/>
      <c r="MXG995" s="2335"/>
      <c r="MXH995" s="2335"/>
      <c r="MXI995" s="2335"/>
      <c r="MXJ995" s="2335"/>
      <c r="MXK995" s="2335"/>
      <c r="MXL995" s="2335"/>
      <c r="MXM995" s="2335"/>
      <c r="MXN995" s="2335"/>
      <c r="MXO995" s="2335"/>
      <c r="MXP995" s="2335"/>
      <c r="MXQ995" s="2335"/>
      <c r="MXR995" s="2335"/>
      <c r="MXS995" s="2335"/>
      <c r="MXT995" s="2335"/>
      <c r="MXU995" s="2335"/>
      <c r="MXV995" s="2335"/>
      <c r="MXW995" s="2335"/>
      <c r="MXX995" s="2335"/>
      <c r="MXY995" s="2335"/>
      <c r="MXZ995" s="2335"/>
      <c r="MYA995" s="2335"/>
      <c r="MYB995" s="2335"/>
      <c r="MYC995" s="2335"/>
      <c r="MYD995" s="2335"/>
      <c r="MYE995" s="2335"/>
      <c r="MYF995" s="2335"/>
      <c r="MYG995" s="2335"/>
      <c r="MYH995" s="2335"/>
      <c r="MYI995" s="2335"/>
      <c r="MYJ995" s="2335"/>
      <c r="MYK995" s="2335"/>
      <c r="MYL995" s="2335"/>
      <c r="MYM995" s="2335"/>
      <c r="MYN995" s="2335"/>
      <c r="MYO995" s="2335"/>
      <c r="MYP995" s="2335"/>
      <c r="MYQ995" s="2335"/>
      <c r="MYR995" s="2335"/>
      <c r="MYS995" s="2335"/>
      <c r="MYT995" s="2335"/>
      <c r="MYU995" s="2335"/>
      <c r="MYV995" s="2335"/>
      <c r="MYW995" s="2335"/>
      <c r="MYX995" s="2335"/>
      <c r="MYY995" s="2335"/>
      <c r="MYZ995" s="2335"/>
      <c r="MZA995" s="2335"/>
      <c r="MZB995" s="2335"/>
      <c r="MZC995" s="2335"/>
      <c r="MZD995" s="2335"/>
      <c r="MZE995" s="2335"/>
      <c r="MZF995" s="2335"/>
      <c r="MZG995" s="2335"/>
      <c r="MZH995" s="2335"/>
      <c r="MZI995" s="2335"/>
      <c r="MZJ995" s="2335"/>
      <c r="MZK995" s="2335"/>
      <c r="MZL995" s="2335"/>
      <c r="MZM995" s="2335"/>
      <c r="MZN995" s="2335"/>
      <c r="MZO995" s="2335"/>
      <c r="MZP995" s="2335"/>
      <c r="MZQ995" s="2335"/>
      <c r="MZR995" s="2335"/>
      <c r="MZS995" s="2335"/>
      <c r="MZT995" s="2335"/>
      <c r="MZU995" s="2335"/>
      <c r="MZV995" s="2335"/>
      <c r="MZW995" s="2335"/>
      <c r="MZX995" s="2335"/>
      <c r="MZY995" s="2335"/>
      <c r="MZZ995" s="2335"/>
      <c r="NAA995" s="2335"/>
      <c r="NAB995" s="2335"/>
      <c r="NAC995" s="2335"/>
      <c r="NAD995" s="2335"/>
      <c r="NAE995" s="2335"/>
      <c r="NAF995" s="2335"/>
      <c r="NAG995" s="2335"/>
      <c r="NAH995" s="2335"/>
      <c r="NAI995" s="2335"/>
      <c r="NAJ995" s="2335"/>
      <c r="NAK995" s="2335"/>
      <c r="NAL995" s="2335"/>
      <c r="NAM995" s="2335"/>
      <c r="NAN995" s="2335"/>
      <c r="NAO995" s="2335"/>
      <c r="NAP995" s="2335"/>
      <c r="NAQ995" s="2335"/>
      <c r="NAR995" s="2335"/>
      <c r="NAS995" s="2335"/>
      <c r="NAT995" s="2335"/>
      <c r="NAU995" s="2335"/>
      <c r="NAV995" s="2335"/>
      <c r="NAW995" s="2335"/>
      <c r="NAX995" s="2335"/>
      <c r="NAY995" s="2335"/>
      <c r="NAZ995" s="2335"/>
      <c r="NBA995" s="2335"/>
      <c r="NBB995" s="2335"/>
      <c r="NBC995" s="2335"/>
      <c r="NBD995" s="2335"/>
      <c r="NBE995" s="2335"/>
      <c r="NBF995" s="2335"/>
      <c r="NBG995" s="2335"/>
      <c r="NBH995" s="2335"/>
      <c r="NBI995" s="2335"/>
      <c r="NBJ995" s="2335"/>
      <c r="NBK995" s="2335"/>
      <c r="NBL995" s="2335"/>
      <c r="NBM995" s="2335"/>
      <c r="NBN995" s="2335"/>
      <c r="NBO995" s="2335"/>
      <c r="NBP995" s="2335"/>
      <c r="NBQ995" s="2335"/>
      <c r="NBR995" s="2335"/>
      <c r="NBS995" s="2335"/>
      <c r="NBT995" s="2335"/>
      <c r="NBU995" s="2335"/>
      <c r="NBV995" s="2335"/>
      <c r="NBW995" s="2335"/>
      <c r="NBX995" s="2335"/>
      <c r="NBY995" s="2335"/>
      <c r="NBZ995" s="2335"/>
      <c r="NCA995" s="2335"/>
      <c r="NCB995" s="2335"/>
      <c r="NCC995" s="2335"/>
      <c r="NCD995" s="2335"/>
      <c r="NCE995" s="2335"/>
      <c r="NCF995" s="2335"/>
      <c r="NCG995" s="2335"/>
      <c r="NCH995" s="2335"/>
      <c r="NCI995" s="2335"/>
      <c r="NCJ995" s="2335"/>
      <c r="NCK995" s="2335"/>
      <c r="NCL995" s="2335"/>
      <c r="NCM995" s="2335"/>
      <c r="NCN995" s="2335"/>
      <c r="NCO995" s="2335"/>
      <c r="NCP995" s="2335"/>
      <c r="NCQ995" s="2335"/>
      <c r="NCR995" s="2335"/>
      <c r="NCS995" s="2335"/>
      <c r="NCT995" s="2335"/>
      <c r="NCU995" s="2335"/>
      <c r="NCV995" s="2335"/>
      <c r="NCW995" s="2335"/>
      <c r="NCX995" s="2335"/>
      <c r="NCY995" s="2335"/>
      <c r="NCZ995" s="2335"/>
      <c r="NDA995" s="2335"/>
      <c r="NDB995" s="2335"/>
      <c r="NDC995" s="2335"/>
      <c r="NDD995" s="2335"/>
      <c r="NDE995" s="2335"/>
      <c r="NDF995" s="2335"/>
      <c r="NDG995" s="2335"/>
      <c r="NDH995" s="2335"/>
      <c r="NDI995" s="2335"/>
      <c r="NDJ995" s="2335"/>
      <c r="NDK995" s="2335"/>
      <c r="NDL995" s="2335"/>
      <c r="NDM995" s="2335"/>
      <c r="NDN995" s="2335"/>
      <c r="NDO995" s="2335"/>
      <c r="NDP995" s="2335"/>
      <c r="NDQ995" s="2335"/>
      <c r="NDR995" s="2335"/>
      <c r="NDS995" s="2335"/>
      <c r="NDT995" s="2335"/>
      <c r="NDU995" s="2335"/>
      <c r="NDV995" s="2335"/>
      <c r="NDW995" s="2335"/>
      <c r="NDX995" s="2335"/>
      <c r="NDY995" s="2335"/>
      <c r="NDZ995" s="2335"/>
      <c r="NEA995" s="2335"/>
      <c r="NEB995" s="2335"/>
      <c r="NEC995" s="2335"/>
      <c r="NED995" s="2335"/>
      <c r="NEE995" s="2335"/>
      <c r="NEF995" s="2335"/>
      <c r="NEG995" s="2335"/>
      <c r="NEH995" s="2335"/>
      <c r="NEI995" s="2335"/>
      <c r="NEJ995" s="2335"/>
      <c r="NEK995" s="2335"/>
      <c r="NEL995" s="2335"/>
      <c r="NEM995" s="2335"/>
      <c r="NEN995" s="2335"/>
      <c r="NEO995" s="2335"/>
      <c r="NEP995" s="2335"/>
      <c r="NEQ995" s="2335"/>
      <c r="NER995" s="2335"/>
      <c r="NES995" s="2335"/>
      <c r="NET995" s="2335"/>
      <c r="NEU995" s="2335"/>
      <c r="NEV995" s="2335"/>
      <c r="NEW995" s="2335"/>
      <c r="NEX995" s="2335"/>
      <c r="NEY995" s="2335"/>
      <c r="NEZ995" s="2335"/>
      <c r="NFA995" s="2335"/>
      <c r="NFB995" s="2335"/>
      <c r="NFC995" s="2335"/>
      <c r="NFD995" s="2335"/>
      <c r="NFE995" s="2335"/>
      <c r="NFF995" s="2335"/>
      <c r="NFG995" s="2335"/>
      <c r="NFH995" s="2335"/>
      <c r="NFI995" s="2335"/>
      <c r="NFJ995" s="2335"/>
      <c r="NFK995" s="2335"/>
      <c r="NFL995" s="2335"/>
      <c r="NFM995" s="2335"/>
      <c r="NFN995" s="2335"/>
      <c r="NFO995" s="2335"/>
      <c r="NFP995" s="2335"/>
      <c r="NFQ995" s="2335"/>
      <c r="NFR995" s="2335"/>
      <c r="NFS995" s="2335"/>
      <c r="NFT995" s="2335"/>
      <c r="NFU995" s="2335"/>
      <c r="NFV995" s="2335"/>
      <c r="NFW995" s="2335"/>
      <c r="NFX995" s="2335"/>
      <c r="NFY995" s="2335"/>
      <c r="NFZ995" s="2335"/>
      <c r="NGA995" s="2335"/>
      <c r="NGB995" s="2335"/>
      <c r="NGC995" s="2335"/>
      <c r="NGD995" s="2335"/>
      <c r="NGE995" s="2335"/>
      <c r="NGF995" s="2335"/>
      <c r="NGG995" s="2335"/>
      <c r="NGH995" s="2335"/>
      <c r="NGI995" s="2335"/>
      <c r="NGJ995" s="2335"/>
      <c r="NGK995" s="2335"/>
      <c r="NGL995" s="2335"/>
      <c r="NGM995" s="2335"/>
      <c r="NGN995" s="2335"/>
      <c r="NGO995" s="2335"/>
      <c r="NGP995" s="2335"/>
      <c r="NGQ995" s="2335"/>
      <c r="NGR995" s="2335"/>
      <c r="NGS995" s="2335"/>
      <c r="NGT995" s="2335"/>
      <c r="NGU995" s="2335"/>
      <c r="NGV995" s="2335"/>
      <c r="NGW995" s="2335"/>
      <c r="NGX995" s="2335"/>
      <c r="NGY995" s="2335"/>
      <c r="NGZ995" s="2335"/>
      <c r="NHA995" s="2335"/>
      <c r="NHB995" s="2335"/>
      <c r="NHC995" s="2335"/>
      <c r="NHD995" s="2335"/>
      <c r="NHE995" s="2335"/>
      <c r="NHF995" s="2335"/>
      <c r="NHG995" s="2335"/>
      <c r="NHH995" s="2335"/>
      <c r="NHI995" s="2335"/>
      <c r="NHJ995" s="2335"/>
      <c r="NHK995" s="2335"/>
      <c r="NHL995" s="2335"/>
      <c r="NHM995" s="2335"/>
      <c r="NHN995" s="2335"/>
      <c r="NHO995" s="2335"/>
      <c r="NHP995" s="2335"/>
      <c r="NHQ995" s="2335"/>
      <c r="NHR995" s="2335"/>
      <c r="NHS995" s="2335"/>
      <c r="NHT995" s="2335"/>
      <c r="NHU995" s="2335"/>
      <c r="NHV995" s="2335"/>
      <c r="NHW995" s="2335"/>
      <c r="NHX995" s="2335"/>
      <c r="NHY995" s="2335"/>
      <c r="NHZ995" s="2335"/>
      <c r="NIA995" s="2335"/>
      <c r="NIB995" s="2335"/>
      <c r="NIC995" s="2335"/>
      <c r="NID995" s="2335"/>
      <c r="NIE995" s="2335"/>
      <c r="NIF995" s="2335"/>
      <c r="NIG995" s="2335"/>
      <c r="NIH995" s="2335"/>
      <c r="NII995" s="2335"/>
      <c r="NIJ995" s="2335"/>
      <c r="NIK995" s="2335"/>
      <c r="NIL995" s="2335"/>
      <c r="NIM995" s="2335"/>
      <c r="NIN995" s="2335"/>
      <c r="NIO995" s="2335"/>
      <c r="NIP995" s="2335"/>
      <c r="NIQ995" s="2335"/>
      <c r="NIR995" s="2335"/>
      <c r="NIS995" s="2335"/>
      <c r="NIT995" s="2335"/>
      <c r="NIU995" s="2335"/>
      <c r="NIV995" s="2335"/>
      <c r="NIW995" s="2335"/>
      <c r="NIX995" s="2335"/>
      <c r="NIY995" s="2335"/>
      <c r="NIZ995" s="2335"/>
      <c r="NJA995" s="2335"/>
      <c r="NJB995" s="2335"/>
      <c r="NJC995" s="2335"/>
      <c r="NJD995" s="2335"/>
      <c r="NJE995" s="2335"/>
      <c r="NJF995" s="2335"/>
      <c r="NJG995" s="2335"/>
      <c r="NJH995" s="2335"/>
      <c r="NJI995" s="2335"/>
      <c r="NJJ995" s="2335"/>
      <c r="NJK995" s="2335"/>
      <c r="NJL995" s="2335"/>
      <c r="NJM995" s="2335"/>
      <c r="NJN995" s="2335"/>
      <c r="NJO995" s="2335"/>
      <c r="NJP995" s="2335"/>
      <c r="NJQ995" s="2335"/>
      <c r="NJR995" s="2335"/>
      <c r="NJS995" s="2335"/>
      <c r="NJT995" s="2335"/>
      <c r="NJU995" s="2335"/>
      <c r="NJV995" s="2335"/>
      <c r="NJW995" s="2335"/>
      <c r="NJX995" s="2335"/>
      <c r="NJY995" s="2335"/>
      <c r="NJZ995" s="2335"/>
      <c r="NKA995" s="2335"/>
      <c r="NKB995" s="2335"/>
      <c r="NKC995" s="2335"/>
      <c r="NKD995" s="2335"/>
      <c r="NKE995" s="2335"/>
      <c r="NKF995" s="2335"/>
      <c r="NKG995" s="2335"/>
      <c r="NKH995" s="2335"/>
      <c r="NKI995" s="2335"/>
      <c r="NKJ995" s="2335"/>
      <c r="NKK995" s="2335"/>
      <c r="NKL995" s="2335"/>
      <c r="NKM995" s="2335"/>
      <c r="NKN995" s="2335"/>
      <c r="NKO995" s="2335"/>
      <c r="NKP995" s="2335"/>
      <c r="NKQ995" s="2335"/>
      <c r="NKR995" s="2335"/>
      <c r="NKS995" s="2335"/>
      <c r="NKT995" s="2335"/>
      <c r="NKU995" s="2335"/>
      <c r="NKV995" s="2335"/>
      <c r="NKW995" s="2335"/>
      <c r="NKX995" s="2335"/>
      <c r="NKY995" s="2335"/>
      <c r="NKZ995" s="2335"/>
      <c r="NLA995" s="2335"/>
      <c r="NLB995" s="2335"/>
      <c r="NLC995" s="2335"/>
      <c r="NLD995" s="2335"/>
      <c r="NLE995" s="2335"/>
      <c r="NLF995" s="2335"/>
      <c r="NLG995" s="2335"/>
      <c r="NLH995" s="2335"/>
      <c r="NLI995" s="2335"/>
      <c r="NLJ995" s="2335"/>
      <c r="NLK995" s="2335"/>
      <c r="NLL995" s="2335"/>
      <c r="NLM995" s="2335"/>
      <c r="NLN995" s="2335"/>
      <c r="NLO995" s="2335"/>
      <c r="NLP995" s="2335"/>
      <c r="NLQ995" s="2335"/>
      <c r="NLR995" s="2335"/>
      <c r="NLS995" s="2335"/>
      <c r="NLT995" s="2335"/>
      <c r="NLU995" s="2335"/>
      <c r="NLV995" s="2335"/>
      <c r="NLW995" s="2335"/>
      <c r="NLX995" s="2335"/>
      <c r="NLY995" s="2335"/>
      <c r="NLZ995" s="2335"/>
      <c r="NMA995" s="2335"/>
      <c r="NMB995" s="2335"/>
      <c r="NMC995" s="2335"/>
      <c r="NMD995" s="2335"/>
      <c r="NME995" s="2335"/>
      <c r="NMF995" s="2335"/>
      <c r="NMG995" s="2335"/>
      <c r="NMH995" s="2335"/>
      <c r="NMI995" s="2335"/>
      <c r="NMJ995" s="2335"/>
      <c r="NMK995" s="2335"/>
      <c r="NML995" s="2335"/>
      <c r="NMM995" s="2335"/>
      <c r="NMN995" s="2335"/>
      <c r="NMO995" s="2335"/>
      <c r="NMP995" s="2335"/>
      <c r="NMQ995" s="2335"/>
      <c r="NMR995" s="2335"/>
      <c r="NMS995" s="2335"/>
      <c r="NMT995" s="2335"/>
      <c r="NMU995" s="2335"/>
      <c r="NMV995" s="2335"/>
      <c r="NMW995" s="2335"/>
      <c r="NMX995" s="2335"/>
      <c r="NMY995" s="2335"/>
      <c r="NMZ995" s="2335"/>
      <c r="NNA995" s="2335"/>
      <c r="NNB995" s="2335"/>
      <c r="NNC995" s="2335"/>
      <c r="NND995" s="2335"/>
      <c r="NNE995" s="2335"/>
      <c r="NNF995" s="2335"/>
      <c r="NNG995" s="2335"/>
      <c r="NNH995" s="2335"/>
      <c r="NNI995" s="2335"/>
      <c r="NNJ995" s="2335"/>
      <c r="NNK995" s="2335"/>
      <c r="NNL995" s="2335"/>
      <c r="NNM995" s="2335"/>
      <c r="NNN995" s="2335"/>
      <c r="NNO995" s="2335"/>
      <c r="NNP995" s="2335"/>
      <c r="NNQ995" s="2335"/>
      <c r="NNR995" s="2335"/>
      <c r="NNS995" s="2335"/>
      <c r="NNT995" s="2335"/>
      <c r="NNU995" s="2335"/>
      <c r="NNV995" s="2335"/>
      <c r="NNW995" s="2335"/>
      <c r="NNX995" s="2335"/>
      <c r="NNY995" s="2335"/>
      <c r="NNZ995" s="2335"/>
      <c r="NOA995" s="2335"/>
      <c r="NOB995" s="2335"/>
      <c r="NOC995" s="2335"/>
      <c r="NOD995" s="2335"/>
      <c r="NOE995" s="2335"/>
      <c r="NOF995" s="2335"/>
      <c r="NOG995" s="2335"/>
      <c r="NOH995" s="2335"/>
      <c r="NOI995" s="2335"/>
      <c r="NOJ995" s="2335"/>
      <c r="NOK995" s="2335"/>
      <c r="NOL995" s="2335"/>
      <c r="NOM995" s="2335"/>
      <c r="NON995" s="2335"/>
      <c r="NOO995" s="2335"/>
      <c r="NOP995" s="2335"/>
      <c r="NOQ995" s="2335"/>
      <c r="NOR995" s="2335"/>
      <c r="NOS995" s="2335"/>
      <c r="NOT995" s="2335"/>
      <c r="NOU995" s="2335"/>
      <c r="NOV995" s="2335"/>
      <c r="NOW995" s="2335"/>
      <c r="NOX995" s="2335"/>
      <c r="NOY995" s="2335"/>
      <c r="NOZ995" s="2335"/>
      <c r="NPA995" s="2335"/>
      <c r="NPB995" s="2335"/>
      <c r="NPC995" s="2335"/>
      <c r="NPD995" s="2335"/>
      <c r="NPE995" s="2335"/>
      <c r="NPF995" s="2335"/>
      <c r="NPG995" s="2335"/>
      <c r="NPH995" s="2335"/>
      <c r="NPI995" s="2335"/>
      <c r="NPJ995" s="2335"/>
      <c r="NPK995" s="2335"/>
      <c r="NPL995" s="2335"/>
      <c r="NPM995" s="2335"/>
      <c r="NPN995" s="2335"/>
      <c r="NPO995" s="2335"/>
      <c r="NPP995" s="2335"/>
      <c r="NPQ995" s="2335"/>
      <c r="NPR995" s="2335"/>
      <c r="NPS995" s="2335"/>
      <c r="NPT995" s="2335"/>
      <c r="NPU995" s="2335"/>
      <c r="NPV995" s="2335"/>
      <c r="NPW995" s="2335"/>
      <c r="NPX995" s="2335"/>
      <c r="NPY995" s="2335"/>
      <c r="NPZ995" s="2335"/>
      <c r="NQA995" s="2335"/>
      <c r="NQB995" s="2335"/>
      <c r="NQC995" s="2335"/>
      <c r="NQD995" s="2335"/>
      <c r="NQE995" s="2335"/>
      <c r="NQF995" s="2335"/>
      <c r="NQG995" s="2335"/>
      <c r="NQH995" s="2335"/>
      <c r="NQI995" s="2335"/>
      <c r="NQJ995" s="2335"/>
      <c r="NQK995" s="2335"/>
      <c r="NQL995" s="2335"/>
      <c r="NQM995" s="2335"/>
      <c r="NQN995" s="2335"/>
      <c r="NQO995" s="2335"/>
      <c r="NQP995" s="2335"/>
      <c r="NQQ995" s="2335"/>
      <c r="NQR995" s="2335"/>
      <c r="NQS995" s="2335"/>
      <c r="NQT995" s="2335"/>
      <c r="NQU995" s="2335"/>
      <c r="NQV995" s="2335"/>
      <c r="NQW995" s="2335"/>
      <c r="NQX995" s="2335"/>
      <c r="NQY995" s="2335"/>
      <c r="NQZ995" s="2335"/>
      <c r="NRA995" s="2335"/>
      <c r="NRB995" s="2335"/>
      <c r="NRC995" s="2335"/>
      <c r="NRD995" s="2335"/>
      <c r="NRE995" s="2335"/>
      <c r="NRF995" s="2335"/>
      <c r="NRG995" s="2335"/>
      <c r="NRH995" s="2335"/>
      <c r="NRI995" s="2335"/>
      <c r="NRJ995" s="2335"/>
      <c r="NRK995" s="2335"/>
      <c r="NRL995" s="2335"/>
      <c r="NRM995" s="2335"/>
      <c r="NRN995" s="2335"/>
      <c r="NRO995" s="2335"/>
      <c r="NRP995" s="2335"/>
      <c r="NRQ995" s="2335"/>
      <c r="NRR995" s="2335"/>
      <c r="NRS995" s="2335"/>
      <c r="NRT995" s="2335"/>
      <c r="NRU995" s="2335"/>
      <c r="NRV995" s="2335"/>
      <c r="NRW995" s="2335"/>
      <c r="NRX995" s="2335"/>
      <c r="NRY995" s="2335"/>
      <c r="NRZ995" s="2335"/>
      <c r="NSA995" s="2335"/>
      <c r="NSB995" s="2335"/>
      <c r="NSC995" s="2335"/>
      <c r="NSD995" s="2335"/>
      <c r="NSE995" s="2335"/>
      <c r="NSF995" s="2335"/>
      <c r="NSG995" s="2335"/>
      <c r="NSH995" s="2335"/>
      <c r="NSI995" s="2335"/>
      <c r="NSJ995" s="2335"/>
      <c r="NSK995" s="2335"/>
      <c r="NSL995" s="2335"/>
      <c r="NSM995" s="2335"/>
      <c r="NSN995" s="2335"/>
      <c r="NSO995" s="2335"/>
      <c r="NSP995" s="2335"/>
      <c r="NSQ995" s="2335"/>
      <c r="NSR995" s="2335"/>
      <c r="NSS995" s="2335"/>
      <c r="NST995" s="2335"/>
      <c r="NSU995" s="2335"/>
      <c r="NSV995" s="2335"/>
      <c r="NSW995" s="2335"/>
      <c r="NSX995" s="2335"/>
      <c r="NSY995" s="2335"/>
      <c r="NSZ995" s="2335"/>
      <c r="NTA995" s="2335"/>
      <c r="NTB995" s="2335"/>
      <c r="NTC995" s="2335"/>
      <c r="NTD995" s="2335"/>
      <c r="NTE995" s="2335"/>
      <c r="NTF995" s="2335"/>
      <c r="NTG995" s="2335"/>
      <c r="NTH995" s="2335"/>
      <c r="NTI995" s="2335"/>
      <c r="NTJ995" s="2335"/>
      <c r="NTK995" s="2335"/>
      <c r="NTL995" s="2335"/>
      <c r="NTM995" s="2335"/>
      <c r="NTN995" s="2335"/>
      <c r="NTO995" s="2335"/>
      <c r="NTP995" s="2335"/>
      <c r="NTQ995" s="2335"/>
      <c r="NTR995" s="2335"/>
      <c r="NTS995" s="2335"/>
      <c r="NTT995" s="2335"/>
      <c r="NTU995" s="2335"/>
      <c r="NTV995" s="2335"/>
      <c r="NTW995" s="2335"/>
      <c r="NTX995" s="2335"/>
      <c r="NTY995" s="2335"/>
      <c r="NTZ995" s="2335"/>
      <c r="NUA995" s="2335"/>
      <c r="NUB995" s="2335"/>
      <c r="NUC995" s="2335"/>
      <c r="NUD995" s="2335"/>
      <c r="NUE995" s="2335"/>
      <c r="NUF995" s="2335"/>
      <c r="NUG995" s="2335"/>
      <c r="NUH995" s="2335"/>
      <c r="NUI995" s="2335"/>
      <c r="NUJ995" s="2335"/>
      <c r="NUK995" s="2335"/>
      <c r="NUL995" s="2335"/>
      <c r="NUM995" s="2335"/>
      <c r="NUN995" s="2335"/>
      <c r="NUO995" s="2335"/>
      <c r="NUP995" s="2335"/>
      <c r="NUQ995" s="2335"/>
      <c r="NUR995" s="2335"/>
      <c r="NUS995" s="2335"/>
      <c r="NUT995" s="2335"/>
      <c r="NUU995" s="2335"/>
      <c r="NUV995" s="2335"/>
      <c r="NUW995" s="2335"/>
      <c r="NUX995" s="2335"/>
      <c r="NUY995" s="2335"/>
      <c r="NUZ995" s="2335"/>
      <c r="NVA995" s="2335"/>
      <c r="NVB995" s="2335"/>
      <c r="NVC995" s="2335"/>
      <c r="NVD995" s="2335"/>
      <c r="NVE995" s="2335"/>
      <c r="NVF995" s="2335"/>
      <c r="NVG995" s="2335"/>
      <c r="NVH995" s="2335"/>
      <c r="NVI995" s="2335"/>
      <c r="NVJ995" s="2335"/>
      <c r="NVK995" s="2335"/>
      <c r="NVL995" s="2335"/>
      <c r="NVM995" s="2335"/>
      <c r="NVN995" s="2335"/>
      <c r="NVO995" s="2335"/>
      <c r="NVP995" s="2335"/>
      <c r="NVQ995" s="2335"/>
      <c r="NVR995" s="2335"/>
      <c r="NVS995" s="2335"/>
      <c r="NVT995" s="2335"/>
      <c r="NVU995" s="2335"/>
      <c r="NVV995" s="2335"/>
      <c r="NVW995" s="2335"/>
      <c r="NVX995" s="2335"/>
      <c r="NVY995" s="2335"/>
      <c r="NVZ995" s="2335"/>
      <c r="NWA995" s="2335"/>
      <c r="NWB995" s="2335"/>
      <c r="NWC995" s="2335"/>
      <c r="NWD995" s="2335"/>
      <c r="NWE995" s="2335"/>
      <c r="NWF995" s="2335"/>
      <c r="NWG995" s="2335"/>
      <c r="NWH995" s="2335"/>
      <c r="NWI995" s="2335"/>
      <c r="NWJ995" s="2335"/>
      <c r="NWK995" s="2335"/>
      <c r="NWL995" s="2335"/>
      <c r="NWM995" s="2335"/>
      <c r="NWN995" s="2335"/>
      <c r="NWO995" s="2335"/>
      <c r="NWP995" s="2335"/>
      <c r="NWQ995" s="2335"/>
      <c r="NWR995" s="2335"/>
      <c r="NWS995" s="2335"/>
      <c r="NWT995" s="2335"/>
      <c r="NWU995" s="2335"/>
      <c r="NWV995" s="2335"/>
      <c r="NWW995" s="2335"/>
      <c r="NWX995" s="2335"/>
      <c r="NWY995" s="2335"/>
      <c r="NWZ995" s="2335"/>
      <c r="NXA995" s="2335"/>
      <c r="NXB995" s="2335"/>
      <c r="NXC995" s="2335"/>
      <c r="NXD995" s="2335"/>
      <c r="NXE995" s="2335"/>
      <c r="NXF995" s="2335"/>
      <c r="NXG995" s="2335"/>
      <c r="NXH995" s="2335"/>
      <c r="NXI995" s="2335"/>
      <c r="NXJ995" s="2335"/>
      <c r="NXK995" s="2335"/>
      <c r="NXL995" s="2335"/>
      <c r="NXM995" s="2335"/>
      <c r="NXN995" s="2335"/>
      <c r="NXO995" s="2335"/>
      <c r="NXP995" s="2335"/>
      <c r="NXQ995" s="2335"/>
      <c r="NXR995" s="2335"/>
      <c r="NXS995" s="2335"/>
      <c r="NXT995" s="2335"/>
      <c r="NXU995" s="2335"/>
      <c r="NXV995" s="2335"/>
      <c r="NXW995" s="2335"/>
      <c r="NXX995" s="2335"/>
      <c r="NXY995" s="2335"/>
      <c r="NXZ995" s="2335"/>
      <c r="NYA995" s="2335"/>
      <c r="NYB995" s="2335"/>
      <c r="NYC995" s="2335"/>
      <c r="NYD995" s="2335"/>
      <c r="NYE995" s="2335"/>
      <c r="NYF995" s="2335"/>
      <c r="NYG995" s="2335"/>
      <c r="NYH995" s="2335"/>
      <c r="NYI995" s="2335"/>
      <c r="NYJ995" s="2335"/>
      <c r="NYK995" s="2335"/>
      <c r="NYL995" s="2335"/>
      <c r="NYM995" s="2335"/>
      <c r="NYN995" s="2335"/>
      <c r="NYO995" s="2335"/>
      <c r="NYP995" s="2335"/>
      <c r="NYQ995" s="2335"/>
      <c r="NYR995" s="2335"/>
      <c r="NYS995" s="2335"/>
      <c r="NYT995" s="2335"/>
      <c r="NYU995" s="2335"/>
      <c r="NYV995" s="2335"/>
      <c r="NYW995" s="2335"/>
      <c r="NYX995" s="2335"/>
      <c r="NYY995" s="2335"/>
      <c r="NYZ995" s="2335"/>
      <c r="NZA995" s="2335"/>
      <c r="NZB995" s="2335"/>
      <c r="NZC995" s="2335"/>
      <c r="NZD995" s="2335"/>
      <c r="NZE995" s="2335"/>
      <c r="NZF995" s="2335"/>
      <c r="NZG995" s="2335"/>
      <c r="NZH995" s="2335"/>
      <c r="NZI995" s="2335"/>
      <c r="NZJ995" s="2335"/>
      <c r="NZK995" s="2335"/>
      <c r="NZL995" s="2335"/>
      <c r="NZM995" s="2335"/>
      <c r="NZN995" s="2335"/>
      <c r="NZO995" s="2335"/>
      <c r="NZP995" s="2335"/>
      <c r="NZQ995" s="2335"/>
      <c r="NZR995" s="2335"/>
      <c r="NZS995" s="2335"/>
      <c r="NZT995" s="2335"/>
      <c r="NZU995" s="2335"/>
      <c r="NZV995" s="2335"/>
      <c r="NZW995" s="2335"/>
      <c r="NZX995" s="2335"/>
      <c r="NZY995" s="2335"/>
      <c r="NZZ995" s="2335"/>
      <c r="OAA995" s="2335"/>
      <c r="OAB995" s="2335"/>
      <c r="OAC995" s="2335"/>
      <c r="OAD995" s="2335"/>
      <c r="OAE995" s="2335"/>
      <c r="OAF995" s="2335"/>
      <c r="OAG995" s="2335"/>
      <c r="OAH995" s="2335"/>
      <c r="OAI995" s="2335"/>
      <c r="OAJ995" s="2335"/>
      <c r="OAK995" s="2335"/>
      <c r="OAL995" s="2335"/>
      <c r="OAM995" s="2335"/>
      <c r="OAN995" s="2335"/>
      <c r="OAO995" s="2335"/>
      <c r="OAP995" s="2335"/>
      <c r="OAQ995" s="2335"/>
      <c r="OAR995" s="2335"/>
      <c r="OAS995" s="2335"/>
      <c r="OAT995" s="2335"/>
      <c r="OAU995" s="2335"/>
      <c r="OAV995" s="2335"/>
      <c r="OAW995" s="2335"/>
      <c r="OAX995" s="2335"/>
      <c r="OAY995" s="2335"/>
      <c r="OAZ995" s="2335"/>
      <c r="OBA995" s="2335"/>
      <c r="OBB995" s="2335"/>
      <c r="OBC995" s="2335"/>
      <c r="OBD995" s="2335"/>
      <c r="OBE995" s="2335"/>
      <c r="OBF995" s="2335"/>
      <c r="OBG995" s="2335"/>
      <c r="OBH995" s="2335"/>
      <c r="OBI995" s="2335"/>
      <c r="OBJ995" s="2335"/>
      <c r="OBK995" s="2335"/>
      <c r="OBL995" s="2335"/>
      <c r="OBM995" s="2335"/>
      <c r="OBN995" s="2335"/>
      <c r="OBO995" s="2335"/>
      <c r="OBP995" s="2335"/>
      <c r="OBQ995" s="2335"/>
      <c r="OBR995" s="2335"/>
      <c r="OBS995" s="2335"/>
      <c r="OBT995" s="2335"/>
      <c r="OBU995" s="2335"/>
      <c r="OBV995" s="2335"/>
      <c r="OBW995" s="2335"/>
      <c r="OBX995" s="2335"/>
      <c r="OBY995" s="2335"/>
      <c r="OBZ995" s="2335"/>
      <c r="OCA995" s="2335"/>
      <c r="OCB995" s="2335"/>
      <c r="OCC995" s="2335"/>
      <c r="OCD995" s="2335"/>
      <c r="OCE995" s="2335"/>
      <c r="OCF995" s="2335"/>
      <c r="OCG995" s="2335"/>
      <c r="OCH995" s="2335"/>
      <c r="OCI995" s="2335"/>
      <c r="OCJ995" s="2335"/>
      <c r="OCK995" s="2335"/>
      <c r="OCL995" s="2335"/>
      <c r="OCM995" s="2335"/>
      <c r="OCN995" s="2335"/>
      <c r="OCO995" s="2335"/>
      <c r="OCP995" s="2335"/>
      <c r="OCQ995" s="2335"/>
      <c r="OCR995" s="2335"/>
      <c r="OCS995" s="2335"/>
      <c r="OCT995" s="2335"/>
      <c r="OCU995" s="2335"/>
      <c r="OCV995" s="2335"/>
      <c r="OCW995" s="2335"/>
      <c r="OCX995" s="2335"/>
      <c r="OCY995" s="2335"/>
      <c r="OCZ995" s="2335"/>
      <c r="ODA995" s="2335"/>
      <c r="ODB995" s="2335"/>
      <c r="ODC995" s="2335"/>
      <c r="ODD995" s="2335"/>
      <c r="ODE995" s="2335"/>
      <c r="ODF995" s="2335"/>
      <c r="ODG995" s="2335"/>
      <c r="ODH995" s="2335"/>
      <c r="ODI995" s="2335"/>
      <c r="ODJ995" s="2335"/>
      <c r="ODK995" s="2335"/>
      <c r="ODL995" s="2335"/>
      <c r="ODM995" s="2335"/>
      <c r="ODN995" s="2335"/>
      <c r="ODO995" s="2335"/>
      <c r="ODP995" s="2335"/>
      <c r="ODQ995" s="2335"/>
      <c r="ODR995" s="2335"/>
      <c r="ODS995" s="2335"/>
      <c r="ODT995" s="2335"/>
      <c r="ODU995" s="2335"/>
      <c r="ODV995" s="2335"/>
      <c r="ODW995" s="2335"/>
      <c r="ODX995" s="2335"/>
      <c r="ODY995" s="2335"/>
      <c r="ODZ995" s="2335"/>
      <c r="OEA995" s="2335"/>
      <c r="OEB995" s="2335"/>
      <c r="OEC995" s="2335"/>
      <c r="OED995" s="2335"/>
      <c r="OEE995" s="2335"/>
      <c r="OEF995" s="2335"/>
      <c r="OEG995" s="2335"/>
      <c r="OEH995" s="2335"/>
      <c r="OEI995" s="2335"/>
      <c r="OEJ995" s="2335"/>
      <c r="OEK995" s="2335"/>
      <c r="OEL995" s="2335"/>
      <c r="OEM995" s="2335"/>
      <c r="OEN995" s="2335"/>
      <c r="OEO995" s="2335"/>
      <c r="OEP995" s="2335"/>
      <c r="OEQ995" s="2335"/>
      <c r="OER995" s="2335"/>
      <c r="OES995" s="2335"/>
      <c r="OET995" s="2335"/>
      <c r="OEU995" s="2335"/>
      <c r="OEV995" s="2335"/>
      <c r="OEW995" s="2335"/>
      <c r="OEX995" s="2335"/>
      <c r="OEY995" s="2335"/>
      <c r="OEZ995" s="2335"/>
      <c r="OFA995" s="2335"/>
      <c r="OFB995" s="2335"/>
      <c r="OFC995" s="2335"/>
      <c r="OFD995" s="2335"/>
      <c r="OFE995" s="2335"/>
      <c r="OFF995" s="2335"/>
      <c r="OFG995" s="2335"/>
      <c r="OFH995" s="2335"/>
      <c r="OFI995" s="2335"/>
      <c r="OFJ995" s="2335"/>
      <c r="OFK995" s="2335"/>
      <c r="OFL995" s="2335"/>
      <c r="OFM995" s="2335"/>
      <c r="OFN995" s="2335"/>
      <c r="OFO995" s="2335"/>
      <c r="OFP995" s="2335"/>
      <c r="OFQ995" s="2335"/>
      <c r="OFR995" s="2335"/>
      <c r="OFS995" s="2335"/>
      <c r="OFT995" s="2335"/>
      <c r="OFU995" s="2335"/>
      <c r="OFV995" s="2335"/>
      <c r="OFW995" s="2335"/>
      <c r="OFX995" s="2335"/>
      <c r="OFY995" s="2335"/>
      <c r="OFZ995" s="2335"/>
      <c r="OGA995" s="2335"/>
      <c r="OGB995" s="2335"/>
      <c r="OGC995" s="2335"/>
      <c r="OGD995" s="2335"/>
      <c r="OGE995" s="2335"/>
      <c r="OGF995" s="2335"/>
      <c r="OGG995" s="2335"/>
      <c r="OGH995" s="2335"/>
      <c r="OGI995" s="2335"/>
      <c r="OGJ995" s="2335"/>
      <c r="OGK995" s="2335"/>
      <c r="OGL995" s="2335"/>
      <c r="OGM995" s="2335"/>
      <c r="OGN995" s="2335"/>
      <c r="OGO995" s="2335"/>
      <c r="OGP995" s="2335"/>
      <c r="OGQ995" s="2335"/>
      <c r="OGR995" s="2335"/>
      <c r="OGS995" s="2335"/>
      <c r="OGT995" s="2335"/>
      <c r="OGU995" s="2335"/>
      <c r="OGV995" s="2335"/>
      <c r="OGW995" s="2335"/>
      <c r="OGX995" s="2335"/>
      <c r="OGY995" s="2335"/>
      <c r="OGZ995" s="2335"/>
      <c r="OHA995" s="2335"/>
      <c r="OHB995" s="2335"/>
      <c r="OHC995" s="2335"/>
      <c r="OHD995" s="2335"/>
      <c r="OHE995" s="2335"/>
      <c r="OHF995" s="2335"/>
      <c r="OHG995" s="2335"/>
      <c r="OHH995" s="2335"/>
      <c r="OHI995" s="2335"/>
      <c r="OHJ995" s="2335"/>
      <c r="OHK995" s="2335"/>
      <c r="OHL995" s="2335"/>
      <c r="OHM995" s="2335"/>
      <c r="OHN995" s="2335"/>
      <c r="OHO995" s="2335"/>
      <c r="OHP995" s="2335"/>
      <c r="OHQ995" s="2335"/>
      <c r="OHR995" s="2335"/>
      <c r="OHS995" s="2335"/>
      <c r="OHT995" s="2335"/>
      <c r="OHU995" s="2335"/>
      <c r="OHV995" s="2335"/>
      <c r="OHW995" s="2335"/>
      <c r="OHX995" s="2335"/>
      <c r="OHY995" s="2335"/>
      <c r="OHZ995" s="2335"/>
      <c r="OIA995" s="2335"/>
      <c r="OIB995" s="2335"/>
      <c r="OIC995" s="2335"/>
      <c r="OID995" s="2335"/>
      <c r="OIE995" s="2335"/>
      <c r="OIF995" s="2335"/>
      <c r="OIG995" s="2335"/>
      <c r="OIH995" s="2335"/>
      <c r="OII995" s="2335"/>
      <c r="OIJ995" s="2335"/>
      <c r="OIK995" s="2335"/>
      <c r="OIL995" s="2335"/>
      <c r="OIM995" s="2335"/>
      <c r="OIN995" s="2335"/>
      <c r="OIO995" s="2335"/>
      <c r="OIP995" s="2335"/>
      <c r="OIQ995" s="2335"/>
      <c r="OIR995" s="2335"/>
      <c r="OIS995" s="2335"/>
      <c r="OIT995" s="2335"/>
      <c r="OIU995" s="2335"/>
      <c r="OIV995" s="2335"/>
      <c r="OIW995" s="2335"/>
      <c r="OIX995" s="2335"/>
      <c r="OIY995" s="2335"/>
      <c r="OIZ995" s="2335"/>
      <c r="OJA995" s="2335"/>
      <c r="OJB995" s="2335"/>
      <c r="OJC995" s="2335"/>
      <c r="OJD995" s="2335"/>
      <c r="OJE995" s="2335"/>
      <c r="OJF995" s="2335"/>
      <c r="OJG995" s="2335"/>
      <c r="OJH995" s="2335"/>
      <c r="OJI995" s="2335"/>
      <c r="OJJ995" s="2335"/>
      <c r="OJK995" s="2335"/>
      <c r="OJL995" s="2335"/>
      <c r="OJM995" s="2335"/>
      <c r="OJN995" s="2335"/>
      <c r="OJO995" s="2335"/>
      <c r="OJP995" s="2335"/>
      <c r="OJQ995" s="2335"/>
      <c r="OJR995" s="2335"/>
      <c r="OJS995" s="2335"/>
      <c r="OJT995" s="2335"/>
      <c r="OJU995" s="2335"/>
      <c r="OJV995" s="2335"/>
      <c r="OJW995" s="2335"/>
      <c r="OJX995" s="2335"/>
      <c r="OJY995" s="2335"/>
      <c r="OJZ995" s="2335"/>
      <c r="OKA995" s="2335"/>
      <c r="OKB995" s="2335"/>
      <c r="OKC995" s="2335"/>
      <c r="OKD995" s="2335"/>
      <c r="OKE995" s="2335"/>
      <c r="OKF995" s="2335"/>
      <c r="OKG995" s="2335"/>
      <c r="OKH995" s="2335"/>
      <c r="OKI995" s="2335"/>
      <c r="OKJ995" s="2335"/>
      <c r="OKK995" s="2335"/>
      <c r="OKL995" s="2335"/>
      <c r="OKM995" s="2335"/>
      <c r="OKN995" s="2335"/>
      <c r="OKO995" s="2335"/>
      <c r="OKP995" s="2335"/>
      <c r="OKQ995" s="2335"/>
      <c r="OKR995" s="2335"/>
      <c r="OKS995" s="2335"/>
      <c r="OKT995" s="2335"/>
      <c r="OKU995" s="2335"/>
      <c r="OKV995" s="2335"/>
      <c r="OKW995" s="2335"/>
      <c r="OKX995" s="2335"/>
      <c r="OKY995" s="2335"/>
      <c r="OKZ995" s="2335"/>
      <c r="OLA995" s="2335"/>
      <c r="OLB995" s="2335"/>
      <c r="OLC995" s="2335"/>
      <c r="OLD995" s="2335"/>
      <c r="OLE995" s="2335"/>
      <c r="OLF995" s="2335"/>
      <c r="OLG995" s="2335"/>
      <c r="OLH995" s="2335"/>
      <c r="OLI995" s="2335"/>
      <c r="OLJ995" s="2335"/>
      <c r="OLK995" s="2335"/>
      <c r="OLL995" s="2335"/>
      <c r="OLM995" s="2335"/>
      <c r="OLN995" s="2335"/>
      <c r="OLO995" s="2335"/>
      <c r="OLP995" s="2335"/>
      <c r="OLQ995" s="2335"/>
      <c r="OLR995" s="2335"/>
      <c r="OLS995" s="2335"/>
      <c r="OLT995" s="2335"/>
      <c r="OLU995" s="2335"/>
      <c r="OLV995" s="2335"/>
      <c r="OLW995" s="2335"/>
      <c r="OLX995" s="2335"/>
      <c r="OLY995" s="2335"/>
      <c r="OLZ995" s="2335"/>
      <c r="OMA995" s="2335"/>
      <c r="OMB995" s="2335"/>
      <c r="OMC995" s="2335"/>
      <c r="OMD995" s="2335"/>
      <c r="OME995" s="2335"/>
      <c r="OMF995" s="2335"/>
      <c r="OMG995" s="2335"/>
      <c r="OMH995" s="2335"/>
      <c r="OMI995" s="2335"/>
      <c r="OMJ995" s="2335"/>
      <c r="OMK995" s="2335"/>
      <c r="OML995" s="2335"/>
      <c r="OMM995" s="2335"/>
      <c r="OMN995" s="2335"/>
      <c r="OMO995" s="2335"/>
      <c r="OMP995" s="2335"/>
      <c r="OMQ995" s="2335"/>
      <c r="OMR995" s="2335"/>
      <c r="OMS995" s="2335"/>
      <c r="OMT995" s="2335"/>
      <c r="OMU995" s="2335"/>
      <c r="OMV995" s="2335"/>
      <c r="OMW995" s="2335"/>
      <c r="OMX995" s="2335"/>
      <c r="OMY995" s="2335"/>
      <c r="OMZ995" s="2335"/>
      <c r="ONA995" s="2335"/>
      <c r="ONB995" s="2335"/>
      <c r="ONC995" s="2335"/>
      <c r="OND995" s="2335"/>
      <c r="ONE995" s="2335"/>
      <c r="ONF995" s="2335"/>
      <c r="ONG995" s="2335"/>
      <c r="ONH995" s="2335"/>
      <c r="ONI995" s="2335"/>
      <c r="ONJ995" s="2335"/>
      <c r="ONK995" s="2335"/>
      <c r="ONL995" s="2335"/>
      <c r="ONM995" s="2335"/>
      <c r="ONN995" s="2335"/>
      <c r="ONO995" s="2335"/>
      <c r="ONP995" s="2335"/>
      <c r="ONQ995" s="2335"/>
      <c r="ONR995" s="2335"/>
      <c r="ONS995" s="2335"/>
      <c r="ONT995" s="2335"/>
      <c r="ONU995" s="2335"/>
      <c r="ONV995" s="2335"/>
      <c r="ONW995" s="2335"/>
      <c r="ONX995" s="2335"/>
      <c r="ONY995" s="2335"/>
      <c r="ONZ995" s="2335"/>
      <c r="OOA995" s="2335"/>
      <c r="OOB995" s="2335"/>
      <c r="OOC995" s="2335"/>
      <c r="OOD995" s="2335"/>
      <c r="OOE995" s="2335"/>
      <c r="OOF995" s="2335"/>
      <c r="OOG995" s="2335"/>
      <c r="OOH995" s="2335"/>
      <c r="OOI995" s="2335"/>
      <c r="OOJ995" s="2335"/>
      <c r="OOK995" s="2335"/>
      <c r="OOL995" s="2335"/>
      <c r="OOM995" s="2335"/>
      <c r="OON995" s="2335"/>
      <c r="OOO995" s="2335"/>
      <c r="OOP995" s="2335"/>
      <c r="OOQ995" s="2335"/>
      <c r="OOR995" s="2335"/>
      <c r="OOS995" s="2335"/>
      <c r="OOT995" s="2335"/>
      <c r="OOU995" s="2335"/>
      <c r="OOV995" s="2335"/>
      <c r="OOW995" s="2335"/>
      <c r="OOX995" s="2335"/>
      <c r="OOY995" s="2335"/>
      <c r="OOZ995" s="2335"/>
      <c r="OPA995" s="2335"/>
      <c r="OPB995" s="2335"/>
      <c r="OPC995" s="2335"/>
      <c r="OPD995" s="2335"/>
      <c r="OPE995" s="2335"/>
      <c r="OPF995" s="2335"/>
      <c r="OPG995" s="2335"/>
      <c r="OPH995" s="2335"/>
      <c r="OPI995" s="2335"/>
      <c r="OPJ995" s="2335"/>
      <c r="OPK995" s="2335"/>
      <c r="OPL995" s="2335"/>
      <c r="OPM995" s="2335"/>
      <c r="OPN995" s="2335"/>
      <c r="OPO995" s="2335"/>
      <c r="OPP995" s="2335"/>
      <c r="OPQ995" s="2335"/>
      <c r="OPR995" s="2335"/>
      <c r="OPS995" s="2335"/>
      <c r="OPT995" s="2335"/>
      <c r="OPU995" s="2335"/>
      <c r="OPV995" s="2335"/>
      <c r="OPW995" s="2335"/>
      <c r="OPX995" s="2335"/>
      <c r="OPY995" s="2335"/>
      <c r="OPZ995" s="2335"/>
      <c r="OQA995" s="2335"/>
      <c r="OQB995" s="2335"/>
      <c r="OQC995" s="2335"/>
      <c r="OQD995" s="2335"/>
      <c r="OQE995" s="2335"/>
      <c r="OQF995" s="2335"/>
      <c r="OQG995" s="2335"/>
      <c r="OQH995" s="2335"/>
      <c r="OQI995" s="2335"/>
      <c r="OQJ995" s="2335"/>
      <c r="OQK995" s="2335"/>
      <c r="OQL995" s="2335"/>
      <c r="OQM995" s="2335"/>
      <c r="OQN995" s="2335"/>
      <c r="OQO995" s="2335"/>
      <c r="OQP995" s="2335"/>
      <c r="OQQ995" s="2335"/>
      <c r="OQR995" s="2335"/>
      <c r="OQS995" s="2335"/>
      <c r="OQT995" s="2335"/>
      <c r="OQU995" s="2335"/>
      <c r="OQV995" s="2335"/>
      <c r="OQW995" s="2335"/>
      <c r="OQX995" s="2335"/>
      <c r="OQY995" s="2335"/>
      <c r="OQZ995" s="2335"/>
      <c r="ORA995" s="2335"/>
      <c r="ORB995" s="2335"/>
      <c r="ORC995" s="2335"/>
      <c r="ORD995" s="2335"/>
      <c r="ORE995" s="2335"/>
      <c r="ORF995" s="2335"/>
      <c r="ORG995" s="2335"/>
      <c r="ORH995" s="2335"/>
      <c r="ORI995" s="2335"/>
      <c r="ORJ995" s="2335"/>
      <c r="ORK995" s="2335"/>
      <c r="ORL995" s="2335"/>
      <c r="ORM995" s="2335"/>
      <c r="ORN995" s="2335"/>
      <c r="ORO995" s="2335"/>
      <c r="ORP995" s="2335"/>
      <c r="ORQ995" s="2335"/>
      <c r="ORR995" s="2335"/>
      <c r="ORS995" s="2335"/>
      <c r="ORT995" s="2335"/>
      <c r="ORU995" s="2335"/>
      <c r="ORV995" s="2335"/>
      <c r="ORW995" s="2335"/>
      <c r="ORX995" s="2335"/>
      <c r="ORY995" s="2335"/>
      <c r="ORZ995" s="2335"/>
      <c r="OSA995" s="2335"/>
      <c r="OSB995" s="2335"/>
      <c r="OSC995" s="2335"/>
      <c r="OSD995" s="2335"/>
      <c r="OSE995" s="2335"/>
      <c r="OSF995" s="2335"/>
      <c r="OSG995" s="2335"/>
      <c r="OSH995" s="2335"/>
      <c r="OSI995" s="2335"/>
      <c r="OSJ995" s="2335"/>
      <c r="OSK995" s="2335"/>
      <c r="OSL995" s="2335"/>
      <c r="OSM995" s="2335"/>
      <c r="OSN995" s="2335"/>
      <c r="OSO995" s="2335"/>
      <c r="OSP995" s="2335"/>
      <c r="OSQ995" s="2335"/>
      <c r="OSR995" s="2335"/>
      <c r="OSS995" s="2335"/>
      <c r="OST995" s="2335"/>
      <c r="OSU995" s="2335"/>
      <c r="OSV995" s="2335"/>
      <c r="OSW995" s="2335"/>
      <c r="OSX995" s="2335"/>
      <c r="OSY995" s="2335"/>
      <c r="OSZ995" s="2335"/>
      <c r="OTA995" s="2335"/>
      <c r="OTB995" s="2335"/>
      <c r="OTC995" s="2335"/>
      <c r="OTD995" s="2335"/>
      <c r="OTE995" s="2335"/>
      <c r="OTF995" s="2335"/>
      <c r="OTG995" s="2335"/>
      <c r="OTH995" s="2335"/>
      <c r="OTI995" s="2335"/>
      <c r="OTJ995" s="2335"/>
      <c r="OTK995" s="2335"/>
      <c r="OTL995" s="2335"/>
      <c r="OTM995" s="2335"/>
      <c r="OTN995" s="2335"/>
      <c r="OTO995" s="2335"/>
      <c r="OTP995" s="2335"/>
      <c r="OTQ995" s="2335"/>
      <c r="OTR995" s="2335"/>
      <c r="OTS995" s="2335"/>
      <c r="OTT995" s="2335"/>
      <c r="OTU995" s="2335"/>
      <c r="OTV995" s="2335"/>
      <c r="OTW995" s="2335"/>
      <c r="OTX995" s="2335"/>
      <c r="OTY995" s="2335"/>
      <c r="OTZ995" s="2335"/>
      <c r="OUA995" s="2335"/>
      <c r="OUB995" s="2335"/>
      <c r="OUC995" s="2335"/>
      <c r="OUD995" s="2335"/>
      <c r="OUE995" s="2335"/>
      <c r="OUF995" s="2335"/>
      <c r="OUG995" s="2335"/>
      <c r="OUH995" s="2335"/>
      <c r="OUI995" s="2335"/>
      <c r="OUJ995" s="2335"/>
      <c r="OUK995" s="2335"/>
      <c r="OUL995" s="2335"/>
      <c r="OUM995" s="2335"/>
      <c r="OUN995" s="2335"/>
      <c r="OUO995" s="2335"/>
      <c r="OUP995" s="2335"/>
      <c r="OUQ995" s="2335"/>
      <c r="OUR995" s="2335"/>
      <c r="OUS995" s="2335"/>
      <c r="OUT995" s="2335"/>
      <c r="OUU995" s="2335"/>
      <c r="OUV995" s="2335"/>
      <c r="OUW995" s="2335"/>
      <c r="OUX995" s="2335"/>
      <c r="OUY995" s="2335"/>
      <c r="OUZ995" s="2335"/>
      <c r="OVA995" s="2335"/>
      <c r="OVB995" s="2335"/>
      <c r="OVC995" s="2335"/>
      <c r="OVD995" s="2335"/>
      <c r="OVE995" s="2335"/>
      <c r="OVF995" s="2335"/>
      <c r="OVG995" s="2335"/>
      <c r="OVH995" s="2335"/>
      <c r="OVI995" s="2335"/>
      <c r="OVJ995" s="2335"/>
      <c r="OVK995" s="2335"/>
      <c r="OVL995" s="2335"/>
      <c r="OVM995" s="2335"/>
      <c r="OVN995" s="2335"/>
      <c r="OVO995" s="2335"/>
      <c r="OVP995" s="2335"/>
      <c r="OVQ995" s="2335"/>
      <c r="OVR995" s="2335"/>
      <c r="OVS995" s="2335"/>
      <c r="OVT995" s="2335"/>
      <c r="OVU995" s="2335"/>
      <c r="OVV995" s="2335"/>
      <c r="OVW995" s="2335"/>
      <c r="OVX995" s="2335"/>
      <c r="OVY995" s="2335"/>
      <c r="OVZ995" s="2335"/>
      <c r="OWA995" s="2335"/>
      <c r="OWB995" s="2335"/>
      <c r="OWC995" s="2335"/>
      <c r="OWD995" s="2335"/>
      <c r="OWE995" s="2335"/>
      <c r="OWF995" s="2335"/>
      <c r="OWG995" s="2335"/>
      <c r="OWH995" s="2335"/>
      <c r="OWI995" s="2335"/>
      <c r="OWJ995" s="2335"/>
      <c r="OWK995" s="2335"/>
      <c r="OWL995" s="2335"/>
      <c r="OWM995" s="2335"/>
      <c r="OWN995" s="2335"/>
      <c r="OWO995" s="2335"/>
      <c r="OWP995" s="2335"/>
      <c r="OWQ995" s="2335"/>
      <c r="OWR995" s="2335"/>
      <c r="OWS995" s="2335"/>
      <c r="OWT995" s="2335"/>
      <c r="OWU995" s="2335"/>
      <c r="OWV995" s="2335"/>
      <c r="OWW995" s="2335"/>
      <c r="OWX995" s="2335"/>
      <c r="OWY995" s="2335"/>
      <c r="OWZ995" s="2335"/>
      <c r="OXA995" s="2335"/>
      <c r="OXB995" s="2335"/>
      <c r="OXC995" s="2335"/>
      <c r="OXD995" s="2335"/>
      <c r="OXE995" s="2335"/>
      <c r="OXF995" s="2335"/>
      <c r="OXG995" s="2335"/>
      <c r="OXH995" s="2335"/>
      <c r="OXI995" s="2335"/>
      <c r="OXJ995" s="2335"/>
      <c r="OXK995" s="2335"/>
      <c r="OXL995" s="2335"/>
      <c r="OXM995" s="2335"/>
      <c r="OXN995" s="2335"/>
      <c r="OXO995" s="2335"/>
      <c r="OXP995" s="2335"/>
      <c r="OXQ995" s="2335"/>
      <c r="OXR995" s="2335"/>
      <c r="OXS995" s="2335"/>
      <c r="OXT995" s="2335"/>
      <c r="OXU995" s="2335"/>
      <c r="OXV995" s="2335"/>
      <c r="OXW995" s="2335"/>
      <c r="OXX995" s="2335"/>
      <c r="OXY995" s="2335"/>
      <c r="OXZ995" s="2335"/>
      <c r="OYA995" s="2335"/>
      <c r="OYB995" s="2335"/>
      <c r="OYC995" s="2335"/>
      <c r="OYD995" s="2335"/>
      <c r="OYE995" s="2335"/>
      <c r="OYF995" s="2335"/>
      <c r="OYG995" s="2335"/>
      <c r="OYH995" s="2335"/>
      <c r="OYI995" s="2335"/>
      <c r="OYJ995" s="2335"/>
      <c r="OYK995" s="2335"/>
      <c r="OYL995" s="2335"/>
      <c r="OYM995" s="2335"/>
      <c r="OYN995" s="2335"/>
      <c r="OYO995" s="2335"/>
      <c r="OYP995" s="2335"/>
      <c r="OYQ995" s="2335"/>
      <c r="OYR995" s="2335"/>
      <c r="OYS995" s="2335"/>
      <c r="OYT995" s="2335"/>
      <c r="OYU995" s="2335"/>
      <c r="OYV995" s="2335"/>
      <c r="OYW995" s="2335"/>
      <c r="OYX995" s="2335"/>
      <c r="OYY995" s="2335"/>
      <c r="OYZ995" s="2335"/>
      <c r="OZA995" s="2335"/>
      <c r="OZB995" s="2335"/>
      <c r="OZC995" s="2335"/>
      <c r="OZD995" s="2335"/>
      <c r="OZE995" s="2335"/>
      <c r="OZF995" s="2335"/>
      <c r="OZG995" s="2335"/>
      <c r="OZH995" s="2335"/>
      <c r="OZI995" s="2335"/>
      <c r="OZJ995" s="2335"/>
      <c r="OZK995" s="2335"/>
      <c r="OZL995" s="2335"/>
      <c r="OZM995" s="2335"/>
      <c r="OZN995" s="2335"/>
      <c r="OZO995" s="2335"/>
      <c r="OZP995" s="2335"/>
      <c r="OZQ995" s="2335"/>
      <c r="OZR995" s="2335"/>
      <c r="OZS995" s="2335"/>
      <c r="OZT995" s="2335"/>
      <c r="OZU995" s="2335"/>
      <c r="OZV995" s="2335"/>
      <c r="OZW995" s="2335"/>
      <c r="OZX995" s="2335"/>
      <c r="OZY995" s="2335"/>
      <c r="OZZ995" s="2335"/>
      <c r="PAA995" s="2335"/>
      <c r="PAB995" s="2335"/>
      <c r="PAC995" s="2335"/>
      <c r="PAD995" s="2335"/>
      <c r="PAE995" s="2335"/>
      <c r="PAF995" s="2335"/>
      <c r="PAG995" s="2335"/>
      <c r="PAH995" s="2335"/>
      <c r="PAI995" s="2335"/>
      <c r="PAJ995" s="2335"/>
      <c r="PAK995" s="2335"/>
      <c r="PAL995" s="2335"/>
      <c r="PAM995" s="2335"/>
      <c r="PAN995" s="2335"/>
      <c r="PAO995" s="2335"/>
      <c r="PAP995" s="2335"/>
      <c r="PAQ995" s="2335"/>
      <c r="PAR995" s="2335"/>
      <c r="PAS995" s="2335"/>
      <c r="PAT995" s="2335"/>
      <c r="PAU995" s="2335"/>
      <c r="PAV995" s="2335"/>
      <c r="PAW995" s="2335"/>
      <c r="PAX995" s="2335"/>
      <c r="PAY995" s="2335"/>
      <c r="PAZ995" s="2335"/>
      <c r="PBA995" s="2335"/>
      <c r="PBB995" s="2335"/>
      <c r="PBC995" s="2335"/>
      <c r="PBD995" s="2335"/>
      <c r="PBE995" s="2335"/>
      <c r="PBF995" s="2335"/>
      <c r="PBG995" s="2335"/>
      <c r="PBH995" s="2335"/>
      <c r="PBI995" s="2335"/>
      <c r="PBJ995" s="2335"/>
      <c r="PBK995" s="2335"/>
      <c r="PBL995" s="2335"/>
      <c r="PBM995" s="2335"/>
      <c r="PBN995" s="2335"/>
      <c r="PBO995" s="2335"/>
      <c r="PBP995" s="2335"/>
      <c r="PBQ995" s="2335"/>
      <c r="PBR995" s="2335"/>
      <c r="PBS995" s="2335"/>
      <c r="PBT995" s="2335"/>
      <c r="PBU995" s="2335"/>
      <c r="PBV995" s="2335"/>
      <c r="PBW995" s="2335"/>
      <c r="PBX995" s="2335"/>
      <c r="PBY995" s="2335"/>
      <c r="PBZ995" s="2335"/>
      <c r="PCA995" s="2335"/>
      <c r="PCB995" s="2335"/>
      <c r="PCC995" s="2335"/>
      <c r="PCD995" s="2335"/>
      <c r="PCE995" s="2335"/>
      <c r="PCF995" s="2335"/>
      <c r="PCG995" s="2335"/>
      <c r="PCH995" s="2335"/>
      <c r="PCI995" s="2335"/>
      <c r="PCJ995" s="2335"/>
      <c r="PCK995" s="2335"/>
      <c r="PCL995" s="2335"/>
      <c r="PCM995" s="2335"/>
      <c r="PCN995" s="2335"/>
      <c r="PCO995" s="2335"/>
      <c r="PCP995" s="2335"/>
      <c r="PCQ995" s="2335"/>
      <c r="PCR995" s="2335"/>
      <c r="PCS995" s="2335"/>
      <c r="PCT995" s="2335"/>
      <c r="PCU995" s="2335"/>
      <c r="PCV995" s="2335"/>
      <c r="PCW995" s="2335"/>
      <c r="PCX995" s="2335"/>
      <c r="PCY995" s="2335"/>
      <c r="PCZ995" s="2335"/>
      <c r="PDA995" s="2335"/>
      <c r="PDB995" s="2335"/>
      <c r="PDC995" s="2335"/>
      <c r="PDD995" s="2335"/>
      <c r="PDE995" s="2335"/>
      <c r="PDF995" s="2335"/>
      <c r="PDG995" s="2335"/>
      <c r="PDH995" s="2335"/>
      <c r="PDI995" s="2335"/>
      <c r="PDJ995" s="2335"/>
      <c r="PDK995" s="2335"/>
      <c r="PDL995" s="2335"/>
      <c r="PDM995" s="2335"/>
      <c r="PDN995" s="2335"/>
      <c r="PDO995" s="2335"/>
      <c r="PDP995" s="2335"/>
      <c r="PDQ995" s="2335"/>
      <c r="PDR995" s="2335"/>
      <c r="PDS995" s="2335"/>
      <c r="PDT995" s="2335"/>
      <c r="PDU995" s="2335"/>
      <c r="PDV995" s="2335"/>
      <c r="PDW995" s="2335"/>
      <c r="PDX995" s="2335"/>
      <c r="PDY995" s="2335"/>
      <c r="PDZ995" s="2335"/>
      <c r="PEA995" s="2335"/>
      <c r="PEB995" s="2335"/>
      <c r="PEC995" s="2335"/>
      <c r="PED995" s="2335"/>
      <c r="PEE995" s="2335"/>
      <c r="PEF995" s="2335"/>
      <c r="PEG995" s="2335"/>
      <c r="PEH995" s="2335"/>
      <c r="PEI995" s="2335"/>
      <c r="PEJ995" s="2335"/>
      <c r="PEK995" s="2335"/>
      <c r="PEL995" s="2335"/>
      <c r="PEM995" s="2335"/>
      <c r="PEN995" s="2335"/>
      <c r="PEO995" s="2335"/>
      <c r="PEP995" s="2335"/>
      <c r="PEQ995" s="2335"/>
      <c r="PER995" s="2335"/>
      <c r="PES995" s="2335"/>
      <c r="PET995" s="2335"/>
      <c r="PEU995" s="2335"/>
      <c r="PEV995" s="2335"/>
      <c r="PEW995" s="2335"/>
      <c r="PEX995" s="2335"/>
      <c r="PEY995" s="2335"/>
      <c r="PEZ995" s="2335"/>
      <c r="PFA995" s="2335"/>
      <c r="PFB995" s="2335"/>
      <c r="PFC995" s="2335"/>
      <c r="PFD995" s="2335"/>
      <c r="PFE995" s="2335"/>
      <c r="PFF995" s="2335"/>
      <c r="PFG995" s="2335"/>
      <c r="PFH995" s="2335"/>
      <c r="PFI995" s="2335"/>
      <c r="PFJ995" s="2335"/>
      <c r="PFK995" s="2335"/>
      <c r="PFL995" s="2335"/>
      <c r="PFM995" s="2335"/>
      <c r="PFN995" s="2335"/>
      <c r="PFO995" s="2335"/>
      <c r="PFP995" s="2335"/>
      <c r="PFQ995" s="2335"/>
      <c r="PFR995" s="2335"/>
      <c r="PFS995" s="2335"/>
      <c r="PFT995" s="2335"/>
      <c r="PFU995" s="2335"/>
      <c r="PFV995" s="2335"/>
      <c r="PFW995" s="2335"/>
      <c r="PFX995" s="2335"/>
      <c r="PFY995" s="2335"/>
      <c r="PFZ995" s="2335"/>
      <c r="PGA995" s="2335"/>
      <c r="PGB995" s="2335"/>
      <c r="PGC995" s="2335"/>
      <c r="PGD995" s="2335"/>
      <c r="PGE995" s="2335"/>
      <c r="PGF995" s="2335"/>
      <c r="PGG995" s="2335"/>
      <c r="PGH995" s="2335"/>
      <c r="PGI995" s="2335"/>
      <c r="PGJ995" s="2335"/>
      <c r="PGK995" s="2335"/>
      <c r="PGL995" s="2335"/>
      <c r="PGM995" s="2335"/>
      <c r="PGN995" s="2335"/>
      <c r="PGO995" s="2335"/>
      <c r="PGP995" s="2335"/>
      <c r="PGQ995" s="2335"/>
      <c r="PGR995" s="2335"/>
      <c r="PGS995" s="2335"/>
      <c r="PGT995" s="2335"/>
      <c r="PGU995" s="2335"/>
      <c r="PGV995" s="2335"/>
      <c r="PGW995" s="2335"/>
      <c r="PGX995" s="2335"/>
      <c r="PGY995" s="2335"/>
      <c r="PGZ995" s="2335"/>
      <c r="PHA995" s="2335"/>
      <c r="PHB995" s="2335"/>
      <c r="PHC995" s="2335"/>
      <c r="PHD995" s="2335"/>
      <c r="PHE995" s="2335"/>
      <c r="PHF995" s="2335"/>
      <c r="PHG995" s="2335"/>
      <c r="PHH995" s="2335"/>
      <c r="PHI995" s="2335"/>
      <c r="PHJ995" s="2335"/>
      <c r="PHK995" s="2335"/>
      <c r="PHL995" s="2335"/>
      <c r="PHM995" s="2335"/>
      <c r="PHN995" s="2335"/>
      <c r="PHO995" s="2335"/>
      <c r="PHP995" s="2335"/>
      <c r="PHQ995" s="2335"/>
      <c r="PHR995" s="2335"/>
      <c r="PHS995" s="2335"/>
      <c r="PHT995" s="2335"/>
      <c r="PHU995" s="2335"/>
      <c r="PHV995" s="2335"/>
      <c r="PHW995" s="2335"/>
      <c r="PHX995" s="2335"/>
      <c r="PHY995" s="2335"/>
      <c r="PHZ995" s="2335"/>
      <c r="PIA995" s="2335"/>
      <c r="PIB995" s="2335"/>
      <c r="PIC995" s="2335"/>
      <c r="PID995" s="2335"/>
      <c r="PIE995" s="2335"/>
      <c r="PIF995" s="2335"/>
      <c r="PIG995" s="2335"/>
      <c r="PIH995" s="2335"/>
      <c r="PII995" s="2335"/>
      <c r="PIJ995" s="2335"/>
      <c r="PIK995" s="2335"/>
      <c r="PIL995" s="2335"/>
      <c r="PIM995" s="2335"/>
      <c r="PIN995" s="2335"/>
      <c r="PIO995" s="2335"/>
      <c r="PIP995" s="2335"/>
      <c r="PIQ995" s="2335"/>
      <c r="PIR995" s="2335"/>
      <c r="PIS995" s="2335"/>
      <c r="PIT995" s="2335"/>
      <c r="PIU995" s="2335"/>
      <c r="PIV995" s="2335"/>
      <c r="PIW995" s="2335"/>
      <c r="PIX995" s="2335"/>
      <c r="PIY995" s="2335"/>
      <c r="PIZ995" s="2335"/>
      <c r="PJA995" s="2335"/>
      <c r="PJB995" s="2335"/>
      <c r="PJC995" s="2335"/>
      <c r="PJD995" s="2335"/>
      <c r="PJE995" s="2335"/>
      <c r="PJF995" s="2335"/>
      <c r="PJG995" s="2335"/>
      <c r="PJH995" s="2335"/>
      <c r="PJI995" s="2335"/>
      <c r="PJJ995" s="2335"/>
      <c r="PJK995" s="2335"/>
      <c r="PJL995" s="2335"/>
      <c r="PJM995" s="2335"/>
      <c r="PJN995" s="2335"/>
      <c r="PJO995" s="2335"/>
      <c r="PJP995" s="2335"/>
      <c r="PJQ995" s="2335"/>
      <c r="PJR995" s="2335"/>
      <c r="PJS995" s="2335"/>
      <c r="PJT995" s="2335"/>
      <c r="PJU995" s="2335"/>
      <c r="PJV995" s="2335"/>
      <c r="PJW995" s="2335"/>
      <c r="PJX995" s="2335"/>
      <c r="PJY995" s="2335"/>
      <c r="PJZ995" s="2335"/>
      <c r="PKA995" s="2335"/>
      <c r="PKB995" s="2335"/>
      <c r="PKC995" s="2335"/>
      <c r="PKD995" s="2335"/>
      <c r="PKE995" s="2335"/>
      <c r="PKF995" s="2335"/>
      <c r="PKG995" s="2335"/>
      <c r="PKH995" s="2335"/>
      <c r="PKI995" s="2335"/>
      <c r="PKJ995" s="2335"/>
      <c r="PKK995" s="2335"/>
      <c r="PKL995" s="2335"/>
      <c r="PKM995" s="2335"/>
      <c r="PKN995" s="2335"/>
      <c r="PKO995" s="2335"/>
      <c r="PKP995" s="2335"/>
      <c r="PKQ995" s="2335"/>
      <c r="PKR995" s="2335"/>
      <c r="PKS995" s="2335"/>
      <c r="PKT995" s="2335"/>
      <c r="PKU995" s="2335"/>
      <c r="PKV995" s="2335"/>
      <c r="PKW995" s="2335"/>
      <c r="PKX995" s="2335"/>
      <c r="PKY995" s="2335"/>
      <c r="PKZ995" s="2335"/>
      <c r="PLA995" s="2335"/>
      <c r="PLB995" s="2335"/>
      <c r="PLC995" s="2335"/>
      <c r="PLD995" s="2335"/>
      <c r="PLE995" s="2335"/>
      <c r="PLF995" s="2335"/>
      <c r="PLG995" s="2335"/>
      <c r="PLH995" s="2335"/>
      <c r="PLI995" s="2335"/>
      <c r="PLJ995" s="2335"/>
      <c r="PLK995" s="2335"/>
      <c r="PLL995" s="2335"/>
      <c r="PLM995" s="2335"/>
      <c r="PLN995" s="2335"/>
      <c r="PLO995" s="2335"/>
      <c r="PLP995" s="2335"/>
      <c r="PLQ995" s="2335"/>
      <c r="PLR995" s="2335"/>
      <c r="PLS995" s="2335"/>
      <c r="PLT995" s="2335"/>
      <c r="PLU995" s="2335"/>
      <c r="PLV995" s="2335"/>
      <c r="PLW995" s="2335"/>
      <c r="PLX995" s="2335"/>
      <c r="PLY995" s="2335"/>
      <c r="PLZ995" s="2335"/>
      <c r="PMA995" s="2335"/>
      <c r="PMB995" s="2335"/>
      <c r="PMC995" s="2335"/>
      <c r="PMD995" s="2335"/>
      <c r="PME995" s="2335"/>
      <c r="PMF995" s="2335"/>
      <c r="PMG995" s="2335"/>
      <c r="PMH995" s="2335"/>
      <c r="PMI995" s="2335"/>
      <c r="PMJ995" s="2335"/>
      <c r="PMK995" s="2335"/>
      <c r="PML995" s="2335"/>
      <c r="PMM995" s="2335"/>
      <c r="PMN995" s="2335"/>
      <c r="PMO995" s="2335"/>
      <c r="PMP995" s="2335"/>
      <c r="PMQ995" s="2335"/>
      <c r="PMR995" s="2335"/>
      <c r="PMS995" s="2335"/>
      <c r="PMT995" s="2335"/>
      <c r="PMU995" s="2335"/>
      <c r="PMV995" s="2335"/>
      <c r="PMW995" s="2335"/>
      <c r="PMX995" s="2335"/>
      <c r="PMY995" s="2335"/>
      <c r="PMZ995" s="2335"/>
      <c r="PNA995" s="2335"/>
      <c r="PNB995" s="2335"/>
      <c r="PNC995" s="2335"/>
      <c r="PND995" s="2335"/>
      <c r="PNE995" s="2335"/>
      <c r="PNF995" s="2335"/>
      <c r="PNG995" s="2335"/>
      <c r="PNH995" s="2335"/>
      <c r="PNI995" s="2335"/>
      <c r="PNJ995" s="2335"/>
      <c r="PNK995" s="2335"/>
      <c r="PNL995" s="2335"/>
      <c r="PNM995" s="2335"/>
      <c r="PNN995" s="2335"/>
      <c r="PNO995" s="2335"/>
      <c r="PNP995" s="2335"/>
      <c r="PNQ995" s="2335"/>
      <c r="PNR995" s="2335"/>
      <c r="PNS995" s="2335"/>
      <c r="PNT995" s="2335"/>
      <c r="PNU995" s="2335"/>
      <c r="PNV995" s="2335"/>
      <c r="PNW995" s="2335"/>
      <c r="PNX995" s="2335"/>
      <c r="PNY995" s="2335"/>
      <c r="PNZ995" s="2335"/>
      <c r="POA995" s="2335"/>
      <c r="POB995" s="2335"/>
      <c r="POC995" s="2335"/>
      <c r="POD995" s="2335"/>
      <c r="POE995" s="2335"/>
      <c r="POF995" s="2335"/>
      <c r="POG995" s="2335"/>
      <c r="POH995" s="2335"/>
      <c r="POI995" s="2335"/>
      <c r="POJ995" s="2335"/>
      <c r="POK995" s="2335"/>
      <c r="POL995" s="2335"/>
      <c r="POM995" s="2335"/>
      <c r="PON995" s="2335"/>
      <c r="POO995" s="2335"/>
      <c r="POP995" s="2335"/>
      <c r="POQ995" s="2335"/>
      <c r="POR995" s="2335"/>
      <c r="POS995" s="2335"/>
      <c r="POT995" s="2335"/>
      <c r="POU995" s="2335"/>
      <c r="POV995" s="2335"/>
      <c r="POW995" s="2335"/>
      <c r="POX995" s="2335"/>
      <c r="POY995" s="2335"/>
      <c r="POZ995" s="2335"/>
      <c r="PPA995" s="2335"/>
      <c r="PPB995" s="2335"/>
      <c r="PPC995" s="2335"/>
      <c r="PPD995" s="2335"/>
      <c r="PPE995" s="2335"/>
      <c r="PPF995" s="2335"/>
      <c r="PPG995" s="2335"/>
      <c r="PPH995" s="2335"/>
      <c r="PPI995" s="2335"/>
      <c r="PPJ995" s="2335"/>
      <c r="PPK995" s="2335"/>
      <c r="PPL995" s="2335"/>
      <c r="PPM995" s="2335"/>
      <c r="PPN995" s="2335"/>
      <c r="PPO995" s="2335"/>
      <c r="PPP995" s="2335"/>
      <c r="PPQ995" s="2335"/>
      <c r="PPR995" s="2335"/>
      <c r="PPS995" s="2335"/>
      <c r="PPT995" s="2335"/>
      <c r="PPU995" s="2335"/>
      <c r="PPV995" s="2335"/>
      <c r="PPW995" s="2335"/>
      <c r="PPX995" s="2335"/>
      <c r="PPY995" s="2335"/>
      <c r="PPZ995" s="2335"/>
      <c r="PQA995" s="2335"/>
      <c r="PQB995" s="2335"/>
      <c r="PQC995" s="2335"/>
      <c r="PQD995" s="2335"/>
      <c r="PQE995" s="2335"/>
      <c r="PQF995" s="2335"/>
      <c r="PQG995" s="2335"/>
      <c r="PQH995" s="2335"/>
      <c r="PQI995" s="2335"/>
      <c r="PQJ995" s="2335"/>
      <c r="PQK995" s="2335"/>
      <c r="PQL995" s="2335"/>
      <c r="PQM995" s="2335"/>
      <c r="PQN995" s="2335"/>
      <c r="PQO995" s="2335"/>
      <c r="PQP995" s="2335"/>
      <c r="PQQ995" s="2335"/>
      <c r="PQR995" s="2335"/>
      <c r="PQS995" s="2335"/>
      <c r="PQT995" s="2335"/>
      <c r="PQU995" s="2335"/>
      <c r="PQV995" s="2335"/>
      <c r="PQW995" s="2335"/>
      <c r="PQX995" s="2335"/>
      <c r="PQY995" s="2335"/>
      <c r="PQZ995" s="2335"/>
      <c r="PRA995" s="2335"/>
      <c r="PRB995" s="2335"/>
      <c r="PRC995" s="2335"/>
      <c r="PRD995" s="2335"/>
      <c r="PRE995" s="2335"/>
      <c r="PRF995" s="2335"/>
      <c r="PRG995" s="2335"/>
      <c r="PRH995" s="2335"/>
      <c r="PRI995" s="2335"/>
      <c r="PRJ995" s="2335"/>
      <c r="PRK995" s="2335"/>
      <c r="PRL995" s="2335"/>
      <c r="PRM995" s="2335"/>
      <c r="PRN995" s="2335"/>
      <c r="PRO995" s="2335"/>
      <c r="PRP995" s="2335"/>
      <c r="PRQ995" s="2335"/>
      <c r="PRR995" s="2335"/>
      <c r="PRS995" s="2335"/>
      <c r="PRT995" s="2335"/>
      <c r="PRU995" s="2335"/>
      <c r="PRV995" s="2335"/>
      <c r="PRW995" s="2335"/>
      <c r="PRX995" s="2335"/>
      <c r="PRY995" s="2335"/>
      <c r="PRZ995" s="2335"/>
      <c r="PSA995" s="2335"/>
      <c r="PSB995" s="2335"/>
      <c r="PSC995" s="2335"/>
      <c r="PSD995" s="2335"/>
      <c r="PSE995" s="2335"/>
      <c r="PSF995" s="2335"/>
      <c r="PSG995" s="2335"/>
      <c r="PSH995" s="2335"/>
      <c r="PSI995" s="2335"/>
      <c r="PSJ995" s="2335"/>
      <c r="PSK995" s="2335"/>
      <c r="PSL995" s="2335"/>
      <c r="PSM995" s="2335"/>
      <c r="PSN995" s="2335"/>
      <c r="PSO995" s="2335"/>
      <c r="PSP995" s="2335"/>
      <c r="PSQ995" s="2335"/>
      <c r="PSR995" s="2335"/>
      <c r="PSS995" s="2335"/>
      <c r="PST995" s="2335"/>
      <c r="PSU995" s="2335"/>
      <c r="PSV995" s="2335"/>
      <c r="PSW995" s="2335"/>
      <c r="PSX995" s="2335"/>
      <c r="PSY995" s="2335"/>
      <c r="PSZ995" s="2335"/>
      <c r="PTA995" s="2335"/>
      <c r="PTB995" s="2335"/>
      <c r="PTC995" s="2335"/>
      <c r="PTD995" s="2335"/>
      <c r="PTE995" s="2335"/>
      <c r="PTF995" s="2335"/>
      <c r="PTG995" s="2335"/>
      <c r="PTH995" s="2335"/>
      <c r="PTI995" s="2335"/>
      <c r="PTJ995" s="2335"/>
      <c r="PTK995" s="2335"/>
      <c r="PTL995" s="2335"/>
      <c r="PTM995" s="2335"/>
      <c r="PTN995" s="2335"/>
      <c r="PTO995" s="2335"/>
      <c r="PTP995" s="2335"/>
      <c r="PTQ995" s="2335"/>
      <c r="PTR995" s="2335"/>
      <c r="PTS995" s="2335"/>
      <c r="PTT995" s="2335"/>
      <c r="PTU995" s="2335"/>
      <c r="PTV995" s="2335"/>
      <c r="PTW995" s="2335"/>
      <c r="PTX995" s="2335"/>
      <c r="PTY995" s="2335"/>
      <c r="PTZ995" s="2335"/>
      <c r="PUA995" s="2335"/>
      <c r="PUB995" s="2335"/>
      <c r="PUC995" s="2335"/>
      <c r="PUD995" s="2335"/>
      <c r="PUE995" s="2335"/>
      <c r="PUF995" s="2335"/>
      <c r="PUG995" s="2335"/>
      <c r="PUH995" s="2335"/>
      <c r="PUI995" s="2335"/>
      <c r="PUJ995" s="2335"/>
      <c r="PUK995" s="2335"/>
      <c r="PUL995" s="2335"/>
      <c r="PUM995" s="2335"/>
      <c r="PUN995" s="2335"/>
      <c r="PUO995" s="2335"/>
      <c r="PUP995" s="2335"/>
      <c r="PUQ995" s="2335"/>
      <c r="PUR995" s="2335"/>
      <c r="PUS995" s="2335"/>
      <c r="PUT995" s="2335"/>
      <c r="PUU995" s="2335"/>
      <c r="PUV995" s="2335"/>
      <c r="PUW995" s="2335"/>
      <c r="PUX995" s="2335"/>
      <c r="PUY995" s="2335"/>
      <c r="PUZ995" s="2335"/>
      <c r="PVA995" s="2335"/>
      <c r="PVB995" s="2335"/>
      <c r="PVC995" s="2335"/>
      <c r="PVD995" s="2335"/>
      <c r="PVE995" s="2335"/>
      <c r="PVF995" s="2335"/>
      <c r="PVG995" s="2335"/>
      <c r="PVH995" s="2335"/>
      <c r="PVI995" s="2335"/>
      <c r="PVJ995" s="2335"/>
      <c r="PVK995" s="2335"/>
      <c r="PVL995" s="2335"/>
      <c r="PVM995" s="2335"/>
      <c r="PVN995" s="2335"/>
      <c r="PVO995" s="2335"/>
      <c r="PVP995" s="2335"/>
      <c r="PVQ995" s="2335"/>
      <c r="PVR995" s="2335"/>
      <c r="PVS995" s="2335"/>
      <c r="PVT995" s="2335"/>
      <c r="PVU995" s="2335"/>
      <c r="PVV995" s="2335"/>
      <c r="PVW995" s="2335"/>
      <c r="PVX995" s="2335"/>
      <c r="PVY995" s="2335"/>
      <c r="PVZ995" s="2335"/>
      <c r="PWA995" s="2335"/>
      <c r="PWB995" s="2335"/>
      <c r="PWC995" s="2335"/>
      <c r="PWD995" s="2335"/>
      <c r="PWE995" s="2335"/>
      <c r="PWF995" s="2335"/>
      <c r="PWG995" s="2335"/>
      <c r="PWH995" s="2335"/>
      <c r="PWI995" s="2335"/>
      <c r="PWJ995" s="2335"/>
      <c r="PWK995" s="2335"/>
      <c r="PWL995" s="2335"/>
      <c r="PWM995" s="2335"/>
      <c r="PWN995" s="2335"/>
      <c r="PWO995" s="2335"/>
      <c r="PWP995" s="2335"/>
      <c r="PWQ995" s="2335"/>
      <c r="PWR995" s="2335"/>
      <c r="PWS995" s="2335"/>
      <c r="PWT995" s="2335"/>
      <c r="PWU995" s="2335"/>
      <c r="PWV995" s="2335"/>
      <c r="PWW995" s="2335"/>
      <c r="PWX995" s="2335"/>
      <c r="PWY995" s="2335"/>
      <c r="PWZ995" s="2335"/>
      <c r="PXA995" s="2335"/>
      <c r="PXB995" s="2335"/>
      <c r="PXC995" s="2335"/>
      <c r="PXD995" s="2335"/>
      <c r="PXE995" s="2335"/>
      <c r="PXF995" s="2335"/>
      <c r="PXG995" s="2335"/>
      <c r="PXH995" s="2335"/>
      <c r="PXI995" s="2335"/>
      <c r="PXJ995" s="2335"/>
      <c r="PXK995" s="2335"/>
      <c r="PXL995" s="2335"/>
      <c r="PXM995" s="2335"/>
      <c r="PXN995" s="2335"/>
      <c r="PXO995" s="2335"/>
      <c r="PXP995" s="2335"/>
      <c r="PXQ995" s="2335"/>
      <c r="PXR995" s="2335"/>
      <c r="PXS995" s="2335"/>
      <c r="PXT995" s="2335"/>
      <c r="PXU995" s="2335"/>
      <c r="PXV995" s="2335"/>
      <c r="PXW995" s="2335"/>
      <c r="PXX995" s="2335"/>
      <c r="PXY995" s="2335"/>
      <c r="PXZ995" s="2335"/>
      <c r="PYA995" s="2335"/>
      <c r="PYB995" s="2335"/>
      <c r="PYC995" s="2335"/>
      <c r="PYD995" s="2335"/>
      <c r="PYE995" s="2335"/>
      <c r="PYF995" s="2335"/>
      <c r="PYG995" s="2335"/>
      <c r="PYH995" s="2335"/>
      <c r="PYI995" s="2335"/>
      <c r="PYJ995" s="2335"/>
      <c r="PYK995" s="2335"/>
      <c r="PYL995" s="2335"/>
      <c r="PYM995" s="2335"/>
      <c r="PYN995" s="2335"/>
      <c r="PYO995" s="2335"/>
      <c r="PYP995" s="2335"/>
      <c r="PYQ995" s="2335"/>
      <c r="PYR995" s="2335"/>
      <c r="PYS995" s="2335"/>
      <c r="PYT995" s="2335"/>
      <c r="PYU995" s="2335"/>
      <c r="PYV995" s="2335"/>
      <c r="PYW995" s="2335"/>
      <c r="PYX995" s="2335"/>
      <c r="PYY995" s="2335"/>
      <c r="PYZ995" s="2335"/>
      <c r="PZA995" s="2335"/>
      <c r="PZB995" s="2335"/>
      <c r="PZC995" s="2335"/>
      <c r="PZD995" s="2335"/>
      <c r="PZE995" s="2335"/>
      <c r="PZF995" s="2335"/>
      <c r="PZG995" s="2335"/>
      <c r="PZH995" s="2335"/>
      <c r="PZI995" s="2335"/>
      <c r="PZJ995" s="2335"/>
      <c r="PZK995" s="2335"/>
      <c r="PZL995" s="2335"/>
      <c r="PZM995" s="2335"/>
      <c r="PZN995" s="2335"/>
      <c r="PZO995" s="2335"/>
      <c r="PZP995" s="2335"/>
      <c r="PZQ995" s="2335"/>
      <c r="PZR995" s="2335"/>
      <c r="PZS995" s="2335"/>
      <c r="PZT995" s="2335"/>
      <c r="PZU995" s="2335"/>
      <c r="PZV995" s="2335"/>
      <c r="PZW995" s="2335"/>
      <c r="PZX995" s="2335"/>
      <c r="PZY995" s="2335"/>
      <c r="PZZ995" s="2335"/>
      <c r="QAA995" s="2335"/>
      <c r="QAB995" s="2335"/>
      <c r="QAC995" s="2335"/>
      <c r="QAD995" s="2335"/>
      <c r="QAE995" s="2335"/>
      <c r="QAF995" s="2335"/>
      <c r="QAG995" s="2335"/>
      <c r="QAH995" s="2335"/>
      <c r="QAI995" s="2335"/>
      <c r="QAJ995" s="2335"/>
      <c r="QAK995" s="2335"/>
      <c r="QAL995" s="2335"/>
      <c r="QAM995" s="2335"/>
      <c r="QAN995" s="2335"/>
      <c r="QAO995" s="2335"/>
      <c r="QAP995" s="2335"/>
      <c r="QAQ995" s="2335"/>
      <c r="QAR995" s="2335"/>
      <c r="QAS995" s="2335"/>
      <c r="QAT995" s="2335"/>
      <c r="QAU995" s="2335"/>
      <c r="QAV995" s="2335"/>
      <c r="QAW995" s="2335"/>
      <c r="QAX995" s="2335"/>
      <c r="QAY995" s="2335"/>
      <c r="QAZ995" s="2335"/>
      <c r="QBA995" s="2335"/>
      <c r="QBB995" s="2335"/>
      <c r="QBC995" s="2335"/>
      <c r="QBD995" s="2335"/>
      <c r="QBE995" s="2335"/>
      <c r="QBF995" s="2335"/>
      <c r="QBG995" s="2335"/>
      <c r="QBH995" s="2335"/>
      <c r="QBI995" s="2335"/>
      <c r="QBJ995" s="2335"/>
      <c r="QBK995" s="2335"/>
      <c r="QBL995" s="2335"/>
      <c r="QBM995" s="2335"/>
      <c r="QBN995" s="2335"/>
      <c r="QBO995" s="2335"/>
      <c r="QBP995" s="2335"/>
      <c r="QBQ995" s="2335"/>
      <c r="QBR995" s="2335"/>
      <c r="QBS995" s="2335"/>
      <c r="QBT995" s="2335"/>
      <c r="QBU995" s="2335"/>
      <c r="QBV995" s="2335"/>
      <c r="QBW995" s="2335"/>
      <c r="QBX995" s="2335"/>
      <c r="QBY995" s="2335"/>
      <c r="QBZ995" s="2335"/>
      <c r="QCA995" s="2335"/>
      <c r="QCB995" s="2335"/>
      <c r="QCC995" s="2335"/>
      <c r="QCD995" s="2335"/>
      <c r="QCE995" s="2335"/>
      <c r="QCF995" s="2335"/>
      <c r="QCG995" s="2335"/>
      <c r="QCH995" s="2335"/>
      <c r="QCI995" s="2335"/>
      <c r="QCJ995" s="2335"/>
      <c r="QCK995" s="2335"/>
      <c r="QCL995" s="2335"/>
      <c r="QCM995" s="2335"/>
      <c r="QCN995" s="2335"/>
      <c r="QCO995" s="2335"/>
      <c r="QCP995" s="2335"/>
      <c r="QCQ995" s="2335"/>
      <c r="QCR995" s="2335"/>
      <c r="QCS995" s="2335"/>
      <c r="QCT995" s="2335"/>
      <c r="QCU995" s="2335"/>
      <c r="QCV995" s="2335"/>
      <c r="QCW995" s="2335"/>
      <c r="QCX995" s="2335"/>
      <c r="QCY995" s="2335"/>
      <c r="QCZ995" s="2335"/>
      <c r="QDA995" s="2335"/>
      <c r="QDB995" s="2335"/>
      <c r="QDC995" s="2335"/>
      <c r="QDD995" s="2335"/>
      <c r="QDE995" s="2335"/>
      <c r="QDF995" s="2335"/>
      <c r="QDG995" s="2335"/>
      <c r="QDH995" s="2335"/>
      <c r="QDI995" s="2335"/>
      <c r="QDJ995" s="2335"/>
      <c r="QDK995" s="2335"/>
      <c r="QDL995" s="2335"/>
      <c r="QDM995" s="2335"/>
      <c r="QDN995" s="2335"/>
      <c r="QDO995" s="2335"/>
      <c r="QDP995" s="2335"/>
      <c r="QDQ995" s="2335"/>
      <c r="QDR995" s="2335"/>
      <c r="QDS995" s="2335"/>
      <c r="QDT995" s="2335"/>
      <c r="QDU995" s="2335"/>
      <c r="QDV995" s="2335"/>
      <c r="QDW995" s="2335"/>
      <c r="QDX995" s="2335"/>
      <c r="QDY995" s="2335"/>
      <c r="QDZ995" s="2335"/>
      <c r="QEA995" s="2335"/>
      <c r="QEB995" s="2335"/>
      <c r="QEC995" s="2335"/>
      <c r="QED995" s="2335"/>
      <c r="QEE995" s="2335"/>
      <c r="QEF995" s="2335"/>
      <c r="QEG995" s="2335"/>
      <c r="QEH995" s="2335"/>
      <c r="QEI995" s="2335"/>
      <c r="QEJ995" s="2335"/>
      <c r="QEK995" s="2335"/>
      <c r="QEL995" s="2335"/>
      <c r="QEM995" s="2335"/>
      <c r="QEN995" s="2335"/>
      <c r="QEO995" s="2335"/>
      <c r="QEP995" s="2335"/>
      <c r="QEQ995" s="2335"/>
      <c r="QER995" s="2335"/>
      <c r="QES995" s="2335"/>
      <c r="QET995" s="2335"/>
      <c r="QEU995" s="2335"/>
      <c r="QEV995" s="2335"/>
      <c r="QEW995" s="2335"/>
      <c r="QEX995" s="2335"/>
      <c r="QEY995" s="2335"/>
      <c r="QEZ995" s="2335"/>
      <c r="QFA995" s="2335"/>
      <c r="QFB995" s="2335"/>
      <c r="QFC995" s="2335"/>
      <c r="QFD995" s="2335"/>
      <c r="QFE995" s="2335"/>
      <c r="QFF995" s="2335"/>
      <c r="QFG995" s="2335"/>
      <c r="QFH995" s="2335"/>
      <c r="QFI995" s="2335"/>
      <c r="QFJ995" s="2335"/>
      <c r="QFK995" s="2335"/>
      <c r="QFL995" s="2335"/>
      <c r="QFM995" s="2335"/>
      <c r="QFN995" s="2335"/>
      <c r="QFO995" s="2335"/>
      <c r="QFP995" s="2335"/>
      <c r="QFQ995" s="2335"/>
      <c r="QFR995" s="2335"/>
      <c r="QFS995" s="2335"/>
      <c r="QFT995" s="2335"/>
      <c r="QFU995" s="2335"/>
      <c r="QFV995" s="2335"/>
      <c r="QFW995" s="2335"/>
      <c r="QFX995" s="2335"/>
      <c r="QFY995" s="2335"/>
      <c r="QFZ995" s="2335"/>
      <c r="QGA995" s="2335"/>
      <c r="QGB995" s="2335"/>
      <c r="QGC995" s="2335"/>
      <c r="QGD995" s="2335"/>
      <c r="QGE995" s="2335"/>
      <c r="QGF995" s="2335"/>
      <c r="QGG995" s="2335"/>
      <c r="QGH995" s="2335"/>
      <c r="QGI995" s="2335"/>
      <c r="QGJ995" s="2335"/>
      <c r="QGK995" s="2335"/>
      <c r="QGL995" s="2335"/>
      <c r="QGM995" s="2335"/>
      <c r="QGN995" s="2335"/>
      <c r="QGO995" s="2335"/>
      <c r="QGP995" s="2335"/>
      <c r="QGQ995" s="2335"/>
      <c r="QGR995" s="2335"/>
      <c r="QGS995" s="2335"/>
      <c r="QGT995" s="2335"/>
      <c r="QGU995" s="2335"/>
      <c r="QGV995" s="2335"/>
      <c r="QGW995" s="2335"/>
      <c r="QGX995" s="2335"/>
      <c r="QGY995" s="2335"/>
      <c r="QGZ995" s="2335"/>
      <c r="QHA995" s="2335"/>
      <c r="QHB995" s="2335"/>
      <c r="QHC995" s="2335"/>
      <c r="QHD995" s="2335"/>
      <c r="QHE995" s="2335"/>
      <c r="QHF995" s="2335"/>
      <c r="QHG995" s="2335"/>
      <c r="QHH995" s="2335"/>
      <c r="QHI995" s="2335"/>
      <c r="QHJ995" s="2335"/>
      <c r="QHK995" s="2335"/>
      <c r="QHL995" s="2335"/>
      <c r="QHM995" s="2335"/>
      <c r="QHN995" s="2335"/>
      <c r="QHO995" s="2335"/>
      <c r="QHP995" s="2335"/>
      <c r="QHQ995" s="2335"/>
      <c r="QHR995" s="2335"/>
      <c r="QHS995" s="2335"/>
      <c r="QHT995" s="2335"/>
      <c r="QHU995" s="2335"/>
      <c r="QHV995" s="2335"/>
      <c r="QHW995" s="2335"/>
      <c r="QHX995" s="2335"/>
      <c r="QHY995" s="2335"/>
      <c r="QHZ995" s="2335"/>
      <c r="QIA995" s="2335"/>
      <c r="QIB995" s="2335"/>
      <c r="QIC995" s="2335"/>
      <c r="QID995" s="2335"/>
      <c r="QIE995" s="2335"/>
      <c r="QIF995" s="2335"/>
      <c r="QIG995" s="2335"/>
      <c r="QIH995" s="2335"/>
      <c r="QII995" s="2335"/>
      <c r="QIJ995" s="2335"/>
      <c r="QIK995" s="2335"/>
      <c r="QIL995" s="2335"/>
      <c r="QIM995" s="2335"/>
      <c r="QIN995" s="2335"/>
      <c r="QIO995" s="2335"/>
      <c r="QIP995" s="2335"/>
      <c r="QIQ995" s="2335"/>
      <c r="QIR995" s="2335"/>
      <c r="QIS995" s="2335"/>
      <c r="QIT995" s="2335"/>
      <c r="QIU995" s="2335"/>
      <c r="QIV995" s="2335"/>
      <c r="QIW995" s="2335"/>
      <c r="QIX995" s="2335"/>
      <c r="QIY995" s="2335"/>
      <c r="QIZ995" s="2335"/>
      <c r="QJA995" s="2335"/>
      <c r="QJB995" s="2335"/>
      <c r="QJC995" s="2335"/>
      <c r="QJD995" s="2335"/>
      <c r="QJE995" s="2335"/>
      <c r="QJF995" s="2335"/>
      <c r="QJG995" s="2335"/>
      <c r="QJH995" s="2335"/>
      <c r="QJI995" s="2335"/>
      <c r="QJJ995" s="2335"/>
      <c r="QJK995" s="2335"/>
      <c r="QJL995" s="2335"/>
      <c r="QJM995" s="2335"/>
      <c r="QJN995" s="2335"/>
      <c r="QJO995" s="2335"/>
      <c r="QJP995" s="2335"/>
      <c r="QJQ995" s="2335"/>
      <c r="QJR995" s="2335"/>
      <c r="QJS995" s="2335"/>
      <c r="QJT995" s="2335"/>
      <c r="QJU995" s="2335"/>
      <c r="QJV995" s="2335"/>
      <c r="QJW995" s="2335"/>
      <c r="QJX995" s="2335"/>
      <c r="QJY995" s="2335"/>
      <c r="QJZ995" s="2335"/>
      <c r="QKA995" s="2335"/>
      <c r="QKB995" s="2335"/>
      <c r="QKC995" s="2335"/>
      <c r="QKD995" s="2335"/>
      <c r="QKE995" s="2335"/>
      <c r="QKF995" s="2335"/>
      <c r="QKG995" s="2335"/>
      <c r="QKH995" s="2335"/>
      <c r="QKI995" s="2335"/>
      <c r="QKJ995" s="2335"/>
      <c r="QKK995" s="2335"/>
      <c r="QKL995" s="2335"/>
      <c r="QKM995" s="2335"/>
      <c r="QKN995" s="2335"/>
      <c r="QKO995" s="2335"/>
      <c r="QKP995" s="2335"/>
      <c r="QKQ995" s="2335"/>
      <c r="QKR995" s="2335"/>
      <c r="QKS995" s="2335"/>
      <c r="QKT995" s="2335"/>
      <c r="QKU995" s="2335"/>
      <c r="QKV995" s="2335"/>
      <c r="QKW995" s="2335"/>
      <c r="QKX995" s="2335"/>
      <c r="QKY995" s="2335"/>
      <c r="QKZ995" s="2335"/>
      <c r="QLA995" s="2335"/>
      <c r="QLB995" s="2335"/>
      <c r="QLC995" s="2335"/>
      <c r="QLD995" s="2335"/>
      <c r="QLE995" s="2335"/>
      <c r="QLF995" s="2335"/>
      <c r="QLG995" s="2335"/>
      <c r="QLH995" s="2335"/>
      <c r="QLI995" s="2335"/>
      <c r="QLJ995" s="2335"/>
      <c r="QLK995" s="2335"/>
      <c r="QLL995" s="2335"/>
      <c r="QLM995" s="2335"/>
      <c r="QLN995" s="2335"/>
      <c r="QLO995" s="2335"/>
      <c r="QLP995" s="2335"/>
      <c r="QLQ995" s="2335"/>
      <c r="QLR995" s="2335"/>
      <c r="QLS995" s="2335"/>
      <c r="QLT995" s="2335"/>
      <c r="QLU995" s="2335"/>
      <c r="QLV995" s="2335"/>
      <c r="QLW995" s="2335"/>
      <c r="QLX995" s="2335"/>
      <c r="QLY995" s="2335"/>
      <c r="QLZ995" s="2335"/>
      <c r="QMA995" s="2335"/>
      <c r="QMB995" s="2335"/>
      <c r="QMC995" s="2335"/>
      <c r="QMD995" s="2335"/>
      <c r="QME995" s="2335"/>
      <c r="QMF995" s="2335"/>
      <c r="QMG995" s="2335"/>
      <c r="QMH995" s="2335"/>
      <c r="QMI995" s="2335"/>
      <c r="QMJ995" s="2335"/>
      <c r="QMK995" s="2335"/>
      <c r="QML995" s="2335"/>
      <c r="QMM995" s="2335"/>
      <c r="QMN995" s="2335"/>
      <c r="QMO995" s="2335"/>
      <c r="QMP995" s="2335"/>
      <c r="QMQ995" s="2335"/>
      <c r="QMR995" s="2335"/>
      <c r="QMS995" s="2335"/>
      <c r="QMT995" s="2335"/>
      <c r="QMU995" s="2335"/>
      <c r="QMV995" s="2335"/>
      <c r="QMW995" s="2335"/>
      <c r="QMX995" s="2335"/>
      <c r="QMY995" s="2335"/>
      <c r="QMZ995" s="2335"/>
      <c r="QNA995" s="2335"/>
      <c r="QNB995" s="2335"/>
      <c r="QNC995" s="2335"/>
      <c r="QND995" s="2335"/>
      <c r="QNE995" s="2335"/>
      <c r="QNF995" s="2335"/>
      <c r="QNG995" s="2335"/>
      <c r="QNH995" s="2335"/>
      <c r="QNI995" s="2335"/>
      <c r="QNJ995" s="2335"/>
      <c r="QNK995" s="2335"/>
      <c r="QNL995" s="2335"/>
      <c r="QNM995" s="2335"/>
      <c r="QNN995" s="2335"/>
      <c r="QNO995" s="2335"/>
      <c r="QNP995" s="2335"/>
      <c r="QNQ995" s="2335"/>
      <c r="QNR995" s="2335"/>
      <c r="QNS995" s="2335"/>
      <c r="QNT995" s="2335"/>
      <c r="QNU995" s="2335"/>
      <c r="QNV995" s="2335"/>
      <c r="QNW995" s="2335"/>
      <c r="QNX995" s="2335"/>
      <c r="QNY995" s="2335"/>
      <c r="QNZ995" s="2335"/>
      <c r="QOA995" s="2335"/>
      <c r="QOB995" s="2335"/>
      <c r="QOC995" s="2335"/>
      <c r="QOD995" s="2335"/>
      <c r="QOE995" s="2335"/>
      <c r="QOF995" s="2335"/>
      <c r="QOG995" s="2335"/>
      <c r="QOH995" s="2335"/>
      <c r="QOI995" s="2335"/>
      <c r="QOJ995" s="2335"/>
      <c r="QOK995" s="2335"/>
      <c r="QOL995" s="2335"/>
      <c r="QOM995" s="2335"/>
      <c r="QON995" s="2335"/>
      <c r="QOO995" s="2335"/>
      <c r="QOP995" s="2335"/>
      <c r="QOQ995" s="2335"/>
      <c r="QOR995" s="2335"/>
      <c r="QOS995" s="2335"/>
      <c r="QOT995" s="2335"/>
      <c r="QOU995" s="2335"/>
      <c r="QOV995" s="2335"/>
      <c r="QOW995" s="2335"/>
      <c r="QOX995" s="2335"/>
      <c r="QOY995" s="2335"/>
      <c r="QOZ995" s="2335"/>
      <c r="QPA995" s="2335"/>
      <c r="QPB995" s="2335"/>
      <c r="QPC995" s="2335"/>
      <c r="QPD995" s="2335"/>
      <c r="QPE995" s="2335"/>
      <c r="QPF995" s="2335"/>
      <c r="QPG995" s="2335"/>
      <c r="QPH995" s="2335"/>
      <c r="QPI995" s="2335"/>
      <c r="QPJ995" s="2335"/>
      <c r="QPK995" s="2335"/>
      <c r="QPL995" s="2335"/>
      <c r="QPM995" s="2335"/>
      <c r="QPN995" s="2335"/>
      <c r="QPO995" s="2335"/>
      <c r="QPP995" s="2335"/>
      <c r="QPQ995" s="2335"/>
      <c r="QPR995" s="2335"/>
      <c r="QPS995" s="2335"/>
      <c r="QPT995" s="2335"/>
      <c r="QPU995" s="2335"/>
      <c r="QPV995" s="2335"/>
      <c r="QPW995" s="2335"/>
      <c r="QPX995" s="2335"/>
      <c r="QPY995" s="2335"/>
      <c r="QPZ995" s="2335"/>
      <c r="QQA995" s="2335"/>
      <c r="QQB995" s="2335"/>
      <c r="QQC995" s="2335"/>
      <c r="QQD995" s="2335"/>
      <c r="QQE995" s="2335"/>
      <c r="QQF995" s="2335"/>
      <c r="QQG995" s="2335"/>
      <c r="QQH995" s="2335"/>
      <c r="QQI995" s="2335"/>
      <c r="QQJ995" s="2335"/>
      <c r="QQK995" s="2335"/>
      <c r="QQL995" s="2335"/>
      <c r="QQM995" s="2335"/>
      <c r="QQN995" s="2335"/>
      <c r="QQO995" s="2335"/>
      <c r="QQP995" s="2335"/>
      <c r="QQQ995" s="2335"/>
      <c r="QQR995" s="2335"/>
      <c r="QQS995" s="2335"/>
      <c r="QQT995" s="2335"/>
      <c r="QQU995" s="2335"/>
      <c r="QQV995" s="2335"/>
      <c r="QQW995" s="2335"/>
      <c r="QQX995" s="2335"/>
      <c r="QQY995" s="2335"/>
      <c r="QQZ995" s="2335"/>
      <c r="QRA995" s="2335"/>
      <c r="QRB995" s="2335"/>
      <c r="QRC995" s="2335"/>
      <c r="QRD995" s="2335"/>
      <c r="QRE995" s="2335"/>
      <c r="QRF995" s="2335"/>
      <c r="QRG995" s="2335"/>
      <c r="QRH995" s="2335"/>
      <c r="QRI995" s="2335"/>
      <c r="QRJ995" s="2335"/>
      <c r="QRK995" s="2335"/>
      <c r="QRL995" s="2335"/>
      <c r="QRM995" s="2335"/>
      <c r="QRN995" s="2335"/>
      <c r="QRO995" s="2335"/>
      <c r="QRP995" s="2335"/>
      <c r="QRQ995" s="2335"/>
      <c r="QRR995" s="2335"/>
      <c r="QRS995" s="2335"/>
      <c r="QRT995" s="2335"/>
      <c r="QRU995" s="2335"/>
      <c r="QRV995" s="2335"/>
      <c r="QRW995" s="2335"/>
      <c r="QRX995" s="2335"/>
      <c r="QRY995" s="2335"/>
      <c r="QRZ995" s="2335"/>
      <c r="QSA995" s="2335"/>
      <c r="QSB995" s="2335"/>
      <c r="QSC995" s="2335"/>
      <c r="QSD995" s="2335"/>
      <c r="QSE995" s="2335"/>
      <c r="QSF995" s="2335"/>
      <c r="QSG995" s="2335"/>
      <c r="QSH995" s="2335"/>
      <c r="QSI995" s="2335"/>
      <c r="QSJ995" s="2335"/>
      <c r="QSK995" s="2335"/>
      <c r="QSL995" s="2335"/>
      <c r="QSM995" s="2335"/>
      <c r="QSN995" s="2335"/>
      <c r="QSO995" s="2335"/>
      <c r="QSP995" s="2335"/>
      <c r="QSQ995" s="2335"/>
      <c r="QSR995" s="2335"/>
      <c r="QSS995" s="2335"/>
      <c r="QST995" s="2335"/>
      <c r="QSU995" s="2335"/>
      <c r="QSV995" s="2335"/>
      <c r="QSW995" s="2335"/>
      <c r="QSX995" s="2335"/>
      <c r="QSY995" s="2335"/>
      <c r="QSZ995" s="2335"/>
      <c r="QTA995" s="2335"/>
      <c r="QTB995" s="2335"/>
      <c r="QTC995" s="2335"/>
      <c r="QTD995" s="2335"/>
      <c r="QTE995" s="2335"/>
      <c r="QTF995" s="2335"/>
      <c r="QTG995" s="2335"/>
      <c r="QTH995" s="2335"/>
      <c r="QTI995" s="2335"/>
      <c r="QTJ995" s="2335"/>
      <c r="QTK995" s="2335"/>
      <c r="QTL995" s="2335"/>
      <c r="QTM995" s="2335"/>
      <c r="QTN995" s="2335"/>
      <c r="QTO995" s="2335"/>
      <c r="QTP995" s="2335"/>
      <c r="QTQ995" s="2335"/>
      <c r="QTR995" s="2335"/>
      <c r="QTS995" s="2335"/>
      <c r="QTT995" s="2335"/>
      <c r="QTU995" s="2335"/>
      <c r="QTV995" s="2335"/>
      <c r="QTW995" s="2335"/>
      <c r="QTX995" s="2335"/>
      <c r="QTY995" s="2335"/>
      <c r="QTZ995" s="2335"/>
      <c r="QUA995" s="2335"/>
      <c r="QUB995" s="2335"/>
      <c r="QUC995" s="2335"/>
      <c r="QUD995" s="2335"/>
      <c r="QUE995" s="2335"/>
      <c r="QUF995" s="2335"/>
      <c r="QUG995" s="2335"/>
      <c r="QUH995" s="2335"/>
      <c r="QUI995" s="2335"/>
      <c r="QUJ995" s="2335"/>
      <c r="QUK995" s="2335"/>
      <c r="QUL995" s="2335"/>
      <c r="QUM995" s="2335"/>
      <c r="QUN995" s="2335"/>
      <c r="QUO995" s="2335"/>
      <c r="QUP995" s="2335"/>
      <c r="QUQ995" s="2335"/>
      <c r="QUR995" s="2335"/>
      <c r="QUS995" s="2335"/>
      <c r="QUT995" s="2335"/>
      <c r="QUU995" s="2335"/>
      <c r="QUV995" s="2335"/>
      <c r="QUW995" s="2335"/>
      <c r="QUX995" s="2335"/>
      <c r="QUY995" s="2335"/>
      <c r="QUZ995" s="2335"/>
      <c r="QVA995" s="2335"/>
      <c r="QVB995" s="2335"/>
      <c r="QVC995" s="2335"/>
      <c r="QVD995" s="2335"/>
      <c r="QVE995" s="2335"/>
      <c r="QVF995" s="2335"/>
      <c r="QVG995" s="2335"/>
      <c r="QVH995" s="2335"/>
      <c r="QVI995" s="2335"/>
      <c r="QVJ995" s="2335"/>
      <c r="QVK995" s="2335"/>
      <c r="QVL995" s="2335"/>
      <c r="QVM995" s="2335"/>
      <c r="QVN995" s="2335"/>
      <c r="QVO995" s="2335"/>
      <c r="QVP995" s="2335"/>
      <c r="QVQ995" s="2335"/>
      <c r="QVR995" s="2335"/>
      <c r="QVS995" s="2335"/>
      <c r="QVT995" s="2335"/>
      <c r="QVU995" s="2335"/>
      <c r="QVV995" s="2335"/>
      <c r="QVW995" s="2335"/>
      <c r="QVX995" s="2335"/>
      <c r="QVY995" s="2335"/>
      <c r="QVZ995" s="2335"/>
      <c r="QWA995" s="2335"/>
      <c r="QWB995" s="2335"/>
      <c r="QWC995" s="2335"/>
      <c r="QWD995" s="2335"/>
      <c r="QWE995" s="2335"/>
      <c r="QWF995" s="2335"/>
      <c r="QWG995" s="2335"/>
      <c r="QWH995" s="2335"/>
      <c r="QWI995" s="2335"/>
      <c r="QWJ995" s="2335"/>
      <c r="QWK995" s="2335"/>
      <c r="QWL995" s="2335"/>
      <c r="QWM995" s="2335"/>
      <c r="QWN995" s="2335"/>
      <c r="QWO995" s="2335"/>
      <c r="QWP995" s="2335"/>
      <c r="QWQ995" s="2335"/>
      <c r="QWR995" s="2335"/>
      <c r="QWS995" s="2335"/>
      <c r="QWT995" s="2335"/>
      <c r="QWU995" s="2335"/>
      <c r="QWV995" s="2335"/>
      <c r="QWW995" s="2335"/>
      <c r="QWX995" s="2335"/>
      <c r="QWY995" s="2335"/>
      <c r="QWZ995" s="2335"/>
      <c r="QXA995" s="2335"/>
      <c r="QXB995" s="2335"/>
      <c r="QXC995" s="2335"/>
      <c r="QXD995" s="2335"/>
      <c r="QXE995" s="2335"/>
      <c r="QXF995" s="2335"/>
      <c r="QXG995" s="2335"/>
      <c r="QXH995" s="2335"/>
      <c r="QXI995" s="2335"/>
      <c r="QXJ995" s="2335"/>
      <c r="QXK995" s="2335"/>
      <c r="QXL995" s="2335"/>
      <c r="QXM995" s="2335"/>
      <c r="QXN995" s="2335"/>
      <c r="QXO995" s="2335"/>
      <c r="QXP995" s="2335"/>
      <c r="QXQ995" s="2335"/>
      <c r="QXR995" s="2335"/>
      <c r="QXS995" s="2335"/>
      <c r="QXT995" s="2335"/>
      <c r="QXU995" s="2335"/>
      <c r="QXV995" s="2335"/>
      <c r="QXW995" s="2335"/>
      <c r="QXX995" s="2335"/>
      <c r="QXY995" s="2335"/>
      <c r="QXZ995" s="2335"/>
      <c r="QYA995" s="2335"/>
      <c r="QYB995" s="2335"/>
      <c r="QYC995" s="2335"/>
      <c r="QYD995" s="2335"/>
      <c r="QYE995" s="2335"/>
      <c r="QYF995" s="2335"/>
      <c r="QYG995" s="2335"/>
      <c r="QYH995" s="2335"/>
      <c r="QYI995" s="2335"/>
      <c r="QYJ995" s="2335"/>
      <c r="QYK995" s="2335"/>
      <c r="QYL995" s="2335"/>
      <c r="QYM995" s="2335"/>
      <c r="QYN995" s="2335"/>
      <c r="QYO995" s="2335"/>
      <c r="QYP995" s="2335"/>
      <c r="QYQ995" s="2335"/>
      <c r="QYR995" s="2335"/>
      <c r="QYS995" s="2335"/>
      <c r="QYT995" s="2335"/>
      <c r="QYU995" s="2335"/>
      <c r="QYV995" s="2335"/>
      <c r="QYW995" s="2335"/>
      <c r="QYX995" s="2335"/>
      <c r="QYY995" s="2335"/>
      <c r="QYZ995" s="2335"/>
      <c r="QZA995" s="2335"/>
      <c r="QZB995" s="2335"/>
      <c r="QZC995" s="2335"/>
      <c r="QZD995" s="2335"/>
      <c r="QZE995" s="2335"/>
      <c r="QZF995" s="2335"/>
      <c r="QZG995" s="2335"/>
      <c r="QZH995" s="2335"/>
      <c r="QZI995" s="2335"/>
      <c r="QZJ995" s="2335"/>
      <c r="QZK995" s="2335"/>
      <c r="QZL995" s="2335"/>
      <c r="QZM995" s="2335"/>
      <c r="QZN995" s="2335"/>
      <c r="QZO995" s="2335"/>
      <c r="QZP995" s="2335"/>
      <c r="QZQ995" s="2335"/>
      <c r="QZR995" s="2335"/>
      <c r="QZS995" s="2335"/>
      <c r="QZT995" s="2335"/>
      <c r="QZU995" s="2335"/>
      <c r="QZV995" s="2335"/>
      <c r="QZW995" s="2335"/>
      <c r="QZX995" s="2335"/>
      <c r="QZY995" s="2335"/>
      <c r="QZZ995" s="2335"/>
      <c r="RAA995" s="2335"/>
      <c r="RAB995" s="2335"/>
      <c r="RAC995" s="2335"/>
      <c r="RAD995" s="2335"/>
      <c r="RAE995" s="2335"/>
      <c r="RAF995" s="2335"/>
      <c r="RAG995" s="2335"/>
      <c r="RAH995" s="2335"/>
      <c r="RAI995" s="2335"/>
      <c r="RAJ995" s="2335"/>
      <c r="RAK995" s="2335"/>
      <c r="RAL995" s="2335"/>
      <c r="RAM995" s="2335"/>
      <c r="RAN995" s="2335"/>
      <c r="RAO995" s="2335"/>
      <c r="RAP995" s="2335"/>
      <c r="RAQ995" s="2335"/>
      <c r="RAR995" s="2335"/>
      <c r="RAS995" s="2335"/>
      <c r="RAT995" s="2335"/>
      <c r="RAU995" s="2335"/>
      <c r="RAV995" s="2335"/>
      <c r="RAW995" s="2335"/>
      <c r="RAX995" s="2335"/>
      <c r="RAY995" s="2335"/>
      <c r="RAZ995" s="2335"/>
      <c r="RBA995" s="2335"/>
      <c r="RBB995" s="2335"/>
      <c r="RBC995" s="2335"/>
      <c r="RBD995" s="2335"/>
      <c r="RBE995" s="2335"/>
      <c r="RBF995" s="2335"/>
      <c r="RBG995" s="2335"/>
      <c r="RBH995" s="2335"/>
      <c r="RBI995" s="2335"/>
      <c r="RBJ995" s="2335"/>
      <c r="RBK995" s="2335"/>
      <c r="RBL995" s="2335"/>
      <c r="RBM995" s="2335"/>
      <c r="RBN995" s="2335"/>
      <c r="RBO995" s="2335"/>
      <c r="RBP995" s="2335"/>
      <c r="RBQ995" s="2335"/>
      <c r="RBR995" s="2335"/>
      <c r="RBS995" s="2335"/>
      <c r="RBT995" s="2335"/>
      <c r="RBU995" s="2335"/>
      <c r="RBV995" s="2335"/>
      <c r="RBW995" s="2335"/>
      <c r="RBX995" s="2335"/>
      <c r="RBY995" s="2335"/>
      <c r="RBZ995" s="2335"/>
      <c r="RCA995" s="2335"/>
      <c r="RCB995" s="2335"/>
      <c r="RCC995" s="2335"/>
      <c r="RCD995" s="2335"/>
      <c r="RCE995" s="2335"/>
      <c r="RCF995" s="2335"/>
      <c r="RCG995" s="2335"/>
      <c r="RCH995" s="2335"/>
      <c r="RCI995" s="2335"/>
      <c r="RCJ995" s="2335"/>
      <c r="RCK995" s="2335"/>
      <c r="RCL995" s="2335"/>
      <c r="RCM995" s="2335"/>
      <c r="RCN995" s="2335"/>
      <c r="RCO995" s="2335"/>
      <c r="RCP995" s="2335"/>
      <c r="RCQ995" s="2335"/>
      <c r="RCR995" s="2335"/>
      <c r="RCS995" s="2335"/>
      <c r="RCT995" s="2335"/>
      <c r="RCU995" s="2335"/>
      <c r="RCV995" s="2335"/>
      <c r="RCW995" s="2335"/>
      <c r="RCX995" s="2335"/>
      <c r="RCY995" s="2335"/>
      <c r="RCZ995" s="2335"/>
      <c r="RDA995" s="2335"/>
      <c r="RDB995" s="2335"/>
      <c r="RDC995" s="2335"/>
      <c r="RDD995" s="2335"/>
      <c r="RDE995" s="2335"/>
      <c r="RDF995" s="2335"/>
      <c r="RDG995" s="2335"/>
      <c r="RDH995" s="2335"/>
      <c r="RDI995" s="2335"/>
      <c r="RDJ995" s="2335"/>
      <c r="RDK995" s="2335"/>
      <c r="RDL995" s="2335"/>
      <c r="RDM995" s="2335"/>
      <c r="RDN995" s="2335"/>
      <c r="RDO995" s="2335"/>
      <c r="RDP995" s="2335"/>
      <c r="RDQ995" s="2335"/>
      <c r="RDR995" s="2335"/>
      <c r="RDS995" s="2335"/>
      <c r="RDT995" s="2335"/>
      <c r="RDU995" s="2335"/>
      <c r="RDV995" s="2335"/>
      <c r="RDW995" s="2335"/>
      <c r="RDX995" s="2335"/>
      <c r="RDY995" s="2335"/>
      <c r="RDZ995" s="2335"/>
      <c r="REA995" s="2335"/>
      <c r="REB995" s="2335"/>
      <c r="REC995" s="2335"/>
      <c r="RED995" s="2335"/>
      <c r="REE995" s="2335"/>
      <c r="REF995" s="2335"/>
      <c r="REG995" s="2335"/>
      <c r="REH995" s="2335"/>
      <c r="REI995" s="2335"/>
      <c r="REJ995" s="2335"/>
      <c r="REK995" s="2335"/>
      <c r="REL995" s="2335"/>
      <c r="REM995" s="2335"/>
      <c r="REN995" s="2335"/>
      <c r="REO995" s="2335"/>
      <c r="REP995" s="2335"/>
      <c r="REQ995" s="2335"/>
      <c r="RER995" s="2335"/>
      <c r="RES995" s="2335"/>
      <c r="RET995" s="2335"/>
      <c r="REU995" s="2335"/>
      <c r="REV995" s="2335"/>
      <c r="REW995" s="2335"/>
      <c r="REX995" s="2335"/>
      <c r="REY995" s="2335"/>
      <c r="REZ995" s="2335"/>
      <c r="RFA995" s="2335"/>
      <c r="RFB995" s="2335"/>
      <c r="RFC995" s="2335"/>
      <c r="RFD995" s="2335"/>
      <c r="RFE995" s="2335"/>
      <c r="RFF995" s="2335"/>
      <c r="RFG995" s="2335"/>
      <c r="RFH995" s="2335"/>
      <c r="RFI995" s="2335"/>
      <c r="RFJ995" s="2335"/>
      <c r="RFK995" s="2335"/>
      <c r="RFL995" s="2335"/>
      <c r="RFM995" s="2335"/>
      <c r="RFN995" s="2335"/>
      <c r="RFO995" s="2335"/>
      <c r="RFP995" s="2335"/>
      <c r="RFQ995" s="2335"/>
      <c r="RFR995" s="2335"/>
      <c r="RFS995" s="2335"/>
      <c r="RFT995" s="2335"/>
      <c r="RFU995" s="2335"/>
      <c r="RFV995" s="2335"/>
      <c r="RFW995" s="2335"/>
      <c r="RFX995" s="2335"/>
      <c r="RFY995" s="2335"/>
      <c r="RFZ995" s="2335"/>
      <c r="RGA995" s="2335"/>
      <c r="RGB995" s="2335"/>
      <c r="RGC995" s="2335"/>
      <c r="RGD995" s="2335"/>
      <c r="RGE995" s="2335"/>
      <c r="RGF995" s="2335"/>
      <c r="RGG995" s="2335"/>
      <c r="RGH995" s="2335"/>
      <c r="RGI995" s="2335"/>
      <c r="RGJ995" s="2335"/>
      <c r="RGK995" s="2335"/>
      <c r="RGL995" s="2335"/>
      <c r="RGM995" s="2335"/>
      <c r="RGN995" s="2335"/>
      <c r="RGO995" s="2335"/>
      <c r="RGP995" s="2335"/>
      <c r="RGQ995" s="2335"/>
      <c r="RGR995" s="2335"/>
      <c r="RGS995" s="2335"/>
      <c r="RGT995" s="2335"/>
      <c r="RGU995" s="2335"/>
      <c r="RGV995" s="2335"/>
      <c r="RGW995" s="2335"/>
      <c r="RGX995" s="2335"/>
      <c r="RGY995" s="2335"/>
      <c r="RGZ995" s="2335"/>
      <c r="RHA995" s="2335"/>
      <c r="RHB995" s="2335"/>
      <c r="RHC995" s="2335"/>
      <c r="RHD995" s="2335"/>
      <c r="RHE995" s="2335"/>
      <c r="RHF995" s="2335"/>
      <c r="RHG995" s="2335"/>
      <c r="RHH995" s="2335"/>
      <c r="RHI995" s="2335"/>
      <c r="RHJ995" s="2335"/>
      <c r="RHK995" s="2335"/>
      <c r="RHL995" s="2335"/>
      <c r="RHM995" s="2335"/>
      <c r="RHN995" s="2335"/>
      <c r="RHO995" s="2335"/>
      <c r="RHP995" s="2335"/>
      <c r="RHQ995" s="2335"/>
      <c r="RHR995" s="2335"/>
      <c r="RHS995" s="2335"/>
      <c r="RHT995" s="2335"/>
      <c r="RHU995" s="2335"/>
      <c r="RHV995" s="2335"/>
      <c r="RHW995" s="2335"/>
      <c r="RHX995" s="2335"/>
      <c r="RHY995" s="2335"/>
      <c r="RHZ995" s="2335"/>
      <c r="RIA995" s="2335"/>
      <c r="RIB995" s="2335"/>
      <c r="RIC995" s="2335"/>
      <c r="RID995" s="2335"/>
      <c r="RIE995" s="2335"/>
      <c r="RIF995" s="2335"/>
      <c r="RIG995" s="2335"/>
      <c r="RIH995" s="2335"/>
      <c r="RII995" s="2335"/>
      <c r="RIJ995" s="2335"/>
      <c r="RIK995" s="2335"/>
      <c r="RIL995" s="2335"/>
      <c r="RIM995" s="2335"/>
      <c r="RIN995" s="2335"/>
      <c r="RIO995" s="2335"/>
      <c r="RIP995" s="2335"/>
      <c r="RIQ995" s="2335"/>
      <c r="RIR995" s="2335"/>
      <c r="RIS995" s="2335"/>
      <c r="RIT995" s="2335"/>
      <c r="RIU995" s="2335"/>
      <c r="RIV995" s="2335"/>
      <c r="RIW995" s="2335"/>
      <c r="RIX995" s="2335"/>
      <c r="RIY995" s="2335"/>
      <c r="RIZ995" s="2335"/>
      <c r="RJA995" s="2335"/>
      <c r="RJB995" s="2335"/>
      <c r="RJC995" s="2335"/>
      <c r="RJD995" s="2335"/>
      <c r="RJE995" s="2335"/>
      <c r="RJF995" s="2335"/>
      <c r="RJG995" s="2335"/>
      <c r="RJH995" s="2335"/>
      <c r="RJI995" s="2335"/>
      <c r="RJJ995" s="2335"/>
      <c r="RJK995" s="2335"/>
      <c r="RJL995" s="2335"/>
      <c r="RJM995" s="2335"/>
      <c r="RJN995" s="2335"/>
      <c r="RJO995" s="2335"/>
      <c r="RJP995" s="2335"/>
      <c r="RJQ995" s="2335"/>
      <c r="RJR995" s="2335"/>
      <c r="RJS995" s="2335"/>
      <c r="RJT995" s="2335"/>
      <c r="RJU995" s="2335"/>
      <c r="RJV995" s="2335"/>
      <c r="RJW995" s="2335"/>
      <c r="RJX995" s="2335"/>
      <c r="RJY995" s="2335"/>
      <c r="RJZ995" s="2335"/>
      <c r="RKA995" s="2335"/>
      <c r="RKB995" s="2335"/>
      <c r="RKC995" s="2335"/>
      <c r="RKD995" s="2335"/>
      <c r="RKE995" s="2335"/>
      <c r="RKF995" s="2335"/>
      <c r="RKG995" s="2335"/>
      <c r="RKH995" s="2335"/>
      <c r="RKI995" s="2335"/>
      <c r="RKJ995" s="2335"/>
      <c r="RKK995" s="2335"/>
      <c r="RKL995" s="2335"/>
      <c r="RKM995" s="2335"/>
      <c r="RKN995" s="2335"/>
      <c r="RKO995" s="2335"/>
      <c r="RKP995" s="2335"/>
      <c r="RKQ995" s="2335"/>
      <c r="RKR995" s="2335"/>
      <c r="RKS995" s="2335"/>
      <c r="RKT995" s="2335"/>
      <c r="RKU995" s="2335"/>
      <c r="RKV995" s="2335"/>
      <c r="RKW995" s="2335"/>
      <c r="RKX995" s="2335"/>
      <c r="RKY995" s="2335"/>
      <c r="RKZ995" s="2335"/>
      <c r="RLA995" s="2335"/>
      <c r="RLB995" s="2335"/>
      <c r="RLC995" s="2335"/>
      <c r="RLD995" s="2335"/>
      <c r="RLE995" s="2335"/>
      <c r="RLF995" s="2335"/>
      <c r="RLG995" s="2335"/>
      <c r="RLH995" s="2335"/>
      <c r="RLI995" s="2335"/>
      <c r="RLJ995" s="2335"/>
      <c r="RLK995" s="2335"/>
      <c r="RLL995" s="2335"/>
      <c r="RLM995" s="2335"/>
      <c r="RLN995" s="2335"/>
      <c r="RLO995" s="2335"/>
      <c r="RLP995" s="2335"/>
      <c r="RLQ995" s="2335"/>
      <c r="RLR995" s="2335"/>
      <c r="RLS995" s="2335"/>
      <c r="RLT995" s="2335"/>
      <c r="RLU995" s="2335"/>
      <c r="RLV995" s="2335"/>
      <c r="RLW995" s="2335"/>
      <c r="RLX995" s="2335"/>
      <c r="RLY995" s="2335"/>
      <c r="RLZ995" s="2335"/>
      <c r="RMA995" s="2335"/>
      <c r="RMB995" s="2335"/>
      <c r="RMC995" s="2335"/>
      <c r="RMD995" s="2335"/>
      <c r="RME995" s="2335"/>
      <c r="RMF995" s="2335"/>
      <c r="RMG995" s="2335"/>
      <c r="RMH995" s="2335"/>
      <c r="RMI995" s="2335"/>
      <c r="RMJ995" s="2335"/>
      <c r="RMK995" s="2335"/>
      <c r="RML995" s="2335"/>
      <c r="RMM995" s="2335"/>
      <c r="RMN995" s="2335"/>
      <c r="RMO995" s="2335"/>
      <c r="RMP995" s="2335"/>
      <c r="RMQ995" s="2335"/>
      <c r="RMR995" s="2335"/>
      <c r="RMS995" s="2335"/>
      <c r="RMT995" s="2335"/>
      <c r="RMU995" s="2335"/>
      <c r="RMV995" s="2335"/>
      <c r="RMW995" s="2335"/>
      <c r="RMX995" s="2335"/>
      <c r="RMY995" s="2335"/>
      <c r="RMZ995" s="2335"/>
      <c r="RNA995" s="2335"/>
      <c r="RNB995" s="2335"/>
      <c r="RNC995" s="2335"/>
      <c r="RND995" s="2335"/>
      <c r="RNE995" s="2335"/>
      <c r="RNF995" s="2335"/>
      <c r="RNG995" s="2335"/>
      <c r="RNH995" s="2335"/>
      <c r="RNI995" s="2335"/>
      <c r="RNJ995" s="2335"/>
      <c r="RNK995" s="2335"/>
      <c r="RNL995" s="2335"/>
      <c r="RNM995" s="2335"/>
      <c r="RNN995" s="2335"/>
      <c r="RNO995" s="2335"/>
      <c r="RNP995" s="2335"/>
      <c r="RNQ995" s="2335"/>
      <c r="RNR995" s="2335"/>
      <c r="RNS995" s="2335"/>
      <c r="RNT995" s="2335"/>
      <c r="RNU995" s="2335"/>
      <c r="RNV995" s="2335"/>
      <c r="RNW995" s="2335"/>
      <c r="RNX995" s="2335"/>
      <c r="RNY995" s="2335"/>
      <c r="RNZ995" s="2335"/>
      <c r="ROA995" s="2335"/>
      <c r="ROB995" s="2335"/>
      <c r="ROC995" s="2335"/>
      <c r="ROD995" s="2335"/>
      <c r="ROE995" s="2335"/>
      <c r="ROF995" s="2335"/>
      <c r="ROG995" s="2335"/>
      <c r="ROH995" s="2335"/>
      <c r="ROI995" s="2335"/>
      <c r="ROJ995" s="2335"/>
      <c r="ROK995" s="2335"/>
      <c r="ROL995" s="2335"/>
      <c r="ROM995" s="2335"/>
      <c r="RON995" s="2335"/>
      <c r="ROO995" s="2335"/>
      <c r="ROP995" s="2335"/>
      <c r="ROQ995" s="2335"/>
      <c r="ROR995" s="2335"/>
      <c r="ROS995" s="2335"/>
      <c r="ROT995" s="2335"/>
      <c r="ROU995" s="2335"/>
      <c r="ROV995" s="2335"/>
      <c r="ROW995" s="2335"/>
      <c r="ROX995" s="2335"/>
      <c r="ROY995" s="2335"/>
      <c r="ROZ995" s="2335"/>
      <c r="RPA995" s="2335"/>
      <c r="RPB995" s="2335"/>
      <c r="RPC995" s="2335"/>
      <c r="RPD995" s="2335"/>
      <c r="RPE995" s="2335"/>
      <c r="RPF995" s="2335"/>
      <c r="RPG995" s="2335"/>
      <c r="RPH995" s="2335"/>
      <c r="RPI995" s="2335"/>
      <c r="RPJ995" s="2335"/>
      <c r="RPK995" s="2335"/>
      <c r="RPL995" s="2335"/>
      <c r="RPM995" s="2335"/>
      <c r="RPN995" s="2335"/>
      <c r="RPO995" s="2335"/>
      <c r="RPP995" s="2335"/>
      <c r="RPQ995" s="2335"/>
      <c r="RPR995" s="2335"/>
      <c r="RPS995" s="2335"/>
      <c r="RPT995" s="2335"/>
      <c r="RPU995" s="2335"/>
      <c r="RPV995" s="2335"/>
      <c r="RPW995" s="2335"/>
      <c r="RPX995" s="2335"/>
      <c r="RPY995" s="2335"/>
      <c r="RPZ995" s="2335"/>
      <c r="RQA995" s="2335"/>
      <c r="RQB995" s="2335"/>
      <c r="RQC995" s="2335"/>
      <c r="RQD995" s="2335"/>
      <c r="RQE995" s="2335"/>
      <c r="RQF995" s="2335"/>
      <c r="RQG995" s="2335"/>
      <c r="RQH995" s="2335"/>
      <c r="RQI995" s="2335"/>
      <c r="RQJ995" s="2335"/>
      <c r="RQK995" s="2335"/>
      <c r="RQL995" s="2335"/>
      <c r="RQM995" s="2335"/>
      <c r="RQN995" s="2335"/>
      <c r="RQO995" s="2335"/>
      <c r="RQP995" s="2335"/>
      <c r="RQQ995" s="2335"/>
      <c r="RQR995" s="2335"/>
      <c r="RQS995" s="2335"/>
      <c r="RQT995" s="2335"/>
      <c r="RQU995" s="2335"/>
      <c r="RQV995" s="2335"/>
      <c r="RQW995" s="2335"/>
      <c r="RQX995" s="2335"/>
      <c r="RQY995" s="2335"/>
      <c r="RQZ995" s="2335"/>
      <c r="RRA995" s="2335"/>
      <c r="RRB995" s="2335"/>
      <c r="RRC995" s="2335"/>
      <c r="RRD995" s="2335"/>
      <c r="RRE995" s="2335"/>
      <c r="RRF995" s="2335"/>
      <c r="RRG995" s="2335"/>
      <c r="RRH995" s="2335"/>
      <c r="RRI995" s="2335"/>
      <c r="RRJ995" s="2335"/>
      <c r="RRK995" s="2335"/>
      <c r="RRL995" s="2335"/>
      <c r="RRM995" s="2335"/>
      <c r="RRN995" s="2335"/>
      <c r="RRO995" s="2335"/>
      <c r="RRP995" s="2335"/>
      <c r="RRQ995" s="2335"/>
      <c r="RRR995" s="2335"/>
      <c r="RRS995" s="2335"/>
      <c r="RRT995" s="2335"/>
      <c r="RRU995" s="2335"/>
      <c r="RRV995" s="2335"/>
      <c r="RRW995" s="2335"/>
      <c r="RRX995" s="2335"/>
      <c r="RRY995" s="2335"/>
      <c r="RRZ995" s="2335"/>
      <c r="RSA995" s="2335"/>
      <c r="RSB995" s="2335"/>
      <c r="RSC995" s="2335"/>
      <c r="RSD995" s="2335"/>
      <c r="RSE995" s="2335"/>
      <c r="RSF995" s="2335"/>
      <c r="RSG995" s="2335"/>
      <c r="RSH995" s="2335"/>
      <c r="RSI995" s="2335"/>
      <c r="RSJ995" s="2335"/>
      <c r="RSK995" s="2335"/>
      <c r="RSL995" s="2335"/>
      <c r="RSM995" s="2335"/>
      <c r="RSN995" s="2335"/>
      <c r="RSO995" s="2335"/>
      <c r="RSP995" s="2335"/>
      <c r="RSQ995" s="2335"/>
      <c r="RSR995" s="2335"/>
      <c r="RSS995" s="2335"/>
      <c r="RST995" s="2335"/>
      <c r="RSU995" s="2335"/>
      <c r="RSV995" s="2335"/>
      <c r="RSW995" s="2335"/>
      <c r="RSX995" s="2335"/>
      <c r="RSY995" s="2335"/>
      <c r="RSZ995" s="2335"/>
      <c r="RTA995" s="2335"/>
      <c r="RTB995" s="2335"/>
      <c r="RTC995" s="2335"/>
      <c r="RTD995" s="2335"/>
      <c r="RTE995" s="2335"/>
      <c r="RTF995" s="2335"/>
      <c r="RTG995" s="2335"/>
      <c r="RTH995" s="2335"/>
      <c r="RTI995" s="2335"/>
      <c r="RTJ995" s="2335"/>
      <c r="RTK995" s="2335"/>
      <c r="RTL995" s="2335"/>
      <c r="RTM995" s="2335"/>
      <c r="RTN995" s="2335"/>
      <c r="RTO995" s="2335"/>
      <c r="RTP995" s="2335"/>
      <c r="RTQ995" s="2335"/>
      <c r="RTR995" s="2335"/>
      <c r="RTS995" s="2335"/>
      <c r="RTT995" s="2335"/>
      <c r="RTU995" s="2335"/>
      <c r="RTV995" s="2335"/>
      <c r="RTW995" s="2335"/>
      <c r="RTX995" s="2335"/>
      <c r="RTY995" s="2335"/>
      <c r="RTZ995" s="2335"/>
      <c r="RUA995" s="2335"/>
      <c r="RUB995" s="2335"/>
      <c r="RUC995" s="2335"/>
      <c r="RUD995" s="2335"/>
      <c r="RUE995" s="2335"/>
      <c r="RUF995" s="2335"/>
      <c r="RUG995" s="2335"/>
      <c r="RUH995" s="2335"/>
      <c r="RUI995" s="2335"/>
      <c r="RUJ995" s="2335"/>
      <c r="RUK995" s="2335"/>
      <c r="RUL995" s="2335"/>
      <c r="RUM995" s="2335"/>
      <c r="RUN995" s="2335"/>
      <c r="RUO995" s="2335"/>
      <c r="RUP995" s="2335"/>
      <c r="RUQ995" s="2335"/>
      <c r="RUR995" s="2335"/>
      <c r="RUS995" s="2335"/>
      <c r="RUT995" s="2335"/>
      <c r="RUU995" s="2335"/>
      <c r="RUV995" s="2335"/>
      <c r="RUW995" s="2335"/>
      <c r="RUX995" s="2335"/>
      <c r="RUY995" s="2335"/>
      <c r="RUZ995" s="2335"/>
      <c r="RVA995" s="2335"/>
      <c r="RVB995" s="2335"/>
      <c r="RVC995" s="2335"/>
      <c r="RVD995" s="2335"/>
      <c r="RVE995" s="2335"/>
      <c r="RVF995" s="2335"/>
      <c r="RVG995" s="2335"/>
      <c r="RVH995" s="2335"/>
      <c r="RVI995" s="2335"/>
      <c r="RVJ995" s="2335"/>
      <c r="RVK995" s="2335"/>
      <c r="RVL995" s="2335"/>
      <c r="RVM995" s="2335"/>
      <c r="RVN995" s="2335"/>
      <c r="RVO995" s="2335"/>
      <c r="RVP995" s="2335"/>
      <c r="RVQ995" s="2335"/>
      <c r="RVR995" s="2335"/>
      <c r="RVS995" s="2335"/>
      <c r="RVT995" s="2335"/>
      <c r="RVU995" s="2335"/>
      <c r="RVV995" s="2335"/>
      <c r="RVW995" s="2335"/>
      <c r="RVX995" s="2335"/>
      <c r="RVY995" s="2335"/>
      <c r="RVZ995" s="2335"/>
      <c r="RWA995" s="2335"/>
      <c r="RWB995" s="2335"/>
      <c r="RWC995" s="2335"/>
      <c r="RWD995" s="2335"/>
      <c r="RWE995" s="2335"/>
      <c r="RWF995" s="2335"/>
      <c r="RWG995" s="2335"/>
      <c r="RWH995" s="2335"/>
      <c r="RWI995" s="2335"/>
      <c r="RWJ995" s="2335"/>
      <c r="RWK995" s="2335"/>
      <c r="RWL995" s="2335"/>
      <c r="RWM995" s="2335"/>
      <c r="RWN995" s="2335"/>
      <c r="RWO995" s="2335"/>
      <c r="RWP995" s="2335"/>
      <c r="RWQ995" s="2335"/>
      <c r="RWR995" s="2335"/>
      <c r="RWS995" s="2335"/>
      <c r="RWT995" s="2335"/>
      <c r="RWU995" s="2335"/>
      <c r="RWV995" s="2335"/>
      <c r="RWW995" s="2335"/>
      <c r="RWX995" s="2335"/>
      <c r="RWY995" s="2335"/>
      <c r="RWZ995" s="2335"/>
      <c r="RXA995" s="2335"/>
      <c r="RXB995" s="2335"/>
      <c r="RXC995" s="2335"/>
      <c r="RXD995" s="2335"/>
      <c r="RXE995" s="2335"/>
      <c r="RXF995" s="2335"/>
      <c r="RXG995" s="2335"/>
      <c r="RXH995" s="2335"/>
      <c r="RXI995" s="2335"/>
      <c r="RXJ995" s="2335"/>
      <c r="RXK995" s="2335"/>
      <c r="RXL995" s="2335"/>
      <c r="RXM995" s="2335"/>
      <c r="RXN995" s="2335"/>
      <c r="RXO995" s="2335"/>
      <c r="RXP995" s="2335"/>
      <c r="RXQ995" s="2335"/>
      <c r="RXR995" s="2335"/>
      <c r="RXS995" s="2335"/>
      <c r="RXT995" s="2335"/>
      <c r="RXU995" s="2335"/>
      <c r="RXV995" s="2335"/>
      <c r="RXW995" s="2335"/>
      <c r="RXX995" s="2335"/>
      <c r="RXY995" s="2335"/>
      <c r="RXZ995" s="2335"/>
      <c r="RYA995" s="2335"/>
      <c r="RYB995" s="2335"/>
      <c r="RYC995" s="2335"/>
      <c r="RYD995" s="2335"/>
      <c r="RYE995" s="2335"/>
      <c r="RYF995" s="2335"/>
      <c r="RYG995" s="2335"/>
      <c r="RYH995" s="2335"/>
      <c r="RYI995" s="2335"/>
      <c r="RYJ995" s="2335"/>
      <c r="RYK995" s="2335"/>
      <c r="RYL995" s="2335"/>
      <c r="RYM995" s="2335"/>
      <c r="RYN995" s="2335"/>
      <c r="RYO995" s="2335"/>
      <c r="RYP995" s="2335"/>
      <c r="RYQ995" s="2335"/>
      <c r="RYR995" s="2335"/>
      <c r="RYS995" s="2335"/>
      <c r="RYT995" s="2335"/>
      <c r="RYU995" s="2335"/>
      <c r="RYV995" s="2335"/>
      <c r="RYW995" s="2335"/>
      <c r="RYX995" s="2335"/>
      <c r="RYY995" s="2335"/>
      <c r="RYZ995" s="2335"/>
      <c r="RZA995" s="2335"/>
      <c r="RZB995" s="2335"/>
      <c r="RZC995" s="2335"/>
      <c r="RZD995" s="2335"/>
      <c r="RZE995" s="2335"/>
      <c r="RZF995" s="2335"/>
      <c r="RZG995" s="2335"/>
      <c r="RZH995" s="2335"/>
      <c r="RZI995" s="2335"/>
      <c r="RZJ995" s="2335"/>
      <c r="RZK995" s="2335"/>
      <c r="RZL995" s="2335"/>
      <c r="RZM995" s="2335"/>
      <c r="RZN995" s="2335"/>
      <c r="RZO995" s="2335"/>
      <c r="RZP995" s="2335"/>
      <c r="RZQ995" s="2335"/>
      <c r="RZR995" s="2335"/>
      <c r="RZS995" s="2335"/>
      <c r="RZT995" s="2335"/>
      <c r="RZU995" s="2335"/>
      <c r="RZV995" s="2335"/>
      <c r="RZW995" s="2335"/>
      <c r="RZX995" s="2335"/>
      <c r="RZY995" s="2335"/>
      <c r="RZZ995" s="2335"/>
      <c r="SAA995" s="2335"/>
      <c r="SAB995" s="2335"/>
      <c r="SAC995" s="2335"/>
      <c r="SAD995" s="2335"/>
      <c r="SAE995" s="2335"/>
      <c r="SAF995" s="2335"/>
      <c r="SAG995" s="2335"/>
      <c r="SAH995" s="2335"/>
      <c r="SAI995" s="2335"/>
      <c r="SAJ995" s="2335"/>
      <c r="SAK995" s="2335"/>
      <c r="SAL995" s="2335"/>
      <c r="SAM995" s="2335"/>
      <c r="SAN995" s="2335"/>
      <c r="SAO995" s="2335"/>
      <c r="SAP995" s="2335"/>
      <c r="SAQ995" s="2335"/>
      <c r="SAR995" s="2335"/>
      <c r="SAS995" s="2335"/>
      <c r="SAT995" s="2335"/>
      <c r="SAU995" s="2335"/>
      <c r="SAV995" s="2335"/>
      <c r="SAW995" s="2335"/>
      <c r="SAX995" s="2335"/>
      <c r="SAY995" s="2335"/>
      <c r="SAZ995" s="2335"/>
      <c r="SBA995" s="2335"/>
      <c r="SBB995" s="2335"/>
      <c r="SBC995" s="2335"/>
      <c r="SBD995" s="2335"/>
      <c r="SBE995" s="2335"/>
      <c r="SBF995" s="2335"/>
      <c r="SBG995" s="2335"/>
      <c r="SBH995" s="2335"/>
      <c r="SBI995" s="2335"/>
      <c r="SBJ995" s="2335"/>
      <c r="SBK995" s="2335"/>
      <c r="SBL995" s="2335"/>
      <c r="SBM995" s="2335"/>
      <c r="SBN995" s="2335"/>
      <c r="SBO995" s="2335"/>
      <c r="SBP995" s="2335"/>
      <c r="SBQ995" s="2335"/>
      <c r="SBR995" s="2335"/>
      <c r="SBS995" s="2335"/>
      <c r="SBT995" s="2335"/>
      <c r="SBU995" s="2335"/>
      <c r="SBV995" s="2335"/>
      <c r="SBW995" s="2335"/>
      <c r="SBX995" s="2335"/>
      <c r="SBY995" s="2335"/>
      <c r="SBZ995" s="2335"/>
      <c r="SCA995" s="2335"/>
      <c r="SCB995" s="2335"/>
      <c r="SCC995" s="2335"/>
      <c r="SCD995" s="2335"/>
      <c r="SCE995" s="2335"/>
      <c r="SCF995" s="2335"/>
      <c r="SCG995" s="2335"/>
      <c r="SCH995" s="2335"/>
      <c r="SCI995" s="2335"/>
      <c r="SCJ995" s="2335"/>
      <c r="SCK995" s="2335"/>
      <c r="SCL995" s="2335"/>
      <c r="SCM995" s="2335"/>
      <c r="SCN995" s="2335"/>
      <c r="SCO995" s="2335"/>
      <c r="SCP995" s="2335"/>
      <c r="SCQ995" s="2335"/>
      <c r="SCR995" s="2335"/>
      <c r="SCS995" s="2335"/>
      <c r="SCT995" s="2335"/>
      <c r="SCU995" s="2335"/>
      <c r="SCV995" s="2335"/>
      <c r="SCW995" s="2335"/>
      <c r="SCX995" s="2335"/>
      <c r="SCY995" s="2335"/>
      <c r="SCZ995" s="2335"/>
      <c r="SDA995" s="2335"/>
      <c r="SDB995" s="2335"/>
      <c r="SDC995" s="2335"/>
      <c r="SDD995" s="2335"/>
      <c r="SDE995" s="2335"/>
      <c r="SDF995" s="2335"/>
      <c r="SDG995" s="2335"/>
      <c r="SDH995" s="2335"/>
      <c r="SDI995" s="2335"/>
      <c r="SDJ995" s="2335"/>
      <c r="SDK995" s="2335"/>
      <c r="SDL995" s="2335"/>
      <c r="SDM995" s="2335"/>
      <c r="SDN995" s="2335"/>
      <c r="SDO995" s="2335"/>
      <c r="SDP995" s="2335"/>
      <c r="SDQ995" s="2335"/>
      <c r="SDR995" s="2335"/>
      <c r="SDS995" s="2335"/>
      <c r="SDT995" s="2335"/>
      <c r="SDU995" s="2335"/>
      <c r="SDV995" s="2335"/>
      <c r="SDW995" s="2335"/>
      <c r="SDX995" s="2335"/>
      <c r="SDY995" s="2335"/>
      <c r="SDZ995" s="2335"/>
      <c r="SEA995" s="2335"/>
      <c r="SEB995" s="2335"/>
      <c r="SEC995" s="2335"/>
      <c r="SED995" s="2335"/>
      <c r="SEE995" s="2335"/>
      <c r="SEF995" s="2335"/>
      <c r="SEG995" s="2335"/>
      <c r="SEH995" s="2335"/>
      <c r="SEI995" s="2335"/>
      <c r="SEJ995" s="2335"/>
      <c r="SEK995" s="2335"/>
      <c r="SEL995" s="2335"/>
      <c r="SEM995" s="2335"/>
      <c r="SEN995" s="2335"/>
      <c r="SEO995" s="2335"/>
      <c r="SEP995" s="2335"/>
      <c r="SEQ995" s="2335"/>
      <c r="SER995" s="2335"/>
      <c r="SES995" s="2335"/>
      <c r="SET995" s="2335"/>
      <c r="SEU995" s="2335"/>
      <c r="SEV995" s="2335"/>
      <c r="SEW995" s="2335"/>
      <c r="SEX995" s="2335"/>
      <c r="SEY995" s="2335"/>
      <c r="SEZ995" s="2335"/>
      <c r="SFA995" s="2335"/>
      <c r="SFB995" s="2335"/>
      <c r="SFC995" s="2335"/>
      <c r="SFD995" s="2335"/>
      <c r="SFE995" s="2335"/>
      <c r="SFF995" s="2335"/>
      <c r="SFG995" s="2335"/>
      <c r="SFH995" s="2335"/>
      <c r="SFI995" s="2335"/>
      <c r="SFJ995" s="2335"/>
      <c r="SFK995" s="2335"/>
      <c r="SFL995" s="2335"/>
      <c r="SFM995" s="2335"/>
      <c r="SFN995" s="2335"/>
      <c r="SFO995" s="2335"/>
      <c r="SFP995" s="2335"/>
      <c r="SFQ995" s="2335"/>
      <c r="SFR995" s="2335"/>
      <c r="SFS995" s="2335"/>
      <c r="SFT995" s="2335"/>
      <c r="SFU995" s="2335"/>
      <c r="SFV995" s="2335"/>
      <c r="SFW995" s="2335"/>
      <c r="SFX995" s="2335"/>
      <c r="SFY995" s="2335"/>
      <c r="SFZ995" s="2335"/>
      <c r="SGA995" s="2335"/>
      <c r="SGB995" s="2335"/>
      <c r="SGC995" s="2335"/>
      <c r="SGD995" s="2335"/>
      <c r="SGE995" s="2335"/>
      <c r="SGF995" s="2335"/>
      <c r="SGG995" s="2335"/>
      <c r="SGH995" s="2335"/>
      <c r="SGI995" s="2335"/>
      <c r="SGJ995" s="2335"/>
      <c r="SGK995" s="2335"/>
      <c r="SGL995" s="2335"/>
      <c r="SGM995" s="2335"/>
      <c r="SGN995" s="2335"/>
      <c r="SGO995" s="2335"/>
      <c r="SGP995" s="2335"/>
      <c r="SGQ995" s="2335"/>
      <c r="SGR995" s="2335"/>
      <c r="SGS995" s="2335"/>
      <c r="SGT995" s="2335"/>
      <c r="SGU995" s="2335"/>
      <c r="SGV995" s="2335"/>
      <c r="SGW995" s="2335"/>
      <c r="SGX995" s="2335"/>
      <c r="SGY995" s="2335"/>
      <c r="SGZ995" s="2335"/>
      <c r="SHA995" s="2335"/>
      <c r="SHB995" s="2335"/>
      <c r="SHC995" s="2335"/>
      <c r="SHD995" s="2335"/>
      <c r="SHE995" s="2335"/>
      <c r="SHF995" s="2335"/>
      <c r="SHG995" s="2335"/>
      <c r="SHH995" s="2335"/>
      <c r="SHI995" s="2335"/>
      <c r="SHJ995" s="2335"/>
      <c r="SHK995" s="2335"/>
      <c r="SHL995" s="2335"/>
      <c r="SHM995" s="2335"/>
      <c r="SHN995" s="2335"/>
      <c r="SHO995" s="2335"/>
      <c r="SHP995" s="2335"/>
      <c r="SHQ995" s="2335"/>
      <c r="SHR995" s="2335"/>
      <c r="SHS995" s="2335"/>
      <c r="SHT995" s="2335"/>
      <c r="SHU995" s="2335"/>
      <c r="SHV995" s="2335"/>
      <c r="SHW995" s="2335"/>
      <c r="SHX995" s="2335"/>
      <c r="SHY995" s="2335"/>
      <c r="SHZ995" s="2335"/>
      <c r="SIA995" s="2335"/>
      <c r="SIB995" s="2335"/>
      <c r="SIC995" s="2335"/>
      <c r="SID995" s="2335"/>
      <c r="SIE995" s="2335"/>
      <c r="SIF995" s="2335"/>
      <c r="SIG995" s="2335"/>
      <c r="SIH995" s="2335"/>
      <c r="SII995" s="2335"/>
      <c r="SIJ995" s="2335"/>
      <c r="SIK995" s="2335"/>
      <c r="SIL995" s="2335"/>
      <c r="SIM995" s="2335"/>
      <c r="SIN995" s="2335"/>
      <c r="SIO995" s="2335"/>
      <c r="SIP995" s="2335"/>
      <c r="SIQ995" s="2335"/>
      <c r="SIR995" s="2335"/>
      <c r="SIS995" s="2335"/>
      <c r="SIT995" s="2335"/>
      <c r="SIU995" s="2335"/>
      <c r="SIV995" s="2335"/>
      <c r="SIW995" s="2335"/>
      <c r="SIX995" s="2335"/>
      <c r="SIY995" s="2335"/>
      <c r="SIZ995" s="2335"/>
      <c r="SJA995" s="2335"/>
      <c r="SJB995" s="2335"/>
      <c r="SJC995" s="2335"/>
      <c r="SJD995" s="2335"/>
      <c r="SJE995" s="2335"/>
      <c r="SJF995" s="2335"/>
      <c r="SJG995" s="2335"/>
      <c r="SJH995" s="2335"/>
      <c r="SJI995" s="2335"/>
      <c r="SJJ995" s="2335"/>
      <c r="SJK995" s="2335"/>
      <c r="SJL995" s="2335"/>
      <c r="SJM995" s="2335"/>
      <c r="SJN995" s="2335"/>
      <c r="SJO995" s="2335"/>
      <c r="SJP995" s="2335"/>
      <c r="SJQ995" s="2335"/>
      <c r="SJR995" s="2335"/>
      <c r="SJS995" s="2335"/>
      <c r="SJT995" s="2335"/>
      <c r="SJU995" s="2335"/>
      <c r="SJV995" s="2335"/>
      <c r="SJW995" s="2335"/>
      <c r="SJX995" s="2335"/>
      <c r="SJY995" s="2335"/>
      <c r="SJZ995" s="2335"/>
      <c r="SKA995" s="2335"/>
      <c r="SKB995" s="2335"/>
      <c r="SKC995" s="2335"/>
      <c r="SKD995" s="2335"/>
      <c r="SKE995" s="2335"/>
      <c r="SKF995" s="2335"/>
      <c r="SKG995" s="2335"/>
      <c r="SKH995" s="2335"/>
      <c r="SKI995" s="2335"/>
      <c r="SKJ995" s="2335"/>
      <c r="SKK995" s="2335"/>
      <c r="SKL995" s="2335"/>
      <c r="SKM995" s="2335"/>
      <c r="SKN995" s="2335"/>
      <c r="SKO995" s="2335"/>
      <c r="SKP995" s="2335"/>
      <c r="SKQ995" s="2335"/>
      <c r="SKR995" s="2335"/>
      <c r="SKS995" s="2335"/>
      <c r="SKT995" s="2335"/>
      <c r="SKU995" s="2335"/>
      <c r="SKV995" s="2335"/>
      <c r="SKW995" s="2335"/>
      <c r="SKX995" s="2335"/>
      <c r="SKY995" s="2335"/>
      <c r="SKZ995" s="2335"/>
      <c r="SLA995" s="2335"/>
      <c r="SLB995" s="2335"/>
      <c r="SLC995" s="2335"/>
      <c r="SLD995" s="2335"/>
      <c r="SLE995" s="2335"/>
      <c r="SLF995" s="2335"/>
      <c r="SLG995" s="2335"/>
      <c r="SLH995" s="2335"/>
      <c r="SLI995" s="2335"/>
      <c r="SLJ995" s="2335"/>
      <c r="SLK995" s="2335"/>
      <c r="SLL995" s="2335"/>
      <c r="SLM995" s="2335"/>
      <c r="SLN995" s="2335"/>
      <c r="SLO995" s="2335"/>
      <c r="SLP995" s="2335"/>
      <c r="SLQ995" s="2335"/>
      <c r="SLR995" s="2335"/>
      <c r="SLS995" s="2335"/>
      <c r="SLT995" s="2335"/>
      <c r="SLU995" s="2335"/>
      <c r="SLV995" s="2335"/>
      <c r="SLW995" s="2335"/>
      <c r="SLX995" s="2335"/>
      <c r="SLY995" s="2335"/>
      <c r="SLZ995" s="2335"/>
      <c r="SMA995" s="2335"/>
      <c r="SMB995" s="2335"/>
      <c r="SMC995" s="2335"/>
      <c r="SMD995" s="2335"/>
      <c r="SME995" s="2335"/>
      <c r="SMF995" s="2335"/>
      <c r="SMG995" s="2335"/>
      <c r="SMH995" s="2335"/>
      <c r="SMI995" s="2335"/>
      <c r="SMJ995" s="2335"/>
      <c r="SMK995" s="2335"/>
      <c r="SML995" s="2335"/>
      <c r="SMM995" s="2335"/>
      <c r="SMN995" s="2335"/>
      <c r="SMO995" s="2335"/>
      <c r="SMP995" s="2335"/>
      <c r="SMQ995" s="2335"/>
      <c r="SMR995" s="2335"/>
      <c r="SMS995" s="2335"/>
      <c r="SMT995" s="2335"/>
      <c r="SMU995" s="2335"/>
      <c r="SMV995" s="2335"/>
      <c r="SMW995" s="2335"/>
      <c r="SMX995" s="2335"/>
      <c r="SMY995" s="2335"/>
      <c r="SMZ995" s="2335"/>
      <c r="SNA995" s="2335"/>
      <c r="SNB995" s="2335"/>
      <c r="SNC995" s="2335"/>
      <c r="SND995" s="2335"/>
      <c r="SNE995" s="2335"/>
      <c r="SNF995" s="2335"/>
      <c r="SNG995" s="2335"/>
      <c r="SNH995" s="2335"/>
      <c r="SNI995" s="2335"/>
      <c r="SNJ995" s="2335"/>
      <c r="SNK995" s="2335"/>
      <c r="SNL995" s="2335"/>
      <c r="SNM995" s="2335"/>
      <c r="SNN995" s="2335"/>
      <c r="SNO995" s="2335"/>
      <c r="SNP995" s="2335"/>
      <c r="SNQ995" s="2335"/>
      <c r="SNR995" s="2335"/>
      <c r="SNS995" s="2335"/>
      <c r="SNT995" s="2335"/>
      <c r="SNU995" s="2335"/>
      <c r="SNV995" s="2335"/>
      <c r="SNW995" s="2335"/>
      <c r="SNX995" s="2335"/>
      <c r="SNY995" s="2335"/>
      <c r="SNZ995" s="2335"/>
      <c r="SOA995" s="2335"/>
      <c r="SOB995" s="2335"/>
      <c r="SOC995" s="2335"/>
      <c r="SOD995" s="2335"/>
      <c r="SOE995" s="2335"/>
      <c r="SOF995" s="2335"/>
      <c r="SOG995" s="2335"/>
      <c r="SOH995" s="2335"/>
      <c r="SOI995" s="2335"/>
      <c r="SOJ995" s="2335"/>
      <c r="SOK995" s="2335"/>
      <c r="SOL995" s="2335"/>
      <c r="SOM995" s="2335"/>
      <c r="SON995" s="2335"/>
      <c r="SOO995" s="2335"/>
      <c r="SOP995" s="2335"/>
      <c r="SOQ995" s="2335"/>
      <c r="SOR995" s="2335"/>
      <c r="SOS995" s="2335"/>
      <c r="SOT995" s="2335"/>
      <c r="SOU995" s="2335"/>
      <c r="SOV995" s="2335"/>
      <c r="SOW995" s="2335"/>
      <c r="SOX995" s="2335"/>
      <c r="SOY995" s="2335"/>
      <c r="SOZ995" s="2335"/>
      <c r="SPA995" s="2335"/>
      <c r="SPB995" s="2335"/>
      <c r="SPC995" s="2335"/>
      <c r="SPD995" s="2335"/>
      <c r="SPE995" s="2335"/>
      <c r="SPF995" s="2335"/>
      <c r="SPG995" s="2335"/>
      <c r="SPH995" s="2335"/>
      <c r="SPI995" s="2335"/>
      <c r="SPJ995" s="2335"/>
      <c r="SPK995" s="2335"/>
      <c r="SPL995" s="2335"/>
      <c r="SPM995" s="2335"/>
      <c r="SPN995" s="2335"/>
      <c r="SPO995" s="2335"/>
      <c r="SPP995" s="2335"/>
      <c r="SPQ995" s="2335"/>
      <c r="SPR995" s="2335"/>
      <c r="SPS995" s="2335"/>
      <c r="SPT995" s="2335"/>
      <c r="SPU995" s="2335"/>
      <c r="SPV995" s="2335"/>
      <c r="SPW995" s="2335"/>
      <c r="SPX995" s="2335"/>
      <c r="SPY995" s="2335"/>
      <c r="SPZ995" s="2335"/>
      <c r="SQA995" s="2335"/>
      <c r="SQB995" s="2335"/>
      <c r="SQC995" s="2335"/>
      <c r="SQD995" s="2335"/>
      <c r="SQE995" s="2335"/>
      <c r="SQF995" s="2335"/>
      <c r="SQG995" s="2335"/>
      <c r="SQH995" s="2335"/>
      <c r="SQI995" s="2335"/>
      <c r="SQJ995" s="2335"/>
      <c r="SQK995" s="2335"/>
      <c r="SQL995" s="2335"/>
      <c r="SQM995" s="2335"/>
      <c r="SQN995" s="2335"/>
      <c r="SQO995" s="2335"/>
      <c r="SQP995" s="2335"/>
      <c r="SQQ995" s="2335"/>
      <c r="SQR995" s="2335"/>
      <c r="SQS995" s="2335"/>
      <c r="SQT995" s="2335"/>
      <c r="SQU995" s="2335"/>
      <c r="SQV995" s="2335"/>
      <c r="SQW995" s="2335"/>
      <c r="SQX995" s="2335"/>
      <c r="SQY995" s="2335"/>
      <c r="SQZ995" s="2335"/>
      <c r="SRA995" s="2335"/>
      <c r="SRB995" s="2335"/>
      <c r="SRC995" s="2335"/>
      <c r="SRD995" s="2335"/>
      <c r="SRE995" s="2335"/>
      <c r="SRF995" s="2335"/>
      <c r="SRG995" s="2335"/>
      <c r="SRH995" s="2335"/>
      <c r="SRI995" s="2335"/>
      <c r="SRJ995" s="2335"/>
      <c r="SRK995" s="2335"/>
      <c r="SRL995" s="2335"/>
      <c r="SRM995" s="2335"/>
      <c r="SRN995" s="2335"/>
      <c r="SRO995" s="2335"/>
      <c r="SRP995" s="2335"/>
      <c r="SRQ995" s="2335"/>
      <c r="SRR995" s="2335"/>
      <c r="SRS995" s="2335"/>
      <c r="SRT995" s="2335"/>
      <c r="SRU995" s="2335"/>
      <c r="SRV995" s="2335"/>
      <c r="SRW995" s="2335"/>
      <c r="SRX995" s="2335"/>
      <c r="SRY995" s="2335"/>
      <c r="SRZ995" s="2335"/>
      <c r="SSA995" s="2335"/>
      <c r="SSB995" s="2335"/>
      <c r="SSC995" s="2335"/>
      <c r="SSD995" s="2335"/>
      <c r="SSE995" s="2335"/>
      <c r="SSF995" s="2335"/>
      <c r="SSG995" s="2335"/>
      <c r="SSH995" s="2335"/>
      <c r="SSI995" s="2335"/>
      <c r="SSJ995" s="2335"/>
      <c r="SSK995" s="2335"/>
      <c r="SSL995" s="2335"/>
      <c r="SSM995" s="2335"/>
      <c r="SSN995" s="2335"/>
      <c r="SSO995" s="2335"/>
      <c r="SSP995" s="2335"/>
      <c r="SSQ995" s="2335"/>
      <c r="SSR995" s="2335"/>
      <c r="SSS995" s="2335"/>
      <c r="SST995" s="2335"/>
      <c r="SSU995" s="2335"/>
      <c r="SSV995" s="2335"/>
      <c r="SSW995" s="2335"/>
      <c r="SSX995" s="2335"/>
      <c r="SSY995" s="2335"/>
      <c r="SSZ995" s="2335"/>
      <c r="STA995" s="2335"/>
      <c r="STB995" s="2335"/>
      <c r="STC995" s="2335"/>
      <c r="STD995" s="2335"/>
      <c r="STE995" s="2335"/>
      <c r="STF995" s="2335"/>
      <c r="STG995" s="2335"/>
      <c r="STH995" s="2335"/>
      <c r="STI995" s="2335"/>
      <c r="STJ995" s="2335"/>
      <c r="STK995" s="2335"/>
      <c r="STL995" s="2335"/>
      <c r="STM995" s="2335"/>
      <c r="STN995" s="2335"/>
      <c r="STO995" s="2335"/>
      <c r="STP995" s="2335"/>
      <c r="STQ995" s="2335"/>
      <c r="STR995" s="2335"/>
      <c r="STS995" s="2335"/>
      <c r="STT995" s="2335"/>
      <c r="STU995" s="2335"/>
      <c r="STV995" s="2335"/>
      <c r="STW995" s="2335"/>
      <c r="STX995" s="2335"/>
      <c r="STY995" s="2335"/>
      <c r="STZ995" s="2335"/>
      <c r="SUA995" s="2335"/>
      <c r="SUB995" s="2335"/>
      <c r="SUC995" s="2335"/>
      <c r="SUD995" s="2335"/>
      <c r="SUE995" s="2335"/>
      <c r="SUF995" s="2335"/>
      <c r="SUG995" s="2335"/>
      <c r="SUH995" s="2335"/>
      <c r="SUI995" s="2335"/>
      <c r="SUJ995" s="2335"/>
      <c r="SUK995" s="2335"/>
      <c r="SUL995" s="2335"/>
      <c r="SUM995" s="2335"/>
      <c r="SUN995" s="2335"/>
      <c r="SUO995" s="2335"/>
      <c r="SUP995" s="2335"/>
      <c r="SUQ995" s="2335"/>
      <c r="SUR995" s="2335"/>
      <c r="SUS995" s="2335"/>
      <c r="SUT995" s="2335"/>
      <c r="SUU995" s="2335"/>
      <c r="SUV995" s="2335"/>
      <c r="SUW995" s="2335"/>
      <c r="SUX995" s="2335"/>
      <c r="SUY995" s="2335"/>
      <c r="SUZ995" s="2335"/>
      <c r="SVA995" s="2335"/>
      <c r="SVB995" s="2335"/>
      <c r="SVC995" s="2335"/>
      <c r="SVD995" s="2335"/>
      <c r="SVE995" s="2335"/>
      <c r="SVF995" s="2335"/>
      <c r="SVG995" s="2335"/>
      <c r="SVH995" s="2335"/>
      <c r="SVI995" s="2335"/>
      <c r="SVJ995" s="2335"/>
      <c r="SVK995" s="2335"/>
      <c r="SVL995" s="2335"/>
      <c r="SVM995" s="2335"/>
      <c r="SVN995" s="2335"/>
      <c r="SVO995" s="2335"/>
      <c r="SVP995" s="2335"/>
      <c r="SVQ995" s="2335"/>
      <c r="SVR995" s="2335"/>
      <c r="SVS995" s="2335"/>
      <c r="SVT995" s="2335"/>
      <c r="SVU995" s="2335"/>
      <c r="SVV995" s="2335"/>
      <c r="SVW995" s="2335"/>
      <c r="SVX995" s="2335"/>
      <c r="SVY995" s="2335"/>
      <c r="SVZ995" s="2335"/>
      <c r="SWA995" s="2335"/>
      <c r="SWB995" s="2335"/>
      <c r="SWC995" s="2335"/>
      <c r="SWD995" s="2335"/>
      <c r="SWE995" s="2335"/>
      <c r="SWF995" s="2335"/>
      <c r="SWG995" s="2335"/>
      <c r="SWH995" s="2335"/>
      <c r="SWI995" s="2335"/>
      <c r="SWJ995" s="2335"/>
      <c r="SWK995" s="2335"/>
      <c r="SWL995" s="2335"/>
      <c r="SWM995" s="2335"/>
      <c r="SWN995" s="2335"/>
      <c r="SWO995" s="2335"/>
      <c r="SWP995" s="2335"/>
      <c r="SWQ995" s="2335"/>
      <c r="SWR995" s="2335"/>
      <c r="SWS995" s="2335"/>
      <c r="SWT995" s="2335"/>
      <c r="SWU995" s="2335"/>
      <c r="SWV995" s="2335"/>
      <c r="SWW995" s="2335"/>
      <c r="SWX995" s="2335"/>
      <c r="SWY995" s="2335"/>
      <c r="SWZ995" s="2335"/>
      <c r="SXA995" s="2335"/>
      <c r="SXB995" s="2335"/>
      <c r="SXC995" s="2335"/>
      <c r="SXD995" s="2335"/>
      <c r="SXE995" s="2335"/>
      <c r="SXF995" s="2335"/>
      <c r="SXG995" s="2335"/>
      <c r="SXH995" s="2335"/>
      <c r="SXI995" s="2335"/>
      <c r="SXJ995" s="2335"/>
      <c r="SXK995" s="2335"/>
      <c r="SXL995" s="2335"/>
      <c r="SXM995" s="2335"/>
      <c r="SXN995" s="2335"/>
      <c r="SXO995" s="2335"/>
      <c r="SXP995" s="2335"/>
      <c r="SXQ995" s="2335"/>
      <c r="SXR995" s="2335"/>
      <c r="SXS995" s="2335"/>
      <c r="SXT995" s="2335"/>
      <c r="SXU995" s="2335"/>
      <c r="SXV995" s="2335"/>
      <c r="SXW995" s="2335"/>
      <c r="SXX995" s="2335"/>
      <c r="SXY995" s="2335"/>
      <c r="SXZ995" s="2335"/>
      <c r="SYA995" s="2335"/>
      <c r="SYB995" s="2335"/>
      <c r="SYC995" s="2335"/>
      <c r="SYD995" s="2335"/>
      <c r="SYE995" s="2335"/>
      <c r="SYF995" s="2335"/>
      <c r="SYG995" s="2335"/>
      <c r="SYH995" s="2335"/>
      <c r="SYI995" s="2335"/>
      <c r="SYJ995" s="2335"/>
      <c r="SYK995" s="2335"/>
      <c r="SYL995" s="2335"/>
      <c r="SYM995" s="2335"/>
      <c r="SYN995" s="2335"/>
      <c r="SYO995" s="2335"/>
      <c r="SYP995" s="2335"/>
      <c r="SYQ995" s="2335"/>
      <c r="SYR995" s="2335"/>
      <c r="SYS995" s="2335"/>
      <c r="SYT995" s="2335"/>
      <c r="SYU995" s="2335"/>
      <c r="SYV995" s="2335"/>
      <c r="SYW995" s="2335"/>
      <c r="SYX995" s="2335"/>
      <c r="SYY995" s="2335"/>
      <c r="SYZ995" s="2335"/>
      <c r="SZA995" s="2335"/>
      <c r="SZB995" s="2335"/>
      <c r="SZC995" s="2335"/>
      <c r="SZD995" s="2335"/>
      <c r="SZE995" s="2335"/>
      <c r="SZF995" s="2335"/>
      <c r="SZG995" s="2335"/>
      <c r="SZH995" s="2335"/>
      <c r="SZI995" s="2335"/>
      <c r="SZJ995" s="2335"/>
      <c r="SZK995" s="2335"/>
      <c r="SZL995" s="2335"/>
      <c r="SZM995" s="2335"/>
      <c r="SZN995" s="2335"/>
      <c r="SZO995" s="2335"/>
      <c r="SZP995" s="2335"/>
      <c r="SZQ995" s="2335"/>
      <c r="SZR995" s="2335"/>
      <c r="SZS995" s="2335"/>
      <c r="SZT995" s="2335"/>
      <c r="SZU995" s="2335"/>
      <c r="SZV995" s="2335"/>
      <c r="SZW995" s="2335"/>
      <c r="SZX995" s="2335"/>
      <c r="SZY995" s="2335"/>
      <c r="SZZ995" s="2335"/>
      <c r="TAA995" s="2335"/>
      <c r="TAB995" s="2335"/>
      <c r="TAC995" s="2335"/>
      <c r="TAD995" s="2335"/>
      <c r="TAE995" s="2335"/>
      <c r="TAF995" s="2335"/>
      <c r="TAG995" s="2335"/>
      <c r="TAH995" s="2335"/>
      <c r="TAI995" s="2335"/>
      <c r="TAJ995" s="2335"/>
      <c r="TAK995" s="2335"/>
      <c r="TAL995" s="2335"/>
      <c r="TAM995" s="2335"/>
      <c r="TAN995" s="2335"/>
      <c r="TAO995" s="2335"/>
      <c r="TAP995" s="2335"/>
      <c r="TAQ995" s="2335"/>
      <c r="TAR995" s="2335"/>
      <c r="TAS995" s="2335"/>
      <c r="TAT995" s="2335"/>
      <c r="TAU995" s="2335"/>
      <c r="TAV995" s="2335"/>
      <c r="TAW995" s="2335"/>
      <c r="TAX995" s="2335"/>
      <c r="TAY995" s="2335"/>
      <c r="TAZ995" s="2335"/>
      <c r="TBA995" s="2335"/>
      <c r="TBB995" s="2335"/>
      <c r="TBC995" s="2335"/>
      <c r="TBD995" s="2335"/>
      <c r="TBE995" s="2335"/>
      <c r="TBF995" s="2335"/>
      <c r="TBG995" s="2335"/>
      <c r="TBH995" s="2335"/>
      <c r="TBI995" s="2335"/>
      <c r="TBJ995" s="2335"/>
      <c r="TBK995" s="2335"/>
      <c r="TBL995" s="2335"/>
      <c r="TBM995" s="2335"/>
      <c r="TBN995" s="2335"/>
      <c r="TBO995" s="2335"/>
      <c r="TBP995" s="2335"/>
      <c r="TBQ995" s="2335"/>
      <c r="TBR995" s="2335"/>
      <c r="TBS995" s="2335"/>
      <c r="TBT995" s="2335"/>
      <c r="TBU995" s="2335"/>
      <c r="TBV995" s="2335"/>
      <c r="TBW995" s="2335"/>
      <c r="TBX995" s="2335"/>
      <c r="TBY995" s="2335"/>
      <c r="TBZ995" s="2335"/>
      <c r="TCA995" s="2335"/>
      <c r="TCB995" s="2335"/>
      <c r="TCC995" s="2335"/>
      <c r="TCD995" s="2335"/>
      <c r="TCE995" s="2335"/>
      <c r="TCF995" s="2335"/>
      <c r="TCG995" s="2335"/>
      <c r="TCH995" s="2335"/>
      <c r="TCI995" s="2335"/>
      <c r="TCJ995" s="2335"/>
      <c r="TCK995" s="2335"/>
      <c r="TCL995" s="2335"/>
      <c r="TCM995" s="2335"/>
      <c r="TCN995" s="2335"/>
      <c r="TCO995" s="2335"/>
      <c r="TCP995" s="2335"/>
      <c r="TCQ995" s="2335"/>
      <c r="TCR995" s="2335"/>
      <c r="TCS995" s="2335"/>
      <c r="TCT995" s="2335"/>
      <c r="TCU995" s="2335"/>
      <c r="TCV995" s="2335"/>
      <c r="TCW995" s="2335"/>
      <c r="TCX995" s="2335"/>
      <c r="TCY995" s="2335"/>
      <c r="TCZ995" s="2335"/>
      <c r="TDA995" s="2335"/>
      <c r="TDB995" s="2335"/>
      <c r="TDC995" s="2335"/>
      <c r="TDD995" s="2335"/>
      <c r="TDE995" s="2335"/>
      <c r="TDF995" s="2335"/>
      <c r="TDG995" s="2335"/>
      <c r="TDH995" s="2335"/>
      <c r="TDI995" s="2335"/>
      <c r="TDJ995" s="2335"/>
      <c r="TDK995" s="2335"/>
      <c r="TDL995" s="2335"/>
      <c r="TDM995" s="2335"/>
      <c r="TDN995" s="2335"/>
      <c r="TDO995" s="2335"/>
      <c r="TDP995" s="2335"/>
      <c r="TDQ995" s="2335"/>
      <c r="TDR995" s="2335"/>
      <c r="TDS995" s="2335"/>
      <c r="TDT995" s="2335"/>
      <c r="TDU995" s="2335"/>
      <c r="TDV995" s="2335"/>
      <c r="TDW995" s="2335"/>
      <c r="TDX995" s="2335"/>
      <c r="TDY995" s="2335"/>
      <c r="TDZ995" s="2335"/>
      <c r="TEA995" s="2335"/>
      <c r="TEB995" s="2335"/>
      <c r="TEC995" s="2335"/>
      <c r="TED995" s="2335"/>
      <c r="TEE995" s="2335"/>
      <c r="TEF995" s="2335"/>
      <c r="TEG995" s="2335"/>
      <c r="TEH995" s="2335"/>
      <c r="TEI995" s="2335"/>
      <c r="TEJ995" s="2335"/>
      <c r="TEK995" s="2335"/>
      <c r="TEL995" s="2335"/>
      <c r="TEM995" s="2335"/>
      <c r="TEN995" s="2335"/>
      <c r="TEO995" s="2335"/>
      <c r="TEP995" s="2335"/>
      <c r="TEQ995" s="2335"/>
      <c r="TER995" s="2335"/>
      <c r="TES995" s="2335"/>
      <c r="TET995" s="2335"/>
      <c r="TEU995" s="2335"/>
      <c r="TEV995" s="2335"/>
      <c r="TEW995" s="2335"/>
      <c r="TEX995" s="2335"/>
      <c r="TEY995" s="2335"/>
      <c r="TEZ995" s="2335"/>
      <c r="TFA995" s="2335"/>
      <c r="TFB995" s="2335"/>
      <c r="TFC995" s="2335"/>
      <c r="TFD995" s="2335"/>
      <c r="TFE995" s="2335"/>
      <c r="TFF995" s="2335"/>
      <c r="TFG995" s="2335"/>
      <c r="TFH995" s="2335"/>
      <c r="TFI995" s="2335"/>
      <c r="TFJ995" s="2335"/>
      <c r="TFK995" s="2335"/>
      <c r="TFL995" s="2335"/>
      <c r="TFM995" s="2335"/>
      <c r="TFN995" s="2335"/>
      <c r="TFO995" s="2335"/>
      <c r="TFP995" s="2335"/>
      <c r="TFQ995" s="2335"/>
      <c r="TFR995" s="2335"/>
      <c r="TFS995" s="2335"/>
      <c r="TFT995" s="2335"/>
      <c r="TFU995" s="2335"/>
      <c r="TFV995" s="2335"/>
      <c r="TFW995" s="2335"/>
      <c r="TFX995" s="2335"/>
      <c r="TFY995" s="2335"/>
      <c r="TFZ995" s="2335"/>
      <c r="TGA995" s="2335"/>
      <c r="TGB995" s="2335"/>
      <c r="TGC995" s="2335"/>
      <c r="TGD995" s="2335"/>
      <c r="TGE995" s="2335"/>
      <c r="TGF995" s="2335"/>
      <c r="TGG995" s="2335"/>
      <c r="TGH995" s="2335"/>
      <c r="TGI995" s="2335"/>
      <c r="TGJ995" s="2335"/>
      <c r="TGK995" s="2335"/>
      <c r="TGL995" s="2335"/>
      <c r="TGM995" s="2335"/>
      <c r="TGN995" s="2335"/>
      <c r="TGO995" s="2335"/>
      <c r="TGP995" s="2335"/>
      <c r="TGQ995" s="2335"/>
      <c r="TGR995" s="2335"/>
      <c r="TGS995" s="2335"/>
      <c r="TGT995" s="2335"/>
      <c r="TGU995" s="2335"/>
      <c r="TGV995" s="2335"/>
      <c r="TGW995" s="2335"/>
      <c r="TGX995" s="2335"/>
      <c r="TGY995" s="2335"/>
      <c r="TGZ995" s="2335"/>
      <c r="THA995" s="2335"/>
      <c r="THB995" s="2335"/>
      <c r="THC995" s="2335"/>
      <c r="THD995" s="2335"/>
      <c r="THE995" s="2335"/>
      <c r="THF995" s="2335"/>
      <c r="THG995" s="2335"/>
      <c r="THH995" s="2335"/>
      <c r="THI995" s="2335"/>
      <c r="THJ995" s="2335"/>
      <c r="THK995" s="2335"/>
      <c r="THL995" s="2335"/>
      <c r="THM995" s="2335"/>
      <c r="THN995" s="2335"/>
      <c r="THO995" s="2335"/>
      <c r="THP995" s="2335"/>
      <c r="THQ995" s="2335"/>
      <c r="THR995" s="2335"/>
      <c r="THS995" s="2335"/>
      <c r="THT995" s="2335"/>
      <c r="THU995" s="2335"/>
      <c r="THV995" s="2335"/>
      <c r="THW995" s="2335"/>
      <c r="THX995" s="2335"/>
      <c r="THY995" s="2335"/>
      <c r="THZ995" s="2335"/>
      <c r="TIA995" s="2335"/>
      <c r="TIB995" s="2335"/>
      <c r="TIC995" s="2335"/>
      <c r="TID995" s="2335"/>
      <c r="TIE995" s="2335"/>
      <c r="TIF995" s="2335"/>
      <c r="TIG995" s="2335"/>
      <c r="TIH995" s="2335"/>
      <c r="TII995" s="2335"/>
      <c r="TIJ995" s="2335"/>
      <c r="TIK995" s="2335"/>
      <c r="TIL995" s="2335"/>
      <c r="TIM995" s="2335"/>
      <c r="TIN995" s="2335"/>
      <c r="TIO995" s="2335"/>
      <c r="TIP995" s="2335"/>
      <c r="TIQ995" s="2335"/>
      <c r="TIR995" s="2335"/>
      <c r="TIS995" s="2335"/>
      <c r="TIT995" s="2335"/>
      <c r="TIU995" s="2335"/>
      <c r="TIV995" s="2335"/>
      <c r="TIW995" s="2335"/>
      <c r="TIX995" s="2335"/>
      <c r="TIY995" s="2335"/>
      <c r="TIZ995" s="2335"/>
      <c r="TJA995" s="2335"/>
      <c r="TJB995" s="2335"/>
      <c r="TJC995" s="2335"/>
      <c r="TJD995" s="2335"/>
      <c r="TJE995" s="2335"/>
      <c r="TJF995" s="2335"/>
      <c r="TJG995" s="2335"/>
      <c r="TJH995" s="2335"/>
      <c r="TJI995" s="2335"/>
      <c r="TJJ995" s="2335"/>
      <c r="TJK995" s="2335"/>
      <c r="TJL995" s="2335"/>
      <c r="TJM995" s="2335"/>
      <c r="TJN995" s="2335"/>
      <c r="TJO995" s="2335"/>
      <c r="TJP995" s="2335"/>
      <c r="TJQ995" s="2335"/>
      <c r="TJR995" s="2335"/>
      <c r="TJS995" s="2335"/>
      <c r="TJT995" s="2335"/>
      <c r="TJU995" s="2335"/>
      <c r="TJV995" s="2335"/>
      <c r="TJW995" s="2335"/>
      <c r="TJX995" s="2335"/>
      <c r="TJY995" s="2335"/>
      <c r="TJZ995" s="2335"/>
      <c r="TKA995" s="2335"/>
      <c r="TKB995" s="2335"/>
      <c r="TKC995" s="2335"/>
      <c r="TKD995" s="2335"/>
      <c r="TKE995" s="2335"/>
      <c r="TKF995" s="2335"/>
      <c r="TKG995" s="2335"/>
      <c r="TKH995" s="2335"/>
      <c r="TKI995" s="2335"/>
      <c r="TKJ995" s="2335"/>
      <c r="TKK995" s="2335"/>
      <c r="TKL995" s="2335"/>
      <c r="TKM995" s="2335"/>
      <c r="TKN995" s="2335"/>
      <c r="TKO995" s="2335"/>
      <c r="TKP995" s="2335"/>
      <c r="TKQ995" s="2335"/>
      <c r="TKR995" s="2335"/>
      <c r="TKS995" s="2335"/>
      <c r="TKT995" s="2335"/>
      <c r="TKU995" s="2335"/>
      <c r="TKV995" s="2335"/>
      <c r="TKW995" s="2335"/>
      <c r="TKX995" s="2335"/>
      <c r="TKY995" s="2335"/>
      <c r="TKZ995" s="2335"/>
      <c r="TLA995" s="2335"/>
      <c r="TLB995" s="2335"/>
      <c r="TLC995" s="2335"/>
      <c r="TLD995" s="2335"/>
      <c r="TLE995" s="2335"/>
      <c r="TLF995" s="2335"/>
      <c r="TLG995" s="2335"/>
      <c r="TLH995" s="2335"/>
      <c r="TLI995" s="2335"/>
      <c r="TLJ995" s="2335"/>
      <c r="TLK995" s="2335"/>
      <c r="TLL995" s="2335"/>
      <c r="TLM995" s="2335"/>
      <c r="TLN995" s="2335"/>
      <c r="TLO995" s="2335"/>
      <c r="TLP995" s="2335"/>
      <c r="TLQ995" s="2335"/>
      <c r="TLR995" s="2335"/>
      <c r="TLS995" s="2335"/>
      <c r="TLT995" s="2335"/>
      <c r="TLU995" s="2335"/>
      <c r="TLV995" s="2335"/>
      <c r="TLW995" s="2335"/>
      <c r="TLX995" s="2335"/>
      <c r="TLY995" s="2335"/>
      <c r="TLZ995" s="2335"/>
      <c r="TMA995" s="2335"/>
      <c r="TMB995" s="2335"/>
      <c r="TMC995" s="2335"/>
      <c r="TMD995" s="2335"/>
      <c r="TME995" s="2335"/>
      <c r="TMF995" s="2335"/>
      <c r="TMG995" s="2335"/>
      <c r="TMH995" s="2335"/>
      <c r="TMI995" s="2335"/>
      <c r="TMJ995" s="2335"/>
      <c r="TMK995" s="2335"/>
      <c r="TML995" s="2335"/>
      <c r="TMM995" s="2335"/>
      <c r="TMN995" s="2335"/>
      <c r="TMO995" s="2335"/>
      <c r="TMP995" s="2335"/>
      <c r="TMQ995" s="2335"/>
      <c r="TMR995" s="2335"/>
      <c r="TMS995" s="2335"/>
      <c r="TMT995" s="2335"/>
      <c r="TMU995" s="2335"/>
      <c r="TMV995" s="2335"/>
      <c r="TMW995" s="2335"/>
      <c r="TMX995" s="2335"/>
      <c r="TMY995" s="2335"/>
      <c r="TMZ995" s="2335"/>
      <c r="TNA995" s="2335"/>
      <c r="TNB995" s="2335"/>
      <c r="TNC995" s="2335"/>
      <c r="TND995" s="2335"/>
      <c r="TNE995" s="2335"/>
      <c r="TNF995" s="2335"/>
      <c r="TNG995" s="2335"/>
      <c r="TNH995" s="2335"/>
      <c r="TNI995" s="2335"/>
      <c r="TNJ995" s="2335"/>
      <c r="TNK995" s="2335"/>
      <c r="TNL995" s="2335"/>
      <c r="TNM995" s="2335"/>
      <c r="TNN995" s="2335"/>
      <c r="TNO995" s="2335"/>
      <c r="TNP995" s="2335"/>
      <c r="TNQ995" s="2335"/>
      <c r="TNR995" s="2335"/>
      <c r="TNS995" s="2335"/>
      <c r="TNT995" s="2335"/>
      <c r="TNU995" s="2335"/>
      <c r="TNV995" s="2335"/>
      <c r="TNW995" s="2335"/>
      <c r="TNX995" s="2335"/>
      <c r="TNY995" s="2335"/>
      <c r="TNZ995" s="2335"/>
      <c r="TOA995" s="2335"/>
      <c r="TOB995" s="2335"/>
      <c r="TOC995" s="2335"/>
      <c r="TOD995" s="2335"/>
      <c r="TOE995" s="2335"/>
      <c r="TOF995" s="2335"/>
      <c r="TOG995" s="2335"/>
      <c r="TOH995" s="2335"/>
      <c r="TOI995" s="2335"/>
      <c r="TOJ995" s="2335"/>
      <c r="TOK995" s="2335"/>
      <c r="TOL995" s="2335"/>
      <c r="TOM995" s="2335"/>
      <c r="TON995" s="2335"/>
      <c r="TOO995" s="2335"/>
      <c r="TOP995" s="2335"/>
      <c r="TOQ995" s="2335"/>
      <c r="TOR995" s="2335"/>
      <c r="TOS995" s="2335"/>
      <c r="TOT995" s="2335"/>
      <c r="TOU995" s="2335"/>
      <c r="TOV995" s="2335"/>
      <c r="TOW995" s="2335"/>
      <c r="TOX995" s="2335"/>
      <c r="TOY995" s="2335"/>
      <c r="TOZ995" s="2335"/>
      <c r="TPA995" s="2335"/>
      <c r="TPB995" s="2335"/>
      <c r="TPC995" s="2335"/>
      <c r="TPD995" s="2335"/>
      <c r="TPE995" s="2335"/>
      <c r="TPF995" s="2335"/>
      <c r="TPG995" s="2335"/>
      <c r="TPH995" s="2335"/>
      <c r="TPI995" s="2335"/>
      <c r="TPJ995" s="2335"/>
      <c r="TPK995" s="2335"/>
      <c r="TPL995" s="2335"/>
      <c r="TPM995" s="2335"/>
      <c r="TPN995" s="2335"/>
      <c r="TPO995" s="2335"/>
      <c r="TPP995" s="2335"/>
      <c r="TPQ995" s="2335"/>
      <c r="TPR995" s="2335"/>
      <c r="TPS995" s="2335"/>
      <c r="TPT995" s="2335"/>
      <c r="TPU995" s="2335"/>
      <c r="TPV995" s="2335"/>
      <c r="TPW995" s="2335"/>
      <c r="TPX995" s="2335"/>
      <c r="TPY995" s="2335"/>
      <c r="TPZ995" s="2335"/>
      <c r="TQA995" s="2335"/>
      <c r="TQB995" s="2335"/>
      <c r="TQC995" s="2335"/>
      <c r="TQD995" s="2335"/>
      <c r="TQE995" s="2335"/>
      <c r="TQF995" s="2335"/>
      <c r="TQG995" s="2335"/>
      <c r="TQH995" s="2335"/>
      <c r="TQI995" s="2335"/>
      <c r="TQJ995" s="2335"/>
      <c r="TQK995" s="2335"/>
      <c r="TQL995" s="2335"/>
      <c r="TQM995" s="2335"/>
      <c r="TQN995" s="2335"/>
      <c r="TQO995" s="2335"/>
      <c r="TQP995" s="2335"/>
      <c r="TQQ995" s="2335"/>
      <c r="TQR995" s="2335"/>
      <c r="TQS995" s="2335"/>
      <c r="TQT995" s="2335"/>
      <c r="TQU995" s="2335"/>
      <c r="TQV995" s="2335"/>
      <c r="TQW995" s="2335"/>
      <c r="TQX995" s="2335"/>
      <c r="TQY995" s="2335"/>
      <c r="TQZ995" s="2335"/>
      <c r="TRA995" s="2335"/>
      <c r="TRB995" s="2335"/>
      <c r="TRC995" s="2335"/>
      <c r="TRD995" s="2335"/>
      <c r="TRE995" s="2335"/>
      <c r="TRF995" s="2335"/>
      <c r="TRG995" s="2335"/>
      <c r="TRH995" s="2335"/>
      <c r="TRI995" s="2335"/>
      <c r="TRJ995" s="2335"/>
      <c r="TRK995" s="2335"/>
      <c r="TRL995" s="2335"/>
      <c r="TRM995" s="2335"/>
      <c r="TRN995" s="2335"/>
      <c r="TRO995" s="2335"/>
      <c r="TRP995" s="2335"/>
      <c r="TRQ995" s="2335"/>
      <c r="TRR995" s="2335"/>
      <c r="TRS995" s="2335"/>
      <c r="TRT995" s="2335"/>
      <c r="TRU995" s="2335"/>
      <c r="TRV995" s="2335"/>
      <c r="TRW995" s="2335"/>
      <c r="TRX995" s="2335"/>
      <c r="TRY995" s="2335"/>
      <c r="TRZ995" s="2335"/>
      <c r="TSA995" s="2335"/>
      <c r="TSB995" s="2335"/>
      <c r="TSC995" s="2335"/>
      <c r="TSD995" s="2335"/>
      <c r="TSE995" s="2335"/>
      <c r="TSF995" s="2335"/>
      <c r="TSG995" s="2335"/>
      <c r="TSH995" s="2335"/>
      <c r="TSI995" s="2335"/>
      <c r="TSJ995" s="2335"/>
      <c r="TSK995" s="2335"/>
      <c r="TSL995" s="2335"/>
      <c r="TSM995" s="2335"/>
      <c r="TSN995" s="2335"/>
      <c r="TSO995" s="2335"/>
      <c r="TSP995" s="2335"/>
      <c r="TSQ995" s="2335"/>
      <c r="TSR995" s="2335"/>
      <c r="TSS995" s="2335"/>
      <c r="TST995" s="2335"/>
      <c r="TSU995" s="2335"/>
      <c r="TSV995" s="2335"/>
      <c r="TSW995" s="2335"/>
      <c r="TSX995" s="2335"/>
      <c r="TSY995" s="2335"/>
      <c r="TSZ995" s="2335"/>
      <c r="TTA995" s="2335"/>
      <c r="TTB995" s="2335"/>
      <c r="TTC995" s="2335"/>
      <c r="TTD995" s="2335"/>
      <c r="TTE995" s="2335"/>
      <c r="TTF995" s="2335"/>
      <c r="TTG995" s="2335"/>
      <c r="TTH995" s="2335"/>
      <c r="TTI995" s="2335"/>
      <c r="TTJ995" s="2335"/>
      <c r="TTK995" s="2335"/>
      <c r="TTL995" s="2335"/>
      <c r="TTM995" s="2335"/>
      <c r="TTN995" s="2335"/>
      <c r="TTO995" s="2335"/>
      <c r="TTP995" s="2335"/>
      <c r="TTQ995" s="2335"/>
      <c r="TTR995" s="2335"/>
      <c r="TTS995" s="2335"/>
      <c r="TTT995" s="2335"/>
      <c r="TTU995" s="2335"/>
      <c r="TTV995" s="2335"/>
      <c r="TTW995" s="2335"/>
      <c r="TTX995" s="2335"/>
      <c r="TTY995" s="2335"/>
      <c r="TTZ995" s="2335"/>
      <c r="TUA995" s="2335"/>
      <c r="TUB995" s="2335"/>
      <c r="TUC995" s="2335"/>
      <c r="TUD995" s="2335"/>
      <c r="TUE995" s="2335"/>
      <c r="TUF995" s="2335"/>
      <c r="TUG995" s="2335"/>
      <c r="TUH995" s="2335"/>
      <c r="TUI995" s="2335"/>
      <c r="TUJ995" s="2335"/>
      <c r="TUK995" s="2335"/>
      <c r="TUL995" s="2335"/>
      <c r="TUM995" s="2335"/>
      <c r="TUN995" s="2335"/>
      <c r="TUO995" s="2335"/>
      <c r="TUP995" s="2335"/>
      <c r="TUQ995" s="2335"/>
      <c r="TUR995" s="2335"/>
      <c r="TUS995" s="2335"/>
      <c r="TUT995" s="2335"/>
      <c r="TUU995" s="2335"/>
      <c r="TUV995" s="2335"/>
      <c r="TUW995" s="2335"/>
      <c r="TUX995" s="2335"/>
      <c r="TUY995" s="2335"/>
      <c r="TUZ995" s="2335"/>
      <c r="TVA995" s="2335"/>
      <c r="TVB995" s="2335"/>
      <c r="TVC995" s="2335"/>
      <c r="TVD995" s="2335"/>
      <c r="TVE995" s="2335"/>
      <c r="TVF995" s="2335"/>
      <c r="TVG995" s="2335"/>
      <c r="TVH995" s="2335"/>
      <c r="TVI995" s="2335"/>
      <c r="TVJ995" s="2335"/>
      <c r="TVK995" s="2335"/>
      <c r="TVL995" s="2335"/>
      <c r="TVM995" s="2335"/>
      <c r="TVN995" s="2335"/>
      <c r="TVO995" s="2335"/>
      <c r="TVP995" s="2335"/>
      <c r="TVQ995" s="2335"/>
      <c r="TVR995" s="2335"/>
      <c r="TVS995" s="2335"/>
      <c r="TVT995" s="2335"/>
      <c r="TVU995" s="2335"/>
      <c r="TVV995" s="2335"/>
      <c r="TVW995" s="2335"/>
      <c r="TVX995" s="2335"/>
      <c r="TVY995" s="2335"/>
      <c r="TVZ995" s="2335"/>
      <c r="TWA995" s="2335"/>
      <c r="TWB995" s="2335"/>
      <c r="TWC995" s="2335"/>
      <c r="TWD995" s="2335"/>
      <c r="TWE995" s="2335"/>
      <c r="TWF995" s="2335"/>
      <c r="TWG995" s="2335"/>
      <c r="TWH995" s="2335"/>
      <c r="TWI995" s="2335"/>
      <c r="TWJ995" s="2335"/>
      <c r="TWK995" s="2335"/>
      <c r="TWL995" s="2335"/>
      <c r="TWM995" s="2335"/>
      <c r="TWN995" s="2335"/>
      <c r="TWO995" s="2335"/>
      <c r="TWP995" s="2335"/>
      <c r="TWQ995" s="2335"/>
      <c r="TWR995" s="2335"/>
      <c r="TWS995" s="2335"/>
      <c r="TWT995" s="2335"/>
      <c r="TWU995" s="2335"/>
      <c r="TWV995" s="2335"/>
      <c r="TWW995" s="2335"/>
      <c r="TWX995" s="2335"/>
      <c r="TWY995" s="2335"/>
      <c r="TWZ995" s="2335"/>
      <c r="TXA995" s="2335"/>
      <c r="TXB995" s="2335"/>
      <c r="TXC995" s="2335"/>
      <c r="TXD995" s="2335"/>
      <c r="TXE995" s="2335"/>
      <c r="TXF995" s="2335"/>
      <c r="TXG995" s="2335"/>
      <c r="TXH995" s="2335"/>
      <c r="TXI995" s="2335"/>
      <c r="TXJ995" s="2335"/>
      <c r="TXK995" s="2335"/>
      <c r="TXL995" s="2335"/>
      <c r="TXM995" s="2335"/>
      <c r="TXN995" s="2335"/>
      <c r="TXO995" s="2335"/>
      <c r="TXP995" s="2335"/>
      <c r="TXQ995" s="2335"/>
      <c r="TXR995" s="2335"/>
      <c r="TXS995" s="2335"/>
      <c r="TXT995" s="2335"/>
      <c r="TXU995" s="2335"/>
      <c r="TXV995" s="2335"/>
      <c r="TXW995" s="2335"/>
      <c r="TXX995" s="2335"/>
      <c r="TXY995" s="2335"/>
      <c r="TXZ995" s="2335"/>
      <c r="TYA995" s="2335"/>
      <c r="TYB995" s="2335"/>
      <c r="TYC995" s="2335"/>
      <c r="TYD995" s="2335"/>
      <c r="TYE995" s="2335"/>
      <c r="TYF995" s="2335"/>
      <c r="TYG995" s="2335"/>
      <c r="TYH995" s="2335"/>
      <c r="TYI995" s="2335"/>
      <c r="TYJ995" s="2335"/>
      <c r="TYK995" s="2335"/>
      <c r="TYL995" s="2335"/>
      <c r="TYM995" s="2335"/>
      <c r="TYN995" s="2335"/>
      <c r="TYO995" s="2335"/>
      <c r="TYP995" s="2335"/>
      <c r="TYQ995" s="2335"/>
      <c r="TYR995" s="2335"/>
      <c r="TYS995" s="2335"/>
      <c r="TYT995" s="2335"/>
      <c r="TYU995" s="2335"/>
      <c r="TYV995" s="2335"/>
      <c r="TYW995" s="2335"/>
      <c r="TYX995" s="2335"/>
      <c r="TYY995" s="2335"/>
      <c r="TYZ995" s="2335"/>
      <c r="TZA995" s="2335"/>
      <c r="TZB995" s="2335"/>
      <c r="TZC995" s="2335"/>
      <c r="TZD995" s="2335"/>
      <c r="TZE995" s="2335"/>
      <c r="TZF995" s="2335"/>
      <c r="TZG995" s="2335"/>
      <c r="TZH995" s="2335"/>
      <c r="TZI995" s="2335"/>
      <c r="TZJ995" s="2335"/>
      <c r="TZK995" s="2335"/>
      <c r="TZL995" s="2335"/>
      <c r="TZM995" s="2335"/>
      <c r="TZN995" s="2335"/>
      <c r="TZO995" s="2335"/>
      <c r="TZP995" s="2335"/>
      <c r="TZQ995" s="2335"/>
      <c r="TZR995" s="2335"/>
      <c r="TZS995" s="2335"/>
      <c r="TZT995" s="2335"/>
      <c r="TZU995" s="2335"/>
      <c r="TZV995" s="2335"/>
      <c r="TZW995" s="2335"/>
      <c r="TZX995" s="2335"/>
      <c r="TZY995" s="2335"/>
      <c r="TZZ995" s="2335"/>
      <c r="UAA995" s="2335"/>
      <c r="UAB995" s="2335"/>
      <c r="UAC995" s="2335"/>
      <c r="UAD995" s="2335"/>
      <c r="UAE995" s="2335"/>
      <c r="UAF995" s="2335"/>
      <c r="UAG995" s="2335"/>
      <c r="UAH995" s="2335"/>
      <c r="UAI995" s="2335"/>
      <c r="UAJ995" s="2335"/>
      <c r="UAK995" s="2335"/>
      <c r="UAL995" s="2335"/>
      <c r="UAM995" s="2335"/>
      <c r="UAN995" s="2335"/>
      <c r="UAO995" s="2335"/>
      <c r="UAP995" s="2335"/>
      <c r="UAQ995" s="2335"/>
      <c r="UAR995" s="2335"/>
      <c r="UAS995" s="2335"/>
      <c r="UAT995" s="2335"/>
      <c r="UAU995" s="2335"/>
      <c r="UAV995" s="2335"/>
      <c r="UAW995" s="2335"/>
      <c r="UAX995" s="2335"/>
      <c r="UAY995" s="2335"/>
      <c r="UAZ995" s="2335"/>
      <c r="UBA995" s="2335"/>
      <c r="UBB995" s="2335"/>
      <c r="UBC995" s="2335"/>
      <c r="UBD995" s="2335"/>
      <c r="UBE995" s="2335"/>
      <c r="UBF995" s="2335"/>
      <c r="UBG995" s="2335"/>
      <c r="UBH995" s="2335"/>
      <c r="UBI995" s="2335"/>
      <c r="UBJ995" s="2335"/>
      <c r="UBK995" s="2335"/>
      <c r="UBL995" s="2335"/>
      <c r="UBM995" s="2335"/>
      <c r="UBN995" s="2335"/>
      <c r="UBO995" s="2335"/>
      <c r="UBP995" s="2335"/>
      <c r="UBQ995" s="2335"/>
      <c r="UBR995" s="2335"/>
      <c r="UBS995" s="2335"/>
      <c r="UBT995" s="2335"/>
      <c r="UBU995" s="2335"/>
      <c r="UBV995" s="2335"/>
      <c r="UBW995" s="2335"/>
      <c r="UBX995" s="2335"/>
      <c r="UBY995" s="2335"/>
      <c r="UBZ995" s="2335"/>
      <c r="UCA995" s="2335"/>
      <c r="UCB995" s="2335"/>
      <c r="UCC995" s="2335"/>
      <c r="UCD995" s="2335"/>
      <c r="UCE995" s="2335"/>
      <c r="UCF995" s="2335"/>
      <c r="UCG995" s="2335"/>
      <c r="UCH995" s="2335"/>
      <c r="UCI995" s="2335"/>
      <c r="UCJ995" s="2335"/>
      <c r="UCK995" s="2335"/>
      <c r="UCL995" s="2335"/>
      <c r="UCM995" s="2335"/>
      <c r="UCN995" s="2335"/>
      <c r="UCO995" s="2335"/>
      <c r="UCP995" s="2335"/>
      <c r="UCQ995" s="2335"/>
      <c r="UCR995" s="2335"/>
      <c r="UCS995" s="2335"/>
      <c r="UCT995" s="2335"/>
      <c r="UCU995" s="2335"/>
      <c r="UCV995" s="2335"/>
      <c r="UCW995" s="2335"/>
      <c r="UCX995" s="2335"/>
      <c r="UCY995" s="2335"/>
      <c r="UCZ995" s="2335"/>
      <c r="UDA995" s="2335"/>
      <c r="UDB995" s="2335"/>
      <c r="UDC995" s="2335"/>
      <c r="UDD995" s="2335"/>
      <c r="UDE995" s="2335"/>
      <c r="UDF995" s="2335"/>
      <c r="UDG995" s="2335"/>
      <c r="UDH995" s="2335"/>
      <c r="UDI995" s="2335"/>
      <c r="UDJ995" s="2335"/>
      <c r="UDK995" s="2335"/>
      <c r="UDL995" s="2335"/>
      <c r="UDM995" s="2335"/>
      <c r="UDN995" s="2335"/>
      <c r="UDO995" s="2335"/>
      <c r="UDP995" s="2335"/>
      <c r="UDQ995" s="2335"/>
      <c r="UDR995" s="2335"/>
      <c r="UDS995" s="2335"/>
      <c r="UDT995" s="2335"/>
      <c r="UDU995" s="2335"/>
      <c r="UDV995" s="2335"/>
      <c r="UDW995" s="2335"/>
      <c r="UDX995" s="2335"/>
      <c r="UDY995" s="2335"/>
      <c r="UDZ995" s="2335"/>
      <c r="UEA995" s="2335"/>
      <c r="UEB995" s="2335"/>
      <c r="UEC995" s="2335"/>
      <c r="UED995" s="2335"/>
      <c r="UEE995" s="2335"/>
      <c r="UEF995" s="2335"/>
      <c r="UEG995" s="2335"/>
      <c r="UEH995" s="2335"/>
      <c r="UEI995" s="2335"/>
      <c r="UEJ995" s="2335"/>
      <c r="UEK995" s="2335"/>
      <c r="UEL995" s="2335"/>
      <c r="UEM995" s="2335"/>
      <c r="UEN995" s="2335"/>
      <c r="UEO995" s="2335"/>
      <c r="UEP995" s="2335"/>
      <c r="UEQ995" s="2335"/>
      <c r="UER995" s="2335"/>
      <c r="UES995" s="2335"/>
      <c r="UET995" s="2335"/>
      <c r="UEU995" s="2335"/>
      <c r="UEV995" s="2335"/>
      <c r="UEW995" s="2335"/>
      <c r="UEX995" s="2335"/>
      <c r="UEY995" s="2335"/>
      <c r="UEZ995" s="2335"/>
      <c r="UFA995" s="2335"/>
      <c r="UFB995" s="2335"/>
      <c r="UFC995" s="2335"/>
      <c r="UFD995" s="2335"/>
      <c r="UFE995" s="2335"/>
      <c r="UFF995" s="2335"/>
      <c r="UFG995" s="2335"/>
      <c r="UFH995" s="2335"/>
      <c r="UFI995" s="2335"/>
      <c r="UFJ995" s="2335"/>
      <c r="UFK995" s="2335"/>
      <c r="UFL995" s="2335"/>
      <c r="UFM995" s="2335"/>
      <c r="UFN995" s="2335"/>
      <c r="UFO995" s="2335"/>
      <c r="UFP995" s="2335"/>
      <c r="UFQ995" s="2335"/>
      <c r="UFR995" s="2335"/>
      <c r="UFS995" s="2335"/>
      <c r="UFT995" s="2335"/>
      <c r="UFU995" s="2335"/>
      <c r="UFV995" s="2335"/>
      <c r="UFW995" s="2335"/>
      <c r="UFX995" s="2335"/>
      <c r="UFY995" s="2335"/>
      <c r="UFZ995" s="2335"/>
      <c r="UGA995" s="2335"/>
      <c r="UGB995" s="2335"/>
      <c r="UGC995" s="2335"/>
      <c r="UGD995" s="2335"/>
      <c r="UGE995" s="2335"/>
      <c r="UGF995" s="2335"/>
      <c r="UGG995" s="2335"/>
      <c r="UGH995" s="2335"/>
      <c r="UGI995" s="2335"/>
      <c r="UGJ995" s="2335"/>
      <c r="UGK995" s="2335"/>
      <c r="UGL995" s="2335"/>
      <c r="UGM995" s="2335"/>
      <c r="UGN995" s="2335"/>
      <c r="UGO995" s="2335"/>
      <c r="UGP995" s="2335"/>
      <c r="UGQ995" s="2335"/>
      <c r="UGR995" s="2335"/>
      <c r="UGS995" s="2335"/>
      <c r="UGT995" s="2335"/>
      <c r="UGU995" s="2335"/>
      <c r="UGV995" s="2335"/>
      <c r="UGW995" s="2335"/>
      <c r="UGX995" s="2335"/>
      <c r="UGY995" s="2335"/>
      <c r="UGZ995" s="2335"/>
      <c r="UHA995" s="2335"/>
      <c r="UHB995" s="2335"/>
      <c r="UHC995" s="2335"/>
      <c r="UHD995" s="2335"/>
      <c r="UHE995" s="2335"/>
      <c r="UHF995" s="2335"/>
      <c r="UHG995" s="2335"/>
      <c r="UHH995" s="2335"/>
      <c r="UHI995" s="2335"/>
      <c r="UHJ995" s="2335"/>
      <c r="UHK995" s="2335"/>
      <c r="UHL995" s="2335"/>
      <c r="UHM995" s="2335"/>
      <c r="UHN995" s="2335"/>
      <c r="UHO995" s="2335"/>
      <c r="UHP995" s="2335"/>
      <c r="UHQ995" s="2335"/>
      <c r="UHR995" s="2335"/>
      <c r="UHS995" s="2335"/>
      <c r="UHT995" s="2335"/>
      <c r="UHU995" s="2335"/>
      <c r="UHV995" s="2335"/>
      <c r="UHW995" s="2335"/>
      <c r="UHX995" s="2335"/>
      <c r="UHY995" s="2335"/>
      <c r="UHZ995" s="2335"/>
      <c r="UIA995" s="2335"/>
      <c r="UIB995" s="2335"/>
      <c r="UIC995" s="2335"/>
      <c r="UID995" s="2335"/>
      <c r="UIE995" s="2335"/>
      <c r="UIF995" s="2335"/>
      <c r="UIG995" s="2335"/>
      <c r="UIH995" s="2335"/>
      <c r="UII995" s="2335"/>
      <c r="UIJ995" s="2335"/>
      <c r="UIK995" s="2335"/>
      <c r="UIL995" s="2335"/>
      <c r="UIM995" s="2335"/>
      <c r="UIN995" s="2335"/>
      <c r="UIO995" s="2335"/>
      <c r="UIP995" s="2335"/>
      <c r="UIQ995" s="2335"/>
      <c r="UIR995" s="2335"/>
      <c r="UIS995" s="2335"/>
      <c r="UIT995" s="2335"/>
      <c r="UIU995" s="2335"/>
      <c r="UIV995" s="2335"/>
      <c r="UIW995" s="2335"/>
      <c r="UIX995" s="2335"/>
      <c r="UIY995" s="2335"/>
      <c r="UIZ995" s="2335"/>
      <c r="UJA995" s="2335"/>
      <c r="UJB995" s="2335"/>
      <c r="UJC995" s="2335"/>
      <c r="UJD995" s="2335"/>
      <c r="UJE995" s="2335"/>
      <c r="UJF995" s="2335"/>
      <c r="UJG995" s="2335"/>
      <c r="UJH995" s="2335"/>
      <c r="UJI995" s="2335"/>
      <c r="UJJ995" s="2335"/>
      <c r="UJK995" s="2335"/>
      <c r="UJL995" s="2335"/>
      <c r="UJM995" s="2335"/>
      <c r="UJN995" s="2335"/>
      <c r="UJO995" s="2335"/>
      <c r="UJP995" s="2335"/>
      <c r="UJQ995" s="2335"/>
      <c r="UJR995" s="2335"/>
      <c r="UJS995" s="2335"/>
      <c r="UJT995" s="2335"/>
      <c r="UJU995" s="2335"/>
      <c r="UJV995" s="2335"/>
      <c r="UJW995" s="2335"/>
      <c r="UJX995" s="2335"/>
      <c r="UJY995" s="2335"/>
      <c r="UJZ995" s="2335"/>
      <c r="UKA995" s="2335"/>
      <c r="UKB995" s="2335"/>
      <c r="UKC995" s="2335"/>
      <c r="UKD995" s="2335"/>
      <c r="UKE995" s="2335"/>
      <c r="UKF995" s="2335"/>
      <c r="UKG995" s="2335"/>
      <c r="UKH995" s="2335"/>
      <c r="UKI995" s="2335"/>
      <c r="UKJ995" s="2335"/>
      <c r="UKK995" s="2335"/>
      <c r="UKL995" s="2335"/>
      <c r="UKM995" s="2335"/>
      <c r="UKN995" s="2335"/>
      <c r="UKO995" s="2335"/>
      <c r="UKP995" s="2335"/>
      <c r="UKQ995" s="2335"/>
      <c r="UKR995" s="2335"/>
      <c r="UKS995" s="2335"/>
      <c r="UKT995" s="2335"/>
      <c r="UKU995" s="2335"/>
      <c r="UKV995" s="2335"/>
      <c r="UKW995" s="2335"/>
      <c r="UKX995" s="2335"/>
      <c r="UKY995" s="2335"/>
      <c r="UKZ995" s="2335"/>
      <c r="ULA995" s="2335"/>
      <c r="ULB995" s="2335"/>
      <c r="ULC995" s="2335"/>
      <c r="ULD995" s="2335"/>
      <c r="ULE995" s="2335"/>
      <c r="ULF995" s="2335"/>
      <c r="ULG995" s="2335"/>
      <c r="ULH995" s="2335"/>
      <c r="ULI995" s="2335"/>
      <c r="ULJ995" s="2335"/>
      <c r="ULK995" s="2335"/>
      <c r="ULL995" s="2335"/>
      <c r="ULM995" s="2335"/>
      <c r="ULN995" s="2335"/>
      <c r="ULO995" s="2335"/>
      <c r="ULP995" s="2335"/>
      <c r="ULQ995" s="2335"/>
      <c r="ULR995" s="2335"/>
      <c r="ULS995" s="2335"/>
      <c r="ULT995" s="2335"/>
      <c r="ULU995" s="2335"/>
      <c r="ULV995" s="2335"/>
      <c r="ULW995" s="2335"/>
      <c r="ULX995" s="2335"/>
      <c r="ULY995" s="2335"/>
      <c r="ULZ995" s="2335"/>
      <c r="UMA995" s="2335"/>
      <c r="UMB995" s="2335"/>
      <c r="UMC995" s="2335"/>
      <c r="UMD995" s="2335"/>
      <c r="UME995" s="2335"/>
      <c r="UMF995" s="2335"/>
      <c r="UMG995" s="2335"/>
      <c r="UMH995" s="2335"/>
      <c r="UMI995" s="2335"/>
      <c r="UMJ995" s="2335"/>
      <c r="UMK995" s="2335"/>
      <c r="UML995" s="2335"/>
      <c r="UMM995" s="2335"/>
      <c r="UMN995" s="2335"/>
      <c r="UMO995" s="2335"/>
      <c r="UMP995" s="2335"/>
      <c r="UMQ995" s="2335"/>
      <c r="UMR995" s="2335"/>
      <c r="UMS995" s="2335"/>
      <c r="UMT995" s="2335"/>
      <c r="UMU995" s="2335"/>
      <c r="UMV995" s="2335"/>
      <c r="UMW995" s="2335"/>
      <c r="UMX995" s="2335"/>
      <c r="UMY995" s="2335"/>
      <c r="UMZ995" s="2335"/>
      <c r="UNA995" s="2335"/>
      <c r="UNB995" s="2335"/>
      <c r="UNC995" s="2335"/>
      <c r="UND995" s="2335"/>
      <c r="UNE995" s="2335"/>
      <c r="UNF995" s="2335"/>
      <c r="UNG995" s="2335"/>
      <c r="UNH995" s="2335"/>
      <c r="UNI995" s="2335"/>
      <c r="UNJ995" s="2335"/>
      <c r="UNK995" s="2335"/>
      <c r="UNL995" s="2335"/>
      <c r="UNM995" s="2335"/>
      <c r="UNN995" s="2335"/>
      <c r="UNO995" s="2335"/>
      <c r="UNP995" s="2335"/>
      <c r="UNQ995" s="2335"/>
      <c r="UNR995" s="2335"/>
      <c r="UNS995" s="2335"/>
      <c r="UNT995" s="2335"/>
      <c r="UNU995" s="2335"/>
      <c r="UNV995" s="2335"/>
      <c r="UNW995" s="2335"/>
      <c r="UNX995" s="2335"/>
      <c r="UNY995" s="2335"/>
      <c r="UNZ995" s="2335"/>
      <c r="UOA995" s="2335"/>
      <c r="UOB995" s="2335"/>
      <c r="UOC995" s="2335"/>
      <c r="UOD995" s="2335"/>
      <c r="UOE995" s="2335"/>
      <c r="UOF995" s="2335"/>
      <c r="UOG995" s="2335"/>
      <c r="UOH995" s="2335"/>
      <c r="UOI995" s="2335"/>
      <c r="UOJ995" s="2335"/>
      <c r="UOK995" s="2335"/>
      <c r="UOL995" s="2335"/>
      <c r="UOM995" s="2335"/>
      <c r="UON995" s="2335"/>
      <c r="UOO995" s="2335"/>
      <c r="UOP995" s="2335"/>
      <c r="UOQ995" s="2335"/>
      <c r="UOR995" s="2335"/>
      <c r="UOS995" s="2335"/>
      <c r="UOT995" s="2335"/>
      <c r="UOU995" s="2335"/>
      <c r="UOV995" s="2335"/>
      <c r="UOW995" s="2335"/>
      <c r="UOX995" s="2335"/>
      <c r="UOY995" s="2335"/>
      <c r="UOZ995" s="2335"/>
      <c r="UPA995" s="2335"/>
      <c r="UPB995" s="2335"/>
      <c r="UPC995" s="2335"/>
      <c r="UPD995" s="2335"/>
      <c r="UPE995" s="2335"/>
      <c r="UPF995" s="2335"/>
      <c r="UPG995" s="2335"/>
      <c r="UPH995" s="2335"/>
      <c r="UPI995" s="2335"/>
      <c r="UPJ995" s="2335"/>
      <c r="UPK995" s="2335"/>
      <c r="UPL995" s="2335"/>
      <c r="UPM995" s="2335"/>
      <c r="UPN995" s="2335"/>
      <c r="UPO995" s="2335"/>
      <c r="UPP995" s="2335"/>
      <c r="UPQ995" s="2335"/>
      <c r="UPR995" s="2335"/>
      <c r="UPS995" s="2335"/>
      <c r="UPT995" s="2335"/>
      <c r="UPU995" s="2335"/>
      <c r="UPV995" s="2335"/>
      <c r="UPW995" s="2335"/>
      <c r="UPX995" s="2335"/>
      <c r="UPY995" s="2335"/>
      <c r="UPZ995" s="2335"/>
      <c r="UQA995" s="2335"/>
      <c r="UQB995" s="2335"/>
      <c r="UQC995" s="2335"/>
      <c r="UQD995" s="2335"/>
      <c r="UQE995" s="2335"/>
      <c r="UQF995" s="2335"/>
      <c r="UQG995" s="2335"/>
      <c r="UQH995" s="2335"/>
      <c r="UQI995" s="2335"/>
      <c r="UQJ995" s="2335"/>
      <c r="UQK995" s="2335"/>
      <c r="UQL995" s="2335"/>
      <c r="UQM995" s="2335"/>
      <c r="UQN995" s="2335"/>
      <c r="UQO995" s="2335"/>
      <c r="UQP995" s="2335"/>
      <c r="UQQ995" s="2335"/>
      <c r="UQR995" s="2335"/>
      <c r="UQS995" s="2335"/>
      <c r="UQT995" s="2335"/>
      <c r="UQU995" s="2335"/>
      <c r="UQV995" s="2335"/>
      <c r="UQW995" s="2335"/>
      <c r="UQX995" s="2335"/>
      <c r="UQY995" s="2335"/>
      <c r="UQZ995" s="2335"/>
      <c r="URA995" s="2335"/>
      <c r="URB995" s="2335"/>
      <c r="URC995" s="2335"/>
      <c r="URD995" s="2335"/>
      <c r="URE995" s="2335"/>
      <c r="URF995" s="2335"/>
      <c r="URG995" s="2335"/>
      <c r="URH995" s="2335"/>
      <c r="URI995" s="2335"/>
      <c r="URJ995" s="2335"/>
      <c r="URK995" s="2335"/>
      <c r="URL995" s="2335"/>
      <c r="URM995" s="2335"/>
      <c r="URN995" s="2335"/>
      <c r="URO995" s="2335"/>
      <c r="URP995" s="2335"/>
      <c r="URQ995" s="2335"/>
      <c r="URR995" s="2335"/>
      <c r="URS995" s="2335"/>
      <c r="URT995" s="2335"/>
      <c r="URU995" s="2335"/>
      <c r="URV995" s="2335"/>
      <c r="URW995" s="2335"/>
      <c r="URX995" s="2335"/>
      <c r="URY995" s="2335"/>
      <c r="URZ995" s="2335"/>
      <c r="USA995" s="2335"/>
      <c r="USB995" s="2335"/>
      <c r="USC995" s="2335"/>
      <c r="USD995" s="2335"/>
      <c r="USE995" s="2335"/>
      <c r="USF995" s="2335"/>
      <c r="USG995" s="2335"/>
      <c r="USH995" s="2335"/>
      <c r="USI995" s="2335"/>
      <c r="USJ995" s="2335"/>
      <c r="USK995" s="2335"/>
      <c r="USL995" s="2335"/>
      <c r="USM995" s="2335"/>
      <c r="USN995" s="2335"/>
      <c r="USO995" s="2335"/>
      <c r="USP995" s="2335"/>
      <c r="USQ995" s="2335"/>
      <c r="USR995" s="2335"/>
      <c r="USS995" s="2335"/>
      <c r="UST995" s="2335"/>
      <c r="USU995" s="2335"/>
      <c r="USV995" s="2335"/>
      <c r="USW995" s="2335"/>
      <c r="USX995" s="2335"/>
      <c r="USY995" s="2335"/>
      <c r="USZ995" s="2335"/>
      <c r="UTA995" s="2335"/>
      <c r="UTB995" s="2335"/>
      <c r="UTC995" s="2335"/>
      <c r="UTD995" s="2335"/>
      <c r="UTE995" s="2335"/>
      <c r="UTF995" s="2335"/>
      <c r="UTG995" s="2335"/>
      <c r="UTH995" s="2335"/>
      <c r="UTI995" s="2335"/>
      <c r="UTJ995" s="2335"/>
      <c r="UTK995" s="2335"/>
      <c r="UTL995" s="2335"/>
      <c r="UTM995" s="2335"/>
      <c r="UTN995" s="2335"/>
      <c r="UTO995" s="2335"/>
      <c r="UTP995" s="2335"/>
      <c r="UTQ995" s="2335"/>
      <c r="UTR995" s="2335"/>
      <c r="UTS995" s="2335"/>
      <c r="UTT995" s="2335"/>
      <c r="UTU995" s="2335"/>
      <c r="UTV995" s="2335"/>
      <c r="UTW995" s="2335"/>
      <c r="UTX995" s="2335"/>
      <c r="UTY995" s="2335"/>
      <c r="UTZ995" s="2335"/>
      <c r="UUA995" s="2335"/>
      <c r="UUB995" s="2335"/>
      <c r="UUC995" s="2335"/>
      <c r="UUD995" s="2335"/>
      <c r="UUE995" s="2335"/>
      <c r="UUF995" s="2335"/>
      <c r="UUG995" s="2335"/>
      <c r="UUH995" s="2335"/>
      <c r="UUI995" s="2335"/>
      <c r="UUJ995" s="2335"/>
      <c r="UUK995" s="2335"/>
      <c r="UUL995" s="2335"/>
      <c r="UUM995" s="2335"/>
      <c r="UUN995" s="2335"/>
      <c r="UUO995" s="2335"/>
      <c r="UUP995" s="2335"/>
      <c r="UUQ995" s="2335"/>
      <c r="UUR995" s="2335"/>
      <c r="UUS995" s="2335"/>
      <c r="UUT995" s="2335"/>
      <c r="UUU995" s="2335"/>
      <c r="UUV995" s="2335"/>
      <c r="UUW995" s="2335"/>
      <c r="UUX995" s="2335"/>
      <c r="UUY995" s="2335"/>
      <c r="UUZ995" s="2335"/>
      <c r="UVA995" s="2335"/>
      <c r="UVB995" s="2335"/>
      <c r="UVC995" s="2335"/>
      <c r="UVD995" s="2335"/>
      <c r="UVE995" s="2335"/>
      <c r="UVF995" s="2335"/>
      <c r="UVG995" s="2335"/>
      <c r="UVH995" s="2335"/>
      <c r="UVI995" s="2335"/>
      <c r="UVJ995" s="2335"/>
      <c r="UVK995" s="2335"/>
      <c r="UVL995" s="2335"/>
      <c r="UVM995" s="2335"/>
      <c r="UVN995" s="2335"/>
      <c r="UVO995" s="2335"/>
      <c r="UVP995" s="2335"/>
      <c r="UVQ995" s="2335"/>
      <c r="UVR995" s="2335"/>
      <c r="UVS995" s="2335"/>
      <c r="UVT995" s="2335"/>
      <c r="UVU995" s="2335"/>
      <c r="UVV995" s="2335"/>
      <c r="UVW995" s="2335"/>
      <c r="UVX995" s="2335"/>
      <c r="UVY995" s="2335"/>
      <c r="UVZ995" s="2335"/>
      <c r="UWA995" s="2335"/>
      <c r="UWB995" s="2335"/>
      <c r="UWC995" s="2335"/>
      <c r="UWD995" s="2335"/>
      <c r="UWE995" s="2335"/>
      <c r="UWF995" s="2335"/>
      <c r="UWG995" s="2335"/>
      <c r="UWH995" s="2335"/>
      <c r="UWI995" s="2335"/>
      <c r="UWJ995" s="2335"/>
      <c r="UWK995" s="2335"/>
      <c r="UWL995" s="2335"/>
      <c r="UWM995" s="2335"/>
      <c r="UWN995" s="2335"/>
      <c r="UWO995" s="2335"/>
      <c r="UWP995" s="2335"/>
      <c r="UWQ995" s="2335"/>
      <c r="UWR995" s="2335"/>
      <c r="UWS995" s="2335"/>
      <c r="UWT995" s="2335"/>
      <c r="UWU995" s="2335"/>
      <c r="UWV995" s="2335"/>
      <c r="UWW995" s="2335"/>
      <c r="UWX995" s="2335"/>
      <c r="UWY995" s="2335"/>
      <c r="UWZ995" s="2335"/>
      <c r="UXA995" s="2335"/>
      <c r="UXB995" s="2335"/>
      <c r="UXC995" s="2335"/>
      <c r="UXD995" s="2335"/>
      <c r="UXE995" s="2335"/>
      <c r="UXF995" s="2335"/>
      <c r="UXG995" s="2335"/>
      <c r="UXH995" s="2335"/>
      <c r="UXI995" s="2335"/>
      <c r="UXJ995" s="2335"/>
      <c r="UXK995" s="2335"/>
      <c r="UXL995" s="2335"/>
      <c r="UXM995" s="2335"/>
      <c r="UXN995" s="2335"/>
      <c r="UXO995" s="2335"/>
      <c r="UXP995" s="2335"/>
      <c r="UXQ995" s="2335"/>
      <c r="UXR995" s="2335"/>
      <c r="UXS995" s="2335"/>
      <c r="UXT995" s="2335"/>
      <c r="UXU995" s="2335"/>
      <c r="UXV995" s="2335"/>
      <c r="UXW995" s="2335"/>
      <c r="UXX995" s="2335"/>
      <c r="UXY995" s="2335"/>
      <c r="UXZ995" s="2335"/>
      <c r="UYA995" s="2335"/>
      <c r="UYB995" s="2335"/>
      <c r="UYC995" s="2335"/>
      <c r="UYD995" s="2335"/>
      <c r="UYE995" s="2335"/>
      <c r="UYF995" s="2335"/>
      <c r="UYG995" s="2335"/>
      <c r="UYH995" s="2335"/>
      <c r="UYI995" s="2335"/>
      <c r="UYJ995" s="2335"/>
      <c r="UYK995" s="2335"/>
      <c r="UYL995" s="2335"/>
      <c r="UYM995" s="2335"/>
      <c r="UYN995" s="2335"/>
      <c r="UYO995" s="2335"/>
      <c r="UYP995" s="2335"/>
      <c r="UYQ995" s="2335"/>
      <c r="UYR995" s="2335"/>
      <c r="UYS995" s="2335"/>
      <c r="UYT995" s="2335"/>
      <c r="UYU995" s="2335"/>
      <c r="UYV995" s="2335"/>
      <c r="UYW995" s="2335"/>
      <c r="UYX995" s="2335"/>
      <c r="UYY995" s="2335"/>
      <c r="UYZ995" s="2335"/>
      <c r="UZA995" s="2335"/>
      <c r="UZB995" s="2335"/>
      <c r="UZC995" s="2335"/>
      <c r="UZD995" s="2335"/>
      <c r="UZE995" s="2335"/>
      <c r="UZF995" s="2335"/>
      <c r="UZG995" s="2335"/>
      <c r="UZH995" s="2335"/>
      <c r="UZI995" s="2335"/>
      <c r="UZJ995" s="2335"/>
      <c r="UZK995" s="2335"/>
      <c r="UZL995" s="2335"/>
      <c r="UZM995" s="2335"/>
      <c r="UZN995" s="2335"/>
      <c r="UZO995" s="2335"/>
      <c r="UZP995" s="2335"/>
      <c r="UZQ995" s="2335"/>
      <c r="UZR995" s="2335"/>
      <c r="UZS995" s="2335"/>
      <c r="UZT995" s="2335"/>
      <c r="UZU995" s="2335"/>
      <c r="UZV995" s="2335"/>
      <c r="UZW995" s="2335"/>
      <c r="UZX995" s="2335"/>
      <c r="UZY995" s="2335"/>
      <c r="UZZ995" s="2335"/>
      <c r="VAA995" s="2335"/>
      <c r="VAB995" s="2335"/>
      <c r="VAC995" s="2335"/>
      <c r="VAD995" s="2335"/>
      <c r="VAE995" s="2335"/>
      <c r="VAF995" s="2335"/>
      <c r="VAG995" s="2335"/>
      <c r="VAH995" s="2335"/>
      <c r="VAI995" s="2335"/>
      <c r="VAJ995" s="2335"/>
      <c r="VAK995" s="2335"/>
      <c r="VAL995" s="2335"/>
      <c r="VAM995" s="2335"/>
      <c r="VAN995" s="2335"/>
      <c r="VAO995" s="2335"/>
      <c r="VAP995" s="2335"/>
      <c r="VAQ995" s="2335"/>
      <c r="VAR995" s="2335"/>
      <c r="VAS995" s="2335"/>
      <c r="VAT995" s="2335"/>
      <c r="VAU995" s="2335"/>
      <c r="VAV995" s="2335"/>
      <c r="VAW995" s="2335"/>
      <c r="VAX995" s="2335"/>
      <c r="VAY995" s="2335"/>
      <c r="VAZ995" s="2335"/>
      <c r="VBA995" s="2335"/>
      <c r="VBB995" s="2335"/>
      <c r="VBC995" s="2335"/>
      <c r="VBD995" s="2335"/>
      <c r="VBE995" s="2335"/>
      <c r="VBF995" s="2335"/>
      <c r="VBG995" s="2335"/>
      <c r="VBH995" s="2335"/>
      <c r="VBI995" s="2335"/>
      <c r="VBJ995" s="2335"/>
      <c r="VBK995" s="2335"/>
      <c r="VBL995" s="2335"/>
      <c r="VBM995" s="2335"/>
      <c r="VBN995" s="2335"/>
      <c r="VBO995" s="2335"/>
      <c r="VBP995" s="2335"/>
      <c r="VBQ995" s="2335"/>
      <c r="VBR995" s="2335"/>
      <c r="VBS995" s="2335"/>
      <c r="VBT995" s="2335"/>
      <c r="VBU995" s="2335"/>
      <c r="VBV995" s="2335"/>
      <c r="VBW995" s="2335"/>
      <c r="VBX995" s="2335"/>
      <c r="VBY995" s="2335"/>
      <c r="VBZ995" s="2335"/>
      <c r="VCA995" s="2335"/>
      <c r="VCB995" s="2335"/>
      <c r="VCC995" s="2335"/>
      <c r="VCD995" s="2335"/>
      <c r="VCE995" s="2335"/>
      <c r="VCF995" s="2335"/>
      <c r="VCG995" s="2335"/>
      <c r="VCH995" s="2335"/>
      <c r="VCI995" s="2335"/>
      <c r="VCJ995" s="2335"/>
      <c r="VCK995" s="2335"/>
      <c r="VCL995" s="2335"/>
      <c r="VCM995" s="2335"/>
      <c r="VCN995" s="2335"/>
      <c r="VCO995" s="2335"/>
      <c r="VCP995" s="2335"/>
      <c r="VCQ995" s="2335"/>
      <c r="VCR995" s="2335"/>
      <c r="VCS995" s="2335"/>
      <c r="VCT995" s="2335"/>
      <c r="VCU995" s="2335"/>
      <c r="VCV995" s="2335"/>
      <c r="VCW995" s="2335"/>
      <c r="VCX995" s="2335"/>
      <c r="VCY995" s="2335"/>
      <c r="VCZ995" s="2335"/>
      <c r="VDA995" s="2335"/>
      <c r="VDB995" s="2335"/>
      <c r="VDC995" s="2335"/>
      <c r="VDD995" s="2335"/>
      <c r="VDE995" s="2335"/>
      <c r="VDF995" s="2335"/>
      <c r="VDG995" s="2335"/>
      <c r="VDH995" s="2335"/>
      <c r="VDI995" s="2335"/>
      <c r="VDJ995" s="2335"/>
      <c r="VDK995" s="2335"/>
      <c r="VDL995" s="2335"/>
      <c r="VDM995" s="2335"/>
      <c r="VDN995" s="2335"/>
      <c r="VDO995" s="2335"/>
      <c r="VDP995" s="2335"/>
      <c r="VDQ995" s="2335"/>
      <c r="VDR995" s="2335"/>
      <c r="VDS995" s="2335"/>
      <c r="VDT995" s="2335"/>
      <c r="VDU995" s="2335"/>
      <c r="VDV995" s="2335"/>
      <c r="VDW995" s="2335"/>
      <c r="VDX995" s="2335"/>
      <c r="VDY995" s="2335"/>
      <c r="VDZ995" s="2335"/>
      <c r="VEA995" s="2335"/>
      <c r="VEB995" s="2335"/>
      <c r="VEC995" s="2335"/>
      <c r="VED995" s="2335"/>
      <c r="VEE995" s="2335"/>
      <c r="VEF995" s="2335"/>
      <c r="VEG995" s="2335"/>
      <c r="VEH995" s="2335"/>
      <c r="VEI995" s="2335"/>
      <c r="VEJ995" s="2335"/>
      <c r="VEK995" s="2335"/>
      <c r="VEL995" s="2335"/>
      <c r="VEM995" s="2335"/>
      <c r="VEN995" s="2335"/>
      <c r="VEO995" s="2335"/>
      <c r="VEP995" s="2335"/>
      <c r="VEQ995" s="2335"/>
      <c r="VER995" s="2335"/>
      <c r="VES995" s="2335"/>
      <c r="VET995" s="2335"/>
      <c r="VEU995" s="2335"/>
      <c r="VEV995" s="2335"/>
      <c r="VEW995" s="2335"/>
      <c r="VEX995" s="2335"/>
      <c r="VEY995" s="2335"/>
      <c r="VEZ995" s="2335"/>
      <c r="VFA995" s="2335"/>
      <c r="VFB995" s="2335"/>
      <c r="VFC995" s="2335"/>
      <c r="VFD995" s="2335"/>
      <c r="VFE995" s="2335"/>
      <c r="VFF995" s="2335"/>
      <c r="VFG995" s="2335"/>
      <c r="VFH995" s="2335"/>
      <c r="VFI995" s="2335"/>
      <c r="VFJ995" s="2335"/>
      <c r="VFK995" s="2335"/>
      <c r="VFL995" s="2335"/>
      <c r="VFM995" s="2335"/>
      <c r="VFN995" s="2335"/>
      <c r="VFO995" s="2335"/>
      <c r="VFP995" s="2335"/>
      <c r="VFQ995" s="2335"/>
      <c r="VFR995" s="2335"/>
      <c r="VFS995" s="2335"/>
      <c r="VFT995" s="2335"/>
      <c r="VFU995" s="2335"/>
      <c r="VFV995" s="2335"/>
      <c r="VFW995" s="2335"/>
      <c r="VFX995" s="2335"/>
      <c r="VFY995" s="2335"/>
      <c r="VFZ995" s="2335"/>
      <c r="VGA995" s="2335"/>
      <c r="VGB995" s="2335"/>
      <c r="VGC995" s="2335"/>
      <c r="VGD995" s="2335"/>
      <c r="VGE995" s="2335"/>
      <c r="VGF995" s="2335"/>
      <c r="VGG995" s="2335"/>
      <c r="VGH995" s="2335"/>
      <c r="VGI995" s="2335"/>
      <c r="VGJ995" s="2335"/>
      <c r="VGK995" s="2335"/>
      <c r="VGL995" s="2335"/>
      <c r="VGM995" s="2335"/>
      <c r="VGN995" s="2335"/>
      <c r="VGO995" s="2335"/>
      <c r="VGP995" s="2335"/>
      <c r="VGQ995" s="2335"/>
      <c r="VGR995" s="2335"/>
      <c r="VGS995" s="2335"/>
      <c r="VGT995" s="2335"/>
      <c r="VGU995" s="2335"/>
      <c r="VGV995" s="2335"/>
      <c r="VGW995" s="2335"/>
      <c r="VGX995" s="2335"/>
      <c r="VGY995" s="2335"/>
      <c r="VGZ995" s="2335"/>
      <c r="VHA995" s="2335"/>
      <c r="VHB995" s="2335"/>
      <c r="VHC995" s="2335"/>
      <c r="VHD995" s="2335"/>
      <c r="VHE995" s="2335"/>
      <c r="VHF995" s="2335"/>
      <c r="VHG995" s="2335"/>
      <c r="VHH995" s="2335"/>
      <c r="VHI995" s="2335"/>
      <c r="VHJ995" s="2335"/>
      <c r="VHK995" s="2335"/>
      <c r="VHL995" s="2335"/>
      <c r="VHM995" s="2335"/>
      <c r="VHN995" s="2335"/>
      <c r="VHO995" s="2335"/>
      <c r="VHP995" s="2335"/>
      <c r="VHQ995" s="2335"/>
      <c r="VHR995" s="2335"/>
      <c r="VHS995" s="2335"/>
      <c r="VHT995" s="2335"/>
      <c r="VHU995" s="2335"/>
      <c r="VHV995" s="2335"/>
      <c r="VHW995" s="2335"/>
      <c r="VHX995" s="2335"/>
      <c r="VHY995" s="2335"/>
      <c r="VHZ995" s="2335"/>
      <c r="VIA995" s="2335"/>
      <c r="VIB995" s="2335"/>
      <c r="VIC995" s="2335"/>
      <c r="VID995" s="2335"/>
      <c r="VIE995" s="2335"/>
      <c r="VIF995" s="2335"/>
      <c r="VIG995" s="2335"/>
      <c r="VIH995" s="2335"/>
      <c r="VII995" s="2335"/>
      <c r="VIJ995" s="2335"/>
      <c r="VIK995" s="2335"/>
      <c r="VIL995" s="2335"/>
      <c r="VIM995" s="2335"/>
      <c r="VIN995" s="2335"/>
      <c r="VIO995" s="2335"/>
      <c r="VIP995" s="2335"/>
      <c r="VIQ995" s="2335"/>
      <c r="VIR995" s="2335"/>
      <c r="VIS995" s="2335"/>
      <c r="VIT995" s="2335"/>
      <c r="VIU995" s="2335"/>
      <c r="VIV995" s="2335"/>
      <c r="VIW995" s="2335"/>
      <c r="VIX995" s="2335"/>
      <c r="VIY995" s="2335"/>
      <c r="VIZ995" s="2335"/>
      <c r="VJA995" s="2335"/>
      <c r="VJB995" s="2335"/>
      <c r="VJC995" s="2335"/>
      <c r="VJD995" s="2335"/>
      <c r="VJE995" s="2335"/>
      <c r="VJF995" s="2335"/>
      <c r="VJG995" s="2335"/>
      <c r="VJH995" s="2335"/>
      <c r="VJI995" s="2335"/>
      <c r="VJJ995" s="2335"/>
      <c r="VJK995" s="2335"/>
      <c r="VJL995" s="2335"/>
      <c r="VJM995" s="2335"/>
      <c r="VJN995" s="2335"/>
      <c r="VJO995" s="2335"/>
      <c r="VJP995" s="2335"/>
      <c r="VJQ995" s="2335"/>
      <c r="VJR995" s="2335"/>
      <c r="VJS995" s="2335"/>
      <c r="VJT995" s="2335"/>
      <c r="VJU995" s="2335"/>
      <c r="VJV995" s="2335"/>
      <c r="VJW995" s="2335"/>
      <c r="VJX995" s="2335"/>
      <c r="VJY995" s="2335"/>
      <c r="VJZ995" s="2335"/>
      <c r="VKA995" s="2335"/>
      <c r="VKB995" s="2335"/>
      <c r="VKC995" s="2335"/>
      <c r="VKD995" s="2335"/>
      <c r="VKE995" s="2335"/>
      <c r="VKF995" s="2335"/>
      <c r="VKG995" s="2335"/>
      <c r="VKH995" s="2335"/>
      <c r="VKI995" s="2335"/>
      <c r="VKJ995" s="2335"/>
      <c r="VKK995" s="2335"/>
      <c r="VKL995" s="2335"/>
      <c r="VKM995" s="2335"/>
      <c r="VKN995" s="2335"/>
      <c r="VKO995" s="2335"/>
      <c r="VKP995" s="2335"/>
      <c r="VKQ995" s="2335"/>
      <c r="VKR995" s="2335"/>
      <c r="VKS995" s="2335"/>
      <c r="VKT995" s="2335"/>
      <c r="VKU995" s="2335"/>
      <c r="VKV995" s="2335"/>
      <c r="VKW995" s="2335"/>
      <c r="VKX995" s="2335"/>
      <c r="VKY995" s="2335"/>
      <c r="VKZ995" s="2335"/>
      <c r="VLA995" s="2335"/>
      <c r="VLB995" s="2335"/>
      <c r="VLC995" s="2335"/>
      <c r="VLD995" s="2335"/>
      <c r="VLE995" s="2335"/>
      <c r="VLF995" s="2335"/>
      <c r="VLG995" s="2335"/>
      <c r="VLH995" s="2335"/>
      <c r="VLI995" s="2335"/>
      <c r="VLJ995" s="2335"/>
      <c r="VLK995" s="2335"/>
      <c r="VLL995" s="2335"/>
      <c r="VLM995" s="2335"/>
      <c r="VLN995" s="2335"/>
      <c r="VLO995" s="2335"/>
      <c r="VLP995" s="2335"/>
      <c r="VLQ995" s="2335"/>
      <c r="VLR995" s="2335"/>
      <c r="VLS995" s="2335"/>
      <c r="VLT995" s="2335"/>
      <c r="VLU995" s="2335"/>
      <c r="VLV995" s="2335"/>
      <c r="VLW995" s="2335"/>
      <c r="VLX995" s="2335"/>
      <c r="VLY995" s="2335"/>
      <c r="VLZ995" s="2335"/>
      <c r="VMA995" s="2335"/>
      <c r="VMB995" s="2335"/>
      <c r="VMC995" s="2335"/>
      <c r="VMD995" s="2335"/>
      <c r="VME995" s="2335"/>
      <c r="VMF995" s="2335"/>
      <c r="VMG995" s="2335"/>
      <c r="VMH995" s="2335"/>
      <c r="VMI995" s="2335"/>
      <c r="VMJ995" s="2335"/>
      <c r="VMK995" s="2335"/>
      <c r="VML995" s="2335"/>
      <c r="VMM995" s="2335"/>
      <c r="VMN995" s="2335"/>
      <c r="VMO995" s="2335"/>
      <c r="VMP995" s="2335"/>
      <c r="VMQ995" s="2335"/>
      <c r="VMR995" s="2335"/>
      <c r="VMS995" s="2335"/>
      <c r="VMT995" s="2335"/>
      <c r="VMU995" s="2335"/>
      <c r="VMV995" s="2335"/>
      <c r="VMW995" s="2335"/>
      <c r="VMX995" s="2335"/>
      <c r="VMY995" s="2335"/>
      <c r="VMZ995" s="2335"/>
      <c r="VNA995" s="2335"/>
      <c r="VNB995" s="2335"/>
      <c r="VNC995" s="2335"/>
      <c r="VND995" s="2335"/>
      <c r="VNE995" s="2335"/>
      <c r="VNF995" s="2335"/>
      <c r="VNG995" s="2335"/>
      <c r="VNH995" s="2335"/>
      <c r="VNI995" s="2335"/>
      <c r="VNJ995" s="2335"/>
      <c r="VNK995" s="2335"/>
      <c r="VNL995" s="2335"/>
      <c r="VNM995" s="2335"/>
      <c r="VNN995" s="2335"/>
      <c r="VNO995" s="2335"/>
      <c r="VNP995" s="2335"/>
      <c r="VNQ995" s="2335"/>
      <c r="VNR995" s="2335"/>
      <c r="VNS995" s="2335"/>
      <c r="VNT995" s="2335"/>
      <c r="VNU995" s="2335"/>
      <c r="VNV995" s="2335"/>
      <c r="VNW995" s="2335"/>
      <c r="VNX995" s="2335"/>
      <c r="VNY995" s="2335"/>
      <c r="VNZ995" s="2335"/>
      <c r="VOA995" s="2335"/>
      <c r="VOB995" s="2335"/>
      <c r="VOC995" s="2335"/>
      <c r="VOD995" s="2335"/>
      <c r="VOE995" s="2335"/>
      <c r="VOF995" s="2335"/>
      <c r="VOG995" s="2335"/>
      <c r="VOH995" s="2335"/>
      <c r="VOI995" s="2335"/>
      <c r="VOJ995" s="2335"/>
      <c r="VOK995" s="2335"/>
      <c r="VOL995" s="2335"/>
      <c r="VOM995" s="2335"/>
      <c r="VON995" s="2335"/>
      <c r="VOO995" s="2335"/>
      <c r="VOP995" s="2335"/>
      <c r="VOQ995" s="2335"/>
      <c r="VOR995" s="2335"/>
      <c r="VOS995" s="2335"/>
      <c r="VOT995" s="2335"/>
      <c r="VOU995" s="2335"/>
      <c r="VOV995" s="2335"/>
      <c r="VOW995" s="2335"/>
      <c r="VOX995" s="2335"/>
      <c r="VOY995" s="2335"/>
      <c r="VOZ995" s="2335"/>
      <c r="VPA995" s="2335"/>
      <c r="VPB995" s="2335"/>
      <c r="VPC995" s="2335"/>
      <c r="VPD995" s="2335"/>
      <c r="VPE995" s="2335"/>
      <c r="VPF995" s="2335"/>
      <c r="VPG995" s="2335"/>
      <c r="VPH995" s="2335"/>
      <c r="VPI995" s="2335"/>
      <c r="VPJ995" s="2335"/>
      <c r="VPK995" s="2335"/>
      <c r="VPL995" s="2335"/>
      <c r="VPM995" s="2335"/>
      <c r="VPN995" s="2335"/>
      <c r="VPO995" s="2335"/>
      <c r="VPP995" s="2335"/>
      <c r="VPQ995" s="2335"/>
      <c r="VPR995" s="2335"/>
      <c r="VPS995" s="2335"/>
      <c r="VPT995" s="2335"/>
      <c r="VPU995" s="2335"/>
      <c r="VPV995" s="2335"/>
      <c r="VPW995" s="2335"/>
      <c r="VPX995" s="2335"/>
      <c r="VPY995" s="2335"/>
      <c r="VPZ995" s="2335"/>
      <c r="VQA995" s="2335"/>
      <c r="VQB995" s="2335"/>
      <c r="VQC995" s="2335"/>
      <c r="VQD995" s="2335"/>
      <c r="VQE995" s="2335"/>
      <c r="VQF995" s="2335"/>
      <c r="VQG995" s="2335"/>
      <c r="VQH995" s="2335"/>
      <c r="VQI995" s="2335"/>
      <c r="VQJ995" s="2335"/>
      <c r="VQK995" s="2335"/>
      <c r="VQL995" s="2335"/>
      <c r="VQM995" s="2335"/>
      <c r="VQN995" s="2335"/>
      <c r="VQO995" s="2335"/>
      <c r="VQP995" s="2335"/>
      <c r="VQQ995" s="2335"/>
      <c r="VQR995" s="2335"/>
      <c r="VQS995" s="2335"/>
      <c r="VQT995" s="2335"/>
      <c r="VQU995" s="2335"/>
      <c r="VQV995" s="2335"/>
      <c r="VQW995" s="2335"/>
      <c r="VQX995" s="2335"/>
      <c r="VQY995" s="2335"/>
      <c r="VQZ995" s="2335"/>
      <c r="VRA995" s="2335"/>
      <c r="VRB995" s="2335"/>
      <c r="VRC995" s="2335"/>
      <c r="VRD995" s="2335"/>
      <c r="VRE995" s="2335"/>
      <c r="VRF995" s="2335"/>
      <c r="VRG995" s="2335"/>
      <c r="VRH995" s="2335"/>
      <c r="VRI995" s="2335"/>
      <c r="VRJ995" s="2335"/>
      <c r="VRK995" s="2335"/>
      <c r="VRL995" s="2335"/>
      <c r="VRM995" s="2335"/>
      <c r="VRN995" s="2335"/>
      <c r="VRO995" s="2335"/>
      <c r="VRP995" s="2335"/>
      <c r="VRQ995" s="2335"/>
      <c r="VRR995" s="2335"/>
      <c r="VRS995" s="2335"/>
      <c r="VRT995" s="2335"/>
      <c r="VRU995" s="2335"/>
      <c r="VRV995" s="2335"/>
      <c r="VRW995" s="2335"/>
      <c r="VRX995" s="2335"/>
      <c r="VRY995" s="2335"/>
      <c r="VRZ995" s="2335"/>
      <c r="VSA995" s="2335"/>
      <c r="VSB995" s="2335"/>
      <c r="VSC995" s="2335"/>
      <c r="VSD995" s="2335"/>
      <c r="VSE995" s="2335"/>
      <c r="VSF995" s="2335"/>
      <c r="VSG995" s="2335"/>
      <c r="VSH995" s="2335"/>
      <c r="VSI995" s="2335"/>
      <c r="VSJ995" s="2335"/>
      <c r="VSK995" s="2335"/>
      <c r="VSL995" s="2335"/>
      <c r="VSM995" s="2335"/>
      <c r="VSN995" s="2335"/>
      <c r="VSO995" s="2335"/>
      <c r="VSP995" s="2335"/>
      <c r="VSQ995" s="2335"/>
      <c r="VSR995" s="2335"/>
      <c r="VSS995" s="2335"/>
      <c r="VST995" s="2335"/>
      <c r="VSU995" s="2335"/>
      <c r="VSV995" s="2335"/>
      <c r="VSW995" s="2335"/>
      <c r="VSX995" s="2335"/>
      <c r="VSY995" s="2335"/>
      <c r="VSZ995" s="2335"/>
      <c r="VTA995" s="2335"/>
      <c r="VTB995" s="2335"/>
      <c r="VTC995" s="2335"/>
      <c r="VTD995" s="2335"/>
      <c r="VTE995" s="2335"/>
      <c r="VTF995" s="2335"/>
      <c r="VTG995" s="2335"/>
      <c r="VTH995" s="2335"/>
      <c r="VTI995" s="2335"/>
      <c r="VTJ995" s="2335"/>
      <c r="VTK995" s="2335"/>
      <c r="VTL995" s="2335"/>
      <c r="VTM995" s="2335"/>
      <c r="VTN995" s="2335"/>
      <c r="VTO995" s="2335"/>
      <c r="VTP995" s="2335"/>
      <c r="VTQ995" s="2335"/>
      <c r="VTR995" s="2335"/>
      <c r="VTS995" s="2335"/>
      <c r="VTT995" s="2335"/>
      <c r="VTU995" s="2335"/>
      <c r="VTV995" s="2335"/>
      <c r="VTW995" s="2335"/>
      <c r="VTX995" s="2335"/>
      <c r="VTY995" s="2335"/>
      <c r="VTZ995" s="2335"/>
      <c r="VUA995" s="2335"/>
      <c r="VUB995" s="2335"/>
      <c r="VUC995" s="2335"/>
      <c r="VUD995" s="2335"/>
      <c r="VUE995" s="2335"/>
      <c r="VUF995" s="2335"/>
      <c r="VUG995" s="2335"/>
      <c r="VUH995" s="2335"/>
      <c r="VUI995" s="2335"/>
      <c r="VUJ995" s="2335"/>
      <c r="VUK995" s="2335"/>
      <c r="VUL995" s="2335"/>
      <c r="VUM995" s="2335"/>
      <c r="VUN995" s="2335"/>
      <c r="VUO995" s="2335"/>
      <c r="VUP995" s="2335"/>
      <c r="VUQ995" s="2335"/>
      <c r="VUR995" s="2335"/>
      <c r="VUS995" s="2335"/>
      <c r="VUT995" s="2335"/>
      <c r="VUU995" s="2335"/>
      <c r="VUV995" s="2335"/>
      <c r="VUW995" s="2335"/>
      <c r="VUX995" s="2335"/>
      <c r="VUY995" s="2335"/>
      <c r="VUZ995" s="2335"/>
      <c r="VVA995" s="2335"/>
      <c r="VVB995" s="2335"/>
      <c r="VVC995" s="2335"/>
      <c r="VVD995" s="2335"/>
      <c r="VVE995" s="2335"/>
      <c r="VVF995" s="2335"/>
      <c r="VVG995" s="2335"/>
      <c r="VVH995" s="2335"/>
      <c r="VVI995" s="2335"/>
      <c r="VVJ995" s="2335"/>
      <c r="VVK995" s="2335"/>
      <c r="VVL995" s="2335"/>
      <c r="VVM995" s="2335"/>
      <c r="VVN995" s="2335"/>
      <c r="VVO995" s="2335"/>
      <c r="VVP995" s="2335"/>
      <c r="VVQ995" s="2335"/>
      <c r="VVR995" s="2335"/>
      <c r="VVS995" s="2335"/>
      <c r="VVT995" s="2335"/>
      <c r="VVU995" s="2335"/>
      <c r="VVV995" s="2335"/>
      <c r="VVW995" s="2335"/>
      <c r="VVX995" s="2335"/>
      <c r="VVY995" s="2335"/>
      <c r="VVZ995" s="2335"/>
      <c r="VWA995" s="2335"/>
      <c r="VWB995" s="2335"/>
      <c r="VWC995" s="2335"/>
      <c r="VWD995" s="2335"/>
      <c r="VWE995" s="2335"/>
      <c r="VWF995" s="2335"/>
      <c r="VWG995" s="2335"/>
      <c r="VWH995" s="2335"/>
      <c r="VWI995" s="2335"/>
      <c r="VWJ995" s="2335"/>
      <c r="VWK995" s="2335"/>
      <c r="VWL995" s="2335"/>
      <c r="VWM995" s="2335"/>
      <c r="VWN995" s="2335"/>
      <c r="VWO995" s="2335"/>
      <c r="VWP995" s="2335"/>
      <c r="VWQ995" s="2335"/>
      <c r="VWR995" s="2335"/>
      <c r="VWS995" s="2335"/>
      <c r="VWT995" s="2335"/>
      <c r="VWU995" s="2335"/>
      <c r="VWV995" s="2335"/>
      <c r="VWW995" s="2335"/>
      <c r="VWX995" s="2335"/>
      <c r="VWY995" s="2335"/>
      <c r="VWZ995" s="2335"/>
      <c r="VXA995" s="2335"/>
      <c r="VXB995" s="2335"/>
      <c r="VXC995" s="2335"/>
      <c r="VXD995" s="2335"/>
      <c r="VXE995" s="2335"/>
      <c r="VXF995" s="2335"/>
      <c r="VXG995" s="2335"/>
      <c r="VXH995" s="2335"/>
      <c r="VXI995" s="2335"/>
      <c r="VXJ995" s="2335"/>
      <c r="VXK995" s="2335"/>
      <c r="VXL995" s="2335"/>
      <c r="VXM995" s="2335"/>
      <c r="VXN995" s="2335"/>
      <c r="VXO995" s="2335"/>
      <c r="VXP995" s="2335"/>
      <c r="VXQ995" s="2335"/>
      <c r="VXR995" s="2335"/>
      <c r="VXS995" s="2335"/>
      <c r="VXT995" s="2335"/>
      <c r="VXU995" s="2335"/>
      <c r="VXV995" s="2335"/>
      <c r="VXW995" s="2335"/>
      <c r="VXX995" s="2335"/>
      <c r="VXY995" s="2335"/>
      <c r="VXZ995" s="2335"/>
      <c r="VYA995" s="2335"/>
      <c r="VYB995" s="2335"/>
      <c r="VYC995" s="2335"/>
      <c r="VYD995" s="2335"/>
      <c r="VYE995" s="2335"/>
      <c r="VYF995" s="2335"/>
      <c r="VYG995" s="2335"/>
      <c r="VYH995" s="2335"/>
      <c r="VYI995" s="2335"/>
      <c r="VYJ995" s="2335"/>
      <c r="VYK995" s="2335"/>
      <c r="VYL995" s="2335"/>
      <c r="VYM995" s="2335"/>
      <c r="VYN995" s="2335"/>
      <c r="VYO995" s="2335"/>
      <c r="VYP995" s="2335"/>
      <c r="VYQ995" s="2335"/>
      <c r="VYR995" s="2335"/>
      <c r="VYS995" s="2335"/>
      <c r="VYT995" s="2335"/>
      <c r="VYU995" s="2335"/>
      <c r="VYV995" s="2335"/>
      <c r="VYW995" s="2335"/>
      <c r="VYX995" s="2335"/>
      <c r="VYY995" s="2335"/>
      <c r="VYZ995" s="2335"/>
      <c r="VZA995" s="2335"/>
      <c r="VZB995" s="2335"/>
      <c r="VZC995" s="2335"/>
      <c r="VZD995" s="2335"/>
      <c r="VZE995" s="2335"/>
      <c r="VZF995" s="2335"/>
      <c r="VZG995" s="2335"/>
      <c r="VZH995" s="2335"/>
      <c r="VZI995" s="2335"/>
      <c r="VZJ995" s="2335"/>
      <c r="VZK995" s="2335"/>
      <c r="VZL995" s="2335"/>
      <c r="VZM995" s="2335"/>
      <c r="VZN995" s="2335"/>
      <c r="VZO995" s="2335"/>
      <c r="VZP995" s="2335"/>
      <c r="VZQ995" s="2335"/>
      <c r="VZR995" s="2335"/>
      <c r="VZS995" s="2335"/>
      <c r="VZT995" s="2335"/>
      <c r="VZU995" s="2335"/>
      <c r="VZV995" s="2335"/>
      <c r="VZW995" s="2335"/>
      <c r="VZX995" s="2335"/>
      <c r="VZY995" s="2335"/>
      <c r="VZZ995" s="2335"/>
      <c r="WAA995" s="2335"/>
      <c r="WAB995" s="2335"/>
      <c r="WAC995" s="2335"/>
      <c r="WAD995" s="2335"/>
      <c r="WAE995" s="2335"/>
      <c r="WAF995" s="2335"/>
      <c r="WAG995" s="2335"/>
      <c r="WAH995" s="2335"/>
      <c r="WAI995" s="2335"/>
      <c r="WAJ995" s="2335"/>
      <c r="WAK995" s="2335"/>
      <c r="WAL995" s="2335"/>
      <c r="WAM995" s="2335"/>
      <c r="WAN995" s="2335"/>
      <c r="WAO995" s="2335"/>
      <c r="WAP995" s="2335"/>
      <c r="WAQ995" s="2335"/>
      <c r="WAR995" s="2335"/>
      <c r="WAS995" s="2335"/>
      <c r="WAT995" s="2335"/>
      <c r="WAU995" s="2335"/>
      <c r="WAV995" s="2335"/>
      <c r="WAW995" s="2335"/>
      <c r="WAX995" s="2335"/>
      <c r="WAY995" s="2335"/>
      <c r="WAZ995" s="2335"/>
      <c r="WBA995" s="2335"/>
      <c r="WBB995" s="2335"/>
      <c r="WBC995" s="2335"/>
      <c r="WBD995" s="2335"/>
      <c r="WBE995" s="2335"/>
      <c r="WBF995" s="2335"/>
      <c r="WBG995" s="2335"/>
      <c r="WBH995" s="2335"/>
      <c r="WBI995" s="2335"/>
      <c r="WBJ995" s="2335"/>
      <c r="WBK995" s="2335"/>
      <c r="WBL995" s="2335"/>
      <c r="WBM995" s="2335"/>
      <c r="WBN995" s="2335"/>
      <c r="WBO995" s="2335"/>
      <c r="WBP995" s="2335"/>
      <c r="WBQ995" s="2335"/>
      <c r="WBR995" s="2335"/>
      <c r="WBS995" s="2335"/>
      <c r="WBT995" s="2335"/>
      <c r="WBU995" s="2335"/>
      <c r="WBV995" s="2335"/>
      <c r="WBW995" s="2335"/>
      <c r="WBX995" s="2335"/>
      <c r="WBY995" s="2335"/>
      <c r="WBZ995" s="2335"/>
      <c r="WCA995" s="2335"/>
      <c r="WCB995" s="2335"/>
      <c r="WCC995" s="2335"/>
      <c r="WCD995" s="2335"/>
      <c r="WCE995" s="2335"/>
      <c r="WCF995" s="2335"/>
      <c r="WCG995" s="2335"/>
      <c r="WCH995" s="2335"/>
      <c r="WCI995" s="2335"/>
      <c r="WCJ995" s="2335"/>
      <c r="WCK995" s="2335"/>
      <c r="WCL995" s="2335"/>
      <c r="WCM995" s="2335"/>
      <c r="WCN995" s="2335"/>
      <c r="WCO995" s="2335"/>
      <c r="WCP995" s="2335"/>
      <c r="WCQ995" s="2335"/>
      <c r="WCR995" s="2335"/>
      <c r="WCS995" s="2335"/>
      <c r="WCT995" s="2335"/>
      <c r="WCU995" s="2335"/>
      <c r="WCV995" s="2335"/>
      <c r="WCW995" s="2335"/>
      <c r="WCX995" s="2335"/>
      <c r="WCY995" s="2335"/>
      <c r="WCZ995" s="2335"/>
      <c r="WDA995" s="2335"/>
      <c r="WDB995" s="2335"/>
      <c r="WDC995" s="2335"/>
      <c r="WDD995" s="2335"/>
      <c r="WDE995" s="2335"/>
      <c r="WDF995" s="2335"/>
      <c r="WDG995" s="2335"/>
      <c r="WDH995" s="2335"/>
      <c r="WDI995" s="2335"/>
      <c r="WDJ995" s="2335"/>
      <c r="WDK995" s="2335"/>
      <c r="WDL995" s="2335"/>
      <c r="WDM995" s="2335"/>
      <c r="WDN995" s="2335"/>
      <c r="WDO995" s="2335"/>
      <c r="WDP995" s="2335"/>
      <c r="WDQ995" s="2335"/>
      <c r="WDR995" s="2335"/>
      <c r="WDS995" s="2335"/>
      <c r="WDT995" s="2335"/>
      <c r="WDU995" s="2335"/>
      <c r="WDV995" s="2335"/>
      <c r="WDW995" s="2335"/>
      <c r="WDX995" s="2335"/>
      <c r="WDY995" s="2335"/>
      <c r="WDZ995" s="2335"/>
      <c r="WEA995" s="2335"/>
      <c r="WEB995" s="2335"/>
      <c r="WEC995" s="2335"/>
      <c r="WED995" s="2335"/>
      <c r="WEE995" s="2335"/>
      <c r="WEF995" s="2335"/>
      <c r="WEG995" s="2335"/>
      <c r="WEH995" s="2335"/>
      <c r="WEI995" s="2335"/>
      <c r="WEJ995" s="2335"/>
      <c r="WEK995" s="2335"/>
      <c r="WEL995" s="2335"/>
      <c r="WEM995" s="2335"/>
      <c r="WEN995" s="2335"/>
      <c r="WEO995" s="2335"/>
      <c r="WEP995" s="2335"/>
      <c r="WEQ995" s="2335"/>
      <c r="WER995" s="2335"/>
      <c r="WES995" s="2335"/>
      <c r="WET995" s="2335"/>
      <c r="WEU995" s="2335"/>
      <c r="WEV995" s="2335"/>
      <c r="WEW995" s="2335"/>
      <c r="WEX995" s="2335"/>
      <c r="WEY995" s="2335"/>
      <c r="WEZ995" s="2335"/>
      <c r="WFA995" s="2335"/>
      <c r="WFB995" s="2335"/>
      <c r="WFC995" s="2335"/>
      <c r="WFD995" s="2335"/>
      <c r="WFE995" s="2335"/>
      <c r="WFF995" s="2335"/>
      <c r="WFG995" s="2335"/>
      <c r="WFH995" s="2335"/>
      <c r="WFI995" s="2335"/>
      <c r="WFJ995" s="2335"/>
      <c r="WFK995" s="2335"/>
      <c r="WFL995" s="2335"/>
      <c r="WFM995" s="2335"/>
      <c r="WFN995" s="2335"/>
      <c r="WFO995" s="2335"/>
      <c r="WFP995" s="2335"/>
      <c r="WFQ995" s="2335"/>
      <c r="WFR995" s="2335"/>
      <c r="WFS995" s="2335"/>
      <c r="WFT995" s="2335"/>
      <c r="WFU995" s="2335"/>
      <c r="WFV995" s="2335"/>
      <c r="WFW995" s="2335"/>
      <c r="WFX995" s="2335"/>
      <c r="WFY995" s="2335"/>
      <c r="WFZ995" s="2335"/>
      <c r="WGA995" s="2335"/>
      <c r="WGB995" s="2335"/>
      <c r="WGC995" s="2335"/>
      <c r="WGD995" s="2335"/>
      <c r="WGE995" s="2335"/>
      <c r="WGF995" s="2335"/>
      <c r="WGG995" s="2335"/>
      <c r="WGH995" s="2335"/>
      <c r="WGI995" s="2335"/>
      <c r="WGJ995" s="2335"/>
      <c r="WGK995" s="2335"/>
      <c r="WGL995" s="2335"/>
      <c r="WGM995" s="2335"/>
      <c r="WGN995" s="2335"/>
      <c r="WGO995" s="2335"/>
      <c r="WGP995" s="2335"/>
      <c r="WGQ995" s="2335"/>
      <c r="WGR995" s="2335"/>
      <c r="WGS995" s="2335"/>
      <c r="WGT995" s="2335"/>
      <c r="WGU995" s="2335"/>
      <c r="WGV995" s="2335"/>
      <c r="WGW995" s="2335"/>
      <c r="WGX995" s="2335"/>
      <c r="WGY995" s="2335"/>
      <c r="WGZ995" s="2335"/>
      <c r="WHA995" s="2335"/>
      <c r="WHB995" s="2335"/>
      <c r="WHC995" s="2335"/>
      <c r="WHD995" s="2335"/>
      <c r="WHE995" s="2335"/>
      <c r="WHF995" s="2335"/>
      <c r="WHG995" s="2335"/>
      <c r="WHH995" s="2335"/>
      <c r="WHI995" s="2335"/>
      <c r="WHJ995" s="2335"/>
      <c r="WHK995" s="2335"/>
      <c r="WHL995" s="2335"/>
      <c r="WHM995" s="2335"/>
      <c r="WHN995" s="2335"/>
      <c r="WHO995" s="2335"/>
      <c r="WHP995" s="2335"/>
      <c r="WHQ995" s="2335"/>
      <c r="WHR995" s="2335"/>
      <c r="WHS995" s="2335"/>
      <c r="WHT995" s="2335"/>
      <c r="WHU995" s="2335"/>
      <c r="WHV995" s="2335"/>
      <c r="WHW995" s="2335"/>
      <c r="WHX995" s="2335"/>
      <c r="WHY995" s="2335"/>
      <c r="WHZ995" s="2335"/>
      <c r="WIA995" s="2335"/>
      <c r="WIB995" s="2335"/>
      <c r="WIC995" s="2335"/>
      <c r="WID995" s="2335"/>
      <c r="WIE995" s="2335"/>
      <c r="WIF995" s="2335"/>
      <c r="WIG995" s="2335"/>
      <c r="WIH995" s="2335"/>
      <c r="WII995" s="2335"/>
      <c r="WIJ995" s="2335"/>
      <c r="WIK995" s="2335"/>
      <c r="WIL995" s="2335"/>
      <c r="WIM995" s="2335"/>
      <c r="WIN995" s="2335"/>
      <c r="WIO995" s="2335"/>
      <c r="WIP995" s="2335"/>
      <c r="WIQ995" s="2335"/>
      <c r="WIR995" s="2335"/>
      <c r="WIS995" s="2335"/>
      <c r="WIT995" s="2335"/>
      <c r="WIU995" s="2335"/>
      <c r="WIV995" s="2335"/>
      <c r="WIW995" s="2335"/>
      <c r="WIX995" s="2335"/>
      <c r="WIY995" s="2335"/>
      <c r="WIZ995" s="2335"/>
      <c r="WJA995" s="2335"/>
      <c r="WJB995" s="2335"/>
      <c r="WJC995" s="2335"/>
      <c r="WJD995" s="2335"/>
      <c r="WJE995" s="2335"/>
      <c r="WJF995" s="2335"/>
      <c r="WJG995" s="2335"/>
      <c r="WJH995" s="2335"/>
      <c r="WJI995" s="2335"/>
      <c r="WJJ995" s="2335"/>
      <c r="WJK995" s="2335"/>
      <c r="WJL995" s="2335"/>
      <c r="WJM995" s="2335"/>
      <c r="WJN995" s="2335"/>
      <c r="WJO995" s="2335"/>
      <c r="WJP995" s="2335"/>
      <c r="WJQ995" s="2335"/>
      <c r="WJR995" s="2335"/>
      <c r="WJS995" s="2335"/>
      <c r="WJT995" s="2335"/>
      <c r="WJU995" s="2335"/>
      <c r="WJV995" s="2335"/>
      <c r="WJW995" s="2335"/>
      <c r="WJX995" s="2335"/>
      <c r="WJY995" s="2335"/>
      <c r="WJZ995" s="2335"/>
      <c r="WKA995" s="2335"/>
      <c r="WKB995" s="2335"/>
      <c r="WKC995" s="2335"/>
      <c r="WKD995" s="2335"/>
      <c r="WKE995" s="2335"/>
      <c r="WKF995" s="2335"/>
      <c r="WKG995" s="2335"/>
      <c r="WKH995" s="2335"/>
      <c r="WKI995" s="2335"/>
      <c r="WKJ995" s="2335"/>
      <c r="WKK995" s="2335"/>
      <c r="WKL995" s="2335"/>
      <c r="WKM995" s="2335"/>
      <c r="WKN995" s="2335"/>
      <c r="WKO995" s="2335"/>
      <c r="WKP995" s="2335"/>
      <c r="WKQ995" s="2335"/>
      <c r="WKR995" s="2335"/>
      <c r="WKS995" s="2335"/>
      <c r="WKT995" s="2335"/>
      <c r="WKU995" s="2335"/>
      <c r="WKV995" s="2335"/>
      <c r="WKW995" s="2335"/>
      <c r="WKX995" s="2335"/>
      <c r="WKY995" s="2335"/>
      <c r="WKZ995" s="2335"/>
      <c r="WLA995" s="2335"/>
      <c r="WLB995" s="2335"/>
      <c r="WLC995" s="2335"/>
      <c r="WLD995" s="2335"/>
      <c r="WLE995" s="2335"/>
      <c r="WLF995" s="2335"/>
      <c r="WLG995" s="2335"/>
      <c r="WLH995" s="2335"/>
      <c r="WLI995" s="2335"/>
      <c r="WLJ995" s="2335"/>
      <c r="WLK995" s="2335"/>
      <c r="WLL995" s="2335"/>
      <c r="WLM995" s="2335"/>
      <c r="WLN995" s="2335"/>
      <c r="WLO995" s="2335"/>
      <c r="WLP995" s="2335"/>
      <c r="WLQ995" s="2335"/>
      <c r="WLR995" s="2335"/>
      <c r="WLS995" s="2335"/>
      <c r="WLT995" s="2335"/>
      <c r="WLU995" s="2335"/>
      <c r="WLV995" s="2335"/>
      <c r="WLW995" s="2335"/>
      <c r="WLX995" s="2335"/>
      <c r="WLY995" s="2335"/>
      <c r="WLZ995" s="2335"/>
      <c r="WMA995" s="2335"/>
      <c r="WMB995" s="2335"/>
      <c r="WMC995" s="2335"/>
      <c r="WMD995" s="2335"/>
      <c r="WME995" s="2335"/>
      <c r="WMF995" s="2335"/>
      <c r="WMG995" s="2335"/>
      <c r="WMH995" s="2335"/>
      <c r="WMI995" s="2335"/>
      <c r="WMJ995" s="2335"/>
      <c r="WMK995" s="2335"/>
      <c r="WML995" s="2335"/>
      <c r="WMM995" s="2335"/>
      <c r="WMN995" s="2335"/>
      <c r="WMO995" s="2335"/>
      <c r="WMP995" s="2335"/>
      <c r="WMQ995" s="2335"/>
      <c r="WMR995" s="2335"/>
      <c r="WMS995" s="2335"/>
      <c r="WMT995" s="2335"/>
      <c r="WMU995" s="2335"/>
      <c r="WMV995" s="2335"/>
      <c r="WMW995" s="2335"/>
      <c r="WMX995" s="2335"/>
      <c r="WMY995" s="2335"/>
      <c r="WMZ995" s="2335"/>
      <c r="WNA995" s="2335"/>
      <c r="WNB995" s="2335"/>
      <c r="WNC995" s="2335"/>
      <c r="WND995" s="2335"/>
      <c r="WNE995" s="2335"/>
      <c r="WNF995" s="2335"/>
      <c r="WNG995" s="2335"/>
      <c r="WNH995" s="2335"/>
      <c r="WNI995" s="2335"/>
      <c r="WNJ995" s="2335"/>
      <c r="WNK995" s="2335"/>
      <c r="WNL995" s="2335"/>
      <c r="WNM995" s="2335"/>
      <c r="WNN995" s="2335"/>
      <c r="WNO995" s="2335"/>
      <c r="WNP995" s="2335"/>
      <c r="WNQ995" s="2335"/>
      <c r="WNR995" s="2335"/>
      <c r="WNS995" s="2335"/>
      <c r="WNT995" s="2335"/>
      <c r="WNU995" s="2335"/>
      <c r="WNV995" s="2335"/>
      <c r="WNW995" s="2335"/>
      <c r="WNX995" s="2335"/>
      <c r="WNY995" s="2335"/>
      <c r="WNZ995" s="2335"/>
      <c r="WOA995" s="2335"/>
      <c r="WOB995" s="2335"/>
      <c r="WOC995" s="2335"/>
      <c r="WOD995" s="2335"/>
      <c r="WOE995" s="2335"/>
      <c r="WOF995" s="2335"/>
      <c r="WOG995" s="2335"/>
      <c r="WOH995" s="2335"/>
      <c r="WOI995" s="2335"/>
      <c r="WOJ995" s="2335"/>
      <c r="WOK995" s="2335"/>
      <c r="WOL995" s="2335"/>
      <c r="WOM995" s="2335"/>
      <c r="WON995" s="2335"/>
      <c r="WOO995" s="2335"/>
      <c r="WOP995" s="2335"/>
      <c r="WOQ995" s="2335"/>
      <c r="WOR995" s="2335"/>
      <c r="WOS995" s="2335"/>
      <c r="WOT995" s="2335"/>
      <c r="WOU995" s="2335"/>
      <c r="WOV995" s="2335"/>
      <c r="WOW995" s="2335"/>
      <c r="WOX995" s="2335"/>
      <c r="WOY995" s="2335"/>
      <c r="WOZ995" s="2335"/>
      <c r="WPA995" s="2335"/>
      <c r="WPB995" s="2335"/>
      <c r="WPC995" s="2335"/>
      <c r="WPD995" s="2335"/>
      <c r="WPE995" s="2335"/>
      <c r="WPF995" s="2335"/>
      <c r="WPG995" s="2335"/>
      <c r="WPH995" s="2335"/>
      <c r="WPI995" s="2335"/>
      <c r="WPJ995" s="2335"/>
      <c r="WPK995" s="2335"/>
      <c r="WPL995" s="2335"/>
      <c r="WPM995" s="2335"/>
      <c r="WPN995" s="2335"/>
      <c r="WPO995" s="2335"/>
      <c r="WPP995" s="2335"/>
      <c r="WPQ995" s="2335"/>
      <c r="WPR995" s="2335"/>
      <c r="WPS995" s="2335"/>
      <c r="WPT995" s="2335"/>
      <c r="WPU995" s="2335"/>
      <c r="WPV995" s="2335"/>
      <c r="WPW995" s="2335"/>
      <c r="WPX995" s="2335"/>
      <c r="WPY995" s="2335"/>
      <c r="WPZ995" s="2335"/>
      <c r="WQA995" s="2335"/>
      <c r="WQB995" s="2335"/>
      <c r="WQC995" s="2335"/>
      <c r="WQD995" s="2335"/>
      <c r="WQE995" s="2335"/>
      <c r="WQF995" s="2335"/>
      <c r="WQG995" s="2335"/>
      <c r="WQH995" s="2335"/>
      <c r="WQI995" s="2335"/>
      <c r="WQJ995" s="2335"/>
      <c r="WQK995" s="2335"/>
      <c r="WQL995" s="2335"/>
      <c r="WQM995" s="2335"/>
      <c r="WQN995" s="2335"/>
      <c r="WQO995" s="2335"/>
      <c r="WQP995" s="2335"/>
      <c r="WQQ995" s="2335"/>
      <c r="WQR995" s="2335"/>
      <c r="WQS995" s="2335"/>
      <c r="WQT995" s="2335"/>
      <c r="WQU995" s="2335"/>
      <c r="WQV995" s="2335"/>
      <c r="WQW995" s="2335"/>
      <c r="WQX995" s="2335"/>
      <c r="WQY995" s="2335"/>
      <c r="WQZ995" s="2335"/>
      <c r="WRA995" s="2335"/>
      <c r="WRB995" s="2335"/>
      <c r="WRC995" s="2335"/>
      <c r="WRD995" s="2335"/>
      <c r="WRE995" s="2335"/>
      <c r="WRF995" s="2335"/>
      <c r="WRG995" s="2335"/>
      <c r="WRH995" s="2335"/>
      <c r="WRI995" s="2335"/>
      <c r="WRJ995" s="2335"/>
      <c r="WRK995" s="2335"/>
      <c r="WRL995" s="2335"/>
      <c r="WRM995" s="2335"/>
      <c r="WRN995" s="2335"/>
      <c r="WRO995" s="2335"/>
      <c r="WRP995" s="2335"/>
      <c r="WRQ995" s="2335"/>
      <c r="WRR995" s="2335"/>
      <c r="WRS995" s="2335"/>
      <c r="WRT995" s="2335"/>
      <c r="WRU995" s="2335"/>
      <c r="WRV995" s="2335"/>
      <c r="WRW995" s="2335"/>
      <c r="WRX995" s="2335"/>
      <c r="WRY995" s="2335"/>
      <c r="WRZ995" s="2335"/>
      <c r="WSA995" s="2335"/>
      <c r="WSB995" s="2335"/>
      <c r="WSC995" s="2335"/>
      <c r="WSD995" s="2335"/>
      <c r="WSE995" s="2335"/>
      <c r="WSF995" s="2335"/>
      <c r="WSG995" s="2335"/>
      <c r="WSH995" s="2335"/>
      <c r="WSI995" s="2335"/>
      <c r="WSJ995" s="2335"/>
      <c r="WSK995" s="2335"/>
      <c r="WSL995" s="2335"/>
      <c r="WSM995" s="2335"/>
      <c r="WSN995" s="2335"/>
      <c r="WSO995" s="2335"/>
      <c r="WSP995" s="2335"/>
      <c r="WSQ995" s="2335"/>
      <c r="WSR995" s="2335"/>
      <c r="WSS995" s="2335"/>
      <c r="WST995" s="2335"/>
      <c r="WSU995" s="2335"/>
      <c r="WSV995" s="2335"/>
      <c r="WSW995" s="2335"/>
      <c r="WSX995" s="2335"/>
      <c r="WSY995" s="2335"/>
      <c r="WSZ995" s="2335"/>
      <c r="WTA995" s="2335"/>
      <c r="WTB995" s="2335"/>
      <c r="WTC995" s="2335"/>
      <c r="WTD995" s="2335"/>
      <c r="WTE995" s="2335"/>
      <c r="WTF995" s="2335"/>
      <c r="WTG995" s="2335"/>
      <c r="WTH995" s="2335"/>
      <c r="WTI995" s="2335"/>
      <c r="WTJ995" s="2335"/>
      <c r="WTK995" s="2335"/>
      <c r="WTL995" s="2335"/>
      <c r="WTM995" s="2335"/>
      <c r="WTN995" s="2335"/>
      <c r="WTO995" s="2335"/>
      <c r="WTP995" s="2335"/>
      <c r="WTQ995" s="2335"/>
      <c r="WTR995" s="2335"/>
      <c r="WTS995" s="2335"/>
      <c r="WTT995" s="2335"/>
      <c r="WTU995" s="2335"/>
      <c r="WTV995" s="2335"/>
      <c r="WTW995" s="2335"/>
      <c r="WTX995" s="2335"/>
      <c r="WTY995" s="2335"/>
      <c r="WTZ995" s="2335"/>
      <c r="WUA995" s="2335"/>
      <c r="WUB995" s="2335"/>
      <c r="WUC995" s="2335"/>
      <c r="WUD995" s="2335"/>
      <c r="WUE995" s="2335"/>
      <c r="WUF995" s="2335"/>
      <c r="WUG995" s="2335"/>
      <c r="WUH995" s="2335"/>
      <c r="WUI995" s="2335"/>
      <c r="WUJ995" s="2335"/>
      <c r="WUK995" s="2335"/>
      <c r="WUL995" s="2335"/>
      <c r="WUM995" s="2335"/>
      <c r="WUN995" s="2335"/>
      <c r="WUO995" s="2335"/>
      <c r="WUP995" s="2335"/>
      <c r="WUQ995" s="2335"/>
      <c r="WUR995" s="2335"/>
      <c r="WUS995" s="2335"/>
      <c r="WUT995" s="2335"/>
      <c r="WUU995" s="2335"/>
      <c r="WUV995" s="2335"/>
      <c r="WUW995" s="2335"/>
      <c r="WUX995" s="2335"/>
      <c r="WUY995" s="2335"/>
      <c r="WUZ995" s="2335"/>
      <c r="WVA995" s="2335"/>
      <c r="WVB995" s="2335"/>
      <c r="WVC995" s="2335"/>
      <c r="WVD995" s="2335"/>
      <c r="WVE995" s="2335"/>
      <c r="WVF995" s="2335"/>
      <c r="WVG995" s="2335"/>
      <c r="WVH995" s="2335"/>
      <c r="WVI995" s="2335"/>
      <c r="WVJ995" s="2335"/>
      <c r="WVK995" s="2335"/>
      <c r="WVL995" s="2335"/>
      <c r="WVM995" s="2335"/>
      <c r="WVN995" s="2335"/>
      <c r="WVO995" s="2335"/>
      <c r="WVP995" s="2335"/>
      <c r="WVQ995" s="2335"/>
      <c r="WVR995" s="2335"/>
      <c r="WVS995" s="2335"/>
      <c r="WVT995" s="2335"/>
      <c r="WVU995" s="2335"/>
      <c r="WVV995" s="2335"/>
      <c r="WVW995" s="2335"/>
      <c r="WVX995" s="2335"/>
      <c r="WVY995" s="2335"/>
      <c r="WVZ995" s="2335"/>
      <c r="WWA995" s="2335"/>
      <c r="WWB995" s="2335"/>
      <c r="WWC995" s="2335"/>
      <c r="WWD995" s="2335"/>
      <c r="WWE995" s="2335"/>
      <c r="WWF995" s="2335"/>
      <c r="WWG995" s="2335"/>
      <c r="WWH995" s="2335"/>
      <c r="WWI995" s="2335"/>
      <c r="WWJ995" s="2335"/>
      <c r="WWK995" s="2335"/>
      <c r="WWL995" s="2335"/>
      <c r="WWM995" s="2335"/>
      <c r="WWN995" s="2335"/>
      <c r="WWO995" s="2335"/>
      <c r="WWP995" s="2335"/>
      <c r="WWQ995" s="2335"/>
      <c r="WWR995" s="2335"/>
      <c r="WWS995" s="2335"/>
      <c r="WWT995" s="2335"/>
      <c r="WWU995" s="2335"/>
      <c r="WWV995" s="2335"/>
      <c r="WWW995" s="2335"/>
      <c r="WWX995" s="2335"/>
      <c r="WWY995" s="2335"/>
      <c r="WWZ995" s="2335"/>
      <c r="WXA995" s="2335"/>
      <c r="WXB995" s="2335"/>
      <c r="WXC995" s="2335"/>
      <c r="WXD995" s="2335"/>
      <c r="WXE995" s="2335"/>
      <c r="WXF995" s="2335"/>
      <c r="WXG995" s="2335"/>
      <c r="WXH995" s="2335"/>
      <c r="WXI995" s="2335"/>
      <c r="WXJ995" s="2335"/>
      <c r="WXK995" s="2335"/>
      <c r="WXL995" s="2335"/>
      <c r="WXM995" s="2335"/>
      <c r="WXN995" s="2335"/>
      <c r="WXO995" s="2335"/>
      <c r="WXP995" s="2335"/>
      <c r="WXQ995" s="2335"/>
      <c r="WXR995" s="2335"/>
      <c r="WXS995" s="2335"/>
      <c r="WXT995" s="2335"/>
      <c r="WXU995" s="2335"/>
      <c r="WXV995" s="2335"/>
      <c r="WXW995" s="2335"/>
      <c r="WXX995" s="2335"/>
      <c r="WXY995" s="2335"/>
      <c r="WXZ995" s="2335"/>
      <c r="WYA995" s="2335"/>
      <c r="WYB995" s="2335"/>
      <c r="WYC995" s="2335"/>
      <c r="WYD995" s="2335"/>
      <c r="WYE995" s="2335"/>
      <c r="WYF995" s="2335"/>
      <c r="WYG995" s="2335"/>
      <c r="WYH995" s="2335"/>
      <c r="WYI995" s="2335"/>
      <c r="WYJ995" s="2335"/>
      <c r="WYK995" s="2335"/>
      <c r="WYL995" s="2335"/>
      <c r="WYM995" s="2335"/>
      <c r="WYN995" s="2335"/>
      <c r="WYO995" s="2335"/>
      <c r="WYP995" s="2335"/>
      <c r="WYQ995" s="2335"/>
      <c r="WYR995" s="2335"/>
      <c r="WYS995" s="2335"/>
      <c r="WYT995" s="2335"/>
      <c r="WYU995" s="2335"/>
      <c r="WYV995" s="2335"/>
      <c r="WYW995" s="2335"/>
      <c r="WYX995" s="2335"/>
      <c r="WYY995" s="2335"/>
      <c r="WYZ995" s="2335"/>
      <c r="WZA995" s="2335"/>
      <c r="WZB995" s="2335"/>
      <c r="WZC995" s="2335"/>
      <c r="WZD995" s="2335"/>
      <c r="WZE995" s="2335"/>
      <c r="WZF995" s="2335"/>
      <c r="WZG995" s="2335"/>
      <c r="WZH995" s="2335"/>
      <c r="WZI995" s="2335"/>
      <c r="WZJ995" s="2335"/>
      <c r="WZK995" s="2335"/>
      <c r="WZL995" s="2335"/>
      <c r="WZM995" s="2335"/>
      <c r="WZN995" s="2335"/>
      <c r="WZO995" s="2335"/>
      <c r="WZP995" s="2335"/>
      <c r="WZQ995" s="2335"/>
      <c r="WZR995" s="2335"/>
      <c r="WZS995" s="2335"/>
      <c r="WZT995" s="2335"/>
      <c r="WZU995" s="2335"/>
      <c r="WZV995" s="2335"/>
      <c r="WZW995" s="2335"/>
      <c r="WZX995" s="2335"/>
      <c r="WZY995" s="2335"/>
      <c r="WZZ995" s="2335"/>
      <c r="XAA995" s="2335"/>
      <c r="XAB995" s="2335"/>
      <c r="XAC995" s="2335"/>
      <c r="XAD995" s="2335"/>
      <c r="XAE995" s="2335"/>
      <c r="XAF995" s="2335"/>
      <c r="XAG995" s="2335"/>
      <c r="XAH995" s="2335"/>
      <c r="XAI995" s="2335"/>
      <c r="XAJ995" s="2335"/>
      <c r="XAK995" s="2335"/>
      <c r="XAL995" s="2335"/>
      <c r="XAM995" s="2335"/>
      <c r="XAN995" s="2335"/>
      <c r="XAO995" s="2335"/>
      <c r="XAP995" s="2335"/>
      <c r="XAQ995" s="2335"/>
      <c r="XAR995" s="2335"/>
      <c r="XAS995" s="2335"/>
      <c r="XAT995" s="2335"/>
      <c r="XAU995" s="2335"/>
      <c r="XAV995" s="2335"/>
      <c r="XAW995" s="2335"/>
      <c r="XAX995" s="2335"/>
      <c r="XAY995" s="2335"/>
      <c r="XAZ995" s="2335"/>
      <c r="XBA995" s="2335"/>
      <c r="XBB995" s="2335"/>
      <c r="XBC995" s="2335"/>
      <c r="XBD995" s="2335"/>
      <c r="XBE995" s="2335"/>
      <c r="XBF995" s="2335"/>
      <c r="XBG995" s="2335"/>
      <c r="XBH995" s="2335"/>
      <c r="XBI995" s="2335"/>
      <c r="XBJ995" s="2335"/>
      <c r="XBK995" s="2335"/>
      <c r="XBL995" s="2335"/>
      <c r="XBM995" s="2335"/>
      <c r="XBN995" s="2335"/>
      <c r="XBO995" s="2335"/>
      <c r="XBP995" s="2335"/>
      <c r="XBQ995" s="2335"/>
      <c r="XBR995" s="2335"/>
      <c r="XBS995" s="2335"/>
      <c r="XBT995" s="2335"/>
      <c r="XBU995" s="2335"/>
      <c r="XBV995" s="2335"/>
      <c r="XBW995" s="2335"/>
      <c r="XBX995" s="2335"/>
      <c r="XBY995" s="2335"/>
      <c r="XBZ995" s="2335"/>
      <c r="XCA995" s="2335"/>
      <c r="XCB995" s="2335"/>
      <c r="XCC995" s="2335"/>
      <c r="XCD995" s="2335"/>
      <c r="XCE995" s="2335"/>
      <c r="XCF995" s="2335"/>
      <c r="XCG995" s="2335"/>
      <c r="XCH995" s="2335"/>
      <c r="XCI995" s="2335"/>
      <c r="XCJ995" s="2335"/>
      <c r="XCK995" s="2335"/>
      <c r="XCL995" s="2335"/>
      <c r="XCM995" s="2335"/>
      <c r="XCN995" s="2335"/>
      <c r="XCO995" s="2335"/>
      <c r="XCP995" s="2335"/>
      <c r="XCQ995" s="2335"/>
      <c r="XCR995" s="2335"/>
      <c r="XCS995" s="2335"/>
      <c r="XCT995" s="2335"/>
      <c r="XCU995" s="2335"/>
      <c r="XCV995" s="2335"/>
      <c r="XCW995" s="2335"/>
      <c r="XCX995" s="2335"/>
      <c r="XCY995" s="2335"/>
      <c r="XCZ995" s="2335"/>
      <c r="XDA995" s="2335"/>
      <c r="XDB995" s="2335"/>
      <c r="XDC995" s="2335"/>
      <c r="XDD995" s="2335"/>
      <c r="XDE995" s="2335"/>
      <c r="XDF995" s="2335"/>
      <c r="XDG995" s="2335"/>
      <c r="XDH995" s="2335"/>
      <c r="XDI995" s="2335"/>
      <c r="XDJ995" s="2335"/>
      <c r="XDK995" s="2335"/>
      <c r="XDL995" s="2335"/>
      <c r="XDM995" s="2335"/>
      <c r="XDN995" s="2335"/>
      <c r="XDO995" s="2335"/>
      <c r="XDP995" s="2335"/>
      <c r="XDQ995" s="2335"/>
      <c r="XDR995" s="2335"/>
      <c r="XDS995" s="2335"/>
      <c r="XDT995" s="2335"/>
      <c r="XDU995" s="2335"/>
      <c r="XDV995" s="2335"/>
      <c r="XDW995" s="2335"/>
      <c r="XDX995" s="2335"/>
      <c r="XDY995" s="2335"/>
      <c r="XDZ995" s="2335"/>
      <c r="XEA995" s="2335"/>
      <c r="XEB995" s="2335"/>
      <c r="XEC995" s="2335"/>
      <c r="XED995" s="2335"/>
      <c r="XEE995" s="2335"/>
      <c r="XEF995" s="2335"/>
      <c r="XEG995" s="2335"/>
      <c r="XEH995" s="2335"/>
      <c r="XEI995" s="2335"/>
      <c r="XEJ995" s="2335"/>
      <c r="XEK995" s="2335"/>
      <c r="XEL995" s="2335"/>
      <c r="XEM995" s="2335"/>
      <c r="XEN995" s="2335"/>
      <c r="XEO995" s="2335"/>
      <c r="XEP995" s="2335"/>
      <c r="XEQ995" s="2335"/>
      <c r="XER995" s="2335"/>
      <c r="XES995" s="2335"/>
      <c r="XET995" s="2335"/>
      <c r="XEU995" s="2335"/>
      <c r="XEV995" s="2335"/>
      <c r="XEW995" s="2335"/>
      <c r="XEX995" s="2335"/>
      <c r="XEY995" s="2335"/>
      <c r="XEZ995" s="2335"/>
      <c r="XFA995" s="2335"/>
      <c r="XFB995" s="2335"/>
      <c r="XFC995" s="2335"/>
    </row>
    <row r="996" s="1936" customFormat="1" ht="20" customHeight="1" spans="1:1024 1025:16383">
      <c r="A996" s="2335"/>
      <c r="B996" s="2303"/>
      <c r="C996" s="2304"/>
      <c r="D996" s="2327" t="s">
        <v>3226</v>
      </c>
      <c r="E996" s="2328">
        <v>6.75</v>
      </c>
      <c r="F996" s="2329" t="s">
        <v>3227</v>
      </c>
      <c r="G996" s="2330"/>
      <c r="H996" s="2331"/>
      <c r="I996" s="2328"/>
      <c r="J996" s="2336" t="s">
        <v>1428</v>
      </c>
      <c r="K996" s="2333">
        <f>300/E996</f>
        <v>44.4444444444444</v>
      </c>
      <c r="L996" s="2333">
        <f>30.6/E996/1.13</f>
        <v>4.0117994100295</v>
      </c>
      <c r="M996" s="2334">
        <f>53/E996/1.13</f>
        <v>6.9485414618158</v>
      </c>
      <c r="N996" s="2334">
        <v>15.5</v>
      </c>
      <c r="O996" s="2334">
        <f t="shared" si="119"/>
        <v>3.33333333333333</v>
      </c>
      <c r="P996" s="2334">
        <v>2.5</v>
      </c>
      <c r="Q996" s="2334">
        <f>P996+O996+N996+M996+L996+K996</f>
        <v>76.738118649623</v>
      </c>
      <c r="R996" s="315" t="s">
        <v>3228</v>
      </c>
      <c r="S996" s="651"/>
      <c r="T996" s="2335"/>
      <c r="U996" s="2335"/>
      <c r="V996" s="2335"/>
      <c r="W996" s="2335"/>
      <c r="X996" s="2337"/>
      <c r="Y996" s="2335"/>
      <c r="Z996" s="2335"/>
      <c r="AA996" s="2335"/>
      <c r="AB996" s="2335"/>
      <c r="AC996" s="2337"/>
      <c r="AD996" s="2335"/>
      <c r="AE996" s="2335"/>
      <c r="AF996" s="2335"/>
      <c r="AG996" s="2335"/>
      <c r="AH996" s="2335"/>
      <c r="AI996" s="2335"/>
      <c r="AJ996" s="2335"/>
      <c r="AK996" s="2335"/>
      <c r="AL996" s="2335"/>
      <c r="AM996" s="2335"/>
      <c r="AN996" s="2335"/>
      <c r="AO996" s="2335"/>
      <c r="AP996" s="2335"/>
      <c r="AQ996" s="2335"/>
      <c r="AR996" s="2335"/>
      <c r="AS996" s="2335"/>
      <c r="AT996" s="2335"/>
      <c r="AU996" s="2335"/>
      <c r="AV996" s="2335"/>
      <c r="AW996" s="2335"/>
      <c r="AX996" s="2335"/>
      <c r="AY996" s="2335"/>
      <c r="AZ996" s="2335"/>
      <c r="BA996" s="2335"/>
      <c r="BB996" s="2335"/>
      <c r="BC996" s="2335"/>
      <c r="BD996" s="2335"/>
      <c r="BE996" s="2335"/>
      <c r="BF996" s="2335"/>
      <c r="BG996" s="2335"/>
      <c r="BH996" s="2335"/>
      <c r="BI996" s="2335"/>
      <c r="BJ996" s="2335"/>
      <c r="BK996" s="2335"/>
      <c r="BL996" s="2335"/>
      <c r="BM996" s="2335"/>
      <c r="BN996" s="2335"/>
      <c r="BO996" s="2335"/>
      <c r="BP996" s="2335"/>
      <c r="BQ996" s="2335"/>
      <c r="BR996" s="2335"/>
      <c r="BS996" s="2335"/>
      <c r="BT996" s="2335"/>
      <c r="BU996" s="2335"/>
      <c r="BV996" s="2335"/>
      <c r="BW996" s="2335"/>
      <c r="BX996" s="2335"/>
      <c r="BY996" s="2335"/>
      <c r="BZ996" s="2335"/>
      <c r="CA996" s="2335"/>
      <c r="CB996" s="2335"/>
      <c r="CC996" s="2335"/>
      <c r="CD996" s="2335"/>
      <c r="CE996" s="2335"/>
      <c r="CF996" s="2335"/>
      <c r="CG996" s="2335"/>
      <c r="CH996" s="2335"/>
      <c r="CI996" s="2335"/>
      <c r="CJ996" s="2335"/>
      <c r="CK996" s="2335"/>
      <c r="CL996" s="2335"/>
      <c r="CM996" s="2335"/>
      <c r="CN996" s="2335"/>
      <c r="CO996" s="2335"/>
      <c r="CP996" s="2335"/>
      <c r="CQ996" s="2335"/>
      <c r="CR996" s="2335"/>
      <c r="CS996" s="2335"/>
      <c r="CT996" s="2335"/>
      <c r="CU996" s="2335"/>
      <c r="CV996" s="2335"/>
      <c r="CW996" s="2335"/>
      <c r="CX996" s="2335"/>
      <c r="CY996" s="2335"/>
      <c r="CZ996" s="2335"/>
      <c r="DA996" s="2335"/>
      <c r="DB996" s="2335"/>
      <c r="DC996" s="2335"/>
      <c r="DD996" s="2335"/>
      <c r="DE996" s="2335"/>
      <c r="DF996" s="2335"/>
      <c r="DG996" s="2335"/>
      <c r="DH996" s="2335"/>
      <c r="DI996" s="2335"/>
      <c r="DJ996" s="2335"/>
      <c r="DK996" s="2335"/>
      <c r="DL996" s="2335"/>
      <c r="DM996" s="2335"/>
      <c r="DN996" s="2335"/>
      <c r="DO996" s="2335"/>
      <c r="DP996" s="2335"/>
      <c r="DQ996" s="2335"/>
      <c r="DR996" s="2335"/>
      <c r="DS996" s="2335"/>
      <c r="DT996" s="2335"/>
      <c r="DU996" s="2335"/>
      <c r="DV996" s="2335"/>
      <c r="DW996" s="2335"/>
      <c r="DX996" s="2335"/>
      <c r="DY996" s="2335"/>
      <c r="DZ996" s="2335"/>
      <c r="EA996" s="2335"/>
      <c r="EB996" s="2335"/>
      <c r="EC996" s="2335"/>
      <c r="ED996" s="2335"/>
      <c r="EE996" s="2335"/>
      <c r="EF996" s="2335"/>
      <c r="EG996" s="2335"/>
      <c r="EH996" s="2335"/>
      <c r="EI996" s="2335"/>
      <c r="EJ996" s="2335"/>
      <c r="EK996" s="2335"/>
      <c r="EL996" s="2335"/>
      <c r="EM996" s="2335"/>
      <c r="EN996" s="2335"/>
      <c r="EO996" s="2335"/>
      <c r="EP996" s="2335"/>
      <c r="EQ996" s="2335"/>
      <c r="ER996" s="2335"/>
      <c r="ES996" s="2335"/>
      <c r="ET996" s="2335"/>
      <c r="EU996" s="2335"/>
      <c r="EV996" s="2335"/>
      <c r="EW996" s="2335"/>
      <c r="EX996" s="2335"/>
      <c r="EY996" s="2335"/>
      <c r="EZ996" s="2335"/>
      <c r="FA996" s="2335"/>
      <c r="FB996" s="2335"/>
      <c r="FC996" s="2335"/>
      <c r="FD996" s="2335"/>
      <c r="FE996" s="2335"/>
      <c r="FF996" s="2335"/>
      <c r="FG996" s="2335"/>
      <c r="FH996" s="2335"/>
      <c r="FI996" s="2335"/>
      <c r="FJ996" s="2335"/>
      <c r="FK996" s="2335"/>
      <c r="FL996" s="2335"/>
      <c r="FM996" s="2335"/>
      <c r="FN996" s="2335"/>
      <c r="FO996" s="2335"/>
      <c r="FP996" s="2335"/>
      <c r="FQ996" s="2335"/>
      <c r="FR996" s="2335"/>
      <c r="FS996" s="2335"/>
      <c r="FT996" s="2335"/>
      <c r="FU996" s="2335"/>
      <c r="FV996" s="2335"/>
      <c r="FW996" s="2335"/>
      <c r="FX996" s="2335"/>
      <c r="FY996" s="2335"/>
      <c r="FZ996" s="2335"/>
      <c r="GA996" s="2335"/>
      <c r="GB996" s="2335"/>
      <c r="GC996" s="2335"/>
      <c r="GD996" s="2335"/>
      <c r="GE996" s="2335"/>
      <c r="GF996" s="2335"/>
      <c r="GG996" s="2335"/>
      <c r="GH996" s="2335"/>
      <c r="GI996" s="2335"/>
      <c r="GJ996" s="2335"/>
      <c r="GK996" s="2335"/>
      <c r="GL996" s="2335"/>
      <c r="GM996" s="2335"/>
      <c r="GN996" s="2335"/>
      <c r="GO996" s="2335"/>
      <c r="GP996" s="2335"/>
      <c r="GQ996" s="2335"/>
      <c r="GR996" s="2335"/>
      <c r="GS996" s="2335"/>
      <c r="GT996" s="2335"/>
      <c r="GU996" s="2335"/>
      <c r="GV996" s="2335"/>
      <c r="GW996" s="2335"/>
      <c r="GX996" s="2335"/>
      <c r="GY996" s="2335"/>
      <c r="GZ996" s="2335"/>
      <c r="HA996" s="2335"/>
      <c r="HB996" s="2335"/>
      <c r="HC996" s="2335"/>
      <c r="HD996" s="2335"/>
      <c r="HE996" s="2335"/>
      <c r="HF996" s="2335"/>
      <c r="HG996" s="2335"/>
      <c r="HH996" s="2335"/>
      <c r="HI996" s="2335"/>
      <c r="HJ996" s="2335"/>
      <c r="HK996" s="2335"/>
      <c r="HL996" s="2335"/>
      <c r="HM996" s="2335"/>
      <c r="HN996" s="2335"/>
      <c r="HO996" s="2335"/>
      <c r="HP996" s="2335"/>
      <c r="HQ996" s="2335"/>
      <c r="HR996" s="2335"/>
      <c r="HS996" s="2335"/>
      <c r="HT996" s="2335"/>
      <c r="HU996" s="2335"/>
      <c r="HV996" s="2335"/>
      <c r="HW996" s="2335"/>
      <c r="HX996" s="2335"/>
      <c r="HY996" s="2335"/>
      <c r="HZ996" s="2335"/>
      <c r="IA996" s="2335"/>
      <c r="IB996" s="2335"/>
      <c r="IC996" s="2335"/>
      <c r="ID996" s="2335"/>
      <c r="IE996" s="2335"/>
      <c r="IF996" s="2335"/>
      <c r="IG996" s="2335"/>
      <c r="IH996" s="2335"/>
      <c r="II996" s="2335"/>
      <c r="IJ996" s="2335"/>
      <c r="IK996" s="2335"/>
      <c r="IL996" s="2335"/>
      <c r="IM996" s="2335"/>
      <c r="IN996" s="2335"/>
      <c r="IO996" s="2335"/>
      <c r="IP996" s="2335"/>
      <c r="IQ996" s="2335"/>
      <c r="IR996" s="2335"/>
      <c r="IS996" s="2335"/>
      <c r="IT996" s="2335"/>
      <c r="IU996" s="2335"/>
      <c r="IV996" s="2335"/>
      <c r="IW996" s="2335"/>
      <c r="IX996" s="2335"/>
      <c r="IY996" s="2335"/>
      <c r="IZ996" s="2335"/>
      <c r="JA996" s="2335"/>
      <c r="JB996" s="2335"/>
      <c r="JC996" s="2335"/>
      <c r="JD996" s="2335"/>
      <c r="JE996" s="2335"/>
      <c r="JF996" s="2335"/>
      <c r="JG996" s="2335"/>
      <c r="JH996" s="2335"/>
      <c r="JI996" s="2335"/>
      <c r="JJ996" s="2335"/>
      <c r="JK996" s="2335"/>
      <c r="JL996" s="2335"/>
      <c r="JM996" s="2335"/>
      <c r="JN996" s="2335"/>
      <c r="JO996" s="2335"/>
      <c r="JP996" s="2335"/>
      <c r="JQ996" s="2335"/>
      <c r="JR996" s="2335"/>
      <c r="JS996" s="2335"/>
      <c r="JT996" s="2335"/>
      <c r="JU996" s="2335"/>
      <c r="JV996" s="2335"/>
      <c r="JW996" s="2335"/>
      <c r="JX996" s="2335"/>
      <c r="JY996" s="2335"/>
      <c r="JZ996" s="2335"/>
      <c r="KA996" s="2335"/>
      <c r="KB996" s="2335"/>
      <c r="KC996" s="2335"/>
      <c r="KD996" s="2335"/>
      <c r="KE996" s="2335"/>
      <c r="KF996" s="2335"/>
      <c r="KG996" s="2335"/>
      <c r="KH996" s="2335"/>
      <c r="KI996" s="2335"/>
      <c r="KJ996" s="2335"/>
      <c r="KK996" s="2335"/>
      <c r="KL996" s="2335"/>
      <c r="KM996" s="2335"/>
      <c r="KN996" s="2335"/>
      <c r="KO996" s="2335"/>
      <c r="KP996" s="2335"/>
      <c r="KQ996" s="2335"/>
      <c r="KR996" s="2335"/>
      <c r="KS996" s="2335"/>
      <c r="KT996" s="2335"/>
      <c r="KU996" s="2335"/>
      <c r="KV996" s="2335"/>
      <c r="KW996" s="2335"/>
      <c r="KX996" s="2335"/>
      <c r="KY996" s="2335"/>
      <c r="KZ996" s="2335"/>
      <c r="LA996" s="2335"/>
      <c r="LB996" s="2335"/>
      <c r="LC996" s="2335"/>
      <c r="LD996" s="2335"/>
      <c r="LE996" s="2335"/>
      <c r="LF996" s="2335"/>
      <c r="LG996" s="2335"/>
      <c r="LH996" s="2335"/>
      <c r="LI996" s="2335"/>
      <c r="LJ996" s="2335"/>
      <c r="LK996" s="2335"/>
      <c r="LL996" s="2335"/>
      <c r="LM996" s="2335"/>
      <c r="LN996" s="2335"/>
      <c r="LO996" s="2335"/>
      <c r="LP996" s="2335"/>
      <c r="LQ996" s="2335"/>
      <c r="LR996" s="2335"/>
      <c r="LS996" s="2335"/>
      <c r="LT996" s="2335"/>
      <c r="LU996" s="2335"/>
      <c r="LV996" s="2335"/>
      <c r="LW996" s="2335"/>
      <c r="LX996" s="2335"/>
      <c r="LY996" s="2335"/>
      <c r="LZ996" s="2335"/>
      <c r="MA996" s="2335"/>
      <c r="MB996" s="2335"/>
      <c r="MC996" s="2335"/>
      <c r="MD996" s="2335"/>
      <c r="ME996" s="2335"/>
      <c r="MF996" s="2335"/>
      <c r="MG996" s="2335"/>
      <c r="MH996" s="2335"/>
      <c r="MI996" s="2335"/>
      <c r="MJ996" s="2335"/>
      <c r="MK996" s="2335"/>
      <c r="ML996" s="2335"/>
      <c r="MM996" s="2335"/>
      <c r="MN996" s="2335"/>
      <c r="MO996" s="2335"/>
      <c r="MP996" s="2335"/>
      <c r="MQ996" s="2335"/>
      <c r="MR996" s="2335"/>
      <c r="MS996" s="2335"/>
      <c r="MT996" s="2335"/>
      <c r="MU996" s="2335"/>
      <c r="MV996" s="2335"/>
      <c r="MW996" s="2335"/>
      <c r="MX996" s="2335"/>
      <c r="MY996" s="2335"/>
      <c r="MZ996" s="2335"/>
      <c r="NA996" s="2335"/>
      <c r="NB996" s="2335"/>
      <c r="NC996" s="2335"/>
      <c r="ND996" s="2335"/>
      <c r="NE996" s="2335"/>
      <c r="NF996" s="2335"/>
      <c r="NG996" s="2335"/>
      <c r="NH996" s="2335"/>
      <c r="NI996" s="2335"/>
      <c r="NJ996" s="2335"/>
      <c r="NK996" s="2335"/>
      <c r="NL996" s="2335"/>
      <c r="NM996" s="2335"/>
      <c r="NN996" s="2335"/>
      <c r="NO996" s="2335"/>
      <c r="NP996" s="2335"/>
      <c r="NQ996" s="2335"/>
      <c r="NR996" s="2335"/>
      <c r="NS996" s="2335"/>
      <c r="NT996" s="2335"/>
      <c r="NU996" s="2335"/>
      <c r="NV996" s="2335"/>
      <c r="NW996" s="2335"/>
      <c r="NX996" s="2335"/>
      <c r="NY996" s="2335"/>
      <c r="NZ996" s="2335"/>
      <c r="OA996" s="2335"/>
      <c r="OB996" s="2335"/>
      <c r="OC996" s="2335"/>
      <c r="OD996" s="2335"/>
      <c r="OE996" s="2335"/>
      <c r="OF996" s="2335"/>
      <c r="OG996" s="2335"/>
      <c r="OH996" s="2335"/>
      <c r="OI996" s="2335"/>
      <c r="OJ996" s="2335"/>
      <c r="OK996" s="2335"/>
      <c r="OL996" s="2335"/>
      <c r="OM996" s="2335"/>
      <c r="ON996" s="2335"/>
      <c r="OO996" s="2335"/>
      <c r="OP996" s="2335"/>
      <c r="OQ996" s="2335"/>
      <c r="OR996" s="2335"/>
      <c r="OS996" s="2335"/>
      <c r="OT996" s="2335"/>
      <c r="OU996" s="2335"/>
      <c r="OV996" s="2335"/>
      <c r="OW996" s="2335"/>
      <c r="OX996" s="2335"/>
      <c r="OY996" s="2335"/>
      <c r="OZ996" s="2335"/>
      <c r="PA996" s="2335"/>
      <c r="PB996" s="2335"/>
      <c r="PC996" s="2335"/>
      <c r="PD996" s="2335"/>
      <c r="PE996" s="2335"/>
      <c r="PF996" s="2335"/>
      <c r="PG996" s="2335"/>
      <c r="PH996" s="2335"/>
      <c r="PI996" s="2335"/>
      <c r="PJ996" s="2335"/>
      <c r="PK996" s="2335"/>
      <c r="PL996" s="2335"/>
      <c r="PM996" s="2335"/>
      <c r="PN996" s="2335"/>
      <c r="PO996" s="2335"/>
      <c r="PP996" s="2335"/>
      <c r="PQ996" s="2335"/>
      <c r="PR996" s="2335"/>
      <c r="PS996" s="2335"/>
      <c r="PT996" s="2335"/>
      <c r="PU996" s="2335"/>
      <c r="PV996" s="2335"/>
      <c r="PW996" s="2335"/>
      <c r="PX996" s="2335"/>
      <c r="PY996" s="2335"/>
      <c r="PZ996" s="2335"/>
      <c r="QA996" s="2335"/>
      <c r="QB996" s="2335"/>
      <c r="QC996" s="2335"/>
      <c r="QD996" s="2335"/>
      <c r="QE996" s="2335"/>
      <c r="QF996" s="2335"/>
      <c r="QG996" s="2335"/>
      <c r="QH996" s="2335"/>
      <c r="QI996" s="2335"/>
      <c r="QJ996" s="2335"/>
      <c r="QK996" s="2335"/>
      <c r="QL996" s="2335"/>
      <c r="QM996" s="2335"/>
      <c r="QN996" s="2335"/>
      <c r="QO996" s="2335"/>
      <c r="QP996" s="2335"/>
      <c r="QQ996" s="2335"/>
      <c r="QR996" s="2335"/>
      <c r="QS996" s="2335"/>
      <c r="QT996" s="2335"/>
      <c r="QU996" s="2335"/>
      <c r="QV996" s="2335"/>
      <c r="QW996" s="2335"/>
      <c r="QX996" s="2335"/>
      <c r="QY996" s="2335"/>
      <c r="QZ996" s="2335"/>
      <c r="RA996" s="2335"/>
      <c r="RB996" s="2335"/>
      <c r="RC996" s="2335"/>
      <c r="RD996" s="2335"/>
      <c r="RE996" s="2335"/>
      <c r="RF996" s="2335"/>
      <c r="RG996" s="2335"/>
      <c r="RH996" s="2335"/>
      <c r="RI996" s="2335"/>
      <c r="RJ996" s="2335"/>
      <c r="RK996" s="2335"/>
      <c r="RL996" s="2335"/>
      <c r="RM996" s="2335"/>
      <c r="RN996" s="2335"/>
      <c r="RO996" s="2335"/>
      <c r="RP996" s="2335"/>
      <c r="RQ996" s="2335"/>
      <c r="RR996" s="2335"/>
      <c r="RS996" s="2335"/>
      <c r="RT996" s="2335"/>
      <c r="RU996" s="2335"/>
      <c r="RV996" s="2335"/>
      <c r="RW996" s="2335"/>
      <c r="RX996" s="2335"/>
      <c r="RY996" s="2335"/>
      <c r="RZ996" s="2335"/>
      <c r="SA996" s="2335"/>
      <c r="SB996" s="2335"/>
      <c r="SC996" s="2335"/>
      <c r="SD996" s="2335"/>
      <c r="SE996" s="2335"/>
      <c r="SF996" s="2335"/>
      <c r="SG996" s="2335"/>
      <c r="SH996" s="2335"/>
      <c r="SI996" s="2335"/>
      <c r="SJ996" s="2335"/>
      <c r="SK996" s="2335"/>
      <c r="SL996" s="2335"/>
      <c r="SM996" s="2335"/>
      <c r="SN996" s="2335"/>
      <c r="SO996" s="2335"/>
      <c r="SP996" s="2335"/>
      <c r="SQ996" s="2335"/>
      <c r="SR996" s="2335"/>
      <c r="SS996" s="2335"/>
      <c r="ST996" s="2335"/>
      <c r="SU996" s="2335"/>
      <c r="SV996" s="2335"/>
      <c r="SW996" s="2335"/>
      <c r="SX996" s="2335"/>
      <c r="SY996" s="2335"/>
      <c r="SZ996" s="2335"/>
      <c r="TA996" s="2335"/>
      <c r="TB996" s="2335"/>
      <c r="TC996" s="2335"/>
      <c r="TD996" s="2335"/>
      <c r="TE996" s="2335"/>
      <c r="TF996" s="2335"/>
      <c r="TG996" s="2335"/>
      <c r="TH996" s="2335"/>
      <c r="TI996" s="2335"/>
      <c r="TJ996" s="2335"/>
      <c r="TK996" s="2335"/>
      <c r="TL996" s="2335"/>
      <c r="TM996" s="2335"/>
      <c r="TN996" s="2335"/>
      <c r="TO996" s="2335"/>
      <c r="TP996" s="2335"/>
      <c r="TQ996" s="2335"/>
      <c r="TR996" s="2335"/>
      <c r="TS996" s="2335"/>
      <c r="TT996" s="2335"/>
      <c r="TU996" s="2335"/>
      <c r="TV996" s="2335"/>
      <c r="TW996" s="2335"/>
      <c r="TX996" s="2335"/>
      <c r="TY996" s="2335"/>
      <c r="TZ996" s="2335"/>
      <c r="UA996" s="2335"/>
      <c r="UB996" s="2335"/>
      <c r="UC996" s="2335"/>
      <c r="UD996" s="2335"/>
      <c r="UE996" s="2335"/>
      <c r="UF996" s="2335"/>
      <c r="UG996" s="2335"/>
      <c r="UH996" s="2335"/>
      <c r="UI996" s="2335"/>
      <c r="UJ996" s="2335"/>
      <c r="UK996" s="2335"/>
      <c r="UL996" s="2335"/>
      <c r="UM996" s="2335"/>
      <c r="UN996" s="2335"/>
      <c r="UO996" s="2335"/>
      <c r="UP996" s="2335"/>
      <c r="UQ996" s="2335"/>
      <c r="UR996" s="2335"/>
      <c r="US996" s="2335"/>
      <c r="UT996" s="2335"/>
      <c r="UU996" s="2335"/>
      <c r="UV996" s="2335"/>
      <c r="UW996" s="2335"/>
      <c r="UX996" s="2335"/>
      <c r="UY996" s="2335"/>
      <c r="UZ996" s="2335"/>
      <c r="VA996" s="2335"/>
      <c r="VB996" s="2335"/>
      <c r="VC996" s="2335"/>
      <c r="VD996" s="2335"/>
      <c r="VE996" s="2335"/>
      <c r="VF996" s="2335"/>
      <c r="VG996" s="2335"/>
      <c r="VH996" s="2335"/>
      <c r="VI996" s="2335"/>
      <c r="VJ996" s="2335"/>
      <c r="VK996" s="2335"/>
      <c r="VL996" s="2335"/>
      <c r="VM996" s="2335"/>
      <c r="VN996" s="2335"/>
      <c r="VO996" s="2335"/>
      <c r="VP996" s="2335"/>
      <c r="VQ996" s="2335"/>
      <c r="VR996" s="2335"/>
      <c r="VS996" s="2335"/>
      <c r="VT996" s="2335"/>
      <c r="VU996" s="2335"/>
      <c r="VV996" s="2335"/>
      <c r="VW996" s="2335"/>
      <c r="VX996" s="2335"/>
      <c r="VY996" s="2335"/>
      <c r="VZ996" s="2335"/>
      <c r="WA996" s="2335"/>
      <c r="WB996" s="2335"/>
      <c r="WC996" s="2335"/>
      <c r="WD996" s="2335"/>
      <c r="WE996" s="2335"/>
      <c r="WF996" s="2335"/>
      <c r="WG996" s="2335"/>
      <c r="WH996" s="2335"/>
      <c r="WI996" s="2335"/>
      <c r="WJ996" s="2335"/>
      <c r="WK996" s="2335"/>
      <c r="WL996" s="2335"/>
      <c r="WM996" s="2335"/>
      <c r="WN996" s="2335"/>
      <c r="WO996" s="2335"/>
      <c r="WP996" s="2335"/>
      <c r="WQ996" s="2335"/>
      <c r="WR996" s="2335"/>
      <c r="WS996" s="2335"/>
      <c r="WT996" s="2335"/>
      <c r="WU996" s="2335"/>
      <c r="WV996" s="2335"/>
      <c r="WW996" s="2335"/>
      <c r="WX996" s="2335"/>
      <c r="WY996" s="2335"/>
      <c r="WZ996" s="2335"/>
      <c r="XA996" s="2335"/>
      <c r="XB996" s="2335"/>
      <c r="XC996" s="2335"/>
      <c r="XD996" s="2335"/>
      <c r="XE996" s="2335"/>
      <c r="XF996" s="2335"/>
      <c r="XG996" s="2335"/>
      <c r="XH996" s="2335"/>
      <c r="XI996" s="2335"/>
      <c r="XJ996" s="2335"/>
      <c r="XK996" s="2335"/>
      <c r="XL996" s="2335"/>
      <c r="XM996" s="2335"/>
      <c r="XN996" s="2335"/>
      <c r="XO996" s="2335"/>
      <c r="XP996" s="2335"/>
      <c r="XQ996" s="2335"/>
      <c r="XR996" s="2335"/>
      <c r="XS996" s="2335"/>
      <c r="XT996" s="2335"/>
      <c r="XU996" s="2335"/>
      <c r="XV996" s="2335"/>
      <c r="XW996" s="2335"/>
      <c r="XX996" s="2335"/>
      <c r="XY996" s="2335"/>
      <c r="XZ996" s="2335"/>
      <c r="YA996" s="2335"/>
      <c r="YB996" s="2335"/>
      <c r="YC996" s="2335"/>
      <c r="YD996" s="2335"/>
      <c r="YE996" s="2335"/>
      <c r="YF996" s="2335"/>
      <c r="YG996" s="2335"/>
      <c r="YH996" s="2335"/>
      <c r="YI996" s="2335"/>
      <c r="YJ996" s="2335"/>
      <c r="YK996" s="2335"/>
      <c r="YL996" s="2335"/>
      <c r="YM996" s="2335"/>
      <c r="YN996" s="2335"/>
      <c r="YO996" s="2335"/>
      <c r="YP996" s="2335"/>
      <c r="YQ996" s="2335"/>
      <c r="YR996" s="2335"/>
      <c r="YS996" s="2335"/>
      <c r="YT996" s="2335"/>
      <c r="YU996" s="2335"/>
      <c r="YV996" s="2335"/>
      <c r="YW996" s="2335"/>
      <c r="YX996" s="2335"/>
      <c r="YY996" s="2335"/>
      <c r="YZ996" s="2335"/>
      <c r="ZA996" s="2335"/>
      <c r="ZB996" s="2335"/>
      <c r="ZC996" s="2335"/>
      <c r="ZD996" s="2335"/>
      <c r="ZE996" s="2335"/>
      <c r="ZF996" s="2335"/>
      <c r="ZG996" s="2335"/>
      <c r="ZH996" s="2335"/>
      <c r="ZI996" s="2335"/>
      <c r="ZJ996" s="2335"/>
      <c r="ZK996" s="2335"/>
      <c r="ZL996" s="2335"/>
      <c r="ZM996" s="2335"/>
      <c r="ZN996" s="2335"/>
      <c r="ZO996" s="2335"/>
      <c r="ZP996" s="2335"/>
      <c r="ZQ996" s="2335"/>
      <c r="ZR996" s="2335"/>
      <c r="ZS996" s="2335"/>
      <c r="ZT996" s="2335"/>
      <c r="ZU996" s="2335"/>
      <c r="ZV996" s="2335"/>
      <c r="ZW996" s="2335"/>
      <c r="ZX996" s="2335"/>
      <c r="ZY996" s="2335"/>
      <c r="ZZ996" s="2335"/>
      <c r="AAA996" s="2335"/>
      <c r="AAB996" s="2335"/>
      <c r="AAC996" s="2335"/>
      <c r="AAD996" s="2335"/>
      <c r="AAE996" s="2335"/>
      <c r="AAF996" s="2335"/>
      <c r="AAG996" s="2335"/>
      <c r="AAH996" s="2335"/>
      <c r="AAI996" s="2335"/>
      <c r="AAJ996" s="2335"/>
      <c r="AAK996" s="2335"/>
      <c r="AAL996" s="2335"/>
      <c r="AAM996" s="2335"/>
      <c r="AAN996" s="2335"/>
      <c r="AAO996" s="2335"/>
      <c r="AAP996" s="2335"/>
      <c r="AAQ996" s="2335"/>
      <c r="AAR996" s="2335"/>
      <c r="AAS996" s="2335"/>
      <c r="AAT996" s="2335"/>
      <c r="AAU996" s="2335"/>
      <c r="AAV996" s="2335"/>
      <c r="AAW996" s="2335"/>
      <c r="AAX996" s="2335"/>
      <c r="AAY996" s="2335"/>
      <c r="AAZ996" s="2335"/>
      <c r="ABA996" s="2335"/>
      <c r="ABB996" s="2335"/>
      <c r="ABC996" s="2335"/>
      <c r="ABD996" s="2335"/>
      <c r="ABE996" s="2335"/>
      <c r="ABF996" s="2335"/>
      <c r="ABG996" s="2335"/>
      <c r="ABH996" s="2335"/>
      <c r="ABI996" s="2335"/>
      <c r="ABJ996" s="2335"/>
      <c r="ABK996" s="2335"/>
      <c r="ABL996" s="2335"/>
      <c r="ABM996" s="2335"/>
      <c r="ABN996" s="2335"/>
      <c r="ABO996" s="2335"/>
      <c r="ABP996" s="2335"/>
      <c r="ABQ996" s="2335"/>
      <c r="ABR996" s="2335"/>
      <c r="ABS996" s="2335"/>
      <c r="ABT996" s="2335"/>
      <c r="ABU996" s="2335"/>
      <c r="ABV996" s="2335"/>
      <c r="ABW996" s="2335"/>
      <c r="ABX996" s="2335"/>
      <c r="ABY996" s="2335"/>
      <c r="ABZ996" s="2335"/>
      <c r="ACA996" s="2335"/>
      <c r="ACB996" s="2335"/>
      <c r="ACC996" s="2335"/>
      <c r="ACD996" s="2335"/>
      <c r="ACE996" s="2335"/>
      <c r="ACF996" s="2335"/>
      <c r="ACG996" s="2335"/>
      <c r="ACH996" s="2335"/>
      <c r="ACI996" s="2335"/>
      <c r="ACJ996" s="2335"/>
      <c r="ACK996" s="2335"/>
      <c r="ACL996" s="2335"/>
      <c r="ACM996" s="2335"/>
      <c r="ACN996" s="2335"/>
      <c r="ACO996" s="2335"/>
      <c r="ACP996" s="2335"/>
      <c r="ACQ996" s="2335"/>
      <c r="ACR996" s="2335"/>
      <c r="ACS996" s="2335"/>
      <c r="ACT996" s="2335"/>
      <c r="ACU996" s="2335"/>
      <c r="ACV996" s="2335"/>
      <c r="ACW996" s="2335"/>
      <c r="ACX996" s="2335"/>
      <c r="ACY996" s="2335"/>
      <c r="ACZ996" s="2335"/>
      <c r="ADA996" s="2335"/>
      <c r="ADB996" s="2335"/>
      <c r="ADC996" s="2335"/>
      <c r="ADD996" s="2335"/>
      <c r="ADE996" s="2335"/>
      <c r="ADF996" s="2335"/>
      <c r="ADG996" s="2335"/>
      <c r="ADH996" s="2335"/>
      <c r="ADI996" s="2335"/>
      <c r="ADJ996" s="2335"/>
      <c r="ADK996" s="2335"/>
      <c r="ADL996" s="2335"/>
      <c r="ADM996" s="2335"/>
      <c r="ADN996" s="2335"/>
      <c r="ADO996" s="2335"/>
      <c r="ADP996" s="2335"/>
      <c r="ADQ996" s="2335"/>
      <c r="ADR996" s="2335"/>
      <c r="ADS996" s="2335"/>
      <c r="ADT996" s="2335"/>
      <c r="ADU996" s="2335"/>
      <c r="ADV996" s="2335"/>
      <c r="ADW996" s="2335"/>
      <c r="ADX996" s="2335"/>
      <c r="ADY996" s="2335"/>
      <c r="ADZ996" s="2335"/>
      <c r="AEA996" s="2335"/>
      <c r="AEB996" s="2335"/>
      <c r="AEC996" s="2335"/>
      <c r="AED996" s="2335"/>
      <c r="AEE996" s="2335"/>
      <c r="AEF996" s="2335"/>
      <c r="AEG996" s="2335"/>
      <c r="AEH996" s="2335"/>
      <c r="AEI996" s="2335"/>
      <c r="AEJ996" s="2335"/>
      <c r="AEK996" s="2335"/>
      <c r="AEL996" s="2335"/>
      <c r="AEM996" s="2335"/>
      <c r="AEN996" s="2335"/>
      <c r="AEO996" s="2335"/>
      <c r="AEP996" s="2335"/>
      <c r="AEQ996" s="2335"/>
      <c r="AER996" s="2335"/>
      <c r="AES996" s="2335"/>
      <c r="AET996" s="2335"/>
      <c r="AEU996" s="2335"/>
      <c r="AEV996" s="2335"/>
      <c r="AEW996" s="2335"/>
      <c r="AEX996" s="2335"/>
      <c r="AEY996" s="2335"/>
      <c r="AEZ996" s="2335"/>
      <c r="AFA996" s="2335"/>
      <c r="AFB996" s="2335"/>
      <c r="AFC996" s="2335"/>
      <c r="AFD996" s="2335"/>
      <c r="AFE996" s="2335"/>
      <c r="AFF996" s="2335"/>
      <c r="AFG996" s="2335"/>
      <c r="AFH996" s="2335"/>
      <c r="AFI996" s="2335"/>
      <c r="AFJ996" s="2335"/>
      <c r="AFK996" s="2335"/>
      <c r="AFL996" s="2335"/>
      <c r="AFM996" s="2335"/>
      <c r="AFN996" s="2335"/>
      <c r="AFO996" s="2335"/>
      <c r="AFP996" s="2335"/>
      <c r="AFQ996" s="2335"/>
      <c r="AFR996" s="2335"/>
      <c r="AFS996" s="2335"/>
      <c r="AFT996" s="2335"/>
      <c r="AFU996" s="2335"/>
      <c r="AFV996" s="2335"/>
      <c r="AFW996" s="2335"/>
      <c r="AFX996" s="2335"/>
      <c r="AFY996" s="2335"/>
      <c r="AFZ996" s="2335"/>
      <c r="AGA996" s="2335"/>
      <c r="AGB996" s="2335"/>
      <c r="AGC996" s="2335"/>
      <c r="AGD996" s="2335"/>
      <c r="AGE996" s="2335"/>
      <c r="AGF996" s="2335"/>
      <c r="AGG996" s="2335"/>
      <c r="AGH996" s="2335"/>
      <c r="AGI996" s="2335"/>
      <c r="AGJ996" s="2335"/>
      <c r="AGK996" s="2335"/>
      <c r="AGL996" s="2335"/>
      <c r="AGM996" s="2335"/>
      <c r="AGN996" s="2335"/>
      <c r="AGO996" s="2335"/>
      <c r="AGP996" s="2335"/>
      <c r="AGQ996" s="2335"/>
      <c r="AGR996" s="2335"/>
      <c r="AGS996" s="2335"/>
      <c r="AGT996" s="2335"/>
      <c r="AGU996" s="2335"/>
      <c r="AGV996" s="2335"/>
      <c r="AGW996" s="2335"/>
      <c r="AGX996" s="2335"/>
      <c r="AGY996" s="2335"/>
      <c r="AGZ996" s="2335"/>
      <c r="AHA996" s="2335"/>
      <c r="AHB996" s="2335"/>
      <c r="AHC996" s="2335"/>
      <c r="AHD996" s="2335"/>
      <c r="AHE996" s="2335"/>
      <c r="AHF996" s="2335"/>
      <c r="AHG996" s="2335"/>
      <c r="AHH996" s="2335"/>
      <c r="AHI996" s="2335"/>
      <c r="AHJ996" s="2335"/>
      <c r="AHK996" s="2335"/>
      <c r="AHL996" s="2335"/>
      <c r="AHM996" s="2335"/>
      <c r="AHN996" s="2335"/>
      <c r="AHO996" s="2335"/>
      <c r="AHP996" s="2335"/>
      <c r="AHQ996" s="2335"/>
      <c r="AHR996" s="2335"/>
      <c r="AHS996" s="2335"/>
      <c r="AHT996" s="2335"/>
      <c r="AHU996" s="2335"/>
      <c r="AHV996" s="2335"/>
      <c r="AHW996" s="2335"/>
      <c r="AHX996" s="2335"/>
      <c r="AHY996" s="2335"/>
      <c r="AHZ996" s="2335"/>
      <c r="AIA996" s="2335"/>
      <c r="AIB996" s="2335"/>
      <c r="AIC996" s="2335"/>
      <c r="AID996" s="2335"/>
      <c r="AIE996" s="2335"/>
      <c r="AIF996" s="2335"/>
      <c r="AIG996" s="2335"/>
      <c r="AIH996" s="2335"/>
      <c r="AII996" s="2335"/>
      <c r="AIJ996" s="2335"/>
      <c r="AIK996" s="2335"/>
      <c r="AIL996" s="2335"/>
      <c r="AIM996" s="2335"/>
      <c r="AIN996" s="2335"/>
      <c r="AIO996" s="2335"/>
      <c r="AIP996" s="2335"/>
      <c r="AIQ996" s="2335"/>
      <c r="AIR996" s="2335"/>
      <c r="AIS996" s="2335"/>
      <c r="AIT996" s="2335"/>
      <c r="AIU996" s="2335"/>
      <c r="AIV996" s="2335"/>
      <c r="AIW996" s="2335"/>
      <c r="AIX996" s="2335"/>
      <c r="AIY996" s="2335"/>
      <c r="AIZ996" s="2335"/>
      <c r="AJA996" s="2335"/>
      <c r="AJB996" s="2335"/>
      <c r="AJC996" s="2335"/>
      <c r="AJD996" s="2335"/>
      <c r="AJE996" s="2335"/>
      <c r="AJF996" s="2335"/>
      <c r="AJG996" s="2335"/>
      <c r="AJH996" s="2335"/>
      <c r="AJI996" s="2335"/>
      <c r="AJJ996" s="2335"/>
      <c r="AJK996" s="2335"/>
      <c r="AJL996" s="2335"/>
      <c r="AJM996" s="2335"/>
      <c r="AJN996" s="2335"/>
      <c r="AJO996" s="2335"/>
      <c r="AJP996" s="2335"/>
      <c r="AJQ996" s="2335"/>
      <c r="AJR996" s="2335"/>
      <c r="AJS996" s="2335"/>
      <c r="AJT996" s="2335"/>
      <c r="AJU996" s="2335"/>
      <c r="AJV996" s="2335"/>
      <c r="AJW996" s="2335"/>
      <c r="AJX996" s="2335"/>
      <c r="AJY996" s="2335"/>
      <c r="AJZ996" s="2335"/>
      <c r="AKA996" s="2335"/>
      <c r="AKB996" s="2335"/>
      <c r="AKC996" s="2335"/>
      <c r="AKD996" s="2335"/>
      <c r="AKE996" s="2335"/>
      <c r="AKF996" s="2335"/>
      <c r="AKG996" s="2335"/>
      <c r="AKH996" s="2335"/>
      <c r="AKI996" s="2335"/>
      <c r="AKJ996" s="2335"/>
      <c r="AKK996" s="2335"/>
      <c r="AKL996" s="2335"/>
      <c r="AKM996" s="2335"/>
      <c r="AKN996" s="2335"/>
      <c r="AKO996" s="2335"/>
      <c r="AKP996" s="2335"/>
      <c r="AKQ996" s="2335"/>
      <c r="AKR996" s="2335"/>
      <c r="AKS996" s="2335"/>
      <c r="AKT996" s="2335"/>
      <c r="AKU996" s="2335"/>
      <c r="AKV996" s="2335"/>
      <c r="AKW996" s="2335"/>
      <c r="AKX996" s="2335"/>
      <c r="AKY996" s="2335"/>
      <c r="AKZ996" s="2335"/>
      <c r="ALA996" s="2335"/>
      <c r="ALB996" s="2335"/>
      <c r="ALC996" s="2335"/>
      <c r="ALD996" s="2335"/>
      <c r="ALE996" s="2335"/>
      <c r="ALF996" s="2335"/>
      <c r="ALG996" s="2335"/>
      <c r="ALH996" s="2335"/>
      <c r="ALI996" s="2335"/>
      <c r="ALJ996" s="2335"/>
      <c r="ALK996" s="2335"/>
      <c r="ALL996" s="2335"/>
      <c r="ALM996" s="2335"/>
      <c r="ALN996" s="2335"/>
      <c r="ALO996" s="2335"/>
      <c r="ALP996" s="2335"/>
      <c r="ALQ996" s="2335"/>
      <c r="ALR996" s="2335"/>
      <c r="ALS996" s="2335"/>
      <c r="ALT996" s="2335"/>
      <c r="ALU996" s="2335"/>
      <c r="ALV996" s="2335"/>
      <c r="ALW996" s="2335"/>
      <c r="ALX996" s="2335"/>
      <c r="ALY996" s="2335"/>
      <c r="ALZ996" s="2335"/>
      <c r="AMA996" s="2335"/>
      <c r="AMB996" s="2335"/>
      <c r="AMC996" s="2335"/>
      <c r="AMD996" s="2335"/>
      <c r="AME996" s="2335"/>
      <c r="AMF996" s="2335"/>
      <c r="AMG996" s="2335"/>
      <c r="AMH996" s="2335"/>
      <c r="AMI996" s="2335"/>
      <c r="AMJ996" s="2335"/>
      <c r="AMK996" s="2335"/>
      <c r="AML996" s="2335"/>
      <c r="AMM996" s="2335"/>
      <c r="AMN996" s="2335"/>
      <c r="AMO996" s="2335"/>
      <c r="AMP996" s="2335"/>
      <c r="AMQ996" s="2335"/>
      <c r="AMR996" s="2335"/>
      <c r="AMS996" s="2335"/>
      <c r="AMT996" s="2335"/>
      <c r="AMU996" s="2335"/>
      <c r="AMV996" s="2335"/>
      <c r="AMW996" s="2335"/>
      <c r="AMX996" s="2335"/>
      <c r="AMY996" s="2335"/>
      <c r="AMZ996" s="2335"/>
      <c r="ANA996" s="2335"/>
      <c r="ANB996" s="2335"/>
      <c r="ANC996" s="2335"/>
      <c r="AND996" s="2335"/>
      <c r="ANE996" s="2335"/>
      <c r="ANF996" s="2335"/>
      <c r="ANG996" s="2335"/>
      <c r="ANH996" s="2335"/>
      <c r="ANI996" s="2335"/>
      <c r="ANJ996" s="2335"/>
      <c r="ANK996" s="2335"/>
      <c r="ANL996" s="2335"/>
      <c r="ANM996" s="2335"/>
      <c r="ANN996" s="2335"/>
      <c r="ANO996" s="2335"/>
      <c r="ANP996" s="2335"/>
      <c r="ANQ996" s="2335"/>
      <c r="ANR996" s="2335"/>
      <c r="ANS996" s="2335"/>
      <c r="ANT996" s="2335"/>
      <c r="ANU996" s="2335"/>
      <c r="ANV996" s="2335"/>
      <c r="ANW996" s="2335"/>
      <c r="ANX996" s="2335"/>
      <c r="ANY996" s="2335"/>
      <c r="ANZ996" s="2335"/>
      <c r="AOA996" s="2335"/>
      <c r="AOB996" s="2335"/>
      <c r="AOC996" s="2335"/>
      <c r="AOD996" s="2335"/>
      <c r="AOE996" s="2335"/>
      <c r="AOF996" s="2335"/>
      <c r="AOG996" s="2335"/>
      <c r="AOH996" s="2335"/>
      <c r="AOI996" s="2335"/>
      <c r="AOJ996" s="2335"/>
      <c r="AOK996" s="2335"/>
      <c r="AOL996" s="2335"/>
      <c r="AOM996" s="2335"/>
      <c r="AON996" s="2335"/>
      <c r="AOO996" s="2335"/>
      <c r="AOP996" s="2335"/>
      <c r="AOQ996" s="2335"/>
      <c r="AOR996" s="2335"/>
      <c r="AOS996" s="2335"/>
      <c r="AOT996" s="2335"/>
      <c r="AOU996" s="2335"/>
      <c r="AOV996" s="2335"/>
      <c r="AOW996" s="2335"/>
      <c r="AOX996" s="2335"/>
      <c r="AOY996" s="2335"/>
      <c r="AOZ996" s="2335"/>
      <c r="APA996" s="2335"/>
      <c r="APB996" s="2335"/>
      <c r="APC996" s="2335"/>
      <c r="APD996" s="2335"/>
      <c r="APE996" s="2335"/>
      <c r="APF996" s="2335"/>
      <c r="APG996" s="2335"/>
      <c r="APH996" s="2335"/>
      <c r="API996" s="2335"/>
      <c r="APJ996" s="2335"/>
      <c r="APK996" s="2335"/>
      <c r="APL996" s="2335"/>
      <c r="APM996" s="2335"/>
      <c r="APN996" s="2335"/>
      <c r="APO996" s="2335"/>
      <c r="APP996" s="2335"/>
      <c r="APQ996" s="2335"/>
      <c r="APR996" s="2335"/>
      <c r="APS996" s="2335"/>
      <c r="APT996" s="2335"/>
      <c r="APU996" s="2335"/>
      <c r="APV996" s="2335"/>
      <c r="APW996" s="2335"/>
      <c r="APX996" s="2335"/>
      <c r="APY996" s="2335"/>
      <c r="APZ996" s="2335"/>
      <c r="AQA996" s="2335"/>
      <c r="AQB996" s="2335"/>
      <c r="AQC996" s="2335"/>
      <c r="AQD996" s="2335"/>
      <c r="AQE996" s="2335"/>
      <c r="AQF996" s="2335"/>
      <c r="AQG996" s="2335"/>
      <c r="AQH996" s="2335"/>
      <c r="AQI996" s="2335"/>
      <c r="AQJ996" s="2335"/>
      <c r="AQK996" s="2335"/>
      <c r="AQL996" s="2335"/>
      <c r="AQM996" s="2335"/>
      <c r="AQN996" s="2335"/>
      <c r="AQO996" s="2335"/>
      <c r="AQP996" s="2335"/>
      <c r="AQQ996" s="2335"/>
      <c r="AQR996" s="2335"/>
      <c r="AQS996" s="2335"/>
      <c r="AQT996" s="2335"/>
      <c r="AQU996" s="2335"/>
      <c r="AQV996" s="2335"/>
      <c r="AQW996" s="2335"/>
      <c r="AQX996" s="2335"/>
      <c r="AQY996" s="2335"/>
      <c r="AQZ996" s="2335"/>
      <c r="ARA996" s="2335"/>
      <c r="ARB996" s="2335"/>
      <c r="ARC996" s="2335"/>
      <c r="ARD996" s="2335"/>
      <c r="ARE996" s="2335"/>
      <c r="ARF996" s="2335"/>
      <c r="ARG996" s="2335"/>
      <c r="ARH996" s="2335"/>
      <c r="ARI996" s="2335"/>
      <c r="ARJ996" s="2335"/>
      <c r="ARK996" s="2335"/>
      <c r="ARL996" s="2335"/>
      <c r="ARM996" s="2335"/>
      <c r="ARN996" s="2335"/>
      <c r="ARO996" s="2335"/>
      <c r="ARP996" s="2335"/>
      <c r="ARQ996" s="2335"/>
      <c r="ARR996" s="2335"/>
      <c r="ARS996" s="2335"/>
      <c r="ART996" s="2335"/>
      <c r="ARU996" s="2335"/>
      <c r="ARV996" s="2335"/>
      <c r="ARW996" s="2335"/>
      <c r="ARX996" s="2335"/>
      <c r="ARY996" s="2335"/>
      <c r="ARZ996" s="2335"/>
      <c r="ASA996" s="2335"/>
      <c r="ASB996" s="2335"/>
      <c r="ASC996" s="2335"/>
      <c r="ASD996" s="2335"/>
      <c r="ASE996" s="2335"/>
      <c r="ASF996" s="2335"/>
      <c r="ASG996" s="2335"/>
      <c r="ASH996" s="2335"/>
      <c r="ASI996" s="2335"/>
      <c r="ASJ996" s="2335"/>
      <c r="ASK996" s="2335"/>
      <c r="ASL996" s="2335"/>
      <c r="ASM996" s="2335"/>
      <c r="ASN996" s="2335"/>
      <c r="ASO996" s="2335"/>
      <c r="ASP996" s="2335"/>
      <c r="ASQ996" s="2335"/>
      <c r="ASR996" s="2335"/>
      <c r="ASS996" s="2335"/>
      <c r="AST996" s="2335"/>
      <c r="ASU996" s="2335"/>
      <c r="ASV996" s="2335"/>
      <c r="ASW996" s="2335"/>
      <c r="ASX996" s="2335"/>
      <c r="ASY996" s="2335"/>
      <c r="ASZ996" s="2335"/>
      <c r="ATA996" s="2335"/>
      <c r="ATB996" s="2335"/>
      <c r="ATC996" s="2335"/>
      <c r="ATD996" s="2335"/>
      <c r="ATE996" s="2335"/>
      <c r="ATF996" s="2335"/>
      <c r="ATG996" s="2335"/>
      <c r="ATH996" s="2335"/>
      <c r="ATI996" s="2335"/>
      <c r="ATJ996" s="2335"/>
      <c r="ATK996" s="2335"/>
      <c r="ATL996" s="2335"/>
      <c r="ATM996" s="2335"/>
      <c r="ATN996" s="2335"/>
      <c r="ATO996" s="2335"/>
      <c r="ATP996" s="2335"/>
      <c r="ATQ996" s="2335"/>
      <c r="ATR996" s="2335"/>
      <c r="ATS996" s="2335"/>
      <c r="ATT996" s="2335"/>
      <c r="ATU996" s="2335"/>
      <c r="ATV996" s="2335"/>
      <c r="ATW996" s="2335"/>
      <c r="ATX996" s="2335"/>
      <c r="ATY996" s="2335"/>
      <c r="ATZ996" s="2335"/>
      <c r="AUA996" s="2335"/>
      <c r="AUB996" s="2335"/>
      <c r="AUC996" s="2335"/>
      <c r="AUD996" s="2335"/>
      <c r="AUE996" s="2335"/>
      <c r="AUF996" s="2335"/>
      <c r="AUG996" s="2335"/>
      <c r="AUH996" s="2335"/>
      <c r="AUI996" s="2335"/>
      <c r="AUJ996" s="2335"/>
      <c r="AUK996" s="2335"/>
      <c r="AUL996" s="2335"/>
      <c r="AUM996" s="2335"/>
      <c r="AUN996" s="2335"/>
      <c r="AUO996" s="2335"/>
      <c r="AUP996" s="2335"/>
      <c r="AUQ996" s="2335"/>
      <c r="AUR996" s="2335"/>
      <c r="AUS996" s="2335"/>
      <c r="AUT996" s="2335"/>
      <c r="AUU996" s="2335"/>
      <c r="AUV996" s="2335"/>
      <c r="AUW996" s="2335"/>
      <c r="AUX996" s="2335"/>
      <c r="AUY996" s="2335"/>
      <c r="AUZ996" s="2335"/>
      <c r="AVA996" s="2335"/>
      <c r="AVB996" s="2335"/>
      <c r="AVC996" s="2335"/>
      <c r="AVD996" s="2335"/>
      <c r="AVE996" s="2335"/>
      <c r="AVF996" s="2335"/>
      <c r="AVG996" s="2335"/>
      <c r="AVH996" s="2335"/>
      <c r="AVI996" s="2335"/>
      <c r="AVJ996" s="2335"/>
      <c r="AVK996" s="2335"/>
      <c r="AVL996" s="2335"/>
      <c r="AVM996" s="2335"/>
      <c r="AVN996" s="2335"/>
      <c r="AVO996" s="2335"/>
      <c r="AVP996" s="2335"/>
      <c r="AVQ996" s="2335"/>
      <c r="AVR996" s="2335"/>
      <c r="AVS996" s="2335"/>
      <c r="AVT996" s="2335"/>
      <c r="AVU996" s="2335"/>
      <c r="AVV996" s="2335"/>
      <c r="AVW996" s="2335"/>
      <c r="AVX996" s="2335"/>
      <c r="AVY996" s="2335"/>
      <c r="AVZ996" s="2335"/>
      <c r="AWA996" s="2335"/>
      <c r="AWB996" s="2335"/>
      <c r="AWC996" s="2335"/>
      <c r="AWD996" s="2335"/>
      <c r="AWE996" s="2335"/>
      <c r="AWF996" s="2335"/>
      <c r="AWG996" s="2335"/>
      <c r="AWH996" s="2335"/>
      <c r="AWI996" s="2335"/>
      <c r="AWJ996" s="2335"/>
      <c r="AWK996" s="2335"/>
      <c r="AWL996" s="2335"/>
      <c r="AWM996" s="2335"/>
      <c r="AWN996" s="2335"/>
      <c r="AWO996" s="2335"/>
      <c r="AWP996" s="2335"/>
      <c r="AWQ996" s="2335"/>
      <c r="AWR996" s="2335"/>
      <c r="AWS996" s="2335"/>
      <c r="AWT996" s="2335"/>
      <c r="AWU996" s="2335"/>
      <c r="AWV996" s="2335"/>
      <c r="AWW996" s="2335"/>
      <c r="AWX996" s="2335"/>
      <c r="AWY996" s="2335"/>
      <c r="AWZ996" s="2335"/>
      <c r="AXA996" s="2335"/>
      <c r="AXB996" s="2335"/>
      <c r="AXC996" s="2335"/>
      <c r="AXD996" s="2335"/>
      <c r="AXE996" s="2335"/>
      <c r="AXF996" s="2335"/>
      <c r="AXG996" s="2335"/>
      <c r="AXH996" s="2335"/>
      <c r="AXI996" s="2335"/>
      <c r="AXJ996" s="2335"/>
      <c r="AXK996" s="2335"/>
      <c r="AXL996" s="2335"/>
      <c r="AXM996" s="2335"/>
      <c r="AXN996" s="2335"/>
      <c r="AXO996" s="2335"/>
      <c r="AXP996" s="2335"/>
      <c r="AXQ996" s="2335"/>
      <c r="AXR996" s="2335"/>
      <c r="AXS996" s="2335"/>
      <c r="AXT996" s="2335"/>
      <c r="AXU996" s="2335"/>
      <c r="AXV996" s="2335"/>
      <c r="AXW996" s="2335"/>
      <c r="AXX996" s="2335"/>
      <c r="AXY996" s="2335"/>
      <c r="AXZ996" s="2335"/>
      <c r="AYA996" s="2335"/>
      <c r="AYB996" s="2335"/>
      <c r="AYC996" s="2335"/>
      <c r="AYD996" s="2335"/>
      <c r="AYE996" s="2335"/>
      <c r="AYF996" s="2335"/>
      <c r="AYG996" s="2335"/>
      <c r="AYH996" s="2335"/>
      <c r="AYI996" s="2335"/>
      <c r="AYJ996" s="2335"/>
      <c r="AYK996" s="2335"/>
      <c r="AYL996" s="2335"/>
      <c r="AYM996" s="2335"/>
      <c r="AYN996" s="2335"/>
      <c r="AYO996" s="2335"/>
      <c r="AYP996" s="2335"/>
      <c r="AYQ996" s="2335"/>
      <c r="AYR996" s="2335"/>
      <c r="AYS996" s="2335"/>
      <c r="AYT996" s="2335"/>
      <c r="AYU996" s="2335"/>
      <c r="AYV996" s="2335"/>
      <c r="AYW996" s="2335"/>
      <c r="AYX996" s="2335"/>
      <c r="AYY996" s="2335"/>
      <c r="AYZ996" s="2335"/>
      <c r="AZA996" s="2335"/>
      <c r="AZB996" s="2335"/>
      <c r="AZC996" s="2335"/>
      <c r="AZD996" s="2335"/>
      <c r="AZE996" s="2335"/>
      <c r="AZF996" s="2335"/>
      <c r="AZG996" s="2335"/>
      <c r="AZH996" s="2335"/>
      <c r="AZI996" s="2335"/>
      <c r="AZJ996" s="2335"/>
      <c r="AZK996" s="2335"/>
      <c r="AZL996" s="2335"/>
      <c r="AZM996" s="2335"/>
      <c r="AZN996" s="2335"/>
      <c r="AZO996" s="2335"/>
      <c r="AZP996" s="2335"/>
      <c r="AZQ996" s="2335"/>
      <c r="AZR996" s="2335"/>
      <c r="AZS996" s="2335"/>
      <c r="AZT996" s="2335"/>
      <c r="AZU996" s="2335"/>
      <c r="AZV996" s="2335"/>
      <c r="AZW996" s="2335"/>
      <c r="AZX996" s="2335"/>
      <c r="AZY996" s="2335"/>
      <c r="AZZ996" s="2335"/>
      <c r="BAA996" s="2335"/>
      <c r="BAB996" s="2335"/>
      <c r="BAC996" s="2335"/>
      <c r="BAD996" s="2335"/>
      <c r="BAE996" s="2335"/>
      <c r="BAF996" s="2335"/>
      <c r="BAG996" s="2335"/>
      <c r="BAH996" s="2335"/>
      <c r="BAI996" s="2335"/>
      <c r="BAJ996" s="2335"/>
      <c r="BAK996" s="2335"/>
      <c r="BAL996" s="2335"/>
      <c r="BAM996" s="2335"/>
      <c r="BAN996" s="2335"/>
      <c r="BAO996" s="2335"/>
      <c r="BAP996" s="2335"/>
      <c r="BAQ996" s="2335"/>
      <c r="BAR996" s="2335"/>
      <c r="BAS996" s="2335"/>
      <c r="BAT996" s="2335"/>
      <c r="BAU996" s="2335"/>
      <c r="BAV996" s="2335"/>
      <c r="BAW996" s="2335"/>
      <c r="BAX996" s="2335"/>
      <c r="BAY996" s="2335"/>
      <c r="BAZ996" s="2335"/>
      <c r="BBA996" s="2335"/>
      <c r="BBB996" s="2335"/>
      <c r="BBC996" s="2335"/>
      <c r="BBD996" s="2335"/>
      <c r="BBE996" s="2335"/>
      <c r="BBF996" s="2335"/>
      <c r="BBG996" s="2335"/>
      <c r="BBH996" s="2335"/>
      <c r="BBI996" s="2335"/>
      <c r="BBJ996" s="2335"/>
      <c r="BBK996" s="2335"/>
      <c r="BBL996" s="2335"/>
      <c r="BBM996" s="2335"/>
      <c r="BBN996" s="2335"/>
      <c r="BBO996" s="2335"/>
      <c r="BBP996" s="2335"/>
      <c r="BBQ996" s="2335"/>
      <c r="BBR996" s="2335"/>
      <c r="BBS996" s="2335"/>
      <c r="BBT996" s="2335"/>
      <c r="BBU996" s="2335"/>
      <c r="BBV996" s="2335"/>
      <c r="BBW996" s="2335"/>
      <c r="BBX996" s="2335"/>
      <c r="BBY996" s="2335"/>
      <c r="BBZ996" s="2335"/>
      <c r="BCA996" s="2335"/>
      <c r="BCB996" s="2335"/>
      <c r="BCC996" s="2335"/>
      <c r="BCD996" s="2335"/>
      <c r="BCE996" s="2335"/>
      <c r="BCF996" s="2335"/>
      <c r="BCG996" s="2335"/>
      <c r="BCH996" s="2335"/>
      <c r="BCI996" s="2335"/>
      <c r="BCJ996" s="2335"/>
      <c r="BCK996" s="2335"/>
      <c r="BCL996" s="2335"/>
      <c r="BCM996" s="2335"/>
      <c r="BCN996" s="2335"/>
      <c r="BCO996" s="2335"/>
      <c r="BCP996" s="2335"/>
      <c r="BCQ996" s="2335"/>
      <c r="BCR996" s="2335"/>
      <c r="BCS996" s="2335"/>
      <c r="BCT996" s="2335"/>
      <c r="BCU996" s="2335"/>
      <c r="BCV996" s="2335"/>
      <c r="BCW996" s="2335"/>
      <c r="BCX996" s="2335"/>
      <c r="BCY996" s="2335"/>
      <c r="BCZ996" s="2335"/>
      <c r="BDA996" s="2335"/>
      <c r="BDB996" s="2335"/>
      <c r="BDC996" s="2335"/>
      <c r="BDD996" s="2335"/>
      <c r="BDE996" s="2335"/>
      <c r="BDF996" s="2335"/>
      <c r="BDG996" s="2335"/>
      <c r="BDH996" s="2335"/>
      <c r="BDI996" s="2335"/>
      <c r="BDJ996" s="2335"/>
      <c r="BDK996" s="2335"/>
      <c r="BDL996" s="2335"/>
      <c r="BDM996" s="2335"/>
      <c r="BDN996" s="2335"/>
      <c r="BDO996" s="2335"/>
      <c r="BDP996" s="2335"/>
      <c r="BDQ996" s="2335"/>
      <c r="BDR996" s="2335"/>
      <c r="BDS996" s="2335"/>
      <c r="BDT996" s="2335"/>
      <c r="BDU996" s="2335"/>
      <c r="BDV996" s="2335"/>
      <c r="BDW996" s="2335"/>
      <c r="BDX996" s="2335"/>
      <c r="BDY996" s="2335"/>
      <c r="BDZ996" s="2335"/>
      <c r="BEA996" s="2335"/>
      <c r="BEB996" s="2335"/>
      <c r="BEC996" s="2335"/>
      <c r="BED996" s="2335"/>
      <c r="BEE996" s="2335"/>
      <c r="BEF996" s="2335"/>
      <c r="BEG996" s="2335"/>
      <c r="BEH996" s="2335"/>
      <c r="BEI996" s="2335"/>
      <c r="BEJ996" s="2335"/>
      <c r="BEK996" s="2335"/>
      <c r="BEL996" s="2335"/>
      <c r="BEM996" s="2335"/>
      <c r="BEN996" s="2335"/>
      <c r="BEO996" s="2335"/>
      <c r="BEP996" s="2335"/>
      <c r="BEQ996" s="2335"/>
      <c r="BER996" s="2335"/>
      <c r="BES996" s="2335"/>
      <c r="BET996" s="2335"/>
      <c r="BEU996" s="2335"/>
      <c r="BEV996" s="2335"/>
      <c r="BEW996" s="2335"/>
      <c r="BEX996" s="2335"/>
      <c r="BEY996" s="2335"/>
      <c r="BEZ996" s="2335"/>
      <c r="BFA996" s="2335"/>
      <c r="BFB996" s="2335"/>
      <c r="BFC996" s="2335"/>
      <c r="BFD996" s="2335"/>
      <c r="BFE996" s="2335"/>
      <c r="BFF996" s="2335"/>
      <c r="BFG996" s="2335"/>
      <c r="BFH996" s="2335"/>
      <c r="BFI996" s="2335"/>
      <c r="BFJ996" s="2335"/>
      <c r="BFK996" s="2335"/>
      <c r="BFL996" s="2335"/>
      <c r="BFM996" s="2335"/>
      <c r="BFN996" s="2335"/>
      <c r="BFO996" s="2335"/>
      <c r="BFP996" s="2335"/>
      <c r="BFQ996" s="2335"/>
      <c r="BFR996" s="2335"/>
      <c r="BFS996" s="2335"/>
      <c r="BFT996" s="2335"/>
      <c r="BFU996" s="2335"/>
      <c r="BFV996" s="2335"/>
      <c r="BFW996" s="2335"/>
      <c r="BFX996" s="2335"/>
      <c r="BFY996" s="2335"/>
      <c r="BFZ996" s="2335"/>
      <c r="BGA996" s="2335"/>
      <c r="BGB996" s="2335"/>
      <c r="BGC996" s="2335"/>
      <c r="BGD996" s="2335"/>
      <c r="BGE996" s="2335"/>
      <c r="BGF996" s="2335"/>
      <c r="BGG996" s="2335"/>
      <c r="BGH996" s="2335"/>
      <c r="BGI996" s="2335"/>
      <c r="BGJ996" s="2335"/>
      <c r="BGK996" s="2335"/>
      <c r="BGL996" s="2335"/>
      <c r="BGM996" s="2335"/>
      <c r="BGN996" s="2335"/>
      <c r="BGO996" s="2335"/>
      <c r="BGP996" s="2335"/>
      <c r="BGQ996" s="2335"/>
      <c r="BGR996" s="2335"/>
      <c r="BGS996" s="2335"/>
      <c r="BGT996" s="2335"/>
      <c r="BGU996" s="2335"/>
      <c r="BGV996" s="2335"/>
      <c r="BGW996" s="2335"/>
      <c r="BGX996" s="2335"/>
      <c r="BGY996" s="2335"/>
      <c r="BGZ996" s="2335"/>
      <c r="BHA996" s="2335"/>
      <c r="BHB996" s="2335"/>
      <c r="BHC996" s="2335"/>
      <c r="BHD996" s="2335"/>
      <c r="BHE996" s="2335"/>
      <c r="BHF996" s="2335"/>
      <c r="BHG996" s="2335"/>
      <c r="BHH996" s="2335"/>
      <c r="BHI996" s="2335"/>
      <c r="BHJ996" s="2335"/>
      <c r="BHK996" s="2335"/>
      <c r="BHL996" s="2335"/>
      <c r="BHM996" s="2335"/>
      <c r="BHN996" s="2335"/>
      <c r="BHO996" s="2335"/>
      <c r="BHP996" s="2335"/>
      <c r="BHQ996" s="2335"/>
      <c r="BHR996" s="2335"/>
      <c r="BHS996" s="2335"/>
      <c r="BHT996" s="2335"/>
      <c r="BHU996" s="2335"/>
      <c r="BHV996" s="2335"/>
      <c r="BHW996" s="2335"/>
      <c r="BHX996" s="2335"/>
      <c r="BHY996" s="2335"/>
      <c r="BHZ996" s="2335"/>
      <c r="BIA996" s="2335"/>
      <c r="BIB996" s="2335"/>
      <c r="BIC996" s="2335"/>
      <c r="BID996" s="2335"/>
      <c r="BIE996" s="2335"/>
      <c r="BIF996" s="2335"/>
      <c r="BIG996" s="2335"/>
      <c r="BIH996" s="2335"/>
      <c r="BII996" s="2335"/>
      <c r="BIJ996" s="2335"/>
      <c r="BIK996" s="2335"/>
      <c r="BIL996" s="2335"/>
      <c r="BIM996" s="2335"/>
      <c r="BIN996" s="2335"/>
      <c r="BIO996" s="2335"/>
      <c r="BIP996" s="2335"/>
      <c r="BIQ996" s="2335"/>
      <c r="BIR996" s="2335"/>
      <c r="BIS996" s="2335"/>
      <c r="BIT996" s="2335"/>
      <c r="BIU996" s="2335"/>
      <c r="BIV996" s="2335"/>
      <c r="BIW996" s="2335"/>
      <c r="BIX996" s="2335"/>
      <c r="BIY996" s="2335"/>
      <c r="BIZ996" s="2335"/>
      <c r="BJA996" s="2335"/>
      <c r="BJB996" s="2335"/>
      <c r="BJC996" s="2335"/>
      <c r="BJD996" s="2335"/>
      <c r="BJE996" s="2335"/>
      <c r="BJF996" s="2335"/>
      <c r="BJG996" s="2335"/>
      <c r="BJH996" s="2335"/>
      <c r="BJI996" s="2335"/>
      <c r="BJJ996" s="2335"/>
      <c r="BJK996" s="2335"/>
      <c r="BJL996" s="2335"/>
      <c r="BJM996" s="2335"/>
      <c r="BJN996" s="2335"/>
      <c r="BJO996" s="2335"/>
      <c r="BJP996" s="2335"/>
      <c r="BJQ996" s="2335"/>
      <c r="BJR996" s="2335"/>
      <c r="BJS996" s="2335"/>
      <c r="BJT996" s="2335"/>
      <c r="BJU996" s="2335"/>
      <c r="BJV996" s="2335"/>
      <c r="BJW996" s="2335"/>
      <c r="BJX996" s="2335"/>
      <c r="BJY996" s="2335"/>
      <c r="BJZ996" s="2335"/>
      <c r="BKA996" s="2335"/>
      <c r="BKB996" s="2335"/>
      <c r="BKC996" s="2335"/>
      <c r="BKD996" s="2335"/>
      <c r="BKE996" s="2335"/>
      <c r="BKF996" s="2335"/>
      <c r="BKG996" s="2335"/>
      <c r="BKH996" s="2335"/>
      <c r="BKI996" s="2335"/>
      <c r="BKJ996" s="2335"/>
      <c r="BKK996" s="2335"/>
      <c r="BKL996" s="2335"/>
      <c r="BKM996" s="2335"/>
      <c r="BKN996" s="2335"/>
      <c r="BKO996" s="2335"/>
      <c r="BKP996" s="2335"/>
      <c r="BKQ996" s="2335"/>
      <c r="BKR996" s="2335"/>
      <c r="BKS996" s="2335"/>
      <c r="BKT996" s="2335"/>
      <c r="BKU996" s="2335"/>
      <c r="BKV996" s="2335"/>
      <c r="BKW996" s="2335"/>
      <c r="BKX996" s="2335"/>
      <c r="BKY996" s="2335"/>
      <c r="BKZ996" s="2335"/>
      <c r="BLA996" s="2335"/>
      <c r="BLB996" s="2335"/>
      <c r="BLC996" s="2335"/>
      <c r="BLD996" s="2335"/>
      <c r="BLE996" s="2335"/>
      <c r="BLF996" s="2335"/>
      <c r="BLG996" s="2335"/>
      <c r="BLH996" s="2335"/>
      <c r="BLI996" s="2335"/>
      <c r="BLJ996" s="2335"/>
      <c r="BLK996" s="2335"/>
      <c r="BLL996" s="2335"/>
      <c r="BLM996" s="2335"/>
      <c r="BLN996" s="2335"/>
      <c r="BLO996" s="2335"/>
      <c r="BLP996" s="2335"/>
      <c r="BLQ996" s="2335"/>
      <c r="BLR996" s="2335"/>
      <c r="BLS996" s="2335"/>
      <c r="BLT996" s="2335"/>
      <c r="BLU996" s="2335"/>
      <c r="BLV996" s="2335"/>
      <c r="BLW996" s="2335"/>
      <c r="BLX996" s="2335"/>
      <c r="BLY996" s="2335"/>
      <c r="BLZ996" s="2335"/>
      <c r="BMA996" s="2335"/>
      <c r="BMB996" s="2335"/>
      <c r="BMC996" s="2335"/>
      <c r="BMD996" s="2335"/>
      <c r="BME996" s="2335"/>
      <c r="BMF996" s="2335"/>
      <c r="BMG996" s="2335"/>
      <c r="BMH996" s="2335"/>
      <c r="BMI996" s="2335"/>
      <c r="BMJ996" s="2335"/>
      <c r="BMK996" s="2335"/>
      <c r="BML996" s="2335"/>
      <c r="BMM996" s="2335"/>
      <c r="BMN996" s="2335"/>
      <c r="BMO996" s="2335"/>
      <c r="BMP996" s="2335"/>
      <c r="BMQ996" s="2335"/>
      <c r="BMR996" s="2335"/>
      <c r="BMS996" s="2335"/>
      <c r="BMT996" s="2335"/>
      <c r="BMU996" s="2335"/>
      <c r="BMV996" s="2335"/>
      <c r="BMW996" s="2335"/>
      <c r="BMX996" s="2335"/>
      <c r="BMY996" s="2335"/>
      <c r="BMZ996" s="2335"/>
      <c r="BNA996" s="2335"/>
      <c r="BNB996" s="2335"/>
      <c r="BNC996" s="2335"/>
      <c r="BND996" s="2335"/>
      <c r="BNE996" s="2335"/>
      <c r="BNF996" s="2335"/>
      <c r="BNG996" s="2335"/>
      <c r="BNH996" s="2335"/>
      <c r="BNI996" s="2335"/>
      <c r="BNJ996" s="2335"/>
      <c r="BNK996" s="2335"/>
      <c r="BNL996" s="2335"/>
      <c r="BNM996" s="2335"/>
      <c r="BNN996" s="2335"/>
      <c r="BNO996" s="2335"/>
      <c r="BNP996" s="2335"/>
      <c r="BNQ996" s="2335"/>
      <c r="BNR996" s="2335"/>
      <c r="BNS996" s="2335"/>
      <c r="BNT996" s="2335"/>
      <c r="BNU996" s="2335"/>
      <c r="BNV996" s="2335"/>
      <c r="BNW996" s="2335"/>
      <c r="BNX996" s="2335"/>
      <c r="BNY996" s="2335"/>
      <c r="BNZ996" s="2335"/>
      <c r="BOA996" s="2335"/>
      <c r="BOB996" s="2335"/>
      <c r="BOC996" s="2335"/>
      <c r="BOD996" s="2335"/>
      <c r="BOE996" s="2335"/>
      <c r="BOF996" s="2335"/>
      <c r="BOG996" s="2335"/>
      <c r="BOH996" s="2335"/>
      <c r="BOI996" s="2335"/>
      <c r="BOJ996" s="2335"/>
      <c r="BOK996" s="2335"/>
      <c r="BOL996" s="2335"/>
      <c r="BOM996" s="2335"/>
      <c r="BON996" s="2335"/>
      <c r="BOO996" s="2335"/>
      <c r="BOP996" s="2335"/>
      <c r="BOQ996" s="2335"/>
      <c r="BOR996" s="2335"/>
      <c r="BOS996" s="2335"/>
      <c r="BOT996" s="2335"/>
      <c r="BOU996" s="2335"/>
      <c r="BOV996" s="2335"/>
      <c r="BOW996" s="2335"/>
      <c r="BOX996" s="2335"/>
      <c r="BOY996" s="2335"/>
      <c r="BOZ996" s="2335"/>
      <c r="BPA996" s="2335"/>
      <c r="BPB996" s="2335"/>
      <c r="BPC996" s="2335"/>
      <c r="BPD996" s="2335"/>
      <c r="BPE996" s="2335"/>
      <c r="BPF996" s="2335"/>
      <c r="BPG996" s="2335"/>
      <c r="BPH996" s="2335"/>
      <c r="BPI996" s="2335"/>
      <c r="BPJ996" s="2335"/>
      <c r="BPK996" s="2335"/>
      <c r="BPL996" s="2335"/>
      <c r="BPM996" s="2335"/>
      <c r="BPN996" s="2335"/>
      <c r="BPO996" s="2335"/>
      <c r="BPP996" s="2335"/>
      <c r="BPQ996" s="2335"/>
      <c r="BPR996" s="2335"/>
      <c r="BPS996" s="2335"/>
      <c r="BPT996" s="2335"/>
      <c r="BPU996" s="2335"/>
      <c r="BPV996" s="2335"/>
      <c r="BPW996" s="2335"/>
      <c r="BPX996" s="2335"/>
      <c r="BPY996" s="2335"/>
      <c r="BPZ996" s="2335"/>
      <c r="BQA996" s="2335"/>
      <c r="BQB996" s="2335"/>
      <c r="BQC996" s="2335"/>
      <c r="BQD996" s="2335"/>
      <c r="BQE996" s="2335"/>
      <c r="BQF996" s="2335"/>
      <c r="BQG996" s="2335"/>
      <c r="BQH996" s="2335"/>
      <c r="BQI996" s="2335"/>
      <c r="BQJ996" s="2335"/>
      <c r="BQK996" s="2335"/>
      <c r="BQL996" s="2335"/>
      <c r="BQM996" s="2335"/>
      <c r="BQN996" s="2335"/>
      <c r="BQO996" s="2335"/>
      <c r="BQP996" s="2335"/>
      <c r="BQQ996" s="2335"/>
      <c r="BQR996" s="2335"/>
      <c r="BQS996" s="2335"/>
      <c r="BQT996" s="2335"/>
      <c r="BQU996" s="2335"/>
      <c r="BQV996" s="2335"/>
      <c r="BQW996" s="2335"/>
      <c r="BQX996" s="2335"/>
      <c r="BQY996" s="2335"/>
      <c r="BQZ996" s="2335"/>
      <c r="BRA996" s="2335"/>
      <c r="BRB996" s="2335"/>
      <c r="BRC996" s="2335"/>
      <c r="BRD996" s="2335"/>
      <c r="BRE996" s="2335"/>
      <c r="BRF996" s="2335"/>
      <c r="BRG996" s="2335"/>
      <c r="BRH996" s="2335"/>
      <c r="BRI996" s="2335"/>
      <c r="BRJ996" s="2335"/>
      <c r="BRK996" s="2335"/>
      <c r="BRL996" s="2335"/>
      <c r="BRM996" s="2335"/>
      <c r="BRN996" s="2335"/>
      <c r="BRO996" s="2335"/>
      <c r="BRP996" s="2335"/>
      <c r="BRQ996" s="2335"/>
      <c r="BRR996" s="2335"/>
      <c r="BRS996" s="2335"/>
      <c r="BRT996" s="2335"/>
      <c r="BRU996" s="2335"/>
      <c r="BRV996" s="2335"/>
      <c r="BRW996" s="2335"/>
      <c r="BRX996" s="2335"/>
      <c r="BRY996" s="2335"/>
      <c r="BRZ996" s="2335"/>
      <c r="BSA996" s="2335"/>
      <c r="BSB996" s="2335"/>
      <c r="BSC996" s="2335"/>
      <c r="BSD996" s="2335"/>
      <c r="BSE996" s="2335"/>
      <c r="BSF996" s="2335"/>
      <c r="BSG996" s="2335"/>
      <c r="BSH996" s="2335"/>
      <c r="BSI996" s="2335"/>
      <c r="BSJ996" s="2335"/>
      <c r="BSK996" s="2335"/>
      <c r="BSL996" s="2335"/>
      <c r="BSM996" s="2335"/>
      <c r="BSN996" s="2335"/>
      <c r="BSO996" s="2335"/>
      <c r="BSP996" s="2335"/>
      <c r="BSQ996" s="2335"/>
      <c r="BSR996" s="2335"/>
      <c r="BSS996" s="2335"/>
      <c r="BST996" s="2335"/>
      <c r="BSU996" s="2335"/>
      <c r="BSV996" s="2335"/>
      <c r="BSW996" s="2335"/>
      <c r="BSX996" s="2335"/>
      <c r="BSY996" s="2335"/>
      <c r="BSZ996" s="2335"/>
      <c r="BTA996" s="2335"/>
      <c r="BTB996" s="2335"/>
      <c r="BTC996" s="2335"/>
      <c r="BTD996" s="2335"/>
      <c r="BTE996" s="2335"/>
      <c r="BTF996" s="2335"/>
      <c r="BTG996" s="2335"/>
      <c r="BTH996" s="2335"/>
      <c r="BTI996" s="2335"/>
      <c r="BTJ996" s="2335"/>
      <c r="BTK996" s="2335"/>
      <c r="BTL996" s="2335"/>
      <c r="BTM996" s="2335"/>
      <c r="BTN996" s="2335"/>
      <c r="BTO996" s="2335"/>
      <c r="BTP996" s="2335"/>
      <c r="BTQ996" s="2335"/>
      <c r="BTR996" s="2335"/>
      <c r="BTS996" s="2335"/>
      <c r="BTT996" s="2335"/>
      <c r="BTU996" s="2335"/>
      <c r="BTV996" s="2335"/>
      <c r="BTW996" s="2335"/>
      <c r="BTX996" s="2335"/>
      <c r="BTY996" s="2335"/>
      <c r="BTZ996" s="2335"/>
      <c r="BUA996" s="2335"/>
      <c r="BUB996" s="2335"/>
      <c r="BUC996" s="2335"/>
      <c r="BUD996" s="2335"/>
      <c r="BUE996" s="2335"/>
      <c r="BUF996" s="2335"/>
      <c r="BUG996" s="2335"/>
      <c r="BUH996" s="2335"/>
      <c r="BUI996" s="2335"/>
      <c r="BUJ996" s="2335"/>
      <c r="BUK996" s="2335"/>
      <c r="BUL996" s="2335"/>
      <c r="BUM996" s="2335"/>
      <c r="BUN996" s="2335"/>
      <c r="BUO996" s="2335"/>
      <c r="BUP996" s="2335"/>
      <c r="BUQ996" s="2335"/>
      <c r="BUR996" s="2335"/>
      <c r="BUS996" s="2335"/>
      <c r="BUT996" s="2335"/>
      <c r="BUU996" s="2335"/>
      <c r="BUV996" s="2335"/>
      <c r="BUW996" s="2335"/>
      <c r="BUX996" s="2335"/>
      <c r="BUY996" s="2335"/>
      <c r="BUZ996" s="2335"/>
      <c r="BVA996" s="2335"/>
      <c r="BVB996" s="2335"/>
      <c r="BVC996" s="2335"/>
      <c r="BVD996" s="2335"/>
      <c r="BVE996" s="2335"/>
      <c r="BVF996" s="2335"/>
      <c r="BVG996" s="2335"/>
      <c r="BVH996" s="2335"/>
      <c r="BVI996" s="2335"/>
      <c r="BVJ996" s="2335"/>
      <c r="BVK996" s="2335"/>
      <c r="BVL996" s="2335"/>
      <c r="BVM996" s="2335"/>
      <c r="BVN996" s="2335"/>
      <c r="BVO996" s="2335"/>
      <c r="BVP996" s="2335"/>
      <c r="BVQ996" s="2335"/>
      <c r="BVR996" s="2335"/>
      <c r="BVS996" s="2335"/>
      <c r="BVT996" s="2335"/>
      <c r="BVU996" s="2335"/>
      <c r="BVV996" s="2335"/>
      <c r="BVW996" s="2335"/>
      <c r="BVX996" s="2335"/>
      <c r="BVY996" s="2335"/>
      <c r="BVZ996" s="2335"/>
      <c r="BWA996" s="2335"/>
      <c r="BWB996" s="2335"/>
      <c r="BWC996" s="2335"/>
      <c r="BWD996" s="2335"/>
      <c r="BWE996" s="2335"/>
      <c r="BWF996" s="2335"/>
      <c r="BWG996" s="2335"/>
      <c r="BWH996" s="2335"/>
      <c r="BWI996" s="2335"/>
      <c r="BWJ996" s="2335"/>
      <c r="BWK996" s="2335"/>
      <c r="BWL996" s="2335"/>
      <c r="BWM996" s="2335"/>
      <c r="BWN996" s="2335"/>
      <c r="BWO996" s="2335"/>
      <c r="BWP996" s="2335"/>
      <c r="BWQ996" s="2335"/>
      <c r="BWR996" s="2335"/>
      <c r="BWS996" s="2335"/>
      <c r="BWT996" s="2335"/>
      <c r="BWU996" s="2335"/>
      <c r="BWV996" s="2335"/>
      <c r="BWW996" s="2335"/>
      <c r="BWX996" s="2335"/>
      <c r="BWY996" s="2335"/>
      <c r="BWZ996" s="2335"/>
      <c r="BXA996" s="2335"/>
      <c r="BXB996" s="2335"/>
      <c r="BXC996" s="2335"/>
      <c r="BXD996" s="2335"/>
      <c r="BXE996" s="2335"/>
      <c r="BXF996" s="2335"/>
      <c r="BXG996" s="2335"/>
      <c r="BXH996" s="2335"/>
      <c r="BXI996" s="2335"/>
      <c r="BXJ996" s="2335"/>
      <c r="BXK996" s="2335"/>
      <c r="BXL996" s="2335"/>
      <c r="BXM996" s="2335"/>
      <c r="BXN996" s="2335"/>
      <c r="BXO996" s="2335"/>
      <c r="BXP996" s="2335"/>
      <c r="BXQ996" s="2335"/>
      <c r="BXR996" s="2335"/>
      <c r="BXS996" s="2335"/>
      <c r="BXT996" s="2335"/>
      <c r="BXU996" s="2335"/>
      <c r="BXV996" s="2335"/>
      <c r="BXW996" s="2335"/>
      <c r="BXX996" s="2335"/>
      <c r="BXY996" s="2335"/>
      <c r="BXZ996" s="2335"/>
      <c r="BYA996" s="2335"/>
      <c r="BYB996" s="2335"/>
      <c r="BYC996" s="2335"/>
      <c r="BYD996" s="2335"/>
      <c r="BYE996" s="2335"/>
      <c r="BYF996" s="2335"/>
      <c r="BYG996" s="2335"/>
      <c r="BYH996" s="2335"/>
      <c r="BYI996" s="2335"/>
      <c r="BYJ996" s="2335"/>
      <c r="BYK996" s="2335"/>
      <c r="BYL996" s="2335"/>
      <c r="BYM996" s="2335"/>
      <c r="BYN996" s="2335"/>
      <c r="BYO996" s="2335"/>
      <c r="BYP996" s="2335"/>
      <c r="BYQ996" s="2335"/>
      <c r="BYR996" s="2335"/>
      <c r="BYS996" s="2335"/>
      <c r="BYT996" s="2335"/>
      <c r="BYU996" s="2335"/>
      <c r="BYV996" s="2335"/>
      <c r="BYW996" s="2335"/>
      <c r="BYX996" s="2335"/>
      <c r="BYY996" s="2335"/>
      <c r="BYZ996" s="2335"/>
      <c r="BZA996" s="2335"/>
      <c r="BZB996" s="2335"/>
      <c r="BZC996" s="2335"/>
      <c r="BZD996" s="2335"/>
      <c r="BZE996" s="2335"/>
      <c r="BZF996" s="2335"/>
      <c r="BZG996" s="2335"/>
      <c r="BZH996" s="2335"/>
      <c r="BZI996" s="2335"/>
      <c r="BZJ996" s="2335"/>
      <c r="BZK996" s="2335"/>
      <c r="BZL996" s="2335"/>
      <c r="BZM996" s="2335"/>
      <c r="BZN996" s="2335"/>
      <c r="BZO996" s="2335"/>
      <c r="BZP996" s="2335"/>
      <c r="BZQ996" s="2335"/>
      <c r="BZR996" s="2335"/>
      <c r="BZS996" s="2335"/>
      <c r="BZT996" s="2335"/>
      <c r="BZU996" s="2335"/>
      <c r="BZV996" s="2335"/>
      <c r="BZW996" s="2335"/>
      <c r="BZX996" s="2335"/>
      <c r="BZY996" s="2335"/>
      <c r="BZZ996" s="2335"/>
      <c r="CAA996" s="2335"/>
      <c r="CAB996" s="2335"/>
      <c r="CAC996" s="2335"/>
      <c r="CAD996" s="2335"/>
      <c r="CAE996" s="2335"/>
      <c r="CAF996" s="2335"/>
      <c r="CAG996" s="2335"/>
      <c r="CAH996" s="2335"/>
      <c r="CAI996" s="2335"/>
      <c r="CAJ996" s="2335"/>
      <c r="CAK996" s="2335"/>
      <c r="CAL996" s="2335"/>
      <c r="CAM996" s="2335"/>
      <c r="CAN996" s="2335"/>
      <c r="CAO996" s="2335"/>
      <c r="CAP996" s="2335"/>
      <c r="CAQ996" s="2335"/>
      <c r="CAR996" s="2335"/>
      <c r="CAS996" s="2335"/>
      <c r="CAT996" s="2335"/>
      <c r="CAU996" s="2335"/>
      <c r="CAV996" s="2335"/>
      <c r="CAW996" s="2335"/>
      <c r="CAX996" s="2335"/>
      <c r="CAY996" s="2335"/>
      <c r="CAZ996" s="2335"/>
      <c r="CBA996" s="2335"/>
      <c r="CBB996" s="2335"/>
      <c r="CBC996" s="2335"/>
      <c r="CBD996" s="2335"/>
      <c r="CBE996" s="2335"/>
      <c r="CBF996" s="2335"/>
      <c r="CBG996" s="2335"/>
      <c r="CBH996" s="2335"/>
      <c r="CBI996" s="2335"/>
      <c r="CBJ996" s="2335"/>
      <c r="CBK996" s="2335"/>
      <c r="CBL996" s="2335"/>
      <c r="CBM996" s="2335"/>
      <c r="CBN996" s="2335"/>
      <c r="CBO996" s="2335"/>
      <c r="CBP996" s="2335"/>
      <c r="CBQ996" s="2335"/>
      <c r="CBR996" s="2335"/>
      <c r="CBS996" s="2335"/>
      <c r="CBT996" s="2335"/>
      <c r="CBU996" s="2335"/>
      <c r="CBV996" s="2335"/>
      <c r="CBW996" s="2335"/>
      <c r="CBX996" s="2335"/>
      <c r="CBY996" s="2335"/>
      <c r="CBZ996" s="2335"/>
      <c r="CCA996" s="2335"/>
      <c r="CCB996" s="2335"/>
      <c r="CCC996" s="2335"/>
      <c r="CCD996" s="2335"/>
      <c r="CCE996" s="2335"/>
      <c r="CCF996" s="2335"/>
      <c r="CCG996" s="2335"/>
      <c r="CCH996" s="2335"/>
      <c r="CCI996" s="2335"/>
      <c r="CCJ996" s="2335"/>
      <c r="CCK996" s="2335"/>
      <c r="CCL996" s="2335"/>
      <c r="CCM996" s="2335"/>
      <c r="CCN996" s="2335"/>
      <c r="CCO996" s="2335"/>
      <c r="CCP996" s="2335"/>
      <c r="CCQ996" s="2335"/>
      <c r="CCR996" s="2335"/>
      <c r="CCS996" s="2335"/>
      <c r="CCT996" s="2335"/>
      <c r="CCU996" s="2335"/>
      <c r="CCV996" s="2335"/>
      <c r="CCW996" s="2335"/>
      <c r="CCX996" s="2335"/>
      <c r="CCY996" s="2335"/>
      <c r="CCZ996" s="2335"/>
      <c r="CDA996" s="2335"/>
      <c r="CDB996" s="2335"/>
      <c r="CDC996" s="2335"/>
      <c r="CDD996" s="2335"/>
      <c r="CDE996" s="2335"/>
      <c r="CDF996" s="2335"/>
      <c r="CDG996" s="2335"/>
      <c r="CDH996" s="2335"/>
      <c r="CDI996" s="2335"/>
      <c r="CDJ996" s="2335"/>
      <c r="CDK996" s="2335"/>
      <c r="CDL996" s="2335"/>
      <c r="CDM996" s="2335"/>
      <c r="CDN996" s="2335"/>
      <c r="CDO996" s="2335"/>
      <c r="CDP996" s="2335"/>
      <c r="CDQ996" s="2335"/>
      <c r="CDR996" s="2335"/>
      <c r="CDS996" s="2335"/>
      <c r="CDT996" s="2335"/>
      <c r="CDU996" s="2335"/>
      <c r="CDV996" s="2335"/>
      <c r="CDW996" s="2335"/>
      <c r="CDX996" s="2335"/>
      <c r="CDY996" s="2335"/>
      <c r="CDZ996" s="2335"/>
      <c r="CEA996" s="2335"/>
      <c r="CEB996" s="2335"/>
      <c r="CEC996" s="2335"/>
      <c r="CED996" s="2335"/>
      <c r="CEE996" s="2335"/>
      <c r="CEF996" s="2335"/>
      <c r="CEG996" s="2335"/>
      <c r="CEH996" s="2335"/>
      <c r="CEI996" s="2335"/>
      <c r="CEJ996" s="2335"/>
      <c r="CEK996" s="2335"/>
      <c r="CEL996" s="2335"/>
      <c r="CEM996" s="2335"/>
      <c r="CEN996" s="2335"/>
      <c r="CEO996" s="2335"/>
      <c r="CEP996" s="2335"/>
      <c r="CEQ996" s="2335"/>
      <c r="CER996" s="2335"/>
      <c r="CES996" s="2335"/>
      <c r="CET996" s="2335"/>
      <c r="CEU996" s="2335"/>
      <c r="CEV996" s="2335"/>
      <c r="CEW996" s="2335"/>
      <c r="CEX996" s="2335"/>
      <c r="CEY996" s="2335"/>
      <c r="CEZ996" s="2335"/>
      <c r="CFA996" s="2335"/>
      <c r="CFB996" s="2335"/>
      <c r="CFC996" s="2335"/>
      <c r="CFD996" s="2335"/>
      <c r="CFE996" s="2335"/>
      <c r="CFF996" s="2335"/>
      <c r="CFG996" s="2335"/>
      <c r="CFH996" s="2335"/>
      <c r="CFI996" s="2335"/>
      <c r="CFJ996" s="2335"/>
      <c r="CFK996" s="2335"/>
      <c r="CFL996" s="2335"/>
      <c r="CFM996" s="2335"/>
      <c r="CFN996" s="2335"/>
      <c r="CFO996" s="2335"/>
      <c r="CFP996" s="2335"/>
      <c r="CFQ996" s="2335"/>
      <c r="CFR996" s="2335"/>
      <c r="CFS996" s="2335"/>
      <c r="CFT996" s="2335"/>
      <c r="CFU996" s="2335"/>
      <c r="CFV996" s="2335"/>
      <c r="CFW996" s="2335"/>
      <c r="CFX996" s="2335"/>
      <c r="CFY996" s="2335"/>
      <c r="CFZ996" s="2335"/>
      <c r="CGA996" s="2335"/>
      <c r="CGB996" s="2335"/>
      <c r="CGC996" s="2335"/>
      <c r="CGD996" s="2335"/>
      <c r="CGE996" s="2335"/>
      <c r="CGF996" s="2335"/>
      <c r="CGG996" s="2335"/>
      <c r="CGH996" s="2335"/>
      <c r="CGI996" s="2335"/>
      <c r="CGJ996" s="2335"/>
      <c r="CGK996" s="2335"/>
      <c r="CGL996" s="2335"/>
      <c r="CGM996" s="2335"/>
      <c r="CGN996" s="2335"/>
      <c r="CGO996" s="2335"/>
      <c r="CGP996" s="2335"/>
      <c r="CGQ996" s="2335"/>
      <c r="CGR996" s="2335"/>
      <c r="CGS996" s="2335"/>
      <c r="CGT996" s="2335"/>
      <c r="CGU996" s="2335"/>
      <c r="CGV996" s="2335"/>
      <c r="CGW996" s="2335"/>
      <c r="CGX996" s="2335"/>
      <c r="CGY996" s="2335"/>
      <c r="CGZ996" s="2335"/>
      <c r="CHA996" s="2335"/>
      <c r="CHB996" s="2335"/>
      <c r="CHC996" s="2335"/>
      <c r="CHD996" s="2335"/>
      <c r="CHE996" s="2335"/>
      <c r="CHF996" s="2335"/>
      <c r="CHG996" s="2335"/>
      <c r="CHH996" s="2335"/>
      <c r="CHI996" s="2335"/>
      <c r="CHJ996" s="2335"/>
      <c r="CHK996" s="2335"/>
      <c r="CHL996" s="2335"/>
      <c r="CHM996" s="2335"/>
      <c r="CHN996" s="2335"/>
      <c r="CHO996" s="2335"/>
      <c r="CHP996" s="2335"/>
      <c r="CHQ996" s="2335"/>
      <c r="CHR996" s="2335"/>
      <c r="CHS996" s="2335"/>
      <c r="CHT996" s="2335"/>
      <c r="CHU996" s="2335"/>
      <c r="CHV996" s="2335"/>
      <c r="CHW996" s="2335"/>
      <c r="CHX996" s="2335"/>
      <c r="CHY996" s="2335"/>
      <c r="CHZ996" s="2335"/>
      <c r="CIA996" s="2335"/>
      <c r="CIB996" s="2335"/>
      <c r="CIC996" s="2335"/>
      <c r="CID996" s="2335"/>
      <c r="CIE996" s="2335"/>
      <c r="CIF996" s="2335"/>
      <c r="CIG996" s="2335"/>
      <c r="CIH996" s="2335"/>
      <c r="CII996" s="2335"/>
      <c r="CIJ996" s="2335"/>
      <c r="CIK996" s="2335"/>
      <c r="CIL996" s="2335"/>
      <c r="CIM996" s="2335"/>
      <c r="CIN996" s="2335"/>
      <c r="CIO996" s="2335"/>
      <c r="CIP996" s="2335"/>
      <c r="CIQ996" s="2335"/>
      <c r="CIR996" s="2335"/>
      <c r="CIS996" s="2335"/>
      <c r="CIT996" s="2335"/>
      <c r="CIU996" s="2335"/>
      <c r="CIV996" s="2335"/>
      <c r="CIW996" s="2335"/>
      <c r="CIX996" s="2335"/>
      <c r="CIY996" s="2335"/>
      <c r="CIZ996" s="2335"/>
      <c r="CJA996" s="2335"/>
      <c r="CJB996" s="2335"/>
      <c r="CJC996" s="2335"/>
      <c r="CJD996" s="2335"/>
      <c r="CJE996" s="2335"/>
      <c r="CJF996" s="2335"/>
      <c r="CJG996" s="2335"/>
      <c r="CJH996" s="2335"/>
      <c r="CJI996" s="2335"/>
      <c r="CJJ996" s="2335"/>
      <c r="CJK996" s="2335"/>
      <c r="CJL996" s="2335"/>
      <c r="CJM996" s="2335"/>
      <c r="CJN996" s="2335"/>
      <c r="CJO996" s="2335"/>
      <c r="CJP996" s="2335"/>
      <c r="CJQ996" s="2335"/>
      <c r="CJR996" s="2335"/>
      <c r="CJS996" s="2335"/>
      <c r="CJT996" s="2335"/>
      <c r="CJU996" s="2335"/>
      <c r="CJV996" s="2335"/>
      <c r="CJW996" s="2335"/>
      <c r="CJX996" s="2335"/>
      <c r="CJY996" s="2335"/>
      <c r="CJZ996" s="2335"/>
      <c r="CKA996" s="2335"/>
      <c r="CKB996" s="2335"/>
      <c r="CKC996" s="2335"/>
      <c r="CKD996" s="2335"/>
      <c r="CKE996" s="2335"/>
      <c r="CKF996" s="2335"/>
      <c r="CKG996" s="2335"/>
      <c r="CKH996" s="2335"/>
      <c r="CKI996" s="2335"/>
      <c r="CKJ996" s="2335"/>
      <c r="CKK996" s="2335"/>
      <c r="CKL996" s="2335"/>
      <c r="CKM996" s="2335"/>
      <c r="CKN996" s="2335"/>
      <c r="CKO996" s="2335"/>
      <c r="CKP996" s="2335"/>
      <c r="CKQ996" s="2335"/>
      <c r="CKR996" s="2335"/>
      <c r="CKS996" s="2335"/>
      <c r="CKT996" s="2335"/>
      <c r="CKU996" s="2335"/>
      <c r="CKV996" s="2335"/>
      <c r="CKW996" s="2335"/>
      <c r="CKX996" s="2335"/>
      <c r="CKY996" s="2335"/>
      <c r="CKZ996" s="2335"/>
      <c r="CLA996" s="2335"/>
      <c r="CLB996" s="2335"/>
      <c r="CLC996" s="2335"/>
      <c r="CLD996" s="2335"/>
      <c r="CLE996" s="2335"/>
      <c r="CLF996" s="2335"/>
      <c r="CLG996" s="2335"/>
      <c r="CLH996" s="2335"/>
      <c r="CLI996" s="2335"/>
      <c r="CLJ996" s="2335"/>
      <c r="CLK996" s="2335"/>
      <c r="CLL996" s="2335"/>
      <c r="CLM996" s="2335"/>
      <c r="CLN996" s="2335"/>
      <c r="CLO996" s="2335"/>
      <c r="CLP996" s="2335"/>
      <c r="CLQ996" s="2335"/>
      <c r="CLR996" s="2335"/>
      <c r="CLS996" s="2335"/>
      <c r="CLT996" s="2335"/>
      <c r="CLU996" s="2335"/>
      <c r="CLV996" s="2335"/>
      <c r="CLW996" s="2335"/>
      <c r="CLX996" s="2335"/>
      <c r="CLY996" s="2335"/>
      <c r="CLZ996" s="2335"/>
      <c r="CMA996" s="2335"/>
      <c r="CMB996" s="2335"/>
      <c r="CMC996" s="2335"/>
      <c r="CMD996" s="2335"/>
      <c r="CME996" s="2335"/>
      <c r="CMF996" s="2335"/>
      <c r="CMG996" s="2335"/>
      <c r="CMH996" s="2335"/>
      <c r="CMI996" s="2335"/>
      <c r="CMJ996" s="2335"/>
      <c r="CMK996" s="2335"/>
      <c r="CML996" s="2335"/>
      <c r="CMM996" s="2335"/>
      <c r="CMN996" s="2335"/>
      <c r="CMO996" s="2335"/>
      <c r="CMP996" s="2335"/>
      <c r="CMQ996" s="2335"/>
      <c r="CMR996" s="2335"/>
      <c r="CMS996" s="2335"/>
      <c r="CMT996" s="2335"/>
      <c r="CMU996" s="2335"/>
      <c r="CMV996" s="2335"/>
      <c r="CMW996" s="2335"/>
      <c r="CMX996" s="2335"/>
      <c r="CMY996" s="2335"/>
      <c r="CMZ996" s="2335"/>
      <c r="CNA996" s="2335"/>
      <c r="CNB996" s="2335"/>
      <c r="CNC996" s="2335"/>
      <c r="CND996" s="2335"/>
      <c r="CNE996" s="2335"/>
      <c r="CNF996" s="2335"/>
      <c r="CNG996" s="2335"/>
      <c r="CNH996" s="2335"/>
      <c r="CNI996" s="2335"/>
      <c r="CNJ996" s="2335"/>
      <c r="CNK996" s="2335"/>
      <c r="CNL996" s="2335"/>
      <c r="CNM996" s="2335"/>
      <c r="CNN996" s="2335"/>
      <c r="CNO996" s="2335"/>
      <c r="CNP996" s="2335"/>
      <c r="CNQ996" s="2335"/>
      <c r="CNR996" s="2335"/>
      <c r="CNS996" s="2335"/>
      <c r="CNT996" s="2335"/>
      <c r="CNU996" s="2335"/>
      <c r="CNV996" s="2335"/>
      <c r="CNW996" s="2335"/>
      <c r="CNX996" s="2335"/>
      <c r="CNY996" s="2335"/>
      <c r="CNZ996" s="2335"/>
      <c r="COA996" s="2335"/>
      <c r="COB996" s="2335"/>
      <c r="COC996" s="2335"/>
      <c r="COD996" s="2335"/>
      <c r="COE996" s="2335"/>
      <c r="COF996" s="2335"/>
      <c r="COG996" s="2335"/>
      <c r="COH996" s="2335"/>
      <c r="COI996" s="2335"/>
      <c r="COJ996" s="2335"/>
      <c r="COK996" s="2335"/>
      <c r="COL996" s="2335"/>
      <c r="COM996" s="2335"/>
      <c r="CON996" s="2335"/>
      <c r="COO996" s="2335"/>
      <c r="COP996" s="2335"/>
      <c r="COQ996" s="2335"/>
      <c r="COR996" s="2335"/>
      <c r="COS996" s="2335"/>
      <c r="COT996" s="2335"/>
      <c r="COU996" s="2335"/>
      <c r="COV996" s="2335"/>
      <c r="COW996" s="2335"/>
      <c r="COX996" s="2335"/>
      <c r="COY996" s="2335"/>
      <c r="COZ996" s="2335"/>
      <c r="CPA996" s="2335"/>
      <c r="CPB996" s="2335"/>
      <c r="CPC996" s="2335"/>
      <c r="CPD996" s="2335"/>
      <c r="CPE996" s="2335"/>
      <c r="CPF996" s="2335"/>
      <c r="CPG996" s="2335"/>
      <c r="CPH996" s="2335"/>
      <c r="CPI996" s="2335"/>
      <c r="CPJ996" s="2335"/>
      <c r="CPK996" s="2335"/>
      <c r="CPL996" s="2335"/>
      <c r="CPM996" s="2335"/>
      <c r="CPN996" s="2335"/>
      <c r="CPO996" s="2335"/>
      <c r="CPP996" s="2335"/>
      <c r="CPQ996" s="2335"/>
      <c r="CPR996" s="2335"/>
      <c r="CPS996" s="2335"/>
      <c r="CPT996" s="2335"/>
      <c r="CPU996" s="2335"/>
      <c r="CPV996" s="2335"/>
      <c r="CPW996" s="2335"/>
      <c r="CPX996" s="2335"/>
      <c r="CPY996" s="2335"/>
      <c r="CPZ996" s="2335"/>
      <c r="CQA996" s="2335"/>
      <c r="CQB996" s="2335"/>
      <c r="CQC996" s="2335"/>
      <c r="CQD996" s="2335"/>
      <c r="CQE996" s="2335"/>
      <c r="CQF996" s="2335"/>
      <c r="CQG996" s="2335"/>
      <c r="CQH996" s="2335"/>
      <c r="CQI996" s="2335"/>
      <c r="CQJ996" s="2335"/>
      <c r="CQK996" s="2335"/>
      <c r="CQL996" s="2335"/>
      <c r="CQM996" s="2335"/>
      <c r="CQN996" s="2335"/>
      <c r="CQO996" s="2335"/>
      <c r="CQP996" s="2335"/>
      <c r="CQQ996" s="2335"/>
      <c r="CQR996" s="2335"/>
      <c r="CQS996" s="2335"/>
      <c r="CQT996" s="2335"/>
      <c r="CQU996" s="2335"/>
      <c r="CQV996" s="2335"/>
      <c r="CQW996" s="2335"/>
      <c r="CQX996" s="2335"/>
      <c r="CQY996" s="2335"/>
      <c r="CQZ996" s="2335"/>
      <c r="CRA996" s="2335"/>
      <c r="CRB996" s="2335"/>
      <c r="CRC996" s="2335"/>
      <c r="CRD996" s="2335"/>
      <c r="CRE996" s="2335"/>
      <c r="CRF996" s="2335"/>
      <c r="CRG996" s="2335"/>
      <c r="CRH996" s="2335"/>
      <c r="CRI996" s="2335"/>
      <c r="CRJ996" s="2335"/>
      <c r="CRK996" s="2335"/>
      <c r="CRL996" s="2335"/>
      <c r="CRM996" s="2335"/>
      <c r="CRN996" s="2335"/>
      <c r="CRO996" s="2335"/>
      <c r="CRP996" s="2335"/>
      <c r="CRQ996" s="2335"/>
      <c r="CRR996" s="2335"/>
      <c r="CRS996" s="2335"/>
      <c r="CRT996" s="2335"/>
      <c r="CRU996" s="2335"/>
      <c r="CRV996" s="2335"/>
      <c r="CRW996" s="2335"/>
      <c r="CRX996" s="2335"/>
      <c r="CRY996" s="2335"/>
      <c r="CRZ996" s="2335"/>
      <c r="CSA996" s="2335"/>
      <c r="CSB996" s="2335"/>
      <c r="CSC996" s="2335"/>
      <c r="CSD996" s="2335"/>
      <c r="CSE996" s="2335"/>
      <c r="CSF996" s="2335"/>
      <c r="CSG996" s="2335"/>
      <c r="CSH996" s="2335"/>
      <c r="CSI996" s="2335"/>
      <c r="CSJ996" s="2335"/>
      <c r="CSK996" s="2335"/>
      <c r="CSL996" s="2335"/>
      <c r="CSM996" s="2335"/>
      <c r="CSN996" s="2335"/>
      <c r="CSO996" s="2335"/>
      <c r="CSP996" s="2335"/>
      <c r="CSQ996" s="2335"/>
      <c r="CSR996" s="2335"/>
      <c r="CSS996" s="2335"/>
      <c r="CST996" s="2335"/>
      <c r="CSU996" s="2335"/>
      <c r="CSV996" s="2335"/>
      <c r="CSW996" s="2335"/>
      <c r="CSX996" s="2335"/>
      <c r="CSY996" s="2335"/>
      <c r="CSZ996" s="2335"/>
      <c r="CTA996" s="2335"/>
      <c r="CTB996" s="2335"/>
      <c r="CTC996" s="2335"/>
      <c r="CTD996" s="2335"/>
      <c r="CTE996" s="2335"/>
      <c r="CTF996" s="2335"/>
      <c r="CTG996" s="2335"/>
      <c r="CTH996" s="2335"/>
      <c r="CTI996" s="2335"/>
      <c r="CTJ996" s="2335"/>
      <c r="CTK996" s="2335"/>
      <c r="CTL996" s="2335"/>
      <c r="CTM996" s="2335"/>
      <c r="CTN996" s="2335"/>
      <c r="CTO996" s="2335"/>
      <c r="CTP996" s="2335"/>
      <c r="CTQ996" s="2335"/>
      <c r="CTR996" s="2335"/>
      <c r="CTS996" s="2335"/>
      <c r="CTT996" s="2335"/>
      <c r="CTU996" s="2335"/>
      <c r="CTV996" s="2335"/>
      <c r="CTW996" s="2335"/>
      <c r="CTX996" s="2335"/>
      <c r="CTY996" s="2335"/>
      <c r="CTZ996" s="2335"/>
      <c r="CUA996" s="2335"/>
      <c r="CUB996" s="2335"/>
      <c r="CUC996" s="2335"/>
      <c r="CUD996" s="2335"/>
      <c r="CUE996" s="2335"/>
      <c r="CUF996" s="2335"/>
      <c r="CUG996" s="2335"/>
      <c r="CUH996" s="2335"/>
      <c r="CUI996" s="2335"/>
      <c r="CUJ996" s="2335"/>
      <c r="CUK996" s="2335"/>
      <c r="CUL996" s="2335"/>
      <c r="CUM996" s="2335"/>
      <c r="CUN996" s="2335"/>
      <c r="CUO996" s="2335"/>
      <c r="CUP996" s="2335"/>
      <c r="CUQ996" s="2335"/>
      <c r="CUR996" s="2335"/>
      <c r="CUS996" s="2335"/>
      <c r="CUT996" s="2335"/>
      <c r="CUU996" s="2335"/>
      <c r="CUV996" s="2335"/>
      <c r="CUW996" s="2335"/>
      <c r="CUX996" s="2335"/>
      <c r="CUY996" s="2335"/>
      <c r="CUZ996" s="2335"/>
      <c r="CVA996" s="2335"/>
      <c r="CVB996" s="2335"/>
      <c r="CVC996" s="2335"/>
      <c r="CVD996" s="2335"/>
      <c r="CVE996" s="2335"/>
      <c r="CVF996" s="2335"/>
      <c r="CVG996" s="2335"/>
      <c r="CVH996" s="2335"/>
      <c r="CVI996" s="2335"/>
      <c r="CVJ996" s="2335"/>
      <c r="CVK996" s="2335"/>
      <c r="CVL996" s="2335"/>
      <c r="CVM996" s="2335"/>
      <c r="CVN996" s="2335"/>
      <c r="CVO996" s="2335"/>
      <c r="CVP996" s="2335"/>
      <c r="CVQ996" s="2335"/>
      <c r="CVR996" s="2335"/>
      <c r="CVS996" s="2335"/>
      <c r="CVT996" s="2335"/>
      <c r="CVU996" s="2335"/>
      <c r="CVV996" s="2335"/>
      <c r="CVW996" s="2335"/>
      <c r="CVX996" s="2335"/>
      <c r="CVY996" s="2335"/>
      <c r="CVZ996" s="2335"/>
      <c r="CWA996" s="2335"/>
      <c r="CWB996" s="2335"/>
      <c r="CWC996" s="2335"/>
      <c r="CWD996" s="2335"/>
      <c r="CWE996" s="2335"/>
      <c r="CWF996" s="2335"/>
      <c r="CWG996" s="2335"/>
      <c r="CWH996" s="2335"/>
      <c r="CWI996" s="2335"/>
      <c r="CWJ996" s="2335"/>
      <c r="CWK996" s="2335"/>
      <c r="CWL996" s="2335"/>
      <c r="CWM996" s="2335"/>
      <c r="CWN996" s="2335"/>
      <c r="CWO996" s="2335"/>
      <c r="CWP996" s="2335"/>
      <c r="CWQ996" s="2335"/>
      <c r="CWR996" s="2335"/>
      <c r="CWS996" s="2335"/>
      <c r="CWT996" s="2335"/>
      <c r="CWU996" s="2335"/>
      <c r="CWV996" s="2335"/>
      <c r="CWW996" s="2335"/>
      <c r="CWX996" s="2335"/>
      <c r="CWY996" s="2335"/>
      <c r="CWZ996" s="2335"/>
      <c r="CXA996" s="2335"/>
      <c r="CXB996" s="2335"/>
      <c r="CXC996" s="2335"/>
      <c r="CXD996" s="2335"/>
      <c r="CXE996" s="2335"/>
      <c r="CXF996" s="2335"/>
      <c r="CXG996" s="2335"/>
      <c r="CXH996" s="2335"/>
      <c r="CXI996" s="2335"/>
      <c r="CXJ996" s="2335"/>
      <c r="CXK996" s="2335"/>
      <c r="CXL996" s="2335"/>
      <c r="CXM996" s="2335"/>
      <c r="CXN996" s="2335"/>
      <c r="CXO996" s="2335"/>
      <c r="CXP996" s="2335"/>
      <c r="CXQ996" s="2335"/>
      <c r="CXR996" s="2335"/>
      <c r="CXS996" s="2335"/>
      <c r="CXT996" s="2335"/>
      <c r="CXU996" s="2335"/>
      <c r="CXV996" s="2335"/>
      <c r="CXW996" s="2335"/>
      <c r="CXX996" s="2335"/>
      <c r="CXY996" s="2335"/>
      <c r="CXZ996" s="2335"/>
      <c r="CYA996" s="2335"/>
      <c r="CYB996" s="2335"/>
      <c r="CYC996" s="2335"/>
      <c r="CYD996" s="2335"/>
      <c r="CYE996" s="2335"/>
      <c r="CYF996" s="2335"/>
      <c r="CYG996" s="2335"/>
      <c r="CYH996" s="2335"/>
      <c r="CYI996" s="2335"/>
      <c r="CYJ996" s="2335"/>
      <c r="CYK996" s="2335"/>
      <c r="CYL996" s="2335"/>
      <c r="CYM996" s="2335"/>
      <c r="CYN996" s="2335"/>
      <c r="CYO996" s="2335"/>
      <c r="CYP996" s="2335"/>
      <c r="CYQ996" s="2335"/>
      <c r="CYR996" s="2335"/>
      <c r="CYS996" s="2335"/>
      <c r="CYT996" s="2335"/>
      <c r="CYU996" s="2335"/>
      <c r="CYV996" s="2335"/>
      <c r="CYW996" s="2335"/>
      <c r="CYX996" s="2335"/>
      <c r="CYY996" s="2335"/>
      <c r="CYZ996" s="2335"/>
      <c r="CZA996" s="2335"/>
      <c r="CZB996" s="2335"/>
      <c r="CZC996" s="2335"/>
      <c r="CZD996" s="2335"/>
      <c r="CZE996" s="2335"/>
      <c r="CZF996" s="2335"/>
      <c r="CZG996" s="2335"/>
      <c r="CZH996" s="2335"/>
      <c r="CZI996" s="2335"/>
      <c r="CZJ996" s="2335"/>
      <c r="CZK996" s="2335"/>
      <c r="CZL996" s="2335"/>
      <c r="CZM996" s="2335"/>
      <c r="CZN996" s="2335"/>
      <c r="CZO996" s="2335"/>
      <c r="CZP996" s="2335"/>
      <c r="CZQ996" s="2335"/>
      <c r="CZR996" s="2335"/>
      <c r="CZS996" s="2335"/>
      <c r="CZT996" s="2335"/>
      <c r="CZU996" s="2335"/>
      <c r="CZV996" s="2335"/>
      <c r="CZW996" s="2335"/>
      <c r="CZX996" s="2335"/>
      <c r="CZY996" s="2335"/>
      <c r="CZZ996" s="2335"/>
      <c r="DAA996" s="2335"/>
      <c r="DAB996" s="2335"/>
      <c r="DAC996" s="2335"/>
      <c r="DAD996" s="2335"/>
      <c r="DAE996" s="2335"/>
      <c r="DAF996" s="2335"/>
      <c r="DAG996" s="2335"/>
      <c r="DAH996" s="2335"/>
      <c r="DAI996" s="2335"/>
      <c r="DAJ996" s="2335"/>
      <c r="DAK996" s="2335"/>
      <c r="DAL996" s="2335"/>
      <c r="DAM996" s="2335"/>
      <c r="DAN996" s="2335"/>
      <c r="DAO996" s="2335"/>
      <c r="DAP996" s="2335"/>
      <c r="DAQ996" s="2335"/>
      <c r="DAR996" s="2335"/>
      <c r="DAS996" s="2335"/>
      <c r="DAT996" s="2335"/>
      <c r="DAU996" s="2335"/>
      <c r="DAV996" s="2335"/>
      <c r="DAW996" s="2335"/>
      <c r="DAX996" s="2335"/>
      <c r="DAY996" s="2335"/>
      <c r="DAZ996" s="2335"/>
      <c r="DBA996" s="2335"/>
      <c r="DBB996" s="2335"/>
      <c r="DBC996" s="2335"/>
      <c r="DBD996" s="2335"/>
      <c r="DBE996" s="2335"/>
      <c r="DBF996" s="2335"/>
      <c r="DBG996" s="2335"/>
      <c r="DBH996" s="2335"/>
      <c r="DBI996" s="2335"/>
      <c r="DBJ996" s="2335"/>
      <c r="DBK996" s="2335"/>
      <c r="DBL996" s="2335"/>
      <c r="DBM996" s="2335"/>
      <c r="DBN996" s="2335"/>
      <c r="DBO996" s="2335"/>
      <c r="DBP996" s="2335"/>
      <c r="DBQ996" s="2335"/>
      <c r="DBR996" s="2335"/>
      <c r="DBS996" s="2335"/>
      <c r="DBT996" s="2335"/>
      <c r="DBU996" s="2335"/>
      <c r="DBV996" s="2335"/>
      <c r="DBW996" s="2335"/>
      <c r="DBX996" s="2335"/>
      <c r="DBY996" s="2335"/>
      <c r="DBZ996" s="2335"/>
      <c r="DCA996" s="2335"/>
      <c r="DCB996" s="2335"/>
      <c r="DCC996" s="2335"/>
      <c r="DCD996" s="2335"/>
      <c r="DCE996" s="2335"/>
      <c r="DCF996" s="2335"/>
      <c r="DCG996" s="2335"/>
      <c r="DCH996" s="2335"/>
      <c r="DCI996" s="2335"/>
      <c r="DCJ996" s="2335"/>
      <c r="DCK996" s="2335"/>
      <c r="DCL996" s="2335"/>
      <c r="DCM996" s="2335"/>
      <c r="DCN996" s="2335"/>
      <c r="DCO996" s="2335"/>
      <c r="DCP996" s="2335"/>
      <c r="DCQ996" s="2335"/>
      <c r="DCR996" s="2335"/>
      <c r="DCS996" s="2335"/>
      <c r="DCT996" s="2335"/>
      <c r="DCU996" s="2335"/>
      <c r="DCV996" s="2335"/>
      <c r="DCW996" s="2335"/>
      <c r="DCX996" s="2335"/>
      <c r="DCY996" s="2335"/>
      <c r="DCZ996" s="2335"/>
      <c r="DDA996" s="2335"/>
      <c r="DDB996" s="2335"/>
      <c r="DDC996" s="2335"/>
      <c r="DDD996" s="2335"/>
      <c r="DDE996" s="2335"/>
      <c r="DDF996" s="2335"/>
      <c r="DDG996" s="2335"/>
      <c r="DDH996" s="2335"/>
      <c r="DDI996" s="2335"/>
      <c r="DDJ996" s="2335"/>
      <c r="DDK996" s="2335"/>
      <c r="DDL996" s="2335"/>
      <c r="DDM996" s="2335"/>
      <c r="DDN996" s="2335"/>
      <c r="DDO996" s="2335"/>
      <c r="DDP996" s="2335"/>
      <c r="DDQ996" s="2335"/>
      <c r="DDR996" s="2335"/>
      <c r="DDS996" s="2335"/>
      <c r="DDT996" s="2335"/>
      <c r="DDU996" s="2335"/>
      <c r="DDV996" s="2335"/>
      <c r="DDW996" s="2335"/>
      <c r="DDX996" s="2335"/>
      <c r="DDY996" s="2335"/>
      <c r="DDZ996" s="2335"/>
      <c r="DEA996" s="2335"/>
      <c r="DEB996" s="2335"/>
      <c r="DEC996" s="2335"/>
      <c r="DED996" s="2335"/>
      <c r="DEE996" s="2335"/>
      <c r="DEF996" s="2335"/>
      <c r="DEG996" s="2335"/>
      <c r="DEH996" s="2335"/>
      <c r="DEI996" s="2335"/>
      <c r="DEJ996" s="2335"/>
      <c r="DEK996" s="2335"/>
      <c r="DEL996" s="2335"/>
      <c r="DEM996" s="2335"/>
      <c r="DEN996" s="2335"/>
      <c r="DEO996" s="2335"/>
      <c r="DEP996" s="2335"/>
      <c r="DEQ996" s="2335"/>
      <c r="DER996" s="2335"/>
      <c r="DES996" s="2335"/>
      <c r="DET996" s="2335"/>
      <c r="DEU996" s="2335"/>
      <c r="DEV996" s="2335"/>
      <c r="DEW996" s="2335"/>
      <c r="DEX996" s="2335"/>
      <c r="DEY996" s="2335"/>
      <c r="DEZ996" s="2335"/>
      <c r="DFA996" s="2335"/>
      <c r="DFB996" s="2335"/>
      <c r="DFC996" s="2335"/>
      <c r="DFD996" s="2335"/>
      <c r="DFE996" s="2335"/>
      <c r="DFF996" s="2335"/>
      <c r="DFG996" s="2335"/>
      <c r="DFH996" s="2335"/>
      <c r="DFI996" s="2335"/>
      <c r="DFJ996" s="2335"/>
      <c r="DFK996" s="2335"/>
      <c r="DFL996" s="2335"/>
      <c r="DFM996" s="2335"/>
      <c r="DFN996" s="2335"/>
      <c r="DFO996" s="2335"/>
      <c r="DFP996" s="2335"/>
      <c r="DFQ996" s="2335"/>
      <c r="DFR996" s="2335"/>
      <c r="DFS996" s="2335"/>
      <c r="DFT996" s="2335"/>
      <c r="DFU996" s="2335"/>
      <c r="DFV996" s="2335"/>
      <c r="DFW996" s="2335"/>
      <c r="DFX996" s="2335"/>
      <c r="DFY996" s="2335"/>
      <c r="DFZ996" s="2335"/>
      <c r="DGA996" s="2335"/>
      <c r="DGB996" s="2335"/>
      <c r="DGC996" s="2335"/>
      <c r="DGD996" s="2335"/>
      <c r="DGE996" s="2335"/>
      <c r="DGF996" s="2335"/>
      <c r="DGG996" s="2335"/>
      <c r="DGH996" s="2335"/>
      <c r="DGI996" s="2335"/>
      <c r="DGJ996" s="2335"/>
      <c r="DGK996" s="2335"/>
      <c r="DGL996" s="2335"/>
      <c r="DGM996" s="2335"/>
      <c r="DGN996" s="2335"/>
      <c r="DGO996" s="2335"/>
      <c r="DGP996" s="2335"/>
      <c r="DGQ996" s="2335"/>
      <c r="DGR996" s="2335"/>
      <c r="DGS996" s="2335"/>
      <c r="DGT996" s="2335"/>
      <c r="DGU996" s="2335"/>
      <c r="DGV996" s="2335"/>
      <c r="DGW996" s="2335"/>
      <c r="DGX996" s="2335"/>
      <c r="DGY996" s="2335"/>
      <c r="DGZ996" s="2335"/>
      <c r="DHA996" s="2335"/>
      <c r="DHB996" s="2335"/>
      <c r="DHC996" s="2335"/>
      <c r="DHD996" s="2335"/>
      <c r="DHE996" s="2335"/>
      <c r="DHF996" s="2335"/>
      <c r="DHG996" s="2335"/>
      <c r="DHH996" s="2335"/>
      <c r="DHI996" s="2335"/>
      <c r="DHJ996" s="2335"/>
      <c r="DHK996" s="2335"/>
      <c r="DHL996" s="2335"/>
      <c r="DHM996" s="2335"/>
      <c r="DHN996" s="2335"/>
      <c r="DHO996" s="2335"/>
      <c r="DHP996" s="2335"/>
      <c r="DHQ996" s="2335"/>
      <c r="DHR996" s="2335"/>
      <c r="DHS996" s="2335"/>
      <c r="DHT996" s="2335"/>
      <c r="DHU996" s="2335"/>
      <c r="DHV996" s="2335"/>
      <c r="DHW996" s="2335"/>
      <c r="DHX996" s="2335"/>
      <c r="DHY996" s="2335"/>
      <c r="DHZ996" s="2335"/>
      <c r="DIA996" s="2335"/>
      <c r="DIB996" s="2335"/>
      <c r="DIC996" s="2335"/>
      <c r="DID996" s="2335"/>
      <c r="DIE996" s="2335"/>
      <c r="DIF996" s="2335"/>
      <c r="DIG996" s="2335"/>
      <c r="DIH996" s="2335"/>
      <c r="DII996" s="2335"/>
      <c r="DIJ996" s="2335"/>
      <c r="DIK996" s="2335"/>
      <c r="DIL996" s="2335"/>
      <c r="DIM996" s="2335"/>
      <c r="DIN996" s="2335"/>
      <c r="DIO996" s="2335"/>
      <c r="DIP996" s="2335"/>
      <c r="DIQ996" s="2335"/>
      <c r="DIR996" s="2335"/>
      <c r="DIS996" s="2335"/>
      <c r="DIT996" s="2335"/>
      <c r="DIU996" s="2335"/>
      <c r="DIV996" s="2335"/>
      <c r="DIW996" s="2335"/>
      <c r="DIX996" s="2335"/>
      <c r="DIY996" s="2335"/>
      <c r="DIZ996" s="2335"/>
      <c r="DJA996" s="2335"/>
      <c r="DJB996" s="2335"/>
      <c r="DJC996" s="2335"/>
      <c r="DJD996" s="2335"/>
      <c r="DJE996" s="2335"/>
      <c r="DJF996" s="2335"/>
      <c r="DJG996" s="2335"/>
      <c r="DJH996" s="2335"/>
      <c r="DJI996" s="2335"/>
      <c r="DJJ996" s="2335"/>
      <c r="DJK996" s="2335"/>
      <c r="DJL996" s="2335"/>
      <c r="DJM996" s="2335"/>
      <c r="DJN996" s="2335"/>
      <c r="DJO996" s="2335"/>
      <c r="DJP996" s="2335"/>
      <c r="DJQ996" s="2335"/>
      <c r="DJR996" s="2335"/>
      <c r="DJS996" s="2335"/>
      <c r="DJT996" s="2335"/>
      <c r="DJU996" s="2335"/>
      <c r="DJV996" s="2335"/>
      <c r="DJW996" s="2335"/>
      <c r="DJX996" s="2335"/>
      <c r="DJY996" s="2335"/>
      <c r="DJZ996" s="2335"/>
      <c r="DKA996" s="2335"/>
      <c r="DKB996" s="2335"/>
      <c r="DKC996" s="2335"/>
      <c r="DKD996" s="2335"/>
      <c r="DKE996" s="2335"/>
      <c r="DKF996" s="2335"/>
      <c r="DKG996" s="2335"/>
      <c r="DKH996" s="2335"/>
      <c r="DKI996" s="2335"/>
      <c r="DKJ996" s="2335"/>
      <c r="DKK996" s="2335"/>
      <c r="DKL996" s="2335"/>
      <c r="DKM996" s="2335"/>
      <c r="DKN996" s="2335"/>
      <c r="DKO996" s="2335"/>
      <c r="DKP996" s="2335"/>
      <c r="DKQ996" s="2335"/>
      <c r="DKR996" s="2335"/>
      <c r="DKS996" s="2335"/>
      <c r="DKT996" s="2335"/>
      <c r="DKU996" s="2335"/>
      <c r="DKV996" s="2335"/>
      <c r="DKW996" s="2335"/>
      <c r="DKX996" s="2335"/>
      <c r="DKY996" s="2335"/>
      <c r="DKZ996" s="2335"/>
      <c r="DLA996" s="2335"/>
      <c r="DLB996" s="2335"/>
      <c r="DLC996" s="2335"/>
      <c r="DLD996" s="2335"/>
      <c r="DLE996" s="2335"/>
      <c r="DLF996" s="2335"/>
      <c r="DLG996" s="2335"/>
      <c r="DLH996" s="2335"/>
      <c r="DLI996" s="2335"/>
      <c r="DLJ996" s="2335"/>
      <c r="DLK996" s="2335"/>
      <c r="DLL996" s="2335"/>
      <c r="DLM996" s="2335"/>
      <c r="DLN996" s="2335"/>
      <c r="DLO996" s="2335"/>
      <c r="DLP996" s="2335"/>
      <c r="DLQ996" s="2335"/>
      <c r="DLR996" s="2335"/>
      <c r="DLS996" s="2335"/>
      <c r="DLT996" s="2335"/>
      <c r="DLU996" s="2335"/>
      <c r="DLV996" s="2335"/>
      <c r="DLW996" s="2335"/>
      <c r="DLX996" s="2335"/>
      <c r="DLY996" s="2335"/>
      <c r="DLZ996" s="2335"/>
      <c r="DMA996" s="2335"/>
      <c r="DMB996" s="2335"/>
      <c r="DMC996" s="2335"/>
      <c r="DMD996" s="2335"/>
      <c r="DME996" s="2335"/>
      <c r="DMF996" s="2335"/>
      <c r="DMG996" s="2335"/>
      <c r="DMH996" s="2335"/>
      <c r="DMI996" s="2335"/>
      <c r="DMJ996" s="2335"/>
      <c r="DMK996" s="2335"/>
      <c r="DML996" s="2335"/>
      <c r="DMM996" s="2335"/>
      <c r="DMN996" s="2335"/>
      <c r="DMO996" s="2335"/>
      <c r="DMP996" s="2335"/>
      <c r="DMQ996" s="2335"/>
      <c r="DMR996" s="2335"/>
      <c r="DMS996" s="2335"/>
      <c r="DMT996" s="2335"/>
      <c r="DMU996" s="2335"/>
      <c r="DMV996" s="2335"/>
      <c r="DMW996" s="2335"/>
      <c r="DMX996" s="2335"/>
      <c r="DMY996" s="2335"/>
      <c r="DMZ996" s="2335"/>
      <c r="DNA996" s="2335"/>
      <c r="DNB996" s="2335"/>
      <c r="DNC996" s="2335"/>
      <c r="DND996" s="2335"/>
      <c r="DNE996" s="2335"/>
      <c r="DNF996" s="2335"/>
      <c r="DNG996" s="2335"/>
      <c r="DNH996" s="2335"/>
      <c r="DNI996" s="2335"/>
      <c r="DNJ996" s="2335"/>
      <c r="DNK996" s="2335"/>
      <c r="DNL996" s="2335"/>
      <c r="DNM996" s="2335"/>
      <c r="DNN996" s="2335"/>
      <c r="DNO996" s="2335"/>
      <c r="DNP996" s="2335"/>
      <c r="DNQ996" s="2335"/>
      <c r="DNR996" s="2335"/>
      <c r="DNS996" s="2335"/>
      <c r="DNT996" s="2335"/>
      <c r="DNU996" s="2335"/>
      <c r="DNV996" s="2335"/>
      <c r="DNW996" s="2335"/>
      <c r="DNX996" s="2335"/>
      <c r="DNY996" s="2335"/>
      <c r="DNZ996" s="2335"/>
      <c r="DOA996" s="2335"/>
      <c r="DOB996" s="2335"/>
      <c r="DOC996" s="2335"/>
      <c r="DOD996" s="2335"/>
      <c r="DOE996" s="2335"/>
      <c r="DOF996" s="2335"/>
      <c r="DOG996" s="2335"/>
      <c r="DOH996" s="2335"/>
      <c r="DOI996" s="2335"/>
      <c r="DOJ996" s="2335"/>
      <c r="DOK996" s="2335"/>
      <c r="DOL996" s="2335"/>
      <c r="DOM996" s="2335"/>
      <c r="DON996" s="2335"/>
      <c r="DOO996" s="2335"/>
      <c r="DOP996" s="2335"/>
      <c r="DOQ996" s="2335"/>
      <c r="DOR996" s="2335"/>
      <c r="DOS996" s="2335"/>
      <c r="DOT996" s="2335"/>
      <c r="DOU996" s="2335"/>
      <c r="DOV996" s="2335"/>
      <c r="DOW996" s="2335"/>
      <c r="DOX996" s="2335"/>
      <c r="DOY996" s="2335"/>
      <c r="DOZ996" s="2335"/>
      <c r="DPA996" s="2335"/>
      <c r="DPB996" s="2335"/>
      <c r="DPC996" s="2335"/>
      <c r="DPD996" s="2335"/>
      <c r="DPE996" s="2335"/>
      <c r="DPF996" s="2335"/>
      <c r="DPG996" s="2335"/>
      <c r="DPH996" s="2335"/>
      <c r="DPI996" s="2335"/>
      <c r="DPJ996" s="2335"/>
      <c r="DPK996" s="2335"/>
      <c r="DPL996" s="2335"/>
      <c r="DPM996" s="2335"/>
      <c r="DPN996" s="2335"/>
      <c r="DPO996" s="2335"/>
      <c r="DPP996" s="2335"/>
      <c r="DPQ996" s="2335"/>
      <c r="DPR996" s="2335"/>
      <c r="DPS996" s="2335"/>
      <c r="DPT996" s="2335"/>
      <c r="DPU996" s="2335"/>
      <c r="DPV996" s="2335"/>
      <c r="DPW996" s="2335"/>
      <c r="DPX996" s="2335"/>
      <c r="DPY996" s="2335"/>
      <c r="DPZ996" s="2335"/>
      <c r="DQA996" s="2335"/>
      <c r="DQB996" s="2335"/>
      <c r="DQC996" s="2335"/>
      <c r="DQD996" s="2335"/>
      <c r="DQE996" s="2335"/>
      <c r="DQF996" s="2335"/>
      <c r="DQG996" s="2335"/>
      <c r="DQH996" s="2335"/>
      <c r="DQI996" s="2335"/>
      <c r="DQJ996" s="2335"/>
      <c r="DQK996" s="2335"/>
      <c r="DQL996" s="2335"/>
      <c r="DQM996" s="2335"/>
      <c r="DQN996" s="2335"/>
      <c r="DQO996" s="2335"/>
      <c r="DQP996" s="2335"/>
      <c r="DQQ996" s="2335"/>
      <c r="DQR996" s="2335"/>
      <c r="DQS996" s="2335"/>
      <c r="DQT996" s="2335"/>
      <c r="DQU996" s="2335"/>
      <c r="DQV996" s="2335"/>
      <c r="DQW996" s="2335"/>
      <c r="DQX996" s="2335"/>
      <c r="DQY996" s="2335"/>
      <c r="DQZ996" s="2335"/>
      <c r="DRA996" s="2335"/>
      <c r="DRB996" s="2335"/>
      <c r="DRC996" s="2335"/>
      <c r="DRD996" s="2335"/>
      <c r="DRE996" s="2335"/>
      <c r="DRF996" s="2335"/>
      <c r="DRG996" s="2335"/>
      <c r="DRH996" s="2335"/>
      <c r="DRI996" s="2335"/>
      <c r="DRJ996" s="2335"/>
      <c r="DRK996" s="2335"/>
      <c r="DRL996" s="2335"/>
      <c r="DRM996" s="2335"/>
      <c r="DRN996" s="2335"/>
      <c r="DRO996" s="2335"/>
      <c r="DRP996" s="2335"/>
      <c r="DRQ996" s="2335"/>
      <c r="DRR996" s="2335"/>
      <c r="DRS996" s="2335"/>
      <c r="DRT996" s="2335"/>
      <c r="DRU996" s="2335"/>
      <c r="DRV996" s="2335"/>
      <c r="DRW996" s="2335"/>
      <c r="DRX996" s="2335"/>
      <c r="DRY996" s="2335"/>
      <c r="DRZ996" s="2335"/>
      <c r="DSA996" s="2335"/>
      <c r="DSB996" s="2335"/>
      <c r="DSC996" s="2335"/>
      <c r="DSD996" s="2335"/>
      <c r="DSE996" s="2335"/>
      <c r="DSF996" s="2335"/>
      <c r="DSG996" s="2335"/>
      <c r="DSH996" s="2335"/>
      <c r="DSI996" s="2335"/>
      <c r="DSJ996" s="2335"/>
      <c r="DSK996" s="2335"/>
      <c r="DSL996" s="2335"/>
      <c r="DSM996" s="2335"/>
      <c r="DSN996" s="2335"/>
      <c r="DSO996" s="2335"/>
      <c r="DSP996" s="2335"/>
      <c r="DSQ996" s="2335"/>
      <c r="DSR996" s="2335"/>
      <c r="DSS996" s="2335"/>
      <c r="DST996" s="2335"/>
      <c r="DSU996" s="2335"/>
      <c r="DSV996" s="2335"/>
      <c r="DSW996" s="2335"/>
      <c r="DSX996" s="2335"/>
      <c r="DSY996" s="2335"/>
      <c r="DSZ996" s="2335"/>
      <c r="DTA996" s="2335"/>
      <c r="DTB996" s="2335"/>
      <c r="DTC996" s="2335"/>
      <c r="DTD996" s="2335"/>
      <c r="DTE996" s="2335"/>
      <c r="DTF996" s="2335"/>
      <c r="DTG996" s="2335"/>
      <c r="DTH996" s="2335"/>
      <c r="DTI996" s="2335"/>
      <c r="DTJ996" s="2335"/>
      <c r="DTK996" s="2335"/>
      <c r="DTL996" s="2335"/>
      <c r="DTM996" s="2335"/>
      <c r="DTN996" s="2335"/>
      <c r="DTO996" s="2335"/>
      <c r="DTP996" s="2335"/>
      <c r="DTQ996" s="2335"/>
      <c r="DTR996" s="2335"/>
      <c r="DTS996" s="2335"/>
      <c r="DTT996" s="2335"/>
      <c r="DTU996" s="2335"/>
      <c r="DTV996" s="2335"/>
      <c r="DTW996" s="2335"/>
      <c r="DTX996" s="2335"/>
      <c r="DTY996" s="2335"/>
      <c r="DTZ996" s="2335"/>
      <c r="DUA996" s="2335"/>
      <c r="DUB996" s="2335"/>
      <c r="DUC996" s="2335"/>
      <c r="DUD996" s="2335"/>
      <c r="DUE996" s="2335"/>
      <c r="DUF996" s="2335"/>
      <c r="DUG996" s="2335"/>
      <c r="DUH996" s="2335"/>
      <c r="DUI996" s="2335"/>
      <c r="DUJ996" s="2335"/>
      <c r="DUK996" s="2335"/>
      <c r="DUL996" s="2335"/>
      <c r="DUM996" s="2335"/>
      <c r="DUN996" s="2335"/>
      <c r="DUO996" s="2335"/>
      <c r="DUP996" s="2335"/>
      <c r="DUQ996" s="2335"/>
      <c r="DUR996" s="2335"/>
      <c r="DUS996" s="2335"/>
      <c r="DUT996" s="2335"/>
      <c r="DUU996" s="2335"/>
      <c r="DUV996" s="2335"/>
      <c r="DUW996" s="2335"/>
      <c r="DUX996" s="2335"/>
      <c r="DUY996" s="2335"/>
      <c r="DUZ996" s="2335"/>
      <c r="DVA996" s="2335"/>
      <c r="DVB996" s="2335"/>
      <c r="DVC996" s="2335"/>
      <c r="DVD996" s="2335"/>
      <c r="DVE996" s="2335"/>
      <c r="DVF996" s="2335"/>
      <c r="DVG996" s="2335"/>
      <c r="DVH996" s="2335"/>
      <c r="DVI996" s="2335"/>
      <c r="DVJ996" s="2335"/>
      <c r="DVK996" s="2335"/>
      <c r="DVL996" s="2335"/>
      <c r="DVM996" s="2335"/>
      <c r="DVN996" s="2335"/>
      <c r="DVO996" s="2335"/>
      <c r="DVP996" s="2335"/>
      <c r="DVQ996" s="2335"/>
      <c r="DVR996" s="2335"/>
      <c r="DVS996" s="2335"/>
      <c r="DVT996" s="2335"/>
      <c r="DVU996" s="2335"/>
      <c r="DVV996" s="2335"/>
      <c r="DVW996" s="2335"/>
      <c r="DVX996" s="2335"/>
      <c r="DVY996" s="2335"/>
      <c r="DVZ996" s="2335"/>
      <c r="DWA996" s="2335"/>
      <c r="DWB996" s="2335"/>
      <c r="DWC996" s="2335"/>
      <c r="DWD996" s="2335"/>
      <c r="DWE996" s="2335"/>
      <c r="DWF996" s="2335"/>
      <c r="DWG996" s="2335"/>
      <c r="DWH996" s="2335"/>
      <c r="DWI996" s="2335"/>
      <c r="DWJ996" s="2335"/>
      <c r="DWK996" s="2335"/>
      <c r="DWL996" s="2335"/>
      <c r="DWM996" s="2335"/>
      <c r="DWN996" s="2335"/>
      <c r="DWO996" s="2335"/>
      <c r="DWP996" s="2335"/>
      <c r="DWQ996" s="2335"/>
      <c r="DWR996" s="2335"/>
      <c r="DWS996" s="2335"/>
      <c r="DWT996" s="2335"/>
      <c r="DWU996" s="2335"/>
      <c r="DWV996" s="2335"/>
      <c r="DWW996" s="2335"/>
      <c r="DWX996" s="2335"/>
      <c r="DWY996" s="2335"/>
      <c r="DWZ996" s="2335"/>
      <c r="DXA996" s="2335"/>
      <c r="DXB996" s="2335"/>
      <c r="DXC996" s="2335"/>
      <c r="DXD996" s="2335"/>
      <c r="DXE996" s="2335"/>
      <c r="DXF996" s="2335"/>
      <c r="DXG996" s="2335"/>
      <c r="DXH996" s="2335"/>
      <c r="DXI996" s="2335"/>
      <c r="DXJ996" s="2335"/>
      <c r="DXK996" s="2335"/>
      <c r="DXL996" s="2335"/>
      <c r="DXM996" s="2335"/>
      <c r="DXN996" s="2335"/>
      <c r="DXO996" s="2335"/>
      <c r="DXP996" s="2335"/>
      <c r="DXQ996" s="2335"/>
      <c r="DXR996" s="2335"/>
      <c r="DXS996" s="2335"/>
      <c r="DXT996" s="2335"/>
      <c r="DXU996" s="2335"/>
      <c r="DXV996" s="2335"/>
      <c r="DXW996" s="2335"/>
      <c r="DXX996" s="2335"/>
      <c r="DXY996" s="2335"/>
      <c r="DXZ996" s="2335"/>
      <c r="DYA996" s="2335"/>
      <c r="DYB996" s="2335"/>
      <c r="DYC996" s="2335"/>
      <c r="DYD996" s="2335"/>
      <c r="DYE996" s="2335"/>
      <c r="DYF996" s="2335"/>
      <c r="DYG996" s="2335"/>
      <c r="DYH996" s="2335"/>
      <c r="DYI996" s="2335"/>
      <c r="DYJ996" s="2335"/>
      <c r="DYK996" s="2335"/>
      <c r="DYL996" s="2335"/>
      <c r="DYM996" s="2335"/>
      <c r="DYN996" s="2335"/>
      <c r="DYO996" s="2335"/>
      <c r="DYP996" s="2335"/>
      <c r="DYQ996" s="2335"/>
      <c r="DYR996" s="2335"/>
      <c r="DYS996" s="2335"/>
      <c r="DYT996" s="2335"/>
      <c r="DYU996" s="2335"/>
      <c r="DYV996" s="2335"/>
      <c r="DYW996" s="2335"/>
      <c r="DYX996" s="2335"/>
      <c r="DYY996" s="2335"/>
      <c r="DYZ996" s="2335"/>
      <c r="DZA996" s="2335"/>
      <c r="DZB996" s="2335"/>
      <c r="DZC996" s="2335"/>
      <c r="DZD996" s="2335"/>
      <c r="DZE996" s="2335"/>
      <c r="DZF996" s="2335"/>
      <c r="DZG996" s="2335"/>
      <c r="DZH996" s="2335"/>
      <c r="DZI996" s="2335"/>
      <c r="DZJ996" s="2335"/>
      <c r="DZK996" s="2335"/>
      <c r="DZL996" s="2335"/>
      <c r="DZM996" s="2335"/>
      <c r="DZN996" s="2335"/>
      <c r="DZO996" s="2335"/>
      <c r="DZP996" s="2335"/>
      <c r="DZQ996" s="2335"/>
      <c r="DZR996" s="2335"/>
      <c r="DZS996" s="2335"/>
      <c r="DZT996" s="2335"/>
      <c r="DZU996" s="2335"/>
      <c r="DZV996" s="2335"/>
      <c r="DZW996" s="2335"/>
      <c r="DZX996" s="2335"/>
      <c r="DZY996" s="2335"/>
      <c r="DZZ996" s="2335"/>
      <c r="EAA996" s="2335"/>
      <c r="EAB996" s="2335"/>
      <c r="EAC996" s="2335"/>
      <c r="EAD996" s="2335"/>
      <c r="EAE996" s="2335"/>
      <c r="EAF996" s="2335"/>
      <c r="EAG996" s="2335"/>
      <c r="EAH996" s="2335"/>
      <c r="EAI996" s="2335"/>
      <c r="EAJ996" s="2335"/>
      <c r="EAK996" s="2335"/>
      <c r="EAL996" s="2335"/>
      <c r="EAM996" s="2335"/>
      <c r="EAN996" s="2335"/>
      <c r="EAO996" s="2335"/>
      <c r="EAP996" s="2335"/>
      <c r="EAQ996" s="2335"/>
      <c r="EAR996" s="2335"/>
      <c r="EAS996" s="2335"/>
      <c r="EAT996" s="2335"/>
      <c r="EAU996" s="2335"/>
      <c r="EAV996" s="2335"/>
      <c r="EAW996" s="2335"/>
      <c r="EAX996" s="2335"/>
      <c r="EAY996" s="2335"/>
      <c r="EAZ996" s="2335"/>
      <c r="EBA996" s="2335"/>
      <c r="EBB996" s="2335"/>
      <c r="EBC996" s="2335"/>
      <c r="EBD996" s="2335"/>
      <c r="EBE996" s="2335"/>
      <c r="EBF996" s="2335"/>
      <c r="EBG996" s="2335"/>
      <c r="EBH996" s="2335"/>
      <c r="EBI996" s="2335"/>
      <c r="EBJ996" s="2335"/>
      <c r="EBK996" s="2335"/>
      <c r="EBL996" s="2335"/>
      <c r="EBM996" s="2335"/>
      <c r="EBN996" s="2335"/>
      <c r="EBO996" s="2335"/>
      <c r="EBP996" s="2335"/>
      <c r="EBQ996" s="2335"/>
      <c r="EBR996" s="2335"/>
      <c r="EBS996" s="2335"/>
      <c r="EBT996" s="2335"/>
      <c r="EBU996" s="2335"/>
      <c r="EBV996" s="2335"/>
      <c r="EBW996" s="2335"/>
      <c r="EBX996" s="2335"/>
      <c r="EBY996" s="2335"/>
      <c r="EBZ996" s="2335"/>
      <c r="ECA996" s="2335"/>
      <c r="ECB996" s="2335"/>
      <c r="ECC996" s="2335"/>
      <c r="ECD996" s="2335"/>
      <c r="ECE996" s="2335"/>
      <c r="ECF996" s="2335"/>
      <c r="ECG996" s="2335"/>
      <c r="ECH996" s="2335"/>
      <c r="ECI996" s="2335"/>
      <c r="ECJ996" s="2335"/>
      <c r="ECK996" s="2335"/>
      <c r="ECL996" s="2335"/>
      <c r="ECM996" s="2335"/>
      <c r="ECN996" s="2335"/>
      <c r="ECO996" s="2335"/>
      <c r="ECP996" s="2335"/>
      <c r="ECQ996" s="2335"/>
      <c r="ECR996" s="2335"/>
      <c r="ECS996" s="2335"/>
      <c r="ECT996" s="2335"/>
      <c r="ECU996" s="2335"/>
      <c r="ECV996" s="2335"/>
      <c r="ECW996" s="2335"/>
      <c r="ECX996" s="2335"/>
      <c r="ECY996" s="2335"/>
      <c r="ECZ996" s="2335"/>
      <c r="EDA996" s="2335"/>
      <c r="EDB996" s="2335"/>
      <c r="EDC996" s="2335"/>
      <c r="EDD996" s="2335"/>
      <c r="EDE996" s="2335"/>
      <c r="EDF996" s="2335"/>
      <c r="EDG996" s="2335"/>
      <c r="EDH996" s="2335"/>
      <c r="EDI996" s="2335"/>
      <c r="EDJ996" s="2335"/>
      <c r="EDK996" s="2335"/>
      <c r="EDL996" s="2335"/>
      <c r="EDM996" s="2335"/>
      <c r="EDN996" s="2335"/>
      <c r="EDO996" s="2335"/>
      <c r="EDP996" s="2335"/>
      <c r="EDQ996" s="2335"/>
      <c r="EDR996" s="2335"/>
      <c r="EDS996" s="2335"/>
      <c r="EDT996" s="2335"/>
      <c r="EDU996" s="2335"/>
      <c r="EDV996" s="2335"/>
      <c r="EDW996" s="2335"/>
      <c r="EDX996" s="2335"/>
      <c r="EDY996" s="2335"/>
      <c r="EDZ996" s="2335"/>
      <c r="EEA996" s="2335"/>
      <c r="EEB996" s="2335"/>
      <c r="EEC996" s="2335"/>
      <c r="EED996" s="2335"/>
      <c r="EEE996" s="2335"/>
      <c r="EEF996" s="2335"/>
      <c r="EEG996" s="2335"/>
      <c r="EEH996" s="2335"/>
      <c r="EEI996" s="2335"/>
      <c r="EEJ996" s="2335"/>
      <c r="EEK996" s="2335"/>
      <c r="EEL996" s="2335"/>
      <c r="EEM996" s="2335"/>
      <c r="EEN996" s="2335"/>
      <c r="EEO996" s="2335"/>
      <c r="EEP996" s="2335"/>
      <c r="EEQ996" s="2335"/>
      <c r="EER996" s="2335"/>
      <c r="EES996" s="2335"/>
      <c r="EET996" s="2335"/>
      <c r="EEU996" s="2335"/>
      <c r="EEV996" s="2335"/>
      <c r="EEW996" s="2335"/>
      <c r="EEX996" s="2335"/>
      <c r="EEY996" s="2335"/>
      <c r="EEZ996" s="2335"/>
      <c r="EFA996" s="2335"/>
      <c r="EFB996" s="2335"/>
      <c r="EFC996" s="2335"/>
      <c r="EFD996" s="2335"/>
      <c r="EFE996" s="2335"/>
      <c r="EFF996" s="2335"/>
      <c r="EFG996" s="2335"/>
      <c r="EFH996" s="2335"/>
      <c r="EFI996" s="2335"/>
      <c r="EFJ996" s="2335"/>
      <c r="EFK996" s="2335"/>
      <c r="EFL996" s="2335"/>
      <c r="EFM996" s="2335"/>
      <c r="EFN996" s="2335"/>
      <c r="EFO996" s="2335"/>
      <c r="EFP996" s="2335"/>
      <c r="EFQ996" s="2335"/>
      <c r="EFR996" s="2335"/>
      <c r="EFS996" s="2335"/>
      <c r="EFT996" s="2335"/>
      <c r="EFU996" s="2335"/>
      <c r="EFV996" s="2335"/>
      <c r="EFW996" s="2335"/>
      <c r="EFX996" s="2335"/>
      <c r="EFY996" s="2335"/>
      <c r="EFZ996" s="2335"/>
      <c r="EGA996" s="2335"/>
      <c r="EGB996" s="2335"/>
      <c r="EGC996" s="2335"/>
      <c r="EGD996" s="2335"/>
      <c r="EGE996" s="2335"/>
      <c r="EGF996" s="2335"/>
      <c r="EGG996" s="2335"/>
      <c r="EGH996" s="2335"/>
      <c r="EGI996" s="2335"/>
      <c r="EGJ996" s="2335"/>
      <c r="EGK996" s="2335"/>
      <c r="EGL996" s="2335"/>
      <c r="EGM996" s="2335"/>
      <c r="EGN996" s="2335"/>
      <c r="EGO996" s="2335"/>
      <c r="EGP996" s="2335"/>
      <c r="EGQ996" s="2335"/>
      <c r="EGR996" s="2335"/>
      <c r="EGS996" s="2335"/>
      <c r="EGT996" s="2335"/>
      <c r="EGU996" s="2335"/>
      <c r="EGV996" s="2335"/>
      <c r="EGW996" s="2335"/>
      <c r="EGX996" s="2335"/>
      <c r="EGY996" s="2335"/>
      <c r="EGZ996" s="2335"/>
      <c r="EHA996" s="2335"/>
      <c r="EHB996" s="2335"/>
      <c r="EHC996" s="2335"/>
      <c r="EHD996" s="2335"/>
      <c r="EHE996" s="2335"/>
      <c r="EHF996" s="2335"/>
      <c r="EHG996" s="2335"/>
      <c r="EHH996" s="2335"/>
      <c r="EHI996" s="2335"/>
      <c r="EHJ996" s="2335"/>
      <c r="EHK996" s="2335"/>
      <c r="EHL996" s="2335"/>
      <c r="EHM996" s="2335"/>
      <c r="EHN996" s="2335"/>
      <c r="EHO996" s="2335"/>
      <c r="EHP996" s="2335"/>
      <c r="EHQ996" s="2335"/>
      <c r="EHR996" s="2335"/>
      <c r="EHS996" s="2335"/>
      <c r="EHT996" s="2335"/>
      <c r="EHU996" s="2335"/>
      <c r="EHV996" s="2335"/>
      <c r="EHW996" s="2335"/>
      <c r="EHX996" s="2335"/>
      <c r="EHY996" s="2335"/>
      <c r="EHZ996" s="2335"/>
      <c r="EIA996" s="2335"/>
      <c r="EIB996" s="2335"/>
      <c r="EIC996" s="2335"/>
      <c r="EID996" s="2335"/>
      <c r="EIE996" s="2335"/>
      <c r="EIF996" s="2335"/>
      <c r="EIG996" s="2335"/>
      <c r="EIH996" s="2335"/>
      <c r="EII996" s="2335"/>
      <c r="EIJ996" s="2335"/>
      <c r="EIK996" s="2335"/>
      <c r="EIL996" s="2335"/>
      <c r="EIM996" s="2335"/>
      <c r="EIN996" s="2335"/>
      <c r="EIO996" s="2335"/>
      <c r="EIP996" s="2335"/>
      <c r="EIQ996" s="2335"/>
      <c r="EIR996" s="2335"/>
      <c r="EIS996" s="2335"/>
      <c r="EIT996" s="2335"/>
      <c r="EIU996" s="2335"/>
      <c r="EIV996" s="2335"/>
      <c r="EIW996" s="2335"/>
      <c r="EIX996" s="2335"/>
      <c r="EIY996" s="2335"/>
      <c r="EIZ996" s="2335"/>
      <c r="EJA996" s="2335"/>
      <c r="EJB996" s="2335"/>
      <c r="EJC996" s="2335"/>
      <c r="EJD996" s="2335"/>
      <c r="EJE996" s="2335"/>
      <c r="EJF996" s="2335"/>
      <c r="EJG996" s="2335"/>
      <c r="EJH996" s="2335"/>
      <c r="EJI996" s="2335"/>
      <c r="EJJ996" s="2335"/>
      <c r="EJK996" s="2335"/>
      <c r="EJL996" s="2335"/>
      <c r="EJM996" s="2335"/>
      <c r="EJN996" s="2335"/>
      <c r="EJO996" s="2335"/>
      <c r="EJP996" s="2335"/>
      <c r="EJQ996" s="2335"/>
      <c r="EJR996" s="2335"/>
      <c r="EJS996" s="2335"/>
      <c r="EJT996" s="2335"/>
      <c r="EJU996" s="2335"/>
      <c r="EJV996" s="2335"/>
      <c r="EJW996" s="2335"/>
      <c r="EJX996" s="2335"/>
      <c r="EJY996" s="2335"/>
      <c r="EJZ996" s="2335"/>
      <c r="EKA996" s="2335"/>
      <c r="EKB996" s="2335"/>
      <c r="EKC996" s="2335"/>
      <c r="EKD996" s="2335"/>
      <c r="EKE996" s="2335"/>
      <c r="EKF996" s="2335"/>
      <c r="EKG996" s="2335"/>
      <c r="EKH996" s="2335"/>
      <c r="EKI996" s="2335"/>
      <c r="EKJ996" s="2335"/>
      <c r="EKK996" s="2335"/>
      <c r="EKL996" s="2335"/>
      <c r="EKM996" s="2335"/>
      <c r="EKN996" s="2335"/>
      <c r="EKO996" s="2335"/>
      <c r="EKP996" s="2335"/>
      <c r="EKQ996" s="2335"/>
      <c r="EKR996" s="2335"/>
      <c r="EKS996" s="2335"/>
      <c r="EKT996" s="2335"/>
      <c r="EKU996" s="2335"/>
      <c r="EKV996" s="2335"/>
      <c r="EKW996" s="2335"/>
      <c r="EKX996" s="2335"/>
      <c r="EKY996" s="2335"/>
      <c r="EKZ996" s="2335"/>
      <c r="ELA996" s="2335"/>
      <c r="ELB996" s="2335"/>
      <c r="ELC996" s="2335"/>
      <c r="ELD996" s="2335"/>
      <c r="ELE996" s="2335"/>
      <c r="ELF996" s="2335"/>
      <c r="ELG996" s="2335"/>
      <c r="ELH996" s="2335"/>
      <c r="ELI996" s="2335"/>
      <c r="ELJ996" s="2335"/>
      <c r="ELK996" s="2335"/>
      <c r="ELL996" s="2335"/>
      <c r="ELM996" s="2335"/>
      <c r="ELN996" s="2335"/>
      <c r="ELO996" s="2335"/>
      <c r="ELP996" s="2335"/>
      <c r="ELQ996" s="2335"/>
      <c r="ELR996" s="2335"/>
      <c r="ELS996" s="2335"/>
      <c r="ELT996" s="2335"/>
      <c r="ELU996" s="2335"/>
      <c r="ELV996" s="2335"/>
      <c r="ELW996" s="2335"/>
      <c r="ELX996" s="2335"/>
      <c r="ELY996" s="2335"/>
      <c r="ELZ996" s="2335"/>
      <c r="EMA996" s="2335"/>
      <c r="EMB996" s="2335"/>
      <c r="EMC996" s="2335"/>
      <c r="EMD996" s="2335"/>
      <c r="EME996" s="2335"/>
      <c r="EMF996" s="2335"/>
      <c r="EMG996" s="2335"/>
      <c r="EMH996" s="2335"/>
      <c r="EMI996" s="2335"/>
      <c r="EMJ996" s="2335"/>
      <c r="EMK996" s="2335"/>
      <c r="EML996" s="2335"/>
      <c r="EMM996" s="2335"/>
      <c r="EMN996" s="2335"/>
      <c r="EMO996" s="2335"/>
      <c r="EMP996" s="2335"/>
      <c r="EMQ996" s="2335"/>
      <c r="EMR996" s="2335"/>
      <c r="EMS996" s="2335"/>
      <c r="EMT996" s="2335"/>
      <c r="EMU996" s="2335"/>
      <c r="EMV996" s="2335"/>
      <c r="EMW996" s="2335"/>
      <c r="EMX996" s="2335"/>
      <c r="EMY996" s="2335"/>
      <c r="EMZ996" s="2335"/>
      <c r="ENA996" s="2335"/>
      <c r="ENB996" s="2335"/>
      <c r="ENC996" s="2335"/>
      <c r="END996" s="2335"/>
      <c r="ENE996" s="2335"/>
      <c r="ENF996" s="2335"/>
      <c r="ENG996" s="2335"/>
      <c r="ENH996" s="2335"/>
      <c r="ENI996" s="2335"/>
      <c r="ENJ996" s="2335"/>
      <c r="ENK996" s="2335"/>
      <c r="ENL996" s="2335"/>
      <c r="ENM996" s="2335"/>
      <c r="ENN996" s="2335"/>
      <c r="ENO996" s="2335"/>
      <c r="ENP996" s="2335"/>
      <c r="ENQ996" s="2335"/>
      <c r="ENR996" s="2335"/>
      <c r="ENS996" s="2335"/>
      <c r="ENT996" s="2335"/>
      <c r="ENU996" s="2335"/>
      <c r="ENV996" s="2335"/>
      <c r="ENW996" s="2335"/>
      <c r="ENX996" s="2335"/>
      <c r="ENY996" s="2335"/>
      <c r="ENZ996" s="2335"/>
      <c r="EOA996" s="2335"/>
      <c r="EOB996" s="2335"/>
      <c r="EOC996" s="2335"/>
      <c r="EOD996" s="2335"/>
      <c r="EOE996" s="2335"/>
      <c r="EOF996" s="2335"/>
      <c r="EOG996" s="2335"/>
      <c r="EOH996" s="2335"/>
      <c r="EOI996" s="2335"/>
      <c r="EOJ996" s="2335"/>
      <c r="EOK996" s="2335"/>
      <c r="EOL996" s="2335"/>
      <c r="EOM996" s="2335"/>
      <c r="EON996" s="2335"/>
      <c r="EOO996" s="2335"/>
      <c r="EOP996" s="2335"/>
      <c r="EOQ996" s="2335"/>
      <c r="EOR996" s="2335"/>
      <c r="EOS996" s="2335"/>
      <c r="EOT996" s="2335"/>
      <c r="EOU996" s="2335"/>
      <c r="EOV996" s="2335"/>
      <c r="EOW996" s="2335"/>
      <c r="EOX996" s="2335"/>
      <c r="EOY996" s="2335"/>
      <c r="EOZ996" s="2335"/>
      <c r="EPA996" s="2335"/>
      <c r="EPB996" s="2335"/>
      <c r="EPC996" s="2335"/>
      <c r="EPD996" s="2335"/>
      <c r="EPE996" s="2335"/>
      <c r="EPF996" s="2335"/>
      <c r="EPG996" s="2335"/>
      <c r="EPH996" s="2335"/>
      <c r="EPI996" s="2335"/>
      <c r="EPJ996" s="2335"/>
      <c r="EPK996" s="2335"/>
      <c r="EPL996" s="2335"/>
      <c r="EPM996" s="2335"/>
      <c r="EPN996" s="2335"/>
      <c r="EPO996" s="2335"/>
      <c r="EPP996" s="2335"/>
      <c r="EPQ996" s="2335"/>
      <c r="EPR996" s="2335"/>
      <c r="EPS996" s="2335"/>
      <c r="EPT996" s="2335"/>
      <c r="EPU996" s="2335"/>
      <c r="EPV996" s="2335"/>
      <c r="EPW996" s="2335"/>
      <c r="EPX996" s="2335"/>
      <c r="EPY996" s="2335"/>
      <c r="EPZ996" s="2335"/>
      <c r="EQA996" s="2335"/>
      <c r="EQB996" s="2335"/>
      <c r="EQC996" s="2335"/>
      <c r="EQD996" s="2335"/>
      <c r="EQE996" s="2335"/>
      <c r="EQF996" s="2335"/>
      <c r="EQG996" s="2335"/>
      <c r="EQH996" s="2335"/>
      <c r="EQI996" s="2335"/>
      <c r="EQJ996" s="2335"/>
      <c r="EQK996" s="2335"/>
      <c r="EQL996" s="2335"/>
      <c r="EQM996" s="2335"/>
      <c r="EQN996" s="2335"/>
      <c r="EQO996" s="2335"/>
      <c r="EQP996" s="2335"/>
      <c r="EQQ996" s="2335"/>
      <c r="EQR996" s="2335"/>
      <c r="EQS996" s="2335"/>
      <c r="EQT996" s="2335"/>
      <c r="EQU996" s="2335"/>
      <c r="EQV996" s="2335"/>
      <c r="EQW996" s="2335"/>
      <c r="EQX996" s="2335"/>
      <c r="EQY996" s="2335"/>
      <c r="EQZ996" s="2335"/>
      <c r="ERA996" s="2335"/>
      <c r="ERB996" s="2335"/>
      <c r="ERC996" s="2335"/>
      <c r="ERD996" s="2335"/>
      <c r="ERE996" s="2335"/>
      <c r="ERF996" s="2335"/>
      <c r="ERG996" s="2335"/>
      <c r="ERH996" s="2335"/>
      <c r="ERI996" s="2335"/>
      <c r="ERJ996" s="2335"/>
      <c r="ERK996" s="2335"/>
      <c r="ERL996" s="2335"/>
      <c r="ERM996" s="2335"/>
      <c r="ERN996" s="2335"/>
      <c r="ERO996" s="2335"/>
      <c r="ERP996" s="2335"/>
      <c r="ERQ996" s="2335"/>
      <c r="ERR996" s="2335"/>
      <c r="ERS996" s="2335"/>
      <c r="ERT996" s="2335"/>
      <c r="ERU996" s="2335"/>
      <c r="ERV996" s="2335"/>
      <c r="ERW996" s="2335"/>
      <c r="ERX996" s="2335"/>
      <c r="ERY996" s="2335"/>
      <c r="ERZ996" s="2335"/>
      <c r="ESA996" s="2335"/>
      <c r="ESB996" s="2335"/>
      <c r="ESC996" s="2335"/>
      <c r="ESD996" s="2335"/>
      <c r="ESE996" s="2335"/>
      <c r="ESF996" s="2335"/>
      <c r="ESG996" s="2335"/>
      <c r="ESH996" s="2335"/>
      <c r="ESI996" s="2335"/>
      <c r="ESJ996" s="2335"/>
      <c r="ESK996" s="2335"/>
      <c r="ESL996" s="2335"/>
      <c r="ESM996" s="2335"/>
      <c r="ESN996" s="2335"/>
      <c r="ESO996" s="2335"/>
      <c r="ESP996" s="2335"/>
      <c r="ESQ996" s="2335"/>
      <c r="ESR996" s="2335"/>
      <c r="ESS996" s="2335"/>
      <c r="EST996" s="2335"/>
      <c r="ESU996" s="2335"/>
      <c r="ESV996" s="2335"/>
      <c r="ESW996" s="2335"/>
      <c r="ESX996" s="2335"/>
      <c r="ESY996" s="2335"/>
      <c r="ESZ996" s="2335"/>
      <c r="ETA996" s="2335"/>
      <c r="ETB996" s="2335"/>
      <c r="ETC996" s="2335"/>
      <c r="ETD996" s="2335"/>
      <c r="ETE996" s="2335"/>
      <c r="ETF996" s="2335"/>
      <c r="ETG996" s="2335"/>
      <c r="ETH996" s="2335"/>
      <c r="ETI996" s="2335"/>
      <c r="ETJ996" s="2335"/>
      <c r="ETK996" s="2335"/>
      <c r="ETL996" s="2335"/>
      <c r="ETM996" s="2335"/>
      <c r="ETN996" s="2335"/>
      <c r="ETO996" s="2335"/>
      <c r="ETP996" s="2335"/>
      <c r="ETQ996" s="2335"/>
      <c r="ETR996" s="2335"/>
      <c r="ETS996" s="2335"/>
      <c r="ETT996" s="2335"/>
      <c r="ETU996" s="2335"/>
      <c r="ETV996" s="2335"/>
      <c r="ETW996" s="2335"/>
      <c r="ETX996" s="2335"/>
      <c r="ETY996" s="2335"/>
      <c r="ETZ996" s="2335"/>
      <c r="EUA996" s="2335"/>
      <c r="EUB996" s="2335"/>
      <c r="EUC996" s="2335"/>
      <c r="EUD996" s="2335"/>
      <c r="EUE996" s="2335"/>
      <c r="EUF996" s="2335"/>
      <c r="EUG996" s="2335"/>
      <c r="EUH996" s="2335"/>
      <c r="EUI996" s="2335"/>
      <c r="EUJ996" s="2335"/>
      <c r="EUK996" s="2335"/>
      <c r="EUL996" s="2335"/>
      <c r="EUM996" s="2335"/>
      <c r="EUN996" s="2335"/>
      <c r="EUO996" s="2335"/>
      <c r="EUP996" s="2335"/>
      <c r="EUQ996" s="2335"/>
      <c r="EUR996" s="2335"/>
      <c r="EUS996" s="2335"/>
      <c r="EUT996" s="2335"/>
      <c r="EUU996" s="2335"/>
      <c r="EUV996" s="2335"/>
      <c r="EUW996" s="2335"/>
      <c r="EUX996" s="2335"/>
      <c r="EUY996" s="2335"/>
      <c r="EUZ996" s="2335"/>
      <c r="EVA996" s="2335"/>
      <c r="EVB996" s="2335"/>
      <c r="EVC996" s="2335"/>
      <c r="EVD996" s="2335"/>
      <c r="EVE996" s="2335"/>
      <c r="EVF996" s="2335"/>
      <c r="EVG996" s="2335"/>
      <c r="EVH996" s="2335"/>
      <c r="EVI996" s="2335"/>
      <c r="EVJ996" s="2335"/>
      <c r="EVK996" s="2335"/>
      <c r="EVL996" s="2335"/>
      <c r="EVM996" s="2335"/>
      <c r="EVN996" s="2335"/>
      <c r="EVO996" s="2335"/>
      <c r="EVP996" s="2335"/>
      <c r="EVQ996" s="2335"/>
      <c r="EVR996" s="2335"/>
      <c r="EVS996" s="2335"/>
      <c r="EVT996" s="2335"/>
      <c r="EVU996" s="2335"/>
      <c r="EVV996" s="2335"/>
      <c r="EVW996" s="2335"/>
      <c r="EVX996" s="2335"/>
      <c r="EVY996" s="2335"/>
      <c r="EVZ996" s="2335"/>
      <c r="EWA996" s="2335"/>
      <c r="EWB996" s="2335"/>
      <c r="EWC996" s="2335"/>
      <c r="EWD996" s="2335"/>
      <c r="EWE996" s="2335"/>
      <c r="EWF996" s="2335"/>
      <c r="EWG996" s="2335"/>
      <c r="EWH996" s="2335"/>
      <c r="EWI996" s="2335"/>
      <c r="EWJ996" s="2335"/>
      <c r="EWK996" s="2335"/>
      <c r="EWL996" s="2335"/>
      <c r="EWM996" s="2335"/>
      <c r="EWN996" s="2335"/>
      <c r="EWO996" s="2335"/>
      <c r="EWP996" s="2335"/>
      <c r="EWQ996" s="2335"/>
      <c r="EWR996" s="2335"/>
      <c r="EWS996" s="2335"/>
      <c r="EWT996" s="2335"/>
      <c r="EWU996" s="2335"/>
      <c r="EWV996" s="2335"/>
      <c r="EWW996" s="2335"/>
      <c r="EWX996" s="2335"/>
      <c r="EWY996" s="2335"/>
      <c r="EWZ996" s="2335"/>
      <c r="EXA996" s="2335"/>
      <c r="EXB996" s="2335"/>
      <c r="EXC996" s="2335"/>
      <c r="EXD996" s="2335"/>
      <c r="EXE996" s="2335"/>
      <c r="EXF996" s="2335"/>
      <c r="EXG996" s="2335"/>
      <c r="EXH996" s="2335"/>
      <c r="EXI996" s="2335"/>
      <c r="EXJ996" s="2335"/>
      <c r="EXK996" s="2335"/>
      <c r="EXL996" s="2335"/>
      <c r="EXM996" s="2335"/>
      <c r="EXN996" s="2335"/>
      <c r="EXO996" s="2335"/>
      <c r="EXP996" s="2335"/>
      <c r="EXQ996" s="2335"/>
      <c r="EXR996" s="2335"/>
      <c r="EXS996" s="2335"/>
      <c r="EXT996" s="2335"/>
      <c r="EXU996" s="2335"/>
      <c r="EXV996" s="2335"/>
      <c r="EXW996" s="2335"/>
      <c r="EXX996" s="2335"/>
      <c r="EXY996" s="2335"/>
      <c r="EXZ996" s="2335"/>
      <c r="EYA996" s="2335"/>
      <c r="EYB996" s="2335"/>
      <c r="EYC996" s="2335"/>
      <c r="EYD996" s="2335"/>
      <c r="EYE996" s="2335"/>
      <c r="EYF996" s="2335"/>
      <c r="EYG996" s="2335"/>
      <c r="EYH996" s="2335"/>
      <c r="EYI996" s="2335"/>
      <c r="EYJ996" s="2335"/>
      <c r="EYK996" s="2335"/>
      <c r="EYL996" s="2335"/>
      <c r="EYM996" s="2335"/>
      <c r="EYN996" s="2335"/>
      <c r="EYO996" s="2335"/>
      <c r="EYP996" s="2335"/>
      <c r="EYQ996" s="2335"/>
      <c r="EYR996" s="2335"/>
      <c r="EYS996" s="2335"/>
      <c r="EYT996" s="2335"/>
      <c r="EYU996" s="2335"/>
      <c r="EYV996" s="2335"/>
      <c r="EYW996" s="2335"/>
      <c r="EYX996" s="2335"/>
      <c r="EYY996" s="2335"/>
      <c r="EYZ996" s="2335"/>
      <c r="EZA996" s="2335"/>
      <c r="EZB996" s="2335"/>
      <c r="EZC996" s="2335"/>
      <c r="EZD996" s="2335"/>
      <c r="EZE996" s="2335"/>
      <c r="EZF996" s="2335"/>
      <c r="EZG996" s="2335"/>
      <c r="EZH996" s="2335"/>
      <c r="EZI996" s="2335"/>
      <c r="EZJ996" s="2335"/>
      <c r="EZK996" s="2335"/>
      <c r="EZL996" s="2335"/>
      <c r="EZM996" s="2335"/>
      <c r="EZN996" s="2335"/>
      <c r="EZO996" s="2335"/>
      <c r="EZP996" s="2335"/>
      <c r="EZQ996" s="2335"/>
      <c r="EZR996" s="2335"/>
      <c r="EZS996" s="2335"/>
      <c r="EZT996" s="2335"/>
      <c r="EZU996" s="2335"/>
      <c r="EZV996" s="2335"/>
      <c r="EZW996" s="2335"/>
      <c r="EZX996" s="2335"/>
      <c r="EZY996" s="2335"/>
      <c r="EZZ996" s="2335"/>
      <c r="FAA996" s="2335"/>
      <c r="FAB996" s="2335"/>
      <c r="FAC996" s="2335"/>
      <c r="FAD996" s="2335"/>
      <c r="FAE996" s="2335"/>
      <c r="FAF996" s="2335"/>
      <c r="FAG996" s="2335"/>
      <c r="FAH996" s="2335"/>
      <c r="FAI996" s="2335"/>
      <c r="FAJ996" s="2335"/>
      <c r="FAK996" s="2335"/>
      <c r="FAL996" s="2335"/>
      <c r="FAM996" s="2335"/>
      <c r="FAN996" s="2335"/>
      <c r="FAO996" s="2335"/>
      <c r="FAP996" s="2335"/>
      <c r="FAQ996" s="2335"/>
      <c r="FAR996" s="2335"/>
      <c r="FAS996" s="2335"/>
      <c r="FAT996" s="2335"/>
      <c r="FAU996" s="2335"/>
      <c r="FAV996" s="2335"/>
      <c r="FAW996" s="2335"/>
      <c r="FAX996" s="2335"/>
      <c r="FAY996" s="2335"/>
      <c r="FAZ996" s="2335"/>
      <c r="FBA996" s="2335"/>
      <c r="FBB996" s="2335"/>
      <c r="FBC996" s="2335"/>
      <c r="FBD996" s="2335"/>
      <c r="FBE996" s="2335"/>
      <c r="FBF996" s="2335"/>
      <c r="FBG996" s="2335"/>
      <c r="FBH996" s="2335"/>
      <c r="FBI996" s="2335"/>
      <c r="FBJ996" s="2335"/>
      <c r="FBK996" s="2335"/>
      <c r="FBL996" s="2335"/>
      <c r="FBM996" s="2335"/>
      <c r="FBN996" s="2335"/>
      <c r="FBO996" s="2335"/>
      <c r="FBP996" s="2335"/>
      <c r="FBQ996" s="2335"/>
      <c r="FBR996" s="2335"/>
      <c r="FBS996" s="2335"/>
      <c r="FBT996" s="2335"/>
      <c r="FBU996" s="2335"/>
      <c r="FBV996" s="2335"/>
      <c r="FBW996" s="2335"/>
      <c r="FBX996" s="2335"/>
      <c r="FBY996" s="2335"/>
      <c r="FBZ996" s="2335"/>
      <c r="FCA996" s="2335"/>
      <c r="FCB996" s="2335"/>
      <c r="FCC996" s="2335"/>
      <c r="FCD996" s="2335"/>
      <c r="FCE996" s="2335"/>
      <c r="FCF996" s="2335"/>
      <c r="FCG996" s="2335"/>
      <c r="FCH996" s="2335"/>
      <c r="FCI996" s="2335"/>
      <c r="FCJ996" s="2335"/>
      <c r="FCK996" s="2335"/>
      <c r="FCL996" s="2335"/>
      <c r="FCM996" s="2335"/>
      <c r="FCN996" s="2335"/>
      <c r="FCO996" s="2335"/>
      <c r="FCP996" s="2335"/>
      <c r="FCQ996" s="2335"/>
      <c r="FCR996" s="2335"/>
      <c r="FCS996" s="2335"/>
      <c r="FCT996" s="2335"/>
      <c r="FCU996" s="2335"/>
      <c r="FCV996" s="2335"/>
      <c r="FCW996" s="2335"/>
      <c r="FCX996" s="2335"/>
      <c r="FCY996" s="2335"/>
      <c r="FCZ996" s="2335"/>
      <c r="FDA996" s="2335"/>
      <c r="FDB996" s="2335"/>
      <c r="FDC996" s="2335"/>
      <c r="FDD996" s="2335"/>
      <c r="FDE996" s="2335"/>
      <c r="FDF996" s="2335"/>
      <c r="FDG996" s="2335"/>
      <c r="FDH996" s="2335"/>
      <c r="FDI996" s="2335"/>
      <c r="FDJ996" s="2335"/>
      <c r="FDK996" s="2335"/>
      <c r="FDL996" s="2335"/>
      <c r="FDM996" s="2335"/>
      <c r="FDN996" s="2335"/>
      <c r="FDO996" s="2335"/>
      <c r="FDP996" s="2335"/>
      <c r="FDQ996" s="2335"/>
      <c r="FDR996" s="2335"/>
      <c r="FDS996" s="2335"/>
      <c r="FDT996" s="2335"/>
      <c r="FDU996" s="2335"/>
      <c r="FDV996" s="2335"/>
      <c r="FDW996" s="2335"/>
      <c r="FDX996" s="2335"/>
      <c r="FDY996" s="2335"/>
      <c r="FDZ996" s="2335"/>
      <c r="FEA996" s="2335"/>
      <c r="FEB996" s="2335"/>
      <c r="FEC996" s="2335"/>
      <c r="FED996" s="2335"/>
      <c r="FEE996" s="2335"/>
      <c r="FEF996" s="2335"/>
      <c r="FEG996" s="2335"/>
      <c r="FEH996" s="2335"/>
      <c r="FEI996" s="2335"/>
      <c r="FEJ996" s="2335"/>
      <c r="FEK996" s="2335"/>
      <c r="FEL996" s="2335"/>
      <c r="FEM996" s="2335"/>
      <c r="FEN996" s="2335"/>
      <c r="FEO996" s="2335"/>
      <c r="FEP996" s="2335"/>
      <c r="FEQ996" s="2335"/>
      <c r="FER996" s="2335"/>
      <c r="FES996" s="2335"/>
      <c r="FET996" s="2335"/>
      <c r="FEU996" s="2335"/>
      <c r="FEV996" s="2335"/>
      <c r="FEW996" s="2335"/>
      <c r="FEX996" s="2335"/>
      <c r="FEY996" s="2335"/>
      <c r="FEZ996" s="2335"/>
      <c r="FFA996" s="2335"/>
      <c r="FFB996" s="2335"/>
      <c r="FFC996" s="2335"/>
      <c r="FFD996" s="2335"/>
      <c r="FFE996" s="2335"/>
      <c r="FFF996" s="2335"/>
      <c r="FFG996" s="2335"/>
      <c r="FFH996" s="2335"/>
      <c r="FFI996" s="2335"/>
      <c r="FFJ996" s="2335"/>
      <c r="FFK996" s="2335"/>
      <c r="FFL996" s="2335"/>
      <c r="FFM996" s="2335"/>
      <c r="FFN996" s="2335"/>
      <c r="FFO996" s="2335"/>
      <c r="FFP996" s="2335"/>
      <c r="FFQ996" s="2335"/>
      <c r="FFR996" s="2335"/>
      <c r="FFS996" s="2335"/>
      <c r="FFT996" s="2335"/>
      <c r="FFU996" s="2335"/>
      <c r="FFV996" s="2335"/>
      <c r="FFW996" s="2335"/>
      <c r="FFX996" s="2335"/>
      <c r="FFY996" s="2335"/>
      <c r="FFZ996" s="2335"/>
      <c r="FGA996" s="2335"/>
      <c r="FGB996" s="2335"/>
      <c r="FGC996" s="2335"/>
      <c r="FGD996" s="2335"/>
      <c r="FGE996" s="2335"/>
      <c r="FGF996" s="2335"/>
      <c r="FGG996" s="2335"/>
      <c r="FGH996" s="2335"/>
      <c r="FGI996" s="2335"/>
      <c r="FGJ996" s="2335"/>
      <c r="FGK996" s="2335"/>
      <c r="FGL996" s="2335"/>
      <c r="FGM996" s="2335"/>
      <c r="FGN996" s="2335"/>
      <c r="FGO996" s="2335"/>
      <c r="FGP996" s="2335"/>
      <c r="FGQ996" s="2335"/>
      <c r="FGR996" s="2335"/>
      <c r="FGS996" s="2335"/>
      <c r="FGT996" s="2335"/>
      <c r="FGU996" s="2335"/>
      <c r="FGV996" s="2335"/>
      <c r="FGW996" s="2335"/>
      <c r="FGX996" s="2335"/>
      <c r="FGY996" s="2335"/>
      <c r="FGZ996" s="2335"/>
      <c r="FHA996" s="2335"/>
      <c r="FHB996" s="2335"/>
      <c r="FHC996" s="2335"/>
      <c r="FHD996" s="2335"/>
      <c r="FHE996" s="2335"/>
      <c r="FHF996" s="2335"/>
      <c r="FHG996" s="2335"/>
      <c r="FHH996" s="2335"/>
      <c r="FHI996" s="2335"/>
      <c r="FHJ996" s="2335"/>
      <c r="FHK996" s="2335"/>
      <c r="FHL996" s="2335"/>
      <c r="FHM996" s="2335"/>
      <c r="FHN996" s="2335"/>
      <c r="FHO996" s="2335"/>
      <c r="FHP996" s="2335"/>
      <c r="FHQ996" s="2335"/>
      <c r="FHR996" s="2335"/>
      <c r="FHS996" s="2335"/>
      <c r="FHT996" s="2335"/>
      <c r="FHU996" s="2335"/>
      <c r="FHV996" s="2335"/>
      <c r="FHW996" s="2335"/>
      <c r="FHX996" s="2335"/>
      <c r="FHY996" s="2335"/>
      <c r="FHZ996" s="2335"/>
      <c r="FIA996" s="2335"/>
      <c r="FIB996" s="2335"/>
      <c r="FIC996" s="2335"/>
      <c r="FID996" s="2335"/>
      <c r="FIE996" s="2335"/>
      <c r="FIF996" s="2335"/>
      <c r="FIG996" s="2335"/>
      <c r="FIH996" s="2335"/>
      <c r="FII996" s="2335"/>
      <c r="FIJ996" s="2335"/>
      <c r="FIK996" s="2335"/>
      <c r="FIL996" s="2335"/>
      <c r="FIM996" s="2335"/>
      <c r="FIN996" s="2335"/>
      <c r="FIO996" s="2335"/>
      <c r="FIP996" s="2335"/>
      <c r="FIQ996" s="2335"/>
      <c r="FIR996" s="2335"/>
      <c r="FIS996" s="2335"/>
      <c r="FIT996" s="2335"/>
      <c r="FIU996" s="2335"/>
      <c r="FIV996" s="2335"/>
      <c r="FIW996" s="2335"/>
      <c r="FIX996" s="2335"/>
      <c r="FIY996" s="2335"/>
      <c r="FIZ996" s="2335"/>
      <c r="FJA996" s="2335"/>
      <c r="FJB996" s="2335"/>
      <c r="FJC996" s="2335"/>
      <c r="FJD996" s="2335"/>
      <c r="FJE996" s="2335"/>
      <c r="FJF996" s="2335"/>
      <c r="FJG996" s="2335"/>
      <c r="FJH996" s="2335"/>
      <c r="FJI996" s="2335"/>
      <c r="FJJ996" s="2335"/>
      <c r="FJK996" s="2335"/>
      <c r="FJL996" s="2335"/>
      <c r="FJM996" s="2335"/>
      <c r="FJN996" s="2335"/>
      <c r="FJO996" s="2335"/>
      <c r="FJP996" s="2335"/>
      <c r="FJQ996" s="2335"/>
      <c r="FJR996" s="2335"/>
      <c r="FJS996" s="2335"/>
      <c r="FJT996" s="2335"/>
      <c r="FJU996" s="2335"/>
      <c r="FJV996" s="2335"/>
      <c r="FJW996" s="2335"/>
      <c r="FJX996" s="2335"/>
      <c r="FJY996" s="2335"/>
      <c r="FJZ996" s="2335"/>
      <c r="FKA996" s="2335"/>
      <c r="FKB996" s="2335"/>
      <c r="FKC996" s="2335"/>
      <c r="FKD996" s="2335"/>
      <c r="FKE996" s="2335"/>
      <c r="FKF996" s="2335"/>
      <c r="FKG996" s="2335"/>
      <c r="FKH996" s="2335"/>
      <c r="FKI996" s="2335"/>
      <c r="FKJ996" s="2335"/>
      <c r="FKK996" s="2335"/>
      <c r="FKL996" s="2335"/>
      <c r="FKM996" s="2335"/>
      <c r="FKN996" s="2335"/>
      <c r="FKO996" s="2335"/>
      <c r="FKP996" s="2335"/>
      <c r="FKQ996" s="2335"/>
      <c r="FKR996" s="2335"/>
      <c r="FKS996" s="2335"/>
      <c r="FKT996" s="2335"/>
      <c r="FKU996" s="2335"/>
      <c r="FKV996" s="2335"/>
      <c r="FKW996" s="2335"/>
      <c r="FKX996" s="2335"/>
      <c r="FKY996" s="2335"/>
      <c r="FKZ996" s="2335"/>
      <c r="FLA996" s="2335"/>
      <c r="FLB996" s="2335"/>
      <c r="FLC996" s="2335"/>
      <c r="FLD996" s="2335"/>
      <c r="FLE996" s="2335"/>
      <c r="FLF996" s="2335"/>
      <c r="FLG996" s="2335"/>
      <c r="FLH996" s="2335"/>
      <c r="FLI996" s="2335"/>
      <c r="FLJ996" s="2335"/>
      <c r="FLK996" s="2335"/>
      <c r="FLL996" s="2335"/>
      <c r="FLM996" s="2335"/>
      <c r="FLN996" s="2335"/>
      <c r="FLO996" s="2335"/>
      <c r="FLP996" s="2335"/>
      <c r="FLQ996" s="2335"/>
      <c r="FLR996" s="2335"/>
      <c r="FLS996" s="2335"/>
      <c r="FLT996" s="2335"/>
      <c r="FLU996" s="2335"/>
      <c r="FLV996" s="2335"/>
      <c r="FLW996" s="2335"/>
      <c r="FLX996" s="2335"/>
      <c r="FLY996" s="2335"/>
      <c r="FLZ996" s="2335"/>
      <c r="FMA996" s="2335"/>
      <c r="FMB996" s="2335"/>
      <c r="FMC996" s="2335"/>
      <c r="FMD996" s="2335"/>
      <c r="FME996" s="2335"/>
      <c r="FMF996" s="2335"/>
      <c r="FMG996" s="2335"/>
      <c r="FMH996" s="2335"/>
      <c r="FMI996" s="2335"/>
      <c r="FMJ996" s="2335"/>
      <c r="FMK996" s="2335"/>
      <c r="FML996" s="2335"/>
      <c r="FMM996" s="2335"/>
      <c r="FMN996" s="2335"/>
      <c r="FMO996" s="2335"/>
      <c r="FMP996" s="2335"/>
      <c r="FMQ996" s="2335"/>
      <c r="FMR996" s="2335"/>
      <c r="FMS996" s="2335"/>
      <c r="FMT996" s="2335"/>
      <c r="FMU996" s="2335"/>
      <c r="FMV996" s="2335"/>
      <c r="FMW996" s="2335"/>
      <c r="FMX996" s="2335"/>
      <c r="FMY996" s="2335"/>
      <c r="FMZ996" s="2335"/>
      <c r="FNA996" s="2335"/>
      <c r="FNB996" s="2335"/>
      <c r="FNC996" s="2335"/>
      <c r="FND996" s="2335"/>
      <c r="FNE996" s="2335"/>
      <c r="FNF996" s="2335"/>
      <c r="FNG996" s="2335"/>
      <c r="FNH996" s="2335"/>
      <c r="FNI996" s="2335"/>
      <c r="FNJ996" s="2335"/>
      <c r="FNK996" s="2335"/>
      <c r="FNL996" s="2335"/>
      <c r="FNM996" s="2335"/>
      <c r="FNN996" s="2335"/>
      <c r="FNO996" s="2335"/>
      <c r="FNP996" s="2335"/>
      <c r="FNQ996" s="2335"/>
      <c r="FNR996" s="2335"/>
      <c r="FNS996" s="2335"/>
      <c r="FNT996" s="2335"/>
      <c r="FNU996" s="2335"/>
      <c r="FNV996" s="2335"/>
      <c r="FNW996" s="2335"/>
      <c r="FNX996" s="2335"/>
      <c r="FNY996" s="2335"/>
      <c r="FNZ996" s="2335"/>
      <c r="FOA996" s="2335"/>
      <c r="FOB996" s="2335"/>
      <c r="FOC996" s="2335"/>
      <c r="FOD996" s="2335"/>
      <c r="FOE996" s="2335"/>
      <c r="FOF996" s="2335"/>
      <c r="FOG996" s="2335"/>
      <c r="FOH996" s="2335"/>
      <c r="FOI996" s="2335"/>
      <c r="FOJ996" s="2335"/>
      <c r="FOK996" s="2335"/>
      <c r="FOL996" s="2335"/>
      <c r="FOM996" s="2335"/>
      <c r="FON996" s="2335"/>
      <c r="FOO996" s="2335"/>
      <c r="FOP996" s="2335"/>
      <c r="FOQ996" s="2335"/>
      <c r="FOR996" s="2335"/>
      <c r="FOS996" s="2335"/>
      <c r="FOT996" s="2335"/>
      <c r="FOU996" s="2335"/>
      <c r="FOV996" s="2335"/>
      <c r="FOW996" s="2335"/>
      <c r="FOX996" s="2335"/>
      <c r="FOY996" s="2335"/>
      <c r="FOZ996" s="2335"/>
      <c r="FPA996" s="2335"/>
      <c r="FPB996" s="2335"/>
      <c r="FPC996" s="2335"/>
      <c r="FPD996" s="2335"/>
      <c r="FPE996" s="2335"/>
      <c r="FPF996" s="2335"/>
      <c r="FPG996" s="2335"/>
      <c r="FPH996" s="2335"/>
      <c r="FPI996" s="2335"/>
      <c r="FPJ996" s="2335"/>
      <c r="FPK996" s="2335"/>
      <c r="FPL996" s="2335"/>
      <c r="FPM996" s="2335"/>
      <c r="FPN996" s="2335"/>
      <c r="FPO996" s="2335"/>
      <c r="FPP996" s="2335"/>
      <c r="FPQ996" s="2335"/>
      <c r="FPR996" s="2335"/>
      <c r="FPS996" s="2335"/>
      <c r="FPT996" s="2335"/>
      <c r="FPU996" s="2335"/>
      <c r="FPV996" s="2335"/>
      <c r="FPW996" s="2335"/>
      <c r="FPX996" s="2335"/>
      <c r="FPY996" s="2335"/>
      <c r="FPZ996" s="2335"/>
      <c r="FQA996" s="2335"/>
      <c r="FQB996" s="2335"/>
      <c r="FQC996" s="2335"/>
      <c r="FQD996" s="2335"/>
      <c r="FQE996" s="2335"/>
      <c r="FQF996" s="2335"/>
      <c r="FQG996" s="2335"/>
      <c r="FQH996" s="2335"/>
      <c r="FQI996" s="2335"/>
      <c r="FQJ996" s="2335"/>
      <c r="FQK996" s="2335"/>
      <c r="FQL996" s="2335"/>
      <c r="FQM996" s="2335"/>
      <c r="FQN996" s="2335"/>
      <c r="FQO996" s="2335"/>
      <c r="FQP996" s="2335"/>
      <c r="FQQ996" s="2335"/>
      <c r="FQR996" s="2335"/>
      <c r="FQS996" s="2335"/>
      <c r="FQT996" s="2335"/>
      <c r="FQU996" s="2335"/>
      <c r="FQV996" s="2335"/>
      <c r="FQW996" s="2335"/>
      <c r="FQX996" s="2335"/>
      <c r="FQY996" s="2335"/>
      <c r="FQZ996" s="2335"/>
      <c r="FRA996" s="2335"/>
      <c r="FRB996" s="2335"/>
      <c r="FRC996" s="2335"/>
      <c r="FRD996" s="2335"/>
      <c r="FRE996" s="2335"/>
      <c r="FRF996" s="2335"/>
      <c r="FRG996" s="2335"/>
      <c r="FRH996" s="2335"/>
      <c r="FRI996" s="2335"/>
      <c r="FRJ996" s="2335"/>
      <c r="FRK996" s="2335"/>
      <c r="FRL996" s="2335"/>
      <c r="FRM996" s="2335"/>
      <c r="FRN996" s="2335"/>
      <c r="FRO996" s="2335"/>
      <c r="FRP996" s="2335"/>
      <c r="FRQ996" s="2335"/>
      <c r="FRR996" s="2335"/>
      <c r="FRS996" s="2335"/>
      <c r="FRT996" s="2335"/>
      <c r="FRU996" s="2335"/>
      <c r="FRV996" s="2335"/>
      <c r="FRW996" s="2335"/>
      <c r="FRX996" s="2335"/>
      <c r="FRY996" s="2335"/>
      <c r="FRZ996" s="2335"/>
      <c r="FSA996" s="2335"/>
      <c r="FSB996" s="2335"/>
      <c r="FSC996" s="2335"/>
      <c r="FSD996" s="2335"/>
      <c r="FSE996" s="2335"/>
      <c r="FSF996" s="2335"/>
      <c r="FSG996" s="2335"/>
      <c r="FSH996" s="2335"/>
      <c r="FSI996" s="2335"/>
      <c r="FSJ996" s="2335"/>
      <c r="FSK996" s="2335"/>
      <c r="FSL996" s="2335"/>
      <c r="FSM996" s="2335"/>
      <c r="FSN996" s="2335"/>
      <c r="FSO996" s="2335"/>
      <c r="FSP996" s="2335"/>
      <c r="FSQ996" s="2335"/>
      <c r="FSR996" s="2335"/>
      <c r="FSS996" s="2335"/>
      <c r="FST996" s="2335"/>
      <c r="FSU996" s="2335"/>
      <c r="FSV996" s="2335"/>
      <c r="FSW996" s="2335"/>
      <c r="FSX996" s="2335"/>
      <c r="FSY996" s="2335"/>
      <c r="FSZ996" s="2335"/>
      <c r="FTA996" s="2335"/>
      <c r="FTB996" s="2335"/>
      <c r="FTC996" s="2335"/>
      <c r="FTD996" s="2335"/>
      <c r="FTE996" s="2335"/>
      <c r="FTF996" s="2335"/>
      <c r="FTG996" s="2335"/>
      <c r="FTH996" s="2335"/>
      <c r="FTI996" s="2335"/>
      <c r="FTJ996" s="2335"/>
      <c r="FTK996" s="2335"/>
      <c r="FTL996" s="2335"/>
      <c r="FTM996" s="2335"/>
      <c r="FTN996" s="2335"/>
      <c r="FTO996" s="2335"/>
      <c r="FTP996" s="2335"/>
      <c r="FTQ996" s="2335"/>
      <c r="FTR996" s="2335"/>
      <c r="FTS996" s="2335"/>
      <c r="FTT996" s="2335"/>
      <c r="FTU996" s="2335"/>
      <c r="FTV996" s="2335"/>
      <c r="FTW996" s="2335"/>
      <c r="FTX996" s="2335"/>
      <c r="FTY996" s="2335"/>
      <c r="FTZ996" s="2335"/>
      <c r="FUA996" s="2335"/>
      <c r="FUB996" s="2335"/>
      <c r="FUC996" s="2335"/>
      <c r="FUD996" s="2335"/>
      <c r="FUE996" s="2335"/>
      <c r="FUF996" s="2335"/>
      <c r="FUG996" s="2335"/>
      <c r="FUH996" s="2335"/>
      <c r="FUI996" s="2335"/>
      <c r="FUJ996" s="2335"/>
      <c r="FUK996" s="2335"/>
      <c r="FUL996" s="2335"/>
      <c r="FUM996" s="2335"/>
      <c r="FUN996" s="2335"/>
      <c r="FUO996" s="2335"/>
      <c r="FUP996" s="2335"/>
      <c r="FUQ996" s="2335"/>
      <c r="FUR996" s="2335"/>
      <c r="FUS996" s="2335"/>
      <c r="FUT996" s="2335"/>
      <c r="FUU996" s="2335"/>
      <c r="FUV996" s="2335"/>
      <c r="FUW996" s="2335"/>
      <c r="FUX996" s="2335"/>
      <c r="FUY996" s="2335"/>
      <c r="FUZ996" s="2335"/>
      <c r="FVA996" s="2335"/>
      <c r="FVB996" s="2335"/>
      <c r="FVC996" s="2335"/>
      <c r="FVD996" s="2335"/>
      <c r="FVE996" s="2335"/>
      <c r="FVF996" s="2335"/>
      <c r="FVG996" s="2335"/>
      <c r="FVH996" s="2335"/>
      <c r="FVI996" s="2335"/>
      <c r="FVJ996" s="2335"/>
      <c r="FVK996" s="2335"/>
      <c r="FVL996" s="2335"/>
      <c r="FVM996" s="2335"/>
      <c r="FVN996" s="2335"/>
      <c r="FVO996" s="2335"/>
      <c r="FVP996" s="2335"/>
      <c r="FVQ996" s="2335"/>
      <c r="FVR996" s="2335"/>
      <c r="FVS996" s="2335"/>
      <c r="FVT996" s="2335"/>
      <c r="FVU996" s="2335"/>
      <c r="FVV996" s="2335"/>
      <c r="FVW996" s="2335"/>
      <c r="FVX996" s="2335"/>
      <c r="FVY996" s="2335"/>
      <c r="FVZ996" s="2335"/>
      <c r="FWA996" s="2335"/>
      <c r="FWB996" s="2335"/>
      <c r="FWC996" s="2335"/>
      <c r="FWD996" s="2335"/>
      <c r="FWE996" s="2335"/>
      <c r="FWF996" s="2335"/>
      <c r="FWG996" s="2335"/>
      <c r="FWH996" s="2335"/>
      <c r="FWI996" s="2335"/>
      <c r="FWJ996" s="2335"/>
      <c r="FWK996" s="2335"/>
      <c r="FWL996" s="2335"/>
      <c r="FWM996" s="2335"/>
      <c r="FWN996" s="2335"/>
      <c r="FWO996" s="2335"/>
      <c r="FWP996" s="2335"/>
      <c r="FWQ996" s="2335"/>
      <c r="FWR996" s="2335"/>
      <c r="FWS996" s="2335"/>
      <c r="FWT996" s="2335"/>
      <c r="FWU996" s="2335"/>
      <c r="FWV996" s="2335"/>
      <c r="FWW996" s="2335"/>
      <c r="FWX996" s="2335"/>
      <c r="FWY996" s="2335"/>
      <c r="FWZ996" s="2335"/>
      <c r="FXA996" s="2335"/>
      <c r="FXB996" s="2335"/>
      <c r="FXC996" s="2335"/>
      <c r="FXD996" s="2335"/>
      <c r="FXE996" s="2335"/>
      <c r="FXF996" s="2335"/>
      <c r="FXG996" s="2335"/>
      <c r="FXH996" s="2335"/>
      <c r="FXI996" s="2335"/>
      <c r="FXJ996" s="2335"/>
      <c r="FXK996" s="2335"/>
      <c r="FXL996" s="2335"/>
      <c r="FXM996" s="2335"/>
      <c r="FXN996" s="2335"/>
      <c r="FXO996" s="2335"/>
      <c r="FXP996" s="2335"/>
      <c r="FXQ996" s="2335"/>
      <c r="FXR996" s="2335"/>
      <c r="FXS996" s="2335"/>
      <c r="FXT996" s="2335"/>
      <c r="FXU996" s="2335"/>
      <c r="FXV996" s="2335"/>
      <c r="FXW996" s="2335"/>
      <c r="FXX996" s="2335"/>
      <c r="FXY996" s="2335"/>
      <c r="FXZ996" s="2335"/>
      <c r="FYA996" s="2335"/>
      <c r="FYB996" s="2335"/>
      <c r="FYC996" s="2335"/>
      <c r="FYD996" s="2335"/>
      <c r="FYE996" s="2335"/>
      <c r="FYF996" s="2335"/>
      <c r="FYG996" s="2335"/>
      <c r="FYH996" s="2335"/>
      <c r="FYI996" s="2335"/>
      <c r="FYJ996" s="2335"/>
      <c r="FYK996" s="2335"/>
      <c r="FYL996" s="2335"/>
      <c r="FYM996" s="2335"/>
      <c r="FYN996" s="2335"/>
      <c r="FYO996" s="2335"/>
      <c r="FYP996" s="2335"/>
      <c r="FYQ996" s="2335"/>
      <c r="FYR996" s="2335"/>
      <c r="FYS996" s="2335"/>
      <c r="FYT996" s="2335"/>
      <c r="FYU996" s="2335"/>
      <c r="FYV996" s="2335"/>
      <c r="FYW996" s="2335"/>
      <c r="FYX996" s="2335"/>
      <c r="FYY996" s="2335"/>
      <c r="FYZ996" s="2335"/>
      <c r="FZA996" s="2335"/>
      <c r="FZB996" s="2335"/>
      <c r="FZC996" s="2335"/>
      <c r="FZD996" s="2335"/>
      <c r="FZE996" s="2335"/>
      <c r="FZF996" s="2335"/>
      <c r="FZG996" s="2335"/>
      <c r="FZH996" s="2335"/>
      <c r="FZI996" s="2335"/>
      <c r="FZJ996" s="2335"/>
      <c r="FZK996" s="2335"/>
      <c r="FZL996" s="2335"/>
      <c r="FZM996" s="2335"/>
      <c r="FZN996" s="2335"/>
      <c r="FZO996" s="2335"/>
      <c r="FZP996" s="2335"/>
      <c r="FZQ996" s="2335"/>
      <c r="FZR996" s="2335"/>
      <c r="FZS996" s="2335"/>
      <c r="FZT996" s="2335"/>
      <c r="FZU996" s="2335"/>
      <c r="FZV996" s="2335"/>
      <c r="FZW996" s="2335"/>
      <c r="FZX996" s="2335"/>
      <c r="FZY996" s="2335"/>
      <c r="FZZ996" s="2335"/>
      <c r="GAA996" s="2335"/>
      <c r="GAB996" s="2335"/>
      <c r="GAC996" s="2335"/>
      <c r="GAD996" s="2335"/>
      <c r="GAE996" s="2335"/>
      <c r="GAF996" s="2335"/>
      <c r="GAG996" s="2335"/>
      <c r="GAH996" s="2335"/>
      <c r="GAI996" s="2335"/>
      <c r="GAJ996" s="2335"/>
      <c r="GAK996" s="2335"/>
      <c r="GAL996" s="2335"/>
      <c r="GAM996" s="2335"/>
      <c r="GAN996" s="2335"/>
      <c r="GAO996" s="2335"/>
      <c r="GAP996" s="2335"/>
      <c r="GAQ996" s="2335"/>
      <c r="GAR996" s="2335"/>
      <c r="GAS996" s="2335"/>
      <c r="GAT996" s="2335"/>
      <c r="GAU996" s="2335"/>
      <c r="GAV996" s="2335"/>
      <c r="GAW996" s="2335"/>
      <c r="GAX996" s="2335"/>
      <c r="GAY996" s="2335"/>
      <c r="GAZ996" s="2335"/>
      <c r="GBA996" s="2335"/>
      <c r="GBB996" s="2335"/>
      <c r="GBC996" s="2335"/>
      <c r="GBD996" s="2335"/>
      <c r="GBE996" s="2335"/>
      <c r="GBF996" s="2335"/>
      <c r="GBG996" s="2335"/>
      <c r="GBH996" s="2335"/>
      <c r="GBI996" s="2335"/>
      <c r="GBJ996" s="2335"/>
      <c r="GBK996" s="2335"/>
      <c r="GBL996" s="2335"/>
      <c r="GBM996" s="2335"/>
      <c r="GBN996" s="2335"/>
      <c r="GBO996" s="2335"/>
      <c r="GBP996" s="2335"/>
      <c r="GBQ996" s="2335"/>
      <c r="GBR996" s="2335"/>
      <c r="GBS996" s="2335"/>
      <c r="GBT996" s="2335"/>
      <c r="GBU996" s="2335"/>
      <c r="GBV996" s="2335"/>
      <c r="GBW996" s="2335"/>
      <c r="GBX996" s="2335"/>
      <c r="GBY996" s="2335"/>
      <c r="GBZ996" s="2335"/>
      <c r="GCA996" s="2335"/>
      <c r="GCB996" s="2335"/>
      <c r="GCC996" s="2335"/>
      <c r="GCD996" s="2335"/>
      <c r="GCE996" s="2335"/>
      <c r="GCF996" s="2335"/>
      <c r="GCG996" s="2335"/>
      <c r="GCH996" s="2335"/>
      <c r="GCI996" s="2335"/>
      <c r="GCJ996" s="2335"/>
      <c r="GCK996" s="2335"/>
      <c r="GCL996" s="2335"/>
      <c r="GCM996" s="2335"/>
      <c r="GCN996" s="2335"/>
      <c r="GCO996" s="2335"/>
      <c r="GCP996" s="2335"/>
      <c r="GCQ996" s="2335"/>
      <c r="GCR996" s="2335"/>
      <c r="GCS996" s="2335"/>
      <c r="GCT996" s="2335"/>
      <c r="GCU996" s="2335"/>
      <c r="GCV996" s="2335"/>
      <c r="GCW996" s="2335"/>
      <c r="GCX996" s="2335"/>
      <c r="GCY996" s="2335"/>
      <c r="GCZ996" s="2335"/>
      <c r="GDA996" s="2335"/>
      <c r="GDB996" s="2335"/>
      <c r="GDC996" s="2335"/>
      <c r="GDD996" s="2335"/>
      <c r="GDE996" s="2335"/>
      <c r="GDF996" s="2335"/>
      <c r="GDG996" s="2335"/>
      <c r="GDH996" s="2335"/>
      <c r="GDI996" s="2335"/>
      <c r="GDJ996" s="2335"/>
      <c r="GDK996" s="2335"/>
      <c r="GDL996" s="2335"/>
      <c r="GDM996" s="2335"/>
      <c r="GDN996" s="2335"/>
      <c r="GDO996" s="2335"/>
      <c r="GDP996" s="2335"/>
      <c r="GDQ996" s="2335"/>
      <c r="GDR996" s="2335"/>
      <c r="GDS996" s="2335"/>
      <c r="GDT996" s="2335"/>
      <c r="GDU996" s="2335"/>
      <c r="GDV996" s="2335"/>
      <c r="GDW996" s="2335"/>
      <c r="GDX996" s="2335"/>
      <c r="GDY996" s="2335"/>
      <c r="GDZ996" s="2335"/>
      <c r="GEA996" s="2335"/>
      <c r="GEB996" s="2335"/>
      <c r="GEC996" s="2335"/>
      <c r="GED996" s="2335"/>
      <c r="GEE996" s="2335"/>
      <c r="GEF996" s="2335"/>
      <c r="GEG996" s="2335"/>
      <c r="GEH996" s="2335"/>
      <c r="GEI996" s="2335"/>
      <c r="GEJ996" s="2335"/>
      <c r="GEK996" s="2335"/>
      <c r="GEL996" s="2335"/>
      <c r="GEM996" s="2335"/>
      <c r="GEN996" s="2335"/>
      <c r="GEO996" s="2335"/>
      <c r="GEP996" s="2335"/>
      <c r="GEQ996" s="2335"/>
      <c r="GER996" s="2335"/>
      <c r="GES996" s="2335"/>
      <c r="GET996" s="2335"/>
      <c r="GEU996" s="2335"/>
      <c r="GEV996" s="2335"/>
      <c r="GEW996" s="2335"/>
      <c r="GEX996" s="2335"/>
      <c r="GEY996" s="2335"/>
      <c r="GEZ996" s="2335"/>
      <c r="GFA996" s="2335"/>
      <c r="GFB996" s="2335"/>
      <c r="GFC996" s="2335"/>
      <c r="GFD996" s="2335"/>
      <c r="GFE996" s="2335"/>
      <c r="GFF996" s="2335"/>
      <c r="GFG996" s="2335"/>
      <c r="GFH996" s="2335"/>
      <c r="GFI996" s="2335"/>
      <c r="GFJ996" s="2335"/>
      <c r="GFK996" s="2335"/>
      <c r="GFL996" s="2335"/>
      <c r="GFM996" s="2335"/>
      <c r="GFN996" s="2335"/>
      <c r="GFO996" s="2335"/>
      <c r="GFP996" s="2335"/>
      <c r="GFQ996" s="2335"/>
      <c r="GFR996" s="2335"/>
      <c r="GFS996" s="2335"/>
      <c r="GFT996" s="2335"/>
      <c r="GFU996" s="2335"/>
      <c r="GFV996" s="2335"/>
      <c r="GFW996" s="2335"/>
      <c r="GFX996" s="2335"/>
      <c r="GFY996" s="2335"/>
      <c r="GFZ996" s="2335"/>
      <c r="GGA996" s="2335"/>
      <c r="GGB996" s="2335"/>
      <c r="GGC996" s="2335"/>
      <c r="GGD996" s="2335"/>
      <c r="GGE996" s="2335"/>
      <c r="GGF996" s="2335"/>
      <c r="GGG996" s="2335"/>
      <c r="GGH996" s="2335"/>
      <c r="GGI996" s="2335"/>
      <c r="GGJ996" s="2335"/>
      <c r="GGK996" s="2335"/>
      <c r="GGL996" s="2335"/>
      <c r="GGM996" s="2335"/>
      <c r="GGN996" s="2335"/>
      <c r="GGO996" s="2335"/>
      <c r="GGP996" s="2335"/>
      <c r="GGQ996" s="2335"/>
      <c r="GGR996" s="2335"/>
      <c r="GGS996" s="2335"/>
      <c r="GGT996" s="2335"/>
      <c r="GGU996" s="2335"/>
      <c r="GGV996" s="2335"/>
      <c r="GGW996" s="2335"/>
      <c r="GGX996" s="2335"/>
      <c r="GGY996" s="2335"/>
      <c r="GGZ996" s="2335"/>
      <c r="GHA996" s="2335"/>
      <c r="GHB996" s="2335"/>
      <c r="GHC996" s="2335"/>
      <c r="GHD996" s="2335"/>
      <c r="GHE996" s="2335"/>
      <c r="GHF996" s="2335"/>
      <c r="GHG996" s="2335"/>
      <c r="GHH996" s="2335"/>
      <c r="GHI996" s="2335"/>
      <c r="GHJ996" s="2335"/>
      <c r="GHK996" s="2335"/>
      <c r="GHL996" s="2335"/>
      <c r="GHM996" s="2335"/>
      <c r="GHN996" s="2335"/>
      <c r="GHO996" s="2335"/>
      <c r="GHP996" s="2335"/>
      <c r="GHQ996" s="2335"/>
      <c r="GHR996" s="2335"/>
      <c r="GHS996" s="2335"/>
      <c r="GHT996" s="2335"/>
      <c r="GHU996" s="2335"/>
      <c r="GHV996" s="2335"/>
      <c r="GHW996" s="2335"/>
      <c r="GHX996" s="2335"/>
      <c r="GHY996" s="2335"/>
      <c r="GHZ996" s="2335"/>
      <c r="GIA996" s="2335"/>
      <c r="GIB996" s="2335"/>
      <c r="GIC996" s="2335"/>
      <c r="GID996" s="2335"/>
      <c r="GIE996" s="2335"/>
      <c r="GIF996" s="2335"/>
      <c r="GIG996" s="2335"/>
      <c r="GIH996" s="2335"/>
      <c r="GII996" s="2335"/>
      <c r="GIJ996" s="2335"/>
      <c r="GIK996" s="2335"/>
      <c r="GIL996" s="2335"/>
      <c r="GIM996" s="2335"/>
      <c r="GIN996" s="2335"/>
      <c r="GIO996" s="2335"/>
      <c r="GIP996" s="2335"/>
      <c r="GIQ996" s="2335"/>
      <c r="GIR996" s="2335"/>
      <c r="GIS996" s="2335"/>
      <c r="GIT996" s="2335"/>
      <c r="GIU996" s="2335"/>
      <c r="GIV996" s="2335"/>
      <c r="GIW996" s="2335"/>
      <c r="GIX996" s="2335"/>
      <c r="GIY996" s="2335"/>
      <c r="GIZ996" s="2335"/>
      <c r="GJA996" s="2335"/>
      <c r="GJB996" s="2335"/>
      <c r="GJC996" s="2335"/>
      <c r="GJD996" s="2335"/>
      <c r="GJE996" s="2335"/>
      <c r="GJF996" s="2335"/>
      <c r="GJG996" s="2335"/>
      <c r="GJH996" s="2335"/>
      <c r="GJI996" s="2335"/>
      <c r="GJJ996" s="2335"/>
      <c r="GJK996" s="2335"/>
      <c r="GJL996" s="2335"/>
      <c r="GJM996" s="2335"/>
      <c r="GJN996" s="2335"/>
      <c r="GJO996" s="2335"/>
      <c r="GJP996" s="2335"/>
      <c r="GJQ996" s="2335"/>
      <c r="GJR996" s="2335"/>
      <c r="GJS996" s="2335"/>
      <c r="GJT996" s="2335"/>
      <c r="GJU996" s="2335"/>
      <c r="GJV996" s="2335"/>
      <c r="GJW996" s="2335"/>
      <c r="GJX996" s="2335"/>
      <c r="GJY996" s="2335"/>
      <c r="GJZ996" s="2335"/>
      <c r="GKA996" s="2335"/>
      <c r="GKB996" s="2335"/>
      <c r="GKC996" s="2335"/>
      <c r="GKD996" s="2335"/>
      <c r="GKE996" s="2335"/>
      <c r="GKF996" s="2335"/>
      <c r="GKG996" s="2335"/>
      <c r="GKH996" s="2335"/>
      <c r="GKI996" s="2335"/>
      <c r="GKJ996" s="2335"/>
      <c r="GKK996" s="2335"/>
      <c r="GKL996" s="2335"/>
      <c r="GKM996" s="2335"/>
      <c r="GKN996" s="2335"/>
      <c r="GKO996" s="2335"/>
      <c r="GKP996" s="2335"/>
      <c r="GKQ996" s="2335"/>
      <c r="GKR996" s="2335"/>
      <c r="GKS996" s="2335"/>
      <c r="GKT996" s="2335"/>
      <c r="GKU996" s="2335"/>
      <c r="GKV996" s="2335"/>
      <c r="GKW996" s="2335"/>
      <c r="GKX996" s="2335"/>
      <c r="GKY996" s="2335"/>
      <c r="GKZ996" s="2335"/>
      <c r="GLA996" s="2335"/>
      <c r="GLB996" s="2335"/>
      <c r="GLC996" s="2335"/>
      <c r="GLD996" s="2335"/>
      <c r="GLE996" s="2335"/>
      <c r="GLF996" s="2335"/>
      <c r="GLG996" s="2335"/>
      <c r="GLH996" s="2335"/>
      <c r="GLI996" s="2335"/>
      <c r="GLJ996" s="2335"/>
      <c r="GLK996" s="2335"/>
      <c r="GLL996" s="2335"/>
      <c r="GLM996" s="2335"/>
      <c r="GLN996" s="2335"/>
      <c r="GLO996" s="2335"/>
      <c r="GLP996" s="2335"/>
      <c r="GLQ996" s="2335"/>
      <c r="GLR996" s="2335"/>
      <c r="GLS996" s="2335"/>
      <c r="GLT996" s="2335"/>
      <c r="GLU996" s="2335"/>
      <c r="GLV996" s="2335"/>
      <c r="GLW996" s="2335"/>
      <c r="GLX996" s="2335"/>
      <c r="GLY996" s="2335"/>
      <c r="GLZ996" s="2335"/>
      <c r="GMA996" s="2335"/>
      <c r="GMB996" s="2335"/>
      <c r="GMC996" s="2335"/>
      <c r="GMD996" s="2335"/>
      <c r="GME996" s="2335"/>
      <c r="GMF996" s="2335"/>
      <c r="GMG996" s="2335"/>
      <c r="GMH996" s="2335"/>
      <c r="GMI996" s="2335"/>
      <c r="GMJ996" s="2335"/>
      <c r="GMK996" s="2335"/>
      <c r="GML996" s="2335"/>
      <c r="GMM996" s="2335"/>
      <c r="GMN996" s="2335"/>
      <c r="GMO996" s="2335"/>
      <c r="GMP996" s="2335"/>
      <c r="GMQ996" s="2335"/>
      <c r="GMR996" s="2335"/>
      <c r="GMS996" s="2335"/>
      <c r="GMT996" s="2335"/>
      <c r="GMU996" s="2335"/>
      <c r="GMV996" s="2335"/>
      <c r="GMW996" s="2335"/>
      <c r="GMX996" s="2335"/>
      <c r="GMY996" s="2335"/>
      <c r="GMZ996" s="2335"/>
      <c r="GNA996" s="2335"/>
      <c r="GNB996" s="2335"/>
      <c r="GNC996" s="2335"/>
      <c r="GND996" s="2335"/>
      <c r="GNE996" s="2335"/>
      <c r="GNF996" s="2335"/>
      <c r="GNG996" s="2335"/>
      <c r="GNH996" s="2335"/>
      <c r="GNI996" s="2335"/>
      <c r="GNJ996" s="2335"/>
      <c r="GNK996" s="2335"/>
      <c r="GNL996" s="2335"/>
      <c r="GNM996" s="2335"/>
      <c r="GNN996" s="2335"/>
      <c r="GNO996" s="2335"/>
      <c r="GNP996" s="2335"/>
      <c r="GNQ996" s="2335"/>
      <c r="GNR996" s="2335"/>
      <c r="GNS996" s="2335"/>
      <c r="GNT996" s="2335"/>
      <c r="GNU996" s="2335"/>
      <c r="GNV996" s="2335"/>
      <c r="GNW996" s="2335"/>
      <c r="GNX996" s="2335"/>
      <c r="GNY996" s="2335"/>
      <c r="GNZ996" s="2335"/>
      <c r="GOA996" s="2335"/>
      <c r="GOB996" s="2335"/>
      <c r="GOC996" s="2335"/>
      <c r="GOD996" s="2335"/>
      <c r="GOE996" s="2335"/>
      <c r="GOF996" s="2335"/>
      <c r="GOG996" s="2335"/>
      <c r="GOH996" s="2335"/>
      <c r="GOI996" s="2335"/>
      <c r="GOJ996" s="2335"/>
      <c r="GOK996" s="2335"/>
      <c r="GOL996" s="2335"/>
      <c r="GOM996" s="2335"/>
      <c r="GON996" s="2335"/>
      <c r="GOO996" s="2335"/>
      <c r="GOP996" s="2335"/>
      <c r="GOQ996" s="2335"/>
      <c r="GOR996" s="2335"/>
      <c r="GOS996" s="2335"/>
      <c r="GOT996" s="2335"/>
      <c r="GOU996" s="2335"/>
      <c r="GOV996" s="2335"/>
      <c r="GOW996" s="2335"/>
      <c r="GOX996" s="2335"/>
      <c r="GOY996" s="2335"/>
      <c r="GOZ996" s="2335"/>
      <c r="GPA996" s="2335"/>
      <c r="GPB996" s="2335"/>
      <c r="GPC996" s="2335"/>
      <c r="GPD996" s="2335"/>
      <c r="GPE996" s="2335"/>
      <c r="GPF996" s="2335"/>
      <c r="GPG996" s="2335"/>
      <c r="GPH996" s="2335"/>
      <c r="GPI996" s="2335"/>
      <c r="GPJ996" s="2335"/>
      <c r="GPK996" s="2335"/>
      <c r="GPL996" s="2335"/>
      <c r="GPM996" s="2335"/>
      <c r="GPN996" s="2335"/>
      <c r="GPO996" s="2335"/>
      <c r="GPP996" s="2335"/>
      <c r="GPQ996" s="2335"/>
      <c r="GPR996" s="2335"/>
      <c r="GPS996" s="2335"/>
      <c r="GPT996" s="2335"/>
      <c r="GPU996" s="2335"/>
      <c r="GPV996" s="2335"/>
      <c r="GPW996" s="2335"/>
      <c r="GPX996" s="2335"/>
      <c r="GPY996" s="2335"/>
      <c r="GPZ996" s="2335"/>
      <c r="GQA996" s="2335"/>
      <c r="GQB996" s="2335"/>
      <c r="GQC996" s="2335"/>
      <c r="GQD996" s="2335"/>
      <c r="GQE996" s="2335"/>
      <c r="GQF996" s="2335"/>
      <c r="GQG996" s="2335"/>
      <c r="GQH996" s="2335"/>
      <c r="GQI996" s="2335"/>
      <c r="GQJ996" s="2335"/>
      <c r="GQK996" s="2335"/>
      <c r="GQL996" s="2335"/>
      <c r="GQM996" s="2335"/>
      <c r="GQN996" s="2335"/>
      <c r="GQO996" s="2335"/>
      <c r="GQP996" s="2335"/>
      <c r="GQQ996" s="2335"/>
      <c r="GQR996" s="2335"/>
      <c r="GQS996" s="2335"/>
      <c r="GQT996" s="2335"/>
      <c r="GQU996" s="2335"/>
      <c r="GQV996" s="2335"/>
      <c r="GQW996" s="2335"/>
      <c r="GQX996" s="2335"/>
      <c r="GQY996" s="2335"/>
      <c r="GQZ996" s="2335"/>
      <c r="GRA996" s="2335"/>
      <c r="GRB996" s="2335"/>
      <c r="GRC996" s="2335"/>
      <c r="GRD996" s="2335"/>
      <c r="GRE996" s="2335"/>
      <c r="GRF996" s="2335"/>
      <c r="GRG996" s="2335"/>
      <c r="GRH996" s="2335"/>
      <c r="GRI996" s="2335"/>
      <c r="GRJ996" s="2335"/>
      <c r="GRK996" s="2335"/>
      <c r="GRL996" s="2335"/>
      <c r="GRM996" s="2335"/>
      <c r="GRN996" s="2335"/>
      <c r="GRO996" s="2335"/>
      <c r="GRP996" s="2335"/>
      <c r="GRQ996" s="2335"/>
      <c r="GRR996" s="2335"/>
      <c r="GRS996" s="2335"/>
      <c r="GRT996" s="2335"/>
      <c r="GRU996" s="2335"/>
      <c r="GRV996" s="2335"/>
      <c r="GRW996" s="2335"/>
      <c r="GRX996" s="2335"/>
      <c r="GRY996" s="2335"/>
      <c r="GRZ996" s="2335"/>
      <c r="GSA996" s="2335"/>
      <c r="GSB996" s="2335"/>
      <c r="GSC996" s="2335"/>
      <c r="GSD996" s="2335"/>
      <c r="GSE996" s="2335"/>
      <c r="GSF996" s="2335"/>
      <c r="GSG996" s="2335"/>
      <c r="GSH996" s="2335"/>
      <c r="GSI996" s="2335"/>
      <c r="GSJ996" s="2335"/>
      <c r="GSK996" s="2335"/>
      <c r="GSL996" s="2335"/>
      <c r="GSM996" s="2335"/>
      <c r="GSN996" s="2335"/>
      <c r="GSO996" s="2335"/>
      <c r="GSP996" s="2335"/>
      <c r="GSQ996" s="2335"/>
      <c r="GSR996" s="2335"/>
      <c r="GSS996" s="2335"/>
      <c r="GST996" s="2335"/>
      <c r="GSU996" s="2335"/>
      <c r="GSV996" s="2335"/>
      <c r="GSW996" s="2335"/>
      <c r="GSX996" s="2335"/>
      <c r="GSY996" s="2335"/>
      <c r="GSZ996" s="2335"/>
      <c r="GTA996" s="2335"/>
      <c r="GTB996" s="2335"/>
      <c r="GTC996" s="2335"/>
      <c r="GTD996" s="2335"/>
      <c r="GTE996" s="2335"/>
      <c r="GTF996" s="2335"/>
      <c r="GTG996" s="2335"/>
      <c r="GTH996" s="2335"/>
      <c r="GTI996" s="2335"/>
      <c r="GTJ996" s="2335"/>
      <c r="GTK996" s="2335"/>
      <c r="GTL996" s="2335"/>
      <c r="GTM996" s="2335"/>
      <c r="GTN996" s="2335"/>
      <c r="GTO996" s="2335"/>
      <c r="GTP996" s="2335"/>
      <c r="GTQ996" s="2335"/>
      <c r="GTR996" s="2335"/>
      <c r="GTS996" s="2335"/>
      <c r="GTT996" s="2335"/>
      <c r="GTU996" s="2335"/>
      <c r="GTV996" s="2335"/>
      <c r="GTW996" s="2335"/>
      <c r="GTX996" s="2335"/>
      <c r="GTY996" s="2335"/>
      <c r="GTZ996" s="2335"/>
      <c r="GUA996" s="2335"/>
      <c r="GUB996" s="2335"/>
      <c r="GUC996" s="2335"/>
      <c r="GUD996" s="2335"/>
      <c r="GUE996" s="2335"/>
      <c r="GUF996" s="2335"/>
      <c r="GUG996" s="2335"/>
      <c r="GUH996" s="2335"/>
      <c r="GUI996" s="2335"/>
      <c r="GUJ996" s="2335"/>
      <c r="GUK996" s="2335"/>
      <c r="GUL996" s="2335"/>
      <c r="GUM996" s="2335"/>
      <c r="GUN996" s="2335"/>
      <c r="GUO996" s="2335"/>
      <c r="GUP996" s="2335"/>
      <c r="GUQ996" s="2335"/>
      <c r="GUR996" s="2335"/>
      <c r="GUS996" s="2335"/>
      <c r="GUT996" s="2335"/>
      <c r="GUU996" s="2335"/>
      <c r="GUV996" s="2335"/>
      <c r="GUW996" s="2335"/>
      <c r="GUX996" s="2335"/>
      <c r="GUY996" s="2335"/>
      <c r="GUZ996" s="2335"/>
      <c r="GVA996" s="2335"/>
      <c r="GVB996" s="2335"/>
      <c r="GVC996" s="2335"/>
      <c r="GVD996" s="2335"/>
      <c r="GVE996" s="2335"/>
      <c r="GVF996" s="2335"/>
      <c r="GVG996" s="2335"/>
      <c r="GVH996" s="2335"/>
      <c r="GVI996" s="2335"/>
      <c r="GVJ996" s="2335"/>
      <c r="GVK996" s="2335"/>
      <c r="GVL996" s="2335"/>
      <c r="GVM996" s="2335"/>
      <c r="GVN996" s="2335"/>
      <c r="GVO996" s="2335"/>
      <c r="GVP996" s="2335"/>
      <c r="GVQ996" s="2335"/>
      <c r="GVR996" s="2335"/>
      <c r="GVS996" s="2335"/>
      <c r="GVT996" s="2335"/>
      <c r="GVU996" s="2335"/>
      <c r="GVV996" s="2335"/>
      <c r="GVW996" s="2335"/>
      <c r="GVX996" s="2335"/>
      <c r="GVY996" s="2335"/>
      <c r="GVZ996" s="2335"/>
      <c r="GWA996" s="2335"/>
      <c r="GWB996" s="2335"/>
      <c r="GWC996" s="2335"/>
      <c r="GWD996" s="2335"/>
      <c r="GWE996" s="2335"/>
      <c r="GWF996" s="2335"/>
      <c r="GWG996" s="2335"/>
      <c r="GWH996" s="2335"/>
      <c r="GWI996" s="2335"/>
      <c r="GWJ996" s="2335"/>
      <c r="GWK996" s="2335"/>
      <c r="GWL996" s="2335"/>
      <c r="GWM996" s="2335"/>
      <c r="GWN996" s="2335"/>
      <c r="GWO996" s="2335"/>
      <c r="GWP996" s="2335"/>
      <c r="GWQ996" s="2335"/>
      <c r="GWR996" s="2335"/>
      <c r="GWS996" s="2335"/>
      <c r="GWT996" s="2335"/>
      <c r="GWU996" s="2335"/>
      <c r="GWV996" s="2335"/>
      <c r="GWW996" s="2335"/>
      <c r="GWX996" s="2335"/>
      <c r="GWY996" s="2335"/>
      <c r="GWZ996" s="2335"/>
      <c r="GXA996" s="2335"/>
      <c r="GXB996" s="2335"/>
      <c r="GXC996" s="2335"/>
      <c r="GXD996" s="2335"/>
      <c r="GXE996" s="2335"/>
      <c r="GXF996" s="2335"/>
      <c r="GXG996" s="2335"/>
      <c r="GXH996" s="2335"/>
      <c r="GXI996" s="2335"/>
      <c r="GXJ996" s="2335"/>
      <c r="GXK996" s="2335"/>
      <c r="GXL996" s="2335"/>
      <c r="GXM996" s="2335"/>
      <c r="GXN996" s="2335"/>
      <c r="GXO996" s="2335"/>
      <c r="GXP996" s="2335"/>
      <c r="GXQ996" s="2335"/>
      <c r="GXR996" s="2335"/>
      <c r="GXS996" s="2335"/>
      <c r="GXT996" s="2335"/>
      <c r="GXU996" s="2335"/>
      <c r="GXV996" s="2335"/>
      <c r="GXW996" s="2335"/>
      <c r="GXX996" s="2335"/>
      <c r="GXY996" s="2335"/>
      <c r="GXZ996" s="2335"/>
      <c r="GYA996" s="2335"/>
      <c r="GYB996" s="2335"/>
      <c r="GYC996" s="2335"/>
      <c r="GYD996" s="2335"/>
      <c r="GYE996" s="2335"/>
      <c r="GYF996" s="2335"/>
      <c r="GYG996" s="2335"/>
      <c r="GYH996" s="2335"/>
      <c r="GYI996" s="2335"/>
      <c r="GYJ996" s="2335"/>
      <c r="GYK996" s="2335"/>
      <c r="GYL996" s="2335"/>
      <c r="GYM996" s="2335"/>
      <c r="GYN996" s="2335"/>
      <c r="GYO996" s="2335"/>
      <c r="GYP996" s="2335"/>
      <c r="GYQ996" s="2335"/>
      <c r="GYR996" s="2335"/>
      <c r="GYS996" s="2335"/>
      <c r="GYT996" s="2335"/>
      <c r="GYU996" s="2335"/>
      <c r="GYV996" s="2335"/>
      <c r="GYW996" s="2335"/>
      <c r="GYX996" s="2335"/>
      <c r="GYY996" s="2335"/>
      <c r="GYZ996" s="2335"/>
      <c r="GZA996" s="2335"/>
      <c r="GZB996" s="2335"/>
      <c r="GZC996" s="2335"/>
      <c r="GZD996" s="2335"/>
      <c r="GZE996" s="2335"/>
      <c r="GZF996" s="2335"/>
      <c r="GZG996" s="2335"/>
      <c r="GZH996" s="2335"/>
      <c r="GZI996" s="2335"/>
      <c r="GZJ996" s="2335"/>
      <c r="GZK996" s="2335"/>
      <c r="GZL996" s="2335"/>
      <c r="GZM996" s="2335"/>
      <c r="GZN996" s="2335"/>
      <c r="GZO996" s="2335"/>
      <c r="GZP996" s="2335"/>
      <c r="GZQ996" s="2335"/>
      <c r="GZR996" s="2335"/>
      <c r="GZS996" s="2335"/>
      <c r="GZT996" s="2335"/>
      <c r="GZU996" s="2335"/>
      <c r="GZV996" s="2335"/>
      <c r="GZW996" s="2335"/>
      <c r="GZX996" s="2335"/>
      <c r="GZY996" s="2335"/>
      <c r="GZZ996" s="2335"/>
      <c r="HAA996" s="2335"/>
      <c r="HAB996" s="2335"/>
      <c r="HAC996" s="2335"/>
      <c r="HAD996" s="2335"/>
      <c r="HAE996" s="2335"/>
      <c r="HAF996" s="2335"/>
      <c r="HAG996" s="2335"/>
      <c r="HAH996" s="2335"/>
      <c r="HAI996" s="2335"/>
      <c r="HAJ996" s="2335"/>
      <c r="HAK996" s="2335"/>
      <c r="HAL996" s="2335"/>
      <c r="HAM996" s="2335"/>
      <c r="HAN996" s="2335"/>
      <c r="HAO996" s="2335"/>
      <c r="HAP996" s="2335"/>
      <c r="HAQ996" s="2335"/>
      <c r="HAR996" s="2335"/>
      <c r="HAS996" s="2335"/>
      <c r="HAT996" s="2335"/>
      <c r="HAU996" s="2335"/>
      <c r="HAV996" s="2335"/>
      <c r="HAW996" s="2335"/>
      <c r="HAX996" s="2335"/>
      <c r="HAY996" s="2335"/>
      <c r="HAZ996" s="2335"/>
      <c r="HBA996" s="2335"/>
      <c r="HBB996" s="2335"/>
      <c r="HBC996" s="2335"/>
      <c r="HBD996" s="2335"/>
      <c r="HBE996" s="2335"/>
      <c r="HBF996" s="2335"/>
      <c r="HBG996" s="2335"/>
      <c r="HBH996" s="2335"/>
      <c r="HBI996" s="2335"/>
      <c r="HBJ996" s="2335"/>
      <c r="HBK996" s="2335"/>
      <c r="HBL996" s="2335"/>
      <c r="HBM996" s="2335"/>
      <c r="HBN996" s="2335"/>
      <c r="HBO996" s="2335"/>
      <c r="HBP996" s="2335"/>
      <c r="HBQ996" s="2335"/>
      <c r="HBR996" s="2335"/>
      <c r="HBS996" s="2335"/>
      <c r="HBT996" s="2335"/>
      <c r="HBU996" s="2335"/>
      <c r="HBV996" s="2335"/>
      <c r="HBW996" s="2335"/>
      <c r="HBX996" s="2335"/>
      <c r="HBY996" s="2335"/>
      <c r="HBZ996" s="2335"/>
      <c r="HCA996" s="2335"/>
      <c r="HCB996" s="2335"/>
      <c r="HCC996" s="2335"/>
      <c r="HCD996" s="2335"/>
      <c r="HCE996" s="2335"/>
      <c r="HCF996" s="2335"/>
      <c r="HCG996" s="2335"/>
      <c r="HCH996" s="2335"/>
      <c r="HCI996" s="2335"/>
      <c r="HCJ996" s="2335"/>
      <c r="HCK996" s="2335"/>
      <c r="HCL996" s="2335"/>
      <c r="HCM996" s="2335"/>
      <c r="HCN996" s="2335"/>
      <c r="HCO996" s="2335"/>
      <c r="HCP996" s="2335"/>
      <c r="HCQ996" s="2335"/>
      <c r="HCR996" s="2335"/>
      <c r="HCS996" s="2335"/>
      <c r="HCT996" s="2335"/>
      <c r="HCU996" s="2335"/>
      <c r="HCV996" s="2335"/>
      <c r="HCW996" s="2335"/>
      <c r="HCX996" s="2335"/>
      <c r="HCY996" s="2335"/>
      <c r="HCZ996" s="2335"/>
      <c r="HDA996" s="2335"/>
      <c r="HDB996" s="2335"/>
      <c r="HDC996" s="2335"/>
      <c r="HDD996" s="2335"/>
      <c r="HDE996" s="2335"/>
      <c r="HDF996" s="2335"/>
      <c r="HDG996" s="2335"/>
      <c r="HDH996" s="2335"/>
      <c r="HDI996" s="2335"/>
      <c r="HDJ996" s="2335"/>
      <c r="HDK996" s="2335"/>
      <c r="HDL996" s="2335"/>
      <c r="HDM996" s="2335"/>
      <c r="HDN996" s="2335"/>
      <c r="HDO996" s="2335"/>
      <c r="HDP996" s="2335"/>
      <c r="HDQ996" s="2335"/>
      <c r="HDR996" s="2335"/>
      <c r="HDS996" s="2335"/>
      <c r="HDT996" s="2335"/>
      <c r="HDU996" s="2335"/>
      <c r="HDV996" s="2335"/>
      <c r="HDW996" s="2335"/>
      <c r="HDX996" s="2335"/>
      <c r="HDY996" s="2335"/>
      <c r="HDZ996" s="2335"/>
      <c r="HEA996" s="2335"/>
      <c r="HEB996" s="2335"/>
      <c r="HEC996" s="2335"/>
      <c r="HED996" s="2335"/>
      <c r="HEE996" s="2335"/>
      <c r="HEF996" s="2335"/>
      <c r="HEG996" s="2335"/>
      <c r="HEH996" s="2335"/>
      <c r="HEI996" s="2335"/>
      <c r="HEJ996" s="2335"/>
      <c r="HEK996" s="2335"/>
      <c r="HEL996" s="2335"/>
      <c r="HEM996" s="2335"/>
      <c r="HEN996" s="2335"/>
      <c r="HEO996" s="2335"/>
      <c r="HEP996" s="2335"/>
      <c r="HEQ996" s="2335"/>
      <c r="HER996" s="2335"/>
      <c r="HES996" s="2335"/>
      <c r="HET996" s="2335"/>
      <c r="HEU996" s="2335"/>
      <c r="HEV996" s="2335"/>
      <c r="HEW996" s="2335"/>
      <c r="HEX996" s="2335"/>
      <c r="HEY996" s="2335"/>
      <c r="HEZ996" s="2335"/>
      <c r="HFA996" s="2335"/>
      <c r="HFB996" s="2335"/>
      <c r="HFC996" s="2335"/>
      <c r="HFD996" s="2335"/>
      <c r="HFE996" s="2335"/>
      <c r="HFF996" s="2335"/>
      <c r="HFG996" s="2335"/>
      <c r="HFH996" s="2335"/>
      <c r="HFI996" s="2335"/>
      <c r="HFJ996" s="2335"/>
      <c r="HFK996" s="2335"/>
      <c r="HFL996" s="2335"/>
      <c r="HFM996" s="2335"/>
      <c r="HFN996" s="2335"/>
      <c r="HFO996" s="2335"/>
      <c r="HFP996" s="2335"/>
      <c r="HFQ996" s="2335"/>
      <c r="HFR996" s="2335"/>
      <c r="HFS996" s="2335"/>
      <c r="HFT996" s="2335"/>
      <c r="HFU996" s="2335"/>
      <c r="HFV996" s="2335"/>
      <c r="HFW996" s="2335"/>
      <c r="HFX996" s="2335"/>
      <c r="HFY996" s="2335"/>
      <c r="HFZ996" s="2335"/>
      <c r="HGA996" s="2335"/>
      <c r="HGB996" s="2335"/>
      <c r="HGC996" s="2335"/>
      <c r="HGD996" s="2335"/>
      <c r="HGE996" s="2335"/>
      <c r="HGF996" s="2335"/>
      <c r="HGG996" s="2335"/>
      <c r="HGH996" s="2335"/>
      <c r="HGI996" s="2335"/>
      <c r="HGJ996" s="2335"/>
      <c r="HGK996" s="2335"/>
      <c r="HGL996" s="2335"/>
      <c r="HGM996" s="2335"/>
      <c r="HGN996" s="2335"/>
      <c r="HGO996" s="2335"/>
      <c r="HGP996" s="2335"/>
      <c r="HGQ996" s="2335"/>
      <c r="HGR996" s="2335"/>
      <c r="HGS996" s="2335"/>
      <c r="HGT996" s="2335"/>
      <c r="HGU996" s="2335"/>
      <c r="HGV996" s="2335"/>
      <c r="HGW996" s="2335"/>
      <c r="HGX996" s="2335"/>
      <c r="HGY996" s="2335"/>
      <c r="HGZ996" s="2335"/>
      <c r="HHA996" s="2335"/>
      <c r="HHB996" s="2335"/>
      <c r="HHC996" s="2335"/>
      <c r="HHD996" s="2335"/>
      <c r="HHE996" s="2335"/>
      <c r="HHF996" s="2335"/>
      <c r="HHG996" s="2335"/>
      <c r="HHH996" s="2335"/>
      <c r="HHI996" s="2335"/>
      <c r="HHJ996" s="2335"/>
      <c r="HHK996" s="2335"/>
      <c r="HHL996" s="2335"/>
      <c r="HHM996" s="2335"/>
      <c r="HHN996" s="2335"/>
      <c r="HHO996" s="2335"/>
      <c r="HHP996" s="2335"/>
      <c r="HHQ996" s="2335"/>
      <c r="HHR996" s="2335"/>
      <c r="HHS996" s="2335"/>
      <c r="HHT996" s="2335"/>
      <c r="HHU996" s="2335"/>
      <c r="HHV996" s="2335"/>
      <c r="HHW996" s="2335"/>
      <c r="HHX996" s="2335"/>
      <c r="HHY996" s="2335"/>
      <c r="HHZ996" s="2335"/>
      <c r="HIA996" s="2335"/>
      <c r="HIB996" s="2335"/>
      <c r="HIC996" s="2335"/>
      <c r="HID996" s="2335"/>
      <c r="HIE996" s="2335"/>
      <c r="HIF996" s="2335"/>
      <c r="HIG996" s="2335"/>
      <c r="HIH996" s="2335"/>
      <c r="HII996" s="2335"/>
      <c r="HIJ996" s="2335"/>
      <c r="HIK996" s="2335"/>
      <c r="HIL996" s="2335"/>
      <c r="HIM996" s="2335"/>
      <c r="HIN996" s="2335"/>
      <c r="HIO996" s="2335"/>
      <c r="HIP996" s="2335"/>
      <c r="HIQ996" s="2335"/>
      <c r="HIR996" s="2335"/>
      <c r="HIS996" s="2335"/>
      <c r="HIT996" s="2335"/>
      <c r="HIU996" s="2335"/>
      <c r="HIV996" s="2335"/>
      <c r="HIW996" s="2335"/>
      <c r="HIX996" s="2335"/>
      <c r="HIY996" s="2335"/>
      <c r="HIZ996" s="2335"/>
      <c r="HJA996" s="2335"/>
      <c r="HJB996" s="2335"/>
      <c r="HJC996" s="2335"/>
      <c r="HJD996" s="2335"/>
      <c r="HJE996" s="2335"/>
      <c r="HJF996" s="2335"/>
      <c r="HJG996" s="2335"/>
      <c r="HJH996" s="2335"/>
      <c r="HJI996" s="2335"/>
      <c r="HJJ996" s="2335"/>
      <c r="HJK996" s="2335"/>
      <c r="HJL996" s="2335"/>
      <c r="HJM996" s="2335"/>
      <c r="HJN996" s="2335"/>
      <c r="HJO996" s="2335"/>
      <c r="HJP996" s="2335"/>
      <c r="HJQ996" s="2335"/>
      <c r="HJR996" s="2335"/>
      <c r="HJS996" s="2335"/>
      <c r="HJT996" s="2335"/>
      <c r="HJU996" s="2335"/>
      <c r="HJV996" s="2335"/>
      <c r="HJW996" s="2335"/>
      <c r="HJX996" s="2335"/>
      <c r="HJY996" s="2335"/>
      <c r="HJZ996" s="2335"/>
      <c r="HKA996" s="2335"/>
      <c r="HKB996" s="2335"/>
      <c r="HKC996" s="2335"/>
      <c r="HKD996" s="2335"/>
      <c r="HKE996" s="2335"/>
      <c r="HKF996" s="2335"/>
      <c r="HKG996" s="2335"/>
      <c r="HKH996" s="2335"/>
      <c r="HKI996" s="2335"/>
      <c r="HKJ996" s="2335"/>
      <c r="HKK996" s="2335"/>
      <c r="HKL996" s="2335"/>
      <c r="HKM996" s="2335"/>
      <c r="HKN996" s="2335"/>
      <c r="HKO996" s="2335"/>
      <c r="HKP996" s="2335"/>
      <c r="HKQ996" s="2335"/>
      <c r="HKR996" s="2335"/>
      <c r="HKS996" s="2335"/>
      <c r="HKT996" s="2335"/>
      <c r="HKU996" s="2335"/>
      <c r="HKV996" s="2335"/>
      <c r="HKW996" s="2335"/>
      <c r="HKX996" s="2335"/>
      <c r="HKY996" s="2335"/>
      <c r="HKZ996" s="2335"/>
      <c r="HLA996" s="2335"/>
      <c r="HLB996" s="2335"/>
      <c r="HLC996" s="2335"/>
      <c r="HLD996" s="2335"/>
      <c r="HLE996" s="2335"/>
      <c r="HLF996" s="2335"/>
      <c r="HLG996" s="2335"/>
      <c r="HLH996" s="2335"/>
      <c r="HLI996" s="2335"/>
      <c r="HLJ996" s="2335"/>
      <c r="HLK996" s="2335"/>
      <c r="HLL996" s="2335"/>
      <c r="HLM996" s="2335"/>
      <c r="HLN996" s="2335"/>
      <c r="HLO996" s="2335"/>
      <c r="HLP996" s="2335"/>
      <c r="HLQ996" s="2335"/>
      <c r="HLR996" s="2335"/>
      <c r="HLS996" s="2335"/>
      <c r="HLT996" s="2335"/>
      <c r="HLU996" s="2335"/>
      <c r="HLV996" s="2335"/>
      <c r="HLW996" s="2335"/>
      <c r="HLX996" s="2335"/>
      <c r="HLY996" s="2335"/>
      <c r="HLZ996" s="2335"/>
      <c r="HMA996" s="2335"/>
      <c r="HMB996" s="2335"/>
      <c r="HMC996" s="2335"/>
      <c r="HMD996" s="2335"/>
      <c r="HME996" s="2335"/>
      <c r="HMF996" s="2335"/>
      <c r="HMG996" s="2335"/>
      <c r="HMH996" s="2335"/>
      <c r="HMI996" s="2335"/>
      <c r="HMJ996" s="2335"/>
      <c r="HMK996" s="2335"/>
      <c r="HML996" s="2335"/>
      <c r="HMM996" s="2335"/>
      <c r="HMN996" s="2335"/>
      <c r="HMO996" s="2335"/>
      <c r="HMP996" s="2335"/>
      <c r="HMQ996" s="2335"/>
      <c r="HMR996" s="2335"/>
      <c r="HMS996" s="2335"/>
      <c r="HMT996" s="2335"/>
      <c r="HMU996" s="2335"/>
      <c r="HMV996" s="2335"/>
      <c r="HMW996" s="2335"/>
      <c r="HMX996" s="2335"/>
      <c r="HMY996" s="2335"/>
      <c r="HMZ996" s="2335"/>
      <c r="HNA996" s="2335"/>
      <c r="HNB996" s="2335"/>
      <c r="HNC996" s="2335"/>
      <c r="HND996" s="2335"/>
      <c r="HNE996" s="2335"/>
      <c r="HNF996" s="2335"/>
      <c r="HNG996" s="2335"/>
      <c r="HNH996" s="2335"/>
      <c r="HNI996" s="2335"/>
      <c r="HNJ996" s="2335"/>
      <c r="HNK996" s="2335"/>
      <c r="HNL996" s="2335"/>
      <c r="HNM996" s="2335"/>
      <c r="HNN996" s="2335"/>
      <c r="HNO996" s="2335"/>
      <c r="HNP996" s="2335"/>
      <c r="HNQ996" s="2335"/>
      <c r="HNR996" s="2335"/>
      <c r="HNS996" s="2335"/>
      <c r="HNT996" s="2335"/>
      <c r="HNU996" s="2335"/>
      <c r="HNV996" s="2335"/>
      <c r="HNW996" s="2335"/>
      <c r="HNX996" s="2335"/>
      <c r="HNY996" s="2335"/>
      <c r="HNZ996" s="2335"/>
      <c r="HOA996" s="2335"/>
      <c r="HOB996" s="2335"/>
      <c r="HOC996" s="2335"/>
      <c r="HOD996" s="2335"/>
      <c r="HOE996" s="2335"/>
      <c r="HOF996" s="2335"/>
      <c r="HOG996" s="2335"/>
      <c r="HOH996" s="2335"/>
      <c r="HOI996" s="2335"/>
      <c r="HOJ996" s="2335"/>
      <c r="HOK996" s="2335"/>
      <c r="HOL996" s="2335"/>
      <c r="HOM996" s="2335"/>
      <c r="HON996" s="2335"/>
      <c r="HOO996" s="2335"/>
      <c r="HOP996" s="2335"/>
      <c r="HOQ996" s="2335"/>
      <c r="HOR996" s="2335"/>
      <c r="HOS996" s="2335"/>
      <c r="HOT996" s="2335"/>
      <c r="HOU996" s="2335"/>
      <c r="HOV996" s="2335"/>
      <c r="HOW996" s="2335"/>
      <c r="HOX996" s="2335"/>
      <c r="HOY996" s="2335"/>
      <c r="HOZ996" s="2335"/>
      <c r="HPA996" s="2335"/>
      <c r="HPB996" s="2335"/>
      <c r="HPC996" s="2335"/>
      <c r="HPD996" s="2335"/>
      <c r="HPE996" s="2335"/>
      <c r="HPF996" s="2335"/>
      <c r="HPG996" s="2335"/>
      <c r="HPH996" s="2335"/>
      <c r="HPI996" s="2335"/>
      <c r="HPJ996" s="2335"/>
      <c r="HPK996" s="2335"/>
      <c r="HPL996" s="2335"/>
      <c r="HPM996" s="2335"/>
      <c r="HPN996" s="2335"/>
      <c r="HPO996" s="2335"/>
      <c r="HPP996" s="2335"/>
      <c r="HPQ996" s="2335"/>
      <c r="HPR996" s="2335"/>
      <c r="HPS996" s="2335"/>
      <c r="HPT996" s="2335"/>
      <c r="HPU996" s="2335"/>
      <c r="HPV996" s="2335"/>
      <c r="HPW996" s="2335"/>
      <c r="HPX996" s="2335"/>
      <c r="HPY996" s="2335"/>
      <c r="HPZ996" s="2335"/>
      <c r="HQA996" s="2335"/>
      <c r="HQB996" s="2335"/>
      <c r="HQC996" s="2335"/>
      <c r="HQD996" s="2335"/>
      <c r="HQE996" s="2335"/>
      <c r="HQF996" s="2335"/>
      <c r="HQG996" s="2335"/>
      <c r="HQH996" s="2335"/>
      <c r="HQI996" s="2335"/>
      <c r="HQJ996" s="2335"/>
      <c r="HQK996" s="2335"/>
      <c r="HQL996" s="2335"/>
      <c r="HQM996" s="2335"/>
      <c r="HQN996" s="2335"/>
      <c r="HQO996" s="2335"/>
      <c r="HQP996" s="2335"/>
      <c r="HQQ996" s="2335"/>
      <c r="HQR996" s="2335"/>
      <c r="HQS996" s="2335"/>
      <c r="HQT996" s="2335"/>
      <c r="HQU996" s="2335"/>
      <c r="HQV996" s="2335"/>
      <c r="HQW996" s="2335"/>
      <c r="HQX996" s="2335"/>
      <c r="HQY996" s="2335"/>
      <c r="HQZ996" s="2335"/>
      <c r="HRA996" s="2335"/>
      <c r="HRB996" s="2335"/>
      <c r="HRC996" s="2335"/>
      <c r="HRD996" s="2335"/>
      <c r="HRE996" s="2335"/>
      <c r="HRF996" s="2335"/>
      <c r="HRG996" s="2335"/>
      <c r="HRH996" s="2335"/>
      <c r="HRI996" s="2335"/>
      <c r="HRJ996" s="2335"/>
      <c r="HRK996" s="2335"/>
      <c r="HRL996" s="2335"/>
      <c r="HRM996" s="2335"/>
      <c r="HRN996" s="2335"/>
      <c r="HRO996" s="2335"/>
      <c r="HRP996" s="2335"/>
      <c r="HRQ996" s="2335"/>
      <c r="HRR996" s="2335"/>
      <c r="HRS996" s="2335"/>
      <c r="HRT996" s="2335"/>
      <c r="HRU996" s="2335"/>
      <c r="HRV996" s="2335"/>
      <c r="HRW996" s="2335"/>
      <c r="HRX996" s="2335"/>
      <c r="HRY996" s="2335"/>
      <c r="HRZ996" s="2335"/>
      <c r="HSA996" s="2335"/>
      <c r="HSB996" s="2335"/>
      <c r="HSC996" s="2335"/>
      <c r="HSD996" s="2335"/>
      <c r="HSE996" s="2335"/>
      <c r="HSF996" s="2335"/>
      <c r="HSG996" s="2335"/>
      <c r="HSH996" s="2335"/>
      <c r="HSI996" s="2335"/>
      <c r="HSJ996" s="2335"/>
      <c r="HSK996" s="2335"/>
      <c r="HSL996" s="2335"/>
      <c r="HSM996" s="2335"/>
      <c r="HSN996" s="2335"/>
      <c r="HSO996" s="2335"/>
      <c r="HSP996" s="2335"/>
      <c r="HSQ996" s="2335"/>
      <c r="HSR996" s="2335"/>
      <c r="HSS996" s="2335"/>
      <c r="HST996" s="2335"/>
      <c r="HSU996" s="2335"/>
      <c r="HSV996" s="2335"/>
      <c r="HSW996" s="2335"/>
      <c r="HSX996" s="2335"/>
      <c r="HSY996" s="2335"/>
      <c r="HSZ996" s="2335"/>
      <c r="HTA996" s="2335"/>
      <c r="HTB996" s="2335"/>
      <c r="HTC996" s="2335"/>
      <c r="HTD996" s="2335"/>
      <c r="HTE996" s="2335"/>
      <c r="HTF996" s="2335"/>
      <c r="HTG996" s="2335"/>
      <c r="HTH996" s="2335"/>
      <c r="HTI996" s="2335"/>
      <c r="HTJ996" s="2335"/>
      <c r="HTK996" s="2335"/>
      <c r="HTL996" s="2335"/>
      <c r="HTM996" s="2335"/>
      <c r="HTN996" s="2335"/>
      <c r="HTO996" s="2335"/>
      <c r="HTP996" s="2335"/>
      <c r="HTQ996" s="2335"/>
      <c r="HTR996" s="2335"/>
      <c r="HTS996" s="2335"/>
      <c r="HTT996" s="2335"/>
      <c r="HTU996" s="2335"/>
      <c r="HTV996" s="2335"/>
      <c r="HTW996" s="2335"/>
      <c r="HTX996" s="2335"/>
      <c r="HTY996" s="2335"/>
      <c r="HTZ996" s="2335"/>
      <c r="HUA996" s="2335"/>
      <c r="HUB996" s="2335"/>
      <c r="HUC996" s="2335"/>
      <c r="HUD996" s="2335"/>
      <c r="HUE996" s="2335"/>
      <c r="HUF996" s="2335"/>
      <c r="HUG996" s="2335"/>
      <c r="HUH996" s="2335"/>
      <c r="HUI996" s="2335"/>
      <c r="HUJ996" s="2335"/>
      <c r="HUK996" s="2335"/>
      <c r="HUL996" s="2335"/>
      <c r="HUM996" s="2335"/>
      <c r="HUN996" s="2335"/>
      <c r="HUO996" s="2335"/>
      <c r="HUP996" s="2335"/>
      <c r="HUQ996" s="2335"/>
      <c r="HUR996" s="2335"/>
      <c r="HUS996" s="2335"/>
      <c r="HUT996" s="2335"/>
      <c r="HUU996" s="2335"/>
      <c r="HUV996" s="2335"/>
      <c r="HUW996" s="2335"/>
      <c r="HUX996" s="2335"/>
      <c r="HUY996" s="2335"/>
      <c r="HUZ996" s="2335"/>
      <c r="HVA996" s="2335"/>
      <c r="HVB996" s="2335"/>
      <c r="HVC996" s="2335"/>
      <c r="HVD996" s="2335"/>
      <c r="HVE996" s="2335"/>
      <c r="HVF996" s="2335"/>
      <c r="HVG996" s="2335"/>
      <c r="HVH996" s="2335"/>
      <c r="HVI996" s="2335"/>
      <c r="HVJ996" s="2335"/>
      <c r="HVK996" s="2335"/>
      <c r="HVL996" s="2335"/>
      <c r="HVM996" s="2335"/>
      <c r="HVN996" s="2335"/>
      <c r="HVO996" s="2335"/>
      <c r="HVP996" s="2335"/>
      <c r="HVQ996" s="2335"/>
      <c r="HVR996" s="2335"/>
      <c r="HVS996" s="2335"/>
      <c r="HVT996" s="2335"/>
      <c r="HVU996" s="2335"/>
      <c r="HVV996" s="2335"/>
      <c r="HVW996" s="2335"/>
      <c r="HVX996" s="2335"/>
      <c r="HVY996" s="2335"/>
      <c r="HVZ996" s="2335"/>
      <c r="HWA996" s="2335"/>
      <c r="HWB996" s="2335"/>
      <c r="HWC996" s="2335"/>
      <c r="HWD996" s="2335"/>
      <c r="HWE996" s="2335"/>
      <c r="HWF996" s="2335"/>
      <c r="HWG996" s="2335"/>
      <c r="HWH996" s="2335"/>
      <c r="HWI996" s="2335"/>
      <c r="HWJ996" s="2335"/>
      <c r="HWK996" s="2335"/>
      <c r="HWL996" s="2335"/>
      <c r="HWM996" s="2335"/>
      <c r="HWN996" s="2335"/>
      <c r="HWO996" s="2335"/>
      <c r="HWP996" s="2335"/>
      <c r="HWQ996" s="2335"/>
      <c r="HWR996" s="2335"/>
      <c r="HWS996" s="2335"/>
      <c r="HWT996" s="2335"/>
      <c r="HWU996" s="2335"/>
      <c r="HWV996" s="2335"/>
      <c r="HWW996" s="2335"/>
      <c r="HWX996" s="2335"/>
      <c r="HWY996" s="2335"/>
      <c r="HWZ996" s="2335"/>
      <c r="HXA996" s="2335"/>
      <c r="HXB996" s="2335"/>
      <c r="HXC996" s="2335"/>
      <c r="HXD996" s="2335"/>
      <c r="HXE996" s="2335"/>
      <c r="HXF996" s="2335"/>
      <c r="HXG996" s="2335"/>
      <c r="HXH996" s="2335"/>
      <c r="HXI996" s="2335"/>
      <c r="HXJ996" s="2335"/>
      <c r="HXK996" s="2335"/>
      <c r="HXL996" s="2335"/>
      <c r="HXM996" s="2335"/>
      <c r="HXN996" s="2335"/>
      <c r="HXO996" s="2335"/>
      <c r="HXP996" s="2335"/>
      <c r="HXQ996" s="2335"/>
      <c r="HXR996" s="2335"/>
      <c r="HXS996" s="2335"/>
      <c r="HXT996" s="2335"/>
      <c r="HXU996" s="2335"/>
      <c r="HXV996" s="2335"/>
      <c r="HXW996" s="2335"/>
      <c r="HXX996" s="2335"/>
      <c r="HXY996" s="2335"/>
      <c r="HXZ996" s="2335"/>
      <c r="HYA996" s="2335"/>
      <c r="HYB996" s="2335"/>
      <c r="HYC996" s="2335"/>
      <c r="HYD996" s="2335"/>
      <c r="HYE996" s="2335"/>
      <c r="HYF996" s="2335"/>
      <c r="HYG996" s="2335"/>
      <c r="HYH996" s="2335"/>
      <c r="HYI996" s="2335"/>
      <c r="HYJ996" s="2335"/>
      <c r="HYK996" s="2335"/>
      <c r="HYL996" s="2335"/>
      <c r="HYM996" s="2335"/>
      <c r="HYN996" s="2335"/>
      <c r="HYO996" s="2335"/>
      <c r="HYP996" s="2335"/>
      <c r="HYQ996" s="2335"/>
      <c r="HYR996" s="2335"/>
      <c r="HYS996" s="2335"/>
      <c r="HYT996" s="2335"/>
      <c r="HYU996" s="2335"/>
      <c r="HYV996" s="2335"/>
      <c r="HYW996" s="2335"/>
      <c r="HYX996" s="2335"/>
      <c r="HYY996" s="2335"/>
      <c r="HYZ996" s="2335"/>
      <c r="HZA996" s="2335"/>
      <c r="HZB996" s="2335"/>
      <c r="HZC996" s="2335"/>
      <c r="HZD996" s="2335"/>
      <c r="HZE996" s="2335"/>
      <c r="HZF996" s="2335"/>
      <c r="HZG996" s="2335"/>
      <c r="HZH996" s="2335"/>
      <c r="HZI996" s="2335"/>
      <c r="HZJ996" s="2335"/>
      <c r="HZK996" s="2335"/>
      <c r="HZL996" s="2335"/>
      <c r="HZM996" s="2335"/>
      <c r="HZN996" s="2335"/>
      <c r="HZO996" s="2335"/>
      <c r="HZP996" s="2335"/>
      <c r="HZQ996" s="2335"/>
      <c r="HZR996" s="2335"/>
      <c r="HZS996" s="2335"/>
      <c r="HZT996" s="2335"/>
      <c r="HZU996" s="2335"/>
      <c r="HZV996" s="2335"/>
      <c r="HZW996" s="2335"/>
      <c r="HZX996" s="2335"/>
      <c r="HZY996" s="2335"/>
      <c r="HZZ996" s="2335"/>
      <c r="IAA996" s="2335"/>
      <c r="IAB996" s="2335"/>
      <c r="IAC996" s="2335"/>
      <c r="IAD996" s="2335"/>
      <c r="IAE996" s="2335"/>
      <c r="IAF996" s="2335"/>
      <c r="IAG996" s="2335"/>
      <c r="IAH996" s="2335"/>
      <c r="IAI996" s="2335"/>
      <c r="IAJ996" s="2335"/>
      <c r="IAK996" s="2335"/>
      <c r="IAL996" s="2335"/>
      <c r="IAM996" s="2335"/>
      <c r="IAN996" s="2335"/>
      <c r="IAO996" s="2335"/>
      <c r="IAP996" s="2335"/>
      <c r="IAQ996" s="2335"/>
      <c r="IAR996" s="2335"/>
      <c r="IAS996" s="2335"/>
      <c r="IAT996" s="2335"/>
      <c r="IAU996" s="2335"/>
      <c r="IAV996" s="2335"/>
      <c r="IAW996" s="2335"/>
      <c r="IAX996" s="2335"/>
      <c r="IAY996" s="2335"/>
      <c r="IAZ996" s="2335"/>
      <c r="IBA996" s="2335"/>
      <c r="IBB996" s="2335"/>
      <c r="IBC996" s="2335"/>
      <c r="IBD996" s="2335"/>
      <c r="IBE996" s="2335"/>
      <c r="IBF996" s="2335"/>
      <c r="IBG996" s="2335"/>
      <c r="IBH996" s="2335"/>
      <c r="IBI996" s="2335"/>
      <c r="IBJ996" s="2335"/>
      <c r="IBK996" s="2335"/>
      <c r="IBL996" s="2335"/>
      <c r="IBM996" s="2335"/>
      <c r="IBN996" s="2335"/>
      <c r="IBO996" s="2335"/>
      <c r="IBP996" s="2335"/>
      <c r="IBQ996" s="2335"/>
      <c r="IBR996" s="2335"/>
      <c r="IBS996" s="2335"/>
      <c r="IBT996" s="2335"/>
      <c r="IBU996" s="2335"/>
      <c r="IBV996" s="2335"/>
      <c r="IBW996" s="2335"/>
      <c r="IBX996" s="2335"/>
      <c r="IBY996" s="2335"/>
      <c r="IBZ996" s="2335"/>
      <c r="ICA996" s="2335"/>
      <c r="ICB996" s="2335"/>
      <c r="ICC996" s="2335"/>
      <c r="ICD996" s="2335"/>
      <c r="ICE996" s="2335"/>
      <c r="ICF996" s="2335"/>
      <c r="ICG996" s="2335"/>
      <c r="ICH996" s="2335"/>
      <c r="ICI996" s="2335"/>
      <c r="ICJ996" s="2335"/>
      <c r="ICK996" s="2335"/>
      <c r="ICL996" s="2335"/>
      <c r="ICM996" s="2335"/>
      <c r="ICN996" s="2335"/>
      <c r="ICO996" s="2335"/>
      <c r="ICP996" s="2335"/>
      <c r="ICQ996" s="2335"/>
      <c r="ICR996" s="2335"/>
      <c r="ICS996" s="2335"/>
      <c r="ICT996" s="2335"/>
      <c r="ICU996" s="2335"/>
      <c r="ICV996" s="2335"/>
      <c r="ICW996" s="2335"/>
      <c r="ICX996" s="2335"/>
      <c r="ICY996" s="2335"/>
      <c r="ICZ996" s="2335"/>
      <c r="IDA996" s="2335"/>
      <c r="IDB996" s="2335"/>
      <c r="IDC996" s="2335"/>
      <c r="IDD996" s="2335"/>
      <c r="IDE996" s="2335"/>
      <c r="IDF996" s="2335"/>
      <c r="IDG996" s="2335"/>
      <c r="IDH996" s="2335"/>
      <c r="IDI996" s="2335"/>
      <c r="IDJ996" s="2335"/>
      <c r="IDK996" s="2335"/>
      <c r="IDL996" s="2335"/>
      <c r="IDM996" s="2335"/>
      <c r="IDN996" s="2335"/>
      <c r="IDO996" s="2335"/>
      <c r="IDP996" s="2335"/>
      <c r="IDQ996" s="2335"/>
      <c r="IDR996" s="2335"/>
      <c r="IDS996" s="2335"/>
      <c r="IDT996" s="2335"/>
      <c r="IDU996" s="2335"/>
      <c r="IDV996" s="2335"/>
      <c r="IDW996" s="2335"/>
      <c r="IDX996" s="2335"/>
      <c r="IDY996" s="2335"/>
      <c r="IDZ996" s="2335"/>
      <c r="IEA996" s="2335"/>
      <c r="IEB996" s="2335"/>
      <c r="IEC996" s="2335"/>
      <c r="IED996" s="2335"/>
      <c r="IEE996" s="2335"/>
      <c r="IEF996" s="2335"/>
      <c r="IEG996" s="2335"/>
      <c r="IEH996" s="2335"/>
      <c r="IEI996" s="2335"/>
      <c r="IEJ996" s="2335"/>
      <c r="IEK996" s="2335"/>
      <c r="IEL996" s="2335"/>
      <c r="IEM996" s="2335"/>
      <c r="IEN996" s="2335"/>
      <c r="IEO996" s="2335"/>
      <c r="IEP996" s="2335"/>
      <c r="IEQ996" s="2335"/>
      <c r="IER996" s="2335"/>
      <c r="IES996" s="2335"/>
      <c r="IET996" s="2335"/>
      <c r="IEU996" s="2335"/>
      <c r="IEV996" s="2335"/>
      <c r="IEW996" s="2335"/>
      <c r="IEX996" s="2335"/>
      <c r="IEY996" s="2335"/>
      <c r="IEZ996" s="2335"/>
      <c r="IFA996" s="2335"/>
      <c r="IFB996" s="2335"/>
      <c r="IFC996" s="2335"/>
      <c r="IFD996" s="2335"/>
      <c r="IFE996" s="2335"/>
      <c r="IFF996" s="2335"/>
      <c r="IFG996" s="2335"/>
      <c r="IFH996" s="2335"/>
      <c r="IFI996" s="2335"/>
      <c r="IFJ996" s="2335"/>
      <c r="IFK996" s="2335"/>
      <c r="IFL996" s="2335"/>
      <c r="IFM996" s="2335"/>
      <c r="IFN996" s="2335"/>
      <c r="IFO996" s="2335"/>
      <c r="IFP996" s="2335"/>
      <c r="IFQ996" s="2335"/>
      <c r="IFR996" s="2335"/>
      <c r="IFS996" s="2335"/>
      <c r="IFT996" s="2335"/>
      <c r="IFU996" s="2335"/>
      <c r="IFV996" s="2335"/>
      <c r="IFW996" s="2335"/>
      <c r="IFX996" s="2335"/>
      <c r="IFY996" s="2335"/>
      <c r="IFZ996" s="2335"/>
      <c r="IGA996" s="2335"/>
      <c r="IGB996" s="2335"/>
      <c r="IGC996" s="2335"/>
      <c r="IGD996" s="2335"/>
      <c r="IGE996" s="2335"/>
      <c r="IGF996" s="2335"/>
      <c r="IGG996" s="2335"/>
      <c r="IGH996" s="2335"/>
      <c r="IGI996" s="2335"/>
      <c r="IGJ996" s="2335"/>
      <c r="IGK996" s="2335"/>
      <c r="IGL996" s="2335"/>
      <c r="IGM996" s="2335"/>
      <c r="IGN996" s="2335"/>
      <c r="IGO996" s="2335"/>
      <c r="IGP996" s="2335"/>
      <c r="IGQ996" s="2335"/>
      <c r="IGR996" s="2335"/>
      <c r="IGS996" s="2335"/>
      <c r="IGT996" s="2335"/>
      <c r="IGU996" s="2335"/>
      <c r="IGV996" s="2335"/>
      <c r="IGW996" s="2335"/>
      <c r="IGX996" s="2335"/>
      <c r="IGY996" s="2335"/>
      <c r="IGZ996" s="2335"/>
      <c r="IHA996" s="2335"/>
      <c r="IHB996" s="2335"/>
      <c r="IHC996" s="2335"/>
      <c r="IHD996" s="2335"/>
      <c r="IHE996" s="2335"/>
      <c r="IHF996" s="2335"/>
      <c r="IHG996" s="2335"/>
      <c r="IHH996" s="2335"/>
      <c r="IHI996" s="2335"/>
      <c r="IHJ996" s="2335"/>
      <c r="IHK996" s="2335"/>
      <c r="IHL996" s="2335"/>
      <c r="IHM996" s="2335"/>
      <c r="IHN996" s="2335"/>
      <c r="IHO996" s="2335"/>
      <c r="IHP996" s="2335"/>
      <c r="IHQ996" s="2335"/>
      <c r="IHR996" s="2335"/>
      <c r="IHS996" s="2335"/>
      <c r="IHT996" s="2335"/>
      <c r="IHU996" s="2335"/>
      <c r="IHV996" s="2335"/>
      <c r="IHW996" s="2335"/>
      <c r="IHX996" s="2335"/>
      <c r="IHY996" s="2335"/>
      <c r="IHZ996" s="2335"/>
      <c r="IIA996" s="2335"/>
      <c r="IIB996" s="2335"/>
      <c r="IIC996" s="2335"/>
      <c r="IID996" s="2335"/>
      <c r="IIE996" s="2335"/>
      <c r="IIF996" s="2335"/>
      <c r="IIG996" s="2335"/>
      <c r="IIH996" s="2335"/>
      <c r="III996" s="2335"/>
      <c r="IIJ996" s="2335"/>
      <c r="IIK996" s="2335"/>
      <c r="IIL996" s="2335"/>
      <c r="IIM996" s="2335"/>
      <c r="IIN996" s="2335"/>
      <c r="IIO996" s="2335"/>
      <c r="IIP996" s="2335"/>
      <c r="IIQ996" s="2335"/>
      <c r="IIR996" s="2335"/>
      <c r="IIS996" s="2335"/>
      <c r="IIT996" s="2335"/>
      <c r="IIU996" s="2335"/>
      <c r="IIV996" s="2335"/>
      <c r="IIW996" s="2335"/>
      <c r="IIX996" s="2335"/>
      <c r="IIY996" s="2335"/>
      <c r="IIZ996" s="2335"/>
      <c r="IJA996" s="2335"/>
      <c r="IJB996" s="2335"/>
      <c r="IJC996" s="2335"/>
      <c r="IJD996" s="2335"/>
      <c r="IJE996" s="2335"/>
      <c r="IJF996" s="2335"/>
      <c r="IJG996" s="2335"/>
      <c r="IJH996" s="2335"/>
      <c r="IJI996" s="2335"/>
      <c r="IJJ996" s="2335"/>
      <c r="IJK996" s="2335"/>
      <c r="IJL996" s="2335"/>
      <c r="IJM996" s="2335"/>
      <c r="IJN996" s="2335"/>
      <c r="IJO996" s="2335"/>
      <c r="IJP996" s="2335"/>
      <c r="IJQ996" s="2335"/>
      <c r="IJR996" s="2335"/>
      <c r="IJS996" s="2335"/>
      <c r="IJT996" s="2335"/>
      <c r="IJU996" s="2335"/>
      <c r="IJV996" s="2335"/>
      <c r="IJW996" s="2335"/>
      <c r="IJX996" s="2335"/>
      <c r="IJY996" s="2335"/>
      <c r="IJZ996" s="2335"/>
      <c r="IKA996" s="2335"/>
      <c r="IKB996" s="2335"/>
      <c r="IKC996" s="2335"/>
      <c r="IKD996" s="2335"/>
      <c r="IKE996" s="2335"/>
      <c r="IKF996" s="2335"/>
      <c r="IKG996" s="2335"/>
      <c r="IKH996" s="2335"/>
      <c r="IKI996" s="2335"/>
      <c r="IKJ996" s="2335"/>
      <c r="IKK996" s="2335"/>
      <c r="IKL996" s="2335"/>
      <c r="IKM996" s="2335"/>
      <c r="IKN996" s="2335"/>
      <c r="IKO996" s="2335"/>
      <c r="IKP996" s="2335"/>
      <c r="IKQ996" s="2335"/>
      <c r="IKR996" s="2335"/>
      <c r="IKS996" s="2335"/>
      <c r="IKT996" s="2335"/>
      <c r="IKU996" s="2335"/>
      <c r="IKV996" s="2335"/>
      <c r="IKW996" s="2335"/>
      <c r="IKX996" s="2335"/>
      <c r="IKY996" s="2335"/>
      <c r="IKZ996" s="2335"/>
      <c r="ILA996" s="2335"/>
      <c r="ILB996" s="2335"/>
      <c r="ILC996" s="2335"/>
      <c r="ILD996" s="2335"/>
      <c r="ILE996" s="2335"/>
      <c r="ILF996" s="2335"/>
      <c r="ILG996" s="2335"/>
      <c r="ILH996" s="2335"/>
      <c r="ILI996" s="2335"/>
      <c r="ILJ996" s="2335"/>
      <c r="ILK996" s="2335"/>
      <c r="ILL996" s="2335"/>
      <c r="ILM996" s="2335"/>
      <c r="ILN996" s="2335"/>
      <c r="ILO996" s="2335"/>
      <c r="ILP996" s="2335"/>
      <c r="ILQ996" s="2335"/>
      <c r="ILR996" s="2335"/>
      <c r="ILS996" s="2335"/>
      <c r="ILT996" s="2335"/>
      <c r="ILU996" s="2335"/>
      <c r="ILV996" s="2335"/>
      <c r="ILW996" s="2335"/>
      <c r="ILX996" s="2335"/>
      <c r="ILY996" s="2335"/>
      <c r="ILZ996" s="2335"/>
      <c r="IMA996" s="2335"/>
      <c r="IMB996" s="2335"/>
      <c r="IMC996" s="2335"/>
      <c r="IMD996" s="2335"/>
      <c r="IME996" s="2335"/>
      <c r="IMF996" s="2335"/>
      <c r="IMG996" s="2335"/>
      <c r="IMH996" s="2335"/>
      <c r="IMI996" s="2335"/>
      <c r="IMJ996" s="2335"/>
      <c r="IMK996" s="2335"/>
      <c r="IML996" s="2335"/>
      <c r="IMM996" s="2335"/>
      <c r="IMN996" s="2335"/>
      <c r="IMO996" s="2335"/>
      <c r="IMP996" s="2335"/>
      <c r="IMQ996" s="2335"/>
      <c r="IMR996" s="2335"/>
      <c r="IMS996" s="2335"/>
      <c r="IMT996" s="2335"/>
      <c r="IMU996" s="2335"/>
      <c r="IMV996" s="2335"/>
      <c r="IMW996" s="2335"/>
      <c r="IMX996" s="2335"/>
      <c r="IMY996" s="2335"/>
      <c r="IMZ996" s="2335"/>
      <c r="INA996" s="2335"/>
      <c r="INB996" s="2335"/>
      <c r="INC996" s="2335"/>
      <c r="IND996" s="2335"/>
      <c r="INE996" s="2335"/>
      <c r="INF996" s="2335"/>
      <c r="ING996" s="2335"/>
      <c r="INH996" s="2335"/>
      <c r="INI996" s="2335"/>
      <c r="INJ996" s="2335"/>
      <c r="INK996" s="2335"/>
      <c r="INL996" s="2335"/>
      <c r="INM996" s="2335"/>
      <c r="INN996" s="2335"/>
      <c r="INO996" s="2335"/>
      <c r="INP996" s="2335"/>
      <c r="INQ996" s="2335"/>
      <c r="INR996" s="2335"/>
      <c r="INS996" s="2335"/>
      <c r="INT996" s="2335"/>
      <c r="INU996" s="2335"/>
      <c r="INV996" s="2335"/>
      <c r="INW996" s="2335"/>
      <c r="INX996" s="2335"/>
      <c r="INY996" s="2335"/>
      <c r="INZ996" s="2335"/>
      <c r="IOA996" s="2335"/>
      <c r="IOB996" s="2335"/>
      <c r="IOC996" s="2335"/>
      <c r="IOD996" s="2335"/>
      <c r="IOE996" s="2335"/>
      <c r="IOF996" s="2335"/>
      <c r="IOG996" s="2335"/>
      <c r="IOH996" s="2335"/>
      <c r="IOI996" s="2335"/>
      <c r="IOJ996" s="2335"/>
      <c r="IOK996" s="2335"/>
      <c r="IOL996" s="2335"/>
      <c r="IOM996" s="2335"/>
      <c r="ION996" s="2335"/>
      <c r="IOO996" s="2335"/>
      <c r="IOP996" s="2335"/>
      <c r="IOQ996" s="2335"/>
      <c r="IOR996" s="2335"/>
      <c r="IOS996" s="2335"/>
      <c r="IOT996" s="2335"/>
      <c r="IOU996" s="2335"/>
      <c r="IOV996" s="2335"/>
      <c r="IOW996" s="2335"/>
      <c r="IOX996" s="2335"/>
      <c r="IOY996" s="2335"/>
      <c r="IOZ996" s="2335"/>
      <c r="IPA996" s="2335"/>
      <c r="IPB996" s="2335"/>
      <c r="IPC996" s="2335"/>
      <c r="IPD996" s="2335"/>
      <c r="IPE996" s="2335"/>
      <c r="IPF996" s="2335"/>
      <c r="IPG996" s="2335"/>
      <c r="IPH996" s="2335"/>
      <c r="IPI996" s="2335"/>
      <c r="IPJ996" s="2335"/>
      <c r="IPK996" s="2335"/>
      <c r="IPL996" s="2335"/>
      <c r="IPM996" s="2335"/>
      <c r="IPN996" s="2335"/>
      <c r="IPO996" s="2335"/>
      <c r="IPP996" s="2335"/>
      <c r="IPQ996" s="2335"/>
      <c r="IPR996" s="2335"/>
      <c r="IPS996" s="2335"/>
      <c r="IPT996" s="2335"/>
      <c r="IPU996" s="2335"/>
      <c r="IPV996" s="2335"/>
      <c r="IPW996" s="2335"/>
      <c r="IPX996" s="2335"/>
      <c r="IPY996" s="2335"/>
      <c r="IPZ996" s="2335"/>
      <c r="IQA996" s="2335"/>
      <c r="IQB996" s="2335"/>
      <c r="IQC996" s="2335"/>
      <c r="IQD996" s="2335"/>
      <c r="IQE996" s="2335"/>
      <c r="IQF996" s="2335"/>
      <c r="IQG996" s="2335"/>
      <c r="IQH996" s="2335"/>
      <c r="IQI996" s="2335"/>
      <c r="IQJ996" s="2335"/>
      <c r="IQK996" s="2335"/>
      <c r="IQL996" s="2335"/>
      <c r="IQM996" s="2335"/>
      <c r="IQN996" s="2335"/>
      <c r="IQO996" s="2335"/>
      <c r="IQP996" s="2335"/>
      <c r="IQQ996" s="2335"/>
      <c r="IQR996" s="2335"/>
      <c r="IQS996" s="2335"/>
      <c r="IQT996" s="2335"/>
      <c r="IQU996" s="2335"/>
      <c r="IQV996" s="2335"/>
      <c r="IQW996" s="2335"/>
      <c r="IQX996" s="2335"/>
      <c r="IQY996" s="2335"/>
      <c r="IQZ996" s="2335"/>
      <c r="IRA996" s="2335"/>
      <c r="IRB996" s="2335"/>
      <c r="IRC996" s="2335"/>
      <c r="IRD996" s="2335"/>
      <c r="IRE996" s="2335"/>
      <c r="IRF996" s="2335"/>
      <c r="IRG996" s="2335"/>
      <c r="IRH996" s="2335"/>
      <c r="IRI996" s="2335"/>
      <c r="IRJ996" s="2335"/>
      <c r="IRK996" s="2335"/>
      <c r="IRL996" s="2335"/>
      <c r="IRM996" s="2335"/>
      <c r="IRN996" s="2335"/>
      <c r="IRO996" s="2335"/>
      <c r="IRP996" s="2335"/>
      <c r="IRQ996" s="2335"/>
      <c r="IRR996" s="2335"/>
      <c r="IRS996" s="2335"/>
      <c r="IRT996" s="2335"/>
      <c r="IRU996" s="2335"/>
      <c r="IRV996" s="2335"/>
      <c r="IRW996" s="2335"/>
      <c r="IRX996" s="2335"/>
      <c r="IRY996" s="2335"/>
      <c r="IRZ996" s="2335"/>
      <c r="ISA996" s="2335"/>
      <c r="ISB996" s="2335"/>
      <c r="ISC996" s="2335"/>
      <c r="ISD996" s="2335"/>
      <c r="ISE996" s="2335"/>
      <c r="ISF996" s="2335"/>
      <c r="ISG996" s="2335"/>
      <c r="ISH996" s="2335"/>
      <c r="ISI996" s="2335"/>
      <c r="ISJ996" s="2335"/>
      <c r="ISK996" s="2335"/>
      <c r="ISL996" s="2335"/>
      <c r="ISM996" s="2335"/>
      <c r="ISN996" s="2335"/>
      <c r="ISO996" s="2335"/>
      <c r="ISP996" s="2335"/>
      <c r="ISQ996" s="2335"/>
      <c r="ISR996" s="2335"/>
      <c r="ISS996" s="2335"/>
      <c r="IST996" s="2335"/>
      <c r="ISU996" s="2335"/>
      <c r="ISV996" s="2335"/>
      <c r="ISW996" s="2335"/>
      <c r="ISX996" s="2335"/>
      <c r="ISY996" s="2335"/>
      <c r="ISZ996" s="2335"/>
      <c r="ITA996" s="2335"/>
      <c r="ITB996" s="2335"/>
      <c r="ITC996" s="2335"/>
      <c r="ITD996" s="2335"/>
      <c r="ITE996" s="2335"/>
      <c r="ITF996" s="2335"/>
      <c r="ITG996" s="2335"/>
      <c r="ITH996" s="2335"/>
      <c r="ITI996" s="2335"/>
      <c r="ITJ996" s="2335"/>
      <c r="ITK996" s="2335"/>
      <c r="ITL996" s="2335"/>
      <c r="ITM996" s="2335"/>
      <c r="ITN996" s="2335"/>
      <c r="ITO996" s="2335"/>
      <c r="ITP996" s="2335"/>
      <c r="ITQ996" s="2335"/>
      <c r="ITR996" s="2335"/>
      <c r="ITS996" s="2335"/>
      <c r="ITT996" s="2335"/>
      <c r="ITU996" s="2335"/>
      <c r="ITV996" s="2335"/>
      <c r="ITW996" s="2335"/>
      <c r="ITX996" s="2335"/>
      <c r="ITY996" s="2335"/>
      <c r="ITZ996" s="2335"/>
      <c r="IUA996" s="2335"/>
      <c r="IUB996" s="2335"/>
      <c r="IUC996" s="2335"/>
      <c r="IUD996" s="2335"/>
      <c r="IUE996" s="2335"/>
      <c r="IUF996" s="2335"/>
      <c r="IUG996" s="2335"/>
      <c r="IUH996" s="2335"/>
      <c r="IUI996" s="2335"/>
      <c r="IUJ996" s="2335"/>
      <c r="IUK996" s="2335"/>
      <c r="IUL996" s="2335"/>
      <c r="IUM996" s="2335"/>
      <c r="IUN996" s="2335"/>
      <c r="IUO996" s="2335"/>
      <c r="IUP996" s="2335"/>
      <c r="IUQ996" s="2335"/>
      <c r="IUR996" s="2335"/>
      <c r="IUS996" s="2335"/>
      <c r="IUT996" s="2335"/>
      <c r="IUU996" s="2335"/>
      <c r="IUV996" s="2335"/>
      <c r="IUW996" s="2335"/>
      <c r="IUX996" s="2335"/>
      <c r="IUY996" s="2335"/>
      <c r="IUZ996" s="2335"/>
      <c r="IVA996" s="2335"/>
      <c r="IVB996" s="2335"/>
      <c r="IVC996" s="2335"/>
      <c r="IVD996" s="2335"/>
      <c r="IVE996" s="2335"/>
      <c r="IVF996" s="2335"/>
      <c r="IVG996" s="2335"/>
      <c r="IVH996" s="2335"/>
      <c r="IVI996" s="2335"/>
      <c r="IVJ996" s="2335"/>
      <c r="IVK996" s="2335"/>
      <c r="IVL996" s="2335"/>
      <c r="IVM996" s="2335"/>
      <c r="IVN996" s="2335"/>
      <c r="IVO996" s="2335"/>
      <c r="IVP996" s="2335"/>
      <c r="IVQ996" s="2335"/>
      <c r="IVR996" s="2335"/>
      <c r="IVS996" s="2335"/>
      <c r="IVT996" s="2335"/>
      <c r="IVU996" s="2335"/>
      <c r="IVV996" s="2335"/>
      <c r="IVW996" s="2335"/>
      <c r="IVX996" s="2335"/>
      <c r="IVY996" s="2335"/>
      <c r="IVZ996" s="2335"/>
      <c r="IWA996" s="2335"/>
      <c r="IWB996" s="2335"/>
      <c r="IWC996" s="2335"/>
      <c r="IWD996" s="2335"/>
      <c r="IWE996" s="2335"/>
      <c r="IWF996" s="2335"/>
      <c r="IWG996" s="2335"/>
      <c r="IWH996" s="2335"/>
      <c r="IWI996" s="2335"/>
      <c r="IWJ996" s="2335"/>
      <c r="IWK996" s="2335"/>
      <c r="IWL996" s="2335"/>
      <c r="IWM996" s="2335"/>
      <c r="IWN996" s="2335"/>
      <c r="IWO996" s="2335"/>
      <c r="IWP996" s="2335"/>
      <c r="IWQ996" s="2335"/>
      <c r="IWR996" s="2335"/>
      <c r="IWS996" s="2335"/>
      <c r="IWT996" s="2335"/>
      <c r="IWU996" s="2335"/>
      <c r="IWV996" s="2335"/>
      <c r="IWW996" s="2335"/>
      <c r="IWX996" s="2335"/>
      <c r="IWY996" s="2335"/>
      <c r="IWZ996" s="2335"/>
      <c r="IXA996" s="2335"/>
      <c r="IXB996" s="2335"/>
      <c r="IXC996" s="2335"/>
      <c r="IXD996" s="2335"/>
      <c r="IXE996" s="2335"/>
      <c r="IXF996" s="2335"/>
      <c r="IXG996" s="2335"/>
      <c r="IXH996" s="2335"/>
      <c r="IXI996" s="2335"/>
      <c r="IXJ996" s="2335"/>
      <c r="IXK996" s="2335"/>
      <c r="IXL996" s="2335"/>
      <c r="IXM996" s="2335"/>
      <c r="IXN996" s="2335"/>
      <c r="IXO996" s="2335"/>
      <c r="IXP996" s="2335"/>
      <c r="IXQ996" s="2335"/>
      <c r="IXR996" s="2335"/>
      <c r="IXS996" s="2335"/>
      <c r="IXT996" s="2335"/>
      <c r="IXU996" s="2335"/>
      <c r="IXV996" s="2335"/>
      <c r="IXW996" s="2335"/>
      <c r="IXX996" s="2335"/>
      <c r="IXY996" s="2335"/>
      <c r="IXZ996" s="2335"/>
      <c r="IYA996" s="2335"/>
      <c r="IYB996" s="2335"/>
      <c r="IYC996" s="2335"/>
      <c r="IYD996" s="2335"/>
      <c r="IYE996" s="2335"/>
      <c r="IYF996" s="2335"/>
      <c r="IYG996" s="2335"/>
      <c r="IYH996" s="2335"/>
      <c r="IYI996" s="2335"/>
      <c r="IYJ996" s="2335"/>
      <c r="IYK996" s="2335"/>
      <c r="IYL996" s="2335"/>
      <c r="IYM996" s="2335"/>
      <c r="IYN996" s="2335"/>
      <c r="IYO996" s="2335"/>
      <c r="IYP996" s="2335"/>
      <c r="IYQ996" s="2335"/>
      <c r="IYR996" s="2335"/>
      <c r="IYS996" s="2335"/>
      <c r="IYT996" s="2335"/>
      <c r="IYU996" s="2335"/>
      <c r="IYV996" s="2335"/>
      <c r="IYW996" s="2335"/>
      <c r="IYX996" s="2335"/>
      <c r="IYY996" s="2335"/>
      <c r="IYZ996" s="2335"/>
      <c r="IZA996" s="2335"/>
      <c r="IZB996" s="2335"/>
      <c r="IZC996" s="2335"/>
      <c r="IZD996" s="2335"/>
      <c r="IZE996" s="2335"/>
      <c r="IZF996" s="2335"/>
      <c r="IZG996" s="2335"/>
      <c r="IZH996" s="2335"/>
      <c r="IZI996" s="2335"/>
      <c r="IZJ996" s="2335"/>
      <c r="IZK996" s="2335"/>
      <c r="IZL996" s="2335"/>
      <c r="IZM996" s="2335"/>
      <c r="IZN996" s="2335"/>
      <c r="IZO996" s="2335"/>
      <c r="IZP996" s="2335"/>
      <c r="IZQ996" s="2335"/>
      <c r="IZR996" s="2335"/>
      <c r="IZS996" s="2335"/>
      <c r="IZT996" s="2335"/>
      <c r="IZU996" s="2335"/>
      <c r="IZV996" s="2335"/>
      <c r="IZW996" s="2335"/>
      <c r="IZX996" s="2335"/>
      <c r="IZY996" s="2335"/>
      <c r="IZZ996" s="2335"/>
      <c r="JAA996" s="2335"/>
      <c r="JAB996" s="2335"/>
      <c r="JAC996" s="2335"/>
      <c r="JAD996" s="2335"/>
      <c r="JAE996" s="2335"/>
      <c r="JAF996" s="2335"/>
      <c r="JAG996" s="2335"/>
      <c r="JAH996" s="2335"/>
      <c r="JAI996" s="2335"/>
      <c r="JAJ996" s="2335"/>
      <c r="JAK996" s="2335"/>
      <c r="JAL996" s="2335"/>
      <c r="JAM996" s="2335"/>
      <c r="JAN996" s="2335"/>
      <c r="JAO996" s="2335"/>
      <c r="JAP996" s="2335"/>
      <c r="JAQ996" s="2335"/>
      <c r="JAR996" s="2335"/>
      <c r="JAS996" s="2335"/>
      <c r="JAT996" s="2335"/>
      <c r="JAU996" s="2335"/>
      <c r="JAV996" s="2335"/>
      <c r="JAW996" s="2335"/>
      <c r="JAX996" s="2335"/>
      <c r="JAY996" s="2335"/>
      <c r="JAZ996" s="2335"/>
      <c r="JBA996" s="2335"/>
      <c r="JBB996" s="2335"/>
      <c r="JBC996" s="2335"/>
      <c r="JBD996" s="2335"/>
      <c r="JBE996" s="2335"/>
      <c r="JBF996" s="2335"/>
      <c r="JBG996" s="2335"/>
      <c r="JBH996" s="2335"/>
      <c r="JBI996" s="2335"/>
      <c r="JBJ996" s="2335"/>
      <c r="JBK996" s="2335"/>
      <c r="JBL996" s="2335"/>
      <c r="JBM996" s="2335"/>
      <c r="JBN996" s="2335"/>
      <c r="JBO996" s="2335"/>
      <c r="JBP996" s="2335"/>
      <c r="JBQ996" s="2335"/>
      <c r="JBR996" s="2335"/>
      <c r="JBS996" s="2335"/>
      <c r="JBT996" s="2335"/>
      <c r="JBU996" s="2335"/>
      <c r="JBV996" s="2335"/>
      <c r="JBW996" s="2335"/>
      <c r="JBX996" s="2335"/>
      <c r="JBY996" s="2335"/>
      <c r="JBZ996" s="2335"/>
      <c r="JCA996" s="2335"/>
      <c r="JCB996" s="2335"/>
      <c r="JCC996" s="2335"/>
      <c r="JCD996" s="2335"/>
      <c r="JCE996" s="2335"/>
      <c r="JCF996" s="2335"/>
      <c r="JCG996" s="2335"/>
      <c r="JCH996" s="2335"/>
      <c r="JCI996" s="2335"/>
      <c r="JCJ996" s="2335"/>
      <c r="JCK996" s="2335"/>
      <c r="JCL996" s="2335"/>
      <c r="JCM996" s="2335"/>
      <c r="JCN996" s="2335"/>
      <c r="JCO996" s="2335"/>
      <c r="JCP996" s="2335"/>
      <c r="JCQ996" s="2335"/>
      <c r="JCR996" s="2335"/>
      <c r="JCS996" s="2335"/>
      <c r="JCT996" s="2335"/>
      <c r="JCU996" s="2335"/>
      <c r="JCV996" s="2335"/>
      <c r="JCW996" s="2335"/>
      <c r="JCX996" s="2335"/>
      <c r="JCY996" s="2335"/>
      <c r="JCZ996" s="2335"/>
      <c r="JDA996" s="2335"/>
      <c r="JDB996" s="2335"/>
      <c r="JDC996" s="2335"/>
      <c r="JDD996" s="2335"/>
      <c r="JDE996" s="2335"/>
      <c r="JDF996" s="2335"/>
      <c r="JDG996" s="2335"/>
      <c r="JDH996" s="2335"/>
      <c r="JDI996" s="2335"/>
      <c r="JDJ996" s="2335"/>
      <c r="JDK996" s="2335"/>
      <c r="JDL996" s="2335"/>
      <c r="JDM996" s="2335"/>
      <c r="JDN996" s="2335"/>
      <c r="JDO996" s="2335"/>
      <c r="JDP996" s="2335"/>
      <c r="JDQ996" s="2335"/>
      <c r="JDR996" s="2335"/>
      <c r="JDS996" s="2335"/>
      <c r="JDT996" s="2335"/>
      <c r="JDU996" s="2335"/>
      <c r="JDV996" s="2335"/>
      <c r="JDW996" s="2335"/>
      <c r="JDX996" s="2335"/>
      <c r="JDY996" s="2335"/>
      <c r="JDZ996" s="2335"/>
      <c r="JEA996" s="2335"/>
      <c r="JEB996" s="2335"/>
      <c r="JEC996" s="2335"/>
      <c r="JED996" s="2335"/>
      <c r="JEE996" s="2335"/>
      <c r="JEF996" s="2335"/>
      <c r="JEG996" s="2335"/>
      <c r="JEH996" s="2335"/>
      <c r="JEI996" s="2335"/>
      <c r="JEJ996" s="2335"/>
      <c r="JEK996" s="2335"/>
      <c r="JEL996" s="2335"/>
      <c r="JEM996" s="2335"/>
      <c r="JEN996" s="2335"/>
      <c r="JEO996" s="2335"/>
      <c r="JEP996" s="2335"/>
      <c r="JEQ996" s="2335"/>
      <c r="JER996" s="2335"/>
      <c r="JES996" s="2335"/>
      <c r="JET996" s="2335"/>
      <c r="JEU996" s="2335"/>
      <c r="JEV996" s="2335"/>
      <c r="JEW996" s="2335"/>
      <c r="JEX996" s="2335"/>
      <c r="JEY996" s="2335"/>
      <c r="JEZ996" s="2335"/>
      <c r="JFA996" s="2335"/>
      <c r="JFB996" s="2335"/>
      <c r="JFC996" s="2335"/>
      <c r="JFD996" s="2335"/>
      <c r="JFE996" s="2335"/>
      <c r="JFF996" s="2335"/>
      <c r="JFG996" s="2335"/>
      <c r="JFH996" s="2335"/>
      <c r="JFI996" s="2335"/>
      <c r="JFJ996" s="2335"/>
      <c r="JFK996" s="2335"/>
      <c r="JFL996" s="2335"/>
      <c r="JFM996" s="2335"/>
      <c r="JFN996" s="2335"/>
      <c r="JFO996" s="2335"/>
      <c r="JFP996" s="2335"/>
      <c r="JFQ996" s="2335"/>
      <c r="JFR996" s="2335"/>
      <c r="JFS996" s="2335"/>
      <c r="JFT996" s="2335"/>
      <c r="JFU996" s="2335"/>
      <c r="JFV996" s="2335"/>
      <c r="JFW996" s="2335"/>
      <c r="JFX996" s="2335"/>
      <c r="JFY996" s="2335"/>
      <c r="JFZ996" s="2335"/>
      <c r="JGA996" s="2335"/>
      <c r="JGB996" s="2335"/>
      <c r="JGC996" s="2335"/>
      <c r="JGD996" s="2335"/>
      <c r="JGE996" s="2335"/>
      <c r="JGF996" s="2335"/>
      <c r="JGG996" s="2335"/>
      <c r="JGH996" s="2335"/>
      <c r="JGI996" s="2335"/>
      <c r="JGJ996" s="2335"/>
      <c r="JGK996" s="2335"/>
      <c r="JGL996" s="2335"/>
      <c r="JGM996" s="2335"/>
      <c r="JGN996" s="2335"/>
      <c r="JGO996" s="2335"/>
      <c r="JGP996" s="2335"/>
      <c r="JGQ996" s="2335"/>
      <c r="JGR996" s="2335"/>
      <c r="JGS996" s="2335"/>
      <c r="JGT996" s="2335"/>
      <c r="JGU996" s="2335"/>
      <c r="JGV996" s="2335"/>
      <c r="JGW996" s="2335"/>
      <c r="JGX996" s="2335"/>
      <c r="JGY996" s="2335"/>
      <c r="JGZ996" s="2335"/>
      <c r="JHA996" s="2335"/>
      <c r="JHB996" s="2335"/>
      <c r="JHC996" s="2335"/>
      <c r="JHD996" s="2335"/>
      <c r="JHE996" s="2335"/>
      <c r="JHF996" s="2335"/>
      <c r="JHG996" s="2335"/>
      <c r="JHH996" s="2335"/>
      <c r="JHI996" s="2335"/>
      <c r="JHJ996" s="2335"/>
      <c r="JHK996" s="2335"/>
      <c r="JHL996" s="2335"/>
      <c r="JHM996" s="2335"/>
      <c r="JHN996" s="2335"/>
      <c r="JHO996" s="2335"/>
      <c r="JHP996" s="2335"/>
      <c r="JHQ996" s="2335"/>
      <c r="JHR996" s="2335"/>
      <c r="JHS996" s="2335"/>
      <c r="JHT996" s="2335"/>
      <c r="JHU996" s="2335"/>
      <c r="JHV996" s="2335"/>
      <c r="JHW996" s="2335"/>
      <c r="JHX996" s="2335"/>
      <c r="JHY996" s="2335"/>
      <c r="JHZ996" s="2335"/>
      <c r="JIA996" s="2335"/>
      <c r="JIB996" s="2335"/>
      <c r="JIC996" s="2335"/>
      <c r="JID996" s="2335"/>
      <c r="JIE996" s="2335"/>
      <c r="JIF996" s="2335"/>
      <c r="JIG996" s="2335"/>
      <c r="JIH996" s="2335"/>
      <c r="JII996" s="2335"/>
      <c r="JIJ996" s="2335"/>
      <c r="JIK996" s="2335"/>
      <c r="JIL996" s="2335"/>
      <c r="JIM996" s="2335"/>
      <c r="JIN996" s="2335"/>
      <c r="JIO996" s="2335"/>
      <c r="JIP996" s="2335"/>
      <c r="JIQ996" s="2335"/>
      <c r="JIR996" s="2335"/>
      <c r="JIS996" s="2335"/>
      <c r="JIT996" s="2335"/>
      <c r="JIU996" s="2335"/>
      <c r="JIV996" s="2335"/>
      <c r="JIW996" s="2335"/>
      <c r="JIX996" s="2335"/>
      <c r="JIY996" s="2335"/>
      <c r="JIZ996" s="2335"/>
      <c r="JJA996" s="2335"/>
      <c r="JJB996" s="2335"/>
      <c r="JJC996" s="2335"/>
      <c r="JJD996" s="2335"/>
      <c r="JJE996" s="2335"/>
      <c r="JJF996" s="2335"/>
      <c r="JJG996" s="2335"/>
      <c r="JJH996" s="2335"/>
      <c r="JJI996" s="2335"/>
      <c r="JJJ996" s="2335"/>
      <c r="JJK996" s="2335"/>
      <c r="JJL996" s="2335"/>
      <c r="JJM996" s="2335"/>
      <c r="JJN996" s="2335"/>
      <c r="JJO996" s="2335"/>
      <c r="JJP996" s="2335"/>
      <c r="JJQ996" s="2335"/>
      <c r="JJR996" s="2335"/>
      <c r="JJS996" s="2335"/>
      <c r="JJT996" s="2335"/>
      <c r="JJU996" s="2335"/>
      <c r="JJV996" s="2335"/>
      <c r="JJW996" s="2335"/>
      <c r="JJX996" s="2335"/>
      <c r="JJY996" s="2335"/>
      <c r="JJZ996" s="2335"/>
      <c r="JKA996" s="2335"/>
      <c r="JKB996" s="2335"/>
      <c r="JKC996" s="2335"/>
      <c r="JKD996" s="2335"/>
      <c r="JKE996" s="2335"/>
      <c r="JKF996" s="2335"/>
      <c r="JKG996" s="2335"/>
      <c r="JKH996" s="2335"/>
      <c r="JKI996" s="2335"/>
      <c r="JKJ996" s="2335"/>
      <c r="JKK996" s="2335"/>
      <c r="JKL996" s="2335"/>
      <c r="JKM996" s="2335"/>
      <c r="JKN996" s="2335"/>
      <c r="JKO996" s="2335"/>
      <c r="JKP996" s="2335"/>
      <c r="JKQ996" s="2335"/>
      <c r="JKR996" s="2335"/>
      <c r="JKS996" s="2335"/>
      <c r="JKT996" s="2335"/>
      <c r="JKU996" s="2335"/>
      <c r="JKV996" s="2335"/>
      <c r="JKW996" s="2335"/>
      <c r="JKX996" s="2335"/>
      <c r="JKY996" s="2335"/>
      <c r="JKZ996" s="2335"/>
      <c r="JLA996" s="2335"/>
      <c r="JLB996" s="2335"/>
      <c r="JLC996" s="2335"/>
      <c r="JLD996" s="2335"/>
      <c r="JLE996" s="2335"/>
      <c r="JLF996" s="2335"/>
      <c r="JLG996" s="2335"/>
      <c r="JLH996" s="2335"/>
      <c r="JLI996" s="2335"/>
      <c r="JLJ996" s="2335"/>
      <c r="JLK996" s="2335"/>
      <c r="JLL996" s="2335"/>
      <c r="JLM996" s="2335"/>
      <c r="JLN996" s="2335"/>
      <c r="JLO996" s="2335"/>
      <c r="JLP996" s="2335"/>
      <c r="JLQ996" s="2335"/>
      <c r="JLR996" s="2335"/>
      <c r="JLS996" s="2335"/>
      <c r="JLT996" s="2335"/>
      <c r="JLU996" s="2335"/>
      <c r="JLV996" s="2335"/>
      <c r="JLW996" s="2335"/>
      <c r="JLX996" s="2335"/>
      <c r="JLY996" s="2335"/>
      <c r="JLZ996" s="2335"/>
      <c r="JMA996" s="2335"/>
      <c r="JMB996" s="2335"/>
      <c r="JMC996" s="2335"/>
      <c r="JMD996" s="2335"/>
      <c r="JME996" s="2335"/>
      <c r="JMF996" s="2335"/>
      <c r="JMG996" s="2335"/>
      <c r="JMH996" s="2335"/>
      <c r="JMI996" s="2335"/>
      <c r="JMJ996" s="2335"/>
      <c r="JMK996" s="2335"/>
      <c r="JML996" s="2335"/>
      <c r="JMM996" s="2335"/>
      <c r="JMN996" s="2335"/>
      <c r="JMO996" s="2335"/>
      <c r="JMP996" s="2335"/>
      <c r="JMQ996" s="2335"/>
      <c r="JMR996" s="2335"/>
      <c r="JMS996" s="2335"/>
      <c r="JMT996" s="2335"/>
      <c r="JMU996" s="2335"/>
      <c r="JMV996" s="2335"/>
      <c r="JMW996" s="2335"/>
      <c r="JMX996" s="2335"/>
      <c r="JMY996" s="2335"/>
      <c r="JMZ996" s="2335"/>
      <c r="JNA996" s="2335"/>
      <c r="JNB996" s="2335"/>
      <c r="JNC996" s="2335"/>
      <c r="JND996" s="2335"/>
      <c r="JNE996" s="2335"/>
      <c r="JNF996" s="2335"/>
      <c r="JNG996" s="2335"/>
      <c r="JNH996" s="2335"/>
      <c r="JNI996" s="2335"/>
      <c r="JNJ996" s="2335"/>
      <c r="JNK996" s="2335"/>
      <c r="JNL996" s="2335"/>
      <c r="JNM996" s="2335"/>
      <c r="JNN996" s="2335"/>
      <c r="JNO996" s="2335"/>
      <c r="JNP996" s="2335"/>
      <c r="JNQ996" s="2335"/>
      <c r="JNR996" s="2335"/>
      <c r="JNS996" s="2335"/>
      <c r="JNT996" s="2335"/>
      <c r="JNU996" s="2335"/>
      <c r="JNV996" s="2335"/>
      <c r="JNW996" s="2335"/>
      <c r="JNX996" s="2335"/>
      <c r="JNY996" s="2335"/>
      <c r="JNZ996" s="2335"/>
      <c r="JOA996" s="2335"/>
      <c r="JOB996" s="2335"/>
      <c r="JOC996" s="2335"/>
      <c r="JOD996" s="2335"/>
      <c r="JOE996" s="2335"/>
      <c r="JOF996" s="2335"/>
      <c r="JOG996" s="2335"/>
      <c r="JOH996" s="2335"/>
      <c r="JOI996" s="2335"/>
      <c r="JOJ996" s="2335"/>
      <c r="JOK996" s="2335"/>
      <c r="JOL996" s="2335"/>
      <c r="JOM996" s="2335"/>
      <c r="JON996" s="2335"/>
      <c r="JOO996" s="2335"/>
      <c r="JOP996" s="2335"/>
      <c r="JOQ996" s="2335"/>
      <c r="JOR996" s="2335"/>
      <c r="JOS996" s="2335"/>
      <c r="JOT996" s="2335"/>
      <c r="JOU996" s="2335"/>
      <c r="JOV996" s="2335"/>
      <c r="JOW996" s="2335"/>
      <c r="JOX996" s="2335"/>
      <c r="JOY996" s="2335"/>
      <c r="JOZ996" s="2335"/>
      <c r="JPA996" s="2335"/>
      <c r="JPB996" s="2335"/>
      <c r="JPC996" s="2335"/>
      <c r="JPD996" s="2335"/>
      <c r="JPE996" s="2335"/>
      <c r="JPF996" s="2335"/>
      <c r="JPG996" s="2335"/>
      <c r="JPH996" s="2335"/>
      <c r="JPI996" s="2335"/>
      <c r="JPJ996" s="2335"/>
      <c r="JPK996" s="2335"/>
      <c r="JPL996" s="2335"/>
      <c r="JPM996" s="2335"/>
      <c r="JPN996" s="2335"/>
      <c r="JPO996" s="2335"/>
      <c r="JPP996" s="2335"/>
      <c r="JPQ996" s="2335"/>
      <c r="JPR996" s="2335"/>
      <c r="JPS996" s="2335"/>
      <c r="JPT996" s="2335"/>
      <c r="JPU996" s="2335"/>
      <c r="JPV996" s="2335"/>
      <c r="JPW996" s="2335"/>
      <c r="JPX996" s="2335"/>
      <c r="JPY996" s="2335"/>
      <c r="JPZ996" s="2335"/>
      <c r="JQA996" s="2335"/>
      <c r="JQB996" s="2335"/>
      <c r="JQC996" s="2335"/>
      <c r="JQD996" s="2335"/>
      <c r="JQE996" s="2335"/>
      <c r="JQF996" s="2335"/>
      <c r="JQG996" s="2335"/>
      <c r="JQH996" s="2335"/>
      <c r="JQI996" s="2335"/>
      <c r="JQJ996" s="2335"/>
      <c r="JQK996" s="2335"/>
      <c r="JQL996" s="2335"/>
      <c r="JQM996" s="2335"/>
      <c r="JQN996" s="2335"/>
      <c r="JQO996" s="2335"/>
      <c r="JQP996" s="2335"/>
      <c r="JQQ996" s="2335"/>
      <c r="JQR996" s="2335"/>
      <c r="JQS996" s="2335"/>
      <c r="JQT996" s="2335"/>
      <c r="JQU996" s="2335"/>
      <c r="JQV996" s="2335"/>
      <c r="JQW996" s="2335"/>
      <c r="JQX996" s="2335"/>
      <c r="JQY996" s="2335"/>
      <c r="JQZ996" s="2335"/>
      <c r="JRA996" s="2335"/>
      <c r="JRB996" s="2335"/>
      <c r="JRC996" s="2335"/>
      <c r="JRD996" s="2335"/>
      <c r="JRE996" s="2335"/>
      <c r="JRF996" s="2335"/>
      <c r="JRG996" s="2335"/>
      <c r="JRH996" s="2335"/>
      <c r="JRI996" s="2335"/>
      <c r="JRJ996" s="2335"/>
      <c r="JRK996" s="2335"/>
      <c r="JRL996" s="2335"/>
      <c r="JRM996" s="2335"/>
      <c r="JRN996" s="2335"/>
      <c r="JRO996" s="2335"/>
      <c r="JRP996" s="2335"/>
      <c r="JRQ996" s="2335"/>
      <c r="JRR996" s="2335"/>
      <c r="JRS996" s="2335"/>
      <c r="JRT996" s="2335"/>
      <c r="JRU996" s="2335"/>
      <c r="JRV996" s="2335"/>
      <c r="JRW996" s="2335"/>
      <c r="JRX996" s="2335"/>
      <c r="JRY996" s="2335"/>
      <c r="JRZ996" s="2335"/>
      <c r="JSA996" s="2335"/>
      <c r="JSB996" s="2335"/>
      <c r="JSC996" s="2335"/>
      <c r="JSD996" s="2335"/>
      <c r="JSE996" s="2335"/>
      <c r="JSF996" s="2335"/>
      <c r="JSG996" s="2335"/>
      <c r="JSH996" s="2335"/>
      <c r="JSI996" s="2335"/>
      <c r="JSJ996" s="2335"/>
      <c r="JSK996" s="2335"/>
      <c r="JSL996" s="2335"/>
      <c r="JSM996" s="2335"/>
      <c r="JSN996" s="2335"/>
      <c r="JSO996" s="2335"/>
      <c r="JSP996" s="2335"/>
      <c r="JSQ996" s="2335"/>
      <c r="JSR996" s="2335"/>
      <c r="JSS996" s="2335"/>
      <c r="JST996" s="2335"/>
      <c r="JSU996" s="2335"/>
      <c r="JSV996" s="2335"/>
      <c r="JSW996" s="2335"/>
      <c r="JSX996" s="2335"/>
      <c r="JSY996" s="2335"/>
      <c r="JSZ996" s="2335"/>
      <c r="JTA996" s="2335"/>
      <c r="JTB996" s="2335"/>
      <c r="JTC996" s="2335"/>
      <c r="JTD996" s="2335"/>
      <c r="JTE996" s="2335"/>
      <c r="JTF996" s="2335"/>
      <c r="JTG996" s="2335"/>
      <c r="JTH996" s="2335"/>
      <c r="JTI996" s="2335"/>
      <c r="JTJ996" s="2335"/>
      <c r="JTK996" s="2335"/>
      <c r="JTL996" s="2335"/>
      <c r="JTM996" s="2335"/>
      <c r="JTN996" s="2335"/>
      <c r="JTO996" s="2335"/>
      <c r="JTP996" s="2335"/>
      <c r="JTQ996" s="2335"/>
      <c r="JTR996" s="2335"/>
      <c r="JTS996" s="2335"/>
      <c r="JTT996" s="2335"/>
      <c r="JTU996" s="2335"/>
      <c r="JTV996" s="2335"/>
      <c r="JTW996" s="2335"/>
      <c r="JTX996" s="2335"/>
      <c r="JTY996" s="2335"/>
      <c r="JTZ996" s="2335"/>
      <c r="JUA996" s="2335"/>
      <c r="JUB996" s="2335"/>
      <c r="JUC996" s="2335"/>
      <c r="JUD996" s="2335"/>
      <c r="JUE996" s="2335"/>
      <c r="JUF996" s="2335"/>
      <c r="JUG996" s="2335"/>
      <c r="JUH996" s="2335"/>
      <c r="JUI996" s="2335"/>
      <c r="JUJ996" s="2335"/>
      <c r="JUK996" s="2335"/>
      <c r="JUL996" s="2335"/>
      <c r="JUM996" s="2335"/>
      <c r="JUN996" s="2335"/>
      <c r="JUO996" s="2335"/>
      <c r="JUP996" s="2335"/>
      <c r="JUQ996" s="2335"/>
      <c r="JUR996" s="2335"/>
      <c r="JUS996" s="2335"/>
      <c r="JUT996" s="2335"/>
      <c r="JUU996" s="2335"/>
      <c r="JUV996" s="2335"/>
      <c r="JUW996" s="2335"/>
      <c r="JUX996" s="2335"/>
      <c r="JUY996" s="2335"/>
      <c r="JUZ996" s="2335"/>
      <c r="JVA996" s="2335"/>
      <c r="JVB996" s="2335"/>
      <c r="JVC996" s="2335"/>
      <c r="JVD996" s="2335"/>
      <c r="JVE996" s="2335"/>
      <c r="JVF996" s="2335"/>
      <c r="JVG996" s="2335"/>
      <c r="JVH996" s="2335"/>
      <c r="JVI996" s="2335"/>
      <c r="JVJ996" s="2335"/>
      <c r="JVK996" s="2335"/>
      <c r="JVL996" s="2335"/>
      <c r="JVM996" s="2335"/>
      <c r="JVN996" s="2335"/>
      <c r="JVO996" s="2335"/>
      <c r="JVP996" s="2335"/>
      <c r="JVQ996" s="2335"/>
      <c r="JVR996" s="2335"/>
      <c r="JVS996" s="2335"/>
      <c r="JVT996" s="2335"/>
      <c r="JVU996" s="2335"/>
      <c r="JVV996" s="2335"/>
      <c r="JVW996" s="2335"/>
      <c r="JVX996" s="2335"/>
      <c r="JVY996" s="2335"/>
      <c r="JVZ996" s="2335"/>
      <c r="JWA996" s="2335"/>
      <c r="JWB996" s="2335"/>
      <c r="JWC996" s="2335"/>
      <c r="JWD996" s="2335"/>
      <c r="JWE996" s="2335"/>
      <c r="JWF996" s="2335"/>
      <c r="JWG996" s="2335"/>
      <c r="JWH996" s="2335"/>
      <c r="JWI996" s="2335"/>
      <c r="JWJ996" s="2335"/>
      <c r="JWK996" s="2335"/>
      <c r="JWL996" s="2335"/>
      <c r="JWM996" s="2335"/>
      <c r="JWN996" s="2335"/>
      <c r="JWO996" s="2335"/>
      <c r="JWP996" s="2335"/>
      <c r="JWQ996" s="2335"/>
      <c r="JWR996" s="2335"/>
      <c r="JWS996" s="2335"/>
      <c r="JWT996" s="2335"/>
      <c r="JWU996" s="2335"/>
      <c r="JWV996" s="2335"/>
      <c r="JWW996" s="2335"/>
      <c r="JWX996" s="2335"/>
      <c r="JWY996" s="2335"/>
      <c r="JWZ996" s="2335"/>
      <c r="JXA996" s="2335"/>
      <c r="JXB996" s="2335"/>
      <c r="JXC996" s="2335"/>
      <c r="JXD996" s="2335"/>
      <c r="JXE996" s="2335"/>
      <c r="JXF996" s="2335"/>
      <c r="JXG996" s="2335"/>
      <c r="JXH996" s="2335"/>
      <c r="JXI996" s="2335"/>
      <c r="JXJ996" s="2335"/>
      <c r="JXK996" s="2335"/>
      <c r="JXL996" s="2335"/>
      <c r="JXM996" s="2335"/>
      <c r="JXN996" s="2335"/>
      <c r="JXO996" s="2335"/>
      <c r="JXP996" s="2335"/>
      <c r="JXQ996" s="2335"/>
      <c r="JXR996" s="2335"/>
      <c r="JXS996" s="2335"/>
      <c r="JXT996" s="2335"/>
      <c r="JXU996" s="2335"/>
      <c r="JXV996" s="2335"/>
      <c r="JXW996" s="2335"/>
      <c r="JXX996" s="2335"/>
      <c r="JXY996" s="2335"/>
      <c r="JXZ996" s="2335"/>
      <c r="JYA996" s="2335"/>
      <c r="JYB996" s="2335"/>
      <c r="JYC996" s="2335"/>
      <c r="JYD996" s="2335"/>
      <c r="JYE996" s="2335"/>
      <c r="JYF996" s="2335"/>
      <c r="JYG996" s="2335"/>
      <c r="JYH996" s="2335"/>
      <c r="JYI996" s="2335"/>
      <c r="JYJ996" s="2335"/>
      <c r="JYK996" s="2335"/>
      <c r="JYL996" s="2335"/>
      <c r="JYM996" s="2335"/>
      <c r="JYN996" s="2335"/>
      <c r="JYO996" s="2335"/>
      <c r="JYP996" s="2335"/>
      <c r="JYQ996" s="2335"/>
      <c r="JYR996" s="2335"/>
      <c r="JYS996" s="2335"/>
      <c r="JYT996" s="2335"/>
      <c r="JYU996" s="2335"/>
      <c r="JYV996" s="2335"/>
      <c r="JYW996" s="2335"/>
      <c r="JYX996" s="2335"/>
      <c r="JYY996" s="2335"/>
      <c r="JYZ996" s="2335"/>
      <c r="JZA996" s="2335"/>
      <c r="JZB996" s="2335"/>
      <c r="JZC996" s="2335"/>
      <c r="JZD996" s="2335"/>
      <c r="JZE996" s="2335"/>
      <c r="JZF996" s="2335"/>
      <c r="JZG996" s="2335"/>
      <c r="JZH996" s="2335"/>
      <c r="JZI996" s="2335"/>
      <c r="JZJ996" s="2335"/>
      <c r="JZK996" s="2335"/>
      <c r="JZL996" s="2335"/>
      <c r="JZM996" s="2335"/>
      <c r="JZN996" s="2335"/>
      <c r="JZO996" s="2335"/>
      <c r="JZP996" s="2335"/>
      <c r="JZQ996" s="2335"/>
      <c r="JZR996" s="2335"/>
      <c r="JZS996" s="2335"/>
      <c r="JZT996" s="2335"/>
      <c r="JZU996" s="2335"/>
      <c r="JZV996" s="2335"/>
      <c r="JZW996" s="2335"/>
      <c r="JZX996" s="2335"/>
      <c r="JZY996" s="2335"/>
      <c r="JZZ996" s="2335"/>
      <c r="KAA996" s="2335"/>
      <c r="KAB996" s="2335"/>
      <c r="KAC996" s="2335"/>
      <c r="KAD996" s="2335"/>
      <c r="KAE996" s="2335"/>
      <c r="KAF996" s="2335"/>
      <c r="KAG996" s="2335"/>
      <c r="KAH996" s="2335"/>
      <c r="KAI996" s="2335"/>
      <c r="KAJ996" s="2335"/>
      <c r="KAK996" s="2335"/>
      <c r="KAL996" s="2335"/>
      <c r="KAM996" s="2335"/>
      <c r="KAN996" s="2335"/>
      <c r="KAO996" s="2335"/>
      <c r="KAP996" s="2335"/>
      <c r="KAQ996" s="2335"/>
      <c r="KAR996" s="2335"/>
      <c r="KAS996" s="2335"/>
      <c r="KAT996" s="2335"/>
      <c r="KAU996" s="2335"/>
      <c r="KAV996" s="2335"/>
      <c r="KAW996" s="2335"/>
      <c r="KAX996" s="2335"/>
      <c r="KAY996" s="2335"/>
      <c r="KAZ996" s="2335"/>
      <c r="KBA996" s="2335"/>
      <c r="KBB996" s="2335"/>
      <c r="KBC996" s="2335"/>
      <c r="KBD996" s="2335"/>
      <c r="KBE996" s="2335"/>
      <c r="KBF996" s="2335"/>
      <c r="KBG996" s="2335"/>
      <c r="KBH996" s="2335"/>
      <c r="KBI996" s="2335"/>
      <c r="KBJ996" s="2335"/>
      <c r="KBK996" s="2335"/>
      <c r="KBL996" s="2335"/>
      <c r="KBM996" s="2335"/>
      <c r="KBN996" s="2335"/>
      <c r="KBO996" s="2335"/>
      <c r="KBP996" s="2335"/>
      <c r="KBQ996" s="2335"/>
      <c r="KBR996" s="2335"/>
      <c r="KBS996" s="2335"/>
      <c r="KBT996" s="2335"/>
      <c r="KBU996" s="2335"/>
      <c r="KBV996" s="2335"/>
      <c r="KBW996" s="2335"/>
      <c r="KBX996" s="2335"/>
      <c r="KBY996" s="2335"/>
      <c r="KBZ996" s="2335"/>
      <c r="KCA996" s="2335"/>
      <c r="KCB996" s="2335"/>
      <c r="KCC996" s="2335"/>
      <c r="KCD996" s="2335"/>
      <c r="KCE996" s="2335"/>
      <c r="KCF996" s="2335"/>
      <c r="KCG996" s="2335"/>
      <c r="KCH996" s="2335"/>
      <c r="KCI996" s="2335"/>
      <c r="KCJ996" s="2335"/>
      <c r="KCK996" s="2335"/>
      <c r="KCL996" s="2335"/>
      <c r="KCM996" s="2335"/>
      <c r="KCN996" s="2335"/>
      <c r="KCO996" s="2335"/>
      <c r="KCP996" s="2335"/>
      <c r="KCQ996" s="2335"/>
      <c r="KCR996" s="2335"/>
      <c r="KCS996" s="2335"/>
      <c r="KCT996" s="2335"/>
      <c r="KCU996" s="2335"/>
      <c r="KCV996" s="2335"/>
      <c r="KCW996" s="2335"/>
      <c r="KCX996" s="2335"/>
      <c r="KCY996" s="2335"/>
      <c r="KCZ996" s="2335"/>
      <c r="KDA996" s="2335"/>
      <c r="KDB996" s="2335"/>
      <c r="KDC996" s="2335"/>
      <c r="KDD996" s="2335"/>
      <c r="KDE996" s="2335"/>
      <c r="KDF996" s="2335"/>
      <c r="KDG996" s="2335"/>
      <c r="KDH996" s="2335"/>
      <c r="KDI996" s="2335"/>
      <c r="KDJ996" s="2335"/>
      <c r="KDK996" s="2335"/>
      <c r="KDL996" s="2335"/>
      <c r="KDM996" s="2335"/>
      <c r="KDN996" s="2335"/>
      <c r="KDO996" s="2335"/>
      <c r="KDP996" s="2335"/>
      <c r="KDQ996" s="2335"/>
      <c r="KDR996" s="2335"/>
      <c r="KDS996" s="2335"/>
      <c r="KDT996" s="2335"/>
      <c r="KDU996" s="2335"/>
      <c r="KDV996" s="2335"/>
      <c r="KDW996" s="2335"/>
      <c r="KDX996" s="2335"/>
      <c r="KDY996" s="2335"/>
      <c r="KDZ996" s="2335"/>
      <c r="KEA996" s="2335"/>
      <c r="KEB996" s="2335"/>
      <c r="KEC996" s="2335"/>
      <c r="KED996" s="2335"/>
      <c r="KEE996" s="2335"/>
      <c r="KEF996" s="2335"/>
      <c r="KEG996" s="2335"/>
      <c r="KEH996" s="2335"/>
      <c r="KEI996" s="2335"/>
      <c r="KEJ996" s="2335"/>
      <c r="KEK996" s="2335"/>
      <c r="KEL996" s="2335"/>
      <c r="KEM996" s="2335"/>
      <c r="KEN996" s="2335"/>
      <c r="KEO996" s="2335"/>
      <c r="KEP996" s="2335"/>
      <c r="KEQ996" s="2335"/>
      <c r="KER996" s="2335"/>
      <c r="KES996" s="2335"/>
      <c r="KET996" s="2335"/>
      <c r="KEU996" s="2335"/>
      <c r="KEV996" s="2335"/>
      <c r="KEW996" s="2335"/>
      <c r="KEX996" s="2335"/>
      <c r="KEY996" s="2335"/>
      <c r="KEZ996" s="2335"/>
      <c r="KFA996" s="2335"/>
      <c r="KFB996" s="2335"/>
      <c r="KFC996" s="2335"/>
      <c r="KFD996" s="2335"/>
      <c r="KFE996" s="2335"/>
      <c r="KFF996" s="2335"/>
      <c r="KFG996" s="2335"/>
      <c r="KFH996" s="2335"/>
      <c r="KFI996" s="2335"/>
      <c r="KFJ996" s="2335"/>
      <c r="KFK996" s="2335"/>
      <c r="KFL996" s="2335"/>
      <c r="KFM996" s="2335"/>
      <c r="KFN996" s="2335"/>
      <c r="KFO996" s="2335"/>
      <c r="KFP996" s="2335"/>
      <c r="KFQ996" s="2335"/>
      <c r="KFR996" s="2335"/>
      <c r="KFS996" s="2335"/>
      <c r="KFT996" s="2335"/>
      <c r="KFU996" s="2335"/>
      <c r="KFV996" s="2335"/>
      <c r="KFW996" s="2335"/>
      <c r="KFX996" s="2335"/>
      <c r="KFY996" s="2335"/>
      <c r="KFZ996" s="2335"/>
      <c r="KGA996" s="2335"/>
      <c r="KGB996" s="2335"/>
      <c r="KGC996" s="2335"/>
      <c r="KGD996" s="2335"/>
      <c r="KGE996" s="2335"/>
      <c r="KGF996" s="2335"/>
      <c r="KGG996" s="2335"/>
      <c r="KGH996" s="2335"/>
      <c r="KGI996" s="2335"/>
      <c r="KGJ996" s="2335"/>
      <c r="KGK996" s="2335"/>
      <c r="KGL996" s="2335"/>
      <c r="KGM996" s="2335"/>
      <c r="KGN996" s="2335"/>
      <c r="KGO996" s="2335"/>
      <c r="KGP996" s="2335"/>
      <c r="KGQ996" s="2335"/>
      <c r="KGR996" s="2335"/>
      <c r="KGS996" s="2335"/>
      <c r="KGT996" s="2335"/>
      <c r="KGU996" s="2335"/>
      <c r="KGV996" s="2335"/>
      <c r="KGW996" s="2335"/>
      <c r="KGX996" s="2335"/>
      <c r="KGY996" s="2335"/>
      <c r="KGZ996" s="2335"/>
      <c r="KHA996" s="2335"/>
      <c r="KHB996" s="2335"/>
      <c r="KHC996" s="2335"/>
      <c r="KHD996" s="2335"/>
      <c r="KHE996" s="2335"/>
      <c r="KHF996" s="2335"/>
      <c r="KHG996" s="2335"/>
      <c r="KHH996" s="2335"/>
      <c r="KHI996" s="2335"/>
      <c r="KHJ996" s="2335"/>
      <c r="KHK996" s="2335"/>
      <c r="KHL996" s="2335"/>
      <c r="KHM996" s="2335"/>
      <c r="KHN996" s="2335"/>
      <c r="KHO996" s="2335"/>
      <c r="KHP996" s="2335"/>
      <c r="KHQ996" s="2335"/>
      <c r="KHR996" s="2335"/>
      <c r="KHS996" s="2335"/>
      <c r="KHT996" s="2335"/>
      <c r="KHU996" s="2335"/>
      <c r="KHV996" s="2335"/>
      <c r="KHW996" s="2335"/>
      <c r="KHX996" s="2335"/>
      <c r="KHY996" s="2335"/>
      <c r="KHZ996" s="2335"/>
      <c r="KIA996" s="2335"/>
      <c r="KIB996" s="2335"/>
      <c r="KIC996" s="2335"/>
      <c r="KID996" s="2335"/>
      <c r="KIE996" s="2335"/>
      <c r="KIF996" s="2335"/>
      <c r="KIG996" s="2335"/>
      <c r="KIH996" s="2335"/>
      <c r="KII996" s="2335"/>
      <c r="KIJ996" s="2335"/>
      <c r="KIK996" s="2335"/>
      <c r="KIL996" s="2335"/>
      <c r="KIM996" s="2335"/>
      <c r="KIN996" s="2335"/>
      <c r="KIO996" s="2335"/>
      <c r="KIP996" s="2335"/>
      <c r="KIQ996" s="2335"/>
      <c r="KIR996" s="2335"/>
      <c r="KIS996" s="2335"/>
      <c r="KIT996" s="2335"/>
      <c r="KIU996" s="2335"/>
      <c r="KIV996" s="2335"/>
      <c r="KIW996" s="2335"/>
      <c r="KIX996" s="2335"/>
      <c r="KIY996" s="2335"/>
      <c r="KIZ996" s="2335"/>
      <c r="KJA996" s="2335"/>
      <c r="KJB996" s="2335"/>
      <c r="KJC996" s="2335"/>
      <c r="KJD996" s="2335"/>
      <c r="KJE996" s="2335"/>
      <c r="KJF996" s="2335"/>
      <c r="KJG996" s="2335"/>
      <c r="KJH996" s="2335"/>
      <c r="KJI996" s="2335"/>
      <c r="KJJ996" s="2335"/>
      <c r="KJK996" s="2335"/>
      <c r="KJL996" s="2335"/>
      <c r="KJM996" s="2335"/>
      <c r="KJN996" s="2335"/>
      <c r="KJO996" s="2335"/>
      <c r="KJP996" s="2335"/>
      <c r="KJQ996" s="2335"/>
      <c r="KJR996" s="2335"/>
      <c r="KJS996" s="2335"/>
      <c r="KJT996" s="2335"/>
      <c r="KJU996" s="2335"/>
      <c r="KJV996" s="2335"/>
      <c r="KJW996" s="2335"/>
      <c r="KJX996" s="2335"/>
      <c r="KJY996" s="2335"/>
      <c r="KJZ996" s="2335"/>
      <c r="KKA996" s="2335"/>
      <c r="KKB996" s="2335"/>
      <c r="KKC996" s="2335"/>
      <c r="KKD996" s="2335"/>
      <c r="KKE996" s="2335"/>
      <c r="KKF996" s="2335"/>
      <c r="KKG996" s="2335"/>
      <c r="KKH996" s="2335"/>
      <c r="KKI996" s="2335"/>
      <c r="KKJ996" s="2335"/>
      <c r="KKK996" s="2335"/>
      <c r="KKL996" s="2335"/>
      <c r="KKM996" s="2335"/>
      <c r="KKN996" s="2335"/>
      <c r="KKO996" s="2335"/>
      <c r="KKP996" s="2335"/>
      <c r="KKQ996" s="2335"/>
      <c r="KKR996" s="2335"/>
      <c r="KKS996" s="2335"/>
      <c r="KKT996" s="2335"/>
      <c r="KKU996" s="2335"/>
      <c r="KKV996" s="2335"/>
      <c r="KKW996" s="2335"/>
      <c r="KKX996" s="2335"/>
      <c r="KKY996" s="2335"/>
      <c r="KKZ996" s="2335"/>
      <c r="KLA996" s="2335"/>
      <c r="KLB996" s="2335"/>
      <c r="KLC996" s="2335"/>
      <c r="KLD996" s="2335"/>
      <c r="KLE996" s="2335"/>
      <c r="KLF996" s="2335"/>
      <c r="KLG996" s="2335"/>
      <c r="KLH996" s="2335"/>
      <c r="KLI996" s="2335"/>
      <c r="KLJ996" s="2335"/>
      <c r="KLK996" s="2335"/>
      <c r="KLL996" s="2335"/>
      <c r="KLM996" s="2335"/>
      <c r="KLN996" s="2335"/>
      <c r="KLO996" s="2335"/>
      <c r="KLP996" s="2335"/>
      <c r="KLQ996" s="2335"/>
      <c r="KLR996" s="2335"/>
      <c r="KLS996" s="2335"/>
      <c r="KLT996" s="2335"/>
      <c r="KLU996" s="2335"/>
      <c r="KLV996" s="2335"/>
      <c r="KLW996" s="2335"/>
      <c r="KLX996" s="2335"/>
      <c r="KLY996" s="2335"/>
      <c r="KLZ996" s="2335"/>
      <c r="KMA996" s="2335"/>
      <c r="KMB996" s="2335"/>
      <c r="KMC996" s="2335"/>
      <c r="KMD996" s="2335"/>
      <c r="KME996" s="2335"/>
      <c r="KMF996" s="2335"/>
      <c r="KMG996" s="2335"/>
      <c r="KMH996" s="2335"/>
      <c r="KMI996" s="2335"/>
      <c r="KMJ996" s="2335"/>
      <c r="KMK996" s="2335"/>
      <c r="KML996" s="2335"/>
      <c r="KMM996" s="2335"/>
      <c r="KMN996" s="2335"/>
      <c r="KMO996" s="2335"/>
      <c r="KMP996" s="2335"/>
      <c r="KMQ996" s="2335"/>
      <c r="KMR996" s="2335"/>
      <c r="KMS996" s="2335"/>
      <c r="KMT996" s="2335"/>
      <c r="KMU996" s="2335"/>
      <c r="KMV996" s="2335"/>
      <c r="KMW996" s="2335"/>
      <c r="KMX996" s="2335"/>
      <c r="KMY996" s="2335"/>
      <c r="KMZ996" s="2335"/>
      <c r="KNA996" s="2335"/>
      <c r="KNB996" s="2335"/>
      <c r="KNC996" s="2335"/>
      <c r="KND996" s="2335"/>
      <c r="KNE996" s="2335"/>
      <c r="KNF996" s="2335"/>
      <c r="KNG996" s="2335"/>
      <c r="KNH996" s="2335"/>
      <c r="KNI996" s="2335"/>
      <c r="KNJ996" s="2335"/>
      <c r="KNK996" s="2335"/>
      <c r="KNL996" s="2335"/>
      <c r="KNM996" s="2335"/>
      <c r="KNN996" s="2335"/>
      <c r="KNO996" s="2335"/>
      <c r="KNP996" s="2335"/>
      <c r="KNQ996" s="2335"/>
      <c r="KNR996" s="2335"/>
      <c r="KNS996" s="2335"/>
      <c r="KNT996" s="2335"/>
      <c r="KNU996" s="2335"/>
      <c r="KNV996" s="2335"/>
      <c r="KNW996" s="2335"/>
      <c r="KNX996" s="2335"/>
      <c r="KNY996" s="2335"/>
      <c r="KNZ996" s="2335"/>
      <c r="KOA996" s="2335"/>
      <c r="KOB996" s="2335"/>
      <c r="KOC996" s="2335"/>
      <c r="KOD996" s="2335"/>
      <c r="KOE996" s="2335"/>
      <c r="KOF996" s="2335"/>
      <c r="KOG996" s="2335"/>
      <c r="KOH996" s="2335"/>
      <c r="KOI996" s="2335"/>
      <c r="KOJ996" s="2335"/>
      <c r="KOK996" s="2335"/>
      <c r="KOL996" s="2335"/>
      <c r="KOM996" s="2335"/>
      <c r="KON996" s="2335"/>
      <c r="KOO996" s="2335"/>
      <c r="KOP996" s="2335"/>
      <c r="KOQ996" s="2335"/>
      <c r="KOR996" s="2335"/>
      <c r="KOS996" s="2335"/>
      <c r="KOT996" s="2335"/>
      <c r="KOU996" s="2335"/>
      <c r="KOV996" s="2335"/>
      <c r="KOW996" s="2335"/>
      <c r="KOX996" s="2335"/>
      <c r="KOY996" s="2335"/>
      <c r="KOZ996" s="2335"/>
      <c r="KPA996" s="2335"/>
      <c r="KPB996" s="2335"/>
      <c r="KPC996" s="2335"/>
      <c r="KPD996" s="2335"/>
      <c r="KPE996" s="2335"/>
      <c r="KPF996" s="2335"/>
      <c r="KPG996" s="2335"/>
      <c r="KPH996" s="2335"/>
      <c r="KPI996" s="2335"/>
      <c r="KPJ996" s="2335"/>
      <c r="KPK996" s="2335"/>
      <c r="KPL996" s="2335"/>
      <c r="KPM996" s="2335"/>
      <c r="KPN996" s="2335"/>
      <c r="KPO996" s="2335"/>
      <c r="KPP996" s="2335"/>
      <c r="KPQ996" s="2335"/>
      <c r="KPR996" s="2335"/>
      <c r="KPS996" s="2335"/>
      <c r="KPT996" s="2335"/>
      <c r="KPU996" s="2335"/>
      <c r="KPV996" s="2335"/>
      <c r="KPW996" s="2335"/>
      <c r="KPX996" s="2335"/>
      <c r="KPY996" s="2335"/>
      <c r="KPZ996" s="2335"/>
      <c r="KQA996" s="2335"/>
      <c r="KQB996" s="2335"/>
      <c r="KQC996" s="2335"/>
      <c r="KQD996" s="2335"/>
      <c r="KQE996" s="2335"/>
      <c r="KQF996" s="2335"/>
      <c r="KQG996" s="2335"/>
      <c r="KQH996" s="2335"/>
      <c r="KQI996" s="2335"/>
      <c r="KQJ996" s="2335"/>
      <c r="KQK996" s="2335"/>
      <c r="KQL996" s="2335"/>
      <c r="KQM996" s="2335"/>
      <c r="KQN996" s="2335"/>
      <c r="KQO996" s="2335"/>
      <c r="KQP996" s="2335"/>
      <c r="KQQ996" s="2335"/>
      <c r="KQR996" s="2335"/>
      <c r="KQS996" s="2335"/>
      <c r="KQT996" s="2335"/>
      <c r="KQU996" s="2335"/>
      <c r="KQV996" s="2335"/>
      <c r="KQW996" s="2335"/>
      <c r="KQX996" s="2335"/>
      <c r="KQY996" s="2335"/>
      <c r="KQZ996" s="2335"/>
      <c r="KRA996" s="2335"/>
      <c r="KRB996" s="2335"/>
      <c r="KRC996" s="2335"/>
      <c r="KRD996" s="2335"/>
      <c r="KRE996" s="2335"/>
      <c r="KRF996" s="2335"/>
      <c r="KRG996" s="2335"/>
      <c r="KRH996" s="2335"/>
      <c r="KRI996" s="2335"/>
      <c r="KRJ996" s="2335"/>
      <c r="KRK996" s="2335"/>
      <c r="KRL996" s="2335"/>
      <c r="KRM996" s="2335"/>
      <c r="KRN996" s="2335"/>
      <c r="KRO996" s="2335"/>
      <c r="KRP996" s="2335"/>
      <c r="KRQ996" s="2335"/>
      <c r="KRR996" s="2335"/>
      <c r="KRS996" s="2335"/>
      <c r="KRT996" s="2335"/>
      <c r="KRU996" s="2335"/>
      <c r="KRV996" s="2335"/>
      <c r="KRW996" s="2335"/>
      <c r="KRX996" s="2335"/>
      <c r="KRY996" s="2335"/>
      <c r="KRZ996" s="2335"/>
      <c r="KSA996" s="2335"/>
      <c r="KSB996" s="2335"/>
      <c r="KSC996" s="2335"/>
      <c r="KSD996" s="2335"/>
      <c r="KSE996" s="2335"/>
      <c r="KSF996" s="2335"/>
      <c r="KSG996" s="2335"/>
      <c r="KSH996" s="2335"/>
      <c r="KSI996" s="2335"/>
      <c r="KSJ996" s="2335"/>
      <c r="KSK996" s="2335"/>
      <c r="KSL996" s="2335"/>
      <c r="KSM996" s="2335"/>
      <c r="KSN996" s="2335"/>
      <c r="KSO996" s="2335"/>
      <c r="KSP996" s="2335"/>
      <c r="KSQ996" s="2335"/>
      <c r="KSR996" s="2335"/>
      <c r="KSS996" s="2335"/>
      <c r="KST996" s="2335"/>
      <c r="KSU996" s="2335"/>
      <c r="KSV996" s="2335"/>
      <c r="KSW996" s="2335"/>
      <c r="KSX996" s="2335"/>
      <c r="KSY996" s="2335"/>
      <c r="KSZ996" s="2335"/>
      <c r="KTA996" s="2335"/>
      <c r="KTB996" s="2335"/>
      <c r="KTC996" s="2335"/>
      <c r="KTD996" s="2335"/>
      <c r="KTE996" s="2335"/>
      <c r="KTF996" s="2335"/>
      <c r="KTG996" s="2335"/>
      <c r="KTH996" s="2335"/>
      <c r="KTI996" s="2335"/>
      <c r="KTJ996" s="2335"/>
      <c r="KTK996" s="2335"/>
      <c r="KTL996" s="2335"/>
      <c r="KTM996" s="2335"/>
      <c r="KTN996" s="2335"/>
      <c r="KTO996" s="2335"/>
      <c r="KTP996" s="2335"/>
      <c r="KTQ996" s="2335"/>
      <c r="KTR996" s="2335"/>
      <c r="KTS996" s="2335"/>
      <c r="KTT996" s="2335"/>
      <c r="KTU996" s="2335"/>
      <c r="KTV996" s="2335"/>
      <c r="KTW996" s="2335"/>
      <c r="KTX996" s="2335"/>
      <c r="KTY996" s="2335"/>
      <c r="KTZ996" s="2335"/>
      <c r="KUA996" s="2335"/>
      <c r="KUB996" s="2335"/>
      <c r="KUC996" s="2335"/>
      <c r="KUD996" s="2335"/>
      <c r="KUE996" s="2335"/>
      <c r="KUF996" s="2335"/>
      <c r="KUG996" s="2335"/>
      <c r="KUH996" s="2335"/>
      <c r="KUI996" s="2335"/>
      <c r="KUJ996" s="2335"/>
      <c r="KUK996" s="2335"/>
      <c r="KUL996" s="2335"/>
      <c r="KUM996" s="2335"/>
      <c r="KUN996" s="2335"/>
      <c r="KUO996" s="2335"/>
      <c r="KUP996" s="2335"/>
      <c r="KUQ996" s="2335"/>
      <c r="KUR996" s="2335"/>
      <c r="KUS996" s="2335"/>
      <c r="KUT996" s="2335"/>
      <c r="KUU996" s="2335"/>
      <c r="KUV996" s="2335"/>
      <c r="KUW996" s="2335"/>
      <c r="KUX996" s="2335"/>
      <c r="KUY996" s="2335"/>
      <c r="KUZ996" s="2335"/>
      <c r="KVA996" s="2335"/>
      <c r="KVB996" s="2335"/>
      <c r="KVC996" s="2335"/>
      <c r="KVD996" s="2335"/>
      <c r="KVE996" s="2335"/>
      <c r="KVF996" s="2335"/>
      <c r="KVG996" s="2335"/>
      <c r="KVH996" s="2335"/>
      <c r="KVI996" s="2335"/>
      <c r="KVJ996" s="2335"/>
      <c r="KVK996" s="2335"/>
      <c r="KVL996" s="2335"/>
      <c r="KVM996" s="2335"/>
      <c r="KVN996" s="2335"/>
      <c r="KVO996" s="2335"/>
      <c r="KVP996" s="2335"/>
      <c r="KVQ996" s="2335"/>
      <c r="KVR996" s="2335"/>
      <c r="KVS996" s="2335"/>
      <c r="KVT996" s="2335"/>
      <c r="KVU996" s="2335"/>
      <c r="KVV996" s="2335"/>
      <c r="KVW996" s="2335"/>
      <c r="KVX996" s="2335"/>
      <c r="KVY996" s="2335"/>
      <c r="KVZ996" s="2335"/>
      <c r="KWA996" s="2335"/>
      <c r="KWB996" s="2335"/>
      <c r="KWC996" s="2335"/>
      <c r="KWD996" s="2335"/>
      <c r="KWE996" s="2335"/>
      <c r="KWF996" s="2335"/>
      <c r="KWG996" s="2335"/>
      <c r="KWH996" s="2335"/>
      <c r="KWI996" s="2335"/>
      <c r="KWJ996" s="2335"/>
      <c r="KWK996" s="2335"/>
      <c r="KWL996" s="2335"/>
      <c r="KWM996" s="2335"/>
      <c r="KWN996" s="2335"/>
      <c r="KWO996" s="2335"/>
      <c r="KWP996" s="2335"/>
      <c r="KWQ996" s="2335"/>
      <c r="KWR996" s="2335"/>
      <c r="KWS996" s="2335"/>
      <c r="KWT996" s="2335"/>
      <c r="KWU996" s="2335"/>
      <c r="KWV996" s="2335"/>
      <c r="KWW996" s="2335"/>
      <c r="KWX996" s="2335"/>
      <c r="KWY996" s="2335"/>
      <c r="KWZ996" s="2335"/>
      <c r="KXA996" s="2335"/>
      <c r="KXB996" s="2335"/>
      <c r="KXC996" s="2335"/>
      <c r="KXD996" s="2335"/>
      <c r="KXE996" s="2335"/>
      <c r="KXF996" s="2335"/>
      <c r="KXG996" s="2335"/>
      <c r="KXH996" s="2335"/>
      <c r="KXI996" s="2335"/>
      <c r="KXJ996" s="2335"/>
      <c r="KXK996" s="2335"/>
      <c r="KXL996" s="2335"/>
      <c r="KXM996" s="2335"/>
      <c r="KXN996" s="2335"/>
      <c r="KXO996" s="2335"/>
      <c r="KXP996" s="2335"/>
      <c r="KXQ996" s="2335"/>
      <c r="KXR996" s="2335"/>
      <c r="KXS996" s="2335"/>
      <c r="KXT996" s="2335"/>
      <c r="KXU996" s="2335"/>
      <c r="KXV996" s="2335"/>
      <c r="KXW996" s="2335"/>
      <c r="KXX996" s="2335"/>
      <c r="KXY996" s="2335"/>
      <c r="KXZ996" s="2335"/>
      <c r="KYA996" s="2335"/>
      <c r="KYB996" s="2335"/>
      <c r="KYC996" s="2335"/>
      <c r="KYD996" s="2335"/>
      <c r="KYE996" s="2335"/>
      <c r="KYF996" s="2335"/>
      <c r="KYG996" s="2335"/>
      <c r="KYH996" s="2335"/>
      <c r="KYI996" s="2335"/>
      <c r="KYJ996" s="2335"/>
      <c r="KYK996" s="2335"/>
      <c r="KYL996" s="2335"/>
      <c r="KYM996" s="2335"/>
      <c r="KYN996" s="2335"/>
      <c r="KYO996" s="2335"/>
      <c r="KYP996" s="2335"/>
      <c r="KYQ996" s="2335"/>
      <c r="KYR996" s="2335"/>
      <c r="KYS996" s="2335"/>
      <c r="KYT996" s="2335"/>
      <c r="KYU996" s="2335"/>
      <c r="KYV996" s="2335"/>
      <c r="KYW996" s="2335"/>
      <c r="KYX996" s="2335"/>
      <c r="KYY996" s="2335"/>
      <c r="KYZ996" s="2335"/>
      <c r="KZA996" s="2335"/>
      <c r="KZB996" s="2335"/>
      <c r="KZC996" s="2335"/>
      <c r="KZD996" s="2335"/>
      <c r="KZE996" s="2335"/>
      <c r="KZF996" s="2335"/>
      <c r="KZG996" s="2335"/>
      <c r="KZH996" s="2335"/>
      <c r="KZI996" s="2335"/>
      <c r="KZJ996" s="2335"/>
      <c r="KZK996" s="2335"/>
      <c r="KZL996" s="2335"/>
      <c r="KZM996" s="2335"/>
      <c r="KZN996" s="2335"/>
      <c r="KZO996" s="2335"/>
      <c r="KZP996" s="2335"/>
      <c r="KZQ996" s="2335"/>
      <c r="KZR996" s="2335"/>
      <c r="KZS996" s="2335"/>
      <c r="KZT996" s="2335"/>
      <c r="KZU996" s="2335"/>
      <c r="KZV996" s="2335"/>
      <c r="KZW996" s="2335"/>
      <c r="KZX996" s="2335"/>
      <c r="KZY996" s="2335"/>
      <c r="KZZ996" s="2335"/>
      <c r="LAA996" s="2335"/>
      <c r="LAB996" s="2335"/>
      <c r="LAC996" s="2335"/>
      <c r="LAD996" s="2335"/>
      <c r="LAE996" s="2335"/>
      <c r="LAF996" s="2335"/>
      <c r="LAG996" s="2335"/>
      <c r="LAH996" s="2335"/>
      <c r="LAI996" s="2335"/>
      <c r="LAJ996" s="2335"/>
      <c r="LAK996" s="2335"/>
      <c r="LAL996" s="2335"/>
      <c r="LAM996" s="2335"/>
      <c r="LAN996" s="2335"/>
      <c r="LAO996" s="2335"/>
      <c r="LAP996" s="2335"/>
      <c r="LAQ996" s="2335"/>
      <c r="LAR996" s="2335"/>
      <c r="LAS996" s="2335"/>
      <c r="LAT996" s="2335"/>
      <c r="LAU996" s="2335"/>
      <c r="LAV996" s="2335"/>
      <c r="LAW996" s="2335"/>
      <c r="LAX996" s="2335"/>
      <c r="LAY996" s="2335"/>
      <c r="LAZ996" s="2335"/>
      <c r="LBA996" s="2335"/>
      <c r="LBB996" s="2335"/>
      <c r="LBC996" s="2335"/>
      <c r="LBD996" s="2335"/>
      <c r="LBE996" s="2335"/>
      <c r="LBF996" s="2335"/>
      <c r="LBG996" s="2335"/>
      <c r="LBH996" s="2335"/>
      <c r="LBI996" s="2335"/>
      <c r="LBJ996" s="2335"/>
      <c r="LBK996" s="2335"/>
      <c r="LBL996" s="2335"/>
      <c r="LBM996" s="2335"/>
      <c r="LBN996" s="2335"/>
      <c r="LBO996" s="2335"/>
      <c r="LBP996" s="2335"/>
      <c r="LBQ996" s="2335"/>
      <c r="LBR996" s="2335"/>
      <c r="LBS996" s="2335"/>
      <c r="LBT996" s="2335"/>
      <c r="LBU996" s="2335"/>
      <c r="LBV996" s="2335"/>
      <c r="LBW996" s="2335"/>
      <c r="LBX996" s="2335"/>
      <c r="LBY996" s="2335"/>
      <c r="LBZ996" s="2335"/>
      <c r="LCA996" s="2335"/>
      <c r="LCB996" s="2335"/>
      <c r="LCC996" s="2335"/>
      <c r="LCD996" s="2335"/>
      <c r="LCE996" s="2335"/>
      <c r="LCF996" s="2335"/>
      <c r="LCG996" s="2335"/>
      <c r="LCH996" s="2335"/>
      <c r="LCI996" s="2335"/>
      <c r="LCJ996" s="2335"/>
      <c r="LCK996" s="2335"/>
      <c r="LCL996" s="2335"/>
      <c r="LCM996" s="2335"/>
      <c r="LCN996" s="2335"/>
      <c r="LCO996" s="2335"/>
      <c r="LCP996" s="2335"/>
      <c r="LCQ996" s="2335"/>
      <c r="LCR996" s="2335"/>
      <c r="LCS996" s="2335"/>
      <c r="LCT996" s="2335"/>
      <c r="LCU996" s="2335"/>
      <c r="LCV996" s="2335"/>
      <c r="LCW996" s="2335"/>
      <c r="LCX996" s="2335"/>
      <c r="LCY996" s="2335"/>
      <c r="LCZ996" s="2335"/>
      <c r="LDA996" s="2335"/>
      <c r="LDB996" s="2335"/>
      <c r="LDC996" s="2335"/>
      <c r="LDD996" s="2335"/>
      <c r="LDE996" s="2335"/>
      <c r="LDF996" s="2335"/>
      <c r="LDG996" s="2335"/>
      <c r="LDH996" s="2335"/>
      <c r="LDI996" s="2335"/>
      <c r="LDJ996" s="2335"/>
      <c r="LDK996" s="2335"/>
      <c r="LDL996" s="2335"/>
      <c r="LDM996" s="2335"/>
      <c r="LDN996" s="2335"/>
      <c r="LDO996" s="2335"/>
      <c r="LDP996" s="2335"/>
      <c r="LDQ996" s="2335"/>
      <c r="LDR996" s="2335"/>
      <c r="LDS996" s="2335"/>
      <c r="LDT996" s="2335"/>
      <c r="LDU996" s="2335"/>
      <c r="LDV996" s="2335"/>
      <c r="LDW996" s="2335"/>
      <c r="LDX996" s="2335"/>
      <c r="LDY996" s="2335"/>
      <c r="LDZ996" s="2335"/>
      <c r="LEA996" s="2335"/>
      <c r="LEB996" s="2335"/>
      <c r="LEC996" s="2335"/>
      <c r="LED996" s="2335"/>
      <c r="LEE996" s="2335"/>
      <c r="LEF996" s="2335"/>
      <c r="LEG996" s="2335"/>
      <c r="LEH996" s="2335"/>
      <c r="LEI996" s="2335"/>
      <c r="LEJ996" s="2335"/>
      <c r="LEK996" s="2335"/>
      <c r="LEL996" s="2335"/>
      <c r="LEM996" s="2335"/>
      <c r="LEN996" s="2335"/>
      <c r="LEO996" s="2335"/>
      <c r="LEP996" s="2335"/>
      <c r="LEQ996" s="2335"/>
      <c r="LER996" s="2335"/>
      <c r="LES996" s="2335"/>
      <c r="LET996" s="2335"/>
      <c r="LEU996" s="2335"/>
      <c r="LEV996" s="2335"/>
      <c r="LEW996" s="2335"/>
      <c r="LEX996" s="2335"/>
      <c r="LEY996" s="2335"/>
      <c r="LEZ996" s="2335"/>
      <c r="LFA996" s="2335"/>
      <c r="LFB996" s="2335"/>
      <c r="LFC996" s="2335"/>
      <c r="LFD996" s="2335"/>
      <c r="LFE996" s="2335"/>
      <c r="LFF996" s="2335"/>
      <c r="LFG996" s="2335"/>
      <c r="LFH996" s="2335"/>
      <c r="LFI996" s="2335"/>
      <c r="LFJ996" s="2335"/>
      <c r="LFK996" s="2335"/>
      <c r="LFL996" s="2335"/>
      <c r="LFM996" s="2335"/>
      <c r="LFN996" s="2335"/>
      <c r="LFO996" s="2335"/>
      <c r="LFP996" s="2335"/>
      <c r="LFQ996" s="2335"/>
      <c r="LFR996" s="2335"/>
      <c r="LFS996" s="2335"/>
      <c r="LFT996" s="2335"/>
      <c r="LFU996" s="2335"/>
      <c r="LFV996" s="2335"/>
      <c r="LFW996" s="2335"/>
      <c r="LFX996" s="2335"/>
      <c r="LFY996" s="2335"/>
      <c r="LFZ996" s="2335"/>
      <c r="LGA996" s="2335"/>
      <c r="LGB996" s="2335"/>
      <c r="LGC996" s="2335"/>
      <c r="LGD996" s="2335"/>
      <c r="LGE996" s="2335"/>
      <c r="LGF996" s="2335"/>
      <c r="LGG996" s="2335"/>
      <c r="LGH996" s="2335"/>
      <c r="LGI996" s="2335"/>
      <c r="LGJ996" s="2335"/>
      <c r="LGK996" s="2335"/>
      <c r="LGL996" s="2335"/>
      <c r="LGM996" s="2335"/>
      <c r="LGN996" s="2335"/>
      <c r="LGO996" s="2335"/>
      <c r="LGP996" s="2335"/>
      <c r="LGQ996" s="2335"/>
      <c r="LGR996" s="2335"/>
      <c r="LGS996" s="2335"/>
      <c r="LGT996" s="2335"/>
      <c r="LGU996" s="2335"/>
      <c r="LGV996" s="2335"/>
      <c r="LGW996" s="2335"/>
      <c r="LGX996" s="2335"/>
      <c r="LGY996" s="2335"/>
      <c r="LGZ996" s="2335"/>
      <c r="LHA996" s="2335"/>
      <c r="LHB996" s="2335"/>
      <c r="LHC996" s="2335"/>
      <c r="LHD996" s="2335"/>
      <c r="LHE996" s="2335"/>
      <c r="LHF996" s="2335"/>
      <c r="LHG996" s="2335"/>
      <c r="LHH996" s="2335"/>
      <c r="LHI996" s="2335"/>
      <c r="LHJ996" s="2335"/>
      <c r="LHK996" s="2335"/>
      <c r="LHL996" s="2335"/>
      <c r="LHM996" s="2335"/>
      <c r="LHN996" s="2335"/>
      <c r="LHO996" s="2335"/>
      <c r="LHP996" s="2335"/>
      <c r="LHQ996" s="2335"/>
      <c r="LHR996" s="2335"/>
      <c r="LHS996" s="2335"/>
      <c r="LHT996" s="2335"/>
      <c r="LHU996" s="2335"/>
      <c r="LHV996" s="2335"/>
      <c r="LHW996" s="2335"/>
      <c r="LHX996" s="2335"/>
      <c r="LHY996" s="2335"/>
      <c r="LHZ996" s="2335"/>
      <c r="LIA996" s="2335"/>
      <c r="LIB996" s="2335"/>
      <c r="LIC996" s="2335"/>
      <c r="LID996" s="2335"/>
      <c r="LIE996" s="2335"/>
      <c r="LIF996" s="2335"/>
      <c r="LIG996" s="2335"/>
      <c r="LIH996" s="2335"/>
      <c r="LII996" s="2335"/>
      <c r="LIJ996" s="2335"/>
      <c r="LIK996" s="2335"/>
      <c r="LIL996" s="2335"/>
      <c r="LIM996" s="2335"/>
      <c r="LIN996" s="2335"/>
      <c r="LIO996" s="2335"/>
      <c r="LIP996" s="2335"/>
      <c r="LIQ996" s="2335"/>
      <c r="LIR996" s="2335"/>
      <c r="LIS996" s="2335"/>
      <c r="LIT996" s="2335"/>
      <c r="LIU996" s="2335"/>
      <c r="LIV996" s="2335"/>
      <c r="LIW996" s="2335"/>
      <c r="LIX996" s="2335"/>
      <c r="LIY996" s="2335"/>
      <c r="LIZ996" s="2335"/>
      <c r="LJA996" s="2335"/>
      <c r="LJB996" s="2335"/>
      <c r="LJC996" s="2335"/>
      <c r="LJD996" s="2335"/>
      <c r="LJE996" s="2335"/>
      <c r="LJF996" s="2335"/>
      <c r="LJG996" s="2335"/>
      <c r="LJH996" s="2335"/>
      <c r="LJI996" s="2335"/>
      <c r="LJJ996" s="2335"/>
      <c r="LJK996" s="2335"/>
      <c r="LJL996" s="2335"/>
      <c r="LJM996" s="2335"/>
      <c r="LJN996" s="2335"/>
      <c r="LJO996" s="2335"/>
      <c r="LJP996" s="2335"/>
      <c r="LJQ996" s="2335"/>
      <c r="LJR996" s="2335"/>
      <c r="LJS996" s="2335"/>
      <c r="LJT996" s="2335"/>
      <c r="LJU996" s="2335"/>
      <c r="LJV996" s="2335"/>
      <c r="LJW996" s="2335"/>
      <c r="LJX996" s="2335"/>
      <c r="LJY996" s="2335"/>
      <c r="LJZ996" s="2335"/>
      <c r="LKA996" s="2335"/>
      <c r="LKB996" s="2335"/>
      <c r="LKC996" s="2335"/>
      <c r="LKD996" s="2335"/>
      <c r="LKE996" s="2335"/>
      <c r="LKF996" s="2335"/>
      <c r="LKG996" s="2335"/>
      <c r="LKH996" s="2335"/>
      <c r="LKI996" s="2335"/>
      <c r="LKJ996" s="2335"/>
      <c r="LKK996" s="2335"/>
      <c r="LKL996" s="2335"/>
      <c r="LKM996" s="2335"/>
      <c r="LKN996" s="2335"/>
      <c r="LKO996" s="2335"/>
      <c r="LKP996" s="2335"/>
      <c r="LKQ996" s="2335"/>
      <c r="LKR996" s="2335"/>
      <c r="LKS996" s="2335"/>
      <c r="LKT996" s="2335"/>
      <c r="LKU996" s="2335"/>
      <c r="LKV996" s="2335"/>
      <c r="LKW996" s="2335"/>
      <c r="LKX996" s="2335"/>
      <c r="LKY996" s="2335"/>
      <c r="LKZ996" s="2335"/>
      <c r="LLA996" s="2335"/>
      <c r="LLB996" s="2335"/>
      <c r="LLC996" s="2335"/>
      <c r="LLD996" s="2335"/>
      <c r="LLE996" s="2335"/>
      <c r="LLF996" s="2335"/>
      <c r="LLG996" s="2335"/>
      <c r="LLH996" s="2335"/>
      <c r="LLI996" s="2335"/>
      <c r="LLJ996" s="2335"/>
      <c r="LLK996" s="2335"/>
      <c r="LLL996" s="2335"/>
      <c r="LLM996" s="2335"/>
      <c r="LLN996" s="2335"/>
      <c r="LLO996" s="2335"/>
      <c r="LLP996" s="2335"/>
      <c r="LLQ996" s="2335"/>
      <c r="LLR996" s="2335"/>
      <c r="LLS996" s="2335"/>
      <c r="LLT996" s="2335"/>
      <c r="LLU996" s="2335"/>
      <c r="LLV996" s="2335"/>
      <c r="LLW996" s="2335"/>
      <c r="LLX996" s="2335"/>
      <c r="LLY996" s="2335"/>
      <c r="LLZ996" s="2335"/>
      <c r="LMA996" s="2335"/>
      <c r="LMB996" s="2335"/>
      <c r="LMC996" s="2335"/>
      <c r="LMD996" s="2335"/>
      <c r="LME996" s="2335"/>
      <c r="LMF996" s="2335"/>
      <c r="LMG996" s="2335"/>
      <c r="LMH996" s="2335"/>
      <c r="LMI996" s="2335"/>
      <c r="LMJ996" s="2335"/>
      <c r="LMK996" s="2335"/>
      <c r="LML996" s="2335"/>
      <c r="LMM996" s="2335"/>
      <c r="LMN996" s="2335"/>
      <c r="LMO996" s="2335"/>
      <c r="LMP996" s="2335"/>
      <c r="LMQ996" s="2335"/>
      <c r="LMR996" s="2335"/>
      <c r="LMS996" s="2335"/>
      <c r="LMT996" s="2335"/>
      <c r="LMU996" s="2335"/>
      <c r="LMV996" s="2335"/>
      <c r="LMW996" s="2335"/>
      <c r="LMX996" s="2335"/>
      <c r="LMY996" s="2335"/>
      <c r="LMZ996" s="2335"/>
      <c r="LNA996" s="2335"/>
      <c r="LNB996" s="2335"/>
      <c r="LNC996" s="2335"/>
      <c r="LND996" s="2335"/>
      <c r="LNE996" s="2335"/>
      <c r="LNF996" s="2335"/>
      <c r="LNG996" s="2335"/>
      <c r="LNH996" s="2335"/>
      <c r="LNI996" s="2335"/>
      <c r="LNJ996" s="2335"/>
      <c r="LNK996" s="2335"/>
      <c r="LNL996" s="2335"/>
      <c r="LNM996" s="2335"/>
      <c r="LNN996" s="2335"/>
      <c r="LNO996" s="2335"/>
      <c r="LNP996" s="2335"/>
      <c r="LNQ996" s="2335"/>
      <c r="LNR996" s="2335"/>
      <c r="LNS996" s="2335"/>
      <c r="LNT996" s="2335"/>
      <c r="LNU996" s="2335"/>
      <c r="LNV996" s="2335"/>
      <c r="LNW996" s="2335"/>
      <c r="LNX996" s="2335"/>
      <c r="LNY996" s="2335"/>
      <c r="LNZ996" s="2335"/>
      <c r="LOA996" s="2335"/>
      <c r="LOB996" s="2335"/>
      <c r="LOC996" s="2335"/>
      <c r="LOD996" s="2335"/>
      <c r="LOE996" s="2335"/>
      <c r="LOF996" s="2335"/>
      <c r="LOG996" s="2335"/>
      <c r="LOH996" s="2335"/>
      <c r="LOI996" s="2335"/>
      <c r="LOJ996" s="2335"/>
      <c r="LOK996" s="2335"/>
      <c r="LOL996" s="2335"/>
      <c r="LOM996" s="2335"/>
      <c r="LON996" s="2335"/>
      <c r="LOO996" s="2335"/>
      <c r="LOP996" s="2335"/>
      <c r="LOQ996" s="2335"/>
      <c r="LOR996" s="2335"/>
      <c r="LOS996" s="2335"/>
      <c r="LOT996" s="2335"/>
      <c r="LOU996" s="2335"/>
      <c r="LOV996" s="2335"/>
      <c r="LOW996" s="2335"/>
      <c r="LOX996" s="2335"/>
      <c r="LOY996" s="2335"/>
      <c r="LOZ996" s="2335"/>
      <c r="LPA996" s="2335"/>
      <c r="LPB996" s="2335"/>
      <c r="LPC996" s="2335"/>
      <c r="LPD996" s="2335"/>
      <c r="LPE996" s="2335"/>
      <c r="LPF996" s="2335"/>
      <c r="LPG996" s="2335"/>
      <c r="LPH996" s="2335"/>
      <c r="LPI996" s="2335"/>
      <c r="LPJ996" s="2335"/>
      <c r="LPK996" s="2335"/>
      <c r="LPL996" s="2335"/>
      <c r="LPM996" s="2335"/>
      <c r="LPN996" s="2335"/>
      <c r="LPO996" s="2335"/>
      <c r="LPP996" s="2335"/>
      <c r="LPQ996" s="2335"/>
      <c r="LPR996" s="2335"/>
      <c r="LPS996" s="2335"/>
      <c r="LPT996" s="2335"/>
      <c r="LPU996" s="2335"/>
      <c r="LPV996" s="2335"/>
      <c r="LPW996" s="2335"/>
      <c r="LPX996" s="2335"/>
      <c r="LPY996" s="2335"/>
      <c r="LPZ996" s="2335"/>
      <c r="LQA996" s="2335"/>
      <c r="LQB996" s="2335"/>
      <c r="LQC996" s="2335"/>
      <c r="LQD996" s="2335"/>
      <c r="LQE996" s="2335"/>
      <c r="LQF996" s="2335"/>
      <c r="LQG996" s="2335"/>
      <c r="LQH996" s="2335"/>
      <c r="LQI996" s="2335"/>
      <c r="LQJ996" s="2335"/>
      <c r="LQK996" s="2335"/>
      <c r="LQL996" s="2335"/>
      <c r="LQM996" s="2335"/>
      <c r="LQN996" s="2335"/>
      <c r="LQO996" s="2335"/>
      <c r="LQP996" s="2335"/>
      <c r="LQQ996" s="2335"/>
      <c r="LQR996" s="2335"/>
      <c r="LQS996" s="2335"/>
      <c r="LQT996" s="2335"/>
      <c r="LQU996" s="2335"/>
      <c r="LQV996" s="2335"/>
      <c r="LQW996" s="2335"/>
      <c r="LQX996" s="2335"/>
      <c r="LQY996" s="2335"/>
      <c r="LQZ996" s="2335"/>
      <c r="LRA996" s="2335"/>
      <c r="LRB996" s="2335"/>
      <c r="LRC996" s="2335"/>
      <c r="LRD996" s="2335"/>
      <c r="LRE996" s="2335"/>
      <c r="LRF996" s="2335"/>
      <c r="LRG996" s="2335"/>
      <c r="LRH996" s="2335"/>
      <c r="LRI996" s="2335"/>
      <c r="LRJ996" s="2335"/>
      <c r="LRK996" s="2335"/>
      <c r="LRL996" s="2335"/>
      <c r="LRM996" s="2335"/>
      <c r="LRN996" s="2335"/>
      <c r="LRO996" s="2335"/>
      <c r="LRP996" s="2335"/>
      <c r="LRQ996" s="2335"/>
      <c r="LRR996" s="2335"/>
      <c r="LRS996" s="2335"/>
      <c r="LRT996" s="2335"/>
      <c r="LRU996" s="2335"/>
      <c r="LRV996" s="2335"/>
      <c r="LRW996" s="2335"/>
      <c r="LRX996" s="2335"/>
      <c r="LRY996" s="2335"/>
      <c r="LRZ996" s="2335"/>
      <c r="LSA996" s="2335"/>
      <c r="LSB996" s="2335"/>
      <c r="LSC996" s="2335"/>
      <c r="LSD996" s="2335"/>
      <c r="LSE996" s="2335"/>
      <c r="LSF996" s="2335"/>
      <c r="LSG996" s="2335"/>
      <c r="LSH996" s="2335"/>
      <c r="LSI996" s="2335"/>
      <c r="LSJ996" s="2335"/>
      <c r="LSK996" s="2335"/>
      <c r="LSL996" s="2335"/>
      <c r="LSM996" s="2335"/>
      <c r="LSN996" s="2335"/>
      <c r="LSO996" s="2335"/>
      <c r="LSP996" s="2335"/>
      <c r="LSQ996" s="2335"/>
      <c r="LSR996" s="2335"/>
      <c r="LSS996" s="2335"/>
      <c r="LST996" s="2335"/>
      <c r="LSU996" s="2335"/>
      <c r="LSV996" s="2335"/>
      <c r="LSW996" s="2335"/>
      <c r="LSX996" s="2335"/>
      <c r="LSY996" s="2335"/>
      <c r="LSZ996" s="2335"/>
      <c r="LTA996" s="2335"/>
      <c r="LTB996" s="2335"/>
      <c r="LTC996" s="2335"/>
      <c r="LTD996" s="2335"/>
      <c r="LTE996" s="2335"/>
      <c r="LTF996" s="2335"/>
      <c r="LTG996" s="2335"/>
      <c r="LTH996" s="2335"/>
      <c r="LTI996" s="2335"/>
      <c r="LTJ996" s="2335"/>
      <c r="LTK996" s="2335"/>
      <c r="LTL996" s="2335"/>
      <c r="LTM996" s="2335"/>
      <c r="LTN996" s="2335"/>
      <c r="LTO996" s="2335"/>
      <c r="LTP996" s="2335"/>
      <c r="LTQ996" s="2335"/>
      <c r="LTR996" s="2335"/>
      <c r="LTS996" s="2335"/>
      <c r="LTT996" s="2335"/>
      <c r="LTU996" s="2335"/>
      <c r="LTV996" s="2335"/>
      <c r="LTW996" s="2335"/>
      <c r="LTX996" s="2335"/>
      <c r="LTY996" s="2335"/>
      <c r="LTZ996" s="2335"/>
      <c r="LUA996" s="2335"/>
      <c r="LUB996" s="2335"/>
      <c r="LUC996" s="2335"/>
      <c r="LUD996" s="2335"/>
      <c r="LUE996" s="2335"/>
      <c r="LUF996" s="2335"/>
      <c r="LUG996" s="2335"/>
      <c r="LUH996" s="2335"/>
      <c r="LUI996" s="2335"/>
      <c r="LUJ996" s="2335"/>
      <c r="LUK996" s="2335"/>
      <c r="LUL996" s="2335"/>
      <c r="LUM996" s="2335"/>
      <c r="LUN996" s="2335"/>
      <c r="LUO996" s="2335"/>
      <c r="LUP996" s="2335"/>
      <c r="LUQ996" s="2335"/>
      <c r="LUR996" s="2335"/>
      <c r="LUS996" s="2335"/>
      <c r="LUT996" s="2335"/>
      <c r="LUU996" s="2335"/>
      <c r="LUV996" s="2335"/>
      <c r="LUW996" s="2335"/>
      <c r="LUX996" s="2335"/>
      <c r="LUY996" s="2335"/>
      <c r="LUZ996" s="2335"/>
      <c r="LVA996" s="2335"/>
      <c r="LVB996" s="2335"/>
      <c r="LVC996" s="2335"/>
      <c r="LVD996" s="2335"/>
      <c r="LVE996" s="2335"/>
      <c r="LVF996" s="2335"/>
      <c r="LVG996" s="2335"/>
      <c r="LVH996" s="2335"/>
      <c r="LVI996" s="2335"/>
      <c r="LVJ996" s="2335"/>
      <c r="LVK996" s="2335"/>
      <c r="LVL996" s="2335"/>
      <c r="LVM996" s="2335"/>
      <c r="LVN996" s="2335"/>
      <c r="LVO996" s="2335"/>
      <c r="LVP996" s="2335"/>
      <c r="LVQ996" s="2335"/>
      <c r="LVR996" s="2335"/>
      <c r="LVS996" s="2335"/>
      <c r="LVT996" s="2335"/>
      <c r="LVU996" s="2335"/>
      <c r="LVV996" s="2335"/>
      <c r="LVW996" s="2335"/>
      <c r="LVX996" s="2335"/>
      <c r="LVY996" s="2335"/>
      <c r="LVZ996" s="2335"/>
      <c r="LWA996" s="2335"/>
      <c r="LWB996" s="2335"/>
      <c r="LWC996" s="2335"/>
      <c r="LWD996" s="2335"/>
      <c r="LWE996" s="2335"/>
      <c r="LWF996" s="2335"/>
      <c r="LWG996" s="2335"/>
      <c r="LWH996" s="2335"/>
      <c r="LWI996" s="2335"/>
      <c r="LWJ996" s="2335"/>
      <c r="LWK996" s="2335"/>
      <c r="LWL996" s="2335"/>
      <c r="LWM996" s="2335"/>
      <c r="LWN996" s="2335"/>
      <c r="LWO996" s="2335"/>
      <c r="LWP996" s="2335"/>
      <c r="LWQ996" s="2335"/>
      <c r="LWR996" s="2335"/>
      <c r="LWS996" s="2335"/>
      <c r="LWT996" s="2335"/>
      <c r="LWU996" s="2335"/>
      <c r="LWV996" s="2335"/>
      <c r="LWW996" s="2335"/>
      <c r="LWX996" s="2335"/>
      <c r="LWY996" s="2335"/>
      <c r="LWZ996" s="2335"/>
      <c r="LXA996" s="2335"/>
      <c r="LXB996" s="2335"/>
      <c r="LXC996" s="2335"/>
      <c r="LXD996" s="2335"/>
      <c r="LXE996" s="2335"/>
      <c r="LXF996" s="2335"/>
      <c r="LXG996" s="2335"/>
      <c r="LXH996" s="2335"/>
      <c r="LXI996" s="2335"/>
      <c r="LXJ996" s="2335"/>
      <c r="LXK996" s="2335"/>
      <c r="LXL996" s="2335"/>
      <c r="LXM996" s="2335"/>
      <c r="LXN996" s="2335"/>
      <c r="LXO996" s="2335"/>
      <c r="LXP996" s="2335"/>
      <c r="LXQ996" s="2335"/>
      <c r="LXR996" s="2335"/>
      <c r="LXS996" s="2335"/>
      <c r="LXT996" s="2335"/>
      <c r="LXU996" s="2335"/>
      <c r="LXV996" s="2335"/>
      <c r="LXW996" s="2335"/>
      <c r="LXX996" s="2335"/>
      <c r="LXY996" s="2335"/>
      <c r="LXZ996" s="2335"/>
      <c r="LYA996" s="2335"/>
      <c r="LYB996" s="2335"/>
      <c r="LYC996" s="2335"/>
      <c r="LYD996" s="2335"/>
      <c r="LYE996" s="2335"/>
      <c r="LYF996" s="2335"/>
      <c r="LYG996" s="2335"/>
      <c r="LYH996" s="2335"/>
      <c r="LYI996" s="2335"/>
      <c r="LYJ996" s="2335"/>
      <c r="LYK996" s="2335"/>
      <c r="LYL996" s="2335"/>
      <c r="LYM996" s="2335"/>
      <c r="LYN996" s="2335"/>
      <c r="LYO996" s="2335"/>
      <c r="LYP996" s="2335"/>
      <c r="LYQ996" s="2335"/>
      <c r="LYR996" s="2335"/>
      <c r="LYS996" s="2335"/>
      <c r="LYT996" s="2335"/>
      <c r="LYU996" s="2335"/>
      <c r="LYV996" s="2335"/>
      <c r="LYW996" s="2335"/>
      <c r="LYX996" s="2335"/>
      <c r="LYY996" s="2335"/>
      <c r="LYZ996" s="2335"/>
      <c r="LZA996" s="2335"/>
      <c r="LZB996" s="2335"/>
      <c r="LZC996" s="2335"/>
      <c r="LZD996" s="2335"/>
      <c r="LZE996" s="2335"/>
      <c r="LZF996" s="2335"/>
      <c r="LZG996" s="2335"/>
      <c r="LZH996" s="2335"/>
      <c r="LZI996" s="2335"/>
      <c r="LZJ996" s="2335"/>
      <c r="LZK996" s="2335"/>
      <c r="LZL996" s="2335"/>
      <c r="LZM996" s="2335"/>
      <c r="LZN996" s="2335"/>
      <c r="LZO996" s="2335"/>
      <c r="LZP996" s="2335"/>
      <c r="LZQ996" s="2335"/>
      <c r="LZR996" s="2335"/>
      <c r="LZS996" s="2335"/>
      <c r="LZT996" s="2335"/>
      <c r="LZU996" s="2335"/>
      <c r="LZV996" s="2335"/>
      <c r="LZW996" s="2335"/>
      <c r="LZX996" s="2335"/>
      <c r="LZY996" s="2335"/>
      <c r="LZZ996" s="2335"/>
      <c r="MAA996" s="2335"/>
      <c r="MAB996" s="2335"/>
      <c r="MAC996" s="2335"/>
      <c r="MAD996" s="2335"/>
      <c r="MAE996" s="2335"/>
      <c r="MAF996" s="2335"/>
      <c r="MAG996" s="2335"/>
      <c r="MAH996" s="2335"/>
      <c r="MAI996" s="2335"/>
      <c r="MAJ996" s="2335"/>
      <c r="MAK996" s="2335"/>
      <c r="MAL996" s="2335"/>
      <c r="MAM996" s="2335"/>
      <c r="MAN996" s="2335"/>
      <c r="MAO996" s="2335"/>
      <c r="MAP996" s="2335"/>
      <c r="MAQ996" s="2335"/>
      <c r="MAR996" s="2335"/>
      <c r="MAS996" s="2335"/>
      <c r="MAT996" s="2335"/>
      <c r="MAU996" s="2335"/>
      <c r="MAV996" s="2335"/>
      <c r="MAW996" s="2335"/>
      <c r="MAX996" s="2335"/>
      <c r="MAY996" s="2335"/>
      <c r="MAZ996" s="2335"/>
      <c r="MBA996" s="2335"/>
      <c r="MBB996" s="2335"/>
      <c r="MBC996" s="2335"/>
      <c r="MBD996" s="2335"/>
      <c r="MBE996" s="2335"/>
      <c r="MBF996" s="2335"/>
      <c r="MBG996" s="2335"/>
      <c r="MBH996" s="2335"/>
      <c r="MBI996" s="2335"/>
      <c r="MBJ996" s="2335"/>
      <c r="MBK996" s="2335"/>
      <c r="MBL996" s="2335"/>
      <c r="MBM996" s="2335"/>
      <c r="MBN996" s="2335"/>
      <c r="MBO996" s="2335"/>
      <c r="MBP996" s="2335"/>
      <c r="MBQ996" s="2335"/>
      <c r="MBR996" s="2335"/>
      <c r="MBS996" s="2335"/>
      <c r="MBT996" s="2335"/>
      <c r="MBU996" s="2335"/>
      <c r="MBV996" s="2335"/>
      <c r="MBW996" s="2335"/>
      <c r="MBX996" s="2335"/>
      <c r="MBY996" s="2335"/>
      <c r="MBZ996" s="2335"/>
      <c r="MCA996" s="2335"/>
      <c r="MCB996" s="2335"/>
      <c r="MCC996" s="2335"/>
      <c r="MCD996" s="2335"/>
      <c r="MCE996" s="2335"/>
      <c r="MCF996" s="2335"/>
      <c r="MCG996" s="2335"/>
      <c r="MCH996" s="2335"/>
      <c r="MCI996" s="2335"/>
      <c r="MCJ996" s="2335"/>
      <c r="MCK996" s="2335"/>
      <c r="MCL996" s="2335"/>
      <c r="MCM996" s="2335"/>
      <c r="MCN996" s="2335"/>
      <c r="MCO996" s="2335"/>
      <c r="MCP996" s="2335"/>
      <c r="MCQ996" s="2335"/>
      <c r="MCR996" s="2335"/>
      <c r="MCS996" s="2335"/>
      <c r="MCT996" s="2335"/>
      <c r="MCU996" s="2335"/>
      <c r="MCV996" s="2335"/>
      <c r="MCW996" s="2335"/>
      <c r="MCX996" s="2335"/>
      <c r="MCY996" s="2335"/>
      <c r="MCZ996" s="2335"/>
      <c r="MDA996" s="2335"/>
      <c r="MDB996" s="2335"/>
      <c r="MDC996" s="2335"/>
      <c r="MDD996" s="2335"/>
      <c r="MDE996" s="2335"/>
      <c r="MDF996" s="2335"/>
      <c r="MDG996" s="2335"/>
      <c r="MDH996" s="2335"/>
      <c r="MDI996" s="2335"/>
      <c r="MDJ996" s="2335"/>
      <c r="MDK996" s="2335"/>
      <c r="MDL996" s="2335"/>
      <c r="MDM996" s="2335"/>
      <c r="MDN996" s="2335"/>
      <c r="MDO996" s="2335"/>
      <c r="MDP996" s="2335"/>
      <c r="MDQ996" s="2335"/>
      <c r="MDR996" s="2335"/>
      <c r="MDS996" s="2335"/>
      <c r="MDT996" s="2335"/>
      <c r="MDU996" s="2335"/>
      <c r="MDV996" s="2335"/>
      <c r="MDW996" s="2335"/>
      <c r="MDX996" s="2335"/>
      <c r="MDY996" s="2335"/>
      <c r="MDZ996" s="2335"/>
      <c r="MEA996" s="2335"/>
      <c r="MEB996" s="2335"/>
      <c r="MEC996" s="2335"/>
      <c r="MED996" s="2335"/>
      <c r="MEE996" s="2335"/>
      <c r="MEF996" s="2335"/>
      <c r="MEG996" s="2335"/>
      <c r="MEH996" s="2335"/>
      <c r="MEI996" s="2335"/>
      <c r="MEJ996" s="2335"/>
      <c r="MEK996" s="2335"/>
      <c r="MEL996" s="2335"/>
      <c r="MEM996" s="2335"/>
      <c r="MEN996" s="2335"/>
      <c r="MEO996" s="2335"/>
      <c r="MEP996" s="2335"/>
      <c r="MEQ996" s="2335"/>
      <c r="MER996" s="2335"/>
      <c r="MES996" s="2335"/>
      <c r="MET996" s="2335"/>
      <c r="MEU996" s="2335"/>
      <c r="MEV996" s="2335"/>
      <c r="MEW996" s="2335"/>
      <c r="MEX996" s="2335"/>
      <c r="MEY996" s="2335"/>
      <c r="MEZ996" s="2335"/>
      <c r="MFA996" s="2335"/>
      <c r="MFB996" s="2335"/>
      <c r="MFC996" s="2335"/>
      <c r="MFD996" s="2335"/>
      <c r="MFE996" s="2335"/>
      <c r="MFF996" s="2335"/>
      <c r="MFG996" s="2335"/>
      <c r="MFH996" s="2335"/>
      <c r="MFI996" s="2335"/>
      <c r="MFJ996" s="2335"/>
      <c r="MFK996" s="2335"/>
      <c r="MFL996" s="2335"/>
      <c r="MFM996" s="2335"/>
      <c r="MFN996" s="2335"/>
      <c r="MFO996" s="2335"/>
      <c r="MFP996" s="2335"/>
      <c r="MFQ996" s="2335"/>
      <c r="MFR996" s="2335"/>
      <c r="MFS996" s="2335"/>
      <c r="MFT996" s="2335"/>
      <c r="MFU996" s="2335"/>
      <c r="MFV996" s="2335"/>
      <c r="MFW996" s="2335"/>
      <c r="MFX996" s="2335"/>
      <c r="MFY996" s="2335"/>
      <c r="MFZ996" s="2335"/>
      <c r="MGA996" s="2335"/>
      <c r="MGB996" s="2335"/>
      <c r="MGC996" s="2335"/>
      <c r="MGD996" s="2335"/>
      <c r="MGE996" s="2335"/>
      <c r="MGF996" s="2335"/>
      <c r="MGG996" s="2335"/>
      <c r="MGH996" s="2335"/>
      <c r="MGI996" s="2335"/>
      <c r="MGJ996" s="2335"/>
      <c r="MGK996" s="2335"/>
      <c r="MGL996" s="2335"/>
      <c r="MGM996" s="2335"/>
      <c r="MGN996" s="2335"/>
      <c r="MGO996" s="2335"/>
      <c r="MGP996" s="2335"/>
      <c r="MGQ996" s="2335"/>
      <c r="MGR996" s="2335"/>
      <c r="MGS996" s="2335"/>
      <c r="MGT996" s="2335"/>
      <c r="MGU996" s="2335"/>
      <c r="MGV996" s="2335"/>
      <c r="MGW996" s="2335"/>
      <c r="MGX996" s="2335"/>
      <c r="MGY996" s="2335"/>
      <c r="MGZ996" s="2335"/>
      <c r="MHA996" s="2335"/>
      <c r="MHB996" s="2335"/>
      <c r="MHC996" s="2335"/>
      <c r="MHD996" s="2335"/>
      <c r="MHE996" s="2335"/>
      <c r="MHF996" s="2335"/>
      <c r="MHG996" s="2335"/>
      <c r="MHH996" s="2335"/>
      <c r="MHI996" s="2335"/>
      <c r="MHJ996" s="2335"/>
      <c r="MHK996" s="2335"/>
      <c r="MHL996" s="2335"/>
      <c r="MHM996" s="2335"/>
      <c r="MHN996" s="2335"/>
      <c r="MHO996" s="2335"/>
      <c r="MHP996" s="2335"/>
      <c r="MHQ996" s="2335"/>
      <c r="MHR996" s="2335"/>
      <c r="MHS996" s="2335"/>
      <c r="MHT996" s="2335"/>
      <c r="MHU996" s="2335"/>
      <c r="MHV996" s="2335"/>
      <c r="MHW996" s="2335"/>
      <c r="MHX996" s="2335"/>
      <c r="MHY996" s="2335"/>
      <c r="MHZ996" s="2335"/>
      <c r="MIA996" s="2335"/>
      <c r="MIB996" s="2335"/>
      <c r="MIC996" s="2335"/>
      <c r="MID996" s="2335"/>
      <c r="MIE996" s="2335"/>
      <c r="MIF996" s="2335"/>
      <c r="MIG996" s="2335"/>
      <c r="MIH996" s="2335"/>
      <c r="MII996" s="2335"/>
      <c r="MIJ996" s="2335"/>
      <c r="MIK996" s="2335"/>
      <c r="MIL996" s="2335"/>
      <c r="MIM996" s="2335"/>
      <c r="MIN996" s="2335"/>
      <c r="MIO996" s="2335"/>
      <c r="MIP996" s="2335"/>
      <c r="MIQ996" s="2335"/>
      <c r="MIR996" s="2335"/>
      <c r="MIS996" s="2335"/>
      <c r="MIT996" s="2335"/>
      <c r="MIU996" s="2335"/>
      <c r="MIV996" s="2335"/>
      <c r="MIW996" s="2335"/>
      <c r="MIX996" s="2335"/>
      <c r="MIY996" s="2335"/>
      <c r="MIZ996" s="2335"/>
      <c r="MJA996" s="2335"/>
      <c r="MJB996" s="2335"/>
      <c r="MJC996" s="2335"/>
      <c r="MJD996" s="2335"/>
      <c r="MJE996" s="2335"/>
      <c r="MJF996" s="2335"/>
      <c r="MJG996" s="2335"/>
      <c r="MJH996" s="2335"/>
      <c r="MJI996" s="2335"/>
      <c r="MJJ996" s="2335"/>
      <c r="MJK996" s="2335"/>
      <c r="MJL996" s="2335"/>
      <c r="MJM996" s="2335"/>
      <c r="MJN996" s="2335"/>
      <c r="MJO996" s="2335"/>
      <c r="MJP996" s="2335"/>
      <c r="MJQ996" s="2335"/>
      <c r="MJR996" s="2335"/>
      <c r="MJS996" s="2335"/>
      <c r="MJT996" s="2335"/>
      <c r="MJU996" s="2335"/>
      <c r="MJV996" s="2335"/>
      <c r="MJW996" s="2335"/>
      <c r="MJX996" s="2335"/>
      <c r="MJY996" s="2335"/>
      <c r="MJZ996" s="2335"/>
      <c r="MKA996" s="2335"/>
      <c r="MKB996" s="2335"/>
      <c r="MKC996" s="2335"/>
      <c r="MKD996" s="2335"/>
      <c r="MKE996" s="2335"/>
      <c r="MKF996" s="2335"/>
      <c r="MKG996" s="2335"/>
      <c r="MKH996" s="2335"/>
      <c r="MKI996" s="2335"/>
      <c r="MKJ996" s="2335"/>
      <c r="MKK996" s="2335"/>
      <c r="MKL996" s="2335"/>
      <c r="MKM996" s="2335"/>
      <c r="MKN996" s="2335"/>
      <c r="MKO996" s="2335"/>
      <c r="MKP996" s="2335"/>
      <c r="MKQ996" s="2335"/>
      <c r="MKR996" s="2335"/>
      <c r="MKS996" s="2335"/>
      <c r="MKT996" s="2335"/>
      <c r="MKU996" s="2335"/>
      <c r="MKV996" s="2335"/>
      <c r="MKW996" s="2335"/>
      <c r="MKX996" s="2335"/>
      <c r="MKY996" s="2335"/>
      <c r="MKZ996" s="2335"/>
      <c r="MLA996" s="2335"/>
      <c r="MLB996" s="2335"/>
      <c r="MLC996" s="2335"/>
      <c r="MLD996" s="2335"/>
      <c r="MLE996" s="2335"/>
      <c r="MLF996" s="2335"/>
      <c r="MLG996" s="2335"/>
      <c r="MLH996" s="2335"/>
      <c r="MLI996" s="2335"/>
      <c r="MLJ996" s="2335"/>
      <c r="MLK996" s="2335"/>
      <c r="MLL996" s="2335"/>
      <c r="MLM996" s="2335"/>
      <c r="MLN996" s="2335"/>
      <c r="MLO996" s="2335"/>
      <c r="MLP996" s="2335"/>
      <c r="MLQ996" s="2335"/>
      <c r="MLR996" s="2335"/>
      <c r="MLS996" s="2335"/>
      <c r="MLT996" s="2335"/>
      <c r="MLU996" s="2335"/>
      <c r="MLV996" s="2335"/>
      <c r="MLW996" s="2335"/>
      <c r="MLX996" s="2335"/>
      <c r="MLY996" s="2335"/>
      <c r="MLZ996" s="2335"/>
      <c r="MMA996" s="2335"/>
      <c r="MMB996" s="2335"/>
      <c r="MMC996" s="2335"/>
      <c r="MMD996" s="2335"/>
      <c r="MME996" s="2335"/>
      <c r="MMF996" s="2335"/>
      <c r="MMG996" s="2335"/>
      <c r="MMH996" s="2335"/>
      <c r="MMI996" s="2335"/>
      <c r="MMJ996" s="2335"/>
      <c r="MMK996" s="2335"/>
      <c r="MML996" s="2335"/>
      <c r="MMM996" s="2335"/>
      <c r="MMN996" s="2335"/>
      <c r="MMO996" s="2335"/>
      <c r="MMP996" s="2335"/>
      <c r="MMQ996" s="2335"/>
      <c r="MMR996" s="2335"/>
      <c r="MMS996" s="2335"/>
      <c r="MMT996" s="2335"/>
      <c r="MMU996" s="2335"/>
      <c r="MMV996" s="2335"/>
      <c r="MMW996" s="2335"/>
      <c r="MMX996" s="2335"/>
      <c r="MMY996" s="2335"/>
      <c r="MMZ996" s="2335"/>
      <c r="MNA996" s="2335"/>
      <c r="MNB996" s="2335"/>
      <c r="MNC996" s="2335"/>
      <c r="MND996" s="2335"/>
      <c r="MNE996" s="2335"/>
      <c r="MNF996" s="2335"/>
      <c r="MNG996" s="2335"/>
      <c r="MNH996" s="2335"/>
      <c r="MNI996" s="2335"/>
      <c r="MNJ996" s="2335"/>
      <c r="MNK996" s="2335"/>
      <c r="MNL996" s="2335"/>
      <c r="MNM996" s="2335"/>
      <c r="MNN996" s="2335"/>
      <c r="MNO996" s="2335"/>
      <c r="MNP996" s="2335"/>
      <c r="MNQ996" s="2335"/>
      <c r="MNR996" s="2335"/>
      <c r="MNS996" s="2335"/>
      <c r="MNT996" s="2335"/>
      <c r="MNU996" s="2335"/>
      <c r="MNV996" s="2335"/>
      <c r="MNW996" s="2335"/>
      <c r="MNX996" s="2335"/>
      <c r="MNY996" s="2335"/>
      <c r="MNZ996" s="2335"/>
      <c r="MOA996" s="2335"/>
      <c r="MOB996" s="2335"/>
      <c r="MOC996" s="2335"/>
      <c r="MOD996" s="2335"/>
      <c r="MOE996" s="2335"/>
      <c r="MOF996" s="2335"/>
      <c r="MOG996" s="2335"/>
      <c r="MOH996" s="2335"/>
      <c r="MOI996" s="2335"/>
      <c r="MOJ996" s="2335"/>
      <c r="MOK996" s="2335"/>
      <c r="MOL996" s="2335"/>
      <c r="MOM996" s="2335"/>
      <c r="MON996" s="2335"/>
      <c r="MOO996" s="2335"/>
      <c r="MOP996" s="2335"/>
      <c r="MOQ996" s="2335"/>
      <c r="MOR996" s="2335"/>
      <c r="MOS996" s="2335"/>
      <c r="MOT996" s="2335"/>
      <c r="MOU996" s="2335"/>
      <c r="MOV996" s="2335"/>
      <c r="MOW996" s="2335"/>
      <c r="MOX996" s="2335"/>
      <c r="MOY996" s="2335"/>
      <c r="MOZ996" s="2335"/>
      <c r="MPA996" s="2335"/>
      <c r="MPB996" s="2335"/>
      <c r="MPC996" s="2335"/>
      <c r="MPD996" s="2335"/>
      <c r="MPE996" s="2335"/>
      <c r="MPF996" s="2335"/>
      <c r="MPG996" s="2335"/>
      <c r="MPH996" s="2335"/>
      <c r="MPI996" s="2335"/>
      <c r="MPJ996" s="2335"/>
      <c r="MPK996" s="2335"/>
      <c r="MPL996" s="2335"/>
      <c r="MPM996" s="2335"/>
      <c r="MPN996" s="2335"/>
      <c r="MPO996" s="2335"/>
      <c r="MPP996" s="2335"/>
      <c r="MPQ996" s="2335"/>
      <c r="MPR996" s="2335"/>
      <c r="MPS996" s="2335"/>
      <c r="MPT996" s="2335"/>
      <c r="MPU996" s="2335"/>
      <c r="MPV996" s="2335"/>
      <c r="MPW996" s="2335"/>
      <c r="MPX996" s="2335"/>
      <c r="MPY996" s="2335"/>
      <c r="MPZ996" s="2335"/>
      <c r="MQA996" s="2335"/>
      <c r="MQB996" s="2335"/>
      <c r="MQC996" s="2335"/>
      <c r="MQD996" s="2335"/>
      <c r="MQE996" s="2335"/>
      <c r="MQF996" s="2335"/>
      <c r="MQG996" s="2335"/>
      <c r="MQH996" s="2335"/>
      <c r="MQI996" s="2335"/>
      <c r="MQJ996" s="2335"/>
      <c r="MQK996" s="2335"/>
      <c r="MQL996" s="2335"/>
      <c r="MQM996" s="2335"/>
      <c r="MQN996" s="2335"/>
      <c r="MQO996" s="2335"/>
      <c r="MQP996" s="2335"/>
      <c r="MQQ996" s="2335"/>
      <c r="MQR996" s="2335"/>
      <c r="MQS996" s="2335"/>
      <c r="MQT996" s="2335"/>
      <c r="MQU996" s="2335"/>
      <c r="MQV996" s="2335"/>
      <c r="MQW996" s="2335"/>
      <c r="MQX996" s="2335"/>
      <c r="MQY996" s="2335"/>
      <c r="MQZ996" s="2335"/>
      <c r="MRA996" s="2335"/>
      <c r="MRB996" s="2335"/>
      <c r="MRC996" s="2335"/>
      <c r="MRD996" s="2335"/>
      <c r="MRE996" s="2335"/>
      <c r="MRF996" s="2335"/>
      <c r="MRG996" s="2335"/>
      <c r="MRH996" s="2335"/>
      <c r="MRI996" s="2335"/>
      <c r="MRJ996" s="2335"/>
      <c r="MRK996" s="2335"/>
      <c r="MRL996" s="2335"/>
      <c r="MRM996" s="2335"/>
      <c r="MRN996" s="2335"/>
      <c r="MRO996" s="2335"/>
      <c r="MRP996" s="2335"/>
      <c r="MRQ996" s="2335"/>
      <c r="MRR996" s="2335"/>
      <c r="MRS996" s="2335"/>
      <c r="MRT996" s="2335"/>
      <c r="MRU996" s="2335"/>
      <c r="MRV996" s="2335"/>
      <c r="MRW996" s="2335"/>
      <c r="MRX996" s="2335"/>
      <c r="MRY996" s="2335"/>
      <c r="MRZ996" s="2335"/>
      <c r="MSA996" s="2335"/>
      <c r="MSB996" s="2335"/>
      <c r="MSC996" s="2335"/>
      <c r="MSD996" s="2335"/>
      <c r="MSE996" s="2335"/>
      <c r="MSF996" s="2335"/>
      <c r="MSG996" s="2335"/>
      <c r="MSH996" s="2335"/>
      <c r="MSI996" s="2335"/>
      <c r="MSJ996" s="2335"/>
      <c r="MSK996" s="2335"/>
      <c r="MSL996" s="2335"/>
      <c r="MSM996" s="2335"/>
      <c r="MSN996" s="2335"/>
      <c r="MSO996" s="2335"/>
      <c r="MSP996" s="2335"/>
      <c r="MSQ996" s="2335"/>
      <c r="MSR996" s="2335"/>
      <c r="MSS996" s="2335"/>
      <c r="MST996" s="2335"/>
      <c r="MSU996" s="2335"/>
      <c r="MSV996" s="2335"/>
      <c r="MSW996" s="2335"/>
      <c r="MSX996" s="2335"/>
      <c r="MSY996" s="2335"/>
      <c r="MSZ996" s="2335"/>
      <c r="MTA996" s="2335"/>
      <c r="MTB996" s="2335"/>
      <c r="MTC996" s="2335"/>
      <c r="MTD996" s="2335"/>
      <c r="MTE996" s="2335"/>
      <c r="MTF996" s="2335"/>
      <c r="MTG996" s="2335"/>
      <c r="MTH996" s="2335"/>
      <c r="MTI996" s="2335"/>
      <c r="MTJ996" s="2335"/>
      <c r="MTK996" s="2335"/>
      <c r="MTL996" s="2335"/>
      <c r="MTM996" s="2335"/>
      <c r="MTN996" s="2335"/>
      <c r="MTO996" s="2335"/>
      <c r="MTP996" s="2335"/>
      <c r="MTQ996" s="2335"/>
      <c r="MTR996" s="2335"/>
      <c r="MTS996" s="2335"/>
      <c r="MTT996" s="2335"/>
      <c r="MTU996" s="2335"/>
      <c r="MTV996" s="2335"/>
      <c r="MTW996" s="2335"/>
      <c r="MTX996" s="2335"/>
      <c r="MTY996" s="2335"/>
      <c r="MTZ996" s="2335"/>
      <c r="MUA996" s="2335"/>
      <c r="MUB996" s="2335"/>
      <c r="MUC996" s="2335"/>
      <c r="MUD996" s="2335"/>
      <c r="MUE996" s="2335"/>
      <c r="MUF996" s="2335"/>
      <c r="MUG996" s="2335"/>
      <c r="MUH996" s="2335"/>
      <c r="MUI996" s="2335"/>
      <c r="MUJ996" s="2335"/>
      <c r="MUK996" s="2335"/>
      <c r="MUL996" s="2335"/>
      <c r="MUM996" s="2335"/>
      <c r="MUN996" s="2335"/>
      <c r="MUO996" s="2335"/>
      <c r="MUP996" s="2335"/>
      <c r="MUQ996" s="2335"/>
      <c r="MUR996" s="2335"/>
      <c r="MUS996" s="2335"/>
      <c r="MUT996" s="2335"/>
      <c r="MUU996" s="2335"/>
      <c r="MUV996" s="2335"/>
      <c r="MUW996" s="2335"/>
      <c r="MUX996" s="2335"/>
      <c r="MUY996" s="2335"/>
      <c r="MUZ996" s="2335"/>
      <c r="MVA996" s="2335"/>
      <c r="MVB996" s="2335"/>
      <c r="MVC996" s="2335"/>
      <c r="MVD996" s="2335"/>
      <c r="MVE996" s="2335"/>
      <c r="MVF996" s="2335"/>
      <c r="MVG996" s="2335"/>
      <c r="MVH996" s="2335"/>
      <c r="MVI996" s="2335"/>
      <c r="MVJ996" s="2335"/>
      <c r="MVK996" s="2335"/>
      <c r="MVL996" s="2335"/>
      <c r="MVM996" s="2335"/>
      <c r="MVN996" s="2335"/>
      <c r="MVO996" s="2335"/>
      <c r="MVP996" s="2335"/>
      <c r="MVQ996" s="2335"/>
      <c r="MVR996" s="2335"/>
      <c r="MVS996" s="2335"/>
      <c r="MVT996" s="2335"/>
      <c r="MVU996" s="2335"/>
      <c r="MVV996" s="2335"/>
      <c r="MVW996" s="2335"/>
      <c r="MVX996" s="2335"/>
      <c r="MVY996" s="2335"/>
      <c r="MVZ996" s="2335"/>
      <c r="MWA996" s="2335"/>
      <c r="MWB996" s="2335"/>
      <c r="MWC996" s="2335"/>
      <c r="MWD996" s="2335"/>
      <c r="MWE996" s="2335"/>
      <c r="MWF996" s="2335"/>
      <c r="MWG996" s="2335"/>
      <c r="MWH996" s="2335"/>
      <c r="MWI996" s="2335"/>
      <c r="MWJ996" s="2335"/>
      <c r="MWK996" s="2335"/>
      <c r="MWL996" s="2335"/>
      <c r="MWM996" s="2335"/>
      <c r="MWN996" s="2335"/>
      <c r="MWO996" s="2335"/>
      <c r="MWP996" s="2335"/>
      <c r="MWQ996" s="2335"/>
      <c r="MWR996" s="2335"/>
      <c r="MWS996" s="2335"/>
      <c r="MWT996" s="2335"/>
      <c r="MWU996" s="2335"/>
      <c r="MWV996" s="2335"/>
      <c r="MWW996" s="2335"/>
      <c r="MWX996" s="2335"/>
      <c r="MWY996" s="2335"/>
      <c r="MWZ996" s="2335"/>
      <c r="MXA996" s="2335"/>
      <c r="MXB996" s="2335"/>
      <c r="MXC996" s="2335"/>
      <c r="MXD996" s="2335"/>
      <c r="MXE996" s="2335"/>
      <c r="MXF996" s="2335"/>
      <c r="MXG996" s="2335"/>
      <c r="MXH996" s="2335"/>
      <c r="MXI996" s="2335"/>
      <c r="MXJ996" s="2335"/>
      <c r="MXK996" s="2335"/>
      <c r="MXL996" s="2335"/>
      <c r="MXM996" s="2335"/>
      <c r="MXN996" s="2335"/>
      <c r="MXO996" s="2335"/>
      <c r="MXP996" s="2335"/>
      <c r="MXQ996" s="2335"/>
      <c r="MXR996" s="2335"/>
      <c r="MXS996" s="2335"/>
      <c r="MXT996" s="2335"/>
      <c r="MXU996" s="2335"/>
      <c r="MXV996" s="2335"/>
      <c r="MXW996" s="2335"/>
      <c r="MXX996" s="2335"/>
      <c r="MXY996" s="2335"/>
      <c r="MXZ996" s="2335"/>
      <c r="MYA996" s="2335"/>
      <c r="MYB996" s="2335"/>
      <c r="MYC996" s="2335"/>
      <c r="MYD996" s="2335"/>
      <c r="MYE996" s="2335"/>
      <c r="MYF996" s="2335"/>
      <c r="MYG996" s="2335"/>
      <c r="MYH996" s="2335"/>
      <c r="MYI996" s="2335"/>
      <c r="MYJ996" s="2335"/>
      <c r="MYK996" s="2335"/>
      <c r="MYL996" s="2335"/>
      <c r="MYM996" s="2335"/>
      <c r="MYN996" s="2335"/>
      <c r="MYO996" s="2335"/>
      <c r="MYP996" s="2335"/>
      <c r="MYQ996" s="2335"/>
      <c r="MYR996" s="2335"/>
      <c r="MYS996" s="2335"/>
      <c r="MYT996" s="2335"/>
      <c r="MYU996" s="2335"/>
      <c r="MYV996" s="2335"/>
      <c r="MYW996" s="2335"/>
      <c r="MYX996" s="2335"/>
      <c r="MYY996" s="2335"/>
      <c r="MYZ996" s="2335"/>
      <c r="MZA996" s="2335"/>
      <c r="MZB996" s="2335"/>
      <c r="MZC996" s="2335"/>
      <c r="MZD996" s="2335"/>
      <c r="MZE996" s="2335"/>
      <c r="MZF996" s="2335"/>
      <c r="MZG996" s="2335"/>
      <c r="MZH996" s="2335"/>
      <c r="MZI996" s="2335"/>
      <c r="MZJ996" s="2335"/>
      <c r="MZK996" s="2335"/>
      <c r="MZL996" s="2335"/>
      <c r="MZM996" s="2335"/>
      <c r="MZN996" s="2335"/>
      <c r="MZO996" s="2335"/>
      <c r="MZP996" s="2335"/>
      <c r="MZQ996" s="2335"/>
      <c r="MZR996" s="2335"/>
      <c r="MZS996" s="2335"/>
      <c r="MZT996" s="2335"/>
      <c r="MZU996" s="2335"/>
      <c r="MZV996" s="2335"/>
      <c r="MZW996" s="2335"/>
      <c r="MZX996" s="2335"/>
      <c r="MZY996" s="2335"/>
      <c r="MZZ996" s="2335"/>
      <c r="NAA996" s="2335"/>
      <c r="NAB996" s="2335"/>
      <c r="NAC996" s="2335"/>
      <c r="NAD996" s="2335"/>
      <c r="NAE996" s="2335"/>
      <c r="NAF996" s="2335"/>
      <c r="NAG996" s="2335"/>
      <c r="NAH996" s="2335"/>
      <c r="NAI996" s="2335"/>
      <c r="NAJ996" s="2335"/>
      <c r="NAK996" s="2335"/>
      <c r="NAL996" s="2335"/>
      <c r="NAM996" s="2335"/>
      <c r="NAN996" s="2335"/>
      <c r="NAO996" s="2335"/>
      <c r="NAP996" s="2335"/>
      <c r="NAQ996" s="2335"/>
      <c r="NAR996" s="2335"/>
      <c r="NAS996" s="2335"/>
      <c r="NAT996" s="2335"/>
      <c r="NAU996" s="2335"/>
      <c r="NAV996" s="2335"/>
      <c r="NAW996" s="2335"/>
      <c r="NAX996" s="2335"/>
      <c r="NAY996" s="2335"/>
      <c r="NAZ996" s="2335"/>
      <c r="NBA996" s="2335"/>
      <c r="NBB996" s="2335"/>
      <c r="NBC996" s="2335"/>
      <c r="NBD996" s="2335"/>
      <c r="NBE996" s="2335"/>
      <c r="NBF996" s="2335"/>
      <c r="NBG996" s="2335"/>
      <c r="NBH996" s="2335"/>
      <c r="NBI996" s="2335"/>
      <c r="NBJ996" s="2335"/>
      <c r="NBK996" s="2335"/>
      <c r="NBL996" s="2335"/>
      <c r="NBM996" s="2335"/>
      <c r="NBN996" s="2335"/>
      <c r="NBO996" s="2335"/>
      <c r="NBP996" s="2335"/>
      <c r="NBQ996" s="2335"/>
      <c r="NBR996" s="2335"/>
      <c r="NBS996" s="2335"/>
      <c r="NBT996" s="2335"/>
      <c r="NBU996" s="2335"/>
      <c r="NBV996" s="2335"/>
      <c r="NBW996" s="2335"/>
      <c r="NBX996" s="2335"/>
      <c r="NBY996" s="2335"/>
      <c r="NBZ996" s="2335"/>
      <c r="NCA996" s="2335"/>
      <c r="NCB996" s="2335"/>
      <c r="NCC996" s="2335"/>
      <c r="NCD996" s="2335"/>
      <c r="NCE996" s="2335"/>
      <c r="NCF996" s="2335"/>
      <c r="NCG996" s="2335"/>
      <c r="NCH996" s="2335"/>
      <c r="NCI996" s="2335"/>
      <c r="NCJ996" s="2335"/>
      <c r="NCK996" s="2335"/>
      <c r="NCL996" s="2335"/>
      <c r="NCM996" s="2335"/>
      <c r="NCN996" s="2335"/>
      <c r="NCO996" s="2335"/>
      <c r="NCP996" s="2335"/>
      <c r="NCQ996" s="2335"/>
      <c r="NCR996" s="2335"/>
      <c r="NCS996" s="2335"/>
      <c r="NCT996" s="2335"/>
      <c r="NCU996" s="2335"/>
      <c r="NCV996" s="2335"/>
      <c r="NCW996" s="2335"/>
      <c r="NCX996" s="2335"/>
      <c r="NCY996" s="2335"/>
      <c r="NCZ996" s="2335"/>
      <c r="NDA996" s="2335"/>
      <c r="NDB996" s="2335"/>
      <c r="NDC996" s="2335"/>
      <c r="NDD996" s="2335"/>
      <c r="NDE996" s="2335"/>
      <c r="NDF996" s="2335"/>
      <c r="NDG996" s="2335"/>
      <c r="NDH996" s="2335"/>
      <c r="NDI996" s="2335"/>
      <c r="NDJ996" s="2335"/>
      <c r="NDK996" s="2335"/>
      <c r="NDL996" s="2335"/>
      <c r="NDM996" s="2335"/>
      <c r="NDN996" s="2335"/>
      <c r="NDO996" s="2335"/>
      <c r="NDP996" s="2335"/>
      <c r="NDQ996" s="2335"/>
      <c r="NDR996" s="2335"/>
      <c r="NDS996" s="2335"/>
      <c r="NDT996" s="2335"/>
      <c r="NDU996" s="2335"/>
      <c r="NDV996" s="2335"/>
      <c r="NDW996" s="2335"/>
      <c r="NDX996" s="2335"/>
      <c r="NDY996" s="2335"/>
      <c r="NDZ996" s="2335"/>
      <c r="NEA996" s="2335"/>
      <c r="NEB996" s="2335"/>
      <c r="NEC996" s="2335"/>
      <c r="NED996" s="2335"/>
      <c r="NEE996" s="2335"/>
      <c r="NEF996" s="2335"/>
      <c r="NEG996" s="2335"/>
      <c r="NEH996" s="2335"/>
      <c r="NEI996" s="2335"/>
      <c r="NEJ996" s="2335"/>
      <c r="NEK996" s="2335"/>
      <c r="NEL996" s="2335"/>
      <c r="NEM996" s="2335"/>
      <c r="NEN996" s="2335"/>
      <c r="NEO996" s="2335"/>
      <c r="NEP996" s="2335"/>
      <c r="NEQ996" s="2335"/>
      <c r="NER996" s="2335"/>
      <c r="NES996" s="2335"/>
      <c r="NET996" s="2335"/>
      <c r="NEU996" s="2335"/>
      <c r="NEV996" s="2335"/>
      <c r="NEW996" s="2335"/>
      <c r="NEX996" s="2335"/>
      <c r="NEY996" s="2335"/>
      <c r="NEZ996" s="2335"/>
      <c r="NFA996" s="2335"/>
      <c r="NFB996" s="2335"/>
      <c r="NFC996" s="2335"/>
      <c r="NFD996" s="2335"/>
      <c r="NFE996" s="2335"/>
      <c r="NFF996" s="2335"/>
      <c r="NFG996" s="2335"/>
      <c r="NFH996" s="2335"/>
      <c r="NFI996" s="2335"/>
      <c r="NFJ996" s="2335"/>
      <c r="NFK996" s="2335"/>
      <c r="NFL996" s="2335"/>
      <c r="NFM996" s="2335"/>
      <c r="NFN996" s="2335"/>
      <c r="NFO996" s="2335"/>
      <c r="NFP996" s="2335"/>
      <c r="NFQ996" s="2335"/>
      <c r="NFR996" s="2335"/>
      <c r="NFS996" s="2335"/>
      <c r="NFT996" s="2335"/>
      <c r="NFU996" s="2335"/>
      <c r="NFV996" s="2335"/>
      <c r="NFW996" s="2335"/>
      <c r="NFX996" s="2335"/>
      <c r="NFY996" s="2335"/>
      <c r="NFZ996" s="2335"/>
      <c r="NGA996" s="2335"/>
      <c r="NGB996" s="2335"/>
      <c r="NGC996" s="2335"/>
      <c r="NGD996" s="2335"/>
      <c r="NGE996" s="2335"/>
      <c r="NGF996" s="2335"/>
      <c r="NGG996" s="2335"/>
      <c r="NGH996" s="2335"/>
      <c r="NGI996" s="2335"/>
      <c r="NGJ996" s="2335"/>
      <c r="NGK996" s="2335"/>
      <c r="NGL996" s="2335"/>
      <c r="NGM996" s="2335"/>
      <c r="NGN996" s="2335"/>
      <c r="NGO996" s="2335"/>
      <c r="NGP996" s="2335"/>
      <c r="NGQ996" s="2335"/>
      <c r="NGR996" s="2335"/>
      <c r="NGS996" s="2335"/>
      <c r="NGT996" s="2335"/>
      <c r="NGU996" s="2335"/>
      <c r="NGV996" s="2335"/>
      <c r="NGW996" s="2335"/>
      <c r="NGX996" s="2335"/>
      <c r="NGY996" s="2335"/>
      <c r="NGZ996" s="2335"/>
      <c r="NHA996" s="2335"/>
      <c r="NHB996" s="2335"/>
      <c r="NHC996" s="2335"/>
      <c r="NHD996" s="2335"/>
      <c r="NHE996" s="2335"/>
      <c r="NHF996" s="2335"/>
      <c r="NHG996" s="2335"/>
      <c r="NHH996" s="2335"/>
      <c r="NHI996" s="2335"/>
      <c r="NHJ996" s="2335"/>
      <c r="NHK996" s="2335"/>
      <c r="NHL996" s="2335"/>
      <c r="NHM996" s="2335"/>
      <c r="NHN996" s="2335"/>
      <c r="NHO996" s="2335"/>
      <c r="NHP996" s="2335"/>
      <c r="NHQ996" s="2335"/>
      <c r="NHR996" s="2335"/>
      <c r="NHS996" s="2335"/>
      <c r="NHT996" s="2335"/>
      <c r="NHU996" s="2335"/>
      <c r="NHV996" s="2335"/>
      <c r="NHW996" s="2335"/>
      <c r="NHX996" s="2335"/>
      <c r="NHY996" s="2335"/>
      <c r="NHZ996" s="2335"/>
      <c r="NIA996" s="2335"/>
      <c r="NIB996" s="2335"/>
      <c r="NIC996" s="2335"/>
      <c r="NID996" s="2335"/>
      <c r="NIE996" s="2335"/>
      <c r="NIF996" s="2335"/>
      <c r="NIG996" s="2335"/>
      <c r="NIH996" s="2335"/>
      <c r="NII996" s="2335"/>
      <c r="NIJ996" s="2335"/>
      <c r="NIK996" s="2335"/>
      <c r="NIL996" s="2335"/>
      <c r="NIM996" s="2335"/>
      <c r="NIN996" s="2335"/>
      <c r="NIO996" s="2335"/>
      <c r="NIP996" s="2335"/>
      <c r="NIQ996" s="2335"/>
      <c r="NIR996" s="2335"/>
      <c r="NIS996" s="2335"/>
      <c r="NIT996" s="2335"/>
      <c r="NIU996" s="2335"/>
      <c r="NIV996" s="2335"/>
      <c r="NIW996" s="2335"/>
      <c r="NIX996" s="2335"/>
      <c r="NIY996" s="2335"/>
      <c r="NIZ996" s="2335"/>
      <c r="NJA996" s="2335"/>
      <c r="NJB996" s="2335"/>
      <c r="NJC996" s="2335"/>
      <c r="NJD996" s="2335"/>
      <c r="NJE996" s="2335"/>
      <c r="NJF996" s="2335"/>
      <c r="NJG996" s="2335"/>
      <c r="NJH996" s="2335"/>
      <c r="NJI996" s="2335"/>
      <c r="NJJ996" s="2335"/>
      <c r="NJK996" s="2335"/>
      <c r="NJL996" s="2335"/>
      <c r="NJM996" s="2335"/>
      <c r="NJN996" s="2335"/>
      <c r="NJO996" s="2335"/>
      <c r="NJP996" s="2335"/>
      <c r="NJQ996" s="2335"/>
      <c r="NJR996" s="2335"/>
      <c r="NJS996" s="2335"/>
      <c r="NJT996" s="2335"/>
      <c r="NJU996" s="2335"/>
      <c r="NJV996" s="2335"/>
      <c r="NJW996" s="2335"/>
      <c r="NJX996" s="2335"/>
      <c r="NJY996" s="2335"/>
      <c r="NJZ996" s="2335"/>
      <c r="NKA996" s="2335"/>
      <c r="NKB996" s="2335"/>
      <c r="NKC996" s="2335"/>
      <c r="NKD996" s="2335"/>
      <c r="NKE996" s="2335"/>
      <c r="NKF996" s="2335"/>
      <c r="NKG996" s="2335"/>
      <c r="NKH996" s="2335"/>
      <c r="NKI996" s="2335"/>
      <c r="NKJ996" s="2335"/>
      <c r="NKK996" s="2335"/>
      <c r="NKL996" s="2335"/>
      <c r="NKM996" s="2335"/>
      <c r="NKN996" s="2335"/>
      <c r="NKO996" s="2335"/>
      <c r="NKP996" s="2335"/>
      <c r="NKQ996" s="2335"/>
      <c r="NKR996" s="2335"/>
      <c r="NKS996" s="2335"/>
      <c r="NKT996" s="2335"/>
      <c r="NKU996" s="2335"/>
      <c r="NKV996" s="2335"/>
      <c r="NKW996" s="2335"/>
      <c r="NKX996" s="2335"/>
      <c r="NKY996" s="2335"/>
      <c r="NKZ996" s="2335"/>
      <c r="NLA996" s="2335"/>
      <c r="NLB996" s="2335"/>
      <c r="NLC996" s="2335"/>
      <c r="NLD996" s="2335"/>
      <c r="NLE996" s="2335"/>
      <c r="NLF996" s="2335"/>
      <c r="NLG996" s="2335"/>
      <c r="NLH996" s="2335"/>
      <c r="NLI996" s="2335"/>
      <c r="NLJ996" s="2335"/>
      <c r="NLK996" s="2335"/>
      <c r="NLL996" s="2335"/>
      <c r="NLM996" s="2335"/>
      <c r="NLN996" s="2335"/>
      <c r="NLO996" s="2335"/>
      <c r="NLP996" s="2335"/>
      <c r="NLQ996" s="2335"/>
      <c r="NLR996" s="2335"/>
      <c r="NLS996" s="2335"/>
      <c r="NLT996" s="2335"/>
      <c r="NLU996" s="2335"/>
      <c r="NLV996" s="2335"/>
      <c r="NLW996" s="2335"/>
      <c r="NLX996" s="2335"/>
      <c r="NLY996" s="2335"/>
      <c r="NLZ996" s="2335"/>
      <c r="NMA996" s="2335"/>
      <c r="NMB996" s="2335"/>
      <c r="NMC996" s="2335"/>
      <c r="NMD996" s="2335"/>
      <c r="NME996" s="2335"/>
      <c r="NMF996" s="2335"/>
      <c r="NMG996" s="2335"/>
      <c r="NMH996" s="2335"/>
      <c r="NMI996" s="2335"/>
      <c r="NMJ996" s="2335"/>
      <c r="NMK996" s="2335"/>
      <c r="NML996" s="2335"/>
      <c r="NMM996" s="2335"/>
      <c r="NMN996" s="2335"/>
      <c r="NMO996" s="2335"/>
      <c r="NMP996" s="2335"/>
      <c r="NMQ996" s="2335"/>
      <c r="NMR996" s="2335"/>
      <c r="NMS996" s="2335"/>
      <c r="NMT996" s="2335"/>
      <c r="NMU996" s="2335"/>
      <c r="NMV996" s="2335"/>
      <c r="NMW996" s="2335"/>
      <c r="NMX996" s="2335"/>
      <c r="NMY996" s="2335"/>
      <c r="NMZ996" s="2335"/>
      <c r="NNA996" s="2335"/>
      <c r="NNB996" s="2335"/>
      <c r="NNC996" s="2335"/>
      <c r="NND996" s="2335"/>
      <c r="NNE996" s="2335"/>
      <c r="NNF996" s="2335"/>
      <c r="NNG996" s="2335"/>
      <c r="NNH996" s="2335"/>
      <c r="NNI996" s="2335"/>
      <c r="NNJ996" s="2335"/>
      <c r="NNK996" s="2335"/>
      <c r="NNL996" s="2335"/>
      <c r="NNM996" s="2335"/>
      <c r="NNN996" s="2335"/>
      <c r="NNO996" s="2335"/>
      <c r="NNP996" s="2335"/>
      <c r="NNQ996" s="2335"/>
      <c r="NNR996" s="2335"/>
      <c r="NNS996" s="2335"/>
      <c r="NNT996" s="2335"/>
      <c r="NNU996" s="2335"/>
      <c r="NNV996" s="2335"/>
      <c r="NNW996" s="2335"/>
      <c r="NNX996" s="2335"/>
      <c r="NNY996" s="2335"/>
      <c r="NNZ996" s="2335"/>
      <c r="NOA996" s="2335"/>
      <c r="NOB996" s="2335"/>
      <c r="NOC996" s="2335"/>
      <c r="NOD996" s="2335"/>
      <c r="NOE996" s="2335"/>
      <c r="NOF996" s="2335"/>
      <c r="NOG996" s="2335"/>
      <c r="NOH996" s="2335"/>
      <c r="NOI996" s="2335"/>
      <c r="NOJ996" s="2335"/>
      <c r="NOK996" s="2335"/>
      <c r="NOL996" s="2335"/>
      <c r="NOM996" s="2335"/>
      <c r="NON996" s="2335"/>
      <c r="NOO996" s="2335"/>
      <c r="NOP996" s="2335"/>
      <c r="NOQ996" s="2335"/>
      <c r="NOR996" s="2335"/>
      <c r="NOS996" s="2335"/>
      <c r="NOT996" s="2335"/>
      <c r="NOU996" s="2335"/>
      <c r="NOV996" s="2335"/>
      <c r="NOW996" s="2335"/>
      <c r="NOX996" s="2335"/>
      <c r="NOY996" s="2335"/>
      <c r="NOZ996" s="2335"/>
      <c r="NPA996" s="2335"/>
      <c r="NPB996" s="2335"/>
      <c r="NPC996" s="2335"/>
      <c r="NPD996" s="2335"/>
      <c r="NPE996" s="2335"/>
      <c r="NPF996" s="2335"/>
      <c r="NPG996" s="2335"/>
      <c r="NPH996" s="2335"/>
      <c r="NPI996" s="2335"/>
      <c r="NPJ996" s="2335"/>
      <c r="NPK996" s="2335"/>
      <c r="NPL996" s="2335"/>
      <c r="NPM996" s="2335"/>
      <c r="NPN996" s="2335"/>
      <c r="NPO996" s="2335"/>
      <c r="NPP996" s="2335"/>
      <c r="NPQ996" s="2335"/>
      <c r="NPR996" s="2335"/>
      <c r="NPS996" s="2335"/>
      <c r="NPT996" s="2335"/>
      <c r="NPU996" s="2335"/>
      <c r="NPV996" s="2335"/>
      <c r="NPW996" s="2335"/>
      <c r="NPX996" s="2335"/>
      <c r="NPY996" s="2335"/>
      <c r="NPZ996" s="2335"/>
      <c r="NQA996" s="2335"/>
      <c r="NQB996" s="2335"/>
      <c r="NQC996" s="2335"/>
      <c r="NQD996" s="2335"/>
      <c r="NQE996" s="2335"/>
      <c r="NQF996" s="2335"/>
      <c r="NQG996" s="2335"/>
      <c r="NQH996" s="2335"/>
      <c r="NQI996" s="2335"/>
      <c r="NQJ996" s="2335"/>
      <c r="NQK996" s="2335"/>
      <c r="NQL996" s="2335"/>
      <c r="NQM996" s="2335"/>
      <c r="NQN996" s="2335"/>
      <c r="NQO996" s="2335"/>
      <c r="NQP996" s="2335"/>
      <c r="NQQ996" s="2335"/>
      <c r="NQR996" s="2335"/>
      <c r="NQS996" s="2335"/>
      <c r="NQT996" s="2335"/>
      <c r="NQU996" s="2335"/>
      <c r="NQV996" s="2335"/>
      <c r="NQW996" s="2335"/>
      <c r="NQX996" s="2335"/>
      <c r="NQY996" s="2335"/>
      <c r="NQZ996" s="2335"/>
      <c r="NRA996" s="2335"/>
      <c r="NRB996" s="2335"/>
      <c r="NRC996" s="2335"/>
      <c r="NRD996" s="2335"/>
      <c r="NRE996" s="2335"/>
      <c r="NRF996" s="2335"/>
      <c r="NRG996" s="2335"/>
      <c r="NRH996" s="2335"/>
      <c r="NRI996" s="2335"/>
      <c r="NRJ996" s="2335"/>
      <c r="NRK996" s="2335"/>
      <c r="NRL996" s="2335"/>
      <c r="NRM996" s="2335"/>
      <c r="NRN996" s="2335"/>
      <c r="NRO996" s="2335"/>
      <c r="NRP996" s="2335"/>
      <c r="NRQ996" s="2335"/>
      <c r="NRR996" s="2335"/>
      <c r="NRS996" s="2335"/>
      <c r="NRT996" s="2335"/>
      <c r="NRU996" s="2335"/>
      <c r="NRV996" s="2335"/>
      <c r="NRW996" s="2335"/>
      <c r="NRX996" s="2335"/>
      <c r="NRY996" s="2335"/>
      <c r="NRZ996" s="2335"/>
      <c r="NSA996" s="2335"/>
      <c r="NSB996" s="2335"/>
      <c r="NSC996" s="2335"/>
      <c r="NSD996" s="2335"/>
      <c r="NSE996" s="2335"/>
      <c r="NSF996" s="2335"/>
      <c r="NSG996" s="2335"/>
      <c r="NSH996" s="2335"/>
      <c r="NSI996" s="2335"/>
      <c r="NSJ996" s="2335"/>
      <c r="NSK996" s="2335"/>
      <c r="NSL996" s="2335"/>
      <c r="NSM996" s="2335"/>
      <c r="NSN996" s="2335"/>
      <c r="NSO996" s="2335"/>
      <c r="NSP996" s="2335"/>
      <c r="NSQ996" s="2335"/>
      <c r="NSR996" s="2335"/>
      <c r="NSS996" s="2335"/>
      <c r="NST996" s="2335"/>
      <c r="NSU996" s="2335"/>
      <c r="NSV996" s="2335"/>
      <c r="NSW996" s="2335"/>
      <c r="NSX996" s="2335"/>
      <c r="NSY996" s="2335"/>
      <c r="NSZ996" s="2335"/>
      <c r="NTA996" s="2335"/>
      <c r="NTB996" s="2335"/>
      <c r="NTC996" s="2335"/>
      <c r="NTD996" s="2335"/>
      <c r="NTE996" s="2335"/>
      <c r="NTF996" s="2335"/>
      <c r="NTG996" s="2335"/>
      <c r="NTH996" s="2335"/>
      <c r="NTI996" s="2335"/>
      <c r="NTJ996" s="2335"/>
      <c r="NTK996" s="2335"/>
      <c r="NTL996" s="2335"/>
      <c r="NTM996" s="2335"/>
      <c r="NTN996" s="2335"/>
      <c r="NTO996" s="2335"/>
      <c r="NTP996" s="2335"/>
      <c r="NTQ996" s="2335"/>
      <c r="NTR996" s="2335"/>
      <c r="NTS996" s="2335"/>
      <c r="NTT996" s="2335"/>
      <c r="NTU996" s="2335"/>
      <c r="NTV996" s="2335"/>
      <c r="NTW996" s="2335"/>
      <c r="NTX996" s="2335"/>
      <c r="NTY996" s="2335"/>
      <c r="NTZ996" s="2335"/>
      <c r="NUA996" s="2335"/>
      <c r="NUB996" s="2335"/>
      <c r="NUC996" s="2335"/>
      <c r="NUD996" s="2335"/>
      <c r="NUE996" s="2335"/>
      <c r="NUF996" s="2335"/>
      <c r="NUG996" s="2335"/>
      <c r="NUH996" s="2335"/>
      <c r="NUI996" s="2335"/>
      <c r="NUJ996" s="2335"/>
      <c r="NUK996" s="2335"/>
      <c r="NUL996" s="2335"/>
      <c r="NUM996" s="2335"/>
      <c r="NUN996" s="2335"/>
      <c r="NUO996" s="2335"/>
      <c r="NUP996" s="2335"/>
      <c r="NUQ996" s="2335"/>
      <c r="NUR996" s="2335"/>
      <c r="NUS996" s="2335"/>
      <c r="NUT996" s="2335"/>
      <c r="NUU996" s="2335"/>
      <c r="NUV996" s="2335"/>
      <c r="NUW996" s="2335"/>
      <c r="NUX996" s="2335"/>
      <c r="NUY996" s="2335"/>
      <c r="NUZ996" s="2335"/>
      <c r="NVA996" s="2335"/>
      <c r="NVB996" s="2335"/>
      <c r="NVC996" s="2335"/>
      <c r="NVD996" s="2335"/>
      <c r="NVE996" s="2335"/>
      <c r="NVF996" s="2335"/>
      <c r="NVG996" s="2335"/>
      <c r="NVH996" s="2335"/>
      <c r="NVI996" s="2335"/>
      <c r="NVJ996" s="2335"/>
      <c r="NVK996" s="2335"/>
      <c r="NVL996" s="2335"/>
      <c r="NVM996" s="2335"/>
      <c r="NVN996" s="2335"/>
      <c r="NVO996" s="2335"/>
      <c r="NVP996" s="2335"/>
      <c r="NVQ996" s="2335"/>
      <c r="NVR996" s="2335"/>
      <c r="NVS996" s="2335"/>
      <c r="NVT996" s="2335"/>
      <c r="NVU996" s="2335"/>
      <c r="NVV996" s="2335"/>
      <c r="NVW996" s="2335"/>
      <c r="NVX996" s="2335"/>
      <c r="NVY996" s="2335"/>
      <c r="NVZ996" s="2335"/>
      <c r="NWA996" s="2335"/>
      <c r="NWB996" s="2335"/>
      <c r="NWC996" s="2335"/>
      <c r="NWD996" s="2335"/>
      <c r="NWE996" s="2335"/>
      <c r="NWF996" s="2335"/>
      <c r="NWG996" s="2335"/>
      <c r="NWH996" s="2335"/>
      <c r="NWI996" s="2335"/>
      <c r="NWJ996" s="2335"/>
      <c r="NWK996" s="2335"/>
      <c r="NWL996" s="2335"/>
      <c r="NWM996" s="2335"/>
      <c r="NWN996" s="2335"/>
      <c r="NWO996" s="2335"/>
      <c r="NWP996" s="2335"/>
      <c r="NWQ996" s="2335"/>
      <c r="NWR996" s="2335"/>
      <c r="NWS996" s="2335"/>
      <c r="NWT996" s="2335"/>
      <c r="NWU996" s="2335"/>
      <c r="NWV996" s="2335"/>
      <c r="NWW996" s="2335"/>
      <c r="NWX996" s="2335"/>
      <c r="NWY996" s="2335"/>
      <c r="NWZ996" s="2335"/>
      <c r="NXA996" s="2335"/>
      <c r="NXB996" s="2335"/>
      <c r="NXC996" s="2335"/>
      <c r="NXD996" s="2335"/>
      <c r="NXE996" s="2335"/>
      <c r="NXF996" s="2335"/>
      <c r="NXG996" s="2335"/>
      <c r="NXH996" s="2335"/>
      <c r="NXI996" s="2335"/>
      <c r="NXJ996" s="2335"/>
      <c r="NXK996" s="2335"/>
      <c r="NXL996" s="2335"/>
      <c r="NXM996" s="2335"/>
      <c r="NXN996" s="2335"/>
      <c r="NXO996" s="2335"/>
      <c r="NXP996" s="2335"/>
      <c r="NXQ996" s="2335"/>
      <c r="NXR996" s="2335"/>
      <c r="NXS996" s="2335"/>
      <c r="NXT996" s="2335"/>
      <c r="NXU996" s="2335"/>
      <c r="NXV996" s="2335"/>
      <c r="NXW996" s="2335"/>
      <c r="NXX996" s="2335"/>
      <c r="NXY996" s="2335"/>
      <c r="NXZ996" s="2335"/>
      <c r="NYA996" s="2335"/>
      <c r="NYB996" s="2335"/>
      <c r="NYC996" s="2335"/>
      <c r="NYD996" s="2335"/>
      <c r="NYE996" s="2335"/>
      <c r="NYF996" s="2335"/>
      <c r="NYG996" s="2335"/>
      <c r="NYH996" s="2335"/>
      <c r="NYI996" s="2335"/>
      <c r="NYJ996" s="2335"/>
      <c r="NYK996" s="2335"/>
      <c r="NYL996" s="2335"/>
      <c r="NYM996" s="2335"/>
      <c r="NYN996" s="2335"/>
      <c r="NYO996" s="2335"/>
      <c r="NYP996" s="2335"/>
      <c r="NYQ996" s="2335"/>
      <c r="NYR996" s="2335"/>
      <c r="NYS996" s="2335"/>
      <c r="NYT996" s="2335"/>
      <c r="NYU996" s="2335"/>
      <c r="NYV996" s="2335"/>
      <c r="NYW996" s="2335"/>
      <c r="NYX996" s="2335"/>
      <c r="NYY996" s="2335"/>
      <c r="NYZ996" s="2335"/>
      <c r="NZA996" s="2335"/>
      <c r="NZB996" s="2335"/>
      <c r="NZC996" s="2335"/>
      <c r="NZD996" s="2335"/>
      <c r="NZE996" s="2335"/>
      <c r="NZF996" s="2335"/>
      <c r="NZG996" s="2335"/>
      <c r="NZH996" s="2335"/>
      <c r="NZI996" s="2335"/>
      <c r="NZJ996" s="2335"/>
      <c r="NZK996" s="2335"/>
      <c r="NZL996" s="2335"/>
      <c r="NZM996" s="2335"/>
      <c r="NZN996" s="2335"/>
      <c r="NZO996" s="2335"/>
      <c r="NZP996" s="2335"/>
      <c r="NZQ996" s="2335"/>
      <c r="NZR996" s="2335"/>
      <c r="NZS996" s="2335"/>
      <c r="NZT996" s="2335"/>
      <c r="NZU996" s="2335"/>
      <c r="NZV996" s="2335"/>
      <c r="NZW996" s="2335"/>
      <c r="NZX996" s="2335"/>
      <c r="NZY996" s="2335"/>
      <c r="NZZ996" s="2335"/>
      <c r="OAA996" s="2335"/>
      <c r="OAB996" s="2335"/>
      <c r="OAC996" s="2335"/>
      <c r="OAD996" s="2335"/>
      <c r="OAE996" s="2335"/>
      <c r="OAF996" s="2335"/>
      <c r="OAG996" s="2335"/>
      <c r="OAH996" s="2335"/>
      <c r="OAI996" s="2335"/>
      <c r="OAJ996" s="2335"/>
      <c r="OAK996" s="2335"/>
      <c r="OAL996" s="2335"/>
      <c r="OAM996" s="2335"/>
      <c r="OAN996" s="2335"/>
      <c r="OAO996" s="2335"/>
      <c r="OAP996" s="2335"/>
      <c r="OAQ996" s="2335"/>
      <c r="OAR996" s="2335"/>
      <c r="OAS996" s="2335"/>
      <c r="OAT996" s="2335"/>
      <c r="OAU996" s="2335"/>
      <c r="OAV996" s="2335"/>
      <c r="OAW996" s="2335"/>
      <c r="OAX996" s="2335"/>
      <c r="OAY996" s="2335"/>
      <c r="OAZ996" s="2335"/>
      <c r="OBA996" s="2335"/>
      <c r="OBB996" s="2335"/>
      <c r="OBC996" s="2335"/>
      <c r="OBD996" s="2335"/>
      <c r="OBE996" s="2335"/>
      <c r="OBF996" s="2335"/>
      <c r="OBG996" s="2335"/>
      <c r="OBH996" s="2335"/>
      <c r="OBI996" s="2335"/>
      <c r="OBJ996" s="2335"/>
      <c r="OBK996" s="2335"/>
      <c r="OBL996" s="2335"/>
      <c r="OBM996" s="2335"/>
      <c r="OBN996" s="2335"/>
      <c r="OBO996" s="2335"/>
      <c r="OBP996" s="2335"/>
      <c r="OBQ996" s="2335"/>
      <c r="OBR996" s="2335"/>
      <c r="OBS996" s="2335"/>
      <c r="OBT996" s="2335"/>
      <c r="OBU996" s="2335"/>
      <c r="OBV996" s="2335"/>
      <c r="OBW996" s="2335"/>
      <c r="OBX996" s="2335"/>
      <c r="OBY996" s="2335"/>
      <c r="OBZ996" s="2335"/>
      <c r="OCA996" s="2335"/>
      <c r="OCB996" s="2335"/>
      <c r="OCC996" s="2335"/>
      <c r="OCD996" s="2335"/>
      <c r="OCE996" s="2335"/>
      <c r="OCF996" s="2335"/>
      <c r="OCG996" s="2335"/>
      <c r="OCH996" s="2335"/>
      <c r="OCI996" s="2335"/>
      <c r="OCJ996" s="2335"/>
      <c r="OCK996" s="2335"/>
      <c r="OCL996" s="2335"/>
      <c r="OCM996" s="2335"/>
      <c r="OCN996" s="2335"/>
      <c r="OCO996" s="2335"/>
      <c r="OCP996" s="2335"/>
      <c r="OCQ996" s="2335"/>
      <c r="OCR996" s="2335"/>
      <c r="OCS996" s="2335"/>
      <c r="OCT996" s="2335"/>
      <c r="OCU996" s="2335"/>
      <c r="OCV996" s="2335"/>
      <c r="OCW996" s="2335"/>
      <c r="OCX996" s="2335"/>
      <c r="OCY996" s="2335"/>
      <c r="OCZ996" s="2335"/>
      <c r="ODA996" s="2335"/>
      <c r="ODB996" s="2335"/>
      <c r="ODC996" s="2335"/>
      <c r="ODD996" s="2335"/>
      <c r="ODE996" s="2335"/>
      <c r="ODF996" s="2335"/>
      <c r="ODG996" s="2335"/>
      <c r="ODH996" s="2335"/>
      <c r="ODI996" s="2335"/>
      <c r="ODJ996" s="2335"/>
      <c r="ODK996" s="2335"/>
      <c r="ODL996" s="2335"/>
      <c r="ODM996" s="2335"/>
      <c r="ODN996" s="2335"/>
      <c r="ODO996" s="2335"/>
      <c r="ODP996" s="2335"/>
      <c r="ODQ996" s="2335"/>
      <c r="ODR996" s="2335"/>
      <c r="ODS996" s="2335"/>
      <c r="ODT996" s="2335"/>
      <c r="ODU996" s="2335"/>
      <c r="ODV996" s="2335"/>
      <c r="ODW996" s="2335"/>
      <c r="ODX996" s="2335"/>
      <c r="ODY996" s="2335"/>
      <c r="ODZ996" s="2335"/>
      <c r="OEA996" s="2335"/>
      <c r="OEB996" s="2335"/>
      <c r="OEC996" s="2335"/>
      <c r="OED996" s="2335"/>
      <c r="OEE996" s="2335"/>
      <c r="OEF996" s="2335"/>
      <c r="OEG996" s="2335"/>
      <c r="OEH996" s="2335"/>
      <c r="OEI996" s="2335"/>
      <c r="OEJ996" s="2335"/>
      <c r="OEK996" s="2335"/>
      <c r="OEL996" s="2335"/>
      <c r="OEM996" s="2335"/>
      <c r="OEN996" s="2335"/>
      <c r="OEO996" s="2335"/>
      <c r="OEP996" s="2335"/>
      <c r="OEQ996" s="2335"/>
      <c r="OER996" s="2335"/>
      <c r="OES996" s="2335"/>
      <c r="OET996" s="2335"/>
      <c r="OEU996" s="2335"/>
      <c r="OEV996" s="2335"/>
      <c r="OEW996" s="2335"/>
      <c r="OEX996" s="2335"/>
      <c r="OEY996" s="2335"/>
      <c r="OEZ996" s="2335"/>
      <c r="OFA996" s="2335"/>
      <c r="OFB996" s="2335"/>
      <c r="OFC996" s="2335"/>
      <c r="OFD996" s="2335"/>
      <c r="OFE996" s="2335"/>
      <c r="OFF996" s="2335"/>
      <c r="OFG996" s="2335"/>
      <c r="OFH996" s="2335"/>
      <c r="OFI996" s="2335"/>
      <c r="OFJ996" s="2335"/>
      <c r="OFK996" s="2335"/>
      <c r="OFL996" s="2335"/>
      <c r="OFM996" s="2335"/>
      <c r="OFN996" s="2335"/>
      <c r="OFO996" s="2335"/>
      <c r="OFP996" s="2335"/>
      <c r="OFQ996" s="2335"/>
      <c r="OFR996" s="2335"/>
      <c r="OFS996" s="2335"/>
      <c r="OFT996" s="2335"/>
      <c r="OFU996" s="2335"/>
      <c r="OFV996" s="2335"/>
      <c r="OFW996" s="2335"/>
      <c r="OFX996" s="2335"/>
      <c r="OFY996" s="2335"/>
      <c r="OFZ996" s="2335"/>
      <c r="OGA996" s="2335"/>
      <c r="OGB996" s="2335"/>
      <c r="OGC996" s="2335"/>
      <c r="OGD996" s="2335"/>
      <c r="OGE996" s="2335"/>
      <c r="OGF996" s="2335"/>
      <c r="OGG996" s="2335"/>
      <c r="OGH996" s="2335"/>
      <c r="OGI996" s="2335"/>
      <c r="OGJ996" s="2335"/>
      <c r="OGK996" s="2335"/>
      <c r="OGL996" s="2335"/>
      <c r="OGM996" s="2335"/>
      <c r="OGN996" s="2335"/>
      <c r="OGO996" s="2335"/>
      <c r="OGP996" s="2335"/>
      <c r="OGQ996" s="2335"/>
      <c r="OGR996" s="2335"/>
      <c r="OGS996" s="2335"/>
      <c r="OGT996" s="2335"/>
      <c r="OGU996" s="2335"/>
      <c r="OGV996" s="2335"/>
      <c r="OGW996" s="2335"/>
      <c r="OGX996" s="2335"/>
      <c r="OGY996" s="2335"/>
      <c r="OGZ996" s="2335"/>
      <c r="OHA996" s="2335"/>
      <c r="OHB996" s="2335"/>
      <c r="OHC996" s="2335"/>
      <c r="OHD996" s="2335"/>
      <c r="OHE996" s="2335"/>
      <c r="OHF996" s="2335"/>
      <c r="OHG996" s="2335"/>
      <c r="OHH996" s="2335"/>
      <c r="OHI996" s="2335"/>
      <c r="OHJ996" s="2335"/>
      <c r="OHK996" s="2335"/>
      <c r="OHL996" s="2335"/>
      <c r="OHM996" s="2335"/>
      <c r="OHN996" s="2335"/>
      <c r="OHO996" s="2335"/>
      <c r="OHP996" s="2335"/>
      <c r="OHQ996" s="2335"/>
      <c r="OHR996" s="2335"/>
      <c r="OHS996" s="2335"/>
      <c r="OHT996" s="2335"/>
      <c r="OHU996" s="2335"/>
      <c r="OHV996" s="2335"/>
      <c r="OHW996" s="2335"/>
      <c r="OHX996" s="2335"/>
      <c r="OHY996" s="2335"/>
      <c r="OHZ996" s="2335"/>
      <c r="OIA996" s="2335"/>
      <c r="OIB996" s="2335"/>
      <c r="OIC996" s="2335"/>
      <c r="OID996" s="2335"/>
      <c r="OIE996" s="2335"/>
      <c r="OIF996" s="2335"/>
      <c r="OIG996" s="2335"/>
      <c r="OIH996" s="2335"/>
      <c r="OII996" s="2335"/>
      <c r="OIJ996" s="2335"/>
      <c r="OIK996" s="2335"/>
      <c r="OIL996" s="2335"/>
      <c r="OIM996" s="2335"/>
      <c r="OIN996" s="2335"/>
      <c r="OIO996" s="2335"/>
      <c r="OIP996" s="2335"/>
      <c r="OIQ996" s="2335"/>
      <c r="OIR996" s="2335"/>
      <c r="OIS996" s="2335"/>
      <c r="OIT996" s="2335"/>
      <c r="OIU996" s="2335"/>
      <c r="OIV996" s="2335"/>
      <c r="OIW996" s="2335"/>
      <c r="OIX996" s="2335"/>
      <c r="OIY996" s="2335"/>
      <c r="OIZ996" s="2335"/>
      <c r="OJA996" s="2335"/>
      <c r="OJB996" s="2335"/>
      <c r="OJC996" s="2335"/>
      <c r="OJD996" s="2335"/>
      <c r="OJE996" s="2335"/>
      <c r="OJF996" s="2335"/>
      <c r="OJG996" s="2335"/>
      <c r="OJH996" s="2335"/>
      <c r="OJI996" s="2335"/>
      <c r="OJJ996" s="2335"/>
      <c r="OJK996" s="2335"/>
      <c r="OJL996" s="2335"/>
      <c r="OJM996" s="2335"/>
      <c r="OJN996" s="2335"/>
      <c r="OJO996" s="2335"/>
      <c r="OJP996" s="2335"/>
      <c r="OJQ996" s="2335"/>
      <c r="OJR996" s="2335"/>
      <c r="OJS996" s="2335"/>
      <c r="OJT996" s="2335"/>
      <c r="OJU996" s="2335"/>
      <c r="OJV996" s="2335"/>
      <c r="OJW996" s="2335"/>
      <c r="OJX996" s="2335"/>
      <c r="OJY996" s="2335"/>
      <c r="OJZ996" s="2335"/>
      <c r="OKA996" s="2335"/>
      <c r="OKB996" s="2335"/>
      <c r="OKC996" s="2335"/>
      <c r="OKD996" s="2335"/>
      <c r="OKE996" s="2335"/>
      <c r="OKF996" s="2335"/>
      <c r="OKG996" s="2335"/>
      <c r="OKH996" s="2335"/>
      <c r="OKI996" s="2335"/>
      <c r="OKJ996" s="2335"/>
      <c r="OKK996" s="2335"/>
      <c r="OKL996" s="2335"/>
      <c r="OKM996" s="2335"/>
      <c r="OKN996" s="2335"/>
      <c r="OKO996" s="2335"/>
      <c r="OKP996" s="2335"/>
      <c r="OKQ996" s="2335"/>
      <c r="OKR996" s="2335"/>
      <c r="OKS996" s="2335"/>
      <c r="OKT996" s="2335"/>
      <c r="OKU996" s="2335"/>
      <c r="OKV996" s="2335"/>
      <c r="OKW996" s="2335"/>
      <c r="OKX996" s="2335"/>
      <c r="OKY996" s="2335"/>
      <c r="OKZ996" s="2335"/>
      <c r="OLA996" s="2335"/>
      <c r="OLB996" s="2335"/>
      <c r="OLC996" s="2335"/>
      <c r="OLD996" s="2335"/>
      <c r="OLE996" s="2335"/>
      <c r="OLF996" s="2335"/>
      <c r="OLG996" s="2335"/>
      <c r="OLH996" s="2335"/>
      <c r="OLI996" s="2335"/>
      <c r="OLJ996" s="2335"/>
      <c r="OLK996" s="2335"/>
      <c r="OLL996" s="2335"/>
      <c r="OLM996" s="2335"/>
      <c r="OLN996" s="2335"/>
      <c r="OLO996" s="2335"/>
      <c r="OLP996" s="2335"/>
      <c r="OLQ996" s="2335"/>
      <c r="OLR996" s="2335"/>
      <c r="OLS996" s="2335"/>
      <c r="OLT996" s="2335"/>
      <c r="OLU996" s="2335"/>
      <c r="OLV996" s="2335"/>
      <c r="OLW996" s="2335"/>
      <c r="OLX996" s="2335"/>
      <c r="OLY996" s="2335"/>
      <c r="OLZ996" s="2335"/>
      <c r="OMA996" s="2335"/>
      <c r="OMB996" s="2335"/>
      <c r="OMC996" s="2335"/>
      <c r="OMD996" s="2335"/>
      <c r="OME996" s="2335"/>
      <c r="OMF996" s="2335"/>
      <c r="OMG996" s="2335"/>
      <c r="OMH996" s="2335"/>
      <c r="OMI996" s="2335"/>
      <c r="OMJ996" s="2335"/>
      <c r="OMK996" s="2335"/>
      <c r="OML996" s="2335"/>
      <c r="OMM996" s="2335"/>
      <c r="OMN996" s="2335"/>
      <c r="OMO996" s="2335"/>
      <c r="OMP996" s="2335"/>
      <c r="OMQ996" s="2335"/>
      <c r="OMR996" s="2335"/>
      <c r="OMS996" s="2335"/>
      <c r="OMT996" s="2335"/>
      <c r="OMU996" s="2335"/>
      <c r="OMV996" s="2335"/>
      <c r="OMW996" s="2335"/>
      <c r="OMX996" s="2335"/>
      <c r="OMY996" s="2335"/>
      <c r="OMZ996" s="2335"/>
      <c r="ONA996" s="2335"/>
      <c r="ONB996" s="2335"/>
      <c r="ONC996" s="2335"/>
      <c r="OND996" s="2335"/>
      <c r="ONE996" s="2335"/>
      <c r="ONF996" s="2335"/>
      <c r="ONG996" s="2335"/>
      <c r="ONH996" s="2335"/>
      <c r="ONI996" s="2335"/>
      <c r="ONJ996" s="2335"/>
      <c r="ONK996" s="2335"/>
      <c r="ONL996" s="2335"/>
      <c r="ONM996" s="2335"/>
      <c r="ONN996" s="2335"/>
      <c r="ONO996" s="2335"/>
      <c r="ONP996" s="2335"/>
      <c r="ONQ996" s="2335"/>
      <c r="ONR996" s="2335"/>
      <c r="ONS996" s="2335"/>
      <c r="ONT996" s="2335"/>
      <c r="ONU996" s="2335"/>
      <c r="ONV996" s="2335"/>
      <c r="ONW996" s="2335"/>
      <c r="ONX996" s="2335"/>
      <c r="ONY996" s="2335"/>
      <c r="ONZ996" s="2335"/>
      <c r="OOA996" s="2335"/>
      <c r="OOB996" s="2335"/>
      <c r="OOC996" s="2335"/>
      <c r="OOD996" s="2335"/>
      <c r="OOE996" s="2335"/>
      <c r="OOF996" s="2335"/>
      <c r="OOG996" s="2335"/>
      <c r="OOH996" s="2335"/>
      <c r="OOI996" s="2335"/>
      <c r="OOJ996" s="2335"/>
      <c r="OOK996" s="2335"/>
      <c r="OOL996" s="2335"/>
      <c r="OOM996" s="2335"/>
      <c r="OON996" s="2335"/>
      <c r="OOO996" s="2335"/>
      <c r="OOP996" s="2335"/>
      <c r="OOQ996" s="2335"/>
      <c r="OOR996" s="2335"/>
      <c r="OOS996" s="2335"/>
      <c r="OOT996" s="2335"/>
      <c r="OOU996" s="2335"/>
      <c r="OOV996" s="2335"/>
      <c r="OOW996" s="2335"/>
      <c r="OOX996" s="2335"/>
      <c r="OOY996" s="2335"/>
      <c r="OOZ996" s="2335"/>
      <c r="OPA996" s="2335"/>
      <c r="OPB996" s="2335"/>
      <c r="OPC996" s="2335"/>
      <c r="OPD996" s="2335"/>
      <c r="OPE996" s="2335"/>
      <c r="OPF996" s="2335"/>
      <c r="OPG996" s="2335"/>
      <c r="OPH996" s="2335"/>
      <c r="OPI996" s="2335"/>
      <c r="OPJ996" s="2335"/>
      <c r="OPK996" s="2335"/>
      <c r="OPL996" s="2335"/>
      <c r="OPM996" s="2335"/>
      <c r="OPN996" s="2335"/>
      <c r="OPO996" s="2335"/>
      <c r="OPP996" s="2335"/>
      <c r="OPQ996" s="2335"/>
      <c r="OPR996" s="2335"/>
      <c r="OPS996" s="2335"/>
      <c r="OPT996" s="2335"/>
      <c r="OPU996" s="2335"/>
      <c r="OPV996" s="2335"/>
      <c r="OPW996" s="2335"/>
      <c r="OPX996" s="2335"/>
      <c r="OPY996" s="2335"/>
      <c r="OPZ996" s="2335"/>
      <c r="OQA996" s="2335"/>
      <c r="OQB996" s="2335"/>
      <c r="OQC996" s="2335"/>
      <c r="OQD996" s="2335"/>
      <c r="OQE996" s="2335"/>
      <c r="OQF996" s="2335"/>
      <c r="OQG996" s="2335"/>
      <c r="OQH996" s="2335"/>
      <c r="OQI996" s="2335"/>
      <c r="OQJ996" s="2335"/>
      <c r="OQK996" s="2335"/>
      <c r="OQL996" s="2335"/>
      <c r="OQM996" s="2335"/>
      <c r="OQN996" s="2335"/>
      <c r="OQO996" s="2335"/>
      <c r="OQP996" s="2335"/>
      <c r="OQQ996" s="2335"/>
      <c r="OQR996" s="2335"/>
      <c r="OQS996" s="2335"/>
      <c r="OQT996" s="2335"/>
      <c r="OQU996" s="2335"/>
      <c r="OQV996" s="2335"/>
      <c r="OQW996" s="2335"/>
      <c r="OQX996" s="2335"/>
      <c r="OQY996" s="2335"/>
      <c r="OQZ996" s="2335"/>
      <c r="ORA996" s="2335"/>
      <c r="ORB996" s="2335"/>
      <c r="ORC996" s="2335"/>
      <c r="ORD996" s="2335"/>
      <c r="ORE996" s="2335"/>
      <c r="ORF996" s="2335"/>
      <c r="ORG996" s="2335"/>
      <c r="ORH996" s="2335"/>
      <c r="ORI996" s="2335"/>
      <c r="ORJ996" s="2335"/>
      <c r="ORK996" s="2335"/>
      <c r="ORL996" s="2335"/>
      <c r="ORM996" s="2335"/>
      <c r="ORN996" s="2335"/>
      <c r="ORO996" s="2335"/>
      <c r="ORP996" s="2335"/>
      <c r="ORQ996" s="2335"/>
      <c r="ORR996" s="2335"/>
      <c r="ORS996" s="2335"/>
      <c r="ORT996" s="2335"/>
      <c r="ORU996" s="2335"/>
      <c r="ORV996" s="2335"/>
      <c r="ORW996" s="2335"/>
      <c r="ORX996" s="2335"/>
      <c r="ORY996" s="2335"/>
      <c r="ORZ996" s="2335"/>
      <c r="OSA996" s="2335"/>
      <c r="OSB996" s="2335"/>
      <c r="OSC996" s="2335"/>
      <c r="OSD996" s="2335"/>
      <c r="OSE996" s="2335"/>
      <c r="OSF996" s="2335"/>
      <c r="OSG996" s="2335"/>
      <c r="OSH996" s="2335"/>
      <c r="OSI996" s="2335"/>
      <c r="OSJ996" s="2335"/>
      <c r="OSK996" s="2335"/>
      <c r="OSL996" s="2335"/>
      <c r="OSM996" s="2335"/>
      <c r="OSN996" s="2335"/>
      <c r="OSO996" s="2335"/>
      <c r="OSP996" s="2335"/>
      <c r="OSQ996" s="2335"/>
      <c r="OSR996" s="2335"/>
      <c r="OSS996" s="2335"/>
      <c r="OST996" s="2335"/>
      <c r="OSU996" s="2335"/>
      <c r="OSV996" s="2335"/>
      <c r="OSW996" s="2335"/>
      <c r="OSX996" s="2335"/>
      <c r="OSY996" s="2335"/>
      <c r="OSZ996" s="2335"/>
      <c r="OTA996" s="2335"/>
      <c r="OTB996" s="2335"/>
      <c r="OTC996" s="2335"/>
      <c r="OTD996" s="2335"/>
      <c r="OTE996" s="2335"/>
      <c r="OTF996" s="2335"/>
      <c r="OTG996" s="2335"/>
      <c r="OTH996" s="2335"/>
      <c r="OTI996" s="2335"/>
      <c r="OTJ996" s="2335"/>
      <c r="OTK996" s="2335"/>
      <c r="OTL996" s="2335"/>
      <c r="OTM996" s="2335"/>
      <c r="OTN996" s="2335"/>
      <c r="OTO996" s="2335"/>
      <c r="OTP996" s="2335"/>
      <c r="OTQ996" s="2335"/>
      <c r="OTR996" s="2335"/>
      <c r="OTS996" s="2335"/>
      <c r="OTT996" s="2335"/>
      <c r="OTU996" s="2335"/>
      <c r="OTV996" s="2335"/>
      <c r="OTW996" s="2335"/>
      <c r="OTX996" s="2335"/>
      <c r="OTY996" s="2335"/>
      <c r="OTZ996" s="2335"/>
      <c r="OUA996" s="2335"/>
      <c r="OUB996" s="2335"/>
      <c r="OUC996" s="2335"/>
      <c r="OUD996" s="2335"/>
      <c r="OUE996" s="2335"/>
      <c r="OUF996" s="2335"/>
      <c r="OUG996" s="2335"/>
      <c r="OUH996" s="2335"/>
      <c r="OUI996" s="2335"/>
      <c r="OUJ996" s="2335"/>
      <c r="OUK996" s="2335"/>
      <c r="OUL996" s="2335"/>
      <c r="OUM996" s="2335"/>
      <c r="OUN996" s="2335"/>
      <c r="OUO996" s="2335"/>
      <c r="OUP996" s="2335"/>
      <c r="OUQ996" s="2335"/>
      <c r="OUR996" s="2335"/>
      <c r="OUS996" s="2335"/>
      <c r="OUT996" s="2335"/>
      <c r="OUU996" s="2335"/>
      <c r="OUV996" s="2335"/>
      <c r="OUW996" s="2335"/>
      <c r="OUX996" s="2335"/>
      <c r="OUY996" s="2335"/>
      <c r="OUZ996" s="2335"/>
      <c r="OVA996" s="2335"/>
      <c r="OVB996" s="2335"/>
      <c r="OVC996" s="2335"/>
      <c r="OVD996" s="2335"/>
      <c r="OVE996" s="2335"/>
      <c r="OVF996" s="2335"/>
      <c r="OVG996" s="2335"/>
      <c r="OVH996" s="2335"/>
      <c r="OVI996" s="2335"/>
      <c r="OVJ996" s="2335"/>
      <c r="OVK996" s="2335"/>
      <c r="OVL996" s="2335"/>
      <c r="OVM996" s="2335"/>
      <c r="OVN996" s="2335"/>
      <c r="OVO996" s="2335"/>
      <c r="OVP996" s="2335"/>
      <c r="OVQ996" s="2335"/>
      <c r="OVR996" s="2335"/>
      <c r="OVS996" s="2335"/>
      <c r="OVT996" s="2335"/>
      <c r="OVU996" s="2335"/>
      <c r="OVV996" s="2335"/>
      <c r="OVW996" s="2335"/>
      <c r="OVX996" s="2335"/>
      <c r="OVY996" s="2335"/>
      <c r="OVZ996" s="2335"/>
      <c r="OWA996" s="2335"/>
      <c r="OWB996" s="2335"/>
      <c r="OWC996" s="2335"/>
      <c r="OWD996" s="2335"/>
      <c r="OWE996" s="2335"/>
      <c r="OWF996" s="2335"/>
      <c r="OWG996" s="2335"/>
      <c r="OWH996" s="2335"/>
      <c r="OWI996" s="2335"/>
      <c r="OWJ996" s="2335"/>
      <c r="OWK996" s="2335"/>
      <c r="OWL996" s="2335"/>
      <c r="OWM996" s="2335"/>
      <c r="OWN996" s="2335"/>
      <c r="OWO996" s="2335"/>
      <c r="OWP996" s="2335"/>
      <c r="OWQ996" s="2335"/>
      <c r="OWR996" s="2335"/>
      <c r="OWS996" s="2335"/>
      <c r="OWT996" s="2335"/>
      <c r="OWU996" s="2335"/>
      <c r="OWV996" s="2335"/>
      <c r="OWW996" s="2335"/>
      <c r="OWX996" s="2335"/>
      <c r="OWY996" s="2335"/>
      <c r="OWZ996" s="2335"/>
      <c r="OXA996" s="2335"/>
      <c r="OXB996" s="2335"/>
      <c r="OXC996" s="2335"/>
      <c r="OXD996" s="2335"/>
      <c r="OXE996" s="2335"/>
      <c r="OXF996" s="2335"/>
      <c r="OXG996" s="2335"/>
      <c r="OXH996" s="2335"/>
      <c r="OXI996" s="2335"/>
      <c r="OXJ996" s="2335"/>
      <c r="OXK996" s="2335"/>
      <c r="OXL996" s="2335"/>
      <c r="OXM996" s="2335"/>
      <c r="OXN996" s="2335"/>
      <c r="OXO996" s="2335"/>
      <c r="OXP996" s="2335"/>
      <c r="OXQ996" s="2335"/>
      <c r="OXR996" s="2335"/>
      <c r="OXS996" s="2335"/>
      <c r="OXT996" s="2335"/>
      <c r="OXU996" s="2335"/>
      <c r="OXV996" s="2335"/>
      <c r="OXW996" s="2335"/>
      <c r="OXX996" s="2335"/>
      <c r="OXY996" s="2335"/>
      <c r="OXZ996" s="2335"/>
      <c r="OYA996" s="2335"/>
      <c r="OYB996" s="2335"/>
      <c r="OYC996" s="2335"/>
      <c r="OYD996" s="2335"/>
      <c r="OYE996" s="2335"/>
      <c r="OYF996" s="2335"/>
      <c r="OYG996" s="2335"/>
      <c r="OYH996" s="2335"/>
      <c r="OYI996" s="2335"/>
      <c r="OYJ996" s="2335"/>
      <c r="OYK996" s="2335"/>
      <c r="OYL996" s="2335"/>
      <c r="OYM996" s="2335"/>
      <c r="OYN996" s="2335"/>
      <c r="OYO996" s="2335"/>
      <c r="OYP996" s="2335"/>
      <c r="OYQ996" s="2335"/>
      <c r="OYR996" s="2335"/>
      <c r="OYS996" s="2335"/>
      <c r="OYT996" s="2335"/>
      <c r="OYU996" s="2335"/>
      <c r="OYV996" s="2335"/>
      <c r="OYW996" s="2335"/>
      <c r="OYX996" s="2335"/>
      <c r="OYY996" s="2335"/>
      <c r="OYZ996" s="2335"/>
      <c r="OZA996" s="2335"/>
      <c r="OZB996" s="2335"/>
      <c r="OZC996" s="2335"/>
      <c r="OZD996" s="2335"/>
      <c r="OZE996" s="2335"/>
      <c r="OZF996" s="2335"/>
      <c r="OZG996" s="2335"/>
      <c r="OZH996" s="2335"/>
      <c r="OZI996" s="2335"/>
      <c r="OZJ996" s="2335"/>
      <c r="OZK996" s="2335"/>
      <c r="OZL996" s="2335"/>
      <c r="OZM996" s="2335"/>
      <c r="OZN996" s="2335"/>
      <c r="OZO996" s="2335"/>
      <c r="OZP996" s="2335"/>
      <c r="OZQ996" s="2335"/>
      <c r="OZR996" s="2335"/>
      <c r="OZS996" s="2335"/>
      <c r="OZT996" s="2335"/>
      <c r="OZU996" s="2335"/>
      <c r="OZV996" s="2335"/>
      <c r="OZW996" s="2335"/>
      <c r="OZX996" s="2335"/>
      <c r="OZY996" s="2335"/>
      <c r="OZZ996" s="2335"/>
      <c r="PAA996" s="2335"/>
      <c r="PAB996" s="2335"/>
      <c r="PAC996" s="2335"/>
      <c r="PAD996" s="2335"/>
      <c r="PAE996" s="2335"/>
      <c r="PAF996" s="2335"/>
      <c r="PAG996" s="2335"/>
      <c r="PAH996" s="2335"/>
      <c r="PAI996" s="2335"/>
      <c r="PAJ996" s="2335"/>
      <c r="PAK996" s="2335"/>
      <c r="PAL996" s="2335"/>
      <c r="PAM996" s="2335"/>
      <c r="PAN996" s="2335"/>
      <c r="PAO996" s="2335"/>
      <c r="PAP996" s="2335"/>
      <c r="PAQ996" s="2335"/>
      <c r="PAR996" s="2335"/>
      <c r="PAS996" s="2335"/>
      <c r="PAT996" s="2335"/>
      <c r="PAU996" s="2335"/>
      <c r="PAV996" s="2335"/>
      <c r="PAW996" s="2335"/>
      <c r="PAX996" s="2335"/>
      <c r="PAY996" s="2335"/>
      <c r="PAZ996" s="2335"/>
      <c r="PBA996" s="2335"/>
      <c r="PBB996" s="2335"/>
      <c r="PBC996" s="2335"/>
      <c r="PBD996" s="2335"/>
      <c r="PBE996" s="2335"/>
      <c r="PBF996" s="2335"/>
      <c r="PBG996" s="2335"/>
      <c r="PBH996" s="2335"/>
      <c r="PBI996" s="2335"/>
      <c r="PBJ996" s="2335"/>
      <c r="PBK996" s="2335"/>
      <c r="PBL996" s="2335"/>
      <c r="PBM996" s="2335"/>
      <c r="PBN996" s="2335"/>
      <c r="PBO996" s="2335"/>
      <c r="PBP996" s="2335"/>
      <c r="PBQ996" s="2335"/>
      <c r="PBR996" s="2335"/>
      <c r="PBS996" s="2335"/>
      <c r="PBT996" s="2335"/>
      <c r="PBU996" s="2335"/>
      <c r="PBV996" s="2335"/>
      <c r="PBW996" s="2335"/>
      <c r="PBX996" s="2335"/>
      <c r="PBY996" s="2335"/>
      <c r="PBZ996" s="2335"/>
      <c r="PCA996" s="2335"/>
      <c r="PCB996" s="2335"/>
      <c r="PCC996" s="2335"/>
      <c r="PCD996" s="2335"/>
      <c r="PCE996" s="2335"/>
      <c r="PCF996" s="2335"/>
      <c r="PCG996" s="2335"/>
      <c r="PCH996" s="2335"/>
      <c r="PCI996" s="2335"/>
      <c r="PCJ996" s="2335"/>
      <c r="PCK996" s="2335"/>
      <c r="PCL996" s="2335"/>
      <c r="PCM996" s="2335"/>
      <c r="PCN996" s="2335"/>
      <c r="PCO996" s="2335"/>
      <c r="PCP996" s="2335"/>
      <c r="PCQ996" s="2335"/>
      <c r="PCR996" s="2335"/>
      <c r="PCS996" s="2335"/>
      <c r="PCT996" s="2335"/>
      <c r="PCU996" s="2335"/>
      <c r="PCV996" s="2335"/>
      <c r="PCW996" s="2335"/>
      <c r="PCX996" s="2335"/>
      <c r="PCY996" s="2335"/>
      <c r="PCZ996" s="2335"/>
      <c r="PDA996" s="2335"/>
      <c r="PDB996" s="2335"/>
      <c r="PDC996" s="2335"/>
      <c r="PDD996" s="2335"/>
      <c r="PDE996" s="2335"/>
      <c r="PDF996" s="2335"/>
      <c r="PDG996" s="2335"/>
      <c r="PDH996" s="2335"/>
      <c r="PDI996" s="2335"/>
      <c r="PDJ996" s="2335"/>
      <c r="PDK996" s="2335"/>
      <c r="PDL996" s="2335"/>
      <c r="PDM996" s="2335"/>
      <c r="PDN996" s="2335"/>
      <c r="PDO996" s="2335"/>
      <c r="PDP996" s="2335"/>
      <c r="PDQ996" s="2335"/>
      <c r="PDR996" s="2335"/>
      <c r="PDS996" s="2335"/>
      <c r="PDT996" s="2335"/>
      <c r="PDU996" s="2335"/>
      <c r="PDV996" s="2335"/>
      <c r="PDW996" s="2335"/>
      <c r="PDX996" s="2335"/>
      <c r="PDY996" s="2335"/>
      <c r="PDZ996" s="2335"/>
      <c r="PEA996" s="2335"/>
      <c r="PEB996" s="2335"/>
      <c r="PEC996" s="2335"/>
      <c r="PED996" s="2335"/>
      <c r="PEE996" s="2335"/>
      <c r="PEF996" s="2335"/>
      <c r="PEG996" s="2335"/>
      <c r="PEH996" s="2335"/>
      <c r="PEI996" s="2335"/>
      <c r="PEJ996" s="2335"/>
      <c r="PEK996" s="2335"/>
      <c r="PEL996" s="2335"/>
      <c r="PEM996" s="2335"/>
      <c r="PEN996" s="2335"/>
      <c r="PEO996" s="2335"/>
      <c r="PEP996" s="2335"/>
      <c r="PEQ996" s="2335"/>
      <c r="PER996" s="2335"/>
      <c r="PES996" s="2335"/>
      <c r="PET996" s="2335"/>
      <c r="PEU996" s="2335"/>
      <c r="PEV996" s="2335"/>
      <c r="PEW996" s="2335"/>
      <c r="PEX996" s="2335"/>
      <c r="PEY996" s="2335"/>
      <c r="PEZ996" s="2335"/>
      <c r="PFA996" s="2335"/>
      <c r="PFB996" s="2335"/>
      <c r="PFC996" s="2335"/>
      <c r="PFD996" s="2335"/>
      <c r="PFE996" s="2335"/>
      <c r="PFF996" s="2335"/>
      <c r="PFG996" s="2335"/>
      <c r="PFH996" s="2335"/>
      <c r="PFI996" s="2335"/>
      <c r="PFJ996" s="2335"/>
      <c r="PFK996" s="2335"/>
      <c r="PFL996" s="2335"/>
      <c r="PFM996" s="2335"/>
      <c r="PFN996" s="2335"/>
      <c r="PFO996" s="2335"/>
      <c r="PFP996" s="2335"/>
      <c r="PFQ996" s="2335"/>
      <c r="PFR996" s="2335"/>
      <c r="PFS996" s="2335"/>
      <c r="PFT996" s="2335"/>
      <c r="PFU996" s="2335"/>
      <c r="PFV996" s="2335"/>
      <c r="PFW996" s="2335"/>
      <c r="PFX996" s="2335"/>
      <c r="PFY996" s="2335"/>
      <c r="PFZ996" s="2335"/>
      <c r="PGA996" s="2335"/>
      <c r="PGB996" s="2335"/>
      <c r="PGC996" s="2335"/>
      <c r="PGD996" s="2335"/>
      <c r="PGE996" s="2335"/>
      <c r="PGF996" s="2335"/>
      <c r="PGG996" s="2335"/>
      <c r="PGH996" s="2335"/>
      <c r="PGI996" s="2335"/>
      <c r="PGJ996" s="2335"/>
      <c r="PGK996" s="2335"/>
      <c r="PGL996" s="2335"/>
      <c r="PGM996" s="2335"/>
      <c r="PGN996" s="2335"/>
      <c r="PGO996" s="2335"/>
      <c r="PGP996" s="2335"/>
      <c r="PGQ996" s="2335"/>
      <c r="PGR996" s="2335"/>
      <c r="PGS996" s="2335"/>
      <c r="PGT996" s="2335"/>
      <c r="PGU996" s="2335"/>
      <c r="PGV996" s="2335"/>
      <c r="PGW996" s="2335"/>
      <c r="PGX996" s="2335"/>
      <c r="PGY996" s="2335"/>
      <c r="PGZ996" s="2335"/>
      <c r="PHA996" s="2335"/>
      <c r="PHB996" s="2335"/>
      <c r="PHC996" s="2335"/>
      <c r="PHD996" s="2335"/>
      <c r="PHE996" s="2335"/>
      <c r="PHF996" s="2335"/>
      <c r="PHG996" s="2335"/>
      <c r="PHH996" s="2335"/>
      <c r="PHI996" s="2335"/>
      <c r="PHJ996" s="2335"/>
      <c r="PHK996" s="2335"/>
      <c r="PHL996" s="2335"/>
      <c r="PHM996" s="2335"/>
      <c r="PHN996" s="2335"/>
      <c r="PHO996" s="2335"/>
      <c r="PHP996" s="2335"/>
      <c r="PHQ996" s="2335"/>
      <c r="PHR996" s="2335"/>
      <c r="PHS996" s="2335"/>
      <c r="PHT996" s="2335"/>
      <c r="PHU996" s="2335"/>
      <c r="PHV996" s="2335"/>
      <c r="PHW996" s="2335"/>
      <c r="PHX996" s="2335"/>
      <c r="PHY996" s="2335"/>
      <c r="PHZ996" s="2335"/>
      <c r="PIA996" s="2335"/>
      <c r="PIB996" s="2335"/>
      <c r="PIC996" s="2335"/>
      <c r="PID996" s="2335"/>
      <c r="PIE996" s="2335"/>
      <c r="PIF996" s="2335"/>
      <c r="PIG996" s="2335"/>
      <c r="PIH996" s="2335"/>
      <c r="PII996" s="2335"/>
      <c r="PIJ996" s="2335"/>
      <c r="PIK996" s="2335"/>
      <c r="PIL996" s="2335"/>
      <c r="PIM996" s="2335"/>
      <c r="PIN996" s="2335"/>
      <c r="PIO996" s="2335"/>
      <c r="PIP996" s="2335"/>
      <c r="PIQ996" s="2335"/>
      <c r="PIR996" s="2335"/>
      <c r="PIS996" s="2335"/>
      <c r="PIT996" s="2335"/>
      <c r="PIU996" s="2335"/>
      <c r="PIV996" s="2335"/>
      <c r="PIW996" s="2335"/>
      <c r="PIX996" s="2335"/>
      <c r="PIY996" s="2335"/>
      <c r="PIZ996" s="2335"/>
      <c r="PJA996" s="2335"/>
      <c r="PJB996" s="2335"/>
      <c r="PJC996" s="2335"/>
      <c r="PJD996" s="2335"/>
      <c r="PJE996" s="2335"/>
      <c r="PJF996" s="2335"/>
      <c r="PJG996" s="2335"/>
      <c r="PJH996" s="2335"/>
      <c r="PJI996" s="2335"/>
      <c r="PJJ996" s="2335"/>
      <c r="PJK996" s="2335"/>
      <c r="PJL996" s="2335"/>
      <c r="PJM996" s="2335"/>
      <c r="PJN996" s="2335"/>
      <c r="PJO996" s="2335"/>
      <c r="PJP996" s="2335"/>
      <c r="PJQ996" s="2335"/>
      <c r="PJR996" s="2335"/>
      <c r="PJS996" s="2335"/>
      <c r="PJT996" s="2335"/>
      <c r="PJU996" s="2335"/>
      <c r="PJV996" s="2335"/>
      <c r="PJW996" s="2335"/>
      <c r="PJX996" s="2335"/>
      <c r="PJY996" s="2335"/>
      <c r="PJZ996" s="2335"/>
      <c r="PKA996" s="2335"/>
      <c r="PKB996" s="2335"/>
      <c r="PKC996" s="2335"/>
      <c r="PKD996" s="2335"/>
      <c r="PKE996" s="2335"/>
      <c r="PKF996" s="2335"/>
      <c r="PKG996" s="2335"/>
      <c r="PKH996" s="2335"/>
      <c r="PKI996" s="2335"/>
      <c r="PKJ996" s="2335"/>
      <c r="PKK996" s="2335"/>
      <c r="PKL996" s="2335"/>
      <c r="PKM996" s="2335"/>
      <c r="PKN996" s="2335"/>
      <c r="PKO996" s="2335"/>
      <c r="PKP996" s="2335"/>
      <c r="PKQ996" s="2335"/>
      <c r="PKR996" s="2335"/>
      <c r="PKS996" s="2335"/>
      <c r="PKT996" s="2335"/>
      <c r="PKU996" s="2335"/>
      <c r="PKV996" s="2335"/>
      <c r="PKW996" s="2335"/>
      <c r="PKX996" s="2335"/>
      <c r="PKY996" s="2335"/>
      <c r="PKZ996" s="2335"/>
      <c r="PLA996" s="2335"/>
      <c r="PLB996" s="2335"/>
      <c r="PLC996" s="2335"/>
      <c r="PLD996" s="2335"/>
      <c r="PLE996" s="2335"/>
      <c r="PLF996" s="2335"/>
      <c r="PLG996" s="2335"/>
      <c r="PLH996" s="2335"/>
      <c r="PLI996" s="2335"/>
      <c r="PLJ996" s="2335"/>
      <c r="PLK996" s="2335"/>
      <c r="PLL996" s="2335"/>
      <c r="PLM996" s="2335"/>
      <c r="PLN996" s="2335"/>
      <c r="PLO996" s="2335"/>
      <c r="PLP996" s="2335"/>
      <c r="PLQ996" s="2335"/>
      <c r="PLR996" s="2335"/>
      <c r="PLS996" s="2335"/>
      <c r="PLT996" s="2335"/>
      <c r="PLU996" s="2335"/>
      <c r="PLV996" s="2335"/>
      <c r="PLW996" s="2335"/>
      <c r="PLX996" s="2335"/>
      <c r="PLY996" s="2335"/>
      <c r="PLZ996" s="2335"/>
      <c r="PMA996" s="2335"/>
      <c r="PMB996" s="2335"/>
      <c r="PMC996" s="2335"/>
      <c r="PMD996" s="2335"/>
      <c r="PME996" s="2335"/>
      <c r="PMF996" s="2335"/>
      <c r="PMG996" s="2335"/>
      <c r="PMH996" s="2335"/>
      <c r="PMI996" s="2335"/>
      <c r="PMJ996" s="2335"/>
      <c r="PMK996" s="2335"/>
      <c r="PML996" s="2335"/>
      <c r="PMM996" s="2335"/>
      <c r="PMN996" s="2335"/>
      <c r="PMO996" s="2335"/>
      <c r="PMP996" s="2335"/>
      <c r="PMQ996" s="2335"/>
      <c r="PMR996" s="2335"/>
      <c r="PMS996" s="2335"/>
      <c r="PMT996" s="2335"/>
      <c r="PMU996" s="2335"/>
      <c r="PMV996" s="2335"/>
      <c r="PMW996" s="2335"/>
      <c r="PMX996" s="2335"/>
      <c r="PMY996" s="2335"/>
      <c r="PMZ996" s="2335"/>
      <c r="PNA996" s="2335"/>
      <c r="PNB996" s="2335"/>
      <c r="PNC996" s="2335"/>
      <c r="PND996" s="2335"/>
      <c r="PNE996" s="2335"/>
      <c r="PNF996" s="2335"/>
      <c r="PNG996" s="2335"/>
      <c r="PNH996" s="2335"/>
      <c r="PNI996" s="2335"/>
      <c r="PNJ996" s="2335"/>
      <c r="PNK996" s="2335"/>
      <c r="PNL996" s="2335"/>
      <c r="PNM996" s="2335"/>
      <c r="PNN996" s="2335"/>
      <c r="PNO996" s="2335"/>
      <c r="PNP996" s="2335"/>
      <c r="PNQ996" s="2335"/>
      <c r="PNR996" s="2335"/>
      <c r="PNS996" s="2335"/>
      <c r="PNT996" s="2335"/>
      <c r="PNU996" s="2335"/>
      <c r="PNV996" s="2335"/>
      <c r="PNW996" s="2335"/>
      <c r="PNX996" s="2335"/>
      <c r="PNY996" s="2335"/>
      <c r="PNZ996" s="2335"/>
      <c r="POA996" s="2335"/>
      <c r="POB996" s="2335"/>
      <c r="POC996" s="2335"/>
      <c r="POD996" s="2335"/>
      <c r="POE996" s="2335"/>
      <c r="POF996" s="2335"/>
      <c r="POG996" s="2335"/>
      <c r="POH996" s="2335"/>
      <c r="POI996" s="2335"/>
      <c r="POJ996" s="2335"/>
      <c r="POK996" s="2335"/>
      <c r="POL996" s="2335"/>
      <c r="POM996" s="2335"/>
      <c r="PON996" s="2335"/>
      <c r="POO996" s="2335"/>
      <c r="POP996" s="2335"/>
      <c r="POQ996" s="2335"/>
      <c r="POR996" s="2335"/>
      <c r="POS996" s="2335"/>
      <c r="POT996" s="2335"/>
      <c r="POU996" s="2335"/>
      <c r="POV996" s="2335"/>
      <c r="POW996" s="2335"/>
      <c r="POX996" s="2335"/>
      <c r="POY996" s="2335"/>
      <c r="POZ996" s="2335"/>
      <c r="PPA996" s="2335"/>
      <c r="PPB996" s="2335"/>
      <c r="PPC996" s="2335"/>
      <c r="PPD996" s="2335"/>
      <c r="PPE996" s="2335"/>
      <c r="PPF996" s="2335"/>
      <c r="PPG996" s="2335"/>
      <c r="PPH996" s="2335"/>
      <c r="PPI996" s="2335"/>
      <c r="PPJ996" s="2335"/>
      <c r="PPK996" s="2335"/>
      <c r="PPL996" s="2335"/>
      <c r="PPM996" s="2335"/>
      <c r="PPN996" s="2335"/>
      <c r="PPO996" s="2335"/>
      <c r="PPP996" s="2335"/>
      <c r="PPQ996" s="2335"/>
      <c r="PPR996" s="2335"/>
      <c r="PPS996" s="2335"/>
      <c r="PPT996" s="2335"/>
      <c r="PPU996" s="2335"/>
      <c r="PPV996" s="2335"/>
      <c r="PPW996" s="2335"/>
      <c r="PPX996" s="2335"/>
      <c r="PPY996" s="2335"/>
      <c r="PPZ996" s="2335"/>
      <c r="PQA996" s="2335"/>
      <c r="PQB996" s="2335"/>
      <c r="PQC996" s="2335"/>
      <c r="PQD996" s="2335"/>
      <c r="PQE996" s="2335"/>
      <c r="PQF996" s="2335"/>
      <c r="PQG996" s="2335"/>
      <c r="PQH996" s="2335"/>
      <c r="PQI996" s="2335"/>
      <c r="PQJ996" s="2335"/>
      <c r="PQK996" s="2335"/>
      <c r="PQL996" s="2335"/>
      <c r="PQM996" s="2335"/>
      <c r="PQN996" s="2335"/>
      <c r="PQO996" s="2335"/>
      <c r="PQP996" s="2335"/>
      <c r="PQQ996" s="2335"/>
      <c r="PQR996" s="2335"/>
      <c r="PQS996" s="2335"/>
      <c r="PQT996" s="2335"/>
      <c r="PQU996" s="2335"/>
      <c r="PQV996" s="2335"/>
      <c r="PQW996" s="2335"/>
      <c r="PQX996" s="2335"/>
      <c r="PQY996" s="2335"/>
      <c r="PQZ996" s="2335"/>
      <c r="PRA996" s="2335"/>
      <c r="PRB996" s="2335"/>
      <c r="PRC996" s="2335"/>
      <c r="PRD996" s="2335"/>
      <c r="PRE996" s="2335"/>
      <c r="PRF996" s="2335"/>
      <c r="PRG996" s="2335"/>
      <c r="PRH996" s="2335"/>
      <c r="PRI996" s="2335"/>
      <c r="PRJ996" s="2335"/>
      <c r="PRK996" s="2335"/>
      <c r="PRL996" s="2335"/>
      <c r="PRM996" s="2335"/>
      <c r="PRN996" s="2335"/>
      <c r="PRO996" s="2335"/>
      <c r="PRP996" s="2335"/>
      <c r="PRQ996" s="2335"/>
      <c r="PRR996" s="2335"/>
      <c r="PRS996" s="2335"/>
      <c r="PRT996" s="2335"/>
      <c r="PRU996" s="2335"/>
      <c r="PRV996" s="2335"/>
      <c r="PRW996" s="2335"/>
      <c r="PRX996" s="2335"/>
      <c r="PRY996" s="2335"/>
      <c r="PRZ996" s="2335"/>
      <c r="PSA996" s="2335"/>
      <c r="PSB996" s="2335"/>
      <c r="PSC996" s="2335"/>
      <c r="PSD996" s="2335"/>
      <c r="PSE996" s="2335"/>
      <c r="PSF996" s="2335"/>
      <c r="PSG996" s="2335"/>
      <c r="PSH996" s="2335"/>
      <c r="PSI996" s="2335"/>
      <c r="PSJ996" s="2335"/>
      <c r="PSK996" s="2335"/>
      <c r="PSL996" s="2335"/>
      <c r="PSM996" s="2335"/>
      <c r="PSN996" s="2335"/>
      <c r="PSO996" s="2335"/>
      <c r="PSP996" s="2335"/>
      <c r="PSQ996" s="2335"/>
      <c r="PSR996" s="2335"/>
      <c r="PSS996" s="2335"/>
      <c r="PST996" s="2335"/>
      <c r="PSU996" s="2335"/>
      <c r="PSV996" s="2335"/>
      <c r="PSW996" s="2335"/>
      <c r="PSX996" s="2335"/>
      <c r="PSY996" s="2335"/>
      <c r="PSZ996" s="2335"/>
      <c r="PTA996" s="2335"/>
      <c r="PTB996" s="2335"/>
      <c r="PTC996" s="2335"/>
      <c r="PTD996" s="2335"/>
      <c r="PTE996" s="2335"/>
      <c r="PTF996" s="2335"/>
      <c r="PTG996" s="2335"/>
      <c r="PTH996" s="2335"/>
      <c r="PTI996" s="2335"/>
      <c r="PTJ996" s="2335"/>
      <c r="PTK996" s="2335"/>
      <c r="PTL996" s="2335"/>
      <c r="PTM996" s="2335"/>
      <c r="PTN996" s="2335"/>
      <c r="PTO996" s="2335"/>
      <c r="PTP996" s="2335"/>
      <c r="PTQ996" s="2335"/>
      <c r="PTR996" s="2335"/>
      <c r="PTS996" s="2335"/>
      <c r="PTT996" s="2335"/>
      <c r="PTU996" s="2335"/>
      <c r="PTV996" s="2335"/>
      <c r="PTW996" s="2335"/>
      <c r="PTX996" s="2335"/>
      <c r="PTY996" s="2335"/>
      <c r="PTZ996" s="2335"/>
      <c r="PUA996" s="2335"/>
      <c r="PUB996" s="2335"/>
      <c r="PUC996" s="2335"/>
      <c r="PUD996" s="2335"/>
      <c r="PUE996" s="2335"/>
      <c r="PUF996" s="2335"/>
      <c r="PUG996" s="2335"/>
      <c r="PUH996" s="2335"/>
      <c r="PUI996" s="2335"/>
      <c r="PUJ996" s="2335"/>
      <c r="PUK996" s="2335"/>
      <c r="PUL996" s="2335"/>
      <c r="PUM996" s="2335"/>
      <c r="PUN996" s="2335"/>
      <c r="PUO996" s="2335"/>
      <c r="PUP996" s="2335"/>
      <c r="PUQ996" s="2335"/>
      <c r="PUR996" s="2335"/>
      <c r="PUS996" s="2335"/>
      <c r="PUT996" s="2335"/>
      <c r="PUU996" s="2335"/>
      <c r="PUV996" s="2335"/>
      <c r="PUW996" s="2335"/>
      <c r="PUX996" s="2335"/>
      <c r="PUY996" s="2335"/>
      <c r="PUZ996" s="2335"/>
      <c r="PVA996" s="2335"/>
      <c r="PVB996" s="2335"/>
      <c r="PVC996" s="2335"/>
      <c r="PVD996" s="2335"/>
      <c r="PVE996" s="2335"/>
      <c r="PVF996" s="2335"/>
      <c r="PVG996" s="2335"/>
      <c r="PVH996" s="2335"/>
      <c r="PVI996" s="2335"/>
      <c r="PVJ996" s="2335"/>
      <c r="PVK996" s="2335"/>
      <c r="PVL996" s="2335"/>
      <c r="PVM996" s="2335"/>
      <c r="PVN996" s="2335"/>
      <c r="PVO996" s="2335"/>
      <c r="PVP996" s="2335"/>
      <c r="PVQ996" s="2335"/>
      <c r="PVR996" s="2335"/>
      <c r="PVS996" s="2335"/>
      <c r="PVT996" s="2335"/>
      <c r="PVU996" s="2335"/>
      <c r="PVV996" s="2335"/>
      <c r="PVW996" s="2335"/>
      <c r="PVX996" s="2335"/>
      <c r="PVY996" s="2335"/>
      <c r="PVZ996" s="2335"/>
      <c r="PWA996" s="2335"/>
      <c r="PWB996" s="2335"/>
      <c r="PWC996" s="2335"/>
      <c r="PWD996" s="2335"/>
      <c r="PWE996" s="2335"/>
      <c r="PWF996" s="2335"/>
      <c r="PWG996" s="2335"/>
      <c r="PWH996" s="2335"/>
      <c r="PWI996" s="2335"/>
      <c r="PWJ996" s="2335"/>
      <c r="PWK996" s="2335"/>
      <c r="PWL996" s="2335"/>
      <c r="PWM996" s="2335"/>
      <c r="PWN996" s="2335"/>
      <c r="PWO996" s="2335"/>
      <c r="PWP996" s="2335"/>
      <c r="PWQ996" s="2335"/>
      <c r="PWR996" s="2335"/>
      <c r="PWS996" s="2335"/>
      <c r="PWT996" s="2335"/>
      <c r="PWU996" s="2335"/>
      <c r="PWV996" s="2335"/>
      <c r="PWW996" s="2335"/>
      <c r="PWX996" s="2335"/>
      <c r="PWY996" s="2335"/>
      <c r="PWZ996" s="2335"/>
      <c r="PXA996" s="2335"/>
      <c r="PXB996" s="2335"/>
      <c r="PXC996" s="2335"/>
      <c r="PXD996" s="2335"/>
      <c r="PXE996" s="2335"/>
      <c r="PXF996" s="2335"/>
      <c r="PXG996" s="2335"/>
      <c r="PXH996" s="2335"/>
      <c r="PXI996" s="2335"/>
      <c r="PXJ996" s="2335"/>
      <c r="PXK996" s="2335"/>
      <c r="PXL996" s="2335"/>
      <c r="PXM996" s="2335"/>
      <c r="PXN996" s="2335"/>
      <c r="PXO996" s="2335"/>
      <c r="PXP996" s="2335"/>
      <c r="PXQ996" s="2335"/>
      <c r="PXR996" s="2335"/>
      <c r="PXS996" s="2335"/>
      <c r="PXT996" s="2335"/>
      <c r="PXU996" s="2335"/>
      <c r="PXV996" s="2335"/>
      <c r="PXW996" s="2335"/>
      <c r="PXX996" s="2335"/>
      <c r="PXY996" s="2335"/>
      <c r="PXZ996" s="2335"/>
      <c r="PYA996" s="2335"/>
      <c r="PYB996" s="2335"/>
      <c r="PYC996" s="2335"/>
      <c r="PYD996" s="2335"/>
      <c r="PYE996" s="2335"/>
      <c r="PYF996" s="2335"/>
      <c r="PYG996" s="2335"/>
      <c r="PYH996" s="2335"/>
      <c r="PYI996" s="2335"/>
      <c r="PYJ996" s="2335"/>
      <c r="PYK996" s="2335"/>
      <c r="PYL996" s="2335"/>
      <c r="PYM996" s="2335"/>
      <c r="PYN996" s="2335"/>
      <c r="PYO996" s="2335"/>
      <c r="PYP996" s="2335"/>
      <c r="PYQ996" s="2335"/>
      <c r="PYR996" s="2335"/>
      <c r="PYS996" s="2335"/>
      <c r="PYT996" s="2335"/>
      <c r="PYU996" s="2335"/>
      <c r="PYV996" s="2335"/>
      <c r="PYW996" s="2335"/>
      <c r="PYX996" s="2335"/>
      <c r="PYY996" s="2335"/>
      <c r="PYZ996" s="2335"/>
      <c r="PZA996" s="2335"/>
      <c r="PZB996" s="2335"/>
      <c r="PZC996" s="2335"/>
      <c r="PZD996" s="2335"/>
      <c r="PZE996" s="2335"/>
      <c r="PZF996" s="2335"/>
      <c r="PZG996" s="2335"/>
      <c r="PZH996" s="2335"/>
      <c r="PZI996" s="2335"/>
      <c r="PZJ996" s="2335"/>
      <c r="PZK996" s="2335"/>
      <c r="PZL996" s="2335"/>
      <c r="PZM996" s="2335"/>
      <c r="PZN996" s="2335"/>
      <c r="PZO996" s="2335"/>
      <c r="PZP996" s="2335"/>
      <c r="PZQ996" s="2335"/>
      <c r="PZR996" s="2335"/>
      <c r="PZS996" s="2335"/>
      <c r="PZT996" s="2335"/>
      <c r="PZU996" s="2335"/>
      <c r="PZV996" s="2335"/>
      <c r="PZW996" s="2335"/>
      <c r="PZX996" s="2335"/>
      <c r="PZY996" s="2335"/>
      <c r="PZZ996" s="2335"/>
      <c r="QAA996" s="2335"/>
      <c r="QAB996" s="2335"/>
      <c r="QAC996" s="2335"/>
      <c r="QAD996" s="2335"/>
      <c r="QAE996" s="2335"/>
      <c r="QAF996" s="2335"/>
      <c r="QAG996" s="2335"/>
      <c r="QAH996" s="2335"/>
      <c r="QAI996" s="2335"/>
      <c r="QAJ996" s="2335"/>
      <c r="QAK996" s="2335"/>
      <c r="QAL996" s="2335"/>
      <c r="QAM996" s="2335"/>
      <c r="QAN996" s="2335"/>
      <c r="QAO996" s="2335"/>
      <c r="QAP996" s="2335"/>
      <c r="QAQ996" s="2335"/>
      <c r="QAR996" s="2335"/>
      <c r="QAS996" s="2335"/>
      <c r="QAT996" s="2335"/>
      <c r="QAU996" s="2335"/>
      <c r="QAV996" s="2335"/>
      <c r="QAW996" s="2335"/>
      <c r="QAX996" s="2335"/>
      <c r="QAY996" s="2335"/>
      <c r="QAZ996" s="2335"/>
      <c r="QBA996" s="2335"/>
      <c r="QBB996" s="2335"/>
      <c r="QBC996" s="2335"/>
      <c r="QBD996" s="2335"/>
      <c r="QBE996" s="2335"/>
      <c r="QBF996" s="2335"/>
      <c r="QBG996" s="2335"/>
      <c r="QBH996" s="2335"/>
      <c r="QBI996" s="2335"/>
      <c r="QBJ996" s="2335"/>
      <c r="QBK996" s="2335"/>
      <c r="QBL996" s="2335"/>
      <c r="QBM996" s="2335"/>
      <c r="QBN996" s="2335"/>
      <c r="QBO996" s="2335"/>
      <c r="QBP996" s="2335"/>
      <c r="QBQ996" s="2335"/>
      <c r="QBR996" s="2335"/>
      <c r="QBS996" s="2335"/>
      <c r="QBT996" s="2335"/>
      <c r="QBU996" s="2335"/>
      <c r="QBV996" s="2335"/>
      <c r="QBW996" s="2335"/>
      <c r="QBX996" s="2335"/>
      <c r="QBY996" s="2335"/>
      <c r="QBZ996" s="2335"/>
      <c r="QCA996" s="2335"/>
      <c r="QCB996" s="2335"/>
      <c r="QCC996" s="2335"/>
      <c r="QCD996" s="2335"/>
      <c r="QCE996" s="2335"/>
      <c r="QCF996" s="2335"/>
      <c r="QCG996" s="2335"/>
      <c r="QCH996" s="2335"/>
      <c r="QCI996" s="2335"/>
      <c r="QCJ996" s="2335"/>
      <c r="QCK996" s="2335"/>
      <c r="QCL996" s="2335"/>
      <c r="QCM996" s="2335"/>
      <c r="QCN996" s="2335"/>
      <c r="QCO996" s="2335"/>
      <c r="QCP996" s="2335"/>
      <c r="QCQ996" s="2335"/>
      <c r="QCR996" s="2335"/>
      <c r="QCS996" s="2335"/>
      <c r="QCT996" s="2335"/>
      <c r="QCU996" s="2335"/>
      <c r="QCV996" s="2335"/>
      <c r="QCW996" s="2335"/>
      <c r="QCX996" s="2335"/>
      <c r="QCY996" s="2335"/>
      <c r="QCZ996" s="2335"/>
      <c r="QDA996" s="2335"/>
      <c r="QDB996" s="2335"/>
      <c r="QDC996" s="2335"/>
      <c r="QDD996" s="2335"/>
      <c r="QDE996" s="2335"/>
      <c r="QDF996" s="2335"/>
      <c r="QDG996" s="2335"/>
      <c r="QDH996" s="2335"/>
      <c r="QDI996" s="2335"/>
      <c r="QDJ996" s="2335"/>
      <c r="QDK996" s="2335"/>
      <c r="QDL996" s="2335"/>
      <c r="QDM996" s="2335"/>
      <c r="QDN996" s="2335"/>
      <c r="QDO996" s="2335"/>
      <c r="QDP996" s="2335"/>
      <c r="QDQ996" s="2335"/>
      <c r="QDR996" s="2335"/>
      <c r="QDS996" s="2335"/>
      <c r="QDT996" s="2335"/>
      <c r="QDU996" s="2335"/>
      <c r="QDV996" s="2335"/>
      <c r="QDW996" s="2335"/>
      <c r="QDX996" s="2335"/>
      <c r="QDY996" s="2335"/>
      <c r="QDZ996" s="2335"/>
      <c r="QEA996" s="2335"/>
      <c r="QEB996" s="2335"/>
      <c r="QEC996" s="2335"/>
      <c r="QED996" s="2335"/>
      <c r="QEE996" s="2335"/>
      <c r="QEF996" s="2335"/>
      <c r="QEG996" s="2335"/>
      <c r="QEH996" s="2335"/>
      <c r="QEI996" s="2335"/>
      <c r="QEJ996" s="2335"/>
      <c r="QEK996" s="2335"/>
      <c r="QEL996" s="2335"/>
      <c r="QEM996" s="2335"/>
      <c r="QEN996" s="2335"/>
      <c r="QEO996" s="2335"/>
      <c r="QEP996" s="2335"/>
      <c r="QEQ996" s="2335"/>
      <c r="QER996" s="2335"/>
      <c r="QES996" s="2335"/>
      <c r="QET996" s="2335"/>
      <c r="QEU996" s="2335"/>
      <c r="QEV996" s="2335"/>
      <c r="QEW996" s="2335"/>
      <c r="QEX996" s="2335"/>
      <c r="QEY996" s="2335"/>
      <c r="QEZ996" s="2335"/>
      <c r="QFA996" s="2335"/>
      <c r="QFB996" s="2335"/>
      <c r="QFC996" s="2335"/>
      <c r="QFD996" s="2335"/>
      <c r="QFE996" s="2335"/>
      <c r="QFF996" s="2335"/>
      <c r="QFG996" s="2335"/>
      <c r="QFH996" s="2335"/>
      <c r="QFI996" s="2335"/>
      <c r="QFJ996" s="2335"/>
      <c r="QFK996" s="2335"/>
      <c r="QFL996" s="2335"/>
      <c r="QFM996" s="2335"/>
      <c r="QFN996" s="2335"/>
      <c r="QFO996" s="2335"/>
      <c r="QFP996" s="2335"/>
      <c r="QFQ996" s="2335"/>
      <c r="QFR996" s="2335"/>
      <c r="QFS996" s="2335"/>
      <c r="QFT996" s="2335"/>
      <c r="QFU996" s="2335"/>
      <c r="QFV996" s="2335"/>
      <c r="QFW996" s="2335"/>
      <c r="QFX996" s="2335"/>
      <c r="QFY996" s="2335"/>
      <c r="QFZ996" s="2335"/>
      <c r="QGA996" s="2335"/>
      <c r="QGB996" s="2335"/>
      <c r="QGC996" s="2335"/>
      <c r="QGD996" s="2335"/>
      <c r="QGE996" s="2335"/>
      <c r="QGF996" s="2335"/>
      <c r="QGG996" s="2335"/>
      <c r="QGH996" s="2335"/>
      <c r="QGI996" s="2335"/>
      <c r="QGJ996" s="2335"/>
      <c r="QGK996" s="2335"/>
      <c r="QGL996" s="2335"/>
      <c r="QGM996" s="2335"/>
      <c r="QGN996" s="2335"/>
      <c r="QGO996" s="2335"/>
      <c r="QGP996" s="2335"/>
      <c r="QGQ996" s="2335"/>
      <c r="QGR996" s="2335"/>
      <c r="QGS996" s="2335"/>
      <c r="QGT996" s="2335"/>
      <c r="QGU996" s="2335"/>
      <c r="QGV996" s="2335"/>
      <c r="QGW996" s="2335"/>
      <c r="QGX996" s="2335"/>
      <c r="QGY996" s="2335"/>
      <c r="QGZ996" s="2335"/>
      <c r="QHA996" s="2335"/>
      <c r="QHB996" s="2335"/>
      <c r="QHC996" s="2335"/>
      <c r="QHD996" s="2335"/>
      <c r="QHE996" s="2335"/>
      <c r="QHF996" s="2335"/>
      <c r="QHG996" s="2335"/>
      <c r="QHH996" s="2335"/>
      <c r="QHI996" s="2335"/>
      <c r="QHJ996" s="2335"/>
      <c r="QHK996" s="2335"/>
      <c r="QHL996" s="2335"/>
      <c r="QHM996" s="2335"/>
      <c r="QHN996" s="2335"/>
      <c r="QHO996" s="2335"/>
      <c r="QHP996" s="2335"/>
      <c r="QHQ996" s="2335"/>
      <c r="QHR996" s="2335"/>
      <c r="QHS996" s="2335"/>
      <c r="QHT996" s="2335"/>
      <c r="QHU996" s="2335"/>
      <c r="QHV996" s="2335"/>
      <c r="QHW996" s="2335"/>
      <c r="QHX996" s="2335"/>
      <c r="QHY996" s="2335"/>
      <c r="QHZ996" s="2335"/>
      <c r="QIA996" s="2335"/>
      <c r="QIB996" s="2335"/>
      <c r="QIC996" s="2335"/>
      <c r="QID996" s="2335"/>
      <c r="QIE996" s="2335"/>
      <c r="QIF996" s="2335"/>
      <c r="QIG996" s="2335"/>
      <c r="QIH996" s="2335"/>
      <c r="QII996" s="2335"/>
      <c r="QIJ996" s="2335"/>
      <c r="QIK996" s="2335"/>
      <c r="QIL996" s="2335"/>
      <c r="QIM996" s="2335"/>
      <c r="QIN996" s="2335"/>
      <c r="QIO996" s="2335"/>
      <c r="QIP996" s="2335"/>
      <c r="QIQ996" s="2335"/>
      <c r="QIR996" s="2335"/>
      <c r="QIS996" s="2335"/>
      <c r="QIT996" s="2335"/>
      <c r="QIU996" s="2335"/>
      <c r="QIV996" s="2335"/>
      <c r="QIW996" s="2335"/>
      <c r="QIX996" s="2335"/>
      <c r="QIY996" s="2335"/>
      <c r="QIZ996" s="2335"/>
      <c r="QJA996" s="2335"/>
      <c r="QJB996" s="2335"/>
      <c r="QJC996" s="2335"/>
      <c r="QJD996" s="2335"/>
      <c r="QJE996" s="2335"/>
      <c r="QJF996" s="2335"/>
      <c r="QJG996" s="2335"/>
      <c r="QJH996" s="2335"/>
      <c r="QJI996" s="2335"/>
      <c r="QJJ996" s="2335"/>
      <c r="QJK996" s="2335"/>
      <c r="QJL996" s="2335"/>
      <c r="QJM996" s="2335"/>
      <c r="QJN996" s="2335"/>
      <c r="QJO996" s="2335"/>
      <c r="QJP996" s="2335"/>
      <c r="QJQ996" s="2335"/>
      <c r="QJR996" s="2335"/>
      <c r="QJS996" s="2335"/>
      <c r="QJT996" s="2335"/>
      <c r="QJU996" s="2335"/>
      <c r="QJV996" s="2335"/>
      <c r="QJW996" s="2335"/>
      <c r="QJX996" s="2335"/>
      <c r="QJY996" s="2335"/>
      <c r="QJZ996" s="2335"/>
      <c r="QKA996" s="2335"/>
      <c r="QKB996" s="2335"/>
      <c r="QKC996" s="2335"/>
      <c r="QKD996" s="2335"/>
      <c r="QKE996" s="2335"/>
      <c r="QKF996" s="2335"/>
      <c r="QKG996" s="2335"/>
      <c r="QKH996" s="2335"/>
      <c r="QKI996" s="2335"/>
      <c r="QKJ996" s="2335"/>
      <c r="QKK996" s="2335"/>
      <c r="QKL996" s="2335"/>
      <c r="QKM996" s="2335"/>
      <c r="QKN996" s="2335"/>
      <c r="QKO996" s="2335"/>
      <c r="QKP996" s="2335"/>
      <c r="QKQ996" s="2335"/>
      <c r="QKR996" s="2335"/>
      <c r="QKS996" s="2335"/>
      <c r="QKT996" s="2335"/>
      <c r="QKU996" s="2335"/>
      <c r="QKV996" s="2335"/>
      <c r="QKW996" s="2335"/>
      <c r="QKX996" s="2335"/>
      <c r="QKY996" s="2335"/>
      <c r="QKZ996" s="2335"/>
      <c r="QLA996" s="2335"/>
      <c r="QLB996" s="2335"/>
      <c r="QLC996" s="2335"/>
      <c r="QLD996" s="2335"/>
      <c r="QLE996" s="2335"/>
      <c r="QLF996" s="2335"/>
      <c r="QLG996" s="2335"/>
      <c r="QLH996" s="2335"/>
      <c r="QLI996" s="2335"/>
      <c r="QLJ996" s="2335"/>
      <c r="QLK996" s="2335"/>
      <c r="QLL996" s="2335"/>
      <c r="QLM996" s="2335"/>
      <c r="QLN996" s="2335"/>
      <c r="QLO996" s="2335"/>
      <c r="QLP996" s="2335"/>
      <c r="QLQ996" s="2335"/>
      <c r="QLR996" s="2335"/>
      <c r="QLS996" s="2335"/>
      <c r="QLT996" s="2335"/>
      <c r="QLU996" s="2335"/>
      <c r="QLV996" s="2335"/>
      <c r="QLW996" s="2335"/>
      <c r="QLX996" s="2335"/>
      <c r="QLY996" s="2335"/>
      <c r="QLZ996" s="2335"/>
      <c r="QMA996" s="2335"/>
      <c r="QMB996" s="2335"/>
      <c r="QMC996" s="2335"/>
      <c r="QMD996" s="2335"/>
      <c r="QME996" s="2335"/>
      <c r="QMF996" s="2335"/>
      <c r="QMG996" s="2335"/>
      <c r="QMH996" s="2335"/>
      <c r="QMI996" s="2335"/>
      <c r="QMJ996" s="2335"/>
      <c r="QMK996" s="2335"/>
      <c r="QML996" s="2335"/>
      <c r="QMM996" s="2335"/>
      <c r="QMN996" s="2335"/>
      <c r="QMO996" s="2335"/>
      <c r="QMP996" s="2335"/>
      <c r="QMQ996" s="2335"/>
      <c r="QMR996" s="2335"/>
      <c r="QMS996" s="2335"/>
      <c r="QMT996" s="2335"/>
      <c r="QMU996" s="2335"/>
      <c r="QMV996" s="2335"/>
      <c r="QMW996" s="2335"/>
      <c r="QMX996" s="2335"/>
      <c r="QMY996" s="2335"/>
      <c r="QMZ996" s="2335"/>
      <c r="QNA996" s="2335"/>
      <c r="QNB996" s="2335"/>
      <c r="QNC996" s="2335"/>
      <c r="QND996" s="2335"/>
      <c r="QNE996" s="2335"/>
      <c r="QNF996" s="2335"/>
      <c r="QNG996" s="2335"/>
      <c r="QNH996" s="2335"/>
      <c r="QNI996" s="2335"/>
      <c r="QNJ996" s="2335"/>
      <c r="QNK996" s="2335"/>
      <c r="QNL996" s="2335"/>
      <c r="QNM996" s="2335"/>
      <c r="QNN996" s="2335"/>
      <c r="QNO996" s="2335"/>
      <c r="QNP996" s="2335"/>
      <c r="QNQ996" s="2335"/>
      <c r="QNR996" s="2335"/>
      <c r="QNS996" s="2335"/>
      <c r="QNT996" s="2335"/>
      <c r="QNU996" s="2335"/>
      <c r="QNV996" s="2335"/>
      <c r="QNW996" s="2335"/>
      <c r="QNX996" s="2335"/>
      <c r="QNY996" s="2335"/>
      <c r="QNZ996" s="2335"/>
      <c r="QOA996" s="2335"/>
      <c r="QOB996" s="2335"/>
      <c r="QOC996" s="2335"/>
      <c r="QOD996" s="2335"/>
      <c r="QOE996" s="2335"/>
      <c r="QOF996" s="2335"/>
      <c r="QOG996" s="2335"/>
      <c r="QOH996" s="2335"/>
      <c r="QOI996" s="2335"/>
      <c r="QOJ996" s="2335"/>
      <c r="QOK996" s="2335"/>
      <c r="QOL996" s="2335"/>
      <c r="QOM996" s="2335"/>
      <c r="QON996" s="2335"/>
      <c r="QOO996" s="2335"/>
      <c r="QOP996" s="2335"/>
      <c r="QOQ996" s="2335"/>
      <c r="QOR996" s="2335"/>
      <c r="QOS996" s="2335"/>
      <c r="QOT996" s="2335"/>
      <c r="QOU996" s="2335"/>
      <c r="QOV996" s="2335"/>
      <c r="QOW996" s="2335"/>
      <c r="QOX996" s="2335"/>
      <c r="QOY996" s="2335"/>
      <c r="QOZ996" s="2335"/>
      <c r="QPA996" s="2335"/>
      <c r="QPB996" s="2335"/>
      <c r="QPC996" s="2335"/>
      <c r="QPD996" s="2335"/>
      <c r="QPE996" s="2335"/>
      <c r="QPF996" s="2335"/>
      <c r="QPG996" s="2335"/>
      <c r="QPH996" s="2335"/>
      <c r="QPI996" s="2335"/>
      <c r="QPJ996" s="2335"/>
      <c r="QPK996" s="2335"/>
      <c r="QPL996" s="2335"/>
      <c r="QPM996" s="2335"/>
      <c r="QPN996" s="2335"/>
      <c r="QPO996" s="2335"/>
      <c r="QPP996" s="2335"/>
      <c r="QPQ996" s="2335"/>
      <c r="QPR996" s="2335"/>
      <c r="QPS996" s="2335"/>
      <c r="QPT996" s="2335"/>
      <c r="QPU996" s="2335"/>
      <c r="QPV996" s="2335"/>
      <c r="QPW996" s="2335"/>
      <c r="QPX996" s="2335"/>
      <c r="QPY996" s="2335"/>
      <c r="QPZ996" s="2335"/>
      <c r="QQA996" s="2335"/>
      <c r="QQB996" s="2335"/>
      <c r="QQC996" s="2335"/>
      <c r="QQD996" s="2335"/>
      <c r="QQE996" s="2335"/>
      <c r="QQF996" s="2335"/>
      <c r="QQG996" s="2335"/>
      <c r="QQH996" s="2335"/>
      <c r="QQI996" s="2335"/>
      <c r="QQJ996" s="2335"/>
      <c r="QQK996" s="2335"/>
      <c r="QQL996" s="2335"/>
      <c r="QQM996" s="2335"/>
      <c r="QQN996" s="2335"/>
      <c r="QQO996" s="2335"/>
      <c r="QQP996" s="2335"/>
      <c r="QQQ996" s="2335"/>
      <c r="QQR996" s="2335"/>
      <c r="QQS996" s="2335"/>
      <c r="QQT996" s="2335"/>
      <c r="QQU996" s="2335"/>
      <c r="QQV996" s="2335"/>
      <c r="QQW996" s="2335"/>
      <c r="QQX996" s="2335"/>
      <c r="QQY996" s="2335"/>
      <c r="QQZ996" s="2335"/>
      <c r="QRA996" s="2335"/>
      <c r="QRB996" s="2335"/>
      <c r="QRC996" s="2335"/>
      <c r="QRD996" s="2335"/>
      <c r="QRE996" s="2335"/>
      <c r="QRF996" s="2335"/>
      <c r="QRG996" s="2335"/>
      <c r="QRH996" s="2335"/>
      <c r="QRI996" s="2335"/>
      <c r="QRJ996" s="2335"/>
      <c r="QRK996" s="2335"/>
      <c r="QRL996" s="2335"/>
      <c r="QRM996" s="2335"/>
      <c r="QRN996" s="2335"/>
      <c r="QRO996" s="2335"/>
      <c r="QRP996" s="2335"/>
      <c r="QRQ996" s="2335"/>
      <c r="QRR996" s="2335"/>
      <c r="QRS996" s="2335"/>
      <c r="QRT996" s="2335"/>
      <c r="QRU996" s="2335"/>
      <c r="QRV996" s="2335"/>
      <c r="QRW996" s="2335"/>
      <c r="QRX996" s="2335"/>
      <c r="QRY996" s="2335"/>
      <c r="QRZ996" s="2335"/>
      <c r="QSA996" s="2335"/>
      <c r="QSB996" s="2335"/>
      <c r="QSC996" s="2335"/>
      <c r="QSD996" s="2335"/>
      <c r="QSE996" s="2335"/>
      <c r="QSF996" s="2335"/>
      <c r="QSG996" s="2335"/>
      <c r="QSH996" s="2335"/>
      <c r="QSI996" s="2335"/>
      <c r="QSJ996" s="2335"/>
      <c r="QSK996" s="2335"/>
      <c r="QSL996" s="2335"/>
      <c r="QSM996" s="2335"/>
      <c r="QSN996" s="2335"/>
      <c r="QSO996" s="2335"/>
      <c r="QSP996" s="2335"/>
      <c r="QSQ996" s="2335"/>
      <c r="QSR996" s="2335"/>
      <c r="QSS996" s="2335"/>
      <c r="QST996" s="2335"/>
      <c r="QSU996" s="2335"/>
      <c r="QSV996" s="2335"/>
      <c r="QSW996" s="2335"/>
      <c r="QSX996" s="2335"/>
      <c r="QSY996" s="2335"/>
      <c r="QSZ996" s="2335"/>
      <c r="QTA996" s="2335"/>
      <c r="QTB996" s="2335"/>
      <c r="QTC996" s="2335"/>
      <c r="QTD996" s="2335"/>
      <c r="QTE996" s="2335"/>
      <c r="QTF996" s="2335"/>
      <c r="QTG996" s="2335"/>
      <c r="QTH996" s="2335"/>
      <c r="QTI996" s="2335"/>
      <c r="QTJ996" s="2335"/>
      <c r="QTK996" s="2335"/>
      <c r="QTL996" s="2335"/>
      <c r="QTM996" s="2335"/>
      <c r="QTN996" s="2335"/>
      <c r="QTO996" s="2335"/>
      <c r="QTP996" s="2335"/>
      <c r="QTQ996" s="2335"/>
      <c r="QTR996" s="2335"/>
      <c r="QTS996" s="2335"/>
      <c r="QTT996" s="2335"/>
      <c r="QTU996" s="2335"/>
      <c r="QTV996" s="2335"/>
      <c r="QTW996" s="2335"/>
      <c r="QTX996" s="2335"/>
      <c r="QTY996" s="2335"/>
      <c r="QTZ996" s="2335"/>
      <c r="QUA996" s="2335"/>
      <c r="QUB996" s="2335"/>
      <c r="QUC996" s="2335"/>
      <c r="QUD996" s="2335"/>
      <c r="QUE996" s="2335"/>
      <c r="QUF996" s="2335"/>
      <c r="QUG996" s="2335"/>
      <c r="QUH996" s="2335"/>
      <c r="QUI996" s="2335"/>
      <c r="QUJ996" s="2335"/>
      <c r="QUK996" s="2335"/>
      <c r="QUL996" s="2335"/>
      <c r="QUM996" s="2335"/>
      <c r="QUN996" s="2335"/>
      <c r="QUO996" s="2335"/>
      <c r="QUP996" s="2335"/>
      <c r="QUQ996" s="2335"/>
      <c r="QUR996" s="2335"/>
      <c r="QUS996" s="2335"/>
      <c r="QUT996" s="2335"/>
      <c r="QUU996" s="2335"/>
      <c r="QUV996" s="2335"/>
      <c r="QUW996" s="2335"/>
      <c r="QUX996" s="2335"/>
      <c r="QUY996" s="2335"/>
      <c r="QUZ996" s="2335"/>
      <c r="QVA996" s="2335"/>
      <c r="QVB996" s="2335"/>
      <c r="QVC996" s="2335"/>
      <c r="QVD996" s="2335"/>
      <c r="QVE996" s="2335"/>
      <c r="QVF996" s="2335"/>
      <c r="QVG996" s="2335"/>
      <c r="QVH996" s="2335"/>
      <c r="QVI996" s="2335"/>
      <c r="QVJ996" s="2335"/>
      <c r="QVK996" s="2335"/>
      <c r="QVL996" s="2335"/>
      <c r="QVM996" s="2335"/>
      <c r="QVN996" s="2335"/>
      <c r="QVO996" s="2335"/>
      <c r="QVP996" s="2335"/>
      <c r="QVQ996" s="2335"/>
      <c r="QVR996" s="2335"/>
      <c r="QVS996" s="2335"/>
      <c r="QVT996" s="2335"/>
      <c r="QVU996" s="2335"/>
      <c r="QVV996" s="2335"/>
      <c r="QVW996" s="2335"/>
      <c r="QVX996" s="2335"/>
      <c r="QVY996" s="2335"/>
      <c r="QVZ996" s="2335"/>
      <c r="QWA996" s="2335"/>
      <c r="QWB996" s="2335"/>
      <c r="QWC996" s="2335"/>
      <c r="QWD996" s="2335"/>
      <c r="QWE996" s="2335"/>
      <c r="QWF996" s="2335"/>
      <c r="QWG996" s="2335"/>
      <c r="QWH996" s="2335"/>
      <c r="QWI996" s="2335"/>
      <c r="QWJ996" s="2335"/>
      <c r="QWK996" s="2335"/>
      <c r="QWL996" s="2335"/>
      <c r="QWM996" s="2335"/>
      <c r="QWN996" s="2335"/>
      <c r="QWO996" s="2335"/>
      <c r="QWP996" s="2335"/>
      <c r="QWQ996" s="2335"/>
      <c r="QWR996" s="2335"/>
      <c r="QWS996" s="2335"/>
      <c r="QWT996" s="2335"/>
      <c r="QWU996" s="2335"/>
      <c r="QWV996" s="2335"/>
      <c r="QWW996" s="2335"/>
      <c r="QWX996" s="2335"/>
      <c r="QWY996" s="2335"/>
      <c r="QWZ996" s="2335"/>
      <c r="QXA996" s="2335"/>
      <c r="QXB996" s="2335"/>
      <c r="QXC996" s="2335"/>
      <c r="QXD996" s="2335"/>
      <c r="QXE996" s="2335"/>
      <c r="QXF996" s="2335"/>
      <c r="QXG996" s="2335"/>
      <c r="QXH996" s="2335"/>
      <c r="QXI996" s="2335"/>
      <c r="QXJ996" s="2335"/>
      <c r="QXK996" s="2335"/>
      <c r="QXL996" s="2335"/>
      <c r="QXM996" s="2335"/>
      <c r="QXN996" s="2335"/>
      <c r="QXO996" s="2335"/>
      <c r="QXP996" s="2335"/>
      <c r="QXQ996" s="2335"/>
      <c r="QXR996" s="2335"/>
      <c r="QXS996" s="2335"/>
      <c r="QXT996" s="2335"/>
      <c r="QXU996" s="2335"/>
      <c r="QXV996" s="2335"/>
      <c r="QXW996" s="2335"/>
      <c r="QXX996" s="2335"/>
      <c r="QXY996" s="2335"/>
      <c r="QXZ996" s="2335"/>
      <c r="QYA996" s="2335"/>
      <c r="QYB996" s="2335"/>
      <c r="QYC996" s="2335"/>
      <c r="QYD996" s="2335"/>
      <c r="QYE996" s="2335"/>
      <c r="QYF996" s="2335"/>
      <c r="QYG996" s="2335"/>
      <c r="QYH996" s="2335"/>
      <c r="QYI996" s="2335"/>
      <c r="QYJ996" s="2335"/>
      <c r="QYK996" s="2335"/>
      <c r="QYL996" s="2335"/>
      <c r="QYM996" s="2335"/>
      <c r="QYN996" s="2335"/>
      <c r="QYO996" s="2335"/>
      <c r="QYP996" s="2335"/>
      <c r="QYQ996" s="2335"/>
      <c r="QYR996" s="2335"/>
      <c r="QYS996" s="2335"/>
      <c r="QYT996" s="2335"/>
      <c r="QYU996" s="2335"/>
      <c r="QYV996" s="2335"/>
      <c r="QYW996" s="2335"/>
      <c r="QYX996" s="2335"/>
      <c r="QYY996" s="2335"/>
      <c r="QYZ996" s="2335"/>
      <c r="QZA996" s="2335"/>
      <c r="QZB996" s="2335"/>
      <c r="QZC996" s="2335"/>
      <c r="QZD996" s="2335"/>
      <c r="QZE996" s="2335"/>
      <c r="QZF996" s="2335"/>
      <c r="QZG996" s="2335"/>
      <c r="QZH996" s="2335"/>
      <c r="QZI996" s="2335"/>
      <c r="QZJ996" s="2335"/>
      <c r="QZK996" s="2335"/>
      <c r="QZL996" s="2335"/>
      <c r="QZM996" s="2335"/>
      <c r="QZN996" s="2335"/>
      <c r="QZO996" s="2335"/>
      <c r="QZP996" s="2335"/>
      <c r="QZQ996" s="2335"/>
      <c r="QZR996" s="2335"/>
      <c r="QZS996" s="2335"/>
      <c r="QZT996" s="2335"/>
      <c r="QZU996" s="2335"/>
      <c r="QZV996" s="2335"/>
      <c r="QZW996" s="2335"/>
      <c r="QZX996" s="2335"/>
      <c r="QZY996" s="2335"/>
      <c r="QZZ996" s="2335"/>
      <c r="RAA996" s="2335"/>
      <c r="RAB996" s="2335"/>
      <c r="RAC996" s="2335"/>
      <c r="RAD996" s="2335"/>
      <c r="RAE996" s="2335"/>
      <c r="RAF996" s="2335"/>
      <c r="RAG996" s="2335"/>
      <c r="RAH996" s="2335"/>
      <c r="RAI996" s="2335"/>
      <c r="RAJ996" s="2335"/>
      <c r="RAK996" s="2335"/>
      <c r="RAL996" s="2335"/>
      <c r="RAM996" s="2335"/>
      <c r="RAN996" s="2335"/>
      <c r="RAO996" s="2335"/>
      <c r="RAP996" s="2335"/>
      <c r="RAQ996" s="2335"/>
      <c r="RAR996" s="2335"/>
      <c r="RAS996" s="2335"/>
      <c r="RAT996" s="2335"/>
      <c r="RAU996" s="2335"/>
      <c r="RAV996" s="2335"/>
      <c r="RAW996" s="2335"/>
      <c r="RAX996" s="2335"/>
      <c r="RAY996" s="2335"/>
      <c r="RAZ996" s="2335"/>
      <c r="RBA996" s="2335"/>
      <c r="RBB996" s="2335"/>
      <c r="RBC996" s="2335"/>
      <c r="RBD996" s="2335"/>
      <c r="RBE996" s="2335"/>
      <c r="RBF996" s="2335"/>
      <c r="RBG996" s="2335"/>
      <c r="RBH996" s="2335"/>
      <c r="RBI996" s="2335"/>
      <c r="RBJ996" s="2335"/>
      <c r="RBK996" s="2335"/>
      <c r="RBL996" s="2335"/>
      <c r="RBM996" s="2335"/>
      <c r="RBN996" s="2335"/>
      <c r="RBO996" s="2335"/>
      <c r="RBP996" s="2335"/>
      <c r="RBQ996" s="2335"/>
      <c r="RBR996" s="2335"/>
      <c r="RBS996" s="2335"/>
      <c r="RBT996" s="2335"/>
      <c r="RBU996" s="2335"/>
      <c r="RBV996" s="2335"/>
      <c r="RBW996" s="2335"/>
      <c r="RBX996" s="2335"/>
      <c r="RBY996" s="2335"/>
      <c r="RBZ996" s="2335"/>
      <c r="RCA996" s="2335"/>
      <c r="RCB996" s="2335"/>
      <c r="RCC996" s="2335"/>
      <c r="RCD996" s="2335"/>
      <c r="RCE996" s="2335"/>
      <c r="RCF996" s="2335"/>
      <c r="RCG996" s="2335"/>
      <c r="RCH996" s="2335"/>
      <c r="RCI996" s="2335"/>
      <c r="RCJ996" s="2335"/>
      <c r="RCK996" s="2335"/>
      <c r="RCL996" s="2335"/>
      <c r="RCM996" s="2335"/>
      <c r="RCN996" s="2335"/>
      <c r="RCO996" s="2335"/>
      <c r="RCP996" s="2335"/>
      <c r="RCQ996" s="2335"/>
      <c r="RCR996" s="2335"/>
      <c r="RCS996" s="2335"/>
      <c r="RCT996" s="2335"/>
      <c r="RCU996" s="2335"/>
      <c r="RCV996" s="2335"/>
      <c r="RCW996" s="2335"/>
      <c r="RCX996" s="2335"/>
      <c r="RCY996" s="2335"/>
      <c r="RCZ996" s="2335"/>
      <c r="RDA996" s="2335"/>
      <c r="RDB996" s="2335"/>
      <c r="RDC996" s="2335"/>
      <c r="RDD996" s="2335"/>
      <c r="RDE996" s="2335"/>
      <c r="RDF996" s="2335"/>
      <c r="RDG996" s="2335"/>
      <c r="RDH996" s="2335"/>
      <c r="RDI996" s="2335"/>
      <c r="RDJ996" s="2335"/>
      <c r="RDK996" s="2335"/>
      <c r="RDL996" s="2335"/>
      <c r="RDM996" s="2335"/>
      <c r="RDN996" s="2335"/>
      <c r="RDO996" s="2335"/>
      <c r="RDP996" s="2335"/>
      <c r="RDQ996" s="2335"/>
      <c r="RDR996" s="2335"/>
      <c r="RDS996" s="2335"/>
      <c r="RDT996" s="2335"/>
      <c r="RDU996" s="2335"/>
      <c r="RDV996" s="2335"/>
      <c r="RDW996" s="2335"/>
      <c r="RDX996" s="2335"/>
      <c r="RDY996" s="2335"/>
      <c r="RDZ996" s="2335"/>
      <c r="REA996" s="2335"/>
      <c r="REB996" s="2335"/>
      <c r="REC996" s="2335"/>
      <c r="RED996" s="2335"/>
      <c r="REE996" s="2335"/>
      <c r="REF996" s="2335"/>
      <c r="REG996" s="2335"/>
      <c r="REH996" s="2335"/>
      <c r="REI996" s="2335"/>
      <c r="REJ996" s="2335"/>
      <c r="REK996" s="2335"/>
      <c r="REL996" s="2335"/>
      <c r="REM996" s="2335"/>
      <c r="REN996" s="2335"/>
      <c r="REO996" s="2335"/>
      <c r="REP996" s="2335"/>
      <c r="REQ996" s="2335"/>
      <c r="RER996" s="2335"/>
      <c r="RES996" s="2335"/>
      <c r="RET996" s="2335"/>
      <c r="REU996" s="2335"/>
      <c r="REV996" s="2335"/>
      <c r="REW996" s="2335"/>
      <c r="REX996" s="2335"/>
      <c r="REY996" s="2335"/>
      <c r="REZ996" s="2335"/>
      <c r="RFA996" s="2335"/>
      <c r="RFB996" s="2335"/>
      <c r="RFC996" s="2335"/>
      <c r="RFD996" s="2335"/>
      <c r="RFE996" s="2335"/>
      <c r="RFF996" s="2335"/>
      <c r="RFG996" s="2335"/>
      <c r="RFH996" s="2335"/>
      <c r="RFI996" s="2335"/>
      <c r="RFJ996" s="2335"/>
      <c r="RFK996" s="2335"/>
      <c r="RFL996" s="2335"/>
      <c r="RFM996" s="2335"/>
      <c r="RFN996" s="2335"/>
      <c r="RFO996" s="2335"/>
      <c r="RFP996" s="2335"/>
      <c r="RFQ996" s="2335"/>
      <c r="RFR996" s="2335"/>
      <c r="RFS996" s="2335"/>
      <c r="RFT996" s="2335"/>
      <c r="RFU996" s="2335"/>
      <c r="RFV996" s="2335"/>
      <c r="RFW996" s="2335"/>
      <c r="RFX996" s="2335"/>
      <c r="RFY996" s="2335"/>
      <c r="RFZ996" s="2335"/>
      <c r="RGA996" s="2335"/>
      <c r="RGB996" s="2335"/>
      <c r="RGC996" s="2335"/>
      <c r="RGD996" s="2335"/>
      <c r="RGE996" s="2335"/>
      <c r="RGF996" s="2335"/>
      <c r="RGG996" s="2335"/>
      <c r="RGH996" s="2335"/>
      <c r="RGI996" s="2335"/>
      <c r="RGJ996" s="2335"/>
      <c r="RGK996" s="2335"/>
      <c r="RGL996" s="2335"/>
      <c r="RGM996" s="2335"/>
      <c r="RGN996" s="2335"/>
      <c r="RGO996" s="2335"/>
      <c r="RGP996" s="2335"/>
      <c r="RGQ996" s="2335"/>
      <c r="RGR996" s="2335"/>
      <c r="RGS996" s="2335"/>
      <c r="RGT996" s="2335"/>
      <c r="RGU996" s="2335"/>
      <c r="RGV996" s="2335"/>
      <c r="RGW996" s="2335"/>
      <c r="RGX996" s="2335"/>
      <c r="RGY996" s="2335"/>
      <c r="RGZ996" s="2335"/>
      <c r="RHA996" s="2335"/>
      <c r="RHB996" s="2335"/>
      <c r="RHC996" s="2335"/>
      <c r="RHD996" s="2335"/>
      <c r="RHE996" s="2335"/>
      <c r="RHF996" s="2335"/>
      <c r="RHG996" s="2335"/>
      <c r="RHH996" s="2335"/>
      <c r="RHI996" s="2335"/>
      <c r="RHJ996" s="2335"/>
      <c r="RHK996" s="2335"/>
      <c r="RHL996" s="2335"/>
      <c r="RHM996" s="2335"/>
      <c r="RHN996" s="2335"/>
      <c r="RHO996" s="2335"/>
      <c r="RHP996" s="2335"/>
      <c r="RHQ996" s="2335"/>
      <c r="RHR996" s="2335"/>
      <c r="RHS996" s="2335"/>
      <c r="RHT996" s="2335"/>
      <c r="RHU996" s="2335"/>
      <c r="RHV996" s="2335"/>
      <c r="RHW996" s="2335"/>
      <c r="RHX996" s="2335"/>
      <c r="RHY996" s="2335"/>
      <c r="RHZ996" s="2335"/>
      <c r="RIA996" s="2335"/>
      <c r="RIB996" s="2335"/>
      <c r="RIC996" s="2335"/>
      <c r="RID996" s="2335"/>
      <c r="RIE996" s="2335"/>
      <c r="RIF996" s="2335"/>
      <c r="RIG996" s="2335"/>
      <c r="RIH996" s="2335"/>
      <c r="RII996" s="2335"/>
      <c r="RIJ996" s="2335"/>
      <c r="RIK996" s="2335"/>
      <c r="RIL996" s="2335"/>
      <c r="RIM996" s="2335"/>
      <c r="RIN996" s="2335"/>
      <c r="RIO996" s="2335"/>
      <c r="RIP996" s="2335"/>
      <c r="RIQ996" s="2335"/>
      <c r="RIR996" s="2335"/>
      <c r="RIS996" s="2335"/>
      <c r="RIT996" s="2335"/>
      <c r="RIU996" s="2335"/>
      <c r="RIV996" s="2335"/>
      <c r="RIW996" s="2335"/>
      <c r="RIX996" s="2335"/>
      <c r="RIY996" s="2335"/>
      <c r="RIZ996" s="2335"/>
      <c r="RJA996" s="2335"/>
      <c r="RJB996" s="2335"/>
      <c r="RJC996" s="2335"/>
      <c r="RJD996" s="2335"/>
      <c r="RJE996" s="2335"/>
      <c r="RJF996" s="2335"/>
      <c r="RJG996" s="2335"/>
      <c r="RJH996" s="2335"/>
      <c r="RJI996" s="2335"/>
      <c r="RJJ996" s="2335"/>
      <c r="RJK996" s="2335"/>
      <c r="RJL996" s="2335"/>
      <c r="RJM996" s="2335"/>
      <c r="RJN996" s="2335"/>
      <c r="RJO996" s="2335"/>
      <c r="RJP996" s="2335"/>
      <c r="RJQ996" s="2335"/>
      <c r="RJR996" s="2335"/>
      <c r="RJS996" s="2335"/>
      <c r="RJT996" s="2335"/>
      <c r="RJU996" s="2335"/>
      <c r="RJV996" s="2335"/>
      <c r="RJW996" s="2335"/>
      <c r="RJX996" s="2335"/>
      <c r="RJY996" s="2335"/>
      <c r="RJZ996" s="2335"/>
      <c r="RKA996" s="2335"/>
      <c r="RKB996" s="2335"/>
      <c r="RKC996" s="2335"/>
      <c r="RKD996" s="2335"/>
      <c r="RKE996" s="2335"/>
      <c r="RKF996" s="2335"/>
      <c r="RKG996" s="2335"/>
      <c r="RKH996" s="2335"/>
      <c r="RKI996" s="2335"/>
      <c r="RKJ996" s="2335"/>
      <c r="RKK996" s="2335"/>
      <c r="RKL996" s="2335"/>
      <c r="RKM996" s="2335"/>
      <c r="RKN996" s="2335"/>
      <c r="RKO996" s="2335"/>
      <c r="RKP996" s="2335"/>
      <c r="RKQ996" s="2335"/>
      <c r="RKR996" s="2335"/>
      <c r="RKS996" s="2335"/>
      <c r="RKT996" s="2335"/>
      <c r="RKU996" s="2335"/>
      <c r="RKV996" s="2335"/>
      <c r="RKW996" s="2335"/>
      <c r="RKX996" s="2335"/>
      <c r="RKY996" s="2335"/>
      <c r="RKZ996" s="2335"/>
      <c r="RLA996" s="2335"/>
      <c r="RLB996" s="2335"/>
      <c r="RLC996" s="2335"/>
      <c r="RLD996" s="2335"/>
      <c r="RLE996" s="2335"/>
      <c r="RLF996" s="2335"/>
      <c r="RLG996" s="2335"/>
      <c r="RLH996" s="2335"/>
      <c r="RLI996" s="2335"/>
      <c r="RLJ996" s="2335"/>
      <c r="RLK996" s="2335"/>
      <c r="RLL996" s="2335"/>
      <c r="RLM996" s="2335"/>
      <c r="RLN996" s="2335"/>
      <c r="RLO996" s="2335"/>
      <c r="RLP996" s="2335"/>
      <c r="RLQ996" s="2335"/>
      <c r="RLR996" s="2335"/>
      <c r="RLS996" s="2335"/>
      <c r="RLT996" s="2335"/>
      <c r="RLU996" s="2335"/>
      <c r="RLV996" s="2335"/>
      <c r="RLW996" s="2335"/>
      <c r="RLX996" s="2335"/>
      <c r="RLY996" s="2335"/>
      <c r="RLZ996" s="2335"/>
      <c r="RMA996" s="2335"/>
      <c r="RMB996" s="2335"/>
      <c r="RMC996" s="2335"/>
      <c r="RMD996" s="2335"/>
      <c r="RME996" s="2335"/>
      <c r="RMF996" s="2335"/>
      <c r="RMG996" s="2335"/>
      <c r="RMH996" s="2335"/>
      <c r="RMI996" s="2335"/>
      <c r="RMJ996" s="2335"/>
      <c r="RMK996" s="2335"/>
      <c r="RML996" s="2335"/>
      <c r="RMM996" s="2335"/>
      <c r="RMN996" s="2335"/>
      <c r="RMO996" s="2335"/>
      <c r="RMP996" s="2335"/>
      <c r="RMQ996" s="2335"/>
      <c r="RMR996" s="2335"/>
      <c r="RMS996" s="2335"/>
      <c r="RMT996" s="2335"/>
      <c r="RMU996" s="2335"/>
      <c r="RMV996" s="2335"/>
      <c r="RMW996" s="2335"/>
      <c r="RMX996" s="2335"/>
      <c r="RMY996" s="2335"/>
      <c r="RMZ996" s="2335"/>
      <c r="RNA996" s="2335"/>
      <c r="RNB996" s="2335"/>
      <c r="RNC996" s="2335"/>
      <c r="RND996" s="2335"/>
      <c r="RNE996" s="2335"/>
      <c r="RNF996" s="2335"/>
      <c r="RNG996" s="2335"/>
      <c r="RNH996" s="2335"/>
      <c r="RNI996" s="2335"/>
      <c r="RNJ996" s="2335"/>
      <c r="RNK996" s="2335"/>
      <c r="RNL996" s="2335"/>
      <c r="RNM996" s="2335"/>
      <c r="RNN996" s="2335"/>
      <c r="RNO996" s="2335"/>
      <c r="RNP996" s="2335"/>
      <c r="RNQ996" s="2335"/>
      <c r="RNR996" s="2335"/>
      <c r="RNS996" s="2335"/>
      <c r="RNT996" s="2335"/>
      <c r="RNU996" s="2335"/>
      <c r="RNV996" s="2335"/>
      <c r="RNW996" s="2335"/>
      <c r="RNX996" s="2335"/>
      <c r="RNY996" s="2335"/>
      <c r="RNZ996" s="2335"/>
      <c r="ROA996" s="2335"/>
      <c r="ROB996" s="2335"/>
      <c r="ROC996" s="2335"/>
      <c r="ROD996" s="2335"/>
      <c r="ROE996" s="2335"/>
      <c r="ROF996" s="2335"/>
      <c r="ROG996" s="2335"/>
      <c r="ROH996" s="2335"/>
      <c r="ROI996" s="2335"/>
      <c r="ROJ996" s="2335"/>
      <c r="ROK996" s="2335"/>
      <c r="ROL996" s="2335"/>
      <c r="ROM996" s="2335"/>
      <c r="RON996" s="2335"/>
      <c r="ROO996" s="2335"/>
      <c r="ROP996" s="2335"/>
      <c r="ROQ996" s="2335"/>
      <c r="ROR996" s="2335"/>
      <c r="ROS996" s="2335"/>
      <c r="ROT996" s="2335"/>
      <c r="ROU996" s="2335"/>
      <c r="ROV996" s="2335"/>
      <c r="ROW996" s="2335"/>
      <c r="ROX996" s="2335"/>
      <c r="ROY996" s="2335"/>
      <c r="ROZ996" s="2335"/>
      <c r="RPA996" s="2335"/>
      <c r="RPB996" s="2335"/>
      <c r="RPC996" s="2335"/>
      <c r="RPD996" s="2335"/>
      <c r="RPE996" s="2335"/>
      <c r="RPF996" s="2335"/>
      <c r="RPG996" s="2335"/>
      <c r="RPH996" s="2335"/>
      <c r="RPI996" s="2335"/>
      <c r="RPJ996" s="2335"/>
      <c r="RPK996" s="2335"/>
      <c r="RPL996" s="2335"/>
      <c r="RPM996" s="2335"/>
      <c r="RPN996" s="2335"/>
      <c r="RPO996" s="2335"/>
      <c r="RPP996" s="2335"/>
      <c r="RPQ996" s="2335"/>
      <c r="RPR996" s="2335"/>
      <c r="RPS996" s="2335"/>
      <c r="RPT996" s="2335"/>
      <c r="RPU996" s="2335"/>
      <c r="RPV996" s="2335"/>
      <c r="RPW996" s="2335"/>
      <c r="RPX996" s="2335"/>
      <c r="RPY996" s="2335"/>
      <c r="RPZ996" s="2335"/>
      <c r="RQA996" s="2335"/>
      <c r="RQB996" s="2335"/>
      <c r="RQC996" s="2335"/>
      <c r="RQD996" s="2335"/>
      <c r="RQE996" s="2335"/>
      <c r="RQF996" s="2335"/>
      <c r="RQG996" s="2335"/>
      <c r="RQH996" s="2335"/>
      <c r="RQI996" s="2335"/>
      <c r="RQJ996" s="2335"/>
      <c r="RQK996" s="2335"/>
      <c r="RQL996" s="2335"/>
      <c r="RQM996" s="2335"/>
      <c r="RQN996" s="2335"/>
      <c r="RQO996" s="2335"/>
      <c r="RQP996" s="2335"/>
      <c r="RQQ996" s="2335"/>
      <c r="RQR996" s="2335"/>
      <c r="RQS996" s="2335"/>
      <c r="RQT996" s="2335"/>
      <c r="RQU996" s="2335"/>
      <c r="RQV996" s="2335"/>
      <c r="RQW996" s="2335"/>
      <c r="RQX996" s="2335"/>
      <c r="RQY996" s="2335"/>
      <c r="RQZ996" s="2335"/>
      <c r="RRA996" s="2335"/>
      <c r="RRB996" s="2335"/>
      <c r="RRC996" s="2335"/>
      <c r="RRD996" s="2335"/>
      <c r="RRE996" s="2335"/>
      <c r="RRF996" s="2335"/>
      <c r="RRG996" s="2335"/>
      <c r="RRH996" s="2335"/>
      <c r="RRI996" s="2335"/>
      <c r="RRJ996" s="2335"/>
      <c r="RRK996" s="2335"/>
      <c r="RRL996" s="2335"/>
      <c r="RRM996" s="2335"/>
      <c r="RRN996" s="2335"/>
      <c r="RRO996" s="2335"/>
      <c r="RRP996" s="2335"/>
      <c r="RRQ996" s="2335"/>
      <c r="RRR996" s="2335"/>
      <c r="RRS996" s="2335"/>
      <c r="RRT996" s="2335"/>
      <c r="RRU996" s="2335"/>
      <c r="RRV996" s="2335"/>
      <c r="RRW996" s="2335"/>
      <c r="RRX996" s="2335"/>
      <c r="RRY996" s="2335"/>
      <c r="RRZ996" s="2335"/>
      <c r="RSA996" s="2335"/>
      <c r="RSB996" s="2335"/>
      <c r="RSC996" s="2335"/>
      <c r="RSD996" s="2335"/>
      <c r="RSE996" s="2335"/>
      <c r="RSF996" s="2335"/>
      <c r="RSG996" s="2335"/>
      <c r="RSH996" s="2335"/>
      <c r="RSI996" s="2335"/>
      <c r="RSJ996" s="2335"/>
      <c r="RSK996" s="2335"/>
      <c r="RSL996" s="2335"/>
      <c r="RSM996" s="2335"/>
      <c r="RSN996" s="2335"/>
      <c r="RSO996" s="2335"/>
      <c r="RSP996" s="2335"/>
      <c r="RSQ996" s="2335"/>
      <c r="RSR996" s="2335"/>
      <c r="RSS996" s="2335"/>
      <c r="RST996" s="2335"/>
      <c r="RSU996" s="2335"/>
      <c r="RSV996" s="2335"/>
      <c r="RSW996" s="2335"/>
      <c r="RSX996" s="2335"/>
      <c r="RSY996" s="2335"/>
      <c r="RSZ996" s="2335"/>
      <c r="RTA996" s="2335"/>
      <c r="RTB996" s="2335"/>
      <c r="RTC996" s="2335"/>
      <c r="RTD996" s="2335"/>
      <c r="RTE996" s="2335"/>
      <c r="RTF996" s="2335"/>
      <c r="RTG996" s="2335"/>
      <c r="RTH996" s="2335"/>
      <c r="RTI996" s="2335"/>
      <c r="RTJ996" s="2335"/>
      <c r="RTK996" s="2335"/>
      <c r="RTL996" s="2335"/>
      <c r="RTM996" s="2335"/>
      <c r="RTN996" s="2335"/>
      <c r="RTO996" s="2335"/>
      <c r="RTP996" s="2335"/>
      <c r="RTQ996" s="2335"/>
      <c r="RTR996" s="2335"/>
      <c r="RTS996" s="2335"/>
      <c r="RTT996" s="2335"/>
      <c r="RTU996" s="2335"/>
      <c r="RTV996" s="2335"/>
      <c r="RTW996" s="2335"/>
      <c r="RTX996" s="2335"/>
      <c r="RTY996" s="2335"/>
      <c r="RTZ996" s="2335"/>
      <c r="RUA996" s="2335"/>
      <c r="RUB996" s="2335"/>
      <c r="RUC996" s="2335"/>
      <c r="RUD996" s="2335"/>
      <c r="RUE996" s="2335"/>
      <c r="RUF996" s="2335"/>
      <c r="RUG996" s="2335"/>
      <c r="RUH996" s="2335"/>
      <c r="RUI996" s="2335"/>
      <c r="RUJ996" s="2335"/>
      <c r="RUK996" s="2335"/>
      <c r="RUL996" s="2335"/>
      <c r="RUM996" s="2335"/>
      <c r="RUN996" s="2335"/>
      <c r="RUO996" s="2335"/>
      <c r="RUP996" s="2335"/>
      <c r="RUQ996" s="2335"/>
      <c r="RUR996" s="2335"/>
      <c r="RUS996" s="2335"/>
      <c r="RUT996" s="2335"/>
      <c r="RUU996" s="2335"/>
      <c r="RUV996" s="2335"/>
      <c r="RUW996" s="2335"/>
      <c r="RUX996" s="2335"/>
      <c r="RUY996" s="2335"/>
      <c r="RUZ996" s="2335"/>
      <c r="RVA996" s="2335"/>
      <c r="RVB996" s="2335"/>
      <c r="RVC996" s="2335"/>
      <c r="RVD996" s="2335"/>
      <c r="RVE996" s="2335"/>
      <c r="RVF996" s="2335"/>
      <c r="RVG996" s="2335"/>
      <c r="RVH996" s="2335"/>
      <c r="RVI996" s="2335"/>
      <c r="RVJ996" s="2335"/>
      <c r="RVK996" s="2335"/>
      <c r="RVL996" s="2335"/>
      <c r="RVM996" s="2335"/>
      <c r="RVN996" s="2335"/>
      <c r="RVO996" s="2335"/>
      <c r="RVP996" s="2335"/>
      <c r="RVQ996" s="2335"/>
      <c r="RVR996" s="2335"/>
      <c r="RVS996" s="2335"/>
      <c r="RVT996" s="2335"/>
      <c r="RVU996" s="2335"/>
      <c r="RVV996" s="2335"/>
      <c r="RVW996" s="2335"/>
      <c r="RVX996" s="2335"/>
      <c r="RVY996" s="2335"/>
      <c r="RVZ996" s="2335"/>
      <c r="RWA996" s="2335"/>
      <c r="RWB996" s="2335"/>
      <c r="RWC996" s="2335"/>
      <c r="RWD996" s="2335"/>
      <c r="RWE996" s="2335"/>
      <c r="RWF996" s="2335"/>
      <c r="RWG996" s="2335"/>
      <c r="RWH996" s="2335"/>
      <c r="RWI996" s="2335"/>
      <c r="RWJ996" s="2335"/>
      <c r="RWK996" s="2335"/>
      <c r="RWL996" s="2335"/>
      <c r="RWM996" s="2335"/>
      <c r="RWN996" s="2335"/>
      <c r="RWO996" s="2335"/>
      <c r="RWP996" s="2335"/>
      <c r="RWQ996" s="2335"/>
      <c r="RWR996" s="2335"/>
      <c r="RWS996" s="2335"/>
      <c r="RWT996" s="2335"/>
      <c r="RWU996" s="2335"/>
      <c r="RWV996" s="2335"/>
      <c r="RWW996" s="2335"/>
      <c r="RWX996" s="2335"/>
      <c r="RWY996" s="2335"/>
      <c r="RWZ996" s="2335"/>
      <c r="RXA996" s="2335"/>
      <c r="RXB996" s="2335"/>
      <c r="RXC996" s="2335"/>
      <c r="RXD996" s="2335"/>
      <c r="RXE996" s="2335"/>
      <c r="RXF996" s="2335"/>
      <c r="RXG996" s="2335"/>
      <c r="RXH996" s="2335"/>
      <c r="RXI996" s="2335"/>
      <c r="RXJ996" s="2335"/>
      <c r="RXK996" s="2335"/>
      <c r="RXL996" s="2335"/>
      <c r="RXM996" s="2335"/>
      <c r="RXN996" s="2335"/>
      <c r="RXO996" s="2335"/>
      <c r="RXP996" s="2335"/>
      <c r="RXQ996" s="2335"/>
      <c r="RXR996" s="2335"/>
      <c r="RXS996" s="2335"/>
      <c r="RXT996" s="2335"/>
      <c r="RXU996" s="2335"/>
      <c r="RXV996" s="2335"/>
      <c r="RXW996" s="2335"/>
      <c r="RXX996" s="2335"/>
      <c r="RXY996" s="2335"/>
      <c r="RXZ996" s="2335"/>
      <c r="RYA996" s="2335"/>
      <c r="RYB996" s="2335"/>
      <c r="RYC996" s="2335"/>
      <c r="RYD996" s="2335"/>
      <c r="RYE996" s="2335"/>
      <c r="RYF996" s="2335"/>
      <c r="RYG996" s="2335"/>
      <c r="RYH996" s="2335"/>
      <c r="RYI996" s="2335"/>
      <c r="RYJ996" s="2335"/>
      <c r="RYK996" s="2335"/>
      <c r="RYL996" s="2335"/>
      <c r="RYM996" s="2335"/>
      <c r="RYN996" s="2335"/>
      <c r="RYO996" s="2335"/>
      <c r="RYP996" s="2335"/>
      <c r="RYQ996" s="2335"/>
      <c r="RYR996" s="2335"/>
      <c r="RYS996" s="2335"/>
      <c r="RYT996" s="2335"/>
      <c r="RYU996" s="2335"/>
      <c r="RYV996" s="2335"/>
      <c r="RYW996" s="2335"/>
      <c r="RYX996" s="2335"/>
      <c r="RYY996" s="2335"/>
      <c r="RYZ996" s="2335"/>
      <c r="RZA996" s="2335"/>
      <c r="RZB996" s="2335"/>
      <c r="RZC996" s="2335"/>
      <c r="RZD996" s="2335"/>
      <c r="RZE996" s="2335"/>
      <c r="RZF996" s="2335"/>
      <c r="RZG996" s="2335"/>
      <c r="RZH996" s="2335"/>
      <c r="RZI996" s="2335"/>
      <c r="RZJ996" s="2335"/>
      <c r="RZK996" s="2335"/>
      <c r="RZL996" s="2335"/>
      <c r="RZM996" s="2335"/>
      <c r="RZN996" s="2335"/>
      <c r="RZO996" s="2335"/>
      <c r="RZP996" s="2335"/>
      <c r="RZQ996" s="2335"/>
      <c r="RZR996" s="2335"/>
      <c r="RZS996" s="2335"/>
      <c r="RZT996" s="2335"/>
      <c r="RZU996" s="2335"/>
      <c r="RZV996" s="2335"/>
      <c r="RZW996" s="2335"/>
      <c r="RZX996" s="2335"/>
      <c r="RZY996" s="2335"/>
      <c r="RZZ996" s="2335"/>
      <c r="SAA996" s="2335"/>
      <c r="SAB996" s="2335"/>
      <c r="SAC996" s="2335"/>
      <c r="SAD996" s="2335"/>
      <c r="SAE996" s="2335"/>
      <c r="SAF996" s="2335"/>
      <c r="SAG996" s="2335"/>
      <c r="SAH996" s="2335"/>
      <c r="SAI996" s="2335"/>
      <c r="SAJ996" s="2335"/>
      <c r="SAK996" s="2335"/>
      <c r="SAL996" s="2335"/>
      <c r="SAM996" s="2335"/>
      <c r="SAN996" s="2335"/>
      <c r="SAO996" s="2335"/>
      <c r="SAP996" s="2335"/>
      <c r="SAQ996" s="2335"/>
      <c r="SAR996" s="2335"/>
      <c r="SAS996" s="2335"/>
      <c r="SAT996" s="2335"/>
      <c r="SAU996" s="2335"/>
      <c r="SAV996" s="2335"/>
      <c r="SAW996" s="2335"/>
      <c r="SAX996" s="2335"/>
      <c r="SAY996" s="2335"/>
      <c r="SAZ996" s="2335"/>
      <c r="SBA996" s="2335"/>
      <c r="SBB996" s="2335"/>
      <c r="SBC996" s="2335"/>
      <c r="SBD996" s="2335"/>
      <c r="SBE996" s="2335"/>
      <c r="SBF996" s="2335"/>
      <c r="SBG996" s="2335"/>
      <c r="SBH996" s="2335"/>
      <c r="SBI996" s="2335"/>
      <c r="SBJ996" s="2335"/>
      <c r="SBK996" s="2335"/>
      <c r="SBL996" s="2335"/>
      <c r="SBM996" s="2335"/>
      <c r="SBN996" s="2335"/>
      <c r="SBO996" s="2335"/>
      <c r="SBP996" s="2335"/>
      <c r="SBQ996" s="2335"/>
      <c r="SBR996" s="2335"/>
      <c r="SBS996" s="2335"/>
      <c r="SBT996" s="2335"/>
      <c r="SBU996" s="2335"/>
      <c r="SBV996" s="2335"/>
      <c r="SBW996" s="2335"/>
      <c r="SBX996" s="2335"/>
      <c r="SBY996" s="2335"/>
      <c r="SBZ996" s="2335"/>
      <c r="SCA996" s="2335"/>
      <c r="SCB996" s="2335"/>
      <c r="SCC996" s="2335"/>
      <c r="SCD996" s="2335"/>
      <c r="SCE996" s="2335"/>
      <c r="SCF996" s="2335"/>
      <c r="SCG996" s="2335"/>
      <c r="SCH996" s="2335"/>
      <c r="SCI996" s="2335"/>
      <c r="SCJ996" s="2335"/>
      <c r="SCK996" s="2335"/>
      <c r="SCL996" s="2335"/>
      <c r="SCM996" s="2335"/>
      <c r="SCN996" s="2335"/>
      <c r="SCO996" s="2335"/>
      <c r="SCP996" s="2335"/>
      <c r="SCQ996" s="2335"/>
      <c r="SCR996" s="2335"/>
      <c r="SCS996" s="2335"/>
      <c r="SCT996" s="2335"/>
      <c r="SCU996" s="2335"/>
      <c r="SCV996" s="2335"/>
      <c r="SCW996" s="2335"/>
      <c r="SCX996" s="2335"/>
      <c r="SCY996" s="2335"/>
      <c r="SCZ996" s="2335"/>
      <c r="SDA996" s="2335"/>
      <c r="SDB996" s="2335"/>
      <c r="SDC996" s="2335"/>
      <c r="SDD996" s="2335"/>
      <c r="SDE996" s="2335"/>
      <c r="SDF996" s="2335"/>
      <c r="SDG996" s="2335"/>
      <c r="SDH996" s="2335"/>
      <c r="SDI996" s="2335"/>
      <c r="SDJ996" s="2335"/>
      <c r="SDK996" s="2335"/>
      <c r="SDL996" s="2335"/>
      <c r="SDM996" s="2335"/>
      <c r="SDN996" s="2335"/>
      <c r="SDO996" s="2335"/>
      <c r="SDP996" s="2335"/>
      <c r="SDQ996" s="2335"/>
      <c r="SDR996" s="2335"/>
      <c r="SDS996" s="2335"/>
      <c r="SDT996" s="2335"/>
      <c r="SDU996" s="2335"/>
      <c r="SDV996" s="2335"/>
      <c r="SDW996" s="2335"/>
      <c r="SDX996" s="2335"/>
      <c r="SDY996" s="2335"/>
      <c r="SDZ996" s="2335"/>
      <c r="SEA996" s="2335"/>
      <c r="SEB996" s="2335"/>
      <c r="SEC996" s="2335"/>
      <c r="SED996" s="2335"/>
      <c r="SEE996" s="2335"/>
      <c r="SEF996" s="2335"/>
      <c r="SEG996" s="2335"/>
      <c r="SEH996" s="2335"/>
      <c r="SEI996" s="2335"/>
      <c r="SEJ996" s="2335"/>
      <c r="SEK996" s="2335"/>
      <c r="SEL996" s="2335"/>
      <c r="SEM996" s="2335"/>
      <c r="SEN996" s="2335"/>
      <c r="SEO996" s="2335"/>
      <c r="SEP996" s="2335"/>
      <c r="SEQ996" s="2335"/>
      <c r="SER996" s="2335"/>
      <c r="SES996" s="2335"/>
      <c r="SET996" s="2335"/>
      <c r="SEU996" s="2335"/>
      <c r="SEV996" s="2335"/>
      <c r="SEW996" s="2335"/>
      <c r="SEX996" s="2335"/>
      <c r="SEY996" s="2335"/>
      <c r="SEZ996" s="2335"/>
      <c r="SFA996" s="2335"/>
      <c r="SFB996" s="2335"/>
      <c r="SFC996" s="2335"/>
      <c r="SFD996" s="2335"/>
      <c r="SFE996" s="2335"/>
      <c r="SFF996" s="2335"/>
      <c r="SFG996" s="2335"/>
      <c r="SFH996" s="2335"/>
      <c r="SFI996" s="2335"/>
      <c r="SFJ996" s="2335"/>
      <c r="SFK996" s="2335"/>
      <c r="SFL996" s="2335"/>
      <c r="SFM996" s="2335"/>
      <c r="SFN996" s="2335"/>
      <c r="SFO996" s="2335"/>
      <c r="SFP996" s="2335"/>
      <c r="SFQ996" s="2335"/>
      <c r="SFR996" s="2335"/>
      <c r="SFS996" s="2335"/>
      <c r="SFT996" s="2335"/>
      <c r="SFU996" s="2335"/>
      <c r="SFV996" s="2335"/>
      <c r="SFW996" s="2335"/>
      <c r="SFX996" s="2335"/>
      <c r="SFY996" s="2335"/>
      <c r="SFZ996" s="2335"/>
      <c r="SGA996" s="2335"/>
      <c r="SGB996" s="2335"/>
      <c r="SGC996" s="2335"/>
      <c r="SGD996" s="2335"/>
      <c r="SGE996" s="2335"/>
      <c r="SGF996" s="2335"/>
      <c r="SGG996" s="2335"/>
      <c r="SGH996" s="2335"/>
      <c r="SGI996" s="2335"/>
      <c r="SGJ996" s="2335"/>
      <c r="SGK996" s="2335"/>
      <c r="SGL996" s="2335"/>
      <c r="SGM996" s="2335"/>
      <c r="SGN996" s="2335"/>
      <c r="SGO996" s="2335"/>
      <c r="SGP996" s="2335"/>
      <c r="SGQ996" s="2335"/>
      <c r="SGR996" s="2335"/>
      <c r="SGS996" s="2335"/>
      <c r="SGT996" s="2335"/>
      <c r="SGU996" s="2335"/>
      <c r="SGV996" s="2335"/>
      <c r="SGW996" s="2335"/>
      <c r="SGX996" s="2335"/>
      <c r="SGY996" s="2335"/>
      <c r="SGZ996" s="2335"/>
      <c r="SHA996" s="2335"/>
      <c r="SHB996" s="2335"/>
      <c r="SHC996" s="2335"/>
      <c r="SHD996" s="2335"/>
      <c r="SHE996" s="2335"/>
      <c r="SHF996" s="2335"/>
      <c r="SHG996" s="2335"/>
      <c r="SHH996" s="2335"/>
      <c r="SHI996" s="2335"/>
      <c r="SHJ996" s="2335"/>
      <c r="SHK996" s="2335"/>
      <c r="SHL996" s="2335"/>
      <c r="SHM996" s="2335"/>
      <c r="SHN996" s="2335"/>
      <c r="SHO996" s="2335"/>
      <c r="SHP996" s="2335"/>
      <c r="SHQ996" s="2335"/>
      <c r="SHR996" s="2335"/>
      <c r="SHS996" s="2335"/>
      <c r="SHT996" s="2335"/>
      <c r="SHU996" s="2335"/>
      <c r="SHV996" s="2335"/>
      <c r="SHW996" s="2335"/>
      <c r="SHX996" s="2335"/>
      <c r="SHY996" s="2335"/>
      <c r="SHZ996" s="2335"/>
      <c r="SIA996" s="2335"/>
      <c r="SIB996" s="2335"/>
      <c r="SIC996" s="2335"/>
      <c r="SID996" s="2335"/>
      <c r="SIE996" s="2335"/>
      <c r="SIF996" s="2335"/>
      <c r="SIG996" s="2335"/>
      <c r="SIH996" s="2335"/>
      <c r="SII996" s="2335"/>
      <c r="SIJ996" s="2335"/>
      <c r="SIK996" s="2335"/>
      <c r="SIL996" s="2335"/>
      <c r="SIM996" s="2335"/>
      <c r="SIN996" s="2335"/>
      <c r="SIO996" s="2335"/>
      <c r="SIP996" s="2335"/>
      <c r="SIQ996" s="2335"/>
      <c r="SIR996" s="2335"/>
      <c r="SIS996" s="2335"/>
      <c r="SIT996" s="2335"/>
      <c r="SIU996" s="2335"/>
      <c r="SIV996" s="2335"/>
      <c r="SIW996" s="2335"/>
      <c r="SIX996" s="2335"/>
      <c r="SIY996" s="2335"/>
      <c r="SIZ996" s="2335"/>
      <c r="SJA996" s="2335"/>
      <c r="SJB996" s="2335"/>
      <c r="SJC996" s="2335"/>
      <c r="SJD996" s="2335"/>
      <c r="SJE996" s="2335"/>
      <c r="SJF996" s="2335"/>
      <c r="SJG996" s="2335"/>
      <c r="SJH996" s="2335"/>
      <c r="SJI996" s="2335"/>
      <c r="SJJ996" s="2335"/>
      <c r="SJK996" s="2335"/>
      <c r="SJL996" s="2335"/>
      <c r="SJM996" s="2335"/>
      <c r="SJN996" s="2335"/>
      <c r="SJO996" s="2335"/>
      <c r="SJP996" s="2335"/>
      <c r="SJQ996" s="2335"/>
      <c r="SJR996" s="2335"/>
      <c r="SJS996" s="2335"/>
      <c r="SJT996" s="2335"/>
      <c r="SJU996" s="2335"/>
      <c r="SJV996" s="2335"/>
      <c r="SJW996" s="2335"/>
      <c r="SJX996" s="2335"/>
      <c r="SJY996" s="2335"/>
      <c r="SJZ996" s="2335"/>
      <c r="SKA996" s="2335"/>
      <c r="SKB996" s="2335"/>
      <c r="SKC996" s="2335"/>
      <c r="SKD996" s="2335"/>
      <c r="SKE996" s="2335"/>
      <c r="SKF996" s="2335"/>
      <c r="SKG996" s="2335"/>
      <c r="SKH996" s="2335"/>
      <c r="SKI996" s="2335"/>
      <c r="SKJ996" s="2335"/>
      <c r="SKK996" s="2335"/>
      <c r="SKL996" s="2335"/>
      <c r="SKM996" s="2335"/>
      <c r="SKN996" s="2335"/>
      <c r="SKO996" s="2335"/>
      <c r="SKP996" s="2335"/>
      <c r="SKQ996" s="2335"/>
      <c r="SKR996" s="2335"/>
      <c r="SKS996" s="2335"/>
      <c r="SKT996" s="2335"/>
      <c r="SKU996" s="2335"/>
      <c r="SKV996" s="2335"/>
      <c r="SKW996" s="2335"/>
      <c r="SKX996" s="2335"/>
      <c r="SKY996" s="2335"/>
      <c r="SKZ996" s="2335"/>
      <c r="SLA996" s="2335"/>
      <c r="SLB996" s="2335"/>
      <c r="SLC996" s="2335"/>
      <c r="SLD996" s="2335"/>
      <c r="SLE996" s="2335"/>
      <c r="SLF996" s="2335"/>
      <c r="SLG996" s="2335"/>
      <c r="SLH996" s="2335"/>
      <c r="SLI996" s="2335"/>
      <c r="SLJ996" s="2335"/>
      <c r="SLK996" s="2335"/>
      <c r="SLL996" s="2335"/>
      <c r="SLM996" s="2335"/>
      <c r="SLN996" s="2335"/>
      <c r="SLO996" s="2335"/>
      <c r="SLP996" s="2335"/>
      <c r="SLQ996" s="2335"/>
      <c r="SLR996" s="2335"/>
      <c r="SLS996" s="2335"/>
      <c r="SLT996" s="2335"/>
      <c r="SLU996" s="2335"/>
      <c r="SLV996" s="2335"/>
      <c r="SLW996" s="2335"/>
      <c r="SLX996" s="2335"/>
      <c r="SLY996" s="2335"/>
      <c r="SLZ996" s="2335"/>
      <c r="SMA996" s="2335"/>
      <c r="SMB996" s="2335"/>
      <c r="SMC996" s="2335"/>
      <c r="SMD996" s="2335"/>
      <c r="SME996" s="2335"/>
      <c r="SMF996" s="2335"/>
      <c r="SMG996" s="2335"/>
      <c r="SMH996" s="2335"/>
      <c r="SMI996" s="2335"/>
      <c r="SMJ996" s="2335"/>
      <c r="SMK996" s="2335"/>
      <c r="SML996" s="2335"/>
      <c r="SMM996" s="2335"/>
      <c r="SMN996" s="2335"/>
      <c r="SMO996" s="2335"/>
      <c r="SMP996" s="2335"/>
      <c r="SMQ996" s="2335"/>
      <c r="SMR996" s="2335"/>
      <c r="SMS996" s="2335"/>
      <c r="SMT996" s="2335"/>
      <c r="SMU996" s="2335"/>
      <c r="SMV996" s="2335"/>
      <c r="SMW996" s="2335"/>
      <c r="SMX996" s="2335"/>
      <c r="SMY996" s="2335"/>
      <c r="SMZ996" s="2335"/>
      <c r="SNA996" s="2335"/>
      <c r="SNB996" s="2335"/>
      <c r="SNC996" s="2335"/>
      <c r="SND996" s="2335"/>
      <c r="SNE996" s="2335"/>
      <c r="SNF996" s="2335"/>
      <c r="SNG996" s="2335"/>
      <c r="SNH996" s="2335"/>
      <c r="SNI996" s="2335"/>
      <c r="SNJ996" s="2335"/>
      <c r="SNK996" s="2335"/>
      <c r="SNL996" s="2335"/>
      <c r="SNM996" s="2335"/>
      <c r="SNN996" s="2335"/>
      <c r="SNO996" s="2335"/>
      <c r="SNP996" s="2335"/>
      <c r="SNQ996" s="2335"/>
      <c r="SNR996" s="2335"/>
      <c r="SNS996" s="2335"/>
      <c r="SNT996" s="2335"/>
      <c r="SNU996" s="2335"/>
      <c r="SNV996" s="2335"/>
      <c r="SNW996" s="2335"/>
      <c r="SNX996" s="2335"/>
      <c r="SNY996" s="2335"/>
      <c r="SNZ996" s="2335"/>
      <c r="SOA996" s="2335"/>
      <c r="SOB996" s="2335"/>
      <c r="SOC996" s="2335"/>
      <c r="SOD996" s="2335"/>
      <c r="SOE996" s="2335"/>
      <c r="SOF996" s="2335"/>
      <c r="SOG996" s="2335"/>
      <c r="SOH996" s="2335"/>
      <c r="SOI996" s="2335"/>
      <c r="SOJ996" s="2335"/>
      <c r="SOK996" s="2335"/>
      <c r="SOL996" s="2335"/>
      <c r="SOM996" s="2335"/>
      <c r="SON996" s="2335"/>
      <c r="SOO996" s="2335"/>
      <c r="SOP996" s="2335"/>
      <c r="SOQ996" s="2335"/>
      <c r="SOR996" s="2335"/>
      <c r="SOS996" s="2335"/>
      <c r="SOT996" s="2335"/>
      <c r="SOU996" s="2335"/>
      <c r="SOV996" s="2335"/>
      <c r="SOW996" s="2335"/>
      <c r="SOX996" s="2335"/>
      <c r="SOY996" s="2335"/>
      <c r="SOZ996" s="2335"/>
      <c r="SPA996" s="2335"/>
      <c r="SPB996" s="2335"/>
      <c r="SPC996" s="2335"/>
      <c r="SPD996" s="2335"/>
      <c r="SPE996" s="2335"/>
      <c r="SPF996" s="2335"/>
      <c r="SPG996" s="2335"/>
      <c r="SPH996" s="2335"/>
      <c r="SPI996" s="2335"/>
      <c r="SPJ996" s="2335"/>
      <c r="SPK996" s="2335"/>
      <c r="SPL996" s="2335"/>
      <c r="SPM996" s="2335"/>
      <c r="SPN996" s="2335"/>
      <c r="SPO996" s="2335"/>
      <c r="SPP996" s="2335"/>
      <c r="SPQ996" s="2335"/>
      <c r="SPR996" s="2335"/>
      <c r="SPS996" s="2335"/>
      <c r="SPT996" s="2335"/>
      <c r="SPU996" s="2335"/>
      <c r="SPV996" s="2335"/>
      <c r="SPW996" s="2335"/>
      <c r="SPX996" s="2335"/>
      <c r="SPY996" s="2335"/>
      <c r="SPZ996" s="2335"/>
      <c r="SQA996" s="2335"/>
      <c r="SQB996" s="2335"/>
      <c r="SQC996" s="2335"/>
      <c r="SQD996" s="2335"/>
      <c r="SQE996" s="2335"/>
      <c r="SQF996" s="2335"/>
      <c r="SQG996" s="2335"/>
      <c r="SQH996" s="2335"/>
      <c r="SQI996" s="2335"/>
      <c r="SQJ996" s="2335"/>
      <c r="SQK996" s="2335"/>
      <c r="SQL996" s="2335"/>
      <c r="SQM996" s="2335"/>
      <c r="SQN996" s="2335"/>
      <c r="SQO996" s="2335"/>
      <c r="SQP996" s="2335"/>
      <c r="SQQ996" s="2335"/>
      <c r="SQR996" s="2335"/>
      <c r="SQS996" s="2335"/>
      <c r="SQT996" s="2335"/>
      <c r="SQU996" s="2335"/>
      <c r="SQV996" s="2335"/>
      <c r="SQW996" s="2335"/>
      <c r="SQX996" s="2335"/>
      <c r="SQY996" s="2335"/>
      <c r="SQZ996" s="2335"/>
      <c r="SRA996" s="2335"/>
      <c r="SRB996" s="2335"/>
      <c r="SRC996" s="2335"/>
      <c r="SRD996" s="2335"/>
      <c r="SRE996" s="2335"/>
      <c r="SRF996" s="2335"/>
      <c r="SRG996" s="2335"/>
      <c r="SRH996" s="2335"/>
      <c r="SRI996" s="2335"/>
      <c r="SRJ996" s="2335"/>
      <c r="SRK996" s="2335"/>
      <c r="SRL996" s="2335"/>
      <c r="SRM996" s="2335"/>
      <c r="SRN996" s="2335"/>
      <c r="SRO996" s="2335"/>
      <c r="SRP996" s="2335"/>
      <c r="SRQ996" s="2335"/>
      <c r="SRR996" s="2335"/>
      <c r="SRS996" s="2335"/>
      <c r="SRT996" s="2335"/>
      <c r="SRU996" s="2335"/>
      <c r="SRV996" s="2335"/>
      <c r="SRW996" s="2335"/>
      <c r="SRX996" s="2335"/>
      <c r="SRY996" s="2335"/>
      <c r="SRZ996" s="2335"/>
      <c r="SSA996" s="2335"/>
      <c r="SSB996" s="2335"/>
      <c r="SSC996" s="2335"/>
      <c r="SSD996" s="2335"/>
      <c r="SSE996" s="2335"/>
      <c r="SSF996" s="2335"/>
      <c r="SSG996" s="2335"/>
      <c r="SSH996" s="2335"/>
      <c r="SSI996" s="2335"/>
      <c r="SSJ996" s="2335"/>
      <c r="SSK996" s="2335"/>
      <c r="SSL996" s="2335"/>
      <c r="SSM996" s="2335"/>
      <c r="SSN996" s="2335"/>
      <c r="SSO996" s="2335"/>
      <c r="SSP996" s="2335"/>
      <c r="SSQ996" s="2335"/>
      <c r="SSR996" s="2335"/>
      <c r="SSS996" s="2335"/>
      <c r="SST996" s="2335"/>
      <c r="SSU996" s="2335"/>
      <c r="SSV996" s="2335"/>
      <c r="SSW996" s="2335"/>
      <c r="SSX996" s="2335"/>
      <c r="SSY996" s="2335"/>
      <c r="SSZ996" s="2335"/>
      <c r="STA996" s="2335"/>
      <c r="STB996" s="2335"/>
      <c r="STC996" s="2335"/>
      <c r="STD996" s="2335"/>
      <c r="STE996" s="2335"/>
      <c r="STF996" s="2335"/>
      <c r="STG996" s="2335"/>
      <c r="STH996" s="2335"/>
      <c r="STI996" s="2335"/>
      <c r="STJ996" s="2335"/>
      <c r="STK996" s="2335"/>
      <c r="STL996" s="2335"/>
      <c r="STM996" s="2335"/>
      <c r="STN996" s="2335"/>
      <c r="STO996" s="2335"/>
      <c r="STP996" s="2335"/>
      <c r="STQ996" s="2335"/>
      <c r="STR996" s="2335"/>
      <c r="STS996" s="2335"/>
      <c r="STT996" s="2335"/>
      <c r="STU996" s="2335"/>
      <c r="STV996" s="2335"/>
      <c r="STW996" s="2335"/>
      <c r="STX996" s="2335"/>
      <c r="STY996" s="2335"/>
      <c r="STZ996" s="2335"/>
      <c r="SUA996" s="2335"/>
      <c r="SUB996" s="2335"/>
      <c r="SUC996" s="2335"/>
      <c r="SUD996" s="2335"/>
      <c r="SUE996" s="2335"/>
      <c r="SUF996" s="2335"/>
      <c r="SUG996" s="2335"/>
      <c r="SUH996" s="2335"/>
      <c r="SUI996" s="2335"/>
      <c r="SUJ996" s="2335"/>
      <c r="SUK996" s="2335"/>
      <c r="SUL996" s="2335"/>
      <c r="SUM996" s="2335"/>
      <c r="SUN996" s="2335"/>
      <c r="SUO996" s="2335"/>
      <c r="SUP996" s="2335"/>
      <c r="SUQ996" s="2335"/>
      <c r="SUR996" s="2335"/>
      <c r="SUS996" s="2335"/>
      <c r="SUT996" s="2335"/>
      <c r="SUU996" s="2335"/>
      <c r="SUV996" s="2335"/>
      <c r="SUW996" s="2335"/>
      <c r="SUX996" s="2335"/>
      <c r="SUY996" s="2335"/>
      <c r="SUZ996" s="2335"/>
      <c r="SVA996" s="2335"/>
      <c r="SVB996" s="2335"/>
      <c r="SVC996" s="2335"/>
      <c r="SVD996" s="2335"/>
      <c r="SVE996" s="2335"/>
      <c r="SVF996" s="2335"/>
      <c r="SVG996" s="2335"/>
      <c r="SVH996" s="2335"/>
      <c r="SVI996" s="2335"/>
      <c r="SVJ996" s="2335"/>
      <c r="SVK996" s="2335"/>
      <c r="SVL996" s="2335"/>
      <c r="SVM996" s="2335"/>
      <c r="SVN996" s="2335"/>
      <c r="SVO996" s="2335"/>
      <c r="SVP996" s="2335"/>
      <c r="SVQ996" s="2335"/>
      <c r="SVR996" s="2335"/>
      <c r="SVS996" s="2335"/>
      <c r="SVT996" s="2335"/>
      <c r="SVU996" s="2335"/>
      <c r="SVV996" s="2335"/>
      <c r="SVW996" s="2335"/>
      <c r="SVX996" s="2335"/>
      <c r="SVY996" s="2335"/>
      <c r="SVZ996" s="2335"/>
      <c r="SWA996" s="2335"/>
      <c r="SWB996" s="2335"/>
      <c r="SWC996" s="2335"/>
      <c r="SWD996" s="2335"/>
      <c r="SWE996" s="2335"/>
      <c r="SWF996" s="2335"/>
      <c r="SWG996" s="2335"/>
      <c r="SWH996" s="2335"/>
      <c r="SWI996" s="2335"/>
      <c r="SWJ996" s="2335"/>
      <c r="SWK996" s="2335"/>
      <c r="SWL996" s="2335"/>
      <c r="SWM996" s="2335"/>
      <c r="SWN996" s="2335"/>
      <c r="SWO996" s="2335"/>
      <c r="SWP996" s="2335"/>
      <c r="SWQ996" s="2335"/>
      <c r="SWR996" s="2335"/>
      <c r="SWS996" s="2335"/>
      <c r="SWT996" s="2335"/>
      <c r="SWU996" s="2335"/>
      <c r="SWV996" s="2335"/>
      <c r="SWW996" s="2335"/>
      <c r="SWX996" s="2335"/>
      <c r="SWY996" s="2335"/>
      <c r="SWZ996" s="2335"/>
      <c r="SXA996" s="2335"/>
      <c r="SXB996" s="2335"/>
      <c r="SXC996" s="2335"/>
      <c r="SXD996" s="2335"/>
      <c r="SXE996" s="2335"/>
      <c r="SXF996" s="2335"/>
      <c r="SXG996" s="2335"/>
      <c r="SXH996" s="2335"/>
      <c r="SXI996" s="2335"/>
      <c r="SXJ996" s="2335"/>
      <c r="SXK996" s="2335"/>
      <c r="SXL996" s="2335"/>
      <c r="SXM996" s="2335"/>
      <c r="SXN996" s="2335"/>
      <c r="SXO996" s="2335"/>
      <c r="SXP996" s="2335"/>
      <c r="SXQ996" s="2335"/>
      <c r="SXR996" s="2335"/>
      <c r="SXS996" s="2335"/>
      <c r="SXT996" s="2335"/>
      <c r="SXU996" s="2335"/>
      <c r="SXV996" s="2335"/>
      <c r="SXW996" s="2335"/>
      <c r="SXX996" s="2335"/>
      <c r="SXY996" s="2335"/>
      <c r="SXZ996" s="2335"/>
      <c r="SYA996" s="2335"/>
      <c r="SYB996" s="2335"/>
      <c r="SYC996" s="2335"/>
      <c r="SYD996" s="2335"/>
      <c r="SYE996" s="2335"/>
      <c r="SYF996" s="2335"/>
      <c r="SYG996" s="2335"/>
      <c r="SYH996" s="2335"/>
      <c r="SYI996" s="2335"/>
      <c r="SYJ996" s="2335"/>
      <c r="SYK996" s="2335"/>
      <c r="SYL996" s="2335"/>
      <c r="SYM996" s="2335"/>
      <c r="SYN996" s="2335"/>
      <c r="SYO996" s="2335"/>
      <c r="SYP996" s="2335"/>
      <c r="SYQ996" s="2335"/>
      <c r="SYR996" s="2335"/>
      <c r="SYS996" s="2335"/>
      <c r="SYT996" s="2335"/>
      <c r="SYU996" s="2335"/>
      <c r="SYV996" s="2335"/>
      <c r="SYW996" s="2335"/>
      <c r="SYX996" s="2335"/>
      <c r="SYY996" s="2335"/>
      <c r="SYZ996" s="2335"/>
      <c r="SZA996" s="2335"/>
      <c r="SZB996" s="2335"/>
      <c r="SZC996" s="2335"/>
      <c r="SZD996" s="2335"/>
      <c r="SZE996" s="2335"/>
      <c r="SZF996" s="2335"/>
      <c r="SZG996" s="2335"/>
      <c r="SZH996" s="2335"/>
      <c r="SZI996" s="2335"/>
      <c r="SZJ996" s="2335"/>
      <c r="SZK996" s="2335"/>
      <c r="SZL996" s="2335"/>
      <c r="SZM996" s="2335"/>
      <c r="SZN996" s="2335"/>
      <c r="SZO996" s="2335"/>
      <c r="SZP996" s="2335"/>
      <c r="SZQ996" s="2335"/>
      <c r="SZR996" s="2335"/>
      <c r="SZS996" s="2335"/>
      <c r="SZT996" s="2335"/>
      <c r="SZU996" s="2335"/>
      <c r="SZV996" s="2335"/>
      <c r="SZW996" s="2335"/>
      <c r="SZX996" s="2335"/>
      <c r="SZY996" s="2335"/>
      <c r="SZZ996" s="2335"/>
      <c r="TAA996" s="2335"/>
      <c r="TAB996" s="2335"/>
      <c r="TAC996" s="2335"/>
      <c r="TAD996" s="2335"/>
      <c r="TAE996" s="2335"/>
      <c r="TAF996" s="2335"/>
      <c r="TAG996" s="2335"/>
      <c r="TAH996" s="2335"/>
      <c r="TAI996" s="2335"/>
      <c r="TAJ996" s="2335"/>
      <c r="TAK996" s="2335"/>
      <c r="TAL996" s="2335"/>
      <c r="TAM996" s="2335"/>
      <c r="TAN996" s="2335"/>
      <c r="TAO996" s="2335"/>
      <c r="TAP996" s="2335"/>
      <c r="TAQ996" s="2335"/>
      <c r="TAR996" s="2335"/>
      <c r="TAS996" s="2335"/>
      <c r="TAT996" s="2335"/>
      <c r="TAU996" s="2335"/>
      <c r="TAV996" s="2335"/>
      <c r="TAW996" s="2335"/>
      <c r="TAX996" s="2335"/>
      <c r="TAY996" s="2335"/>
      <c r="TAZ996" s="2335"/>
      <c r="TBA996" s="2335"/>
      <c r="TBB996" s="2335"/>
      <c r="TBC996" s="2335"/>
      <c r="TBD996" s="2335"/>
      <c r="TBE996" s="2335"/>
      <c r="TBF996" s="2335"/>
      <c r="TBG996" s="2335"/>
      <c r="TBH996" s="2335"/>
      <c r="TBI996" s="2335"/>
      <c r="TBJ996" s="2335"/>
      <c r="TBK996" s="2335"/>
      <c r="TBL996" s="2335"/>
      <c r="TBM996" s="2335"/>
      <c r="TBN996" s="2335"/>
      <c r="TBO996" s="2335"/>
      <c r="TBP996" s="2335"/>
      <c r="TBQ996" s="2335"/>
      <c r="TBR996" s="2335"/>
      <c r="TBS996" s="2335"/>
      <c r="TBT996" s="2335"/>
      <c r="TBU996" s="2335"/>
      <c r="TBV996" s="2335"/>
      <c r="TBW996" s="2335"/>
      <c r="TBX996" s="2335"/>
      <c r="TBY996" s="2335"/>
      <c r="TBZ996" s="2335"/>
      <c r="TCA996" s="2335"/>
      <c r="TCB996" s="2335"/>
      <c r="TCC996" s="2335"/>
      <c r="TCD996" s="2335"/>
      <c r="TCE996" s="2335"/>
      <c r="TCF996" s="2335"/>
      <c r="TCG996" s="2335"/>
      <c r="TCH996" s="2335"/>
      <c r="TCI996" s="2335"/>
      <c r="TCJ996" s="2335"/>
      <c r="TCK996" s="2335"/>
      <c r="TCL996" s="2335"/>
      <c r="TCM996" s="2335"/>
      <c r="TCN996" s="2335"/>
      <c r="TCO996" s="2335"/>
      <c r="TCP996" s="2335"/>
      <c r="TCQ996" s="2335"/>
      <c r="TCR996" s="2335"/>
      <c r="TCS996" s="2335"/>
      <c r="TCT996" s="2335"/>
      <c r="TCU996" s="2335"/>
      <c r="TCV996" s="2335"/>
      <c r="TCW996" s="2335"/>
      <c r="TCX996" s="2335"/>
      <c r="TCY996" s="2335"/>
      <c r="TCZ996" s="2335"/>
      <c r="TDA996" s="2335"/>
      <c r="TDB996" s="2335"/>
      <c r="TDC996" s="2335"/>
      <c r="TDD996" s="2335"/>
      <c r="TDE996" s="2335"/>
      <c r="TDF996" s="2335"/>
      <c r="TDG996" s="2335"/>
      <c r="TDH996" s="2335"/>
      <c r="TDI996" s="2335"/>
      <c r="TDJ996" s="2335"/>
      <c r="TDK996" s="2335"/>
      <c r="TDL996" s="2335"/>
      <c r="TDM996" s="2335"/>
      <c r="TDN996" s="2335"/>
      <c r="TDO996" s="2335"/>
      <c r="TDP996" s="2335"/>
      <c r="TDQ996" s="2335"/>
      <c r="TDR996" s="2335"/>
      <c r="TDS996" s="2335"/>
      <c r="TDT996" s="2335"/>
      <c r="TDU996" s="2335"/>
      <c r="TDV996" s="2335"/>
      <c r="TDW996" s="2335"/>
      <c r="TDX996" s="2335"/>
      <c r="TDY996" s="2335"/>
      <c r="TDZ996" s="2335"/>
      <c r="TEA996" s="2335"/>
      <c r="TEB996" s="2335"/>
      <c r="TEC996" s="2335"/>
      <c r="TED996" s="2335"/>
      <c r="TEE996" s="2335"/>
      <c r="TEF996" s="2335"/>
      <c r="TEG996" s="2335"/>
      <c r="TEH996" s="2335"/>
      <c r="TEI996" s="2335"/>
      <c r="TEJ996" s="2335"/>
      <c r="TEK996" s="2335"/>
      <c r="TEL996" s="2335"/>
      <c r="TEM996" s="2335"/>
      <c r="TEN996" s="2335"/>
      <c r="TEO996" s="2335"/>
      <c r="TEP996" s="2335"/>
      <c r="TEQ996" s="2335"/>
      <c r="TER996" s="2335"/>
      <c r="TES996" s="2335"/>
      <c r="TET996" s="2335"/>
      <c r="TEU996" s="2335"/>
      <c r="TEV996" s="2335"/>
      <c r="TEW996" s="2335"/>
      <c r="TEX996" s="2335"/>
      <c r="TEY996" s="2335"/>
      <c r="TEZ996" s="2335"/>
      <c r="TFA996" s="2335"/>
      <c r="TFB996" s="2335"/>
      <c r="TFC996" s="2335"/>
      <c r="TFD996" s="2335"/>
      <c r="TFE996" s="2335"/>
      <c r="TFF996" s="2335"/>
      <c r="TFG996" s="2335"/>
      <c r="TFH996" s="2335"/>
      <c r="TFI996" s="2335"/>
      <c r="TFJ996" s="2335"/>
      <c r="TFK996" s="2335"/>
      <c r="TFL996" s="2335"/>
      <c r="TFM996" s="2335"/>
      <c r="TFN996" s="2335"/>
      <c r="TFO996" s="2335"/>
      <c r="TFP996" s="2335"/>
      <c r="TFQ996" s="2335"/>
      <c r="TFR996" s="2335"/>
      <c r="TFS996" s="2335"/>
      <c r="TFT996" s="2335"/>
      <c r="TFU996" s="2335"/>
      <c r="TFV996" s="2335"/>
      <c r="TFW996" s="2335"/>
      <c r="TFX996" s="2335"/>
      <c r="TFY996" s="2335"/>
      <c r="TFZ996" s="2335"/>
      <c r="TGA996" s="2335"/>
      <c r="TGB996" s="2335"/>
      <c r="TGC996" s="2335"/>
      <c r="TGD996" s="2335"/>
      <c r="TGE996" s="2335"/>
      <c r="TGF996" s="2335"/>
      <c r="TGG996" s="2335"/>
      <c r="TGH996" s="2335"/>
      <c r="TGI996" s="2335"/>
      <c r="TGJ996" s="2335"/>
      <c r="TGK996" s="2335"/>
      <c r="TGL996" s="2335"/>
      <c r="TGM996" s="2335"/>
      <c r="TGN996" s="2335"/>
      <c r="TGO996" s="2335"/>
      <c r="TGP996" s="2335"/>
      <c r="TGQ996" s="2335"/>
      <c r="TGR996" s="2335"/>
      <c r="TGS996" s="2335"/>
      <c r="TGT996" s="2335"/>
      <c r="TGU996" s="2335"/>
      <c r="TGV996" s="2335"/>
      <c r="TGW996" s="2335"/>
      <c r="TGX996" s="2335"/>
      <c r="TGY996" s="2335"/>
      <c r="TGZ996" s="2335"/>
      <c r="THA996" s="2335"/>
      <c r="THB996" s="2335"/>
      <c r="THC996" s="2335"/>
      <c r="THD996" s="2335"/>
      <c r="THE996" s="2335"/>
      <c r="THF996" s="2335"/>
      <c r="THG996" s="2335"/>
      <c r="THH996" s="2335"/>
      <c r="THI996" s="2335"/>
      <c r="THJ996" s="2335"/>
      <c r="THK996" s="2335"/>
      <c r="THL996" s="2335"/>
      <c r="THM996" s="2335"/>
      <c r="THN996" s="2335"/>
      <c r="THO996" s="2335"/>
      <c r="THP996" s="2335"/>
      <c r="THQ996" s="2335"/>
      <c r="THR996" s="2335"/>
      <c r="THS996" s="2335"/>
      <c r="THT996" s="2335"/>
      <c r="THU996" s="2335"/>
      <c r="THV996" s="2335"/>
      <c r="THW996" s="2335"/>
      <c r="THX996" s="2335"/>
      <c r="THY996" s="2335"/>
      <c r="THZ996" s="2335"/>
      <c r="TIA996" s="2335"/>
      <c r="TIB996" s="2335"/>
      <c r="TIC996" s="2335"/>
      <c r="TID996" s="2335"/>
      <c r="TIE996" s="2335"/>
      <c r="TIF996" s="2335"/>
      <c r="TIG996" s="2335"/>
      <c r="TIH996" s="2335"/>
      <c r="TII996" s="2335"/>
      <c r="TIJ996" s="2335"/>
      <c r="TIK996" s="2335"/>
      <c r="TIL996" s="2335"/>
      <c r="TIM996" s="2335"/>
      <c r="TIN996" s="2335"/>
      <c r="TIO996" s="2335"/>
      <c r="TIP996" s="2335"/>
      <c r="TIQ996" s="2335"/>
      <c r="TIR996" s="2335"/>
      <c r="TIS996" s="2335"/>
      <c r="TIT996" s="2335"/>
      <c r="TIU996" s="2335"/>
      <c r="TIV996" s="2335"/>
      <c r="TIW996" s="2335"/>
      <c r="TIX996" s="2335"/>
      <c r="TIY996" s="2335"/>
      <c r="TIZ996" s="2335"/>
      <c r="TJA996" s="2335"/>
      <c r="TJB996" s="2335"/>
      <c r="TJC996" s="2335"/>
      <c r="TJD996" s="2335"/>
      <c r="TJE996" s="2335"/>
      <c r="TJF996" s="2335"/>
      <c r="TJG996" s="2335"/>
      <c r="TJH996" s="2335"/>
      <c r="TJI996" s="2335"/>
      <c r="TJJ996" s="2335"/>
      <c r="TJK996" s="2335"/>
      <c r="TJL996" s="2335"/>
      <c r="TJM996" s="2335"/>
      <c r="TJN996" s="2335"/>
      <c r="TJO996" s="2335"/>
      <c r="TJP996" s="2335"/>
      <c r="TJQ996" s="2335"/>
      <c r="TJR996" s="2335"/>
      <c r="TJS996" s="2335"/>
      <c r="TJT996" s="2335"/>
      <c r="TJU996" s="2335"/>
      <c r="TJV996" s="2335"/>
      <c r="TJW996" s="2335"/>
      <c r="TJX996" s="2335"/>
      <c r="TJY996" s="2335"/>
      <c r="TJZ996" s="2335"/>
      <c r="TKA996" s="2335"/>
      <c r="TKB996" s="2335"/>
      <c r="TKC996" s="2335"/>
      <c r="TKD996" s="2335"/>
      <c r="TKE996" s="2335"/>
      <c r="TKF996" s="2335"/>
      <c r="TKG996" s="2335"/>
      <c r="TKH996" s="2335"/>
      <c r="TKI996" s="2335"/>
      <c r="TKJ996" s="2335"/>
      <c r="TKK996" s="2335"/>
      <c r="TKL996" s="2335"/>
      <c r="TKM996" s="2335"/>
      <c r="TKN996" s="2335"/>
      <c r="TKO996" s="2335"/>
      <c r="TKP996" s="2335"/>
      <c r="TKQ996" s="2335"/>
      <c r="TKR996" s="2335"/>
      <c r="TKS996" s="2335"/>
      <c r="TKT996" s="2335"/>
      <c r="TKU996" s="2335"/>
      <c r="TKV996" s="2335"/>
      <c r="TKW996" s="2335"/>
      <c r="TKX996" s="2335"/>
      <c r="TKY996" s="2335"/>
      <c r="TKZ996" s="2335"/>
      <c r="TLA996" s="2335"/>
      <c r="TLB996" s="2335"/>
      <c r="TLC996" s="2335"/>
      <c r="TLD996" s="2335"/>
      <c r="TLE996" s="2335"/>
      <c r="TLF996" s="2335"/>
      <c r="TLG996" s="2335"/>
      <c r="TLH996" s="2335"/>
      <c r="TLI996" s="2335"/>
      <c r="TLJ996" s="2335"/>
      <c r="TLK996" s="2335"/>
      <c r="TLL996" s="2335"/>
      <c r="TLM996" s="2335"/>
      <c r="TLN996" s="2335"/>
      <c r="TLO996" s="2335"/>
      <c r="TLP996" s="2335"/>
      <c r="TLQ996" s="2335"/>
      <c r="TLR996" s="2335"/>
      <c r="TLS996" s="2335"/>
      <c r="TLT996" s="2335"/>
      <c r="TLU996" s="2335"/>
      <c r="TLV996" s="2335"/>
      <c r="TLW996" s="2335"/>
      <c r="TLX996" s="2335"/>
      <c r="TLY996" s="2335"/>
      <c r="TLZ996" s="2335"/>
      <c r="TMA996" s="2335"/>
      <c r="TMB996" s="2335"/>
      <c r="TMC996" s="2335"/>
      <c r="TMD996" s="2335"/>
      <c r="TME996" s="2335"/>
      <c r="TMF996" s="2335"/>
      <c r="TMG996" s="2335"/>
      <c r="TMH996" s="2335"/>
      <c r="TMI996" s="2335"/>
      <c r="TMJ996" s="2335"/>
      <c r="TMK996" s="2335"/>
      <c r="TML996" s="2335"/>
      <c r="TMM996" s="2335"/>
      <c r="TMN996" s="2335"/>
      <c r="TMO996" s="2335"/>
      <c r="TMP996" s="2335"/>
      <c r="TMQ996" s="2335"/>
      <c r="TMR996" s="2335"/>
      <c r="TMS996" s="2335"/>
      <c r="TMT996" s="2335"/>
      <c r="TMU996" s="2335"/>
      <c r="TMV996" s="2335"/>
      <c r="TMW996" s="2335"/>
      <c r="TMX996" s="2335"/>
      <c r="TMY996" s="2335"/>
      <c r="TMZ996" s="2335"/>
      <c r="TNA996" s="2335"/>
      <c r="TNB996" s="2335"/>
      <c r="TNC996" s="2335"/>
      <c r="TND996" s="2335"/>
      <c r="TNE996" s="2335"/>
      <c r="TNF996" s="2335"/>
      <c r="TNG996" s="2335"/>
      <c r="TNH996" s="2335"/>
      <c r="TNI996" s="2335"/>
      <c r="TNJ996" s="2335"/>
      <c r="TNK996" s="2335"/>
      <c r="TNL996" s="2335"/>
      <c r="TNM996" s="2335"/>
      <c r="TNN996" s="2335"/>
      <c r="TNO996" s="2335"/>
      <c r="TNP996" s="2335"/>
      <c r="TNQ996" s="2335"/>
      <c r="TNR996" s="2335"/>
      <c r="TNS996" s="2335"/>
      <c r="TNT996" s="2335"/>
      <c r="TNU996" s="2335"/>
      <c r="TNV996" s="2335"/>
      <c r="TNW996" s="2335"/>
      <c r="TNX996" s="2335"/>
      <c r="TNY996" s="2335"/>
      <c r="TNZ996" s="2335"/>
      <c r="TOA996" s="2335"/>
      <c r="TOB996" s="2335"/>
      <c r="TOC996" s="2335"/>
      <c r="TOD996" s="2335"/>
      <c r="TOE996" s="2335"/>
      <c r="TOF996" s="2335"/>
      <c r="TOG996" s="2335"/>
      <c r="TOH996" s="2335"/>
      <c r="TOI996" s="2335"/>
      <c r="TOJ996" s="2335"/>
      <c r="TOK996" s="2335"/>
      <c r="TOL996" s="2335"/>
      <c r="TOM996" s="2335"/>
      <c r="TON996" s="2335"/>
      <c r="TOO996" s="2335"/>
      <c r="TOP996" s="2335"/>
      <c r="TOQ996" s="2335"/>
      <c r="TOR996" s="2335"/>
      <c r="TOS996" s="2335"/>
      <c r="TOT996" s="2335"/>
      <c r="TOU996" s="2335"/>
      <c r="TOV996" s="2335"/>
      <c r="TOW996" s="2335"/>
      <c r="TOX996" s="2335"/>
      <c r="TOY996" s="2335"/>
      <c r="TOZ996" s="2335"/>
      <c r="TPA996" s="2335"/>
      <c r="TPB996" s="2335"/>
      <c r="TPC996" s="2335"/>
      <c r="TPD996" s="2335"/>
      <c r="TPE996" s="2335"/>
      <c r="TPF996" s="2335"/>
      <c r="TPG996" s="2335"/>
      <c r="TPH996" s="2335"/>
      <c r="TPI996" s="2335"/>
      <c r="TPJ996" s="2335"/>
      <c r="TPK996" s="2335"/>
      <c r="TPL996" s="2335"/>
      <c r="TPM996" s="2335"/>
      <c r="TPN996" s="2335"/>
      <c r="TPO996" s="2335"/>
      <c r="TPP996" s="2335"/>
      <c r="TPQ996" s="2335"/>
      <c r="TPR996" s="2335"/>
      <c r="TPS996" s="2335"/>
      <c r="TPT996" s="2335"/>
      <c r="TPU996" s="2335"/>
      <c r="TPV996" s="2335"/>
      <c r="TPW996" s="2335"/>
      <c r="TPX996" s="2335"/>
      <c r="TPY996" s="2335"/>
      <c r="TPZ996" s="2335"/>
      <c r="TQA996" s="2335"/>
      <c r="TQB996" s="2335"/>
      <c r="TQC996" s="2335"/>
      <c r="TQD996" s="2335"/>
      <c r="TQE996" s="2335"/>
      <c r="TQF996" s="2335"/>
      <c r="TQG996" s="2335"/>
      <c r="TQH996" s="2335"/>
      <c r="TQI996" s="2335"/>
      <c r="TQJ996" s="2335"/>
      <c r="TQK996" s="2335"/>
      <c r="TQL996" s="2335"/>
      <c r="TQM996" s="2335"/>
      <c r="TQN996" s="2335"/>
      <c r="TQO996" s="2335"/>
      <c r="TQP996" s="2335"/>
      <c r="TQQ996" s="2335"/>
      <c r="TQR996" s="2335"/>
      <c r="TQS996" s="2335"/>
      <c r="TQT996" s="2335"/>
      <c r="TQU996" s="2335"/>
      <c r="TQV996" s="2335"/>
      <c r="TQW996" s="2335"/>
      <c r="TQX996" s="2335"/>
      <c r="TQY996" s="2335"/>
      <c r="TQZ996" s="2335"/>
      <c r="TRA996" s="2335"/>
      <c r="TRB996" s="2335"/>
      <c r="TRC996" s="2335"/>
      <c r="TRD996" s="2335"/>
      <c r="TRE996" s="2335"/>
      <c r="TRF996" s="2335"/>
      <c r="TRG996" s="2335"/>
      <c r="TRH996" s="2335"/>
      <c r="TRI996" s="2335"/>
      <c r="TRJ996" s="2335"/>
      <c r="TRK996" s="2335"/>
      <c r="TRL996" s="2335"/>
      <c r="TRM996" s="2335"/>
      <c r="TRN996" s="2335"/>
      <c r="TRO996" s="2335"/>
      <c r="TRP996" s="2335"/>
      <c r="TRQ996" s="2335"/>
      <c r="TRR996" s="2335"/>
      <c r="TRS996" s="2335"/>
      <c r="TRT996" s="2335"/>
      <c r="TRU996" s="2335"/>
      <c r="TRV996" s="2335"/>
      <c r="TRW996" s="2335"/>
      <c r="TRX996" s="2335"/>
      <c r="TRY996" s="2335"/>
      <c r="TRZ996" s="2335"/>
      <c r="TSA996" s="2335"/>
      <c r="TSB996" s="2335"/>
      <c r="TSC996" s="2335"/>
      <c r="TSD996" s="2335"/>
      <c r="TSE996" s="2335"/>
      <c r="TSF996" s="2335"/>
      <c r="TSG996" s="2335"/>
      <c r="TSH996" s="2335"/>
      <c r="TSI996" s="2335"/>
      <c r="TSJ996" s="2335"/>
      <c r="TSK996" s="2335"/>
      <c r="TSL996" s="2335"/>
      <c r="TSM996" s="2335"/>
      <c r="TSN996" s="2335"/>
      <c r="TSO996" s="2335"/>
      <c r="TSP996" s="2335"/>
      <c r="TSQ996" s="2335"/>
      <c r="TSR996" s="2335"/>
      <c r="TSS996" s="2335"/>
      <c r="TST996" s="2335"/>
      <c r="TSU996" s="2335"/>
      <c r="TSV996" s="2335"/>
      <c r="TSW996" s="2335"/>
      <c r="TSX996" s="2335"/>
      <c r="TSY996" s="2335"/>
      <c r="TSZ996" s="2335"/>
      <c r="TTA996" s="2335"/>
      <c r="TTB996" s="2335"/>
      <c r="TTC996" s="2335"/>
      <c r="TTD996" s="2335"/>
      <c r="TTE996" s="2335"/>
      <c r="TTF996" s="2335"/>
      <c r="TTG996" s="2335"/>
      <c r="TTH996" s="2335"/>
      <c r="TTI996" s="2335"/>
      <c r="TTJ996" s="2335"/>
      <c r="TTK996" s="2335"/>
      <c r="TTL996" s="2335"/>
      <c r="TTM996" s="2335"/>
      <c r="TTN996" s="2335"/>
      <c r="TTO996" s="2335"/>
      <c r="TTP996" s="2335"/>
      <c r="TTQ996" s="2335"/>
      <c r="TTR996" s="2335"/>
      <c r="TTS996" s="2335"/>
      <c r="TTT996" s="2335"/>
      <c r="TTU996" s="2335"/>
      <c r="TTV996" s="2335"/>
      <c r="TTW996" s="2335"/>
      <c r="TTX996" s="2335"/>
      <c r="TTY996" s="2335"/>
      <c r="TTZ996" s="2335"/>
      <c r="TUA996" s="2335"/>
      <c r="TUB996" s="2335"/>
      <c r="TUC996" s="2335"/>
      <c r="TUD996" s="2335"/>
      <c r="TUE996" s="2335"/>
      <c r="TUF996" s="2335"/>
      <c r="TUG996" s="2335"/>
      <c r="TUH996" s="2335"/>
      <c r="TUI996" s="2335"/>
      <c r="TUJ996" s="2335"/>
      <c r="TUK996" s="2335"/>
      <c r="TUL996" s="2335"/>
      <c r="TUM996" s="2335"/>
      <c r="TUN996" s="2335"/>
      <c r="TUO996" s="2335"/>
      <c r="TUP996" s="2335"/>
      <c r="TUQ996" s="2335"/>
      <c r="TUR996" s="2335"/>
      <c r="TUS996" s="2335"/>
      <c r="TUT996" s="2335"/>
      <c r="TUU996" s="2335"/>
      <c r="TUV996" s="2335"/>
      <c r="TUW996" s="2335"/>
      <c r="TUX996" s="2335"/>
      <c r="TUY996" s="2335"/>
      <c r="TUZ996" s="2335"/>
      <c r="TVA996" s="2335"/>
      <c r="TVB996" s="2335"/>
      <c r="TVC996" s="2335"/>
      <c r="TVD996" s="2335"/>
      <c r="TVE996" s="2335"/>
      <c r="TVF996" s="2335"/>
      <c r="TVG996" s="2335"/>
      <c r="TVH996" s="2335"/>
      <c r="TVI996" s="2335"/>
      <c r="TVJ996" s="2335"/>
      <c r="TVK996" s="2335"/>
      <c r="TVL996" s="2335"/>
      <c r="TVM996" s="2335"/>
      <c r="TVN996" s="2335"/>
      <c r="TVO996" s="2335"/>
      <c r="TVP996" s="2335"/>
      <c r="TVQ996" s="2335"/>
      <c r="TVR996" s="2335"/>
      <c r="TVS996" s="2335"/>
      <c r="TVT996" s="2335"/>
      <c r="TVU996" s="2335"/>
      <c r="TVV996" s="2335"/>
      <c r="TVW996" s="2335"/>
      <c r="TVX996" s="2335"/>
      <c r="TVY996" s="2335"/>
      <c r="TVZ996" s="2335"/>
      <c r="TWA996" s="2335"/>
      <c r="TWB996" s="2335"/>
      <c r="TWC996" s="2335"/>
      <c r="TWD996" s="2335"/>
      <c r="TWE996" s="2335"/>
      <c r="TWF996" s="2335"/>
      <c r="TWG996" s="2335"/>
      <c r="TWH996" s="2335"/>
      <c r="TWI996" s="2335"/>
      <c r="TWJ996" s="2335"/>
      <c r="TWK996" s="2335"/>
      <c r="TWL996" s="2335"/>
      <c r="TWM996" s="2335"/>
      <c r="TWN996" s="2335"/>
      <c r="TWO996" s="2335"/>
      <c r="TWP996" s="2335"/>
      <c r="TWQ996" s="2335"/>
      <c r="TWR996" s="2335"/>
      <c r="TWS996" s="2335"/>
      <c r="TWT996" s="2335"/>
      <c r="TWU996" s="2335"/>
      <c r="TWV996" s="2335"/>
      <c r="TWW996" s="2335"/>
      <c r="TWX996" s="2335"/>
      <c r="TWY996" s="2335"/>
      <c r="TWZ996" s="2335"/>
      <c r="TXA996" s="2335"/>
      <c r="TXB996" s="2335"/>
      <c r="TXC996" s="2335"/>
      <c r="TXD996" s="2335"/>
      <c r="TXE996" s="2335"/>
      <c r="TXF996" s="2335"/>
      <c r="TXG996" s="2335"/>
      <c r="TXH996" s="2335"/>
      <c r="TXI996" s="2335"/>
      <c r="TXJ996" s="2335"/>
      <c r="TXK996" s="2335"/>
      <c r="TXL996" s="2335"/>
      <c r="TXM996" s="2335"/>
      <c r="TXN996" s="2335"/>
      <c r="TXO996" s="2335"/>
      <c r="TXP996" s="2335"/>
      <c r="TXQ996" s="2335"/>
      <c r="TXR996" s="2335"/>
      <c r="TXS996" s="2335"/>
      <c r="TXT996" s="2335"/>
      <c r="TXU996" s="2335"/>
      <c r="TXV996" s="2335"/>
      <c r="TXW996" s="2335"/>
      <c r="TXX996" s="2335"/>
      <c r="TXY996" s="2335"/>
      <c r="TXZ996" s="2335"/>
      <c r="TYA996" s="2335"/>
      <c r="TYB996" s="2335"/>
      <c r="TYC996" s="2335"/>
      <c r="TYD996" s="2335"/>
      <c r="TYE996" s="2335"/>
      <c r="TYF996" s="2335"/>
      <c r="TYG996" s="2335"/>
      <c r="TYH996" s="2335"/>
      <c r="TYI996" s="2335"/>
      <c r="TYJ996" s="2335"/>
      <c r="TYK996" s="2335"/>
      <c r="TYL996" s="2335"/>
      <c r="TYM996" s="2335"/>
      <c r="TYN996" s="2335"/>
      <c r="TYO996" s="2335"/>
      <c r="TYP996" s="2335"/>
      <c r="TYQ996" s="2335"/>
      <c r="TYR996" s="2335"/>
      <c r="TYS996" s="2335"/>
      <c r="TYT996" s="2335"/>
      <c r="TYU996" s="2335"/>
      <c r="TYV996" s="2335"/>
      <c r="TYW996" s="2335"/>
      <c r="TYX996" s="2335"/>
      <c r="TYY996" s="2335"/>
      <c r="TYZ996" s="2335"/>
      <c r="TZA996" s="2335"/>
      <c r="TZB996" s="2335"/>
      <c r="TZC996" s="2335"/>
      <c r="TZD996" s="2335"/>
      <c r="TZE996" s="2335"/>
      <c r="TZF996" s="2335"/>
      <c r="TZG996" s="2335"/>
      <c r="TZH996" s="2335"/>
      <c r="TZI996" s="2335"/>
      <c r="TZJ996" s="2335"/>
      <c r="TZK996" s="2335"/>
      <c r="TZL996" s="2335"/>
      <c r="TZM996" s="2335"/>
      <c r="TZN996" s="2335"/>
      <c r="TZO996" s="2335"/>
      <c r="TZP996" s="2335"/>
      <c r="TZQ996" s="2335"/>
      <c r="TZR996" s="2335"/>
      <c r="TZS996" s="2335"/>
      <c r="TZT996" s="2335"/>
      <c r="TZU996" s="2335"/>
      <c r="TZV996" s="2335"/>
      <c r="TZW996" s="2335"/>
      <c r="TZX996" s="2335"/>
      <c r="TZY996" s="2335"/>
      <c r="TZZ996" s="2335"/>
      <c r="UAA996" s="2335"/>
      <c r="UAB996" s="2335"/>
      <c r="UAC996" s="2335"/>
      <c r="UAD996" s="2335"/>
      <c r="UAE996" s="2335"/>
      <c r="UAF996" s="2335"/>
      <c r="UAG996" s="2335"/>
      <c r="UAH996" s="2335"/>
      <c r="UAI996" s="2335"/>
      <c r="UAJ996" s="2335"/>
      <c r="UAK996" s="2335"/>
      <c r="UAL996" s="2335"/>
      <c r="UAM996" s="2335"/>
      <c r="UAN996" s="2335"/>
      <c r="UAO996" s="2335"/>
      <c r="UAP996" s="2335"/>
      <c r="UAQ996" s="2335"/>
      <c r="UAR996" s="2335"/>
      <c r="UAS996" s="2335"/>
      <c r="UAT996" s="2335"/>
      <c r="UAU996" s="2335"/>
      <c r="UAV996" s="2335"/>
      <c r="UAW996" s="2335"/>
      <c r="UAX996" s="2335"/>
      <c r="UAY996" s="2335"/>
      <c r="UAZ996" s="2335"/>
      <c r="UBA996" s="2335"/>
      <c r="UBB996" s="2335"/>
      <c r="UBC996" s="2335"/>
      <c r="UBD996" s="2335"/>
      <c r="UBE996" s="2335"/>
      <c r="UBF996" s="2335"/>
      <c r="UBG996" s="2335"/>
      <c r="UBH996" s="2335"/>
      <c r="UBI996" s="2335"/>
      <c r="UBJ996" s="2335"/>
      <c r="UBK996" s="2335"/>
      <c r="UBL996" s="2335"/>
      <c r="UBM996" s="2335"/>
      <c r="UBN996" s="2335"/>
      <c r="UBO996" s="2335"/>
      <c r="UBP996" s="2335"/>
      <c r="UBQ996" s="2335"/>
      <c r="UBR996" s="2335"/>
      <c r="UBS996" s="2335"/>
      <c r="UBT996" s="2335"/>
      <c r="UBU996" s="2335"/>
      <c r="UBV996" s="2335"/>
      <c r="UBW996" s="2335"/>
      <c r="UBX996" s="2335"/>
      <c r="UBY996" s="2335"/>
      <c r="UBZ996" s="2335"/>
      <c r="UCA996" s="2335"/>
      <c r="UCB996" s="2335"/>
      <c r="UCC996" s="2335"/>
      <c r="UCD996" s="2335"/>
      <c r="UCE996" s="2335"/>
      <c r="UCF996" s="2335"/>
      <c r="UCG996" s="2335"/>
      <c r="UCH996" s="2335"/>
      <c r="UCI996" s="2335"/>
      <c r="UCJ996" s="2335"/>
      <c r="UCK996" s="2335"/>
      <c r="UCL996" s="2335"/>
      <c r="UCM996" s="2335"/>
      <c r="UCN996" s="2335"/>
      <c r="UCO996" s="2335"/>
      <c r="UCP996" s="2335"/>
      <c r="UCQ996" s="2335"/>
      <c r="UCR996" s="2335"/>
      <c r="UCS996" s="2335"/>
      <c r="UCT996" s="2335"/>
      <c r="UCU996" s="2335"/>
      <c r="UCV996" s="2335"/>
      <c r="UCW996" s="2335"/>
      <c r="UCX996" s="2335"/>
      <c r="UCY996" s="2335"/>
      <c r="UCZ996" s="2335"/>
      <c r="UDA996" s="2335"/>
      <c r="UDB996" s="2335"/>
      <c r="UDC996" s="2335"/>
      <c r="UDD996" s="2335"/>
      <c r="UDE996" s="2335"/>
      <c r="UDF996" s="2335"/>
      <c r="UDG996" s="2335"/>
      <c r="UDH996" s="2335"/>
      <c r="UDI996" s="2335"/>
      <c r="UDJ996" s="2335"/>
      <c r="UDK996" s="2335"/>
      <c r="UDL996" s="2335"/>
      <c r="UDM996" s="2335"/>
      <c r="UDN996" s="2335"/>
      <c r="UDO996" s="2335"/>
      <c r="UDP996" s="2335"/>
      <c r="UDQ996" s="2335"/>
      <c r="UDR996" s="2335"/>
      <c r="UDS996" s="2335"/>
      <c r="UDT996" s="2335"/>
      <c r="UDU996" s="2335"/>
      <c r="UDV996" s="2335"/>
      <c r="UDW996" s="2335"/>
      <c r="UDX996" s="2335"/>
      <c r="UDY996" s="2335"/>
      <c r="UDZ996" s="2335"/>
      <c r="UEA996" s="2335"/>
      <c r="UEB996" s="2335"/>
      <c r="UEC996" s="2335"/>
      <c r="UED996" s="2335"/>
      <c r="UEE996" s="2335"/>
      <c r="UEF996" s="2335"/>
      <c r="UEG996" s="2335"/>
      <c r="UEH996" s="2335"/>
      <c r="UEI996" s="2335"/>
      <c r="UEJ996" s="2335"/>
      <c r="UEK996" s="2335"/>
      <c r="UEL996" s="2335"/>
      <c r="UEM996" s="2335"/>
      <c r="UEN996" s="2335"/>
      <c r="UEO996" s="2335"/>
      <c r="UEP996" s="2335"/>
      <c r="UEQ996" s="2335"/>
      <c r="UER996" s="2335"/>
      <c r="UES996" s="2335"/>
      <c r="UET996" s="2335"/>
      <c r="UEU996" s="2335"/>
      <c r="UEV996" s="2335"/>
      <c r="UEW996" s="2335"/>
      <c r="UEX996" s="2335"/>
      <c r="UEY996" s="2335"/>
      <c r="UEZ996" s="2335"/>
      <c r="UFA996" s="2335"/>
      <c r="UFB996" s="2335"/>
      <c r="UFC996" s="2335"/>
      <c r="UFD996" s="2335"/>
      <c r="UFE996" s="2335"/>
      <c r="UFF996" s="2335"/>
      <c r="UFG996" s="2335"/>
      <c r="UFH996" s="2335"/>
      <c r="UFI996" s="2335"/>
      <c r="UFJ996" s="2335"/>
      <c r="UFK996" s="2335"/>
      <c r="UFL996" s="2335"/>
      <c r="UFM996" s="2335"/>
      <c r="UFN996" s="2335"/>
      <c r="UFO996" s="2335"/>
      <c r="UFP996" s="2335"/>
      <c r="UFQ996" s="2335"/>
      <c r="UFR996" s="2335"/>
      <c r="UFS996" s="2335"/>
      <c r="UFT996" s="2335"/>
      <c r="UFU996" s="2335"/>
      <c r="UFV996" s="2335"/>
      <c r="UFW996" s="2335"/>
      <c r="UFX996" s="2335"/>
      <c r="UFY996" s="2335"/>
      <c r="UFZ996" s="2335"/>
      <c r="UGA996" s="2335"/>
      <c r="UGB996" s="2335"/>
      <c r="UGC996" s="2335"/>
      <c r="UGD996" s="2335"/>
      <c r="UGE996" s="2335"/>
      <c r="UGF996" s="2335"/>
      <c r="UGG996" s="2335"/>
      <c r="UGH996" s="2335"/>
      <c r="UGI996" s="2335"/>
      <c r="UGJ996" s="2335"/>
      <c r="UGK996" s="2335"/>
      <c r="UGL996" s="2335"/>
      <c r="UGM996" s="2335"/>
      <c r="UGN996" s="2335"/>
      <c r="UGO996" s="2335"/>
      <c r="UGP996" s="2335"/>
      <c r="UGQ996" s="2335"/>
      <c r="UGR996" s="2335"/>
      <c r="UGS996" s="2335"/>
      <c r="UGT996" s="2335"/>
      <c r="UGU996" s="2335"/>
      <c r="UGV996" s="2335"/>
      <c r="UGW996" s="2335"/>
      <c r="UGX996" s="2335"/>
      <c r="UGY996" s="2335"/>
      <c r="UGZ996" s="2335"/>
      <c r="UHA996" s="2335"/>
      <c r="UHB996" s="2335"/>
      <c r="UHC996" s="2335"/>
      <c r="UHD996" s="2335"/>
      <c r="UHE996" s="2335"/>
      <c r="UHF996" s="2335"/>
      <c r="UHG996" s="2335"/>
      <c r="UHH996" s="2335"/>
      <c r="UHI996" s="2335"/>
      <c r="UHJ996" s="2335"/>
      <c r="UHK996" s="2335"/>
      <c r="UHL996" s="2335"/>
      <c r="UHM996" s="2335"/>
      <c r="UHN996" s="2335"/>
      <c r="UHO996" s="2335"/>
      <c r="UHP996" s="2335"/>
      <c r="UHQ996" s="2335"/>
      <c r="UHR996" s="2335"/>
      <c r="UHS996" s="2335"/>
      <c r="UHT996" s="2335"/>
      <c r="UHU996" s="2335"/>
      <c r="UHV996" s="2335"/>
      <c r="UHW996" s="2335"/>
      <c r="UHX996" s="2335"/>
      <c r="UHY996" s="2335"/>
      <c r="UHZ996" s="2335"/>
      <c r="UIA996" s="2335"/>
      <c r="UIB996" s="2335"/>
      <c r="UIC996" s="2335"/>
      <c r="UID996" s="2335"/>
      <c r="UIE996" s="2335"/>
      <c r="UIF996" s="2335"/>
      <c r="UIG996" s="2335"/>
      <c r="UIH996" s="2335"/>
      <c r="UII996" s="2335"/>
      <c r="UIJ996" s="2335"/>
      <c r="UIK996" s="2335"/>
      <c r="UIL996" s="2335"/>
      <c r="UIM996" s="2335"/>
      <c r="UIN996" s="2335"/>
      <c r="UIO996" s="2335"/>
      <c r="UIP996" s="2335"/>
      <c r="UIQ996" s="2335"/>
      <c r="UIR996" s="2335"/>
      <c r="UIS996" s="2335"/>
      <c r="UIT996" s="2335"/>
      <c r="UIU996" s="2335"/>
      <c r="UIV996" s="2335"/>
      <c r="UIW996" s="2335"/>
      <c r="UIX996" s="2335"/>
      <c r="UIY996" s="2335"/>
      <c r="UIZ996" s="2335"/>
      <c r="UJA996" s="2335"/>
      <c r="UJB996" s="2335"/>
      <c r="UJC996" s="2335"/>
      <c r="UJD996" s="2335"/>
      <c r="UJE996" s="2335"/>
      <c r="UJF996" s="2335"/>
      <c r="UJG996" s="2335"/>
      <c r="UJH996" s="2335"/>
      <c r="UJI996" s="2335"/>
      <c r="UJJ996" s="2335"/>
      <c r="UJK996" s="2335"/>
      <c r="UJL996" s="2335"/>
      <c r="UJM996" s="2335"/>
      <c r="UJN996" s="2335"/>
      <c r="UJO996" s="2335"/>
      <c r="UJP996" s="2335"/>
      <c r="UJQ996" s="2335"/>
      <c r="UJR996" s="2335"/>
      <c r="UJS996" s="2335"/>
      <c r="UJT996" s="2335"/>
      <c r="UJU996" s="2335"/>
      <c r="UJV996" s="2335"/>
      <c r="UJW996" s="2335"/>
      <c r="UJX996" s="2335"/>
      <c r="UJY996" s="2335"/>
      <c r="UJZ996" s="2335"/>
      <c r="UKA996" s="2335"/>
      <c r="UKB996" s="2335"/>
      <c r="UKC996" s="2335"/>
      <c r="UKD996" s="2335"/>
      <c r="UKE996" s="2335"/>
      <c r="UKF996" s="2335"/>
      <c r="UKG996" s="2335"/>
      <c r="UKH996" s="2335"/>
      <c r="UKI996" s="2335"/>
      <c r="UKJ996" s="2335"/>
      <c r="UKK996" s="2335"/>
      <c r="UKL996" s="2335"/>
      <c r="UKM996" s="2335"/>
      <c r="UKN996" s="2335"/>
      <c r="UKO996" s="2335"/>
      <c r="UKP996" s="2335"/>
      <c r="UKQ996" s="2335"/>
      <c r="UKR996" s="2335"/>
      <c r="UKS996" s="2335"/>
      <c r="UKT996" s="2335"/>
      <c r="UKU996" s="2335"/>
      <c r="UKV996" s="2335"/>
      <c r="UKW996" s="2335"/>
      <c r="UKX996" s="2335"/>
      <c r="UKY996" s="2335"/>
      <c r="UKZ996" s="2335"/>
      <c r="ULA996" s="2335"/>
      <c r="ULB996" s="2335"/>
      <c r="ULC996" s="2335"/>
      <c r="ULD996" s="2335"/>
      <c r="ULE996" s="2335"/>
      <c r="ULF996" s="2335"/>
      <c r="ULG996" s="2335"/>
      <c r="ULH996" s="2335"/>
      <c r="ULI996" s="2335"/>
      <c r="ULJ996" s="2335"/>
      <c r="ULK996" s="2335"/>
      <c r="ULL996" s="2335"/>
      <c r="ULM996" s="2335"/>
      <c r="ULN996" s="2335"/>
      <c r="ULO996" s="2335"/>
      <c r="ULP996" s="2335"/>
      <c r="ULQ996" s="2335"/>
      <c r="ULR996" s="2335"/>
      <c r="ULS996" s="2335"/>
      <c r="ULT996" s="2335"/>
      <c r="ULU996" s="2335"/>
      <c r="ULV996" s="2335"/>
      <c r="ULW996" s="2335"/>
      <c r="ULX996" s="2335"/>
      <c r="ULY996" s="2335"/>
      <c r="ULZ996" s="2335"/>
      <c r="UMA996" s="2335"/>
      <c r="UMB996" s="2335"/>
      <c r="UMC996" s="2335"/>
      <c r="UMD996" s="2335"/>
      <c r="UME996" s="2335"/>
      <c r="UMF996" s="2335"/>
      <c r="UMG996" s="2335"/>
      <c r="UMH996" s="2335"/>
      <c r="UMI996" s="2335"/>
      <c r="UMJ996" s="2335"/>
      <c r="UMK996" s="2335"/>
      <c r="UML996" s="2335"/>
      <c r="UMM996" s="2335"/>
      <c r="UMN996" s="2335"/>
      <c r="UMO996" s="2335"/>
      <c r="UMP996" s="2335"/>
      <c r="UMQ996" s="2335"/>
      <c r="UMR996" s="2335"/>
      <c r="UMS996" s="2335"/>
      <c r="UMT996" s="2335"/>
      <c r="UMU996" s="2335"/>
      <c r="UMV996" s="2335"/>
      <c r="UMW996" s="2335"/>
      <c r="UMX996" s="2335"/>
      <c r="UMY996" s="2335"/>
      <c r="UMZ996" s="2335"/>
      <c r="UNA996" s="2335"/>
      <c r="UNB996" s="2335"/>
      <c r="UNC996" s="2335"/>
      <c r="UND996" s="2335"/>
      <c r="UNE996" s="2335"/>
      <c r="UNF996" s="2335"/>
      <c r="UNG996" s="2335"/>
      <c r="UNH996" s="2335"/>
      <c r="UNI996" s="2335"/>
      <c r="UNJ996" s="2335"/>
      <c r="UNK996" s="2335"/>
      <c r="UNL996" s="2335"/>
      <c r="UNM996" s="2335"/>
      <c r="UNN996" s="2335"/>
      <c r="UNO996" s="2335"/>
      <c r="UNP996" s="2335"/>
      <c r="UNQ996" s="2335"/>
      <c r="UNR996" s="2335"/>
      <c r="UNS996" s="2335"/>
      <c r="UNT996" s="2335"/>
      <c r="UNU996" s="2335"/>
      <c r="UNV996" s="2335"/>
      <c r="UNW996" s="2335"/>
      <c r="UNX996" s="2335"/>
      <c r="UNY996" s="2335"/>
      <c r="UNZ996" s="2335"/>
      <c r="UOA996" s="2335"/>
      <c r="UOB996" s="2335"/>
      <c r="UOC996" s="2335"/>
      <c r="UOD996" s="2335"/>
      <c r="UOE996" s="2335"/>
      <c r="UOF996" s="2335"/>
      <c r="UOG996" s="2335"/>
      <c r="UOH996" s="2335"/>
      <c r="UOI996" s="2335"/>
      <c r="UOJ996" s="2335"/>
      <c r="UOK996" s="2335"/>
      <c r="UOL996" s="2335"/>
      <c r="UOM996" s="2335"/>
      <c r="UON996" s="2335"/>
      <c r="UOO996" s="2335"/>
      <c r="UOP996" s="2335"/>
      <c r="UOQ996" s="2335"/>
      <c r="UOR996" s="2335"/>
      <c r="UOS996" s="2335"/>
      <c r="UOT996" s="2335"/>
      <c r="UOU996" s="2335"/>
      <c r="UOV996" s="2335"/>
      <c r="UOW996" s="2335"/>
      <c r="UOX996" s="2335"/>
      <c r="UOY996" s="2335"/>
      <c r="UOZ996" s="2335"/>
      <c r="UPA996" s="2335"/>
      <c r="UPB996" s="2335"/>
      <c r="UPC996" s="2335"/>
      <c r="UPD996" s="2335"/>
      <c r="UPE996" s="2335"/>
      <c r="UPF996" s="2335"/>
      <c r="UPG996" s="2335"/>
      <c r="UPH996" s="2335"/>
      <c r="UPI996" s="2335"/>
      <c r="UPJ996" s="2335"/>
      <c r="UPK996" s="2335"/>
      <c r="UPL996" s="2335"/>
      <c r="UPM996" s="2335"/>
      <c r="UPN996" s="2335"/>
      <c r="UPO996" s="2335"/>
      <c r="UPP996" s="2335"/>
      <c r="UPQ996" s="2335"/>
      <c r="UPR996" s="2335"/>
      <c r="UPS996" s="2335"/>
      <c r="UPT996" s="2335"/>
      <c r="UPU996" s="2335"/>
      <c r="UPV996" s="2335"/>
      <c r="UPW996" s="2335"/>
      <c r="UPX996" s="2335"/>
      <c r="UPY996" s="2335"/>
      <c r="UPZ996" s="2335"/>
      <c r="UQA996" s="2335"/>
      <c r="UQB996" s="2335"/>
      <c r="UQC996" s="2335"/>
      <c r="UQD996" s="2335"/>
      <c r="UQE996" s="2335"/>
      <c r="UQF996" s="2335"/>
      <c r="UQG996" s="2335"/>
      <c r="UQH996" s="2335"/>
      <c r="UQI996" s="2335"/>
      <c r="UQJ996" s="2335"/>
      <c r="UQK996" s="2335"/>
      <c r="UQL996" s="2335"/>
      <c r="UQM996" s="2335"/>
      <c r="UQN996" s="2335"/>
      <c r="UQO996" s="2335"/>
      <c r="UQP996" s="2335"/>
      <c r="UQQ996" s="2335"/>
      <c r="UQR996" s="2335"/>
      <c r="UQS996" s="2335"/>
      <c r="UQT996" s="2335"/>
      <c r="UQU996" s="2335"/>
      <c r="UQV996" s="2335"/>
      <c r="UQW996" s="2335"/>
      <c r="UQX996" s="2335"/>
      <c r="UQY996" s="2335"/>
      <c r="UQZ996" s="2335"/>
      <c r="URA996" s="2335"/>
      <c r="URB996" s="2335"/>
      <c r="URC996" s="2335"/>
      <c r="URD996" s="2335"/>
      <c r="URE996" s="2335"/>
      <c r="URF996" s="2335"/>
      <c r="URG996" s="2335"/>
      <c r="URH996" s="2335"/>
      <c r="URI996" s="2335"/>
      <c r="URJ996" s="2335"/>
      <c r="URK996" s="2335"/>
      <c r="URL996" s="2335"/>
      <c r="URM996" s="2335"/>
      <c r="URN996" s="2335"/>
      <c r="URO996" s="2335"/>
      <c r="URP996" s="2335"/>
      <c r="URQ996" s="2335"/>
      <c r="URR996" s="2335"/>
      <c r="URS996" s="2335"/>
      <c r="URT996" s="2335"/>
      <c r="URU996" s="2335"/>
      <c r="URV996" s="2335"/>
      <c r="URW996" s="2335"/>
      <c r="URX996" s="2335"/>
      <c r="URY996" s="2335"/>
      <c r="URZ996" s="2335"/>
      <c r="USA996" s="2335"/>
      <c r="USB996" s="2335"/>
      <c r="USC996" s="2335"/>
      <c r="USD996" s="2335"/>
      <c r="USE996" s="2335"/>
      <c r="USF996" s="2335"/>
      <c r="USG996" s="2335"/>
      <c r="USH996" s="2335"/>
      <c r="USI996" s="2335"/>
      <c r="USJ996" s="2335"/>
      <c r="USK996" s="2335"/>
      <c r="USL996" s="2335"/>
      <c r="USM996" s="2335"/>
      <c r="USN996" s="2335"/>
      <c r="USO996" s="2335"/>
      <c r="USP996" s="2335"/>
      <c r="USQ996" s="2335"/>
      <c r="USR996" s="2335"/>
      <c r="USS996" s="2335"/>
      <c r="UST996" s="2335"/>
      <c r="USU996" s="2335"/>
      <c r="USV996" s="2335"/>
      <c r="USW996" s="2335"/>
      <c r="USX996" s="2335"/>
      <c r="USY996" s="2335"/>
      <c r="USZ996" s="2335"/>
      <c r="UTA996" s="2335"/>
      <c r="UTB996" s="2335"/>
      <c r="UTC996" s="2335"/>
      <c r="UTD996" s="2335"/>
      <c r="UTE996" s="2335"/>
      <c r="UTF996" s="2335"/>
      <c r="UTG996" s="2335"/>
      <c r="UTH996" s="2335"/>
      <c r="UTI996" s="2335"/>
      <c r="UTJ996" s="2335"/>
      <c r="UTK996" s="2335"/>
      <c r="UTL996" s="2335"/>
      <c r="UTM996" s="2335"/>
      <c r="UTN996" s="2335"/>
      <c r="UTO996" s="2335"/>
      <c r="UTP996" s="2335"/>
      <c r="UTQ996" s="2335"/>
      <c r="UTR996" s="2335"/>
      <c r="UTS996" s="2335"/>
      <c r="UTT996" s="2335"/>
      <c r="UTU996" s="2335"/>
      <c r="UTV996" s="2335"/>
      <c r="UTW996" s="2335"/>
      <c r="UTX996" s="2335"/>
      <c r="UTY996" s="2335"/>
      <c r="UTZ996" s="2335"/>
      <c r="UUA996" s="2335"/>
      <c r="UUB996" s="2335"/>
      <c r="UUC996" s="2335"/>
      <c r="UUD996" s="2335"/>
      <c r="UUE996" s="2335"/>
      <c r="UUF996" s="2335"/>
      <c r="UUG996" s="2335"/>
      <c r="UUH996" s="2335"/>
      <c r="UUI996" s="2335"/>
      <c r="UUJ996" s="2335"/>
      <c r="UUK996" s="2335"/>
      <c r="UUL996" s="2335"/>
      <c r="UUM996" s="2335"/>
      <c r="UUN996" s="2335"/>
      <c r="UUO996" s="2335"/>
      <c r="UUP996" s="2335"/>
      <c r="UUQ996" s="2335"/>
      <c r="UUR996" s="2335"/>
      <c r="UUS996" s="2335"/>
      <c r="UUT996" s="2335"/>
      <c r="UUU996" s="2335"/>
      <c r="UUV996" s="2335"/>
      <c r="UUW996" s="2335"/>
      <c r="UUX996" s="2335"/>
      <c r="UUY996" s="2335"/>
      <c r="UUZ996" s="2335"/>
      <c r="UVA996" s="2335"/>
      <c r="UVB996" s="2335"/>
      <c r="UVC996" s="2335"/>
      <c r="UVD996" s="2335"/>
      <c r="UVE996" s="2335"/>
      <c r="UVF996" s="2335"/>
      <c r="UVG996" s="2335"/>
      <c r="UVH996" s="2335"/>
      <c r="UVI996" s="2335"/>
      <c r="UVJ996" s="2335"/>
      <c r="UVK996" s="2335"/>
      <c r="UVL996" s="2335"/>
      <c r="UVM996" s="2335"/>
      <c r="UVN996" s="2335"/>
      <c r="UVO996" s="2335"/>
      <c r="UVP996" s="2335"/>
      <c r="UVQ996" s="2335"/>
      <c r="UVR996" s="2335"/>
      <c r="UVS996" s="2335"/>
      <c r="UVT996" s="2335"/>
      <c r="UVU996" s="2335"/>
      <c r="UVV996" s="2335"/>
      <c r="UVW996" s="2335"/>
      <c r="UVX996" s="2335"/>
      <c r="UVY996" s="2335"/>
      <c r="UVZ996" s="2335"/>
      <c r="UWA996" s="2335"/>
      <c r="UWB996" s="2335"/>
      <c r="UWC996" s="2335"/>
      <c r="UWD996" s="2335"/>
      <c r="UWE996" s="2335"/>
      <c r="UWF996" s="2335"/>
      <c r="UWG996" s="2335"/>
      <c r="UWH996" s="2335"/>
      <c r="UWI996" s="2335"/>
      <c r="UWJ996" s="2335"/>
      <c r="UWK996" s="2335"/>
      <c r="UWL996" s="2335"/>
      <c r="UWM996" s="2335"/>
      <c r="UWN996" s="2335"/>
      <c r="UWO996" s="2335"/>
      <c r="UWP996" s="2335"/>
      <c r="UWQ996" s="2335"/>
      <c r="UWR996" s="2335"/>
      <c r="UWS996" s="2335"/>
      <c r="UWT996" s="2335"/>
      <c r="UWU996" s="2335"/>
      <c r="UWV996" s="2335"/>
      <c r="UWW996" s="2335"/>
      <c r="UWX996" s="2335"/>
      <c r="UWY996" s="2335"/>
      <c r="UWZ996" s="2335"/>
      <c r="UXA996" s="2335"/>
      <c r="UXB996" s="2335"/>
      <c r="UXC996" s="2335"/>
      <c r="UXD996" s="2335"/>
      <c r="UXE996" s="2335"/>
      <c r="UXF996" s="2335"/>
      <c r="UXG996" s="2335"/>
      <c r="UXH996" s="2335"/>
      <c r="UXI996" s="2335"/>
      <c r="UXJ996" s="2335"/>
      <c r="UXK996" s="2335"/>
      <c r="UXL996" s="2335"/>
      <c r="UXM996" s="2335"/>
      <c r="UXN996" s="2335"/>
      <c r="UXO996" s="2335"/>
      <c r="UXP996" s="2335"/>
      <c r="UXQ996" s="2335"/>
      <c r="UXR996" s="2335"/>
      <c r="UXS996" s="2335"/>
      <c r="UXT996" s="2335"/>
      <c r="UXU996" s="2335"/>
      <c r="UXV996" s="2335"/>
      <c r="UXW996" s="2335"/>
      <c r="UXX996" s="2335"/>
      <c r="UXY996" s="2335"/>
      <c r="UXZ996" s="2335"/>
      <c r="UYA996" s="2335"/>
      <c r="UYB996" s="2335"/>
      <c r="UYC996" s="2335"/>
      <c r="UYD996" s="2335"/>
      <c r="UYE996" s="2335"/>
      <c r="UYF996" s="2335"/>
      <c r="UYG996" s="2335"/>
      <c r="UYH996" s="2335"/>
      <c r="UYI996" s="2335"/>
      <c r="UYJ996" s="2335"/>
      <c r="UYK996" s="2335"/>
      <c r="UYL996" s="2335"/>
      <c r="UYM996" s="2335"/>
      <c r="UYN996" s="2335"/>
      <c r="UYO996" s="2335"/>
      <c r="UYP996" s="2335"/>
      <c r="UYQ996" s="2335"/>
      <c r="UYR996" s="2335"/>
      <c r="UYS996" s="2335"/>
      <c r="UYT996" s="2335"/>
      <c r="UYU996" s="2335"/>
      <c r="UYV996" s="2335"/>
      <c r="UYW996" s="2335"/>
      <c r="UYX996" s="2335"/>
      <c r="UYY996" s="2335"/>
      <c r="UYZ996" s="2335"/>
      <c r="UZA996" s="2335"/>
      <c r="UZB996" s="2335"/>
      <c r="UZC996" s="2335"/>
      <c r="UZD996" s="2335"/>
      <c r="UZE996" s="2335"/>
      <c r="UZF996" s="2335"/>
      <c r="UZG996" s="2335"/>
      <c r="UZH996" s="2335"/>
      <c r="UZI996" s="2335"/>
      <c r="UZJ996" s="2335"/>
      <c r="UZK996" s="2335"/>
      <c r="UZL996" s="2335"/>
      <c r="UZM996" s="2335"/>
      <c r="UZN996" s="2335"/>
      <c r="UZO996" s="2335"/>
      <c r="UZP996" s="2335"/>
      <c r="UZQ996" s="2335"/>
      <c r="UZR996" s="2335"/>
      <c r="UZS996" s="2335"/>
      <c r="UZT996" s="2335"/>
      <c r="UZU996" s="2335"/>
      <c r="UZV996" s="2335"/>
      <c r="UZW996" s="2335"/>
      <c r="UZX996" s="2335"/>
      <c r="UZY996" s="2335"/>
      <c r="UZZ996" s="2335"/>
      <c r="VAA996" s="2335"/>
      <c r="VAB996" s="2335"/>
      <c r="VAC996" s="2335"/>
      <c r="VAD996" s="2335"/>
      <c r="VAE996" s="2335"/>
      <c r="VAF996" s="2335"/>
      <c r="VAG996" s="2335"/>
      <c r="VAH996" s="2335"/>
      <c r="VAI996" s="2335"/>
      <c r="VAJ996" s="2335"/>
      <c r="VAK996" s="2335"/>
      <c r="VAL996" s="2335"/>
      <c r="VAM996" s="2335"/>
      <c r="VAN996" s="2335"/>
      <c r="VAO996" s="2335"/>
      <c r="VAP996" s="2335"/>
      <c r="VAQ996" s="2335"/>
      <c r="VAR996" s="2335"/>
      <c r="VAS996" s="2335"/>
      <c r="VAT996" s="2335"/>
      <c r="VAU996" s="2335"/>
      <c r="VAV996" s="2335"/>
      <c r="VAW996" s="2335"/>
      <c r="VAX996" s="2335"/>
      <c r="VAY996" s="2335"/>
      <c r="VAZ996" s="2335"/>
      <c r="VBA996" s="2335"/>
      <c r="VBB996" s="2335"/>
      <c r="VBC996" s="2335"/>
      <c r="VBD996" s="2335"/>
      <c r="VBE996" s="2335"/>
      <c r="VBF996" s="2335"/>
      <c r="VBG996" s="2335"/>
      <c r="VBH996" s="2335"/>
      <c r="VBI996" s="2335"/>
      <c r="VBJ996" s="2335"/>
      <c r="VBK996" s="2335"/>
      <c r="VBL996" s="2335"/>
      <c r="VBM996" s="2335"/>
      <c r="VBN996" s="2335"/>
      <c r="VBO996" s="2335"/>
      <c r="VBP996" s="2335"/>
      <c r="VBQ996" s="2335"/>
      <c r="VBR996" s="2335"/>
      <c r="VBS996" s="2335"/>
      <c r="VBT996" s="2335"/>
      <c r="VBU996" s="2335"/>
      <c r="VBV996" s="2335"/>
      <c r="VBW996" s="2335"/>
      <c r="VBX996" s="2335"/>
      <c r="VBY996" s="2335"/>
      <c r="VBZ996" s="2335"/>
      <c r="VCA996" s="2335"/>
      <c r="VCB996" s="2335"/>
      <c r="VCC996" s="2335"/>
      <c r="VCD996" s="2335"/>
      <c r="VCE996" s="2335"/>
      <c r="VCF996" s="2335"/>
      <c r="VCG996" s="2335"/>
      <c r="VCH996" s="2335"/>
      <c r="VCI996" s="2335"/>
      <c r="VCJ996" s="2335"/>
      <c r="VCK996" s="2335"/>
      <c r="VCL996" s="2335"/>
      <c r="VCM996" s="2335"/>
      <c r="VCN996" s="2335"/>
      <c r="VCO996" s="2335"/>
      <c r="VCP996" s="2335"/>
      <c r="VCQ996" s="2335"/>
      <c r="VCR996" s="2335"/>
      <c r="VCS996" s="2335"/>
      <c r="VCT996" s="2335"/>
      <c r="VCU996" s="2335"/>
      <c r="VCV996" s="2335"/>
      <c r="VCW996" s="2335"/>
      <c r="VCX996" s="2335"/>
      <c r="VCY996" s="2335"/>
      <c r="VCZ996" s="2335"/>
      <c r="VDA996" s="2335"/>
      <c r="VDB996" s="2335"/>
      <c r="VDC996" s="2335"/>
      <c r="VDD996" s="2335"/>
      <c r="VDE996" s="2335"/>
      <c r="VDF996" s="2335"/>
      <c r="VDG996" s="2335"/>
      <c r="VDH996" s="2335"/>
      <c r="VDI996" s="2335"/>
      <c r="VDJ996" s="2335"/>
      <c r="VDK996" s="2335"/>
      <c r="VDL996" s="2335"/>
      <c r="VDM996" s="2335"/>
      <c r="VDN996" s="2335"/>
      <c r="VDO996" s="2335"/>
      <c r="VDP996" s="2335"/>
      <c r="VDQ996" s="2335"/>
      <c r="VDR996" s="2335"/>
      <c r="VDS996" s="2335"/>
      <c r="VDT996" s="2335"/>
      <c r="VDU996" s="2335"/>
      <c r="VDV996" s="2335"/>
      <c r="VDW996" s="2335"/>
      <c r="VDX996" s="2335"/>
      <c r="VDY996" s="2335"/>
      <c r="VDZ996" s="2335"/>
      <c r="VEA996" s="2335"/>
      <c r="VEB996" s="2335"/>
      <c r="VEC996" s="2335"/>
      <c r="VED996" s="2335"/>
      <c r="VEE996" s="2335"/>
      <c r="VEF996" s="2335"/>
      <c r="VEG996" s="2335"/>
      <c r="VEH996" s="2335"/>
      <c r="VEI996" s="2335"/>
      <c r="VEJ996" s="2335"/>
      <c r="VEK996" s="2335"/>
      <c r="VEL996" s="2335"/>
      <c r="VEM996" s="2335"/>
      <c r="VEN996" s="2335"/>
      <c r="VEO996" s="2335"/>
      <c r="VEP996" s="2335"/>
      <c r="VEQ996" s="2335"/>
      <c r="VER996" s="2335"/>
      <c r="VES996" s="2335"/>
      <c r="VET996" s="2335"/>
      <c r="VEU996" s="2335"/>
      <c r="VEV996" s="2335"/>
      <c r="VEW996" s="2335"/>
      <c r="VEX996" s="2335"/>
      <c r="VEY996" s="2335"/>
      <c r="VEZ996" s="2335"/>
      <c r="VFA996" s="2335"/>
      <c r="VFB996" s="2335"/>
      <c r="VFC996" s="2335"/>
      <c r="VFD996" s="2335"/>
      <c r="VFE996" s="2335"/>
      <c r="VFF996" s="2335"/>
      <c r="VFG996" s="2335"/>
      <c r="VFH996" s="2335"/>
      <c r="VFI996" s="2335"/>
      <c r="VFJ996" s="2335"/>
      <c r="VFK996" s="2335"/>
      <c r="VFL996" s="2335"/>
      <c r="VFM996" s="2335"/>
      <c r="VFN996" s="2335"/>
      <c r="VFO996" s="2335"/>
      <c r="VFP996" s="2335"/>
      <c r="VFQ996" s="2335"/>
      <c r="VFR996" s="2335"/>
      <c r="VFS996" s="2335"/>
      <c r="VFT996" s="2335"/>
      <c r="VFU996" s="2335"/>
      <c r="VFV996" s="2335"/>
      <c r="VFW996" s="2335"/>
      <c r="VFX996" s="2335"/>
      <c r="VFY996" s="2335"/>
      <c r="VFZ996" s="2335"/>
      <c r="VGA996" s="2335"/>
      <c r="VGB996" s="2335"/>
      <c r="VGC996" s="2335"/>
      <c r="VGD996" s="2335"/>
      <c r="VGE996" s="2335"/>
      <c r="VGF996" s="2335"/>
      <c r="VGG996" s="2335"/>
      <c r="VGH996" s="2335"/>
      <c r="VGI996" s="2335"/>
      <c r="VGJ996" s="2335"/>
      <c r="VGK996" s="2335"/>
      <c r="VGL996" s="2335"/>
      <c r="VGM996" s="2335"/>
      <c r="VGN996" s="2335"/>
      <c r="VGO996" s="2335"/>
      <c r="VGP996" s="2335"/>
      <c r="VGQ996" s="2335"/>
      <c r="VGR996" s="2335"/>
      <c r="VGS996" s="2335"/>
      <c r="VGT996" s="2335"/>
      <c r="VGU996" s="2335"/>
      <c r="VGV996" s="2335"/>
      <c r="VGW996" s="2335"/>
      <c r="VGX996" s="2335"/>
      <c r="VGY996" s="2335"/>
      <c r="VGZ996" s="2335"/>
      <c r="VHA996" s="2335"/>
      <c r="VHB996" s="2335"/>
      <c r="VHC996" s="2335"/>
      <c r="VHD996" s="2335"/>
      <c r="VHE996" s="2335"/>
      <c r="VHF996" s="2335"/>
      <c r="VHG996" s="2335"/>
      <c r="VHH996" s="2335"/>
      <c r="VHI996" s="2335"/>
      <c r="VHJ996" s="2335"/>
      <c r="VHK996" s="2335"/>
      <c r="VHL996" s="2335"/>
      <c r="VHM996" s="2335"/>
      <c r="VHN996" s="2335"/>
      <c r="VHO996" s="2335"/>
      <c r="VHP996" s="2335"/>
      <c r="VHQ996" s="2335"/>
      <c r="VHR996" s="2335"/>
      <c r="VHS996" s="2335"/>
      <c r="VHT996" s="2335"/>
      <c r="VHU996" s="2335"/>
      <c r="VHV996" s="2335"/>
      <c r="VHW996" s="2335"/>
      <c r="VHX996" s="2335"/>
      <c r="VHY996" s="2335"/>
      <c r="VHZ996" s="2335"/>
      <c r="VIA996" s="2335"/>
      <c r="VIB996" s="2335"/>
      <c r="VIC996" s="2335"/>
      <c r="VID996" s="2335"/>
      <c r="VIE996" s="2335"/>
      <c r="VIF996" s="2335"/>
      <c r="VIG996" s="2335"/>
      <c r="VIH996" s="2335"/>
      <c r="VII996" s="2335"/>
      <c r="VIJ996" s="2335"/>
      <c r="VIK996" s="2335"/>
      <c r="VIL996" s="2335"/>
      <c r="VIM996" s="2335"/>
      <c r="VIN996" s="2335"/>
      <c r="VIO996" s="2335"/>
      <c r="VIP996" s="2335"/>
      <c r="VIQ996" s="2335"/>
      <c r="VIR996" s="2335"/>
      <c r="VIS996" s="2335"/>
      <c r="VIT996" s="2335"/>
      <c r="VIU996" s="2335"/>
      <c r="VIV996" s="2335"/>
      <c r="VIW996" s="2335"/>
      <c r="VIX996" s="2335"/>
      <c r="VIY996" s="2335"/>
      <c r="VIZ996" s="2335"/>
      <c r="VJA996" s="2335"/>
      <c r="VJB996" s="2335"/>
      <c r="VJC996" s="2335"/>
      <c r="VJD996" s="2335"/>
      <c r="VJE996" s="2335"/>
      <c r="VJF996" s="2335"/>
      <c r="VJG996" s="2335"/>
      <c r="VJH996" s="2335"/>
      <c r="VJI996" s="2335"/>
      <c r="VJJ996" s="2335"/>
      <c r="VJK996" s="2335"/>
      <c r="VJL996" s="2335"/>
      <c r="VJM996" s="2335"/>
      <c r="VJN996" s="2335"/>
      <c r="VJO996" s="2335"/>
      <c r="VJP996" s="2335"/>
      <c r="VJQ996" s="2335"/>
      <c r="VJR996" s="2335"/>
      <c r="VJS996" s="2335"/>
      <c r="VJT996" s="2335"/>
      <c r="VJU996" s="2335"/>
      <c r="VJV996" s="2335"/>
      <c r="VJW996" s="2335"/>
      <c r="VJX996" s="2335"/>
      <c r="VJY996" s="2335"/>
      <c r="VJZ996" s="2335"/>
      <c r="VKA996" s="2335"/>
      <c r="VKB996" s="2335"/>
      <c r="VKC996" s="2335"/>
      <c r="VKD996" s="2335"/>
      <c r="VKE996" s="2335"/>
      <c r="VKF996" s="2335"/>
      <c r="VKG996" s="2335"/>
      <c r="VKH996" s="2335"/>
      <c r="VKI996" s="2335"/>
      <c r="VKJ996" s="2335"/>
      <c r="VKK996" s="2335"/>
      <c r="VKL996" s="2335"/>
      <c r="VKM996" s="2335"/>
      <c r="VKN996" s="2335"/>
      <c r="VKO996" s="2335"/>
      <c r="VKP996" s="2335"/>
      <c r="VKQ996" s="2335"/>
      <c r="VKR996" s="2335"/>
      <c r="VKS996" s="2335"/>
      <c r="VKT996" s="2335"/>
      <c r="VKU996" s="2335"/>
      <c r="VKV996" s="2335"/>
      <c r="VKW996" s="2335"/>
      <c r="VKX996" s="2335"/>
      <c r="VKY996" s="2335"/>
      <c r="VKZ996" s="2335"/>
      <c r="VLA996" s="2335"/>
      <c r="VLB996" s="2335"/>
      <c r="VLC996" s="2335"/>
      <c r="VLD996" s="2335"/>
      <c r="VLE996" s="2335"/>
      <c r="VLF996" s="2335"/>
      <c r="VLG996" s="2335"/>
      <c r="VLH996" s="2335"/>
      <c r="VLI996" s="2335"/>
      <c r="VLJ996" s="2335"/>
      <c r="VLK996" s="2335"/>
      <c r="VLL996" s="2335"/>
      <c r="VLM996" s="2335"/>
      <c r="VLN996" s="2335"/>
      <c r="VLO996" s="2335"/>
      <c r="VLP996" s="2335"/>
      <c r="VLQ996" s="2335"/>
      <c r="VLR996" s="2335"/>
      <c r="VLS996" s="2335"/>
      <c r="VLT996" s="2335"/>
      <c r="VLU996" s="2335"/>
      <c r="VLV996" s="2335"/>
      <c r="VLW996" s="2335"/>
      <c r="VLX996" s="2335"/>
      <c r="VLY996" s="2335"/>
      <c r="VLZ996" s="2335"/>
      <c r="VMA996" s="2335"/>
      <c r="VMB996" s="2335"/>
      <c r="VMC996" s="2335"/>
      <c r="VMD996" s="2335"/>
      <c r="VME996" s="2335"/>
      <c r="VMF996" s="2335"/>
      <c r="VMG996" s="2335"/>
      <c r="VMH996" s="2335"/>
      <c r="VMI996" s="2335"/>
      <c r="VMJ996" s="2335"/>
      <c r="VMK996" s="2335"/>
      <c r="VML996" s="2335"/>
      <c r="VMM996" s="2335"/>
      <c r="VMN996" s="2335"/>
      <c r="VMO996" s="2335"/>
      <c r="VMP996" s="2335"/>
      <c r="VMQ996" s="2335"/>
      <c r="VMR996" s="2335"/>
      <c r="VMS996" s="2335"/>
      <c r="VMT996" s="2335"/>
      <c r="VMU996" s="2335"/>
      <c r="VMV996" s="2335"/>
      <c r="VMW996" s="2335"/>
      <c r="VMX996" s="2335"/>
      <c r="VMY996" s="2335"/>
      <c r="VMZ996" s="2335"/>
      <c r="VNA996" s="2335"/>
      <c r="VNB996" s="2335"/>
      <c r="VNC996" s="2335"/>
      <c r="VND996" s="2335"/>
      <c r="VNE996" s="2335"/>
      <c r="VNF996" s="2335"/>
      <c r="VNG996" s="2335"/>
      <c r="VNH996" s="2335"/>
      <c r="VNI996" s="2335"/>
      <c r="VNJ996" s="2335"/>
      <c r="VNK996" s="2335"/>
      <c r="VNL996" s="2335"/>
      <c r="VNM996" s="2335"/>
      <c r="VNN996" s="2335"/>
      <c r="VNO996" s="2335"/>
      <c r="VNP996" s="2335"/>
      <c r="VNQ996" s="2335"/>
      <c r="VNR996" s="2335"/>
      <c r="VNS996" s="2335"/>
      <c r="VNT996" s="2335"/>
      <c r="VNU996" s="2335"/>
      <c r="VNV996" s="2335"/>
      <c r="VNW996" s="2335"/>
      <c r="VNX996" s="2335"/>
      <c r="VNY996" s="2335"/>
      <c r="VNZ996" s="2335"/>
      <c r="VOA996" s="2335"/>
      <c r="VOB996" s="2335"/>
      <c r="VOC996" s="2335"/>
      <c r="VOD996" s="2335"/>
      <c r="VOE996" s="2335"/>
      <c r="VOF996" s="2335"/>
      <c r="VOG996" s="2335"/>
      <c r="VOH996" s="2335"/>
      <c r="VOI996" s="2335"/>
      <c r="VOJ996" s="2335"/>
      <c r="VOK996" s="2335"/>
      <c r="VOL996" s="2335"/>
      <c r="VOM996" s="2335"/>
      <c r="VON996" s="2335"/>
      <c r="VOO996" s="2335"/>
      <c r="VOP996" s="2335"/>
      <c r="VOQ996" s="2335"/>
      <c r="VOR996" s="2335"/>
      <c r="VOS996" s="2335"/>
      <c r="VOT996" s="2335"/>
      <c r="VOU996" s="2335"/>
      <c r="VOV996" s="2335"/>
      <c r="VOW996" s="2335"/>
      <c r="VOX996" s="2335"/>
      <c r="VOY996" s="2335"/>
      <c r="VOZ996" s="2335"/>
      <c r="VPA996" s="2335"/>
      <c r="VPB996" s="2335"/>
      <c r="VPC996" s="2335"/>
      <c r="VPD996" s="2335"/>
      <c r="VPE996" s="2335"/>
      <c r="VPF996" s="2335"/>
      <c r="VPG996" s="2335"/>
      <c r="VPH996" s="2335"/>
      <c r="VPI996" s="2335"/>
      <c r="VPJ996" s="2335"/>
      <c r="VPK996" s="2335"/>
      <c r="VPL996" s="2335"/>
      <c r="VPM996" s="2335"/>
      <c r="VPN996" s="2335"/>
      <c r="VPO996" s="2335"/>
      <c r="VPP996" s="2335"/>
      <c r="VPQ996" s="2335"/>
      <c r="VPR996" s="2335"/>
      <c r="VPS996" s="2335"/>
      <c r="VPT996" s="2335"/>
      <c r="VPU996" s="2335"/>
      <c r="VPV996" s="2335"/>
      <c r="VPW996" s="2335"/>
      <c r="VPX996" s="2335"/>
      <c r="VPY996" s="2335"/>
      <c r="VPZ996" s="2335"/>
      <c r="VQA996" s="2335"/>
      <c r="VQB996" s="2335"/>
      <c r="VQC996" s="2335"/>
      <c r="VQD996" s="2335"/>
      <c r="VQE996" s="2335"/>
      <c r="VQF996" s="2335"/>
      <c r="VQG996" s="2335"/>
      <c r="VQH996" s="2335"/>
      <c r="VQI996" s="2335"/>
      <c r="VQJ996" s="2335"/>
      <c r="VQK996" s="2335"/>
      <c r="VQL996" s="2335"/>
      <c r="VQM996" s="2335"/>
      <c r="VQN996" s="2335"/>
      <c r="VQO996" s="2335"/>
      <c r="VQP996" s="2335"/>
      <c r="VQQ996" s="2335"/>
      <c r="VQR996" s="2335"/>
      <c r="VQS996" s="2335"/>
      <c r="VQT996" s="2335"/>
      <c r="VQU996" s="2335"/>
      <c r="VQV996" s="2335"/>
      <c r="VQW996" s="2335"/>
      <c r="VQX996" s="2335"/>
      <c r="VQY996" s="2335"/>
      <c r="VQZ996" s="2335"/>
      <c r="VRA996" s="2335"/>
      <c r="VRB996" s="2335"/>
      <c r="VRC996" s="2335"/>
      <c r="VRD996" s="2335"/>
      <c r="VRE996" s="2335"/>
      <c r="VRF996" s="2335"/>
      <c r="VRG996" s="2335"/>
      <c r="VRH996" s="2335"/>
      <c r="VRI996" s="2335"/>
      <c r="VRJ996" s="2335"/>
      <c r="VRK996" s="2335"/>
      <c r="VRL996" s="2335"/>
      <c r="VRM996" s="2335"/>
      <c r="VRN996" s="2335"/>
      <c r="VRO996" s="2335"/>
      <c r="VRP996" s="2335"/>
      <c r="VRQ996" s="2335"/>
      <c r="VRR996" s="2335"/>
      <c r="VRS996" s="2335"/>
      <c r="VRT996" s="2335"/>
      <c r="VRU996" s="2335"/>
      <c r="VRV996" s="2335"/>
      <c r="VRW996" s="2335"/>
      <c r="VRX996" s="2335"/>
      <c r="VRY996" s="2335"/>
      <c r="VRZ996" s="2335"/>
      <c r="VSA996" s="2335"/>
      <c r="VSB996" s="2335"/>
      <c r="VSC996" s="2335"/>
      <c r="VSD996" s="2335"/>
      <c r="VSE996" s="2335"/>
      <c r="VSF996" s="2335"/>
      <c r="VSG996" s="2335"/>
      <c r="VSH996" s="2335"/>
      <c r="VSI996" s="2335"/>
      <c r="VSJ996" s="2335"/>
      <c r="VSK996" s="2335"/>
      <c r="VSL996" s="2335"/>
      <c r="VSM996" s="2335"/>
      <c r="VSN996" s="2335"/>
      <c r="VSO996" s="2335"/>
      <c r="VSP996" s="2335"/>
      <c r="VSQ996" s="2335"/>
      <c r="VSR996" s="2335"/>
      <c r="VSS996" s="2335"/>
      <c r="VST996" s="2335"/>
      <c r="VSU996" s="2335"/>
      <c r="VSV996" s="2335"/>
      <c r="VSW996" s="2335"/>
      <c r="VSX996" s="2335"/>
      <c r="VSY996" s="2335"/>
      <c r="VSZ996" s="2335"/>
      <c r="VTA996" s="2335"/>
      <c r="VTB996" s="2335"/>
      <c r="VTC996" s="2335"/>
      <c r="VTD996" s="2335"/>
      <c r="VTE996" s="2335"/>
      <c r="VTF996" s="2335"/>
      <c r="VTG996" s="2335"/>
      <c r="VTH996" s="2335"/>
      <c r="VTI996" s="2335"/>
      <c r="VTJ996" s="2335"/>
      <c r="VTK996" s="2335"/>
      <c r="VTL996" s="2335"/>
      <c r="VTM996" s="2335"/>
      <c r="VTN996" s="2335"/>
      <c r="VTO996" s="2335"/>
      <c r="VTP996" s="2335"/>
      <c r="VTQ996" s="2335"/>
      <c r="VTR996" s="2335"/>
      <c r="VTS996" s="2335"/>
      <c r="VTT996" s="2335"/>
      <c r="VTU996" s="2335"/>
      <c r="VTV996" s="2335"/>
      <c r="VTW996" s="2335"/>
      <c r="VTX996" s="2335"/>
      <c r="VTY996" s="2335"/>
      <c r="VTZ996" s="2335"/>
      <c r="VUA996" s="2335"/>
      <c r="VUB996" s="2335"/>
      <c r="VUC996" s="2335"/>
      <c r="VUD996" s="2335"/>
      <c r="VUE996" s="2335"/>
      <c r="VUF996" s="2335"/>
      <c r="VUG996" s="2335"/>
      <c r="VUH996" s="2335"/>
      <c r="VUI996" s="2335"/>
      <c r="VUJ996" s="2335"/>
      <c r="VUK996" s="2335"/>
      <c r="VUL996" s="2335"/>
      <c r="VUM996" s="2335"/>
      <c r="VUN996" s="2335"/>
      <c r="VUO996" s="2335"/>
      <c r="VUP996" s="2335"/>
      <c r="VUQ996" s="2335"/>
      <c r="VUR996" s="2335"/>
      <c r="VUS996" s="2335"/>
      <c r="VUT996" s="2335"/>
      <c r="VUU996" s="2335"/>
      <c r="VUV996" s="2335"/>
      <c r="VUW996" s="2335"/>
      <c r="VUX996" s="2335"/>
      <c r="VUY996" s="2335"/>
      <c r="VUZ996" s="2335"/>
      <c r="VVA996" s="2335"/>
      <c r="VVB996" s="2335"/>
      <c r="VVC996" s="2335"/>
      <c r="VVD996" s="2335"/>
      <c r="VVE996" s="2335"/>
      <c r="VVF996" s="2335"/>
      <c r="VVG996" s="2335"/>
      <c r="VVH996" s="2335"/>
      <c r="VVI996" s="2335"/>
      <c r="VVJ996" s="2335"/>
      <c r="VVK996" s="2335"/>
      <c r="VVL996" s="2335"/>
      <c r="VVM996" s="2335"/>
      <c r="VVN996" s="2335"/>
      <c r="VVO996" s="2335"/>
      <c r="VVP996" s="2335"/>
      <c r="VVQ996" s="2335"/>
      <c r="VVR996" s="2335"/>
      <c r="VVS996" s="2335"/>
      <c r="VVT996" s="2335"/>
      <c r="VVU996" s="2335"/>
      <c r="VVV996" s="2335"/>
      <c r="VVW996" s="2335"/>
      <c r="VVX996" s="2335"/>
      <c r="VVY996" s="2335"/>
      <c r="VVZ996" s="2335"/>
      <c r="VWA996" s="2335"/>
      <c r="VWB996" s="2335"/>
      <c r="VWC996" s="2335"/>
      <c r="VWD996" s="2335"/>
      <c r="VWE996" s="2335"/>
      <c r="VWF996" s="2335"/>
      <c r="VWG996" s="2335"/>
      <c r="VWH996" s="2335"/>
      <c r="VWI996" s="2335"/>
      <c r="VWJ996" s="2335"/>
      <c r="VWK996" s="2335"/>
      <c r="VWL996" s="2335"/>
      <c r="VWM996" s="2335"/>
      <c r="VWN996" s="2335"/>
      <c r="VWO996" s="2335"/>
      <c r="VWP996" s="2335"/>
      <c r="VWQ996" s="2335"/>
      <c r="VWR996" s="2335"/>
      <c r="VWS996" s="2335"/>
      <c r="VWT996" s="2335"/>
      <c r="VWU996" s="2335"/>
      <c r="VWV996" s="2335"/>
      <c r="VWW996" s="2335"/>
      <c r="VWX996" s="2335"/>
      <c r="VWY996" s="2335"/>
      <c r="VWZ996" s="2335"/>
      <c r="VXA996" s="2335"/>
      <c r="VXB996" s="2335"/>
      <c r="VXC996" s="2335"/>
      <c r="VXD996" s="2335"/>
      <c r="VXE996" s="2335"/>
      <c r="VXF996" s="2335"/>
      <c r="VXG996" s="2335"/>
      <c r="VXH996" s="2335"/>
      <c r="VXI996" s="2335"/>
      <c r="VXJ996" s="2335"/>
      <c r="VXK996" s="2335"/>
      <c r="VXL996" s="2335"/>
      <c r="VXM996" s="2335"/>
      <c r="VXN996" s="2335"/>
      <c r="VXO996" s="2335"/>
      <c r="VXP996" s="2335"/>
      <c r="VXQ996" s="2335"/>
      <c r="VXR996" s="2335"/>
      <c r="VXS996" s="2335"/>
      <c r="VXT996" s="2335"/>
      <c r="VXU996" s="2335"/>
      <c r="VXV996" s="2335"/>
      <c r="VXW996" s="2335"/>
      <c r="VXX996" s="2335"/>
      <c r="VXY996" s="2335"/>
      <c r="VXZ996" s="2335"/>
      <c r="VYA996" s="2335"/>
      <c r="VYB996" s="2335"/>
      <c r="VYC996" s="2335"/>
      <c r="VYD996" s="2335"/>
      <c r="VYE996" s="2335"/>
      <c r="VYF996" s="2335"/>
      <c r="VYG996" s="2335"/>
      <c r="VYH996" s="2335"/>
      <c r="VYI996" s="2335"/>
      <c r="VYJ996" s="2335"/>
      <c r="VYK996" s="2335"/>
      <c r="VYL996" s="2335"/>
      <c r="VYM996" s="2335"/>
      <c r="VYN996" s="2335"/>
      <c r="VYO996" s="2335"/>
      <c r="VYP996" s="2335"/>
      <c r="VYQ996" s="2335"/>
      <c r="VYR996" s="2335"/>
      <c r="VYS996" s="2335"/>
      <c r="VYT996" s="2335"/>
      <c r="VYU996" s="2335"/>
      <c r="VYV996" s="2335"/>
      <c r="VYW996" s="2335"/>
      <c r="VYX996" s="2335"/>
      <c r="VYY996" s="2335"/>
      <c r="VYZ996" s="2335"/>
      <c r="VZA996" s="2335"/>
      <c r="VZB996" s="2335"/>
      <c r="VZC996" s="2335"/>
      <c r="VZD996" s="2335"/>
      <c r="VZE996" s="2335"/>
      <c r="VZF996" s="2335"/>
      <c r="VZG996" s="2335"/>
      <c r="VZH996" s="2335"/>
      <c r="VZI996" s="2335"/>
      <c r="VZJ996" s="2335"/>
      <c r="VZK996" s="2335"/>
      <c r="VZL996" s="2335"/>
      <c r="VZM996" s="2335"/>
      <c r="VZN996" s="2335"/>
      <c r="VZO996" s="2335"/>
      <c r="VZP996" s="2335"/>
      <c r="VZQ996" s="2335"/>
      <c r="VZR996" s="2335"/>
      <c r="VZS996" s="2335"/>
      <c r="VZT996" s="2335"/>
      <c r="VZU996" s="2335"/>
      <c r="VZV996" s="2335"/>
      <c r="VZW996" s="2335"/>
      <c r="VZX996" s="2335"/>
      <c r="VZY996" s="2335"/>
      <c r="VZZ996" s="2335"/>
      <c r="WAA996" s="2335"/>
      <c r="WAB996" s="2335"/>
      <c r="WAC996" s="2335"/>
      <c r="WAD996" s="2335"/>
      <c r="WAE996" s="2335"/>
      <c r="WAF996" s="2335"/>
      <c r="WAG996" s="2335"/>
      <c r="WAH996" s="2335"/>
      <c r="WAI996" s="2335"/>
      <c r="WAJ996" s="2335"/>
      <c r="WAK996" s="2335"/>
      <c r="WAL996" s="2335"/>
      <c r="WAM996" s="2335"/>
      <c r="WAN996" s="2335"/>
      <c r="WAO996" s="2335"/>
      <c r="WAP996" s="2335"/>
      <c r="WAQ996" s="2335"/>
      <c r="WAR996" s="2335"/>
      <c r="WAS996" s="2335"/>
      <c r="WAT996" s="2335"/>
      <c r="WAU996" s="2335"/>
      <c r="WAV996" s="2335"/>
      <c r="WAW996" s="2335"/>
      <c r="WAX996" s="2335"/>
      <c r="WAY996" s="2335"/>
      <c r="WAZ996" s="2335"/>
      <c r="WBA996" s="2335"/>
      <c r="WBB996" s="2335"/>
      <c r="WBC996" s="2335"/>
      <c r="WBD996" s="2335"/>
      <c r="WBE996" s="2335"/>
      <c r="WBF996" s="2335"/>
      <c r="WBG996" s="2335"/>
      <c r="WBH996" s="2335"/>
      <c r="WBI996" s="2335"/>
      <c r="WBJ996" s="2335"/>
      <c r="WBK996" s="2335"/>
      <c r="WBL996" s="2335"/>
      <c r="WBM996" s="2335"/>
      <c r="WBN996" s="2335"/>
      <c r="WBO996" s="2335"/>
      <c r="WBP996" s="2335"/>
      <c r="WBQ996" s="2335"/>
      <c r="WBR996" s="2335"/>
      <c r="WBS996" s="2335"/>
      <c r="WBT996" s="2335"/>
      <c r="WBU996" s="2335"/>
      <c r="WBV996" s="2335"/>
      <c r="WBW996" s="2335"/>
      <c r="WBX996" s="2335"/>
      <c r="WBY996" s="2335"/>
      <c r="WBZ996" s="2335"/>
      <c r="WCA996" s="2335"/>
      <c r="WCB996" s="2335"/>
      <c r="WCC996" s="2335"/>
      <c r="WCD996" s="2335"/>
      <c r="WCE996" s="2335"/>
      <c r="WCF996" s="2335"/>
      <c r="WCG996" s="2335"/>
      <c r="WCH996" s="2335"/>
      <c r="WCI996" s="2335"/>
      <c r="WCJ996" s="2335"/>
      <c r="WCK996" s="2335"/>
      <c r="WCL996" s="2335"/>
      <c r="WCM996" s="2335"/>
      <c r="WCN996" s="2335"/>
      <c r="WCO996" s="2335"/>
      <c r="WCP996" s="2335"/>
      <c r="WCQ996" s="2335"/>
      <c r="WCR996" s="2335"/>
      <c r="WCS996" s="2335"/>
      <c r="WCT996" s="2335"/>
      <c r="WCU996" s="2335"/>
      <c r="WCV996" s="2335"/>
      <c r="WCW996" s="2335"/>
      <c r="WCX996" s="2335"/>
      <c r="WCY996" s="2335"/>
      <c r="WCZ996" s="2335"/>
      <c r="WDA996" s="2335"/>
      <c r="WDB996" s="2335"/>
      <c r="WDC996" s="2335"/>
      <c r="WDD996" s="2335"/>
      <c r="WDE996" s="2335"/>
      <c r="WDF996" s="2335"/>
      <c r="WDG996" s="2335"/>
      <c r="WDH996" s="2335"/>
      <c r="WDI996" s="2335"/>
      <c r="WDJ996" s="2335"/>
      <c r="WDK996" s="2335"/>
      <c r="WDL996" s="2335"/>
      <c r="WDM996" s="2335"/>
      <c r="WDN996" s="2335"/>
      <c r="WDO996" s="2335"/>
      <c r="WDP996" s="2335"/>
      <c r="WDQ996" s="2335"/>
      <c r="WDR996" s="2335"/>
      <c r="WDS996" s="2335"/>
      <c r="WDT996" s="2335"/>
      <c r="WDU996" s="2335"/>
      <c r="WDV996" s="2335"/>
      <c r="WDW996" s="2335"/>
      <c r="WDX996" s="2335"/>
      <c r="WDY996" s="2335"/>
      <c r="WDZ996" s="2335"/>
      <c r="WEA996" s="2335"/>
      <c r="WEB996" s="2335"/>
      <c r="WEC996" s="2335"/>
      <c r="WED996" s="2335"/>
      <c r="WEE996" s="2335"/>
      <c r="WEF996" s="2335"/>
      <c r="WEG996" s="2335"/>
      <c r="WEH996" s="2335"/>
      <c r="WEI996" s="2335"/>
      <c r="WEJ996" s="2335"/>
      <c r="WEK996" s="2335"/>
      <c r="WEL996" s="2335"/>
      <c r="WEM996" s="2335"/>
      <c r="WEN996" s="2335"/>
      <c r="WEO996" s="2335"/>
      <c r="WEP996" s="2335"/>
      <c r="WEQ996" s="2335"/>
      <c r="WER996" s="2335"/>
      <c r="WES996" s="2335"/>
      <c r="WET996" s="2335"/>
      <c r="WEU996" s="2335"/>
      <c r="WEV996" s="2335"/>
      <c r="WEW996" s="2335"/>
      <c r="WEX996" s="2335"/>
      <c r="WEY996" s="2335"/>
      <c r="WEZ996" s="2335"/>
      <c r="WFA996" s="2335"/>
      <c r="WFB996" s="2335"/>
      <c r="WFC996" s="2335"/>
      <c r="WFD996" s="2335"/>
      <c r="WFE996" s="2335"/>
      <c r="WFF996" s="2335"/>
      <c r="WFG996" s="2335"/>
      <c r="WFH996" s="2335"/>
      <c r="WFI996" s="2335"/>
      <c r="WFJ996" s="2335"/>
      <c r="WFK996" s="2335"/>
      <c r="WFL996" s="2335"/>
      <c r="WFM996" s="2335"/>
      <c r="WFN996" s="2335"/>
      <c r="WFO996" s="2335"/>
      <c r="WFP996" s="2335"/>
      <c r="WFQ996" s="2335"/>
      <c r="WFR996" s="2335"/>
      <c r="WFS996" s="2335"/>
      <c r="WFT996" s="2335"/>
      <c r="WFU996" s="2335"/>
      <c r="WFV996" s="2335"/>
      <c r="WFW996" s="2335"/>
      <c r="WFX996" s="2335"/>
      <c r="WFY996" s="2335"/>
      <c r="WFZ996" s="2335"/>
      <c r="WGA996" s="2335"/>
      <c r="WGB996" s="2335"/>
      <c r="WGC996" s="2335"/>
      <c r="WGD996" s="2335"/>
      <c r="WGE996" s="2335"/>
      <c r="WGF996" s="2335"/>
      <c r="WGG996" s="2335"/>
      <c r="WGH996" s="2335"/>
      <c r="WGI996" s="2335"/>
      <c r="WGJ996" s="2335"/>
      <c r="WGK996" s="2335"/>
      <c r="WGL996" s="2335"/>
      <c r="WGM996" s="2335"/>
      <c r="WGN996" s="2335"/>
      <c r="WGO996" s="2335"/>
      <c r="WGP996" s="2335"/>
      <c r="WGQ996" s="2335"/>
      <c r="WGR996" s="2335"/>
      <c r="WGS996" s="2335"/>
      <c r="WGT996" s="2335"/>
      <c r="WGU996" s="2335"/>
      <c r="WGV996" s="2335"/>
      <c r="WGW996" s="2335"/>
      <c r="WGX996" s="2335"/>
      <c r="WGY996" s="2335"/>
      <c r="WGZ996" s="2335"/>
      <c r="WHA996" s="2335"/>
      <c r="WHB996" s="2335"/>
      <c r="WHC996" s="2335"/>
      <c r="WHD996" s="2335"/>
      <c r="WHE996" s="2335"/>
      <c r="WHF996" s="2335"/>
      <c r="WHG996" s="2335"/>
      <c r="WHH996" s="2335"/>
      <c r="WHI996" s="2335"/>
      <c r="WHJ996" s="2335"/>
      <c r="WHK996" s="2335"/>
      <c r="WHL996" s="2335"/>
      <c r="WHM996" s="2335"/>
      <c r="WHN996" s="2335"/>
      <c r="WHO996" s="2335"/>
      <c r="WHP996" s="2335"/>
      <c r="WHQ996" s="2335"/>
      <c r="WHR996" s="2335"/>
      <c r="WHS996" s="2335"/>
      <c r="WHT996" s="2335"/>
      <c r="WHU996" s="2335"/>
      <c r="WHV996" s="2335"/>
      <c r="WHW996" s="2335"/>
      <c r="WHX996" s="2335"/>
      <c r="WHY996" s="2335"/>
      <c r="WHZ996" s="2335"/>
      <c r="WIA996" s="2335"/>
      <c r="WIB996" s="2335"/>
      <c r="WIC996" s="2335"/>
      <c r="WID996" s="2335"/>
      <c r="WIE996" s="2335"/>
      <c r="WIF996" s="2335"/>
      <c r="WIG996" s="2335"/>
      <c r="WIH996" s="2335"/>
      <c r="WII996" s="2335"/>
      <c r="WIJ996" s="2335"/>
      <c r="WIK996" s="2335"/>
      <c r="WIL996" s="2335"/>
      <c r="WIM996" s="2335"/>
      <c r="WIN996" s="2335"/>
      <c r="WIO996" s="2335"/>
      <c r="WIP996" s="2335"/>
      <c r="WIQ996" s="2335"/>
      <c r="WIR996" s="2335"/>
      <c r="WIS996" s="2335"/>
      <c r="WIT996" s="2335"/>
      <c r="WIU996" s="2335"/>
      <c r="WIV996" s="2335"/>
      <c r="WIW996" s="2335"/>
      <c r="WIX996" s="2335"/>
      <c r="WIY996" s="2335"/>
      <c r="WIZ996" s="2335"/>
      <c r="WJA996" s="2335"/>
      <c r="WJB996" s="2335"/>
      <c r="WJC996" s="2335"/>
      <c r="WJD996" s="2335"/>
      <c r="WJE996" s="2335"/>
      <c r="WJF996" s="2335"/>
      <c r="WJG996" s="2335"/>
      <c r="WJH996" s="2335"/>
      <c r="WJI996" s="2335"/>
      <c r="WJJ996" s="2335"/>
      <c r="WJK996" s="2335"/>
      <c r="WJL996" s="2335"/>
      <c r="WJM996" s="2335"/>
      <c r="WJN996" s="2335"/>
      <c r="WJO996" s="2335"/>
      <c r="WJP996" s="2335"/>
      <c r="WJQ996" s="2335"/>
      <c r="WJR996" s="2335"/>
      <c r="WJS996" s="2335"/>
      <c r="WJT996" s="2335"/>
      <c r="WJU996" s="2335"/>
      <c r="WJV996" s="2335"/>
      <c r="WJW996" s="2335"/>
      <c r="WJX996" s="2335"/>
      <c r="WJY996" s="2335"/>
      <c r="WJZ996" s="2335"/>
      <c r="WKA996" s="2335"/>
      <c r="WKB996" s="2335"/>
      <c r="WKC996" s="2335"/>
      <c r="WKD996" s="2335"/>
      <c r="WKE996" s="2335"/>
      <c r="WKF996" s="2335"/>
      <c r="WKG996" s="2335"/>
      <c r="WKH996" s="2335"/>
      <c r="WKI996" s="2335"/>
      <c r="WKJ996" s="2335"/>
      <c r="WKK996" s="2335"/>
      <c r="WKL996" s="2335"/>
      <c r="WKM996" s="2335"/>
      <c r="WKN996" s="2335"/>
      <c r="WKO996" s="2335"/>
      <c r="WKP996" s="2335"/>
      <c r="WKQ996" s="2335"/>
      <c r="WKR996" s="2335"/>
      <c r="WKS996" s="2335"/>
      <c r="WKT996" s="2335"/>
      <c r="WKU996" s="2335"/>
      <c r="WKV996" s="2335"/>
      <c r="WKW996" s="2335"/>
      <c r="WKX996" s="2335"/>
      <c r="WKY996" s="2335"/>
      <c r="WKZ996" s="2335"/>
      <c r="WLA996" s="2335"/>
      <c r="WLB996" s="2335"/>
      <c r="WLC996" s="2335"/>
      <c r="WLD996" s="2335"/>
      <c r="WLE996" s="2335"/>
      <c r="WLF996" s="2335"/>
      <c r="WLG996" s="2335"/>
      <c r="WLH996" s="2335"/>
      <c r="WLI996" s="2335"/>
      <c r="WLJ996" s="2335"/>
      <c r="WLK996" s="2335"/>
      <c r="WLL996" s="2335"/>
      <c r="WLM996" s="2335"/>
      <c r="WLN996" s="2335"/>
      <c r="WLO996" s="2335"/>
      <c r="WLP996" s="2335"/>
      <c r="WLQ996" s="2335"/>
      <c r="WLR996" s="2335"/>
      <c r="WLS996" s="2335"/>
      <c r="WLT996" s="2335"/>
      <c r="WLU996" s="2335"/>
      <c r="WLV996" s="2335"/>
      <c r="WLW996" s="2335"/>
      <c r="WLX996" s="2335"/>
      <c r="WLY996" s="2335"/>
      <c r="WLZ996" s="2335"/>
      <c r="WMA996" s="2335"/>
      <c r="WMB996" s="2335"/>
      <c r="WMC996" s="2335"/>
      <c r="WMD996" s="2335"/>
      <c r="WME996" s="2335"/>
      <c r="WMF996" s="2335"/>
      <c r="WMG996" s="2335"/>
      <c r="WMH996" s="2335"/>
      <c r="WMI996" s="2335"/>
      <c r="WMJ996" s="2335"/>
      <c r="WMK996" s="2335"/>
      <c r="WML996" s="2335"/>
      <c r="WMM996" s="2335"/>
      <c r="WMN996" s="2335"/>
      <c r="WMO996" s="2335"/>
      <c r="WMP996" s="2335"/>
      <c r="WMQ996" s="2335"/>
      <c r="WMR996" s="2335"/>
      <c r="WMS996" s="2335"/>
      <c r="WMT996" s="2335"/>
      <c r="WMU996" s="2335"/>
      <c r="WMV996" s="2335"/>
      <c r="WMW996" s="2335"/>
      <c r="WMX996" s="2335"/>
      <c r="WMY996" s="2335"/>
      <c r="WMZ996" s="2335"/>
      <c r="WNA996" s="2335"/>
      <c r="WNB996" s="2335"/>
      <c r="WNC996" s="2335"/>
      <c r="WND996" s="2335"/>
      <c r="WNE996" s="2335"/>
      <c r="WNF996" s="2335"/>
      <c r="WNG996" s="2335"/>
      <c r="WNH996" s="2335"/>
      <c r="WNI996" s="2335"/>
      <c r="WNJ996" s="2335"/>
      <c r="WNK996" s="2335"/>
      <c r="WNL996" s="2335"/>
      <c r="WNM996" s="2335"/>
      <c r="WNN996" s="2335"/>
      <c r="WNO996" s="2335"/>
      <c r="WNP996" s="2335"/>
      <c r="WNQ996" s="2335"/>
      <c r="WNR996" s="2335"/>
      <c r="WNS996" s="2335"/>
      <c r="WNT996" s="2335"/>
      <c r="WNU996" s="2335"/>
      <c r="WNV996" s="2335"/>
      <c r="WNW996" s="2335"/>
      <c r="WNX996" s="2335"/>
      <c r="WNY996" s="2335"/>
      <c r="WNZ996" s="2335"/>
      <c r="WOA996" s="2335"/>
      <c r="WOB996" s="2335"/>
      <c r="WOC996" s="2335"/>
      <c r="WOD996" s="2335"/>
      <c r="WOE996" s="2335"/>
      <c r="WOF996" s="2335"/>
      <c r="WOG996" s="2335"/>
      <c r="WOH996" s="2335"/>
      <c r="WOI996" s="2335"/>
      <c r="WOJ996" s="2335"/>
      <c r="WOK996" s="2335"/>
      <c r="WOL996" s="2335"/>
      <c r="WOM996" s="2335"/>
      <c r="WON996" s="2335"/>
      <c r="WOO996" s="2335"/>
      <c r="WOP996" s="2335"/>
      <c r="WOQ996" s="2335"/>
      <c r="WOR996" s="2335"/>
      <c r="WOS996" s="2335"/>
      <c r="WOT996" s="2335"/>
      <c r="WOU996" s="2335"/>
      <c r="WOV996" s="2335"/>
      <c r="WOW996" s="2335"/>
      <c r="WOX996" s="2335"/>
      <c r="WOY996" s="2335"/>
      <c r="WOZ996" s="2335"/>
      <c r="WPA996" s="2335"/>
      <c r="WPB996" s="2335"/>
      <c r="WPC996" s="2335"/>
      <c r="WPD996" s="2335"/>
      <c r="WPE996" s="2335"/>
      <c r="WPF996" s="2335"/>
      <c r="WPG996" s="2335"/>
      <c r="WPH996" s="2335"/>
      <c r="WPI996" s="2335"/>
      <c r="WPJ996" s="2335"/>
      <c r="WPK996" s="2335"/>
      <c r="WPL996" s="2335"/>
      <c r="WPM996" s="2335"/>
      <c r="WPN996" s="2335"/>
      <c r="WPO996" s="2335"/>
      <c r="WPP996" s="2335"/>
      <c r="WPQ996" s="2335"/>
      <c r="WPR996" s="2335"/>
      <c r="WPS996" s="2335"/>
      <c r="WPT996" s="2335"/>
      <c r="WPU996" s="2335"/>
      <c r="WPV996" s="2335"/>
      <c r="WPW996" s="2335"/>
      <c r="WPX996" s="2335"/>
      <c r="WPY996" s="2335"/>
      <c r="WPZ996" s="2335"/>
      <c r="WQA996" s="2335"/>
      <c r="WQB996" s="2335"/>
      <c r="WQC996" s="2335"/>
      <c r="WQD996" s="2335"/>
      <c r="WQE996" s="2335"/>
      <c r="WQF996" s="2335"/>
      <c r="WQG996" s="2335"/>
      <c r="WQH996" s="2335"/>
      <c r="WQI996" s="2335"/>
      <c r="WQJ996" s="2335"/>
      <c r="WQK996" s="2335"/>
      <c r="WQL996" s="2335"/>
      <c r="WQM996" s="2335"/>
      <c r="WQN996" s="2335"/>
      <c r="WQO996" s="2335"/>
      <c r="WQP996" s="2335"/>
      <c r="WQQ996" s="2335"/>
      <c r="WQR996" s="2335"/>
      <c r="WQS996" s="2335"/>
      <c r="WQT996" s="2335"/>
      <c r="WQU996" s="2335"/>
      <c r="WQV996" s="2335"/>
      <c r="WQW996" s="2335"/>
      <c r="WQX996" s="2335"/>
      <c r="WQY996" s="2335"/>
      <c r="WQZ996" s="2335"/>
      <c r="WRA996" s="2335"/>
      <c r="WRB996" s="2335"/>
      <c r="WRC996" s="2335"/>
      <c r="WRD996" s="2335"/>
      <c r="WRE996" s="2335"/>
      <c r="WRF996" s="2335"/>
      <c r="WRG996" s="2335"/>
      <c r="WRH996" s="2335"/>
      <c r="WRI996" s="2335"/>
      <c r="WRJ996" s="2335"/>
      <c r="WRK996" s="2335"/>
      <c r="WRL996" s="2335"/>
      <c r="WRM996" s="2335"/>
      <c r="WRN996" s="2335"/>
      <c r="WRO996" s="2335"/>
      <c r="WRP996" s="2335"/>
      <c r="WRQ996" s="2335"/>
      <c r="WRR996" s="2335"/>
      <c r="WRS996" s="2335"/>
      <c r="WRT996" s="2335"/>
      <c r="WRU996" s="2335"/>
      <c r="WRV996" s="2335"/>
      <c r="WRW996" s="2335"/>
      <c r="WRX996" s="2335"/>
      <c r="WRY996" s="2335"/>
      <c r="WRZ996" s="2335"/>
      <c r="WSA996" s="2335"/>
      <c r="WSB996" s="2335"/>
      <c r="WSC996" s="2335"/>
      <c r="WSD996" s="2335"/>
      <c r="WSE996" s="2335"/>
      <c r="WSF996" s="2335"/>
      <c r="WSG996" s="2335"/>
      <c r="WSH996" s="2335"/>
      <c r="WSI996" s="2335"/>
      <c r="WSJ996" s="2335"/>
      <c r="WSK996" s="2335"/>
      <c r="WSL996" s="2335"/>
      <c r="WSM996" s="2335"/>
      <c r="WSN996" s="2335"/>
      <c r="WSO996" s="2335"/>
      <c r="WSP996" s="2335"/>
      <c r="WSQ996" s="2335"/>
      <c r="WSR996" s="2335"/>
      <c r="WSS996" s="2335"/>
      <c r="WST996" s="2335"/>
      <c r="WSU996" s="2335"/>
      <c r="WSV996" s="2335"/>
      <c r="WSW996" s="2335"/>
      <c r="WSX996" s="2335"/>
      <c r="WSY996" s="2335"/>
      <c r="WSZ996" s="2335"/>
      <c r="WTA996" s="2335"/>
      <c r="WTB996" s="2335"/>
      <c r="WTC996" s="2335"/>
      <c r="WTD996" s="2335"/>
      <c r="WTE996" s="2335"/>
      <c r="WTF996" s="2335"/>
      <c r="WTG996" s="2335"/>
      <c r="WTH996" s="2335"/>
      <c r="WTI996" s="2335"/>
      <c r="WTJ996" s="2335"/>
      <c r="WTK996" s="2335"/>
      <c r="WTL996" s="2335"/>
      <c r="WTM996" s="2335"/>
      <c r="WTN996" s="2335"/>
      <c r="WTO996" s="2335"/>
      <c r="WTP996" s="2335"/>
      <c r="WTQ996" s="2335"/>
      <c r="WTR996" s="2335"/>
      <c r="WTS996" s="2335"/>
      <c r="WTT996" s="2335"/>
      <c r="WTU996" s="2335"/>
      <c r="WTV996" s="2335"/>
      <c r="WTW996" s="2335"/>
      <c r="WTX996" s="2335"/>
      <c r="WTY996" s="2335"/>
      <c r="WTZ996" s="2335"/>
      <c r="WUA996" s="2335"/>
      <c r="WUB996" s="2335"/>
      <c r="WUC996" s="2335"/>
      <c r="WUD996" s="2335"/>
      <c r="WUE996" s="2335"/>
      <c r="WUF996" s="2335"/>
      <c r="WUG996" s="2335"/>
      <c r="WUH996" s="2335"/>
      <c r="WUI996" s="2335"/>
      <c r="WUJ996" s="2335"/>
      <c r="WUK996" s="2335"/>
      <c r="WUL996" s="2335"/>
      <c r="WUM996" s="2335"/>
      <c r="WUN996" s="2335"/>
      <c r="WUO996" s="2335"/>
      <c r="WUP996" s="2335"/>
      <c r="WUQ996" s="2335"/>
      <c r="WUR996" s="2335"/>
      <c r="WUS996" s="2335"/>
      <c r="WUT996" s="2335"/>
      <c r="WUU996" s="2335"/>
      <c r="WUV996" s="2335"/>
      <c r="WUW996" s="2335"/>
      <c r="WUX996" s="2335"/>
      <c r="WUY996" s="2335"/>
      <c r="WUZ996" s="2335"/>
      <c r="WVA996" s="2335"/>
      <c r="WVB996" s="2335"/>
      <c r="WVC996" s="2335"/>
      <c r="WVD996" s="2335"/>
      <c r="WVE996" s="2335"/>
      <c r="WVF996" s="2335"/>
      <c r="WVG996" s="2335"/>
      <c r="WVH996" s="2335"/>
      <c r="WVI996" s="2335"/>
      <c r="WVJ996" s="2335"/>
      <c r="WVK996" s="2335"/>
      <c r="WVL996" s="2335"/>
      <c r="WVM996" s="2335"/>
      <c r="WVN996" s="2335"/>
      <c r="WVO996" s="2335"/>
      <c r="WVP996" s="2335"/>
      <c r="WVQ996" s="2335"/>
      <c r="WVR996" s="2335"/>
      <c r="WVS996" s="2335"/>
      <c r="WVT996" s="2335"/>
      <c r="WVU996" s="2335"/>
      <c r="WVV996" s="2335"/>
      <c r="WVW996" s="2335"/>
      <c r="WVX996" s="2335"/>
      <c r="WVY996" s="2335"/>
      <c r="WVZ996" s="2335"/>
      <c r="WWA996" s="2335"/>
      <c r="WWB996" s="2335"/>
      <c r="WWC996" s="2335"/>
      <c r="WWD996" s="2335"/>
      <c r="WWE996" s="2335"/>
      <c r="WWF996" s="2335"/>
      <c r="WWG996" s="2335"/>
      <c r="WWH996" s="2335"/>
      <c r="WWI996" s="2335"/>
      <c r="WWJ996" s="2335"/>
      <c r="WWK996" s="2335"/>
      <c r="WWL996" s="2335"/>
      <c r="WWM996" s="2335"/>
      <c r="WWN996" s="2335"/>
      <c r="WWO996" s="2335"/>
      <c r="WWP996" s="2335"/>
      <c r="WWQ996" s="2335"/>
      <c r="WWR996" s="2335"/>
      <c r="WWS996" s="2335"/>
      <c r="WWT996" s="2335"/>
      <c r="WWU996" s="2335"/>
      <c r="WWV996" s="2335"/>
      <c r="WWW996" s="2335"/>
      <c r="WWX996" s="2335"/>
      <c r="WWY996" s="2335"/>
      <c r="WWZ996" s="2335"/>
      <c r="WXA996" s="2335"/>
      <c r="WXB996" s="2335"/>
      <c r="WXC996" s="2335"/>
      <c r="WXD996" s="2335"/>
      <c r="WXE996" s="2335"/>
      <c r="WXF996" s="2335"/>
      <c r="WXG996" s="2335"/>
      <c r="WXH996" s="2335"/>
      <c r="WXI996" s="2335"/>
      <c r="WXJ996" s="2335"/>
      <c r="WXK996" s="2335"/>
      <c r="WXL996" s="2335"/>
      <c r="WXM996" s="2335"/>
      <c r="WXN996" s="2335"/>
      <c r="WXO996" s="2335"/>
      <c r="WXP996" s="2335"/>
      <c r="WXQ996" s="2335"/>
      <c r="WXR996" s="2335"/>
      <c r="WXS996" s="2335"/>
      <c r="WXT996" s="2335"/>
      <c r="WXU996" s="2335"/>
      <c r="WXV996" s="2335"/>
      <c r="WXW996" s="2335"/>
      <c r="WXX996" s="2335"/>
      <c r="WXY996" s="2335"/>
      <c r="WXZ996" s="2335"/>
      <c r="WYA996" s="2335"/>
      <c r="WYB996" s="2335"/>
      <c r="WYC996" s="2335"/>
      <c r="WYD996" s="2335"/>
      <c r="WYE996" s="2335"/>
      <c r="WYF996" s="2335"/>
      <c r="WYG996" s="2335"/>
      <c r="WYH996" s="2335"/>
      <c r="WYI996" s="2335"/>
      <c r="WYJ996" s="2335"/>
      <c r="WYK996" s="2335"/>
      <c r="WYL996" s="2335"/>
      <c r="WYM996" s="2335"/>
      <c r="WYN996" s="2335"/>
      <c r="WYO996" s="2335"/>
      <c r="WYP996" s="2335"/>
      <c r="WYQ996" s="2335"/>
      <c r="WYR996" s="2335"/>
      <c r="WYS996" s="2335"/>
      <c r="WYT996" s="2335"/>
      <c r="WYU996" s="2335"/>
      <c r="WYV996" s="2335"/>
      <c r="WYW996" s="2335"/>
      <c r="WYX996" s="2335"/>
      <c r="WYY996" s="2335"/>
      <c r="WYZ996" s="2335"/>
      <c r="WZA996" s="2335"/>
      <c r="WZB996" s="2335"/>
      <c r="WZC996" s="2335"/>
      <c r="WZD996" s="2335"/>
      <c r="WZE996" s="2335"/>
      <c r="WZF996" s="2335"/>
      <c r="WZG996" s="2335"/>
      <c r="WZH996" s="2335"/>
      <c r="WZI996" s="2335"/>
      <c r="WZJ996" s="2335"/>
      <c r="WZK996" s="2335"/>
      <c r="WZL996" s="2335"/>
      <c r="WZM996" s="2335"/>
      <c r="WZN996" s="2335"/>
      <c r="WZO996" s="2335"/>
      <c r="WZP996" s="2335"/>
      <c r="WZQ996" s="2335"/>
      <c r="WZR996" s="2335"/>
      <c r="WZS996" s="2335"/>
      <c r="WZT996" s="2335"/>
      <c r="WZU996" s="2335"/>
      <c r="WZV996" s="2335"/>
      <c r="WZW996" s="2335"/>
      <c r="WZX996" s="2335"/>
      <c r="WZY996" s="2335"/>
      <c r="WZZ996" s="2335"/>
      <c r="XAA996" s="2335"/>
      <c r="XAB996" s="2335"/>
      <c r="XAC996" s="2335"/>
      <c r="XAD996" s="2335"/>
      <c r="XAE996" s="2335"/>
      <c r="XAF996" s="2335"/>
      <c r="XAG996" s="2335"/>
      <c r="XAH996" s="2335"/>
      <c r="XAI996" s="2335"/>
      <c r="XAJ996" s="2335"/>
      <c r="XAK996" s="2335"/>
      <c r="XAL996" s="2335"/>
      <c r="XAM996" s="2335"/>
      <c r="XAN996" s="2335"/>
      <c r="XAO996" s="2335"/>
      <c r="XAP996" s="2335"/>
      <c r="XAQ996" s="2335"/>
      <c r="XAR996" s="2335"/>
      <c r="XAS996" s="2335"/>
      <c r="XAT996" s="2335"/>
      <c r="XAU996" s="2335"/>
      <c r="XAV996" s="2335"/>
      <c r="XAW996" s="2335"/>
      <c r="XAX996" s="2335"/>
      <c r="XAY996" s="2335"/>
      <c r="XAZ996" s="2335"/>
      <c r="XBA996" s="2335"/>
      <c r="XBB996" s="2335"/>
      <c r="XBC996" s="2335"/>
      <c r="XBD996" s="2335"/>
      <c r="XBE996" s="2335"/>
      <c r="XBF996" s="2335"/>
      <c r="XBG996" s="2335"/>
      <c r="XBH996" s="2335"/>
      <c r="XBI996" s="2335"/>
      <c r="XBJ996" s="2335"/>
      <c r="XBK996" s="2335"/>
      <c r="XBL996" s="2335"/>
      <c r="XBM996" s="2335"/>
      <c r="XBN996" s="2335"/>
      <c r="XBO996" s="2335"/>
      <c r="XBP996" s="2335"/>
      <c r="XBQ996" s="2335"/>
      <c r="XBR996" s="2335"/>
      <c r="XBS996" s="2335"/>
      <c r="XBT996" s="2335"/>
      <c r="XBU996" s="2335"/>
      <c r="XBV996" s="2335"/>
      <c r="XBW996" s="2335"/>
      <c r="XBX996" s="2335"/>
      <c r="XBY996" s="2335"/>
      <c r="XBZ996" s="2335"/>
      <c r="XCA996" s="2335"/>
      <c r="XCB996" s="2335"/>
      <c r="XCC996" s="2335"/>
      <c r="XCD996" s="2335"/>
      <c r="XCE996" s="2335"/>
      <c r="XCF996" s="2335"/>
      <c r="XCG996" s="2335"/>
      <c r="XCH996" s="2335"/>
      <c r="XCI996" s="2335"/>
      <c r="XCJ996" s="2335"/>
      <c r="XCK996" s="2335"/>
      <c r="XCL996" s="2335"/>
      <c r="XCM996" s="2335"/>
      <c r="XCN996" s="2335"/>
      <c r="XCO996" s="2335"/>
      <c r="XCP996" s="2335"/>
      <c r="XCQ996" s="2335"/>
      <c r="XCR996" s="2335"/>
      <c r="XCS996" s="2335"/>
      <c r="XCT996" s="2335"/>
      <c r="XCU996" s="2335"/>
      <c r="XCV996" s="2335"/>
      <c r="XCW996" s="2335"/>
      <c r="XCX996" s="2335"/>
      <c r="XCY996" s="2335"/>
      <c r="XCZ996" s="2335"/>
      <c r="XDA996" s="2335"/>
      <c r="XDB996" s="2335"/>
      <c r="XDC996" s="2335"/>
      <c r="XDD996" s="2335"/>
      <c r="XDE996" s="2335"/>
      <c r="XDF996" s="2335"/>
      <c r="XDG996" s="2335"/>
      <c r="XDH996" s="2335"/>
      <c r="XDI996" s="2335"/>
      <c r="XDJ996" s="2335"/>
      <c r="XDK996" s="2335"/>
      <c r="XDL996" s="2335"/>
      <c r="XDM996" s="2335"/>
      <c r="XDN996" s="2335"/>
      <c r="XDO996" s="2335"/>
      <c r="XDP996" s="2335"/>
      <c r="XDQ996" s="2335"/>
      <c r="XDR996" s="2335"/>
      <c r="XDS996" s="2335"/>
      <c r="XDT996" s="2335"/>
      <c r="XDU996" s="2335"/>
      <c r="XDV996" s="2335"/>
      <c r="XDW996" s="2335"/>
      <c r="XDX996" s="2335"/>
      <c r="XDY996" s="2335"/>
      <c r="XDZ996" s="2335"/>
      <c r="XEA996" s="2335"/>
      <c r="XEB996" s="2335"/>
      <c r="XEC996" s="2335"/>
      <c r="XED996" s="2335"/>
      <c r="XEE996" s="2335"/>
      <c r="XEF996" s="2335"/>
      <c r="XEG996" s="2335"/>
      <c r="XEH996" s="2335"/>
      <c r="XEI996" s="2335"/>
      <c r="XEJ996" s="2335"/>
      <c r="XEK996" s="2335"/>
      <c r="XEL996" s="2335"/>
      <c r="XEM996" s="2335"/>
      <c r="XEN996" s="2335"/>
      <c r="XEO996" s="2335"/>
      <c r="XEP996" s="2335"/>
      <c r="XEQ996" s="2335"/>
      <c r="XER996" s="2335"/>
      <c r="XES996" s="2335"/>
      <c r="XET996" s="2335"/>
      <c r="XEU996" s="2335"/>
      <c r="XEV996" s="2335"/>
      <c r="XEW996" s="2335"/>
      <c r="XEX996" s="2335"/>
      <c r="XEY996" s="2335"/>
      <c r="XEZ996" s="2335"/>
      <c r="XFA996" s="2335"/>
      <c r="XFB996" s="2335"/>
      <c r="XFC996" s="2335"/>
    </row>
    <row r="997" s="1936" customFormat="1" ht="16" hidden="1" customHeight="1" spans="1:1024 1025:16383">
      <c r="B997" s="2303"/>
      <c r="C997" s="2304"/>
      <c r="D997" s="2327">
        <v>46283</v>
      </c>
      <c r="E997" s="2328">
        <v>6.7</v>
      </c>
      <c r="F997" s="2338" t="s">
        <v>3227</v>
      </c>
      <c r="G997" s="2330"/>
      <c r="H997" s="2331"/>
      <c r="I997" s="2328"/>
      <c r="J997" s="2336" t="s">
        <v>1428</v>
      </c>
      <c r="K997" s="2339" t="s">
        <v>712</v>
      </c>
      <c r="L997" s="2336" t="s">
        <v>1428</v>
      </c>
      <c r="M997" s="2334">
        <f>58.45/E997/1.13</f>
        <v>7.72024831594241</v>
      </c>
      <c r="N997" s="2334">
        <v>16.3</v>
      </c>
      <c r="O997" s="2334">
        <f t="shared" si="119"/>
        <v>3.35820895522388</v>
      </c>
      <c r="P997" s="2334"/>
      <c r="Q997" s="2334">
        <f t="shared" ref="Q997:Q999" si="120">SUBTOTAL(109,L997:O997)</f>
        <v>0</v>
      </c>
      <c r="R997" s="315" t="s">
        <v>3229</v>
      </c>
      <c r="S997" s="651"/>
      <c r="X997" s="2320"/>
      <c r="AC997" s="2320"/>
    </row>
    <row r="998" s="1936" customFormat="1" ht="16" hidden="1" customHeight="1" spans="1:1024 1025:16383">
      <c r="B998" s="2303"/>
      <c r="C998" s="2304"/>
      <c r="D998" s="2327"/>
      <c r="E998" s="2328">
        <v>6.75</v>
      </c>
      <c r="F998" s="2329" t="s">
        <v>3230</v>
      </c>
      <c r="G998" s="2330"/>
      <c r="H998" s="2331"/>
      <c r="I998" s="2328"/>
      <c r="J998" s="2336" t="s">
        <v>1428</v>
      </c>
      <c r="K998" s="2339" t="s">
        <v>712</v>
      </c>
      <c r="L998" s="2336" t="s">
        <v>1428</v>
      </c>
      <c r="M998" s="2340">
        <f>52/E998/1.13*1.05</f>
        <v>7.15830875122911</v>
      </c>
      <c r="N998" s="2340">
        <v>16.3</v>
      </c>
      <c r="O998" s="2341">
        <f t="shared" si="119"/>
        <v>3.33333333333333</v>
      </c>
      <c r="P998" s="2341"/>
      <c r="Q998" s="2341">
        <f t="shared" si="120"/>
        <v>0</v>
      </c>
      <c r="R998" s="2313"/>
      <c r="S998" s="651"/>
      <c r="X998" s="2320"/>
      <c r="AC998" s="2320"/>
    </row>
    <row r="999" s="1936" customFormat="1" ht="16" hidden="1" customHeight="1" spans="1:1024 1025:16383">
      <c r="B999" s="2303"/>
      <c r="C999" s="2304"/>
      <c r="D999" s="2327"/>
      <c r="E999" s="2328">
        <v>6.78</v>
      </c>
      <c r="F999" s="2329" t="s">
        <v>3231</v>
      </c>
      <c r="G999" s="2330"/>
      <c r="H999" s="2331"/>
      <c r="I999" s="2328"/>
      <c r="J999" s="2336" t="s">
        <v>1428</v>
      </c>
      <c r="K999" s="2339" t="s">
        <v>712</v>
      </c>
      <c r="L999" s="2336" t="s">
        <v>1428</v>
      </c>
      <c r="M999" s="2340">
        <f>52/E999/1.13*1.05</f>
        <v>7.12663481870154</v>
      </c>
      <c r="N999" s="2340">
        <v>16.6</v>
      </c>
      <c r="O999" s="2341">
        <f t="shared" si="119"/>
        <v>3.31858407079646</v>
      </c>
      <c r="P999" s="2341"/>
      <c r="Q999" s="2341">
        <f t="shared" si="120"/>
        <v>0</v>
      </c>
      <c r="R999" s="2313"/>
      <c r="S999" s="651"/>
      <c r="X999" s="2320"/>
      <c r="AC999" s="2320"/>
    </row>
    <row r="1000" s="1936" customFormat="1" ht="16" hidden="1" customHeight="1" spans="1:1024 1025:16383">
      <c r="B1000" s="2303"/>
      <c r="C1000" s="2304"/>
      <c r="D1000" s="2327"/>
      <c r="E1000" s="2328"/>
      <c r="F1000" s="2329" t="s">
        <v>3232</v>
      </c>
      <c r="G1000" s="2330"/>
      <c r="H1000" s="2331"/>
      <c r="I1000" s="2328"/>
      <c r="J1000" s="2329"/>
      <c r="K1000" s="2342"/>
      <c r="L1000" s="2343"/>
      <c r="M1000" s="2340">
        <v>7.1056741280583</v>
      </c>
      <c r="N1000" s="2340">
        <v>16.6425</v>
      </c>
      <c r="O1000" s="2341">
        <v>3.30882352941176</v>
      </c>
      <c r="P1000" s="2341"/>
      <c r="Q1000" s="2341">
        <v>27.0569976574701</v>
      </c>
      <c r="R1000" s="2313"/>
      <c r="S1000" s="651"/>
      <c r="X1000" s="2320"/>
      <c r="AC1000" s="2320"/>
    </row>
    <row r="1001" s="1936" customFormat="1" ht="16" hidden="1" customHeight="1" spans="1:1024 1025:16383">
      <c r="B1001" s="2303"/>
      <c r="C1001" s="2304"/>
      <c r="D1001" s="2327">
        <v>46205</v>
      </c>
      <c r="E1001" s="2328">
        <v>6.8</v>
      </c>
      <c r="F1001" s="2329" t="s">
        <v>3233</v>
      </c>
      <c r="G1001" s="2330"/>
      <c r="H1001" s="2331"/>
      <c r="I1001" s="2328"/>
      <c r="J1001" s="2329" t="s">
        <v>1428</v>
      </c>
      <c r="K1001" s="2342" t="s">
        <v>712</v>
      </c>
      <c r="L1001" s="2343" t="s">
        <v>1428</v>
      </c>
      <c r="M1001" s="2340">
        <f t="shared" ref="M1001:M1007" si="121">49.32/E1001/1.13</f>
        <v>6.41853201457574</v>
      </c>
      <c r="N1001" s="2340">
        <v>16</v>
      </c>
      <c r="O1001" s="2341">
        <f t="shared" ref="O1001:O1006" si="122">22.5/E1001</f>
        <v>3.30882352941176</v>
      </c>
      <c r="P1001" s="2341"/>
      <c r="Q1001" s="2341">
        <f t="shared" ref="Q1001:Q1006" si="123">SUBTOTAL(109,L1001:O1001)</f>
        <v>0</v>
      </c>
      <c r="R1001" s="2313"/>
      <c r="S1001" s="651"/>
      <c r="X1001" s="2320"/>
      <c r="AC1001" s="2320"/>
    </row>
    <row r="1002" ht="16" hidden="1" customHeight="1" spans="1:1024 1025:16383">
      <c r="A1002" s="839">
        <v>1</v>
      </c>
      <c r="B1002" s="2303"/>
      <c r="C1002" s="2304"/>
      <c r="D1002" s="2327">
        <v>46171</v>
      </c>
      <c r="E1002" s="2328">
        <v>6.7863</v>
      </c>
      <c r="F1002" s="2328" t="s">
        <v>3234</v>
      </c>
      <c r="G1002" s="2330"/>
      <c r="H1002" s="2331"/>
      <c r="I1002" s="2328"/>
      <c r="J1002" s="2344" t="s">
        <v>1428</v>
      </c>
      <c r="K1002" s="2345" t="s">
        <v>712</v>
      </c>
      <c r="L1002" s="2346" t="s">
        <v>1428</v>
      </c>
      <c r="M1002" s="2340">
        <f t="shared" si="121"/>
        <v>6.43148957445369</v>
      </c>
      <c r="N1002" s="2346">
        <v>14.2</v>
      </c>
      <c r="O1002" s="2341">
        <f t="shared" si="122"/>
        <v>3.31550329339994</v>
      </c>
      <c r="P1002" s="2341"/>
      <c r="Q1002" s="2341">
        <f t="shared" si="123"/>
        <v>0</v>
      </c>
      <c r="R1002" s="2313" t="s">
        <v>3235</v>
      </c>
      <c r="S1002" s="266"/>
    </row>
    <row r="1003" ht="16" hidden="1" customHeight="1" spans="1:1024 1025:16383">
      <c r="A1003" s="839">
        <v>1</v>
      </c>
      <c r="B1003" s="2303"/>
      <c r="C1003" s="2304"/>
      <c r="D1003" s="2327">
        <v>46162</v>
      </c>
      <c r="E1003" s="2328">
        <v>6.8191</v>
      </c>
      <c r="F1003" s="2328" t="s">
        <v>3236</v>
      </c>
      <c r="G1003" s="2330"/>
      <c r="H1003" s="2331"/>
      <c r="I1003" s="2328"/>
      <c r="J1003" s="2344"/>
      <c r="K1003" s="2345"/>
      <c r="L1003" s="2346"/>
      <c r="M1003" s="2340">
        <f t="shared" si="121"/>
        <v>6.40055398793317</v>
      </c>
      <c r="N1003" s="2346">
        <v>13.5</v>
      </c>
      <c r="O1003" s="2341">
        <f t="shared" si="122"/>
        <v>3.29955565983781</v>
      </c>
      <c r="P1003" s="2341"/>
      <c r="Q1003" s="2341">
        <f t="shared" si="123"/>
        <v>0</v>
      </c>
      <c r="R1003" s="2313"/>
      <c r="S1003" s="266"/>
    </row>
    <row r="1004" ht="16" hidden="1" customHeight="1" spans="1:1024 1025:16383">
      <c r="A1004" s="839">
        <v>1</v>
      </c>
      <c r="B1004" s="2303"/>
      <c r="C1004" s="2304"/>
      <c r="D1004" s="2327">
        <v>46162</v>
      </c>
      <c r="E1004" s="2328">
        <v>6.8191</v>
      </c>
      <c r="F1004" s="2328" t="s">
        <v>3237</v>
      </c>
      <c r="G1004" s="2330"/>
      <c r="H1004" s="2331"/>
      <c r="I1004" s="2328"/>
      <c r="J1004" s="2344"/>
      <c r="K1004" s="2345"/>
      <c r="L1004" s="2346"/>
      <c r="M1004" s="2340">
        <f t="shared" si="121"/>
        <v>6.40055398793317</v>
      </c>
      <c r="N1004" s="2346">
        <v>13.4</v>
      </c>
      <c r="O1004" s="2341">
        <f t="shared" si="122"/>
        <v>3.29955565983781</v>
      </c>
      <c r="P1004" s="2341"/>
      <c r="Q1004" s="2341">
        <f t="shared" si="123"/>
        <v>0</v>
      </c>
      <c r="R1004" s="2313"/>
      <c r="S1004" s="266"/>
    </row>
    <row r="1005" ht="16" hidden="1" customHeight="1" spans="1:1024 1025:16383">
      <c r="A1005" s="839">
        <v>1</v>
      </c>
      <c r="B1005" s="2303"/>
      <c r="C1005" s="2304"/>
      <c r="D1005" s="2327"/>
      <c r="E1005" s="2328">
        <v>6.7986</v>
      </c>
      <c r="F1005" s="2328" t="s">
        <v>3238</v>
      </c>
      <c r="G1005" s="2330" t="s">
        <v>1581</v>
      </c>
      <c r="H1005" s="2331"/>
      <c r="I1005" s="2328"/>
      <c r="J1005" s="2344"/>
      <c r="K1005" s="2345"/>
      <c r="L1005" s="2346"/>
      <c r="M1005" s="2340">
        <f t="shared" si="121"/>
        <v>6.41985374917116</v>
      </c>
      <c r="N1005" s="2346">
        <v>14.2</v>
      </c>
      <c r="O1005" s="2341">
        <f t="shared" si="122"/>
        <v>3.30950489806725</v>
      </c>
      <c r="P1005" s="2341"/>
      <c r="Q1005" s="2341">
        <f t="shared" si="123"/>
        <v>0</v>
      </c>
      <c r="R1005" s="315"/>
      <c r="S1005" s="266"/>
    </row>
    <row r="1006" ht="16" hidden="1" customHeight="1" spans="1:1024 1025:16383">
      <c r="A1006" s="839">
        <v>1</v>
      </c>
      <c r="B1006" s="2303"/>
      <c r="C1006" s="2304" t="s">
        <v>2816</v>
      </c>
      <c r="D1006" s="2327">
        <v>46150</v>
      </c>
      <c r="E1006" s="2328">
        <v>6.8216</v>
      </c>
      <c r="F1006" s="2328" t="s">
        <v>3239</v>
      </c>
      <c r="G1006" s="2330"/>
      <c r="H1006" s="2331" t="s">
        <v>1897</v>
      </c>
      <c r="I1006" s="2328"/>
      <c r="J1006" s="2344"/>
      <c r="K1006" s="2345"/>
      <c r="L1006" s="2346"/>
      <c r="M1006" s="2340">
        <f t="shared" si="121"/>
        <v>6.39820829411209</v>
      </c>
      <c r="N1006" s="2346">
        <v>21.2</v>
      </c>
      <c r="O1006" s="2341">
        <f t="shared" si="122"/>
        <v>3.29834642899027</v>
      </c>
      <c r="P1006" s="2341"/>
      <c r="Q1006" s="2341">
        <f t="shared" si="123"/>
        <v>0</v>
      </c>
      <c r="R1006" s="315" t="s">
        <v>3240</v>
      </c>
      <c r="S1006" s="266" t="s">
        <v>3241</v>
      </c>
    </row>
    <row r="1007" ht="16" hidden="1" customHeight="1" spans="1:1024 1025:16383">
      <c r="A1007" s="839">
        <v>1</v>
      </c>
      <c r="B1007" s="2303"/>
      <c r="C1007" s="2304" t="s">
        <v>1868</v>
      </c>
      <c r="D1007" s="2327">
        <v>46135</v>
      </c>
      <c r="E1007" s="2328">
        <v>6.8225</v>
      </c>
      <c r="F1007" s="2328" t="s">
        <v>3242</v>
      </c>
      <c r="G1007" s="2330" t="s">
        <v>1645</v>
      </c>
      <c r="H1007" s="2331" t="s">
        <v>1870</v>
      </c>
      <c r="I1007" s="2328" t="s">
        <v>2156</v>
      </c>
      <c r="J1007" s="2344" t="s">
        <v>1876</v>
      </c>
      <c r="K1007" s="2345" t="s">
        <v>712</v>
      </c>
      <c r="L1007" s="2346">
        <f>26.17/E1007/1.13</f>
        <v>3.39454628587735</v>
      </c>
      <c r="M1007" s="2340">
        <f t="shared" si="121"/>
        <v>6.39736426516893</v>
      </c>
      <c r="N1007" s="2346">
        <v>13.4</v>
      </c>
      <c r="O1007" s="2341">
        <f>22.36/E1007</f>
        <v>3.27739098570905</v>
      </c>
      <c r="P1007" s="2341"/>
      <c r="Q1007" s="2341">
        <f>SUM(L1007:O1007)</f>
        <v>26.4693015367553</v>
      </c>
      <c r="R1007" s="2313" t="s">
        <v>3243</v>
      </c>
      <c r="S1007" s="266" t="s">
        <v>3244</v>
      </c>
    </row>
    <row r="1008" ht="16" hidden="1" customHeight="1" spans="1:1024 1025:16383">
      <c r="A1008" s="839"/>
      <c r="B1008" s="2347" t="s">
        <v>1794</v>
      </c>
      <c r="C1008" s="2348"/>
      <c r="D1008" s="2349"/>
      <c r="E1008" s="2349">
        <v>6.78</v>
      </c>
      <c r="F1008" s="2350" t="s">
        <v>3245</v>
      </c>
      <c r="G1008" s="2349"/>
      <c r="H1008" s="2349"/>
      <c r="I1008" s="2336"/>
      <c r="J1008" s="2336" t="s">
        <v>1428</v>
      </c>
      <c r="K1008" s="2339" t="s">
        <v>712</v>
      </c>
      <c r="L1008" s="2336" t="s">
        <v>1428</v>
      </c>
      <c r="M1008" s="2346">
        <f>79.5/E1008/1.13</f>
        <v>10.3766935547028</v>
      </c>
      <c r="N1008" s="2346">
        <f>17.05*1.05</f>
        <v>17.9025</v>
      </c>
      <c r="O1008" s="2351">
        <v>3.51031154014919</v>
      </c>
      <c r="P1008" s="2351"/>
      <c r="Q1008" s="2341">
        <f>SUM(L1008:O1008)</f>
        <v>31.789505094852</v>
      </c>
      <c r="R1008" s="1244"/>
    </row>
    <row r="1009" ht="16" hidden="1" customHeight="1" spans="1:29">
      <c r="A1009" s="839">
        <v>1</v>
      </c>
      <c r="B1009" s="2352" t="s">
        <v>1794</v>
      </c>
      <c r="C1009" s="2352"/>
      <c r="D1009" s="2353">
        <v>20251128</v>
      </c>
      <c r="E1009" s="2354">
        <v>6.837</v>
      </c>
      <c r="F1009" s="2355" t="s">
        <v>1799</v>
      </c>
      <c r="G1009" s="2356" t="s">
        <v>1629</v>
      </c>
      <c r="H1009" s="2357" t="s">
        <v>3246</v>
      </c>
      <c r="I1009" s="2354" t="s">
        <v>1511</v>
      </c>
      <c r="J1009" s="2354" t="s">
        <v>1507</v>
      </c>
      <c r="K1009" s="2354" t="s">
        <v>712</v>
      </c>
      <c r="L1009" s="2354" t="s">
        <v>1507</v>
      </c>
      <c r="M1009" s="2351">
        <v>7.08922430140011</v>
      </c>
      <c r="N1009" s="2351">
        <v>20.7905786001418</v>
      </c>
      <c r="O1009" s="2351">
        <v>3.51031154014919</v>
      </c>
      <c r="P1009" s="2351"/>
      <c r="Q1009" s="2351">
        <v>31.3901144416911</v>
      </c>
      <c r="S1009" s="1988" t="s">
        <v>3247</v>
      </c>
    </row>
    <row r="1010" ht="16" hidden="1" customHeight="1" spans="1:29">
      <c r="A1010" s="839">
        <v>1</v>
      </c>
      <c r="B1010" s="2358" t="s">
        <v>1794</v>
      </c>
      <c r="C1010" s="2359"/>
      <c r="D1010" s="2360">
        <v>46182</v>
      </c>
      <c r="E1010" s="2354">
        <v>6.7851</v>
      </c>
      <c r="F1010" s="2355" t="s">
        <v>3248</v>
      </c>
      <c r="G1010" s="2356"/>
      <c r="H1010" s="2357"/>
      <c r="I1010" s="2354"/>
      <c r="J1010" s="2354"/>
      <c r="K1010" s="2354"/>
      <c r="L1010" s="2354"/>
      <c r="M1010" s="2351">
        <f>66.68/E1010/1.13+4000/312/E1010/1.13</f>
        <v>10.3689608295158</v>
      </c>
      <c r="N1010" s="2351">
        <v>14.9</v>
      </c>
      <c r="O1010" s="2351">
        <v>3.51031154014919</v>
      </c>
      <c r="P1010" s="2351"/>
      <c r="Q1010" s="2351">
        <v>31.3901144416911</v>
      </c>
      <c r="R1010" s="187" t="s">
        <v>3249</v>
      </c>
      <c r="S1010" s="2293"/>
    </row>
    <row r="1011" ht="16" hidden="1" customHeight="1" spans="1:29">
      <c r="A1011" s="839">
        <v>1</v>
      </c>
      <c r="B1011" s="2361" t="s">
        <v>1794</v>
      </c>
      <c r="C1011" s="2361" t="s">
        <v>3250</v>
      </c>
      <c r="D1011" s="2362">
        <v>46150</v>
      </c>
      <c r="E1011" s="2349">
        <v>6.8216</v>
      </c>
      <c r="F1011" s="2349" t="s">
        <v>1796</v>
      </c>
      <c r="G1011" s="2356" t="s">
        <v>1645</v>
      </c>
      <c r="H1011" s="2357" t="s">
        <v>3251</v>
      </c>
      <c r="I1011" s="2336"/>
      <c r="J1011" s="2336"/>
      <c r="K1011" s="2363"/>
      <c r="L1011" s="2363"/>
      <c r="M1011" s="2346">
        <f>55.57/E1011/1.13</f>
        <v>7.20901125109102</v>
      </c>
      <c r="N1011" s="2346">
        <v>16</v>
      </c>
      <c r="O1011" s="2351">
        <v>3.51031154014919</v>
      </c>
      <c r="P1011" s="2351"/>
      <c r="Q1011" s="2364">
        <f>SUM(M1011:O1011)</f>
        <v>26.7193227912402</v>
      </c>
      <c r="R1011" s="2365"/>
      <c r="S1011" s="992"/>
    </row>
    <row r="1012" s="839" customFormat="1" ht="16" hidden="1" customHeight="1" spans="1:29">
      <c r="A1012" s="839">
        <v>1</v>
      </c>
      <c r="B1012" s="2366" t="s">
        <v>1794</v>
      </c>
      <c r="C1012" s="2367"/>
      <c r="D1012" s="2360">
        <v>46181</v>
      </c>
      <c r="E1012" s="2354">
        <v>6.7853</v>
      </c>
      <c r="F1012" s="2355" t="s">
        <v>3252</v>
      </c>
      <c r="G1012" s="2356"/>
      <c r="H1012" s="2357"/>
      <c r="I1012" s="2354"/>
      <c r="J1012" s="2354"/>
      <c r="K1012" s="2354"/>
      <c r="L1012" s="2368"/>
      <c r="M1012" s="2351">
        <f>66.68/E1012/1.13</f>
        <v>8.69657193602672</v>
      </c>
      <c r="N1012" s="2351">
        <v>16.6</v>
      </c>
      <c r="O1012" s="2351">
        <v>3.51031154014919</v>
      </c>
      <c r="P1012" s="2351"/>
      <c r="Q1012" s="2351">
        <f>SUBTOTAL(109,M1012:O1012)</f>
        <v>0</v>
      </c>
      <c r="R1012" s="2369"/>
      <c r="S1012" s="2293"/>
      <c r="X1012" s="1940"/>
      <c r="AC1012" s="1940"/>
    </row>
    <row r="1013" ht="16" hidden="1" customHeight="1" spans="1:29">
      <c r="A1013" s="839">
        <v>1</v>
      </c>
      <c r="B1013" s="2370" t="s">
        <v>1651</v>
      </c>
      <c r="C1013" s="2371"/>
      <c r="D1013" s="2360">
        <v>46083</v>
      </c>
      <c r="E1013" s="2354">
        <v>6.837</v>
      </c>
      <c r="F1013" s="2355" t="s">
        <v>1652</v>
      </c>
      <c r="G1013" s="2356" t="s">
        <v>1565</v>
      </c>
      <c r="H1013" s="2357" t="s">
        <v>2282</v>
      </c>
      <c r="I1013" s="2354" t="s">
        <v>1653</v>
      </c>
      <c r="J1013" s="2354" t="s">
        <v>1654</v>
      </c>
      <c r="K1013" s="2354" t="s">
        <v>712</v>
      </c>
      <c r="L1013" s="2368">
        <f>27/E1013/1.13</f>
        <v>3.49477918820163</v>
      </c>
      <c r="M1013" s="2351">
        <f>31.73/7.13/1.13</f>
        <v>3.93823927316958</v>
      </c>
      <c r="N1013" s="2351">
        <v>19.9532435278631</v>
      </c>
      <c r="O1013" s="2351">
        <f>21.54/6.91</f>
        <v>3.11722141823444</v>
      </c>
      <c r="P1013" s="2351"/>
      <c r="Q1013" s="2351">
        <f>SUM(K1013:O1013)</f>
        <v>30.5034834074687</v>
      </c>
      <c r="R1013" s="2372" t="s">
        <v>1526</v>
      </c>
      <c r="S1013" s="1988" t="s">
        <v>3253</v>
      </c>
    </row>
    <row r="1014" ht="16" hidden="1" customHeight="1" spans="1:29">
      <c r="A1014" s="839">
        <v>1</v>
      </c>
      <c r="B1014" s="2373" t="s">
        <v>1651</v>
      </c>
      <c r="C1014" s="2374" t="s">
        <v>3254</v>
      </c>
      <c r="D1014" s="2362">
        <v>46151</v>
      </c>
      <c r="E1014" s="2349">
        <v>6.8</v>
      </c>
      <c r="F1014" s="2349" t="s">
        <v>3255</v>
      </c>
      <c r="G1014" s="2349"/>
      <c r="H1014" s="2357" t="s">
        <v>3256</v>
      </c>
      <c r="I1014" s="2336"/>
      <c r="J1014" s="2336"/>
      <c r="K1014" s="2363"/>
      <c r="L1014" s="2363"/>
      <c r="M1014" s="2346">
        <f>46.27/E1014/1.13</f>
        <v>6.02160333159813</v>
      </c>
      <c r="N1014" s="2346">
        <v>22.1</v>
      </c>
      <c r="O1014" s="2375">
        <f>21.54/E1014</f>
        <v>3.16764705882353</v>
      </c>
      <c r="P1014" s="2375"/>
      <c r="Q1014" s="2351">
        <f>SUM(K1014:O1014)</f>
        <v>31.2892503904217</v>
      </c>
      <c r="S1014" s="2376" t="s">
        <v>3257</v>
      </c>
    </row>
    <row r="1015" ht="16" hidden="1" customHeight="1" spans="1:29">
      <c r="A1015" s="839">
        <v>1</v>
      </c>
      <c r="B1015" s="2352" t="s">
        <v>1837</v>
      </c>
      <c r="C1015" s="2348"/>
      <c r="D1015" s="2362">
        <v>46155</v>
      </c>
      <c r="E1015" s="2349">
        <v>6.8</v>
      </c>
      <c r="F1015" s="2354" t="s">
        <v>1839</v>
      </c>
      <c r="G1015" s="2356" t="s">
        <v>1565</v>
      </c>
      <c r="H1015" s="2357" t="s">
        <v>3258</v>
      </c>
      <c r="I1015" s="2354" t="s">
        <v>1506</v>
      </c>
      <c r="J1015" s="2354" t="s">
        <v>1507</v>
      </c>
      <c r="K1015" s="2354" t="s">
        <v>712</v>
      </c>
      <c r="L1015" s="2354" t="s">
        <v>1507</v>
      </c>
      <c r="M1015" s="2351">
        <f>87.09/E1015/1.13</f>
        <v>11.3339406559084</v>
      </c>
      <c r="N1015" s="2351">
        <v>11.804709667983</v>
      </c>
      <c r="O1015" s="2351">
        <v>3.07749446102225</v>
      </c>
      <c r="P1015" s="2351"/>
      <c r="Q1015" s="2351">
        <v>21.2194037236109</v>
      </c>
      <c r="R1015" s="2377" t="s">
        <v>3259</v>
      </c>
      <c r="S1015" s="1457"/>
      <c r="T1015" s="1745"/>
      <c r="U1015" s="990"/>
    </row>
    <row r="1016" ht="16" hidden="1" customHeight="1" spans="1:29">
      <c r="A1016" s="839">
        <v>1</v>
      </c>
      <c r="B1016" s="2347" t="s">
        <v>1837</v>
      </c>
      <c r="C1016" s="2378"/>
      <c r="D1016" s="2379">
        <v>46155</v>
      </c>
      <c r="E1016" s="2357">
        <v>6.8</v>
      </c>
      <c r="F1016" s="2354" t="s">
        <v>3260</v>
      </c>
      <c r="G1016" s="2354"/>
      <c r="H1016" s="2354"/>
      <c r="I1016" s="2354"/>
      <c r="J1016" s="2351" t="s">
        <v>1428</v>
      </c>
      <c r="K1016" s="2351" t="s">
        <v>712</v>
      </c>
      <c r="L1016" s="2351" t="s">
        <v>1428</v>
      </c>
      <c r="M1016" s="2351">
        <f>87.09/E1016/1.13</f>
        <v>11.3339406559084</v>
      </c>
      <c r="N1016" s="2354">
        <v>14.9</v>
      </c>
      <c r="O1016" s="2351">
        <v>3.07749446102225</v>
      </c>
      <c r="P1016" s="2351"/>
      <c r="Q1016" s="2351">
        <f>SUBTOTAL(109,M1016:O1016)</f>
        <v>0</v>
      </c>
    </row>
    <row r="1017" ht="16" hidden="1" customHeight="1" spans="1:29">
      <c r="A1017" s="839">
        <v>1</v>
      </c>
      <c r="B1017" s="2361" t="s">
        <v>3261</v>
      </c>
      <c r="C1017" s="2361" t="s">
        <v>1891</v>
      </c>
      <c r="D1017" s="2362">
        <v>46163</v>
      </c>
      <c r="E1017" s="2349">
        <v>6.8191</v>
      </c>
      <c r="F1017" s="2380" t="s">
        <v>3262</v>
      </c>
      <c r="G1017" s="2349"/>
      <c r="H1017" s="2349"/>
      <c r="I1017" s="2336"/>
      <c r="J1017" s="2336"/>
      <c r="K1017" s="2363"/>
      <c r="L1017" s="2363"/>
      <c r="M1017" s="2346">
        <f>29.08/E1017/1.13</f>
        <v>3.77388706344478</v>
      </c>
      <c r="N1017" s="2346">
        <v>16.9</v>
      </c>
      <c r="O1017" s="2351">
        <f>22/E1017</f>
        <v>3.2262322007303</v>
      </c>
      <c r="P1017" s="2351"/>
      <c r="Q1017" s="2364">
        <f>SUM(M1017:O1017)</f>
        <v>23.9001192641751</v>
      </c>
      <c r="S1017" s="2381" t="s">
        <v>3263</v>
      </c>
    </row>
    <row r="1018" ht="16" hidden="1" customHeight="1" spans="1:29">
      <c r="A1018" s="839"/>
      <c r="B1018" s="2378" t="s">
        <v>1780</v>
      </c>
      <c r="C1018" s="2361"/>
      <c r="D1018" s="2362"/>
      <c r="E1018" s="2349"/>
      <c r="F1018" s="2355" t="s">
        <v>3264</v>
      </c>
      <c r="G1018" s="2349"/>
      <c r="H1018" s="2349"/>
      <c r="I1018" s="2336"/>
      <c r="J1018" s="2336"/>
      <c r="K1018" s="2363"/>
      <c r="L1018" s="2363"/>
      <c r="M1018" s="2346">
        <f>87.28/6.78/1.13</f>
        <v>11.3921737541442</v>
      </c>
      <c r="N1018" s="2346">
        <v>20.6</v>
      </c>
      <c r="O1018" s="2351">
        <v>3.29</v>
      </c>
      <c r="P1018" s="2351"/>
      <c r="Q1018" s="2364">
        <f>SUM(M1018:O1018)</f>
        <v>35.2821737541442</v>
      </c>
      <c r="S1018" s="2381"/>
    </row>
    <row r="1019" ht="16" hidden="1" customHeight="1" spans="1:29">
      <c r="A1019" s="839">
        <v>1</v>
      </c>
      <c r="B1019" s="2382" t="s">
        <v>1780</v>
      </c>
      <c r="C1019" s="2382" t="s">
        <v>1781</v>
      </c>
      <c r="D1019" s="2353">
        <v>20251118</v>
      </c>
      <c r="E1019" s="2354">
        <v>6.8</v>
      </c>
      <c r="F1019" s="2383" t="s">
        <v>1782</v>
      </c>
      <c r="G1019" s="2356" t="s">
        <v>1565</v>
      </c>
      <c r="H1019" s="2357" t="s">
        <v>1783</v>
      </c>
      <c r="I1019" s="2329" t="s">
        <v>1506</v>
      </c>
      <c r="J1019" s="2384" t="s">
        <v>1784</v>
      </c>
      <c r="K1019" s="2354" t="s">
        <v>712</v>
      </c>
      <c r="L1019" s="2385">
        <f>17.55/7.13/1.13</f>
        <v>2.17825714604873</v>
      </c>
      <c r="M1019" s="2368">
        <f>55.2/E1019/1.13</f>
        <v>7.18375845913587</v>
      </c>
      <c r="N1019" s="2351">
        <v>15.1458525630683</v>
      </c>
      <c r="O1019" s="2351">
        <f>22.36/E1019</f>
        <v>3.28823529411765</v>
      </c>
      <c r="P1019" s="2351"/>
      <c r="Q1019" s="2351">
        <f t="shared" ref="Q1019:Q1025" si="124">SUM(K1019:O1019)</f>
        <v>27.7961034623705</v>
      </c>
      <c r="R1019" s="2298" t="s">
        <v>1785</v>
      </c>
      <c r="S1019" s="1988" t="s">
        <v>3265</v>
      </c>
    </row>
    <row r="1020" ht="16" hidden="1" customHeight="1" spans="1:29">
      <c r="A1020" s="839">
        <v>1</v>
      </c>
      <c r="B1020" s="2378" t="s">
        <v>1780</v>
      </c>
      <c r="C1020" s="2378" t="s">
        <v>1781</v>
      </c>
      <c r="D1020" s="2362">
        <v>46176</v>
      </c>
      <c r="E1020" s="2349">
        <v>6.7693</v>
      </c>
      <c r="F1020" s="2349" t="s">
        <v>1787</v>
      </c>
      <c r="G1020" s="2349"/>
      <c r="H1020" s="2349"/>
      <c r="I1020" s="2336"/>
      <c r="J1020" s="2336"/>
      <c r="K1020" s="2363"/>
      <c r="L1020" s="2363"/>
      <c r="M1020" s="2346">
        <f>55.2/E1020/1.13*1.2</f>
        <v>8.65960572386342</v>
      </c>
      <c r="N1020" s="2346">
        <v>16.5</v>
      </c>
      <c r="O1020" s="2351">
        <f>22.36/E1020</f>
        <v>3.303148035986</v>
      </c>
      <c r="P1020" s="2351"/>
      <c r="Q1020" s="2351">
        <f t="shared" si="124"/>
        <v>28.4627537598494</v>
      </c>
      <c r="S1020" s="2386" t="s">
        <v>3265</v>
      </c>
    </row>
    <row r="1021" ht="16" hidden="1" customHeight="1" spans="1:29">
      <c r="A1021" s="839"/>
      <c r="B1021" s="2378" t="s">
        <v>1362</v>
      </c>
      <c r="C1021" s="2378"/>
      <c r="D1021" s="2362"/>
      <c r="E1021" s="2349">
        <v>6.73</v>
      </c>
      <c r="F1021" s="2349" t="s">
        <v>3266</v>
      </c>
      <c r="G1021" s="2349"/>
      <c r="H1021" s="2349"/>
      <c r="I1021" s="2336"/>
      <c r="J1021" s="2336" t="s">
        <v>1428</v>
      </c>
      <c r="K1021" s="2387" t="s">
        <v>712</v>
      </c>
      <c r="L1021" s="2336" t="s">
        <v>1428</v>
      </c>
      <c r="M1021" s="2346">
        <f>140.61/6.73/1.13</f>
        <v>18.489394995332</v>
      </c>
      <c r="N1021" s="2346">
        <v>49.6</v>
      </c>
      <c r="O1021" s="2351">
        <f>25/E1021</f>
        <v>3.7147102526003</v>
      </c>
      <c r="P1021" s="2351"/>
      <c r="Q1021" s="2351">
        <f t="shared" si="124"/>
        <v>71.8041052479323</v>
      </c>
      <c r="S1021" s="2386"/>
    </row>
    <row r="1022" ht="16" hidden="1" customHeight="1" spans="1:29">
      <c r="A1022" s="839"/>
      <c r="B1022" s="2378" t="s">
        <v>1362</v>
      </c>
      <c r="C1022" s="2378" t="s">
        <v>3267</v>
      </c>
      <c r="D1022" s="2362">
        <v>46286</v>
      </c>
      <c r="E1022" s="2349">
        <v>6.7</v>
      </c>
      <c r="F1022" s="2349" t="s">
        <v>3268</v>
      </c>
      <c r="G1022" s="2349" t="s">
        <v>1617</v>
      </c>
      <c r="H1022" s="2349"/>
      <c r="I1022" s="2336"/>
      <c r="J1022" s="2336" t="s">
        <v>1428</v>
      </c>
      <c r="K1022" s="2387" t="s">
        <v>712</v>
      </c>
      <c r="L1022" s="2336" t="s">
        <v>1428</v>
      </c>
      <c r="M1022" s="2346">
        <f>140.61/6.73/1.13</f>
        <v>18.489394995332</v>
      </c>
      <c r="N1022" s="2346">
        <v>48.4</v>
      </c>
      <c r="O1022" s="2351">
        <f>25/6.75</f>
        <v>3.7037037037037</v>
      </c>
      <c r="P1022" s="2351"/>
      <c r="Q1022" s="2351">
        <f t="shared" si="124"/>
        <v>70.5930986990357</v>
      </c>
      <c r="R1022" s="2365" t="s">
        <v>3269</v>
      </c>
      <c r="S1022" s="2386" t="s">
        <v>3270</v>
      </c>
    </row>
    <row r="1023" ht="16" hidden="1" customHeight="1" spans="1:29">
      <c r="A1023" s="839"/>
      <c r="B1023" s="2378" t="s">
        <v>1362</v>
      </c>
      <c r="C1023" s="2378" t="s">
        <v>3267</v>
      </c>
      <c r="D1023" s="2362">
        <v>46248</v>
      </c>
      <c r="E1023" s="2349">
        <v>6.75</v>
      </c>
      <c r="F1023" s="2349" t="s">
        <v>3268</v>
      </c>
      <c r="G1023" s="2349" t="s">
        <v>1617</v>
      </c>
      <c r="H1023" s="2349"/>
      <c r="I1023" s="2336"/>
      <c r="J1023" s="2336" t="s">
        <v>1428</v>
      </c>
      <c r="K1023" s="2387" t="s">
        <v>712</v>
      </c>
      <c r="L1023" s="2336" t="s">
        <v>1428</v>
      </c>
      <c r="M1023" s="2346">
        <f>92/E1023/1.13</f>
        <v>12.0616191412652</v>
      </c>
      <c r="N1023" s="2346">
        <v>48</v>
      </c>
      <c r="O1023" s="2351">
        <f>25/6.75</f>
        <v>3.7037037037037</v>
      </c>
      <c r="P1023" s="2351"/>
      <c r="Q1023" s="2351">
        <f t="shared" si="124"/>
        <v>63.7653228449689</v>
      </c>
      <c r="R1023" s="2365" t="s">
        <v>3269</v>
      </c>
      <c r="S1023" s="1978" t="s">
        <v>3271</v>
      </c>
    </row>
    <row r="1024" ht="16" hidden="1" customHeight="1" spans="1:29">
      <c r="A1024" s="991">
        <v>1</v>
      </c>
      <c r="B1024" s="2361" t="s">
        <v>1362</v>
      </c>
      <c r="C1024" s="2348"/>
      <c r="D1024" s="2349"/>
      <c r="E1024" s="2349">
        <v>6.7693</v>
      </c>
      <c r="F1024" s="2388" t="s">
        <v>3272</v>
      </c>
      <c r="G1024" s="2349"/>
      <c r="H1024" s="2349"/>
      <c r="I1024" s="2336"/>
      <c r="J1024" s="2336"/>
      <c r="K1024" s="2363"/>
      <c r="L1024" s="2363"/>
      <c r="M1024" s="2346"/>
      <c r="N1024" s="2346">
        <v>35.4</v>
      </c>
      <c r="O1024" s="2375">
        <f>29/E1024</f>
        <v>4.28404709497289</v>
      </c>
      <c r="P1024" s="2375"/>
      <c r="Q1024" s="2351">
        <f t="shared" si="124"/>
        <v>39.6840470949729</v>
      </c>
      <c r="S1024" s="2389" t="s">
        <v>3273</v>
      </c>
    </row>
    <row r="1025" ht="16" hidden="1" customHeight="1" spans="1:29">
      <c r="A1025" s="991">
        <v>1</v>
      </c>
      <c r="B1025" s="2361" t="s">
        <v>3274</v>
      </c>
      <c r="C1025" s="2348"/>
      <c r="D1025" s="2349"/>
      <c r="E1025" s="2349">
        <v>6.7693</v>
      </c>
      <c r="F1025" s="2388" t="s">
        <v>3272</v>
      </c>
      <c r="G1025" s="2349"/>
      <c r="H1025" s="2349"/>
      <c r="I1025" s="2336"/>
      <c r="J1025" s="2336"/>
      <c r="K1025" s="2363"/>
      <c r="L1025" s="2363"/>
      <c r="M1025" s="2346"/>
      <c r="N1025" s="2346">
        <v>10.4</v>
      </c>
      <c r="O1025" s="2375">
        <f>4/E1025</f>
        <v>0.590903047582468</v>
      </c>
      <c r="P1025" s="2375"/>
      <c r="Q1025" s="2351">
        <f t="shared" si="124"/>
        <v>10.9909030475825</v>
      </c>
      <c r="S1025" s="2263"/>
    </row>
    <row r="1026" ht="16" hidden="1" customHeight="1" spans="1:29">
      <c r="A1026" s="991">
        <v>1</v>
      </c>
      <c r="B1026" s="2390" t="s">
        <v>3275</v>
      </c>
      <c r="C1026" s="2390"/>
      <c r="D1026" s="2349"/>
      <c r="E1026" s="2349">
        <v>6.76</v>
      </c>
      <c r="F1026" s="2349" t="s">
        <v>3276</v>
      </c>
      <c r="G1026" s="2349" t="s">
        <v>1617</v>
      </c>
      <c r="H1026" s="2357" t="s">
        <v>3277</v>
      </c>
      <c r="I1026" s="2336"/>
      <c r="J1026" s="2336" t="s">
        <v>1552</v>
      </c>
      <c r="K1026" s="2387" t="s">
        <v>712</v>
      </c>
      <c r="L1026" s="2363"/>
      <c r="M1026" s="2346"/>
      <c r="N1026" s="2346">
        <v>22.5</v>
      </c>
      <c r="O1026" s="2375"/>
      <c r="P1026" s="2375"/>
      <c r="Q1026" s="2364"/>
      <c r="R1026" s="2391"/>
      <c r="S1026" s="1930" t="s">
        <v>3278</v>
      </c>
    </row>
    <row r="1027" ht="16" hidden="1" customHeight="1" spans="1:29">
      <c r="A1027" s="839">
        <v>1</v>
      </c>
      <c r="B1027" s="2306" t="s">
        <v>1884</v>
      </c>
      <c r="C1027" s="2392" t="s">
        <v>1541</v>
      </c>
      <c r="D1027" s="2360">
        <v>46157</v>
      </c>
      <c r="E1027" s="2353">
        <v>6.8</v>
      </c>
      <c r="F1027" s="2393" t="s">
        <v>2016</v>
      </c>
      <c r="G1027" s="2394" t="s">
        <v>1551</v>
      </c>
      <c r="H1027" s="2357" t="s">
        <v>1886</v>
      </c>
      <c r="I1027" s="2329" t="s">
        <v>1887</v>
      </c>
      <c r="J1027" s="2329" t="s">
        <v>1871</v>
      </c>
      <c r="K1027" s="2342" t="s">
        <v>712</v>
      </c>
      <c r="L1027" s="2343" t="s">
        <v>1507</v>
      </c>
      <c r="M1027" s="2368">
        <f>43.86/E1027/1.13</f>
        <v>5.70796460176991</v>
      </c>
      <c r="N1027" s="2368">
        <v>20.9</v>
      </c>
      <c r="O1027" s="2351">
        <f t="shared" ref="O1027:O1029" si="125">22/E1027</f>
        <v>3.23529411764706</v>
      </c>
      <c r="P1027" s="2351"/>
      <c r="Q1027" s="2395">
        <f t="shared" ref="Q1027:Q1043" si="126">SUBTOTAL(109,L1027:O1027)</f>
        <v>0</v>
      </c>
      <c r="R1027" s="2396" t="s">
        <v>1888</v>
      </c>
      <c r="S1027" s="1989" t="s">
        <v>1889</v>
      </c>
    </row>
    <row r="1028" ht="16" hidden="1" customHeight="1" spans="1:29">
      <c r="A1028" s="839">
        <v>1</v>
      </c>
      <c r="B1028" s="2306"/>
      <c r="C1028" s="2397"/>
      <c r="D1028" s="2360">
        <v>46203</v>
      </c>
      <c r="E1028" s="2353">
        <v>6.7</v>
      </c>
      <c r="F1028" s="2329" t="s">
        <v>3279</v>
      </c>
      <c r="G1028" s="2353"/>
      <c r="H1028" s="2384"/>
      <c r="I1028" s="2329"/>
      <c r="J1028" s="2329" t="s">
        <v>1428</v>
      </c>
      <c r="K1028" s="2342" t="s">
        <v>712</v>
      </c>
      <c r="L1028" s="2343" t="s">
        <v>1428</v>
      </c>
      <c r="M1028" s="2346">
        <f>52.26/E1028/1.13</f>
        <v>6.90265486725664</v>
      </c>
      <c r="N1028" s="2368">
        <v>16.5</v>
      </c>
      <c r="O1028" s="2351">
        <f t="shared" si="125"/>
        <v>3.28358208955224</v>
      </c>
      <c r="P1028" s="2351"/>
      <c r="Q1028" s="2395">
        <f t="shared" si="126"/>
        <v>0</v>
      </c>
      <c r="R1028" s="2398"/>
      <c r="S1028" s="2399"/>
    </row>
    <row r="1029" customFormat="1" ht="16" hidden="1" customHeight="1" spans="1:29">
      <c r="A1029" s="839"/>
      <c r="B1029" s="2306"/>
      <c r="C1029" s="2397"/>
      <c r="D1029" s="2360"/>
      <c r="E1029" s="2353">
        <v>6.73</v>
      </c>
      <c r="F1029" s="2329" t="s">
        <v>3280</v>
      </c>
      <c r="G1029" s="2353"/>
      <c r="H1029" s="2384"/>
      <c r="I1029" s="2329"/>
      <c r="J1029" s="2329" t="s">
        <v>1428</v>
      </c>
      <c r="K1029" s="2342" t="s">
        <v>712</v>
      </c>
      <c r="L1029" s="2329" t="s">
        <v>1428</v>
      </c>
      <c r="M1029" s="2346">
        <f>52.26/E1029/1.13</f>
        <v>6.87188523188997</v>
      </c>
      <c r="N1029" s="2368">
        <v>16.1</v>
      </c>
      <c r="O1029" s="2351">
        <f t="shared" si="125"/>
        <v>3.26894502228826</v>
      </c>
      <c r="P1029" s="2351"/>
      <c r="Q1029" s="2395">
        <f>SUBTOTAL(109,M1029:O1029)</f>
        <v>0</v>
      </c>
      <c r="R1029" s="2398"/>
      <c r="S1029" s="2399"/>
      <c r="X1029" s="1940"/>
      <c r="AC1029" s="1940"/>
    </row>
    <row r="1030" customFormat="1" ht="16" hidden="1" customHeight="1" spans="1:29">
      <c r="A1030" s="839"/>
      <c r="B1030" s="2306"/>
      <c r="C1030" s="2397"/>
      <c r="D1030" s="2327"/>
      <c r="E1030" s="2328">
        <v>6.7</v>
      </c>
      <c r="F1030" s="2400" t="s">
        <v>3281</v>
      </c>
      <c r="G1030" s="2330"/>
      <c r="H1030" s="2331"/>
      <c r="I1030" s="2328"/>
      <c r="J1030" s="2401" t="s">
        <v>1428</v>
      </c>
      <c r="K1030" s="2402" t="s">
        <v>712</v>
      </c>
      <c r="L1030" s="2401" t="s">
        <v>1428</v>
      </c>
      <c r="M1030" s="2403">
        <f>57.6/6.7/1.13</f>
        <v>7.60797781006472</v>
      </c>
      <c r="N1030" s="2403">
        <v>16.1</v>
      </c>
      <c r="O1030" s="2403">
        <f>22.5/E1030</f>
        <v>3.35820895522388</v>
      </c>
      <c r="P1030" s="2403"/>
      <c r="Q1030" s="2403">
        <f>SUBTOTAL(109,K1030:O1030)</f>
        <v>0</v>
      </c>
      <c r="R1030" s="2398"/>
      <c r="S1030" s="2399"/>
      <c r="X1030" s="1940"/>
      <c r="AC1030" s="1940"/>
    </row>
    <row r="1031" customFormat="1" ht="16" hidden="1" customHeight="1" spans="1:29">
      <c r="A1031" s="839"/>
      <c r="B1031" s="2306"/>
      <c r="C1031" s="2404"/>
      <c r="D1031" s="2360"/>
      <c r="E1031" s="2405">
        <v>6.7</v>
      </c>
      <c r="F1031" s="2329" t="s">
        <v>3282</v>
      </c>
      <c r="G1031" s="2353"/>
      <c r="H1031" s="2384"/>
      <c r="I1031" s="2329"/>
      <c r="J1031" s="2329" t="s">
        <v>1428</v>
      </c>
      <c r="K1031" s="2342" t="s">
        <v>712</v>
      </c>
      <c r="L1031" s="2329" t="s">
        <v>1428</v>
      </c>
      <c r="M1031" s="2403">
        <f>57.6/E1031/1.13</f>
        <v>7.60797781006472</v>
      </c>
      <c r="N1031" s="2403">
        <v>16.1</v>
      </c>
      <c r="O1031" s="2403">
        <f>22.5/E1031</f>
        <v>3.35820895522388</v>
      </c>
      <c r="P1031" s="2403"/>
      <c r="Q1031" s="2403">
        <f>SUBTOTAL(109,M1031:O1031)</f>
        <v>0</v>
      </c>
      <c r="R1031" s="2398"/>
      <c r="S1031" s="2399"/>
      <c r="X1031" s="1940"/>
      <c r="AC1031" s="1940"/>
    </row>
    <row r="1032" customFormat="1" ht="16" hidden="1" customHeight="1" spans="1:29">
      <c r="A1032" s="839"/>
      <c r="B1032" s="2306"/>
      <c r="C1032" s="2397"/>
      <c r="D1032" s="2360">
        <v>46253</v>
      </c>
      <c r="E1032" s="2353">
        <v>6.75</v>
      </c>
      <c r="F1032" s="2329" t="s">
        <v>3283</v>
      </c>
      <c r="G1032" s="2353"/>
      <c r="H1032" s="2384"/>
      <c r="I1032" s="2329"/>
      <c r="J1032" s="2329" t="s">
        <v>1428</v>
      </c>
      <c r="K1032" s="2342" t="s">
        <v>712</v>
      </c>
      <c r="L1032" s="2343" t="s">
        <v>1428</v>
      </c>
      <c r="M1032" s="2346">
        <f t="shared" ref="M1032:M1037" si="127">51.33/E1032/1.13</f>
        <v>6.72959685349066</v>
      </c>
      <c r="N1032" s="2368">
        <v>16.3</v>
      </c>
      <c r="O1032" s="2351">
        <f t="shared" ref="O1032:O1043" si="128">22/E1032</f>
        <v>3.25925925925926</v>
      </c>
      <c r="P1032" s="2351"/>
      <c r="Q1032" s="2395">
        <f t="shared" si="126"/>
        <v>0</v>
      </c>
      <c r="R1032" s="2398"/>
      <c r="S1032" s="2399"/>
      <c r="X1032" s="1940"/>
      <c r="AC1032" s="1940"/>
    </row>
    <row r="1033" customFormat="1" ht="16" hidden="1" customHeight="1" spans="1:29">
      <c r="A1033" s="839"/>
      <c r="B1033" s="2306"/>
      <c r="C1033" s="2397"/>
      <c r="D1033" s="2360"/>
      <c r="E1033" s="2353">
        <v>6.7</v>
      </c>
      <c r="F1033" s="2329" t="s">
        <v>3284</v>
      </c>
      <c r="G1033" s="2353"/>
      <c r="H1033" s="2384"/>
      <c r="I1033" s="2329"/>
      <c r="J1033" s="2329" t="s">
        <v>1428</v>
      </c>
      <c r="K1033" s="2342" t="s">
        <v>712</v>
      </c>
      <c r="L1033" s="2343" t="s">
        <v>1428</v>
      </c>
      <c r="M1033" s="2346">
        <f>57.6/E1033/1.13</f>
        <v>7.60797781006472</v>
      </c>
      <c r="N1033" s="2368">
        <v>16.1</v>
      </c>
      <c r="O1033" s="2351">
        <v>0.3</v>
      </c>
      <c r="P1033" s="2351"/>
      <c r="Q1033" s="2395">
        <f t="shared" si="126"/>
        <v>0</v>
      </c>
      <c r="R1033" s="2406" t="s">
        <v>1270</v>
      </c>
      <c r="S1033" s="2399"/>
      <c r="X1033" s="1940"/>
      <c r="AC1033" s="1940"/>
    </row>
    <row r="1034" customFormat="1" ht="16" hidden="1" customHeight="1" spans="1:29">
      <c r="A1034" s="839"/>
      <c r="B1034" s="2306"/>
      <c r="C1034" s="2397"/>
      <c r="D1034" s="2360">
        <v>46275</v>
      </c>
      <c r="E1034" s="2353">
        <v>6.72</v>
      </c>
      <c r="F1034" s="2329" t="s">
        <v>3285</v>
      </c>
      <c r="G1034" s="2353"/>
      <c r="H1034" s="2384"/>
      <c r="I1034" s="2329"/>
      <c r="J1034" s="2329" t="s">
        <v>1428</v>
      </c>
      <c r="K1034" s="2342" t="s">
        <v>712</v>
      </c>
      <c r="L1034" s="2343" t="s">
        <v>1428</v>
      </c>
      <c r="M1034" s="2346">
        <f>57.5/6.72/1.13</f>
        <v>7.57216603455542</v>
      </c>
      <c r="N1034" s="2368">
        <v>16.1</v>
      </c>
      <c r="O1034" s="2351">
        <f t="shared" si="128"/>
        <v>3.27380952380952</v>
      </c>
      <c r="P1034" s="2351"/>
      <c r="Q1034" s="2395">
        <f t="shared" si="126"/>
        <v>0</v>
      </c>
      <c r="R1034" s="2398"/>
      <c r="S1034" s="2399"/>
      <c r="X1034" s="1940"/>
      <c r="AC1034" s="1940"/>
    </row>
    <row r="1035" customFormat="1" ht="16" hidden="1" customHeight="1" spans="1:29">
      <c r="A1035" s="839"/>
      <c r="B1035" s="2306"/>
      <c r="C1035" s="2397"/>
      <c r="D1035" s="2360"/>
      <c r="E1035" s="2353">
        <v>6.75</v>
      </c>
      <c r="F1035" s="2329" t="s">
        <v>3286</v>
      </c>
      <c r="G1035" s="2353"/>
      <c r="H1035" s="2384"/>
      <c r="I1035" s="2329"/>
      <c r="J1035" s="2329" t="s">
        <v>1428</v>
      </c>
      <c r="K1035" s="2342" t="s">
        <v>712</v>
      </c>
      <c r="L1035" s="2343" t="s">
        <v>1428</v>
      </c>
      <c r="M1035" s="2346">
        <f t="shared" si="127"/>
        <v>6.72959685349066</v>
      </c>
      <c r="N1035" s="2368">
        <v>18.03</v>
      </c>
      <c r="O1035" s="2351">
        <f t="shared" si="128"/>
        <v>3.25925925925926</v>
      </c>
      <c r="P1035" s="2351"/>
      <c r="Q1035" s="2395">
        <f t="shared" si="126"/>
        <v>0</v>
      </c>
      <c r="R1035" s="2398"/>
      <c r="S1035" s="2399"/>
      <c r="X1035" s="1940"/>
      <c r="AC1035" s="1940"/>
    </row>
    <row r="1036" customFormat="1" ht="16" hidden="1" customHeight="1" spans="1:29">
      <c r="A1036" s="839"/>
      <c r="B1036" s="2306"/>
      <c r="C1036" s="2397"/>
      <c r="D1036" s="2360">
        <v>46274</v>
      </c>
      <c r="E1036" s="2353">
        <v>6.72</v>
      </c>
      <c r="F1036" s="2329" t="s">
        <v>3287</v>
      </c>
      <c r="G1036" s="2353"/>
      <c r="H1036" s="2384"/>
      <c r="I1036" s="2329"/>
      <c r="J1036" s="2329" t="s">
        <v>1428</v>
      </c>
      <c r="K1036" s="2342" t="s">
        <v>712</v>
      </c>
      <c r="L1036" s="2343" t="s">
        <v>1428</v>
      </c>
      <c r="M1036" s="2346">
        <f>62.52/E1036/1.13</f>
        <v>8.23324905183312</v>
      </c>
      <c r="N1036" s="2368">
        <v>16</v>
      </c>
      <c r="O1036" s="2351">
        <f t="shared" si="128"/>
        <v>3.27380952380952</v>
      </c>
      <c r="P1036" s="2351"/>
      <c r="Q1036" s="2395">
        <f t="shared" si="126"/>
        <v>0</v>
      </c>
      <c r="R1036" s="2398"/>
      <c r="S1036" s="2399"/>
      <c r="X1036" s="1940"/>
      <c r="AC1036" s="1940"/>
    </row>
    <row r="1037" customFormat="1" ht="16" hidden="1" customHeight="1" spans="1:29">
      <c r="A1037" s="839"/>
      <c r="B1037" s="2306"/>
      <c r="C1037" s="2397"/>
      <c r="D1037" s="2360"/>
      <c r="E1037" s="2353">
        <v>6.73</v>
      </c>
      <c r="F1037" s="2329" t="s">
        <v>3288</v>
      </c>
      <c r="G1037" s="2353"/>
      <c r="H1037" s="2384"/>
      <c r="I1037" s="2329"/>
      <c r="J1037" s="2329" t="s">
        <v>1428</v>
      </c>
      <c r="K1037" s="2342" t="s">
        <v>712</v>
      </c>
      <c r="L1037" s="2343" t="s">
        <v>1428</v>
      </c>
      <c r="M1037" s="2346">
        <f t="shared" si="127"/>
        <v>6.74959565543268</v>
      </c>
      <c r="N1037" s="2368">
        <v>15.5</v>
      </c>
      <c r="O1037" s="2351">
        <f t="shared" si="128"/>
        <v>3.26894502228826</v>
      </c>
      <c r="P1037" s="2351"/>
      <c r="Q1037" s="2395">
        <f t="shared" si="126"/>
        <v>0</v>
      </c>
      <c r="R1037" s="2398"/>
      <c r="S1037" s="2399"/>
      <c r="X1037" s="1940"/>
      <c r="AC1037" s="1940"/>
    </row>
    <row r="1038" s="1936" customFormat="1" ht="16" hidden="1" customHeight="1" spans="1:29">
      <c r="A1038" s="839"/>
      <c r="B1038" s="2407"/>
      <c r="C1038" s="2397"/>
      <c r="D1038" s="2360"/>
      <c r="E1038" s="2353">
        <v>6.75</v>
      </c>
      <c r="F1038" s="2400" t="s">
        <v>3289</v>
      </c>
      <c r="G1038" s="2394"/>
      <c r="H1038" s="2357"/>
      <c r="I1038" s="2329"/>
      <c r="J1038" s="2400" t="s">
        <v>1428</v>
      </c>
      <c r="K1038" s="2408" t="s">
        <v>712</v>
      </c>
      <c r="L1038" s="2409" t="s">
        <v>1428</v>
      </c>
      <c r="M1038" s="2410">
        <f t="shared" ref="M1038:M1042" si="129">51.33/E1038/1.13*1.1</f>
        <v>7.40255653883973</v>
      </c>
      <c r="N1038" s="2410">
        <v>15.5</v>
      </c>
      <c r="O1038" s="2395">
        <f t="shared" si="128"/>
        <v>3.25925925925926</v>
      </c>
      <c r="P1038" s="2395"/>
      <c r="Q1038" s="2395">
        <f t="shared" si="126"/>
        <v>0</v>
      </c>
      <c r="R1038" s="2411"/>
      <c r="S1038" s="2412"/>
      <c r="X1038" s="2320"/>
      <c r="AC1038" s="2320"/>
    </row>
    <row r="1039" s="1936" customFormat="1" ht="16" hidden="1" customHeight="1" spans="1:29">
      <c r="A1039" s="839"/>
      <c r="B1039" s="2407"/>
      <c r="C1039" s="2397"/>
      <c r="D1039" s="2360"/>
      <c r="E1039" s="2353">
        <v>6.75</v>
      </c>
      <c r="F1039" s="2400" t="s">
        <v>3290</v>
      </c>
      <c r="G1039" s="2394"/>
      <c r="H1039" s="2357"/>
      <c r="I1039" s="2329"/>
      <c r="J1039" s="2400" t="s">
        <v>1428</v>
      </c>
      <c r="K1039" s="2408" t="s">
        <v>712</v>
      </c>
      <c r="L1039" s="2409" t="s">
        <v>1428</v>
      </c>
      <c r="M1039" s="2410">
        <f t="shared" si="129"/>
        <v>7.40255653883973</v>
      </c>
      <c r="N1039" s="2410">
        <v>15.5</v>
      </c>
      <c r="O1039" s="2395">
        <f t="shared" si="128"/>
        <v>3.25925925925926</v>
      </c>
      <c r="P1039" s="2395"/>
      <c r="Q1039" s="2395">
        <f t="shared" si="126"/>
        <v>0</v>
      </c>
      <c r="R1039" s="2411"/>
      <c r="S1039" s="2412"/>
      <c r="X1039" s="2320"/>
      <c r="AC1039" s="2320"/>
    </row>
    <row r="1040" s="1936" customFormat="1" ht="16" hidden="1" customHeight="1" spans="1:29">
      <c r="A1040" s="839"/>
      <c r="B1040" s="2407"/>
      <c r="C1040" s="2397"/>
      <c r="D1040" s="2360"/>
      <c r="E1040" s="2353">
        <v>6.75</v>
      </c>
      <c r="F1040" s="2400" t="s">
        <v>3291</v>
      </c>
      <c r="G1040" s="2394"/>
      <c r="H1040" s="2357"/>
      <c r="I1040" s="2329"/>
      <c r="J1040" s="2400" t="s">
        <v>1428</v>
      </c>
      <c r="K1040" s="2408" t="s">
        <v>712</v>
      </c>
      <c r="L1040" s="2409" t="s">
        <v>1428</v>
      </c>
      <c r="M1040" s="2410">
        <f t="shared" si="129"/>
        <v>7.40255653883973</v>
      </c>
      <c r="N1040" s="2410">
        <v>15.5</v>
      </c>
      <c r="O1040" s="2395">
        <f t="shared" si="128"/>
        <v>3.25925925925926</v>
      </c>
      <c r="P1040" s="2395"/>
      <c r="Q1040" s="2395">
        <f t="shared" si="126"/>
        <v>0</v>
      </c>
      <c r="R1040" s="2411"/>
      <c r="S1040" s="2412"/>
      <c r="X1040" s="2320"/>
      <c r="AC1040" s="2320"/>
    </row>
    <row r="1041" s="1936" customFormat="1" ht="16" hidden="1" customHeight="1" spans="1:1024 1025:16383">
      <c r="A1041" s="839">
        <v>1</v>
      </c>
      <c r="B1041" s="2407"/>
      <c r="C1041" s="2397"/>
      <c r="D1041" s="2360">
        <v>46203</v>
      </c>
      <c r="E1041" s="2353">
        <v>6.75</v>
      </c>
      <c r="F1041" s="2400" t="s">
        <v>3292</v>
      </c>
      <c r="G1041" s="2394"/>
      <c r="H1041" s="2357"/>
      <c r="I1041" s="2329"/>
      <c r="J1041" s="2400" t="s">
        <v>1428</v>
      </c>
      <c r="K1041" s="2408" t="s">
        <v>712</v>
      </c>
      <c r="L1041" s="2409" t="s">
        <v>1428</v>
      </c>
      <c r="M1041" s="2410">
        <f t="shared" si="129"/>
        <v>7.40255653883973</v>
      </c>
      <c r="N1041" s="2410">
        <v>16.4</v>
      </c>
      <c r="O1041" s="2395">
        <f t="shared" si="128"/>
        <v>3.25925925925926</v>
      </c>
      <c r="P1041" s="2395"/>
      <c r="Q1041" s="2395">
        <f t="shared" si="126"/>
        <v>0</v>
      </c>
      <c r="R1041" s="2411"/>
      <c r="S1041" s="2412" t="s">
        <v>3293</v>
      </c>
      <c r="X1041" s="2320"/>
      <c r="AC1041" s="2320"/>
    </row>
    <row r="1042" s="839" customFormat="1" ht="16" hidden="1" customHeight="1" spans="1:1024 1025:16383">
      <c r="A1042" s="839">
        <v>1</v>
      </c>
      <c r="B1042" s="2306"/>
      <c r="C1042" s="2413"/>
      <c r="D1042" s="2362">
        <v>46199</v>
      </c>
      <c r="E1042" s="2349">
        <v>6.7739</v>
      </c>
      <c r="F1042" s="2349" t="s">
        <v>3294</v>
      </c>
      <c r="G1042" s="2349"/>
      <c r="H1042" s="2349"/>
      <c r="I1042" s="2336"/>
      <c r="J1042" s="2336" t="s">
        <v>1428</v>
      </c>
      <c r="K1042" s="2387" t="s">
        <v>712</v>
      </c>
      <c r="L1042" s="2363" t="s">
        <v>1428</v>
      </c>
      <c r="M1042" s="2346">
        <f t="shared" si="129"/>
        <v>7.37643848258288</v>
      </c>
      <c r="N1042" s="2346">
        <f>16.7*1.05</f>
        <v>17.535</v>
      </c>
      <c r="O1042" s="2375">
        <f t="shared" si="128"/>
        <v>3.24775978387635</v>
      </c>
      <c r="P1042" s="2375"/>
      <c r="Q1042" s="2395">
        <f t="shared" si="126"/>
        <v>0</v>
      </c>
      <c r="R1042" s="187"/>
      <c r="S1042" s="840" t="s">
        <v>3295</v>
      </c>
      <c r="X1042" s="1940"/>
      <c r="AC1042" s="1940"/>
    </row>
    <row r="1043" ht="16" hidden="1" customHeight="1" spans="1:1024 1025:16383">
      <c r="A1043" s="839">
        <v>1</v>
      </c>
      <c r="B1043" s="2306"/>
      <c r="C1043" s="2404"/>
      <c r="D1043" s="2362">
        <v>46199</v>
      </c>
      <c r="E1043" s="2349">
        <v>6.7739</v>
      </c>
      <c r="F1043" s="2349" t="s">
        <v>3296</v>
      </c>
      <c r="G1043" s="2349"/>
      <c r="H1043" s="2349"/>
      <c r="I1043" s="2336"/>
      <c r="J1043" s="2336" t="s">
        <v>1428</v>
      </c>
      <c r="K1043" s="2387" t="s">
        <v>712</v>
      </c>
      <c r="L1043" s="2363" t="s">
        <v>1428</v>
      </c>
      <c r="M1043" s="2346">
        <f>50/E1043/1.13</f>
        <v>6.53209932396691</v>
      </c>
      <c r="N1043" s="2346">
        <f>16.2*1.05</f>
        <v>17.01</v>
      </c>
      <c r="O1043" s="2375">
        <f t="shared" si="128"/>
        <v>3.24775978387635</v>
      </c>
      <c r="P1043" s="2375"/>
      <c r="Q1043" s="2395">
        <f t="shared" si="126"/>
        <v>0</v>
      </c>
      <c r="S1043" s="2197" t="s">
        <v>3295</v>
      </c>
    </row>
    <row r="1044" ht="16" hidden="1" customHeight="1" spans="1:1024 1025:16383">
      <c r="A1044" s="839">
        <v>1</v>
      </c>
      <c r="B1044" s="2414" t="s">
        <v>1750</v>
      </c>
      <c r="C1044" s="2414" t="s">
        <v>1751</v>
      </c>
      <c r="D1044" s="2360">
        <v>46059</v>
      </c>
      <c r="E1044" s="2354">
        <v>6.8</v>
      </c>
      <c r="F1044" s="2415" t="s">
        <v>1752</v>
      </c>
      <c r="G1044" s="2355" t="s">
        <v>1565</v>
      </c>
      <c r="H1044" s="2357" t="s">
        <v>1753</v>
      </c>
      <c r="I1044" s="2354" t="s">
        <v>1594</v>
      </c>
      <c r="J1044" s="2384" t="s">
        <v>1754</v>
      </c>
      <c r="K1044" s="2354" t="s">
        <v>712</v>
      </c>
      <c r="L1044" s="2368">
        <v>7.5</v>
      </c>
      <c r="M1044" s="2368">
        <f>35.34/E1044/1.13</f>
        <v>4.59916710046851</v>
      </c>
      <c r="N1044" s="2351">
        <v>25.93</v>
      </c>
      <c r="O1044" s="2416">
        <v>4.17968778832821</v>
      </c>
      <c r="P1044" s="2416"/>
      <c r="Q1044" s="2351">
        <f t="shared" ref="Q1044:Q1046" si="130">SUM(K1044:O1044)</f>
        <v>42.2088548887967</v>
      </c>
      <c r="R1044" s="2298" t="s">
        <v>1755</v>
      </c>
      <c r="T1044" s="1988" t="s">
        <v>1756</v>
      </c>
    </row>
    <row r="1045" ht="16" hidden="1" customHeight="1" spans="1:1024 1025:16383">
      <c r="A1045" s="839">
        <v>1</v>
      </c>
      <c r="B1045" s="2414" t="s">
        <v>1750</v>
      </c>
      <c r="C1045" s="2414" t="s">
        <v>1751</v>
      </c>
      <c r="D1045" s="2360">
        <v>46059</v>
      </c>
      <c r="E1045" s="2354">
        <v>6.8</v>
      </c>
      <c r="F1045" s="2415" t="s">
        <v>1757</v>
      </c>
      <c r="G1045" s="2355" t="s">
        <v>1571</v>
      </c>
      <c r="H1045" s="2357" t="s">
        <v>1753</v>
      </c>
      <c r="I1045" s="2354" t="s">
        <v>1594</v>
      </c>
      <c r="J1045" s="2384" t="s">
        <v>1754</v>
      </c>
      <c r="K1045" s="2354" t="s">
        <v>712</v>
      </c>
      <c r="L1045" s="2368">
        <v>7.5</v>
      </c>
      <c r="M1045" s="2368">
        <f>35.34/E1045/1.13</f>
        <v>4.59916710046851</v>
      </c>
      <c r="N1045" s="2351">
        <v>32.24</v>
      </c>
      <c r="O1045" s="2416">
        <v>4.17968778832821</v>
      </c>
      <c r="P1045" s="2416"/>
      <c r="Q1045" s="2351">
        <f t="shared" si="130"/>
        <v>48.5188548887967</v>
      </c>
      <c r="R1045" s="2298" t="s">
        <v>1748</v>
      </c>
      <c r="T1045" s="1988" t="s">
        <v>1758</v>
      </c>
    </row>
    <row r="1046" ht="16" hidden="1" customHeight="1" spans="1:1024 1025:16383">
      <c r="A1046" s="839">
        <v>1</v>
      </c>
      <c r="B1046" s="2417" t="s">
        <v>1750</v>
      </c>
      <c r="C1046" s="2417" t="s">
        <v>1751</v>
      </c>
      <c r="D1046" s="2362">
        <v>46202</v>
      </c>
      <c r="E1046" s="2349">
        <v>6.8</v>
      </c>
      <c r="F1046" s="2349" t="s">
        <v>3297</v>
      </c>
      <c r="G1046" s="2349"/>
      <c r="H1046" s="2349"/>
      <c r="I1046" s="2336"/>
      <c r="J1046" s="2336"/>
      <c r="K1046" s="2363"/>
      <c r="L1046" s="2363"/>
      <c r="M1046" s="2368">
        <f>35.34/E1046/1.13*1.2</f>
        <v>5.51900052056221</v>
      </c>
      <c r="N1046" s="2346">
        <v>24.1</v>
      </c>
      <c r="O1046" s="2375">
        <v>4.18</v>
      </c>
      <c r="P1046" s="2375"/>
      <c r="Q1046" s="2351">
        <f t="shared" si="130"/>
        <v>33.7990005205622</v>
      </c>
      <c r="R1046" s="2418" t="s">
        <v>1748</v>
      </c>
    </row>
    <row r="1047" ht="16" hidden="1" customHeight="1" spans="1:1024 1025:16383">
      <c r="B1047" s="2419" t="s">
        <v>1896</v>
      </c>
      <c r="C1047" s="2420" t="s">
        <v>1832</v>
      </c>
      <c r="D1047" s="2360">
        <v>46167</v>
      </c>
      <c r="E1047" s="2353">
        <v>6.75</v>
      </c>
      <c r="F1047" s="2329" t="s">
        <v>3298</v>
      </c>
      <c r="G1047" s="2394"/>
      <c r="H1047" s="2357" t="s">
        <v>1897</v>
      </c>
      <c r="I1047" s="2354" t="s">
        <v>1506</v>
      </c>
      <c r="J1047" s="2329" t="s">
        <v>1428</v>
      </c>
      <c r="K1047" s="2342" t="s">
        <v>712</v>
      </c>
      <c r="L1047" s="2343" t="s">
        <v>1428</v>
      </c>
      <c r="M1047" s="2351">
        <f>89.52/6.75/1.13</f>
        <v>11.7364798426745</v>
      </c>
      <c r="N1047" s="2351">
        <v>15.88</v>
      </c>
      <c r="O1047" s="2351">
        <f>23.5/E1047</f>
        <v>3.48148148148148</v>
      </c>
      <c r="P1047" s="2351"/>
      <c r="Q1047" s="2395">
        <f>SUBTOTAL(109,L1047:O1047)</f>
        <v>0</v>
      </c>
      <c r="R1047" s="2406" t="s">
        <v>1898</v>
      </c>
      <c r="S1047" s="993" t="s">
        <v>3299</v>
      </c>
      <c r="T1047" s="1989" t="s">
        <v>1899</v>
      </c>
    </row>
    <row r="1048" ht="16" hidden="1" customHeight="1" spans="1:1024 1025:16383">
      <c r="B1048" s="2419" t="s">
        <v>1896</v>
      </c>
      <c r="C1048" s="2420" t="s">
        <v>1832</v>
      </c>
      <c r="D1048" s="2360">
        <v>46245</v>
      </c>
      <c r="E1048" s="2354">
        <v>6.75</v>
      </c>
      <c r="F1048" s="2421" t="s">
        <v>3300</v>
      </c>
      <c r="G1048" s="2355"/>
      <c r="H1048" s="2357"/>
      <c r="I1048" s="2329"/>
      <c r="J1048" s="2329" t="s">
        <v>1428</v>
      </c>
      <c r="K1048" s="2342" t="s">
        <v>712</v>
      </c>
      <c r="L1048" s="2343" t="s">
        <v>1428</v>
      </c>
      <c r="M1048" s="2368">
        <f>67.45/E1048/1.13*1.05</f>
        <v>9.28515240904622</v>
      </c>
      <c r="N1048" s="2351">
        <v>17.84</v>
      </c>
      <c r="O1048" s="2351">
        <f>23.5/E1048</f>
        <v>3.48148148148148</v>
      </c>
      <c r="P1048" s="2351"/>
      <c r="Q1048" s="2395">
        <f>SUBTOTAL(109,L1048:O1048)</f>
        <v>0</v>
      </c>
      <c r="R1048" s="2297"/>
      <c r="S1048" s="1988"/>
      <c r="T1048" s="1988"/>
    </row>
    <row r="1049" ht="16" hidden="1" customHeight="1" spans="1:1024 1025:16383">
      <c r="B1049" s="2414" t="s">
        <v>1726</v>
      </c>
      <c r="C1049" s="2422" t="s">
        <v>1727</v>
      </c>
      <c r="D1049" s="2353">
        <v>20250929</v>
      </c>
      <c r="E1049" s="2354">
        <v>6.8</v>
      </c>
      <c r="F1049" s="2415" t="s">
        <v>1728</v>
      </c>
      <c r="G1049" s="2355" t="s">
        <v>1685</v>
      </c>
      <c r="H1049" s="2357" t="s">
        <v>1729</v>
      </c>
      <c r="I1049" s="2329" t="s">
        <v>1730</v>
      </c>
      <c r="J1049" s="2384" t="s">
        <v>1731</v>
      </c>
      <c r="K1049" s="2354" t="s">
        <v>712</v>
      </c>
      <c r="L1049" s="2423">
        <v>13</v>
      </c>
      <c r="M1049" s="2368">
        <f>49.26/E1049/1.13</f>
        <v>6.41072358146799</v>
      </c>
      <c r="N1049" s="2351">
        <v>42.58</v>
      </c>
      <c r="O1049" s="2416">
        <f>24.05/E1049</f>
        <v>3.53676470588235</v>
      </c>
      <c r="P1049" s="2416"/>
      <c r="Q1049" s="2351">
        <f>SUM(K1049:O1049)</f>
        <v>65.5274882873503</v>
      </c>
      <c r="R1049" s="2297">
        <v>40.58</v>
      </c>
      <c r="S1049" s="1988" t="s">
        <v>1526</v>
      </c>
      <c r="T1049" s="1988" t="s">
        <v>1732</v>
      </c>
    </row>
    <row r="1050" ht="16" hidden="1" customHeight="1" spans="1:1024 1025:16383">
      <c r="B1050" s="2424" t="s">
        <v>1726</v>
      </c>
      <c r="C1050" s="2425" t="s">
        <v>1727</v>
      </c>
      <c r="D1050" s="2362">
        <v>46205</v>
      </c>
      <c r="E1050" s="2349">
        <v>6.8</v>
      </c>
      <c r="F1050" s="2349" t="s">
        <v>3301</v>
      </c>
      <c r="G1050" s="2349"/>
      <c r="H1050" s="2349"/>
      <c r="I1050" s="2336"/>
      <c r="J1050" s="2329" t="s">
        <v>1428</v>
      </c>
      <c r="K1050" s="2342" t="s">
        <v>712</v>
      </c>
      <c r="L1050" s="2343" t="s">
        <v>1428</v>
      </c>
      <c r="M1050" s="2346">
        <f>57.6/E1050/1.13</f>
        <v>7.49609578344612</v>
      </c>
      <c r="N1050" s="2346">
        <v>38</v>
      </c>
      <c r="O1050" s="2416">
        <f>24.05/E1050</f>
        <v>3.53676470588235</v>
      </c>
      <c r="P1050" s="2416"/>
      <c r="Q1050" s="2351">
        <f>SUM(K1050:O1050)</f>
        <v>49.0328604893285</v>
      </c>
    </row>
    <row r="1051" hidden="1" spans="1:1024 1025:16383">
      <c r="B1051" s="2348"/>
      <c r="C1051" s="2348"/>
      <c r="D1051" s="2349"/>
      <c r="E1051" s="2349"/>
      <c r="F1051" s="2349"/>
      <c r="G1051" s="2349"/>
      <c r="H1051" s="2349"/>
      <c r="I1051" s="2336"/>
      <c r="J1051" s="2336"/>
      <c r="K1051" s="2363"/>
      <c r="L1051" s="2363"/>
      <c r="M1051" s="2346"/>
      <c r="N1051" s="2346"/>
      <c r="O1051" s="2375"/>
      <c r="P1051" s="2375"/>
      <c r="Q1051" s="2364"/>
    </row>
    <row r="1052" hidden="1" spans="1:1024 1025:16383">
      <c r="B1052" s="2348"/>
      <c r="C1052" s="2348"/>
      <c r="D1052" s="2349"/>
      <c r="E1052" s="2349"/>
      <c r="F1052" s="2349"/>
      <c r="G1052" s="2349"/>
      <c r="H1052" s="2349"/>
      <c r="I1052" s="2336"/>
      <c r="J1052" s="2336"/>
      <c r="K1052" s="2363"/>
      <c r="L1052" s="2363"/>
      <c r="M1052" s="2346"/>
      <c r="N1052" s="2346"/>
      <c r="O1052" s="2375"/>
      <c r="P1052" s="2375"/>
      <c r="Q1052" s="2364"/>
    </row>
    <row r="1053" ht="20" customHeight="1" spans="1:1024 1025:16383">
      <c r="A1053" s="989"/>
      <c r="B1053" s="2426"/>
      <c r="C1053" s="2348"/>
      <c r="D1053" s="2427" t="s">
        <v>3307</v>
      </c>
      <c r="E1053" s="2428"/>
      <c r="F1053" s="2349"/>
      <c r="G1053" s="2349"/>
      <c r="H1053" s="2349"/>
      <c r="I1053" s="2336"/>
      <c r="J1053" s="2429"/>
      <c r="K1053" s="2430"/>
      <c r="L1053" s="2430">
        <f>L996-L993</f>
        <v>0.406424123238283</v>
      </c>
      <c r="M1053" s="2430">
        <f>M996-M993</f>
        <v>2.1085414618158</v>
      </c>
      <c r="N1053" s="2430">
        <f>N996-N993</f>
        <v>1.4</v>
      </c>
      <c r="O1053" s="2430">
        <f>O996-O993</f>
        <v>0</v>
      </c>
      <c r="P1053" s="2430">
        <f>P996-P993</f>
        <v>0.25</v>
      </c>
      <c r="Q1053" s="2430">
        <f>P1053+N1053+M1053+L1053</f>
        <v>4.16496558505408</v>
      </c>
      <c r="R1053" s="2365"/>
      <c r="S1053" s="989"/>
      <c r="T1053" s="989"/>
      <c r="U1053" s="42"/>
      <c r="V1053" s="42"/>
      <c r="W1053" s="42"/>
      <c r="X1053" s="2163"/>
      <c r="Y1053" s="42"/>
      <c r="Z1053" s="989"/>
      <c r="AA1053" s="42"/>
      <c r="AB1053" s="42"/>
      <c r="AC1053" s="2163"/>
      <c r="AD1053" s="989"/>
      <c r="AE1053" s="989"/>
      <c r="AF1053" s="989"/>
      <c r="AG1053" s="989"/>
      <c r="AH1053" s="989"/>
      <c r="AI1053" s="989"/>
      <c r="AJ1053" s="989"/>
      <c r="AK1053" s="989"/>
      <c r="AL1053" s="989"/>
      <c r="AM1053" s="989"/>
      <c r="AN1053" s="989"/>
      <c r="AO1053" s="989"/>
      <c r="AP1053" s="989"/>
      <c r="AQ1053" s="989"/>
      <c r="AR1053" s="989"/>
      <c r="AS1053" s="989"/>
      <c r="AT1053" s="989"/>
      <c r="AU1053" s="989"/>
      <c r="AV1053" s="989"/>
      <c r="AW1053" s="989"/>
      <c r="AX1053" s="989"/>
      <c r="AY1053" s="989"/>
      <c r="AZ1053" s="989"/>
      <c r="BA1053" s="989"/>
      <c r="BB1053" s="989"/>
      <c r="BC1053" s="989"/>
      <c r="BD1053" s="989"/>
      <c r="BE1053" s="989"/>
      <c r="BF1053" s="989"/>
      <c r="BG1053" s="989"/>
      <c r="BH1053" s="989"/>
      <c r="BI1053" s="989"/>
      <c r="BJ1053" s="989"/>
      <c r="BK1053" s="989"/>
      <c r="BL1053" s="989"/>
      <c r="BM1053" s="989"/>
      <c r="BN1053" s="989"/>
      <c r="BO1053" s="989"/>
      <c r="BP1053" s="989"/>
      <c r="BQ1053" s="989"/>
      <c r="BR1053" s="989"/>
      <c r="BS1053" s="989"/>
      <c r="BT1053" s="989"/>
      <c r="BU1053" s="989"/>
      <c r="BV1053" s="989"/>
      <c r="BW1053" s="989"/>
      <c r="BX1053" s="989"/>
      <c r="BY1053" s="989"/>
      <c r="BZ1053" s="989"/>
      <c r="CA1053" s="989"/>
      <c r="CB1053" s="989"/>
      <c r="CC1053" s="989"/>
      <c r="CD1053" s="989"/>
      <c r="CE1053" s="989"/>
      <c r="CF1053" s="989"/>
      <c r="CG1053" s="989"/>
      <c r="CH1053" s="989"/>
      <c r="CI1053" s="989"/>
      <c r="CJ1053" s="989"/>
      <c r="CK1053" s="989"/>
      <c r="CL1053" s="989"/>
      <c r="CM1053" s="989"/>
      <c r="CN1053" s="989"/>
      <c r="CO1053" s="989"/>
      <c r="CP1053" s="989"/>
      <c r="CQ1053" s="989"/>
      <c r="CR1053" s="989"/>
      <c r="CS1053" s="989"/>
      <c r="CT1053" s="989"/>
      <c r="CU1053" s="989"/>
      <c r="CV1053" s="989"/>
      <c r="CW1053" s="989"/>
      <c r="CX1053" s="989"/>
      <c r="CY1053" s="989"/>
      <c r="CZ1053" s="989"/>
      <c r="DA1053" s="989"/>
      <c r="DB1053" s="989"/>
      <c r="DC1053" s="989"/>
      <c r="DD1053" s="989"/>
      <c r="DE1053" s="989"/>
      <c r="DF1053" s="989"/>
      <c r="DG1053" s="989"/>
      <c r="DH1053" s="989"/>
      <c r="DI1053" s="989"/>
      <c r="DJ1053" s="989"/>
      <c r="DK1053" s="989"/>
      <c r="DL1053" s="989"/>
      <c r="DM1053" s="989"/>
      <c r="DN1053" s="989"/>
      <c r="DO1053" s="989"/>
      <c r="DP1053" s="989"/>
      <c r="DQ1053" s="989"/>
      <c r="DR1053" s="989"/>
      <c r="DS1053" s="989"/>
      <c r="DT1053" s="989"/>
      <c r="DU1053" s="989"/>
      <c r="DV1053" s="989"/>
      <c r="DW1053" s="989"/>
      <c r="DX1053" s="989"/>
      <c r="DY1053" s="989"/>
      <c r="DZ1053" s="989"/>
      <c r="EA1053" s="989"/>
      <c r="EB1053" s="989"/>
      <c r="EC1053" s="989"/>
      <c r="ED1053" s="989"/>
      <c r="EE1053" s="989"/>
      <c r="EF1053" s="989"/>
      <c r="EG1053" s="989"/>
      <c r="EH1053" s="989"/>
      <c r="EI1053" s="989"/>
      <c r="EJ1053" s="989"/>
      <c r="EK1053" s="989"/>
      <c r="EL1053" s="989"/>
      <c r="EM1053" s="989"/>
      <c r="EN1053" s="989"/>
      <c r="EO1053" s="989"/>
      <c r="EP1053" s="989"/>
      <c r="EQ1053" s="989"/>
      <c r="ER1053" s="989"/>
      <c r="ES1053" s="989"/>
      <c r="ET1053" s="989"/>
      <c r="EU1053" s="989"/>
      <c r="EV1053" s="989"/>
      <c r="EW1053" s="989"/>
      <c r="EX1053" s="989"/>
      <c r="EY1053" s="989"/>
      <c r="EZ1053" s="989"/>
      <c r="FA1053" s="989"/>
      <c r="FB1053" s="989"/>
      <c r="FC1053" s="989"/>
      <c r="FD1053" s="989"/>
      <c r="FE1053" s="989"/>
      <c r="FF1053" s="989"/>
      <c r="FG1053" s="989"/>
      <c r="FH1053" s="989"/>
      <c r="FI1053" s="989"/>
      <c r="FJ1053" s="989"/>
      <c r="FK1053" s="989"/>
      <c r="FL1053" s="989"/>
      <c r="FM1053" s="989"/>
      <c r="FN1053" s="989"/>
      <c r="FO1053" s="989"/>
      <c r="FP1053" s="989"/>
      <c r="FQ1053" s="989"/>
      <c r="FR1053" s="989"/>
      <c r="FS1053" s="989"/>
      <c r="FT1053" s="989"/>
      <c r="FU1053" s="989"/>
      <c r="FV1053" s="989"/>
      <c r="FW1053" s="989"/>
      <c r="FX1053" s="989"/>
      <c r="FY1053" s="989"/>
      <c r="FZ1053" s="989"/>
      <c r="GA1053" s="989"/>
      <c r="GB1053" s="989"/>
      <c r="GC1053" s="989"/>
      <c r="GD1053" s="989"/>
      <c r="GE1053" s="989"/>
      <c r="GF1053" s="989"/>
      <c r="GG1053" s="989"/>
      <c r="GH1053" s="989"/>
      <c r="GI1053" s="989"/>
      <c r="GJ1053" s="989"/>
      <c r="GK1053" s="989"/>
      <c r="GL1053" s="989"/>
      <c r="GM1053" s="989"/>
      <c r="GN1053" s="989"/>
      <c r="GO1053" s="989"/>
      <c r="GP1053" s="989"/>
      <c r="GQ1053" s="989"/>
      <c r="GR1053" s="989"/>
      <c r="GS1053" s="989"/>
      <c r="GT1053" s="989"/>
      <c r="GU1053" s="989"/>
      <c r="GV1053" s="989"/>
      <c r="GW1053" s="989"/>
      <c r="GX1053" s="989"/>
      <c r="GY1053" s="989"/>
      <c r="GZ1053" s="989"/>
      <c r="HA1053" s="989"/>
      <c r="HB1053" s="989"/>
      <c r="HC1053" s="989"/>
      <c r="HD1053" s="989"/>
      <c r="HE1053" s="989"/>
      <c r="HF1053" s="989"/>
      <c r="HG1053" s="989"/>
      <c r="HH1053" s="989"/>
      <c r="HI1053" s="989"/>
      <c r="HJ1053" s="989"/>
      <c r="HK1053" s="989"/>
      <c r="HL1053" s="989"/>
      <c r="HM1053" s="989"/>
      <c r="HN1053" s="989"/>
      <c r="HO1053" s="989"/>
      <c r="HP1053" s="989"/>
      <c r="HQ1053" s="989"/>
      <c r="HR1053" s="989"/>
      <c r="HS1053" s="989"/>
      <c r="HT1053" s="989"/>
      <c r="HU1053" s="989"/>
      <c r="HV1053" s="989"/>
      <c r="HW1053" s="989"/>
      <c r="HX1053" s="989"/>
      <c r="HY1053" s="989"/>
      <c r="HZ1053" s="989"/>
      <c r="IA1053" s="989"/>
      <c r="IB1053" s="989"/>
      <c r="IC1053" s="989"/>
      <c r="ID1053" s="989"/>
      <c r="IE1053" s="989"/>
      <c r="IF1053" s="989"/>
      <c r="IG1053" s="989"/>
      <c r="IH1053" s="989"/>
      <c r="II1053" s="989"/>
      <c r="IJ1053" s="989"/>
      <c r="IK1053" s="989"/>
      <c r="IL1053" s="989"/>
      <c r="IM1053" s="989"/>
      <c r="IN1053" s="989"/>
      <c r="IO1053" s="989"/>
      <c r="IP1053" s="989"/>
      <c r="IQ1053" s="989"/>
      <c r="IR1053" s="989"/>
      <c r="IS1053" s="989"/>
      <c r="IT1053" s="989"/>
      <c r="IU1053" s="989"/>
      <c r="IV1053" s="989"/>
      <c r="IW1053" s="989"/>
      <c r="IX1053" s="989"/>
      <c r="IY1053" s="989"/>
      <c r="IZ1053" s="989"/>
      <c r="JA1053" s="989"/>
      <c r="JB1053" s="989"/>
      <c r="JC1053" s="989"/>
      <c r="JD1053" s="989"/>
      <c r="JE1053" s="989"/>
      <c r="JF1053" s="989"/>
      <c r="JG1053" s="989"/>
      <c r="JH1053" s="989"/>
      <c r="JI1053" s="989"/>
      <c r="JJ1053" s="989"/>
      <c r="JK1053" s="989"/>
      <c r="JL1053" s="989"/>
      <c r="JM1053" s="989"/>
      <c r="JN1053" s="989"/>
      <c r="JO1053" s="989"/>
      <c r="JP1053" s="989"/>
      <c r="JQ1053" s="989"/>
      <c r="JR1053" s="989"/>
      <c r="JS1053" s="989"/>
      <c r="JT1053" s="989"/>
      <c r="JU1053" s="989"/>
      <c r="JV1053" s="989"/>
      <c r="JW1053" s="989"/>
      <c r="JX1053" s="989"/>
      <c r="JY1053" s="989"/>
      <c r="JZ1053" s="989"/>
      <c r="KA1053" s="989"/>
      <c r="KB1053" s="989"/>
      <c r="KC1053" s="989"/>
      <c r="KD1053" s="989"/>
      <c r="KE1053" s="989"/>
      <c r="KF1053" s="989"/>
      <c r="KG1053" s="989"/>
      <c r="KH1053" s="989"/>
      <c r="KI1053" s="989"/>
      <c r="KJ1053" s="989"/>
      <c r="KK1053" s="989"/>
      <c r="KL1053" s="989"/>
      <c r="KM1053" s="989"/>
      <c r="KN1053" s="989"/>
      <c r="KO1053" s="989"/>
      <c r="KP1053" s="989"/>
      <c r="KQ1053" s="989"/>
      <c r="KR1053" s="989"/>
      <c r="KS1053" s="989"/>
      <c r="KT1053" s="989"/>
      <c r="KU1053" s="989"/>
      <c r="KV1053" s="989"/>
      <c r="KW1053" s="989"/>
      <c r="KX1053" s="989"/>
      <c r="KY1053" s="989"/>
      <c r="KZ1053" s="989"/>
      <c r="LA1053" s="989"/>
      <c r="LB1053" s="989"/>
      <c r="LC1053" s="989"/>
      <c r="LD1053" s="989"/>
      <c r="LE1053" s="989"/>
      <c r="LF1053" s="989"/>
      <c r="LG1053" s="989"/>
      <c r="LH1053" s="989"/>
      <c r="LI1053" s="989"/>
      <c r="LJ1053" s="989"/>
      <c r="LK1053" s="989"/>
      <c r="LL1053" s="989"/>
      <c r="LM1053" s="989"/>
      <c r="LN1053" s="989"/>
      <c r="LO1053" s="989"/>
      <c r="LP1053" s="989"/>
      <c r="LQ1053" s="989"/>
      <c r="LR1053" s="989"/>
      <c r="LS1053" s="989"/>
      <c r="LT1053" s="989"/>
      <c r="LU1053" s="989"/>
      <c r="LV1053" s="989"/>
      <c r="LW1053" s="989"/>
      <c r="LX1053" s="989"/>
      <c r="LY1053" s="989"/>
      <c r="LZ1053" s="989"/>
      <c r="MA1053" s="989"/>
      <c r="MB1053" s="989"/>
      <c r="MC1053" s="989"/>
      <c r="MD1053" s="989"/>
      <c r="ME1053" s="989"/>
      <c r="MF1053" s="989"/>
      <c r="MG1053" s="989"/>
      <c r="MH1053" s="989"/>
      <c r="MI1053" s="989"/>
      <c r="MJ1053" s="989"/>
      <c r="MK1053" s="989"/>
      <c r="ML1053" s="989"/>
      <c r="MM1053" s="989"/>
      <c r="MN1053" s="989"/>
      <c r="MO1053" s="989"/>
      <c r="MP1053" s="989"/>
      <c r="MQ1053" s="989"/>
      <c r="MR1053" s="989"/>
      <c r="MS1053" s="989"/>
      <c r="MT1053" s="989"/>
      <c r="MU1053" s="989"/>
      <c r="MV1053" s="989"/>
      <c r="MW1053" s="989"/>
      <c r="MX1053" s="989"/>
      <c r="MY1053" s="989"/>
      <c r="MZ1053" s="989"/>
      <c r="NA1053" s="989"/>
      <c r="NB1053" s="989"/>
      <c r="NC1053" s="989"/>
      <c r="ND1053" s="989"/>
      <c r="NE1053" s="989"/>
      <c r="NF1053" s="989"/>
      <c r="NG1053" s="989"/>
      <c r="NH1053" s="989"/>
      <c r="NI1053" s="989"/>
      <c r="NJ1053" s="989"/>
      <c r="NK1053" s="989"/>
      <c r="NL1053" s="989"/>
      <c r="NM1053" s="989"/>
      <c r="NN1053" s="989"/>
      <c r="NO1053" s="989"/>
      <c r="NP1053" s="989"/>
      <c r="NQ1053" s="989"/>
      <c r="NR1053" s="989"/>
      <c r="NS1053" s="989"/>
      <c r="NT1053" s="989"/>
      <c r="NU1053" s="989"/>
      <c r="NV1053" s="989"/>
      <c r="NW1053" s="989"/>
      <c r="NX1053" s="989"/>
      <c r="NY1053" s="989"/>
      <c r="NZ1053" s="989"/>
      <c r="OA1053" s="989"/>
      <c r="OB1053" s="989"/>
      <c r="OC1053" s="989"/>
      <c r="OD1053" s="989"/>
      <c r="OE1053" s="989"/>
      <c r="OF1053" s="989"/>
      <c r="OG1053" s="989"/>
      <c r="OH1053" s="989"/>
      <c r="OI1053" s="989"/>
      <c r="OJ1053" s="989"/>
      <c r="OK1053" s="989"/>
      <c r="OL1053" s="989"/>
      <c r="OM1053" s="989"/>
      <c r="ON1053" s="989"/>
      <c r="OO1053" s="989"/>
      <c r="OP1053" s="989"/>
      <c r="OQ1053" s="989"/>
      <c r="OR1053" s="989"/>
      <c r="OS1053" s="989"/>
      <c r="OT1053" s="989"/>
      <c r="OU1053" s="989"/>
      <c r="OV1053" s="989"/>
      <c r="OW1053" s="989"/>
      <c r="OX1053" s="989"/>
      <c r="OY1053" s="989"/>
      <c r="OZ1053" s="989"/>
      <c r="PA1053" s="989"/>
      <c r="PB1053" s="989"/>
      <c r="PC1053" s="989"/>
      <c r="PD1053" s="989"/>
      <c r="PE1053" s="989"/>
      <c r="PF1053" s="989"/>
      <c r="PG1053" s="989"/>
      <c r="PH1053" s="989"/>
      <c r="PI1053" s="989"/>
      <c r="PJ1053" s="989"/>
      <c r="PK1053" s="989"/>
      <c r="PL1053" s="989"/>
      <c r="PM1053" s="989"/>
      <c r="PN1053" s="989"/>
      <c r="PO1053" s="989"/>
      <c r="PP1053" s="989"/>
      <c r="PQ1053" s="989"/>
      <c r="PR1053" s="989"/>
      <c r="PS1053" s="989"/>
      <c r="PT1053" s="989"/>
      <c r="PU1053" s="989"/>
      <c r="PV1053" s="989"/>
      <c r="PW1053" s="989"/>
      <c r="PX1053" s="989"/>
      <c r="PY1053" s="989"/>
      <c r="PZ1053" s="989"/>
      <c r="QA1053" s="989"/>
      <c r="QB1053" s="989"/>
      <c r="QC1053" s="989"/>
      <c r="QD1053" s="989"/>
      <c r="QE1053" s="989"/>
      <c r="QF1053" s="989"/>
      <c r="QG1053" s="989"/>
      <c r="QH1053" s="989"/>
      <c r="QI1053" s="989"/>
      <c r="QJ1053" s="989"/>
      <c r="QK1053" s="989"/>
      <c r="QL1053" s="989"/>
      <c r="QM1053" s="989"/>
      <c r="QN1053" s="989"/>
      <c r="QO1053" s="989"/>
      <c r="QP1053" s="989"/>
      <c r="QQ1053" s="989"/>
      <c r="QR1053" s="989"/>
      <c r="QS1053" s="989"/>
      <c r="QT1053" s="989"/>
      <c r="QU1053" s="989"/>
      <c r="QV1053" s="989"/>
      <c r="QW1053" s="989"/>
      <c r="QX1053" s="989"/>
      <c r="QY1053" s="989"/>
      <c r="QZ1053" s="989"/>
      <c r="RA1053" s="989"/>
      <c r="RB1053" s="989"/>
      <c r="RC1053" s="989"/>
      <c r="RD1053" s="989"/>
      <c r="RE1053" s="989"/>
      <c r="RF1053" s="989"/>
      <c r="RG1053" s="989"/>
      <c r="RH1053" s="989"/>
      <c r="RI1053" s="989"/>
      <c r="RJ1053" s="989"/>
      <c r="RK1053" s="989"/>
      <c r="RL1053" s="989"/>
      <c r="RM1053" s="989"/>
      <c r="RN1053" s="989"/>
      <c r="RO1053" s="989"/>
      <c r="RP1053" s="989"/>
      <c r="RQ1053" s="989"/>
      <c r="RR1053" s="989"/>
      <c r="RS1053" s="989"/>
      <c r="RT1053" s="989"/>
      <c r="RU1053" s="989"/>
      <c r="RV1053" s="989"/>
      <c r="RW1053" s="989"/>
      <c r="RX1053" s="989"/>
      <c r="RY1053" s="989"/>
      <c r="RZ1053" s="989"/>
      <c r="SA1053" s="989"/>
      <c r="SB1053" s="989"/>
      <c r="SC1053" s="989"/>
      <c r="SD1053" s="989"/>
      <c r="SE1053" s="989"/>
      <c r="SF1053" s="989"/>
      <c r="SG1053" s="989"/>
      <c r="SH1053" s="989"/>
      <c r="SI1053" s="989"/>
      <c r="SJ1053" s="989"/>
      <c r="SK1053" s="989"/>
      <c r="SL1053" s="989"/>
      <c r="SM1053" s="989"/>
      <c r="SN1053" s="989"/>
      <c r="SO1053" s="989"/>
      <c r="SP1053" s="989"/>
      <c r="SQ1053" s="989"/>
      <c r="SR1053" s="989"/>
      <c r="SS1053" s="989"/>
      <c r="ST1053" s="989"/>
      <c r="SU1053" s="989"/>
      <c r="SV1053" s="989"/>
      <c r="SW1053" s="989"/>
      <c r="SX1053" s="989"/>
      <c r="SY1053" s="989"/>
      <c r="SZ1053" s="989"/>
      <c r="TA1053" s="989"/>
      <c r="TB1053" s="989"/>
      <c r="TC1053" s="989"/>
      <c r="TD1053" s="989"/>
      <c r="TE1053" s="989"/>
      <c r="TF1053" s="989"/>
      <c r="TG1053" s="989"/>
      <c r="TH1053" s="989"/>
      <c r="TI1053" s="989"/>
      <c r="TJ1053" s="989"/>
      <c r="TK1053" s="989"/>
      <c r="TL1053" s="989"/>
      <c r="TM1053" s="989"/>
      <c r="TN1053" s="989"/>
      <c r="TO1053" s="989"/>
      <c r="TP1053" s="989"/>
      <c r="TQ1053" s="989"/>
      <c r="TR1053" s="989"/>
      <c r="TS1053" s="989"/>
      <c r="TT1053" s="989"/>
      <c r="TU1053" s="989"/>
      <c r="TV1053" s="989"/>
      <c r="TW1053" s="989"/>
      <c r="TX1053" s="989"/>
      <c r="TY1053" s="989"/>
      <c r="TZ1053" s="989"/>
      <c r="UA1053" s="989"/>
      <c r="UB1053" s="989"/>
      <c r="UC1053" s="989"/>
      <c r="UD1053" s="989"/>
      <c r="UE1053" s="989"/>
      <c r="UF1053" s="989"/>
      <c r="UG1053" s="989"/>
      <c r="UH1053" s="989"/>
      <c r="UI1053" s="989"/>
      <c r="UJ1053" s="989"/>
      <c r="UK1053" s="989"/>
      <c r="UL1053" s="989"/>
      <c r="UM1053" s="989"/>
      <c r="UN1053" s="989"/>
      <c r="UO1053" s="989"/>
      <c r="UP1053" s="989"/>
      <c r="UQ1053" s="989"/>
      <c r="UR1053" s="989"/>
      <c r="US1053" s="989"/>
      <c r="UT1053" s="989"/>
      <c r="UU1053" s="989"/>
      <c r="UV1053" s="989"/>
      <c r="UW1053" s="989"/>
      <c r="UX1053" s="989"/>
      <c r="UY1053" s="989"/>
      <c r="UZ1053" s="989"/>
      <c r="VA1053" s="989"/>
      <c r="VB1053" s="989"/>
      <c r="VC1053" s="989"/>
      <c r="VD1053" s="989"/>
      <c r="VE1053" s="989"/>
      <c r="VF1053" s="989"/>
      <c r="VG1053" s="989"/>
      <c r="VH1053" s="989"/>
      <c r="VI1053" s="989"/>
      <c r="VJ1053" s="989"/>
      <c r="VK1053" s="989"/>
      <c r="VL1053" s="989"/>
      <c r="VM1053" s="989"/>
      <c r="VN1053" s="989"/>
      <c r="VO1053" s="989"/>
      <c r="VP1053" s="989"/>
      <c r="VQ1053" s="989"/>
      <c r="VR1053" s="989"/>
      <c r="VS1053" s="989"/>
      <c r="VT1053" s="989"/>
      <c r="VU1053" s="989"/>
      <c r="VV1053" s="989"/>
      <c r="VW1053" s="989"/>
      <c r="VX1053" s="989"/>
      <c r="VY1053" s="989"/>
      <c r="VZ1053" s="989"/>
      <c r="WA1053" s="989"/>
      <c r="WB1053" s="989"/>
      <c r="WC1053" s="989"/>
      <c r="WD1053" s="989"/>
      <c r="WE1053" s="989"/>
      <c r="WF1053" s="989"/>
      <c r="WG1053" s="989"/>
      <c r="WH1053" s="989"/>
      <c r="WI1053" s="989"/>
      <c r="WJ1053" s="989"/>
      <c r="WK1053" s="989"/>
      <c r="WL1053" s="989"/>
      <c r="WM1053" s="989"/>
      <c r="WN1053" s="989"/>
      <c r="WO1053" s="989"/>
      <c r="WP1053" s="989"/>
      <c r="WQ1053" s="989"/>
      <c r="WR1053" s="989"/>
      <c r="WS1053" s="989"/>
      <c r="WT1053" s="989"/>
      <c r="WU1053" s="989"/>
      <c r="WV1053" s="989"/>
      <c r="WW1053" s="989"/>
      <c r="WX1053" s="989"/>
      <c r="WY1053" s="989"/>
      <c r="WZ1053" s="989"/>
      <c r="XA1053" s="989"/>
      <c r="XB1053" s="989"/>
      <c r="XC1053" s="989"/>
      <c r="XD1053" s="989"/>
      <c r="XE1053" s="989"/>
      <c r="XF1053" s="989"/>
      <c r="XG1053" s="989"/>
      <c r="XH1053" s="989"/>
      <c r="XI1053" s="989"/>
      <c r="XJ1053" s="989"/>
      <c r="XK1053" s="989"/>
      <c r="XL1053" s="989"/>
      <c r="XM1053" s="989"/>
      <c r="XN1053" s="989"/>
      <c r="XO1053" s="989"/>
      <c r="XP1053" s="989"/>
      <c r="XQ1053" s="989"/>
      <c r="XR1053" s="989"/>
      <c r="XS1053" s="989"/>
      <c r="XT1053" s="989"/>
      <c r="XU1053" s="989"/>
      <c r="XV1053" s="989"/>
      <c r="XW1053" s="989"/>
      <c r="XX1053" s="989"/>
      <c r="XY1053" s="989"/>
      <c r="XZ1053" s="989"/>
      <c r="YA1053" s="989"/>
      <c r="YB1053" s="989"/>
      <c r="YC1053" s="989"/>
      <c r="YD1053" s="989"/>
      <c r="YE1053" s="989"/>
      <c r="YF1053" s="989"/>
      <c r="YG1053" s="989"/>
      <c r="YH1053" s="989"/>
      <c r="YI1053" s="989"/>
      <c r="YJ1053" s="989"/>
      <c r="YK1053" s="989"/>
      <c r="YL1053" s="989"/>
      <c r="YM1053" s="989"/>
      <c r="YN1053" s="989"/>
      <c r="YO1053" s="989"/>
      <c r="YP1053" s="989"/>
      <c r="YQ1053" s="989"/>
      <c r="YR1053" s="989"/>
      <c r="YS1053" s="989"/>
      <c r="YT1053" s="989"/>
      <c r="YU1053" s="989"/>
      <c r="YV1053" s="989"/>
      <c r="YW1053" s="989"/>
      <c r="YX1053" s="989"/>
      <c r="YY1053" s="989"/>
      <c r="YZ1053" s="989"/>
      <c r="ZA1053" s="989"/>
      <c r="ZB1053" s="989"/>
      <c r="ZC1053" s="989"/>
      <c r="ZD1053" s="989"/>
      <c r="ZE1053" s="989"/>
      <c r="ZF1053" s="989"/>
      <c r="ZG1053" s="989"/>
      <c r="ZH1053" s="989"/>
      <c r="ZI1053" s="989"/>
      <c r="ZJ1053" s="989"/>
      <c r="ZK1053" s="989"/>
      <c r="ZL1053" s="989"/>
      <c r="ZM1053" s="989"/>
      <c r="ZN1053" s="989"/>
      <c r="ZO1053" s="989"/>
      <c r="ZP1053" s="989"/>
      <c r="ZQ1053" s="989"/>
      <c r="ZR1053" s="989"/>
      <c r="ZS1053" s="989"/>
      <c r="ZT1053" s="989"/>
      <c r="ZU1053" s="989"/>
      <c r="ZV1053" s="989"/>
      <c r="ZW1053" s="989"/>
      <c r="ZX1053" s="989"/>
      <c r="ZY1053" s="989"/>
      <c r="ZZ1053" s="989"/>
      <c r="AAA1053" s="989"/>
      <c r="AAB1053" s="989"/>
      <c r="AAC1053" s="989"/>
      <c r="AAD1053" s="989"/>
      <c r="AAE1053" s="989"/>
      <c r="AAF1053" s="989"/>
      <c r="AAG1053" s="989"/>
      <c r="AAH1053" s="989"/>
      <c r="AAI1053" s="989"/>
      <c r="AAJ1053" s="989"/>
      <c r="AAK1053" s="989"/>
      <c r="AAL1053" s="989"/>
      <c r="AAM1053" s="989"/>
      <c r="AAN1053" s="989"/>
      <c r="AAO1053" s="989"/>
      <c r="AAP1053" s="989"/>
      <c r="AAQ1053" s="989"/>
      <c r="AAR1053" s="989"/>
      <c r="AAS1053" s="989"/>
      <c r="AAT1053" s="989"/>
      <c r="AAU1053" s="989"/>
      <c r="AAV1053" s="989"/>
      <c r="AAW1053" s="989"/>
      <c r="AAX1053" s="989"/>
      <c r="AAY1053" s="989"/>
      <c r="AAZ1053" s="989"/>
      <c r="ABA1053" s="989"/>
      <c r="ABB1053" s="989"/>
      <c r="ABC1053" s="989"/>
      <c r="ABD1053" s="989"/>
      <c r="ABE1053" s="989"/>
      <c r="ABF1053" s="989"/>
      <c r="ABG1053" s="989"/>
      <c r="ABH1053" s="989"/>
      <c r="ABI1053" s="989"/>
      <c r="ABJ1053" s="989"/>
      <c r="ABK1053" s="989"/>
      <c r="ABL1053" s="989"/>
      <c r="ABM1053" s="989"/>
      <c r="ABN1053" s="989"/>
      <c r="ABO1053" s="989"/>
      <c r="ABP1053" s="989"/>
      <c r="ABQ1053" s="989"/>
      <c r="ABR1053" s="989"/>
      <c r="ABS1053" s="989"/>
      <c r="ABT1053" s="989"/>
      <c r="ABU1053" s="989"/>
      <c r="ABV1053" s="989"/>
      <c r="ABW1053" s="989"/>
      <c r="ABX1053" s="989"/>
      <c r="ABY1053" s="989"/>
      <c r="ABZ1053" s="989"/>
      <c r="ACA1053" s="989"/>
      <c r="ACB1053" s="989"/>
      <c r="ACC1053" s="989"/>
      <c r="ACD1053" s="989"/>
      <c r="ACE1053" s="989"/>
      <c r="ACF1053" s="989"/>
      <c r="ACG1053" s="989"/>
      <c r="ACH1053" s="989"/>
      <c r="ACI1053" s="989"/>
      <c r="ACJ1053" s="989"/>
      <c r="ACK1053" s="989"/>
      <c r="ACL1053" s="989"/>
      <c r="ACM1053" s="989"/>
      <c r="ACN1053" s="989"/>
      <c r="ACO1053" s="989"/>
      <c r="ACP1053" s="989"/>
      <c r="ACQ1053" s="989"/>
      <c r="ACR1053" s="989"/>
      <c r="ACS1053" s="989"/>
      <c r="ACT1053" s="989"/>
      <c r="ACU1053" s="989"/>
      <c r="ACV1053" s="989"/>
      <c r="ACW1053" s="989"/>
      <c r="ACX1053" s="989"/>
      <c r="ACY1053" s="989"/>
      <c r="ACZ1053" s="989"/>
      <c r="ADA1053" s="989"/>
      <c r="ADB1053" s="989"/>
      <c r="ADC1053" s="989"/>
      <c r="ADD1053" s="989"/>
      <c r="ADE1053" s="989"/>
      <c r="ADF1053" s="989"/>
      <c r="ADG1053" s="989"/>
      <c r="ADH1053" s="989"/>
      <c r="ADI1053" s="989"/>
      <c r="ADJ1053" s="989"/>
      <c r="ADK1053" s="989"/>
      <c r="ADL1053" s="989"/>
      <c r="ADM1053" s="989"/>
      <c r="ADN1053" s="989"/>
      <c r="ADO1053" s="989"/>
      <c r="ADP1053" s="989"/>
      <c r="ADQ1053" s="989"/>
      <c r="ADR1053" s="989"/>
      <c r="ADS1053" s="989"/>
      <c r="ADT1053" s="989"/>
      <c r="ADU1053" s="989"/>
      <c r="ADV1053" s="989"/>
      <c r="ADW1053" s="989"/>
      <c r="ADX1053" s="989"/>
      <c r="ADY1053" s="989"/>
      <c r="ADZ1053" s="989"/>
      <c r="AEA1053" s="989"/>
      <c r="AEB1053" s="989"/>
      <c r="AEC1053" s="989"/>
      <c r="AED1053" s="989"/>
      <c r="AEE1053" s="989"/>
      <c r="AEF1053" s="989"/>
      <c r="AEG1053" s="989"/>
      <c r="AEH1053" s="989"/>
      <c r="AEI1053" s="989"/>
      <c r="AEJ1053" s="989"/>
      <c r="AEK1053" s="989"/>
      <c r="AEL1053" s="989"/>
      <c r="AEM1053" s="989"/>
      <c r="AEN1053" s="989"/>
      <c r="AEO1053" s="989"/>
      <c r="AEP1053" s="989"/>
      <c r="AEQ1053" s="989"/>
      <c r="AER1053" s="989"/>
      <c r="AES1053" s="989"/>
      <c r="AET1053" s="989"/>
      <c r="AEU1053" s="989"/>
      <c r="AEV1053" s="989"/>
      <c r="AEW1053" s="989"/>
      <c r="AEX1053" s="989"/>
      <c r="AEY1053" s="989"/>
      <c r="AEZ1053" s="989"/>
      <c r="AFA1053" s="989"/>
      <c r="AFB1053" s="989"/>
      <c r="AFC1053" s="989"/>
      <c r="AFD1053" s="989"/>
      <c r="AFE1053" s="989"/>
      <c r="AFF1053" s="989"/>
      <c r="AFG1053" s="989"/>
      <c r="AFH1053" s="989"/>
      <c r="AFI1053" s="989"/>
      <c r="AFJ1053" s="989"/>
      <c r="AFK1053" s="989"/>
      <c r="AFL1053" s="989"/>
      <c r="AFM1053" s="989"/>
      <c r="AFN1053" s="989"/>
      <c r="AFO1053" s="989"/>
      <c r="AFP1053" s="989"/>
      <c r="AFQ1053" s="989"/>
      <c r="AFR1053" s="989"/>
      <c r="AFS1053" s="989"/>
      <c r="AFT1053" s="989"/>
      <c r="AFU1053" s="989"/>
      <c r="AFV1053" s="989"/>
      <c r="AFW1053" s="989"/>
      <c r="AFX1053" s="989"/>
      <c r="AFY1053" s="989"/>
      <c r="AFZ1053" s="989"/>
      <c r="AGA1053" s="989"/>
      <c r="AGB1053" s="989"/>
      <c r="AGC1053" s="989"/>
      <c r="AGD1053" s="989"/>
      <c r="AGE1053" s="989"/>
      <c r="AGF1053" s="989"/>
      <c r="AGG1053" s="989"/>
      <c r="AGH1053" s="989"/>
      <c r="AGI1053" s="989"/>
      <c r="AGJ1053" s="989"/>
      <c r="AGK1053" s="989"/>
      <c r="AGL1053" s="989"/>
      <c r="AGM1053" s="989"/>
      <c r="AGN1053" s="989"/>
      <c r="AGO1053" s="989"/>
      <c r="AGP1053" s="989"/>
      <c r="AGQ1053" s="989"/>
      <c r="AGR1053" s="989"/>
      <c r="AGS1053" s="989"/>
      <c r="AGT1053" s="989"/>
      <c r="AGU1053" s="989"/>
      <c r="AGV1053" s="989"/>
      <c r="AGW1053" s="989"/>
      <c r="AGX1053" s="989"/>
      <c r="AGY1053" s="989"/>
      <c r="AGZ1053" s="989"/>
      <c r="AHA1053" s="989"/>
      <c r="AHB1053" s="989"/>
      <c r="AHC1053" s="989"/>
      <c r="AHD1053" s="989"/>
      <c r="AHE1053" s="989"/>
      <c r="AHF1053" s="989"/>
      <c r="AHG1053" s="989"/>
      <c r="AHH1053" s="989"/>
      <c r="AHI1053" s="989"/>
      <c r="AHJ1053" s="989"/>
      <c r="AHK1053" s="989"/>
      <c r="AHL1053" s="989"/>
      <c r="AHM1053" s="989"/>
      <c r="AHN1053" s="989"/>
      <c r="AHO1053" s="989"/>
      <c r="AHP1053" s="989"/>
      <c r="AHQ1053" s="989"/>
      <c r="AHR1053" s="989"/>
      <c r="AHS1053" s="989"/>
      <c r="AHT1053" s="989"/>
      <c r="AHU1053" s="989"/>
      <c r="AHV1053" s="989"/>
      <c r="AHW1053" s="989"/>
      <c r="AHX1053" s="989"/>
      <c r="AHY1053" s="989"/>
      <c r="AHZ1053" s="989"/>
      <c r="AIA1053" s="989"/>
      <c r="AIB1053" s="989"/>
      <c r="AIC1053" s="989"/>
      <c r="AID1053" s="989"/>
      <c r="AIE1053" s="989"/>
      <c r="AIF1053" s="989"/>
      <c r="AIG1053" s="989"/>
      <c r="AIH1053" s="989"/>
      <c r="AII1053" s="989"/>
      <c r="AIJ1053" s="989"/>
      <c r="AIK1053" s="989"/>
      <c r="AIL1053" s="989"/>
      <c r="AIM1053" s="989"/>
      <c r="AIN1053" s="989"/>
      <c r="AIO1053" s="989"/>
      <c r="AIP1053" s="989"/>
      <c r="AIQ1053" s="989"/>
      <c r="AIR1053" s="989"/>
      <c r="AIS1053" s="989"/>
      <c r="AIT1053" s="989"/>
      <c r="AIU1053" s="989"/>
      <c r="AIV1053" s="989"/>
      <c r="AIW1053" s="989"/>
      <c r="AIX1053" s="989"/>
      <c r="AIY1053" s="989"/>
      <c r="AIZ1053" s="989"/>
      <c r="AJA1053" s="989"/>
      <c r="AJB1053" s="989"/>
      <c r="AJC1053" s="989"/>
      <c r="AJD1053" s="989"/>
      <c r="AJE1053" s="989"/>
      <c r="AJF1053" s="989"/>
      <c r="AJG1053" s="989"/>
      <c r="AJH1053" s="989"/>
      <c r="AJI1053" s="989"/>
      <c r="AJJ1053" s="989"/>
      <c r="AJK1053" s="989"/>
      <c r="AJL1053" s="989"/>
      <c r="AJM1053" s="989"/>
      <c r="AJN1053" s="989"/>
      <c r="AJO1053" s="989"/>
      <c r="AJP1053" s="989"/>
      <c r="AJQ1053" s="989"/>
      <c r="AJR1053" s="989"/>
      <c r="AJS1053" s="989"/>
      <c r="AJT1053" s="989"/>
      <c r="AJU1053" s="989"/>
      <c r="AJV1053" s="989"/>
      <c r="AJW1053" s="989"/>
      <c r="AJX1053" s="989"/>
      <c r="AJY1053" s="989"/>
      <c r="AJZ1053" s="989"/>
      <c r="AKA1053" s="989"/>
      <c r="AKB1053" s="989"/>
      <c r="AKC1053" s="989"/>
      <c r="AKD1053" s="989"/>
      <c r="AKE1053" s="989"/>
      <c r="AKF1053" s="989"/>
      <c r="AKG1053" s="989"/>
      <c r="AKH1053" s="989"/>
      <c r="AKI1053" s="989"/>
      <c r="AKJ1053" s="989"/>
      <c r="AKK1053" s="989"/>
      <c r="AKL1053" s="989"/>
      <c r="AKM1053" s="989"/>
      <c r="AKN1053" s="989"/>
      <c r="AKO1053" s="989"/>
      <c r="AKP1053" s="989"/>
      <c r="AKQ1053" s="989"/>
      <c r="AKR1053" s="989"/>
      <c r="AKS1053" s="989"/>
      <c r="AKT1053" s="989"/>
      <c r="AKU1053" s="989"/>
      <c r="AKV1053" s="989"/>
      <c r="AKW1053" s="989"/>
      <c r="AKX1053" s="989"/>
      <c r="AKY1053" s="989"/>
      <c r="AKZ1053" s="989"/>
      <c r="ALA1053" s="989"/>
      <c r="ALB1053" s="989"/>
      <c r="ALC1053" s="989"/>
      <c r="ALD1053" s="989"/>
      <c r="ALE1053" s="989"/>
      <c r="ALF1053" s="989"/>
      <c r="ALG1053" s="989"/>
      <c r="ALH1053" s="989"/>
      <c r="ALI1053" s="989"/>
      <c r="ALJ1053" s="989"/>
      <c r="ALK1053" s="989"/>
      <c r="ALL1053" s="989"/>
      <c r="ALM1053" s="989"/>
      <c r="ALN1053" s="989"/>
      <c r="ALO1053" s="989"/>
      <c r="ALP1053" s="989"/>
      <c r="ALQ1053" s="989"/>
      <c r="ALR1053" s="989"/>
      <c r="ALS1053" s="989"/>
      <c r="ALT1053" s="989"/>
      <c r="ALU1053" s="989"/>
      <c r="ALV1053" s="989"/>
      <c r="ALW1053" s="989"/>
      <c r="ALX1053" s="989"/>
      <c r="ALY1053" s="989"/>
      <c r="ALZ1053" s="989"/>
      <c r="AMA1053" s="989"/>
      <c r="AMB1053" s="989"/>
      <c r="AMC1053" s="989"/>
      <c r="AMD1053" s="989"/>
      <c r="AME1053" s="989"/>
      <c r="AMF1053" s="989"/>
      <c r="AMG1053" s="989"/>
      <c r="AMH1053" s="989"/>
      <c r="AMI1053" s="989"/>
      <c r="AMJ1053" s="989"/>
      <c r="AMK1053" s="989"/>
      <c r="AML1053" s="989"/>
      <c r="AMM1053" s="989"/>
      <c r="AMN1053" s="989"/>
      <c r="AMO1053" s="989"/>
      <c r="AMP1053" s="989"/>
      <c r="AMQ1053" s="989"/>
      <c r="AMR1053" s="989"/>
      <c r="AMS1053" s="989"/>
      <c r="AMT1053" s="989"/>
      <c r="AMU1053" s="989"/>
      <c r="AMV1053" s="989"/>
      <c r="AMW1053" s="989"/>
      <c r="AMX1053" s="989"/>
      <c r="AMY1053" s="989"/>
      <c r="AMZ1053" s="989"/>
      <c r="ANA1053" s="989"/>
      <c r="ANB1053" s="989"/>
      <c r="ANC1053" s="989"/>
      <c r="AND1053" s="989"/>
      <c r="ANE1053" s="989"/>
      <c r="ANF1053" s="989"/>
      <c r="ANG1053" s="989"/>
      <c r="ANH1053" s="989"/>
      <c r="ANI1053" s="989"/>
      <c r="ANJ1053" s="989"/>
      <c r="ANK1053" s="989"/>
      <c r="ANL1053" s="989"/>
      <c r="ANM1053" s="989"/>
      <c r="ANN1053" s="989"/>
      <c r="ANO1053" s="989"/>
      <c r="ANP1053" s="989"/>
      <c r="ANQ1053" s="989"/>
      <c r="ANR1053" s="989"/>
      <c r="ANS1053" s="989"/>
      <c r="ANT1053" s="989"/>
      <c r="ANU1053" s="989"/>
      <c r="ANV1053" s="989"/>
      <c r="ANW1053" s="989"/>
      <c r="ANX1053" s="989"/>
      <c r="ANY1053" s="989"/>
      <c r="ANZ1053" s="989"/>
      <c r="AOA1053" s="989"/>
      <c r="AOB1053" s="989"/>
      <c r="AOC1053" s="989"/>
      <c r="AOD1053" s="989"/>
      <c r="AOE1053" s="989"/>
      <c r="AOF1053" s="989"/>
      <c r="AOG1053" s="989"/>
      <c r="AOH1053" s="989"/>
      <c r="AOI1053" s="989"/>
      <c r="AOJ1053" s="989"/>
      <c r="AOK1053" s="989"/>
      <c r="AOL1053" s="989"/>
      <c r="AOM1053" s="989"/>
      <c r="AON1053" s="989"/>
      <c r="AOO1053" s="989"/>
      <c r="AOP1053" s="989"/>
      <c r="AOQ1053" s="989"/>
      <c r="AOR1053" s="989"/>
      <c r="AOS1053" s="989"/>
      <c r="AOT1053" s="989"/>
      <c r="AOU1053" s="989"/>
      <c r="AOV1053" s="989"/>
      <c r="AOW1053" s="989"/>
      <c r="AOX1053" s="989"/>
      <c r="AOY1053" s="989"/>
      <c r="AOZ1053" s="989"/>
      <c r="APA1053" s="989"/>
      <c r="APB1053" s="989"/>
      <c r="APC1053" s="989"/>
      <c r="APD1053" s="989"/>
      <c r="APE1053" s="989"/>
      <c r="APF1053" s="989"/>
      <c r="APG1053" s="989"/>
      <c r="APH1053" s="989"/>
      <c r="API1053" s="989"/>
      <c r="APJ1053" s="989"/>
      <c r="APK1053" s="989"/>
      <c r="APL1053" s="989"/>
      <c r="APM1053" s="989"/>
      <c r="APN1053" s="989"/>
      <c r="APO1053" s="989"/>
      <c r="APP1053" s="989"/>
      <c r="APQ1053" s="989"/>
      <c r="APR1053" s="989"/>
      <c r="APS1053" s="989"/>
      <c r="APT1053" s="989"/>
      <c r="APU1053" s="989"/>
      <c r="APV1053" s="989"/>
      <c r="APW1053" s="989"/>
      <c r="APX1053" s="989"/>
      <c r="APY1053" s="989"/>
      <c r="APZ1053" s="989"/>
      <c r="AQA1053" s="989"/>
      <c r="AQB1053" s="989"/>
      <c r="AQC1053" s="989"/>
      <c r="AQD1053" s="989"/>
      <c r="AQE1053" s="989"/>
      <c r="AQF1053" s="989"/>
      <c r="AQG1053" s="989"/>
      <c r="AQH1053" s="989"/>
      <c r="AQI1053" s="989"/>
      <c r="AQJ1053" s="989"/>
      <c r="AQK1053" s="989"/>
      <c r="AQL1053" s="989"/>
      <c r="AQM1053" s="989"/>
      <c r="AQN1053" s="989"/>
      <c r="AQO1053" s="989"/>
      <c r="AQP1053" s="989"/>
      <c r="AQQ1053" s="989"/>
      <c r="AQR1053" s="989"/>
      <c r="AQS1053" s="989"/>
      <c r="AQT1053" s="989"/>
      <c r="AQU1053" s="989"/>
      <c r="AQV1053" s="989"/>
      <c r="AQW1053" s="989"/>
      <c r="AQX1053" s="989"/>
      <c r="AQY1053" s="989"/>
      <c r="AQZ1053" s="989"/>
      <c r="ARA1053" s="989"/>
      <c r="ARB1053" s="989"/>
      <c r="ARC1053" s="989"/>
      <c r="ARD1053" s="989"/>
      <c r="ARE1053" s="989"/>
      <c r="ARF1053" s="989"/>
      <c r="ARG1053" s="989"/>
      <c r="ARH1053" s="989"/>
      <c r="ARI1053" s="989"/>
      <c r="ARJ1053" s="989"/>
      <c r="ARK1053" s="989"/>
      <c r="ARL1053" s="989"/>
      <c r="ARM1053" s="989"/>
      <c r="ARN1053" s="989"/>
      <c r="ARO1053" s="989"/>
      <c r="ARP1053" s="989"/>
      <c r="ARQ1053" s="989"/>
      <c r="ARR1053" s="989"/>
      <c r="ARS1053" s="989"/>
      <c r="ART1053" s="989"/>
      <c r="ARU1053" s="989"/>
      <c r="ARV1053" s="989"/>
      <c r="ARW1053" s="989"/>
      <c r="ARX1053" s="989"/>
      <c r="ARY1053" s="989"/>
      <c r="ARZ1053" s="989"/>
      <c r="ASA1053" s="989"/>
      <c r="ASB1053" s="989"/>
      <c r="ASC1053" s="989"/>
      <c r="ASD1053" s="989"/>
      <c r="ASE1053" s="989"/>
      <c r="ASF1053" s="989"/>
      <c r="ASG1053" s="989"/>
      <c r="ASH1053" s="989"/>
      <c r="ASI1053" s="989"/>
      <c r="ASJ1053" s="989"/>
      <c r="ASK1053" s="989"/>
      <c r="ASL1053" s="989"/>
      <c r="ASM1053" s="989"/>
      <c r="ASN1053" s="989"/>
      <c r="ASO1053" s="989"/>
      <c r="ASP1053" s="989"/>
      <c r="ASQ1053" s="989"/>
      <c r="ASR1053" s="989"/>
      <c r="ASS1053" s="989"/>
      <c r="AST1053" s="989"/>
      <c r="ASU1053" s="989"/>
      <c r="ASV1053" s="989"/>
      <c r="ASW1053" s="989"/>
      <c r="ASX1053" s="989"/>
      <c r="ASY1053" s="989"/>
      <c r="ASZ1053" s="989"/>
      <c r="ATA1053" s="989"/>
      <c r="ATB1053" s="989"/>
      <c r="ATC1053" s="989"/>
      <c r="ATD1053" s="989"/>
      <c r="ATE1053" s="989"/>
      <c r="ATF1053" s="989"/>
      <c r="ATG1053" s="989"/>
      <c r="ATH1053" s="989"/>
      <c r="ATI1053" s="989"/>
      <c r="ATJ1053" s="989"/>
      <c r="ATK1053" s="989"/>
      <c r="ATL1053" s="989"/>
      <c r="ATM1053" s="989"/>
      <c r="ATN1053" s="989"/>
      <c r="ATO1053" s="989"/>
      <c r="ATP1053" s="989"/>
      <c r="ATQ1053" s="989"/>
      <c r="ATR1053" s="989"/>
      <c r="ATS1053" s="989"/>
      <c r="ATT1053" s="989"/>
      <c r="ATU1053" s="989"/>
      <c r="ATV1053" s="989"/>
      <c r="ATW1053" s="989"/>
      <c r="ATX1053" s="989"/>
      <c r="ATY1053" s="989"/>
      <c r="ATZ1053" s="989"/>
      <c r="AUA1053" s="989"/>
      <c r="AUB1053" s="989"/>
      <c r="AUC1053" s="989"/>
      <c r="AUD1053" s="989"/>
      <c r="AUE1053" s="989"/>
      <c r="AUF1053" s="989"/>
      <c r="AUG1053" s="989"/>
      <c r="AUH1053" s="989"/>
      <c r="AUI1053" s="989"/>
      <c r="AUJ1053" s="989"/>
      <c r="AUK1053" s="989"/>
      <c r="AUL1053" s="989"/>
      <c r="AUM1053" s="989"/>
      <c r="AUN1053" s="989"/>
      <c r="AUO1053" s="989"/>
      <c r="AUP1053" s="989"/>
      <c r="AUQ1053" s="989"/>
      <c r="AUR1053" s="989"/>
      <c r="AUS1053" s="989"/>
      <c r="AUT1053" s="989"/>
      <c r="AUU1053" s="989"/>
      <c r="AUV1053" s="989"/>
      <c r="AUW1053" s="989"/>
      <c r="AUX1053" s="989"/>
      <c r="AUY1053" s="989"/>
      <c r="AUZ1053" s="989"/>
      <c r="AVA1053" s="989"/>
      <c r="AVB1053" s="989"/>
      <c r="AVC1053" s="989"/>
      <c r="AVD1053" s="989"/>
      <c r="AVE1053" s="989"/>
      <c r="AVF1053" s="989"/>
      <c r="AVG1053" s="989"/>
      <c r="AVH1053" s="989"/>
      <c r="AVI1053" s="989"/>
      <c r="AVJ1053" s="989"/>
      <c r="AVK1053" s="989"/>
      <c r="AVL1053" s="989"/>
      <c r="AVM1053" s="989"/>
      <c r="AVN1053" s="989"/>
      <c r="AVO1053" s="989"/>
      <c r="AVP1053" s="989"/>
      <c r="AVQ1053" s="989"/>
      <c r="AVR1053" s="989"/>
      <c r="AVS1053" s="989"/>
      <c r="AVT1053" s="989"/>
      <c r="AVU1053" s="989"/>
      <c r="AVV1053" s="989"/>
      <c r="AVW1053" s="989"/>
      <c r="AVX1053" s="989"/>
      <c r="AVY1053" s="989"/>
      <c r="AVZ1053" s="989"/>
      <c r="AWA1053" s="989"/>
      <c r="AWB1053" s="989"/>
      <c r="AWC1053" s="989"/>
      <c r="AWD1053" s="989"/>
      <c r="AWE1053" s="989"/>
      <c r="AWF1053" s="989"/>
      <c r="AWG1053" s="989"/>
      <c r="AWH1053" s="989"/>
      <c r="AWI1053" s="989"/>
      <c r="AWJ1053" s="989"/>
      <c r="AWK1053" s="989"/>
      <c r="AWL1053" s="989"/>
      <c r="AWM1053" s="989"/>
      <c r="AWN1053" s="989"/>
      <c r="AWO1053" s="989"/>
      <c r="AWP1053" s="989"/>
      <c r="AWQ1053" s="989"/>
      <c r="AWR1053" s="989"/>
      <c r="AWS1053" s="989"/>
      <c r="AWT1053" s="989"/>
      <c r="AWU1053" s="989"/>
      <c r="AWV1053" s="989"/>
      <c r="AWW1053" s="989"/>
      <c r="AWX1053" s="989"/>
      <c r="AWY1053" s="989"/>
      <c r="AWZ1053" s="989"/>
      <c r="AXA1053" s="989"/>
      <c r="AXB1053" s="989"/>
      <c r="AXC1053" s="989"/>
      <c r="AXD1053" s="989"/>
      <c r="AXE1053" s="989"/>
      <c r="AXF1053" s="989"/>
      <c r="AXG1053" s="989"/>
      <c r="AXH1053" s="989"/>
      <c r="AXI1053" s="989"/>
      <c r="AXJ1053" s="989"/>
      <c r="AXK1053" s="989"/>
      <c r="AXL1053" s="989"/>
      <c r="AXM1053" s="989"/>
      <c r="AXN1053" s="989"/>
      <c r="AXO1053" s="989"/>
      <c r="AXP1053" s="989"/>
      <c r="AXQ1053" s="989"/>
      <c r="AXR1053" s="989"/>
      <c r="AXS1053" s="989"/>
      <c r="AXT1053" s="989"/>
      <c r="AXU1053" s="989"/>
      <c r="AXV1053" s="989"/>
      <c r="AXW1053" s="989"/>
      <c r="AXX1053" s="989"/>
      <c r="AXY1053" s="989"/>
      <c r="AXZ1053" s="989"/>
      <c r="AYA1053" s="989"/>
      <c r="AYB1053" s="989"/>
      <c r="AYC1053" s="989"/>
      <c r="AYD1053" s="989"/>
      <c r="AYE1053" s="989"/>
      <c r="AYF1053" s="989"/>
      <c r="AYG1053" s="989"/>
      <c r="AYH1053" s="989"/>
      <c r="AYI1053" s="989"/>
      <c r="AYJ1053" s="989"/>
      <c r="AYK1053" s="989"/>
      <c r="AYL1053" s="989"/>
      <c r="AYM1053" s="989"/>
      <c r="AYN1053" s="989"/>
      <c r="AYO1053" s="989"/>
      <c r="AYP1053" s="989"/>
      <c r="AYQ1053" s="989"/>
      <c r="AYR1053" s="989"/>
      <c r="AYS1053" s="989"/>
      <c r="AYT1053" s="989"/>
      <c r="AYU1053" s="989"/>
      <c r="AYV1053" s="989"/>
      <c r="AYW1053" s="989"/>
      <c r="AYX1053" s="989"/>
      <c r="AYY1053" s="989"/>
      <c r="AYZ1053" s="989"/>
      <c r="AZA1053" s="989"/>
      <c r="AZB1053" s="989"/>
      <c r="AZC1053" s="989"/>
      <c r="AZD1053" s="989"/>
      <c r="AZE1053" s="989"/>
      <c r="AZF1053" s="989"/>
      <c r="AZG1053" s="989"/>
      <c r="AZH1053" s="989"/>
      <c r="AZI1053" s="989"/>
      <c r="AZJ1053" s="989"/>
      <c r="AZK1053" s="989"/>
      <c r="AZL1053" s="989"/>
      <c r="AZM1053" s="989"/>
      <c r="AZN1053" s="989"/>
      <c r="AZO1053" s="989"/>
      <c r="AZP1053" s="989"/>
      <c r="AZQ1053" s="989"/>
      <c r="AZR1053" s="989"/>
      <c r="AZS1053" s="989"/>
      <c r="AZT1053" s="989"/>
      <c r="AZU1053" s="989"/>
      <c r="AZV1053" s="989"/>
      <c r="AZW1053" s="989"/>
      <c r="AZX1053" s="989"/>
      <c r="AZY1053" s="989"/>
      <c r="AZZ1053" s="989"/>
      <c r="BAA1053" s="989"/>
      <c r="BAB1053" s="989"/>
      <c r="BAC1053" s="989"/>
      <c r="BAD1053" s="989"/>
      <c r="BAE1053" s="989"/>
      <c r="BAF1053" s="989"/>
      <c r="BAG1053" s="989"/>
      <c r="BAH1053" s="989"/>
      <c r="BAI1053" s="989"/>
      <c r="BAJ1053" s="989"/>
      <c r="BAK1053" s="989"/>
      <c r="BAL1053" s="989"/>
      <c r="BAM1053" s="989"/>
      <c r="BAN1053" s="989"/>
      <c r="BAO1053" s="989"/>
      <c r="BAP1053" s="989"/>
      <c r="BAQ1053" s="989"/>
      <c r="BAR1053" s="989"/>
      <c r="BAS1053" s="989"/>
      <c r="BAT1053" s="989"/>
      <c r="BAU1053" s="989"/>
      <c r="BAV1053" s="989"/>
      <c r="BAW1053" s="989"/>
      <c r="BAX1053" s="989"/>
      <c r="BAY1053" s="989"/>
      <c r="BAZ1053" s="989"/>
      <c r="BBA1053" s="989"/>
      <c r="BBB1053" s="989"/>
      <c r="BBC1053" s="989"/>
      <c r="BBD1053" s="989"/>
      <c r="BBE1053" s="989"/>
      <c r="BBF1053" s="989"/>
      <c r="BBG1053" s="989"/>
      <c r="BBH1053" s="989"/>
      <c r="BBI1053" s="989"/>
      <c r="BBJ1053" s="989"/>
      <c r="BBK1053" s="989"/>
      <c r="BBL1053" s="989"/>
      <c r="BBM1053" s="989"/>
      <c r="BBN1053" s="989"/>
      <c r="BBO1053" s="989"/>
      <c r="BBP1053" s="989"/>
      <c r="BBQ1053" s="989"/>
      <c r="BBR1053" s="989"/>
      <c r="BBS1053" s="989"/>
      <c r="BBT1053" s="989"/>
      <c r="BBU1053" s="989"/>
      <c r="BBV1053" s="989"/>
      <c r="BBW1053" s="989"/>
      <c r="BBX1053" s="989"/>
      <c r="BBY1053" s="989"/>
      <c r="BBZ1053" s="989"/>
      <c r="BCA1053" s="989"/>
      <c r="BCB1053" s="989"/>
      <c r="BCC1053" s="989"/>
      <c r="BCD1053" s="989"/>
      <c r="BCE1053" s="989"/>
      <c r="BCF1053" s="989"/>
      <c r="BCG1053" s="989"/>
      <c r="BCH1053" s="989"/>
      <c r="BCI1053" s="989"/>
      <c r="BCJ1053" s="989"/>
      <c r="BCK1053" s="989"/>
      <c r="BCL1053" s="989"/>
      <c r="BCM1053" s="989"/>
      <c r="BCN1053" s="989"/>
      <c r="BCO1053" s="989"/>
      <c r="BCP1053" s="989"/>
      <c r="BCQ1053" s="989"/>
      <c r="BCR1053" s="989"/>
      <c r="BCS1053" s="989"/>
      <c r="BCT1053" s="989"/>
      <c r="BCU1053" s="989"/>
      <c r="BCV1053" s="989"/>
      <c r="BCW1053" s="989"/>
      <c r="BCX1053" s="989"/>
      <c r="BCY1053" s="989"/>
      <c r="BCZ1053" s="989"/>
      <c r="BDA1053" s="989"/>
      <c r="BDB1053" s="989"/>
      <c r="BDC1053" s="989"/>
      <c r="BDD1053" s="989"/>
      <c r="BDE1053" s="989"/>
      <c r="BDF1053" s="989"/>
      <c r="BDG1053" s="989"/>
      <c r="BDH1053" s="989"/>
      <c r="BDI1053" s="989"/>
      <c r="BDJ1053" s="989"/>
      <c r="BDK1053" s="989"/>
      <c r="BDL1053" s="989"/>
      <c r="BDM1053" s="989"/>
      <c r="BDN1053" s="989"/>
      <c r="BDO1053" s="989"/>
      <c r="BDP1053" s="989"/>
      <c r="BDQ1053" s="989"/>
      <c r="BDR1053" s="989"/>
      <c r="BDS1053" s="989"/>
      <c r="BDT1053" s="989"/>
      <c r="BDU1053" s="989"/>
      <c r="BDV1053" s="989"/>
      <c r="BDW1053" s="989"/>
      <c r="BDX1053" s="989"/>
      <c r="BDY1053" s="989"/>
      <c r="BDZ1053" s="989"/>
      <c r="BEA1053" s="989"/>
      <c r="BEB1053" s="989"/>
      <c r="BEC1053" s="989"/>
      <c r="BED1053" s="989"/>
      <c r="BEE1053" s="989"/>
      <c r="BEF1053" s="989"/>
      <c r="BEG1053" s="989"/>
      <c r="BEH1053" s="989"/>
      <c r="BEI1053" s="989"/>
      <c r="BEJ1053" s="989"/>
      <c r="BEK1053" s="989"/>
      <c r="BEL1053" s="989"/>
      <c r="BEM1053" s="989"/>
      <c r="BEN1053" s="989"/>
      <c r="BEO1053" s="989"/>
      <c r="BEP1053" s="989"/>
      <c r="BEQ1053" s="989"/>
      <c r="BER1053" s="989"/>
      <c r="BES1053" s="989"/>
      <c r="BET1053" s="989"/>
      <c r="BEU1053" s="989"/>
      <c r="BEV1053" s="989"/>
      <c r="BEW1053" s="989"/>
      <c r="BEX1053" s="989"/>
      <c r="BEY1053" s="989"/>
      <c r="BEZ1053" s="989"/>
      <c r="BFA1053" s="989"/>
      <c r="BFB1053" s="989"/>
      <c r="BFC1053" s="989"/>
      <c r="BFD1053" s="989"/>
      <c r="BFE1053" s="989"/>
      <c r="BFF1053" s="989"/>
      <c r="BFG1053" s="989"/>
      <c r="BFH1053" s="989"/>
      <c r="BFI1053" s="989"/>
      <c r="BFJ1053" s="989"/>
      <c r="BFK1053" s="989"/>
      <c r="BFL1053" s="989"/>
      <c r="BFM1053" s="989"/>
      <c r="BFN1053" s="989"/>
      <c r="BFO1053" s="989"/>
      <c r="BFP1053" s="989"/>
      <c r="BFQ1053" s="989"/>
      <c r="BFR1053" s="989"/>
      <c r="BFS1053" s="989"/>
      <c r="BFT1053" s="989"/>
      <c r="BFU1053" s="989"/>
      <c r="BFV1053" s="989"/>
      <c r="BFW1053" s="989"/>
      <c r="BFX1053" s="989"/>
      <c r="BFY1053" s="989"/>
      <c r="BFZ1053" s="989"/>
      <c r="BGA1053" s="989"/>
      <c r="BGB1053" s="989"/>
      <c r="BGC1053" s="989"/>
      <c r="BGD1053" s="989"/>
      <c r="BGE1053" s="989"/>
      <c r="BGF1053" s="989"/>
      <c r="BGG1053" s="989"/>
      <c r="BGH1053" s="989"/>
      <c r="BGI1053" s="989"/>
      <c r="BGJ1053" s="989"/>
      <c r="BGK1053" s="989"/>
      <c r="BGL1053" s="989"/>
      <c r="BGM1053" s="989"/>
      <c r="BGN1053" s="989"/>
      <c r="BGO1053" s="989"/>
      <c r="BGP1053" s="989"/>
      <c r="BGQ1053" s="989"/>
      <c r="BGR1053" s="989"/>
      <c r="BGS1053" s="989"/>
      <c r="BGT1053" s="989"/>
      <c r="BGU1053" s="989"/>
      <c r="BGV1053" s="989"/>
      <c r="BGW1053" s="989"/>
      <c r="BGX1053" s="989"/>
      <c r="BGY1053" s="989"/>
      <c r="BGZ1053" s="989"/>
      <c r="BHA1053" s="989"/>
      <c r="BHB1053" s="989"/>
      <c r="BHC1053" s="989"/>
      <c r="BHD1053" s="989"/>
      <c r="BHE1053" s="989"/>
      <c r="BHF1053" s="989"/>
      <c r="BHG1053" s="989"/>
      <c r="BHH1053" s="989"/>
      <c r="BHI1053" s="989"/>
      <c r="BHJ1053" s="989"/>
      <c r="BHK1053" s="989"/>
      <c r="BHL1053" s="989"/>
      <c r="BHM1053" s="989"/>
      <c r="BHN1053" s="989"/>
      <c r="BHO1053" s="989"/>
      <c r="BHP1053" s="989"/>
      <c r="BHQ1053" s="989"/>
      <c r="BHR1053" s="989"/>
      <c r="BHS1053" s="989"/>
      <c r="BHT1053" s="989"/>
      <c r="BHU1053" s="989"/>
      <c r="BHV1053" s="989"/>
      <c r="BHW1053" s="989"/>
      <c r="BHX1053" s="989"/>
      <c r="BHY1053" s="989"/>
      <c r="BHZ1053" s="989"/>
      <c r="BIA1053" s="989"/>
      <c r="BIB1053" s="989"/>
      <c r="BIC1053" s="989"/>
      <c r="BID1053" s="989"/>
      <c r="BIE1053" s="989"/>
      <c r="BIF1053" s="989"/>
      <c r="BIG1053" s="989"/>
      <c r="BIH1053" s="989"/>
      <c r="BII1053" s="989"/>
      <c r="BIJ1053" s="989"/>
      <c r="BIK1053" s="989"/>
      <c r="BIL1053" s="989"/>
      <c r="BIM1053" s="989"/>
      <c r="BIN1053" s="989"/>
      <c r="BIO1053" s="989"/>
      <c r="BIP1053" s="989"/>
      <c r="BIQ1053" s="989"/>
      <c r="BIR1053" s="989"/>
      <c r="BIS1053" s="989"/>
      <c r="BIT1053" s="989"/>
      <c r="BIU1053" s="989"/>
      <c r="BIV1053" s="989"/>
      <c r="BIW1053" s="989"/>
      <c r="BIX1053" s="989"/>
      <c r="BIY1053" s="989"/>
      <c r="BIZ1053" s="989"/>
      <c r="BJA1053" s="989"/>
      <c r="BJB1053" s="989"/>
      <c r="BJC1053" s="989"/>
      <c r="BJD1053" s="989"/>
      <c r="BJE1053" s="989"/>
      <c r="BJF1053" s="989"/>
      <c r="BJG1053" s="989"/>
      <c r="BJH1053" s="989"/>
      <c r="BJI1053" s="989"/>
      <c r="BJJ1053" s="989"/>
      <c r="BJK1053" s="989"/>
      <c r="BJL1053" s="989"/>
      <c r="BJM1053" s="989"/>
      <c r="BJN1053" s="989"/>
      <c r="BJO1053" s="989"/>
      <c r="BJP1053" s="989"/>
      <c r="BJQ1053" s="989"/>
      <c r="BJR1053" s="989"/>
      <c r="BJS1053" s="989"/>
      <c r="BJT1053" s="989"/>
      <c r="BJU1053" s="989"/>
      <c r="BJV1053" s="989"/>
      <c r="BJW1053" s="989"/>
      <c r="BJX1053" s="989"/>
      <c r="BJY1053" s="989"/>
      <c r="BJZ1053" s="989"/>
      <c r="BKA1053" s="989"/>
      <c r="BKB1053" s="989"/>
      <c r="BKC1053" s="989"/>
      <c r="BKD1053" s="989"/>
      <c r="BKE1053" s="989"/>
      <c r="BKF1053" s="989"/>
      <c r="BKG1053" s="989"/>
      <c r="BKH1053" s="989"/>
      <c r="BKI1053" s="989"/>
      <c r="BKJ1053" s="989"/>
      <c r="BKK1053" s="989"/>
      <c r="BKL1053" s="989"/>
      <c r="BKM1053" s="989"/>
      <c r="BKN1053" s="989"/>
      <c r="BKO1053" s="989"/>
      <c r="BKP1053" s="989"/>
      <c r="BKQ1053" s="989"/>
      <c r="BKR1053" s="989"/>
      <c r="BKS1053" s="989"/>
      <c r="BKT1053" s="989"/>
      <c r="BKU1053" s="989"/>
      <c r="BKV1053" s="989"/>
      <c r="BKW1053" s="989"/>
      <c r="BKX1053" s="989"/>
      <c r="BKY1053" s="989"/>
      <c r="BKZ1053" s="989"/>
      <c r="BLA1053" s="989"/>
      <c r="BLB1053" s="989"/>
      <c r="BLC1053" s="989"/>
      <c r="BLD1053" s="989"/>
      <c r="BLE1053" s="989"/>
      <c r="BLF1053" s="989"/>
      <c r="BLG1053" s="989"/>
      <c r="BLH1053" s="989"/>
      <c r="BLI1053" s="989"/>
      <c r="BLJ1053" s="989"/>
      <c r="BLK1053" s="989"/>
      <c r="BLL1053" s="989"/>
      <c r="BLM1053" s="989"/>
      <c r="BLN1053" s="989"/>
      <c r="BLO1053" s="989"/>
      <c r="BLP1053" s="989"/>
      <c r="BLQ1053" s="989"/>
      <c r="BLR1053" s="989"/>
      <c r="BLS1053" s="989"/>
      <c r="BLT1053" s="989"/>
      <c r="BLU1053" s="989"/>
      <c r="BLV1053" s="989"/>
      <c r="BLW1053" s="989"/>
      <c r="BLX1053" s="989"/>
      <c r="BLY1053" s="989"/>
      <c r="BLZ1053" s="989"/>
      <c r="BMA1053" s="989"/>
      <c r="BMB1053" s="989"/>
      <c r="BMC1053" s="989"/>
      <c r="BMD1053" s="989"/>
      <c r="BME1053" s="989"/>
      <c r="BMF1053" s="989"/>
      <c r="BMG1053" s="989"/>
      <c r="BMH1053" s="989"/>
      <c r="BMI1053" s="989"/>
      <c r="BMJ1053" s="989"/>
      <c r="BMK1053" s="989"/>
      <c r="BML1053" s="989"/>
      <c r="BMM1053" s="989"/>
      <c r="BMN1053" s="989"/>
      <c r="BMO1053" s="989"/>
      <c r="BMP1053" s="989"/>
      <c r="BMQ1053" s="989"/>
      <c r="BMR1053" s="989"/>
      <c r="BMS1053" s="989"/>
      <c r="BMT1053" s="989"/>
      <c r="BMU1053" s="989"/>
      <c r="BMV1053" s="989"/>
      <c r="BMW1053" s="989"/>
      <c r="BMX1053" s="989"/>
      <c r="BMY1053" s="989"/>
      <c r="BMZ1053" s="989"/>
      <c r="BNA1053" s="989"/>
      <c r="BNB1053" s="989"/>
      <c r="BNC1053" s="989"/>
      <c r="BND1053" s="989"/>
      <c r="BNE1053" s="989"/>
      <c r="BNF1053" s="989"/>
      <c r="BNG1053" s="989"/>
      <c r="BNH1053" s="989"/>
      <c r="BNI1053" s="989"/>
      <c r="BNJ1053" s="989"/>
      <c r="BNK1053" s="989"/>
      <c r="BNL1053" s="989"/>
      <c r="BNM1053" s="989"/>
      <c r="BNN1053" s="989"/>
      <c r="BNO1053" s="989"/>
      <c r="BNP1053" s="989"/>
      <c r="BNQ1053" s="989"/>
      <c r="BNR1053" s="989"/>
      <c r="BNS1053" s="989"/>
      <c r="BNT1053" s="989"/>
      <c r="BNU1053" s="989"/>
      <c r="BNV1053" s="989"/>
      <c r="BNW1053" s="989"/>
      <c r="BNX1053" s="989"/>
      <c r="BNY1053" s="989"/>
      <c r="BNZ1053" s="989"/>
      <c r="BOA1053" s="989"/>
      <c r="BOB1053" s="989"/>
      <c r="BOC1053" s="989"/>
      <c r="BOD1053" s="989"/>
      <c r="BOE1053" s="989"/>
      <c r="BOF1053" s="989"/>
      <c r="BOG1053" s="989"/>
      <c r="BOH1053" s="989"/>
      <c r="BOI1053" s="989"/>
      <c r="BOJ1053" s="989"/>
      <c r="BOK1053" s="989"/>
      <c r="BOL1053" s="989"/>
      <c r="BOM1053" s="989"/>
      <c r="BON1053" s="989"/>
      <c r="BOO1053" s="989"/>
      <c r="BOP1053" s="989"/>
      <c r="BOQ1053" s="989"/>
      <c r="BOR1053" s="989"/>
      <c r="BOS1053" s="989"/>
      <c r="BOT1053" s="989"/>
      <c r="BOU1053" s="989"/>
      <c r="BOV1053" s="989"/>
      <c r="BOW1053" s="989"/>
      <c r="BOX1053" s="989"/>
      <c r="BOY1053" s="989"/>
      <c r="BOZ1053" s="989"/>
      <c r="BPA1053" s="989"/>
      <c r="BPB1053" s="989"/>
      <c r="BPC1053" s="989"/>
      <c r="BPD1053" s="989"/>
      <c r="BPE1053" s="989"/>
      <c r="BPF1053" s="989"/>
      <c r="BPG1053" s="989"/>
      <c r="BPH1053" s="989"/>
      <c r="BPI1053" s="989"/>
      <c r="BPJ1053" s="989"/>
      <c r="BPK1053" s="989"/>
      <c r="BPL1053" s="989"/>
      <c r="BPM1053" s="989"/>
      <c r="BPN1053" s="989"/>
      <c r="BPO1053" s="989"/>
      <c r="BPP1053" s="989"/>
      <c r="BPQ1053" s="989"/>
      <c r="BPR1053" s="989"/>
      <c r="BPS1053" s="989"/>
      <c r="BPT1053" s="989"/>
      <c r="BPU1053" s="989"/>
      <c r="BPV1053" s="989"/>
      <c r="BPW1053" s="989"/>
      <c r="BPX1053" s="989"/>
      <c r="BPY1053" s="989"/>
      <c r="BPZ1053" s="989"/>
      <c r="BQA1053" s="989"/>
      <c r="BQB1053" s="989"/>
      <c r="BQC1053" s="989"/>
      <c r="BQD1053" s="989"/>
      <c r="BQE1053" s="989"/>
      <c r="BQF1053" s="989"/>
      <c r="BQG1053" s="989"/>
      <c r="BQH1053" s="989"/>
      <c r="BQI1053" s="989"/>
      <c r="BQJ1053" s="989"/>
      <c r="BQK1053" s="989"/>
      <c r="BQL1053" s="989"/>
      <c r="BQM1053" s="989"/>
      <c r="BQN1053" s="989"/>
      <c r="BQO1053" s="989"/>
      <c r="BQP1053" s="989"/>
      <c r="BQQ1053" s="989"/>
      <c r="BQR1053" s="989"/>
      <c r="BQS1053" s="989"/>
      <c r="BQT1053" s="989"/>
      <c r="BQU1053" s="989"/>
      <c r="BQV1053" s="989"/>
      <c r="BQW1053" s="989"/>
      <c r="BQX1053" s="989"/>
      <c r="BQY1053" s="989"/>
      <c r="BQZ1053" s="989"/>
      <c r="BRA1053" s="989"/>
      <c r="BRB1053" s="989"/>
      <c r="BRC1053" s="989"/>
      <c r="BRD1053" s="989"/>
      <c r="BRE1053" s="989"/>
      <c r="BRF1053" s="989"/>
      <c r="BRG1053" s="989"/>
      <c r="BRH1053" s="989"/>
      <c r="BRI1053" s="989"/>
      <c r="BRJ1053" s="989"/>
      <c r="BRK1053" s="989"/>
      <c r="BRL1053" s="989"/>
      <c r="BRM1053" s="989"/>
      <c r="BRN1053" s="989"/>
      <c r="BRO1053" s="989"/>
      <c r="BRP1053" s="989"/>
      <c r="BRQ1053" s="989"/>
      <c r="BRR1053" s="989"/>
      <c r="BRS1053" s="989"/>
      <c r="BRT1053" s="989"/>
      <c r="BRU1053" s="989"/>
      <c r="BRV1053" s="989"/>
      <c r="BRW1053" s="989"/>
      <c r="BRX1053" s="989"/>
      <c r="BRY1053" s="989"/>
      <c r="BRZ1053" s="989"/>
      <c r="BSA1053" s="989"/>
      <c r="BSB1053" s="989"/>
      <c r="BSC1053" s="989"/>
      <c r="BSD1053" s="989"/>
      <c r="BSE1053" s="989"/>
      <c r="BSF1053" s="989"/>
      <c r="BSG1053" s="989"/>
      <c r="BSH1053" s="989"/>
      <c r="BSI1053" s="989"/>
      <c r="BSJ1053" s="989"/>
      <c r="BSK1053" s="989"/>
      <c r="BSL1053" s="989"/>
      <c r="BSM1053" s="989"/>
      <c r="BSN1053" s="989"/>
      <c r="BSO1053" s="989"/>
      <c r="BSP1053" s="989"/>
      <c r="BSQ1053" s="989"/>
      <c r="BSR1053" s="989"/>
      <c r="BSS1053" s="989"/>
      <c r="BST1053" s="989"/>
      <c r="BSU1053" s="989"/>
      <c r="BSV1053" s="989"/>
      <c r="BSW1053" s="989"/>
      <c r="BSX1053" s="989"/>
      <c r="BSY1053" s="989"/>
      <c r="BSZ1053" s="989"/>
      <c r="BTA1053" s="989"/>
      <c r="BTB1053" s="989"/>
      <c r="BTC1053" s="989"/>
      <c r="BTD1053" s="989"/>
      <c r="BTE1053" s="989"/>
      <c r="BTF1053" s="989"/>
      <c r="BTG1053" s="989"/>
      <c r="BTH1053" s="989"/>
      <c r="BTI1053" s="989"/>
      <c r="BTJ1053" s="989"/>
      <c r="BTK1053" s="989"/>
      <c r="BTL1053" s="989"/>
      <c r="BTM1053" s="989"/>
      <c r="BTN1053" s="989"/>
      <c r="BTO1053" s="989"/>
      <c r="BTP1053" s="989"/>
      <c r="BTQ1053" s="989"/>
      <c r="BTR1053" s="989"/>
      <c r="BTS1053" s="989"/>
      <c r="BTT1053" s="989"/>
      <c r="BTU1053" s="989"/>
      <c r="BTV1053" s="989"/>
      <c r="BTW1053" s="989"/>
      <c r="BTX1053" s="989"/>
      <c r="BTY1053" s="989"/>
      <c r="BTZ1053" s="989"/>
      <c r="BUA1053" s="989"/>
      <c r="BUB1053" s="989"/>
      <c r="BUC1053" s="989"/>
      <c r="BUD1053" s="989"/>
      <c r="BUE1053" s="989"/>
      <c r="BUF1053" s="989"/>
      <c r="BUG1053" s="989"/>
      <c r="BUH1053" s="989"/>
      <c r="BUI1053" s="989"/>
      <c r="BUJ1053" s="989"/>
      <c r="BUK1053" s="989"/>
      <c r="BUL1053" s="989"/>
      <c r="BUM1053" s="989"/>
      <c r="BUN1053" s="989"/>
      <c r="BUO1053" s="989"/>
      <c r="BUP1053" s="989"/>
      <c r="BUQ1053" s="989"/>
      <c r="BUR1053" s="989"/>
      <c r="BUS1053" s="989"/>
      <c r="BUT1053" s="989"/>
      <c r="BUU1053" s="989"/>
      <c r="BUV1053" s="989"/>
      <c r="BUW1053" s="989"/>
      <c r="BUX1053" s="989"/>
      <c r="BUY1053" s="989"/>
      <c r="BUZ1053" s="989"/>
      <c r="BVA1053" s="989"/>
      <c r="BVB1053" s="989"/>
      <c r="BVC1053" s="989"/>
      <c r="BVD1053" s="989"/>
      <c r="BVE1053" s="989"/>
      <c r="BVF1053" s="989"/>
      <c r="BVG1053" s="989"/>
      <c r="BVH1053" s="989"/>
      <c r="BVI1053" s="989"/>
      <c r="BVJ1053" s="989"/>
      <c r="BVK1053" s="989"/>
      <c r="BVL1053" s="989"/>
      <c r="BVM1053" s="989"/>
      <c r="BVN1053" s="989"/>
      <c r="BVO1053" s="989"/>
      <c r="BVP1053" s="989"/>
      <c r="BVQ1053" s="989"/>
      <c r="BVR1053" s="989"/>
      <c r="BVS1053" s="989"/>
      <c r="BVT1053" s="989"/>
      <c r="BVU1053" s="989"/>
      <c r="BVV1053" s="989"/>
      <c r="BVW1053" s="989"/>
      <c r="BVX1053" s="989"/>
      <c r="BVY1053" s="989"/>
      <c r="BVZ1053" s="989"/>
      <c r="BWA1053" s="989"/>
      <c r="BWB1053" s="989"/>
      <c r="BWC1053" s="989"/>
      <c r="BWD1053" s="989"/>
      <c r="BWE1053" s="989"/>
      <c r="BWF1053" s="989"/>
      <c r="BWG1053" s="989"/>
      <c r="BWH1053" s="989"/>
      <c r="BWI1053" s="989"/>
      <c r="BWJ1053" s="989"/>
      <c r="BWK1053" s="989"/>
      <c r="BWL1053" s="989"/>
      <c r="BWM1053" s="989"/>
      <c r="BWN1053" s="989"/>
      <c r="BWO1053" s="989"/>
      <c r="BWP1053" s="989"/>
      <c r="BWQ1053" s="989"/>
      <c r="BWR1053" s="989"/>
      <c r="BWS1053" s="989"/>
      <c r="BWT1053" s="989"/>
      <c r="BWU1053" s="989"/>
      <c r="BWV1053" s="989"/>
      <c r="BWW1053" s="989"/>
      <c r="BWX1053" s="989"/>
      <c r="BWY1053" s="989"/>
      <c r="BWZ1053" s="989"/>
      <c r="BXA1053" s="989"/>
      <c r="BXB1053" s="989"/>
      <c r="BXC1053" s="989"/>
      <c r="BXD1053" s="989"/>
      <c r="BXE1053" s="989"/>
      <c r="BXF1053" s="989"/>
      <c r="BXG1053" s="989"/>
      <c r="BXH1053" s="989"/>
      <c r="BXI1053" s="989"/>
      <c r="BXJ1053" s="989"/>
      <c r="BXK1053" s="989"/>
      <c r="BXL1053" s="989"/>
      <c r="BXM1053" s="989"/>
      <c r="BXN1053" s="989"/>
      <c r="BXO1053" s="989"/>
      <c r="BXP1053" s="989"/>
      <c r="BXQ1053" s="989"/>
      <c r="BXR1053" s="989"/>
      <c r="BXS1053" s="989"/>
      <c r="BXT1053" s="989"/>
      <c r="BXU1053" s="989"/>
      <c r="BXV1053" s="989"/>
      <c r="BXW1053" s="989"/>
      <c r="BXX1053" s="989"/>
      <c r="BXY1053" s="989"/>
      <c r="BXZ1053" s="989"/>
      <c r="BYA1053" s="989"/>
      <c r="BYB1053" s="989"/>
      <c r="BYC1053" s="989"/>
      <c r="BYD1053" s="989"/>
      <c r="BYE1053" s="989"/>
      <c r="BYF1053" s="989"/>
      <c r="BYG1053" s="989"/>
      <c r="BYH1053" s="989"/>
      <c r="BYI1053" s="989"/>
      <c r="BYJ1053" s="989"/>
      <c r="BYK1053" s="989"/>
      <c r="BYL1053" s="989"/>
      <c r="BYM1053" s="989"/>
      <c r="BYN1053" s="989"/>
      <c r="BYO1053" s="989"/>
      <c r="BYP1053" s="989"/>
      <c r="BYQ1053" s="989"/>
      <c r="BYR1053" s="989"/>
      <c r="BYS1053" s="989"/>
      <c r="BYT1053" s="989"/>
      <c r="BYU1053" s="989"/>
      <c r="BYV1053" s="989"/>
      <c r="BYW1053" s="989"/>
      <c r="BYX1053" s="989"/>
      <c r="BYY1053" s="989"/>
      <c r="BYZ1053" s="989"/>
      <c r="BZA1053" s="989"/>
      <c r="BZB1053" s="989"/>
      <c r="BZC1053" s="989"/>
      <c r="BZD1053" s="989"/>
      <c r="BZE1053" s="989"/>
      <c r="BZF1053" s="989"/>
      <c r="BZG1053" s="989"/>
      <c r="BZH1053" s="989"/>
      <c r="BZI1053" s="989"/>
      <c r="BZJ1053" s="989"/>
      <c r="BZK1053" s="989"/>
      <c r="BZL1053" s="989"/>
      <c r="BZM1053" s="989"/>
      <c r="BZN1053" s="989"/>
      <c r="BZO1053" s="989"/>
      <c r="BZP1053" s="989"/>
      <c r="BZQ1053" s="989"/>
      <c r="BZR1053" s="989"/>
      <c r="BZS1053" s="989"/>
      <c r="BZT1053" s="989"/>
      <c r="BZU1053" s="989"/>
      <c r="BZV1053" s="989"/>
      <c r="BZW1053" s="989"/>
      <c r="BZX1053" s="989"/>
      <c r="BZY1053" s="989"/>
      <c r="BZZ1053" s="989"/>
      <c r="CAA1053" s="989"/>
      <c r="CAB1053" s="989"/>
      <c r="CAC1053" s="989"/>
      <c r="CAD1053" s="989"/>
      <c r="CAE1053" s="989"/>
      <c r="CAF1053" s="989"/>
      <c r="CAG1053" s="989"/>
      <c r="CAH1053" s="989"/>
      <c r="CAI1053" s="989"/>
      <c r="CAJ1053" s="989"/>
      <c r="CAK1053" s="989"/>
      <c r="CAL1053" s="989"/>
      <c r="CAM1053" s="989"/>
      <c r="CAN1053" s="989"/>
      <c r="CAO1053" s="989"/>
      <c r="CAP1053" s="989"/>
      <c r="CAQ1053" s="989"/>
      <c r="CAR1053" s="989"/>
      <c r="CAS1053" s="989"/>
      <c r="CAT1053" s="989"/>
      <c r="CAU1053" s="989"/>
      <c r="CAV1053" s="989"/>
      <c r="CAW1053" s="989"/>
      <c r="CAX1053" s="989"/>
      <c r="CAY1053" s="989"/>
      <c r="CAZ1053" s="989"/>
      <c r="CBA1053" s="989"/>
      <c r="CBB1053" s="989"/>
      <c r="CBC1053" s="989"/>
      <c r="CBD1053" s="989"/>
      <c r="CBE1053" s="989"/>
      <c r="CBF1053" s="989"/>
      <c r="CBG1053" s="989"/>
      <c r="CBH1053" s="989"/>
      <c r="CBI1053" s="989"/>
      <c r="CBJ1053" s="989"/>
      <c r="CBK1053" s="989"/>
      <c r="CBL1053" s="989"/>
      <c r="CBM1053" s="989"/>
      <c r="CBN1053" s="989"/>
      <c r="CBO1053" s="989"/>
      <c r="CBP1053" s="989"/>
      <c r="CBQ1053" s="989"/>
      <c r="CBR1053" s="989"/>
      <c r="CBS1053" s="989"/>
      <c r="CBT1053" s="989"/>
      <c r="CBU1053" s="989"/>
      <c r="CBV1053" s="989"/>
      <c r="CBW1053" s="989"/>
      <c r="CBX1053" s="989"/>
      <c r="CBY1053" s="989"/>
      <c r="CBZ1053" s="989"/>
      <c r="CCA1053" s="989"/>
      <c r="CCB1053" s="989"/>
      <c r="CCC1053" s="989"/>
      <c r="CCD1053" s="989"/>
      <c r="CCE1053" s="989"/>
      <c r="CCF1053" s="989"/>
      <c r="CCG1053" s="989"/>
      <c r="CCH1053" s="989"/>
      <c r="CCI1053" s="989"/>
      <c r="CCJ1053" s="989"/>
      <c r="CCK1053" s="989"/>
      <c r="CCL1053" s="989"/>
      <c r="CCM1053" s="989"/>
      <c r="CCN1053" s="989"/>
      <c r="CCO1053" s="989"/>
      <c r="CCP1053" s="989"/>
      <c r="CCQ1053" s="989"/>
      <c r="CCR1053" s="989"/>
      <c r="CCS1053" s="989"/>
      <c r="CCT1053" s="989"/>
      <c r="CCU1053" s="989"/>
      <c r="CCV1053" s="989"/>
      <c r="CCW1053" s="989"/>
      <c r="CCX1053" s="989"/>
      <c r="CCY1053" s="989"/>
      <c r="CCZ1053" s="989"/>
      <c r="CDA1053" s="989"/>
      <c r="CDB1053" s="989"/>
      <c r="CDC1053" s="989"/>
      <c r="CDD1053" s="989"/>
      <c r="CDE1053" s="989"/>
      <c r="CDF1053" s="989"/>
      <c r="CDG1053" s="989"/>
      <c r="CDH1053" s="989"/>
      <c r="CDI1053" s="989"/>
      <c r="CDJ1053" s="989"/>
      <c r="CDK1053" s="989"/>
      <c r="CDL1053" s="989"/>
      <c r="CDM1053" s="989"/>
      <c r="CDN1053" s="989"/>
      <c r="CDO1053" s="989"/>
      <c r="CDP1053" s="989"/>
      <c r="CDQ1053" s="989"/>
      <c r="CDR1053" s="989"/>
      <c r="CDS1053" s="989"/>
      <c r="CDT1053" s="989"/>
      <c r="CDU1053" s="989"/>
      <c r="CDV1053" s="989"/>
      <c r="CDW1053" s="989"/>
      <c r="CDX1053" s="989"/>
      <c r="CDY1053" s="989"/>
      <c r="CDZ1053" s="989"/>
      <c r="CEA1053" s="989"/>
      <c r="CEB1053" s="989"/>
      <c r="CEC1053" s="989"/>
      <c r="CED1053" s="989"/>
      <c r="CEE1053" s="989"/>
      <c r="CEF1053" s="989"/>
      <c r="CEG1053" s="989"/>
      <c r="CEH1053" s="989"/>
      <c r="CEI1053" s="989"/>
      <c r="CEJ1053" s="989"/>
      <c r="CEK1053" s="989"/>
      <c r="CEL1053" s="989"/>
      <c r="CEM1053" s="989"/>
      <c r="CEN1053" s="989"/>
      <c r="CEO1053" s="989"/>
      <c r="CEP1053" s="989"/>
      <c r="CEQ1053" s="989"/>
      <c r="CER1053" s="989"/>
      <c r="CES1053" s="989"/>
      <c r="CET1053" s="989"/>
      <c r="CEU1053" s="989"/>
      <c r="CEV1053" s="989"/>
      <c r="CEW1053" s="989"/>
      <c r="CEX1053" s="989"/>
      <c r="CEY1053" s="989"/>
      <c r="CEZ1053" s="989"/>
      <c r="CFA1053" s="989"/>
      <c r="CFB1053" s="989"/>
      <c r="CFC1053" s="989"/>
      <c r="CFD1053" s="989"/>
      <c r="CFE1053" s="989"/>
      <c r="CFF1053" s="989"/>
      <c r="CFG1053" s="989"/>
      <c r="CFH1053" s="989"/>
      <c r="CFI1053" s="989"/>
      <c r="CFJ1053" s="989"/>
      <c r="CFK1053" s="989"/>
      <c r="CFL1053" s="989"/>
      <c r="CFM1053" s="989"/>
      <c r="CFN1053" s="989"/>
      <c r="CFO1053" s="989"/>
      <c r="CFP1053" s="989"/>
      <c r="CFQ1053" s="989"/>
      <c r="CFR1053" s="989"/>
      <c r="CFS1053" s="989"/>
      <c r="CFT1053" s="989"/>
      <c r="CFU1053" s="989"/>
      <c r="CFV1053" s="989"/>
      <c r="CFW1053" s="989"/>
      <c r="CFX1053" s="989"/>
      <c r="CFY1053" s="989"/>
      <c r="CFZ1053" s="989"/>
      <c r="CGA1053" s="989"/>
      <c r="CGB1053" s="989"/>
      <c r="CGC1053" s="989"/>
      <c r="CGD1053" s="989"/>
      <c r="CGE1053" s="989"/>
      <c r="CGF1053" s="989"/>
      <c r="CGG1053" s="989"/>
      <c r="CGH1053" s="989"/>
      <c r="CGI1053" s="989"/>
      <c r="CGJ1053" s="989"/>
      <c r="CGK1053" s="989"/>
      <c r="CGL1053" s="989"/>
      <c r="CGM1053" s="989"/>
      <c r="CGN1053" s="989"/>
      <c r="CGO1053" s="989"/>
      <c r="CGP1053" s="989"/>
      <c r="CGQ1053" s="989"/>
      <c r="CGR1053" s="989"/>
      <c r="CGS1053" s="989"/>
      <c r="CGT1053" s="989"/>
      <c r="CGU1053" s="989"/>
      <c r="CGV1053" s="989"/>
      <c r="CGW1053" s="989"/>
      <c r="CGX1053" s="989"/>
      <c r="CGY1053" s="989"/>
      <c r="CGZ1053" s="989"/>
      <c r="CHA1053" s="989"/>
      <c r="CHB1053" s="989"/>
      <c r="CHC1053" s="989"/>
      <c r="CHD1053" s="989"/>
      <c r="CHE1053" s="989"/>
      <c r="CHF1053" s="989"/>
      <c r="CHG1053" s="989"/>
      <c r="CHH1053" s="989"/>
      <c r="CHI1053" s="989"/>
      <c r="CHJ1053" s="989"/>
      <c r="CHK1053" s="989"/>
      <c r="CHL1053" s="989"/>
      <c r="CHM1053" s="989"/>
      <c r="CHN1053" s="989"/>
      <c r="CHO1053" s="989"/>
      <c r="CHP1053" s="989"/>
      <c r="CHQ1053" s="989"/>
      <c r="CHR1053" s="989"/>
      <c r="CHS1053" s="989"/>
      <c r="CHT1053" s="989"/>
      <c r="CHU1053" s="989"/>
      <c r="CHV1053" s="989"/>
      <c r="CHW1053" s="989"/>
      <c r="CHX1053" s="989"/>
      <c r="CHY1053" s="989"/>
      <c r="CHZ1053" s="989"/>
      <c r="CIA1053" s="989"/>
      <c r="CIB1053" s="989"/>
      <c r="CIC1053" s="989"/>
      <c r="CID1053" s="989"/>
      <c r="CIE1053" s="989"/>
      <c r="CIF1053" s="989"/>
      <c r="CIG1053" s="989"/>
      <c r="CIH1053" s="989"/>
      <c r="CII1053" s="989"/>
      <c r="CIJ1053" s="989"/>
      <c r="CIK1053" s="989"/>
      <c r="CIL1053" s="989"/>
      <c r="CIM1053" s="989"/>
      <c r="CIN1053" s="989"/>
      <c r="CIO1053" s="989"/>
      <c r="CIP1053" s="989"/>
      <c r="CIQ1053" s="989"/>
      <c r="CIR1053" s="989"/>
      <c r="CIS1053" s="989"/>
      <c r="CIT1053" s="989"/>
      <c r="CIU1053" s="989"/>
      <c r="CIV1053" s="989"/>
      <c r="CIW1053" s="989"/>
      <c r="CIX1053" s="989"/>
      <c r="CIY1053" s="989"/>
      <c r="CIZ1053" s="989"/>
      <c r="CJA1053" s="989"/>
      <c r="CJB1053" s="989"/>
      <c r="CJC1053" s="989"/>
      <c r="CJD1053" s="989"/>
      <c r="CJE1053" s="989"/>
      <c r="CJF1053" s="989"/>
      <c r="CJG1053" s="989"/>
      <c r="CJH1053" s="989"/>
      <c r="CJI1053" s="989"/>
      <c r="CJJ1053" s="989"/>
      <c r="CJK1053" s="989"/>
      <c r="CJL1053" s="989"/>
      <c r="CJM1053" s="989"/>
      <c r="CJN1053" s="989"/>
      <c r="CJO1053" s="989"/>
      <c r="CJP1053" s="989"/>
      <c r="CJQ1053" s="989"/>
      <c r="CJR1053" s="989"/>
      <c r="CJS1053" s="989"/>
      <c r="CJT1053" s="989"/>
      <c r="CJU1053" s="989"/>
      <c r="CJV1053" s="989"/>
      <c r="CJW1053" s="989"/>
      <c r="CJX1053" s="989"/>
      <c r="CJY1053" s="989"/>
      <c r="CJZ1053" s="989"/>
      <c r="CKA1053" s="989"/>
      <c r="CKB1053" s="989"/>
      <c r="CKC1053" s="989"/>
      <c r="CKD1053" s="989"/>
      <c r="CKE1053" s="989"/>
      <c r="CKF1053" s="989"/>
      <c r="CKG1053" s="989"/>
      <c r="CKH1053" s="989"/>
      <c r="CKI1053" s="989"/>
      <c r="CKJ1053" s="989"/>
      <c r="CKK1053" s="989"/>
      <c r="CKL1053" s="989"/>
      <c r="CKM1053" s="989"/>
      <c r="CKN1053" s="989"/>
      <c r="CKO1053" s="989"/>
      <c r="CKP1053" s="989"/>
      <c r="CKQ1053" s="989"/>
      <c r="CKR1053" s="989"/>
      <c r="CKS1053" s="989"/>
      <c r="CKT1053" s="989"/>
      <c r="CKU1053" s="989"/>
      <c r="CKV1053" s="989"/>
      <c r="CKW1053" s="989"/>
      <c r="CKX1053" s="989"/>
      <c r="CKY1053" s="989"/>
      <c r="CKZ1053" s="989"/>
      <c r="CLA1053" s="989"/>
      <c r="CLB1053" s="989"/>
      <c r="CLC1053" s="989"/>
      <c r="CLD1053" s="989"/>
      <c r="CLE1053" s="989"/>
      <c r="CLF1053" s="989"/>
      <c r="CLG1053" s="989"/>
      <c r="CLH1053" s="989"/>
      <c r="CLI1053" s="989"/>
      <c r="CLJ1053" s="989"/>
      <c r="CLK1053" s="989"/>
      <c r="CLL1053" s="989"/>
      <c r="CLM1053" s="989"/>
      <c r="CLN1053" s="989"/>
      <c r="CLO1053" s="989"/>
      <c r="CLP1053" s="989"/>
      <c r="CLQ1053" s="989"/>
      <c r="CLR1053" s="989"/>
      <c r="CLS1053" s="989"/>
      <c r="CLT1053" s="989"/>
      <c r="CLU1053" s="989"/>
      <c r="CLV1053" s="989"/>
      <c r="CLW1053" s="989"/>
      <c r="CLX1053" s="989"/>
      <c r="CLY1053" s="989"/>
      <c r="CLZ1053" s="989"/>
      <c r="CMA1053" s="989"/>
      <c r="CMB1053" s="989"/>
      <c r="CMC1053" s="989"/>
      <c r="CMD1053" s="989"/>
      <c r="CME1053" s="989"/>
      <c r="CMF1053" s="989"/>
      <c r="CMG1053" s="989"/>
      <c r="CMH1053" s="989"/>
      <c r="CMI1053" s="989"/>
      <c r="CMJ1053" s="989"/>
      <c r="CMK1053" s="989"/>
      <c r="CML1053" s="989"/>
      <c r="CMM1053" s="989"/>
      <c r="CMN1053" s="989"/>
      <c r="CMO1053" s="989"/>
      <c r="CMP1053" s="989"/>
      <c r="CMQ1053" s="989"/>
      <c r="CMR1053" s="989"/>
      <c r="CMS1053" s="989"/>
      <c r="CMT1053" s="989"/>
      <c r="CMU1053" s="989"/>
      <c r="CMV1053" s="989"/>
      <c r="CMW1053" s="989"/>
      <c r="CMX1053" s="989"/>
      <c r="CMY1053" s="989"/>
      <c r="CMZ1053" s="989"/>
      <c r="CNA1053" s="989"/>
      <c r="CNB1053" s="989"/>
      <c r="CNC1053" s="989"/>
      <c r="CND1053" s="989"/>
      <c r="CNE1053" s="989"/>
      <c r="CNF1053" s="989"/>
      <c r="CNG1053" s="989"/>
      <c r="CNH1053" s="989"/>
      <c r="CNI1053" s="989"/>
      <c r="CNJ1053" s="989"/>
      <c r="CNK1053" s="989"/>
      <c r="CNL1053" s="989"/>
      <c r="CNM1053" s="989"/>
      <c r="CNN1053" s="989"/>
      <c r="CNO1053" s="989"/>
      <c r="CNP1053" s="989"/>
      <c r="CNQ1053" s="989"/>
      <c r="CNR1053" s="989"/>
      <c r="CNS1053" s="989"/>
      <c r="CNT1053" s="989"/>
      <c r="CNU1053" s="989"/>
      <c r="CNV1053" s="989"/>
      <c r="CNW1053" s="989"/>
      <c r="CNX1053" s="989"/>
      <c r="CNY1053" s="989"/>
      <c r="CNZ1053" s="989"/>
      <c r="COA1053" s="989"/>
      <c r="COB1053" s="989"/>
      <c r="COC1053" s="989"/>
      <c r="COD1053" s="989"/>
      <c r="COE1053" s="989"/>
      <c r="COF1053" s="989"/>
      <c r="COG1053" s="989"/>
      <c r="COH1053" s="989"/>
      <c r="COI1053" s="989"/>
      <c r="COJ1053" s="989"/>
      <c r="COK1053" s="989"/>
      <c r="COL1053" s="989"/>
      <c r="COM1053" s="989"/>
      <c r="CON1053" s="989"/>
      <c r="COO1053" s="989"/>
      <c r="COP1053" s="989"/>
      <c r="COQ1053" s="989"/>
      <c r="COR1053" s="989"/>
      <c r="COS1053" s="989"/>
      <c r="COT1053" s="989"/>
      <c r="COU1053" s="989"/>
      <c r="COV1053" s="989"/>
      <c r="COW1053" s="989"/>
      <c r="COX1053" s="989"/>
      <c r="COY1053" s="989"/>
      <c r="COZ1053" s="989"/>
      <c r="CPA1053" s="989"/>
      <c r="CPB1053" s="989"/>
      <c r="CPC1053" s="989"/>
      <c r="CPD1053" s="989"/>
      <c r="CPE1053" s="989"/>
      <c r="CPF1053" s="989"/>
      <c r="CPG1053" s="989"/>
      <c r="CPH1053" s="989"/>
      <c r="CPI1053" s="989"/>
      <c r="CPJ1053" s="989"/>
      <c r="CPK1053" s="989"/>
      <c r="CPL1053" s="989"/>
      <c r="CPM1053" s="989"/>
      <c r="CPN1053" s="989"/>
      <c r="CPO1053" s="989"/>
      <c r="CPP1053" s="989"/>
      <c r="CPQ1053" s="989"/>
      <c r="CPR1053" s="989"/>
      <c r="CPS1053" s="989"/>
      <c r="CPT1053" s="989"/>
      <c r="CPU1053" s="989"/>
      <c r="CPV1053" s="989"/>
      <c r="CPW1053" s="989"/>
      <c r="CPX1053" s="989"/>
      <c r="CPY1053" s="989"/>
      <c r="CPZ1053" s="989"/>
      <c r="CQA1053" s="989"/>
      <c r="CQB1053" s="989"/>
      <c r="CQC1053" s="989"/>
      <c r="CQD1053" s="989"/>
      <c r="CQE1053" s="989"/>
      <c r="CQF1053" s="989"/>
      <c r="CQG1053" s="989"/>
      <c r="CQH1053" s="989"/>
      <c r="CQI1053" s="989"/>
      <c r="CQJ1053" s="989"/>
      <c r="CQK1053" s="989"/>
      <c r="CQL1053" s="989"/>
      <c r="CQM1053" s="989"/>
      <c r="CQN1053" s="989"/>
      <c r="CQO1053" s="989"/>
      <c r="CQP1053" s="989"/>
      <c r="CQQ1053" s="989"/>
      <c r="CQR1053" s="989"/>
      <c r="CQS1053" s="989"/>
      <c r="CQT1053" s="989"/>
      <c r="CQU1053" s="989"/>
      <c r="CQV1053" s="989"/>
      <c r="CQW1053" s="989"/>
      <c r="CQX1053" s="989"/>
      <c r="CQY1053" s="989"/>
      <c r="CQZ1053" s="989"/>
      <c r="CRA1053" s="989"/>
      <c r="CRB1053" s="989"/>
      <c r="CRC1053" s="989"/>
      <c r="CRD1053" s="989"/>
      <c r="CRE1053" s="989"/>
      <c r="CRF1053" s="989"/>
      <c r="CRG1053" s="989"/>
      <c r="CRH1053" s="989"/>
      <c r="CRI1053" s="989"/>
      <c r="CRJ1053" s="989"/>
      <c r="CRK1053" s="989"/>
      <c r="CRL1053" s="989"/>
      <c r="CRM1053" s="989"/>
      <c r="CRN1053" s="989"/>
      <c r="CRO1053" s="989"/>
      <c r="CRP1053" s="989"/>
      <c r="CRQ1053" s="989"/>
      <c r="CRR1053" s="989"/>
      <c r="CRS1053" s="989"/>
      <c r="CRT1053" s="989"/>
      <c r="CRU1053" s="989"/>
      <c r="CRV1053" s="989"/>
      <c r="CRW1053" s="989"/>
      <c r="CRX1053" s="989"/>
      <c r="CRY1053" s="989"/>
      <c r="CRZ1053" s="989"/>
      <c r="CSA1053" s="989"/>
      <c r="CSB1053" s="989"/>
      <c r="CSC1053" s="989"/>
      <c r="CSD1053" s="989"/>
      <c r="CSE1053" s="989"/>
      <c r="CSF1053" s="989"/>
      <c r="CSG1053" s="989"/>
      <c r="CSH1053" s="989"/>
      <c r="CSI1053" s="989"/>
      <c r="CSJ1053" s="989"/>
      <c r="CSK1053" s="989"/>
      <c r="CSL1053" s="989"/>
      <c r="CSM1053" s="989"/>
      <c r="CSN1053" s="989"/>
      <c r="CSO1053" s="989"/>
      <c r="CSP1053" s="989"/>
      <c r="CSQ1053" s="989"/>
      <c r="CSR1053" s="989"/>
      <c r="CSS1053" s="989"/>
      <c r="CST1053" s="989"/>
      <c r="CSU1053" s="989"/>
      <c r="CSV1053" s="989"/>
      <c r="CSW1053" s="989"/>
      <c r="CSX1053" s="989"/>
      <c r="CSY1053" s="989"/>
      <c r="CSZ1053" s="989"/>
      <c r="CTA1053" s="989"/>
      <c r="CTB1053" s="989"/>
      <c r="CTC1053" s="989"/>
      <c r="CTD1053" s="989"/>
      <c r="CTE1053" s="989"/>
      <c r="CTF1053" s="989"/>
      <c r="CTG1053" s="989"/>
      <c r="CTH1053" s="989"/>
      <c r="CTI1053" s="989"/>
      <c r="CTJ1053" s="989"/>
      <c r="CTK1053" s="989"/>
      <c r="CTL1053" s="989"/>
      <c r="CTM1053" s="989"/>
      <c r="CTN1053" s="989"/>
      <c r="CTO1053" s="989"/>
      <c r="CTP1053" s="989"/>
      <c r="CTQ1053" s="989"/>
      <c r="CTR1053" s="989"/>
      <c r="CTS1053" s="989"/>
      <c r="CTT1053" s="989"/>
      <c r="CTU1053" s="989"/>
      <c r="CTV1053" s="989"/>
      <c r="CTW1053" s="989"/>
      <c r="CTX1053" s="989"/>
      <c r="CTY1053" s="989"/>
      <c r="CTZ1053" s="989"/>
      <c r="CUA1053" s="989"/>
      <c r="CUB1053" s="989"/>
      <c r="CUC1053" s="989"/>
      <c r="CUD1053" s="989"/>
      <c r="CUE1053" s="989"/>
      <c r="CUF1053" s="989"/>
      <c r="CUG1053" s="989"/>
      <c r="CUH1053" s="989"/>
      <c r="CUI1053" s="989"/>
      <c r="CUJ1053" s="989"/>
      <c r="CUK1053" s="989"/>
      <c r="CUL1053" s="989"/>
      <c r="CUM1053" s="989"/>
      <c r="CUN1053" s="989"/>
      <c r="CUO1053" s="989"/>
      <c r="CUP1053" s="989"/>
      <c r="CUQ1053" s="989"/>
      <c r="CUR1053" s="989"/>
      <c r="CUS1053" s="989"/>
      <c r="CUT1053" s="989"/>
      <c r="CUU1053" s="989"/>
      <c r="CUV1053" s="989"/>
      <c r="CUW1053" s="989"/>
      <c r="CUX1053" s="989"/>
      <c r="CUY1053" s="989"/>
      <c r="CUZ1053" s="989"/>
      <c r="CVA1053" s="989"/>
      <c r="CVB1053" s="989"/>
      <c r="CVC1053" s="989"/>
      <c r="CVD1053" s="989"/>
      <c r="CVE1053" s="989"/>
      <c r="CVF1053" s="989"/>
      <c r="CVG1053" s="989"/>
      <c r="CVH1053" s="989"/>
      <c r="CVI1053" s="989"/>
      <c r="CVJ1053" s="989"/>
      <c r="CVK1053" s="989"/>
      <c r="CVL1053" s="989"/>
      <c r="CVM1053" s="989"/>
      <c r="CVN1053" s="989"/>
      <c r="CVO1053" s="989"/>
      <c r="CVP1053" s="989"/>
      <c r="CVQ1053" s="989"/>
      <c r="CVR1053" s="989"/>
      <c r="CVS1053" s="989"/>
      <c r="CVT1053" s="989"/>
      <c r="CVU1053" s="989"/>
      <c r="CVV1053" s="989"/>
      <c r="CVW1053" s="989"/>
      <c r="CVX1053" s="989"/>
      <c r="CVY1053" s="989"/>
      <c r="CVZ1053" s="989"/>
      <c r="CWA1053" s="989"/>
      <c r="CWB1053" s="989"/>
      <c r="CWC1053" s="989"/>
      <c r="CWD1053" s="989"/>
      <c r="CWE1053" s="989"/>
      <c r="CWF1053" s="989"/>
      <c r="CWG1053" s="989"/>
      <c r="CWH1053" s="989"/>
      <c r="CWI1053" s="989"/>
      <c r="CWJ1053" s="989"/>
      <c r="CWK1053" s="989"/>
      <c r="CWL1053" s="989"/>
      <c r="CWM1053" s="989"/>
      <c r="CWN1053" s="989"/>
      <c r="CWO1053" s="989"/>
      <c r="CWP1053" s="989"/>
      <c r="CWQ1053" s="989"/>
      <c r="CWR1053" s="989"/>
      <c r="CWS1053" s="989"/>
      <c r="CWT1053" s="989"/>
      <c r="CWU1053" s="989"/>
      <c r="CWV1053" s="989"/>
      <c r="CWW1053" s="989"/>
      <c r="CWX1053" s="989"/>
      <c r="CWY1053" s="989"/>
      <c r="CWZ1053" s="989"/>
      <c r="CXA1053" s="989"/>
      <c r="CXB1053" s="989"/>
      <c r="CXC1053" s="989"/>
      <c r="CXD1053" s="989"/>
      <c r="CXE1053" s="989"/>
      <c r="CXF1053" s="989"/>
      <c r="CXG1053" s="989"/>
      <c r="CXH1053" s="989"/>
      <c r="CXI1053" s="989"/>
      <c r="CXJ1053" s="989"/>
      <c r="CXK1053" s="989"/>
      <c r="CXL1053" s="989"/>
      <c r="CXM1053" s="989"/>
      <c r="CXN1053" s="989"/>
      <c r="CXO1053" s="989"/>
      <c r="CXP1053" s="989"/>
      <c r="CXQ1053" s="989"/>
      <c r="CXR1053" s="989"/>
      <c r="CXS1053" s="989"/>
      <c r="CXT1053" s="989"/>
      <c r="CXU1053" s="989"/>
      <c r="CXV1053" s="989"/>
      <c r="CXW1053" s="989"/>
      <c r="CXX1053" s="989"/>
      <c r="CXY1053" s="989"/>
      <c r="CXZ1053" s="989"/>
      <c r="CYA1053" s="989"/>
      <c r="CYB1053" s="989"/>
      <c r="CYC1053" s="989"/>
      <c r="CYD1053" s="989"/>
      <c r="CYE1053" s="989"/>
      <c r="CYF1053" s="989"/>
      <c r="CYG1053" s="989"/>
      <c r="CYH1053" s="989"/>
      <c r="CYI1053" s="989"/>
      <c r="CYJ1053" s="989"/>
      <c r="CYK1053" s="989"/>
      <c r="CYL1053" s="989"/>
      <c r="CYM1053" s="989"/>
      <c r="CYN1053" s="989"/>
      <c r="CYO1053" s="989"/>
      <c r="CYP1053" s="989"/>
      <c r="CYQ1053" s="989"/>
      <c r="CYR1053" s="989"/>
      <c r="CYS1053" s="989"/>
      <c r="CYT1053" s="989"/>
      <c r="CYU1053" s="989"/>
      <c r="CYV1053" s="989"/>
      <c r="CYW1053" s="989"/>
      <c r="CYX1053" s="989"/>
      <c r="CYY1053" s="989"/>
      <c r="CYZ1053" s="989"/>
      <c r="CZA1053" s="989"/>
      <c r="CZB1053" s="989"/>
      <c r="CZC1053" s="989"/>
      <c r="CZD1053" s="989"/>
      <c r="CZE1053" s="989"/>
      <c r="CZF1053" s="989"/>
      <c r="CZG1053" s="989"/>
      <c r="CZH1053" s="989"/>
      <c r="CZI1053" s="989"/>
      <c r="CZJ1053" s="989"/>
      <c r="CZK1053" s="989"/>
      <c r="CZL1053" s="989"/>
      <c r="CZM1053" s="989"/>
      <c r="CZN1053" s="989"/>
      <c r="CZO1053" s="989"/>
      <c r="CZP1053" s="989"/>
      <c r="CZQ1053" s="989"/>
      <c r="CZR1053" s="989"/>
      <c r="CZS1053" s="989"/>
      <c r="CZT1053" s="989"/>
      <c r="CZU1053" s="989"/>
      <c r="CZV1053" s="989"/>
      <c r="CZW1053" s="989"/>
      <c r="CZX1053" s="989"/>
      <c r="CZY1053" s="989"/>
      <c r="CZZ1053" s="989"/>
      <c r="DAA1053" s="989"/>
      <c r="DAB1053" s="989"/>
      <c r="DAC1053" s="989"/>
      <c r="DAD1053" s="989"/>
      <c r="DAE1053" s="989"/>
      <c r="DAF1053" s="989"/>
      <c r="DAG1053" s="989"/>
      <c r="DAH1053" s="989"/>
      <c r="DAI1053" s="989"/>
      <c r="DAJ1053" s="989"/>
      <c r="DAK1053" s="989"/>
      <c r="DAL1053" s="989"/>
      <c r="DAM1053" s="989"/>
      <c r="DAN1053" s="989"/>
      <c r="DAO1053" s="989"/>
      <c r="DAP1053" s="989"/>
      <c r="DAQ1053" s="989"/>
      <c r="DAR1053" s="989"/>
      <c r="DAS1053" s="989"/>
      <c r="DAT1053" s="989"/>
      <c r="DAU1053" s="989"/>
      <c r="DAV1053" s="989"/>
      <c r="DAW1053" s="989"/>
      <c r="DAX1053" s="989"/>
      <c r="DAY1053" s="989"/>
      <c r="DAZ1053" s="989"/>
      <c r="DBA1053" s="989"/>
      <c r="DBB1053" s="989"/>
      <c r="DBC1053" s="989"/>
      <c r="DBD1053" s="989"/>
      <c r="DBE1053" s="989"/>
      <c r="DBF1053" s="989"/>
      <c r="DBG1053" s="989"/>
      <c r="DBH1053" s="989"/>
      <c r="DBI1053" s="989"/>
      <c r="DBJ1053" s="989"/>
      <c r="DBK1053" s="989"/>
      <c r="DBL1053" s="989"/>
      <c r="DBM1053" s="989"/>
      <c r="DBN1053" s="989"/>
      <c r="DBO1053" s="989"/>
      <c r="DBP1053" s="989"/>
      <c r="DBQ1053" s="989"/>
      <c r="DBR1053" s="989"/>
      <c r="DBS1053" s="989"/>
      <c r="DBT1053" s="989"/>
      <c r="DBU1053" s="989"/>
      <c r="DBV1053" s="989"/>
      <c r="DBW1053" s="989"/>
      <c r="DBX1053" s="989"/>
      <c r="DBY1053" s="989"/>
      <c r="DBZ1053" s="989"/>
      <c r="DCA1053" s="989"/>
      <c r="DCB1053" s="989"/>
      <c r="DCC1053" s="989"/>
      <c r="DCD1053" s="989"/>
      <c r="DCE1053" s="989"/>
      <c r="DCF1053" s="989"/>
      <c r="DCG1053" s="989"/>
      <c r="DCH1053" s="989"/>
      <c r="DCI1053" s="989"/>
      <c r="DCJ1053" s="989"/>
      <c r="DCK1053" s="989"/>
      <c r="DCL1053" s="989"/>
      <c r="DCM1053" s="989"/>
      <c r="DCN1053" s="989"/>
      <c r="DCO1053" s="989"/>
      <c r="DCP1053" s="989"/>
      <c r="DCQ1053" s="989"/>
      <c r="DCR1053" s="989"/>
      <c r="DCS1053" s="989"/>
      <c r="DCT1053" s="989"/>
      <c r="DCU1053" s="989"/>
      <c r="DCV1053" s="989"/>
      <c r="DCW1053" s="989"/>
      <c r="DCX1053" s="989"/>
      <c r="DCY1053" s="989"/>
      <c r="DCZ1053" s="989"/>
      <c r="DDA1053" s="989"/>
      <c r="DDB1053" s="989"/>
      <c r="DDC1053" s="989"/>
      <c r="DDD1053" s="989"/>
      <c r="DDE1053" s="989"/>
      <c r="DDF1053" s="989"/>
      <c r="DDG1053" s="989"/>
      <c r="DDH1053" s="989"/>
      <c r="DDI1053" s="989"/>
      <c r="DDJ1053" s="989"/>
      <c r="DDK1053" s="989"/>
      <c r="DDL1053" s="989"/>
      <c r="DDM1053" s="989"/>
      <c r="DDN1053" s="989"/>
      <c r="DDO1053" s="989"/>
      <c r="DDP1053" s="989"/>
      <c r="DDQ1053" s="989"/>
      <c r="DDR1053" s="989"/>
      <c r="DDS1053" s="989"/>
      <c r="DDT1053" s="989"/>
      <c r="DDU1053" s="989"/>
      <c r="DDV1053" s="989"/>
      <c r="DDW1053" s="989"/>
      <c r="DDX1053" s="989"/>
      <c r="DDY1053" s="989"/>
      <c r="DDZ1053" s="989"/>
      <c r="DEA1053" s="989"/>
      <c r="DEB1053" s="989"/>
      <c r="DEC1053" s="989"/>
      <c r="DED1053" s="989"/>
      <c r="DEE1053" s="989"/>
      <c r="DEF1053" s="989"/>
      <c r="DEG1053" s="989"/>
      <c r="DEH1053" s="989"/>
      <c r="DEI1053" s="989"/>
      <c r="DEJ1053" s="989"/>
      <c r="DEK1053" s="989"/>
      <c r="DEL1053" s="989"/>
      <c r="DEM1053" s="989"/>
      <c r="DEN1053" s="989"/>
      <c r="DEO1053" s="989"/>
      <c r="DEP1053" s="989"/>
      <c r="DEQ1053" s="989"/>
      <c r="DER1053" s="989"/>
      <c r="DES1053" s="989"/>
      <c r="DET1053" s="989"/>
      <c r="DEU1053" s="989"/>
      <c r="DEV1053" s="989"/>
      <c r="DEW1053" s="989"/>
      <c r="DEX1053" s="989"/>
      <c r="DEY1053" s="989"/>
      <c r="DEZ1053" s="989"/>
      <c r="DFA1053" s="989"/>
      <c r="DFB1053" s="989"/>
      <c r="DFC1053" s="989"/>
      <c r="DFD1053" s="989"/>
      <c r="DFE1053" s="989"/>
      <c r="DFF1053" s="989"/>
      <c r="DFG1053" s="989"/>
      <c r="DFH1053" s="989"/>
      <c r="DFI1053" s="989"/>
      <c r="DFJ1053" s="989"/>
      <c r="DFK1053" s="989"/>
      <c r="DFL1053" s="989"/>
      <c r="DFM1053" s="989"/>
      <c r="DFN1053" s="989"/>
      <c r="DFO1053" s="989"/>
      <c r="DFP1053" s="989"/>
      <c r="DFQ1053" s="989"/>
      <c r="DFR1053" s="989"/>
      <c r="DFS1053" s="989"/>
      <c r="DFT1053" s="989"/>
      <c r="DFU1053" s="989"/>
      <c r="DFV1053" s="989"/>
      <c r="DFW1053" s="989"/>
      <c r="DFX1053" s="989"/>
      <c r="DFY1053" s="989"/>
      <c r="DFZ1053" s="989"/>
      <c r="DGA1053" s="989"/>
      <c r="DGB1053" s="989"/>
      <c r="DGC1053" s="989"/>
      <c r="DGD1053" s="989"/>
      <c r="DGE1053" s="989"/>
      <c r="DGF1053" s="989"/>
      <c r="DGG1053" s="989"/>
      <c r="DGH1053" s="989"/>
      <c r="DGI1053" s="989"/>
      <c r="DGJ1053" s="989"/>
      <c r="DGK1053" s="989"/>
      <c r="DGL1053" s="989"/>
      <c r="DGM1053" s="989"/>
      <c r="DGN1053" s="989"/>
      <c r="DGO1053" s="989"/>
      <c r="DGP1053" s="989"/>
      <c r="DGQ1053" s="989"/>
      <c r="DGR1053" s="989"/>
      <c r="DGS1053" s="989"/>
      <c r="DGT1053" s="989"/>
      <c r="DGU1053" s="989"/>
      <c r="DGV1053" s="989"/>
      <c r="DGW1053" s="989"/>
      <c r="DGX1053" s="989"/>
      <c r="DGY1053" s="989"/>
      <c r="DGZ1053" s="989"/>
      <c r="DHA1053" s="989"/>
      <c r="DHB1053" s="989"/>
      <c r="DHC1053" s="989"/>
      <c r="DHD1053" s="989"/>
      <c r="DHE1053" s="989"/>
      <c r="DHF1053" s="989"/>
      <c r="DHG1053" s="989"/>
      <c r="DHH1053" s="989"/>
      <c r="DHI1053" s="989"/>
      <c r="DHJ1053" s="989"/>
      <c r="DHK1053" s="989"/>
      <c r="DHL1053" s="989"/>
      <c r="DHM1053" s="989"/>
      <c r="DHN1053" s="989"/>
      <c r="DHO1053" s="989"/>
      <c r="DHP1053" s="989"/>
      <c r="DHQ1053" s="989"/>
      <c r="DHR1053" s="989"/>
      <c r="DHS1053" s="989"/>
      <c r="DHT1053" s="989"/>
      <c r="DHU1053" s="989"/>
      <c r="DHV1053" s="989"/>
      <c r="DHW1053" s="989"/>
      <c r="DHX1053" s="989"/>
      <c r="DHY1053" s="989"/>
      <c r="DHZ1053" s="989"/>
      <c r="DIA1053" s="989"/>
      <c r="DIB1053" s="989"/>
      <c r="DIC1053" s="989"/>
      <c r="DID1053" s="989"/>
      <c r="DIE1053" s="989"/>
      <c r="DIF1053" s="989"/>
      <c r="DIG1053" s="989"/>
      <c r="DIH1053" s="989"/>
      <c r="DII1053" s="989"/>
      <c r="DIJ1053" s="989"/>
      <c r="DIK1053" s="989"/>
      <c r="DIL1053" s="989"/>
      <c r="DIM1053" s="989"/>
      <c r="DIN1053" s="989"/>
      <c r="DIO1053" s="989"/>
      <c r="DIP1053" s="989"/>
      <c r="DIQ1053" s="989"/>
      <c r="DIR1053" s="989"/>
      <c r="DIS1053" s="989"/>
      <c r="DIT1053" s="989"/>
      <c r="DIU1053" s="989"/>
      <c r="DIV1053" s="989"/>
      <c r="DIW1053" s="989"/>
      <c r="DIX1053" s="989"/>
      <c r="DIY1053" s="989"/>
      <c r="DIZ1053" s="989"/>
      <c r="DJA1053" s="989"/>
      <c r="DJB1053" s="989"/>
      <c r="DJC1053" s="989"/>
      <c r="DJD1053" s="989"/>
      <c r="DJE1053" s="989"/>
      <c r="DJF1053" s="989"/>
      <c r="DJG1053" s="989"/>
      <c r="DJH1053" s="989"/>
      <c r="DJI1053" s="989"/>
      <c r="DJJ1053" s="989"/>
      <c r="DJK1053" s="989"/>
      <c r="DJL1053" s="989"/>
      <c r="DJM1053" s="989"/>
      <c r="DJN1053" s="989"/>
      <c r="DJO1053" s="989"/>
      <c r="DJP1053" s="989"/>
      <c r="DJQ1053" s="989"/>
      <c r="DJR1053" s="989"/>
      <c r="DJS1053" s="989"/>
      <c r="DJT1053" s="989"/>
      <c r="DJU1053" s="989"/>
      <c r="DJV1053" s="989"/>
      <c r="DJW1053" s="989"/>
      <c r="DJX1053" s="989"/>
      <c r="DJY1053" s="989"/>
      <c r="DJZ1053" s="989"/>
      <c r="DKA1053" s="989"/>
      <c r="DKB1053" s="989"/>
      <c r="DKC1053" s="989"/>
      <c r="DKD1053" s="989"/>
      <c r="DKE1053" s="989"/>
      <c r="DKF1053" s="989"/>
      <c r="DKG1053" s="989"/>
      <c r="DKH1053" s="989"/>
      <c r="DKI1053" s="989"/>
      <c r="DKJ1053" s="989"/>
      <c r="DKK1053" s="989"/>
      <c r="DKL1053" s="989"/>
      <c r="DKM1053" s="989"/>
      <c r="DKN1053" s="989"/>
      <c r="DKO1053" s="989"/>
      <c r="DKP1053" s="989"/>
      <c r="DKQ1053" s="989"/>
      <c r="DKR1053" s="989"/>
      <c r="DKS1053" s="989"/>
      <c r="DKT1053" s="989"/>
      <c r="DKU1053" s="989"/>
      <c r="DKV1053" s="989"/>
      <c r="DKW1053" s="989"/>
      <c r="DKX1053" s="989"/>
      <c r="DKY1053" s="989"/>
      <c r="DKZ1053" s="989"/>
      <c r="DLA1053" s="989"/>
      <c r="DLB1053" s="989"/>
      <c r="DLC1053" s="989"/>
      <c r="DLD1053" s="989"/>
      <c r="DLE1053" s="989"/>
      <c r="DLF1053" s="989"/>
      <c r="DLG1053" s="989"/>
      <c r="DLH1053" s="989"/>
      <c r="DLI1053" s="989"/>
      <c r="DLJ1053" s="989"/>
      <c r="DLK1053" s="989"/>
      <c r="DLL1053" s="989"/>
      <c r="DLM1053" s="989"/>
      <c r="DLN1053" s="989"/>
      <c r="DLO1053" s="989"/>
      <c r="DLP1053" s="989"/>
      <c r="DLQ1053" s="989"/>
      <c r="DLR1053" s="989"/>
      <c r="DLS1053" s="989"/>
      <c r="DLT1053" s="989"/>
      <c r="DLU1053" s="989"/>
      <c r="DLV1053" s="989"/>
      <c r="DLW1053" s="989"/>
      <c r="DLX1053" s="989"/>
      <c r="DLY1053" s="989"/>
      <c r="DLZ1053" s="989"/>
      <c r="DMA1053" s="989"/>
      <c r="DMB1053" s="989"/>
      <c r="DMC1053" s="989"/>
      <c r="DMD1053" s="989"/>
      <c r="DME1053" s="989"/>
      <c r="DMF1053" s="989"/>
      <c r="DMG1053" s="989"/>
      <c r="DMH1053" s="989"/>
      <c r="DMI1053" s="989"/>
      <c r="DMJ1053" s="989"/>
      <c r="DMK1053" s="989"/>
      <c r="DML1053" s="989"/>
      <c r="DMM1053" s="989"/>
      <c r="DMN1053" s="989"/>
      <c r="DMO1053" s="989"/>
      <c r="DMP1053" s="989"/>
      <c r="DMQ1053" s="989"/>
      <c r="DMR1053" s="989"/>
      <c r="DMS1053" s="989"/>
      <c r="DMT1053" s="989"/>
      <c r="DMU1053" s="989"/>
      <c r="DMV1053" s="989"/>
      <c r="DMW1053" s="989"/>
      <c r="DMX1053" s="989"/>
      <c r="DMY1053" s="989"/>
      <c r="DMZ1053" s="989"/>
      <c r="DNA1053" s="989"/>
      <c r="DNB1053" s="989"/>
      <c r="DNC1053" s="989"/>
      <c r="DND1053" s="989"/>
      <c r="DNE1053" s="989"/>
      <c r="DNF1053" s="989"/>
      <c r="DNG1053" s="989"/>
      <c r="DNH1053" s="989"/>
      <c r="DNI1053" s="989"/>
      <c r="DNJ1053" s="989"/>
      <c r="DNK1053" s="989"/>
      <c r="DNL1053" s="989"/>
      <c r="DNM1053" s="989"/>
      <c r="DNN1053" s="989"/>
      <c r="DNO1053" s="989"/>
      <c r="DNP1053" s="989"/>
      <c r="DNQ1053" s="989"/>
      <c r="DNR1053" s="989"/>
      <c r="DNS1053" s="989"/>
      <c r="DNT1053" s="989"/>
      <c r="DNU1053" s="989"/>
      <c r="DNV1053" s="989"/>
      <c r="DNW1053" s="989"/>
      <c r="DNX1053" s="989"/>
      <c r="DNY1053" s="989"/>
      <c r="DNZ1053" s="989"/>
      <c r="DOA1053" s="989"/>
      <c r="DOB1053" s="989"/>
      <c r="DOC1053" s="989"/>
      <c r="DOD1053" s="989"/>
      <c r="DOE1053" s="989"/>
      <c r="DOF1053" s="989"/>
      <c r="DOG1053" s="989"/>
      <c r="DOH1053" s="989"/>
      <c r="DOI1053" s="989"/>
      <c r="DOJ1053" s="989"/>
      <c r="DOK1053" s="989"/>
      <c r="DOL1053" s="989"/>
      <c r="DOM1053" s="989"/>
      <c r="DON1053" s="989"/>
      <c r="DOO1053" s="989"/>
      <c r="DOP1053" s="989"/>
      <c r="DOQ1053" s="989"/>
      <c r="DOR1053" s="989"/>
      <c r="DOS1053" s="989"/>
      <c r="DOT1053" s="989"/>
      <c r="DOU1053" s="989"/>
      <c r="DOV1053" s="989"/>
      <c r="DOW1053" s="989"/>
      <c r="DOX1053" s="989"/>
      <c r="DOY1053" s="989"/>
      <c r="DOZ1053" s="989"/>
      <c r="DPA1053" s="989"/>
      <c r="DPB1053" s="989"/>
      <c r="DPC1053" s="989"/>
      <c r="DPD1053" s="989"/>
      <c r="DPE1053" s="989"/>
      <c r="DPF1053" s="989"/>
      <c r="DPG1053" s="989"/>
      <c r="DPH1053" s="989"/>
      <c r="DPI1053" s="989"/>
      <c r="DPJ1053" s="989"/>
      <c r="DPK1053" s="989"/>
      <c r="DPL1053" s="989"/>
      <c r="DPM1053" s="989"/>
      <c r="DPN1053" s="989"/>
      <c r="DPO1053" s="989"/>
      <c r="DPP1053" s="989"/>
      <c r="DPQ1053" s="989"/>
      <c r="DPR1053" s="989"/>
      <c r="DPS1053" s="989"/>
      <c r="DPT1053" s="989"/>
      <c r="DPU1053" s="989"/>
      <c r="DPV1053" s="989"/>
      <c r="DPW1053" s="989"/>
      <c r="DPX1053" s="989"/>
      <c r="DPY1053" s="989"/>
      <c r="DPZ1053" s="989"/>
      <c r="DQA1053" s="989"/>
      <c r="DQB1053" s="989"/>
      <c r="DQC1053" s="989"/>
      <c r="DQD1053" s="989"/>
      <c r="DQE1053" s="989"/>
      <c r="DQF1053" s="989"/>
      <c r="DQG1053" s="989"/>
      <c r="DQH1053" s="989"/>
      <c r="DQI1053" s="989"/>
      <c r="DQJ1053" s="989"/>
      <c r="DQK1053" s="989"/>
      <c r="DQL1053" s="989"/>
      <c r="DQM1053" s="989"/>
      <c r="DQN1053" s="989"/>
      <c r="DQO1053" s="989"/>
      <c r="DQP1053" s="989"/>
      <c r="DQQ1053" s="989"/>
      <c r="DQR1053" s="989"/>
      <c r="DQS1053" s="989"/>
      <c r="DQT1053" s="989"/>
      <c r="DQU1053" s="989"/>
      <c r="DQV1053" s="989"/>
      <c r="DQW1053" s="989"/>
      <c r="DQX1053" s="989"/>
      <c r="DQY1053" s="989"/>
      <c r="DQZ1053" s="989"/>
      <c r="DRA1053" s="989"/>
      <c r="DRB1053" s="989"/>
      <c r="DRC1053" s="989"/>
      <c r="DRD1053" s="989"/>
      <c r="DRE1053" s="989"/>
      <c r="DRF1053" s="989"/>
      <c r="DRG1053" s="989"/>
      <c r="DRH1053" s="989"/>
      <c r="DRI1053" s="989"/>
      <c r="DRJ1053" s="989"/>
      <c r="DRK1053" s="989"/>
      <c r="DRL1053" s="989"/>
      <c r="DRM1053" s="989"/>
      <c r="DRN1053" s="989"/>
      <c r="DRO1053" s="989"/>
      <c r="DRP1053" s="989"/>
      <c r="DRQ1053" s="989"/>
      <c r="DRR1053" s="989"/>
      <c r="DRS1053" s="989"/>
      <c r="DRT1053" s="989"/>
      <c r="DRU1053" s="989"/>
      <c r="DRV1053" s="989"/>
      <c r="DRW1053" s="989"/>
      <c r="DRX1053" s="989"/>
      <c r="DRY1053" s="989"/>
      <c r="DRZ1053" s="989"/>
      <c r="DSA1053" s="989"/>
      <c r="DSB1053" s="989"/>
      <c r="DSC1053" s="989"/>
      <c r="DSD1053" s="989"/>
      <c r="DSE1053" s="989"/>
      <c r="DSF1053" s="989"/>
      <c r="DSG1053" s="989"/>
      <c r="DSH1053" s="989"/>
      <c r="DSI1053" s="989"/>
      <c r="DSJ1053" s="989"/>
      <c r="DSK1053" s="989"/>
      <c r="DSL1053" s="989"/>
      <c r="DSM1053" s="989"/>
      <c r="DSN1053" s="989"/>
      <c r="DSO1053" s="989"/>
      <c r="DSP1053" s="989"/>
      <c r="DSQ1053" s="989"/>
      <c r="DSR1053" s="989"/>
      <c r="DSS1053" s="989"/>
      <c r="DST1053" s="989"/>
      <c r="DSU1053" s="989"/>
      <c r="DSV1053" s="989"/>
      <c r="DSW1053" s="989"/>
      <c r="DSX1053" s="989"/>
      <c r="DSY1053" s="989"/>
      <c r="DSZ1053" s="989"/>
      <c r="DTA1053" s="989"/>
      <c r="DTB1053" s="989"/>
      <c r="DTC1053" s="989"/>
      <c r="DTD1053" s="989"/>
      <c r="DTE1053" s="989"/>
      <c r="DTF1053" s="989"/>
      <c r="DTG1053" s="989"/>
      <c r="DTH1053" s="989"/>
      <c r="DTI1053" s="989"/>
      <c r="DTJ1053" s="989"/>
      <c r="DTK1053" s="989"/>
      <c r="DTL1053" s="989"/>
      <c r="DTM1053" s="989"/>
      <c r="DTN1053" s="989"/>
      <c r="DTO1053" s="989"/>
      <c r="DTP1053" s="989"/>
      <c r="DTQ1053" s="989"/>
      <c r="DTR1053" s="989"/>
      <c r="DTS1053" s="989"/>
      <c r="DTT1053" s="989"/>
      <c r="DTU1053" s="989"/>
      <c r="DTV1053" s="989"/>
      <c r="DTW1053" s="989"/>
      <c r="DTX1053" s="989"/>
      <c r="DTY1053" s="989"/>
      <c r="DTZ1053" s="989"/>
      <c r="DUA1053" s="989"/>
      <c r="DUB1053" s="989"/>
      <c r="DUC1053" s="989"/>
      <c r="DUD1053" s="989"/>
      <c r="DUE1053" s="989"/>
      <c r="DUF1053" s="989"/>
      <c r="DUG1053" s="989"/>
      <c r="DUH1053" s="989"/>
      <c r="DUI1053" s="989"/>
      <c r="DUJ1053" s="989"/>
      <c r="DUK1053" s="989"/>
      <c r="DUL1053" s="989"/>
      <c r="DUM1053" s="989"/>
      <c r="DUN1053" s="989"/>
      <c r="DUO1053" s="989"/>
      <c r="DUP1053" s="989"/>
      <c r="DUQ1053" s="989"/>
      <c r="DUR1053" s="989"/>
      <c r="DUS1053" s="989"/>
      <c r="DUT1053" s="989"/>
      <c r="DUU1053" s="989"/>
      <c r="DUV1053" s="989"/>
      <c r="DUW1053" s="989"/>
      <c r="DUX1053" s="989"/>
      <c r="DUY1053" s="989"/>
      <c r="DUZ1053" s="989"/>
      <c r="DVA1053" s="989"/>
      <c r="DVB1053" s="989"/>
      <c r="DVC1053" s="989"/>
      <c r="DVD1053" s="989"/>
      <c r="DVE1053" s="989"/>
      <c r="DVF1053" s="989"/>
      <c r="DVG1053" s="989"/>
      <c r="DVH1053" s="989"/>
      <c r="DVI1053" s="989"/>
      <c r="DVJ1053" s="989"/>
      <c r="DVK1053" s="989"/>
      <c r="DVL1053" s="989"/>
      <c r="DVM1053" s="989"/>
      <c r="DVN1053" s="989"/>
      <c r="DVO1053" s="989"/>
      <c r="DVP1053" s="989"/>
      <c r="DVQ1053" s="989"/>
      <c r="DVR1053" s="989"/>
      <c r="DVS1053" s="989"/>
      <c r="DVT1053" s="989"/>
      <c r="DVU1053" s="989"/>
      <c r="DVV1053" s="989"/>
      <c r="DVW1053" s="989"/>
      <c r="DVX1053" s="989"/>
      <c r="DVY1053" s="989"/>
      <c r="DVZ1053" s="989"/>
      <c r="DWA1053" s="989"/>
      <c r="DWB1053" s="989"/>
      <c r="DWC1053" s="989"/>
      <c r="DWD1053" s="989"/>
      <c r="DWE1053" s="989"/>
      <c r="DWF1053" s="989"/>
      <c r="DWG1053" s="989"/>
      <c r="DWH1053" s="989"/>
      <c r="DWI1053" s="989"/>
      <c r="DWJ1053" s="989"/>
      <c r="DWK1053" s="989"/>
      <c r="DWL1053" s="989"/>
      <c r="DWM1053" s="989"/>
      <c r="DWN1053" s="989"/>
      <c r="DWO1053" s="989"/>
      <c r="DWP1053" s="989"/>
      <c r="DWQ1053" s="989"/>
      <c r="DWR1053" s="989"/>
      <c r="DWS1053" s="989"/>
      <c r="DWT1053" s="989"/>
      <c r="DWU1053" s="989"/>
      <c r="DWV1053" s="989"/>
      <c r="DWW1053" s="989"/>
      <c r="DWX1053" s="989"/>
      <c r="DWY1053" s="989"/>
      <c r="DWZ1053" s="989"/>
      <c r="DXA1053" s="989"/>
      <c r="DXB1053" s="989"/>
      <c r="DXC1053" s="989"/>
      <c r="DXD1053" s="989"/>
      <c r="DXE1053" s="989"/>
      <c r="DXF1053" s="989"/>
      <c r="DXG1053" s="989"/>
      <c r="DXH1053" s="989"/>
      <c r="DXI1053" s="989"/>
      <c r="DXJ1053" s="989"/>
      <c r="DXK1053" s="989"/>
      <c r="DXL1053" s="989"/>
      <c r="DXM1053" s="989"/>
      <c r="DXN1053" s="989"/>
      <c r="DXO1053" s="989"/>
      <c r="DXP1053" s="989"/>
      <c r="DXQ1053" s="989"/>
      <c r="DXR1053" s="989"/>
      <c r="DXS1053" s="989"/>
      <c r="DXT1053" s="989"/>
      <c r="DXU1053" s="989"/>
      <c r="DXV1053" s="989"/>
      <c r="DXW1053" s="989"/>
      <c r="DXX1053" s="989"/>
      <c r="DXY1053" s="989"/>
      <c r="DXZ1053" s="989"/>
      <c r="DYA1053" s="989"/>
      <c r="DYB1053" s="989"/>
      <c r="DYC1053" s="989"/>
      <c r="DYD1053" s="989"/>
      <c r="DYE1053" s="989"/>
      <c r="DYF1053" s="989"/>
      <c r="DYG1053" s="989"/>
      <c r="DYH1053" s="989"/>
      <c r="DYI1053" s="989"/>
      <c r="DYJ1053" s="989"/>
      <c r="DYK1053" s="989"/>
      <c r="DYL1053" s="989"/>
      <c r="DYM1053" s="989"/>
      <c r="DYN1053" s="989"/>
      <c r="DYO1053" s="989"/>
      <c r="DYP1053" s="989"/>
      <c r="DYQ1053" s="989"/>
      <c r="DYR1053" s="989"/>
      <c r="DYS1053" s="989"/>
      <c r="DYT1053" s="989"/>
      <c r="DYU1053" s="989"/>
      <c r="DYV1053" s="989"/>
      <c r="DYW1053" s="989"/>
      <c r="DYX1053" s="989"/>
      <c r="DYY1053" s="989"/>
      <c r="DYZ1053" s="989"/>
      <c r="DZA1053" s="989"/>
      <c r="DZB1053" s="989"/>
      <c r="DZC1053" s="989"/>
      <c r="DZD1053" s="989"/>
      <c r="DZE1053" s="989"/>
      <c r="DZF1053" s="989"/>
      <c r="DZG1053" s="989"/>
      <c r="DZH1053" s="989"/>
      <c r="DZI1053" s="989"/>
      <c r="DZJ1053" s="989"/>
      <c r="DZK1053" s="989"/>
      <c r="DZL1053" s="989"/>
      <c r="DZM1053" s="989"/>
      <c r="DZN1053" s="989"/>
      <c r="DZO1053" s="989"/>
      <c r="DZP1053" s="989"/>
      <c r="DZQ1053" s="989"/>
      <c r="DZR1053" s="989"/>
      <c r="DZS1053" s="989"/>
      <c r="DZT1053" s="989"/>
      <c r="DZU1053" s="989"/>
      <c r="DZV1053" s="989"/>
      <c r="DZW1053" s="989"/>
      <c r="DZX1053" s="989"/>
      <c r="DZY1053" s="989"/>
      <c r="DZZ1053" s="989"/>
      <c r="EAA1053" s="989"/>
      <c r="EAB1053" s="989"/>
      <c r="EAC1053" s="989"/>
      <c r="EAD1053" s="989"/>
      <c r="EAE1053" s="989"/>
      <c r="EAF1053" s="989"/>
      <c r="EAG1053" s="989"/>
      <c r="EAH1053" s="989"/>
      <c r="EAI1053" s="989"/>
      <c r="EAJ1053" s="989"/>
      <c r="EAK1053" s="989"/>
      <c r="EAL1053" s="989"/>
      <c r="EAM1053" s="989"/>
      <c r="EAN1053" s="989"/>
      <c r="EAO1053" s="989"/>
      <c r="EAP1053" s="989"/>
      <c r="EAQ1053" s="989"/>
      <c r="EAR1053" s="989"/>
      <c r="EAS1053" s="989"/>
      <c r="EAT1053" s="989"/>
      <c r="EAU1053" s="989"/>
      <c r="EAV1053" s="989"/>
      <c r="EAW1053" s="989"/>
      <c r="EAX1053" s="989"/>
      <c r="EAY1053" s="989"/>
      <c r="EAZ1053" s="989"/>
      <c r="EBA1053" s="989"/>
      <c r="EBB1053" s="989"/>
      <c r="EBC1053" s="989"/>
      <c r="EBD1053" s="989"/>
      <c r="EBE1053" s="989"/>
      <c r="EBF1053" s="989"/>
      <c r="EBG1053" s="989"/>
      <c r="EBH1053" s="989"/>
      <c r="EBI1053" s="989"/>
      <c r="EBJ1053" s="989"/>
      <c r="EBK1053" s="989"/>
      <c r="EBL1053" s="989"/>
      <c r="EBM1053" s="989"/>
      <c r="EBN1053" s="989"/>
      <c r="EBO1053" s="989"/>
      <c r="EBP1053" s="989"/>
      <c r="EBQ1053" s="989"/>
      <c r="EBR1053" s="989"/>
      <c r="EBS1053" s="989"/>
      <c r="EBT1053" s="989"/>
      <c r="EBU1053" s="989"/>
      <c r="EBV1053" s="989"/>
      <c r="EBW1053" s="989"/>
      <c r="EBX1053" s="989"/>
      <c r="EBY1053" s="989"/>
      <c r="EBZ1053" s="989"/>
      <c r="ECA1053" s="989"/>
      <c r="ECB1053" s="989"/>
      <c r="ECC1053" s="989"/>
      <c r="ECD1053" s="989"/>
      <c r="ECE1053" s="989"/>
      <c r="ECF1053" s="989"/>
      <c r="ECG1053" s="989"/>
      <c r="ECH1053" s="989"/>
      <c r="ECI1053" s="989"/>
      <c r="ECJ1053" s="989"/>
      <c r="ECK1053" s="989"/>
      <c r="ECL1053" s="989"/>
      <c r="ECM1053" s="989"/>
      <c r="ECN1053" s="989"/>
      <c r="ECO1053" s="989"/>
      <c r="ECP1053" s="989"/>
      <c r="ECQ1053" s="989"/>
      <c r="ECR1053" s="989"/>
      <c r="ECS1053" s="989"/>
      <c r="ECT1053" s="989"/>
      <c r="ECU1053" s="989"/>
      <c r="ECV1053" s="989"/>
      <c r="ECW1053" s="989"/>
      <c r="ECX1053" s="989"/>
      <c r="ECY1053" s="989"/>
      <c r="ECZ1053" s="989"/>
      <c r="EDA1053" s="989"/>
      <c r="EDB1053" s="989"/>
      <c r="EDC1053" s="989"/>
      <c r="EDD1053" s="989"/>
      <c r="EDE1053" s="989"/>
      <c r="EDF1053" s="989"/>
      <c r="EDG1053" s="989"/>
      <c r="EDH1053" s="989"/>
      <c r="EDI1053" s="989"/>
      <c r="EDJ1053" s="989"/>
      <c r="EDK1053" s="989"/>
      <c r="EDL1053" s="989"/>
      <c r="EDM1053" s="989"/>
      <c r="EDN1053" s="989"/>
      <c r="EDO1053" s="989"/>
      <c r="EDP1053" s="989"/>
      <c r="EDQ1053" s="989"/>
      <c r="EDR1053" s="989"/>
      <c r="EDS1053" s="989"/>
      <c r="EDT1053" s="989"/>
      <c r="EDU1053" s="989"/>
      <c r="EDV1053" s="989"/>
      <c r="EDW1053" s="989"/>
      <c r="EDX1053" s="989"/>
      <c r="EDY1053" s="989"/>
      <c r="EDZ1053" s="989"/>
      <c r="EEA1053" s="989"/>
      <c r="EEB1053" s="989"/>
      <c r="EEC1053" s="989"/>
      <c r="EED1053" s="989"/>
      <c r="EEE1053" s="989"/>
      <c r="EEF1053" s="989"/>
      <c r="EEG1053" s="989"/>
      <c r="EEH1053" s="989"/>
      <c r="EEI1053" s="989"/>
      <c r="EEJ1053" s="989"/>
      <c r="EEK1053" s="989"/>
      <c r="EEL1053" s="989"/>
      <c r="EEM1053" s="989"/>
      <c r="EEN1053" s="989"/>
      <c r="EEO1053" s="989"/>
      <c r="EEP1053" s="989"/>
      <c r="EEQ1053" s="989"/>
      <c r="EER1053" s="989"/>
      <c r="EES1053" s="989"/>
      <c r="EET1053" s="989"/>
      <c r="EEU1053" s="989"/>
      <c r="EEV1053" s="989"/>
      <c r="EEW1053" s="989"/>
      <c r="EEX1053" s="989"/>
      <c r="EEY1053" s="989"/>
      <c r="EEZ1053" s="989"/>
      <c r="EFA1053" s="989"/>
      <c r="EFB1053" s="989"/>
      <c r="EFC1053" s="989"/>
      <c r="EFD1053" s="989"/>
      <c r="EFE1053" s="989"/>
      <c r="EFF1053" s="989"/>
      <c r="EFG1053" s="989"/>
      <c r="EFH1053" s="989"/>
      <c r="EFI1053" s="989"/>
      <c r="EFJ1053" s="989"/>
      <c r="EFK1053" s="989"/>
      <c r="EFL1053" s="989"/>
      <c r="EFM1053" s="989"/>
      <c r="EFN1053" s="989"/>
      <c r="EFO1053" s="989"/>
      <c r="EFP1053" s="989"/>
      <c r="EFQ1053" s="989"/>
      <c r="EFR1053" s="989"/>
      <c r="EFS1053" s="989"/>
      <c r="EFT1053" s="989"/>
      <c r="EFU1053" s="989"/>
      <c r="EFV1053" s="989"/>
      <c r="EFW1053" s="989"/>
      <c r="EFX1053" s="989"/>
      <c r="EFY1053" s="989"/>
      <c r="EFZ1053" s="989"/>
      <c r="EGA1053" s="989"/>
      <c r="EGB1053" s="989"/>
      <c r="EGC1053" s="989"/>
      <c r="EGD1053" s="989"/>
      <c r="EGE1053" s="989"/>
      <c r="EGF1053" s="989"/>
      <c r="EGG1053" s="989"/>
      <c r="EGH1053" s="989"/>
      <c r="EGI1053" s="989"/>
      <c r="EGJ1053" s="989"/>
      <c r="EGK1053" s="989"/>
      <c r="EGL1053" s="989"/>
      <c r="EGM1053" s="989"/>
      <c r="EGN1053" s="989"/>
      <c r="EGO1053" s="989"/>
      <c r="EGP1053" s="989"/>
      <c r="EGQ1053" s="989"/>
      <c r="EGR1053" s="989"/>
      <c r="EGS1053" s="989"/>
      <c r="EGT1053" s="989"/>
      <c r="EGU1053" s="989"/>
      <c r="EGV1053" s="989"/>
      <c r="EGW1053" s="989"/>
      <c r="EGX1053" s="989"/>
      <c r="EGY1053" s="989"/>
      <c r="EGZ1053" s="989"/>
      <c r="EHA1053" s="989"/>
      <c r="EHB1053" s="989"/>
      <c r="EHC1053" s="989"/>
      <c r="EHD1053" s="989"/>
      <c r="EHE1053" s="989"/>
      <c r="EHF1053" s="989"/>
      <c r="EHG1053" s="989"/>
      <c r="EHH1053" s="989"/>
      <c r="EHI1053" s="989"/>
      <c r="EHJ1053" s="989"/>
      <c r="EHK1053" s="989"/>
      <c r="EHL1053" s="989"/>
      <c r="EHM1053" s="989"/>
      <c r="EHN1053" s="989"/>
      <c r="EHO1053" s="989"/>
      <c r="EHP1053" s="989"/>
      <c r="EHQ1053" s="989"/>
      <c r="EHR1053" s="989"/>
      <c r="EHS1053" s="989"/>
      <c r="EHT1053" s="989"/>
      <c r="EHU1053" s="989"/>
      <c r="EHV1053" s="989"/>
      <c r="EHW1053" s="989"/>
      <c r="EHX1053" s="989"/>
      <c r="EHY1053" s="989"/>
      <c r="EHZ1053" s="989"/>
      <c r="EIA1053" s="989"/>
      <c r="EIB1053" s="989"/>
      <c r="EIC1053" s="989"/>
      <c r="EID1053" s="989"/>
      <c r="EIE1053" s="989"/>
      <c r="EIF1053" s="989"/>
      <c r="EIG1053" s="989"/>
      <c r="EIH1053" s="989"/>
      <c r="EII1053" s="989"/>
      <c r="EIJ1053" s="989"/>
      <c r="EIK1053" s="989"/>
      <c r="EIL1053" s="989"/>
      <c r="EIM1053" s="989"/>
      <c r="EIN1053" s="989"/>
      <c r="EIO1053" s="989"/>
      <c r="EIP1053" s="989"/>
      <c r="EIQ1053" s="989"/>
      <c r="EIR1053" s="989"/>
      <c r="EIS1053" s="989"/>
      <c r="EIT1053" s="989"/>
      <c r="EIU1053" s="989"/>
      <c r="EIV1053" s="989"/>
      <c r="EIW1053" s="989"/>
      <c r="EIX1053" s="989"/>
      <c r="EIY1053" s="989"/>
      <c r="EIZ1053" s="989"/>
      <c r="EJA1053" s="989"/>
      <c r="EJB1053" s="989"/>
      <c r="EJC1053" s="989"/>
      <c r="EJD1053" s="989"/>
      <c r="EJE1053" s="989"/>
      <c r="EJF1053" s="989"/>
      <c r="EJG1053" s="989"/>
      <c r="EJH1053" s="989"/>
      <c r="EJI1053" s="989"/>
      <c r="EJJ1053" s="989"/>
      <c r="EJK1053" s="989"/>
      <c r="EJL1053" s="989"/>
      <c r="EJM1053" s="989"/>
      <c r="EJN1053" s="989"/>
      <c r="EJO1053" s="989"/>
      <c r="EJP1053" s="989"/>
      <c r="EJQ1053" s="989"/>
      <c r="EJR1053" s="989"/>
      <c r="EJS1053" s="989"/>
      <c r="EJT1053" s="989"/>
      <c r="EJU1053" s="989"/>
      <c r="EJV1053" s="989"/>
      <c r="EJW1053" s="989"/>
      <c r="EJX1053" s="989"/>
      <c r="EJY1053" s="989"/>
      <c r="EJZ1053" s="989"/>
      <c r="EKA1053" s="989"/>
      <c r="EKB1053" s="989"/>
      <c r="EKC1053" s="989"/>
      <c r="EKD1053" s="989"/>
      <c r="EKE1053" s="989"/>
      <c r="EKF1053" s="989"/>
      <c r="EKG1053" s="989"/>
      <c r="EKH1053" s="989"/>
      <c r="EKI1053" s="989"/>
      <c r="EKJ1053" s="989"/>
      <c r="EKK1053" s="989"/>
      <c r="EKL1053" s="989"/>
      <c r="EKM1053" s="989"/>
      <c r="EKN1053" s="989"/>
      <c r="EKO1053" s="989"/>
      <c r="EKP1053" s="989"/>
      <c r="EKQ1053" s="989"/>
      <c r="EKR1053" s="989"/>
      <c r="EKS1053" s="989"/>
      <c r="EKT1053" s="989"/>
      <c r="EKU1053" s="989"/>
      <c r="EKV1053" s="989"/>
      <c r="EKW1053" s="989"/>
      <c r="EKX1053" s="989"/>
      <c r="EKY1053" s="989"/>
      <c r="EKZ1053" s="989"/>
      <c r="ELA1053" s="989"/>
      <c r="ELB1053" s="989"/>
      <c r="ELC1053" s="989"/>
      <c r="ELD1053" s="989"/>
      <c r="ELE1053" s="989"/>
      <c r="ELF1053" s="989"/>
      <c r="ELG1053" s="989"/>
      <c r="ELH1053" s="989"/>
      <c r="ELI1053" s="989"/>
      <c r="ELJ1053" s="989"/>
      <c r="ELK1053" s="989"/>
      <c r="ELL1053" s="989"/>
      <c r="ELM1053" s="989"/>
      <c r="ELN1053" s="989"/>
      <c r="ELO1053" s="989"/>
      <c r="ELP1053" s="989"/>
      <c r="ELQ1053" s="989"/>
      <c r="ELR1053" s="989"/>
      <c r="ELS1053" s="989"/>
      <c r="ELT1053" s="989"/>
      <c r="ELU1053" s="989"/>
      <c r="ELV1053" s="989"/>
      <c r="ELW1053" s="989"/>
      <c r="ELX1053" s="989"/>
      <c r="ELY1053" s="989"/>
      <c r="ELZ1053" s="989"/>
      <c r="EMA1053" s="989"/>
      <c r="EMB1053" s="989"/>
      <c r="EMC1053" s="989"/>
      <c r="EMD1053" s="989"/>
      <c r="EME1053" s="989"/>
      <c r="EMF1053" s="989"/>
      <c r="EMG1053" s="989"/>
      <c r="EMH1053" s="989"/>
      <c r="EMI1053" s="989"/>
      <c r="EMJ1053" s="989"/>
      <c r="EMK1053" s="989"/>
      <c r="EML1053" s="989"/>
      <c r="EMM1053" s="989"/>
      <c r="EMN1053" s="989"/>
      <c r="EMO1053" s="989"/>
      <c r="EMP1053" s="989"/>
      <c r="EMQ1053" s="989"/>
      <c r="EMR1053" s="989"/>
      <c r="EMS1053" s="989"/>
      <c r="EMT1053" s="989"/>
      <c r="EMU1053" s="989"/>
      <c r="EMV1053" s="989"/>
      <c r="EMW1053" s="989"/>
      <c r="EMX1053" s="989"/>
      <c r="EMY1053" s="989"/>
      <c r="EMZ1053" s="989"/>
      <c r="ENA1053" s="989"/>
      <c r="ENB1053" s="989"/>
      <c r="ENC1053" s="989"/>
      <c r="END1053" s="989"/>
      <c r="ENE1053" s="989"/>
      <c r="ENF1053" s="989"/>
      <c r="ENG1053" s="989"/>
      <c r="ENH1053" s="989"/>
      <c r="ENI1053" s="989"/>
      <c r="ENJ1053" s="989"/>
      <c r="ENK1053" s="989"/>
      <c r="ENL1053" s="989"/>
      <c r="ENM1053" s="989"/>
      <c r="ENN1053" s="989"/>
      <c r="ENO1053" s="989"/>
      <c r="ENP1053" s="989"/>
      <c r="ENQ1053" s="989"/>
      <c r="ENR1053" s="989"/>
      <c r="ENS1053" s="989"/>
      <c r="ENT1053" s="989"/>
      <c r="ENU1053" s="989"/>
      <c r="ENV1053" s="989"/>
      <c r="ENW1053" s="989"/>
      <c r="ENX1053" s="989"/>
      <c r="ENY1053" s="989"/>
      <c r="ENZ1053" s="989"/>
      <c r="EOA1053" s="989"/>
      <c r="EOB1053" s="989"/>
      <c r="EOC1053" s="989"/>
      <c r="EOD1053" s="989"/>
      <c r="EOE1053" s="989"/>
      <c r="EOF1053" s="989"/>
      <c r="EOG1053" s="989"/>
      <c r="EOH1053" s="989"/>
      <c r="EOI1053" s="989"/>
      <c r="EOJ1053" s="989"/>
      <c r="EOK1053" s="989"/>
      <c r="EOL1053" s="989"/>
      <c r="EOM1053" s="989"/>
      <c r="EON1053" s="989"/>
      <c r="EOO1053" s="989"/>
      <c r="EOP1053" s="989"/>
      <c r="EOQ1053" s="989"/>
      <c r="EOR1053" s="989"/>
      <c r="EOS1053" s="989"/>
      <c r="EOT1053" s="989"/>
      <c r="EOU1053" s="989"/>
      <c r="EOV1053" s="989"/>
      <c r="EOW1053" s="989"/>
      <c r="EOX1053" s="989"/>
      <c r="EOY1053" s="989"/>
      <c r="EOZ1053" s="989"/>
      <c r="EPA1053" s="989"/>
      <c r="EPB1053" s="989"/>
      <c r="EPC1053" s="989"/>
      <c r="EPD1053" s="989"/>
      <c r="EPE1053" s="989"/>
      <c r="EPF1053" s="989"/>
      <c r="EPG1053" s="989"/>
      <c r="EPH1053" s="989"/>
      <c r="EPI1053" s="989"/>
      <c r="EPJ1053" s="989"/>
      <c r="EPK1053" s="989"/>
      <c r="EPL1053" s="989"/>
      <c r="EPM1053" s="989"/>
      <c r="EPN1053" s="989"/>
      <c r="EPO1053" s="989"/>
      <c r="EPP1053" s="989"/>
      <c r="EPQ1053" s="989"/>
      <c r="EPR1053" s="989"/>
      <c r="EPS1053" s="989"/>
      <c r="EPT1053" s="989"/>
      <c r="EPU1053" s="989"/>
      <c r="EPV1053" s="989"/>
      <c r="EPW1053" s="989"/>
      <c r="EPX1053" s="989"/>
      <c r="EPY1053" s="989"/>
      <c r="EPZ1053" s="989"/>
      <c r="EQA1053" s="989"/>
      <c r="EQB1053" s="989"/>
      <c r="EQC1053" s="989"/>
      <c r="EQD1053" s="989"/>
      <c r="EQE1053" s="989"/>
      <c r="EQF1053" s="989"/>
      <c r="EQG1053" s="989"/>
      <c r="EQH1053" s="989"/>
      <c r="EQI1053" s="989"/>
      <c r="EQJ1053" s="989"/>
      <c r="EQK1053" s="989"/>
      <c r="EQL1053" s="989"/>
      <c r="EQM1053" s="989"/>
      <c r="EQN1053" s="989"/>
      <c r="EQO1053" s="989"/>
      <c r="EQP1053" s="989"/>
      <c r="EQQ1053" s="989"/>
      <c r="EQR1053" s="989"/>
      <c r="EQS1053" s="989"/>
      <c r="EQT1053" s="989"/>
      <c r="EQU1053" s="989"/>
      <c r="EQV1053" s="989"/>
      <c r="EQW1053" s="989"/>
      <c r="EQX1053" s="989"/>
      <c r="EQY1053" s="989"/>
      <c r="EQZ1053" s="989"/>
      <c r="ERA1053" s="989"/>
      <c r="ERB1053" s="989"/>
      <c r="ERC1053" s="989"/>
      <c r="ERD1053" s="989"/>
      <c r="ERE1053" s="989"/>
      <c r="ERF1053" s="989"/>
      <c r="ERG1053" s="989"/>
      <c r="ERH1053" s="989"/>
      <c r="ERI1053" s="989"/>
      <c r="ERJ1053" s="989"/>
      <c r="ERK1053" s="989"/>
      <c r="ERL1053" s="989"/>
      <c r="ERM1053" s="989"/>
      <c r="ERN1053" s="989"/>
      <c r="ERO1053" s="989"/>
      <c r="ERP1053" s="989"/>
      <c r="ERQ1053" s="989"/>
      <c r="ERR1053" s="989"/>
      <c r="ERS1053" s="989"/>
      <c r="ERT1053" s="989"/>
      <c r="ERU1053" s="989"/>
      <c r="ERV1053" s="989"/>
      <c r="ERW1053" s="989"/>
      <c r="ERX1053" s="989"/>
      <c r="ERY1053" s="989"/>
      <c r="ERZ1053" s="989"/>
      <c r="ESA1053" s="989"/>
      <c r="ESB1053" s="989"/>
      <c r="ESC1053" s="989"/>
      <c r="ESD1053" s="989"/>
      <c r="ESE1053" s="989"/>
      <c r="ESF1053" s="989"/>
      <c r="ESG1053" s="989"/>
      <c r="ESH1053" s="989"/>
      <c r="ESI1053" s="989"/>
      <c r="ESJ1053" s="989"/>
      <c r="ESK1053" s="989"/>
      <c r="ESL1053" s="989"/>
      <c r="ESM1053" s="989"/>
      <c r="ESN1053" s="989"/>
      <c r="ESO1053" s="989"/>
      <c r="ESP1053" s="989"/>
      <c r="ESQ1053" s="989"/>
      <c r="ESR1053" s="989"/>
      <c r="ESS1053" s="989"/>
      <c r="EST1053" s="989"/>
      <c r="ESU1053" s="989"/>
      <c r="ESV1053" s="989"/>
      <c r="ESW1053" s="989"/>
      <c r="ESX1053" s="989"/>
      <c r="ESY1053" s="989"/>
      <c r="ESZ1053" s="989"/>
      <c r="ETA1053" s="989"/>
      <c r="ETB1053" s="989"/>
      <c r="ETC1053" s="989"/>
      <c r="ETD1053" s="989"/>
      <c r="ETE1053" s="989"/>
      <c r="ETF1053" s="989"/>
      <c r="ETG1053" s="989"/>
      <c r="ETH1053" s="989"/>
      <c r="ETI1053" s="989"/>
      <c r="ETJ1053" s="989"/>
      <c r="ETK1053" s="989"/>
      <c r="ETL1053" s="989"/>
      <c r="ETM1053" s="989"/>
      <c r="ETN1053" s="989"/>
      <c r="ETO1053" s="989"/>
      <c r="ETP1053" s="989"/>
      <c r="ETQ1053" s="989"/>
      <c r="ETR1053" s="989"/>
      <c r="ETS1053" s="989"/>
      <c r="ETT1053" s="989"/>
      <c r="ETU1053" s="989"/>
      <c r="ETV1053" s="989"/>
      <c r="ETW1053" s="989"/>
      <c r="ETX1053" s="989"/>
      <c r="ETY1053" s="989"/>
      <c r="ETZ1053" s="989"/>
      <c r="EUA1053" s="989"/>
      <c r="EUB1053" s="989"/>
      <c r="EUC1053" s="989"/>
      <c r="EUD1053" s="989"/>
      <c r="EUE1053" s="989"/>
      <c r="EUF1053" s="989"/>
      <c r="EUG1053" s="989"/>
      <c r="EUH1053" s="989"/>
      <c r="EUI1053" s="989"/>
      <c r="EUJ1053" s="989"/>
      <c r="EUK1053" s="989"/>
      <c r="EUL1053" s="989"/>
      <c r="EUM1053" s="989"/>
      <c r="EUN1053" s="989"/>
      <c r="EUO1053" s="989"/>
      <c r="EUP1053" s="989"/>
      <c r="EUQ1053" s="989"/>
      <c r="EUR1053" s="989"/>
      <c r="EUS1053" s="989"/>
      <c r="EUT1053" s="989"/>
      <c r="EUU1053" s="989"/>
      <c r="EUV1053" s="989"/>
      <c r="EUW1053" s="989"/>
      <c r="EUX1053" s="989"/>
      <c r="EUY1053" s="989"/>
      <c r="EUZ1053" s="989"/>
      <c r="EVA1053" s="989"/>
      <c r="EVB1053" s="989"/>
      <c r="EVC1053" s="989"/>
      <c r="EVD1053" s="989"/>
      <c r="EVE1053" s="989"/>
      <c r="EVF1053" s="989"/>
      <c r="EVG1053" s="989"/>
      <c r="EVH1053" s="989"/>
      <c r="EVI1053" s="989"/>
      <c r="EVJ1053" s="989"/>
      <c r="EVK1053" s="989"/>
      <c r="EVL1053" s="989"/>
      <c r="EVM1053" s="989"/>
      <c r="EVN1053" s="989"/>
      <c r="EVO1053" s="989"/>
      <c r="EVP1053" s="989"/>
      <c r="EVQ1053" s="989"/>
      <c r="EVR1053" s="989"/>
      <c r="EVS1053" s="989"/>
      <c r="EVT1053" s="989"/>
      <c r="EVU1053" s="989"/>
      <c r="EVV1053" s="989"/>
      <c r="EVW1053" s="989"/>
      <c r="EVX1053" s="989"/>
      <c r="EVY1053" s="989"/>
      <c r="EVZ1053" s="989"/>
      <c r="EWA1053" s="989"/>
      <c r="EWB1053" s="989"/>
      <c r="EWC1053" s="989"/>
      <c r="EWD1053" s="989"/>
      <c r="EWE1053" s="989"/>
      <c r="EWF1053" s="989"/>
      <c r="EWG1053" s="989"/>
      <c r="EWH1053" s="989"/>
      <c r="EWI1053" s="989"/>
      <c r="EWJ1053" s="989"/>
      <c r="EWK1053" s="989"/>
      <c r="EWL1053" s="989"/>
      <c r="EWM1053" s="989"/>
      <c r="EWN1053" s="989"/>
      <c r="EWO1053" s="989"/>
      <c r="EWP1053" s="989"/>
      <c r="EWQ1053" s="989"/>
      <c r="EWR1053" s="989"/>
      <c r="EWS1053" s="989"/>
      <c r="EWT1053" s="989"/>
      <c r="EWU1053" s="989"/>
      <c r="EWV1053" s="989"/>
      <c r="EWW1053" s="989"/>
      <c r="EWX1053" s="989"/>
      <c r="EWY1053" s="989"/>
      <c r="EWZ1053" s="989"/>
      <c r="EXA1053" s="989"/>
      <c r="EXB1053" s="989"/>
      <c r="EXC1053" s="989"/>
      <c r="EXD1053" s="989"/>
      <c r="EXE1053" s="989"/>
      <c r="EXF1053" s="989"/>
      <c r="EXG1053" s="989"/>
      <c r="EXH1053" s="989"/>
      <c r="EXI1053" s="989"/>
      <c r="EXJ1053" s="989"/>
      <c r="EXK1053" s="989"/>
      <c r="EXL1053" s="989"/>
      <c r="EXM1053" s="989"/>
      <c r="EXN1053" s="989"/>
      <c r="EXO1053" s="989"/>
      <c r="EXP1053" s="989"/>
      <c r="EXQ1053" s="989"/>
      <c r="EXR1053" s="989"/>
      <c r="EXS1053" s="989"/>
      <c r="EXT1053" s="989"/>
      <c r="EXU1053" s="989"/>
      <c r="EXV1053" s="989"/>
      <c r="EXW1053" s="989"/>
      <c r="EXX1053" s="989"/>
      <c r="EXY1053" s="989"/>
      <c r="EXZ1053" s="989"/>
      <c r="EYA1053" s="989"/>
      <c r="EYB1053" s="989"/>
      <c r="EYC1053" s="989"/>
      <c r="EYD1053" s="989"/>
      <c r="EYE1053" s="989"/>
      <c r="EYF1053" s="989"/>
      <c r="EYG1053" s="989"/>
      <c r="EYH1053" s="989"/>
      <c r="EYI1053" s="989"/>
      <c r="EYJ1053" s="989"/>
      <c r="EYK1053" s="989"/>
      <c r="EYL1053" s="989"/>
      <c r="EYM1053" s="989"/>
      <c r="EYN1053" s="989"/>
      <c r="EYO1053" s="989"/>
      <c r="EYP1053" s="989"/>
      <c r="EYQ1053" s="989"/>
      <c r="EYR1053" s="989"/>
      <c r="EYS1053" s="989"/>
      <c r="EYT1053" s="989"/>
      <c r="EYU1053" s="989"/>
      <c r="EYV1053" s="989"/>
      <c r="EYW1053" s="989"/>
      <c r="EYX1053" s="989"/>
      <c r="EYY1053" s="989"/>
      <c r="EYZ1053" s="989"/>
      <c r="EZA1053" s="989"/>
      <c r="EZB1053" s="989"/>
      <c r="EZC1053" s="989"/>
      <c r="EZD1053" s="989"/>
      <c r="EZE1053" s="989"/>
      <c r="EZF1053" s="989"/>
      <c r="EZG1053" s="989"/>
      <c r="EZH1053" s="989"/>
      <c r="EZI1053" s="989"/>
      <c r="EZJ1053" s="989"/>
      <c r="EZK1053" s="989"/>
      <c r="EZL1053" s="989"/>
      <c r="EZM1053" s="989"/>
      <c r="EZN1053" s="989"/>
      <c r="EZO1053" s="989"/>
      <c r="EZP1053" s="989"/>
      <c r="EZQ1053" s="989"/>
      <c r="EZR1053" s="989"/>
      <c r="EZS1053" s="989"/>
      <c r="EZT1053" s="989"/>
      <c r="EZU1053" s="989"/>
      <c r="EZV1053" s="989"/>
      <c r="EZW1053" s="989"/>
      <c r="EZX1053" s="989"/>
      <c r="EZY1053" s="989"/>
      <c r="EZZ1053" s="989"/>
      <c r="FAA1053" s="989"/>
      <c r="FAB1053" s="989"/>
      <c r="FAC1053" s="989"/>
      <c r="FAD1053" s="989"/>
      <c r="FAE1053" s="989"/>
      <c r="FAF1053" s="989"/>
      <c r="FAG1053" s="989"/>
      <c r="FAH1053" s="989"/>
      <c r="FAI1053" s="989"/>
      <c r="FAJ1053" s="989"/>
      <c r="FAK1053" s="989"/>
      <c r="FAL1053" s="989"/>
      <c r="FAM1053" s="989"/>
      <c r="FAN1053" s="989"/>
      <c r="FAO1053" s="989"/>
      <c r="FAP1053" s="989"/>
      <c r="FAQ1053" s="989"/>
      <c r="FAR1053" s="989"/>
      <c r="FAS1053" s="989"/>
      <c r="FAT1053" s="989"/>
      <c r="FAU1053" s="989"/>
      <c r="FAV1053" s="989"/>
      <c r="FAW1053" s="989"/>
      <c r="FAX1053" s="989"/>
      <c r="FAY1053" s="989"/>
      <c r="FAZ1053" s="989"/>
      <c r="FBA1053" s="989"/>
      <c r="FBB1053" s="989"/>
      <c r="FBC1053" s="989"/>
      <c r="FBD1053" s="989"/>
      <c r="FBE1053" s="989"/>
      <c r="FBF1053" s="989"/>
      <c r="FBG1053" s="989"/>
      <c r="FBH1053" s="989"/>
      <c r="FBI1053" s="989"/>
      <c r="FBJ1053" s="989"/>
      <c r="FBK1053" s="989"/>
      <c r="FBL1053" s="989"/>
      <c r="FBM1053" s="989"/>
      <c r="FBN1053" s="989"/>
      <c r="FBO1053" s="989"/>
      <c r="FBP1053" s="989"/>
      <c r="FBQ1053" s="989"/>
      <c r="FBR1053" s="989"/>
      <c r="FBS1053" s="989"/>
      <c r="FBT1053" s="989"/>
      <c r="FBU1053" s="989"/>
      <c r="FBV1053" s="989"/>
      <c r="FBW1053" s="989"/>
      <c r="FBX1053" s="989"/>
      <c r="FBY1053" s="989"/>
      <c r="FBZ1053" s="989"/>
      <c r="FCA1053" s="989"/>
      <c r="FCB1053" s="989"/>
      <c r="FCC1053" s="989"/>
      <c r="FCD1053" s="989"/>
      <c r="FCE1053" s="989"/>
      <c r="FCF1053" s="989"/>
      <c r="FCG1053" s="989"/>
      <c r="FCH1053" s="989"/>
      <c r="FCI1053" s="989"/>
      <c r="FCJ1053" s="989"/>
      <c r="FCK1053" s="989"/>
      <c r="FCL1053" s="989"/>
      <c r="FCM1053" s="989"/>
      <c r="FCN1053" s="989"/>
      <c r="FCO1053" s="989"/>
      <c r="FCP1053" s="989"/>
      <c r="FCQ1053" s="989"/>
      <c r="FCR1053" s="989"/>
      <c r="FCS1053" s="989"/>
      <c r="FCT1053" s="989"/>
      <c r="FCU1053" s="989"/>
      <c r="FCV1053" s="989"/>
      <c r="FCW1053" s="989"/>
      <c r="FCX1053" s="989"/>
      <c r="FCY1053" s="989"/>
      <c r="FCZ1053" s="989"/>
      <c r="FDA1053" s="989"/>
      <c r="FDB1053" s="989"/>
      <c r="FDC1053" s="989"/>
      <c r="FDD1053" s="989"/>
      <c r="FDE1053" s="989"/>
      <c r="FDF1053" s="989"/>
      <c r="FDG1053" s="989"/>
      <c r="FDH1053" s="989"/>
      <c r="FDI1053" s="989"/>
      <c r="FDJ1053" s="989"/>
      <c r="FDK1053" s="989"/>
      <c r="FDL1053" s="989"/>
      <c r="FDM1053" s="989"/>
      <c r="FDN1053" s="989"/>
      <c r="FDO1053" s="989"/>
      <c r="FDP1053" s="989"/>
      <c r="FDQ1053" s="989"/>
      <c r="FDR1053" s="989"/>
      <c r="FDS1053" s="989"/>
      <c r="FDT1053" s="989"/>
      <c r="FDU1053" s="989"/>
      <c r="FDV1053" s="989"/>
      <c r="FDW1053" s="989"/>
      <c r="FDX1053" s="989"/>
      <c r="FDY1053" s="989"/>
      <c r="FDZ1053" s="989"/>
      <c r="FEA1053" s="989"/>
      <c r="FEB1053" s="989"/>
      <c r="FEC1053" s="989"/>
      <c r="FED1053" s="989"/>
      <c r="FEE1053" s="989"/>
      <c r="FEF1053" s="989"/>
      <c r="FEG1053" s="989"/>
      <c r="FEH1053" s="989"/>
      <c r="FEI1053" s="989"/>
      <c r="FEJ1053" s="989"/>
      <c r="FEK1053" s="989"/>
      <c r="FEL1053" s="989"/>
      <c r="FEM1053" s="989"/>
      <c r="FEN1053" s="989"/>
      <c r="FEO1053" s="989"/>
      <c r="FEP1053" s="989"/>
      <c r="FEQ1053" s="989"/>
      <c r="FER1053" s="989"/>
      <c r="FES1053" s="989"/>
      <c r="FET1053" s="989"/>
      <c r="FEU1053" s="989"/>
      <c r="FEV1053" s="989"/>
      <c r="FEW1053" s="989"/>
      <c r="FEX1053" s="989"/>
      <c r="FEY1053" s="989"/>
      <c r="FEZ1053" s="989"/>
      <c r="FFA1053" s="989"/>
      <c r="FFB1053" s="989"/>
      <c r="FFC1053" s="989"/>
      <c r="FFD1053" s="989"/>
      <c r="FFE1053" s="989"/>
      <c r="FFF1053" s="989"/>
      <c r="FFG1053" s="989"/>
      <c r="FFH1053" s="989"/>
      <c r="FFI1053" s="989"/>
      <c r="FFJ1053" s="989"/>
      <c r="FFK1053" s="989"/>
      <c r="FFL1053" s="989"/>
      <c r="FFM1053" s="989"/>
      <c r="FFN1053" s="989"/>
      <c r="FFO1053" s="989"/>
      <c r="FFP1053" s="989"/>
      <c r="FFQ1053" s="989"/>
      <c r="FFR1053" s="989"/>
      <c r="FFS1053" s="989"/>
      <c r="FFT1053" s="989"/>
      <c r="FFU1053" s="989"/>
      <c r="FFV1053" s="989"/>
      <c r="FFW1053" s="989"/>
      <c r="FFX1053" s="989"/>
      <c r="FFY1053" s="989"/>
      <c r="FFZ1053" s="989"/>
      <c r="FGA1053" s="989"/>
      <c r="FGB1053" s="989"/>
      <c r="FGC1053" s="989"/>
      <c r="FGD1053" s="989"/>
      <c r="FGE1053" s="989"/>
      <c r="FGF1053" s="989"/>
      <c r="FGG1053" s="989"/>
      <c r="FGH1053" s="989"/>
      <c r="FGI1053" s="989"/>
      <c r="FGJ1053" s="989"/>
      <c r="FGK1053" s="989"/>
      <c r="FGL1053" s="989"/>
      <c r="FGM1053" s="989"/>
      <c r="FGN1053" s="989"/>
      <c r="FGO1053" s="989"/>
      <c r="FGP1053" s="989"/>
      <c r="FGQ1053" s="989"/>
      <c r="FGR1053" s="989"/>
      <c r="FGS1053" s="989"/>
      <c r="FGT1053" s="989"/>
      <c r="FGU1053" s="989"/>
      <c r="FGV1053" s="989"/>
      <c r="FGW1053" s="989"/>
      <c r="FGX1053" s="989"/>
      <c r="FGY1053" s="989"/>
      <c r="FGZ1053" s="989"/>
      <c r="FHA1053" s="989"/>
      <c r="FHB1053" s="989"/>
      <c r="FHC1053" s="989"/>
      <c r="FHD1053" s="989"/>
      <c r="FHE1053" s="989"/>
      <c r="FHF1053" s="989"/>
      <c r="FHG1053" s="989"/>
      <c r="FHH1053" s="989"/>
      <c r="FHI1053" s="989"/>
      <c r="FHJ1053" s="989"/>
      <c r="FHK1053" s="989"/>
      <c r="FHL1053" s="989"/>
      <c r="FHM1053" s="989"/>
      <c r="FHN1053" s="989"/>
      <c r="FHO1053" s="989"/>
      <c r="FHP1053" s="989"/>
      <c r="FHQ1053" s="989"/>
      <c r="FHR1053" s="989"/>
      <c r="FHS1053" s="989"/>
      <c r="FHT1053" s="989"/>
      <c r="FHU1053" s="989"/>
      <c r="FHV1053" s="989"/>
      <c r="FHW1053" s="989"/>
      <c r="FHX1053" s="989"/>
      <c r="FHY1053" s="989"/>
      <c r="FHZ1053" s="989"/>
      <c r="FIA1053" s="989"/>
      <c r="FIB1053" s="989"/>
      <c r="FIC1053" s="989"/>
      <c r="FID1053" s="989"/>
      <c r="FIE1053" s="989"/>
      <c r="FIF1053" s="989"/>
      <c r="FIG1053" s="989"/>
      <c r="FIH1053" s="989"/>
      <c r="FII1053" s="989"/>
      <c r="FIJ1053" s="989"/>
      <c r="FIK1053" s="989"/>
      <c r="FIL1053" s="989"/>
      <c r="FIM1053" s="989"/>
      <c r="FIN1053" s="989"/>
      <c r="FIO1053" s="989"/>
      <c r="FIP1053" s="989"/>
      <c r="FIQ1053" s="989"/>
      <c r="FIR1053" s="989"/>
      <c r="FIS1053" s="989"/>
      <c r="FIT1053" s="989"/>
      <c r="FIU1053" s="989"/>
      <c r="FIV1053" s="989"/>
      <c r="FIW1053" s="989"/>
      <c r="FIX1053" s="989"/>
      <c r="FIY1053" s="989"/>
      <c r="FIZ1053" s="989"/>
      <c r="FJA1053" s="989"/>
      <c r="FJB1053" s="989"/>
      <c r="FJC1053" s="989"/>
      <c r="FJD1053" s="989"/>
      <c r="FJE1053" s="989"/>
      <c r="FJF1053" s="989"/>
      <c r="FJG1053" s="989"/>
      <c r="FJH1053" s="989"/>
      <c r="FJI1053" s="989"/>
      <c r="FJJ1053" s="989"/>
      <c r="FJK1053" s="989"/>
      <c r="FJL1053" s="989"/>
      <c r="FJM1053" s="989"/>
      <c r="FJN1053" s="989"/>
      <c r="FJO1053" s="989"/>
      <c r="FJP1053" s="989"/>
      <c r="FJQ1053" s="989"/>
      <c r="FJR1053" s="989"/>
      <c r="FJS1053" s="989"/>
      <c r="FJT1053" s="989"/>
      <c r="FJU1053" s="989"/>
      <c r="FJV1053" s="989"/>
      <c r="FJW1053" s="989"/>
      <c r="FJX1053" s="989"/>
      <c r="FJY1053" s="989"/>
      <c r="FJZ1053" s="989"/>
      <c r="FKA1053" s="989"/>
      <c r="FKB1053" s="989"/>
      <c r="FKC1053" s="989"/>
      <c r="FKD1053" s="989"/>
      <c r="FKE1053" s="989"/>
      <c r="FKF1053" s="989"/>
      <c r="FKG1053" s="989"/>
      <c r="FKH1053" s="989"/>
      <c r="FKI1053" s="989"/>
      <c r="FKJ1053" s="989"/>
      <c r="FKK1053" s="989"/>
      <c r="FKL1053" s="989"/>
      <c r="FKM1053" s="989"/>
      <c r="FKN1053" s="989"/>
      <c r="FKO1053" s="989"/>
      <c r="FKP1053" s="989"/>
      <c r="FKQ1053" s="989"/>
      <c r="FKR1053" s="989"/>
      <c r="FKS1053" s="989"/>
      <c r="FKT1053" s="989"/>
      <c r="FKU1053" s="989"/>
      <c r="FKV1053" s="989"/>
      <c r="FKW1053" s="989"/>
      <c r="FKX1053" s="989"/>
      <c r="FKY1053" s="989"/>
      <c r="FKZ1053" s="989"/>
      <c r="FLA1053" s="989"/>
      <c r="FLB1053" s="989"/>
      <c r="FLC1053" s="989"/>
      <c r="FLD1053" s="989"/>
      <c r="FLE1053" s="989"/>
      <c r="FLF1053" s="989"/>
      <c r="FLG1053" s="989"/>
      <c r="FLH1053" s="989"/>
      <c r="FLI1053" s="989"/>
      <c r="FLJ1053" s="989"/>
      <c r="FLK1053" s="989"/>
      <c r="FLL1053" s="989"/>
      <c r="FLM1053" s="989"/>
      <c r="FLN1053" s="989"/>
      <c r="FLO1053" s="989"/>
      <c r="FLP1053" s="989"/>
      <c r="FLQ1053" s="989"/>
      <c r="FLR1053" s="989"/>
      <c r="FLS1053" s="989"/>
      <c r="FLT1053" s="989"/>
      <c r="FLU1053" s="989"/>
      <c r="FLV1053" s="989"/>
      <c r="FLW1053" s="989"/>
      <c r="FLX1053" s="989"/>
      <c r="FLY1053" s="989"/>
      <c r="FLZ1053" s="989"/>
      <c r="FMA1053" s="989"/>
      <c r="FMB1053" s="989"/>
      <c r="FMC1053" s="989"/>
      <c r="FMD1053" s="989"/>
      <c r="FME1053" s="989"/>
      <c r="FMF1053" s="989"/>
      <c r="FMG1053" s="989"/>
      <c r="FMH1053" s="989"/>
      <c r="FMI1053" s="989"/>
      <c r="FMJ1053" s="989"/>
      <c r="FMK1053" s="989"/>
      <c r="FML1053" s="989"/>
      <c r="FMM1053" s="989"/>
      <c r="FMN1053" s="989"/>
      <c r="FMO1053" s="989"/>
      <c r="FMP1053" s="989"/>
      <c r="FMQ1053" s="989"/>
      <c r="FMR1053" s="989"/>
      <c r="FMS1053" s="989"/>
      <c r="FMT1053" s="989"/>
      <c r="FMU1053" s="989"/>
      <c r="FMV1053" s="989"/>
      <c r="FMW1053" s="989"/>
      <c r="FMX1053" s="989"/>
      <c r="FMY1053" s="989"/>
      <c r="FMZ1053" s="989"/>
      <c r="FNA1053" s="989"/>
      <c r="FNB1053" s="989"/>
      <c r="FNC1053" s="989"/>
      <c r="FND1053" s="989"/>
      <c r="FNE1053" s="989"/>
      <c r="FNF1053" s="989"/>
      <c r="FNG1053" s="989"/>
      <c r="FNH1053" s="989"/>
      <c r="FNI1053" s="989"/>
      <c r="FNJ1053" s="989"/>
      <c r="FNK1053" s="989"/>
      <c r="FNL1053" s="989"/>
      <c r="FNM1053" s="989"/>
      <c r="FNN1053" s="989"/>
      <c r="FNO1053" s="989"/>
      <c r="FNP1053" s="989"/>
      <c r="FNQ1053" s="989"/>
      <c r="FNR1053" s="989"/>
      <c r="FNS1053" s="989"/>
      <c r="FNT1053" s="989"/>
      <c r="FNU1053" s="989"/>
      <c r="FNV1053" s="989"/>
      <c r="FNW1053" s="989"/>
      <c r="FNX1053" s="989"/>
      <c r="FNY1053" s="989"/>
      <c r="FNZ1053" s="989"/>
      <c r="FOA1053" s="989"/>
      <c r="FOB1053" s="989"/>
      <c r="FOC1053" s="989"/>
      <c r="FOD1053" s="989"/>
      <c r="FOE1053" s="989"/>
      <c r="FOF1053" s="989"/>
      <c r="FOG1053" s="989"/>
      <c r="FOH1053" s="989"/>
      <c r="FOI1053" s="989"/>
      <c r="FOJ1053" s="989"/>
      <c r="FOK1053" s="989"/>
      <c r="FOL1053" s="989"/>
      <c r="FOM1053" s="989"/>
      <c r="FON1053" s="989"/>
      <c r="FOO1053" s="989"/>
      <c r="FOP1053" s="989"/>
      <c r="FOQ1053" s="989"/>
      <c r="FOR1053" s="989"/>
      <c r="FOS1053" s="989"/>
      <c r="FOT1053" s="989"/>
      <c r="FOU1053" s="989"/>
      <c r="FOV1053" s="989"/>
      <c r="FOW1053" s="989"/>
      <c r="FOX1053" s="989"/>
      <c r="FOY1053" s="989"/>
      <c r="FOZ1053" s="989"/>
      <c r="FPA1053" s="989"/>
      <c r="FPB1053" s="989"/>
      <c r="FPC1053" s="989"/>
      <c r="FPD1053" s="989"/>
      <c r="FPE1053" s="989"/>
      <c r="FPF1053" s="989"/>
      <c r="FPG1053" s="989"/>
      <c r="FPH1053" s="989"/>
      <c r="FPI1053" s="989"/>
      <c r="FPJ1053" s="989"/>
      <c r="FPK1053" s="989"/>
      <c r="FPL1053" s="989"/>
      <c r="FPM1053" s="989"/>
      <c r="FPN1053" s="989"/>
      <c r="FPO1053" s="989"/>
      <c r="FPP1053" s="989"/>
      <c r="FPQ1053" s="989"/>
      <c r="FPR1053" s="989"/>
      <c r="FPS1053" s="989"/>
      <c r="FPT1053" s="989"/>
      <c r="FPU1053" s="989"/>
      <c r="FPV1053" s="989"/>
      <c r="FPW1053" s="989"/>
      <c r="FPX1053" s="989"/>
      <c r="FPY1053" s="989"/>
      <c r="FPZ1053" s="989"/>
      <c r="FQA1053" s="989"/>
      <c r="FQB1053" s="989"/>
      <c r="FQC1053" s="989"/>
      <c r="FQD1053" s="989"/>
      <c r="FQE1053" s="989"/>
      <c r="FQF1053" s="989"/>
      <c r="FQG1053" s="989"/>
      <c r="FQH1053" s="989"/>
      <c r="FQI1053" s="989"/>
      <c r="FQJ1053" s="989"/>
      <c r="FQK1053" s="989"/>
      <c r="FQL1053" s="989"/>
      <c r="FQM1053" s="989"/>
      <c r="FQN1053" s="989"/>
      <c r="FQO1053" s="989"/>
      <c r="FQP1053" s="989"/>
      <c r="FQQ1053" s="989"/>
      <c r="FQR1053" s="989"/>
      <c r="FQS1053" s="989"/>
      <c r="FQT1053" s="989"/>
      <c r="FQU1053" s="989"/>
      <c r="FQV1053" s="989"/>
      <c r="FQW1053" s="989"/>
      <c r="FQX1053" s="989"/>
      <c r="FQY1053" s="989"/>
      <c r="FQZ1053" s="989"/>
      <c r="FRA1053" s="989"/>
      <c r="FRB1053" s="989"/>
      <c r="FRC1053" s="989"/>
      <c r="FRD1053" s="989"/>
      <c r="FRE1053" s="989"/>
      <c r="FRF1053" s="989"/>
      <c r="FRG1053" s="989"/>
      <c r="FRH1053" s="989"/>
      <c r="FRI1053" s="989"/>
      <c r="FRJ1053" s="989"/>
      <c r="FRK1053" s="989"/>
      <c r="FRL1053" s="989"/>
      <c r="FRM1053" s="989"/>
      <c r="FRN1053" s="989"/>
      <c r="FRO1053" s="989"/>
      <c r="FRP1053" s="989"/>
      <c r="FRQ1053" s="989"/>
      <c r="FRR1053" s="989"/>
      <c r="FRS1053" s="989"/>
      <c r="FRT1053" s="989"/>
      <c r="FRU1053" s="989"/>
      <c r="FRV1053" s="989"/>
      <c r="FRW1053" s="989"/>
      <c r="FRX1053" s="989"/>
      <c r="FRY1053" s="989"/>
      <c r="FRZ1053" s="989"/>
      <c r="FSA1053" s="989"/>
      <c r="FSB1053" s="989"/>
      <c r="FSC1053" s="989"/>
      <c r="FSD1053" s="989"/>
      <c r="FSE1053" s="989"/>
      <c r="FSF1053" s="989"/>
      <c r="FSG1053" s="989"/>
      <c r="FSH1053" s="989"/>
      <c r="FSI1053" s="989"/>
      <c r="FSJ1053" s="989"/>
      <c r="FSK1053" s="989"/>
      <c r="FSL1053" s="989"/>
      <c r="FSM1053" s="989"/>
      <c r="FSN1053" s="989"/>
      <c r="FSO1053" s="989"/>
      <c r="FSP1053" s="989"/>
      <c r="FSQ1053" s="989"/>
      <c r="FSR1053" s="989"/>
      <c r="FSS1053" s="989"/>
      <c r="FST1053" s="989"/>
      <c r="FSU1053" s="989"/>
      <c r="FSV1053" s="989"/>
      <c r="FSW1053" s="989"/>
      <c r="FSX1053" s="989"/>
      <c r="FSY1053" s="989"/>
      <c r="FSZ1053" s="989"/>
      <c r="FTA1053" s="989"/>
      <c r="FTB1053" s="989"/>
      <c r="FTC1053" s="989"/>
      <c r="FTD1053" s="989"/>
      <c r="FTE1053" s="989"/>
      <c r="FTF1053" s="989"/>
      <c r="FTG1053" s="989"/>
      <c r="FTH1053" s="989"/>
      <c r="FTI1053" s="989"/>
      <c r="FTJ1053" s="989"/>
      <c r="FTK1053" s="989"/>
      <c r="FTL1053" s="989"/>
      <c r="FTM1053" s="989"/>
      <c r="FTN1053" s="989"/>
      <c r="FTO1053" s="989"/>
      <c r="FTP1053" s="989"/>
      <c r="FTQ1053" s="989"/>
      <c r="FTR1053" s="989"/>
      <c r="FTS1053" s="989"/>
      <c r="FTT1053" s="989"/>
      <c r="FTU1053" s="989"/>
      <c r="FTV1053" s="989"/>
      <c r="FTW1053" s="989"/>
      <c r="FTX1053" s="989"/>
      <c r="FTY1053" s="989"/>
      <c r="FTZ1053" s="989"/>
      <c r="FUA1053" s="989"/>
      <c r="FUB1053" s="989"/>
      <c r="FUC1053" s="989"/>
      <c r="FUD1053" s="989"/>
      <c r="FUE1053" s="989"/>
      <c r="FUF1053" s="989"/>
      <c r="FUG1053" s="989"/>
      <c r="FUH1053" s="989"/>
      <c r="FUI1053" s="989"/>
      <c r="FUJ1053" s="989"/>
      <c r="FUK1053" s="989"/>
      <c r="FUL1053" s="989"/>
      <c r="FUM1053" s="989"/>
      <c r="FUN1053" s="989"/>
      <c r="FUO1053" s="989"/>
      <c r="FUP1053" s="989"/>
      <c r="FUQ1053" s="989"/>
      <c r="FUR1053" s="989"/>
      <c r="FUS1053" s="989"/>
      <c r="FUT1053" s="989"/>
      <c r="FUU1053" s="989"/>
      <c r="FUV1053" s="989"/>
      <c r="FUW1053" s="989"/>
      <c r="FUX1053" s="989"/>
      <c r="FUY1053" s="989"/>
      <c r="FUZ1053" s="989"/>
      <c r="FVA1053" s="989"/>
      <c r="FVB1053" s="989"/>
      <c r="FVC1053" s="989"/>
      <c r="FVD1053" s="989"/>
      <c r="FVE1053" s="989"/>
      <c r="FVF1053" s="989"/>
      <c r="FVG1053" s="989"/>
      <c r="FVH1053" s="989"/>
      <c r="FVI1053" s="989"/>
      <c r="FVJ1053" s="989"/>
      <c r="FVK1053" s="989"/>
      <c r="FVL1053" s="989"/>
      <c r="FVM1053" s="989"/>
      <c r="FVN1053" s="989"/>
      <c r="FVO1053" s="989"/>
      <c r="FVP1053" s="989"/>
      <c r="FVQ1053" s="989"/>
      <c r="FVR1053" s="989"/>
      <c r="FVS1053" s="989"/>
      <c r="FVT1053" s="989"/>
      <c r="FVU1053" s="989"/>
      <c r="FVV1053" s="989"/>
      <c r="FVW1053" s="989"/>
      <c r="FVX1053" s="989"/>
      <c r="FVY1053" s="989"/>
      <c r="FVZ1053" s="989"/>
      <c r="FWA1053" s="989"/>
      <c r="FWB1053" s="989"/>
      <c r="FWC1053" s="989"/>
      <c r="FWD1053" s="989"/>
      <c r="FWE1053" s="989"/>
      <c r="FWF1053" s="989"/>
      <c r="FWG1053" s="989"/>
      <c r="FWH1053" s="989"/>
      <c r="FWI1053" s="989"/>
      <c r="FWJ1053" s="989"/>
      <c r="FWK1053" s="989"/>
      <c r="FWL1053" s="989"/>
      <c r="FWM1053" s="989"/>
      <c r="FWN1053" s="989"/>
      <c r="FWO1053" s="989"/>
      <c r="FWP1053" s="989"/>
      <c r="FWQ1053" s="989"/>
      <c r="FWR1053" s="989"/>
      <c r="FWS1053" s="989"/>
      <c r="FWT1053" s="989"/>
      <c r="FWU1053" s="989"/>
      <c r="FWV1053" s="989"/>
      <c r="FWW1053" s="989"/>
      <c r="FWX1053" s="989"/>
      <c r="FWY1053" s="989"/>
      <c r="FWZ1053" s="989"/>
      <c r="FXA1053" s="989"/>
      <c r="FXB1053" s="989"/>
      <c r="FXC1053" s="989"/>
      <c r="FXD1053" s="989"/>
      <c r="FXE1053" s="989"/>
      <c r="FXF1053" s="989"/>
      <c r="FXG1053" s="989"/>
      <c r="FXH1053" s="989"/>
      <c r="FXI1053" s="989"/>
      <c r="FXJ1053" s="989"/>
      <c r="FXK1053" s="989"/>
      <c r="FXL1053" s="989"/>
      <c r="FXM1053" s="989"/>
      <c r="FXN1053" s="989"/>
      <c r="FXO1053" s="989"/>
      <c r="FXP1053" s="989"/>
      <c r="FXQ1053" s="989"/>
      <c r="FXR1053" s="989"/>
      <c r="FXS1053" s="989"/>
      <c r="FXT1053" s="989"/>
      <c r="FXU1053" s="989"/>
      <c r="FXV1053" s="989"/>
      <c r="FXW1053" s="989"/>
      <c r="FXX1053" s="989"/>
      <c r="FXY1053" s="989"/>
      <c r="FXZ1053" s="989"/>
      <c r="FYA1053" s="989"/>
      <c r="FYB1053" s="989"/>
      <c r="FYC1053" s="989"/>
      <c r="FYD1053" s="989"/>
      <c r="FYE1053" s="989"/>
      <c r="FYF1053" s="989"/>
      <c r="FYG1053" s="989"/>
      <c r="FYH1053" s="989"/>
      <c r="FYI1053" s="989"/>
      <c r="FYJ1053" s="989"/>
      <c r="FYK1053" s="989"/>
      <c r="FYL1053" s="989"/>
      <c r="FYM1053" s="989"/>
      <c r="FYN1053" s="989"/>
      <c r="FYO1053" s="989"/>
      <c r="FYP1053" s="989"/>
      <c r="FYQ1053" s="989"/>
      <c r="FYR1053" s="989"/>
      <c r="FYS1053" s="989"/>
      <c r="FYT1053" s="989"/>
      <c r="FYU1053" s="989"/>
      <c r="FYV1053" s="989"/>
      <c r="FYW1053" s="989"/>
      <c r="FYX1053" s="989"/>
      <c r="FYY1053" s="989"/>
      <c r="FYZ1053" s="989"/>
      <c r="FZA1053" s="989"/>
      <c r="FZB1053" s="989"/>
      <c r="FZC1053" s="989"/>
      <c r="FZD1053" s="989"/>
      <c r="FZE1053" s="989"/>
      <c r="FZF1053" s="989"/>
      <c r="FZG1053" s="989"/>
      <c r="FZH1053" s="989"/>
      <c r="FZI1053" s="989"/>
      <c r="FZJ1053" s="989"/>
      <c r="FZK1053" s="989"/>
      <c r="FZL1053" s="989"/>
      <c r="FZM1053" s="989"/>
      <c r="FZN1053" s="989"/>
      <c r="FZO1053" s="989"/>
      <c r="FZP1053" s="989"/>
      <c r="FZQ1053" s="989"/>
      <c r="FZR1053" s="989"/>
      <c r="FZS1053" s="989"/>
      <c r="FZT1053" s="989"/>
      <c r="FZU1053" s="989"/>
      <c r="FZV1053" s="989"/>
      <c r="FZW1053" s="989"/>
      <c r="FZX1053" s="989"/>
      <c r="FZY1053" s="989"/>
      <c r="FZZ1053" s="989"/>
      <c r="GAA1053" s="989"/>
      <c r="GAB1053" s="989"/>
      <c r="GAC1053" s="989"/>
      <c r="GAD1053" s="989"/>
      <c r="GAE1053" s="989"/>
      <c r="GAF1053" s="989"/>
      <c r="GAG1053" s="989"/>
      <c r="GAH1053" s="989"/>
      <c r="GAI1053" s="989"/>
      <c r="GAJ1053" s="989"/>
      <c r="GAK1053" s="989"/>
      <c r="GAL1053" s="989"/>
      <c r="GAM1053" s="989"/>
      <c r="GAN1053" s="989"/>
      <c r="GAO1053" s="989"/>
      <c r="GAP1053" s="989"/>
      <c r="GAQ1053" s="989"/>
      <c r="GAR1053" s="989"/>
      <c r="GAS1053" s="989"/>
      <c r="GAT1053" s="989"/>
      <c r="GAU1053" s="989"/>
      <c r="GAV1053" s="989"/>
      <c r="GAW1053" s="989"/>
      <c r="GAX1053" s="989"/>
      <c r="GAY1053" s="989"/>
      <c r="GAZ1053" s="989"/>
      <c r="GBA1053" s="989"/>
      <c r="GBB1053" s="989"/>
      <c r="GBC1053" s="989"/>
      <c r="GBD1053" s="989"/>
      <c r="GBE1053" s="989"/>
      <c r="GBF1053" s="989"/>
      <c r="GBG1053" s="989"/>
      <c r="GBH1053" s="989"/>
      <c r="GBI1053" s="989"/>
      <c r="GBJ1053" s="989"/>
      <c r="GBK1053" s="989"/>
      <c r="GBL1053" s="989"/>
      <c r="GBM1053" s="989"/>
      <c r="GBN1053" s="989"/>
      <c r="GBO1053" s="989"/>
      <c r="GBP1053" s="989"/>
      <c r="GBQ1053" s="989"/>
      <c r="GBR1053" s="989"/>
      <c r="GBS1053" s="989"/>
      <c r="GBT1053" s="989"/>
      <c r="GBU1053" s="989"/>
      <c r="GBV1053" s="989"/>
      <c r="GBW1053" s="989"/>
      <c r="GBX1053" s="989"/>
      <c r="GBY1053" s="989"/>
      <c r="GBZ1053" s="989"/>
      <c r="GCA1053" s="989"/>
      <c r="GCB1053" s="989"/>
      <c r="GCC1053" s="989"/>
      <c r="GCD1053" s="989"/>
      <c r="GCE1053" s="989"/>
      <c r="GCF1053" s="989"/>
      <c r="GCG1053" s="989"/>
      <c r="GCH1053" s="989"/>
      <c r="GCI1053" s="989"/>
      <c r="GCJ1053" s="989"/>
      <c r="GCK1053" s="989"/>
      <c r="GCL1053" s="989"/>
      <c r="GCM1053" s="989"/>
      <c r="GCN1053" s="989"/>
      <c r="GCO1053" s="989"/>
      <c r="GCP1053" s="989"/>
      <c r="GCQ1053" s="989"/>
      <c r="GCR1053" s="989"/>
      <c r="GCS1053" s="989"/>
      <c r="GCT1053" s="989"/>
      <c r="GCU1053" s="989"/>
      <c r="GCV1053" s="989"/>
      <c r="GCW1053" s="989"/>
      <c r="GCX1053" s="989"/>
      <c r="GCY1053" s="989"/>
      <c r="GCZ1053" s="989"/>
      <c r="GDA1053" s="989"/>
      <c r="GDB1053" s="989"/>
      <c r="GDC1053" s="989"/>
      <c r="GDD1053" s="989"/>
      <c r="GDE1053" s="989"/>
      <c r="GDF1053" s="989"/>
      <c r="GDG1053" s="989"/>
      <c r="GDH1053" s="989"/>
      <c r="GDI1053" s="989"/>
      <c r="GDJ1053" s="989"/>
      <c r="GDK1053" s="989"/>
      <c r="GDL1053" s="989"/>
      <c r="GDM1053" s="989"/>
      <c r="GDN1053" s="989"/>
      <c r="GDO1053" s="989"/>
      <c r="GDP1053" s="989"/>
      <c r="GDQ1053" s="989"/>
      <c r="GDR1053" s="989"/>
      <c r="GDS1053" s="989"/>
      <c r="GDT1053" s="989"/>
      <c r="GDU1053" s="989"/>
      <c r="GDV1053" s="989"/>
      <c r="GDW1053" s="989"/>
      <c r="GDX1053" s="989"/>
      <c r="GDY1053" s="989"/>
      <c r="GDZ1053" s="989"/>
      <c r="GEA1053" s="989"/>
      <c r="GEB1053" s="989"/>
      <c r="GEC1053" s="989"/>
      <c r="GED1053" s="989"/>
      <c r="GEE1053" s="989"/>
      <c r="GEF1053" s="989"/>
      <c r="GEG1053" s="989"/>
      <c r="GEH1053" s="989"/>
      <c r="GEI1053" s="989"/>
      <c r="GEJ1053" s="989"/>
      <c r="GEK1053" s="989"/>
      <c r="GEL1053" s="989"/>
      <c r="GEM1053" s="989"/>
      <c r="GEN1053" s="989"/>
      <c r="GEO1053" s="989"/>
      <c r="GEP1053" s="989"/>
      <c r="GEQ1053" s="989"/>
      <c r="GER1053" s="989"/>
      <c r="GES1053" s="989"/>
      <c r="GET1053" s="989"/>
      <c r="GEU1053" s="989"/>
      <c r="GEV1053" s="989"/>
      <c r="GEW1053" s="989"/>
      <c r="GEX1053" s="989"/>
      <c r="GEY1053" s="989"/>
      <c r="GEZ1053" s="989"/>
      <c r="GFA1053" s="989"/>
      <c r="GFB1053" s="989"/>
      <c r="GFC1053" s="989"/>
      <c r="GFD1053" s="989"/>
      <c r="GFE1053" s="989"/>
      <c r="GFF1053" s="989"/>
      <c r="GFG1053" s="989"/>
      <c r="GFH1053" s="989"/>
      <c r="GFI1053" s="989"/>
      <c r="GFJ1053" s="989"/>
      <c r="GFK1053" s="989"/>
      <c r="GFL1053" s="989"/>
      <c r="GFM1053" s="989"/>
      <c r="GFN1053" s="989"/>
      <c r="GFO1053" s="989"/>
      <c r="GFP1053" s="989"/>
      <c r="GFQ1053" s="989"/>
      <c r="GFR1053" s="989"/>
      <c r="GFS1053" s="989"/>
      <c r="GFT1053" s="989"/>
      <c r="GFU1053" s="989"/>
      <c r="GFV1053" s="989"/>
      <c r="GFW1053" s="989"/>
      <c r="GFX1053" s="989"/>
      <c r="GFY1053" s="989"/>
      <c r="GFZ1053" s="989"/>
      <c r="GGA1053" s="989"/>
      <c r="GGB1053" s="989"/>
      <c r="GGC1053" s="989"/>
      <c r="GGD1053" s="989"/>
      <c r="GGE1053" s="989"/>
      <c r="GGF1053" s="989"/>
      <c r="GGG1053" s="989"/>
      <c r="GGH1053" s="989"/>
      <c r="GGI1053" s="989"/>
      <c r="GGJ1053" s="989"/>
      <c r="GGK1053" s="989"/>
      <c r="GGL1053" s="989"/>
      <c r="GGM1053" s="989"/>
      <c r="GGN1053" s="989"/>
      <c r="GGO1053" s="989"/>
      <c r="GGP1053" s="989"/>
      <c r="GGQ1053" s="989"/>
      <c r="GGR1053" s="989"/>
      <c r="GGS1053" s="989"/>
      <c r="GGT1053" s="989"/>
      <c r="GGU1053" s="989"/>
      <c r="GGV1053" s="989"/>
      <c r="GGW1053" s="989"/>
      <c r="GGX1053" s="989"/>
      <c r="GGY1053" s="989"/>
      <c r="GGZ1053" s="989"/>
      <c r="GHA1053" s="989"/>
      <c r="GHB1053" s="989"/>
      <c r="GHC1053" s="989"/>
      <c r="GHD1053" s="989"/>
      <c r="GHE1053" s="989"/>
      <c r="GHF1053" s="989"/>
      <c r="GHG1053" s="989"/>
      <c r="GHH1053" s="989"/>
      <c r="GHI1053" s="989"/>
      <c r="GHJ1053" s="989"/>
      <c r="GHK1053" s="989"/>
      <c r="GHL1053" s="989"/>
      <c r="GHM1053" s="989"/>
      <c r="GHN1053" s="989"/>
      <c r="GHO1053" s="989"/>
      <c r="GHP1053" s="989"/>
      <c r="GHQ1053" s="989"/>
      <c r="GHR1053" s="989"/>
      <c r="GHS1053" s="989"/>
      <c r="GHT1053" s="989"/>
      <c r="GHU1053" s="989"/>
      <c r="GHV1053" s="989"/>
      <c r="GHW1053" s="989"/>
      <c r="GHX1053" s="989"/>
      <c r="GHY1053" s="989"/>
      <c r="GHZ1053" s="989"/>
      <c r="GIA1053" s="989"/>
      <c r="GIB1053" s="989"/>
      <c r="GIC1053" s="989"/>
      <c r="GID1053" s="989"/>
      <c r="GIE1053" s="989"/>
      <c r="GIF1053" s="989"/>
      <c r="GIG1053" s="989"/>
      <c r="GIH1053" s="989"/>
      <c r="GII1053" s="989"/>
      <c r="GIJ1053" s="989"/>
      <c r="GIK1053" s="989"/>
      <c r="GIL1053" s="989"/>
      <c r="GIM1053" s="989"/>
      <c r="GIN1053" s="989"/>
      <c r="GIO1053" s="989"/>
      <c r="GIP1053" s="989"/>
      <c r="GIQ1053" s="989"/>
      <c r="GIR1053" s="989"/>
      <c r="GIS1053" s="989"/>
      <c r="GIT1053" s="989"/>
      <c r="GIU1053" s="989"/>
      <c r="GIV1053" s="989"/>
      <c r="GIW1053" s="989"/>
      <c r="GIX1053" s="989"/>
      <c r="GIY1053" s="989"/>
      <c r="GIZ1053" s="989"/>
      <c r="GJA1053" s="989"/>
      <c r="GJB1053" s="989"/>
      <c r="GJC1053" s="989"/>
      <c r="GJD1053" s="989"/>
      <c r="GJE1053" s="989"/>
      <c r="GJF1053" s="989"/>
      <c r="GJG1053" s="989"/>
      <c r="GJH1053" s="989"/>
      <c r="GJI1053" s="989"/>
      <c r="GJJ1053" s="989"/>
      <c r="GJK1053" s="989"/>
      <c r="GJL1053" s="989"/>
      <c r="GJM1053" s="989"/>
      <c r="GJN1053" s="989"/>
      <c r="GJO1053" s="989"/>
      <c r="GJP1053" s="989"/>
      <c r="GJQ1053" s="989"/>
      <c r="GJR1053" s="989"/>
      <c r="GJS1053" s="989"/>
      <c r="GJT1053" s="989"/>
      <c r="GJU1053" s="989"/>
      <c r="GJV1053" s="989"/>
      <c r="GJW1053" s="989"/>
      <c r="GJX1053" s="989"/>
      <c r="GJY1053" s="989"/>
      <c r="GJZ1053" s="989"/>
      <c r="GKA1053" s="989"/>
      <c r="GKB1053" s="989"/>
      <c r="GKC1053" s="989"/>
      <c r="GKD1053" s="989"/>
      <c r="GKE1053" s="989"/>
      <c r="GKF1053" s="989"/>
      <c r="GKG1053" s="989"/>
      <c r="GKH1053" s="989"/>
      <c r="GKI1053" s="989"/>
      <c r="GKJ1053" s="989"/>
      <c r="GKK1053" s="989"/>
      <c r="GKL1053" s="989"/>
      <c r="GKM1053" s="989"/>
      <c r="GKN1053" s="989"/>
      <c r="GKO1053" s="989"/>
      <c r="GKP1053" s="989"/>
      <c r="GKQ1053" s="989"/>
      <c r="GKR1053" s="989"/>
      <c r="GKS1053" s="989"/>
      <c r="GKT1053" s="989"/>
      <c r="GKU1053" s="989"/>
      <c r="GKV1053" s="989"/>
      <c r="GKW1053" s="989"/>
      <c r="GKX1053" s="989"/>
      <c r="GKY1053" s="989"/>
      <c r="GKZ1053" s="989"/>
      <c r="GLA1053" s="989"/>
      <c r="GLB1053" s="989"/>
      <c r="GLC1053" s="989"/>
      <c r="GLD1053" s="989"/>
      <c r="GLE1053" s="989"/>
      <c r="GLF1053" s="989"/>
      <c r="GLG1053" s="989"/>
      <c r="GLH1053" s="989"/>
      <c r="GLI1053" s="989"/>
      <c r="GLJ1053" s="989"/>
      <c r="GLK1053" s="989"/>
      <c r="GLL1053" s="989"/>
      <c r="GLM1053" s="989"/>
      <c r="GLN1053" s="989"/>
      <c r="GLO1053" s="989"/>
      <c r="GLP1053" s="989"/>
      <c r="GLQ1053" s="989"/>
      <c r="GLR1053" s="989"/>
      <c r="GLS1053" s="989"/>
      <c r="GLT1053" s="989"/>
      <c r="GLU1053" s="989"/>
      <c r="GLV1053" s="989"/>
      <c r="GLW1053" s="989"/>
      <c r="GLX1053" s="989"/>
      <c r="GLY1053" s="989"/>
      <c r="GLZ1053" s="989"/>
      <c r="GMA1053" s="989"/>
      <c r="GMB1053" s="989"/>
      <c r="GMC1053" s="989"/>
      <c r="GMD1053" s="989"/>
      <c r="GME1053" s="989"/>
      <c r="GMF1053" s="989"/>
      <c r="GMG1053" s="989"/>
      <c r="GMH1053" s="989"/>
      <c r="GMI1053" s="989"/>
      <c r="GMJ1053" s="989"/>
      <c r="GMK1053" s="989"/>
      <c r="GML1053" s="989"/>
      <c r="GMM1053" s="989"/>
      <c r="GMN1053" s="989"/>
      <c r="GMO1053" s="989"/>
      <c r="GMP1053" s="989"/>
      <c r="GMQ1053" s="989"/>
      <c r="GMR1053" s="989"/>
      <c r="GMS1053" s="989"/>
      <c r="GMT1053" s="989"/>
      <c r="GMU1053" s="989"/>
      <c r="GMV1053" s="989"/>
      <c r="GMW1053" s="989"/>
      <c r="GMX1053" s="989"/>
      <c r="GMY1053" s="989"/>
      <c r="GMZ1053" s="989"/>
      <c r="GNA1053" s="989"/>
      <c r="GNB1053" s="989"/>
      <c r="GNC1053" s="989"/>
      <c r="GND1053" s="989"/>
      <c r="GNE1053" s="989"/>
      <c r="GNF1053" s="989"/>
      <c r="GNG1053" s="989"/>
      <c r="GNH1053" s="989"/>
      <c r="GNI1053" s="989"/>
      <c r="GNJ1053" s="989"/>
      <c r="GNK1053" s="989"/>
      <c r="GNL1053" s="989"/>
      <c r="GNM1053" s="989"/>
      <c r="GNN1053" s="989"/>
      <c r="GNO1053" s="989"/>
      <c r="GNP1053" s="989"/>
      <c r="GNQ1053" s="989"/>
      <c r="GNR1053" s="989"/>
      <c r="GNS1053" s="989"/>
      <c r="GNT1053" s="989"/>
      <c r="GNU1053" s="989"/>
      <c r="GNV1053" s="989"/>
      <c r="GNW1053" s="989"/>
      <c r="GNX1053" s="989"/>
      <c r="GNY1053" s="989"/>
      <c r="GNZ1053" s="989"/>
      <c r="GOA1053" s="989"/>
      <c r="GOB1053" s="989"/>
      <c r="GOC1053" s="989"/>
      <c r="GOD1053" s="989"/>
      <c r="GOE1053" s="989"/>
      <c r="GOF1053" s="989"/>
      <c r="GOG1053" s="989"/>
      <c r="GOH1053" s="989"/>
      <c r="GOI1053" s="989"/>
      <c r="GOJ1053" s="989"/>
      <c r="GOK1053" s="989"/>
      <c r="GOL1053" s="989"/>
      <c r="GOM1053" s="989"/>
      <c r="GON1053" s="989"/>
      <c r="GOO1053" s="989"/>
      <c r="GOP1053" s="989"/>
      <c r="GOQ1053" s="989"/>
      <c r="GOR1053" s="989"/>
      <c r="GOS1053" s="989"/>
      <c r="GOT1053" s="989"/>
      <c r="GOU1053" s="989"/>
      <c r="GOV1053" s="989"/>
      <c r="GOW1053" s="989"/>
      <c r="GOX1053" s="989"/>
      <c r="GOY1053" s="989"/>
      <c r="GOZ1053" s="989"/>
      <c r="GPA1053" s="989"/>
      <c r="GPB1053" s="989"/>
      <c r="GPC1053" s="989"/>
      <c r="GPD1053" s="989"/>
      <c r="GPE1053" s="989"/>
      <c r="GPF1053" s="989"/>
      <c r="GPG1053" s="989"/>
      <c r="GPH1053" s="989"/>
      <c r="GPI1053" s="989"/>
      <c r="GPJ1053" s="989"/>
      <c r="GPK1053" s="989"/>
      <c r="GPL1053" s="989"/>
      <c r="GPM1053" s="989"/>
      <c r="GPN1053" s="989"/>
      <c r="GPO1053" s="989"/>
      <c r="GPP1053" s="989"/>
      <c r="GPQ1053" s="989"/>
      <c r="GPR1053" s="989"/>
      <c r="GPS1053" s="989"/>
      <c r="GPT1053" s="989"/>
      <c r="GPU1053" s="989"/>
      <c r="GPV1053" s="989"/>
      <c r="GPW1053" s="989"/>
      <c r="GPX1053" s="989"/>
      <c r="GPY1053" s="989"/>
      <c r="GPZ1053" s="989"/>
      <c r="GQA1053" s="989"/>
      <c r="GQB1053" s="989"/>
      <c r="GQC1053" s="989"/>
      <c r="GQD1053" s="989"/>
      <c r="GQE1053" s="989"/>
      <c r="GQF1053" s="989"/>
      <c r="GQG1053" s="989"/>
      <c r="GQH1053" s="989"/>
      <c r="GQI1053" s="989"/>
      <c r="GQJ1053" s="989"/>
      <c r="GQK1053" s="989"/>
      <c r="GQL1053" s="989"/>
      <c r="GQM1053" s="989"/>
      <c r="GQN1053" s="989"/>
      <c r="GQO1053" s="989"/>
      <c r="GQP1053" s="989"/>
      <c r="GQQ1053" s="989"/>
      <c r="GQR1053" s="989"/>
      <c r="GQS1053" s="989"/>
      <c r="GQT1053" s="989"/>
      <c r="GQU1053" s="989"/>
      <c r="GQV1053" s="989"/>
      <c r="GQW1053" s="989"/>
      <c r="GQX1053" s="989"/>
      <c r="GQY1053" s="989"/>
      <c r="GQZ1053" s="989"/>
      <c r="GRA1053" s="989"/>
      <c r="GRB1053" s="989"/>
      <c r="GRC1053" s="989"/>
      <c r="GRD1053" s="989"/>
      <c r="GRE1053" s="989"/>
      <c r="GRF1053" s="989"/>
      <c r="GRG1053" s="989"/>
      <c r="GRH1053" s="989"/>
      <c r="GRI1053" s="989"/>
      <c r="GRJ1053" s="989"/>
      <c r="GRK1053" s="989"/>
      <c r="GRL1053" s="989"/>
      <c r="GRM1053" s="989"/>
      <c r="GRN1053" s="989"/>
      <c r="GRO1053" s="989"/>
      <c r="GRP1053" s="989"/>
      <c r="GRQ1053" s="989"/>
      <c r="GRR1053" s="989"/>
      <c r="GRS1053" s="989"/>
      <c r="GRT1053" s="989"/>
      <c r="GRU1053" s="989"/>
      <c r="GRV1053" s="989"/>
      <c r="GRW1053" s="989"/>
      <c r="GRX1053" s="989"/>
      <c r="GRY1053" s="989"/>
      <c r="GRZ1053" s="989"/>
      <c r="GSA1053" s="989"/>
      <c r="GSB1053" s="989"/>
      <c r="GSC1053" s="989"/>
      <c r="GSD1053" s="989"/>
      <c r="GSE1053" s="989"/>
      <c r="GSF1053" s="989"/>
      <c r="GSG1053" s="989"/>
      <c r="GSH1053" s="989"/>
      <c r="GSI1053" s="989"/>
      <c r="GSJ1053" s="989"/>
      <c r="GSK1053" s="989"/>
      <c r="GSL1053" s="989"/>
      <c r="GSM1053" s="989"/>
      <c r="GSN1053" s="989"/>
      <c r="GSO1053" s="989"/>
      <c r="GSP1053" s="989"/>
      <c r="GSQ1053" s="989"/>
      <c r="GSR1053" s="989"/>
      <c r="GSS1053" s="989"/>
      <c r="GST1053" s="989"/>
      <c r="GSU1053" s="989"/>
      <c r="GSV1053" s="989"/>
      <c r="GSW1053" s="989"/>
      <c r="GSX1053" s="989"/>
      <c r="GSY1053" s="989"/>
      <c r="GSZ1053" s="989"/>
      <c r="GTA1053" s="989"/>
      <c r="GTB1053" s="989"/>
      <c r="GTC1053" s="989"/>
      <c r="GTD1053" s="989"/>
      <c r="GTE1053" s="989"/>
      <c r="GTF1053" s="989"/>
      <c r="GTG1053" s="989"/>
      <c r="GTH1053" s="989"/>
      <c r="GTI1053" s="989"/>
      <c r="GTJ1053" s="989"/>
      <c r="GTK1053" s="989"/>
      <c r="GTL1053" s="989"/>
      <c r="GTM1053" s="989"/>
      <c r="GTN1053" s="989"/>
      <c r="GTO1053" s="989"/>
      <c r="GTP1053" s="989"/>
      <c r="GTQ1053" s="989"/>
      <c r="GTR1053" s="989"/>
      <c r="GTS1053" s="989"/>
      <c r="GTT1053" s="989"/>
      <c r="GTU1053" s="989"/>
      <c r="GTV1053" s="989"/>
      <c r="GTW1053" s="989"/>
      <c r="GTX1053" s="989"/>
      <c r="GTY1053" s="989"/>
      <c r="GTZ1053" s="989"/>
      <c r="GUA1053" s="989"/>
      <c r="GUB1053" s="989"/>
      <c r="GUC1053" s="989"/>
      <c r="GUD1053" s="989"/>
      <c r="GUE1053" s="989"/>
      <c r="GUF1053" s="989"/>
      <c r="GUG1053" s="989"/>
      <c r="GUH1053" s="989"/>
      <c r="GUI1053" s="989"/>
      <c r="GUJ1053" s="989"/>
      <c r="GUK1053" s="989"/>
      <c r="GUL1053" s="989"/>
      <c r="GUM1053" s="989"/>
      <c r="GUN1053" s="989"/>
      <c r="GUO1053" s="989"/>
      <c r="GUP1053" s="989"/>
      <c r="GUQ1053" s="989"/>
      <c r="GUR1053" s="989"/>
      <c r="GUS1053" s="989"/>
      <c r="GUT1053" s="989"/>
      <c r="GUU1053" s="989"/>
      <c r="GUV1053" s="989"/>
      <c r="GUW1053" s="989"/>
      <c r="GUX1053" s="989"/>
      <c r="GUY1053" s="989"/>
      <c r="GUZ1053" s="989"/>
      <c r="GVA1053" s="989"/>
      <c r="GVB1053" s="989"/>
      <c r="GVC1053" s="989"/>
      <c r="GVD1053" s="989"/>
      <c r="GVE1053" s="989"/>
      <c r="GVF1053" s="989"/>
      <c r="GVG1053" s="989"/>
      <c r="GVH1053" s="989"/>
      <c r="GVI1053" s="989"/>
      <c r="GVJ1053" s="989"/>
      <c r="GVK1053" s="989"/>
      <c r="GVL1053" s="989"/>
      <c r="GVM1053" s="989"/>
      <c r="GVN1053" s="989"/>
      <c r="GVO1053" s="989"/>
      <c r="GVP1053" s="989"/>
      <c r="GVQ1053" s="989"/>
      <c r="GVR1053" s="989"/>
      <c r="GVS1053" s="989"/>
      <c r="GVT1053" s="989"/>
      <c r="GVU1053" s="989"/>
      <c r="GVV1053" s="989"/>
      <c r="GVW1053" s="989"/>
      <c r="GVX1053" s="989"/>
      <c r="GVY1053" s="989"/>
      <c r="GVZ1053" s="989"/>
      <c r="GWA1053" s="989"/>
      <c r="GWB1053" s="989"/>
      <c r="GWC1053" s="989"/>
      <c r="GWD1053" s="989"/>
      <c r="GWE1053" s="989"/>
      <c r="GWF1053" s="989"/>
      <c r="GWG1053" s="989"/>
      <c r="GWH1053" s="989"/>
      <c r="GWI1053" s="989"/>
      <c r="GWJ1053" s="989"/>
      <c r="GWK1053" s="989"/>
      <c r="GWL1053" s="989"/>
      <c r="GWM1053" s="989"/>
      <c r="GWN1053" s="989"/>
      <c r="GWO1053" s="989"/>
      <c r="GWP1053" s="989"/>
      <c r="GWQ1053" s="989"/>
      <c r="GWR1053" s="989"/>
      <c r="GWS1053" s="989"/>
      <c r="GWT1053" s="989"/>
      <c r="GWU1053" s="989"/>
      <c r="GWV1053" s="989"/>
      <c r="GWW1053" s="989"/>
      <c r="GWX1053" s="989"/>
      <c r="GWY1053" s="989"/>
      <c r="GWZ1053" s="989"/>
      <c r="GXA1053" s="989"/>
      <c r="GXB1053" s="989"/>
      <c r="GXC1053" s="989"/>
      <c r="GXD1053" s="989"/>
      <c r="GXE1053" s="989"/>
      <c r="GXF1053" s="989"/>
      <c r="GXG1053" s="989"/>
      <c r="GXH1053" s="989"/>
      <c r="GXI1053" s="989"/>
      <c r="GXJ1053" s="989"/>
      <c r="GXK1053" s="989"/>
      <c r="GXL1053" s="989"/>
      <c r="GXM1053" s="989"/>
      <c r="GXN1053" s="989"/>
      <c r="GXO1053" s="989"/>
      <c r="GXP1053" s="989"/>
      <c r="GXQ1053" s="989"/>
      <c r="GXR1053" s="989"/>
      <c r="GXS1053" s="989"/>
      <c r="GXT1053" s="989"/>
      <c r="GXU1053" s="989"/>
      <c r="GXV1053" s="989"/>
      <c r="GXW1053" s="989"/>
      <c r="GXX1053" s="989"/>
      <c r="GXY1053" s="989"/>
      <c r="GXZ1053" s="989"/>
      <c r="GYA1053" s="989"/>
      <c r="GYB1053" s="989"/>
      <c r="GYC1053" s="989"/>
      <c r="GYD1053" s="989"/>
      <c r="GYE1053" s="989"/>
      <c r="GYF1053" s="989"/>
      <c r="GYG1053" s="989"/>
      <c r="GYH1053" s="989"/>
      <c r="GYI1053" s="989"/>
      <c r="GYJ1053" s="989"/>
      <c r="GYK1053" s="989"/>
      <c r="GYL1053" s="989"/>
      <c r="GYM1053" s="989"/>
      <c r="GYN1053" s="989"/>
      <c r="GYO1053" s="989"/>
      <c r="GYP1053" s="989"/>
      <c r="GYQ1053" s="989"/>
      <c r="GYR1053" s="989"/>
      <c r="GYS1053" s="989"/>
      <c r="GYT1053" s="989"/>
      <c r="GYU1053" s="989"/>
      <c r="GYV1053" s="989"/>
      <c r="GYW1053" s="989"/>
      <c r="GYX1053" s="989"/>
      <c r="GYY1053" s="989"/>
      <c r="GYZ1053" s="989"/>
      <c r="GZA1053" s="989"/>
      <c r="GZB1053" s="989"/>
      <c r="GZC1053" s="989"/>
      <c r="GZD1053" s="989"/>
      <c r="GZE1053" s="989"/>
      <c r="GZF1053" s="989"/>
      <c r="GZG1053" s="989"/>
      <c r="GZH1053" s="989"/>
      <c r="GZI1053" s="989"/>
      <c r="GZJ1053" s="989"/>
      <c r="GZK1053" s="989"/>
      <c r="GZL1053" s="989"/>
      <c r="GZM1053" s="989"/>
      <c r="GZN1053" s="989"/>
      <c r="GZO1053" s="989"/>
      <c r="GZP1053" s="989"/>
      <c r="GZQ1053" s="989"/>
      <c r="GZR1053" s="989"/>
      <c r="GZS1053" s="989"/>
      <c r="GZT1053" s="989"/>
      <c r="GZU1053" s="989"/>
      <c r="GZV1053" s="989"/>
      <c r="GZW1053" s="989"/>
      <c r="GZX1053" s="989"/>
      <c r="GZY1053" s="989"/>
      <c r="GZZ1053" s="989"/>
      <c r="HAA1053" s="989"/>
      <c r="HAB1053" s="989"/>
      <c r="HAC1053" s="989"/>
      <c r="HAD1053" s="989"/>
      <c r="HAE1053" s="989"/>
      <c r="HAF1053" s="989"/>
      <c r="HAG1053" s="989"/>
      <c r="HAH1053" s="989"/>
      <c r="HAI1053" s="989"/>
      <c r="HAJ1053" s="989"/>
      <c r="HAK1053" s="989"/>
      <c r="HAL1053" s="989"/>
      <c r="HAM1053" s="989"/>
      <c r="HAN1053" s="989"/>
      <c r="HAO1053" s="989"/>
      <c r="HAP1053" s="989"/>
      <c r="HAQ1053" s="989"/>
      <c r="HAR1053" s="989"/>
      <c r="HAS1053" s="989"/>
      <c r="HAT1053" s="989"/>
      <c r="HAU1053" s="989"/>
      <c r="HAV1053" s="989"/>
      <c r="HAW1053" s="989"/>
      <c r="HAX1053" s="989"/>
      <c r="HAY1053" s="989"/>
      <c r="HAZ1053" s="989"/>
      <c r="HBA1053" s="989"/>
      <c r="HBB1053" s="989"/>
      <c r="HBC1053" s="989"/>
      <c r="HBD1053" s="989"/>
      <c r="HBE1053" s="989"/>
      <c r="HBF1053" s="989"/>
      <c r="HBG1053" s="989"/>
      <c r="HBH1053" s="989"/>
      <c r="HBI1053" s="989"/>
      <c r="HBJ1053" s="989"/>
      <c r="HBK1053" s="989"/>
      <c r="HBL1053" s="989"/>
      <c r="HBM1053" s="989"/>
      <c r="HBN1053" s="989"/>
      <c r="HBO1053" s="989"/>
      <c r="HBP1053" s="989"/>
      <c r="HBQ1053" s="989"/>
      <c r="HBR1053" s="989"/>
      <c r="HBS1053" s="989"/>
      <c r="HBT1053" s="989"/>
      <c r="HBU1053" s="989"/>
      <c r="HBV1053" s="989"/>
      <c r="HBW1053" s="989"/>
      <c r="HBX1053" s="989"/>
      <c r="HBY1053" s="989"/>
      <c r="HBZ1053" s="989"/>
      <c r="HCA1053" s="989"/>
      <c r="HCB1053" s="989"/>
      <c r="HCC1053" s="989"/>
      <c r="HCD1053" s="989"/>
      <c r="HCE1053" s="989"/>
      <c r="HCF1053" s="989"/>
      <c r="HCG1053" s="989"/>
      <c r="HCH1053" s="989"/>
      <c r="HCI1053" s="989"/>
      <c r="HCJ1053" s="989"/>
      <c r="HCK1053" s="989"/>
      <c r="HCL1053" s="989"/>
      <c r="HCM1053" s="989"/>
      <c r="HCN1053" s="989"/>
      <c r="HCO1053" s="989"/>
      <c r="HCP1053" s="989"/>
      <c r="HCQ1053" s="989"/>
      <c r="HCR1053" s="989"/>
      <c r="HCS1053" s="989"/>
      <c r="HCT1053" s="989"/>
      <c r="HCU1053" s="989"/>
      <c r="HCV1053" s="989"/>
      <c r="HCW1053" s="989"/>
      <c r="HCX1053" s="989"/>
      <c r="HCY1053" s="989"/>
      <c r="HCZ1053" s="989"/>
      <c r="HDA1053" s="989"/>
      <c r="HDB1053" s="989"/>
      <c r="HDC1053" s="989"/>
      <c r="HDD1053" s="989"/>
      <c r="HDE1053" s="989"/>
      <c r="HDF1053" s="989"/>
      <c r="HDG1053" s="989"/>
      <c r="HDH1053" s="989"/>
      <c r="HDI1053" s="989"/>
      <c r="HDJ1053" s="989"/>
      <c r="HDK1053" s="989"/>
      <c r="HDL1053" s="989"/>
      <c r="HDM1053" s="989"/>
      <c r="HDN1053" s="989"/>
      <c r="HDO1053" s="989"/>
      <c r="HDP1053" s="989"/>
      <c r="HDQ1053" s="989"/>
      <c r="HDR1053" s="989"/>
      <c r="HDS1053" s="989"/>
      <c r="HDT1053" s="989"/>
      <c r="HDU1053" s="989"/>
      <c r="HDV1053" s="989"/>
      <c r="HDW1053" s="989"/>
      <c r="HDX1053" s="989"/>
      <c r="HDY1053" s="989"/>
      <c r="HDZ1053" s="989"/>
      <c r="HEA1053" s="989"/>
      <c r="HEB1053" s="989"/>
      <c r="HEC1053" s="989"/>
      <c r="HED1053" s="989"/>
      <c r="HEE1053" s="989"/>
      <c r="HEF1053" s="989"/>
      <c r="HEG1053" s="989"/>
      <c r="HEH1053" s="989"/>
      <c r="HEI1053" s="989"/>
      <c r="HEJ1053" s="989"/>
      <c r="HEK1053" s="989"/>
      <c r="HEL1053" s="989"/>
      <c r="HEM1053" s="989"/>
      <c r="HEN1053" s="989"/>
      <c r="HEO1053" s="989"/>
      <c r="HEP1053" s="989"/>
      <c r="HEQ1053" s="989"/>
      <c r="HER1053" s="989"/>
      <c r="HES1053" s="989"/>
      <c r="HET1053" s="989"/>
      <c r="HEU1053" s="989"/>
      <c r="HEV1053" s="989"/>
      <c r="HEW1053" s="989"/>
      <c r="HEX1053" s="989"/>
      <c r="HEY1053" s="989"/>
      <c r="HEZ1053" s="989"/>
      <c r="HFA1053" s="989"/>
      <c r="HFB1053" s="989"/>
      <c r="HFC1053" s="989"/>
      <c r="HFD1053" s="989"/>
      <c r="HFE1053" s="989"/>
      <c r="HFF1053" s="989"/>
      <c r="HFG1053" s="989"/>
      <c r="HFH1053" s="989"/>
      <c r="HFI1053" s="989"/>
      <c r="HFJ1053" s="989"/>
      <c r="HFK1053" s="989"/>
      <c r="HFL1053" s="989"/>
      <c r="HFM1053" s="989"/>
      <c r="HFN1053" s="989"/>
      <c r="HFO1053" s="989"/>
      <c r="HFP1053" s="989"/>
      <c r="HFQ1053" s="989"/>
      <c r="HFR1053" s="989"/>
      <c r="HFS1053" s="989"/>
      <c r="HFT1053" s="989"/>
      <c r="HFU1053" s="989"/>
      <c r="HFV1053" s="989"/>
      <c r="HFW1053" s="989"/>
      <c r="HFX1053" s="989"/>
      <c r="HFY1053" s="989"/>
      <c r="HFZ1053" s="989"/>
      <c r="HGA1053" s="989"/>
      <c r="HGB1053" s="989"/>
      <c r="HGC1053" s="989"/>
      <c r="HGD1053" s="989"/>
      <c r="HGE1053" s="989"/>
      <c r="HGF1053" s="989"/>
      <c r="HGG1053" s="989"/>
      <c r="HGH1053" s="989"/>
      <c r="HGI1053" s="989"/>
      <c r="HGJ1053" s="989"/>
      <c r="HGK1053" s="989"/>
      <c r="HGL1053" s="989"/>
      <c r="HGM1053" s="989"/>
      <c r="HGN1053" s="989"/>
      <c r="HGO1053" s="989"/>
      <c r="HGP1053" s="989"/>
      <c r="HGQ1053" s="989"/>
      <c r="HGR1053" s="989"/>
      <c r="HGS1053" s="989"/>
      <c r="HGT1053" s="989"/>
      <c r="HGU1053" s="989"/>
      <c r="HGV1053" s="989"/>
      <c r="HGW1053" s="989"/>
      <c r="HGX1053" s="989"/>
      <c r="HGY1053" s="989"/>
      <c r="HGZ1053" s="989"/>
      <c r="HHA1053" s="989"/>
      <c r="HHB1053" s="989"/>
      <c r="HHC1053" s="989"/>
      <c r="HHD1053" s="989"/>
      <c r="HHE1053" s="989"/>
      <c r="HHF1053" s="989"/>
      <c r="HHG1053" s="989"/>
      <c r="HHH1053" s="989"/>
      <c r="HHI1053" s="989"/>
      <c r="HHJ1053" s="989"/>
      <c r="HHK1053" s="989"/>
      <c r="HHL1053" s="989"/>
      <c r="HHM1053" s="989"/>
      <c r="HHN1053" s="989"/>
      <c r="HHO1053" s="989"/>
      <c r="HHP1053" s="989"/>
      <c r="HHQ1053" s="989"/>
      <c r="HHR1053" s="989"/>
      <c r="HHS1053" s="989"/>
      <c r="HHT1053" s="989"/>
      <c r="HHU1053" s="989"/>
      <c r="HHV1053" s="989"/>
      <c r="HHW1053" s="989"/>
      <c r="HHX1053" s="989"/>
      <c r="HHY1053" s="989"/>
      <c r="HHZ1053" s="989"/>
      <c r="HIA1053" s="989"/>
      <c r="HIB1053" s="989"/>
      <c r="HIC1053" s="989"/>
      <c r="HID1053" s="989"/>
      <c r="HIE1053" s="989"/>
      <c r="HIF1053" s="989"/>
      <c r="HIG1053" s="989"/>
      <c r="HIH1053" s="989"/>
      <c r="HII1053" s="989"/>
      <c r="HIJ1053" s="989"/>
      <c r="HIK1053" s="989"/>
      <c r="HIL1053" s="989"/>
      <c r="HIM1053" s="989"/>
      <c r="HIN1053" s="989"/>
      <c r="HIO1053" s="989"/>
      <c r="HIP1053" s="989"/>
      <c r="HIQ1053" s="989"/>
      <c r="HIR1053" s="989"/>
      <c r="HIS1053" s="989"/>
      <c r="HIT1053" s="989"/>
      <c r="HIU1053" s="989"/>
      <c r="HIV1053" s="989"/>
      <c r="HIW1053" s="989"/>
      <c r="HIX1053" s="989"/>
      <c r="HIY1053" s="989"/>
      <c r="HIZ1053" s="989"/>
      <c r="HJA1053" s="989"/>
      <c r="HJB1053" s="989"/>
      <c r="HJC1053" s="989"/>
      <c r="HJD1053" s="989"/>
      <c r="HJE1053" s="989"/>
      <c r="HJF1053" s="989"/>
      <c r="HJG1053" s="989"/>
      <c r="HJH1053" s="989"/>
      <c r="HJI1053" s="989"/>
      <c r="HJJ1053" s="989"/>
      <c r="HJK1053" s="989"/>
      <c r="HJL1053" s="989"/>
      <c r="HJM1053" s="989"/>
      <c r="HJN1053" s="989"/>
      <c r="HJO1053" s="989"/>
      <c r="HJP1053" s="989"/>
      <c r="HJQ1053" s="989"/>
      <c r="HJR1053" s="989"/>
      <c r="HJS1053" s="989"/>
      <c r="HJT1053" s="989"/>
      <c r="HJU1053" s="989"/>
      <c r="HJV1053" s="989"/>
      <c r="HJW1053" s="989"/>
      <c r="HJX1053" s="989"/>
      <c r="HJY1053" s="989"/>
      <c r="HJZ1053" s="989"/>
      <c r="HKA1053" s="989"/>
      <c r="HKB1053" s="989"/>
      <c r="HKC1053" s="989"/>
      <c r="HKD1053" s="989"/>
      <c r="HKE1053" s="989"/>
      <c r="HKF1053" s="989"/>
      <c r="HKG1053" s="989"/>
      <c r="HKH1053" s="989"/>
      <c r="HKI1053" s="989"/>
      <c r="HKJ1053" s="989"/>
      <c r="HKK1053" s="989"/>
      <c r="HKL1053" s="989"/>
      <c r="HKM1053" s="989"/>
      <c r="HKN1053" s="989"/>
      <c r="HKO1053" s="989"/>
      <c r="HKP1053" s="989"/>
      <c r="HKQ1053" s="989"/>
      <c r="HKR1053" s="989"/>
      <c r="HKS1053" s="989"/>
      <c r="HKT1053" s="989"/>
      <c r="HKU1053" s="989"/>
      <c r="HKV1053" s="989"/>
      <c r="HKW1053" s="989"/>
      <c r="HKX1053" s="989"/>
      <c r="HKY1053" s="989"/>
      <c r="HKZ1053" s="989"/>
      <c r="HLA1053" s="989"/>
      <c r="HLB1053" s="989"/>
      <c r="HLC1053" s="989"/>
      <c r="HLD1053" s="989"/>
      <c r="HLE1053" s="989"/>
      <c r="HLF1053" s="989"/>
      <c r="HLG1053" s="989"/>
      <c r="HLH1053" s="989"/>
      <c r="HLI1053" s="989"/>
      <c r="HLJ1053" s="989"/>
      <c r="HLK1053" s="989"/>
      <c r="HLL1053" s="989"/>
      <c r="HLM1053" s="989"/>
      <c r="HLN1053" s="989"/>
      <c r="HLO1053" s="989"/>
      <c r="HLP1053" s="989"/>
      <c r="HLQ1053" s="989"/>
      <c r="HLR1053" s="989"/>
      <c r="HLS1053" s="989"/>
      <c r="HLT1053" s="989"/>
      <c r="HLU1053" s="989"/>
      <c r="HLV1053" s="989"/>
      <c r="HLW1053" s="989"/>
      <c r="HLX1053" s="989"/>
      <c r="HLY1053" s="989"/>
      <c r="HLZ1053" s="989"/>
      <c r="HMA1053" s="989"/>
      <c r="HMB1053" s="989"/>
      <c r="HMC1053" s="989"/>
      <c r="HMD1053" s="989"/>
      <c r="HME1053" s="989"/>
      <c r="HMF1053" s="989"/>
      <c r="HMG1053" s="989"/>
      <c r="HMH1053" s="989"/>
      <c r="HMI1053" s="989"/>
      <c r="HMJ1053" s="989"/>
      <c r="HMK1053" s="989"/>
      <c r="HML1053" s="989"/>
      <c r="HMM1053" s="989"/>
      <c r="HMN1053" s="989"/>
      <c r="HMO1053" s="989"/>
      <c r="HMP1053" s="989"/>
      <c r="HMQ1053" s="989"/>
      <c r="HMR1053" s="989"/>
      <c r="HMS1053" s="989"/>
      <c r="HMT1053" s="989"/>
      <c r="HMU1053" s="989"/>
      <c r="HMV1053" s="989"/>
      <c r="HMW1053" s="989"/>
      <c r="HMX1053" s="989"/>
      <c r="HMY1053" s="989"/>
      <c r="HMZ1053" s="989"/>
      <c r="HNA1053" s="989"/>
      <c r="HNB1053" s="989"/>
      <c r="HNC1053" s="989"/>
      <c r="HND1053" s="989"/>
      <c r="HNE1053" s="989"/>
      <c r="HNF1053" s="989"/>
      <c r="HNG1053" s="989"/>
      <c r="HNH1053" s="989"/>
      <c r="HNI1053" s="989"/>
      <c r="HNJ1053" s="989"/>
      <c r="HNK1053" s="989"/>
      <c r="HNL1053" s="989"/>
      <c r="HNM1053" s="989"/>
      <c r="HNN1053" s="989"/>
      <c r="HNO1053" s="989"/>
      <c r="HNP1053" s="989"/>
      <c r="HNQ1053" s="989"/>
      <c r="HNR1053" s="989"/>
      <c r="HNS1053" s="989"/>
      <c r="HNT1053" s="989"/>
      <c r="HNU1053" s="989"/>
      <c r="HNV1053" s="989"/>
      <c r="HNW1053" s="989"/>
      <c r="HNX1053" s="989"/>
      <c r="HNY1053" s="989"/>
      <c r="HNZ1053" s="989"/>
      <c r="HOA1053" s="989"/>
      <c r="HOB1053" s="989"/>
      <c r="HOC1053" s="989"/>
      <c r="HOD1053" s="989"/>
      <c r="HOE1053" s="989"/>
      <c r="HOF1053" s="989"/>
      <c r="HOG1053" s="989"/>
      <c r="HOH1053" s="989"/>
      <c r="HOI1053" s="989"/>
      <c r="HOJ1053" s="989"/>
      <c r="HOK1053" s="989"/>
      <c r="HOL1053" s="989"/>
      <c r="HOM1053" s="989"/>
      <c r="HON1053" s="989"/>
      <c r="HOO1053" s="989"/>
      <c r="HOP1053" s="989"/>
      <c r="HOQ1053" s="989"/>
      <c r="HOR1053" s="989"/>
      <c r="HOS1053" s="989"/>
      <c r="HOT1053" s="989"/>
      <c r="HOU1053" s="989"/>
      <c r="HOV1053" s="989"/>
      <c r="HOW1053" s="989"/>
      <c r="HOX1053" s="989"/>
      <c r="HOY1053" s="989"/>
      <c r="HOZ1053" s="989"/>
      <c r="HPA1053" s="989"/>
      <c r="HPB1053" s="989"/>
      <c r="HPC1053" s="989"/>
      <c r="HPD1053" s="989"/>
      <c r="HPE1053" s="989"/>
      <c r="HPF1053" s="989"/>
      <c r="HPG1053" s="989"/>
      <c r="HPH1053" s="989"/>
      <c r="HPI1053" s="989"/>
      <c r="HPJ1053" s="989"/>
      <c r="HPK1053" s="989"/>
      <c r="HPL1053" s="989"/>
      <c r="HPM1053" s="989"/>
      <c r="HPN1053" s="989"/>
      <c r="HPO1053" s="989"/>
      <c r="HPP1053" s="989"/>
      <c r="HPQ1053" s="989"/>
      <c r="HPR1053" s="989"/>
      <c r="HPS1053" s="989"/>
      <c r="HPT1053" s="989"/>
      <c r="HPU1053" s="989"/>
      <c r="HPV1053" s="989"/>
      <c r="HPW1053" s="989"/>
      <c r="HPX1053" s="989"/>
      <c r="HPY1053" s="989"/>
      <c r="HPZ1053" s="989"/>
      <c r="HQA1053" s="989"/>
      <c r="HQB1053" s="989"/>
      <c r="HQC1053" s="989"/>
      <c r="HQD1053" s="989"/>
      <c r="HQE1053" s="989"/>
      <c r="HQF1053" s="989"/>
      <c r="HQG1053" s="989"/>
      <c r="HQH1053" s="989"/>
      <c r="HQI1053" s="989"/>
      <c r="HQJ1053" s="989"/>
      <c r="HQK1053" s="989"/>
      <c r="HQL1053" s="989"/>
      <c r="HQM1053" s="989"/>
      <c r="HQN1053" s="989"/>
      <c r="HQO1053" s="989"/>
      <c r="HQP1053" s="989"/>
      <c r="HQQ1053" s="989"/>
      <c r="HQR1053" s="989"/>
      <c r="HQS1053" s="989"/>
      <c r="HQT1053" s="989"/>
      <c r="HQU1053" s="989"/>
      <c r="HQV1053" s="989"/>
      <c r="HQW1053" s="989"/>
      <c r="HQX1053" s="989"/>
      <c r="HQY1053" s="989"/>
      <c r="HQZ1053" s="989"/>
      <c r="HRA1053" s="989"/>
      <c r="HRB1053" s="989"/>
      <c r="HRC1053" s="989"/>
      <c r="HRD1053" s="989"/>
      <c r="HRE1053" s="989"/>
      <c r="HRF1053" s="989"/>
      <c r="HRG1053" s="989"/>
      <c r="HRH1053" s="989"/>
      <c r="HRI1053" s="989"/>
      <c r="HRJ1053" s="989"/>
      <c r="HRK1053" s="989"/>
      <c r="HRL1053" s="989"/>
      <c r="HRM1053" s="989"/>
      <c r="HRN1053" s="989"/>
      <c r="HRO1053" s="989"/>
      <c r="HRP1053" s="989"/>
      <c r="HRQ1053" s="989"/>
      <c r="HRR1053" s="989"/>
      <c r="HRS1053" s="989"/>
      <c r="HRT1053" s="989"/>
      <c r="HRU1053" s="989"/>
      <c r="HRV1053" s="989"/>
      <c r="HRW1053" s="989"/>
      <c r="HRX1053" s="989"/>
      <c r="HRY1053" s="989"/>
      <c r="HRZ1053" s="989"/>
      <c r="HSA1053" s="989"/>
      <c r="HSB1053" s="989"/>
      <c r="HSC1053" s="989"/>
      <c r="HSD1053" s="989"/>
      <c r="HSE1053" s="989"/>
      <c r="HSF1053" s="989"/>
      <c r="HSG1053" s="989"/>
      <c r="HSH1053" s="989"/>
      <c r="HSI1053" s="989"/>
      <c r="HSJ1053" s="989"/>
      <c r="HSK1053" s="989"/>
      <c r="HSL1053" s="989"/>
      <c r="HSM1053" s="989"/>
      <c r="HSN1053" s="989"/>
      <c r="HSO1053" s="989"/>
      <c r="HSP1053" s="989"/>
      <c r="HSQ1053" s="989"/>
      <c r="HSR1053" s="989"/>
      <c r="HSS1053" s="989"/>
      <c r="HST1053" s="989"/>
      <c r="HSU1053" s="989"/>
      <c r="HSV1053" s="989"/>
      <c r="HSW1053" s="989"/>
      <c r="HSX1053" s="989"/>
      <c r="HSY1053" s="989"/>
      <c r="HSZ1053" s="989"/>
      <c r="HTA1053" s="989"/>
      <c r="HTB1053" s="989"/>
      <c r="HTC1053" s="989"/>
      <c r="HTD1053" s="989"/>
      <c r="HTE1053" s="989"/>
      <c r="HTF1053" s="989"/>
      <c r="HTG1053" s="989"/>
      <c r="HTH1053" s="989"/>
      <c r="HTI1053" s="989"/>
      <c r="HTJ1053" s="989"/>
      <c r="HTK1053" s="989"/>
      <c r="HTL1053" s="989"/>
      <c r="HTM1053" s="989"/>
      <c r="HTN1053" s="989"/>
      <c r="HTO1053" s="989"/>
      <c r="HTP1053" s="989"/>
      <c r="HTQ1053" s="989"/>
      <c r="HTR1053" s="989"/>
      <c r="HTS1053" s="989"/>
      <c r="HTT1053" s="989"/>
      <c r="HTU1053" s="989"/>
      <c r="HTV1053" s="989"/>
      <c r="HTW1053" s="989"/>
      <c r="HTX1053" s="989"/>
      <c r="HTY1053" s="989"/>
      <c r="HTZ1053" s="989"/>
      <c r="HUA1053" s="989"/>
      <c r="HUB1053" s="989"/>
      <c r="HUC1053" s="989"/>
      <c r="HUD1053" s="989"/>
      <c r="HUE1053" s="989"/>
      <c r="HUF1053" s="989"/>
      <c r="HUG1053" s="989"/>
      <c r="HUH1053" s="989"/>
      <c r="HUI1053" s="989"/>
      <c r="HUJ1053" s="989"/>
      <c r="HUK1053" s="989"/>
      <c r="HUL1053" s="989"/>
      <c r="HUM1053" s="989"/>
      <c r="HUN1053" s="989"/>
      <c r="HUO1053" s="989"/>
      <c r="HUP1053" s="989"/>
      <c r="HUQ1053" s="989"/>
      <c r="HUR1053" s="989"/>
      <c r="HUS1053" s="989"/>
      <c r="HUT1053" s="989"/>
      <c r="HUU1053" s="989"/>
      <c r="HUV1053" s="989"/>
      <c r="HUW1053" s="989"/>
      <c r="HUX1053" s="989"/>
      <c r="HUY1053" s="989"/>
      <c r="HUZ1053" s="989"/>
      <c r="HVA1053" s="989"/>
      <c r="HVB1053" s="989"/>
      <c r="HVC1053" s="989"/>
      <c r="HVD1053" s="989"/>
      <c r="HVE1053" s="989"/>
      <c r="HVF1053" s="989"/>
      <c r="HVG1053" s="989"/>
      <c r="HVH1053" s="989"/>
      <c r="HVI1053" s="989"/>
      <c r="HVJ1053" s="989"/>
      <c r="HVK1053" s="989"/>
      <c r="HVL1053" s="989"/>
      <c r="HVM1053" s="989"/>
      <c r="HVN1053" s="989"/>
      <c r="HVO1053" s="989"/>
      <c r="HVP1053" s="989"/>
      <c r="HVQ1053" s="989"/>
      <c r="HVR1053" s="989"/>
      <c r="HVS1053" s="989"/>
      <c r="HVT1053" s="989"/>
      <c r="HVU1053" s="989"/>
      <c r="HVV1053" s="989"/>
      <c r="HVW1053" s="989"/>
      <c r="HVX1053" s="989"/>
      <c r="HVY1053" s="989"/>
      <c r="HVZ1053" s="989"/>
      <c r="HWA1053" s="989"/>
      <c r="HWB1053" s="989"/>
      <c r="HWC1053" s="989"/>
      <c r="HWD1053" s="989"/>
      <c r="HWE1053" s="989"/>
      <c r="HWF1053" s="989"/>
      <c r="HWG1053" s="989"/>
      <c r="HWH1053" s="989"/>
      <c r="HWI1053" s="989"/>
      <c r="HWJ1053" s="989"/>
      <c r="HWK1053" s="989"/>
      <c r="HWL1053" s="989"/>
      <c r="HWM1053" s="989"/>
      <c r="HWN1053" s="989"/>
      <c r="HWO1053" s="989"/>
      <c r="HWP1053" s="989"/>
      <c r="HWQ1053" s="989"/>
      <c r="HWR1053" s="989"/>
      <c r="HWS1053" s="989"/>
      <c r="HWT1053" s="989"/>
      <c r="HWU1053" s="989"/>
      <c r="HWV1053" s="989"/>
      <c r="HWW1053" s="989"/>
      <c r="HWX1053" s="989"/>
      <c r="HWY1053" s="989"/>
      <c r="HWZ1053" s="989"/>
      <c r="HXA1053" s="989"/>
      <c r="HXB1053" s="989"/>
      <c r="HXC1053" s="989"/>
      <c r="HXD1053" s="989"/>
      <c r="HXE1053" s="989"/>
      <c r="HXF1053" s="989"/>
      <c r="HXG1053" s="989"/>
      <c r="HXH1053" s="989"/>
      <c r="HXI1053" s="989"/>
      <c r="HXJ1053" s="989"/>
      <c r="HXK1053" s="989"/>
      <c r="HXL1053" s="989"/>
      <c r="HXM1053" s="989"/>
      <c r="HXN1053" s="989"/>
      <c r="HXO1053" s="989"/>
      <c r="HXP1053" s="989"/>
      <c r="HXQ1053" s="989"/>
      <c r="HXR1053" s="989"/>
      <c r="HXS1053" s="989"/>
      <c r="HXT1053" s="989"/>
      <c r="HXU1053" s="989"/>
      <c r="HXV1053" s="989"/>
      <c r="HXW1053" s="989"/>
      <c r="HXX1053" s="989"/>
      <c r="HXY1053" s="989"/>
      <c r="HXZ1053" s="989"/>
      <c r="HYA1053" s="989"/>
      <c r="HYB1053" s="989"/>
      <c r="HYC1053" s="989"/>
      <c r="HYD1053" s="989"/>
      <c r="HYE1053" s="989"/>
      <c r="HYF1053" s="989"/>
      <c r="HYG1053" s="989"/>
      <c r="HYH1053" s="989"/>
      <c r="HYI1053" s="989"/>
      <c r="HYJ1053" s="989"/>
      <c r="HYK1053" s="989"/>
      <c r="HYL1053" s="989"/>
      <c r="HYM1053" s="989"/>
      <c r="HYN1053" s="989"/>
      <c r="HYO1053" s="989"/>
      <c r="HYP1053" s="989"/>
      <c r="HYQ1053" s="989"/>
      <c r="HYR1053" s="989"/>
      <c r="HYS1053" s="989"/>
      <c r="HYT1053" s="989"/>
      <c r="HYU1053" s="989"/>
      <c r="HYV1053" s="989"/>
      <c r="HYW1053" s="989"/>
      <c r="HYX1053" s="989"/>
      <c r="HYY1053" s="989"/>
      <c r="HYZ1053" s="989"/>
      <c r="HZA1053" s="989"/>
      <c r="HZB1053" s="989"/>
      <c r="HZC1053" s="989"/>
      <c r="HZD1053" s="989"/>
      <c r="HZE1053" s="989"/>
      <c r="HZF1053" s="989"/>
      <c r="HZG1053" s="989"/>
      <c r="HZH1053" s="989"/>
      <c r="HZI1053" s="989"/>
      <c r="HZJ1053" s="989"/>
      <c r="HZK1053" s="989"/>
      <c r="HZL1053" s="989"/>
      <c r="HZM1053" s="989"/>
      <c r="HZN1053" s="989"/>
      <c r="HZO1053" s="989"/>
      <c r="HZP1053" s="989"/>
      <c r="HZQ1053" s="989"/>
      <c r="HZR1053" s="989"/>
      <c r="HZS1053" s="989"/>
      <c r="HZT1053" s="989"/>
      <c r="HZU1053" s="989"/>
      <c r="HZV1053" s="989"/>
      <c r="HZW1053" s="989"/>
      <c r="HZX1053" s="989"/>
      <c r="HZY1053" s="989"/>
      <c r="HZZ1053" s="989"/>
      <c r="IAA1053" s="989"/>
      <c r="IAB1053" s="989"/>
      <c r="IAC1053" s="989"/>
      <c r="IAD1053" s="989"/>
      <c r="IAE1053" s="989"/>
      <c r="IAF1053" s="989"/>
      <c r="IAG1053" s="989"/>
      <c r="IAH1053" s="989"/>
      <c r="IAI1053" s="989"/>
      <c r="IAJ1053" s="989"/>
      <c r="IAK1053" s="989"/>
      <c r="IAL1053" s="989"/>
      <c r="IAM1053" s="989"/>
      <c r="IAN1053" s="989"/>
      <c r="IAO1053" s="989"/>
      <c r="IAP1053" s="989"/>
      <c r="IAQ1053" s="989"/>
      <c r="IAR1053" s="989"/>
      <c r="IAS1053" s="989"/>
      <c r="IAT1053" s="989"/>
      <c r="IAU1053" s="989"/>
      <c r="IAV1053" s="989"/>
      <c r="IAW1053" s="989"/>
      <c r="IAX1053" s="989"/>
      <c r="IAY1053" s="989"/>
      <c r="IAZ1053" s="989"/>
      <c r="IBA1053" s="989"/>
      <c r="IBB1053" s="989"/>
      <c r="IBC1053" s="989"/>
      <c r="IBD1053" s="989"/>
      <c r="IBE1053" s="989"/>
      <c r="IBF1053" s="989"/>
      <c r="IBG1053" s="989"/>
      <c r="IBH1053" s="989"/>
      <c r="IBI1053" s="989"/>
      <c r="IBJ1053" s="989"/>
      <c r="IBK1053" s="989"/>
      <c r="IBL1053" s="989"/>
      <c r="IBM1053" s="989"/>
      <c r="IBN1053" s="989"/>
      <c r="IBO1053" s="989"/>
      <c r="IBP1053" s="989"/>
      <c r="IBQ1053" s="989"/>
      <c r="IBR1053" s="989"/>
      <c r="IBS1053" s="989"/>
      <c r="IBT1053" s="989"/>
      <c r="IBU1053" s="989"/>
      <c r="IBV1053" s="989"/>
      <c r="IBW1053" s="989"/>
      <c r="IBX1053" s="989"/>
      <c r="IBY1053" s="989"/>
      <c r="IBZ1053" s="989"/>
      <c r="ICA1053" s="989"/>
      <c r="ICB1053" s="989"/>
      <c r="ICC1053" s="989"/>
      <c r="ICD1053" s="989"/>
      <c r="ICE1053" s="989"/>
      <c r="ICF1053" s="989"/>
      <c r="ICG1053" s="989"/>
      <c r="ICH1053" s="989"/>
      <c r="ICI1053" s="989"/>
      <c r="ICJ1053" s="989"/>
      <c r="ICK1053" s="989"/>
      <c r="ICL1053" s="989"/>
      <c r="ICM1053" s="989"/>
      <c r="ICN1053" s="989"/>
      <c r="ICO1053" s="989"/>
      <c r="ICP1053" s="989"/>
      <c r="ICQ1053" s="989"/>
      <c r="ICR1053" s="989"/>
      <c r="ICS1053" s="989"/>
      <c r="ICT1053" s="989"/>
      <c r="ICU1053" s="989"/>
      <c r="ICV1053" s="989"/>
      <c r="ICW1053" s="989"/>
      <c r="ICX1053" s="989"/>
      <c r="ICY1053" s="989"/>
      <c r="ICZ1053" s="989"/>
      <c r="IDA1053" s="989"/>
      <c r="IDB1053" s="989"/>
      <c r="IDC1053" s="989"/>
      <c r="IDD1053" s="989"/>
      <c r="IDE1053" s="989"/>
      <c r="IDF1053" s="989"/>
      <c r="IDG1053" s="989"/>
      <c r="IDH1053" s="989"/>
      <c r="IDI1053" s="989"/>
      <c r="IDJ1053" s="989"/>
      <c r="IDK1053" s="989"/>
      <c r="IDL1053" s="989"/>
      <c r="IDM1053" s="989"/>
      <c r="IDN1053" s="989"/>
      <c r="IDO1053" s="989"/>
      <c r="IDP1053" s="989"/>
      <c r="IDQ1053" s="989"/>
      <c r="IDR1053" s="989"/>
      <c r="IDS1053" s="989"/>
      <c r="IDT1053" s="989"/>
      <c r="IDU1053" s="989"/>
      <c r="IDV1053" s="989"/>
      <c r="IDW1053" s="989"/>
      <c r="IDX1053" s="989"/>
      <c r="IDY1053" s="989"/>
      <c r="IDZ1053" s="989"/>
      <c r="IEA1053" s="989"/>
      <c r="IEB1053" s="989"/>
      <c r="IEC1053" s="989"/>
      <c r="IED1053" s="989"/>
      <c r="IEE1053" s="989"/>
      <c r="IEF1053" s="989"/>
      <c r="IEG1053" s="989"/>
      <c r="IEH1053" s="989"/>
      <c r="IEI1053" s="989"/>
      <c r="IEJ1053" s="989"/>
      <c r="IEK1053" s="989"/>
      <c r="IEL1053" s="989"/>
      <c r="IEM1053" s="989"/>
      <c r="IEN1053" s="989"/>
      <c r="IEO1053" s="989"/>
      <c r="IEP1053" s="989"/>
      <c r="IEQ1053" s="989"/>
      <c r="IER1053" s="989"/>
      <c r="IES1053" s="989"/>
      <c r="IET1053" s="989"/>
      <c r="IEU1053" s="989"/>
      <c r="IEV1053" s="989"/>
      <c r="IEW1053" s="989"/>
      <c r="IEX1053" s="989"/>
      <c r="IEY1053" s="989"/>
      <c r="IEZ1053" s="989"/>
      <c r="IFA1053" s="989"/>
      <c r="IFB1053" s="989"/>
      <c r="IFC1053" s="989"/>
      <c r="IFD1053" s="989"/>
      <c r="IFE1053" s="989"/>
      <c r="IFF1053" s="989"/>
      <c r="IFG1053" s="989"/>
      <c r="IFH1053" s="989"/>
      <c r="IFI1053" s="989"/>
      <c r="IFJ1053" s="989"/>
      <c r="IFK1053" s="989"/>
      <c r="IFL1053" s="989"/>
      <c r="IFM1053" s="989"/>
      <c r="IFN1053" s="989"/>
      <c r="IFO1053" s="989"/>
      <c r="IFP1053" s="989"/>
      <c r="IFQ1053" s="989"/>
      <c r="IFR1053" s="989"/>
      <c r="IFS1053" s="989"/>
      <c r="IFT1053" s="989"/>
      <c r="IFU1053" s="989"/>
      <c r="IFV1053" s="989"/>
      <c r="IFW1053" s="989"/>
      <c r="IFX1053" s="989"/>
      <c r="IFY1053" s="989"/>
      <c r="IFZ1053" s="989"/>
      <c r="IGA1053" s="989"/>
      <c r="IGB1053" s="989"/>
      <c r="IGC1053" s="989"/>
      <c r="IGD1053" s="989"/>
      <c r="IGE1053" s="989"/>
      <c r="IGF1053" s="989"/>
      <c r="IGG1053" s="989"/>
      <c r="IGH1053" s="989"/>
      <c r="IGI1053" s="989"/>
      <c r="IGJ1053" s="989"/>
      <c r="IGK1053" s="989"/>
      <c r="IGL1053" s="989"/>
      <c r="IGM1053" s="989"/>
      <c r="IGN1053" s="989"/>
      <c r="IGO1053" s="989"/>
      <c r="IGP1053" s="989"/>
      <c r="IGQ1053" s="989"/>
      <c r="IGR1053" s="989"/>
      <c r="IGS1053" s="989"/>
      <c r="IGT1053" s="989"/>
      <c r="IGU1053" s="989"/>
      <c r="IGV1053" s="989"/>
      <c r="IGW1053" s="989"/>
      <c r="IGX1053" s="989"/>
      <c r="IGY1053" s="989"/>
      <c r="IGZ1053" s="989"/>
      <c r="IHA1053" s="989"/>
      <c r="IHB1053" s="989"/>
      <c r="IHC1053" s="989"/>
      <c r="IHD1053" s="989"/>
      <c r="IHE1053" s="989"/>
      <c r="IHF1053" s="989"/>
      <c r="IHG1053" s="989"/>
      <c r="IHH1053" s="989"/>
      <c r="IHI1053" s="989"/>
      <c r="IHJ1053" s="989"/>
      <c r="IHK1053" s="989"/>
      <c r="IHL1053" s="989"/>
      <c r="IHM1053" s="989"/>
      <c r="IHN1053" s="989"/>
      <c r="IHO1053" s="989"/>
      <c r="IHP1053" s="989"/>
      <c r="IHQ1053" s="989"/>
      <c r="IHR1053" s="989"/>
      <c r="IHS1053" s="989"/>
      <c r="IHT1053" s="989"/>
      <c r="IHU1053" s="989"/>
      <c r="IHV1053" s="989"/>
      <c r="IHW1053" s="989"/>
      <c r="IHX1053" s="989"/>
      <c r="IHY1053" s="989"/>
      <c r="IHZ1053" s="989"/>
      <c r="IIA1053" s="989"/>
      <c r="IIB1053" s="989"/>
      <c r="IIC1053" s="989"/>
      <c r="IID1053" s="989"/>
      <c r="IIE1053" s="989"/>
      <c r="IIF1053" s="989"/>
      <c r="IIG1053" s="989"/>
      <c r="IIH1053" s="989"/>
      <c r="III1053" s="989"/>
      <c r="IIJ1053" s="989"/>
      <c r="IIK1053" s="989"/>
      <c r="IIL1053" s="989"/>
      <c r="IIM1053" s="989"/>
      <c r="IIN1053" s="989"/>
      <c r="IIO1053" s="989"/>
      <c r="IIP1053" s="989"/>
      <c r="IIQ1053" s="989"/>
      <c r="IIR1053" s="989"/>
      <c r="IIS1053" s="989"/>
      <c r="IIT1053" s="989"/>
      <c r="IIU1053" s="989"/>
      <c r="IIV1053" s="989"/>
      <c r="IIW1053" s="989"/>
      <c r="IIX1053" s="989"/>
      <c r="IIY1053" s="989"/>
      <c r="IIZ1053" s="989"/>
      <c r="IJA1053" s="989"/>
      <c r="IJB1053" s="989"/>
      <c r="IJC1053" s="989"/>
      <c r="IJD1053" s="989"/>
      <c r="IJE1053" s="989"/>
      <c r="IJF1053" s="989"/>
      <c r="IJG1053" s="989"/>
      <c r="IJH1053" s="989"/>
      <c r="IJI1053" s="989"/>
      <c r="IJJ1053" s="989"/>
      <c r="IJK1053" s="989"/>
      <c r="IJL1053" s="989"/>
      <c r="IJM1053" s="989"/>
      <c r="IJN1053" s="989"/>
      <c r="IJO1053" s="989"/>
      <c r="IJP1053" s="989"/>
      <c r="IJQ1053" s="989"/>
      <c r="IJR1053" s="989"/>
      <c r="IJS1053" s="989"/>
      <c r="IJT1053" s="989"/>
      <c r="IJU1053" s="989"/>
      <c r="IJV1053" s="989"/>
      <c r="IJW1053" s="989"/>
      <c r="IJX1053" s="989"/>
      <c r="IJY1053" s="989"/>
      <c r="IJZ1053" s="989"/>
      <c r="IKA1053" s="989"/>
      <c r="IKB1053" s="989"/>
      <c r="IKC1053" s="989"/>
      <c r="IKD1053" s="989"/>
      <c r="IKE1053" s="989"/>
      <c r="IKF1053" s="989"/>
      <c r="IKG1053" s="989"/>
      <c r="IKH1053" s="989"/>
      <c r="IKI1053" s="989"/>
      <c r="IKJ1053" s="989"/>
      <c r="IKK1053" s="989"/>
      <c r="IKL1053" s="989"/>
      <c r="IKM1053" s="989"/>
      <c r="IKN1053" s="989"/>
      <c r="IKO1053" s="989"/>
      <c r="IKP1053" s="989"/>
      <c r="IKQ1053" s="989"/>
      <c r="IKR1053" s="989"/>
      <c r="IKS1053" s="989"/>
      <c r="IKT1053" s="989"/>
      <c r="IKU1053" s="989"/>
      <c r="IKV1053" s="989"/>
      <c r="IKW1053" s="989"/>
      <c r="IKX1053" s="989"/>
      <c r="IKY1053" s="989"/>
      <c r="IKZ1053" s="989"/>
      <c r="ILA1053" s="989"/>
      <c r="ILB1053" s="989"/>
      <c r="ILC1053" s="989"/>
      <c r="ILD1053" s="989"/>
      <c r="ILE1053" s="989"/>
      <c r="ILF1053" s="989"/>
      <c r="ILG1053" s="989"/>
      <c r="ILH1053" s="989"/>
      <c r="ILI1053" s="989"/>
      <c r="ILJ1053" s="989"/>
      <c r="ILK1053" s="989"/>
      <c r="ILL1053" s="989"/>
      <c r="ILM1053" s="989"/>
      <c r="ILN1053" s="989"/>
      <c r="ILO1053" s="989"/>
      <c r="ILP1053" s="989"/>
      <c r="ILQ1053" s="989"/>
      <c r="ILR1053" s="989"/>
      <c r="ILS1053" s="989"/>
      <c r="ILT1053" s="989"/>
      <c r="ILU1053" s="989"/>
      <c r="ILV1053" s="989"/>
      <c r="ILW1053" s="989"/>
      <c r="ILX1053" s="989"/>
      <c r="ILY1053" s="989"/>
      <c r="ILZ1053" s="989"/>
      <c r="IMA1053" s="989"/>
      <c r="IMB1053" s="989"/>
      <c r="IMC1053" s="989"/>
      <c r="IMD1053" s="989"/>
      <c r="IME1053" s="989"/>
      <c r="IMF1053" s="989"/>
      <c r="IMG1053" s="989"/>
      <c r="IMH1053" s="989"/>
      <c r="IMI1053" s="989"/>
      <c r="IMJ1053" s="989"/>
      <c r="IMK1053" s="989"/>
      <c r="IML1053" s="989"/>
      <c r="IMM1053" s="989"/>
      <c r="IMN1053" s="989"/>
      <c r="IMO1053" s="989"/>
      <c r="IMP1053" s="989"/>
      <c r="IMQ1053" s="989"/>
      <c r="IMR1053" s="989"/>
      <c r="IMS1053" s="989"/>
      <c r="IMT1053" s="989"/>
      <c r="IMU1053" s="989"/>
      <c r="IMV1053" s="989"/>
      <c r="IMW1053" s="989"/>
      <c r="IMX1053" s="989"/>
      <c r="IMY1053" s="989"/>
      <c r="IMZ1053" s="989"/>
      <c r="INA1053" s="989"/>
      <c r="INB1053" s="989"/>
      <c r="INC1053" s="989"/>
      <c r="IND1053" s="989"/>
      <c r="INE1053" s="989"/>
      <c r="INF1053" s="989"/>
      <c r="ING1053" s="989"/>
      <c r="INH1053" s="989"/>
      <c r="INI1053" s="989"/>
      <c r="INJ1053" s="989"/>
      <c r="INK1053" s="989"/>
      <c r="INL1053" s="989"/>
      <c r="INM1053" s="989"/>
      <c r="INN1053" s="989"/>
      <c r="INO1053" s="989"/>
      <c r="INP1053" s="989"/>
      <c r="INQ1053" s="989"/>
      <c r="INR1053" s="989"/>
      <c r="INS1053" s="989"/>
      <c r="INT1053" s="989"/>
      <c r="INU1053" s="989"/>
      <c r="INV1053" s="989"/>
      <c r="INW1053" s="989"/>
      <c r="INX1053" s="989"/>
      <c r="INY1053" s="989"/>
      <c r="INZ1053" s="989"/>
      <c r="IOA1053" s="989"/>
      <c r="IOB1053" s="989"/>
      <c r="IOC1053" s="989"/>
      <c r="IOD1053" s="989"/>
      <c r="IOE1053" s="989"/>
      <c r="IOF1053" s="989"/>
      <c r="IOG1053" s="989"/>
      <c r="IOH1053" s="989"/>
      <c r="IOI1053" s="989"/>
      <c r="IOJ1053" s="989"/>
      <c r="IOK1053" s="989"/>
      <c r="IOL1053" s="989"/>
      <c r="IOM1053" s="989"/>
      <c r="ION1053" s="989"/>
      <c r="IOO1053" s="989"/>
      <c r="IOP1053" s="989"/>
      <c r="IOQ1053" s="989"/>
      <c r="IOR1053" s="989"/>
      <c r="IOS1053" s="989"/>
      <c r="IOT1053" s="989"/>
      <c r="IOU1053" s="989"/>
      <c r="IOV1053" s="989"/>
      <c r="IOW1053" s="989"/>
      <c r="IOX1053" s="989"/>
      <c r="IOY1053" s="989"/>
      <c r="IOZ1053" s="989"/>
      <c r="IPA1053" s="989"/>
      <c r="IPB1053" s="989"/>
      <c r="IPC1053" s="989"/>
      <c r="IPD1053" s="989"/>
      <c r="IPE1053" s="989"/>
      <c r="IPF1053" s="989"/>
      <c r="IPG1053" s="989"/>
      <c r="IPH1053" s="989"/>
      <c r="IPI1053" s="989"/>
      <c r="IPJ1053" s="989"/>
      <c r="IPK1053" s="989"/>
      <c r="IPL1053" s="989"/>
      <c r="IPM1053" s="989"/>
      <c r="IPN1053" s="989"/>
      <c r="IPO1053" s="989"/>
      <c r="IPP1053" s="989"/>
      <c r="IPQ1053" s="989"/>
      <c r="IPR1053" s="989"/>
      <c r="IPS1053" s="989"/>
      <c r="IPT1053" s="989"/>
      <c r="IPU1053" s="989"/>
      <c r="IPV1053" s="989"/>
      <c r="IPW1053" s="989"/>
      <c r="IPX1053" s="989"/>
      <c r="IPY1053" s="989"/>
      <c r="IPZ1053" s="989"/>
      <c r="IQA1053" s="989"/>
      <c r="IQB1053" s="989"/>
      <c r="IQC1053" s="989"/>
      <c r="IQD1053" s="989"/>
      <c r="IQE1053" s="989"/>
      <c r="IQF1053" s="989"/>
      <c r="IQG1053" s="989"/>
      <c r="IQH1053" s="989"/>
      <c r="IQI1053" s="989"/>
      <c r="IQJ1053" s="989"/>
      <c r="IQK1053" s="989"/>
      <c r="IQL1053" s="989"/>
      <c r="IQM1053" s="989"/>
      <c r="IQN1053" s="989"/>
      <c r="IQO1053" s="989"/>
      <c r="IQP1053" s="989"/>
      <c r="IQQ1053" s="989"/>
      <c r="IQR1053" s="989"/>
      <c r="IQS1053" s="989"/>
      <c r="IQT1053" s="989"/>
      <c r="IQU1053" s="989"/>
      <c r="IQV1053" s="989"/>
      <c r="IQW1053" s="989"/>
      <c r="IQX1053" s="989"/>
      <c r="IQY1053" s="989"/>
      <c r="IQZ1053" s="989"/>
      <c r="IRA1053" s="989"/>
      <c r="IRB1053" s="989"/>
      <c r="IRC1053" s="989"/>
      <c r="IRD1053" s="989"/>
      <c r="IRE1053" s="989"/>
      <c r="IRF1053" s="989"/>
      <c r="IRG1053" s="989"/>
      <c r="IRH1053" s="989"/>
      <c r="IRI1053" s="989"/>
      <c r="IRJ1053" s="989"/>
      <c r="IRK1053" s="989"/>
      <c r="IRL1053" s="989"/>
      <c r="IRM1053" s="989"/>
      <c r="IRN1053" s="989"/>
      <c r="IRO1053" s="989"/>
      <c r="IRP1053" s="989"/>
      <c r="IRQ1053" s="989"/>
      <c r="IRR1053" s="989"/>
      <c r="IRS1053" s="989"/>
      <c r="IRT1053" s="989"/>
      <c r="IRU1053" s="989"/>
      <c r="IRV1053" s="989"/>
      <c r="IRW1053" s="989"/>
      <c r="IRX1053" s="989"/>
      <c r="IRY1053" s="989"/>
      <c r="IRZ1053" s="989"/>
      <c r="ISA1053" s="989"/>
      <c r="ISB1053" s="989"/>
      <c r="ISC1053" s="989"/>
      <c r="ISD1053" s="989"/>
      <c r="ISE1053" s="989"/>
      <c r="ISF1053" s="989"/>
      <c r="ISG1053" s="989"/>
      <c r="ISH1053" s="989"/>
      <c r="ISI1053" s="989"/>
      <c r="ISJ1053" s="989"/>
      <c r="ISK1053" s="989"/>
      <c r="ISL1053" s="989"/>
      <c r="ISM1053" s="989"/>
      <c r="ISN1053" s="989"/>
      <c r="ISO1053" s="989"/>
      <c r="ISP1053" s="989"/>
      <c r="ISQ1053" s="989"/>
      <c r="ISR1053" s="989"/>
      <c r="ISS1053" s="989"/>
      <c r="IST1053" s="989"/>
      <c r="ISU1053" s="989"/>
      <c r="ISV1053" s="989"/>
      <c r="ISW1053" s="989"/>
      <c r="ISX1053" s="989"/>
      <c r="ISY1053" s="989"/>
      <c r="ISZ1053" s="989"/>
      <c r="ITA1053" s="989"/>
      <c r="ITB1053" s="989"/>
      <c r="ITC1053" s="989"/>
      <c r="ITD1053" s="989"/>
      <c r="ITE1053" s="989"/>
      <c r="ITF1053" s="989"/>
      <c r="ITG1053" s="989"/>
      <c r="ITH1053" s="989"/>
      <c r="ITI1053" s="989"/>
      <c r="ITJ1053" s="989"/>
      <c r="ITK1053" s="989"/>
      <c r="ITL1053" s="989"/>
      <c r="ITM1053" s="989"/>
      <c r="ITN1053" s="989"/>
      <c r="ITO1053" s="989"/>
      <c r="ITP1053" s="989"/>
      <c r="ITQ1053" s="989"/>
      <c r="ITR1053" s="989"/>
      <c r="ITS1053" s="989"/>
      <c r="ITT1053" s="989"/>
      <c r="ITU1053" s="989"/>
      <c r="ITV1053" s="989"/>
      <c r="ITW1053" s="989"/>
      <c r="ITX1053" s="989"/>
      <c r="ITY1053" s="989"/>
      <c r="ITZ1053" s="989"/>
      <c r="IUA1053" s="989"/>
      <c r="IUB1053" s="989"/>
      <c r="IUC1053" s="989"/>
      <c r="IUD1053" s="989"/>
      <c r="IUE1053" s="989"/>
      <c r="IUF1053" s="989"/>
      <c r="IUG1053" s="989"/>
      <c r="IUH1053" s="989"/>
      <c r="IUI1053" s="989"/>
      <c r="IUJ1053" s="989"/>
      <c r="IUK1053" s="989"/>
      <c r="IUL1053" s="989"/>
      <c r="IUM1053" s="989"/>
      <c r="IUN1053" s="989"/>
      <c r="IUO1053" s="989"/>
      <c r="IUP1053" s="989"/>
      <c r="IUQ1053" s="989"/>
      <c r="IUR1053" s="989"/>
      <c r="IUS1053" s="989"/>
      <c r="IUT1053" s="989"/>
      <c r="IUU1053" s="989"/>
      <c r="IUV1053" s="989"/>
      <c r="IUW1053" s="989"/>
      <c r="IUX1053" s="989"/>
      <c r="IUY1053" s="989"/>
      <c r="IUZ1053" s="989"/>
      <c r="IVA1053" s="989"/>
      <c r="IVB1053" s="989"/>
      <c r="IVC1053" s="989"/>
      <c r="IVD1053" s="989"/>
      <c r="IVE1053" s="989"/>
      <c r="IVF1053" s="989"/>
      <c r="IVG1053" s="989"/>
      <c r="IVH1053" s="989"/>
      <c r="IVI1053" s="989"/>
      <c r="IVJ1053" s="989"/>
      <c r="IVK1053" s="989"/>
      <c r="IVL1053" s="989"/>
      <c r="IVM1053" s="989"/>
      <c r="IVN1053" s="989"/>
      <c r="IVO1053" s="989"/>
      <c r="IVP1053" s="989"/>
      <c r="IVQ1053" s="989"/>
      <c r="IVR1053" s="989"/>
      <c r="IVS1053" s="989"/>
      <c r="IVT1053" s="989"/>
      <c r="IVU1053" s="989"/>
      <c r="IVV1053" s="989"/>
      <c r="IVW1053" s="989"/>
      <c r="IVX1053" s="989"/>
      <c r="IVY1053" s="989"/>
      <c r="IVZ1053" s="989"/>
      <c r="IWA1053" s="989"/>
      <c r="IWB1053" s="989"/>
      <c r="IWC1053" s="989"/>
      <c r="IWD1053" s="989"/>
      <c r="IWE1053" s="989"/>
      <c r="IWF1053" s="989"/>
      <c r="IWG1053" s="989"/>
      <c r="IWH1053" s="989"/>
      <c r="IWI1053" s="989"/>
      <c r="IWJ1053" s="989"/>
      <c r="IWK1053" s="989"/>
      <c r="IWL1053" s="989"/>
      <c r="IWM1053" s="989"/>
      <c r="IWN1053" s="989"/>
      <c r="IWO1053" s="989"/>
      <c r="IWP1053" s="989"/>
      <c r="IWQ1053" s="989"/>
      <c r="IWR1053" s="989"/>
      <c r="IWS1053" s="989"/>
      <c r="IWT1053" s="989"/>
      <c r="IWU1053" s="989"/>
      <c r="IWV1053" s="989"/>
      <c r="IWW1053" s="989"/>
      <c r="IWX1053" s="989"/>
      <c r="IWY1053" s="989"/>
      <c r="IWZ1053" s="989"/>
      <c r="IXA1053" s="989"/>
      <c r="IXB1053" s="989"/>
      <c r="IXC1053" s="989"/>
      <c r="IXD1053" s="989"/>
      <c r="IXE1053" s="989"/>
      <c r="IXF1053" s="989"/>
      <c r="IXG1053" s="989"/>
      <c r="IXH1053" s="989"/>
      <c r="IXI1053" s="989"/>
      <c r="IXJ1053" s="989"/>
      <c r="IXK1053" s="989"/>
      <c r="IXL1053" s="989"/>
      <c r="IXM1053" s="989"/>
      <c r="IXN1053" s="989"/>
      <c r="IXO1053" s="989"/>
      <c r="IXP1053" s="989"/>
      <c r="IXQ1053" s="989"/>
      <c r="IXR1053" s="989"/>
      <c r="IXS1053" s="989"/>
      <c r="IXT1053" s="989"/>
      <c r="IXU1053" s="989"/>
      <c r="IXV1053" s="989"/>
      <c r="IXW1053" s="989"/>
      <c r="IXX1053" s="989"/>
      <c r="IXY1053" s="989"/>
      <c r="IXZ1053" s="989"/>
      <c r="IYA1053" s="989"/>
      <c r="IYB1053" s="989"/>
      <c r="IYC1053" s="989"/>
      <c r="IYD1053" s="989"/>
      <c r="IYE1053" s="989"/>
      <c r="IYF1053" s="989"/>
      <c r="IYG1053" s="989"/>
      <c r="IYH1053" s="989"/>
      <c r="IYI1053" s="989"/>
      <c r="IYJ1053" s="989"/>
      <c r="IYK1053" s="989"/>
      <c r="IYL1053" s="989"/>
      <c r="IYM1053" s="989"/>
      <c r="IYN1053" s="989"/>
      <c r="IYO1053" s="989"/>
      <c r="IYP1053" s="989"/>
      <c r="IYQ1053" s="989"/>
      <c r="IYR1053" s="989"/>
      <c r="IYS1053" s="989"/>
      <c r="IYT1053" s="989"/>
      <c r="IYU1053" s="989"/>
      <c r="IYV1053" s="989"/>
      <c r="IYW1053" s="989"/>
      <c r="IYX1053" s="989"/>
      <c r="IYY1053" s="989"/>
      <c r="IYZ1053" s="989"/>
      <c r="IZA1053" s="989"/>
      <c r="IZB1053" s="989"/>
      <c r="IZC1053" s="989"/>
      <c r="IZD1053" s="989"/>
      <c r="IZE1053" s="989"/>
      <c r="IZF1053" s="989"/>
      <c r="IZG1053" s="989"/>
      <c r="IZH1053" s="989"/>
      <c r="IZI1053" s="989"/>
      <c r="IZJ1053" s="989"/>
      <c r="IZK1053" s="989"/>
      <c r="IZL1053" s="989"/>
      <c r="IZM1053" s="989"/>
      <c r="IZN1053" s="989"/>
      <c r="IZO1053" s="989"/>
      <c r="IZP1053" s="989"/>
      <c r="IZQ1053" s="989"/>
      <c r="IZR1053" s="989"/>
      <c r="IZS1053" s="989"/>
      <c r="IZT1053" s="989"/>
      <c r="IZU1053" s="989"/>
      <c r="IZV1053" s="989"/>
      <c r="IZW1053" s="989"/>
      <c r="IZX1053" s="989"/>
      <c r="IZY1053" s="989"/>
      <c r="IZZ1053" s="989"/>
      <c r="JAA1053" s="989"/>
      <c r="JAB1053" s="989"/>
      <c r="JAC1053" s="989"/>
      <c r="JAD1053" s="989"/>
      <c r="JAE1053" s="989"/>
      <c r="JAF1053" s="989"/>
      <c r="JAG1053" s="989"/>
      <c r="JAH1053" s="989"/>
      <c r="JAI1053" s="989"/>
      <c r="JAJ1053" s="989"/>
      <c r="JAK1053" s="989"/>
      <c r="JAL1053" s="989"/>
      <c r="JAM1053" s="989"/>
      <c r="JAN1053" s="989"/>
      <c r="JAO1053" s="989"/>
      <c r="JAP1053" s="989"/>
      <c r="JAQ1053" s="989"/>
      <c r="JAR1053" s="989"/>
      <c r="JAS1053" s="989"/>
      <c r="JAT1053" s="989"/>
      <c r="JAU1053" s="989"/>
      <c r="JAV1053" s="989"/>
      <c r="JAW1053" s="989"/>
      <c r="JAX1053" s="989"/>
      <c r="JAY1053" s="989"/>
      <c r="JAZ1053" s="989"/>
      <c r="JBA1053" s="989"/>
      <c r="JBB1053" s="989"/>
      <c r="JBC1053" s="989"/>
      <c r="JBD1053" s="989"/>
      <c r="JBE1053" s="989"/>
      <c r="JBF1053" s="989"/>
      <c r="JBG1053" s="989"/>
      <c r="JBH1053" s="989"/>
      <c r="JBI1053" s="989"/>
      <c r="JBJ1053" s="989"/>
      <c r="JBK1053" s="989"/>
      <c r="JBL1053" s="989"/>
      <c r="JBM1053" s="989"/>
      <c r="JBN1053" s="989"/>
      <c r="JBO1053" s="989"/>
      <c r="JBP1053" s="989"/>
      <c r="JBQ1053" s="989"/>
      <c r="JBR1053" s="989"/>
      <c r="JBS1053" s="989"/>
      <c r="JBT1053" s="989"/>
      <c r="JBU1053" s="989"/>
      <c r="JBV1053" s="989"/>
      <c r="JBW1053" s="989"/>
      <c r="JBX1053" s="989"/>
      <c r="JBY1053" s="989"/>
      <c r="JBZ1053" s="989"/>
      <c r="JCA1053" s="989"/>
      <c r="JCB1053" s="989"/>
      <c r="JCC1053" s="989"/>
      <c r="JCD1053" s="989"/>
      <c r="JCE1053" s="989"/>
      <c r="JCF1053" s="989"/>
      <c r="JCG1053" s="989"/>
      <c r="JCH1053" s="989"/>
      <c r="JCI1053" s="989"/>
      <c r="JCJ1053" s="989"/>
      <c r="JCK1053" s="989"/>
      <c r="JCL1053" s="989"/>
      <c r="JCM1053" s="989"/>
      <c r="JCN1053" s="989"/>
      <c r="JCO1053" s="989"/>
      <c r="JCP1053" s="989"/>
      <c r="JCQ1053" s="989"/>
      <c r="JCR1053" s="989"/>
      <c r="JCS1053" s="989"/>
      <c r="JCT1053" s="989"/>
      <c r="JCU1053" s="989"/>
      <c r="JCV1053" s="989"/>
      <c r="JCW1053" s="989"/>
      <c r="JCX1053" s="989"/>
      <c r="JCY1053" s="989"/>
      <c r="JCZ1053" s="989"/>
      <c r="JDA1053" s="989"/>
      <c r="JDB1053" s="989"/>
      <c r="JDC1053" s="989"/>
      <c r="JDD1053" s="989"/>
      <c r="JDE1053" s="989"/>
      <c r="JDF1053" s="989"/>
      <c r="JDG1053" s="989"/>
      <c r="JDH1053" s="989"/>
      <c r="JDI1053" s="989"/>
      <c r="JDJ1053" s="989"/>
      <c r="JDK1053" s="989"/>
      <c r="JDL1053" s="989"/>
      <c r="JDM1053" s="989"/>
      <c r="JDN1053" s="989"/>
      <c r="JDO1053" s="989"/>
      <c r="JDP1053" s="989"/>
      <c r="JDQ1053" s="989"/>
      <c r="JDR1053" s="989"/>
      <c r="JDS1053" s="989"/>
      <c r="JDT1053" s="989"/>
      <c r="JDU1053" s="989"/>
      <c r="JDV1053" s="989"/>
      <c r="JDW1053" s="989"/>
      <c r="JDX1053" s="989"/>
      <c r="JDY1053" s="989"/>
      <c r="JDZ1053" s="989"/>
      <c r="JEA1053" s="989"/>
      <c r="JEB1053" s="989"/>
      <c r="JEC1053" s="989"/>
      <c r="JED1053" s="989"/>
      <c r="JEE1053" s="989"/>
      <c r="JEF1053" s="989"/>
      <c r="JEG1053" s="989"/>
      <c r="JEH1053" s="989"/>
      <c r="JEI1053" s="989"/>
      <c r="JEJ1053" s="989"/>
      <c r="JEK1053" s="989"/>
      <c r="JEL1053" s="989"/>
      <c r="JEM1053" s="989"/>
      <c r="JEN1053" s="989"/>
      <c r="JEO1053" s="989"/>
      <c r="JEP1053" s="989"/>
      <c r="JEQ1053" s="989"/>
      <c r="JER1053" s="989"/>
      <c r="JES1053" s="989"/>
      <c r="JET1053" s="989"/>
      <c r="JEU1053" s="989"/>
      <c r="JEV1053" s="989"/>
      <c r="JEW1053" s="989"/>
      <c r="JEX1053" s="989"/>
      <c r="JEY1053" s="989"/>
      <c r="JEZ1053" s="989"/>
      <c r="JFA1053" s="989"/>
      <c r="JFB1053" s="989"/>
      <c r="JFC1053" s="989"/>
      <c r="JFD1053" s="989"/>
      <c r="JFE1053" s="989"/>
      <c r="JFF1053" s="989"/>
      <c r="JFG1053" s="989"/>
      <c r="JFH1053" s="989"/>
      <c r="JFI1053" s="989"/>
      <c r="JFJ1053" s="989"/>
      <c r="JFK1053" s="989"/>
      <c r="JFL1053" s="989"/>
      <c r="JFM1053" s="989"/>
      <c r="JFN1053" s="989"/>
      <c r="JFO1053" s="989"/>
      <c r="JFP1053" s="989"/>
      <c r="JFQ1053" s="989"/>
      <c r="JFR1053" s="989"/>
      <c r="JFS1053" s="989"/>
      <c r="JFT1053" s="989"/>
      <c r="JFU1053" s="989"/>
      <c r="JFV1053" s="989"/>
      <c r="JFW1053" s="989"/>
      <c r="JFX1053" s="989"/>
      <c r="JFY1053" s="989"/>
      <c r="JFZ1053" s="989"/>
      <c r="JGA1053" s="989"/>
      <c r="JGB1053" s="989"/>
      <c r="JGC1053" s="989"/>
      <c r="JGD1053" s="989"/>
      <c r="JGE1053" s="989"/>
      <c r="JGF1053" s="989"/>
      <c r="JGG1053" s="989"/>
      <c r="JGH1053" s="989"/>
      <c r="JGI1053" s="989"/>
      <c r="JGJ1053" s="989"/>
      <c r="JGK1053" s="989"/>
      <c r="JGL1053" s="989"/>
      <c r="JGM1053" s="989"/>
      <c r="JGN1053" s="989"/>
      <c r="JGO1053" s="989"/>
      <c r="JGP1053" s="989"/>
      <c r="JGQ1053" s="989"/>
      <c r="JGR1053" s="989"/>
      <c r="JGS1053" s="989"/>
      <c r="JGT1053" s="989"/>
      <c r="JGU1053" s="989"/>
      <c r="JGV1053" s="989"/>
      <c r="JGW1053" s="989"/>
      <c r="JGX1053" s="989"/>
      <c r="JGY1053" s="989"/>
      <c r="JGZ1053" s="989"/>
      <c r="JHA1053" s="989"/>
      <c r="JHB1053" s="989"/>
      <c r="JHC1053" s="989"/>
      <c r="JHD1053" s="989"/>
      <c r="JHE1053" s="989"/>
      <c r="JHF1053" s="989"/>
      <c r="JHG1053" s="989"/>
      <c r="JHH1053" s="989"/>
      <c r="JHI1053" s="989"/>
      <c r="JHJ1053" s="989"/>
      <c r="JHK1053" s="989"/>
      <c r="JHL1053" s="989"/>
      <c r="JHM1053" s="989"/>
      <c r="JHN1053" s="989"/>
      <c r="JHO1053" s="989"/>
      <c r="JHP1053" s="989"/>
      <c r="JHQ1053" s="989"/>
      <c r="JHR1053" s="989"/>
      <c r="JHS1053" s="989"/>
      <c r="JHT1053" s="989"/>
      <c r="JHU1053" s="989"/>
      <c r="JHV1053" s="989"/>
      <c r="JHW1053" s="989"/>
      <c r="JHX1053" s="989"/>
      <c r="JHY1053" s="989"/>
      <c r="JHZ1053" s="989"/>
      <c r="JIA1053" s="989"/>
      <c r="JIB1053" s="989"/>
      <c r="JIC1053" s="989"/>
      <c r="JID1053" s="989"/>
      <c r="JIE1053" s="989"/>
      <c r="JIF1053" s="989"/>
      <c r="JIG1053" s="989"/>
      <c r="JIH1053" s="989"/>
      <c r="JII1053" s="989"/>
      <c r="JIJ1053" s="989"/>
      <c r="JIK1053" s="989"/>
      <c r="JIL1053" s="989"/>
      <c r="JIM1053" s="989"/>
      <c r="JIN1053" s="989"/>
      <c r="JIO1053" s="989"/>
      <c r="JIP1053" s="989"/>
      <c r="JIQ1053" s="989"/>
      <c r="JIR1053" s="989"/>
      <c r="JIS1053" s="989"/>
      <c r="JIT1053" s="989"/>
      <c r="JIU1053" s="989"/>
      <c r="JIV1053" s="989"/>
      <c r="JIW1053" s="989"/>
      <c r="JIX1053" s="989"/>
      <c r="JIY1053" s="989"/>
      <c r="JIZ1053" s="989"/>
      <c r="JJA1053" s="989"/>
      <c r="JJB1053" s="989"/>
      <c r="JJC1053" s="989"/>
      <c r="JJD1053" s="989"/>
      <c r="JJE1053" s="989"/>
      <c r="JJF1053" s="989"/>
      <c r="JJG1053" s="989"/>
      <c r="JJH1053" s="989"/>
      <c r="JJI1053" s="989"/>
      <c r="JJJ1053" s="989"/>
      <c r="JJK1053" s="989"/>
      <c r="JJL1053" s="989"/>
      <c r="JJM1053" s="989"/>
      <c r="JJN1053" s="989"/>
      <c r="JJO1053" s="989"/>
      <c r="JJP1053" s="989"/>
      <c r="JJQ1053" s="989"/>
      <c r="JJR1053" s="989"/>
      <c r="JJS1053" s="989"/>
      <c r="JJT1053" s="989"/>
      <c r="JJU1053" s="989"/>
      <c r="JJV1053" s="989"/>
      <c r="JJW1053" s="989"/>
      <c r="JJX1053" s="989"/>
      <c r="JJY1053" s="989"/>
      <c r="JJZ1053" s="989"/>
      <c r="JKA1053" s="989"/>
      <c r="JKB1053" s="989"/>
      <c r="JKC1053" s="989"/>
      <c r="JKD1053" s="989"/>
      <c r="JKE1053" s="989"/>
      <c r="JKF1053" s="989"/>
      <c r="JKG1053" s="989"/>
      <c r="JKH1053" s="989"/>
      <c r="JKI1053" s="989"/>
      <c r="JKJ1053" s="989"/>
      <c r="JKK1053" s="989"/>
      <c r="JKL1053" s="989"/>
      <c r="JKM1053" s="989"/>
      <c r="JKN1053" s="989"/>
      <c r="JKO1053" s="989"/>
      <c r="JKP1053" s="989"/>
      <c r="JKQ1053" s="989"/>
      <c r="JKR1053" s="989"/>
      <c r="JKS1053" s="989"/>
      <c r="JKT1053" s="989"/>
      <c r="JKU1053" s="989"/>
      <c r="JKV1053" s="989"/>
      <c r="JKW1053" s="989"/>
      <c r="JKX1053" s="989"/>
      <c r="JKY1053" s="989"/>
      <c r="JKZ1053" s="989"/>
      <c r="JLA1053" s="989"/>
      <c r="JLB1053" s="989"/>
      <c r="JLC1053" s="989"/>
      <c r="JLD1053" s="989"/>
      <c r="JLE1053" s="989"/>
      <c r="JLF1053" s="989"/>
      <c r="JLG1053" s="989"/>
      <c r="JLH1053" s="989"/>
      <c r="JLI1053" s="989"/>
      <c r="JLJ1053" s="989"/>
      <c r="JLK1053" s="989"/>
      <c r="JLL1053" s="989"/>
      <c r="JLM1053" s="989"/>
      <c r="JLN1053" s="989"/>
      <c r="JLO1053" s="989"/>
      <c r="JLP1053" s="989"/>
      <c r="JLQ1053" s="989"/>
      <c r="JLR1053" s="989"/>
      <c r="JLS1053" s="989"/>
      <c r="JLT1053" s="989"/>
      <c r="JLU1053" s="989"/>
      <c r="JLV1053" s="989"/>
      <c r="JLW1053" s="989"/>
      <c r="JLX1053" s="989"/>
      <c r="JLY1053" s="989"/>
      <c r="JLZ1053" s="989"/>
      <c r="JMA1053" s="989"/>
      <c r="JMB1053" s="989"/>
      <c r="JMC1053" s="989"/>
      <c r="JMD1053" s="989"/>
      <c r="JME1053" s="989"/>
      <c r="JMF1053" s="989"/>
      <c r="JMG1053" s="989"/>
      <c r="JMH1053" s="989"/>
      <c r="JMI1053" s="989"/>
      <c r="JMJ1053" s="989"/>
      <c r="JMK1053" s="989"/>
      <c r="JML1053" s="989"/>
      <c r="JMM1053" s="989"/>
      <c r="JMN1053" s="989"/>
      <c r="JMO1053" s="989"/>
      <c r="JMP1053" s="989"/>
      <c r="JMQ1053" s="989"/>
      <c r="JMR1053" s="989"/>
      <c r="JMS1053" s="989"/>
      <c r="JMT1053" s="989"/>
      <c r="JMU1053" s="989"/>
      <c r="JMV1053" s="989"/>
      <c r="JMW1053" s="989"/>
      <c r="JMX1053" s="989"/>
      <c r="JMY1053" s="989"/>
      <c r="JMZ1053" s="989"/>
      <c r="JNA1053" s="989"/>
      <c r="JNB1053" s="989"/>
      <c r="JNC1053" s="989"/>
      <c r="JND1053" s="989"/>
      <c r="JNE1053" s="989"/>
      <c r="JNF1053" s="989"/>
      <c r="JNG1053" s="989"/>
      <c r="JNH1053" s="989"/>
      <c r="JNI1053" s="989"/>
      <c r="JNJ1053" s="989"/>
      <c r="JNK1053" s="989"/>
      <c r="JNL1053" s="989"/>
      <c r="JNM1053" s="989"/>
      <c r="JNN1053" s="989"/>
      <c r="JNO1053" s="989"/>
      <c r="JNP1053" s="989"/>
      <c r="JNQ1053" s="989"/>
      <c r="JNR1053" s="989"/>
      <c r="JNS1053" s="989"/>
      <c r="JNT1053" s="989"/>
      <c r="JNU1053" s="989"/>
      <c r="JNV1053" s="989"/>
      <c r="JNW1053" s="989"/>
      <c r="JNX1053" s="989"/>
      <c r="JNY1053" s="989"/>
      <c r="JNZ1053" s="989"/>
      <c r="JOA1053" s="989"/>
      <c r="JOB1053" s="989"/>
      <c r="JOC1053" s="989"/>
      <c r="JOD1053" s="989"/>
      <c r="JOE1053" s="989"/>
      <c r="JOF1053" s="989"/>
      <c r="JOG1053" s="989"/>
      <c r="JOH1053" s="989"/>
      <c r="JOI1053" s="989"/>
      <c r="JOJ1053" s="989"/>
      <c r="JOK1053" s="989"/>
      <c r="JOL1053" s="989"/>
      <c r="JOM1053" s="989"/>
      <c r="JON1053" s="989"/>
      <c r="JOO1053" s="989"/>
      <c r="JOP1053" s="989"/>
      <c r="JOQ1053" s="989"/>
      <c r="JOR1053" s="989"/>
      <c r="JOS1053" s="989"/>
      <c r="JOT1053" s="989"/>
      <c r="JOU1053" s="989"/>
      <c r="JOV1053" s="989"/>
      <c r="JOW1053" s="989"/>
      <c r="JOX1053" s="989"/>
      <c r="JOY1053" s="989"/>
      <c r="JOZ1053" s="989"/>
      <c r="JPA1053" s="989"/>
      <c r="JPB1053" s="989"/>
      <c r="JPC1053" s="989"/>
      <c r="JPD1053" s="989"/>
      <c r="JPE1053" s="989"/>
      <c r="JPF1053" s="989"/>
      <c r="JPG1053" s="989"/>
      <c r="JPH1053" s="989"/>
      <c r="JPI1053" s="989"/>
      <c r="JPJ1053" s="989"/>
      <c r="JPK1053" s="989"/>
      <c r="JPL1053" s="989"/>
      <c r="JPM1053" s="989"/>
      <c r="JPN1053" s="989"/>
      <c r="JPO1053" s="989"/>
      <c r="JPP1053" s="989"/>
      <c r="JPQ1053" s="989"/>
      <c r="JPR1053" s="989"/>
      <c r="JPS1053" s="989"/>
      <c r="JPT1053" s="989"/>
      <c r="JPU1053" s="989"/>
      <c r="JPV1053" s="989"/>
      <c r="JPW1053" s="989"/>
      <c r="JPX1053" s="989"/>
      <c r="JPY1053" s="989"/>
      <c r="JPZ1053" s="989"/>
      <c r="JQA1053" s="989"/>
      <c r="JQB1053" s="989"/>
      <c r="JQC1053" s="989"/>
      <c r="JQD1053" s="989"/>
      <c r="JQE1053" s="989"/>
      <c r="JQF1053" s="989"/>
      <c r="JQG1053" s="989"/>
      <c r="JQH1053" s="989"/>
      <c r="JQI1053" s="989"/>
      <c r="JQJ1053" s="989"/>
      <c r="JQK1053" s="989"/>
      <c r="JQL1053" s="989"/>
      <c r="JQM1053" s="989"/>
      <c r="JQN1053" s="989"/>
      <c r="JQO1053" s="989"/>
      <c r="JQP1053" s="989"/>
      <c r="JQQ1053" s="989"/>
      <c r="JQR1053" s="989"/>
      <c r="JQS1053" s="989"/>
      <c r="JQT1053" s="989"/>
      <c r="JQU1053" s="989"/>
      <c r="JQV1053" s="989"/>
      <c r="JQW1053" s="989"/>
      <c r="JQX1053" s="989"/>
      <c r="JQY1053" s="989"/>
      <c r="JQZ1053" s="989"/>
      <c r="JRA1053" s="989"/>
      <c r="JRB1053" s="989"/>
      <c r="JRC1053" s="989"/>
      <c r="JRD1053" s="989"/>
      <c r="JRE1053" s="989"/>
      <c r="JRF1053" s="989"/>
      <c r="JRG1053" s="989"/>
      <c r="JRH1053" s="989"/>
      <c r="JRI1053" s="989"/>
      <c r="JRJ1053" s="989"/>
      <c r="JRK1053" s="989"/>
      <c r="JRL1053" s="989"/>
      <c r="JRM1053" s="989"/>
      <c r="JRN1053" s="989"/>
      <c r="JRO1053" s="989"/>
      <c r="JRP1053" s="989"/>
      <c r="JRQ1053" s="989"/>
      <c r="JRR1053" s="989"/>
      <c r="JRS1053" s="989"/>
      <c r="JRT1053" s="989"/>
      <c r="JRU1053" s="989"/>
      <c r="JRV1053" s="989"/>
      <c r="JRW1053" s="989"/>
      <c r="JRX1053" s="989"/>
      <c r="JRY1053" s="989"/>
      <c r="JRZ1053" s="989"/>
      <c r="JSA1053" s="989"/>
      <c r="JSB1053" s="989"/>
      <c r="JSC1053" s="989"/>
      <c r="JSD1053" s="989"/>
      <c r="JSE1053" s="989"/>
      <c r="JSF1053" s="989"/>
      <c r="JSG1053" s="989"/>
      <c r="JSH1053" s="989"/>
      <c r="JSI1053" s="989"/>
      <c r="JSJ1053" s="989"/>
      <c r="JSK1053" s="989"/>
      <c r="JSL1053" s="989"/>
      <c r="JSM1053" s="989"/>
      <c r="JSN1053" s="989"/>
      <c r="JSO1053" s="989"/>
      <c r="JSP1053" s="989"/>
      <c r="JSQ1053" s="989"/>
      <c r="JSR1053" s="989"/>
      <c r="JSS1053" s="989"/>
      <c r="JST1053" s="989"/>
      <c r="JSU1053" s="989"/>
      <c r="JSV1053" s="989"/>
      <c r="JSW1053" s="989"/>
      <c r="JSX1053" s="989"/>
      <c r="JSY1053" s="989"/>
      <c r="JSZ1053" s="989"/>
      <c r="JTA1053" s="989"/>
      <c r="JTB1053" s="989"/>
      <c r="JTC1053" s="989"/>
      <c r="JTD1053" s="989"/>
      <c r="JTE1053" s="989"/>
      <c r="JTF1053" s="989"/>
      <c r="JTG1053" s="989"/>
      <c r="JTH1053" s="989"/>
      <c r="JTI1053" s="989"/>
      <c r="JTJ1053" s="989"/>
      <c r="JTK1053" s="989"/>
      <c r="JTL1053" s="989"/>
      <c r="JTM1053" s="989"/>
      <c r="JTN1053" s="989"/>
      <c r="JTO1053" s="989"/>
      <c r="JTP1053" s="989"/>
      <c r="JTQ1053" s="989"/>
      <c r="JTR1053" s="989"/>
      <c r="JTS1053" s="989"/>
      <c r="JTT1053" s="989"/>
      <c r="JTU1053" s="989"/>
      <c r="JTV1053" s="989"/>
      <c r="JTW1053" s="989"/>
      <c r="JTX1053" s="989"/>
      <c r="JTY1053" s="989"/>
      <c r="JTZ1053" s="989"/>
      <c r="JUA1053" s="989"/>
      <c r="JUB1053" s="989"/>
      <c r="JUC1053" s="989"/>
      <c r="JUD1053" s="989"/>
      <c r="JUE1053" s="989"/>
      <c r="JUF1053" s="989"/>
      <c r="JUG1053" s="989"/>
      <c r="JUH1053" s="989"/>
      <c r="JUI1053" s="989"/>
      <c r="JUJ1053" s="989"/>
      <c r="JUK1053" s="989"/>
      <c r="JUL1053" s="989"/>
      <c r="JUM1053" s="989"/>
      <c r="JUN1053" s="989"/>
      <c r="JUO1053" s="989"/>
      <c r="JUP1053" s="989"/>
      <c r="JUQ1053" s="989"/>
      <c r="JUR1053" s="989"/>
      <c r="JUS1053" s="989"/>
      <c r="JUT1053" s="989"/>
      <c r="JUU1053" s="989"/>
      <c r="JUV1053" s="989"/>
      <c r="JUW1053" s="989"/>
      <c r="JUX1053" s="989"/>
      <c r="JUY1053" s="989"/>
      <c r="JUZ1053" s="989"/>
      <c r="JVA1053" s="989"/>
      <c r="JVB1053" s="989"/>
      <c r="JVC1053" s="989"/>
      <c r="JVD1053" s="989"/>
      <c r="JVE1053" s="989"/>
      <c r="JVF1053" s="989"/>
      <c r="JVG1053" s="989"/>
      <c r="JVH1053" s="989"/>
      <c r="JVI1053" s="989"/>
      <c r="JVJ1053" s="989"/>
      <c r="JVK1053" s="989"/>
      <c r="JVL1053" s="989"/>
      <c r="JVM1053" s="989"/>
      <c r="JVN1053" s="989"/>
      <c r="JVO1053" s="989"/>
      <c r="JVP1053" s="989"/>
      <c r="JVQ1053" s="989"/>
      <c r="JVR1053" s="989"/>
      <c r="JVS1053" s="989"/>
      <c r="JVT1053" s="989"/>
      <c r="JVU1053" s="989"/>
      <c r="JVV1053" s="989"/>
      <c r="JVW1053" s="989"/>
      <c r="JVX1053" s="989"/>
      <c r="JVY1053" s="989"/>
      <c r="JVZ1053" s="989"/>
      <c r="JWA1053" s="989"/>
      <c r="JWB1053" s="989"/>
      <c r="JWC1053" s="989"/>
      <c r="JWD1053" s="989"/>
      <c r="JWE1053" s="989"/>
      <c r="JWF1053" s="989"/>
      <c r="JWG1053" s="989"/>
      <c r="JWH1053" s="989"/>
      <c r="JWI1053" s="989"/>
      <c r="JWJ1053" s="989"/>
      <c r="JWK1053" s="989"/>
      <c r="JWL1053" s="989"/>
      <c r="JWM1053" s="989"/>
      <c r="JWN1053" s="989"/>
      <c r="JWO1053" s="989"/>
      <c r="JWP1053" s="989"/>
      <c r="JWQ1053" s="989"/>
      <c r="JWR1053" s="989"/>
      <c r="JWS1053" s="989"/>
      <c r="JWT1053" s="989"/>
      <c r="JWU1053" s="989"/>
      <c r="JWV1053" s="989"/>
      <c r="JWW1053" s="989"/>
      <c r="JWX1053" s="989"/>
      <c r="JWY1053" s="989"/>
      <c r="JWZ1053" s="989"/>
      <c r="JXA1053" s="989"/>
      <c r="JXB1053" s="989"/>
      <c r="JXC1053" s="989"/>
      <c r="JXD1053" s="989"/>
      <c r="JXE1053" s="989"/>
      <c r="JXF1053" s="989"/>
      <c r="JXG1053" s="989"/>
      <c r="JXH1053" s="989"/>
      <c r="JXI1053" s="989"/>
      <c r="JXJ1053" s="989"/>
      <c r="JXK1053" s="989"/>
      <c r="JXL1053" s="989"/>
      <c r="JXM1053" s="989"/>
      <c r="JXN1053" s="989"/>
      <c r="JXO1053" s="989"/>
      <c r="JXP1053" s="989"/>
      <c r="JXQ1053" s="989"/>
      <c r="JXR1053" s="989"/>
      <c r="JXS1053" s="989"/>
      <c r="JXT1053" s="989"/>
      <c r="JXU1053" s="989"/>
      <c r="JXV1053" s="989"/>
      <c r="JXW1053" s="989"/>
      <c r="JXX1053" s="989"/>
      <c r="JXY1053" s="989"/>
      <c r="JXZ1053" s="989"/>
      <c r="JYA1053" s="989"/>
      <c r="JYB1053" s="989"/>
      <c r="JYC1053" s="989"/>
      <c r="JYD1053" s="989"/>
      <c r="JYE1053" s="989"/>
      <c r="JYF1053" s="989"/>
      <c r="JYG1053" s="989"/>
      <c r="JYH1053" s="989"/>
      <c r="JYI1053" s="989"/>
      <c r="JYJ1053" s="989"/>
      <c r="JYK1053" s="989"/>
      <c r="JYL1053" s="989"/>
      <c r="JYM1053" s="989"/>
      <c r="JYN1053" s="989"/>
      <c r="JYO1053" s="989"/>
      <c r="JYP1053" s="989"/>
      <c r="JYQ1053" s="989"/>
      <c r="JYR1053" s="989"/>
      <c r="JYS1053" s="989"/>
      <c r="JYT1053" s="989"/>
      <c r="JYU1053" s="989"/>
      <c r="JYV1053" s="989"/>
      <c r="JYW1053" s="989"/>
      <c r="JYX1053" s="989"/>
      <c r="JYY1053" s="989"/>
      <c r="JYZ1053" s="989"/>
      <c r="JZA1053" s="989"/>
      <c r="JZB1053" s="989"/>
      <c r="JZC1053" s="989"/>
      <c r="JZD1053" s="989"/>
      <c r="JZE1053" s="989"/>
      <c r="JZF1053" s="989"/>
      <c r="JZG1053" s="989"/>
      <c r="JZH1053" s="989"/>
      <c r="JZI1053" s="989"/>
      <c r="JZJ1053" s="989"/>
      <c r="JZK1053" s="989"/>
      <c r="JZL1053" s="989"/>
      <c r="JZM1053" s="989"/>
      <c r="JZN1053" s="989"/>
      <c r="JZO1053" s="989"/>
      <c r="JZP1053" s="989"/>
      <c r="JZQ1053" s="989"/>
      <c r="JZR1053" s="989"/>
      <c r="JZS1053" s="989"/>
      <c r="JZT1053" s="989"/>
      <c r="JZU1053" s="989"/>
      <c r="JZV1053" s="989"/>
      <c r="JZW1053" s="989"/>
      <c r="JZX1053" s="989"/>
      <c r="JZY1053" s="989"/>
      <c r="JZZ1053" s="989"/>
      <c r="KAA1053" s="989"/>
      <c r="KAB1053" s="989"/>
      <c r="KAC1053" s="989"/>
      <c r="KAD1053" s="989"/>
      <c r="KAE1053" s="989"/>
      <c r="KAF1053" s="989"/>
      <c r="KAG1053" s="989"/>
      <c r="KAH1053" s="989"/>
      <c r="KAI1053" s="989"/>
      <c r="KAJ1053" s="989"/>
      <c r="KAK1053" s="989"/>
      <c r="KAL1053" s="989"/>
      <c r="KAM1053" s="989"/>
      <c r="KAN1053" s="989"/>
      <c r="KAO1053" s="989"/>
      <c r="KAP1053" s="989"/>
      <c r="KAQ1053" s="989"/>
      <c r="KAR1053" s="989"/>
      <c r="KAS1053" s="989"/>
      <c r="KAT1053" s="989"/>
      <c r="KAU1053" s="989"/>
      <c r="KAV1053" s="989"/>
      <c r="KAW1053" s="989"/>
      <c r="KAX1053" s="989"/>
      <c r="KAY1053" s="989"/>
      <c r="KAZ1053" s="989"/>
      <c r="KBA1053" s="989"/>
      <c r="KBB1053" s="989"/>
      <c r="KBC1053" s="989"/>
      <c r="KBD1053" s="989"/>
      <c r="KBE1053" s="989"/>
      <c r="KBF1053" s="989"/>
      <c r="KBG1053" s="989"/>
      <c r="KBH1053" s="989"/>
      <c r="KBI1053" s="989"/>
      <c r="KBJ1053" s="989"/>
      <c r="KBK1053" s="989"/>
      <c r="KBL1053" s="989"/>
      <c r="KBM1053" s="989"/>
      <c r="KBN1053" s="989"/>
      <c r="KBO1053" s="989"/>
      <c r="KBP1053" s="989"/>
      <c r="KBQ1053" s="989"/>
      <c r="KBR1053" s="989"/>
      <c r="KBS1053" s="989"/>
      <c r="KBT1053" s="989"/>
      <c r="KBU1053" s="989"/>
      <c r="KBV1053" s="989"/>
      <c r="KBW1053" s="989"/>
      <c r="KBX1053" s="989"/>
      <c r="KBY1053" s="989"/>
      <c r="KBZ1053" s="989"/>
      <c r="KCA1053" s="989"/>
      <c r="KCB1053" s="989"/>
      <c r="KCC1053" s="989"/>
      <c r="KCD1053" s="989"/>
      <c r="KCE1053" s="989"/>
      <c r="KCF1053" s="989"/>
      <c r="KCG1053" s="989"/>
      <c r="KCH1053" s="989"/>
      <c r="KCI1053" s="989"/>
      <c r="KCJ1053" s="989"/>
      <c r="KCK1053" s="989"/>
      <c r="KCL1053" s="989"/>
      <c r="KCM1053" s="989"/>
      <c r="KCN1053" s="989"/>
      <c r="KCO1053" s="989"/>
      <c r="KCP1053" s="989"/>
      <c r="KCQ1053" s="989"/>
      <c r="KCR1053" s="989"/>
      <c r="KCS1053" s="989"/>
      <c r="KCT1053" s="989"/>
      <c r="KCU1053" s="989"/>
      <c r="KCV1053" s="989"/>
      <c r="KCW1053" s="989"/>
      <c r="KCX1053" s="989"/>
      <c r="KCY1053" s="989"/>
      <c r="KCZ1053" s="989"/>
      <c r="KDA1053" s="989"/>
      <c r="KDB1053" s="989"/>
      <c r="KDC1053" s="989"/>
      <c r="KDD1053" s="989"/>
      <c r="KDE1053" s="989"/>
      <c r="KDF1053" s="989"/>
      <c r="KDG1053" s="989"/>
      <c r="KDH1053" s="989"/>
      <c r="KDI1053" s="989"/>
      <c r="KDJ1053" s="989"/>
      <c r="KDK1053" s="989"/>
      <c r="KDL1053" s="989"/>
      <c r="KDM1053" s="989"/>
      <c r="KDN1053" s="989"/>
      <c r="KDO1053" s="989"/>
      <c r="KDP1053" s="989"/>
      <c r="KDQ1053" s="989"/>
      <c r="KDR1053" s="989"/>
      <c r="KDS1053" s="989"/>
      <c r="KDT1053" s="989"/>
      <c r="KDU1053" s="989"/>
      <c r="KDV1053" s="989"/>
      <c r="KDW1053" s="989"/>
      <c r="KDX1053" s="989"/>
      <c r="KDY1053" s="989"/>
      <c r="KDZ1053" s="989"/>
      <c r="KEA1053" s="989"/>
      <c r="KEB1053" s="989"/>
      <c r="KEC1053" s="989"/>
      <c r="KED1053" s="989"/>
      <c r="KEE1053" s="989"/>
      <c r="KEF1053" s="989"/>
      <c r="KEG1053" s="989"/>
      <c r="KEH1053" s="989"/>
      <c r="KEI1053" s="989"/>
      <c r="KEJ1053" s="989"/>
      <c r="KEK1053" s="989"/>
      <c r="KEL1053" s="989"/>
      <c r="KEM1053" s="989"/>
      <c r="KEN1053" s="989"/>
      <c r="KEO1053" s="989"/>
      <c r="KEP1053" s="989"/>
      <c r="KEQ1053" s="989"/>
      <c r="KER1053" s="989"/>
      <c r="KES1053" s="989"/>
      <c r="KET1053" s="989"/>
      <c r="KEU1053" s="989"/>
      <c r="KEV1053" s="989"/>
      <c r="KEW1053" s="989"/>
      <c r="KEX1053" s="989"/>
      <c r="KEY1053" s="989"/>
      <c r="KEZ1053" s="989"/>
      <c r="KFA1053" s="989"/>
      <c r="KFB1053" s="989"/>
      <c r="KFC1053" s="989"/>
      <c r="KFD1053" s="989"/>
      <c r="KFE1053" s="989"/>
      <c r="KFF1053" s="989"/>
      <c r="KFG1053" s="989"/>
      <c r="KFH1053" s="989"/>
      <c r="KFI1053" s="989"/>
      <c r="KFJ1053" s="989"/>
      <c r="KFK1053" s="989"/>
      <c r="KFL1053" s="989"/>
      <c r="KFM1053" s="989"/>
      <c r="KFN1053" s="989"/>
      <c r="KFO1053" s="989"/>
      <c r="KFP1053" s="989"/>
      <c r="KFQ1053" s="989"/>
      <c r="KFR1053" s="989"/>
      <c r="KFS1053" s="989"/>
      <c r="KFT1053" s="989"/>
      <c r="KFU1053" s="989"/>
      <c r="KFV1053" s="989"/>
      <c r="KFW1053" s="989"/>
      <c r="KFX1053" s="989"/>
      <c r="KFY1053" s="989"/>
      <c r="KFZ1053" s="989"/>
      <c r="KGA1053" s="989"/>
      <c r="KGB1053" s="989"/>
      <c r="KGC1053" s="989"/>
      <c r="KGD1053" s="989"/>
      <c r="KGE1053" s="989"/>
      <c r="KGF1053" s="989"/>
      <c r="KGG1053" s="989"/>
      <c r="KGH1053" s="989"/>
      <c r="KGI1053" s="989"/>
      <c r="KGJ1053" s="989"/>
      <c r="KGK1053" s="989"/>
      <c r="KGL1053" s="989"/>
      <c r="KGM1053" s="989"/>
      <c r="KGN1053" s="989"/>
      <c r="KGO1053" s="989"/>
      <c r="KGP1053" s="989"/>
      <c r="KGQ1053" s="989"/>
      <c r="KGR1053" s="989"/>
      <c r="KGS1053" s="989"/>
      <c r="KGT1053" s="989"/>
      <c r="KGU1053" s="989"/>
      <c r="KGV1053" s="989"/>
      <c r="KGW1053" s="989"/>
      <c r="KGX1053" s="989"/>
      <c r="KGY1053" s="989"/>
      <c r="KGZ1053" s="989"/>
      <c r="KHA1053" s="989"/>
      <c r="KHB1053" s="989"/>
      <c r="KHC1053" s="989"/>
      <c r="KHD1053" s="989"/>
      <c r="KHE1053" s="989"/>
      <c r="KHF1053" s="989"/>
      <c r="KHG1053" s="989"/>
      <c r="KHH1053" s="989"/>
      <c r="KHI1053" s="989"/>
      <c r="KHJ1053" s="989"/>
      <c r="KHK1053" s="989"/>
      <c r="KHL1053" s="989"/>
      <c r="KHM1053" s="989"/>
      <c r="KHN1053" s="989"/>
      <c r="KHO1053" s="989"/>
      <c r="KHP1053" s="989"/>
      <c r="KHQ1053" s="989"/>
      <c r="KHR1053" s="989"/>
      <c r="KHS1053" s="989"/>
      <c r="KHT1053" s="989"/>
      <c r="KHU1053" s="989"/>
      <c r="KHV1053" s="989"/>
      <c r="KHW1053" s="989"/>
      <c r="KHX1053" s="989"/>
      <c r="KHY1053" s="989"/>
      <c r="KHZ1053" s="989"/>
      <c r="KIA1053" s="989"/>
      <c r="KIB1053" s="989"/>
      <c r="KIC1053" s="989"/>
      <c r="KID1053" s="989"/>
      <c r="KIE1053" s="989"/>
      <c r="KIF1053" s="989"/>
      <c r="KIG1053" s="989"/>
      <c r="KIH1053" s="989"/>
      <c r="KII1053" s="989"/>
      <c r="KIJ1053" s="989"/>
      <c r="KIK1053" s="989"/>
      <c r="KIL1053" s="989"/>
      <c r="KIM1053" s="989"/>
      <c r="KIN1053" s="989"/>
      <c r="KIO1053" s="989"/>
      <c r="KIP1053" s="989"/>
      <c r="KIQ1053" s="989"/>
      <c r="KIR1053" s="989"/>
      <c r="KIS1053" s="989"/>
      <c r="KIT1053" s="989"/>
      <c r="KIU1053" s="989"/>
      <c r="KIV1053" s="989"/>
      <c r="KIW1053" s="989"/>
      <c r="KIX1053" s="989"/>
      <c r="KIY1053" s="989"/>
      <c r="KIZ1053" s="989"/>
      <c r="KJA1053" s="989"/>
      <c r="KJB1053" s="989"/>
      <c r="KJC1053" s="989"/>
      <c r="KJD1053" s="989"/>
      <c r="KJE1053" s="989"/>
      <c r="KJF1053" s="989"/>
      <c r="KJG1053" s="989"/>
      <c r="KJH1053" s="989"/>
      <c r="KJI1053" s="989"/>
      <c r="KJJ1053" s="989"/>
      <c r="KJK1053" s="989"/>
      <c r="KJL1053" s="989"/>
      <c r="KJM1053" s="989"/>
      <c r="KJN1053" s="989"/>
      <c r="KJO1053" s="989"/>
      <c r="KJP1053" s="989"/>
      <c r="KJQ1053" s="989"/>
      <c r="KJR1053" s="989"/>
      <c r="KJS1053" s="989"/>
      <c r="KJT1053" s="989"/>
      <c r="KJU1053" s="989"/>
      <c r="KJV1053" s="989"/>
      <c r="KJW1053" s="989"/>
      <c r="KJX1053" s="989"/>
      <c r="KJY1053" s="989"/>
      <c r="KJZ1053" s="989"/>
      <c r="KKA1053" s="989"/>
      <c r="KKB1053" s="989"/>
      <c r="KKC1053" s="989"/>
      <c r="KKD1053" s="989"/>
      <c r="KKE1053" s="989"/>
      <c r="KKF1053" s="989"/>
      <c r="KKG1053" s="989"/>
      <c r="KKH1053" s="989"/>
      <c r="KKI1053" s="989"/>
      <c r="KKJ1053" s="989"/>
      <c r="KKK1053" s="989"/>
      <c r="KKL1053" s="989"/>
      <c r="KKM1053" s="989"/>
      <c r="KKN1053" s="989"/>
      <c r="KKO1053" s="989"/>
      <c r="KKP1053" s="989"/>
      <c r="KKQ1053" s="989"/>
      <c r="KKR1053" s="989"/>
      <c r="KKS1053" s="989"/>
      <c r="KKT1053" s="989"/>
      <c r="KKU1053" s="989"/>
      <c r="KKV1053" s="989"/>
      <c r="KKW1053" s="989"/>
      <c r="KKX1053" s="989"/>
      <c r="KKY1053" s="989"/>
      <c r="KKZ1053" s="989"/>
      <c r="KLA1053" s="989"/>
      <c r="KLB1053" s="989"/>
      <c r="KLC1053" s="989"/>
      <c r="KLD1053" s="989"/>
      <c r="KLE1053" s="989"/>
      <c r="KLF1053" s="989"/>
      <c r="KLG1053" s="989"/>
      <c r="KLH1053" s="989"/>
      <c r="KLI1053" s="989"/>
      <c r="KLJ1053" s="989"/>
      <c r="KLK1053" s="989"/>
      <c r="KLL1053" s="989"/>
      <c r="KLM1053" s="989"/>
      <c r="KLN1053" s="989"/>
      <c r="KLO1053" s="989"/>
      <c r="KLP1053" s="989"/>
      <c r="KLQ1053" s="989"/>
      <c r="KLR1053" s="989"/>
      <c r="KLS1053" s="989"/>
      <c r="KLT1053" s="989"/>
      <c r="KLU1053" s="989"/>
      <c r="KLV1053" s="989"/>
      <c r="KLW1053" s="989"/>
      <c r="KLX1053" s="989"/>
      <c r="KLY1053" s="989"/>
      <c r="KLZ1053" s="989"/>
      <c r="KMA1053" s="989"/>
      <c r="KMB1053" s="989"/>
      <c r="KMC1053" s="989"/>
      <c r="KMD1053" s="989"/>
      <c r="KME1053" s="989"/>
      <c r="KMF1053" s="989"/>
      <c r="KMG1053" s="989"/>
      <c r="KMH1053" s="989"/>
      <c r="KMI1053" s="989"/>
      <c r="KMJ1053" s="989"/>
      <c r="KMK1053" s="989"/>
      <c r="KML1053" s="989"/>
      <c r="KMM1053" s="989"/>
      <c r="KMN1053" s="989"/>
      <c r="KMO1053" s="989"/>
      <c r="KMP1053" s="989"/>
      <c r="KMQ1053" s="989"/>
      <c r="KMR1053" s="989"/>
      <c r="KMS1053" s="989"/>
      <c r="KMT1053" s="989"/>
      <c r="KMU1053" s="989"/>
      <c r="KMV1053" s="989"/>
      <c r="KMW1053" s="989"/>
      <c r="KMX1053" s="989"/>
      <c r="KMY1053" s="989"/>
      <c r="KMZ1053" s="989"/>
      <c r="KNA1053" s="989"/>
      <c r="KNB1053" s="989"/>
      <c r="KNC1053" s="989"/>
      <c r="KND1053" s="989"/>
      <c r="KNE1053" s="989"/>
      <c r="KNF1053" s="989"/>
      <c r="KNG1053" s="989"/>
      <c r="KNH1053" s="989"/>
      <c r="KNI1053" s="989"/>
      <c r="KNJ1053" s="989"/>
      <c r="KNK1053" s="989"/>
      <c r="KNL1053" s="989"/>
      <c r="KNM1053" s="989"/>
      <c r="KNN1053" s="989"/>
      <c r="KNO1053" s="989"/>
      <c r="KNP1053" s="989"/>
      <c r="KNQ1053" s="989"/>
      <c r="KNR1053" s="989"/>
      <c r="KNS1053" s="989"/>
      <c r="KNT1053" s="989"/>
      <c r="KNU1053" s="989"/>
      <c r="KNV1053" s="989"/>
      <c r="KNW1053" s="989"/>
      <c r="KNX1053" s="989"/>
      <c r="KNY1053" s="989"/>
      <c r="KNZ1053" s="989"/>
      <c r="KOA1053" s="989"/>
      <c r="KOB1053" s="989"/>
      <c r="KOC1053" s="989"/>
      <c r="KOD1053" s="989"/>
      <c r="KOE1053" s="989"/>
      <c r="KOF1053" s="989"/>
      <c r="KOG1053" s="989"/>
      <c r="KOH1053" s="989"/>
      <c r="KOI1053" s="989"/>
      <c r="KOJ1053" s="989"/>
      <c r="KOK1053" s="989"/>
      <c r="KOL1053" s="989"/>
      <c r="KOM1053" s="989"/>
      <c r="KON1053" s="989"/>
      <c r="KOO1053" s="989"/>
      <c r="KOP1053" s="989"/>
      <c r="KOQ1053" s="989"/>
      <c r="KOR1053" s="989"/>
      <c r="KOS1053" s="989"/>
      <c r="KOT1053" s="989"/>
      <c r="KOU1053" s="989"/>
      <c r="KOV1053" s="989"/>
      <c r="KOW1053" s="989"/>
      <c r="KOX1053" s="989"/>
      <c r="KOY1053" s="989"/>
      <c r="KOZ1053" s="989"/>
      <c r="KPA1053" s="989"/>
      <c r="KPB1053" s="989"/>
      <c r="KPC1053" s="989"/>
      <c r="KPD1053" s="989"/>
      <c r="KPE1053" s="989"/>
      <c r="KPF1053" s="989"/>
      <c r="KPG1053" s="989"/>
      <c r="KPH1053" s="989"/>
      <c r="KPI1053" s="989"/>
      <c r="KPJ1053" s="989"/>
      <c r="KPK1053" s="989"/>
      <c r="KPL1053" s="989"/>
      <c r="KPM1053" s="989"/>
      <c r="KPN1053" s="989"/>
      <c r="KPO1053" s="989"/>
      <c r="KPP1053" s="989"/>
      <c r="KPQ1053" s="989"/>
      <c r="KPR1053" s="989"/>
      <c r="KPS1053" s="989"/>
      <c r="KPT1053" s="989"/>
      <c r="KPU1053" s="989"/>
      <c r="KPV1053" s="989"/>
      <c r="KPW1053" s="989"/>
      <c r="KPX1053" s="989"/>
      <c r="KPY1053" s="989"/>
      <c r="KPZ1053" s="989"/>
      <c r="KQA1053" s="989"/>
      <c r="KQB1053" s="989"/>
      <c r="KQC1053" s="989"/>
      <c r="KQD1053" s="989"/>
      <c r="KQE1053" s="989"/>
      <c r="KQF1053" s="989"/>
      <c r="KQG1053" s="989"/>
      <c r="KQH1053" s="989"/>
      <c r="KQI1053" s="989"/>
      <c r="KQJ1053" s="989"/>
      <c r="KQK1053" s="989"/>
      <c r="KQL1053" s="989"/>
      <c r="KQM1053" s="989"/>
      <c r="KQN1053" s="989"/>
      <c r="KQO1053" s="989"/>
      <c r="KQP1053" s="989"/>
      <c r="KQQ1053" s="989"/>
      <c r="KQR1053" s="989"/>
      <c r="KQS1053" s="989"/>
      <c r="KQT1053" s="989"/>
      <c r="KQU1053" s="989"/>
      <c r="KQV1053" s="989"/>
      <c r="KQW1053" s="989"/>
      <c r="KQX1053" s="989"/>
      <c r="KQY1053" s="989"/>
      <c r="KQZ1053" s="989"/>
      <c r="KRA1053" s="989"/>
      <c r="KRB1053" s="989"/>
      <c r="KRC1053" s="989"/>
      <c r="KRD1053" s="989"/>
      <c r="KRE1053" s="989"/>
      <c r="KRF1053" s="989"/>
      <c r="KRG1053" s="989"/>
      <c r="KRH1053" s="989"/>
      <c r="KRI1053" s="989"/>
      <c r="KRJ1053" s="989"/>
      <c r="KRK1053" s="989"/>
      <c r="KRL1053" s="989"/>
      <c r="KRM1053" s="989"/>
      <c r="KRN1053" s="989"/>
      <c r="KRO1053" s="989"/>
      <c r="KRP1053" s="989"/>
      <c r="KRQ1053" s="989"/>
      <c r="KRR1053" s="989"/>
      <c r="KRS1053" s="989"/>
      <c r="KRT1053" s="989"/>
      <c r="KRU1053" s="989"/>
      <c r="KRV1053" s="989"/>
      <c r="KRW1053" s="989"/>
      <c r="KRX1053" s="989"/>
      <c r="KRY1053" s="989"/>
      <c r="KRZ1053" s="989"/>
      <c r="KSA1053" s="989"/>
      <c r="KSB1053" s="989"/>
      <c r="KSC1053" s="989"/>
      <c r="KSD1053" s="989"/>
      <c r="KSE1053" s="989"/>
      <c r="KSF1053" s="989"/>
      <c r="KSG1053" s="989"/>
      <c r="KSH1053" s="989"/>
      <c r="KSI1053" s="989"/>
      <c r="KSJ1053" s="989"/>
      <c r="KSK1053" s="989"/>
      <c r="KSL1053" s="989"/>
      <c r="KSM1053" s="989"/>
      <c r="KSN1053" s="989"/>
      <c r="KSO1053" s="989"/>
      <c r="KSP1053" s="989"/>
      <c r="KSQ1053" s="989"/>
      <c r="KSR1053" s="989"/>
      <c r="KSS1053" s="989"/>
      <c r="KST1053" s="989"/>
      <c r="KSU1053" s="989"/>
      <c r="KSV1053" s="989"/>
      <c r="KSW1053" s="989"/>
      <c r="KSX1053" s="989"/>
      <c r="KSY1053" s="989"/>
      <c r="KSZ1053" s="989"/>
      <c r="KTA1053" s="989"/>
      <c r="KTB1053" s="989"/>
      <c r="KTC1053" s="989"/>
      <c r="KTD1053" s="989"/>
      <c r="KTE1053" s="989"/>
      <c r="KTF1053" s="989"/>
      <c r="KTG1053" s="989"/>
      <c r="KTH1053" s="989"/>
      <c r="KTI1053" s="989"/>
      <c r="KTJ1053" s="989"/>
      <c r="KTK1053" s="989"/>
      <c r="KTL1053" s="989"/>
      <c r="KTM1053" s="989"/>
      <c r="KTN1053" s="989"/>
      <c r="KTO1053" s="989"/>
      <c r="KTP1053" s="989"/>
      <c r="KTQ1053" s="989"/>
      <c r="KTR1053" s="989"/>
      <c r="KTS1053" s="989"/>
      <c r="KTT1053" s="989"/>
      <c r="KTU1053" s="989"/>
      <c r="KTV1053" s="989"/>
      <c r="KTW1053" s="989"/>
      <c r="KTX1053" s="989"/>
      <c r="KTY1053" s="989"/>
      <c r="KTZ1053" s="989"/>
      <c r="KUA1053" s="989"/>
      <c r="KUB1053" s="989"/>
      <c r="KUC1053" s="989"/>
      <c r="KUD1053" s="989"/>
      <c r="KUE1053" s="989"/>
      <c r="KUF1053" s="989"/>
      <c r="KUG1053" s="989"/>
      <c r="KUH1053" s="989"/>
      <c r="KUI1053" s="989"/>
      <c r="KUJ1053" s="989"/>
      <c r="KUK1053" s="989"/>
      <c r="KUL1053" s="989"/>
      <c r="KUM1053" s="989"/>
      <c r="KUN1053" s="989"/>
      <c r="KUO1053" s="989"/>
      <c r="KUP1053" s="989"/>
      <c r="KUQ1053" s="989"/>
      <c r="KUR1053" s="989"/>
      <c r="KUS1053" s="989"/>
      <c r="KUT1053" s="989"/>
      <c r="KUU1053" s="989"/>
      <c r="KUV1053" s="989"/>
      <c r="KUW1053" s="989"/>
      <c r="KUX1053" s="989"/>
      <c r="KUY1053" s="989"/>
      <c r="KUZ1053" s="989"/>
      <c r="KVA1053" s="989"/>
      <c r="KVB1053" s="989"/>
      <c r="KVC1053" s="989"/>
      <c r="KVD1053" s="989"/>
      <c r="KVE1053" s="989"/>
      <c r="KVF1053" s="989"/>
      <c r="KVG1053" s="989"/>
      <c r="KVH1053" s="989"/>
      <c r="KVI1053" s="989"/>
      <c r="KVJ1053" s="989"/>
      <c r="KVK1053" s="989"/>
      <c r="KVL1053" s="989"/>
      <c r="KVM1053" s="989"/>
      <c r="KVN1053" s="989"/>
      <c r="KVO1053" s="989"/>
      <c r="KVP1053" s="989"/>
      <c r="KVQ1053" s="989"/>
      <c r="KVR1053" s="989"/>
      <c r="KVS1053" s="989"/>
      <c r="KVT1053" s="989"/>
      <c r="KVU1053" s="989"/>
      <c r="KVV1053" s="989"/>
      <c r="KVW1053" s="989"/>
      <c r="KVX1053" s="989"/>
      <c r="KVY1053" s="989"/>
      <c r="KVZ1053" s="989"/>
      <c r="KWA1053" s="989"/>
      <c r="KWB1053" s="989"/>
      <c r="KWC1053" s="989"/>
      <c r="KWD1053" s="989"/>
      <c r="KWE1053" s="989"/>
      <c r="KWF1053" s="989"/>
      <c r="KWG1053" s="989"/>
      <c r="KWH1053" s="989"/>
      <c r="KWI1053" s="989"/>
      <c r="KWJ1053" s="989"/>
      <c r="KWK1053" s="989"/>
      <c r="KWL1053" s="989"/>
      <c r="KWM1053" s="989"/>
      <c r="KWN1053" s="989"/>
      <c r="KWO1053" s="989"/>
      <c r="KWP1053" s="989"/>
      <c r="KWQ1053" s="989"/>
      <c r="KWR1053" s="989"/>
      <c r="KWS1053" s="989"/>
      <c r="KWT1053" s="989"/>
      <c r="KWU1053" s="989"/>
      <c r="KWV1053" s="989"/>
      <c r="KWW1053" s="989"/>
      <c r="KWX1053" s="989"/>
      <c r="KWY1053" s="989"/>
      <c r="KWZ1053" s="989"/>
      <c r="KXA1053" s="989"/>
      <c r="KXB1053" s="989"/>
      <c r="KXC1053" s="989"/>
      <c r="KXD1053" s="989"/>
      <c r="KXE1053" s="989"/>
      <c r="KXF1053" s="989"/>
      <c r="KXG1053" s="989"/>
      <c r="KXH1053" s="989"/>
      <c r="KXI1053" s="989"/>
      <c r="KXJ1053" s="989"/>
      <c r="KXK1053" s="989"/>
      <c r="KXL1053" s="989"/>
      <c r="KXM1053" s="989"/>
      <c r="KXN1053" s="989"/>
      <c r="KXO1053" s="989"/>
      <c r="KXP1053" s="989"/>
      <c r="KXQ1053" s="989"/>
      <c r="KXR1053" s="989"/>
      <c r="KXS1053" s="989"/>
      <c r="KXT1053" s="989"/>
      <c r="KXU1053" s="989"/>
      <c r="KXV1053" s="989"/>
      <c r="KXW1053" s="989"/>
      <c r="KXX1053" s="989"/>
      <c r="KXY1053" s="989"/>
      <c r="KXZ1053" s="989"/>
      <c r="KYA1053" s="989"/>
      <c r="KYB1053" s="989"/>
      <c r="KYC1053" s="989"/>
      <c r="KYD1053" s="989"/>
      <c r="KYE1053" s="989"/>
      <c r="KYF1053" s="989"/>
      <c r="KYG1053" s="989"/>
      <c r="KYH1053" s="989"/>
      <c r="KYI1053" s="989"/>
      <c r="KYJ1053" s="989"/>
      <c r="KYK1053" s="989"/>
      <c r="KYL1053" s="989"/>
      <c r="KYM1053" s="989"/>
      <c r="KYN1053" s="989"/>
      <c r="KYO1053" s="989"/>
      <c r="KYP1053" s="989"/>
      <c r="KYQ1053" s="989"/>
      <c r="KYR1053" s="989"/>
      <c r="KYS1053" s="989"/>
      <c r="KYT1053" s="989"/>
      <c r="KYU1053" s="989"/>
      <c r="KYV1053" s="989"/>
      <c r="KYW1053" s="989"/>
      <c r="KYX1053" s="989"/>
      <c r="KYY1053" s="989"/>
      <c r="KYZ1053" s="989"/>
      <c r="KZA1053" s="989"/>
      <c r="KZB1053" s="989"/>
      <c r="KZC1053" s="989"/>
      <c r="KZD1053" s="989"/>
      <c r="KZE1053" s="989"/>
      <c r="KZF1053" s="989"/>
      <c r="KZG1053" s="989"/>
      <c r="KZH1053" s="989"/>
      <c r="KZI1053" s="989"/>
      <c r="KZJ1053" s="989"/>
      <c r="KZK1053" s="989"/>
      <c r="KZL1053" s="989"/>
      <c r="KZM1053" s="989"/>
      <c r="KZN1053" s="989"/>
      <c r="KZO1053" s="989"/>
      <c r="KZP1053" s="989"/>
      <c r="KZQ1053" s="989"/>
      <c r="KZR1053" s="989"/>
      <c r="KZS1053" s="989"/>
      <c r="KZT1053" s="989"/>
      <c r="KZU1053" s="989"/>
      <c r="KZV1053" s="989"/>
      <c r="KZW1053" s="989"/>
      <c r="KZX1053" s="989"/>
      <c r="KZY1053" s="989"/>
      <c r="KZZ1053" s="989"/>
      <c r="LAA1053" s="989"/>
      <c r="LAB1053" s="989"/>
      <c r="LAC1053" s="989"/>
      <c r="LAD1053" s="989"/>
      <c r="LAE1053" s="989"/>
      <c r="LAF1053" s="989"/>
      <c r="LAG1053" s="989"/>
      <c r="LAH1053" s="989"/>
      <c r="LAI1053" s="989"/>
      <c r="LAJ1053" s="989"/>
      <c r="LAK1053" s="989"/>
      <c r="LAL1053" s="989"/>
      <c r="LAM1053" s="989"/>
      <c r="LAN1053" s="989"/>
      <c r="LAO1053" s="989"/>
      <c r="LAP1053" s="989"/>
      <c r="LAQ1053" s="989"/>
      <c r="LAR1053" s="989"/>
      <c r="LAS1053" s="989"/>
      <c r="LAT1053" s="989"/>
      <c r="LAU1053" s="989"/>
      <c r="LAV1053" s="989"/>
      <c r="LAW1053" s="989"/>
      <c r="LAX1053" s="989"/>
      <c r="LAY1053" s="989"/>
      <c r="LAZ1053" s="989"/>
      <c r="LBA1053" s="989"/>
      <c r="LBB1053" s="989"/>
      <c r="LBC1053" s="989"/>
      <c r="LBD1053" s="989"/>
      <c r="LBE1053" s="989"/>
      <c r="LBF1053" s="989"/>
      <c r="LBG1053" s="989"/>
      <c r="LBH1053" s="989"/>
      <c r="LBI1053" s="989"/>
      <c r="LBJ1053" s="989"/>
      <c r="LBK1053" s="989"/>
      <c r="LBL1053" s="989"/>
      <c r="LBM1053" s="989"/>
      <c r="LBN1053" s="989"/>
      <c r="LBO1053" s="989"/>
      <c r="LBP1053" s="989"/>
      <c r="LBQ1053" s="989"/>
      <c r="LBR1053" s="989"/>
      <c r="LBS1053" s="989"/>
      <c r="LBT1053" s="989"/>
      <c r="LBU1053" s="989"/>
      <c r="LBV1053" s="989"/>
      <c r="LBW1053" s="989"/>
      <c r="LBX1053" s="989"/>
      <c r="LBY1053" s="989"/>
      <c r="LBZ1053" s="989"/>
      <c r="LCA1053" s="989"/>
      <c r="LCB1053" s="989"/>
      <c r="LCC1053" s="989"/>
      <c r="LCD1053" s="989"/>
      <c r="LCE1053" s="989"/>
      <c r="LCF1053" s="989"/>
      <c r="LCG1053" s="989"/>
      <c r="LCH1053" s="989"/>
      <c r="LCI1053" s="989"/>
      <c r="LCJ1053" s="989"/>
      <c r="LCK1053" s="989"/>
      <c r="LCL1053" s="989"/>
      <c r="LCM1053" s="989"/>
      <c r="LCN1053" s="989"/>
      <c r="LCO1053" s="989"/>
      <c r="LCP1053" s="989"/>
      <c r="LCQ1053" s="989"/>
      <c r="LCR1053" s="989"/>
      <c r="LCS1053" s="989"/>
      <c r="LCT1053" s="989"/>
      <c r="LCU1053" s="989"/>
      <c r="LCV1053" s="989"/>
      <c r="LCW1053" s="989"/>
      <c r="LCX1053" s="989"/>
      <c r="LCY1053" s="989"/>
      <c r="LCZ1053" s="989"/>
      <c r="LDA1053" s="989"/>
      <c r="LDB1053" s="989"/>
      <c r="LDC1053" s="989"/>
      <c r="LDD1053" s="989"/>
      <c r="LDE1053" s="989"/>
      <c r="LDF1053" s="989"/>
      <c r="LDG1053" s="989"/>
      <c r="LDH1053" s="989"/>
      <c r="LDI1053" s="989"/>
      <c r="LDJ1053" s="989"/>
      <c r="LDK1053" s="989"/>
      <c r="LDL1053" s="989"/>
      <c r="LDM1053" s="989"/>
      <c r="LDN1053" s="989"/>
      <c r="LDO1053" s="989"/>
      <c r="LDP1053" s="989"/>
      <c r="LDQ1053" s="989"/>
      <c r="LDR1053" s="989"/>
      <c r="LDS1053" s="989"/>
      <c r="LDT1053" s="989"/>
      <c r="LDU1053" s="989"/>
      <c r="LDV1053" s="989"/>
      <c r="LDW1053" s="989"/>
      <c r="LDX1053" s="989"/>
      <c r="LDY1053" s="989"/>
      <c r="LDZ1053" s="989"/>
      <c r="LEA1053" s="989"/>
      <c r="LEB1053" s="989"/>
      <c r="LEC1053" s="989"/>
      <c r="LED1053" s="989"/>
      <c r="LEE1053" s="989"/>
      <c r="LEF1053" s="989"/>
      <c r="LEG1053" s="989"/>
      <c r="LEH1053" s="989"/>
      <c r="LEI1053" s="989"/>
      <c r="LEJ1053" s="989"/>
      <c r="LEK1053" s="989"/>
      <c r="LEL1053" s="989"/>
      <c r="LEM1053" s="989"/>
      <c r="LEN1053" s="989"/>
      <c r="LEO1053" s="989"/>
      <c r="LEP1053" s="989"/>
      <c r="LEQ1053" s="989"/>
      <c r="LER1053" s="989"/>
      <c r="LES1053" s="989"/>
      <c r="LET1053" s="989"/>
      <c r="LEU1053" s="989"/>
      <c r="LEV1053" s="989"/>
      <c r="LEW1053" s="989"/>
      <c r="LEX1053" s="989"/>
      <c r="LEY1053" s="989"/>
      <c r="LEZ1053" s="989"/>
      <c r="LFA1053" s="989"/>
      <c r="LFB1053" s="989"/>
      <c r="LFC1053" s="989"/>
      <c r="LFD1053" s="989"/>
      <c r="LFE1053" s="989"/>
      <c r="LFF1053" s="989"/>
      <c r="LFG1053" s="989"/>
      <c r="LFH1053" s="989"/>
      <c r="LFI1053" s="989"/>
      <c r="LFJ1053" s="989"/>
      <c r="LFK1053" s="989"/>
      <c r="LFL1053" s="989"/>
      <c r="LFM1053" s="989"/>
      <c r="LFN1053" s="989"/>
      <c r="LFO1053" s="989"/>
      <c r="LFP1053" s="989"/>
      <c r="LFQ1053" s="989"/>
      <c r="LFR1053" s="989"/>
      <c r="LFS1053" s="989"/>
      <c r="LFT1053" s="989"/>
      <c r="LFU1053" s="989"/>
      <c r="LFV1053" s="989"/>
      <c r="LFW1053" s="989"/>
      <c r="LFX1053" s="989"/>
      <c r="LFY1053" s="989"/>
      <c r="LFZ1053" s="989"/>
      <c r="LGA1053" s="989"/>
      <c r="LGB1053" s="989"/>
      <c r="LGC1053" s="989"/>
      <c r="LGD1053" s="989"/>
      <c r="LGE1053" s="989"/>
      <c r="LGF1053" s="989"/>
      <c r="LGG1053" s="989"/>
      <c r="LGH1053" s="989"/>
      <c r="LGI1053" s="989"/>
      <c r="LGJ1053" s="989"/>
      <c r="LGK1053" s="989"/>
      <c r="LGL1053" s="989"/>
      <c r="LGM1053" s="989"/>
      <c r="LGN1053" s="989"/>
      <c r="LGO1053" s="989"/>
      <c r="LGP1053" s="989"/>
      <c r="LGQ1053" s="989"/>
      <c r="LGR1053" s="989"/>
      <c r="LGS1053" s="989"/>
      <c r="LGT1053" s="989"/>
      <c r="LGU1053" s="989"/>
      <c r="LGV1053" s="989"/>
      <c r="LGW1053" s="989"/>
      <c r="LGX1053" s="989"/>
      <c r="LGY1053" s="989"/>
      <c r="LGZ1053" s="989"/>
      <c r="LHA1053" s="989"/>
      <c r="LHB1053" s="989"/>
      <c r="LHC1053" s="989"/>
      <c r="LHD1053" s="989"/>
      <c r="LHE1053" s="989"/>
      <c r="LHF1053" s="989"/>
      <c r="LHG1053" s="989"/>
      <c r="LHH1053" s="989"/>
      <c r="LHI1053" s="989"/>
      <c r="LHJ1053" s="989"/>
      <c r="LHK1053" s="989"/>
      <c r="LHL1053" s="989"/>
      <c r="LHM1053" s="989"/>
      <c r="LHN1053" s="989"/>
      <c r="LHO1053" s="989"/>
      <c r="LHP1053" s="989"/>
      <c r="LHQ1053" s="989"/>
      <c r="LHR1053" s="989"/>
      <c r="LHS1053" s="989"/>
      <c r="LHT1053" s="989"/>
      <c r="LHU1053" s="989"/>
      <c r="LHV1053" s="989"/>
      <c r="LHW1053" s="989"/>
      <c r="LHX1053" s="989"/>
      <c r="LHY1053" s="989"/>
      <c r="LHZ1053" s="989"/>
      <c r="LIA1053" s="989"/>
      <c r="LIB1053" s="989"/>
      <c r="LIC1053" s="989"/>
      <c r="LID1053" s="989"/>
      <c r="LIE1053" s="989"/>
      <c r="LIF1053" s="989"/>
      <c r="LIG1053" s="989"/>
      <c r="LIH1053" s="989"/>
      <c r="LII1053" s="989"/>
      <c r="LIJ1053" s="989"/>
      <c r="LIK1053" s="989"/>
      <c r="LIL1053" s="989"/>
      <c r="LIM1053" s="989"/>
      <c r="LIN1053" s="989"/>
      <c r="LIO1053" s="989"/>
      <c r="LIP1053" s="989"/>
      <c r="LIQ1053" s="989"/>
      <c r="LIR1053" s="989"/>
      <c r="LIS1053" s="989"/>
      <c r="LIT1053" s="989"/>
      <c r="LIU1053" s="989"/>
      <c r="LIV1053" s="989"/>
      <c r="LIW1053" s="989"/>
      <c r="LIX1053" s="989"/>
      <c r="LIY1053" s="989"/>
      <c r="LIZ1053" s="989"/>
      <c r="LJA1053" s="989"/>
      <c r="LJB1053" s="989"/>
      <c r="LJC1053" s="989"/>
      <c r="LJD1053" s="989"/>
      <c r="LJE1053" s="989"/>
      <c r="LJF1053" s="989"/>
      <c r="LJG1053" s="989"/>
      <c r="LJH1053" s="989"/>
      <c r="LJI1053" s="989"/>
      <c r="LJJ1053" s="989"/>
      <c r="LJK1053" s="989"/>
      <c r="LJL1053" s="989"/>
      <c r="LJM1053" s="989"/>
      <c r="LJN1053" s="989"/>
      <c r="LJO1053" s="989"/>
      <c r="LJP1053" s="989"/>
      <c r="LJQ1053" s="989"/>
      <c r="LJR1053" s="989"/>
      <c r="LJS1053" s="989"/>
      <c r="LJT1053" s="989"/>
      <c r="LJU1053" s="989"/>
      <c r="LJV1053" s="989"/>
      <c r="LJW1053" s="989"/>
      <c r="LJX1053" s="989"/>
      <c r="LJY1053" s="989"/>
      <c r="LJZ1053" s="989"/>
      <c r="LKA1053" s="989"/>
      <c r="LKB1053" s="989"/>
      <c r="LKC1053" s="989"/>
      <c r="LKD1053" s="989"/>
      <c r="LKE1053" s="989"/>
      <c r="LKF1053" s="989"/>
      <c r="LKG1053" s="989"/>
      <c r="LKH1053" s="989"/>
      <c r="LKI1053" s="989"/>
      <c r="LKJ1053" s="989"/>
      <c r="LKK1053" s="989"/>
      <c r="LKL1053" s="989"/>
      <c r="LKM1053" s="989"/>
      <c r="LKN1053" s="989"/>
      <c r="LKO1053" s="989"/>
      <c r="LKP1053" s="989"/>
      <c r="LKQ1053" s="989"/>
      <c r="LKR1053" s="989"/>
      <c r="LKS1053" s="989"/>
      <c r="LKT1053" s="989"/>
      <c r="LKU1053" s="989"/>
      <c r="LKV1053" s="989"/>
      <c r="LKW1053" s="989"/>
      <c r="LKX1053" s="989"/>
      <c r="LKY1053" s="989"/>
      <c r="LKZ1053" s="989"/>
      <c r="LLA1053" s="989"/>
      <c r="LLB1053" s="989"/>
      <c r="LLC1053" s="989"/>
      <c r="LLD1053" s="989"/>
      <c r="LLE1053" s="989"/>
      <c r="LLF1053" s="989"/>
      <c r="LLG1053" s="989"/>
      <c r="LLH1053" s="989"/>
      <c r="LLI1053" s="989"/>
      <c r="LLJ1053" s="989"/>
      <c r="LLK1053" s="989"/>
      <c r="LLL1053" s="989"/>
      <c r="LLM1053" s="989"/>
      <c r="LLN1053" s="989"/>
      <c r="LLO1053" s="989"/>
      <c r="LLP1053" s="989"/>
      <c r="LLQ1053" s="989"/>
      <c r="LLR1053" s="989"/>
      <c r="LLS1053" s="989"/>
      <c r="LLT1053" s="989"/>
      <c r="LLU1053" s="989"/>
      <c r="LLV1053" s="989"/>
      <c r="LLW1053" s="989"/>
      <c r="LLX1053" s="989"/>
      <c r="LLY1053" s="989"/>
      <c r="LLZ1053" s="989"/>
      <c r="LMA1053" s="989"/>
      <c r="LMB1053" s="989"/>
      <c r="LMC1053" s="989"/>
      <c r="LMD1053" s="989"/>
      <c r="LME1053" s="989"/>
      <c r="LMF1053" s="989"/>
      <c r="LMG1053" s="989"/>
      <c r="LMH1053" s="989"/>
      <c r="LMI1053" s="989"/>
      <c r="LMJ1053" s="989"/>
      <c r="LMK1053" s="989"/>
      <c r="LML1053" s="989"/>
      <c r="LMM1053" s="989"/>
      <c r="LMN1053" s="989"/>
      <c r="LMO1053" s="989"/>
      <c r="LMP1053" s="989"/>
      <c r="LMQ1053" s="989"/>
      <c r="LMR1053" s="989"/>
      <c r="LMS1053" s="989"/>
      <c r="LMT1053" s="989"/>
      <c r="LMU1053" s="989"/>
      <c r="LMV1053" s="989"/>
      <c r="LMW1053" s="989"/>
      <c r="LMX1053" s="989"/>
      <c r="LMY1053" s="989"/>
      <c r="LMZ1053" s="989"/>
      <c r="LNA1053" s="989"/>
      <c r="LNB1053" s="989"/>
      <c r="LNC1053" s="989"/>
      <c r="LND1053" s="989"/>
      <c r="LNE1053" s="989"/>
      <c r="LNF1053" s="989"/>
      <c r="LNG1053" s="989"/>
      <c r="LNH1053" s="989"/>
      <c r="LNI1053" s="989"/>
      <c r="LNJ1053" s="989"/>
      <c r="LNK1053" s="989"/>
      <c r="LNL1053" s="989"/>
      <c r="LNM1053" s="989"/>
      <c r="LNN1053" s="989"/>
      <c r="LNO1053" s="989"/>
      <c r="LNP1053" s="989"/>
      <c r="LNQ1053" s="989"/>
      <c r="LNR1053" s="989"/>
      <c r="LNS1053" s="989"/>
      <c r="LNT1053" s="989"/>
      <c r="LNU1053" s="989"/>
      <c r="LNV1053" s="989"/>
      <c r="LNW1053" s="989"/>
      <c r="LNX1053" s="989"/>
      <c r="LNY1053" s="989"/>
      <c r="LNZ1053" s="989"/>
      <c r="LOA1053" s="989"/>
      <c r="LOB1053" s="989"/>
      <c r="LOC1053" s="989"/>
      <c r="LOD1053" s="989"/>
      <c r="LOE1053" s="989"/>
      <c r="LOF1053" s="989"/>
      <c r="LOG1053" s="989"/>
      <c r="LOH1053" s="989"/>
      <c r="LOI1053" s="989"/>
      <c r="LOJ1053" s="989"/>
      <c r="LOK1053" s="989"/>
      <c r="LOL1053" s="989"/>
      <c r="LOM1053" s="989"/>
      <c r="LON1053" s="989"/>
      <c r="LOO1053" s="989"/>
      <c r="LOP1053" s="989"/>
      <c r="LOQ1053" s="989"/>
      <c r="LOR1053" s="989"/>
      <c r="LOS1053" s="989"/>
      <c r="LOT1053" s="989"/>
      <c r="LOU1053" s="989"/>
      <c r="LOV1053" s="989"/>
      <c r="LOW1053" s="989"/>
      <c r="LOX1053" s="989"/>
      <c r="LOY1053" s="989"/>
      <c r="LOZ1053" s="989"/>
      <c r="LPA1053" s="989"/>
      <c r="LPB1053" s="989"/>
      <c r="LPC1053" s="989"/>
      <c r="LPD1053" s="989"/>
      <c r="LPE1053" s="989"/>
      <c r="LPF1053" s="989"/>
      <c r="LPG1053" s="989"/>
      <c r="LPH1053" s="989"/>
      <c r="LPI1053" s="989"/>
      <c r="LPJ1053" s="989"/>
      <c r="LPK1053" s="989"/>
      <c r="LPL1053" s="989"/>
      <c r="LPM1053" s="989"/>
      <c r="LPN1053" s="989"/>
      <c r="LPO1053" s="989"/>
      <c r="LPP1053" s="989"/>
      <c r="LPQ1053" s="989"/>
      <c r="LPR1053" s="989"/>
      <c r="LPS1053" s="989"/>
      <c r="LPT1053" s="989"/>
      <c r="LPU1053" s="989"/>
      <c r="LPV1053" s="989"/>
      <c r="LPW1053" s="989"/>
      <c r="LPX1053" s="989"/>
      <c r="LPY1053" s="989"/>
      <c r="LPZ1053" s="989"/>
      <c r="LQA1053" s="989"/>
      <c r="LQB1053" s="989"/>
      <c r="LQC1053" s="989"/>
      <c r="LQD1053" s="989"/>
      <c r="LQE1053" s="989"/>
      <c r="LQF1053" s="989"/>
      <c r="LQG1053" s="989"/>
      <c r="LQH1053" s="989"/>
      <c r="LQI1053" s="989"/>
      <c r="LQJ1053" s="989"/>
      <c r="LQK1053" s="989"/>
      <c r="LQL1053" s="989"/>
      <c r="LQM1053" s="989"/>
      <c r="LQN1053" s="989"/>
      <c r="LQO1053" s="989"/>
      <c r="LQP1053" s="989"/>
      <c r="LQQ1053" s="989"/>
      <c r="LQR1053" s="989"/>
      <c r="LQS1053" s="989"/>
      <c r="LQT1053" s="989"/>
      <c r="LQU1053" s="989"/>
      <c r="LQV1053" s="989"/>
      <c r="LQW1053" s="989"/>
      <c r="LQX1053" s="989"/>
      <c r="LQY1053" s="989"/>
      <c r="LQZ1053" s="989"/>
      <c r="LRA1053" s="989"/>
      <c r="LRB1053" s="989"/>
      <c r="LRC1053" s="989"/>
      <c r="LRD1053" s="989"/>
      <c r="LRE1053" s="989"/>
      <c r="LRF1053" s="989"/>
      <c r="LRG1053" s="989"/>
      <c r="LRH1053" s="989"/>
      <c r="LRI1053" s="989"/>
      <c r="LRJ1053" s="989"/>
      <c r="LRK1053" s="989"/>
      <c r="LRL1053" s="989"/>
      <c r="LRM1053" s="989"/>
      <c r="LRN1053" s="989"/>
      <c r="LRO1053" s="989"/>
      <c r="LRP1053" s="989"/>
      <c r="LRQ1053" s="989"/>
      <c r="LRR1053" s="989"/>
      <c r="LRS1053" s="989"/>
      <c r="LRT1053" s="989"/>
      <c r="LRU1053" s="989"/>
      <c r="LRV1053" s="989"/>
      <c r="LRW1053" s="989"/>
      <c r="LRX1053" s="989"/>
      <c r="LRY1053" s="989"/>
      <c r="LRZ1053" s="989"/>
      <c r="LSA1053" s="989"/>
      <c r="LSB1053" s="989"/>
      <c r="LSC1053" s="989"/>
      <c r="LSD1053" s="989"/>
      <c r="LSE1053" s="989"/>
      <c r="LSF1053" s="989"/>
      <c r="LSG1053" s="989"/>
      <c r="LSH1053" s="989"/>
      <c r="LSI1053" s="989"/>
      <c r="LSJ1053" s="989"/>
      <c r="LSK1053" s="989"/>
      <c r="LSL1053" s="989"/>
      <c r="LSM1053" s="989"/>
      <c r="LSN1053" s="989"/>
      <c r="LSO1053" s="989"/>
      <c r="LSP1053" s="989"/>
      <c r="LSQ1053" s="989"/>
      <c r="LSR1053" s="989"/>
      <c r="LSS1053" s="989"/>
      <c r="LST1053" s="989"/>
      <c r="LSU1053" s="989"/>
      <c r="LSV1053" s="989"/>
      <c r="LSW1053" s="989"/>
      <c r="LSX1053" s="989"/>
      <c r="LSY1053" s="989"/>
      <c r="LSZ1053" s="989"/>
      <c r="LTA1053" s="989"/>
      <c r="LTB1053" s="989"/>
      <c r="LTC1053" s="989"/>
      <c r="LTD1053" s="989"/>
      <c r="LTE1053" s="989"/>
      <c r="LTF1053" s="989"/>
      <c r="LTG1053" s="989"/>
      <c r="LTH1053" s="989"/>
      <c r="LTI1053" s="989"/>
      <c r="LTJ1053" s="989"/>
      <c r="LTK1053" s="989"/>
      <c r="LTL1053" s="989"/>
      <c r="LTM1053" s="989"/>
      <c r="LTN1053" s="989"/>
      <c r="LTO1053" s="989"/>
      <c r="LTP1053" s="989"/>
      <c r="LTQ1053" s="989"/>
      <c r="LTR1053" s="989"/>
      <c r="LTS1053" s="989"/>
      <c r="LTT1053" s="989"/>
      <c r="LTU1053" s="989"/>
      <c r="LTV1053" s="989"/>
      <c r="LTW1053" s="989"/>
      <c r="LTX1053" s="989"/>
      <c r="LTY1053" s="989"/>
      <c r="LTZ1053" s="989"/>
      <c r="LUA1053" s="989"/>
      <c r="LUB1053" s="989"/>
      <c r="LUC1053" s="989"/>
      <c r="LUD1053" s="989"/>
      <c r="LUE1053" s="989"/>
      <c r="LUF1053" s="989"/>
      <c r="LUG1053" s="989"/>
      <c r="LUH1053" s="989"/>
      <c r="LUI1053" s="989"/>
      <c r="LUJ1053" s="989"/>
      <c r="LUK1053" s="989"/>
      <c r="LUL1053" s="989"/>
      <c r="LUM1053" s="989"/>
      <c r="LUN1053" s="989"/>
      <c r="LUO1053" s="989"/>
      <c r="LUP1053" s="989"/>
      <c r="LUQ1053" s="989"/>
      <c r="LUR1053" s="989"/>
      <c r="LUS1053" s="989"/>
      <c r="LUT1053" s="989"/>
      <c r="LUU1053" s="989"/>
      <c r="LUV1053" s="989"/>
      <c r="LUW1053" s="989"/>
      <c r="LUX1053" s="989"/>
      <c r="LUY1053" s="989"/>
      <c r="LUZ1053" s="989"/>
      <c r="LVA1053" s="989"/>
      <c r="LVB1053" s="989"/>
      <c r="LVC1053" s="989"/>
      <c r="LVD1053" s="989"/>
      <c r="LVE1053" s="989"/>
      <c r="LVF1053" s="989"/>
      <c r="LVG1053" s="989"/>
      <c r="LVH1053" s="989"/>
      <c r="LVI1053" s="989"/>
      <c r="LVJ1053" s="989"/>
      <c r="LVK1053" s="989"/>
      <c r="LVL1053" s="989"/>
      <c r="LVM1053" s="989"/>
      <c r="LVN1053" s="989"/>
      <c r="LVO1053" s="989"/>
      <c r="LVP1053" s="989"/>
      <c r="LVQ1053" s="989"/>
      <c r="LVR1053" s="989"/>
      <c r="LVS1053" s="989"/>
      <c r="LVT1053" s="989"/>
      <c r="LVU1053" s="989"/>
      <c r="LVV1053" s="989"/>
      <c r="LVW1053" s="989"/>
      <c r="LVX1053" s="989"/>
      <c r="LVY1053" s="989"/>
      <c r="LVZ1053" s="989"/>
      <c r="LWA1053" s="989"/>
      <c r="LWB1053" s="989"/>
      <c r="LWC1053" s="989"/>
      <c r="LWD1053" s="989"/>
      <c r="LWE1053" s="989"/>
      <c r="LWF1053" s="989"/>
      <c r="LWG1053" s="989"/>
      <c r="LWH1053" s="989"/>
      <c r="LWI1053" s="989"/>
      <c r="LWJ1053" s="989"/>
      <c r="LWK1053" s="989"/>
      <c r="LWL1053" s="989"/>
      <c r="LWM1053" s="989"/>
      <c r="LWN1053" s="989"/>
      <c r="LWO1053" s="989"/>
      <c r="LWP1053" s="989"/>
      <c r="LWQ1053" s="989"/>
      <c r="LWR1053" s="989"/>
      <c r="LWS1053" s="989"/>
      <c r="LWT1053" s="989"/>
      <c r="LWU1053" s="989"/>
      <c r="LWV1053" s="989"/>
      <c r="LWW1053" s="989"/>
      <c r="LWX1053" s="989"/>
      <c r="LWY1053" s="989"/>
      <c r="LWZ1053" s="989"/>
      <c r="LXA1053" s="989"/>
      <c r="LXB1053" s="989"/>
      <c r="LXC1053" s="989"/>
      <c r="LXD1053" s="989"/>
      <c r="LXE1053" s="989"/>
      <c r="LXF1053" s="989"/>
      <c r="LXG1053" s="989"/>
      <c r="LXH1053" s="989"/>
      <c r="LXI1053" s="989"/>
      <c r="LXJ1053" s="989"/>
      <c r="LXK1053" s="989"/>
      <c r="LXL1053" s="989"/>
      <c r="LXM1053" s="989"/>
      <c r="LXN1053" s="989"/>
      <c r="LXO1053" s="989"/>
      <c r="LXP1053" s="989"/>
      <c r="LXQ1053" s="989"/>
      <c r="LXR1053" s="989"/>
      <c r="LXS1053" s="989"/>
      <c r="LXT1053" s="989"/>
      <c r="LXU1053" s="989"/>
      <c r="LXV1053" s="989"/>
      <c r="LXW1053" s="989"/>
      <c r="LXX1053" s="989"/>
      <c r="LXY1053" s="989"/>
      <c r="LXZ1053" s="989"/>
      <c r="LYA1053" s="989"/>
      <c r="LYB1053" s="989"/>
      <c r="LYC1053" s="989"/>
      <c r="LYD1053" s="989"/>
      <c r="LYE1053" s="989"/>
      <c r="LYF1053" s="989"/>
      <c r="LYG1053" s="989"/>
      <c r="LYH1053" s="989"/>
      <c r="LYI1053" s="989"/>
      <c r="LYJ1053" s="989"/>
      <c r="LYK1053" s="989"/>
      <c r="LYL1053" s="989"/>
      <c r="LYM1053" s="989"/>
      <c r="LYN1053" s="989"/>
      <c r="LYO1053" s="989"/>
      <c r="LYP1053" s="989"/>
      <c r="LYQ1053" s="989"/>
      <c r="LYR1053" s="989"/>
      <c r="LYS1053" s="989"/>
      <c r="LYT1053" s="989"/>
      <c r="LYU1053" s="989"/>
      <c r="LYV1053" s="989"/>
      <c r="LYW1053" s="989"/>
      <c r="LYX1053" s="989"/>
      <c r="LYY1053" s="989"/>
      <c r="LYZ1053" s="989"/>
      <c r="LZA1053" s="989"/>
      <c r="LZB1053" s="989"/>
      <c r="LZC1053" s="989"/>
      <c r="LZD1053" s="989"/>
      <c r="LZE1053" s="989"/>
      <c r="LZF1053" s="989"/>
      <c r="LZG1053" s="989"/>
      <c r="LZH1053" s="989"/>
      <c r="LZI1053" s="989"/>
      <c r="LZJ1053" s="989"/>
      <c r="LZK1053" s="989"/>
      <c r="LZL1053" s="989"/>
      <c r="LZM1053" s="989"/>
      <c r="LZN1053" s="989"/>
      <c r="LZO1053" s="989"/>
      <c r="LZP1053" s="989"/>
      <c r="LZQ1053" s="989"/>
      <c r="LZR1053" s="989"/>
      <c r="LZS1053" s="989"/>
      <c r="LZT1053" s="989"/>
      <c r="LZU1053" s="989"/>
      <c r="LZV1053" s="989"/>
      <c r="LZW1053" s="989"/>
      <c r="LZX1053" s="989"/>
      <c r="LZY1053" s="989"/>
      <c r="LZZ1053" s="989"/>
      <c r="MAA1053" s="989"/>
      <c r="MAB1053" s="989"/>
      <c r="MAC1053" s="989"/>
      <c r="MAD1053" s="989"/>
      <c r="MAE1053" s="989"/>
      <c r="MAF1053" s="989"/>
      <c r="MAG1053" s="989"/>
      <c r="MAH1053" s="989"/>
      <c r="MAI1053" s="989"/>
      <c r="MAJ1053" s="989"/>
      <c r="MAK1053" s="989"/>
      <c r="MAL1053" s="989"/>
      <c r="MAM1053" s="989"/>
      <c r="MAN1053" s="989"/>
      <c r="MAO1053" s="989"/>
      <c r="MAP1053" s="989"/>
      <c r="MAQ1053" s="989"/>
      <c r="MAR1053" s="989"/>
      <c r="MAS1053" s="989"/>
      <c r="MAT1053" s="989"/>
      <c r="MAU1053" s="989"/>
      <c r="MAV1053" s="989"/>
      <c r="MAW1053" s="989"/>
      <c r="MAX1053" s="989"/>
      <c r="MAY1053" s="989"/>
      <c r="MAZ1053" s="989"/>
      <c r="MBA1053" s="989"/>
      <c r="MBB1053" s="989"/>
      <c r="MBC1053" s="989"/>
      <c r="MBD1053" s="989"/>
      <c r="MBE1053" s="989"/>
      <c r="MBF1053" s="989"/>
      <c r="MBG1053" s="989"/>
      <c r="MBH1053" s="989"/>
      <c r="MBI1053" s="989"/>
      <c r="MBJ1053" s="989"/>
      <c r="MBK1053" s="989"/>
      <c r="MBL1053" s="989"/>
      <c r="MBM1053" s="989"/>
      <c r="MBN1053" s="989"/>
      <c r="MBO1053" s="989"/>
      <c r="MBP1053" s="989"/>
      <c r="MBQ1053" s="989"/>
      <c r="MBR1053" s="989"/>
      <c r="MBS1053" s="989"/>
      <c r="MBT1053" s="989"/>
      <c r="MBU1053" s="989"/>
      <c r="MBV1053" s="989"/>
      <c r="MBW1053" s="989"/>
      <c r="MBX1053" s="989"/>
      <c r="MBY1053" s="989"/>
      <c r="MBZ1053" s="989"/>
      <c r="MCA1053" s="989"/>
      <c r="MCB1053" s="989"/>
      <c r="MCC1053" s="989"/>
      <c r="MCD1053" s="989"/>
      <c r="MCE1053" s="989"/>
      <c r="MCF1053" s="989"/>
      <c r="MCG1053" s="989"/>
      <c r="MCH1053" s="989"/>
      <c r="MCI1053" s="989"/>
      <c r="MCJ1053" s="989"/>
      <c r="MCK1053" s="989"/>
      <c r="MCL1053" s="989"/>
      <c r="MCM1053" s="989"/>
      <c r="MCN1053" s="989"/>
      <c r="MCO1053" s="989"/>
      <c r="MCP1053" s="989"/>
      <c r="MCQ1053" s="989"/>
      <c r="MCR1053" s="989"/>
      <c r="MCS1053" s="989"/>
      <c r="MCT1053" s="989"/>
      <c r="MCU1053" s="989"/>
      <c r="MCV1053" s="989"/>
      <c r="MCW1053" s="989"/>
      <c r="MCX1053" s="989"/>
      <c r="MCY1053" s="989"/>
      <c r="MCZ1053" s="989"/>
      <c r="MDA1053" s="989"/>
      <c r="MDB1053" s="989"/>
      <c r="MDC1053" s="989"/>
      <c r="MDD1053" s="989"/>
      <c r="MDE1053" s="989"/>
      <c r="MDF1053" s="989"/>
      <c r="MDG1053" s="989"/>
      <c r="MDH1053" s="989"/>
      <c r="MDI1053" s="989"/>
      <c r="MDJ1053" s="989"/>
      <c r="MDK1053" s="989"/>
      <c r="MDL1053" s="989"/>
      <c r="MDM1053" s="989"/>
      <c r="MDN1053" s="989"/>
      <c r="MDO1053" s="989"/>
      <c r="MDP1053" s="989"/>
      <c r="MDQ1053" s="989"/>
      <c r="MDR1053" s="989"/>
      <c r="MDS1053" s="989"/>
      <c r="MDT1053" s="989"/>
      <c r="MDU1053" s="989"/>
      <c r="MDV1053" s="989"/>
      <c r="MDW1053" s="989"/>
      <c r="MDX1053" s="989"/>
      <c r="MDY1053" s="989"/>
      <c r="MDZ1053" s="989"/>
      <c r="MEA1053" s="989"/>
      <c r="MEB1053" s="989"/>
      <c r="MEC1053" s="989"/>
      <c r="MED1053" s="989"/>
      <c r="MEE1053" s="989"/>
      <c r="MEF1053" s="989"/>
      <c r="MEG1053" s="989"/>
      <c r="MEH1053" s="989"/>
      <c r="MEI1053" s="989"/>
      <c r="MEJ1053" s="989"/>
      <c r="MEK1053" s="989"/>
      <c r="MEL1053" s="989"/>
      <c r="MEM1053" s="989"/>
      <c r="MEN1053" s="989"/>
      <c r="MEO1053" s="989"/>
      <c r="MEP1053" s="989"/>
      <c r="MEQ1053" s="989"/>
      <c r="MER1053" s="989"/>
      <c r="MES1053" s="989"/>
      <c r="MET1053" s="989"/>
      <c r="MEU1053" s="989"/>
      <c r="MEV1053" s="989"/>
      <c r="MEW1053" s="989"/>
      <c r="MEX1053" s="989"/>
      <c r="MEY1053" s="989"/>
      <c r="MEZ1053" s="989"/>
      <c r="MFA1053" s="989"/>
      <c r="MFB1053" s="989"/>
      <c r="MFC1053" s="989"/>
      <c r="MFD1053" s="989"/>
      <c r="MFE1053" s="989"/>
      <c r="MFF1053" s="989"/>
      <c r="MFG1053" s="989"/>
      <c r="MFH1053" s="989"/>
      <c r="MFI1053" s="989"/>
      <c r="MFJ1053" s="989"/>
      <c r="MFK1053" s="989"/>
      <c r="MFL1053" s="989"/>
      <c r="MFM1053" s="989"/>
      <c r="MFN1053" s="989"/>
      <c r="MFO1053" s="989"/>
      <c r="MFP1053" s="989"/>
      <c r="MFQ1053" s="989"/>
      <c r="MFR1053" s="989"/>
      <c r="MFS1053" s="989"/>
      <c r="MFT1053" s="989"/>
      <c r="MFU1053" s="989"/>
      <c r="MFV1053" s="989"/>
      <c r="MFW1053" s="989"/>
      <c r="MFX1053" s="989"/>
      <c r="MFY1053" s="989"/>
      <c r="MFZ1053" s="989"/>
      <c r="MGA1053" s="989"/>
      <c r="MGB1053" s="989"/>
      <c r="MGC1053" s="989"/>
      <c r="MGD1053" s="989"/>
      <c r="MGE1053" s="989"/>
      <c r="MGF1053" s="989"/>
      <c r="MGG1053" s="989"/>
      <c r="MGH1053" s="989"/>
      <c r="MGI1053" s="989"/>
      <c r="MGJ1053" s="989"/>
      <c r="MGK1053" s="989"/>
      <c r="MGL1053" s="989"/>
      <c r="MGM1053" s="989"/>
      <c r="MGN1053" s="989"/>
      <c r="MGO1053" s="989"/>
      <c r="MGP1053" s="989"/>
      <c r="MGQ1053" s="989"/>
      <c r="MGR1053" s="989"/>
      <c r="MGS1053" s="989"/>
      <c r="MGT1053" s="989"/>
      <c r="MGU1053" s="989"/>
      <c r="MGV1053" s="989"/>
      <c r="MGW1053" s="989"/>
      <c r="MGX1053" s="989"/>
      <c r="MGY1053" s="989"/>
      <c r="MGZ1053" s="989"/>
      <c r="MHA1053" s="989"/>
      <c r="MHB1053" s="989"/>
      <c r="MHC1053" s="989"/>
      <c r="MHD1053" s="989"/>
      <c r="MHE1053" s="989"/>
      <c r="MHF1053" s="989"/>
      <c r="MHG1053" s="989"/>
      <c r="MHH1053" s="989"/>
      <c r="MHI1053" s="989"/>
      <c r="MHJ1053" s="989"/>
      <c r="MHK1053" s="989"/>
      <c r="MHL1053" s="989"/>
      <c r="MHM1053" s="989"/>
      <c r="MHN1053" s="989"/>
      <c r="MHO1053" s="989"/>
      <c r="MHP1053" s="989"/>
      <c r="MHQ1053" s="989"/>
      <c r="MHR1053" s="989"/>
      <c r="MHS1053" s="989"/>
      <c r="MHT1053" s="989"/>
      <c r="MHU1053" s="989"/>
      <c r="MHV1053" s="989"/>
      <c r="MHW1053" s="989"/>
      <c r="MHX1053" s="989"/>
      <c r="MHY1053" s="989"/>
      <c r="MHZ1053" s="989"/>
      <c r="MIA1053" s="989"/>
      <c r="MIB1053" s="989"/>
      <c r="MIC1053" s="989"/>
      <c r="MID1053" s="989"/>
      <c r="MIE1053" s="989"/>
      <c r="MIF1053" s="989"/>
      <c r="MIG1053" s="989"/>
      <c r="MIH1053" s="989"/>
      <c r="MII1053" s="989"/>
      <c r="MIJ1053" s="989"/>
      <c r="MIK1053" s="989"/>
      <c r="MIL1053" s="989"/>
      <c r="MIM1053" s="989"/>
      <c r="MIN1053" s="989"/>
      <c r="MIO1053" s="989"/>
      <c r="MIP1053" s="989"/>
      <c r="MIQ1053" s="989"/>
      <c r="MIR1053" s="989"/>
      <c r="MIS1053" s="989"/>
      <c r="MIT1053" s="989"/>
      <c r="MIU1053" s="989"/>
      <c r="MIV1053" s="989"/>
      <c r="MIW1053" s="989"/>
      <c r="MIX1053" s="989"/>
      <c r="MIY1053" s="989"/>
      <c r="MIZ1053" s="989"/>
      <c r="MJA1053" s="989"/>
      <c r="MJB1053" s="989"/>
      <c r="MJC1053" s="989"/>
      <c r="MJD1053" s="989"/>
      <c r="MJE1053" s="989"/>
      <c r="MJF1053" s="989"/>
      <c r="MJG1053" s="989"/>
      <c r="MJH1053" s="989"/>
      <c r="MJI1053" s="989"/>
      <c r="MJJ1053" s="989"/>
      <c r="MJK1053" s="989"/>
      <c r="MJL1053" s="989"/>
      <c r="MJM1053" s="989"/>
      <c r="MJN1053" s="989"/>
      <c r="MJO1053" s="989"/>
      <c r="MJP1053" s="989"/>
      <c r="MJQ1053" s="989"/>
      <c r="MJR1053" s="989"/>
      <c r="MJS1053" s="989"/>
      <c r="MJT1053" s="989"/>
      <c r="MJU1053" s="989"/>
      <c r="MJV1053" s="989"/>
      <c r="MJW1053" s="989"/>
      <c r="MJX1053" s="989"/>
      <c r="MJY1053" s="989"/>
      <c r="MJZ1053" s="989"/>
      <c r="MKA1053" s="989"/>
      <c r="MKB1053" s="989"/>
      <c r="MKC1053" s="989"/>
      <c r="MKD1053" s="989"/>
      <c r="MKE1053" s="989"/>
      <c r="MKF1053" s="989"/>
      <c r="MKG1053" s="989"/>
      <c r="MKH1053" s="989"/>
      <c r="MKI1053" s="989"/>
      <c r="MKJ1053" s="989"/>
      <c r="MKK1053" s="989"/>
      <c r="MKL1053" s="989"/>
      <c r="MKM1053" s="989"/>
      <c r="MKN1053" s="989"/>
      <c r="MKO1053" s="989"/>
      <c r="MKP1053" s="989"/>
      <c r="MKQ1053" s="989"/>
      <c r="MKR1053" s="989"/>
      <c r="MKS1053" s="989"/>
      <c r="MKT1053" s="989"/>
      <c r="MKU1053" s="989"/>
      <c r="MKV1053" s="989"/>
      <c r="MKW1053" s="989"/>
      <c r="MKX1053" s="989"/>
      <c r="MKY1053" s="989"/>
      <c r="MKZ1053" s="989"/>
      <c r="MLA1053" s="989"/>
      <c r="MLB1053" s="989"/>
      <c r="MLC1053" s="989"/>
      <c r="MLD1053" s="989"/>
      <c r="MLE1053" s="989"/>
      <c r="MLF1053" s="989"/>
      <c r="MLG1053" s="989"/>
      <c r="MLH1053" s="989"/>
      <c r="MLI1053" s="989"/>
      <c r="MLJ1053" s="989"/>
      <c r="MLK1053" s="989"/>
      <c r="MLL1053" s="989"/>
      <c r="MLM1053" s="989"/>
      <c r="MLN1053" s="989"/>
      <c r="MLO1053" s="989"/>
      <c r="MLP1053" s="989"/>
      <c r="MLQ1053" s="989"/>
      <c r="MLR1053" s="989"/>
      <c r="MLS1053" s="989"/>
      <c r="MLT1053" s="989"/>
      <c r="MLU1053" s="989"/>
      <c r="MLV1053" s="989"/>
      <c r="MLW1053" s="989"/>
      <c r="MLX1053" s="989"/>
      <c r="MLY1053" s="989"/>
      <c r="MLZ1053" s="989"/>
      <c r="MMA1053" s="989"/>
      <c r="MMB1053" s="989"/>
      <c r="MMC1053" s="989"/>
      <c r="MMD1053" s="989"/>
      <c r="MME1053" s="989"/>
      <c r="MMF1053" s="989"/>
      <c r="MMG1053" s="989"/>
      <c r="MMH1053" s="989"/>
      <c r="MMI1053" s="989"/>
      <c r="MMJ1053" s="989"/>
      <c r="MMK1053" s="989"/>
      <c r="MML1053" s="989"/>
      <c r="MMM1053" s="989"/>
      <c r="MMN1053" s="989"/>
      <c r="MMO1053" s="989"/>
      <c r="MMP1053" s="989"/>
      <c r="MMQ1053" s="989"/>
      <c r="MMR1053" s="989"/>
      <c r="MMS1053" s="989"/>
      <c r="MMT1053" s="989"/>
      <c r="MMU1053" s="989"/>
      <c r="MMV1053" s="989"/>
      <c r="MMW1053" s="989"/>
      <c r="MMX1053" s="989"/>
      <c r="MMY1053" s="989"/>
      <c r="MMZ1053" s="989"/>
      <c r="MNA1053" s="989"/>
      <c r="MNB1053" s="989"/>
      <c r="MNC1053" s="989"/>
      <c r="MND1053" s="989"/>
      <c r="MNE1053" s="989"/>
      <c r="MNF1053" s="989"/>
      <c r="MNG1053" s="989"/>
      <c r="MNH1053" s="989"/>
      <c r="MNI1053" s="989"/>
      <c r="MNJ1053" s="989"/>
      <c r="MNK1053" s="989"/>
      <c r="MNL1053" s="989"/>
      <c r="MNM1053" s="989"/>
      <c r="MNN1053" s="989"/>
      <c r="MNO1053" s="989"/>
      <c r="MNP1053" s="989"/>
      <c r="MNQ1053" s="989"/>
      <c r="MNR1053" s="989"/>
      <c r="MNS1053" s="989"/>
      <c r="MNT1053" s="989"/>
      <c r="MNU1053" s="989"/>
      <c r="MNV1053" s="989"/>
      <c r="MNW1053" s="989"/>
      <c r="MNX1053" s="989"/>
      <c r="MNY1053" s="989"/>
      <c r="MNZ1053" s="989"/>
      <c r="MOA1053" s="989"/>
      <c r="MOB1053" s="989"/>
      <c r="MOC1053" s="989"/>
      <c r="MOD1053" s="989"/>
      <c r="MOE1053" s="989"/>
      <c r="MOF1053" s="989"/>
      <c r="MOG1053" s="989"/>
      <c r="MOH1053" s="989"/>
      <c r="MOI1053" s="989"/>
      <c r="MOJ1053" s="989"/>
      <c r="MOK1053" s="989"/>
      <c r="MOL1053" s="989"/>
      <c r="MOM1053" s="989"/>
      <c r="MON1053" s="989"/>
      <c r="MOO1053" s="989"/>
      <c r="MOP1053" s="989"/>
      <c r="MOQ1053" s="989"/>
      <c r="MOR1053" s="989"/>
      <c r="MOS1053" s="989"/>
      <c r="MOT1053" s="989"/>
      <c r="MOU1053" s="989"/>
      <c r="MOV1053" s="989"/>
      <c r="MOW1053" s="989"/>
      <c r="MOX1053" s="989"/>
      <c r="MOY1053" s="989"/>
      <c r="MOZ1053" s="989"/>
      <c r="MPA1053" s="989"/>
      <c r="MPB1053" s="989"/>
      <c r="MPC1053" s="989"/>
      <c r="MPD1053" s="989"/>
      <c r="MPE1053" s="989"/>
      <c r="MPF1053" s="989"/>
      <c r="MPG1053" s="989"/>
      <c r="MPH1053" s="989"/>
      <c r="MPI1053" s="989"/>
      <c r="MPJ1053" s="989"/>
      <c r="MPK1053" s="989"/>
      <c r="MPL1053" s="989"/>
      <c r="MPM1053" s="989"/>
      <c r="MPN1053" s="989"/>
      <c r="MPO1053" s="989"/>
      <c r="MPP1053" s="989"/>
      <c r="MPQ1053" s="989"/>
      <c r="MPR1053" s="989"/>
      <c r="MPS1053" s="989"/>
      <c r="MPT1053" s="989"/>
      <c r="MPU1053" s="989"/>
      <c r="MPV1053" s="989"/>
      <c r="MPW1053" s="989"/>
      <c r="MPX1053" s="989"/>
      <c r="MPY1053" s="989"/>
      <c r="MPZ1053" s="989"/>
      <c r="MQA1053" s="989"/>
      <c r="MQB1053" s="989"/>
      <c r="MQC1053" s="989"/>
      <c r="MQD1053" s="989"/>
      <c r="MQE1053" s="989"/>
      <c r="MQF1053" s="989"/>
      <c r="MQG1053" s="989"/>
      <c r="MQH1053" s="989"/>
      <c r="MQI1053" s="989"/>
      <c r="MQJ1053" s="989"/>
      <c r="MQK1053" s="989"/>
      <c r="MQL1053" s="989"/>
      <c r="MQM1053" s="989"/>
      <c r="MQN1053" s="989"/>
      <c r="MQO1053" s="989"/>
      <c r="MQP1053" s="989"/>
      <c r="MQQ1053" s="989"/>
      <c r="MQR1053" s="989"/>
      <c r="MQS1053" s="989"/>
      <c r="MQT1053" s="989"/>
      <c r="MQU1053" s="989"/>
      <c r="MQV1053" s="989"/>
      <c r="MQW1053" s="989"/>
      <c r="MQX1053" s="989"/>
      <c r="MQY1053" s="989"/>
      <c r="MQZ1053" s="989"/>
      <c r="MRA1053" s="989"/>
      <c r="MRB1053" s="989"/>
      <c r="MRC1053" s="989"/>
      <c r="MRD1053" s="989"/>
      <c r="MRE1053" s="989"/>
      <c r="MRF1053" s="989"/>
      <c r="MRG1053" s="989"/>
      <c r="MRH1053" s="989"/>
      <c r="MRI1053" s="989"/>
      <c r="MRJ1053" s="989"/>
      <c r="MRK1053" s="989"/>
      <c r="MRL1053" s="989"/>
      <c r="MRM1053" s="989"/>
      <c r="MRN1053" s="989"/>
      <c r="MRO1053" s="989"/>
      <c r="MRP1053" s="989"/>
      <c r="MRQ1053" s="989"/>
      <c r="MRR1053" s="989"/>
      <c r="MRS1053" s="989"/>
      <c r="MRT1053" s="989"/>
      <c r="MRU1053" s="989"/>
      <c r="MRV1053" s="989"/>
      <c r="MRW1053" s="989"/>
      <c r="MRX1053" s="989"/>
      <c r="MRY1053" s="989"/>
      <c r="MRZ1053" s="989"/>
      <c r="MSA1053" s="989"/>
      <c r="MSB1053" s="989"/>
      <c r="MSC1053" s="989"/>
      <c r="MSD1053" s="989"/>
      <c r="MSE1053" s="989"/>
      <c r="MSF1053" s="989"/>
      <c r="MSG1053" s="989"/>
      <c r="MSH1053" s="989"/>
      <c r="MSI1053" s="989"/>
      <c r="MSJ1053" s="989"/>
      <c r="MSK1053" s="989"/>
      <c r="MSL1053" s="989"/>
      <c r="MSM1053" s="989"/>
      <c r="MSN1053" s="989"/>
      <c r="MSO1053" s="989"/>
      <c r="MSP1053" s="989"/>
      <c r="MSQ1053" s="989"/>
      <c r="MSR1053" s="989"/>
      <c r="MSS1053" s="989"/>
      <c r="MST1053" s="989"/>
      <c r="MSU1053" s="989"/>
      <c r="MSV1053" s="989"/>
      <c r="MSW1053" s="989"/>
      <c r="MSX1053" s="989"/>
      <c r="MSY1053" s="989"/>
      <c r="MSZ1053" s="989"/>
      <c r="MTA1053" s="989"/>
      <c r="MTB1053" s="989"/>
      <c r="MTC1053" s="989"/>
      <c r="MTD1053" s="989"/>
      <c r="MTE1053" s="989"/>
      <c r="MTF1053" s="989"/>
      <c r="MTG1053" s="989"/>
      <c r="MTH1053" s="989"/>
      <c r="MTI1053" s="989"/>
      <c r="MTJ1053" s="989"/>
      <c r="MTK1053" s="989"/>
      <c r="MTL1053" s="989"/>
      <c r="MTM1053" s="989"/>
      <c r="MTN1053" s="989"/>
      <c r="MTO1053" s="989"/>
      <c r="MTP1053" s="989"/>
      <c r="MTQ1053" s="989"/>
      <c r="MTR1053" s="989"/>
      <c r="MTS1053" s="989"/>
      <c r="MTT1053" s="989"/>
      <c r="MTU1053" s="989"/>
      <c r="MTV1053" s="989"/>
      <c r="MTW1053" s="989"/>
      <c r="MTX1053" s="989"/>
      <c r="MTY1053" s="989"/>
      <c r="MTZ1053" s="989"/>
      <c r="MUA1053" s="989"/>
      <c r="MUB1053" s="989"/>
      <c r="MUC1053" s="989"/>
      <c r="MUD1053" s="989"/>
      <c r="MUE1053" s="989"/>
      <c r="MUF1053" s="989"/>
      <c r="MUG1053" s="989"/>
      <c r="MUH1053" s="989"/>
      <c r="MUI1053" s="989"/>
      <c r="MUJ1053" s="989"/>
      <c r="MUK1053" s="989"/>
      <c r="MUL1053" s="989"/>
      <c r="MUM1053" s="989"/>
      <c r="MUN1053" s="989"/>
      <c r="MUO1053" s="989"/>
      <c r="MUP1053" s="989"/>
      <c r="MUQ1053" s="989"/>
      <c r="MUR1053" s="989"/>
      <c r="MUS1053" s="989"/>
      <c r="MUT1053" s="989"/>
      <c r="MUU1053" s="989"/>
      <c r="MUV1053" s="989"/>
      <c r="MUW1053" s="989"/>
      <c r="MUX1053" s="989"/>
      <c r="MUY1053" s="989"/>
      <c r="MUZ1053" s="989"/>
      <c r="MVA1053" s="989"/>
      <c r="MVB1053" s="989"/>
      <c r="MVC1053" s="989"/>
      <c r="MVD1053" s="989"/>
      <c r="MVE1053" s="989"/>
      <c r="MVF1053" s="989"/>
      <c r="MVG1053" s="989"/>
      <c r="MVH1053" s="989"/>
      <c r="MVI1053" s="989"/>
      <c r="MVJ1053" s="989"/>
      <c r="MVK1053" s="989"/>
      <c r="MVL1053" s="989"/>
      <c r="MVM1053" s="989"/>
      <c r="MVN1053" s="989"/>
      <c r="MVO1053" s="989"/>
      <c r="MVP1053" s="989"/>
      <c r="MVQ1053" s="989"/>
      <c r="MVR1053" s="989"/>
      <c r="MVS1053" s="989"/>
      <c r="MVT1053" s="989"/>
      <c r="MVU1053" s="989"/>
      <c r="MVV1053" s="989"/>
      <c r="MVW1053" s="989"/>
      <c r="MVX1053" s="989"/>
      <c r="MVY1053" s="989"/>
      <c r="MVZ1053" s="989"/>
      <c r="MWA1053" s="989"/>
      <c r="MWB1053" s="989"/>
      <c r="MWC1053" s="989"/>
      <c r="MWD1053" s="989"/>
      <c r="MWE1053" s="989"/>
      <c r="MWF1053" s="989"/>
      <c r="MWG1053" s="989"/>
      <c r="MWH1053" s="989"/>
      <c r="MWI1053" s="989"/>
      <c r="MWJ1053" s="989"/>
      <c r="MWK1053" s="989"/>
      <c r="MWL1053" s="989"/>
      <c r="MWM1053" s="989"/>
      <c r="MWN1053" s="989"/>
      <c r="MWO1053" s="989"/>
      <c r="MWP1053" s="989"/>
      <c r="MWQ1053" s="989"/>
      <c r="MWR1053" s="989"/>
      <c r="MWS1053" s="989"/>
      <c r="MWT1053" s="989"/>
      <c r="MWU1053" s="989"/>
      <c r="MWV1053" s="989"/>
      <c r="MWW1053" s="989"/>
      <c r="MWX1053" s="989"/>
      <c r="MWY1053" s="989"/>
      <c r="MWZ1053" s="989"/>
      <c r="MXA1053" s="989"/>
      <c r="MXB1053" s="989"/>
      <c r="MXC1053" s="989"/>
      <c r="MXD1053" s="989"/>
      <c r="MXE1053" s="989"/>
      <c r="MXF1053" s="989"/>
      <c r="MXG1053" s="989"/>
      <c r="MXH1053" s="989"/>
      <c r="MXI1053" s="989"/>
      <c r="MXJ1053" s="989"/>
      <c r="MXK1053" s="989"/>
      <c r="MXL1053" s="989"/>
      <c r="MXM1053" s="989"/>
      <c r="MXN1053" s="989"/>
      <c r="MXO1053" s="989"/>
      <c r="MXP1053" s="989"/>
      <c r="MXQ1053" s="989"/>
      <c r="MXR1053" s="989"/>
      <c r="MXS1053" s="989"/>
      <c r="MXT1053" s="989"/>
      <c r="MXU1053" s="989"/>
      <c r="MXV1053" s="989"/>
      <c r="MXW1053" s="989"/>
      <c r="MXX1053" s="989"/>
      <c r="MXY1053" s="989"/>
      <c r="MXZ1053" s="989"/>
      <c r="MYA1053" s="989"/>
      <c r="MYB1053" s="989"/>
      <c r="MYC1053" s="989"/>
      <c r="MYD1053" s="989"/>
      <c r="MYE1053" s="989"/>
      <c r="MYF1053" s="989"/>
      <c r="MYG1053" s="989"/>
      <c r="MYH1053" s="989"/>
      <c r="MYI1053" s="989"/>
      <c r="MYJ1053" s="989"/>
      <c r="MYK1053" s="989"/>
      <c r="MYL1053" s="989"/>
      <c r="MYM1053" s="989"/>
      <c r="MYN1053" s="989"/>
      <c r="MYO1053" s="989"/>
      <c r="MYP1053" s="989"/>
      <c r="MYQ1053" s="989"/>
      <c r="MYR1053" s="989"/>
      <c r="MYS1053" s="989"/>
      <c r="MYT1053" s="989"/>
      <c r="MYU1053" s="989"/>
      <c r="MYV1053" s="989"/>
      <c r="MYW1053" s="989"/>
      <c r="MYX1053" s="989"/>
      <c r="MYY1053" s="989"/>
      <c r="MYZ1053" s="989"/>
      <c r="MZA1053" s="989"/>
      <c r="MZB1053" s="989"/>
      <c r="MZC1053" s="989"/>
      <c r="MZD1053" s="989"/>
      <c r="MZE1053" s="989"/>
      <c r="MZF1053" s="989"/>
      <c r="MZG1053" s="989"/>
      <c r="MZH1053" s="989"/>
      <c r="MZI1053" s="989"/>
      <c r="MZJ1053" s="989"/>
      <c r="MZK1053" s="989"/>
      <c r="MZL1053" s="989"/>
      <c r="MZM1053" s="989"/>
      <c r="MZN1053" s="989"/>
      <c r="MZO1053" s="989"/>
      <c r="MZP1053" s="989"/>
      <c r="MZQ1053" s="989"/>
      <c r="MZR1053" s="989"/>
      <c r="MZS1053" s="989"/>
      <c r="MZT1053" s="989"/>
      <c r="MZU1053" s="989"/>
      <c r="MZV1053" s="989"/>
      <c r="MZW1053" s="989"/>
      <c r="MZX1053" s="989"/>
      <c r="MZY1053" s="989"/>
      <c r="MZZ1053" s="989"/>
      <c r="NAA1053" s="989"/>
      <c r="NAB1053" s="989"/>
      <c r="NAC1053" s="989"/>
      <c r="NAD1053" s="989"/>
      <c r="NAE1053" s="989"/>
      <c r="NAF1053" s="989"/>
      <c r="NAG1053" s="989"/>
      <c r="NAH1053" s="989"/>
      <c r="NAI1053" s="989"/>
      <c r="NAJ1053" s="989"/>
      <c r="NAK1053" s="989"/>
      <c r="NAL1053" s="989"/>
      <c r="NAM1053" s="989"/>
      <c r="NAN1053" s="989"/>
      <c r="NAO1053" s="989"/>
      <c r="NAP1053" s="989"/>
      <c r="NAQ1053" s="989"/>
      <c r="NAR1053" s="989"/>
      <c r="NAS1053" s="989"/>
      <c r="NAT1053" s="989"/>
      <c r="NAU1053" s="989"/>
      <c r="NAV1053" s="989"/>
      <c r="NAW1053" s="989"/>
      <c r="NAX1053" s="989"/>
      <c r="NAY1053" s="989"/>
      <c r="NAZ1053" s="989"/>
      <c r="NBA1053" s="989"/>
      <c r="NBB1053" s="989"/>
      <c r="NBC1053" s="989"/>
      <c r="NBD1053" s="989"/>
      <c r="NBE1053" s="989"/>
      <c r="NBF1053" s="989"/>
      <c r="NBG1053" s="989"/>
      <c r="NBH1053" s="989"/>
      <c r="NBI1053" s="989"/>
      <c r="NBJ1053" s="989"/>
      <c r="NBK1053" s="989"/>
      <c r="NBL1053" s="989"/>
      <c r="NBM1053" s="989"/>
      <c r="NBN1053" s="989"/>
      <c r="NBO1053" s="989"/>
      <c r="NBP1053" s="989"/>
      <c r="NBQ1053" s="989"/>
      <c r="NBR1053" s="989"/>
      <c r="NBS1053" s="989"/>
      <c r="NBT1053" s="989"/>
      <c r="NBU1053" s="989"/>
      <c r="NBV1053" s="989"/>
      <c r="NBW1053" s="989"/>
      <c r="NBX1053" s="989"/>
      <c r="NBY1053" s="989"/>
      <c r="NBZ1053" s="989"/>
      <c r="NCA1053" s="989"/>
      <c r="NCB1053" s="989"/>
      <c r="NCC1053" s="989"/>
      <c r="NCD1053" s="989"/>
      <c r="NCE1053" s="989"/>
      <c r="NCF1053" s="989"/>
      <c r="NCG1053" s="989"/>
      <c r="NCH1053" s="989"/>
      <c r="NCI1053" s="989"/>
      <c r="NCJ1053" s="989"/>
      <c r="NCK1053" s="989"/>
      <c r="NCL1053" s="989"/>
      <c r="NCM1053" s="989"/>
      <c r="NCN1053" s="989"/>
      <c r="NCO1053" s="989"/>
      <c r="NCP1053" s="989"/>
      <c r="NCQ1053" s="989"/>
      <c r="NCR1053" s="989"/>
      <c r="NCS1053" s="989"/>
      <c r="NCT1053" s="989"/>
      <c r="NCU1053" s="989"/>
      <c r="NCV1053" s="989"/>
      <c r="NCW1053" s="989"/>
      <c r="NCX1053" s="989"/>
      <c r="NCY1053" s="989"/>
      <c r="NCZ1053" s="989"/>
      <c r="NDA1053" s="989"/>
      <c r="NDB1053" s="989"/>
      <c r="NDC1053" s="989"/>
      <c r="NDD1053" s="989"/>
      <c r="NDE1053" s="989"/>
      <c r="NDF1053" s="989"/>
      <c r="NDG1053" s="989"/>
      <c r="NDH1053" s="989"/>
      <c r="NDI1053" s="989"/>
      <c r="NDJ1053" s="989"/>
      <c r="NDK1053" s="989"/>
      <c r="NDL1053" s="989"/>
      <c r="NDM1053" s="989"/>
      <c r="NDN1053" s="989"/>
      <c r="NDO1053" s="989"/>
      <c r="NDP1053" s="989"/>
      <c r="NDQ1053" s="989"/>
      <c r="NDR1053" s="989"/>
      <c r="NDS1053" s="989"/>
      <c r="NDT1053" s="989"/>
      <c r="NDU1053" s="989"/>
      <c r="NDV1053" s="989"/>
      <c r="NDW1053" s="989"/>
      <c r="NDX1053" s="989"/>
      <c r="NDY1053" s="989"/>
      <c r="NDZ1053" s="989"/>
      <c r="NEA1053" s="989"/>
      <c r="NEB1053" s="989"/>
      <c r="NEC1053" s="989"/>
      <c r="NED1053" s="989"/>
      <c r="NEE1053" s="989"/>
      <c r="NEF1053" s="989"/>
      <c r="NEG1053" s="989"/>
      <c r="NEH1053" s="989"/>
      <c r="NEI1053" s="989"/>
      <c r="NEJ1053" s="989"/>
      <c r="NEK1053" s="989"/>
      <c r="NEL1053" s="989"/>
      <c r="NEM1053" s="989"/>
      <c r="NEN1053" s="989"/>
      <c r="NEO1053" s="989"/>
      <c r="NEP1053" s="989"/>
      <c r="NEQ1053" s="989"/>
      <c r="NER1053" s="989"/>
      <c r="NES1053" s="989"/>
      <c r="NET1053" s="989"/>
      <c r="NEU1053" s="989"/>
      <c r="NEV1053" s="989"/>
      <c r="NEW1053" s="989"/>
      <c r="NEX1053" s="989"/>
      <c r="NEY1053" s="989"/>
      <c r="NEZ1053" s="989"/>
      <c r="NFA1053" s="989"/>
      <c r="NFB1053" s="989"/>
      <c r="NFC1053" s="989"/>
      <c r="NFD1053" s="989"/>
      <c r="NFE1053" s="989"/>
      <c r="NFF1053" s="989"/>
      <c r="NFG1053" s="989"/>
      <c r="NFH1053" s="989"/>
      <c r="NFI1053" s="989"/>
      <c r="NFJ1053" s="989"/>
      <c r="NFK1053" s="989"/>
      <c r="NFL1053" s="989"/>
      <c r="NFM1053" s="989"/>
      <c r="NFN1053" s="989"/>
      <c r="NFO1053" s="989"/>
      <c r="NFP1053" s="989"/>
      <c r="NFQ1053" s="989"/>
      <c r="NFR1053" s="989"/>
      <c r="NFS1053" s="989"/>
      <c r="NFT1053" s="989"/>
      <c r="NFU1053" s="989"/>
      <c r="NFV1053" s="989"/>
      <c r="NFW1053" s="989"/>
      <c r="NFX1053" s="989"/>
      <c r="NFY1053" s="989"/>
      <c r="NFZ1053" s="989"/>
      <c r="NGA1053" s="989"/>
      <c r="NGB1053" s="989"/>
      <c r="NGC1053" s="989"/>
      <c r="NGD1053" s="989"/>
      <c r="NGE1053" s="989"/>
      <c r="NGF1053" s="989"/>
      <c r="NGG1053" s="989"/>
      <c r="NGH1053" s="989"/>
      <c r="NGI1053" s="989"/>
      <c r="NGJ1053" s="989"/>
      <c r="NGK1053" s="989"/>
      <c r="NGL1053" s="989"/>
      <c r="NGM1053" s="989"/>
      <c r="NGN1053" s="989"/>
      <c r="NGO1053" s="989"/>
      <c r="NGP1053" s="989"/>
      <c r="NGQ1053" s="989"/>
      <c r="NGR1053" s="989"/>
      <c r="NGS1053" s="989"/>
      <c r="NGT1053" s="989"/>
      <c r="NGU1053" s="989"/>
      <c r="NGV1053" s="989"/>
      <c r="NGW1053" s="989"/>
      <c r="NGX1053" s="989"/>
      <c r="NGY1053" s="989"/>
      <c r="NGZ1053" s="989"/>
      <c r="NHA1053" s="989"/>
      <c r="NHB1053" s="989"/>
      <c r="NHC1053" s="989"/>
      <c r="NHD1053" s="989"/>
      <c r="NHE1053" s="989"/>
      <c r="NHF1053" s="989"/>
      <c r="NHG1053" s="989"/>
      <c r="NHH1053" s="989"/>
      <c r="NHI1053" s="989"/>
      <c r="NHJ1053" s="989"/>
      <c r="NHK1053" s="989"/>
      <c r="NHL1053" s="989"/>
      <c r="NHM1053" s="989"/>
      <c r="NHN1053" s="989"/>
      <c r="NHO1053" s="989"/>
      <c r="NHP1053" s="989"/>
      <c r="NHQ1053" s="989"/>
      <c r="NHR1053" s="989"/>
      <c r="NHS1053" s="989"/>
      <c r="NHT1053" s="989"/>
      <c r="NHU1053" s="989"/>
      <c r="NHV1053" s="989"/>
      <c r="NHW1053" s="989"/>
      <c r="NHX1053" s="989"/>
      <c r="NHY1053" s="989"/>
      <c r="NHZ1053" s="989"/>
      <c r="NIA1053" s="989"/>
      <c r="NIB1053" s="989"/>
      <c r="NIC1053" s="989"/>
      <c r="NID1053" s="989"/>
      <c r="NIE1053" s="989"/>
      <c r="NIF1053" s="989"/>
      <c r="NIG1053" s="989"/>
      <c r="NIH1053" s="989"/>
      <c r="NII1053" s="989"/>
      <c r="NIJ1053" s="989"/>
      <c r="NIK1053" s="989"/>
      <c r="NIL1053" s="989"/>
      <c r="NIM1053" s="989"/>
      <c r="NIN1053" s="989"/>
      <c r="NIO1053" s="989"/>
      <c r="NIP1053" s="989"/>
      <c r="NIQ1053" s="989"/>
      <c r="NIR1053" s="989"/>
      <c r="NIS1053" s="989"/>
      <c r="NIT1053" s="989"/>
      <c r="NIU1053" s="989"/>
      <c r="NIV1053" s="989"/>
      <c r="NIW1053" s="989"/>
      <c r="NIX1053" s="989"/>
      <c r="NIY1053" s="989"/>
      <c r="NIZ1053" s="989"/>
      <c r="NJA1053" s="989"/>
      <c r="NJB1053" s="989"/>
      <c r="NJC1053" s="989"/>
      <c r="NJD1053" s="989"/>
      <c r="NJE1053" s="989"/>
      <c r="NJF1053" s="989"/>
      <c r="NJG1053" s="989"/>
      <c r="NJH1053" s="989"/>
      <c r="NJI1053" s="989"/>
      <c r="NJJ1053" s="989"/>
      <c r="NJK1053" s="989"/>
      <c r="NJL1053" s="989"/>
      <c r="NJM1053" s="989"/>
      <c r="NJN1053" s="989"/>
      <c r="NJO1053" s="989"/>
      <c r="NJP1053" s="989"/>
      <c r="NJQ1053" s="989"/>
      <c r="NJR1053" s="989"/>
      <c r="NJS1053" s="989"/>
      <c r="NJT1053" s="989"/>
      <c r="NJU1053" s="989"/>
      <c r="NJV1053" s="989"/>
      <c r="NJW1053" s="989"/>
      <c r="NJX1053" s="989"/>
      <c r="NJY1053" s="989"/>
      <c r="NJZ1053" s="989"/>
      <c r="NKA1053" s="989"/>
      <c r="NKB1053" s="989"/>
      <c r="NKC1053" s="989"/>
      <c r="NKD1053" s="989"/>
      <c r="NKE1053" s="989"/>
      <c r="NKF1053" s="989"/>
      <c r="NKG1053" s="989"/>
      <c r="NKH1053" s="989"/>
      <c r="NKI1053" s="989"/>
      <c r="NKJ1053" s="989"/>
      <c r="NKK1053" s="989"/>
      <c r="NKL1053" s="989"/>
      <c r="NKM1053" s="989"/>
      <c r="NKN1053" s="989"/>
      <c r="NKO1053" s="989"/>
      <c r="NKP1053" s="989"/>
      <c r="NKQ1053" s="989"/>
      <c r="NKR1053" s="989"/>
      <c r="NKS1053" s="989"/>
      <c r="NKT1053" s="989"/>
      <c r="NKU1053" s="989"/>
      <c r="NKV1053" s="989"/>
      <c r="NKW1053" s="989"/>
      <c r="NKX1053" s="989"/>
      <c r="NKY1053" s="989"/>
      <c r="NKZ1053" s="989"/>
      <c r="NLA1053" s="989"/>
      <c r="NLB1053" s="989"/>
      <c r="NLC1053" s="989"/>
      <c r="NLD1053" s="989"/>
      <c r="NLE1053" s="989"/>
      <c r="NLF1053" s="989"/>
      <c r="NLG1053" s="989"/>
      <c r="NLH1053" s="989"/>
      <c r="NLI1053" s="989"/>
      <c r="NLJ1053" s="989"/>
      <c r="NLK1053" s="989"/>
      <c r="NLL1053" s="989"/>
      <c r="NLM1053" s="989"/>
      <c r="NLN1053" s="989"/>
      <c r="NLO1053" s="989"/>
      <c r="NLP1053" s="989"/>
      <c r="NLQ1053" s="989"/>
      <c r="NLR1053" s="989"/>
      <c r="NLS1053" s="989"/>
      <c r="NLT1053" s="989"/>
      <c r="NLU1053" s="989"/>
      <c r="NLV1053" s="989"/>
      <c r="NLW1053" s="989"/>
      <c r="NLX1053" s="989"/>
      <c r="NLY1053" s="989"/>
      <c r="NLZ1053" s="989"/>
      <c r="NMA1053" s="989"/>
      <c r="NMB1053" s="989"/>
      <c r="NMC1053" s="989"/>
      <c r="NMD1053" s="989"/>
      <c r="NME1053" s="989"/>
      <c r="NMF1053" s="989"/>
      <c r="NMG1053" s="989"/>
      <c r="NMH1053" s="989"/>
      <c r="NMI1053" s="989"/>
      <c r="NMJ1053" s="989"/>
      <c r="NMK1053" s="989"/>
      <c r="NML1053" s="989"/>
      <c r="NMM1053" s="989"/>
      <c r="NMN1053" s="989"/>
      <c r="NMO1053" s="989"/>
      <c r="NMP1053" s="989"/>
      <c r="NMQ1053" s="989"/>
      <c r="NMR1053" s="989"/>
      <c r="NMS1053" s="989"/>
      <c r="NMT1053" s="989"/>
      <c r="NMU1053" s="989"/>
      <c r="NMV1053" s="989"/>
      <c r="NMW1053" s="989"/>
      <c r="NMX1053" s="989"/>
      <c r="NMY1053" s="989"/>
      <c r="NMZ1053" s="989"/>
      <c r="NNA1053" s="989"/>
      <c r="NNB1053" s="989"/>
      <c r="NNC1053" s="989"/>
      <c r="NND1053" s="989"/>
      <c r="NNE1053" s="989"/>
      <c r="NNF1053" s="989"/>
      <c r="NNG1053" s="989"/>
      <c r="NNH1053" s="989"/>
      <c r="NNI1053" s="989"/>
      <c r="NNJ1053" s="989"/>
      <c r="NNK1053" s="989"/>
      <c r="NNL1053" s="989"/>
      <c r="NNM1053" s="989"/>
      <c r="NNN1053" s="989"/>
      <c r="NNO1053" s="989"/>
      <c r="NNP1053" s="989"/>
      <c r="NNQ1053" s="989"/>
      <c r="NNR1053" s="989"/>
      <c r="NNS1053" s="989"/>
      <c r="NNT1053" s="989"/>
      <c r="NNU1053" s="989"/>
      <c r="NNV1053" s="989"/>
      <c r="NNW1053" s="989"/>
      <c r="NNX1053" s="989"/>
      <c r="NNY1053" s="989"/>
      <c r="NNZ1053" s="989"/>
      <c r="NOA1053" s="989"/>
      <c r="NOB1053" s="989"/>
      <c r="NOC1053" s="989"/>
      <c r="NOD1053" s="989"/>
      <c r="NOE1053" s="989"/>
      <c r="NOF1053" s="989"/>
      <c r="NOG1053" s="989"/>
      <c r="NOH1053" s="989"/>
      <c r="NOI1053" s="989"/>
      <c r="NOJ1053" s="989"/>
      <c r="NOK1053" s="989"/>
      <c r="NOL1053" s="989"/>
      <c r="NOM1053" s="989"/>
      <c r="NON1053" s="989"/>
      <c r="NOO1053" s="989"/>
      <c r="NOP1053" s="989"/>
      <c r="NOQ1053" s="989"/>
      <c r="NOR1053" s="989"/>
      <c r="NOS1053" s="989"/>
      <c r="NOT1053" s="989"/>
      <c r="NOU1053" s="989"/>
      <c r="NOV1053" s="989"/>
      <c r="NOW1053" s="989"/>
      <c r="NOX1053" s="989"/>
      <c r="NOY1053" s="989"/>
      <c r="NOZ1053" s="989"/>
      <c r="NPA1053" s="989"/>
      <c r="NPB1053" s="989"/>
      <c r="NPC1053" s="989"/>
      <c r="NPD1053" s="989"/>
      <c r="NPE1053" s="989"/>
      <c r="NPF1053" s="989"/>
      <c r="NPG1053" s="989"/>
      <c r="NPH1053" s="989"/>
      <c r="NPI1053" s="989"/>
      <c r="NPJ1053" s="989"/>
      <c r="NPK1053" s="989"/>
      <c r="NPL1053" s="989"/>
      <c r="NPM1053" s="989"/>
      <c r="NPN1053" s="989"/>
      <c r="NPO1053" s="989"/>
      <c r="NPP1053" s="989"/>
      <c r="NPQ1053" s="989"/>
      <c r="NPR1053" s="989"/>
      <c r="NPS1053" s="989"/>
      <c r="NPT1053" s="989"/>
      <c r="NPU1053" s="989"/>
      <c r="NPV1053" s="989"/>
      <c r="NPW1053" s="989"/>
      <c r="NPX1053" s="989"/>
      <c r="NPY1053" s="989"/>
      <c r="NPZ1053" s="989"/>
      <c r="NQA1053" s="989"/>
      <c r="NQB1053" s="989"/>
      <c r="NQC1053" s="989"/>
      <c r="NQD1053" s="989"/>
      <c r="NQE1053" s="989"/>
      <c r="NQF1053" s="989"/>
      <c r="NQG1053" s="989"/>
      <c r="NQH1053" s="989"/>
      <c r="NQI1053" s="989"/>
      <c r="NQJ1053" s="989"/>
      <c r="NQK1053" s="989"/>
      <c r="NQL1053" s="989"/>
      <c r="NQM1053" s="989"/>
      <c r="NQN1053" s="989"/>
      <c r="NQO1053" s="989"/>
      <c r="NQP1053" s="989"/>
      <c r="NQQ1053" s="989"/>
      <c r="NQR1053" s="989"/>
      <c r="NQS1053" s="989"/>
      <c r="NQT1053" s="989"/>
      <c r="NQU1053" s="989"/>
      <c r="NQV1053" s="989"/>
      <c r="NQW1053" s="989"/>
      <c r="NQX1053" s="989"/>
      <c r="NQY1053" s="989"/>
      <c r="NQZ1053" s="989"/>
      <c r="NRA1053" s="989"/>
      <c r="NRB1053" s="989"/>
      <c r="NRC1053" s="989"/>
      <c r="NRD1053" s="989"/>
      <c r="NRE1053" s="989"/>
      <c r="NRF1053" s="989"/>
      <c r="NRG1053" s="989"/>
      <c r="NRH1053" s="989"/>
      <c r="NRI1053" s="989"/>
      <c r="NRJ1053" s="989"/>
      <c r="NRK1053" s="989"/>
      <c r="NRL1053" s="989"/>
      <c r="NRM1053" s="989"/>
      <c r="NRN1053" s="989"/>
      <c r="NRO1053" s="989"/>
      <c r="NRP1053" s="989"/>
      <c r="NRQ1053" s="989"/>
      <c r="NRR1053" s="989"/>
      <c r="NRS1053" s="989"/>
      <c r="NRT1053" s="989"/>
      <c r="NRU1053" s="989"/>
      <c r="NRV1053" s="989"/>
      <c r="NRW1053" s="989"/>
      <c r="NRX1053" s="989"/>
      <c r="NRY1053" s="989"/>
      <c r="NRZ1053" s="989"/>
      <c r="NSA1053" s="989"/>
      <c r="NSB1053" s="989"/>
      <c r="NSC1053" s="989"/>
      <c r="NSD1053" s="989"/>
      <c r="NSE1053" s="989"/>
      <c r="NSF1053" s="989"/>
      <c r="NSG1053" s="989"/>
      <c r="NSH1053" s="989"/>
      <c r="NSI1053" s="989"/>
      <c r="NSJ1053" s="989"/>
      <c r="NSK1053" s="989"/>
      <c r="NSL1053" s="989"/>
      <c r="NSM1053" s="989"/>
      <c r="NSN1053" s="989"/>
      <c r="NSO1053" s="989"/>
      <c r="NSP1053" s="989"/>
      <c r="NSQ1053" s="989"/>
      <c r="NSR1053" s="989"/>
      <c r="NSS1053" s="989"/>
      <c r="NST1053" s="989"/>
      <c r="NSU1053" s="989"/>
      <c r="NSV1053" s="989"/>
      <c r="NSW1053" s="989"/>
      <c r="NSX1053" s="989"/>
      <c r="NSY1053" s="989"/>
      <c r="NSZ1053" s="989"/>
      <c r="NTA1053" s="989"/>
      <c r="NTB1053" s="989"/>
      <c r="NTC1053" s="989"/>
      <c r="NTD1053" s="989"/>
      <c r="NTE1053" s="989"/>
      <c r="NTF1053" s="989"/>
      <c r="NTG1053" s="989"/>
      <c r="NTH1053" s="989"/>
      <c r="NTI1053" s="989"/>
      <c r="NTJ1053" s="989"/>
      <c r="NTK1053" s="989"/>
      <c r="NTL1053" s="989"/>
      <c r="NTM1053" s="989"/>
      <c r="NTN1053" s="989"/>
      <c r="NTO1053" s="989"/>
      <c r="NTP1053" s="989"/>
      <c r="NTQ1053" s="989"/>
      <c r="NTR1053" s="989"/>
      <c r="NTS1053" s="989"/>
      <c r="NTT1053" s="989"/>
      <c r="NTU1053" s="989"/>
      <c r="NTV1053" s="989"/>
      <c r="NTW1053" s="989"/>
      <c r="NTX1053" s="989"/>
      <c r="NTY1053" s="989"/>
      <c r="NTZ1053" s="989"/>
      <c r="NUA1053" s="989"/>
      <c r="NUB1053" s="989"/>
      <c r="NUC1053" s="989"/>
      <c r="NUD1053" s="989"/>
      <c r="NUE1053" s="989"/>
      <c r="NUF1053" s="989"/>
      <c r="NUG1053" s="989"/>
      <c r="NUH1053" s="989"/>
      <c r="NUI1053" s="989"/>
      <c r="NUJ1053" s="989"/>
      <c r="NUK1053" s="989"/>
      <c r="NUL1053" s="989"/>
      <c r="NUM1053" s="989"/>
      <c r="NUN1053" s="989"/>
      <c r="NUO1053" s="989"/>
      <c r="NUP1053" s="989"/>
      <c r="NUQ1053" s="989"/>
      <c r="NUR1053" s="989"/>
      <c r="NUS1053" s="989"/>
      <c r="NUT1053" s="989"/>
      <c r="NUU1053" s="989"/>
      <c r="NUV1053" s="989"/>
      <c r="NUW1053" s="989"/>
      <c r="NUX1053" s="989"/>
      <c r="NUY1053" s="989"/>
      <c r="NUZ1053" s="989"/>
      <c r="NVA1053" s="989"/>
      <c r="NVB1053" s="989"/>
      <c r="NVC1053" s="989"/>
      <c r="NVD1053" s="989"/>
      <c r="NVE1053" s="989"/>
      <c r="NVF1053" s="989"/>
      <c r="NVG1053" s="989"/>
      <c r="NVH1053" s="989"/>
      <c r="NVI1053" s="989"/>
      <c r="NVJ1053" s="989"/>
      <c r="NVK1053" s="989"/>
      <c r="NVL1053" s="989"/>
      <c r="NVM1053" s="989"/>
      <c r="NVN1053" s="989"/>
      <c r="NVO1053" s="989"/>
      <c r="NVP1053" s="989"/>
      <c r="NVQ1053" s="989"/>
      <c r="NVR1053" s="989"/>
      <c r="NVS1053" s="989"/>
      <c r="NVT1053" s="989"/>
      <c r="NVU1053" s="989"/>
      <c r="NVV1053" s="989"/>
      <c r="NVW1053" s="989"/>
      <c r="NVX1053" s="989"/>
      <c r="NVY1053" s="989"/>
      <c r="NVZ1053" s="989"/>
      <c r="NWA1053" s="989"/>
      <c r="NWB1053" s="989"/>
      <c r="NWC1053" s="989"/>
      <c r="NWD1053" s="989"/>
      <c r="NWE1053" s="989"/>
      <c r="NWF1053" s="989"/>
      <c r="NWG1053" s="989"/>
      <c r="NWH1053" s="989"/>
      <c r="NWI1053" s="989"/>
      <c r="NWJ1053" s="989"/>
      <c r="NWK1053" s="989"/>
      <c r="NWL1053" s="989"/>
      <c r="NWM1053" s="989"/>
      <c r="NWN1053" s="989"/>
      <c r="NWO1053" s="989"/>
      <c r="NWP1053" s="989"/>
      <c r="NWQ1053" s="989"/>
      <c r="NWR1053" s="989"/>
      <c r="NWS1053" s="989"/>
      <c r="NWT1053" s="989"/>
      <c r="NWU1053" s="989"/>
      <c r="NWV1053" s="989"/>
      <c r="NWW1053" s="989"/>
      <c r="NWX1053" s="989"/>
      <c r="NWY1053" s="989"/>
      <c r="NWZ1053" s="989"/>
      <c r="NXA1053" s="989"/>
      <c r="NXB1053" s="989"/>
      <c r="NXC1053" s="989"/>
      <c r="NXD1053" s="989"/>
      <c r="NXE1053" s="989"/>
      <c r="NXF1053" s="989"/>
      <c r="NXG1053" s="989"/>
      <c r="NXH1053" s="989"/>
      <c r="NXI1053" s="989"/>
      <c r="NXJ1053" s="989"/>
      <c r="NXK1053" s="989"/>
      <c r="NXL1053" s="989"/>
      <c r="NXM1053" s="989"/>
      <c r="NXN1053" s="989"/>
      <c r="NXO1053" s="989"/>
      <c r="NXP1053" s="989"/>
      <c r="NXQ1053" s="989"/>
      <c r="NXR1053" s="989"/>
      <c r="NXS1053" s="989"/>
      <c r="NXT1053" s="989"/>
      <c r="NXU1053" s="989"/>
      <c r="NXV1053" s="989"/>
      <c r="NXW1053" s="989"/>
      <c r="NXX1053" s="989"/>
      <c r="NXY1053" s="989"/>
      <c r="NXZ1053" s="989"/>
      <c r="NYA1053" s="989"/>
      <c r="NYB1053" s="989"/>
      <c r="NYC1053" s="989"/>
      <c r="NYD1053" s="989"/>
      <c r="NYE1053" s="989"/>
      <c r="NYF1053" s="989"/>
      <c r="NYG1053" s="989"/>
      <c r="NYH1053" s="989"/>
      <c r="NYI1053" s="989"/>
      <c r="NYJ1053" s="989"/>
      <c r="NYK1053" s="989"/>
      <c r="NYL1053" s="989"/>
      <c r="NYM1053" s="989"/>
      <c r="NYN1053" s="989"/>
      <c r="NYO1053" s="989"/>
      <c r="NYP1053" s="989"/>
      <c r="NYQ1053" s="989"/>
      <c r="NYR1053" s="989"/>
      <c r="NYS1053" s="989"/>
      <c r="NYT1053" s="989"/>
      <c r="NYU1053" s="989"/>
      <c r="NYV1053" s="989"/>
      <c r="NYW1053" s="989"/>
      <c r="NYX1053" s="989"/>
      <c r="NYY1053" s="989"/>
      <c r="NYZ1053" s="989"/>
      <c r="NZA1053" s="989"/>
      <c r="NZB1053" s="989"/>
      <c r="NZC1053" s="989"/>
      <c r="NZD1053" s="989"/>
      <c r="NZE1053" s="989"/>
      <c r="NZF1053" s="989"/>
      <c r="NZG1053" s="989"/>
      <c r="NZH1053" s="989"/>
      <c r="NZI1053" s="989"/>
      <c r="NZJ1053" s="989"/>
      <c r="NZK1053" s="989"/>
      <c r="NZL1053" s="989"/>
      <c r="NZM1053" s="989"/>
      <c r="NZN1053" s="989"/>
      <c r="NZO1053" s="989"/>
      <c r="NZP1053" s="989"/>
      <c r="NZQ1053" s="989"/>
      <c r="NZR1053" s="989"/>
      <c r="NZS1053" s="989"/>
      <c r="NZT1053" s="989"/>
      <c r="NZU1053" s="989"/>
      <c r="NZV1053" s="989"/>
      <c r="NZW1053" s="989"/>
      <c r="NZX1053" s="989"/>
      <c r="NZY1053" s="989"/>
      <c r="NZZ1053" s="989"/>
      <c r="OAA1053" s="989"/>
      <c r="OAB1053" s="989"/>
      <c r="OAC1053" s="989"/>
      <c r="OAD1053" s="989"/>
      <c r="OAE1053" s="989"/>
      <c r="OAF1053" s="989"/>
      <c r="OAG1053" s="989"/>
      <c r="OAH1053" s="989"/>
      <c r="OAI1053" s="989"/>
      <c r="OAJ1053" s="989"/>
      <c r="OAK1053" s="989"/>
      <c r="OAL1053" s="989"/>
      <c r="OAM1053" s="989"/>
      <c r="OAN1053" s="989"/>
      <c r="OAO1053" s="989"/>
      <c r="OAP1053" s="989"/>
      <c r="OAQ1053" s="989"/>
      <c r="OAR1053" s="989"/>
      <c r="OAS1053" s="989"/>
      <c r="OAT1053" s="989"/>
      <c r="OAU1053" s="989"/>
      <c r="OAV1053" s="989"/>
      <c r="OAW1053" s="989"/>
      <c r="OAX1053" s="989"/>
      <c r="OAY1053" s="989"/>
      <c r="OAZ1053" s="989"/>
      <c r="OBA1053" s="989"/>
      <c r="OBB1053" s="989"/>
      <c r="OBC1053" s="989"/>
      <c r="OBD1053" s="989"/>
      <c r="OBE1053" s="989"/>
      <c r="OBF1053" s="989"/>
      <c r="OBG1053" s="989"/>
      <c r="OBH1053" s="989"/>
      <c r="OBI1053" s="989"/>
      <c r="OBJ1053" s="989"/>
      <c r="OBK1053" s="989"/>
      <c r="OBL1053" s="989"/>
      <c r="OBM1053" s="989"/>
      <c r="OBN1053" s="989"/>
      <c r="OBO1053" s="989"/>
      <c r="OBP1053" s="989"/>
      <c r="OBQ1053" s="989"/>
      <c r="OBR1053" s="989"/>
      <c r="OBS1053" s="989"/>
      <c r="OBT1053" s="989"/>
      <c r="OBU1053" s="989"/>
      <c r="OBV1053" s="989"/>
      <c r="OBW1053" s="989"/>
      <c r="OBX1053" s="989"/>
      <c r="OBY1053" s="989"/>
      <c r="OBZ1053" s="989"/>
      <c r="OCA1053" s="989"/>
      <c r="OCB1053" s="989"/>
      <c r="OCC1053" s="989"/>
      <c r="OCD1053" s="989"/>
      <c r="OCE1053" s="989"/>
      <c r="OCF1053" s="989"/>
      <c r="OCG1053" s="989"/>
      <c r="OCH1053" s="989"/>
      <c r="OCI1053" s="989"/>
      <c r="OCJ1053" s="989"/>
      <c r="OCK1053" s="989"/>
      <c r="OCL1053" s="989"/>
      <c r="OCM1053" s="989"/>
      <c r="OCN1053" s="989"/>
      <c r="OCO1053" s="989"/>
      <c r="OCP1053" s="989"/>
      <c r="OCQ1053" s="989"/>
      <c r="OCR1053" s="989"/>
      <c r="OCS1053" s="989"/>
      <c r="OCT1053" s="989"/>
      <c r="OCU1053" s="989"/>
      <c r="OCV1053" s="989"/>
      <c r="OCW1053" s="989"/>
      <c r="OCX1053" s="989"/>
      <c r="OCY1053" s="989"/>
      <c r="OCZ1053" s="989"/>
      <c r="ODA1053" s="989"/>
      <c r="ODB1053" s="989"/>
      <c r="ODC1053" s="989"/>
      <c r="ODD1053" s="989"/>
      <c r="ODE1053" s="989"/>
      <c r="ODF1053" s="989"/>
      <c r="ODG1053" s="989"/>
      <c r="ODH1053" s="989"/>
      <c r="ODI1053" s="989"/>
      <c r="ODJ1053" s="989"/>
      <c r="ODK1053" s="989"/>
      <c r="ODL1053" s="989"/>
      <c r="ODM1053" s="989"/>
      <c r="ODN1053" s="989"/>
      <c r="ODO1053" s="989"/>
      <c r="ODP1053" s="989"/>
      <c r="ODQ1053" s="989"/>
      <c r="ODR1053" s="989"/>
      <c r="ODS1053" s="989"/>
      <c r="ODT1053" s="989"/>
      <c r="ODU1053" s="989"/>
      <c r="ODV1053" s="989"/>
      <c r="ODW1053" s="989"/>
      <c r="ODX1053" s="989"/>
      <c r="ODY1053" s="989"/>
      <c r="ODZ1053" s="989"/>
      <c r="OEA1053" s="989"/>
      <c r="OEB1053" s="989"/>
      <c r="OEC1053" s="989"/>
      <c r="OED1053" s="989"/>
      <c r="OEE1053" s="989"/>
      <c r="OEF1053" s="989"/>
      <c r="OEG1053" s="989"/>
      <c r="OEH1053" s="989"/>
      <c r="OEI1053" s="989"/>
      <c r="OEJ1053" s="989"/>
      <c r="OEK1053" s="989"/>
      <c r="OEL1053" s="989"/>
      <c r="OEM1053" s="989"/>
      <c r="OEN1053" s="989"/>
      <c r="OEO1053" s="989"/>
      <c r="OEP1053" s="989"/>
      <c r="OEQ1053" s="989"/>
      <c r="OER1053" s="989"/>
      <c r="OES1053" s="989"/>
      <c r="OET1053" s="989"/>
      <c r="OEU1053" s="989"/>
      <c r="OEV1053" s="989"/>
      <c r="OEW1053" s="989"/>
      <c r="OEX1053" s="989"/>
      <c r="OEY1053" s="989"/>
      <c r="OEZ1053" s="989"/>
      <c r="OFA1053" s="989"/>
      <c r="OFB1053" s="989"/>
      <c r="OFC1053" s="989"/>
      <c r="OFD1053" s="989"/>
      <c r="OFE1053" s="989"/>
      <c r="OFF1053" s="989"/>
      <c r="OFG1053" s="989"/>
      <c r="OFH1053" s="989"/>
      <c r="OFI1053" s="989"/>
      <c r="OFJ1053" s="989"/>
      <c r="OFK1053" s="989"/>
      <c r="OFL1053" s="989"/>
      <c r="OFM1053" s="989"/>
      <c r="OFN1053" s="989"/>
      <c r="OFO1053" s="989"/>
      <c r="OFP1053" s="989"/>
      <c r="OFQ1053" s="989"/>
      <c r="OFR1053" s="989"/>
      <c r="OFS1053" s="989"/>
      <c r="OFT1053" s="989"/>
      <c r="OFU1053" s="989"/>
      <c r="OFV1053" s="989"/>
      <c r="OFW1053" s="989"/>
      <c r="OFX1053" s="989"/>
      <c r="OFY1053" s="989"/>
      <c r="OFZ1053" s="989"/>
      <c r="OGA1053" s="989"/>
      <c r="OGB1053" s="989"/>
      <c r="OGC1053" s="989"/>
      <c r="OGD1053" s="989"/>
      <c r="OGE1053" s="989"/>
      <c r="OGF1053" s="989"/>
      <c r="OGG1053" s="989"/>
      <c r="OGH1053" s="989"/>
      <c r="OGI1053" s="989"/>
      <c r="OGJ1053" s="989"/>
      <c r="OGK1053" s="989"/>
      <c r="OGL1053" s="989"/>
      <c r="OGM1053" s="989"/>
      <c r="OGN1053" s="989"/>
      <c r="OGO1053" s="989"/>
      <c r="OGP1053" s="989"/>
      <c r="OGQ1053" s="989"/>
      <c r="OGR1053" s="989"/>
      <c r="OGS1053" s="989"/>
      <c r="OGT1053" s="989"/>
      <c r="OGU1053" s="989"/>
      <c r="OGV1053" s="989"/>
      <c r="OGW1053" s="989"/>
      <c r="OGX1053" s="989"/>
      <c r="OGY1053" s="989"/>
      <c r="OGZ1053" s="989"/>
      <c r="OHA1053" s="989"/>
      <c r="OHB1053" s="989"/>
      <c r="OHC1053" s="989"/>
      <c r="OHD1053" s="989"/>
      <c r="OHE1053" s="989"/>
      <c r="OHF1053" s="989"/>
      <c r="OHG1053" s="989"/>
      <c r="OHH1053" s="989"/>
      <c r="OHI1053" s="989"/>
      <c r="OHJ1053" s="989"/>
      <c r="OHK1053" s="989"/>
      <c r="OHL1053" s="989"/>
      <c r="OHM1053" s="989"/>
      <c r="OHN1053" s="989"/>
      <c r="OHO1053" s="989"/>
      <c r="OHP1053" s="989"/>
      <c r="OHQ1053" s="989"/>
      <c r="OHR1053" s="989"/>
      <c r="OHS1053" s="989"/>
      <c r="OHT1053" s="989"/>
      <c r="OHU1053" s="989"/>
      <c r="OHV1053" s="989"/>
      <c r="OHW1053" s="989"/>
      <c r="OHX1053" s="989"/>
      <c r="OHY1053" s="989"/>
      <c r="OHZ1053" s="989"/>
      <c r="OIA1053" s="989"/>
      <c r="OIB1053" s="989"/>
      <c r="OIC1053" s="989"/>
      <c r="OID1053" s="989"/>
      <c r="OIE1053" s="989"/>
      <c r="OIF1053" s="989"/>
      <c r="OIG1053" s="989"/>
      <c r="OIH1053" s="989"/>
      <c r="OII1053" s="989"/>
      <c r="OIJ1053" s="989"/>
      <c r="OIK1053" s="989"/>
      <c r="OIL1053" s="989"/>
      <c r="OIM1053" s="989"/>
      <c r="OIN1053" s="989"/>
      <c r="OIO1053" s="989"/>
      <c r="OIP1053" s="989"/>
      <c r="OIQ1053" s="989"/>
      <c r="OIR1053" s="989"/>
      <c r="OIS1053" s="989"/>
      <c r="OIT1053" s="989"/>
      <c r="OIU1053" s="989"/>
      <c r="OIV1053" s="989"/>
      <c r="OIW1053" s="989"/>
      <c r="OIX1053" s="989"/>
      <c r="OIY1053" s="989"/>
      <c r="OIZ1053" s="989"/>
      <c r="OJA1053" s="989"/>
      <c r="OJB1053" s="989"/>
      <c r="OJC1053" s="989"/>
      <c r="OJD1053" s="989"/>
      <c r="OJE1053" s="989"/>
      <c r="OJF1053" s="989"/>
      <c r="OJG1053" s="989"/>
      <c r="OJH1053" s="989"/>
      <c r="OJI1053" s="989"/>
      <c r="OJJ1053" s="989"/>
      <c r="OJK1053" s="989"/>
      <c r="OJL1053" s="989"/>
      <c r="OJM1053" s="989"/>
      <c r="OJN1053" s="989"/>
      <c r="OJO1053" s="989"/>
      <c r="OJP1053" s="989"/>
      <c r="OJQ1053" s="989"/>
      <c r="OJR1053" s="989"/>
      <c r="OJS1053" s="989"/>
      <c r="OJT1053" s="989"/>
      <c r="OJU1053" s="989"/>
      <c r="OJV1053" s="989"/>
      <c r="OJW1053" s="989"/>
      <c r="OJX1053" s="989"/>
      <c r="OJY1053" s="989"/>
      <c r="OJZ1053" s="989"/>
      <c r="OKA1053" s="989"/>
      <c r="OKB1053" s="989"/>
      <c r="OKC1053" s="989"/>
      <c r="OKD1053" s="989"/>
      <c r="OKE1053" s="989"/>
      <c r="OKF1053" s="989"/>
      <c r="OKG1053" s="989"/>
      <c r="OKH1053" s="989"/>
      <c r="OKI1053" s="989"/>
      <c r="OKJ1053" s="989"/>
      <c r="OKK1053" s="989"/>
      <c r="OKL1053" s="989"/>
      <c r="OKM1053" s="989"/>
      <c r="OKN1053" s="989"/>
      <c r="OKO1053" s="989"/>
      <c r="OKP1053" s="989"/>
      <c r="OKQ1053" s="989"/>
      <c r="OKR1053" s="989"/>
      <c r="OKS1053" s="989"/>
      <c r="OKT1053" s="989"/>
      <c r="OKU1053" s="989"/>
      <c r="OKV1053" s="989"/>
      <c r="OKW1053" s="989"/>
      <c r="OKX1053" s="989"/>
      <c r="OKY1053" s="989"/>
      <c r="OKZ1053" s="989"/>
      <c r="OLA1053" s="989"/>
      <c r="OLB1053" s="989"/>
      <c r="OLC1053" s="989"/>
      <c r="OLD1053" s="989"/>
      <c r="OLE1053" s="989"/>
      <c r="OLF1053" s="989"/>
      <c r="OLG1053" s="989"/>
      <c r="OLH1053" s="989"/>
      <c r="OLI1053" s="989"/>
      <c r="OLJ1053" s="989"/>
      <c r="OLK1053" s="989"/>
      <c r="OLL1053" s="989"/>
      <c r="OLM1053" s="989"/>
      <c r="OLN1053" s="989"/>
      <c r="OLO1053" s="989"/>
      <c r="OLP1053" s="989"/>
      <c r="OLQ1053" s="989"/>
      <c r="OLR1053" s="989"/>
      <c r="OLS1053" s="989"/>
      <c r="OLT1053" s="989"/>
      <c r="OLU1053" s="989"/>
      <c r="OLV1053" s="989"/>
      <c r="OLW1053" s="989"/>
      <c r="OLX1053" s="989"/>
      <c r="OLY1053" s="989"/>
      <c r="OLZ1053" s="989"/>
      <c r="OMA1053" s="989"/>
      <c r="OMB1053" s="989"/>
      <c r="OMC1053" s="989"/>
      <c r="OMD1053" s="989"/>
      <c r="OME1053" s="989"/>
      <c r="OMF1053" s="989"/>
      <c r="OMG1053" s="989"/>
      <c r="OMH1053" s="989"/>
      <c r="OMI1053" s="989"/>
      <c r="OMJ1053" s="989"/>
      <c r="OMK1053" s="989"/>
      <c r="OML1053" s="989"/>
      <c r="OMM1053" s="989"/>
      <c r="OMN1053" s="989"/>
      <c r="OMO1053" s="989"/>
      <c r="OMP1053" s="989"/>
      <c r="OMQ1053" s="989"/>
      <c r="OMR1053" s="989"/>
      <c r="OMS1053" s="989"/>
      <c r="OMT1053" s="989"/>
      <c r="OMU1053" s="989"/>
      <c r="OMV1053" s="989"/>
      <c r="OMW1053" s="989"/>
      <c r="OMX1053" s="989"/>
      <c r="OMY1053" s="989"/>
      <c r="OMZ1053" s="989"/>
      <c r="ONA1053" s="989"/>
      <c r="ONB1053" s="989"/>
      <c r="ONC1053" s="989"/>
      <c r="OND1053" s="989"/>
      <c r="ONE1053" s="989"/>
      <c r="ONF1053" s="989"/>
      <c r="ONG1053" s="989"/>
      <c r="ONH1053" s="989"/>
      <c r="ONI1053" s="989"/>
      <c r="ONJ1053" s="989"/>
      <c r="ONK1053" s="989"/>
      <c r="ONL1053" s="989"/>
      <c r="ONM1053" s="989"/>
      <c r="ONN1053" s="989"/>
      <c r="ONO1053" s="989"/>
      <c r="ONP1053" s="989"/>
      <c r="ONQ1053" s="989"/>
      <c r="ONR1053" s="989"/>
      <c r="ONS1053" s="989"/>
      <c r="ONT1053" s="989"/>
      <c r="ONU1053" s="989"/>
      <c r="ONV1053" s="989"/>
      <c r="ONW1053" s="989"/>
      <c r="ONX1053" s="989"/>
      <c r="ONY1053" s="989"/>
      <c r="ONZ1053" s="989"/>
      <c r="OOA1053" s="989"/>
      <c r="OOB1053" s="989"/>
      <c r="OOC1053" s="989"/>
      <c r="OOD1053" s="989"/>
      <c r="OOE1053" s="989"/>
      <c r="OOF1053" s="989"/>
      <c r="OOG1053" s="989"/>
      <c r="OOH1053" s="989"/>
      <c r="OOI1053" s="989"/>
      <c r="OOJ1053" s="989"/>
      <c r="OOK1053" s="989"/>
      <c r="OOL1053" s="989"/>
      <c r="OOM1053" s="989"/>
      <c r="OON1053" s="989"/>
      <c r="OOO1053" s="989"/>
      <c r="OOP1053" s="989"/>
      <c r="OOQ1053" s="989"/>
      <c r="OOR1053" s="989"/>
      <c r="OOS1053" s="989"/>
      <c r="OOT1053" s="989"/>
      <c r="OOU1053" s="989"/>
      <c r="OOV1053" s="989"/>
      <c r="OOW1053" s="989"/>
      <c r="OOX1053" s="989"/>
      <c r="OOY1053" s="989"/>
      <c r="OOZ1053" s="989"/>
      <c r="OPA1053" s="989"/>
      <c r="OPB1053" s="989"/>
      <c r="OPC1053" s="989"/>
      <c r="OPD1053" s="989"/>
      <c r="OPE1053" s="989"/>
      <c r="OPF1053" s="989"/>
      <c r="OPG1053" s="989"/>
      <c r="OPH1053" s="989"/>
      <c r="OPI1053" s="989"/>
      <c r="OPJ1053" s="989"/>
      <c r="OPK1053" s="989"/>
      <c r="OPL1053" s="989"/>
      <c r="OPM1053" s="989"/>
      <c r="OPN1053" s="989"/>
      <c r="OPO1053" s="989"/>
      <c r="OPP1053" s="989"/>
      <c r="OPQ1053" s="989"/>
      <c r="OPR1053" s="989"/>
      <c r="OPS1053" s="989"/>
      <c r="OPT1053" s="989"/>
      <c r="OPU1053" s="989"/>
      <c r="OPV1053" s="989"/>
      <c r="OPW1053" s="989"/>
      <c r="OPX1053" s="989"/>
      <c r="OPY1053" s="989"/>
      <c r="OPZ1053" s="989"/>
      <c r="OQA1053" s="989"/>
      <c r="OQB1053" s="989"/>
      <c r="OQC1053" s="989"/>
      <c r="OQD1053" s="989"/>
      <c r="OQE1053" s="989"/>
      <c r="OQF1053" s="989"/>
      <c r="OQG1053" s="989"/>
      <c r="OQH1053" s="989"/>
      <c r="OQI1053" s="989"/>
      <c r="OQJ1053" s="989"/>
      <c r="OQK1053" s="989"/>
      <c r="OQL1053" s="989"/>
      <c r="OQM1053" s="989"/>
      <c r="OQN1053" s="989"/>
      <c r="OQO1053" s="989"/>
      <c r="OQP1053" s="989"/>
      <c r="OQQ1053" s="989"/>
      <c r="OQR1053" s="989"/>
      <c r="OQS1053" s="989"/>
      <c r="OQT1053" s="989"/>
      <c r="OQU1053" s="989"/>
      <c r="OQV1053" s="989"/>
      <c r="OQW1053" s="989"/>
      <c r="OQX1053" s="989"/>
      <c r="OQY1053" s="989"/>
      <c r="OQZ1053" s="989"/>
      <c r="ORA1053" s="989"/>
      <c r="ORB1053" s="989"/>
      <c r="ORC1053" s="989"/>
      <c r="ORD1053" s="989"/>
      <c r="ORE1053" s="989"/>
      <c r="ORF1053" s="989"/>
      <c r="ORG1053" s="989"/>
      <c r="ORH1053" s="989"/>
      <c r="ORI1053" s="989"/>
      <c r="ORJ1053" s="989"/>
      <c r="ORK1053" s="989"/>
      <c r="ORL1053" s="989"/>
      <c r="ORM1053" s="989"/>
      <c r="ORN1053" s="989"/>
      <c r="ORO1053" s="989"/>
      <c r="ORP1053" s="989"/>
      <c r="ORQ1053" s="989"/>
      <c r="ORR1053" s="989"/>
      <c r="ORS1053" s="989"/>
      <c r="ORT1053" s="989"/>
      <c r="ORU1053" s="989"/>
      <c r="ORV1053" s="989"/>
      <c r="ORW1053" s="989"/>
      <c r="ORX1053" s="989"/>
      <c r="ORY1053" s="989"/>
      <c r="ORZ1053" s="989"/>
      <c r="OSA1053" s="989"/>
      <c r="OSB1053" s="989"/>
      <c r="OSC1053" s="989"/>
      <c r="OSD1053" s="989"/>
      <c r="OSE1053" s="989"/>
      <c r="OSF1053" s="989"/>
      <c r="OSG1053" s="989"/>
      <c r="OSH1053" s="989"/>
      <c r="OSI1053" s="989"/>
      <c r="OSJ1053" s="989"/>
      <c r="OSK1053" s="989"/>
      <c r="OSL1053" s="989"/>
      <c r="OSM1053" s="989"/>
      <c r="OSN1053" s="989"/>
      <c r="OSO1053" s="989"/>
      <c r="OSP1053" s="989"/>
      <c r="OSQ1053" s="989"/>
      <c r="OSR1053" s="989"/>
      <c r="OSS1053" s="989"/>
      <c r="OST1053" s="989"/>
      <c r="OSU1053" s="989"/>
      <c r="OSV1053" s="989"/>
      <c r="OSW1053" s="989"/>
      <c r="OSX1053" s="989"/>
      <c r="OSY1053" s="989"/>
      <c r="OSZ1053" s="989"/>
      <c r="OTA1053" s="989"/>
      <c r="OTB1053" s="989"/>
      <c r="OTC1053" s="989"/>
      <c r="OTD1053" s="989"/>
      <c r="OTE1053" s="989"/>
      <c r="OTF1053" s="989"/>
      <c r="OTG1053" s="989"/>
      <c r="OTH1053" s="989"/>
      <c r="OTI1053" s="989"/>
      <c r="OTJ1053" s="989"/>
      <c r="OTK1053" s="989"/>
      <c r="OTL1053" s="989"/>
      <c r="OTM1053" s="989"/>
      <c r="OTN1053" s="989"/>
      <c r="OTO1053" s="989"/>
      <c r="OTP1053" s="989"/>
      <c r="OTQ1053" s="989"/>
      <c r="OTR1053" s="989"/>
      <c r="OTS1053" s="989"/>
      <c r="OTT1053" s="989"/>
      <c r="OTU1053" s="989"/>
      <c r="OTV1053" s="989"/>
      <c r="OTW1053" s="989"/>
      <c r="OTX1053" s="989"/>
      <c r="OTY1053" s="989"/>
      <c r="OTZ1053" s="989"/>
      <c r="OUA1053" s="989"/>
      <c r="OUB1053" s="989"/>
      <c r="OUC1053" s="989"/>
      <c r="OUD1053" s="989"/>
      <c r="OUE1053" s="989"/>
      <c r="OUF1053" s="989"/>
      <c r="OUG1053" s="989"/>
      <c r="OUH1053" s="989"/>
      <c r="OUI1053" s="989"/>
      <c r="OUJ1053" s="989"/>
      <c r="OUK1053" s="989"/>
      <c r="OUL1053" s="989"/>
      <c r="OUM1053" s="989"/>
      <c r="OUN1053" s="989"/>
      <c r="OUO1053" s="989"/>
      <c r="OUP1053" s="989"/>
      <c r="OUQ1053" s="989"/>
      <c r="OUR1053" s="989"/>
      <c r="OUS1053" s="989"/>
      <c r="OUT1053" s="989"/>
      <c r="OUU1053" s="989"/>
      <c r="OUV1053" s="989"/>
      <c r="OUW1053" s="989"/>
      <c r="OUX1053" s="989"/>
      <c r="OUY1053" s="989"/>
      <c r="OUZ1053" s="989"/>
      <c r="OVA1053" s="989"/>
      <c r="OVB1053" s="989"/>
      <c r="OVC1053" s="989"/>
      <c r="OVD1053" s="989"/>
      <c r="OVE1053" s="989"/>
      <c r="OVF1053" s="989"/>
      <c r="OVG1053" s="989"/>
      <c r="OVH1053" s="989"/>
      <c r="OVI1053" s="989"/>
      <c r="OVJ1053" s="989"/>
      <c r="OVK1053" s="989"/>
      <c r="OVL1053" s="989"/>
      <c r="OVM1053" s="989"/>
      <c r="OVN1053" s="989"/>
      <c r="OVO1053" s="989"/>
      <c r="OVP1053" s="989"/>
      <c r="OVQ1053" s="989"/>
      <c r="OVR1053" s="989"/>
      <c r="OVS1053" s="989"/>
      <c r="OVT1053" s="989"/>
      <c r="OVU1053" s="989"/>
      <c r="OVV1053" s="989"/>
      <c r="OVW1053" s="989"/>
      <c r="OVX1053" s="989"/>
      <c r="OVY1053" s="989"/>
      <c r="OVZ1053" s="989"/>
      <c r="OWA1053" s="989"/>
      <c r="OWB1053" s="989"/>
      <c r="OWC1053" s="989"/>
      <c r="OWD1053" s="989"/>
      <c r="OWE1053" s="989"/>
      <c r="OWF1053" s="989"/>
      <c r="OWG1053" s="989"/>
      <c r="OWH1053" s="989"/>
      <c r="OWI1053" s="989"/>
      <c r="OWJ1053" s="989"/>
      <c r="OWK1053" s="989"/>
      <c r="OWL1053" s="989"/>
      <c r="OWM1053" s="989"/>
      <c r="OWN1053" s="989"/>
      <c r="OWO1053" s="989"/>
      <c r="OWP1053" s="989"/>
      <c r="OWQ1053" s="989"/>
      <c r="OWR1053" s="989"/>
      <c r="OWS1053" s="989"/>
      <c r="OWT1053" s="989"/>
      <c r="OWU1053" s="989"/>
      <c r="OWV1053" s="989"/>
      <c r="OWW1053" s="989"/>
      <c r="OWX1053" s="989"/>
      <c r="OWY1053" s="989"/>
      <c r="OWZ1053" s="989"/>
      <c r="OXA1053" s="989"/>
      <c r="OXB1053" s="989"/>
      <c r="OXC1053" s="989"/>
      <c r="OXD1053" s="989"/>
      <c r="OXE1053" s="989"/>
      <c r="OXF1053" s="989"/>
      <c r="OXG1053" s="989"/>
      <c r="OXH1053" s="989"/>
      <c r="OXI1053" s="989"/>
      <c r="OXJ1053" s="989"/>
      <c r="OXK1053" s="989"/>
      <c r="OXL1053" s="989"/>
      <c r="OXM1053" s="989"/>
      <c r="OXN1053" s="989"/>
      <c r="OXO1053" s="989"/>
      <c r="OXP1053" s="989"/>
      <c r="OXQ1053" s="989"/>
      <c r="OXR1053" s="989"/>
      <c r="OXS1053" s="989"/>
      <c r="OXT1053" s="989"/>
      <c r="OXU1053" s="989"/>
      <c r="OXV1053" s="989"/>
      <c r="OXW1053" s="989"/>
      <c r="OXX1053" s="989"/>
      <c r="OXY1053" s="989"/>
      <c r="OXZ1053" s="989"/>
      <c r="OYA1053" s="989"/>
      <c r="OYB1053" s="989"/>
      <c r="OYC1053" s="989"/>
      <c r="OYD1053" s="989"/>
      <c r="OYE1053" s="989"/>
      <c r="OYF1053" s="989"/>
      <c r="OYG1053" s="989"/>
      <c r="OYH1053" s="989"/>
      <c r="OYI1053" s="989"/>
      <c r="OYJ1053" s="989"/>
      <c r="OYK1053" s="989"/>
      <c r="OYL1053" s="989"/>
      <c r="OYM1053" s="989"/>
      <c r="OYN1053" s="989"/>
      <c r="OYO1053" s="989"/>
      <c r="OYP1053" s="989"/>
      <c r="OYQ1053" s="989"/>
      <c r="OYR1053" s="989"/>
      <c r="OYS1053" s="989"/>
      <c r="OYT1053" s="989"/>
      <c r="OYU1053" s="989"/>
      <c r="OYV1053" s="989"/>
      <c r="OYW1053" s="989"/>
      <c r="OYX1053" s="989"/>
      <c r="OYY1053" s="989"/>
      <c r="OYZ1053" s="989"/>
      <c r="OZA1053" s="989"/>
      <c r="OZB1053" s="989"/>
      <c r="OZC1053" s="989"/>
      <c r="OZD1053" s="989"/>
      <c r="OZE1053" s="989"/>
      <c r="OZF1053" s="989"/>
      <c r="OZG1053" s="989"/>
      <c r="OZH1053" s="989"/>
      <c r="OZI1053" s="989"/>
      <c r="OZJ1053" s="989"/>
      <c r="OZK1053" s="989"/>
      <c r="OZL1053" s="989"/>
      <c r="OZM1053" s="989"/>
      <c r="OZN1053" s="989"/>
      <c r="OZO1053" s="989"/>
      <c r="OZP1053" s="989"/>
      <c r="OZQ1053" s="989"/>
      <c r="OZR1053" s="989"/>
      <c r="OZS1053" s="989"/>
      <c r="OZT1053" s="989"/>
      <c r="OZU1053" s="989"/>
      <c r="OZV1053" s="989"/>
      <c r="OZW1053" s="989"/>
      <c r="OZX1053" s="989"/>
      <c r="OZY1053" s="989"/>
      <c r="OZZ1053" s="989"/>
      <c r="PAA1053" s="989"/>
      <c r="PAB1053" s="989"/>
      <c r="PAC1053" s="989"/>
      <c r="PAD1053" s="989"/>
      <c r="PAE1053" s="989"/>
      <c r="PAF1053" s="989"/>
      <c r="PAG1053" s="989"/>
      <c r="PAH1053" s="989"/>
      <c r="PAI1053" s="989"/>
      <c r="PAJ1053" s="989"/>
      <c r="PAK1053" s="989"/>
      <c r="PAL1053" s="989"/>
      <c r="PAM1053" s="989"/>
      <c r="PAN1053" s="989"/>
      <c r="PAO1053" s="989"/>
      <c r="PAP1053" s="989"/>
      <c r="PAQ1053" s="989"/>
      <c r="PAR1053" s="989"/>
      <c r="PAS1053" s="989"/>
      <c r="PAT1053" s="989"/>
      <c r="PAU1053" s="989"/>
      <c r="PAV1053" s="989"/>
      <c r="PAW1053" s="989"/>
      <c r="PAX1053" s="989"/>
      <c r="PAY1053" s="989"/>
      <c r="PAZ1053" s="989"/>
      <c r="PBA1053" s="989"/>
      <c r="PBB1053" s="989"/>
      <c r="PBC1053" s="989"/>
      <c r="PBD1053" s="989"/>
      <c r="PBE1053" s="989"/>
      <c r="PBF1053" s="989"/>
      <c r="PBG1053" s="989"/>
      <c r="PBH1053" s="989"/>
      <c r="PBI1053" s="989"/>
      <c r="PBJ1053" s="989"/>
      <c r="PBK1053" s="989"/>
      <c r="PBL1053" s="989"/>
      <c r="PBM1053" s="989"/>
      <c r="PBN1053" s="989"/>
      <c r="PBO1053" s="989"/>
      <c r="PBP1053" s="989"/>
      <c r="PBQ1053" s="989"/>
      <c r="PBR1053" s="989"/>
      <c r="PBS1053" s="989"/>
      <c r="PBT1053" s="989"/>
      <c r="PBU1053" s="989"/>
      <c r="PBV1053" s="989"/>
      <c r="PBW1053" s="989"/>
      <c r="PBX1053" s="989"/>
      <c r="PBY1053" s="989"/>
      <c r="PBZ1053" s="989"/>
      <c r="PCA1053" s="989"/>
      <c r="PCB1053" s="989"/>
      <c r="PCC1053" s="989"/>
      <c r="PCD1053" s="989"/>
      <c r="PCE1053" s="989"/>
      <c r="PCF1053" s="989"/>
      <c r="PCG1053" s="989"/>
      <c r="PCH1053" s="989"/>
      <c r="PCI1053" s="989"/>
      <c r="PCJ1053" s="989"/>
      <c r="PCK1053" s="989"/>
      <c r="PCL1053" s="989"/>
      <c r="PCM1053" s="989"/>
      <c r="PCN1053" s="989"/>
      <c r="PCO1053" s="989"/>
      <c r="PCP1053" s="989"/>
      <c r="PCQ1053" s="989"/>
      <c r="PCR1053" s="989"/>
      <c r="PCS1053" s="989"/>
      <c r="PCT1053" s="989"/>
      <c r="PCU1053" s="989"/>
      <c r="PCV1053" s="989"/>
      <c r="PCW1053" s="989"/>
      <c r="PCX1053" s="989"/>
      <c r="PCY1053" s="989"/>
      <c r="PCZ1053" s="989"/>
      <c r="PDA1053" s="989"/>
      <c r="PDB1053" s="989"/>
      <c r="PDC1053" s="989"/>
      <c r="PDD1053" s="989"/>
      <c r="PDE1053" s="989"/>
      <c r="PDF1053" s="989"/>
      <c r="PDG1053" s="989"/>
      <c r="PDH1053" s="989"/>
      <c r="PDI1053" s="989"/>
      <c r="PDJ1053" s="989"/>
      <c r="PDK1053" s="989"/>
      <c r="PDL1053" s="989"/>
      <c r="PDM1053" s="989"/>
      <c r="PDN1053" s="989"/>
      <c r="PDO1053" s="989"/>
      <c r="PDP1053" s="989"/>
      <c r="PDQ1053" s="989"/>
      <c r="PDR1053" s="989"/>
      <c r="PDS1053" s="989"/>
      <c r="PDT1053" s="989"/>
      <c r="PDU1053" s="989"/>
      <c r="PDV1053" s="989"/>
      <c r="PDW1053" s="989"/>
      <c r="PDX1053" s="989"/>
      <c r="PDY1053" s="989"/>
      <c r="PDZ1053" s="989"/>
      <c r="PEA1053" s="989"/>
      <c r="PEB1053" s="989"/>
      <c r="PEC1053" s="989"/>
      <c r="PED1053" s="989"/>
      <c r="PEE1053" s="989"/>
      <c r="PEF1053" s="989"/>
      <c r="PEG1053" s="989"/>
      <c r="PEH1053" s="989"/>
      <c r="PEI1053" s="989"/>
      <c r="PEJ1053" s="989"/>
      <c r="PEK1053" s="989"/>
      <c r="PEL1053" s="989"/>
      <c r="PEM1053" s="989"/>
      <c r="PEN1053" s="989"/>
      <c r="PEO1053" s="989"/>
      <c r="PEP1053" s="989"/>
      <c r="PEQ1053" s="989"/>
      <c r="PER1053" s="989"/>
      <c r="PES1053" s="989"/>
      <c r="PET1053" s="989"/>
      <c r="PEU1053" s="989"/>
      <c r="PEV1053" s="989"/>
      <c r="PEW1053" s="989"/>
      <c r="PEX1053" s="989"/>
      <c r="PEY1053" s="989"/>
      <c r="PEZ1053" s="989"/>
      <c r="PFA1053" s="989"/>
      <c r="PFB1053" s="989"/>
      <c r="PFC1053" s="989"/>
      <c r="PFD1053" s="989"/>
      <c r="PFE1053" s="989"/>
      <c r="PFF1053" s="989"/>
      <c r="PFG1053" s="989"/>
      <c r="PFH1053" s="989"/>
      <c r="PFI1053" s="989"/>
      <c r="PFJ1053" s="989"/>
      <c r="PFK1053" s="989"/>
      <c r="PFL1053" s="989"/>
      <c r="PFM1053" s="989"/>
      <c r="PFN1053" s="989"/>
      <c r="PFO1053" s="989"/>
      <c r="PFP1053" s="989"/>
      <c r="PFQ1053" s="989"/>
      <c r="PFR1053" s="989"/>
      <c r="PFS1053" s="989"/>
      <c r="PFT1053" s="989"/>
      <c r="PFU1053" s="989"/>
      <c r="PFV1053" s="989"/>
      <c r="PFW1053" s="989"/>
      <c r="PFX1053" s="989"/>
      <c r="PFY1053" s="989"/>
      <c r="PFZ1053" s="989"/>
      <c r="PGA1053" s="989"/>
      <c r="PGB1053" s="989"/>
      <c r="PGC1053" s="989"/>
      <c r="PGD1053" s="989"/>
      <c r="PGE1053" s="989"/>
      <c r="PGF1053" s="989"/>
      <c r="PGG1053" s="989"/>
      <c r="PGH1053" s="989"/>
      <c r="PGI1053" s="989"/>
      <c r="PGJ1053" s="989"/>
      <c r="PGK1053" s="989"/>
      <c r="PGL1053" s="989"/>
      <c r="PGM1053" s="989"/>
      <c r="PGN1053" s="989"/>
      <c r="PGO1053" s="989"/>
      <c r="PGP1053" s="989"/>
      <c r="PGQ1053" s="989"/>
      <c r="PGR1053" s="989"/>
      <c r="PGS1053" s="989"/>
      <c r="PGT1053" s="989"/>
      <c r="PGU1053" s="989"/>
      <c r="PGV1053" s="989"/>
      <c r="PGW1053" s="989"/>
      <c r="PGX1053" s="989"/>
      <c r="PGY1053" s="989"/>
      <c r="PGZ1053" s="989"/>
      <c r="PHA1053" s="989"/>
      <c r="PHB1053" s="989"/>
      <c r="PHC1053" s="989"/>
      <c r="PHD1053" s="989"/>
      <c r="PHE1053" s="989"/>
      <c r="PHF1053" s="989"/>
      <c r="PHG1053" s="989"/>
      <c r="PHH1053" s="989"/>
      <c r="PHI1053" s="989"/>
      <c r="PHJ1053" s="989"/>
      <c r="PHK1053" s="989"/>
      <c r="PHL1053" s="989"/>
      <c r="PHM1053" s="989"/>
      <c r="PHN1053" s="989"/>
      <c r="PHO1053" s="989"/>
      <c r="PHP1053" s="989"/>
      <c r="PHQ1053" s="989"/>
      <c r="PHR1053" s="989"/>
      <c r="PHS1053" s="989"/>
      <c r="PHT1053" s="989"/>
      <c r="PHU1053" s="989"/>
      <c r="PHV1053" s="989"/>
      <c r="PHW1053" s="989"/>
      <c r="PHX1053" s="989"/>
      <c r="PHY1053" s="989"/>
      <c r="PHZ1053" s="989"/>
      <c r="PIA1053" s="989"/>
      <c r="PIB1053" s="989"/>
      <c r="PIC1053" s="989"/>
      <c r="PID1053" s="989"/>
      <c r="PIE1053" s="989"/>
      <c r="PIF1053" s="989"/>
      <c r="PIG1053" s="989"/>
      <c r="PIH1053" s="989"/>
      <c r="PII1053" s="989"/>
      <c r="PIJ1053" s="989"/>
      <c r="PIK1053" s="989"/>
      <c r="PIL1053" s="989"/>
      <c r="PIM1053" s="989"/>
      <c r="PIN1053" s="989"/>
      <c r="PIO1053" s="989"/>
      <c r="PIP1053" s="989"/>
      <c r="PIQ1053" s="989"/>
      <c r="PIR1053" s="989"/>
      <c r="PIS1053" s="989"/>
      <c r="PIT1053" s="989"/>
      <c r="PIU1053" s="989"/>
      <c r="PIV1053" s="989"/>
      <c r="PIW1053" s="989"/>
      <c r="PIX1053" s="989"/>
      <c r="PIY1053" s="989"/>
      <c r="PIZ1053" s="989"/>
      <c r="PJA1053" s="989"/>
      <c r="PJB1053" s="989"/>
      <c r="PJC1053" s="989"/>
      <c r="PJD1053" s="989"/>
      <c r="PJE1053" s="989"/>
      <c r="PJF1053" s="989"/>
      <c r="PJG1053" s="989"/>
      <c r="PJH1053" s="989"/>
      <c r="PJI1053" s="989"/>
      <c r="PJJ1053" s="989"/>
      <c r="PJK1053" s="989"/>
      <c r="PJL1053" s="989"/>
      <c r="PJM1053" s="989"/>
      <c r="PJN1053" s="989"/>
      <c r="PJO1053" s="989"/>
      <c r="PJP1053" s="989"/>
      <c r="PJQ1053" s="989"/>
      <c r="PJR1053" s="989"/>
      <c r="PJS1053" s="989"/>
      <c r="PJT1053" s="989"/>
      <c r="PJU1053" s="989"/>
      <c r="PJV1053" s="989"/>
      <c r="PJW1053" s="989"/>
      <c r="PJX1053" s="989"/>
      <c r="PJY1053" s="989"/>
      <c r="PJZ1053" s="989"/>
      <c r="PKA1053" s="989"/>
      <c r="PKB1053" s="989"/>
      <c r="PKC1053" s="989"/>
      <c r="PKD1053" s="989"/>
      <c r="PKE1053" s="989"/>
      <c r="PKF1053" s="989"/>
      <c r="PKG1053" s="989"/>
      <c r="PKH1053" s="989"/>
      <c r="PKI1053" s="989"/>
      <c r="PKJ1053" s="989"/>
      <c r="PKK1053" s="989"/>
      <c r="PKL1053" s="989"/>
      <c r="PKM1053" s="989"/>
      <c r="PKN1053" s="989"/>
      <c r="PKO1053" s="989"/>
      <c r="PKP1053" s="989"/>
      <c r="PKQ1053" s="989"/>
      <c r="PKR1053" s="989"/>
      <c r="PKS1053" s="989"/>
      <c r="PKT1053" s="989"/>
      <c r="PKU1053" s="989"/>
      <c r="PKV1053" s="989"/>
      <c r="PKW1053" s="989"/>
      <c r="PKX1053" s="989"/>
      <c r="PKY1053" s="989"/>
      <c r="PKZ1053" s="989"/>
      <c r="PLA1053" s="989"/>
      <c r="PLB1053" s="989"/>
      <c r="PLC1053" s="989"/>
      <c r="PLD1053" s="989"/>
      <c r="PLE1053" s="989"/>
      <c r="PLF1053" s="989"/>
      <c r="PLG1053" s="989"/>
      <c r="PLH1053" s="989"/>
      <c r="PLI1053" s="989"/>
      <c r="PLJ1053" s="989"/>
      <c r="PLK1053" s="989"/>
      <c r="PLL1053" s="989"/>
      <c r="PLM1053" s="989"/>
      <c r="PLN1053" s="989"/>
      <c r="PLO1053" s="989"/>
      <c r="PLP1053" s="989"/>
      <c r="PLQ1053" s="989"/>
      <c r="PLR1053" s="989"/>
      <c r="PLS1053" s="989"/>
      <c r="PLT1053" s="989"/>
      <c r="PLU1053" s="989"/>
      <c r="PLV1053" s="989"/>
      <c r="PLW1053" s="989"/>
      <c r="PLX1053" s="989"/>
      <c r="PLY1053" s="989"/>
      <c r="PLZ1053" s="989"/>
      <c r="PMA1053" s="989"/>
      <c r="PMB1053" s="989"/>
      <c r="PMC1053" s="989"/>
      <c r="PMD1053" s="989"/>
      <c r="PME1053" s="989"/>
      <c r="PMF1053" s="989"/>
      <c r="PMG1053" s="989"/>
      <c r="PMH1053" s="989"/>
      <c r="PMI1053" s="989"/>
      <c r="PMJ1053" s="989"/>
      <c r="PMK1053" s="989"/>
      <c r="PML1053" s="989"/>
      <c r="PMM1053" s="989"/>
      <c r="PMN1053" s="989"/>
      <c r="PMO1053" s="989"/>
      <c r="PMP1053" s="989"/>
      <c r="PMQ1053" s="989"/>
      <c r="PMR1053" s="989"/>
      <c r="PMS1053" s="989"/>
      <c r="PMT1053" s="989"/>
      <c r="PMU1053" s="989"/>
      <c r="PMV1053" s="989"/>
      <c r="PMW1053" s="989"/>
      <c r="PMX1053" s="989"/>
      <c r="PMY1053" s="989"/>
      <c r="PMZ1053" s="989"/>
      <c r="PNA1053" s="989"/>
      <c r="PNB1053" s="989"/>
      <c r="PNC1053" s="989"/>
      <c r="PND1053" s="989"/>
      <c r="PNE1053" s="989"/>
      <c r="PNF1053" s="989"/>
      <c r="PNG1053" s="989"/>
      <c r="PNH1053" s="989"/>
      <c r="PNI1053" s="989"/>
      <c r="PNJ1053" s="989"/>
      <c r="PNK1053" s="989"/>
      <c r="PNL1053" s="989"/>
      <c r="PNM1053" s="989"/>
      <c r="PNN1053" s="989"/>
      <c r="PNO1053" s="989"/>
      <c r="PNP1053" s="989"/>
      <c r="PNQ1053" s="989"/>
      <c r="PNR1053" s="989"/>
      <c r="PNS1053" s="989"/>
      <c r="PNT1053" s="989"/>
      <c r="PNU1053" s="989"/>
      <c r="PNV1053" s="989"/>
      <c r="PNW1053" s="989"/>
      <c r="PNX1053" s="989"/>
      <c r="PNY1053" s="989"/>
      <c r="PNZ1053" s="989"/>
      <c r="POA1053" s="989"/>
      <c r="POB1053" s="989"/>
      <c r="POC1053" s="989"/>
      <c r="POD1053" s="989"/>
      <c r="POE1053" s="989"/>
      <c r="POF1053" s="989"/>
      <c r="POG1053" s="989"/>
      <c r="POH1053" s="989"/>
      <c r="POI1053" s="989"/>
      <c r="POJ1053" s="989"/>
      <c r="POK1053" s="989"/>
      <c r="POL1053" s="989"/>
      <c r="POM1053" s="989"/>
      <c r="PON1053" s="989"/>
      <c r="POO1053" s="989"/>
      <c r="POP1053" s="989"/>
      <c r="POQ1053" s="989"/>
      <c r="POR1053" s="989"/>
      <c r="POS1053" s="989"/>
      <c r="POT1053" s="989"/>
      <c r="POU1053" s="989"/>
      <c r="POV1053" s="989"/>
      <c r="POW1053" s="989"/>
      <c r="POX1053" s="989"/>
      <c r="POY1053" s="989"/>
      <c r="POZ1053" s="989"/>
      <c r="PPA1053" s="989"/>
      <c r="PPB1053" s="989"/>
      <c r="PPC1053" s="989"/>
      <c r="PPD1053" s="989"/>
      <c r="PPE1053" s="989"/>
      <c r="PPF1053" s="989"/>
      <c r="PPG1053" s="989"/>
      <c r="PPH1053" s="989"/>
      <c r="PPI1053" s="989"/>
      <c r="PPJ1053" s="989"/>
      <c r="PPK1053" s="989"/>
      <c r="PPL1053" s="989"/>
      <c r="PPM1053" s="989"/>
      <c r="PPN1053" s="989"/>
      <c r="PPO1053" s="989"/>
      <c r="PPP1053" s="989"/>
      <c r="PPQ1053" s="989"/>
      <c r="PPR1053" s="989"/>
      <c r="PPS1053" s="989"/>
      <c r="PPT1053" s="989"/>
      <c r="PPU1053" s="989"/>
      <c r="PPV1053" s="989"/>
      <c r="PPW1053" s="989"/>
      <c r="PPX1053" s="989"/>
      <c r="PPY1053" s="989"/>
      <c r="PPZ1053" s="989"/>
      <c r="PQA1053" s="989"/>
      <c r="PQB1053" s="989"/>
      <c r="PQC1053" s="989"/>
      <c r="PQD1053" s="989"/>
      <c r="PQE1053" s="989"/>
      <c r="PQF1053" s="989"/>
      <c r="PQG1053" s="989"/>
      <c r="PQH1053" s="989"/>
      <c r="PQI1053" s="989"/>
      <c r="PQJ1053" s="989"/>
      <c r="PQK1053" s="989"/>
      <c r="PQL1053" s="989"/>
      <c r="PQM1053" s="989"/>
      <c r="PQN1053" s="989"/>
      <c r="PQO1053" s="989"/>
      <c r="PQP1053" s="989"/>
      <c r="PQQ1053" s="989"/>
      <c r="PQR1053" s="989"/>
      <c r="PQS1053" s="989"/>
      <c r="PQT1053" s="989"/>
      <c r="PQU1053" s="989"/>
      <c r="PQV1053" s="989"/>
      <c r="PQW1053" s="989"/>
      <c r="PQX1053" s="989"/>
      <c r="PQY1053" s="989"/>
      <c r="PQZ1053" s="989"/>
      <c r="PRA1053" s="989"/>
      <c r="PRB1053" s="989"/>
      <c r="PRC1053" s="989"/>
      <c r="PRD1053" s="989"/>
      <c r="PRE1053" s="989"/>
      <c r="PRF1053" s="989"/>
      <c r="PRG1053" s="989"/>
      <c r="PRH1053" s="989"/>
      <c r="PRI1053" s="989"/>
      <c r="PRJ1053" s="989"/>
      <c r="PRK1053" s="989"/>
      <c r="PRL1053" s="989"/>
      <c r="PRM1053" s="989"/>
      <c r="PRN1053" s="989"/>
      <c r="PRO1053" s="989"/>
      <c r="PRP1053" s="989"/>
      <c r="PRQ1053" s="989"/>
      <c r="PRR1053" s="989"/>
      <c r="PRS1053" s="989"/>
      <c r="PRT1053" s="989"/>
      <c r="PRU1053" s="989"/>
      <c r="PRV1053" s="989"/>
      <c r="PRW1053" s="989"/>
      <c r="PRX1053" s="989"/>
      <c r="PRY1053" s="989"/>
      <c r="PRZ1053" s="989"/>
      <c r="PSA1053" s="989"/>
      <c r="PSB1053" s="989"/>
      <c r="PSC1053" s="989"/>
      <c r="PSD1053" s="989"/>
      <c r="PSE1053" s="989"/>
      <c r="PSF1053" s="989"/>
      <c r="PSG1053" s="989"/>
      <c r="PSH1053" s="989"/>
      <c r="PSI1053" s="989"/>
      <c r="PSJ1053" s="989"/>
      <c r="PSK1053" s="989"/>
      <c r="PSL1053" s="989"/>
      <c r="PSM1053" s="989"/>
      <c r="PSN1053" s="989"/>
      <c r="PSO1053" s="989"/>
      <c r="PSP1053" s="989"/>
      <c r="PSQ1053" s="989"/>
      <c r="PSR1053" s="989"/>
      <c r="PSS1053" s="989"/>
      <c r="PST1053" s="989"/>
      <c r="PSU1053" s="989"/>
      <c r="PSV1053" s="989"/>
      <c r="PSW1053" s="989"/>
      <c r="PSX1053" s="989"/>
      <c r="PSY1053" s="989"/>
      <c r="PSZ1053" s="989"/>
      <c r="PTA1053" s="989"/>
      <c r="PTB1053" s="989"/>
      <c r="PTC1053" s="989"/>
      <c r="PTD1053" s="989"/>
      <c r="PTE1053" s="989"/>
      <c r="PTF1053" s="989"/>
      <c r="PTG1053" s="989"/>
      <c r="PTH1053" s="989"/>
      <c r="PTI1053" s="989"/>
      <c r="PTJ1053" s="989"/>
      <c r="PTK1053" s="989"/>
      <c r="PTL1053" s="989"/>
      <c r="PTM1053" s="989"/>
      <c r="PTN1053" s="989"/>
      <c r="PTO1053" s="989"/>
      <c r="PTP1053" s="989"/>
      <c r="PTQ1053" s="989"/>
      <c r="PTR1053" s="989"/>
      <c r="PTS1053" s="989"/>
      <c r="PTT1053" s="989"/>
      <c r="PTU1053" s="989"/>
      <c r="PTV1053" s="989"/>
      <c r="PTW1053" s="989"/>
      <c r="PTX1053" s="989"/>
      <c r="PTY1053" s="989"/>
      <c r="PTZ1053" s="989"/>
      <c r="PUA1053" s="989"/>
      <c r="PUB1053" s="989"/>
      <c r="PUC1053" s="989"/>
      <c r="PUD1053" s="989"/>
      <c r="PUE1053" s="989"/>
      <c r="PUF1053" s="989"/>
      <c r="PUG1053" s="989"/>
      <c r="PUH1053" s="989"/>
      <c r="PUI1053" s="989"/>
      <c r="PUJ1053" s="989"/>
      <c r="PUK1053" s="989"/>
      <c r="PUL1053" s="989"/>
      <c r="PUM1053" s="989"/>
      <c r="PUN1053" s="989"/>
      <c r="PUO1053" s="989"/>
      <c r="PUP1053" s="989"/>
      <c r="PUQ1053" s="989"/>
      <c r="PUR1053" s="989"/>
      <c r="PUS1053" s="989"/>
      <c r="PUT1053" s="989"/>
      <c r="PUU1053" s="989"/>
      <c r="PUV1053" s="989"/>
      <c r="PUW1053" s="989"/>
      <c r="PUX1053" s="989"/>
      <c r="PUY1053" s="989"/>
      <c r="PUZ1053" s="989"/>
      <c r="PVA1053" s="989"/>
      <c r="PVB1053" s="989"/>
      <c r="PVC1053" s="989"/>
      <c r="PVD1053" s="989"/>
      <c r="PVE1053" s="989"/>
      <c r="PVF1053" s="989"/>
      <c r="PVG1053" s="989"/>
      <c r="PVH1053" s="989"/>
      <c r="PVI1053" s="989"/>
      <c r="PVJ1053" s="989"/>
      <c r="PVK1053" s="989"/>
      <c r="PVL1053" s="989"/>
      <c r="PVM1053" s="989"/>
      <c r="PVN1053" s="989"/>
      <c r="PVO1053" s="989"/>
      <c r="PVP1053" s="989"/>
      <c r="PVQ1053" s="989"/>
      <c r="PVR1053" s="989"/>
      <c r="PVS1053" s="989"/>
      <c r="PVT1053" s="989"/>
      <c r="PVU1053" s="989"/>
      <c r="PVV1053" s="989"/>
      <c r="PVW1053" s="989"/>
      <c r="PVX1053" s="989"/>
      <c r="PVY1053" s="989"/>
      <c r="PVZ1053" s="989"/>
      <c r="PWA1053" s="989"/>
      <c r="PWB1053" s="989"/>
      <c r="PWC1053" s="989"/>
      <c r="PWD1053" s="989"/>
      <c r="PWE1053" s="989"/>
      <c r="PWF1053" s="989"/>
      <c r="PWG1053" s="989"/>
      <c r="PWH1053" s="989"/>
      <c r="PWI1053" s="989"/>
      <c r="PWJ1053" s="989"/>
      <c r="PWK1053" s="989"/>
      <c r="PWL1053" s="989"/>
      <c r="PWM1053" s="989"/>
      <c r="PWN1053" s="989"/>
      <c r="PWO1053" s="989"/>
      <c r="PWP1053" s="989"/>
      <c r="PWQ1053" s="989"/>
      <c r="PWR1053" s="989"/>
      <c r="PWS1053" s="989"/>
      <c r="PWT1053" s="989"/>
      <c r="PWU1053" s="989"/>
      <c r="PWV1053" s="989"/>
      <c r="PWW1053" s="989"/>
      <c r="PWX1053" s="989"/>
      <c r="PWY1053" s="989"/>
      <c r="PWZ1053" s="989"/>
      <c r="PXA1053" s="989"/>
      <c r="PXB1053" s="989"/>
      <c r="PXC1053" s="989"/>
      <c r="PXD1053" s="989"/>
      <c r="PXE1053" s="989"/>
      <c r="PXF1053" s="989"/>
      <c r="PXG1053" s="989"/>
      <c r="PXH1053" s="989"/>
      <c r="PXI1053" s="989"/>
      <c r="PXJ1053" s="989"/>
      <c r="PXK1053" s="989"/>
      <c r="PXL1053" s="989"/>
      <c r="PXM1053" s="989"/>
      <c r="PXN1053" s="989"/>
      <c r="PXO1053" s="989"/>
      <c r="PXP1053" s="989"/>
      <c r="PXQ1053" s="989"/>
      <c r="PXR1053" s="989"/>
      <c r="PXS1053" s="989"/>
      <c r="PXT1053" s="989"/>
      <c r="PXU1053" s="989"/>
      <c r="PXV1053" s="989"/>
      <c r="PXW1053" s="989"/>
      <c r="PXX1053" s="989"/>
      <c r="PXY1053" s="989"/>
      <c r="PXZ1053" s="989"/>
      <c r="PYA1053" s="989"/>
      <c r="PYB1053" s="989"/>
      <c r="PYC1053" s="989"/>
      <c r="PYD1053" s="989"/>
      <c r="PYE1053" s="989"/>
      <c r="PYF1053" s="989"/>
      <c r="PYG1053" s="989"/>
      <c r="PYH1053" s="989"/>
      <c r="PYI1053" s="989"/>
      <c r="PYJ1053" s="989"/>
      <c r="PYK1053" s="989"/>
      <c r="PYL1053" s="989"/>
      <c r="PYM1053" s="989"/>
      <c r="PYN1053" s="989"/>
      <c r="PYO1053" s="989"/>
      <c r="PYP1053" s="989"/>
      <c r="PYQ1053" s="989"/>
      <c r="PYR1053" s="989"/>
      <c r="PYS1053" s="989"/>
      <c r="PYT1053" s="989"/>
      <c r="PYU1053" s="989"/>
      <c r="PYV1053" s="989"/>
      <c r="PYW1053" s="989"/>
      <c r="PYX1053" s="989"/>
      <c r="PYY1053" s="989"/>
      <c r="PYZ1053" s="989"/>
      <c r="PZA1053" s="989"/>
      <c r="PZB1053" s="989"/>
      <c r="PZC1053" s="989"/>
      <c r="PZD1053" s="989"/>
      <c r="PZE1053" s="989"/>
      <c r="PZF1053" s="989"/>
      <c r="PZG1053" s="989"/>
      <c r="PZH1053" s="989"/>
      <c r="PZI1053" s="989"/>
      <c r="PZJ1053" s="989"/>
      <c r="PZK1053" s="989"/>
      <c r="PZL1053" s="989"/>
      <c r="PZM1053" s="989"/>
      <c r="PZN1053" s="989"/>
      <c r="PZO1053" s="989"/>
      <c r="PZP1053" s="989"/>
      <c r="PZQ1053" s="989"/>
      <c r="PZR1053" s="989"/>
      <c r="PZS1053" s="989"/>
      <c r="PZT1053" s="989"/>
      <c r="PZU1053" s="989"/>
      <c r="PZV1053" s="989"/>
      <c r="PZW1053" s="989"/>
      <c r="PZX1053" s="989"/>
      <c r="PZY1053" s="989"/>
      <c r="PZZ1053" s="989"/>
      <c r="QAA1053" s="989"/>
      <c r="QAB1053" s="989"/>
      <c r="QAC1053" s="989"/>
      <c r="QAD1053" s="989"/>
      <c r="QAE1053" s="989"/>
      <c r="QAF1053" s="989"/>
      <c r="QAG1053" s="989"/>
      <c r="QAH1053" s="989"/>
      <c r="QAI1053" s="989"/>
      <c r="QAJ1053" s="989"/>
      <c r="QAK1053" s="989"/>
      <c r="QAL1053" s="989"/>
      <c r="QAM1053" s="989"/>
      <c r="QAN1053" s="989"/>
      <c r="QAO1053" s="989"/>
      <c r="QAP1053" s="989"/>
      <c r="QAQ1053" s="989"/>
      <c r="QAR1053" s="989"/>
      <c r="QAS1053" s="989"/>
      <c r="QAT1053" s="989"/>
      <c r="QAU1053" s="989"/>
      <c r="QAV1053" s="989"/>
      <c r="QAW1053" s="989"/>
      <c r="QAX1053" s="989"/>
      <c r="QAY1053" s="989"/>
      <c r="QAZ1053" s="989"/>
      <c r="QBA1053" s="989"/>
      <c r="QBB1053" s="989"/>
      <c r="QBC1053" s="989"/>
      <c r="QBD1053" s="989"/>
      <c r="QBE1053" s="989"/>
      <c r="QBF1053" s="989"/>
      <c r="QBG1053" s="989"/>
      <c r="QBH1053" s="989"/>
      <c r="QBI1053" s="989"/>
      <c r="QBJ1053" s="989"/>
      <c r="QBK1053" s="989"/>
      <c r="QBL1053" s="989"/>
      <c r="QBM1053" s="989"/>
      <c r="QBN1053" s="989"/>
      <c r="QBO1053" s="989"/>
      <c r="QBP1053" s="989"/>
      <c r="QBQ1053" s="989"/>
      <c r="QBR1053" s="989"/>
      <c r="QBS1053" s="989"/>
      <c r="QBT1053" s="989"/>
      <c r="QBU1053" s="989"/>
      <c r="QBV1053" s="989"/>
      <c r="QBW1053" s="989"/>
      <c r="QBX1053" s="989"/>
      <c r="QBY1053" s="989"/>
      <c r="QBZ1053" s="989"/>
      <c r="QCA1053" s="989"/>
      <c r="QCB1053" s="989"/>
      <c r="QCC1053" s="989"/>
      <c r="QCD1053" s="989"/>
      <c r="QCE1053" s="989"/>
      <c r="QCF1053" s="989"/>
      <c r="QCG1053" s="989"/>
      <c r="QCH1053" s="989"/>
      <c r="QCI1053" s="989"/>
      <c r="QCJ1053" s="989"/>
      <c r="QCK1053" s="989"/>
      <c r="QCL1053" s="989"/>
      <c r="QCM1053" s="989"/>
      <c r="QCN1053" s="989"/>
      <c r="QCO1053" s="989"/>
      <c r="QCP1053" s="989"/>
      <c r="QCQ1053" s="989"/>
      <c r="QCR1053" s="989"/>
      <c r="QCS1053" s="989"/>
      <c r="QCT1053" s="989"/>
      <c r="QCU1053" s="989"/>
      <c r="QCV1053" s="989"/>
      <c r="QCW1053" s="989"/>
      <c r="QCX1053" s="989"/>
      <c r="QCY1053" s="989"/>
      <c r="QCZ1053" s="989"/>
      <c r="QDA1053" s="989"/>
      <c r="QDB1053" s="989"/>
      <c r="QDC1053" s="989"/>
      <c r="QDD1053" s="989"/>
      <c r="QDE1053" s="989"/>
      <c r="QDF1053" s="989"/>
      <c r="QDG1053" s="989"/>
      <c r="QDH1053" s="989"/>
      <c r="QDI1053" s="989"/>
      <c r="QDJ1053" s="989"/>
      <c r="QDK1053" s="989"/>
      <c r="QDL1053" s="989"/>
      <c r="QDM1053" s="989"/>
      <c r="QDN1053" s="989"/>
      <c r="QDO1053" s="989"/>
      <c r="QDP1053" s="989"/>
      <c r="QDQ1053" s="989"/>
      <c r="QDR1053" s="989"/>
      <c r="QDS1053" s="989"/>
      <c r="QDT1053" s="989"/>
      <c r="QDU1053" s="989"/>
      <c r="QDV1053" s="989"/>
      <c r="QDW1053" s="989"/>
      <c r="QDX1053" s="989"/>
      <c r="QDY1053" s="989"/>
      <c r="QDZ1053" s="989"/>
      <c r="QEA1053" s="989"/>
      <c r="QEB1053" s="989"/>
      <c r="QEC1053" s="989"/>
      <c r="QED1053" s="989"/>
      <c r="QEE1053" s="989"/>
      <c r="QEF1053" s="989"/>
      <c r="QEG1053" s="989"/>
      <c r="QEH1053" s="989"/>
      <c r="QEI1053" s="989"/>
      <c r="QEJ1053" s="989"/>
      <c r="QEK1053" s="989"/>
      <c r="QEL1053" s="989"/>
      <c r="QEM1053" s="989"/>
      <c r="QEN1053" s="989"/>
      <c r="QEO1053" s="989"/>
      <c r="QEP1053" s="989"/>
      <c r="QEQ1053" s="989"/>
      <c r="QER1053" s="989"/>
      <c r="QES1053" s="989"/>
      <c r="QET1053" s="989"/>
      <c r="QEU1053" s="989"/>
      <c r="QEV1053" s="989"/>
      <c r="QEW1053" s="989"/>
      <c r="QEX1053" s="989"/>
      <c r="QEY1053" s="989"/>
      <c r="QEZ1053" s="989"/>
      <c r="QFA1053" s="989"/>
      <c r="QFB1053" s="989"/>
      <c r="QFC1053" s="989"/>
      <c r="QFD1053" s="989"/>
      <c r="QFE1053" s="989"/>
      <c r="QFF1053" s="989"/>
      <c r="QFG1053" s="989"/>
      <c r="QFH1053" s="989"/>
      <c r="QFI1053" s="989"/>
      <c r="QFJ1053" s="989"/>
      <c r="QFK1053" s="989"/>
      <c r="QFL1053" s="989"/>
      <c r="QFM1053" s="989"/>
      <c r="QFN1053" s="989"/>
      <c r="QFO1053" s="989"/>
      <c r="QFP1053" s="989"/>
      <c r="QFQ1053" s="989"/>
      <c r="QFR1053" s="989"/>
      <c r="QFS1053" s="989"/>
      <c r="QFT1053" s="989"/>
      <c r="QFU1053" s="989"/>
      <c r="QFV1053" s="989"/>
      <c r="QFW1053" s="989"/>
      <c r="QFX1053" s="989"/>
      <c r="QFY1053" s="989"/>
      <c r="QFZ1053" s="989"/>
      <c r="QGA1053" s="989"/>
      <c r="QGB1053" s="989"/>
      <c r="QGC1053" s="989"/>
      <c r="QGD1053" s="989"/>
      <c r="QGE1053" s="989"/>
      <c r="QGF1053" s="989"/>
      <c r="QGG1053" s="989"/>
      <c r="QGH1053" s="989"/>
      <c r="QGI1053" s="989"/>
      <c r="QGJ1053" s="989"/>
      <c r="QGK1053" s="989"/>
      <c r="QGL1053" s="989"/>
      <c r="QGM1053" s="989"/>
      <c r="QGN1053" s="989"/>
      <c r="QGO1053" s="989"/>
      <c r="QGP1053" s="989"/>
      <c r="QGQ1053" s="989"/>
      <c r="QGR1053" s="989"/>
      <c r="QGS1053" s="989"/>
      <c r="QGT1053" s="989"/>
      <c r="QGU1053" s="989"/>
      <c r="QGV1053" s="989"/>
      <c r="QGW1053" s="989"/>
      <c r="QGX1053" s="989"/>
      <c r="QGY1053" s="989"/>
      <c r="QGZ1053" s="989"/>
      <c r="QHA1053" s="989"/>
      <c r="QHB1053" s="989"/>
      <c r="QHC1053" s="989"/>
      <c r="QHD1053" s="989"/>
      <c r="QHE1053" s="989"/>
      <c r="QHF1053" s="989"/>
      <c r="QHG1053" s="989"/>
      <c r="QHH1053" s="989"/>
      <c r="QHI1053" s="989"/>
      <c r="QHJ1053" s="989"/>
      <c r="QHK1053" s="989"/>
      <c r="QHL1053" s="989"/>
      <c r="QHM1053" s="989"/>
      <c r="QHN1053" s="989"/>
      <c r="QHO1053" s="989"/>
      <c r="QHP1053" s="989"/>
      <c r="QHQ1053" s="989"/>
      <c r="QHR1053" s="989"/>
      <c r="QHS1053" s="989"/>
      <c r="QHT1053" s="989"/>
      <c r="QHU1053" s="989"/>
      <c r="QHV1053" s="989"/>
      <c r="QHW1053" s="989"/>
      <c r="QHX1053" s="989"/>
      <c r="QHY1053" s="989"/>
      <c r="QHZ1053" s="989"/>
      <c r="QIA1053" s="989"/>
      <c r="QIB1053" s="989"/>
      <c r="QIC1053" s="989"/>
      <c r="QID1053" s="989"/>
      <c r="QIE1053" s="989"/>
      <c r="QIF1053" s="989"/>
      <c r="QIG1053" s="989"/>
      <c r="QIH1053" s="989"/>
      <c r="QII1053" s="989"/>
      <c r="QIJ1053" s="989"/>
      <c r="QIK1053" s="989"/>
      <c r="QIL1053" s="989"/>
      <c r="QIM1053" s="989"/>
      <c r="QIN1053" s="989"/>
      <c r="QIO1053" s="989"/>
      <c r="QIP1053" s="989"/>
      <c r="QIQ1053" s="989"/>
      <c r="QIR1053" s="989"/>
      <c r="QIS1053" s="989"/>
      <c r="QIT1053" s="989"/>
      <c r="QIU1053" s="989"/>
      <c r="QIV1053" s="989"/>
      <c r="QIW1053" s="989"/>
      <c r="QIX1053" s="989"/>
      <c r="QIY1053" s="989"/>
      <c r="QIZ1053" s="989"/>
      <c r="QJA1053" s="989"/>
      <c r="QJB1053" s="989"/>
      <c r="QJC1053" s="989"/>
      <c r="QJD1053" s="989"/>
      <c r="QJE1053" s="989"/>
      <c r="QJF1053" s="989"/>
      <c r="QJG1053" s="989"/>
      <c r="QJH1053" s="989"/>
      <c r="QJI1053" s="989"/>
      <c r="QJJ1053" s="989"/>
      <c r="QJK1053" s="989"/>
      <c r="QJL1053" s="989"/>
      <c r="QJM1053" s="989"/>
      <c r="QJN1053" s="989"/>
      <c r="QJO1053" s="989"/>
      <c r="QJP1053" s="989"/>
      <c r="QJQ1053" s="989"/>
      <c r="QJR1053" s="989"/>
      <c r="QJS1053" s="989"/>
      <c r="QJT1053" s="989"/>
      <c r="QJU1053" s="989"/>
      <c r="QJV1053" s="989"/>
      <c r="QJW1053" s="989"/>
      <c r="QJX1053" s="989"/>
      <c r="QJY1053" s="989"/>
      <c r="QJZ1053" s="989"/>
      <c r="QKA1053" s="989"/>
      <c r="QKB1053" s="989"/>
      <c r="QKC1053" s="989"/>
      <c r="QKD1053" s="989"/>
      <c r="QKE1053" s="989"/>
      <c r="QKF1053" s="989"/>
      <c r="QKG1053" s="989"/>
      <c r="QKH1053" s="989"/>
      <c r="QKI1053" s="989"/>
      <c r="QKJ1053" s="989"/>
      <c r="QKK1053" s="989"/>
      <c r="QKL1053" s="989"/>
      <c r="QKM1053" s="989"/>
      <c r="QKN1053" s="989"/>
      <c r="QKO1053" s="989"/>
      <c r="QKP1053" s="989"/>
      <c r="QKQ1053" s="989"/>
      <c r="QKR1053" s="989"/>
      <c r="QKS1053" s="989"/>
      <c r="QKT1053" s="989"/>
      <c r="QKU1053" s="989"/>
      <c r="QKV1053" s="989"/>
      <c r="QKW1053" s="989"/>
      <c r="QKX1053" s="989"/>
      <c r="QKY1053" s="989"/>
      <c r="QKZ1053" s="989"/>
      <c r="QLA1053" s="989"/>
      <c r="QLB1053" s="989"/>
      <c r="QLC1053" s="989"/>
      <c r="QLD1053" s="989"/>
      <c r="QLE1053" s="989"/>
      <c r="QLF1053" s="989"/>
      <c r="QLG1053" s="989"/>
      <c r="QLH1053" s="989"/>
      <c r="QLI1053" s="989"/>
      <c r="QLJ1053" s="989"/>
      <c r="QLK1053" s="989"/>
      <c r="QLL1053" s="989"/>
      <c r="QLM1053" s="989"/>
      <c r="QLN1053" s="989"/>
      <c r="QLO1053" s="989"/>
      <c r="QLP1053" s="989"/>
      <c r="QLQ1053" s="989"/>
      <c r="QLR1053" s="989"/>
      <c r="QLS1053" s="989"/>
      <c r="QLT1053" s="989"/>
      <c r="QLU1053" s="989"/>
      <c r="QLV1053" s="989"/>
      <c r="QLW1053" s="989"/>
      <c r="QLX1053" s="989"/>
      <c r="QLY1053" s="989"/>
      <c r="QLZ1053" s="989"/>
      <c r="QMA1053" s="989"/>
      <c r="QMB1053" s="989"/>
      <c r="QMC1053" s="989"/>
      <c r="QMD1053" s="989"/>
      <c r="QME1053" s="989"/>
      <c r="QMF1053" s="989"/>
      <c r="QMG1053" s="989"/>
      <c r="QMH1053" s="989"/>
      <c r="QMI1053" s="989"/>
      <c r="QMJ1053" s="989"/>
      <c r="QMK1053" s="989"/>
      <c r="QML1053" s="989"/>
      <c r="QMM1053" s="989"/>
      <c r="QMN1053" s="989"/>
      <c r="QMO1053" s="989"/>
      <c r="QMP1053" s="989"/>
      <c r="QMQ1053" s="989"/>
      <c r="QMR1053" s="989"/>
      <c r="QMS1053" s="989"/>
      <c r="QMT1053" s="989"/>
      <c r="QMU1053" s="989"/>
      <c r="QMV1053" s="989"/>
      <c r="QMW1053" s="989"/>
      <c r="QMX1053" s="989"/>
      <c r="QMY1053" s="989"/>
      <c r="QMZ1053" s="989"/>
      <c r="QNA1053" s="989"/>
      <c r="QNB1053" s="989"/>
      <c r="QNC1053" s="989"/>
      <c r="QND1053" s="989"/>
      <c r="QNE1053" s="989"/>
      <c r="QNF1053" s="989"/>
      <c r="QNG1053" s="989"/>
      <c r="QNH1053" s="989"/>
      <c r="QNI1053" s="989"/>
      <c r="QNJ1053" s="989"/>
      <c r="QNK1053" s="989"/>
      <c r="QNL1053" s="989"/>
      <c r="QNM1053" s="989"/>
      <c r="QNN1053" s="989"/>
      <c r="QNO1053" s="989"/>
      <c r="QNP1053" s="989"/>
      <c r="QNQ1053" s="989"/>
      <c r="QNR1053" s="989"/>
      <c r="QNS1053" s="989"/>
      <c r="QNT1053" s="989"/>
      <c r="QNU1053" s="989"/>
      <c r="QNV1053" s="989"/>
      <c r="QNW1053" s="989"/>
      <c r="QNX1053" s="989"/>
      <c r="QNY1053" s="989"/>
      <c r="QNZ1053" s="989"/>
      <c r="QOA1053" s="989"/>
      <c r="QOB1053" s="989"/>
      <c r="QOC1053" s="989"/>
      <c r="QOD1053" s="989"/>
      <c r="QOE1053" s="989"/>
      <c r="QOF1053" s="989"/>
      <c r="QOG1053" s="989"/>
      <c r="QOH1053" s="989"/>
      <c r="QOI1053" s="989"/>
      <c r="QOJ1053" s="989"/>
      <c r="QOK1053" s="989"/>
      <c r="QOL1053" s="989"/>
      <c r="QOM1053" s="989"/>
      <c r="QON1053" s="989"/>
      <c r="QOO1053" s="989"/>
      <c r="QOP1053" s="989"/>
      <c r="QOQ1053" s="989"/>
      <c r="QOR1053" s="989"/>
      <c r="QOS1053" s="989"/>
      <c r="QOT1053" s="989"/>
      <c r="QOU1053" s="989"/>
      <c r="QOV1053" s="989"/>
      <c r="QOW1053" s="989"/>
      <c r="QOX1053" s="989"/>
      <c r="QOY1053" s="989"/>
      <c r="QOZ1053" s="989"/>
      <c r="QPA1053" s="989"/>
      <c r="QPB1053" s="989"/>
      <c r="QPC1053" s="989"/>
      <c r="QPD1053" s="989"/>
      <c r="QPE1053" s="989"/>
      <c r="QPF1053" s="989"/>
      <c r="QPG1053" s="989"/>
      <c r="QPH1053" s="989"/>
      <c r="QPI1053" s="989"/>
      <c r="QPJ1053" s="989"/>
      <c r="QPK1053" s="989"/>
      <c r="QPL1053" s="989"/>
      <c r="QPM1053" s="989"/>
      <c r="QPN1053" s="989"/>
      <c r="QPO1053" s="989"/>
      <c r="QPP1053" s="989"/>
      <c r="QPQ1053" s="989"/>
      <c r="QPR1053" s="989"/>
      <c r="QPS1053" s="989"/>
      <c r="QPT1053" s="989"/>
      <c r="QPU1053" s="989"/>
      <c r="QPV1053" s="989"/>
      <c r="QPW1053" s="989"/>
      <c r="QPX1053" s="989"/>
      <c r="QPY1053" s="989"/>
      <c r="QPZ1053" s="989"/>
      <c r="QQA1053" s="989"/>
      <c r="QQB1053" s="989"/>
      <c r="QQC1053" s="989"/>
      <c r="QQD1053" s="989"/>
      <c r="QQE1053" s="989"/>
      <c r="QQF1053" s="989"/>
      <c r="QQG1053" s="989"/>
      <c r="QQH1053" s="989"/>
      <c r="QQI1053" s="989"/>
      <c r="QQJ1053" s="989"/>
      <c r="QQK1053" s="989"/>
      <c r="QQL1053" s="989"/>
      <c r="QQM1053" s="989"/>
      <c r="QQN1053" s="989"/>
      <c r="QQO1053" s="989"/>
      <c r="QQP1053" s="989"/>
      <c r="QQQ1053" s="989"/>
      <c r="QQR1053" s="989"/>
      <c r="QQS1053" s="989"/>
      <c r="QQT1053" s="989"/>
      <c r="QQU1053" s="989"/>
      <c r="QQV1053" s="989"/>
      <c r="QQW1053" s="989"/>
      <c r="QQX1053" s="989"/>
      <c r="QQY1053" s="989"/>
      <c r="QQZ1053" s="989"/>
      <c r="QRA1053" s="989"/>
      <c r="QRB1053" s="989"/>
      <c r="QRC1053" s="989"/>
      <c r="QRD1053" s="989"/>
      <c r="QRE1053" s="989"/>
      <c r="QRF1053" s="989"/>
      <c r="QRG1053" s="989"/>
      <c r="QRH1053" s="989"/>
      <c r="QRI1053" s="989"/>
      <c r="QRJ1053" s="989"/>
      <c r="QRK1053" s="989"/>
      <c r="QRL1053" s="989"/>
      <c r="QRM1053" s="989"/>
      <c r="QRN1053" s="989"/>
      <c r="QRO1053" s="989"/>
      <c r="QRP1053" s="989"/>
      <c r="QRQ1053" s="989"/>
      <c r="QRR1053" s="989"/>
      <c r="QRS1053" s="989"/>
      <c r="QRT1053" s="989"/>
      <c r="QRU1053" s="989"/>
      <c r="QRV1053" s="989"/>
      <c r="QRW1053" s="989"/>
      <c r="QRX1053" s="989"/>
      <c r="QRY1053" s="989"/>
      <c r="QRZ1053" s="989"/>
      <c r="QSA1053" s="989"/>
      <c r="QSB1053" s="989"/>
      <c r="QSC1053" s="989"/>
      <c r="QSD1053" s="989"/>
      <c r="QSE1053" s="989"/>
      <c r="QSF1053" s="989"/>
      <c r="QSG1053" s="989"/>
      <c r="QSH1053" s="989"/>
      <c r="QSI1053" s="989"/>
      <c r="QSJ1053" s="989"/>
      <c r="QSK1053" s="989"/>
      <c r="QSL1053" s="989"/>
      <c r="QSM1053" s="989"/>
      <c r="QSN1053" s="989"/>
      <c r="QSO1053" s="989"/>
      <c r="QSP1053" s="989"/>
      <c r="QSQ1053" s="989"/>
      <c r="QSR1053" s="989"/>
      <c r="QSS1053" s="989"/>
      <c r="QST1053" s="989"/>
      <c r="QSU1053" s="989"/>
      <c r="QSV1053" s="989"/>
      <c r="QSW1053" s="989"/>
      <c r="QSX1053" s="989"/>
      <c r="QSY1053" s="989"/>
      <c r="QSZ1053" s="989"/>
      <c r="QTA1053" s="989"/>
      <c r="QTB1053" s="989"/>
      <c r="QTC1053" s="989"/>
      <c r="QTD1053" s="989"/>
      <c r="QTE1053" s="989"/>
      <c r="QTF1053" s="989"/>
      <c r="QTG1053" s="989"/>
      <c r="QTH1053" s="989"/>
      <c r="QTI1053" s="989"/>
      <c r="QTJ1053" s="989"/>
      <c r="QTK1053" s="989"/>
      <c r="QTL1053" s="989"/>
      <c r="QTM1053" s="989"/>
      <c r="QTN1053" s="989"/>
      <c r="QTO1053" s="989"/>
      <c r="QTP1053" s="989"/>
      <c r="QTQ1053" s="989"/>
      <c r="QTR1053" s="989"/>
      <c r="QTS1053" s="989"/>
      <c r="QTT1053" s="989"/>
      <c r="QTU1053" s="989"/>
      <c r="QTV1053" s="989"/>
      <c r="QTW1053" s="989"/>
      <c r="QTX1053" s="989"/>
      <c r="QTY1053" s="989"/>
      <c r="QTZ1053" s="989"/>
      <c r="QUA1053" s="989"/>
      <c r="QUB1053" s="989"/>
      <c r="QUC1053" s="989"/>
      <c r="QUD1053" s="989"/>
      <c r="QUE1053" s="989"/>
      <c r="QUF1053" s="989"/>
      <c r="QUG1053" s="989"/>
      <c r="QUH1053" s="989"/>
      <c r="QUI1053" s="989"/>
      <c r="QUJ1053" s="989"/>
      <c r="QUK1053" s="989"/>
      <c r="QUL1053" s="989"/>
      <c r="QUM1053" s="989"/>
      <c r="QUN1053" s="989"/>
      <c r="QUO1053" s="989"/>
      <c r="QUP1053" s="989"/>
      <c r="QUQ1053" s="989"/>
      <c r="QUR1053" s="989"/>
      <c r="QUS1053" s="989"/>
      <c r="QUT1053" s="989"/>
      <c r="QUU1053" s="989"/>
      <c r="QUV1053" s="989"/>
      <c r="QUW1053" s="989"/>
      <c r="QUX1053" s="989"/>
      <c r="QUY1053" s="989"/>
      <c r="QUZ1053" s="989"/>
      <c r="QVA1053" s="989"/>
      <c r="QVB1053" s="989"/>
      <c r="QVC1053" s="989"/>
      <c r="QVD1053" s="989"/>
      <c r="QVE1053" s="989"/>
      <c r="QVF1053" s="989"/>
      <c r="QVG1053" s="989"/>
      <c r="QVH1053" s="989"/>
      <c r="QVI1053" s="989"/>
      <c r="QVJ1053" s="989"/>
      <c r="QVK1053" s="989"/>
      <c r="QVL1053" s="989"/>
      <c r="QVM1053" s="989"/>
      <c r="QVN1053" s="989"/>
      <c r="QVO1053" s="989"/>
      <c r="QVP1053" s="989"/>
      <c r="QVQ1053" s="989"/>
      <c r="QVR1053" s="989"/>
      <c r="QVS1053" s="989"/>
      <c r="QVT1053" s="989"/>
      <c r="QVU1053" s="989"/>
      <c r="QVV1053" s="989"/>
      <c r="QVW1053" s="989"/>
      <c r="QVX1053" s="989"/>
      <c r="QVY1053" s="989"/>
      <c r="QVZ1053" s="989"/>
      <c r="QWA1053" s="989"/>
      <c r="QWB1053" s="989"/>
      <c r="QWC1053" s="989"/>
      <c r="QWD1053" s="989"/>
      <c r="QWE1053" s="989"/>
      <c r="QWF1053" s="989"/>
      <c r="QWG1053" s="989"/>
      <c r="QWH1053" s="989"/>
      <c r="QWI1053" s="989"/>
      <c r="QWJ1053" s="989"/>
      <c r="QWK1053" s="989"/>
      <c r="QWL1053" s="989"/>
      <c r="QWM1053" s="989"/>
      <c r="QWN1053" s="989"/>
      <c r="QWO1053" s="989"/>
      <c r="QWP1053" s="989"/>
      <c r="QWQ1053" s="989"/>
      <c r="QWR1053" s="989"/>
      <c r="QWS1053" s="989"/>
      <c r="QWT1053" s="989"/>
      <c r="QWU1053" s="989"/>
      <c r="QWV1053" s="989"/>
      <c r="QWW1053" s="989"/>
      <c r="QWX1053" s="989"/>
      <c r="QWY1053" s="989"/>
      <c r="QWZ1053" s="989"/>
      <c r="QXA1053" s="989"/>
      <c r="QXB1053" s="989"/>
      <c r="QXC1053" s="989"/>
      <c r="QXD1053" s="989"/>
      <c r="QXE1053" s="989"/>
      <c r="QXF1053" s="989"/>
      <c r="QXG1053" s="989"/>
      <c r="QXH1053" s="989"/>
      <c r="QXI1053" s="989"/>
      <c r="QXJ1053" s="989"/>
      <c r="QXK1053" s="989"/>
      <c r="QXL1053" s="989"/>
      <c r="QXM1053" s="989"/>
      <c r="QXN1053" s="989"/>
      <c r="QXO1053" s="989"/>
      <c r="QXP1053" s="989"/>
      <c r="QXQ1053" s="989"/>
      <c r="QXR1053" s="989"/>
      <c r="QXS1053" s="989"/>
      <c r="QXT1053" s="989"/>
      <c r="QXU1053" s="989"/>
      <c r="QXV1053" s="989"/>
      <c r="QXW1053" s="989"/>
      <c r="QXX1053" s="989"/>
      <c r="QXY1053" s="989"/>
      <c r="QXZ1053" s="989"/>
      <c r="QYA1053" s="989"/>
      <c r="QYB1053" s="989"/>
      <c r="QYC1053" s="989"/>
      <c r="QYD1053" s="989"/>
      <c r="QYE1053" s="989"/>
      <c r="QYF1053" s="989"/>
      <c r="QYG1053" s="989"/>
      <c r="QYH1053" s="989"/>
      <c r="QYI1053" s="989"/>
      <c r="QYJ1053" s="989"/>
      <c r="QYK1053" s="989"/>
      <c r="QYL1053" s="989"/>
      <c r="QYM1053" s="989"/>
      <c r="QYN1053" s="989"/>
      <c r="QYO1053" s="989"/>
      <c r="QYP1053" s="989"/>
      <c r="QYQ1053" s="989"/>
      <c r="QYR1053" s="989"/>
      <c r="QYS1053" s="989"/>
      <c r="QYT1053" s="989"/>
      <c r="QYU1053" s="989"/>
      <c r="QYV1053" s="989"/>
      <c r="QYW1053" s="989"/>
      <c r="QYX1053" s="989"/>
      <c r="QYY1053" s="989"/>
      <c r="QYZ1053" s="989"/>
      <c r="QZA1053" s="989"/>
      <c r="QZB1053" s="989"/>
      <c r="QZC1053" s="989"/>
      <c r="QZD1053" s="989"/>
      <c r="QZE1053" s="989"/>
      <c r="QZF1053" s="989"/>
      <c r="QZG1053" s="989"/>
      <c r="QZH1053" s="989"/>
      <c r="QZI1053" s="989"/>
      <c r="QZJ1053" s="989"/>
      <c r="QZK1053" s="989"/>
      <c r="QZL1053" s="989"/>
      <c r="QZM1053" s="989"/>
      <c r="QZN1053" s="989"/>
      <c r="QZO1053" s="989"/>
      <c r="QZP1053" s="989"/>
      <c r="QZQ1053" s="989"/>
      <c r="QZR1053" s="989"/>
      <c r="QZS1053" s="989"/>
      <c r="QZT1053" s="989"/>
      <c r="QZU1053" s="989"/>
      <c r="QZV1053" s="989"/>
      <c r="QZW1053" s="989"/>
      <c r="QZX1053" s="989"/>
      <c r="QZY1053" s="989"/>
      <c r="QZZ1053" s="989"/>
      <c r="RAA1053" s="989"/>
      <c r="RAB1053" s="989"/>
      <c r="RAC1053" s="989"/>
      <c r="RAD1053" s="989"/>
      <c r="RAE1053" s="989"/>
      <c r="RAF1053" s="989"/>
      <c r="RAG1053" s="989"/>
      <c r="RAH1053" s="989"/>
      <c r="RAI1053" s="989"/>
      <c r="RAJ1053" s="989"/>
      <c r="RAK1053" s="989"/>
      <c r="RAL1053" s="989"/>
      <c r="RAM1053" s="989"/>
      <c r="RAN1053" s="989"/>
      <c r="RAO1053" s="989"/>
      <c r="RAP1053" s="989"/>
      <c r="RAQ1053" s="989"/>
      <c r="RAR1053" s="989"/>
      <c r="RAS1053" s="989"/>
      <c r="RAT1053" s="989"/>
      <c r="RAU1053" s="989"/>
      <c r="RAV1053" s="989"/>
      <c r="RAW1053" s="989"/>
      <c r="RAX1053" s="989"/>
      <c r="RAY1053" s="989"/>
      <c r="RAZ1053" s="989"/>
      <c r="RBA1053" s="989"/>
      <c r="RBB1053" s="989"/>
      <c r="RBC1053" s="989"/>
      <c r="RBD1053" s="989"/>
      <c r="RBE1053" s="989"/>
      <c r="RBF1053" s="989"/>
      <c r="RBG1053" s="989"/>
      <c r="RBH1053" s="989"/>
      <c r="RBI1053" s="989"/>
      <c r="RBJ1053" s="989"/>
      <c r="RBK1053" s="989"/>
      <c r="RBL1053" s="989"/>
      <c r="RBM1053" s="989"/>
      <c r="RBN1053" s="989"/>
      <c r="RBO1053" s="989"/>
      <c r="RBP1053" s="989"/>
      <c r="RBQ1053" s="989"/>
      <c r="RBR1053" s="989"/>
      <c r="RBS1053" s="989"/>
      <c r="RBT1053" s="989"/>
      <c r="RBU1053" s="989"/>
      <c r="RBV1053" s="989"/>
      <c r="RBW1053" s="989"/>
      <c r="RBX1053" s="989"/>
      <c r="RBY1053" s="989"/>
      <c r="RBZ1053" s="989"/>
      <c r="RCA1053" s="989"/>
      <c r="RCB1053" s="989"/>
      <c r="RCC1053" s="989"/>
      <c r="RCD1053" s="989"/>
      <c r="RCE1053" s="989"/>
      <c r="RCF1053" s="989"/>
      <c r="RCG1053" s="989"/>
      <c r="RCH1053" s="989"/>
      <c r="RCI1053" s="989"/>
      <c r="RCJ1053" s="989"/>
      <c r="RCK1053" s="989"/>
      <c r="RCL1053" s="989"/>
      <c r="RCM1053" s="989"/>
      <c r="RCN1053" s="989"/>
      <c r="RCO1053" s="989"/>
      <c r="RCP1053" s="989"/>
      <c r="RCQ1053" s="989"/>
      <c r="RCR1053" s="989"/>
      <c r="RCS1053" s="989"/>
      <c r="RCT1053" s="989"/>
      <c r="RCU1053" s="989"/>
      <c r="RCV1053" s="989"/>
      <c r="RCW1053" s="989"/>
      <c r="RCX1053" s="989"/>
      <c r="RCY1053" s="989"/>
      <c r="RCZ1053" s="989"/>
      <c r="RDA1053" s="989"/>
      <c r="RDB1053" s="989"/>
      <c r="RDC1053" s="989"/>
      <c r="RDD1053" s="989"/>
      <c r="RDE1053" s="989"/>
      <c r="RDF1053" s="989"/>
      <c r="RDG1053" s="989"/>
      <c r="RDH1053" s="989"/>
      <c r="RDI1053" s="989"/>
      <c r="RDJ1053" s="989"/>
      <c r="RDK1053" s="989"/>
      <c r="RDL1053" s="989"/>
      <c r="RDM1053" s="989"/>
      <c r="RDN1053" s="989"/>
      <c r="RDO1053" s="989"/>
      <c r="RDP1053" s="989"/>
      <c r="RDQ1053" s="989"/>
      <c r="RDR1053" s="989"/>
      <c r="RDS1053" s="989"/>
      <c r="RDT1053" s="989"/>
      <c r="RDU1053" s="989"/>
      <c r="RDV1053" s="989"/>
      <c r="RDW1053" s="989"/>
      <c r="RDX1053" s="989"/>
      <c r="RDY1053" s="989"/>
      <c r="RDZ1053" s="989"/>
      <c r="REA1053" s="989"/>
      <c r="REB1053" s="989"/>
      <c r="REC1053" s="989"/>
      <c r="RED1053" s="989"/>
      <c r="REE1053" s="989"/>
      <c r="REF1053" s="989"/>
      <c r="REG1053" s="989"/>
      <c r="REH1053" s="989"/>
      <c r="REI1053" s="989"/>
      <c r="REJ1053" s="989"/>
      <c r="REK1053" s="989"/>
      <c r="REL1053" s="989"/>
      <c r="REM1053" s="989"/>
      <c r="REN1053" s="989"/>
      <c r="REO1053" s="989"/>
      <c r="REP1053" s="989"/>
      <c r="REQ1053" s="989"/>
      <c r="RER1053" s="989"/>
      <c r="RES1053" s="989"/>
      <c r="RET1053" s="989"/>
      <c r="REU1053" s="989"/>
      <c r="REV1053" s="989"/>
      <c r="REW1053" s="989"/>
      <c r="REX1053" s="989"/>
      <c r="REY1053" s="989"/>
      <c r="REZ1053" s="989"/>
      <c r="RFA1053" s="989"/>
      <c r="RFB1053" s="989"/>
      <c r="RFC1053" s="989"/>
      <c r="RFD1053" s="989"/>
      <c r="RFE1053" s="989"/>
      <c r="RFF1053" s="989"/>
      <c r="RFG1053" s="989"/>
      <c r="RFH1053" s="989"/>
      <c r="RFI1053" s="989"/>
      <c r="RFJ1053" s="989"/>
      <c r="RFK1053" s="989"/>
      <c r="RFL1053" s="989"/>
      <c r="RFM1053" s="989"/>
      <c r="RFN1053" s="989"/>
      <c r="RFO1053" s="989"/>
      <c r="RFP1053" s="989"/>
      <c r="RFQ1053" s="989"/>
      <c r="RFR1053" s="989"/>
      <c r="RFS1053" s="989"/>
      <c r="RFT1053" s="989"/>
      <c r="RFU1053" s="989"/>
      <c r="RFV1053" s="989"/>
      <c r="RFW1053" s="989"/>
      <c r="RFX1053" s="989"/>
      <c r="RFY1053" s="989"/>
      <c r="RFZ1053" s="989"/>
      <c r="RGA1053" s="989"/>
      <c r="RGB1053" s="989"/>
      <c r="RGC1053" s="989"/>
      <c r="RGD1053" s="989"/>
      <c r="RGE1053" s="989"/>
      <c r="RGF1053" s="989"/>
      <c r="RGG1053" s="989"/>
      <c r="RGH1053" s="989"/>
      <c r="RGI1053" s="989"/>
      <c r="RGJ1053" s="989"/>
      <c r="RGK1053" s="989"/>
      <c r="RGL1053" s="989"/>
      <c r="RGM1053" s="989"/>
      <c r="RGN1053" s="989"/>
      <c r="RGO1053" s="989"/>
      <c r="RGP1053" s="989"/>
      <c r="RGQ1053" s="989"/>
      <c r="RGR1053" s="989"/>
      <c r="RGS1053" s="989"/>
      <c r="RGT1053" s="989"/>
      <c r="RGU1053" s="989"/>
      <c r="RGV1053" s="989"/>
      <c r="RGW1053" s="989"/>
      <c r="RGX1053" s="989"/>
      <c r="RGY1053" s="989"/>
      <c r="RGZ1053" s="989"/>
      <c r="RHA1053" s="989"/>
      <c r="RHB1053" s="989"/>
      <c r="RHC1053" s="989"/>
      <c r="RHD1053" s="989"/>
      <c r="RHE1053" s="989"/>
      <c r="RHF1053" s="989"/>
      <c r="RHG1053" s="989"/>
      <c r="RHH1053" s="989"/>
      <c r="RHI1053" s="989"/>
      <c r="RHJ1053" s="989"/>
      <c r="RHK1053" s="989"/>
      <c r="RHL1053" s="989"/>
      <c r="RHM1053" s="989"/>
      <c r="RHN1053" s="989"/>
      <c r="RHO1053" s="989"/>
      <c r="RHP1053" s="989"/>
      <c r="RHQ1053" s="989"/>
      <c r="RHR1053" s="989"/>
      <c r="RHS1053" s="989"/>
      <c r="RHT1053" s="989"/>
      <c r="RHU1053" s="989"/>
      <c r="RHV1053" s="989"/>
      <c r="RHW1053" s="989"/>
      <c r="RHX1053" s="989"/>
      <c r="RHY1053" s="989"/>
      <c r="RHZ1053" s="989"/>
      <c r="RIA1053" s="989"/>
      <c r="RIB1053" s="989"/>
      <c r="RIC1053" s="989"/>
      <c r="RID1053" s="989"/>
      <c r="RIE1053" s="989"/>
      <c r="RIF1053" s="989"/>
      <c r="RIG1053" s="989"/>
      <c r="RIH1053" s="989"/>
      <c r="RII1053" s="989"/>
      <c r="RIJ1053" s="989"/>
      <c r="RIK1053" s="989"/>
      <c r="RIL1053" s="989"/>
      <c r="RIM1053" s="989"/>
      <c r="RIN1053" s="989"/>
      <c r="RIO1053" s="989"/>
      <c r="RIP1053" s="989"/>
      <c r="RIQ1053" s="989"/>
      <c r="RIR1053" s="989"/>
      <c r="RIS1053" s="989"/>
      <c r="RIT1053" s="989"/>
      <c r="RIU1053" s="989"/>
      <c r="RIV1053" s="989"/>
      <c r="RIW1053" s="989"/>
      <c r="RIX1053" s="989"/>
      <c r="RIY1053" s="989"/>
      <c r="RIZ1053" s="989"/>
      <c r="RJA1053" s="989"/>
      <c r="RJB1053" s="989"/>
      <c r="RJC1053" s="989"/>
      <c r="RJD1053" s="989"/>
      <c r="RJE1053" s="989"/>
      <c r="RJF1053" s="989"/>
      <c r="RJG1053" s="989"/>
      <c r="RJH1053" s="989"/>
      <c r="RJI1053" s="989"/>
      <c r="RJJ1053" s="989"/>
      <c r="RJK1053" s="989"/>
      <c r="RJL1053" s="989"/>
      <c r="RJM1053" s="989"/>
      <c r="RJN1053" s="989"/>
      <c r="RJO1053" s="989"/>
      <c r="RJP1053" s="989"/>
      <c r="RJQ1053" s="989"/>
      <c r="RJR1053" s="989"/>
      <c r="RJS1053" s="989"/>
      <c r="RJT1053" s="989"/>
      <c r="RJU1053" s="989"/>
      <c r="RJV1053" s="989"/>
      <c r="RJW1053" s="989"/>
      <c r="RJX1053" s="989"/>
      <c r="RJY1053" s="989"/>
      <c r="RJZ1053" s="989"/>
      <c r="RKA1053" s="989"/>
      <c r="RKB1053" s="989"/>
      <c r="RKC1053" s="989"/>
      <c r="RKD1053" s="989"/>
      <c r="RKE1053" s="989"/>
      <c r="RKF1053" s="989"/>
      <c r="RKG1053" s="989"/>
      <c r="RKH1053" s="989"/>
      <c r="RKI1053" s="989"/>
      <c r="RKJ1053" s="989"/>
      <c r="RKK1053" s="989"/>
      <c r="RKL1053" s="989"/>
      <c r="RKM1053" s="989"/>
      <c r="RKN1053" s="989"/>
      <c r="RKO1053" s="989"/>
      <c r="RKP1053" s="989"/>
      <c r="RKQ1053" s="989"/>
      <c r="RKR1053" s="989"/>
      <c r="RKS1053" s="989"/>
      <c r="RKT1053" s="989"/>
      <c r="RKU1053" s="989"/>
      <c r="RKV1053" s="989"/>
      <c r="RKW1053" s="989"/>
      <c r="RKX1053" s="989"/>
      <c r="RKY1053" s="989"/>
      <c r="RKZ1053" s="989"/>
      <c r="RLA1053" s="989"/>
      <c r="RLB1053" s="989"/>
      <c r="RLC1053" s="989"/>
      <c r="RLD1053" s="989"/>
      <c r="RLE1053" s="989"/>
      <c r="RLF1053" s="989"/>
      <c r="RLG1053" s="989"/>
      <c r="RLH1053" s="989"/>
      <c r="RLI1053" s="989"/>
      <c r="RLJ1053" s="989"/>
      <c r="RLK1053" s="989"/>
      <c r="RLL1053" s="989"/>
      <c r="RLM1053" s="989"/>
      <c r="RLN1053" s="989"/>
      <c r="RLO1053" s="989"/>
      <c r="RLP1053" s="989"/>
      <c r="RLQ1053" s="989"/>
      <c r="RLR1053" s="989"/>
      <c r="RLS1053" s="989"/>
      <c r="RLT1053" s="989"/>
      <c r="RLU1053" s="989"/>
      <c r="RLV1053" s="989"/>
      <c r="RLW1053" s="989"/>
      <c r="RLX1053" s="989"/>
      <c r="RLY1053" s="989"/>
      <c r="RLZ1053" s="989"/>
      <c r="RMA1053" s="989"/>
      <c r="RMB1053" s="989"/>
      <c r="RMC1053" s="989"/>
      <c r="RMD1053" s="989"/>
      <c r="RME1053" s="989"/>
      <c r="RMF1053" s="989"/>
      <c r="RMG1053" s="989"/>
      <c r="RMH1053" s="989"/>
      <c r="RMI1053" s="989"/>
      <c r="RMJ1053" s="989"/>
      <c r="RMK1053" s="989"/>
      <c r="RML1053" s="989"/>
      <c r="RMM1053" s="989"/>
      <c r="RMN1053" s="989"/>
      <c r="RMO1053" s="989"/>
      <c r="RMP1053" s="989"/>
      <c r="RMQ1053" s="989"/>
      <c r="RMR1053" s="989"/>
      <c r="RMS1053" s="989"/>
      <c r="RMT1053" s="989"/>
      <c r="RMU1053" s="989"/>
      <c r="RMV1053" s="989"/>
      <c r="RMW1053" s="989"/>
      <c r="RMX1053" s="989"/>
      <c r="RMY1053" s="989"/>
      <c r="RMZ1053" s="989"/>
      <c r="RNA1053" s="989"/>
      <c r="RNB1053" s="989"/>
      <c r="RNC1053" s="989"/>
      <c r="RND1053" s="989"/>
      <c r="RNE1053" s="989"/>
      <c r="RNF1053" s="989"/>
      <c r="RNG1053" s="989"/>
      <c r="RNH1053" s="989"/>
      <c r="RNI1053" s="989"/>
      <c r="RNJ1053" s="989"/>
      <c r="RNK1053" s="989"/>
      <c r="RNL1053" s="989"/>
      <c r="RNM1053" s="989"/>
      <c r="RNN1053" s="989"/>
      <c r="RNO1053" s="989"/>
      <c r="RNP1053" s="989"/>
      <c r="RNQ1053" s="989"/>
      <c r="RNR1053" s="989"/>
      <c r="RNS1053" s="989"/>
      <c r="RNT1053" s="989"/>
      <c r="RNU1053" s="989"/>
      <c r="RNV1053" s="989"/>
      <c r="RNW1053" s="989"/>
      <c r="RNX1053" s="989"/>
      <c r="RNY1053" s="989"/>
      <c r="RNZ1053" s="989"/>
      <c r="ROA1053" s="989"/>
      <c r="ROB1053" s="989"/>
      <c r="ROC1053" s="989"/>
      <c r="ROD1053" s="989"/>
      <c r="ROE1053" s="989"/>
      <c r="ROF1053" s="989"/>
      <c r="ROG1053" s="989"/>
      <c r="ROH1053" s="989"/>
      <c r="ROI1053" s="989"/>
      <c r="ROJ1053" s="989"/>
      <c r="ROK1053" s="989"/>
      <c r="ROL1053" s="989"/>
      <c r="ROM1053" s="989"/>
      <c r="RON1053" s="989"/>
      <c r="ROO1053" s="989"/>
      <c r="ROP1053" s="989"/>
      <c r="ROQ1053" s="989"/>
      <c r="ROR1053" s="989"/>
      <c r="ROS1053" s="989"/>
      <c r="ROT1053" s="989"/>
      <c r="ROU1053" s="989"/>
      <c r="ROV1053" s="989"/>
      <c r="ROW1053" s="989"/>
      <c r="ROX1053" s="989"/>
      <c r="ROY1053" s="989"/>
      <c r="ROZ1053" s="989"/>
      <c r="RPA1053" s="989"/>
      <c r="RPB1053" s="989"/>
      <c r="RPC1053" s="989"/>
      <c r="RPD1053" s="989"/>
      <c r="RPE1053" s="989"/>
      <c r="RPF1053" s="989"/>
      <c r="RPG1053" s="989"/>
      <c r="RPH1053" s="989"/>
      <c r="RPI1053" s="989"/>
      <c r="RPJ1053" s="989"/>
      <c r="RPK1053" s="989"/>
      <c r="RPL1053" s="989"/>
      <c r="RPM1053" s="989"/>
      <c r="RPN1053" s="989"/>
      <c r="RPO1053" s="989"/>
      <c r="RPP1053" s="989"/>
      <c r="RPQ1053" s="989"/>
      <c r="RPR1053" s="989"/>
      <c r="RPS1053" s="989"/>
      <c r="RPT1053" s="989"/>
      <c r="RPU1053" s="989"/>
      <c r="RPV1053" s="989"/>
      <c r="RPW1053" s="989"/>
      <c r="RPX1053" s="989"/>
      <c r="RPY1053" s="989"/>
      <c r="RPZ1053" s="989"/>
      <c r="RQA1053" s="989"/>
      <c r="RQB1053" s="989"/>
      <c r="RQC1053" s="989"/>
      <c r="RQD1053" s="989"/>
      <c r="RQE1053" s="989"/>
      <c r="RQF1053" s="989"/>
      <c r="RQG1053" s="989"/>
      <c r="RQH1053" s="989"/>
      <c r="RQI1053" s="989"/>
      <c r="RQJ1053" s="989"/>
      <c r="RQK1053" s="989"/>
      <c r="RQL1053" s="989"/>
      <c r="RQM1053" s="989"/>
      <c r="RQN1053" s="989"/>
      <c r="RQO1053" s="989"/>
      <c r="RQP1053" s="989"/>
      <c r="RQQ1053" s="989"/>
      <c r="RQR1053" s="989"/>
      <c r="RQS1053" s="989"/>
      <c r="RQT1053" s="989"/>
      <c r="RQU1053" s="989"/>
      <c r="RQV1053" s="989"/>
      <c r="RQW1053" s="989"/>
      <c r="RQX1053" s="989"/>
      <c r="RQY1053" s="989"/>
      <c r="RQZ1053" s="989"/>
      <c r="RRA1053" s="989"/>
      <c r="RRB1053" s="989"/>
      <c r="RRC1053" s="989"/>
      <c r="RRD1053" s="989"/>
      <c r="RRE1053" s="989"/>
      <c r="RRF1053" s="989"/>
      <c r="RRG1053" s="989"/>
      <c r="RRH1053" s="989"/>
      <c r="RRI1053" s="989"/>
      <c r="RRJ1053" s="989"/>
      <c r="RRK1053" s="989"/>
      <c r="RRL1053" s="989"/>
      <c r="RRM1053" s="989"/>
      <c r="RRN1053" s="989"/>
      <c r="RRO1053" s="989"/>
      <c r="RRP1053" s="989"/>
      <c r="RRQ1053" s="989"/>
      <c r="RRR1053" s="989"/>
      <c r="RRS1053" s="989"/>
      <c r="RRT1053" s="989"/>
      <c r="RRU1053" s="989"/>
      <c r="RRV1053" s="989"/>
      <c r="RRW1053" s="989"/>
      <c r="RRX1053" s="989"/>
      <c r="RRY1053" s="989"/>
      <c r="RRZ1053" s="989"/>
      <c r="RSA1053" s="989"/>
      <c r="RSB1053" s="989"/>
      <c r="RSC1053" s="989"/>
      <c r="RSD1053" s="989"/>
      <c r="RSE1053" s="989"/>
      <c r="RSF1053" s="989"/>
      <c r="RSG1053" s="989"/>
      <c r="RSH1053" s="989"/>
      <c r="RSI1053" s="989"/>
      <c r="RSJ1053" s="989"/>
      <c r="RSK1053" s="989"/>
      <c r="RSL1053" s="989"/>
      <c r="RSM1053" s="989"/>
      <c r="RSN1053" s="989"/>
      <c r="RSO1053" s="989"/>
      <c r="RSP1053" s="989"/>
      <c r="RSQ1053" s="989"/>
      <c r="RSR1053" s="989"/>
      <c r="RSS1053" s="989"/>
      <c r="RST1053" s="989"/>
      <c r="RSU1053" s="989"/>
      <c r="RSV1053" s="989"/>
      <c r="RSW1053" s="989"/>
      <c r="RSX1053" s="989"/>
      <c r="RSY1053" s="989"/>
      <c r="RSZ1053" s="989"/>
      <c r="RTA1053" s="989"/>
      <c r="RTB1053" s="989"/>
      <c r="RTC1053" s="989"/>
      <c r="RTD1053" s="989"/>
      <c r="RTE1053" s="989"/>
      <c r="RTF1053" s="989"/>
      <c r="RTG1053" s="989"/>
      <c r="RTH1053" s="989"/>
      <c r="RTI1053" s="989"/>
      <c r="RTJ1053" s="989"/>
      <c r="RTK1053" s="989"/>
      <c r="RTL1053" s="989"/>
      <c r="RTM1053" s="989"/>
      <c r="RTN1053" s="989"/>
      <c r="RTO1053" s="989"/>
      <c r="RTP1053" s="989"/>
      <c r="RTQ1053" s="989"/>
      <c r="RTR1053" s="989"/>
      <c r="RTS1053" s="989"/>
      <c r="RTT1053" s="989"/>
      <c r="RTU1053" s="989"/>
      <c r="RTV1053" s="989"/>
      <c r="RTW1053" s="989"/>
      <c r="RTX1053" s="989"/>
      <c r="RTY1053" s="989"/>
      <c r="RTZ1053" s="989"/>
      <c r="RUA1053" s="989"/>
      <c r="RUB1053" s="989"/>
      <c r="RUC1053" s="989"/>
      <c r="RUD1053" s="989"/>
      <c r="RUE1053" s="989"/>
      <c r="RUF1053" s="989"/>
      <c r="RUG1053" s="989"/>
      <c r="RUH1053" s="989"/>
      <c r="RUI1053" s="989"/>
      <c r="RUJ1053" s="989"/>
      <c r="RUK1053" s="989"/>
      <c r="RUL1053" s="989"/>
      <c r="RUM1053" s="989"/>
      <c r="RUN1053" s="989"/>
      <c r="RUO1053" s="989"/>
      <c r="RUP1053" s="989"/>
      <c r="RUQ1053" s="989"/>
      <c r="RUR1053" s="989"/>
      <c r="RUS1053" s="989"/>
      <c r="RUT1053" s="989"/>
      <c r="RUU1053" s="989"/>
      <c r="RUV1053" s="989"/>
      <c r="RUW1053" s="989"/>
      <c r="RUX1053" s="989"/>
      <c r="RUY1053" s="989"/>
      <c r="RUZ1053" s="989"/>
      <c r="RVA1053" s="989"/>
      <c r="RVB1053" s="989"/>
      <c r="RVC1053" s="989"/>
      <c r="RVD1053" s="989"/>
      <c r="RVE1053" s="989"/>
      <c r="RVF1053" s="989"/>
      <c r="RVG1053" s="989"/>
      <c r="RVH1053" s="989"/>
      <c r="RVI1053" s="989"/>
      <c r="RVJ1053" s="989"/>
      <c r="RVK1053" s="989"/>
      <c r="RVL1053" s="989"/>
      <c r="RVM1053" s="989"/>
      <c r="RVN1053" s="989"/>
      <c r="RVO1053" s="989"/>
      <c r="RVP1053" s="989"/>
      <c r="RVQ1053" s="989"/>
      <c r="RVR1053" s="989"/>
      <c r="RVS1053" s="989"/>
      <c r="RVT1053" s="989"/>
      <c r="RVU1053" s="989"/>
      <c r="RVV1053" s="989"/>
      <c r="RVW1053" s="989"/>
      <c r="RVX1053" s="989"/>
      <c r="RVY1053" s="989"/>
      <c r="RVZ1053" s="989"/>
      <c r="RWA1053" s="989"/>
      <c r="RWB1053" s="989"/>
      <c r="RWC1053" s="989"/>
      <c r="RWD1053" s="989"/>
      <c r="RWE1053" s="989"/>
      <c r="RWF1053" s="989"/>
      <c r="RWG1053" s="989"/>
      <c r="RWH1053" s="989"/>
      <c r="RWI1053" s="989"/>
      <c r="RWJ1053" s="989"/>
      <c r="RWK1053" s="989"/>
      <c r="RWL1053" s="989"/>
      <c r="RWM1053" s="989"/>
      <c r="RWN1053" s="989"/>
      <c r="RWO1053" s="989"/>
      <c r="RWP1053" s="989"/>
      <c r="RWQ1053" s="989"/>
      <c r="RWR1053" s="989"/>
      <c r="RWS1053" s="989"/>
      <c r="RWT1053" s="989"/>
      <c r="RWU1053" s="989"/>
      <c r="RWV1053" s="989"/>
      <c r="RWW1053" s="989"/>
      <c r="RWX1053" s="989"/>
      <c r="RWY1053" s="989"/>
      <c r="RWZ1053" s="989"/>
      <c r="RXA1053" s="989"/>
      <c r="RXB1053" s="989"/>
      <c r="RXC1053" s="989"/>
      <c r="RXD1053" s="989"/>
      <c r="RXE1053" s="989"/>
      <c r="RXF1053" s="989"/>
      <c r="RXG1053" s="989"/>
      <c r="RXH1053" s="989"/>
      <c r="RXI1053" s="989"/>
      <c r="RXJ1053" s="989"/>
      <c r="RXK1053" s="989"/>
      <c r="RXL1053" s="989"/>
      <c r="RXM1053" s="989"/>
      <c r="RXN1053" s="989"/>
      <c r="RXO1053" s="989"/>
      <c r="RXP1053" s="989"/>
      <c r="RXQ1053" s="989"/>
      <c r="RXR1053" s="989"/>
      <c r="RXS1053" s="989"/>
      <c r="RXT1053" s="989"/>
      <c r="RXU1053" s="989"/>
      <c r="RXV1053" s="989"/>
      <c r="RXW1053" s="989"/>
      <c r="RXX1053" s="989"/>
      <c r="RXY1053" s="989"/>
      <c r="RXZ1053" s="989"/>
      <c r="RYA1053" s="989"/>
      <c r="RYB1053" s="989"/>
      <c r="RYC1053" s="989"/>
      <c r="RYD1053" s="989"/>
      <c r="RYE1053" s="989"/>
      <c r="RYF1053" s="989"/>
      <c r="RYG1053" s="989"/>
      <c r="RYH1053" s="989"/>
      <c r="RYI1053" s="989"/>
      <c r="RYJ1053" s="989"/>
      <c r="RYK1053" s="989"/>
      <c r="RYL1053" s="989"/>
      <c r="RYM1053" s="989"/>
      <c r="RYN1053" s="989"/>
      <c r="RYO1053" s="989"/>
      <c r="RYP1053" s="989"/>
      <c r="RYQ1053" s="989"/>
      <c r="RYR1053" s="989"/>
      <c r="RYS1053" s="989"/>
      <c r="RYT1053" s="989"/>
      <c r="RYU1053" s="989"/>
      <c r="RYV1053" s="989"/>
      <c r="RYW1053" s="989"/>
      <c r="RYX1053" s="989"/>
      <c r="RYY1053" s="989"/>
      <c r="RYZ1053" s="989"/>
      <c r="RZA1053" s="989"/>
      <c r="RZB1053" s="989"/>
      <c r="RZC1053" s="989"/>
      <c r="RZD1053" s="989"/>
      <c r="RZE1053" s="989"/>
      <c r="RZF1053" s="989"/>
      <c r="RZG1053" s="989"/>
      <c r="RZH1053" s="989"/>
      <c r="RZI1053" s="989"/>
      <c r="RZJ1053" s="989"/>
      <c r="RZK1053" s="989"/>
      <c r="RZL1053" s="989"/>
      <c r="RZM1053" s="989"/>
      <c r="RZN1053" s="989"/>
      <c r="RZO1053" s="989"/>
      <c r="RZP1053" s="989"/>
      <c r="RZQ1053" s="989"/>
      <c r="RZR1053" s="989"/>
      <c r="RZS1053" s="989"/>
      <c r="RZT1053" s="989"/>
      <c r="RZU1053" s="989"/>
      <c r="RZV1053" s="989"/>
      <c r="RZW1053" s="989"/>
      <c r="RZX1053" s="989"/>
      <c r="RZY1053" s="989"/>
      <c r="RZZ1053" s="989"/>
      <c r="SAA1053" s="989"/>
      <c r="SAB1053" s="989"/>
      <c r="SAC1053" s="989"/>
      <c r="SAD1053" s="989"/>
      <c r="SAE1053" s="989"/>
      <c r="SAF1053" s="989"/>
      <c r="SAG1053" s="989"/>
      <c r="SAH1053" s="989"/>
      <c r="SAI1053" s="989"/>
      <c r="SAJ1053" s="989"/>
      <c r="SAK1053" s="989"/>
      <c r="SAL1053" s="989"/>
      <c r="SAM1053" s="989"/>
      <c r="SAN1053" s="989"/>
      <c r="SAO1053" s="989"/>
      <c r="SAP1053" s="989"/>
      <c r="SAQ1053" s="989"/>
      <c r="SAR1053" s="989"/>
      <c r="SAS1053" s="989"/>
      <c r="SAT1053" s="989"/>
      <c r="SAU1053" s="989"/>
      <c r="SAV1053" s="989"/>
      <c r="SAW1053" s="989"/>
      <c r="SAX1053" s="989"/>
      <c r="SAY1053" s="989"/>
      <c r="SAZ1053" s="989"/>
      <c r="SBA1053" s="989"/>
      <c r="SBB1053" s="989"/>
      <c r="SBC1053" s="989"/>
      <c r="SBD1053" s="989"/>
      <c r="SBE1053" s="989"/>
      <c r="SBF1053" s="989"/>
      <c r="SBG1053" s="989"/>
      <c r="SBH1053" s="989"/>
      <c r="SBI1053" s="989"/>
      <c r="SBJ1053" s="989"/>
      <c r="SBK1053" s="989"/>
      <c r="SBL1053" s="989"/>
      <c r="SBM1053" s="989"/>
      <c r="SBN1053" s="989"/>
      <c r="SBO1053" s="989"/>
      <c r="SBP1053" s="989"/>
      <c r="SBQ1053" s="989"/>
      <c r="SBR1053" s="989"/>
      <c r="SBS1053" s="989"/>
      <c r="SBT1053" s="989"/>
      <c r="SBU1053" s="989"/>
      <c r="SBV1053" s="989"/>
      <c r="SBW1053" s="989"/>
      <c r="SBX1053" s="989"/>
      <c r="SBY1053" s="989"/>
      <c r="SBZ1053" s="989"/>
      <c r="SCA1053" s="989"/>
      <c r="SCB1053" s="989"/>
      <c r="SCC1053" s="989"/>
      <c r="SCD1053" s="989"/>
      <c r="SCE1053" s="989"/>
      <c r="SCF1053" s="989"/>
      <c r="SCG1053" s="989"/>
      <c r="SCH1053" s="989"/>
      <c r="SCI1053" s="989"/>
      <c r="SCJ1053" s="989"/>
      <c r="SCK1053" s="989"/>
      <c r="SCL1053" s="989"/>
      <c r="SCM1053" s="989"/>
      <c r="SCN1053" s="989"/>
      <c r="SCO1053" s="989"/>
      <c r="SCP1053" s="989"/>
      <c r="SCQ1053" s="989"/>
      <c r="SCR1053" s="989"/>
      <c r="SCS1053" s="989"/>
      <c r="SCT1053" s="989"/>
      <c r="SCU1053" s="989"/>
      <c r="SCV1053" s="989"/>
      <c r="SCW1053" s="989"/>
      <c r="SCX1053" s="989"/>
      <c r="SCY1053" s="989"/>
      <c r="SCZ1053" s="989"/>
      <c r="SDA1053" s="989"/>
      <c r="SDB1053" s="989"/>
      <c r="SDC1053" s="989"/>
      <c r="SDD1053" s="989"/>
      <c r="SDE1053" s="989"/>
      <c r="SDF1053" s="989"/>
      <c r="SDG1053" s="989"/>
      <c r="SDH1053" s="989"/>
      <c r="SDI1053" s="989"/>
      <c r="SDJ1053" s="989"/>
      <c r="SDK1053" s="989"/>
      <c r="SDL1053" s="989"/>
      <c r="SDM1053" s="989"/>
      <c r="SDN1053" s="989"/>
      <c r="SDO1053" s="989"/>
      <c r="SDP1053" s="989"/>
      <c r="SDQ1053" s="989"/>
      <c r="SDR1053" s="989"/>
      <c r="SDS1053" s="989"/>
      <c r="SDT1053" s="989"/>
      <c r="SDU1053" s="989"/>
      <c r="SDV1053" s="989"/>
      <c r="SDW1053" s="989"/>
      <c r="SDX1053" s="989"/>
      <c r="SDY1053" s="989"/>
      <c r="SDZ1053" s="989"/>
      <c r="SEA1053" s="989"/>
      <c r="SEB1053" s="989"/>
      <c r="SEC1053" s="989"/>
      <c r="SED1053" s="989"/>
      <c r="SEE1053" s="989"/>
      <c r="SEF1053" s="989"/>
      <c r="SEG1053" s="989"/>
      <c r="SEH1053" s="989"/>
      <c r="SEI1053" s="989"/>
      <c r="SEJ1053" s="989"/>
      <c r="SEK1053" s="989"/>
      <c r="SEL1053" s="989"/>
      <c r="SEM1053" s="989"/>
      <c r="SEN1053" s="989"/>
      <c r="SEO1053" s="989"/>
      <c r="SEP1053" s="989"/>
      <c r="SEQ1053" s="989"/>
      <c r="SER1053" s="989"/>
      <c r="SES1053" s="989"/>
      <c r="SET1053" s="989"/>
      <c r="SEU1053" s="989"/>
      <c r="SEV1053" s="989"/>
      <c r="SEW1053" s="989"/>
      <c r="SEX1053" s="989"/>
      <c r="SEY1053" s="989"/>
      <c r="SEZ1053" s="989"/>
      <c r="SFA1053" s="989"/>
      <c r="SFB1053" s="989"/>
      <c r="SFC1053" s="989"/>
      <c r="SFD1053" s="989"/>
      <c r="SFE1053" s="989"/>
      <c r="SFF1053" s="989"/>
      <c r="SFG1053" s="989"/>
      <c r="SFH1053" s="989"/>
      <c r="SFI1053" s="989"/>
      <c r="SFJ1053" s="989"/>
      <c r="SFK1053" s="989"/>
      <c r="SFL1053" s="989"/>
      <c r="SFM1053" s="989"/>
      <c r="SFN1053" s="989"/>
      <c r="SFO1053" s="989"/>
      <c r="SFP1053" s="989"/>
      <c r="SFQ1053" s="989"/>
      <c r="SFR1053" s="989"/>
      <c r="SFS1053" s="989"/>
      <c r="SFT1053" s="989"/>
      <c r="SFU1053" s="989"/>
      <c r="SFV1053" s="989"/>
      <c r="SFW1053" s="989"/>
      <c r="SFX1053" s="989"/>
      <c r="SFY1053" s="989"/>
      <c r="SFZ1053" s="989"/>
      <c r="SGA1053" s="989"/>
      <c r="SGB1053" s="989"/>
      <c r="SGC1053" s="989"/>
      <c r="SGD1053" s="989"/>
      <c r="SGE1053" s="989"/>
      <c r="SGF1053" s="989"/>
      <c r="SGG1053" s="989"/>
      <c r="SGH1053" s="989"/>
      <c r="SGI1053" s="989"/>
      <c r="SGJ1053" s="989"/>
      <c r="SGK1053" s="989"/>
      <c r="SGL1053" s="989"/>
      <c r="SGM1053" s="989"/>
      <c r="SGN1053" s="989"/>
      <c r="SGO1053" s="989"/>
      <c r="SGP1053" s="989"/>
      <c r="SGQ1053" s="989"/>
      <c r="SGR1053" s="989"/>
      <c r="SGS1053" s="989"/>
      <c r="SGT1053" s="989"/>
      <c r="SGU1053" s="989"/>
      <c r="SGV1053" s="989"/>
      <c r="SGW1053" s="989"/>
      <c r="SGX1053" s="989"/>
      <c r="SGY1053" s="989"/>
      <c r="SGZ1053" s="989"/>
      <c r="SHA1053" s="989"/>
      <c r="SHB1053" s="989"/>
      <c r="SHC1053" s="989"/>
      <c r="SHD1053" s="989"/>
      <c r="SHE1053" s="989"/>
      <c r="SHF1053" s="989"/>
      <c r="SHG1053" s="989"/>
      <c r="SHH1053" s="989"/>
      <c r="SHI1053" s="989"/>
      <c r="SHJ1053" s="989"/>
      <c r="SHK1053" s="989"/>
      <c r="SHL1053" s="989"/>
      <c r="SHM1053" s="989"/>
      <c r="SHN1053" s="989"/>
      <c r="SHO1053" s="989"/>
      <c r="SHP1053" s="989"/>
      <c r="SHQ1053" s="989"/>
      <c r="SHR1053" s="989"/>
      <c r="SHS1053" s="989"/>
      <c r="SHT1053" s="989"/>
      <c r="SHU1053" s="989"/>
      <c r="SHV1053" s="989"/>
      <c r="SHW1053" s="989"/>
      <c r="SHX1053" s="989"/>
      <c r="SHY1053" s="989"/>
      <c r="SHZ1053" s="989"/>
      <c r="SIA1053" s="989"/>
      <c r="SIB1053" s="989"/>
      <c r="SIC1053" s="989"/>
      <c r="SID1053" s="989"/>
      <c r="SIE1053" s="989"/>
      <c r="SIF1053" s="989"/>
      <c r="SIG1053" s="989"/>
      <c r="SIH1053" s="989"/>
      <c r="SII1053" s="989"/>
      <c r="SIJ1053" s="989"/>
      <c r="SIK1053" s="989"/>
      <c r="SIL1053" s="989"/>
      <c r="SIM1053" s="989"/>
      <c r="SIN1053" s="989"/>
      <c r="SIO1053" s="989"/>
      <c r="SIP1053" s="989"/>
      <c r="SIQ1053" s="989"/>
      <c r="SIR1053" s="989"/>
      <c r="SIS1053" s="989"/>
      <c r="SIT1053" s="989"/>
      <c r="SIU1053" s="989"/>
      <c r="SIV1053" s="989"/>
      <c r="SIW1053" s="989"/>
      <c r="SIX1053" s="989"/>
      <c r="SIY1053" s="989"/>
      <c r="SIZ1053" s="989"/>
      <c r="SJA1053" s="989"/>
      <c r="SJB1053" s="989"/>
      <c r="SJC1053" s="989"/>
      <c r="SJD1053" s="989"/>
      <c r="SJE1053" s="989"/>
      <c r="SJF1053" s="989"/>
      <c r="SJG1053" s="989"/>
      <c r="SJH1053" s="989"/>
      <c r="SJI1053" s="989"/>
      <c r="SJJ1053" s="989"/>
      <c r="SJK1053" s="989"/>
      <c r="SJL1053" s="989"/>
      <c r="SJM1053" s="989"/>
      <c r="SJN1053" s="989"/>
      <c r="SJO1053" s="989"/>
      <c r="SJP1053" s="989"/>
      <c r="SJQ1053" s="989"/>
      <c r="SJR1053" s="989"/>
      <c r="SJS1053" s="989"/>
      <c r="SJT1053" s="989"/>
      <c r="SJU1053" s="989"/>
      <c r="SJV1053" s="989"/>
      <c r="SJW1053" s="989"/>
      <c r="SJX1053" s="989"/>
      <c r="SJY1053" s="989"/>
      <c r="SJZ1053" s="989"/>
      <c r="SKA1053" s="989"/>
      <c r="SKB1053" s="989"/>
      <c r="SKC1053" s="989"/>
      <c r="SKD1053" s="989"/>
      <c r="SKE1053" s="989"/>
      <c r="SKF1053" s="989"/>
      <c r="SKG1053" s="989"/>
      <c r="SKH1053" s="989"/>
      <c r="SKI1053" s="989"/>
      <c r="SKJ1053" s="989"/>
      <c r="SKK1053" s="989"/>
      <c r="SKL1053" s="989"/>
      <c r="SKM1053" s="989"/>
      <c r="SKN1053" s="989"/>
      <c r="SKO1053" s="989"/>
      <c r="SKP1053" s="989"/>
      <c r="SKQ1053" s="989"/>
      <c r="SKR1053" s="989"/>
      <c r="SKS1053" s="989"/>
      <c r="SKT1053" s="989"/>
      <c r="SKU1053" s="989"/>
      <c r="SKV1053" s="989"/>
      <c r="SKW1053" s="989"/>
      <c r="SKX1053" s="989"/>
      <c r="SKY1053" s="989"/>
      <c r="SKZ1053" s="989"/>
      <c r="SLA1053" s="989"/>
      <c r="SLB1053" s="989"/>
      <c r="SLC1053" s="989"/>
      <c r="SLD1053" s="989"/>
      <c r="SLE1053" s="989"/>
      <c r="SLF1053" s="989"/>
      <c r="SLG1053" s="989"/>
      <c r="SLH1053" s="989"/>
      <c r="SLI1053" s="989"/>
      <c r="SLJ1053" s="989"/>
      <c r="SLK1053" s="989"/>
      <c r="SLL1053" s="989"/>
      <c r="SLM1053" s="989"/>
      <c r="SLN1053" s="989"/>
      <c r="SLO1053" s="989"/>
      <c r="SLP1053" s="989"/>
      <c r="SLQ1053" s="989"/>
      <c r="SLR1053" s="989"/>
      <c r="SLS1053" s="989"/>
      <c r="SLT1053" s="989"/>
      <c r="SLU1053" s="989"/>
      <c r="SLV1053" s="989"/>
      <c r="SLW1053" s="989"/>
      <c r="SLX1053" s="989"/>
      <c r="SLY1053" s="989"/>
      <c r="SLZ1053" s="989"/>
      <c r="SMA1053" s="989"/>
      <c r="SMB1053" s="989"/>
      <c r="SMC1053" s="989"/>
      <c r="SMD1053" s="989"/>
      <c r="SME1053" s="989"/>
      <c r="SMF1053" s="989"/>
      <c r="SMG1053" s="989"/>
      <c r="SMH1053" s="989"/>
      <c r="SMI1053" s="989"/>
      <c r="SMJ1053" s="989"/>
      <c r="SMK1053" s="989"/>
      <c r="SML1053" s="989"/>
      <c r="SMM1053" s="989"/>
      <c r="SMN1053" s="989"/>
      <c r="SMO1053" s="989"/>
      <c r="SMP1053" s="989"/>
      <c r="SMQ1053" s="989"/>
      <c r="SMR1053" s="989"/>
      <c r="SMS1053" s="989"/>
      <c r="SMT1053" s="989"/>
      <c r="SMU1053" s="989"/>
      <c r="SMV1053" s="989"/>
      <c r="SMW1053" s="989"/>
      <c r="SMX1053" s="989"/>
      <c r="SMY1053" s="989"/>
      <c r="SMZ1053" s="989"/>
      <c r="SNA1053" s="989"/>
      <c r="SNB1053" s="989"/>
      <c r="SNC1053" s="989"/>
      <c r="SND1053" s="989"/>
      <c r="SNE1053" s="989"/>
      <c r="SNF1053" s="989"/>
      <c r="SNG1053" s="989"/>
      <c r="SNH1053" s="989"/>
      <c r="SNI1053" s="989"/>
      <c r="SNJ1053" s="989"/>
      <c r="SNK1053" s="989"/>
      <c r="SNL1053" s="989"/>
      <c r="SNM1053" s="989"/>
      <c r="SNN1053" s="989"/>
      <c r="SNO1053" s="989"/>
      <c r="SNP1053" s="989"/>
      <c r="SNQ1053" s="989"/>
      <c r="SNR1053" s="989"/>
      <c r="SNS1053" s="989"/>
      <c r="SNT1053" s="989"/>
      <c r="SNU1053" s="989"/>
      <c r="SNV1053" s="989"/>
      <c r="SNW1053" s="989"/>
      <c r="SNX1053" s="989"/>
      <c r="SNY1053" s="989"/>
      <c r="SNZ1053" s="989"/>
      <c r="SOA1053" s="989"/>
      <c r="SOB1053" s="989"/>
      <c r="SOC1053" s="989"/>
      <c r="SOD1053" s="989"/>
      <c r="SOE1053" s="989"/>
      <c r="SOF1053" s="989"/>
      <c r="SOG1053" s="989"/>
      <c r="SOH1053" s="989"/>
      <c r="SOI1053" s="989"/>
      <c r="SOJ1053" s="989"/>
      <c r="SOK1053" s="989"/>
      <c r="SOL1053" s="989"/>
      <c r="SOM1053" s="989"/>
      <c r="SON1053" s="989"/>
      <c r="SOO1053" s="989"/>
      <c r="SOP1053" s="989"/>
      <c r="SOQ1053" s="989"/>
      <c r="SOR1053" s="989"/>
      <c r="SOS1053" s="989"/>
      <c r="SOT1053" s="989"/>
      <c r="SOU1053" s="989"/>
      <c r="SOV1053" s="989"/>
      <c r="SOW1053" s="989"/>
      <c r="SOX1053" s="989"/>
      <c r="SOY1053" s="989"/>
      <c r="SOZ1053" s="989"/>
      <c r="SPA1053" s="989"/>
      <c r="SPB1053" s="989"/>
      <c r="SPC1053" s="989"/>
      <c r="SPD1053" s="989"/>
      <c r="SPE1053" s="989"/>
      <c r="SPF1053" s="989"/>
      <c r="SPG1053" s="989"/>
      <c r="SPH1053" s="989"/>
      <c r="SPI1053" s="989"/>
      <c r="SPJ1053" s="989"/>
      <c r="SPK1053" s="989"/>
      <c r="SPL1053" s="989"/>
      <c r="SPM1053" s="989"/>
      <c r="SPN1053" s="989"/>
      <c r="SPO1053" s="989"/>
      <c r="SPP1053" s="989"/>
      <c r="SPQ1053" s="989"/>
      <c r="SPR1053" s="989"/>
      <c r="SPS1053" s="989"/>
      <c r="SPT1053" s="989"/>
      <c r="SPU1053" s="989"/>
      <c r="SPV1053" s="989"/>
      <c r="SPW1053" s="989"/>
      <c r="SPX1053" s="989"/>
      <c r="SPY1053" s="989"/>
      <c r="SPZ1053" s="989"/>
      <c r="SQA1053" s="989"/>
      <c r="SQB1053" s="989"/>
      <c r="SQC1053" s="989"/>
      <c r="SQD1053" s="989"/>
      <c r="SQE1053" s="989"/>
      <c r="SQF1053" s="989"/>
      <c r="SQG1053" s="989"/>
      <c r="SQH1053" s="989"/>
      <c r="SQI1053" s="989"/>
      <c r="SQJ1053" s="989"/>
      <c r="SQK1053" s="989"/>
      <c r="SQL1053" s="989"/>
      <c r="SQM1053" s="989"/>
      <c r="SQN1053" s="989"/>
      <c r="SQO1053" s="989"/>
      <c r="SQP1053" s="989"/>
      <c r="SQQ1053" s="989"/>
      <c r="SQR1053" s="989"/>
      <c r="SQS1053" s="989"/>
      <c r="SQT1053" s="989"/>
      <c r="SQU1053" s="989"/>
      <c r="SQV1053" s="989"/>
      <c r="SQW1053" s="989"/>
      <c r="SQX1053" s="989"/>
      <c r="SQY1053" s="989"/>
      <c r="SQZ1053" s="989"/>
      <c r="SRA1053" s="989"/>
      <c r="SRB1053" s="989"/>
      <c r="SRC1053" s="989"/>
      <c r="SRD1053" s="989"/>
      <c r="SRE1053" s="989"/>
      <c r="SRF1053" s="989"/>
      <c r="SRG1053" s="989"/>
      <c r="SRH1053" s="989"/>
      <c r="SRI1053" s="989"/>
      <c r="SRJ1053" s="989"/>
      <c r="SRK1053" s="989"/>
      <c r="SRL1053" s="989"/>
      <c r="SRM1053" s="989"/>
      <c r="SRN1053" s="989"/>
      <c r="SRO1053" s="989"/>
      <c r="SRP1053" s="989"/>
      <c r="SRQ1053" s="989"/>
      <c r="SRR1053" s="989"/>
      <c r="SRS1053" s="989"/>
      <c r="SRT1053" s="989"/>
      <c r="SRU1053" s="989"/>
      <c r="SRV1053" s="989"/>
      <c r="SRW1053" s="989"/>
      <c r="SRX1053" s="989"/>
      <c r="SRY1053" s="989"/>
      <c r="SRZ1053" s="989"/>
      <c r="SSA1053" s="989"/>
      <c r="SSB1053" s="989"/>
      <c r="SSC1053" s="989"/>
      <c r="SSD1053" s="989"/>
      <c r="SSE1053" s="989"/>
      <c r="SSF1053" s="989"/>
      <c r="SSG1053" s="989"/>
      <c r="SSH1053" s="989"/>
      <c r="SSI1053" s="989"/>
      <c r="SSJ1053" s="989"/>
      <c r="SSK1053" s="989"/>
      <c r="SSL1053" s="989"/>
      <c r="SSM1053" s="989"/>
      <c r="SSN1053" s="989"/>
      <c r="SSO1053" s="989"/>
      <c r="SSP1053" s="989"/>
      <c r="SSQ1053" s="989"/>
      <c r="SSR1053" s="989"/>
      <c r="SSS1053" s="989"/>
      <c r="SST1053" s="989"/>
      <c r="SSU1053" s="989"/>
      <c r="SSV1053" s="989"/>
      <c r="SSW1053" s="989"/>
      <c r="SSX1053" s="989"/>
      <c r="SSY1053" s="989"/>
      <c r="SSZ1053" s="989"/>
      <c r="STA1053" s="989"/>
      <c r="STB1053" s="989"/>
      <c r="STC1053" s="989"/>
      <c r="STD1053" s="989"/>
      <c r="STE1053" s="989"/>
      <c r="STF1053" s="989"/>
      <c r="STG1053" s="989"/>
      <c r="STH1053" s="989"/>
      <c r="STI1053" s="989"/>
      <c r="STJ1053" s="989"/>
      <c r="STK1053" s="989"/>
      <c r="STL1053" s="989"/>
      <c r="STM1053" s="989"/>
      <c r="STN1053" s="989"/>
      <c r="STO1053" s="989"/>
      <c r="STP1053" s="989"/>
      <c r="STQ1053" s="989"/>
      <c r="STR1053" s="989"/>
      <c r="STS1053" s="989"/>
      <c r="STT1053" s="989"/>
      <c r="STU1053" s="989"/>
      <c r="STV1053" s="989"/>
      <c r="STW1053" s="989"/>
      <c r="STX1053" s="989"/>
      <c r="STY1053" s="989"/>
      <c r="STZ1053" s="989"/>
      <c r="SUA1053" s="989"/>
      <c r="SUB1053" s="989"/>
      <c r="SUC1053" s="989"/>
      <c r="SUD1053" s="989"/>
      <c r="SUE1053" s="989"/>
      <c r="SUF1053" s="989"/>
      <c r="SUG1053" s="989"/>
      <c r="SUH1053" s="989"/>
      <c r="SUI1053" s="989"/>
      <c r="SUJ1053" s="989"/>
      <c r="SUK1053" s="989"/>
      <c r="SUL1053" s="989"/>
      <c r="SUM1053" s="989"/>
      <c r="SUN1053" s="989"/>
      <c r="SUO1053" s="989"/>
      <c r="SUP1053" s="989"/>
      <c r="SUQ1053" s="989"/>
      <c r="SUR1053" s="989"/>
      <c r="SUS1053" s="989"/>
      <c r="SUT1053" s="989"/>
      <c r="SUU1053" s="989"/>
      <c r="SUV1053" s="989"/>
      <c r="SUW1053" s="989"/>
      <c r="SUX1053" s="989"/>
      <c r="SUY1053" s="989"/>
      <c r="SUZ1053" s="989"/>
      <c r="SVA1053" s="989"/>
      <c r="SVB1053" s="989"/>
      <c r="SVC1053" s="989"/>
      <c r="SVD1053" s="989"/>
      <c r="SVE1053" s="989"/>
      <c r="SVF1053" s="989"/>
      <c r="SVG1053" s="989"/>
      <c r="SVH1053" s="989"/>
      <c r="SVI1053" s="989"/>
      <c r="SVJ1053" s="989"/>
      <c r="SVK1053" s="989"/>
      <c r="SVL1053" s="989"/>
      <c r="SVM1053" s="989"/>
      <c r="SVN1053" s="989"/>
      <c r="SVO1053" s="989"/>
      <c r="SVP1053" s="989"/>
      <c r="SVQ1053" s="989"/>
      <c r="SVR1053" s="989"/>
      <c r="SVS1053" s="989"/>
      <c r="SVT1053" s="989"/>
      <c r="SVU1053" s="989"/>
      <c r="SVV1053" s="989"/>
      <c r="SVW1053" s="989"/>
      <c r="SVX1053" s="989"/>
      <c r="SVY1053" s="989"/>
      <c r="SVZ1053" s="989"/>
      <c r="SWA1053" s="989"/>
      <c r="SWB1053" s="989"/>
      <c r="SWC1053" s="989"/>
      <c r="SWD1053" s="989"/>
      <c r="SWE1053" s="989"/>
      <c r="SWF1053" s="989"/>
      <c r="SWG1053" s="989"/>
      <c r="SWH1053" s="989"/>
      <c r="SWI1053" s="989"/>
      <c r="SWJ1053" s="989"/>
      <c r="SWK1053" s="989"/>
      <c r="SWL1053" s="989"/>
      <c r="SWM1053" s="989"/>
      <c r="SWN1053" s="989"/>
      <c r="SWO1053" s="989"/>
      <c r="SWP1053" s="989"/>
      <c r="SWQ1053" s="989"/>
      <c r="SWR1053" s="989"/>
      <c r="SWS1053" s="989"/>
      <c r="SWT1053" s="989"/>
      <c r="SWU1053" s="989"/>
      <c r="SWV1053" s="989"/>
      <c r="SWW1053" s="989"/>
      <c r="SWX1053" s="989"/>
      <c r="SWY1053" s="989"/>
      <c r="SWZ1053" s="989"/>
      <c r="SXA1053" s="989"/>
      <c r="SXB1053" s="989"/>
      <c r="SXC1053" s="989"/>
      <c r="SXD1053" s="989"/>
      <c r="SXE1053" s="989"/>
      <c r="SXF1053" s="989"/>
      <c r="SXG1053" s="989"/>
      <c r="SXH1053" s="989"/>
      <c r="SXI1053" s="989"/>
      <c r="SXJ1053" s="989"/>
      <c r="SXK1053" s="989"/>
      <c r="SXL1053" s="989"/>
      <c r="SXM1053" s="989"/>
      <c r="SXN1053" s="989"/>
      <c r="SXO1053" s="989"/>
      <c r="SXP1053" s="989"/>
      <c r="SXQ1053" s="989"/>
      <c r="SXR1053" s="989"/>
      <c r="SXS1053" s="989"/>
      <c r="SXT1053" s="989"/>
      <c r="SXU1053" s="989"/>
      <c r="SXV1053" s="989"/>
      <c r="SXW1053" s="989"/>
      <c r="SXX1053" s="989"/>
      <c r="SXY1053" s="989"/>
      <c r="SXZ1053" s="989"/>
      <c r="SYA1053" s="989"/>
      <c r="SYB1053" s="989"/>
      <c r="SYC1053" s="989"/>
      <c r="SYD1053" s="989"/>
      <c r="SYE1053" s="989"/>
      <c r="SYF1053" s="989"/>
      <c r="SYG1053" s="989"/>
      <c r="SYH1053" s="989"/>
      <c r="SYI1053" s="989"/>
      <c r="SYJ1053" s="989"/>
      <c r="SYK1053" s="989"/>
      <c r="SYL1053" s="989"/>
      <c r="SYM1053" s="989"/>
      <c r="SYN1053" s="989"/>
      <c r="SYO1053" s="989"/>
      <c r="SYP1053" s="989"/>
      <c r="SYQ1053" s="989"/>
      <c r="SYR1053" s="989"/>
      <c r="SYS1053" s="989"/>
      <c r="SYT1053" s="989"/>
      <c r="SYU1053" s="989"/>
      <c r="SYV1053" s="989"/>
      <c r="SYW1053" s="989"/>
      <c r="SYX1053" s="989"/>
      <c r="SYY1053" s="989"/>
      <c r="SYZ1053" s="989"/>
      <c r="SZA1053" s="989"/>
      <c r="SZB1053" s="989"/>
      <c r="SZC1053" s="989"/>
      <c r="SZD1053" s="989"/>
      <c r="SZE1053" s="989"/>
      <c r="SZF1053" s="989"/>
      <c r="SZG1053" s="989"/>
      <c r="SZH1053" s="989"/>
      <c r="SZI1053" s="989"/>
      <c r="SZJ1053" s="989"/>
      <c r="SZK1053" s="989"/>
      <c r="SZL1053" s="989"/>
      <c r="SZM1053" s="989"/>
      <c r="SZN1053" s="989"/>
      <c r="SZO1053" s="989"/>
      <c r="SZP1053" s="989"/>
      <c r="SZQ1053" s="989"/>
      <c r="SZR1053" s="989"/>
      <c r="SZS1053" s="989"/>
      <c r="SZT1053" s="989"/>
      <c r="SZU1053" s="989"/>
      <c r="SZV1053" s="989"/>
      <c r="SZW1053" s="989"/>
      <c r="SZX1053" s="989"/>
      <c r="SZY1053" s="989"/>
      <c r="SZZ1053" s="989"/>
      <c r="TAA1053" s="989"/>
      <c r="TAB1053" s="989"/>
      <c r="TAC1053" s="989"/>
      <c r="TAD1053" s="989"/>
      <c r="TAE1053" s="989"/>
      <c r="TAF1053" s="989"/>
      <c r="TAG1053" s="989"/>
      <c r="TAH1053" s="989"/>
      <c r="TAI1053" s="989"/>
      <c r="TAJ1053" s="989"/>
      <c r="TAK1053" s="989"/>
      <c r="TAL1053" s="989"/>
      <c r="TAM1053" s="989"/>
      <c r="TAN1053" s="989"/>
      <c r="TAO1053" s="989"/>
      <c r="TAP1053" s="989"/>
      <c r="TAQ1053" s="989"/>
      <c r="TAR1053" s="989"/>
      <c r="TAS1053" s="989"/>
      <c r="TAT1053" s="989"/>
      <c r="TAU1053" s="989"/>
      <c r="TAV1053" s="989"/>
      <c r="TAW1053" s="989"/>
      <c r="TAX1053" s="989"/>
      <c r="TAY1053" s="989"/>
      <c r="TAZ1053" s="989"/>
      <c r="TBA1053" s="989"/>
      <c r="TBB1053" s="989"/>
      <c r="TBC1053" s="989"/>
      <c r="TBD1053" s="989"/>
      <c r="TBE1053" s="989"/>
      <c r="TBF1053" s="989"/>
      <c r="TBG1053" s="989"/>
      <c r="TBH1053" s="989"/>
      <c r="TBI1053" s="989"/>
      <c r="TBJ1053" s="989"/>
      <c r="TBK1053" s="989"/>
      <c r="TBL1053" s="989"/>
      <c r="TBM1053" s="989"/>
      <c r="TBN1053" s="989"/>
      <c r="TBO1053" s="989"/>
      <c r="TBP1053" s="989"/>
      <c r="TBQ1053" s="989"/>
      <c r="TBR1053" s="989"/>
      <c r="TBS1053" s="989"/>
      <c r="TBT1053" s="989"/>
      <c r="TBU1053" s="989"/>
      <c r="TBV1053" s="989"/>
      <c r="TBW1053" s="989"/>
      <c r="TBX1053" s="989"/>
      <c r="TBY1053" s="989"/>
      <c r="TBZ1053" s="989"/>
      <c r="TCA1053" s="989"/>
      <c r="TCB1053" s="989"/>
      <c r="TCC1053" s="989"/>
      <c r="TCD1053" s="989"/>
      <c r="TCE1053" s="989"/>
      <c r="TCF1053" s="989"/>
      <c r="TCG1053" s="989"/>
      <c r="TCH1053" s="989"/>
      <c r="TCI1053" s="989"/>
      <c r="TCJ1053" s="989"/>
      <c r="TCK1053" s="989"/>
      <c r="TCL1053" s="989"/>
      <c r="TCM1053" s="989"/>
      <c r="TCN1053" s="989"/>
      <c r="TCO1053" s="989"/>
      <c r="TCP1053" s="989"/>
      <c r="TCQ1053" s="989"/>
      <c r="TCR1053" s="989"/>
      <c r="TCS1053" s="989"/>
      <c r="TCT1053" s="989"/>
      <c r="TCU1053" s="989"/>
      <c r="TCV1053" s="989"/>
      <c r="TCW1053" s="989"/>
      <c r="TCX1053" s="989"/>
      <c r="TCY1053" s="989"/>
      <c r="TCZ1053" s="989"/>
      <c r="TDA1053" s="989"/>
      <c r="TDB1053" s="989"/>
      <c r="TDC1053" s="989"/>
      <c r="TDD1053" s="989"/>
      <c r="TDE1053" s="989"/>
      <c r="TDF1053" s="989"/>
      <c r="TDG1053" s="989"/>
      <c r="TDH1053" s="989"/>
      <c r="TDI1053" s="989"/>
      <c r="TDJ1053" s="989"/>
      <c r="TDK1053" s="989"/>
      <c r="TDL1053" s="989"/>
      <c r="TDM1053" s="989"/>
      <c r="TDN1053" s="989"/>
      <c r="TDO1053" s="989"/>
      <c r="TDP1053" s="989"/>
      <c r="TDQ1053" s="989"/>
      <c r="TDR1053" s="989"/>
      <c r="TDS1053" s="989"/>
      <c r="TDT1053" s="989"/>
      <c r="TDU1053" s="989"/>
      <c r="TDV1053" s="989"/>
      <c r="TDW1053" s="989"/>
      <c r="TDX1053" s="989"/>
      <c r="TDY1053" s="989"/>
      <c r="TDZ1053" s="989"/>
      <c r="TEA1053" s="989"/>
      <c r="TEB1053" s="989"/>
      <c r="TEC1053" s="989"/>
      <c r="TED1053" s="989"/>
      <c r="TEE1053" s="989"/>
      <c r="TEF1053" s="989"/>
      <c r="TEG1053" s="989"/>
      <c r="TEH1053" s="989"/>
      <c r="TEI1053" s="989"/>
      <c r="TEJ1053" s="989"/>
      <c r="TEK1053" s="989"/>
      <c r="TEL1053" s="989"/>
      <c r="TEM1053" s="989"/>
      <c r="TEN1053" s="989"/>
      <c r="TEO1053" s="989"/>
      <c r="TEP1053" s="989"/>
      <c r="TEQ1053" s="989"/>
      <c r="TER1053" s="989"/>
      <c r="TES1053" s="989"/>
      <c r="TET1053" s="989"/>
      <c r="TEU1053" s="989"/>
      <c r="TEV1053" s="989"/>
      <c r="TEW1053" s="989"/>
      <c r="TEX1053" s="989"/>
      <c r="TEY1053" s="989"/>
      <c r="TEZ1053" s="989"/>
      <c r="TFA1053" s="989"/>
      <c r="TFB1053" s="989"/>
      <c r="TFC1053" s="989"/>
      <c r="TFD1053" s="989"/>
      <c r="TFE1053" s="989"/>
      <c r="TFF1053" s="989"/>
      <c r="TFG1053" s="989"/>
      <c r="TFH1053" s="989"/>
      <c r="TFI1053" s="989"/>
      <c r="TFJ1053" s="989"/>
      <c r="TFK1053" s="989"/>
      <c r="TFL1053" s="989"/>
      <c r="TFM1053" s="989"/>
      <c r="TFN1053" s="989"/>
      <c r="TFO1053" s="989"/>
      <c r="TFP1053" s="989"/>
      <c r="TFQ1053" s="989"/>
      <c r="TFR1053" s="989"/>
      <c r="TFS1053" s="989"/>
      <c r="TFT1053" s="989"/>
      <c r="TFU1053" s="989"/>
      <c r="TFV1053" s="989"/>
      <c r="TFW1053" s="989"/>
      <c r="TFX1053" s="989"/>
      <c r="TFY1053" s="989"/>
      <c r="TFZ1053" s="989"/>
      <c r="TGA1053" s="989"/>
      <c r="TGB1053" s="989"/>
      <c r="TGC1053" s="989"/>
      <c r="TGD1053" s="989"/>
      <c r="TGE1053" s="989"/>
      <c r="TGF1053" s="989"/>
      <c r="TGG1053" s="989"/>
      <c r="TGH1053" s="989"/>
      <c r="TGI1053" s="989"/>
      <c r="TGJ1053" s="989"/>
      <c r="TGK1053" s="989"/>
      <c r="TGL1053" s="989"/>
      <c r="TGM1053" s="989"/>
      <c r="TGN1053" s="989"/>
      <c r="TGO1053" s="989"/>
      <c r="TGP1053" s="989"/>
      <c r="TGQ1053" s="989"/>
      <c r="TGR1053" s="989"/>
      <c r="TGS1053" s="989"/>
      <c r="TGT1053" s="989"/>
      <c r="TGU1053" s="989"/>
      <c r="TGV1053" s="989"/>
      <c r="TGW1053" s="989"/>
      <c r="TGX1053" s="989"/>
      <c r="TGY1053" s="989"/>
      <c r="TGZ1053" s="989"/>
      <c r="THA1053" s="989"/>
      <c r="THB1053" s="989"/>
      <c r="THC1053" s="989"/>
      <c r="THD1053" s="989"/>
      <c r="THE1053" s="989"/>
      <c r="THF1053" s="989"/>
      <c r="THG1053" s="989"/>
      <c r="THH1053" s="989"/>
      <c r="THI1053" s="989"/>
      <c r="THJ1053" s="989"/>
      <c r="THK1053" s="989"/>
      <c r="THL1053" s="989"/>
      <c r="THM1053" s="989"/>
      <c r="THN1053" s="989"/>
      <c r="THO1053" s="989"/>
      <c r="THP1053" s="989"/>
      <c r="THQ1053" s="989"/>
      <c r="THR1053" s="989"/>
      <c r="THS1053" s="989"/>
      <c r="THT1053" s="989"/>
      <c r="THU1053" s="989"/>
      <c r="THV1053" s="989"/>
      <c r="THW1053" s="989"/>
      <c r="THX1053" s="989"/>
      <c r="THY1053" s="989"/>
      <c r="THZ1053" s="989"/>
      <c r="TIA1053" s="989"/>
      <c r="TIB1053" s="989"/>
      <c r="TIC1053" s="989"/>
      <c r="TID1053" s="989"/>
      <c r="TIE1053" s="989"/>
      <c r="TIF1053" s="989"/>
      <c r="TIG1053" s="989"/>
      <c r="TIH1053" s="989"/>
      <c r="TII1053" s="989"/>
      <c r="TIJ1053" s="989"/>
      <c r="TIK1053" s="989"/>
      <c r="TIL1053" s="989"/>
      <c r="TIM1053" s="989"/>
      <c r="TIN1053" s="989"/>
      <c r="TIO1053" s="989"/>
      <c r="TIP1053" s="989"/>
      <c r="TIQ1053" s="989"/>
      <c r="TIR1053" s="989"/>
      <c r="TIS1053" s="989"/>
      <c r="TIT1053" s="989"/>
      <c r="TIU1053" s="989"/>
      <c r="TIV1053" s="989"/>
      <c r="TIW1053" s="989"/>
      <c r="TIX1053" s="989"/>
      <c r="TIY1053" s="989"/>
      <c r="TIZ1053" s="989"/>
      <c r="TJA1053" s="989"/>
      <c r="TJB1053" s="989"/>
      <c r="TJC1053" s="989"/>
      <c r="TJD1053" s="989"/>
      <c r="TJE1053" s="989"/>
      <c r="TJF1053" s="989"/>
      <c r="TJG1053" s="989"/>
      <c r="TJH1053" s="989"/>
      <c r="TJI1053" s="989"/>
      <c r="TJJ1053" s="989"/>
      <c r="TJK1053" s="989"/>
      <c r="TJL1053" s="989"/>
      <c r="TJM1053" s="989"/>
      <c r="TJN1053" s="989"/>
      <c r="TJO1053" s="989"/>
      <c r="TJP1053" s="989"/>
      <c r="TJQ1053" s="989"/>
      <c r="TJR1053" s="989"/>
      <c r="TJS1053" s="989"/>
      <c r="TJT1053" s="989"/>
      <c r="TJU1053" s="989"/>
      <c r="TJV1053" s="989"/>
      <c r="TJW1053" s="989"/>
      <c r="TJX1053" s="989"/>
      <c r="TJY1053" s="989"/>
      <c r="TJZ1053" s="989"/>
      <c r="TKA1053" s="989"/>
      <c r="TKB1053" s="989"/>
      <c r="TKC1053" s="989"/>
      <c r="TKD1053" s="989"/>
      <c r="TKE1053" s="989"/>
      <c r="TKF1053" s="989"/>
      <c r="TKG1053" s="989"/>
      <c r="TKH1053" s="989"/>
      <c r="TKI1053" s="989"/>
      <c r="TKJ1053" s="989"/>
      <c r="TKK1053" s="989"/>
      <c r="TKL1053" s="989"/>
      <c r="TKM1053" s="989"/>
      <c r="TKN1053" s="989"/>
      <c r="TKO1053" s="989"/>
      <c r="TKP1053" s="989"/>
      <c r="TKQ1053" s="989"/>
      <c r="TKR1053" s="989"/>
      <c r="TKS1053" s="989"/>
      <c r="TKT1053" s="989"/>
      <c r="TKU1053" s="989"/>
      <c r="TKV1053" s="989"/>
      <c r="TKW1053" s="989"/>
      <c r="TKX1053" s="989"/>
      <c r="TKY1053" s="989"/>
      <c r="TKZ1053" s="989"/>
      <c r="TLA1053" s="989"/>
      <c r="TLB1053" s="989"/>
      <c r="TLC1053" s="989"/>
      <c r="TLD1053" s="989"/>
      <c r="TLE1053" s="989"/>
      <c r="TLF1053" s="989"/>
      <c r="TLG1053" s="989"/>
      <c r="TLH1053" s="989"/>
      <c r="TLI1053" s="989"/>
      <c r="TLJ1053" s="989"/>
      <c r="TLK1053" s="989"/>
      <c r="TLL1053" s="989"/>
      <c r="TLM1053" s="989"/>
      <c r="TLN1053" s="989"/>
      <c r="TLO1053" s="989"/>
      <c r="TLP1053" s="989"/>
      <c r="TLQ1053" s="989"/>
      <c r="TLR1053" s="989"/>
      <c r="TLS1053" s="989"/>
      <c r="TLT1053" s="989"/>
      <c r="TLU1053" s="989"/>
      <c r="TLV1053" s="989"/>
      <c r="TLW1053" s="989"/>
      <c r="TLX1053" s="989"/>
      <c r="TLY1053" s="989"/>
      <c r="TLZ1053" s="989"/>
      <c r="TMA1053" s="989"/>
      <c r="TMB1053" s="989"/>
      <c r="TMC1053" s="989"/>
      <c r="TMD1053" s="989"/>
      <c r="TME1053" s="989"/>
      <c r="TMF1053" s="989"/>
      <c r="TMG1053" s="989"/>
      <c r="TMH1053" s="989"/>
      <c r="TMI1053" s="989"/>
      <c r="TMJ1053" s="989"/>
      <c r="TMK1053" s="989"/>
      <c r="TML1053" s="989"/>
      <c r="TMM1053" s="989"/>
      <c r="TMN1053" s="989"/>
      <c r="TMO1053" s="989"/>
      <c r="TMP1053" s="989"/>
      <c r="TMQ1053" s="989"/>
      <c r="TMR1053" s="989"/>
      <c r="TMS1053" s="989"/>
      <c r="TMT1053" s="989"/>
      <c r="TMU1053" s="989"/>
      <c r="TMV1053" s="989"/>
      <c r="TMW1053" s="989"/>
      <c r="TMX1053" s="989"/>
      <c r="TMY1053" s="989"/>
      <c r="TMZ1053" s="989"/>
      <c r="TNA1053" s="989"/>
      <c r="TNB1053" s="989"/>
      <c r="TNC1053" s="989"/>
      <c r="TND1053" s="989"/>
      <c r="TNE1053" s="989"/>
      <c r="TNF1053" s="989"/>
      <c r="TNG1053" s="989"/>
      <c r="TNH1053" s="989"/>
      <c r="TNI1053" s="989"/>
      <c r="TNJ1053" s="989"/>
      <c r="TNK1053" s="989"/>
      <c r="TNL1053" s="989"/>
      <c r="TNM1053" s="989"/>
      <c r="TNN1053" s="989"/>
      <c r="TNO1053" s="989"/>
      <c r="TNP1053" s="989"/>
      <c r="TNQ1053" s="989"/>
      <c r="TNR1053" s="989"/>
      <c r="TNS1053" s="989"/>
      <c r="TNT1053" s="989"/>
      <c r="TNU1053" s="989"/>
      <c r="TNV1053" s="989"/>
      <c r="TNW1053" s="989"/>
      <c r="TNX1053" s="989"/>
      <c r="TNY1053" s="989"/>
      <c r="TNZ1053" s="989"/>
      <c r="TOA1053" s="989"/>
      <c r="TOB1053" s="989"/>
      <c r="TOC1053" s="989"/>
      <c r="TOD1053" s="989"/>
      <c r="TOE1053" s="989"/>
      <c r="TOF1053" s="989"/>
      <c r="TOG1053" s="989"/>
      <c r="TOH1053" s="989"/>
      <c r="TOI1053" s="989"/>
      <c r="TOJ1053" s="989"/>
      <c r="TOK1053" s="989"/>
      <c r="TOL1053" s="989"/>
      <c r="TOM1053" s="989"/>
      <c r="TON1053" s="989"/>
      <c r="TOO1053" s="989"/>
      <c r="TOP1053" s="989"/>
      <c r="TOQ1053" s="989"/>
      <c r="TOR1053" s="989"/>
      <c r="TOS1053" s="989"/>
      <c r="TOT1053" s="989"/>
      <c r="TOU1053" s="989"/>
      <c r="TOV1053" s="989"/>
      <c r="TOW1053" s="989"/>
      <c r="TOX1053" s="989"/>
      <c r="TOY1053" s="989"/>
      <c r="TOZ1053" s="989"/>
      <c r="TPA1053" s="989"/>
      <c r="TPB1053" s="989"/>
      <c r="TPC1053" s="989"/>
      <c r="TPD1053" s="989"/>
      <c r="TPE1053" s="989"/>
      <c r="TPF1053" s="989"/>
      <c r="TPG1053" s="989"/>
      <c r="TPH1053" s="989"/>
      <c r="TPI1053" s="989"/>
      <c r="TPJ1053" s="989"/>
      <c r="TPK1053" s="989"/>
      <c r="TPL1053" s="989"/>
      <c r="TPM1053" s="989"/>
      <c r="TPN1053" s="989"/>
      <c r="TPO1053" s="989"/>
      <c r="TPP1053" s="989"/>
      <c r="TPQ1053" s="989"/>
      <c r="TPR1053" s="989"/>
      <c r="TPS1053" s="989"/>
      <c r="TPT1053" s="989"/>
      <c r="TPU1053" s="989"/>
      <c r="TPV1053" s="989"/>
      <c r="TPW1053" s="989"/>
      <c r="TPX1053" s="989"/>
      <c r="TPY1053" s="989"/>
      <c r="TPZ1053" s="989"/>
      <c r="TQA1053" s="989"/>
      <c r="TQB1053" s="989"/>
      <c r="TQC1053" s="989"/>
      <c r="TQD1053" s="989"/>
      <c r="TQE1053" s="989"/>
      <c r="TQF1053" s="989"/>
      <c r="TQG1053" s="989"/>
      <c r="TQH1053" s="989"/>
      <c r="TQI1053" s="989"/>
      <c r="TQJ1053" s="989"/>
      <c r="TQK1053" s="989"/>
      <c r="TQL1053" s="989"/>
      <c r="TQM1053" s="989"/>
      <c r="TQN1053" s="989"/>
      <c r="TQO1053" s="989"/>
      <c r="TQP1053" s="989"/>
      <c r="TQQ1053" s="989"/>
      <c r="TQR1053" s="989"/>
      <c r="TQS1053" s="989"/>
      <c r="TQT1053" s="989"/>
      <c r="TQU1053" s="989"/>
      <c r="TQV1053" s="989"/>
      <c r="TQW1053" s="989"/>
      <c r="TQX1053" s="989"/>
      <c r="TQY1053" s="989"/>
      <c r="TQZ1053" s="989"/>
      <c r="TRA1053" s="989"/>
      <c r="TRB1053" s="989"/>
      <c r="TRC1053" s="989"/>
      <c r="TRD1053" s="989"/>
      <c r="TRE1053" s="989"/>
      <c r="TRF1053" s="989"/>
      <c r="TRG1053" s="989"/>
      <c r="TRH1053" s="989"/>
      <c r="TRI1053" s="989"/>
      <c r="TRJ1053" s="989"/>
      <c r="TRK1053" s="989"/>
      <c r="TRL1053" s="989"/>
      <c r="TRM1053" s="989"/>
      <c r="TRN1053" s="989"/>
      <c r="TRO1053" s="989"/>
      <c r="TRP1053" s="989"/>
      <c r="TRQ1053" s="989"/>
      <c r="TRR1053" s="989"/>
      <c r="TRS1053" s="989"/>
      <c r="TRT1053" s="989"/>
      <c r="TRU1053" s="989"/>
      <c r="TRV1053" s="989"/>
      <c r="TRW1053" s="989"/>
      <c r="TRX1053" s="989"/>
      <c r="TRY1053" s="989"/>
      <c r="TRZ1053" s="989"/>
      <c r="TSA1053" s="989"/>
      <c r="TSB1053" s="989"/>
      <c r="TSC1053" s="989"/>
      <c r="TSD1053" s="989"/>
      <c r="TSE1053" s="989"/>
      <c r="TSF1053" s="989"/>
      <c r="TSG1053" s="989"/>
      <c r="TSH1053" s="989"/>
      <c r="TSI1053" s="989"/>
      <c r="TSJ1053" s="989"/>
      <c r="TSK1053" s="989"/>
      <c r="TSL1053" s="989"/>
      <c r="TSM1053" s="989"/>
      <c r="TSN1053" s="989"/>
      <c r="TSO1053" s="989"/>
      <c r="TSP1053" s="989"/>
      <c r="TSQ1053" s="989"/>
      <c r="TSR1053" s="989"/>
      <c r="TSS1053" s="989"/>
      <c r="TST1053" s="989"/>
      <c r="TSU1053" s="989"/>
      <c r="TSV1053" s="989"/>
      <c r="TSW1053" s="989"/>
      <c r="TSX1053" s="989"/>
      <c r="TSY1053" s="989"/>
      <c r="TSZ1053" s="989"/>
      <c r="TTA1053" s="989"/>
      <c r="TTB1053" s="989"/>
      <c r="TTC1053" s="989"/>
      <c r="TTD1053" s="989"/>
      <c r="TTE1053" s="989"/>
      <c r="TTF1053" s="989"/>
      <c r="TTG1053" s="989"/>
      <c r="TTH1053" s="989"/>
      <c r="TTI1053" s="989"/>
      <c r="TTJ1053" s="989"/>
      <c r="TTK1053" s="989"/>
      <c r="TTL1053" s="989"/>
      <c r="TTM1053" s="989"/>
      <c r="TTN1053" s="989"/>
      <c r="TTO1053" s="989"/>
      <c r="TTP1053" s="989"/>
      <c r="TTQ1053" s="989"/>
      <c r="TTR1053" s="989"/>
      <c r="TTS1053" s="989"/>
      <c r="TTT1053" s="989"/>
      <c r="TTU1053" s="989"/>
      <c r="TTV1053" s="989"/>
      <c r="TTW1053" s="989"/>
      <c r="TTX1053" s="989"/>
      <c r="TTY1053" s="989"/>
      <c r="TTZ1053" s="989"/>
      <c r="TUA1053" s="989"/>
      <c r="TUB1053" s="989"/>
      <c r="TUC1053" s="989"/>
      <c r="TUD1053" s="989"/>
      <c r="TUE1053" s="989"/>
      <c r="TUF1053" s="989"/>
      <c r="TUG1053" s="989"/>
      <c r="TUH1053" s="989"/>
      <c r="TUI1053" s="989"/>
      <c r="TUJ1053" s="989"/>
      <c r="TUK1053" s="989"/>
      <c r="TUL1053" s="989"/>
      <c r="TUM1053" s="989"/>
      <c r="TUN1053" s="989"/>
      <c r="TUO1053" s="989"/>
      <c r="TUP1053" s="989"/>
      <c r="TUQ1053" s="989"/>
      <c r="TUR1053" s="989"/>
      <c r="TUS1053" s="989"/>
      <c r="TUT1053" s="989"/>
      <c r="TUU1053" s="989"/>
      <c r="TUV1053" s="989"/>
      <c r="TUW1053" s="989"/>
      <c r="TUX1053" s="989"/>
      <c r="TUY1053" s="989"/>
      <c r="TUZ1053" s="989"/>
      <c r="TVA1053" s="989"/>
      <c r="TVB1053" s="989"/>
      <c r="TVC1053" s="989"/>
      <c r="TVD1053" s="989"/>
      <c r="TVE1053" s="989"/>
      <c r="TVF1053" s="989"/>
      <c r="TVG1053" s="989"/>
      <c r="TVH1053" s="989"/>
      <c r="TVI1053" s="989"/>
      <c r="TVJ1053" s="989"/>
      <c r="TVK1053" s="989"/>
      <c r="TVL1053" s="989"/>
      <c r="TVM1053" s="989"/>
      <c r="TVN1053" s="989"/>
      <c r="TVO1053" s="989"/>
      <c r="TVP1053" s="989"/>
      <c r="TVQ1053" s="989"/>
      <c r="TVR1053" s="989"/>
      <c r="TVS1053" s="989"/>
      <c r="TVT1053" s="989"/>
      <c r="TVU1053" s="989"/>
      <c r="TVV1053" s="989"/>
      <c r="TVW1053" s="989"/>
      <c r="TVX1053" s="989"/>
      <c r="TVY1053" s="989"/>
      <c r="TVZ1053" s="989"/>
      <c r="TWA1053" s="989"/>
      <c r="TWB1053" s="989"/>
      <c r="TWC1053" s="989"/>
      <c r="TWD1053" s="989"/>
      <c r="TWE1053" s="989"/>
      <c r="TWF1053" s="989"/>
      <c r="TWG1053" s="989"/>
      <c r="TWH1053" s="989"/>
      <c r="TWI1053" s="989"/>
      <c r="TWJ1053" s="989"/>
      <c r="TWK1053" s="989"/>
      <c r="TWL1053" s="989"/>
      <c r="TWM1053" s="989"/>
      <c r="TWN1053" s="989"/>
      <c r="TWO1053" s="989"/>
      <c r="TWP1053" s="989"/>
      <c r="TWQ1053" s="989"/>
      <c r="TWR1053" s="989"/>
      <c r="TWS1053" s="989"/>
      <c r="TWT1053" s="989"/>
      <c r="TWU1053" s="989"/>
      <c r="TWV1053" s="989"/>
      <c r="TWW1053" s="989"/>
      <c r="TWX1053" s="989"/>
      <c r="TWY1053" s="989"/>
      <c r="TWZ1053" s="989"/>
      <c r="TXA1053" s="989"/>
      <c r="TXB1053" s="989"/>
      <c r="TXC1053" s="989"/>
      <c r="TXD1053" s="989"/>
      <c r="TXE1053" s="989"/>
      <c r="TXF1053" s="989"/>
      <c r="TXG1053" s="989"/>
      <c r="TXH1053" s="989"/>
      <c r="TXI1053" s="989"/>
      <c r="TXJ1053" s="989"/>
      <c r="TXK1053" s="989"/>
      <c r="TXL1053" s="989"/>
      <c r="TXM1053" s="989"/>
      <c r="TXN1053" s="989"/>
      <c r="TXO1053" s="989"/>
      <c r="TXP1053" s="989"/>
      <c r="TXQ1053" s="989"/>
      <c r="TXR1053" s="989"/>
      <c r="TXS1053" s="989"/>
      <c r="TXT1053" s="989"/>
      <c r="TXU1053" s="989"/>
      <c r="TXV1053" s="989"/>
      <c r="TXW1053" s="989"/>
      <c r="TXX1053" s="989"/>
      <c r="TXY1053" s="989"/>
      <c r="TXZ1053" s="989"/>
      <c r="TYA1053" s="989"/>
      <c r="TYB1053" s="989"/>
      <c r="TYC1053" s="989"/>
      <c r="TYD1053" s="989"/>
      <c r="TYE1053" s="989"/>
      <c r="TYF1053" s="989"/>
      <c r="TYG1053" s="989"/>
      <c r="TYH1053" s="989"/>
      <c r="TYI1053" s="989"/>
      <c r="TYJ1053" s="989"/>
      <c r="TYK1053" s="989"/>
      <c r="TYL1053" s="989"/>
      <c r="TYM1053" s="989"/>
      <c r="TYN1053" s="989"/>
      <c r="TYO1053" s="989"/>
      <c r="TYP1053" s="989"/>
      <c r="TYQ1053" s="989"/>
      <c r="TYR1053" s="989"/>
      <c r="TYS1053" s="989"/>
      <c r="TYT1053" s="989"/>
      <c r="TYU1053" s="989"/>
      <c r="TYV1053" s="989"/>
      <c r="TYW1053" s="989"/>
      <c r="TYX1053" s="989"/>
      <c r="TYY1053" s="989"/>
      <c r="TYZ1053" s="989"/>
      <c r="TZA1053" s="989"/>
      <c r="TZB1053" s="989"/>
      <c r="TZC1053" s="989"/>
      <c r="TZD1053" s="989"/>
      <c r="TZE1053" s="989"/>
      <c r="TZF1053" s="989"/>
      <c r="TZG1053" s="989"/>
      <c r="TZH1053" s="989"/>
      <c r="TZI1053" s="989"/>
      <c r="TZJ1053" s="989"/>
      <c r="TZK1053" s="989"/>
      <c r="TZL1053" s="989"/>
      <c r="TZM1053" s="989"/>
      <c r="TZN1053" s="989"/>
      <c r="TZO1053" s="989"/>
      <c r="TZP1053" s="989"/>
      <c r="TZQ1053" s="989"/>
      <c r="TZR1053" s="989"/>
      <c r="TZS1053" s="989"/>
      <c r="TZT1053" s="989"/>
      <c r="TZU1053" s="989"/>
      <c r="TZV1053" s="989"/>
      <c r="TZW1053" s="989"/>
      <c r="TZX1053" s="989"/>
      <c r="TZY1053" s="989"/>
      <c r="TZZ1053" s="989"/>
      <c r="UAA1053" s="989"/>
      <c r="UAB1053" s="989"/>
      <c r="UAC1053" s="989"/>
      <c r="UAD1053" s="989"/>
      <c r="UAE1053" s="989"/>
      <c r="UAF1053" s="989"/>
      <c r="UAG1053" s="989"/>
      <c r="UAH1053" s="989"/>
      <c r="UAI1053" s="989"/>
      <c r="UAJ1053" s="989"/>
      <c r="UAK1053" s="989"/>
      <c r="UAL1053" s="989"/>
      <c r="UAM1053" s="989"/>
      <c r="UAN1053" s="989"/>
      <c r="UAO1053" s="989"/>
      <c r="UAP1053" s="989"/>
      <c r="UAQ1053" s="989"/>
      <c r="UAR1053" s="989"/>
      <c r="UAS1053" s="989"/>
      <c r="UAT1053" s="989"/>
      <c r="UAU1053" s="989"/>
      <c r="UAV1053" s="989"/>
      <c r="UAW1053" s="989"/>
      <c r="UAX1053" s="989"/>
      <c r="UAY1053" s="989"/>
      <c r="UAZ1053" s="989"/>
      <c r="UBA1053" s="989"/>
      <c r="UBB1053" s="989"/>
      <c r="UBC1053" s="989"/>
      <c r="UBD1053" s="989"/>
      <c r="UBE1053" s="989"/>
      <c r="UBF1053" s="989"/>
      <c r="UBG1053" s="989"/>
      <c r="UBH1053" s="989"/>
      <c r="UBI1053" s="989"/>
      <c r="UBJ1053" s="989"/>
      <c r="UBK1053" s="989"/>
      <c r="UBL1053" s="989"/>
      <c r="UBM1053" s="989"/>
      <c r="UBN1053" s="989"/>
      <c r="UBO1053" s="989"/>
      <c r="UBP1053" s="989"/>
      <c r="UBQ1053" s="989"/>
      <c r="UBR1053" s="989"/>
      <c r="UBS1053" s="989"/>
      <c r="UBT1053" s="989"/>
      <c r="UBU1053" s="989"/>
      <c r="UBV1053" s="989"/>
      <c r="UBW1053" s="989"/>
      <c r="UBX1053" s="989"/>
      <c r="UBY1053" s="989"/>
      <c r="UBZ1053" s="989"/>
      <c r="UCA1053" s="989"/>
      <c r="UCB1053" s="989"/>
      <c r="UCC1053" s="989"/>
      <c r="UCD1053" s="989"/>
      <c r="UCE1053" s="989"/>
      <c r="UCF1053" s="989"/>
      <c r="UCG1053" s="989"/>
      <c r="UCH1053" s="989"/>
      <c r="UCI1053" s="989"/>
      <c r="UCJ1053" s="989"/>
      <c r="UCK1053" s="989"/>
      <c r="UCL1053" s="989"/>
      <c r="UCM1053" s="989"/>
      <c r="UCN1053" s="989"/>
      <c r="UCO1053" s="989"/>
      <c r="UCP1053" s="989"/>
      <c r="UCQ1053" s="989"/>
      <c r="UCR1053" s="989"/>
      <c r="UCS1053" s="989"/>
      <c r="UCT1053" s="989"/>
      <c r="UCU1053" s="989"/>
      <c r="UCV1053" s="989"/>
      <c r="UCW1053" s="989"/>
      <c r="UCX1053" s="989"/>
      <c r="UCY1053" s="989"/>
      <c r="UCZ1053" s="989"/>
      <c r="UDA1053" s="989"/>
      <c r="UDB1053" s="989"/>
      <c r="UDC1053" s="989"/>
      <c r="UDD1053" s="989"/>
      <c r="UDE1053" s="989"/>
      <c r="UDF1053" s="989"/>
      <c r="UDG1053" s="989"/>
      <c r="UDH1053" s="989"/>
      <c r="UDI1053" s="989"/>
      <c r="UDJ1053" s="989"/>
      <c r="UDK1053" s="989"/>
      <c r="UDL1053" s="989"/>
      <c r="UDM1053" s="989"/>
      <c r="UDN1053" s="989"/>
      <c r="UDO1053" s="989"/>
      <c r="UDP1053" s="989"/>
      <c r="UDQ1053" s="989"/>
      <c r="UDR1053" s="989"/>
      <c r="UDS1053" s="989"/>
      <c r="UDT1053" s="989"/>
      <c r="UDU1053" s="989"/>
      <c r="UDV1053" s="989"/>
      <c r="UDW1053" s="989"/>
      <c r="UDX1053" s="989"/>
      <c r="UDY1053" s="989"/>
      <c r="UDZ1053" s="989"/>
      <c r="UEA1053" s="989"/>
      <c r="UEB1053" s="989"/>
      <c r="UEC1053" s="989"/>
      <c r="UED1053" s="989"/>
      <c r="UEE1053" s="989"/>
      <c r="UEF1053" s="989"/>
      <c r="UEG1053" s="989"/>
      <c r="UEH1053" s="989"/>
      <c r="UEI1053" s="989"/>
      <c r="UEJ1053" s="989"/>
      <c r="UEK1053" s="989"/>
      <c r="UEL1053" s="989"/>
      <c r="UEM1053" s="989"/>
      <c r="UEN1053" s="989"/>
      <c r="UEO1053" s="989"/>
      <c r="UEP1053" s="989"/>
      <c r="UEQ1053" s="989"/>
      <c r="UER1053" s="989"/>
      <c r="UES1053" s="989"/>
      <c r="UET1053" s="989"/>
      <c r="UEU1053" s="989"/>
      <c r="UEV1053" s="989"/>
      <c r="UEW1053" s="989"/>
      <c r="UEX1053" s="989"/>
      <c r="UEY1053" s="989"/>
      <c r="UEZ1053" s="989"/>
      <c r="UFA1053" s="989"/>
      <c r="UFB1053" s="989"/>
      <c r="UFC1053" s="989"/>
      <c r="UFD1053" s="989"/>
      <c r="UFE1053" s="989"/>
      <c r="UFF1053" s="989"/>
      <c r="UFG1053" s="989"/>
      <c r="UFH1053" s="989"/>
      <c r="UFI1053" s="989"/>
      <c r="UFJ1053" s="989"/>
      <c r="UFK1053" s="989"/>
      <c r="UFL1053" s="989"/>
      <c r="UFM1053" s="989"/>
      <c r="UFN1053" s="989"/>
      <c r="UFO1053" s="989"/>
      <c r="UFP1053" s="989"/>
      <c r="UFQ1053" s="989"/>
      <c r="UFR1053" s="989"/>
      <c r="UFS1053" s="989"/>
      <c r="UFT1053" s="989"/>
      <c r="UFU1053" s="989"/>
      <c r="UFV1053" s="989"/>
      <c r="UFW1053" s="989"/>
      <c r="UFX1053" s="989"/>
      <c r="UFY1053" s="989"/>
      <c r="UFZ1053" s="989"/>
      <c r="UGA1053" s="989"/>
      <c r="UGB1053" s="989"/>
      <c r="UGC1053" s="989"/>
      <c r="UGD1053" s="989"/>
      <c r="UGE1053" s="989"/>
      <c r="UGF1053" s="989"/>
      <c r="UGG1053" s="989"/>
      <c r="UGH1053" s="989"/>
      <c r="UGI1053" s="989"/>
      <c r="UGJ1053" s="989"/>
      <c r="UGK1053" s="989"/>
      <c r="UGL1053" s="989"/>
      <c r="UGM1053" s="989"/>
      <c r="UGN1053" s="989"/>
      <c r="UGO1053" s="989"/>
      <c r="UGP1053" s="989"/>
      <c r="UGQ1053" s="989"/>
      <c r="UGR1053" s="989"/>
      <c r="UGS1053" s="989"/>
      <c r="UGT1053" s="989"/>
      <c r="UGU1053" s="989"/>
      <c r="UGV1053" s="989"/>
      <c r="UGW1053" s="989"/>
      <c r="UGX1053" s="989"/>
      <c r="UGY1053" s="989"/>
      <c r="UGZ1053" s="989"/>
      <c r="UHA1053" s="989"/>
      <c r="UHB1053" s="989"/>
      <c r="UHC1053" s="989"/>
      <c r="UHD1053" s="989"/>
      <c r="UHE1053" s="989"/>
      <c r="UHF1053" s="989"/>
      <c r="UHG1053" s="989"/>
      <c r="UHH1053" s="989"/>
      <c r="UHI1053" s="989"/>
      <c r="UHJ1053" s="989"/>
      <c r="UHK1053" s="989"/>
      <c r="UHL1053" s="989"/>
      <c r="UHM1053" s="989"/>
      <c r="UHN1053" s="989"/>
      <c r="UHO1053" s="989"/>
      <c r="UHP1053" s="989"/>
      <c r="UHQ1053" s="989"/>
      <c r="UHR1053" s="989"/>
      <c r="UHS1053" s="989"/>
      <c r="UHT1053" s="989"/>
      <c r="UHU1053" s="989"/>
      <c r="UHV1053" s="989"/>
      <c r="UHW1053" s="989"/>
      <c r="UHX1053" s="989"/>
      <c r="UHY1053" s="989"/>
      <c r="UHZ1053" s="989"/>
      <c r="UIA1053" s="989"/>
      <c r="UIB1053" s="989"/>
      <c r="UIC1053" s="989"/>
      <c r="UID1053" s="989"/>
      <c r="UIE1053" s="989"/>
      <c r="UIF1053" s="989"/>
      <c r="UIG1053" s="989"/>
      <c r="UIH1053" s="989"/>
      <c r="UII1053" s="989"/>
      <c r="UIJ1053" s="989"/>
      <c r="UIK1053" s="989"/>
      <c r="UIL1053" s="989"/>
      <c r="UIM1053" s="989"/>
      <c r="UIN1053" s="989"/>
      <c r="UIO1053" s="989"/>
      <c r="UIP1053" s="989"/>
      <c r="UIQ1053" s="989"/>
      <c r="UIR1053" s="989"/>
      <c r="UIS1053" s="989"/>
      <c r="UIT1053" s="989"/>
      <c r="UIU1053" s="989"/>
      <c r="UIV1053" s="989"/>
      <c r="UIW1053" s="989"/>
      <c r="UIX1053" s="989"/>
      <c r="UIY1053" s="989"/>
      <c r="UIZ1053" s="989"/>
      <c r="UJA1053" s="989"/>
      <c r="UJB1053" s="989"/>
      <c r="UJC1053" s="989"/>
      <c r="UJD1053" s="989"/>
      <c r="UJE1053" s="989"/>
      <c r="UJF1053" s="989"/>
      <c r="UJG1053" s="989"/>
      <c r="UJH1053" s="989"/>
      <c r="UJI1053" s="989"/>
      <c r="UJJ1053" s="989"/>
      <c r="UJK1053" s="989"/>
      <c r="UJL1053" s="989"/>
      <c r="UJM1053" s="989"/>
      <c r="UJN1053" s="989"/>
      <c r="UJO1053" s="989"/>
      <c r="UJP1053" s="989"/>
      <c r="UJQ1053" s="989"/>
      <c r="UJR1053" s="989"/>
      <c r="UJS1053" s="989"/>
      <c r="UJT1053" s="989"/>
      <c r="UJU1053" s="989"/>
      <c r="UJV1053" s="989"/>
      <c r="UJW1053" s="989"/>
      <c r="UJX1053" s="989"/>
      <c r="UJY1053" s="989"/>
      <c r="UJZ1053" s="989"/>
      <c r="UKA1053" s="989"/>
      <c r="UKB1053" s="989"/>
      <c r="UKC1053" s="989"/>
      <c r="UKD1053" s="989"/>
      <c r="UKE1053" s="989"/>
      <c r="UKF1053" s="989"/>
      <c r="UKG1053" s="989"/>
      <c r="UKH1053" s="989"/>
      <c r="UKI1053" s="989"/>
      <c r="UKJ1053" s="989"/>
      <c r="UKK1053" s="989"/>
      <c r="UKL1053" s="989"/>
      <c r="UKM1053" s="989"/>
      <c r="UKN1053" s="989"/>
      <c r="UKO1053" s="989"/>
      <c r="UKP1053" s="989"/>
      <c r="UKQ1053" s="989"/>
      <c r="UKR1053" s="989"/>
      <c r="UKS1053" s="989"/>
      <c r="UKT1053" s="989"/>
      <c r="UKU1053" s="989"/>
      <c r="UKV1053" s="989"/>
      <c r="UKW1053" s="989"/>
      <c r="UKX1053" s="989"/>
      <c r="UKY1053" s="989"/>
      <c r="UKZ1053" s="989"/>
      <c r="ULA1053" s="989"/>
      <c r="ULB1053" s="989"/>
      <c r="ULC1053" s="989"/>
      <c r="ULD1053" s="989"/>
      <c r="ULE1053" s="989"/>
      <c r="ULF1053" s="989"/>
      <c r="ULG1053" s="989"/>
      <c r="ULH1053" s="989"/>
      <c r="ULI1053" s="989"/>
      <c r="ULJ1053" s="989"/>
      <c r="ULK1053" s="989"/>
      <c r="ULL1053" s="989"/>
      <c r="ULM1053" s="989"/>
      <c r="ULN1053" s="989"/>
      <c r="ULO1053" s="989"/>
      <c r="ULP1053" s="989"/>
      <c r="ULQ1053" s="989"/>
      <c r="ULR1053" s="989"/>
      <c r="ULS1053" s="989"/>
      <c r="ULT1053" s="989"/>
      <c r="ULU1053" s="989"/>
      <c r="ULV1053" s="989"/>
      <c r="ULW1053" s="989"/>
      <c r="ULX1053" s="989"/>
      <c r="ULY1053" s="989"/>
      <c r="ULZ1053" s="989"/>
      <c r="UMA1053" s="989"/>
      <c r="UMB1053" s="989"/>
      <c r="UMC1053" s="989"/>
      <c r="UMD1053" s="989"/>
      <c r="UME1053" s="989"/>
      <c r="UMF1053" s="989"/>
      <c r="UMG1053" s="989"/>
      <c r="UMH1053" s="989"/>
      <c r="UMI1053" s="989"/>
      <c r="UMJ1053" s="989"/>
      <c r="UMK1053" s="989"/>
      <c r="UML1053" s="989"/>
      <c r="UMM1053" s="989"/>
      <c r="UMN1053" s="989"/>
      <c r="UMO1053" s="989"/>
      <c r="UMP1053" s="989"/>
      <c r="UMQ1053" s="989"/>
      <c r="UMR1053" s="989"/>
      <c r="UMS1053" s="989"/>
      <c r="UMT1053" s="989"/>
      <c r="UMU1053" s="989"/>
      <c r="UMV1053" s="989"/>
      <c r="UMW1053" s="989"/>
      <c r="UMX1053" s="989"/>
      <c r="UMY1053" s="989"/>
      <c r="UMZ1053" s="989"/>
      <c r="UNA1053" s="989"/>
      <c r="UNB1053" s="989"/>
      <c r="UNC1053" s="989"/>
      <c r="UND1053" s="989"/>
      <c r="UNE1053" s="989"/>
      <c r="UNF1053" s="989"/>
      <c r="UNG1053" s="989"/>
      <c r="UNH1053" s="989"/>
      <c r="UNI1053" s="989"/>
      <c r="UNJ1053" s="989"/>
      <c r="UNK1053" s="989"/>
      <c r="UNL1053" s="989"/>
      <c r="UNM1053" s="989"/>
      <c r="UNN1053" s="989"/>
      <c r="UNO1053" s="989"/>
      <c r="UNP1053" s="989"/>
      <c r="UNQ1053" s="989"/>
      <c r="UNR1053" s="989"/>
      <c r="UNS1053" s="989"/>
      <c r="UNT1053" s="989"/>
      <c r="UNU1053" s="989"/>
      <c r="UNV1053" s="989"/>
      <c r="UNW1053" s="989"/>
      <c r="UNX1053" s="989"/>
      <c r="UNY1053" s="989"/>
      <c r="UNZ1053" s="989"/>
      <c r="UOA1053" s="989"/>
      <c r="UOB1053" s="989"/>
      <c r="UOC1053" s="989"/>
      <c r="UOD1053" s="989"/>
      <c r="UOE1053" s="989"/>
      <c r="UOF1053" s="989"/>
      <c r="UOG1053" s="989"/>
      <c r="UOH1053" s="989"/>
      <c r="UOI1053" s="989"/>
      <c r="UOJ1053" s="989"/>
      <c r="UOK1053" s="989"/>
      <c r="UOL1053" s="989"/>
      <c r="UOM1053" s="989"/>
      <c r="UON1053" s="989"/>
      <c r="UOO1053" s="989"/>
      <c r="UOP1053" s="989"/>
      <c r="UOQ1053" s="989"/>
      <c r="UOR1053" s="989"/>
      <c r="UOS1053" s="989"/>
      <c r="UOT1053" s="989"/>
      <c r="UOU1053" s="989"/>
      <c r="UOV1053" s="989"/>
      <c r="UOW1053" s="989"/>
      <c r="UOX1053" s="989"/>
      <c r="UOY1053" s="989"/>
      <c r="UOZ1053" s="989"/>
      <c r="UPA1053" s="989"/>
      <c r="UPB1053" s="989"/>
      <c r="UPC1053" s="989"/>
      <c r="UPD1053" s="989"/>
      <c r="UPE1053" s="989"/>
      <c r="UPF1053" s="989"/>
      <c r="UPG1053" s="989"/>
      <c r="UPH1053" s="989"/>
      <c r="UPI1053" s="989"/>
      <c r="UPJ1053" s="989"/>
      <c r="UPK1053" s="989"/>
      <c r="UPL1053" s="989"/>
      <c r="UPM1053" s="989"/>
      <c r="UPN1053" s="989"/>
      <c r="UPO1053" s="989"/>
      <c r="UPP1053" s="989"/>
      <c r="UPQ1053" s="989"/>
      <c r="UPR1053" s="989"/>
      <c r="UPS1053" s="989"/>
      <c r="UPT1053" s="989"/>
      <c r="UPU1053" s="989"/>
      <c r="UPV1053" s="989"/>
      <c r="UPW1053" s="989"/>
      <c r="UPX1053" s="989"/>
      <c r="UPY1053" s="989"/>
      <c r="UPZ1053" s="989"/>
      <c r="UQA1053" s="989"/>
      <c r="UQB1053" s="989"/>
      <c r="UQC1053" s="989"/>
      <c r="UQD1053" s="989"/>
      <c r="UQE1053" s="989"/>
      <c r="UQF1053" s="989"/>
      <c r="UQG1053" s="989"/>
      <c r="UQH1053" s="989"/>
      <c r="UQI1053" s="989"/>
      <c r="UQJ1053" s="989"/>
      <c r="UQK1053" s="989"/>
      <c r="UQL1053" s="989"/>
      <c r="UQM1053" s="989"/>
      <c r="UQN1053" s="989"/>
      <c r="UQO1053" s="989"/>
      <c r="UQP1053" s="989"/>
      <c r="UQQ1053" s="989"/>
      <c r="UQR1053" s="989"/>
      <c r="UQS1053" s="989"/>
      <c r="UQT1053" s="989"/>
      <c r="UQU1053" s="989"/>
      <c r="UQV1053" s="989"/>
      <c r="UQW1053" s="989"/>
      <c r="UQX1053" s="989"/>
      <c r="UQY1053" s="989"/>
      <c r="UQZ1053" s="989"/>
      <c r="URA1053" s="989"/>
      <c r="URB1053" s="989"/>
      <c r="URC1053" s="989"/>
      <c r="URD1053" s="989"/>
      <c r="URE1053" s="989"/>
      <c r="URF1053" s="989"/>
      <c r="URG1053" s="989"/>
      <c r="URH1053" s="989"/>
      <c r="URI1053" s="989"/>
      <c r="URJ1053" s="989"/>
      <c r="URK1053" s="989"/>
      <c r="URL1053" s="989"/>
      <c r="URM1053" s="989"/>
      <c r="URN1053" s="989"/>
      <c r="URO1053" s="989"/>
      <c r="URP1053" s="989"/>
      <c r="URQ1053" s="989"/>
      <c r="URR1053" s="989"/>
      <c r="URS1053" s="989"/>
      <c r="URT1053" s="989"/>
      <c r="URU1053" s="989"/>
      <c r="URV1053" s="989"/>
      <c r="URW1053" s="989"/>
      <c r="URX1053" s="989"/>
      <c r="URY1053" s="989"/>
      <c r="URZ1053" s="989"/>
      <c r="USA1053" s="989"/>
      <c r="USB1053" s="989"/>
      <c r="USC1053" s="989"/>
      <c r="USD1053" s="989"/>
      <c r="USE1053" s="989"/>
      <c r="USF1053" s="989"/>
      <c r="USG1053" s="989"/>
      <c r="USH1053" s="989"/>
      <c r="USI1053" s="989"/>
      <c r="USJ1053" s="989"/>
      <c r="USK1053" s="989"/>
      <c r="USL1053" s="989"/>
      <c r="USM1053" s="989"/>
      <c r="USN1053" s="989"/>
      <c r="USO1053" s="989"/>
      <c r="USP1053" s="989"/>
      <c r="USQ1053" s="989"/>
      <c r="USR1053" s="989"/>
      <c r="USS1053" s="989"/>
      <c r="UST1053" s="989"/>
      <c r="USU1053" s="989"/>
      <c r="USV1053" s="989"/>
      <c r="USW1053" s="989"/>
      <c r="USX1053" s="989"/>
      <c r="USY1053" s="989"/>
      <c r="USZ1053" s="989"/>
      <c r="UTA1053" s="989"/>
      <c r="UTB1053" s="989"/>
      <c r="UTC1053" s="989"/>
      <c r="UTD1053" s="989"/>
      <c r="UTE1053" s="989"/>
      <c r="UTF1053" s="989"/>
      <c r="UTG1053" s="989"/>
      <c r="UTH1053" s="989"/>
      <c r="UTI1053" s="989"/>
      <c r="UTJ1053" s="989"/>
      <c r="UTK1053" s="989"/>
      <c r="UTL1053" s="989"/>
      <c r="UTM1053" s="989"/>
      <c r="UTN1053" s="989"/>
      <c r="UTO1053" s="989"/>
      <c r="UTP1053" s="989"/>
      <c r="UTQ1053" s="989"/>
      <c r="UTR1053" s="989"/>
      <c r="UTS1053" s="989"/>
      <c r="UTT1053" s="989"/>
      <c r="UTU1053" s="989"/>
      <c r="UTV1053" s="989"/>
      <c r="UTW1053" s="989"/>
      <c r="UTX1053" s="989"/>
      <c r="UTY1053" s="989"/>
      <c r="UTZ1053" s="989"/>
      <c r="UUA1053" s="989"/>
      <c r="UUB1053" s="989"/>
      <c r="UUC1053" s="989"/>
      <c r="UUD1053" s="989"/>
      <c r="UUE1053" s="989"/>
      <c r="UUF1053" s="989"/>
      <c r="UUG1053" s="989"/>
      <c r="UUH1053" s="989"/>
      <c r="UUI1053" s="989"/>
      <c r="UUJ1053" s="989"/>
      <c r="UUK1053" s="989"/>
      <c r="UUL1053" s="989"/>
      <c r="UUM1053" s="989"/>
      <c r="UUN1053" s="989"/>
      <c r="UUO1053" s="989"/>
      <c r="UUP1053" s="989"/>
      <c r="UUQ1053" s="989"/>
      <c r="UUR1053" s="989"/>
      <c r="UUS1053" s="989"/>
      <c r="UUT1053" s="989"/>
      <c r="UUU1053" s="989"/>
      <c r="UUV1053" s="989"/>
      <c r="UUW1053" s="989"/>
      <c r="UUX1053" s="989"/>
      <c r="UUY1053" s="989"/>
      <c r="UUZ1053" s="989"/>
      <c r="UVA1053" s="989"/>
      <c r="UVB1053" s="989"/>
      <c r="UVC1053" s="989"/>
      <c r="UVD1053" s="989"/>
      <c r="UVE1053" s="989"/>
      <c r="UVF1053" s="989"/>
      <c r="UVG1053" s="989"/>
      <c r="UVH1053" s="989"/>
      <c r="UVI1053" s="989"/>
      <c r="UVJ1053" s="989"/>
      <c r="UVK1053" s="989"/>
      <c r="UVL1053" s="989"/>
      <c r="UVM1053" s="989"/>
      <c r="UVN1053" s="989"/>
      <c r="UVO1053" s="989"/>
      <c r="UVP1053" s="989"/>
      <c r="UVQ1053" s="989"/>
      <c r="UVR1053" s="989"/>
      <c r="UVS1053" s="989"/>
      <c r="UVT1053" s="989"/>
      <c r="UVU1053" s="989"/>
      <c r="UVV1053" s="989"/>
      <c r="UVW1053" s="989"/>
      <c r="UVX1053" s="989"/>
      <c r="UVY1053" s="989"/>
      <c r="UVZ1053" s="989"/>
      <c r="UWA1053" s="989"/>
      <c r="UWB1053" s="989"/>
      <c r="UWC1053" s="989"/>
      <c r="UWD1053" s="989"/>
      <c r="UWE1053" s="989"/>
      <c r="UWF1053" s="989"/>
      <c r="UWG1053" s="989"/>
      <c r="UWH1053" s="989"/>
      <c r="UWI1053" s="989"/>
      <c r="UWJ1053" s="989"/>
      <c r="UWK1053" s="989"/>
      <c r="UWL1053" s="989"/>
      <c r="UWM1053" s="989"/>
      <c r="UWN1053" s="989"/>
      <c r="UWO1053" s="989"/>
      <c r="UWP1053" s="989"/>
      <c r="UWQ1053" s="989"/>
      <c r="UWR1053" s="989"/>
      <c r="UWS1053" s="989"/>
      <c r="UWT1053" s="989"/>
      <c r="UWU1053" s="989"/>
      <c r="UWV1053" s="989"/>
      <c r="UWW1053" s="989"/>
      <c r="UWX1053" s="989"/>
      <c r="UWY1053" s="989"/>
      <c r="UWZ1053" s="989"/>
      <c r="UXA1053" s="989"/>
      <c r="UXB1053" s="989"/>
      <c r="UXC1053" s="989"/>
      <c r="UXD1053" s="989"/>
      <c r="UXE1053" s="989"/>
      <c r="UXF1053" s="989"/>
      <c r="UXG1053" s="989"/>
      <c r="UXH1053" s="989"/>
      <c r="UXI1053" s="989"/>
      <c r="UXJ1053" s="989"/>
      <c r="UXK1053" s="989"/>
      <c r="UXL1053" s="989"/>
      <c r="UXM1053" s="989"/>
      <c r="UXN1053" s="989"/>
      <c r="UXO1053" s="989"/>
      <c r="UXP1053" s="989"/>
      <c r="UXQ1053" s="989"/>
      <c r="UXR1053" s="989"/>
      <c r="UXS1053" s="989"/>
      <c r="UXT1053" s="989"/>
      <c r="UXU1053" s="989"/>
      <c r="UXV1053" s="989"/>
      <c r="UXW1053" s="989"/>
      <c r="UXX1053" s="989"/>
      <c r="UXY1053" s="989"/>
      <c r="UXZ1053" s="989"/>
      <c r="UYA1053" s="989"/>
      <c r="UYB1053" s="989"/>
      <c r="UYC1053" s="989"/>
      <c r="UYD1053" s="989"/>
      <c r="UYE1053" s="989"/>
      <c r="UYF1053" s="989"/>
      <c r="UYG1053" s="989"/>
      <c r="UYH1053" s="989"/>
      <c r="UYI1053" s="989"/>
      <c r="UYJ1053" s="989"/>
      <c r="UYK1053" s="989"/>
      <c r="UYL1053" s="989"/>
      <c r="UYM1053" s="989"/>
      <c r="UYN1053" s="989"/>
      <c r="UYO1053" s="989"/>
      <c r="UYP1053" s="989"/>
      <c r="UYQ1053" s="989"/>
      <c r="UYR1053" s="989"/>
      <c r="UYS1053" s="989"/>
      <c r="UYT1053" s="989"/>
      <c r="UYU1053" s="989"/>
      <c r="UYV1053" s="989"/>
      <c r="UYW1053" s="989"/>
      <c r="UYX1053" s="989"/>
      <c r="UYY1053" s="989"/>
      <c r="UYZ1053" s="989"/>
      <c r="UZA1053" s="989"/>
      <c r="UZB1053" s="989"/>
      <c r="UZC1053" s="989"/>
      <c r="UZD1053" s="989"/>
      <c r="UZE1053" s="989"/>
      <c r="UZF1053" s="989"/>
      <c r="UZG1053" s="989"/>
      <c r="UZH1053" s="989"/>
      <c r="UZI1053" s="989"/>
      <c r="UZJ1053" s="989"/>
      <c r="UZK1053" s="989"/>
      <c r="UZL1053" s="989"/>
      <c r="UZM1053" s="989"/>
      <c r="UZN1053" s="989"/>
      <c r="UZO1053" s="989"/>
      <c r="UZP1053" s="989"/>
      <c r="UZQ1053" s="989"/>
      <c r="UZR1053" s="989"/>
      <c r="UZS1053" s="989"/>
      <c r="UZT1053" s="989"/>
      <c r="UZU1053" s="989"/>
      <c r="UZV1053" s="989"/>
      <c r="UZW1053" s="989"/>
      <c r="UZX1053" s="989"/>
      <c r="UZY1053" s="989"/>
      <c r="UZZ1053" s="989"/>
      <c r="VAA1053" s="989"/>
      <c r="VAB1053" s="989"/>
      <c r="VAC1053" s="989"/>
      <c r="VAD1053" s="989"/>
      <c r="VAE1053" s="989"/>
      <c r="VAF1053" s="989"/>
      <c r="VAG1053" s="989"/>
      <c r="VAH1053" s="989"/>
      <c r="VAI1053" s="989"/>
      <c r="VAJ1053" s="989"/>
      <c r="VAK1053" s="989"/>
      <c r="VAL1053" s="989"/>
      <c r="VAM1053" s="989"/>
      <c r="VAN1053" s="989"/>
      <c r="VAO1053" s="989"/>
      <c r="VAP1053" s="989"/>
      <c r="VAQ1053" s="989"/>
      <c r="VAR1053" s="989"/>
      <c r="VAS1053" s="989"/>
      <c r="VAT1053" s="989"/>
      <c r="VAU1053" s="989"/>
      <c r="VAV1053" s="989"/>
      <c r="VAW1053" s="989"/>
      <c r="VAX1053" s="989"/>
      <c r="VAY1053" s="989"/>
      <c r="VAZ1053" s="989"/>
      <c r="VBA1053" s="989"/>
      <c r="VBB1053" s="989"/>
      <c r="VBC1053" s="989"/>
      <c r="VBD1053" s="989"/>
      <c r="VBE1053" s="989"/>
      <c r="VBF1053" s="989"/>
      <c r="VBG1053" s="989"/>
      <c r="VBH1053" s="989"/>
      <c r="VBI1053" s="989"/>
      <c r="VBJ1053" s="989"/>
      <c r="VBK1053" s="989"/>
      <c r="VBL1053" s="989"/>
      <c r="VBM1053" s="989"/>
      <c r="VBN1053" s="989"/>
      <c r="VBO1053" s="989"/>
      <c r="VBP1053" s="989"/>
      <c r="VBQ1053" s="989"/>
      <c r="VBR1053" s="989"/>
      <c r="VBS1053" s="989"/>
      <c r="VBT1053" s="989"/>
      <c r="VBU1053" s="989"/>
      <c r="VBV1053" s="989"/>
      <c r="VBW1053" s="989"/>
      <c r="VBX1053" s="989"/>
      <c r="VBY1053" s="989"/>
      <c r="VBZ1053" s="989"/>
      <c r="VCA1053" s="989"/>
      <c r="VCB1053" s="989"/>
      <c r="VCC1053" s="989"/>
      <c r="VCD1053" s="989"/>
      <c r="VCE1053" s="989"/>
      <c r="VCF1053" s="989"/>
      <c r="VCG1053" s="989"/>
      <c r="VCH1053" s="989"/>
      <c r="VCI1053" s="989"/>
      <c r="VCJ1053" s="989"/>
      <c r="VCK1053" s="989"/>
      <c r="VCL1053" s="989"/>
      <c r="VCM1053" s="989"/>
      <c r="VCN1053" s="989"/>
      <c r="VCO1053" s="989"/>
      <c r="VCP1053" s="989"/>
      <c r="VCQ1053" s="989"/>
      <c r="VCR1053" s="989"/>
      <c r="VCS1053" s="989"/>
      <c r="VCT1053" s="989"/>
      <c r="VCU1053" s="989"/>
      <c r="VCV1053" s="989"/>
      <c r="VCW1053" s="989"/>
      <c r="VCX1053" s="989"/>
      <c r="VCY1053" s="989"/>
      <c r="VCZ1053" s="989"/>
      <c r="VDA1053" s="989"/>
      <c r="VDB1053" s="989"/>
      <c r="VDC1053" s="989"/>
      <c r="VDD1053" s="989"/>
      <c r="VDE1053" s="989"/>
      <c r="VDF1053" s="989"/>
      <c r="VDG1053" s="989"/>
      <c r="VDH1053" s="989"/>
      <c r="VDI1053" s="989"/>
      <c r="VDJ1053" s="989"/>
      <c r="VDK1053" s="989"/>
      <c r="VDL1053" s="989"/>
      <c r="VDM1053" s="989"/>
      <c r="VDN1053" s="989"/>
      <c r="VDO1053" s="989"/>
      <c r="VDP1053" s="989"/>
      <c r="VDQ1053" s="989"/>
      <c r="VDR1053" s="989"/>
      <c r="VDS1053" s="989"/>
      <c r="VDT1053" s="989"/>
      <c r="VDU1053" s="989"/>
      <c r="VDV1053" s="989"/>
      <c r="VDW1053" s="989"/>
      <c r="VDX1053" s="989"/>
      <c r="VDY1053" s="989"/>
      <c r="VDZ1053" s="989"/>
      <c r="VEA1053" s="989"/>
      <c r="VEB1053" s="989"/>
      <c r="VEC1053" s="989"/>
      <c r="VED1053" s="989"/>
      <c r="VEE1053" s="989"/>
      <c r="VEF1053" s="989"/>
      <c r="VEG1053" s="989"/>
      <c r="VEH1053" s="989"/>
      <c r="VEI1053" s="989"/>
      <c r="VEJ1053" s="989"/>
      <c r="VEK1053" s="989"/>
      <c r="VEL1053" s="989"/>
      <c r="VEM1053" s="989"/>
      <c r="VEN1053" s="989"/>
      <c r="VEO1053" s="989"/>
      <c r="VEP1053" s="989"/>
      <c r="VEQ1053" s="989"/>
      <c r="VER1053" s="989"/>
      <c r="VES1053" s="989"/>
      <c r="VET1053" s="989"/>
      <c r="VEU1053" s="989"/>
      <c r="VEV1053" s="989"/>
      <c r="VEW1053" s="989"/>
      <c r="VEX1053" s="989"/>
      <c r="VEY1053" s="989"/>
      <c r="VEZ1053" s="989"/>
      <c r="VFA1053" s="989"/>
      <c r="VFB1053" s="989"/>
      <c r="VFC1053" s="989"/>
      <c r="VFD1053" s="989"/>
      <c r="VFE1053" s="989"/>
      <c r="VFF1053" s="989"/>
      <c r="VFG1053" s="989"/>
      <c r="VFH1053" s="989"/>
      <c r="VFI1053" s="989"/>
      <c r="VFJ1053" s="989"/>
      <c r="VFK1053" s="989"/>
      <c r="VFL1053" s="989"/>
      <c r="VFM1053" s="989"/>
      <c r="VFN1053" s="989"/>
      <c r="VFO1053" s="989"/>
      <c r="VFP1053" s="989"/>
      <c r="VFQ1053" s="989"/>
      <c r="VFR1053" s="989"/>
      <c r="VFS1053" s="989"/>
      <c r="VFT1053" s="989"/>
      <c r="VFU1053" s="989"/>
      <c r="VFV1053" s="989"/>
      <c r="VFW1053" s="989"/>
      <c r="VFX1053" s="989"/>
      <c r="VFY1053" s="989"/>
      <c r="VFZ1053" s="989"/>
      <c r="VGA1053" s="989"/>
      <c r="VGB1053" s="989"/>
      <c r="VGC1053" s="989"/>
      <c r="VGD1053" s="989"/>
      <c r="VGE1053" s="989"/>
      <c r="VGF1053" s="989"/>
      <c r="VGG1053" s="989"/>
      <c r="VGH1053" s="989"/>
      <c r="VGI1053" s="989"/>
      <c r="VGJ1053" s="989"/>
      <c r="VGK1053" s="989"/>
      <c r="VGL1053" s="989"/>
      <c r="VGM1053" s="989"/>
      <c r="VGN1053" s="989"/>
      <c r="VGO1053" s="989"/>
      <c r="VGP1053" s="989"/>
      <c r="VGQ1053" s="989"/>
      <c r="VGR1053" s="989"/>
      <c r="VGS1053" s="989"/>
      <c r="VGT1053" s="989"/>
      <c r="VGU1053" s="989"/>
      <c r="VGV1053" s="989"/>
      <c r="VGW1053" s="989"/>
      <c r="VGX1053" s="989"/>
      <c r="VGY1053" s="989"/>
      <c r="VGZ1053" s="989"/>
      <c r="VHA1053" s="989"/>
      <c r="VHB1053" s="989"/>
      <c r="VHC1053" s="989"/>
      <c r="VHD1053" s="989"/>
      <c r="VHE1053" s="989"/>
      <c r="VHF1053" s="989"/>
      <c r="VHG1053" s="989"/>
      <c r="VHH1053" s="989"/>
      <c r="VHI1053" s="989"/>
      <c r="VHJ1053" s="989"/>
      <c r="VHK1053" s="989"/>
      <c r="VHL1053" s="989"/>
      <c r="VHM1053" s="989"/>
      <c r="VHN1053" s="989"/>
      <c r="VHO1053" s="989"/>
      <c r="VHP1053" s="989"/>
      <c r="VHQ1053" s="989"/>
      <c r="VHR1053" s="989"/>
      <c r="VHS1053" s="989"/>
      <c r="VHT1053" s="989"/>
      <c r="VHU1053" s="989"/>
      <c r="VHV1053" s="989"/>
      <c r="VHW1053" s="989"/>
      <c r="VHX1053" s="989"/>
      <c r="VHY1053" s="989"/>
      <c r="VHZ1053" s="989"/>
      <c r="VIA1053" s="989"/>
      <c r="VIB1053" s="989"/>
      <c r="VIC1053" s="989"/>
      <c r="VID1053" s="989"/>
      <c r="VIE1053" s="989"/>
      <c r="VIF1053" s="989"/>
      <c r="VIG1053" s="989"/>
      <c r="VIH1053" s="989"/>
      <c r="VII1053" s="989"/>
      <c r="VIJ1053" s="989"/>
      <c r="VIK1053" s="989"/>
      <c r="VIL1053" s="989"/>
      <c r="VIM1053" s="989"/>
      <c r="VIN1053" s="989"/>
      <c r="VIO1053" s="989"/>
      <c r="VIP1053" s="989"/>
      <c r="VIQ1053" s="989"/>
      <c r="VIR1053" s="989"/>
      <c r="VIS1053" s="989"/>
      <c r="VIT1053" s="989"/>
      <c r="VIU1053" s="989"/>
      <c r="VIV1053" s="989"/>
      <c r="VIW1053" s="989"/>
      <c r="VIX1053" s="989"/>
      <c r="VIY1053" s="989"/>
      <c r="VIZ1053" s="989"/>
      <c r="VJA1053" s="989"/>
      <c r="VJB1053" s="989"/>
      <c r="VJC1053" s="989"/>
      <c r="VJD1053" s="989"/>
      <c r="VJE1053" s="989"/>
      <c r="VJF1053" s="989"/>
      <c r="VJG1053" s="989"/>
      <c r="VJH1053" s="989"/>
      <c r="VJI1053" s="989"/>
      <c r="VJJ1053" s="989"/>
      <c r="VJK1053" s="989"/>
      <c r="VJL1053" s="989"/>
      <c r="VJM1053" s="989"/>
      <c r="VJN1053" s="989"/>
      <c r="VJO1053" s="989"/>
      <c r="VJP1053" s="989"/>
      <c r="VJQ1053" s="989"/>
      <c r="VJR1053" s="989"/>
      <c r="VJS1053" s="989"/>
      <c r="VJT1053" s="989"/>
      <c r="VJU1053" s="989"/>
      <c r="VJV1053" s="989"/>
      <c r="VJW1053" s="989"/>
      <c r="VJX1053" s="989"/>
      <c r="VJY1053" s="989"/>
      <c r="VJZ1053" s="989"/>
      <c r="VKA1053" s="989"/>
      <c r="VKB1053" s="989"/>
      <c r="VKC1053" s="989"/>
      <c r="VKD1053" s="989"/>
      <c r="VKE1053" s="989"/>
      <c r="VKF1053" s="989"/>
      <c r="VKG1053" s="989"/>
      <c r="VKH1053" s="989"/>
      <c r="VKI1053" s="989"/>
      <c r="VKJ1053" s="989"/>
      <c r="VKK1053" s="989"/>
      <c r="VKL1053" s="989"/>
      <c r="VKM1053" s="989"/>
      <c r="VKN1053" s="989"/>
      <c r="VKO1053" s="989"/>
      <c r="VKP1053" s="989"/>
      <c r="VKQ1053" s="989"/>
      <c r="VKR1053" s="989"/>
      <c r="VKS1053" s="989"/>
      <c r="VKT1053" s="989"/>
      <c r="VKU1053" s="989"/>
      <c r="VKV1053" s="989"/>
      <c r="VKW1053" s="989"/>
      <c r="VKX1053" s="989"/>
      <c r="VKY1053" s="989"/>
      <c r="VKZ1053" s="989"/>
      <c r="VLA1053" s="989"/>
      <c r="VLB1053" s="989"/>
      <c r="VLC1053" s="989"/>
      <c r="VLD1053" s="989"/>
      <c r="VLE1053" s="989"/>
      <c r="VLF1053" s="989"/>
      <c r="VLG1053" s="989"/>
      <c r="VLH1053" s="989"/>
      <c r="VLI1053" s="989"/>
      <c r="VLJ1053" s="989"/>
      <c r="VLK1053" s="989"/>
      <c r="VLL1053" s="989"/>
      <c r="VLM1053" s="989"/>
      <c r="VLN1053" s="989"/>
      <c r="VLO1053" s="989"/>
      <c r="VLP1053" s="989"/>
      <c r="VLQ1053" s="989"/>
      <c r="VLR1053" s="989"/>
      <c r="VLS1053" s="989"/>
      <c r="VLT1053" s="989"/>
      <c r="VLU1053" s="989"/>
      <c r="VLV1053" s="989"/>
      <c r="VLW1053" s="989"/>
      <c r="VLX1053" s="989"/>
      <c r="VLY1053" s="989"/>
      <c r="VLZ1053" s="989"/>
      <c r="VMA1053" s="989"/>
      <c r="VMB1053" s="989"/>
      <c r="VMC1053" s="989"/>
      <c r="VMD1053" s="989"/>
      <c r="VME1053" s="989"/>
      <c r="VMF1053" s="989"/>
      <c r="VMG1053" s="989"/>
      <c r="VMH1053" s="989"/>
      <c r="VMI1053" s="989"/>
      <c r="VMJ1053" s="989"/>
      <c r="VMK1053" s="989"/>
      <c r="VML1053" s="989"/>
      <c r="VMM1053" s="989"/>
      <c r="VMN1053" s="989"/>
      <c r="VMO1053" s="989"/>
      <c r="VMP1053" s="989"/>
      <c r="VMQ1053" s="989"/>
      <c r="VMR1053" s="989"/>
      <c r="VMS1053" s="989"/>
      <c r="VMT1053" s="989"/>
      <c r="VMU1053" s="989"/>
      <c r="VMV1053" s="989"/>
      <c r="VMW1053" s="989"/>
      <c r="VMX1053" s="989"/>
      <c r="VMY1053" s="989"/>
      <c r="VMZ1053" s="989"/>
      <c r="VNA1053" s="989"/>
      <c r="VNB1053" s="989"/>
      <c r="VNC1053" s="989"/>
      <c r="VND1053" s="989"/>
      <c r="VNE1053" s="989"/>
      <c r="VNF1053" s="989"/>
      <c r="VNG1053" s="989"/>
      <c r="VNH1053" s="989"/>
      <c r="VNI1053" s="989"/>
      <c r="VNJ1053" s="989"/>
      <c r="VNK1053" s="989"/>
      <c r="VNL1053" s="989"/>
      <c r="VNM1053" s="989"/>
      <c r="VNN1053" s="989"/>
      <c r="VNO1053" s="989"/>
      <c r="VNP1053" s="989"/>
      <c r="VNQ1053" s="989"/>
      <c r="VNR1053" s="989"/>
      <c r="VNS1053" s="989"/>
      <c r="VNT1053" s="989"/>
      <c r="VNU1053" s="989"/>
      <c r="VNV1053" s="989"/>
      <c r="VNW1053" s="989"/>
      <c r="VNX1053" s="989"/>
      <c r="VNY1053" s="989"/>
      <c r="VNZ1053" s="989"/>
      <c r="VOA1053" s="989"/>
      <c r="VOB1053" s="989"/>
      <c r="VOC1053" s="989"/>
      <c r="VOD1053" s="989"/>
      <c r="VOE1053" s="989"/>
      <c r="VOF1053" s="989"/>
      <c r="VOG1053" s="989"/>
      <c r="VOH1053" s="989"/>
      <c r="VOI1053" s="989"/>
      <c r="VOJ1053" s="989"/>
      <c r="VOK1053" s="989"/>
      <c r="VOL1053" s="989"/>
      <c r="VOM1053" s="989"/>
      <c r="VON1053" s="989"/>
      <c r="VOO1053" s="989"/>
      <c r="VOP1053" s="989"/>
      <c r="VOQ1053" s="989"/>
      <c r="VOR1053" s="989"/>
      <c r="VOS1053" s="989"/>
      <c r="VOT1053" s="989"/>
      <c r="VOU1053" s="989"/>
      <c r="VOV1053" s="989"/>
      <c r="VOW1053" s="989"/>
      <c r="VOX1053" s="989"/>
      <c r="VOY1053" s="989"/>
      <c r="VOZ1053" s="989"/>
      <c r="VPA1053" s="989"/>
      <c r="VPB1053" s="989"/>
      <c r="VPC1053" s="989"/>
      <c r="VPD1053" s="989"/>
      <c r="VPE1053" s="989"/>
      <c r="VPF1053" s="989"/>
      <c r="VPG1053" s="989"/>
      <c r="VPH1053" s="989"/>
      <c r="VPI1053" s="989"/>
      <c r="VPJ1053" s="989"/>
      <c r="VPK1053" s="989"/>
      <c r="VPL1053" s="989"/>
      <c r="VPM1053" s="989"/>
      <c r="VPN1053" s="989"/>
      <c r="VPO1053" s="989"/>
      <c r="VPP1053" s="989"/>
      <c r="VPQ1053" s="989"/>
      <c r="VPR1053" s="989"/>
      <c r="VPS1053" s="989"/>
      <c r="VPT1053" s="989"/>
      <c r="VPU1053" s="989"/>
      <c r="VPV1053" s="989"/>
      <c r="VPW1053" s="989"/>
      <c r="VPX1053" s="989"/>
      <c r="VPY1053" s="989"/>
      <c r="VPZ1053" s="989"/>
      <c r="VQA1053" s="989"/>
      <c r="VQB1053" s="989"/>
      <c r="VQC1053" s="989"/>
      <c r="VQD1053" s="989"/>
      <c r="VQE1053" s="989"/>
      <c r="VQF1053" s="989"/>
      <c r="VQG1053" s="989"/>
      <c r="VQH1053" s="989"/>
      <c r="VQI1053" s="989"/>
      <c r="VQJ1053" s="989"/>
      <c r="VQK1053" s="989"/>
      <c r="VQL1053" s="989"/>
      <c r="VQM1053" s="989"/>
      <c r="VQN1053" s="989"/>
      <c r="VQO1053" s="989"/>
      <c r="VQP1053" s="989"/>
      <c r="VQQ1053" s="989"/>
      <c r="VQR1053" s="989"/>
      <c r="VQS1053" s="989"/>
      <c r="VQT1053" s="989"/>
      <c r="VQU1053" s="989"/>
      <c r="VQV1053" s="989"/>
      <c r="VQW1053" s="989"/>
      <c r="VQX1053" s="989"/>
      <c r="VQY1053" s="989"/>
      <c r="VQZ1053" s="989"/>
      <c r="VRA1053" s="989"/>
      <c r="VRB1053" s="989"/>
      <c r="VRC1053" s="989"/>
      <c r="VRD1053" s="989"/>
      <c r="VRE1053" s="989"/>
      <c r="VRF1053" s="989"/>
      <c r="VRG1053" s="989"/>
      <c r="VRH1053" s="989"/>
      <c r="VRI1053" s="989"/>
      <c r="VRJ1053" s="989"/>
      <c r="VRK1053" s="989"/>
      <c r="VRL1053" s="989"/>
      <c r="VRM1053" s="989"/>
      <c r="VRN1053" s="989"/>
      <c r="VRO1053" s="989"/>
      <c r="VRP1053" s="989"/>
      <c r="VRQ1053" s="989"/>
      <c r="VRR1053" s="989"/>
      <c r="VRS1053" s="989"/>
      <c r="VRT1053" s="989"/>
      <c r="VRU1053" s="989"/>
      <c r="VRV1053" s="989"/>
      <c r="VRW1053" s="989"/>
      <c r="VRX1053" s="989"/>
      <c r="VRY1053" s="989"/>
      <c r="VRZ1053" s="989"/>
      <c r="VSA1053" s="989"/>
      <c r="VSB1053" s="989"/>
      <c r="VSC1053" s="989"/>
      <c r="VSD1053" s="989"/>
      <c r="VSE1053" s="989"/>
      <c r="VSF1053" s="989"/>
      <c r="VSG1053" s="989"/>
      <c r="VSH1053" s="989"/>
      <c r="VSI1053" s="989"/>
      <c r="VSJ1053" s="989"/>
      <c r="VSK1053" s="989"/>
      <c r="VSL1053" s="989"/>
      <c r="VSM1053" s="989"/>
      <c r="VSN1053" s="989"/>
      <c r="VSO1053" s="989"/>
      <c r="VSP1053" s="989"/>
      <c r="VSQ1053" s="989"/>
      <c r="VSR1053" s="989"/>
      <c r="VSS1053" s="989"/>
      <c r="VST1053" s="989"/>
      <c r="VSU1053" s="989"/>
      <c r="VSV1053" s="989"/>
      <c r="VSW1053" s="989"/>
      <c r="VSX1053" s="989"/>
      <c r="VSY1053" s="989"/>
      <c r="VSZ1053" s="989"/>
      <c r="VTA1053" s="989"/>
      <c r="VTB1053" s="989"/>
      <c r="VTC1053" s="989"/>
      <c r="VTD1053" s="989"/>
      <c r="VTE1053" s="989"/>
      <c r="VTF1053" s="989"/>
      <c r="VTG1053" s="989"/>
      <c r="VTH1053" s="989"/>
      <c r="VTI1053" s="989"/>
      <c r="VTJ1053" s="989"/>
      <c r="VTK1053" s="989"/>
      <c r="VTL1053" s="989"/>
      <c r="VTM1053" s="989"/>
      <c r="VTN1053" s="989"/>
      <c r="VTO1053" s="989"/>
      <c r="VTP1053" s="989"/>
      <c r="VTQ1053" s="989"/>
      <c r="VTR1053" s="989"/>
      <c r="VTS1053" s="989"/>
      <c r="VTT1053" s="989"/>
      <c r="VTU1053" s="989"/>
      <c r="VTV1053" s="989"/>
      <c r="VTW1053" s="989"/>
      <c r="VTX1053" s="989"/>
      <c r="VTY1053" s="989"/>
      <c r="VTZ1053" s="989"/>
      <c r="VUA1053" s="989"/>
      <c r="VUB1053" s="989"/>
      <c r="VUC1053" s="989"/>
      <c r="VUD1053" s="989"/>
      <c r="VUE1053" s="989"/>
      <c r="VUF1053" s="989"/>
      <c r="VUG1053" s="989"/>
      <c r="VUH1053" s="989"/>
      <c r="VUI1053" s="989"/>
      <c r="VUJ1053" s="989"/>
      <c r="VUK1053" s="989"/>
      <c r="VUL1053" s="989"/>
      <c r="VUM1053" s="989"/>
      <c r="VUN1053" s="989"/>
      <c r="VUO1053" s="989"/>
      <c r="VUP1053" s="989"/>
      <c r="VUQ1053" s="989"/>
      <c r="VUR1053" s="989"/>
      <c r="VUS1053" s="989"/>
      <c r="VUT1053" s="989"/>
      <c r="VUU1053" s="989"/>
      <c r="VUV1053" s="989"/>
      <c r="VUW1053" s="989"/>
      <c r="VUX1053" s="989"/>
      <c r="VUY1053" s="989"/>
      <c r="VUZ1053" s="989"/>
      <c r="VVA1053" s="989"/>
      <c r="VVB1053" s="989"/>
      <c r="VVC1053" s="989"/>
      <c r="VVD1053" s="989"/>
      <c r="VVE1053" s="989"/>
      <c r="VVF1053" s="989"/>
      <c r="VVG1053" s="989"/>
      <c r="VVH1053" s="989"/>
      <c r="VVI1053" s="989"/>
      <c r="VVJ1053" s="989"/>
      <c r="VVK1053" s="989"/>
      <c r="VVL1053" s="989"/>
      <c r="VVM1053" s="989"/>
      <c r="VVN1053" s="989"/>
      <c r="VVO1053" s="989"/>
      <c r="VVP1053" s="989"/>
      <c r="VVQ1053" s="989"/>
      <c r="VVR1053" s="989"/>
      <c r="VVS1053" s="989"/>
      <c r="VVT1053" s="989"/>
      <c r="VVU1053" s="989"/>
      <c r="VVV1053" s="989"/>
      <c r="VVW1053" s="989"/>
      <c r="VVX1053" s="989"/>
      <c r="VVY1053" s="989"/>
      <c r="VVZ1053" s="989"/>
      <c r="VWA1053" s="989"/>
      <c r="VWB1053" s="989"/>
      <c r="VWC1053" s="989"/>
      <c r="VWD1053" s="989"/>
      <c r="VWE1053" s="989"/>
      <c r="VWF1053" s="989"/>
      <c r="VWG1053" s="989"/>
      <c r="VWH1053" s="989"/>
      <c r="VWI1053" s="989"/>
      <c r="VWJ1053" s="989"/>
      <c r="VWK1053" s="989"/>
      <c r="VWL1053" s="989"/>
      <c r="VWM1053" s="989"/>
      <c r="VWN1053" s="989"/>
      <c r="VWO1053" s="989"/>
      <c r="VWP1053" s="989"/>
      <c r="VWQ1053" s="989"/>
      <c r="VWR1053" s="989"/>
      <c r="VWS1053" s="989"/>
      <c r="VWT1053" s="989"/>
      <c r="VWU1053" s="989"/>
      <c r="VWV1053" s="989"/>
      <c r="VWW1053" s="989"/>
      <c r="VWX1053" s="989"/>
      <c r="VWY1053" s="989"/>
      <c r="VWZ1053" s="989"/>
      <c r="VXA1053" s="989"/>
      <c r="VXB1053" s="989"/>
      <c r="VXC1053" s="989"/>
      <c r="VXD1053" s="989"/>
      <c r="VXE1053" s="989"/>
      <c r="VXF1053" s="989"/>
      <c r="VXG1053" s="989"/>
      <c r="VXH1053" s="989"/>
      <c r="VXI1053" s="989"/>
      <c r="VXJ1053" s="989"/>
      <c r="VXK1053" s="989"/>
      <c r="VXL1053" s="989"/>
      <c r="VXM1053" s="989"/>
      <c r="VXN1053" s="989"/>
      <c r="VXO1053" s="989"/>
      <c r="VXP1053" s="989"/>
      <c r="VXQ1053" s="989"/>
      <c r="VXR1053" s="989"/>
      <c r="VXS1053" s="989"/>
      <c r="VXT1053" s="989"/>
      <c r="VXU1053" s="989"/>
      <c r="VXV1053" s="989"/>
      <c r="VXW1053" s="989"/>
      <c r="VXX1053" s="989"/>
      <c r="VXY1053" s="989"/>
      <c r="VXZ1053" s="989"/>
      <c r="VYA1053" s="989"/>
      <c r="VYB1053" s="989"/>
      <c r="VYC1053" s="989"/>
      <c r="VYD1053" s="989"/>
      <c r="VYE1053" s="989"/>
      <c r="VYF1053" s="989"/>
      <c r="VYG1053" s="989"/>
      <c r="VYH1053" s="989"/>
      <c r="VYI1053" s="989"/>
      <c r="VYJ1053" s="989"/>
      <c r="VYK1053" s="989"/>
      <c r="VYL1053" s="989"/>
      <c r="VYM1053" s="989"/>
      <c r="VYN1053" s="989"/>
      <c r="VYO1053" s="989"/>
      <c r="VYP1053" s="989"/>
      <c r="VYQ1053" s="989"/>
      <c r="VYR1053" s="989"/>
      <c r="VYS1053" s="989"/>
      <c r="VYT1053" s="989"/>
      <c r="VYU1053" s="989"/>
      <c r="VYV1053" s="989"/>
      <c r="VYW1053" s="989"/>
      <c r="VYX1053" s="989"/>
      <c r="VYY1053" s="989"/>
      <c r="VYZ1053" s="989"/>
      <c r="VZA1053" s="989"/>
      <c r="VZB1053" s="989"/>
      <c r="VZC1053" s="989"/>
      <c r="VZD1053" s="989"/>
      <c r="VZE1053" s="989"/>
      <c r="VZF1053" s="989"/>
      <c r="VZG1053" s="989"/>
      <c r="VZH1053" s="989"/>
      <c r="VZI1053" s="989"/>
      <c r="VZJ1053" s="989"/>
      <c r="VZK1053" s="989"/>
      <c r="VZL1053" s="989"/>
      <c r="VZM1053" s="989"/>
      <c r="VZN1053" s="989"/>
      <c r="VZO1053" s="989"/>
      <c r="VZP1053" s="989"/>
      <c r="VZQ1053" s="989"/>
      <c r="VZR1053" s="989"/>
      <c r="VZS1053" s="989"/>
      <c r="VZT1053" s="989"/>
      <c r="VZU1053" s="989"/>
      <c r="VZV1053" s="989"/>
      <c r="VZW1053" s="989"/>
      <c r="VZX1053" s="989"/>
      <c r="VZY1053" s="989"/>
      <c r="VZZ1053" s="989"/>
      <c r="WAA1053" s="989"/>
      <c r="WAB1053" s="989"/>
      <c r="WAC1053" s="989"/>
      <c r="WAD1053" s="989"/>
      <c r="WAE1053" s="989"/>
      <c r="WAF1053" s="989"/>
      <c r="WAG1053" s="989"/>
      <c r="WAH1053" s="989"/>
      <c r="WAI1053" s="989"/>
      <c r="WAJ1053" s="989"/>
      <c r="WAK1053" s="989"/>
      <c r="WAL1053" s="989"/>
      <c r="WAM1053" s="989"/>
      <c r="WAN1053" s="989"/>
      <c r="WAO1053" s="989"/>
      <c r="WAP1053" s="989"/>
      <c r="WAQ1053" s="989"/>
      <c r="WAR1053" s="989"/>
      <c r="WAS1053" s="989"/>
      <c r="WAT1053" s="989"/>
      <c r="WAU1053" s="989"/>
      <c r="WAV1053" s="989"/>
      <c r="WAW1053" s="989"/>
      <c r="WAX1053" s="989"/>
      <c r="WAY1053" s="989"/>
      <c r="WAZ1053" s="989"/>
      <c r="WBA1053" s="989"/>
      <c r="WBB1053" s="989"/>
      <c r="WBC1053" s="989"/>
      <c r="WBD1053" s="989"/>
      <c r="WBE1053" s="989"/>
      <c r="WBF1053" s="989"/>
      <c r="WBG1053" s="989"/>
      <c r="WBH1053" s="989"/>
      <c r="WBI1053" s="989"/>
      <c r="WBJ1053" s="989"/>
      <c r="WBK1053" s="989"/>
      <c r="WBL1053" s="989"/>
      <c r="WBM1053" s="989"/>
      <c r="WBN1053" s="989"/>
      <c r="WBO1053" s="989"/>
      <c r="WBP1053" s="989"/>
      <c r="WBQ1053" s="989"/>
      <c r="WBR1053" s="989"/>
      <c r="WBS1053" s="989"/>
      <c r="WBT1053" s="989"/>
      <c r="WBU1053" s="989"/>
      <c r="WBV1053" s="989"/>
      <c r="WBW1053" s="989"/>
      <c r="WBX1053" s="989"/>
      <c r="WBY1053" s="989"/>
      <c r="WBZ1053" s="989"/>
      <c r="WCA1053" s="989"/>
      <c r="WCB1053" s="989"/>
      <c r="WCC1053" s="989"/>
      <c r="WCD1053" s="989"/>
      <c r="WCE1053" s="989"/>
      <c r="WCF1053" s="989"/>
      <c r="WCG1053" s="989"/>
      <c r="WCH1053" s="989"/>
      <c r="WCI1053" s="989"/>
      <c r="WCJ1053" s="989"/>
      <c r="WCK1053" s="989"/>
      <c r="WCL1053" s="989"/>
      <c r="WCM1053" s="989"/>
      <c r="WCN1053" s="989"/>
      <c r="WCO1053" s="989"/>
      <c r="WCP1053" s="989"/>
      <c r="WCQ1053" s="989"/>
      <c r="WCR1053" s="989"/>
      <c r="WCS1053" s="989"/>
      <c r="WCT1053" s="989"/>
      <c r="WCU1053" s="989"/>
      <c r="WCV1053" s="989"/>
      <c r="WCW1053" s="989"/>
      <c r="WCX1053" s="989"/>
      <c r="WCY1053" s="989"/>
      <c r="WCZ1053" s="989"/>
      <c r="WDA1053" s="989"/>
      <c r="WDB1053" s="989"/>
      <c r="WDC1053" s="989"/>
      <c r="WDD1053" s="989"/>
      <c r="WDE1053" s="989"/>
      <c r="WDF1053" s="989"/>
      <c r="WDG1053" s="989"/>
      <c r="WDH1053" s="989"/>
      <c r="WDI1053" s="989"/>
      <c r="WDJ1053" s="989"/>
      <c r="WDK1053" s="989"/>
      <c r="WDL1053" s="989"/>
      <c r="WDM1053" s="989"/>
      <c r="WDN1053" s="989"/>
      <c r="WDO1053" s="989"/>
      <c r="WDP1053" s="989"/>
      <c r="WDQ1053" s="989"/>
      <c r="WDR1053" s="989"/>
      <c r="WDS1053" s="989"/>
      <c r="WDT1053" s="989"/>
      <c r="WDU1053" s="989"/>
      <c r="WDV1053" s="989"/>
      <c r="WDW1053" s="989"/>
      <c r="WDX1053" s="989"/>
      <c r="WDY1053" s="989"/>
      <c r="WDZ1053" s="989"/>
      <c r="WEA1053" s="989"/>
      <c r="WEB1053" s="989"/>
      <c r="WEC1053" s="989"/>
      <c r="WED1053" s="989"/>
      <c r="WEE1053" s="989"/>
      <c r="WEF1053" s="989"/>
      <c r="WEG1053" s="989"/>
      <c r="WEH1053" s="989"/>
      <c r="WEI1053" s="989"/>
      <c r="WEJ1053" s="989"/>
      <c r="WEK1053" s="989"/>
      <c r="WEL1053" s="989"/>
      <c r="WEM1053" s="989"/>
      <c r="WEN1053" s="989"/>
      <c r="WEO1053" s="989"/>
      <c r="WEP1053" s="989"/>
      <c r="WEQ1053" s="989"/>
      <c r="WER1053" s="989"/>
      <c r="WES1053" s="989"/>
      <c r="WET1053" s="989"/>
      <c r="WEU1053" s="989"/>
      <c r="WEV1053" s="989"/>
      <c r="WEW1053" s="989"/>
      <c r="WEX1053" s="989"/>
      <c r="WEY1053" s="989"/>
      <c r="WEZ1053" s="989"/>
      <c r="WFA1053" s="989"/>
      <c r="WFB1053" s="989"/>
      <c r="WFC1053" s="989"/>
      <c r="WFD1053" s="989"/>
      <c r="WFE1053" s="989"/>
      <c r="WFF1053" s="989"/>
      <c r="WFG1053" s="989"/>
      <c r="WFH1053" s="989"/>
      <c r="WFI1053" s="989"/>
      <c r="WFJ1053" s="989"/>
      <c r="WFK1053" s="989"/>
      <c r="WFL1053" s="989"/>
      <c r="WFM1053" s="989"/>
      <c r="WFN1053" s="989"/>
      <c r="WFO1053" s="989"/>
      <c r="WFP1053" s="989"/>
      <c r="WFQ1053" s="989"/>
      <c r="WFR1053" s="989"/>
      <c r="WFS1053" s="989"/>
      <c r="WFT1053" s="989"/>
      <c r="WFU1053" s="989"/>
      <c r="WFV1053" s="989"/>
      <c r="WFW1053" s="989"/>
      <c r="WFX1053" s="989"/>
      <c r="WFY1053" s="989"/>
      <c r="WFZ1053" s="989"/>
      <c r="WGA1053" s="989"/>
      <c r="WGB1053" s="989"/>
      <c r="WGC1053" s="989"/>
      <c r="WGD1053" s="989"/>
      <c r="WGE1053" s="989"/>
      <c r="WGF1053" s="989"/>
      <c r="WGG1053" s="989"/>
      <c r="WGH1053" s="989"/>
      <c r="WGI1053" s="989"/>
      <c r="WGJ1053" s="989"/>
      <c r="WGK1053" s="989"/>
      <c r="WGL1053" s="989"/>
      <c r="WGM1053" s="989"/>
      <c r="WGN1053" s="989"/>
      <c r="WGO1053" s="989"/>
      <c r="WGP1053" s="989"/>
      <c r="WGQ1053" s="989"/>
      <c r="WGR1053" s="989"/>
      <c r="WGS1053" s="989"/>
      <c r="WGT1053" s="989"/>
      <c r="WGU1053" s="989"/>
      <c r="WGV1053" s="989"/>
      <c r="WGW1053" s="989"/>
      <c r="WGX1053" s="989"/>
      <c r="WGY1053" s="989"/>
      <c r="WGZ1053" s="989"/>
      <c r="WHA1053" s="989"/>
      <c r="WHB1053" s="989"/>
      <c r="WHC1053" s="989"/>
      <c r="WHD1053" s="989"/>
      <c r="WHE1053" s="989"/>
      <c r="WHF1053" s="989"/>
      <c r="WHG1053" s="989"/>
      <c r="WHH1053" s="989"/>
      <c r="WHI1053" s="989"/>
      <c r="WHJ1053" s="989"/>
      <c r="WHK1053" s="989"/>
      <c r="WHL1053" s="989"/>
      <c r="WHM1053" s="989"/>
      <c r="WHN1053" s="989"/>
      <c r="WHO1053" s="989"/>
      <c r="WHP1053" s="989"/>
      <c r="WHQ1053" s="989"/>
      <c r="WHR1053" s="989"/>
      <c r="WHS1053" s="989"/>
      <c r="WHT1053" s="989"/>
      <c r="WHU1053" s="989"/>
      <c r="WHV1053" s="989"/>
      <c r="WHW1053" s="989"/>
      <c r="WHX1053" s="989"/>
      <c r="WHY1053" s="989"/>
      <c r="WHZ1053" s="989"/>
      <c r="WIA1053" s="989"/>
      <c r="WIB1053" s="989"/>
      <c r="WIC1053" s="989"/>
      <c r="WID1053" s="989"/>
      <c r="WIE1053" s="989"/>
      <c r="WIF1053" s="989"/>
      <c r="WIG1053" s="989"/>
      <c r="WIH1053" s="989"/>
      <c r="WII1053" s="989"/>
      <c r="WIJ1053" s="989"/>
      <c r="WIK1053" s="989"/>
      <c r="WIL1053" s="989"/>
      <c r="WIM1053" s="989"/>
      <c r="WIN1053" s="989"/>
      <c r="WIO1053" s="989"/>
      <c r="WIP1053" s="989"/>
      <c r="WIQ1053" s="989"/>
      <c r="WIR1053" s="989"/>
      <c r="WIS1053" s="989"/>
      <c r="WIT1053" s="989"/>
      <c r="WIU1053" s="989"/>
      <c r="WIV1053" s="989"/>
      <c r="WIW1053" s="989"/>
      <c r="WIX1053" s="989"/>
      <c r="WIY1053" s="989"/>
      <c r="WIZ1053" s="989"/>
      <c r="WJA1053" s="989"/>
      <c r="WJB1053" s="989"/>
      <c r="WJC1053" s="989"/>
      <c r="WJD1053" s="989"/>
      <c r="WJE1053" s="989"/>
      <c r="WJF1053" s="989"/>
      <c r="WJG1053" s="989"/>
      <c r="WJH1053" s="989"/>
      <c r="WJI1053" s="989"/>
      <c r="WJJ1053" s="989"/>
      <c r="WJK1053" s="989"/>
      <c r="WJL1053" s="989"/>
      <c r="WJM1053" s="989"/>
      <c r="WJN1053" s="989"/>
      <c r="WJO1053" s="989"/>
      <c r="WJP1053" s="989"/>
      <c r="WJQ1053" s="989"/>
      <c r="WJR1053" s="989"/>
      <c r="WJS1053" s="989"/>
      <c r="WJT1053" s="989"/>
      <c r="WJU1053" s="989"/>
      <c r="WJV1053" s="989"/>
      <c r="WJW1053" s="989"/>
      <c r="WJX1053" s="989"/>
      <c r="WJY1053" s="989"/>
      <c r="WJZ1053" s="989"/>
      <c r="WKA1053" s="989"/>
      <c r="WKB1053" s="989"/>
      <c r="WKC1053" s="989"/>
      <c r="WKD1053" s="989"/>
      <c r="WKE1053" s="989"/>
      <c r="WKF1053" s="989"/>
      <c r="WKG1053" s="989"/>
      <c r="WKH1053" s="989"/>
      <c r="WKI1053" s="989"/>
      <c r="WKJ1053" s="989"/>
      <c r="WKK1053" s="989"/>
      <c r="WKL1053" s="989"/>
      <c r="WKM1053" s="989"/>
      <c r="WKN1053" s="989"/>
      <c r="WKO1053" s="989"/>
      <c r="WKP1053" s="989"/>
      <c r="WKQ1053" s="989"/>
      <c r="WKR1053" s="989"/>
      <c r="WKS1053" s="989"/>
      <c r="WKT1053" s="989"/>
      <c r="WKU1053" s="989"/>
      <c r="WKV1053" s="989"/>
      <c r="WKW1053" s="989"/>
      <c r="WKX1053" s="989"/>
      <c r="WKY1053" s="989"/>
      <c r="WKZ1053" s="989"/>
      <c r="WLA1053" s="989"/>
      <c r="WLB1053" s="989"/>
      <c r="WLC1053" s="989"/>
      <c r="WLD1053" s="989"/>
      <c r="WLE1053" s="989"/>
      <c r="WLF1053" s="989"/>
      <c r="WLG1053" s="989"/>
      <c r="WLH1053" s="989"/>
      <c r="WLI1053" s="989"/>
      <c r="WLJ1053" s="989"/>
      <c r="WLK1053" s="989"/>
      <c r="WLL1053" s="989"/>
      <c r="WLM1053" s="989"/>
      <c r="WLN1053" s="989"/>
      <c r="WLO1053" s="989"/>
      <c r="WLP1053" s="989"/>
      <c r="WLQ1053" s="989"/>
      <c r="WLR1053" s="989"/>
      <c r="WLS1053" s="989"/>
      <c r="WLT1053" s="989"/>
      <c r="WLU1053" s="989"/>
      <c r="WLV1053" s="989"/>
      <c r="WLW1053" s="989"/>
      <c r="WLX1053" s="989"/>
      <c r="WLY1053" s="989"/>
      <c r="WLZ1053" s="989"/>
      <c r="WMA1053" s="989"/>
      <c r="WMB1053" s="989"/>
      <c r="WMC1053" s="989"/>
      <c r="WMD1053" s="989"/>
      <c r="WME1053" s="989"/>
      <c r="WMF1053" s="989"/>
      <c r="WMG1053" s="989"/>
      <c r="WMH1053" s="989"/>
      <c r="WMI1053" s="989"/>
      <c r="WMJ1053" s="989"/>
      <c r="WMK1053" s="989"/>
      <c r="WML1053" s="989"/>
      <c r="WMM1053" s="989"/>
      <c r="WMN1053" s="989"/>
      <c r="WMO1053" s="989"/>
      <c r="WMP1053" s="989"/>
      <c r="WMQ1053" s="989"/>
      <c r="WMR1053" s="989"/>
      <c r="WMS1053" s="989"/>
      <c r="WMT1053" s="989"/>
      <c r="WMU1053" s="989"/>
      <c r="WMV1053" s="989"/>
      <c r="WMW1053" s="989"/>
      <c r="WMX1053" s="989"/>
      <c r="WMY1053" s="989"/>
      <c r="WMZ1053" s="989"/>
      <c r="WNA1053" s="989"/>
      <c r="WNB1053" s="989"/>
      <c r="WNC1053" s="989"/>
      <c r="WND1053" s="989"/>
      <c r="WNE1053" s="989"/>
      <c r="WNF1053" s="989"/>
      <c r="WNG1053" s="989"/>
      <c r="WNH1053" s="989"/>
      <c r="WNI1053" s="989"/>
      <c r="WNJ1053" s="989"/>
      <c r="WNK1053" s="989"/>
      <c r="WNL1053" s="989"/>
      <c r="WNM1053" s="989"/>
      <c r="WNN1053" s="989"/>
      <c r="WNO1053" s="989"/>
      <c r="WNP1053" s="989"/>
      <c r="WNQ1053" s="989"/>
      <c r="WNR1053" s="989"/>
      <c r="WNS1053" s="989"/>
      <c r="WNT1053" s="989"/>
      <c r="WNU1053" s="989"/>
      <c r="WNV1053" s="989"/>
      <c r="WNW1053" s="989"/>
      <c r="WNX1053" s="989"/>
      <c r="WNY1053" s="989"/>
      <c r="WNZ1053" s="989"/>
      <c r="WOA1053" s="989"/>
      <c r="WOB1053" s="989"/>
      <c r="WOC1053" s="989"/>
      <c r="WOD1053" s="989"/>
      <c r="WOE1053" s="989"/>
      <c r="WOF1053" s="989"/>
      <c r="WOG1053" s="989"/>
      <c r="WOH1053" s="989"/>
      <c r="WOI1053" s="989"/>
      <c r="WOJ1053" s="989"/>
      <c r="WOK1053" s="989"/>
      <c r="WOL1053" s="989"/>
      <c r="WOM1053" s="989"/>
      <c r="WON1053" s="989"/>
      <c r="WOO1053" s="989"/>
      <c r="WOP1053" s="989"/>
      <c r="WOQ1053" s="989"/>
      <c r="WOR1053" s="989"/>
      <c r="WOS1053" s="989"/>
      <c r="WOT1053" s="989"/>
      <c r="WOU1053" s="989"/>
      <c r="WOV1053" s="989"/>
      <c r="WOW1053" s="989"/>
      <c r="WOX1053" s="989"/>
      <c r="WOY1053" s="989"/>
      <c r="WOZ1053" s="989"/>
      <c r="WPA1053" s="989"/>
      <c r="WPB1053" s="989"/>
      <c r="WPC1053" s="989"/>
      <c r="WPD1053" s="989"/>
      <c r="WPE1053" s="989"/>
      <c r="WPF1053" s="989"/>
      <c r="WPG1053" s="989"/>
      <c r="WPH1053" s="989"/>
      <c r="WPI1053" s="989"/>
      <c r="WPJ1053" s="989"/>
      <c r="WPK1053" s="989"/>
      <c r="WPL1053" s="989"/>
      <c r="WPM1053" s="989"/>
      <c r="WPN1053" s="989"/>
      <c r="WPO1053" s="989"/>
      <c r="WPP1053" s="989"/>
      <c r="WPQ1053" s="989"/>
      <c r="WPR1053" s="989"/>
      <c r="WPS1053" s="989"/>
      <c r="WPT1053" s="989"/>
      <c r="WPU1053" s="989"/>
      <c r="WPV1053" s="989"/>
      <c r="WPW1053" s="989"/>
      <c r="WPX1053" s="989"/>
      <c r="WPY1053" s="989"/>
      <c r="WPZ1053" s="989"/>
      <c r="WQA1053" s="989"/>
      <c r="WQB1053" s="989"/>
      <c r="WQC1053" s="989"/>
      <c r="WQD1053" s="989"/>
      <c r="WQE1053" s="989"/>
      <c r="WQF1053" s="989"/>
      <c r="WQG1053" s="989"/>
      <c r="WQH1053" s="989"/>
      <c r="WQI1053" s="989"/>
      <c r="WQJ1053" s="989"/>
      <c r="WQK1053" s="989"/>
      <c r="WQL1053" s="989"/>
      <c r="WQM1053" s="989"/>
      <c r="WQN1053" s="989"/>
      <c r="WQO1053" s="989"/>
      <c r="WQP1053" s="989"/>
      <c r="WQQ1053" s="989"/>
      <c r="WQR1053" s="989"/>
      <c r="WQS1053" s="989"/>
      <c r="WQT1053" s="989"/>
      <c r="WQU1053" s="989"/>
      <c r="WQV1053" s="989"/>
      <c r="WQW1053" s="989"/>
      <c r="WQX1053" s="989"/>
      <c r="WQY1053" s="989"/>
      <c r="WQZ1053" s="989"/>
      <c r="WRA1053" s="989"/>
      <c r="WRB1053" s="989"/>
      <c r="WRC1053" s="989"/>
      <c r="WRD1053" s="989"/>
      <c r="WRE1053" s="989"/>
      <c r="WRF1053" s="989"/>
      <c r="WRG1053" s="989"/>
      <c r="WRH1053" s="989"/>
      <c r="WRI1053" s="989"/>
      <c r="WRJ1053" s="989"/>
      <c r="WRK1053" s="989"/>
      <c r="WRL1053" s="989"/>
      <c r="WRM1053" s="989"/>
      <c r="WRN1053" s="989"/>
      <c r="WRO1053" s="989"/>
      <c r="WRP1053" s="989"/>
      <c r="WRQ1053" s="989"/>
      <c r="WRR1053" s="989"/>
      <c r="WRS1053" s="989"/>
      <c r="WRT1053" s="989"/>
      <c r="WRU1053" s="989"/>
      <c r="WRV1053" s="989"/>
      <c r="WRW1053" s="989"/>
      <c r="WRX1053" s="989"/>
      <c r="WRY1053" s="989"/>
      <c r="WRZ1053" s="989"/>
      <c r="WSA1053" s="989"/>
      <c r="WSB1053" s="989"/>
      <c r="WSC1053" s="989"/>
      <c r="WSD1053" s="989"/>
      <c r="WSE1053" s="989"/>
      <c r="WSF1053" s="989"/>
      <c r="WSG1053" s="989"/>
      <c r="WSH1053" s="989"/>
      <c r="WSI1053" s="989"/>
      <c r="WSJ1053" s="989"/>
      <c r="WSK1053" s="989"/>
      <c r="WSL1053" s="989"/>
      <c r="WSM1053" s="989"/>
      <c r="WSN1053" s="989"/>
      <c r="WSO1053" s="989"/>
      <c r="WSP1053" s="989"/>
      <c r="WSQ1053" s="989"/>
      <c r="WSR1053" s="989"/>
      <c r="WSS1053" s="989"/>
      <c r="WST1053" s="989"/>
      <c r="WSU1053" s="989"/>
      <c r="WSV1053" s="989"/>
      <c r="WSW1053" s="989"/>
      <c r="WSX1053" s="989"/>
      <c r="WSY1053" s="989"/>
      <c r="WSZ1053" s="989"/>
      <c r="WTA1053" s="989"/>
      <c r="WTB1053" s="989"/>
      <c r="WTC1053" s="989"/>
      <c r="WTD1053" s="989"/>
      <c r="WTE1053" s="989"/>
      <c r="WTF1053" s="989"/>
      <c r="WTG1053" s="989"/>
      <c r="WTH1053" s="989"/>
      <c r="WTI1053" s="989"/>
      <c r="WTJ1053" s="989"/>
      <c r="WTK1053" s="989"/>
      <c r="WTL1053" s="989"/>
      <c r="WTM1053" s="989"/>
      <c r="WTN1053" s="989"/>
      <c r="WTO1053" s="989"/>
      <c r="WTP1053" s="989"/>
      <c r="WTQ1053" s="989"/>
      <c r="WTR1053" s="989"/>
      <c r="WTS1053" s="989"/>
      <c r="WTT1053" s="989"/>
      <c r="WTU1053" s="989"/>
      <c r="WTV1053" s="989"/>
      <c r="WTW1053" s="989"/>
      <c r="WTX1053" s="989"/>
      <c r="WTY1053" s="989"/>
      <c r="WTZ1053" s="989"/>
      <c r="WUA1053" s="989"/>
      <c r="WUB1053" s="989"/>
      <c r="WUC1053" s="989"/>
      <c r="WUD1053" s="989"/>
      <c r="WUE1053" s="989"/>
      <c r="WUF1053" s="989"/>
      <c r="WUG1053" s="989"/>
      <c r="WUH1053" s="989"/>
      <c r="WUI1053" s="989"/>
      <c r="WUJ1053" s="989"/>
      <c r="WUK1053" s="989"/>
      <c r="WUL1053" s="989"/>
      <c r="WUM1053" s="989"/>
      <c r="WUN1053" s="989"/>
      <c r="WUO1053" s="989"/>
      <c r="WUP1053" s="989"/>
      <c r="WUQ1053" s="989"/>
      <c r="WUR1053" s="989"/>
      <c r="WUS1053" s="989"/>
      <c r="WUT1053" s="989"/>
      <c r="WUU1053" s="989"/>
      <c r="WUV1053" s="989"/>
      <c r="WUW1053" s="989"/>
      <c r="WUX1053" s="989"/>
      <c r="WUY1053" s="989"/>
      <c r="WUZ1053" s="989"/>
      <c r="WVA1053" s="989"/>
      <c r="WVB1053" s="989"/>
      <c r="WVC1053" s="989"/>
      <c r="WVD1053" s="989"/>
      <c r="WVE1053" s="989"/>
      <c r="WVF1053" s="989"/>
      <c r="WVG1053" s="989"/>
      <c r="WVH1053" s="989"/>
      <c r="WVI1053" s="989"/>
      <c r="WVJ1053" s="989"/>
      <c r="WVK1053" s="989"/>
      <c r="WVL1053" s="989"/>
      <c r="WVM1053" s="989"/>
      <c r="WVN1053" s="989"/>
      <c r="WVO1053" s="989"/>
      <c r="WVP1053" s="989"/>
      <c r="WVQ1053" s="989"/>
      <c r="WVR1053" s="989"/>
      <c r="WVS1053" s="989"/>
      <c r="WVT1053" s="989"/>
      <c r="WVU1053" s="989"/>
      <c r="WVV1053" s="989"/>
      <c r="WVW1053" s="989"/>
      <c r="WVX1053" s="989"/>
      <c r="WVY1053" s="989"/>
      <c r="WVZ1053" s="989"/>
      <c r="WWA1053" s="989"/>
      <c r="WWB1053" s="989"/>
      <c r="WWC1053" s="989"/>
      <c r="WWD1053" s="989"/>
      <c r="WWE1053" s="989"/>
      <c r="WWF1053" s="989"/>
      <c r="WWG1053" s="989"/>
      <c r="WWH1053" s="989"/>
      <c r="WWI1053" s="989"/>
      <c r="WWJ1053" s="989"/>
      <c r="WWK1053" s="989"/>
      <c r="WWL1053" s="989"/>
      <c r="WWM1053" s="989"/>
      <c r="WWN1053" s="989"/>
      <c r="WWO1053" s="989"/>
      <c r="WWP1053" s="989"/>
      <c r="WWQ1053" s="989"/>
      <c r="WWR1053" s="989"/>
      <c r="WWS1053" s="989"/>
      <c r="WWT1053" s="989"/>
      <c r="WWU1053" s="989"/>
      <c r="WWV1053" s="989"/>
      <c r="WWW1053" s="989"/>
      <c r="WWX1053" s="989"/>
      <c r="WWY1053" s="989"/>
      <c r="WWZ1053" s="989"/>
      <c r="WXA1053" s="989"/>
      <c r="WXB1053" s="989"/>
      <c r="WXC1053" s="989"/>
      <c r="WXD1053" s="989"/>
      <c r="WXE1053" s="989"/>
      <c r="WXF1053" s="989"/>
      <c r="WXG1053" s="989"/>
      <c r="WXH1053" s="989"/>
      <c r="WXI1053" s="989"/>
      <c r="WXJ1053" s="989"/>
      <c r="WXK1053" s="989"/>
      <c r="WXL1053" s="989"/>
      <c r="WXM1053" s="989"/>
      <c r="WXN1053" s="989"/>
      <c r="WXO1053" s="989"/>
      <c r="WXP1053" s="989"/>
      <c r="WXQ1053" s="989"/>
      <c r="WXR1053" s="989"/>
      <c r="WXS1053" s="989"/>
      <c r="WXT1053" s="989"/>
      <c r="WXU1053" s="989"/>
      <c r="WXV1053" s="989"/>
      <c r="WXW1053" s="989"/>
      <c r="WXX1053" s="989"/>
      <c r="WXY1053" s="989"/>
      <c r="WXZ1053" s="989"/>
      <c r="WYA1053" s="989"/>
      <c r="WYB1053" s="989"/>
      <c r="WYC1053" s="989"/>
      <c r="WYD1053" s="989"/>
      <c r="WYE1053" s="989"/>
      <c r="WYF1053" s="989"/>
      <c r="WYG1053" s="989"/>
      <c r="WYH1053" s="989"/>
      <c r="WYI1053" s="989"/>
      <c r="WYJ1053" s="989"/>
      <c r="WYK1053" s="989"/>
      <c r="WYL1053" s="989"/>
      <c r="WYM1053" s="989"/>
      <c r="WYN1053" s="989"/>
      <c r="WYO1053" s="989"/>
      <c r="WYP1053" s="989"/>
      <c r="WYQ1053" s="989"/>
      <c r="WYR1053" s="989"/>
      <c r="WYS1053" s="989"/>
      <c r="WYT1053" s="989"/>
      <c r="WYU1053" s="989"/>
      <c r="WYV1053" s="989"/>
      <c r="WYW1053" s="989"/>
      <c r="WYX1053" s="989"/>
      <c r="WYY1053" s="989"/>
      <c r="WYZ1053" s="989"/>
      <c r="WZA1053" s="989"/>
      <c r="WZB1053" s="989"/>
      <c r="WZC1053" s="989"/>
      <c r="WZD1053" s="989"/>
      <c r="WZE1053" s="989"/>
      <c r="WZF1053" s="989"/>
      <c r="WZG1053" s="989"/>
      <c r="WZH1053" s="989"/>
      <c r="WZI1053" s="989"/>
      <c r="WZJ1053" s="989"/>
      <c r="WZK1053" s="989"/>
      <c r="WZL1053" s="989"/>
      <c r="WZM1053" s="989"/>
      <c r="WZN1053" s="989"/>
      <c r="WZO1053" s="989"/>
      <c r="WZP1053" s="989"/>
      <c r="WZQ1053" s="989"/>
      <c r="WZR1053" s="989"/>
      <c r="WZS1053" s="989"/>
      <c r="WZT1053" s="989"/>
      <c r="WZU1053" s="989"/>
      <c r="WZV1053" s="989"/>
      <c r="WZW1053" s="989"/>
      <c r="WZX1053" s="989"/>
      <c r="WZY1053" s="989"/>
      <c r="WZZ1053" s="989"/>
      <c r="XAA1053" s="989"/>
      <c r="XAB1053" s="989"/>
      <c r="XAC1053" s="989"/>
      <c r="XAD1053" s="989"/>
      <c r="XAE1053" s="989"/>
      <c r="XAF1053" s="989"/>
      <c r="XAG1053" s="989"/>
      <c r="XAH1053" s="989"/>
      <c r="XAI1053" s="989"/>
      <c r="XAJ1053" s="989"/>
      <c r="XAK1053" s="989"/>
      <c r="XAL1053" s="989"/>
      <c r="XAM1053" s="989"/>
      <c r="XAN1053" s="989"/>
      <c r="XAO1053" s="989"/>
      <c r="XAP1053" s="989"/>
      <c r="XAQ1053" s="989"/>
      <c r="XAR1053" s="989"/>
      <c r="XAS1053" s="989"/>
      <c r="XAT1053" s="989"/>
      <c r="XAU1053" s="989"/>
      <c r="XAV1053" s="989"/>
      <c r="XAW1053" s="989"/>
      <c r="XAX1053" s="989"/>
      <c r="XAY1053" s="989"/>
      <c r="XAZ1053" s="989"/>
      <c r="XBA1053" s="989"/>
      <c r="XBB1053" s="989"/>
      <c r="XBC1053" s="989"/>
      <c r="XBD1053" s="989"/>
      <c r="XBE1053" s="989"/>
      <c r="XBF1053" s="989"/>
      <c r="XBG1053" s="989"/>
      <c r="XBH1053" s="989"/>
      <c r="XBI1053" s="989"/>
      <c r="XBJ1053" s="989"/>
      <c r="XBK1053" s="989"/>
      <c r="XBL1053" s="989"/>
      <c r="XBM1053" s="989"/>
      <c r="XBN1053" s="989"/>
      <c r="XBO1053" s="989"/>
      <c r="XBP1053" s="989"/>
      <c r="XBQ1053" s="989"/>
      <c r="XBR1053" s="989"/>
      <c r="XBS1053" s="989"/>
      <c r="XBT1053" s="989"/>
      <c r="XBU1053" s="989"/>
      <c r="XBV1053" s="989"/>
      <c r="XBW1053" s="989"/>
      <c r="XBX1053" s="989"/>
      <c r="XBY1053" s="989"/>
      <c r="XBZ1053" s="989"/>
      <c r="XCA1053" s="989"/>
      <c r="XCB1053" s="989"/>
      <c r="XCC1053" s="989"/>
      <c r="XCD1053" s="989"/>
      <c r="XCE1053" s="989"/>
      <c r="XCF1053" s="989"/>
      <c r="XCG1053" s="989"/>
      <c r="XCH1053" s="989"/>
      <c r="XCI1053" s="989"/>
      <c r="XCJ1053" s="989"/>
      <c r="XCK1053" s="989"/>
      <c r="XCL1053" s="989"/>
      <c r="XCM1053" s="989"/>
      <c r="XCN1053" s="989"/>
      <c r="XCO1053" s="989"/>
      <c r="XCP1053" s="989"/>
      <c r="XCQ1053" s="989"/>
      <c r="XCR1053" s="989"/>
      <c r="XCS1053" s="989"/>
      <c r="XCT1053" s="989"/>
      <c r="XCU1053" s="989"/>
      <c r="XCV1053" s="989"/>
      <c r="XCW1053" s="989"/>
      <c r="XCX1053" s="989"/>
      <c r="XCY1053" s="989"/>
      <c r="XCZ1053" s="989"/>
      <c r="XDA1053" s="989"/>
      <c r="XDB1053" s="989"/>
      <c r="XDC1053" s="989"/>
      <c r="XDD1053" s="989"/>
      <c r="XDE1053" s="989"/>
      <c r="XDF1053" s="989"/>
      <c r="XDG1053" s="989"/>
      <c r="XDH1053" s="989"/>
      <c r="XDI1053" s="989"/>
      <c r="XDJ1053" s="989"/>
      <c r="XDK1053" s="989"/>
      <c r="XDL1053" s="989"/>
      <c r="XDM1053" s="989"/>
      <c r="XDN1053" s="989"/>
      <c r="XDO1053" s="989"/>
      <c r="XDP1053" s="989"/>
      <c r="XDQ1053" s="989"/>
      <c r="XDR1053" s="989"/>
      <c r="XDS1053" s="989"/>
      <c r="XDT1053" s="989"/>
      <c r="XDU1053" s="989"/>
      <c r="XDV1053" s="989"/>
      <c r="XDW1053" s="989"/>
      <c r="XDX1053" s="989"/>
      <c r="XDY1053" s="989"/>
      <c r="XDZ1053" s="989"/>
      <c r="XEA1053" s="989"/>
      <c r="XEB1053" s="989"/>
      <c r="XEC1053" s="989"/>
      <c r="XED1053" s="989"/>
      <c r="XEE1053" s="989"/>
      <c r="XEF1053" s="989"/>
      <c r="XEG1053" s="989"/>
      <c r="XEH1053" s="989"/>
      <c r="XEI1053" s="989"/>
      <c r="XEJ1053" s="989"/>
      <c r="XEK1053" s="989"/>
      <c r="XEL1053" s="989"/>
      <c r="XEM1053" s="42"/>
      <c r="XEN1053" s="42"/>
      <c r="XEO1053" s="42"/>
      <c r="XEP1053" s="42"/>
      <c r="XEQ1053" s="42"/>
      <c r="XER1053" s="42"/>
      <c r="XES1053" s="42"/>
      <c r="XET1053" s="2431"/>
      <c r="XEU1053" s="2431"/>
      <c r="XEV1053" s="2431"/>
      <c r="XEW1053" s="2431"/>
      <c r="XEX1053" s="2431"/>
      <c r="XEY1053" s="2431"/>
      <c r="XEZ1053" s="2431"/>
      <c r="XFA1053" s="2431"/>
      <c r="XFB1053" s="2431"/>
      <c r="XFC1053" s="2431"/>
    </row>
    <row r="1054" ht="20" customHeight="1" spans="1:1024 1025:16383">
      <c r="A1054" s="989"/>
      <c r="B1054" s="2432"/>
      <c r="D1054" s="2433"/>
      <c r="E1054" s="2434"/>
      <c r="F1054" s="2435"/>
      <c r="G1054" s="2435"/>
      <c r="H1054" s="2435"/>
      <c r="I1054" s="2436"/>
      <c r="J1054" s="2437"/>
      <c r="K1054" s="2438"/>
      <c r="L1054" s="2438"/>
      <c r="M1054" s="2438"/>
      <c r="N1054" s="2438"/>
      <c r="O1054" s="2438"/>
      <c r="P1054" s="2438"/>
      <c r="Q1054" s="2438"/>
      <c r="R1054" s="1244"/>
      <c r="S1054" s="989"/>
      <c r="T1054" s="989"/>
      <c r="U1054" s="42"/>
      <c r="V1054" s="42"/>
      <c r="W1054" s="42"/>
      <c r="X1054" s="2163"/>
      <c r="Y1054" s="42"/>
      <c r="Z1054" s="989"/>
      <c r="AA1054" s="42"/>
      <c r="AB1054" s="42"/>
      <c r="AC1054" s="2163"/>
      <c r="AD1054" s="989"/>
      <c r="AE1054" s="989"/>
      <c r="AF1054" s="989"/>
      <c r="AG1054" s="989"/>
      <c r="AH1054" s="989"/>
      <c r="AI1054" s="989"/>
      <c r="AJ1054" s="989"/>
      <c r="AK1054" s="989"/>
      <c r="AL1054" s="989"/>
      <c r="AM1054" s="989"/>
      <c r="AN1054" s="989"/>
      <c r="AO1054" s="989"/>
      <c r="AP1054" s="989"/>
      <c r="AQ1054" s="989"/>
      <c r="AR1054" s="989"/>
      <c r="AS1054" s="989"/>
      <c r="AT1054" s="989"/>
      <c r="AU1054" s="989"/>
      <c r="AV1054" s="989"/>
      <c r="AW1054" s="989"/>
      <c r="AX1054" s="989"/>
      <c r="AY1054" s="989"/>
      <c r="AZ1054" s="989"/>
      <c r="BA1054" s="989"/>
      <c r="BB1054" s="989"/>
      <c r="BC1054" s="989"/>
      <c r="BD1054" s="989"/>
      <c r="BE1054" s="989"/>
      <c r="BF1054" s="989"/>
      <c r="BG1054" s="989"/>
      <c r="BH1054" s="989"/>
      <c r="BI1054" s="989"/>
      <c r="BJ1054" s="989"/>
      <c r="BK1054" s="989"/>
      <c r="BL1054" s="989"/>
      <c r="BM1054" s="989"/>
      <c r="BN1054" s="989"/>
      <c r="BO1054" s="989"/>
      <c r="BP1054" s="989"/>
      <c r="BQ1054" s="989"/>
      <c r="BR1054" s="989"/>
      <c r="BS1054" s="989"/>
      <c r="BT1054" s="989"/>
      <c r="BU1054" s="989"/>
      <c r="BV1054" s="989"/>
      <c r="BW1054" s="989"/>
      <c r="BX1054" s="989"/>
      <c r="BY1054" s="989"/>
      <c r="BZ1054" s="989"/>
      <c r="CA1054" s="989"/>
      <c r="CB1054" s="989"/>
      <c r="CC1054" s="989"/>
      <c r="CD1054" s="989"/>
      <c r="CE1054" s="989"/>
      <c r="CF1054" s="989"/>
      <c r="CG1054" s="989"/>
      <c r="CH1054" s="989"/>
      <c r="CI1054" s="989"/>
      <c r="CJ1054" s="989"/>
      <c r="CK1054" s="989"/>
      <c r="CL1054" s="989"/>
      <c r="CM1054" s="989"/>
      <c r="CN1054" s="989"/>
      <c r="CO1054" s="989"/>
      <c r="CP1054" s="989"/>
      <c r="CQ1054" s="989"/>
      <c r="CR1054" s="989"/>
      <c r="CS1054" s="989"/>
      <c r="CT1054" s="989"/>
      <c r="CU1054" s="989"/>
      <c r="CV1054" s="989"/>
      <c r="CW1054" s="989"/>
      <c r="CX1054" s="989"/>
      <c r="CY1054" s="989"/>
      <c r="CZ1054" s="989"/>
      <c r="DA1054" s="989"/>
      <c r="DB1054" s="989"/>
      <c r="DC1054" s="989"/>
      <c r="DD1054" s="989"/>
      <c r="DE1054" s="989"/>
      <c r="DF1054" s="989"/>
      <c r="DG1054" s="989"/>
      <c r="DH1054" s="989"/>
      <c r="DI1054" s="989"/>
      <c r="DJ1054" s="989"/>
      <c r="DK1054" s="989"/>
      <c r="DL1054" s="989"/>
      <c r="DM1054" s="989"/>
      <c r="DN1054" s="989"/>
      <c r="DO1054" s="989"/>
      <c r="DP1054" s="989"/>
      <c r="DQ1054" s="989"/>
      <c r="DR1054" s="989"/>
      <c r="DS1054" s="989"/>
      <c r="DT1054" s="989"/>
      <c r="DU1054" s="989"/>
      <c r="DV1054" s="989"/>
      <c r="DW1054" s="989"/>
      <c r="DX1054" s="989"/>
      <c r="DY1054" s="989"/>
      <c r="DZ1054" s="989"/>
      <c r="EA1054" s="989"/>
      <c r="EB1054" s="989"/>
      <c r="EC1054" s="989"/>
      <c r="ED1054" s="989"/>
      <c r="EE1054" s="989"/>
      <c r="EF1054" s="989"/>
      <c r="EG1054" s="989"/>
      <c r="EH1054" s="989"/>
      <c r="EI1054" s="989"/>
      <c r="EJ1054" s="989"/>
      <c r="EK1054" s="989"/>
      <c r="EL1054" s="989"/>
      <c r="EM1054" s="989"/>
      <c r="EN1054" s="989"/>
      <c r="EO1054" s="989"/>
      <c r="EP1054" s="989"/>
      <c r="EQ1054" s="989"/>
      <c r="ER1054" s="989"/>
      <c r="ES1054" s="989"/>
      <c r="ET1054" s="989"/>
      <c r="EU1054" s="989"/>
      <c r="EV1054" s="989"/>
      <c r="EW1054" s="989"/>
      <c r="EX1054" s="989"/>
      <c r="EY1054" s="989"/>
      <c r="EZ1054" s="989"/>
      <c r="FA1054" s="989"/>
      <c r="FB1054" s="989"/>
      <c r="FC1054" s="989"/>
      <c r="FD1054" s="989"/>
      <c r="FE1054" s="989"/>
      <c r="FF1054" s="989"/>
      <c r="FG1054" s="989"/>
      <c r="FH1054" s="989"/>
      <c r="FI1054" s="989"/>
      <c r="FJ1054" s="989"/>
      <c r="FK1054" s="989"/>
      <c r="FL1054" s="989"/>
      <c r="FM1054" s="989"/>
      <c r="FN1054" s="989"/>
      <c r="FO1054" s="989"/>
      <c r="FP1054" s="989"/>
      <c r="FQ1054" s="989"/>
      <c r="FR1054" s="989"/>
      <c r="FS1054" s="989"/>
      <c r="FT1054" s="989"/>
      <c r="FU1054" s="989"/>
      <c r="FV1054" s="989"/>
      <c r="FW1054" s="989"/>
      <c r="FX1054" s="989"/>
      <c r="FY1054" s="989"/>
      <c r="FZ1054" s="989"/>
      <c r="GA1054" s="989"/>
      <c r="GB1054" s="989"/>
      <c r="GC1054" s="989"/>
      <c r="GD1054" s="989"/>
      <c r="GE1054" s="989"/>
      <c r="GF1054" s="989"/>
      <c r="GG1054" s="989"/>
      <c r="GH1054" s="989"/>
      <c r="GI1054" s="989"/>
      <c r="GJ1054" s="989"/>
      <c r="GK1054" s="989"/>
      <c r="GL1054" s="989"/>
      <c r="GM1054" s="989"/>
      <c r="GN1054" s="989"/>
      <c r="GO1054" s="989"/>
      <c r="GP1054" s="989"/>
      <c r="GQ1054" s="989"/>
      <c r="GR1054" s="989"/>
      <c r="GS1054" s="989"/>
      <c r="GT1054" s="989"/>
      <c r="GU1054" s="989"/>
      <c r="GV1054" s="989"/>
      <c r="GW1054" s="989"/>
      <c r="GX1054" s="989"/>
      <c r="GY1054" s="989"/>
      <c r="GZ1054" s="989"/>
      <c r="HA1054" s="989"/>
      <c r="HB1054" s="989"/>
      <c r="HC1054" s="989"/>
      <c r="HD1054" s="989"/>
      <c r="HE1054" s="989"/>
      <c r="HF1054" s="989"/>
      <c r="HG1054" s="989"/>
      <c r="HH1054" s="989"/>
      <c r="HI1054" s="989"/>
      <c r="HJ1054" s="989"/>
      <c r="HK1054" s="989"/>
      <c r="HL1054" s="989"/>
      <c r="HM1054" s="989"/>
      <c r="HN1054" s="989"/>
      <c r="HO1054" s="989"/>
      <c r="HP1054" s="989"/>
      <c r="HQ1054" s="989"/>
      <c r="HR1054" s="989"/>
      <c r="HS1054" s="989"/>
      <c r="HT1054" s="989"/>
      <c r="HU1054" s="989"/>
      <c r="HV1054" s="989"/>
      <c r="HW1054" s="989"/>
      <c r="HX1054" s="989"/>
      <c r="HY1054" s="989"/>
      <c r="HZ1054" s="989"/>
      <c r="IA1054" s="989"/>
      <c r="IB1054" s="989"/>
      <c r="IC1054" s="989"/>
      <c r="ID1054" s="989"/>
      <c r="IE1054" s="989"/>
      <c r="IF1054" s="989"/>
      <c r="IG1054" s="989"/>
      <c r="IH1054" s="989"/>
      <c r="II1054" s="989"/>
      <c r="IJ1054" s="989"/>
      <c r="IK1054" s="989"/>
      <c r="IL1054" s="989"/>
      <c r="IM1054" s="989"/>
      <c r="IN1054" s="989"/>
      <c r="IO1054" s="989"/>
      <c r="IP1054" s="989"/>
      <c r="IQ1054" s="989"/>
      <c r="IR1054" s="989"/>
      <c r="IS1054" s="989"/>
      <c r="IT1054" s="989"/>
      <c r="IU1054" s="989"/>
      <c r="IV1054" s="989"/>
      <c r="IW1054" s="989"/>
      <c r="IX1054" s="989"/>
      <c r="IY1054" s="989"/>
      <c r="IZ1054" s="989"/>
      <c r="JA1054" s="989"/>
      <c r="JB1054" s="989"/>
      <c r="JC1054" s="989"/>
      <c r="JD1054" s="989"/>
      <c r="JE1054" s="989"/>
      <c r="JF1054" s="989"/>
      <c r="JG1054" s="989"/>
      <c r="JH1054" s="989"/>
      <c r="JI1054" s="989"/>
      <c r="JJ1054" s="989"/>
      <c r="JK1054" s="989"/>
      <c r="JL1054" s="989"/>
      <c r="JM1054" s="989"/>
      <c r="JN1054" s="989"/>
      <c r="JO1054" s="989"/>
      <c r="JP1054" s="989"/>
      <c r="JQ1054" s="989"/>
      <c r="JR1054" s="989"/>
      <c r="JS1054" s="989"/>
      <c r="JT1054" s="989"/>
      <c r="JU1054" s="989"/>
      <c r="JV1054" s="989"/>
      <c r="JW1054" s="989"/>
      <c r="JX1054" s="989"/>
      <c r="JY1054" s="989"/>
      <c r="JZ1054" s="989"/>
      <c r="KA1054" s="989"/>
      <c r="KB1054" s="989"/>
      <c r="KC1054" s="989"/>
      <c r="KD1054" s="989"/>
      <c r="KE1054" s="989"/>
      <c r="KF1054" s="989"/>
      <c r="KG1054" s="989"/>
      <c r="KH1054" s="989"/>
      <c r="KI1054" s="989"/>
      <c r="KJ1054" s="989"/>
      <c r="KK1054" s="989"/>
      <c r="KL1054" s="989"/>
      <c r="KM1054" s="989"/>
      <c r="KN1054" s="989"/>
      <c r="KO1054" s="989"/>
      <c r="KP1054" s="989"/>
      <c r="KQ1054" s="989"/>
      <c r="KR1054" s="989"/>
      <c r="KS1054" s="989"/>
      <c r="KT1054" s="989"/>
      <c r="KU1054" s="989"/>
      <c r="KV1054" s="989"/>
      <c r="KW1054" s="989"/>
      <c r="KX1054" s="989"/>
      <c r="KY1054" s="989"/>
      <c r="KZ1054" s="989"/>
      <c r="LA1054" s="989"/>
      <c r="LB1054" s="989"/>
      <c r="LC1054" s="989"/>
      <c r="LD1054" s="989"/>
      <c r="LE1054" s="989"/>
      <c r="LF1054" s="989"/>
      <c r="LG1054" s="989"/>
      <c r="LH1054" s="989"/>
      <c r="LI1054" s="989"/>
      <c r="LJ1054" s="989"/>
      <c r="LK1054" s="989"/>
      <c r="LL1054" s="989"/>
      <c r="LM1054" s="989"/>
      <c r="LN1054" s="989"/>
      <c r="LO1054" s="989"/>
      <c r="LP1054" s="989"/>
      <c r="LQ1054" s="989"/>
      <c r="LR1054" s="989"/>
      <c r="LS1054" s="989"/>
      <c r="LT1054" s="989"/>
      <c r="LU1054" s="989"/>
      <c r="LV1054" s="989"/>
      <c r="LW1054" s="989"/>
      <c r="LX1054" s="989"/>
      <c r="LY1054" s="989"/>
      <c r="LZ1054" s="989"/>
      <c r="MA1054" s="989"/>
      <c r="MB1054" s="989"/>
      <c r="MC1054" s="989"/>
      <c r="MD1054" s="989"/>
      <c r="ME1054" s="989"/>
      <c r="MF1054" s="989"/>
      <c r="MG1054" s="989"/>
      <c r="MH1054" s="989"/>
      <c r="MI1054" s="989"/>
      <c r="MJ1054" s="989"/>
      <c r="MK1054" s="989"/>
      <c r="ML1054" s="989"/>
      <c r="MM1054" s="989"/>
      <c r="MN1054" s="989"/>
      <c r="MO1054" s="989"/>
      <c r="MP1054" s="989"/>
      <c r="MQ1054" s="989"/>
      <c r="MR1054" s="989"/>
      <c r="MS1054" s="989"/>
      <c r="MT1054" s="989"/>
      <c r="MU1054" s="989"/>
      <c r="MV1054" s="989"/>
      <c r="MW1054" s="989"/>
      <c r="MX1054" s="989"/>
      <c r="MY1054" s="989"/>
      <c r="MZ1054" s="989"/>
      <c r="NA1054" s="989"/>
      <c r="NB1054" s="989"/>
      <c r="NC1054" s="989"/>
      <c r="ND1054" s="989"/>
      <c r="NE1054" s="989"/>
      <c r="NF1054" s="989"/>
      <c r="NG1054" s="989"/>
      <c r="NH1054" s="989"/>
      <c r="NI1054" s="989"/>
      <c r="NJ1054" s="989"/>
      <c r="NK1054" s="989"/>
      <c r="NL1054" s="989"/>
      <c r="NM1054" s="989"/>
      <c r="NN1054" s="989"/>
      <c r="NO1054" s="989"/>
      <c r="NP1054" s="989"/>
      <c r="NQ1054" s="989"/>
      <c r="NR1054" s="989"/>
      <c r="NS1054" s="989"/>
      <c r="NT1054" s="989"/>
      <c r="NU1054" s="989"/>
      <c r="NV1054" s="989"/>
      <c r="NW1054" s="989"/>
      <c r="NX1054" s="989"/>
      <c r="NY1054" s="989"/>
      <c r="NZ1054" s="989"/>
      <c r="OA1054" s="989"/>
      <c r="OB1054" s="989"/>
      <c r="OC1054" s="989"/>
      <c r="OD1054" s="989"/>
      <c r="OE1054" s="989"/>
      <c r="OF1054" s="989"/>
      <c r="OG1054" s="989"/>
      <c r="OH1054" s="989"/>
      <c r="OI1054" s="989"/>
      <c r="OJ1054" s="989"/>
      <c r="OK1054" s="989"/>
      <c r="OL1054" s="989"/>
      <c r="OM1054" s="989"/>
      <c r="ON1054" s="989"/>
      <c r="OO1054" s="989"/>
      <c r="OP1054" s="989"/>
      <c r="OQ1054" s="989"/>
      <c r="OR1054" s="989"/>
      <c r="OS1054" s="989"/>
      <c r="OT1054" s="989"/>
      <c r="OU1054" s="989"/>
      <c r="OV1054" s="989"/>
      <c r="OW1054" s="989"/>
      <c r="OX1054" s="989"/>
      <c r="OY1054" s="989"/>
      <c r="OZ1054" s="989"/>
      <c r="PA1054" s="989"/>
      <c r="PB1054" s="989"/>
      <c r="PC1054" s="989"/>
      <c r="PD1054" s="989"/>
      <c r="PE1054" s="989"/>
      <c r="PF1054" s="989"/>
      <c r="PG1054" s="989"/>
      <c r="PH1054" s="989"/>
      <c r="PI1054" s="989"/>
      <c r="PJ1054" s="989"/>
      <c r="PK1054" s="989"/>
      <c r="PL1054" s="989"/>
      <c r="PM1054" s="989"/>
      <c r="PN1054" s="989"/>
      <c r="PO1054" s="989"/>
      <c r="PP1054" s="989"/>
      <c r="PQ1054" s="989"/>
      <c r="PR1054" s="989"/>
      <c r="PS1054" s="989"/>
      <c r="PT1054" s="989"/>
      <c r="PU1054" s="989"/>
      <c r="PV1054" s="989"/>
      <c r="PW1054" s="989"/>
      <c r="PX1054" s="989"/>
      <c r="PY1054" s="989"/>
      <c r="PZ1054" s="989"/>
      <c r="QA1054" s="989"/>
      <c r="QB1054" s="989"/>
      <c r="QC1054" s="989"/>
      <c r="QD1054" s="989"/>
      <c r="QE1054" s="989"/>
      <c r="QF1054" s="989"/>
      <c r="QG1054" s="989"/>
      <c r="QH1054" s="989"/>
      <c r="QI1054" s="989"/>
      <c r="QJ1054" s="989"/>
      <c r="QK1054" s="989"/>
      <c r="QL1054" s="989"/>
      <c r="QM1054" s="989"/>
      <c r="QN1054" s="989"/>
      <c r="QO1054" s="989"/>
      <c r="QP1054" s="989"/>
      <c r="QQ1054" s="989"/>
      <c r="QR1054" s="989"/>
      <c r="QS1054" s="989"/>
      <c r="QT1054" s="989"/>
      <c r="QU1054" s="989"/>
      <c r="QV1054" s="989"/>
      <c r="QW1054" s="989"/>
      <c r="QX1054" s="989"/>
      <c r="QY1054" s="989"/>
      <c r="QZ1054" s="989"/>
      <c r="RA1054" s="989"/>
      <c r="RB1054" s="989"/>
      <c r="RC1054" s="989"/>
      <c r="RD1054" s="989"/>
      <c r="RE1054" s="989"/>
      <c r="RF1054" s="989"/>
      <c r="RG1054" s="989"/>
      <c r="RH1054" s="989"/>
      <c r="RI1054" s="989"/>
      <c r="RJ1054" s="989"/>
      <c r="RK1054" s="989"/>
      <c r="RL1054" s="989"/>
      <c r="RM1054" s="989"/>
      <c r="RN1054" s="989"/>
      <c r="RO1054" s="989"/>
      <c r="RP1054" s="989"/>
      <c r="RQ1054" s="989"/>
      <c r="RR1054" s="989"/>
      <c r="RS1054" s="989"/>
      <c r="RT1054" s="989"/>
      <c r="RU1054" s="989"/>
      <c r="RV1054" s="989"/>
      <c r="RW1054" s="989"/>
      <c r="RX1054" s="989"/>
      <c r="RY1054" s="989"/>
      <c r="RZ1054" s="989"/>
      <c r="SA1054" s="989"/>
      <c r="SB1054" s="989"/>
      <c r="SC1054" s="989"/>
      <c r="SD1054" s="989"/>
      <c r="SE1054" s="989"/>
      <c r="SF1054" s="989"/>
      <c r="SG1054" s="989"/>
      <c r="SH1054" s="989"/>
      <c r="SI1054" s="989"/>
      <c r="SJ1054" s="989"/>
      <c r="SK1054" s="989"/>
      <c r="SL1054" s="989"/>
      <c r="SM1054" s="989"/>
      <c r="SN1054" s="989"/>
      <c r="SO1054" s="989"/>
      <c r="SP1054" s="989"/>
      <c r="SQ1054" s="989"/>
      <c r="SR1054" s="989"/>
      <c r="SS1054" s="989"/>
      <c r="ST1054" s="989"/>
      <c r="SU1054" s="989"/>
      <c r="SV1054" s="989"/>
      <c r="SW1054" s="989"/>
      <c r="SX1054" s="989"/>
      <c r="SY1054" s="989"/>
      <c r="SZ1054" s="989"/>
      <c r="TA1054" s="989"/>
      <c r="TB1054" s="989"/>
      <c r="TC1054" s="989"/>
      <c r="TD1054" s="989"/>
      <c r="TE1054" s="989"/>
      <c r="TF1054" s="989"/>
      <c r="TG1054" s="989"/>
      <c r="TH1054" s="989"/>
      <c r="TI1054" s="989"/>
      <c r="TJ1054" s="989"/>
      <c r="TK1054" s="989"/>
      <c r="TL1054" s="989"/>
      <c r="TM1054" s="989"/>
      <c r="TN1054" s="989"/>
      <c r="TO1054" s="989"/>
      <c r="TP1054" s="989"/>
      <c r="TQ1054" s="989"/>
      <c r="TR1054" s="989"/>
      <c r="TS1054" s="989"/>
      <c r="TT1054" s="989"/>
      <c r="TU1054" s="989"/>
      <c r="TV1054" s="989"/>
      <c r="TW1054" s="989"/>
      <c r="TX1054" s="989"/>
      <c r="TY1054" s="989"/>
      <c r="TZ1054" s="989"/>
      <c r="UA1054" s="989"/>
      <c r="UB1054" s="989"/>
      <c r="UC1054" s="989"/>
      <c r="UD1054" s="989"/>
      <c r="UE1054" s="989"/>
      <c r="UF1054" s="989"/>
      <c r="UG1054" s="989"/>
      <c r="UH1054" s="989"/>
      <c r="UI1054" s="989"/>
      <c r="UJ1054" s="989"/>
      <c r="UK1054" s="989"/>
      <c r="UL1054" s="989"/>
      <c r="UM1054" s="989"/>
      <c r="UN1054" s="989"/>
      <c r="UO1054" s="989"/>
      <c r="UP1054" s="989"/>
      <c r="UQ1054" s="989"/>
      <c r="UR1054" s="989"/>
      <c r="US1054" s="989"/>
      <c r="UT1054" s="989"/>
      <c r="UU1054" s="989"/>
      <c r="UV1054" s="989"/>
      <c r="UW1054" s="989"/>
      <c r="UX1054" s="989"/>
      <c r="UY1054" s="989"/>
      <c r="UZ1054" s="989"/>
      <c r="VA1054" s="989"/>
      <c r="VB1054" s="989"/>
      <c r="VC1054" s="989"/>
      <c r="VD1054" s="989"/>
      <c r="VE1054" s="989"/>
      <c r="VF1054" s="989"/>
      <c r="VG1054" s="989"/>
      <c r="VH1054" s="989"/>
      <c r="VI1054" s="989"/>
      <c r="VJ1054" s="989"/>
      <c r="VK1054" s="989"/>
      <c r="VL1054" s="989"/>
      <c r="VM1054" s="989"/>
      <c r="VN1054" s="989"/>
      <c r="VO1054" s="989"/>
      <c r="VP1054" s="989"/>
      <c r="VQ1054" s="989"/>
      <c r="VR1054" s="989"/>
      <c r="VS1054" s="989"/>
      <c r="VT1054" s="989"/>
      <c r="VU1054" s="989"/>
      <c r="VV1054" s="989"/>
      <c r="VW1054" s="989"/>
      <c r="VX1054" s="989"/>
      <c r="VY1054" s="989"/>
      <c r="VZ1054" s="989"/>
      <c r="WA1054" s="989"/>
      <c r="WB1054" s="989"/>
      <c r="WC1054" s="989"/>
      <c r="WD1054" s="989"/>
      <c r="WE1054" s="989"/>
      <c r="WF1054" s="989"/>
      <c r="WG1054" s="989"/>
      <c r="WH1054" s="989"/>
      <c r="WI1054" s="989"/>
      <c r="WJ1054" s="989"/>
      <c r="WK1054" s="989"/>
      <c r="WL1054" s="989"/>
      <c r="WM1054" s="989"/>
      <c r="WN1054" s="989"/>
      <c r="WO1054" s="989"/>
      <c r="WP1054" s="989"/>
      <c r="WQ1054" s="989"/>
      <c r="WR1054" s="989"/>
      <c r="WS1054" s="989"/>
      <c r="WT1054" s="989"/>
      <c r="WU1054" s="989"/>
      <c r="WV1054" s="989"/>
      <c r="WW1054" s="989"/>
      <c r="WX1054" s="989"/>
      <c r="WY1054" s="989"/>
      <c r="WZ1054" s="989"/>
      <c r="XA1054" s="989"/>
      <c r="XB1054" s="989"/>
      <c r="XC1054" s="989"/>
      <c r="XD1054" s="989"/>
      <c r="XE1054" s="989"/>
      <c r="XF1054" s="989"/>
      <c r="XG1054" s="989"/>
      <c r="XH1054" s="989"/>
      <c r="XI1054" s="989"/>
      <c r="XJ1054" s="989"/>
      <c r="XK1054" s="989"/>
      <c r="XL1054" s="989"/>
      <c r="XM1054" s="989"/>
      <c r="XN1054" s="989"/>
      <c r="XO1054" s="989"/>
      <c r="XP1054" s="989"/>
      <c r="XQ1054" s="989"/>
      <c r="XR1054" s="989"/>
      <c r="XS1054" s="989"/>
      <c r="XT1054" s="989"/>
      <c r="XU1054" s="989"/>
      <c r="XV1054" s="989"/>
      <c r="XW1054" s="989"/>
      <c r="XX1054" s="989"/>
      <c r="XY1054" s="989"/>
      <c r="XZ1054" s="989"/>
      <c r="YA1054" s="989"/>
      <c r="YB1054" s="989"/>
      <c r="YC1054" s="989"/>
      <c r="YD1054" s="989"/>
      <c r="YE1054" s="989"/>
      <c r="YF1054" s="989"/>
      <c r="YG1054" s="989"/>
      <c r="YH1054" s="989"/>
      <c r="YI1054" s="989"/>
      <c r="YJ1054" s="989"/>
      <c r="YK1054" s="989"/>
      <c r="YL1054" s="989"/>
      <c r="YM1054" s="989"/>
      <c r="YN1054" s="989"/>
      <c r="YO1054" s="989"/>
      <c r="YP1054" s="989"/>
      <c r="YQ1054" s="989"/>
      <c r="YR1054" s="989"/>
      <c r="YS1054" s="989"/>
      <c r="YT1054" s="989"/>
      <c r="YU1054" s="989"/>
      <c r="YV1054" s="989"/>
      <c r="YW1054" s="989"/>
      <c r="YX1054" s="989"/>
      <c r="YY1054" s="989"/>
      <c r="YZ1054" s="989"/>
      <c r="ZA1054" s="989"/>
      <c r="ZB1054" s="989"/>
      <c r="ZC1054" s="989"/>
      <c r="ZD1054" s="989"/>
      <c r="ZE1054" s="989"/>
      <c r="ZF1054" s="989"/>
      <c r="ZG1054" s="989"/>
      <c r="ZH1054" s="989"/>
      <c r="ZI1054" s="989"/>
      <c r="ZJ1054" s="989"/>
      <c r="ZK1054" s="989"/>
      <c r="ZL1054" s="989"/>
      <c r="ZM1054" s="989"/>
      <c r="ZN1054" s="989"/>
      <c r="ZO1054" s="989"/>
      <c r="ZP1054" s="989"/>
      <c r="ZQ1054" s="989"/>
      <c r="ZR1054" s="989"/>
      <c r="ZS1054" s="989"/>
      <c r="ZT1054" s="989"/>
      <c r="ZU1054" s="989"/>
      <c r="ZV1054" s="989"/>
      <c r="ZW1054" s="989"/>
      <c r="ZX1054" s="989"/>
      <c r="ZY1054" s="989"/>
      <c r="ZZ1054" s="989"/>
      <c r="AAA1054" s="989"/>
      <c r="AAB1054" s="989"/>
      <c r="AAC1054" s="989"/>
      <c r="AAD1054" s="989"/>
      <c r="AAE1054" s="989"/>
      <c r="AAF1054" s="989"/>
      <c r="AAG1054" s="989"/>
      <c r="AAH1054" s="989"/>
      <c r="AAI1054" s="989"/>
      <c r="AAJ1054" s="989"/>
      <c r="AAK1054" s="989"/>
      <c r="AAL1054" s="989"/>
      <c r="AAM1054" s="989"/>
      <c r="AAN1054" s="989"/>
      <c r="AAO1054" s="989"/>
      <c r="AAP1054" s="989"/>
      <c r="AAQ1054" s="989"/>
      <c r="AAR1054" s="989"/>
      <c r="AAS1054" s="989"/>
      <c r="AAT1054" s="989"/>
      <c r="AAU1054" s="989"/>
      <c r="AAV1054" s="989"/>
      <c r="AAW1054" s="989"/>
      <c r="AAX1054" s="989"/>
      <c r="AAY1054" s="989"/>
      <c r="AAZ1054" s="989"/>
      <c r="ABA1054" s="989"/>
      <c r="ABB1054" s="989"/>
      <c r="ABC1054" s="989"/>
      <c r="ABD1054" s="989"/>
      <c r="ABE1054" s="989"/>
      <c r="ABF1054" s="989"/>
      <c r="ABG1054" s="989"/>
      <c r="ABH1054" s="989"/>
      <c r="ABI1054" s="989"/>
      <c r="ABJ1054" s="989"/>
      <c r="ABK1054" s="989"/>
      <c r="ABL1054" s="989"/>
      <c r="ABM1054" s="989"/>
      <c r="ABN1054" s="989"/>
      <c r="ABO1054" s="989"/>
      <c r="ABP1054" s="989"/>
      <c r="ABQ1054" s="989"/>
      <c r="ABR1054" s="989"/>
      <c r="ABS1054" s="989"/>
      <c r="ABT1054" s="989"/>
      <c r="ABU1054" s="989"/>
      <c r="ABV1054" s="989"/>
      <c r="ABW1054" s="989"/>
      <c r="ABX1054" s="989"/>
      <c r="ABY1054" s="989"/>
      <c r="ABZ1054" s="989"/>
      <c r="ACA1054" s="989"/>
      <c r="ACB1054" s="989"/>
      <c r="ACC1054" s="989"/>
      <c r="ACD1054" s="989"/>
      <c r="ACE1054" s="989"/>
      <c r="ACF1054" s="989"/>
      <c r="ACG1054" s="989"/>
      <c r="ACH1054" s="989"/>
      <c r="ACI1054" s="989"/>
      <c r="ACJ1054" s="989"/>
      <c r="ACK1054" s="989"/>
      <c r="ACL1054" s="989"/>
      <c r="ACM1054" s="989"/>
      <c r="ACN1054" s="989"/>
      <c r="ACO1054" s="989"/>
      <c r="ACP1054" s="989"/>
      <c r="ACQ1054" s="989"/>
      <c r="ACR1054" s="989"/>
      <c r="ACS1054" s="989"/>
      <c r="ACT1054" s="989"/>
      <c r="ACU1054" s="989"/>
      <c r="ACV1054" s="989"/>
      <c r="ACW1054" s="989"/>
      <c r="ACX1054" s="989"/>
      <c r="ACY1054" s="989"/>
      <c r="ACZ1054" s="989"/>
      <c r="ADA1054" s="989"/>
      <c r="ADB1054" s="989"/>
      <c r="ADC1054" s="989"/>
      <c r="ADD1054" s="989"/>
      <c r="ADE1054" s="989"/>
      <c r="ADF1054" s="989"/>
      <c r="ADG1054" s="989"/>
      <c r="ADH1054" s="989"/>
      <c r="ADI1054" s="989"/>
      <c r="ADJ1054" s="989"/>
      <c r="ADK1054" s="989"/>
      <c r="ADL1054" s="989"/>
      <c r="ADM1054" s="989"/>
      <c r="ADN1054" s="989"/>
      <c r="ADO1054" s="989"/>
      <c r="ADP1054" s="989"/>
      <c r="ADQ1054" s="989"/>
      <c r="ADR1054" s="989"/>
      <c r="ADS1054" s="989"/>
      <c r="ADT1054" s="989"/>
      <c r="ADU1054" s="989"/>
      <c r="ADV1054" s="989"/>
      <c r="ADW1054" s="989"/>
      <c r="ADX1054" s="989"/>
      <c r="ADY1054" s="989"/>
      <c r="ADZ1054" s="989"/>
      <c r="AEA1054" s="989"/>
      <c r="AEB1054" s="989"/>
      <c r="AEC1054" s="989"/>
      <c r="AED1054" s="989"/>
      <c r="AEE1054" s="989"/>
      <c r="AEF1054" s="989"/>
      <c r="AEG1054" s="989"/>
      <c r="AEH1054" s="989"/>
      <c r="AEI1054" s="989"/>
      <c r="AEJ1054" s="989"/>
      <c r="AEK1054" s="989"/>
      <c r="AEL1054" s="989"/>
      <c r="AEM1054" s="989"/>
      <c r="AEN1054" s="989"/>
      <c r="AEO1054" s="989"/>
      <c r="AEP1054" s="989"/>
      <c r="AEQ1054" s="989"/>
      <c r="AER1054" s="989"/>
      <c r="AES1054" s="989"/>
      <c r="AET1054" s="989"/>
      <c r="AEU1054" s="989"/>
      <c r="AEV1054" s="989"/>
      <c r="AEW1054" s="989"/>
      <c r="AEX1054" s="989"/>
      <c r="AEY1054" s="989"/>
      <c r="AEZ1054" s="989"/>
      <c r="AFA1054" s="989"/>
      <c r="AFB1054" s="989"/>
      <c r="AFC1054" s="989"/>
      <c r="AFD1054" s="989"/>
      <c r="AFE1054" s="989"/>
      <c r="AFF1054" s="989"/>
      <c r="AFG1054" s="989"/>
      <c r="AFH1054" s="989"/>
      <c r="AFI1054" s="989"/>
      <c r="AFJ1054" s="989"/>
      <c r="AFK1054" s="989"/>
      <c r="AFL1054" s="989"/>
      <c r="AFM1054" s="989"/>
      <c r="AFN1054" s="989"/>
      <c r="AFO1054" s="989"/>
      <c r="AFP1054" s="989"/>
      <c r="AFQ1054" s="989"/>
      <c r="AFR1054" s="989"/>
      <c r="AFS1054" s="989"/>
      <c r="AFT1054" s="989"/>
      <c r="AFU1054" s="989"/>
      <c r="AFV1054" s="989"/>
      <c r="AFW1054" s="989"/>
      <c r="AFX1054" s="989"/>
      <c r="AFY1054" s="989"/>
      <c r="AFZ1054" s="989"/>
      <c r="AGA1054" s="989"/>
      <c r="AGB1054" s="989"/>
      <c r="AGC1054" s="989"/>
      <c r="AGD1054" s="989"/>
      <c r="AGE1054" s="989"/>
      <c r="AGF1054" s="989"/>
      <c r="AGG1054" s="989"/>
      <c r="AGH1054" s="989"/>
      <c r="AGI1054" s="989"/>
      <c r="AGJ1054" s="989"/>
      <c r="AGK1054" s="989"/>
      <c r="AGL1054" s="989"/>
      <c r="AGM1054" s="989"/>
      <c r="AGN1054" s="989"/>
      <c r="AGO1054" s="989"/>
      <c r="AGP1054" s="989"/>
      <c r="AGQ1054" s="989"/>
      <c r="AGR1054" s="989"/>
      <c r="AGS1054" s="989"/>
      <c r="AGT1054" s="989"/>
      <c r="AGU1054" s="989"/>
      <c r="AGV1054" s="989"/>
      <c r="AGW1054" s="989"/>
      <c r="AGX1054" s="989"/>
      <c r="AGY1054" s="989"/>
      <c r="AGZ1054" s="989"/>
      <c r="AHA1054" s="989"/>
      <c r="AHB1054" s="989"/>
      <c r="AHC1054" s="989"/>
      <c r="AHD1054" s="989"/>
      <c r="AHE1054" s="989"/>
      <c r="AHF1054" s="989"/>
      <c r="AHG1054" s="989"/>
      <c r="AHH1054" s="989"/>
      <c r="AHI1054" s="989"/>
      <c r="AHJ1054" s="989"/>
      <c r="AHK1054" s="989"/>
      <c r="AHL1054" s="989"/>
      <c r="AHM1054" s="989"/>
      <c r="AHN1054" s="989"/>
      <c r="AHO1054" s="989"/>
      <c r="AHP1054" s="989"/>
      <c r="AHQ1054" s="989"/>
      <c r="AHR1054" s="989"/>
      <c r="AHS1054" s="989"/>
      <c r="AHT1054" s="989"/>
      <c r="AHU1054" s="989"/>
      <c r="AHV1054" s="989"/>
      <c r="AHW1054" s="989"/>
      <c r="AHX1054" s="989"/>
      <c r="AHY1054" s="989"/>
      <c r="AHZ1054" s="989"/>
      <c r="AIA1054" s="989"/>
      <c r="AIB1054" s="989"/>
      <c r="AIC1054" s="989"/>
      <c r="AID1054" s="989"/>
      <c r="AIE1054" s="989"/>
      <c r="AIF1054" s="989"/>
      <c r="AIG1054" s="989"/>
      <c r="AIH1054" s="989"/>
      <c r="AII1054" s="989"/>
      <c r="AIJ1054" s="989"/>
      <c r="AIK1054" s="989"/>
      <c r="AIL1054" s="989"/>
      <c r="AIM1054" s="989"/>
      <c r="AIN1054" s="989"/>
      <c r="AIO1054" s="989"/>
      <c r="AIP1054" s="989"/>
      <c r="AIQ1054" s="989"/>
      <c r="AIR1054" s="989"/>
      <c r="AIS1054" s="989"/>
      <c r="AIT1054" s="989"/>
      <c r="AIU1054" s="989"/>
      <c r="AIV1054" s="989"/>
      <c r="AIW1054" s="989"/>
      <c r="AIX1054" s="989"/>
      <c r="AIY1054" s="989"/>
      <c r="AIZ1054" s="989"/>
      <c r="AJA1054" s="989"/>
      <c r="AJB1054" s="989"/>
      <c r="AJC1054" s="989"/>
      <c r="AJD1054" s="989"/>
      <c r="AJE1054" s="989"/>
      <c r="AJF1054" s="989"/>
      <c r="AJG1054" s="989"/>
      <c r="AJH1054" s="989"/>
      <c r="AJI1054" s="989"/>
      <c r="AJJ1054" s="989"/>
      <c r="AJK1054" s="989"/>
      <c r="AJL1054" s="989"/>
      <c r="AJM1054" s="989"/>
      <c r="AJN1054" s="989"/>
      <c r="AJO1054" s="989"/>
      <c r="AJP1054" s="989"/>
      <c r="AJQ1054" s="989"/>
      <c r="AJR1054" s="989"/>
      <c r="AJS1054" s="989"/>
      <c r="AJT1054" s="989"/>
      <c r="AJU1054" s="989"/>
      <c r="AJV1054" s="989"/>
      <c r="AJW1054" s="989"/>
      <c r="AJX1054" s="989"/>
      <c r="AJY1054" s="989"/>
      <c r="AJZ1054" s="989"/>
      <c r="AKA1054" s="989"/>
      <c r="AKB1054" s="989"/>
      <c r="AKC1054" s="989"/>
      <c r="AKD1054" s="989"/>
      <c r="AKE1054" s="989"/>
      <c r="AKF1054" s="989"/>
      <c r="AKG1054" s="989"/>
      <c r="AKH1054" s="989"/>
      <c r="AKI1054" s="989"/>
      <c r="AKJ1054" s="989"/>
      <c r="AKK1054" s="989"/>
      <c r="AKL1054" s="989"/>
      <c r="AKM1054" s="989"/>
      <c r="AKN1054" s="989"/>
      <c r="AKO1054" s="989"/>
      <c r="AKP1054" s="989"/>
      <c r="AKQ1054" s="989"/>
      <c r="AKR1054" s="989"/>
      <c r="AKS1054" s="989"/>
      <c r="AKT1054" s="989"/>
      <c r="AKU1054" s="989"/>
      <c r="AKV1054" s="989"/>
      <c r="AKW1054" s="989"/>
      <c r="AKX1054" s="989"/>
      <c r="AKY1054" s="989"/>
      <c r="AKZ1054" s="989"/>
      <c r="ALA1054" s="989"/>
      <c r="ALB1054" s="989"/>
      <c r="ALC1054" s="989"/>
      <c r="ALD1054" s="989"/>
      <c r="ALE1054" s="989"/>
      <c r="ALF1054" s="989"/>
      <c r="ALG1054" s="989"/>
      <c r="ALH1054" s="989"/>
      <c r="ALI1054" s="989"/>
      <c r="ALJ1054" s="989"/>
      <c r="ALK1054" s="989"/>
      <c r="ALL1054" s="989"/>
      <c r="ALM1054" s="989"/>
      <c r="ALN1054" s="989"/>
      <c r="ALO1054" s="989"/>
      <c r="ALP1054" s="989"/>
      <c r="ALQ1054" s="989"/>
      <c r="ALR1054" s="989"/>
      <c r="ALS1054" s="989"/>
      <c r="ALT1054" s="989"/>
      <c r="ALU1054" s="989"/>
      <c r="ALV1054" s="989"/>
      <c r="ALW1054" s="989"/>
      <c r="ALX1054" s="989"/>
      <c r="ALY1054" s="989"/>
      <c r="ALZ1054" s="989"/>
      <c r="AMA1054" s="989"/>
      <c r="AMB1054" s="989"/>
      <c r="AMC1054" s="989"/>
      <c r="AMD1054" s="989"/>
      <c r="AME1054" s="989"/>
      <c r="AMF1054" s="989"/>
      <c r="AMG1054" s="989"/>
      <c r="AMH1054" s="989"/>
      <c r="AMI1054" s="989"/>
      <c r="AMJ1054" s="989"/>
      <c r="AMK1054" s="989"/>
      <c r="AML1054" s="989"/>
      <c r="AMM1054" s="989"/>
      <c r="AMN1054" s="989"/>
      <c r="AMO1054" s="989"/>
      <c r="AMP1054" s="989"/>
      <c r="AMQ1054" s="989"/>
      <c r="AMR1054" s="989"/>
      <c r="AMS1054" s="989"/>
      <c r="AMT1054" s="989"/>
      <c r="AMU1054" s="989"/>
      <c r="AMV1054" s="989"/>
      <c r="AMW1054" s="989"/>
      <c r="AMX1054" s="989"/>
      <c r="AMY1054" s="989"/>
      <c r="AMZ1054" s="989"/>
      <c r="ANA1054" s="989"/>
      <c r="ANB1054" s="989"/>
      <c r="ANC1054" s="989"/>
      <c r="AND1054" s="989"/>
      <c r="ANE1054" s="989"/>
      <c r="ANF1054" s="989"/>
      <c r="ANG1054" s="989"/>
      <c r="ANH1054" s="989"/>
      <c r="ANI1054" s="989"/>
      <c r="ANJ1054" s="989"/>
      <c r="ANK1054" s="989"/>
      <c r="ANL1054" s="989"/>
      <c r="ANM1054" s="989"/>
      <c r="ANN1054" s="989"/>
      <c r="ANO1054" s="989"/>
      <c r="ANP1054" s="989"/>
      <c r="ANQ1054" s="989"/>
      <c r="ANR1054" s="989"/>
      <c r="ANS1054" s="989"/>
      <c r="ANT1054" s="989"/>
      <c r="ANU1054" s="989"/>
      <c r="ANV1054" s="989"/>
      <c r="ANW1054" s="989"/>
      <c r="ANX1054" s="989"/>
      <c r="ANY1054" s="989"/>
      <c r="ANZ1054" s="989"/>
      <c r="AOA1054" s="989"/>
      <c r="AOB1054" s="989"/>
      <c r="AOC1054" s="989"/>
      <c r="AOD1054" s="989"/>
      <c r="AOE1054" s="989"/>
      <c r="AOF1054" s="989"/>
      <c r="AOG1054" s="989"/>
      <c r="AOH1054" s="989"/>
      <c r="AOI1054" s="989"/>
      <c r="AOJ1054" s="989"/>
      <c r="AOK1054" s="989"/>
      <c r="AOL1054" s="989"/>
      <c r="AOM1054" s="989"/>
      <c r="AON1054" s="989"/>
      <c r="AOO1054" s="989"/>
      <c r="AOP1054" s="989"/>
      <c r="AOQ1054" s="989"/>
      <c r="AOR1054" s="989"/>
      <c r="AOS1054" s="989"/>
      <c r="AOT1054" s="989"/>
      <c r="AOU1054" s="989"/>
      <c r="AOV1054" s="989"/>
      <c r="AOW1054" s="989"/>
      <c r="AOX1054" s="989"/>
      <c r="AOY1054" s="989"/>
      <c r="AOZ1054" s="989"/>
      <c r="APA1054" s="989"/>
      <c r="APB1054" s="989"/>
      <c r="APC1054" s="989"/>
      <c r="APD1054" s="989"/>
      <c r="APE1054" s="989"/>
      <c r="APF1054" s="989"/>
      <c r="APG1054" s="989"/>
      <c r="APH1054" s="989"/>
      <c r="API1054" s="989"/>
      <c r="APJ1054" s="989"/>
      <c r="APK1054" s="989"/>
      <c r="APL1054" s="989"/>
      <c r="APM1054" s="989"/>
      <c r="APN1054" s="989"/>
      <c r="APO1054" s="989"/>
      <c r="APP1054" s="989"/>
      <c r="APQ1054" s="989"/>
      <c r="APR1054" s="989"/>
      <c r="APS1054" s="989"/>
      <c r="APT1054" s="989"/>
      <c r="APU1054" s="989"/>
      <c r="APV1054" s="989"/>
      <c r="APW1054" s="989"/>
      <c r="APX1054" s="989"/>
      <c r="APY1054" s="989"/>
      <c r="APZ1054" s="989"/>
      <c r="AQA1054" s="989"/>
      <c r="AQB1054" s="989"/>
      <c r="AQC1054" s="989"/>
      <c r="AQD1054" s="989"/>
      <c r="AQE1054" s="989"/>
      <c r="AQF1054" s="989"/>
      <c r="AQG1054" s="989"/>
      <c r="AQH1054" s="989"/>
      <c r="AQI1054" s="989"/>
      <c r="AQJ1054" s="989"/>
      <c r="AQK1054" s="989"/>
      <c r="AQL1054" s="989"/>
      <c r="AQM1054" s="989"/>
      <c r="AQN1054" s="989"/>
      <c r="AQO1054" s="989"/>
      <c r="AQP1054" s="989"/>
      <c r="AQQ1054" s="989"/>
      <c r="AQR1054" s="989"/>
      <c r="AQS1054" s="989"/>
      <c r="AQT1054" s="989"/>
      <c r="AQU1054" s="989"/>
      <c r="AQV1054" s="989"/>
      <c r="AQW1054" s="989"/>
      <c r="AQX1054" s="989"/>
      <c r="AQY1054" s="989"/>
      <c r="AQZ1054" s="989"/>
      <c r="ARA1054" s="989"/>
      <c r="ARB1054" s="989"/>
      <c r="ARC1054" s="989"/>
      <c r="ARD1054" s="989"/>
      <c r="ARE1054" s="989"/>
      <c r="ARF1054" s="989"/>
      <c r="ARG1054" s="989"/>
      <c r="ARH1054" s="989"/>
      <c r="ARI1054" s="989"/>
      <c r="ARJ1054" s="989"/>
      <c r="ARK1054" s="989"/>
      <c r="ARL1054" s="989"/>
      <c r="ARM1054" s="989"/>
      <c r="ARN1054" s="989"/>
      <c r="ARO1054" s="989"/>
      <c r="ARP1054" s="989"/>
      <c r="ARQ1054" s="989"/>
      <c r="ARR1054" s="989"/>
      <c r="ARS1054" s="989"/>
      <c r="ART1054" s="989"/>
      <c r="ARU1054" s="989"/>
      <c r="ARV1054" s="989"/>
      <c r="ARW1054" s="989"/>
      <c r="ARX1054" s="989"/>
      <c r="ARY1054" s="989"/>
      <c r="ARZ1054" s="989"/>
      <c r="ASA1054" s="989"/>
      <c r="ASB1054" s="989"/>
      <c r="ASC1054" s="989"/>
      <c r="ASD1054" s="989"/>
      <c r="ASE1054" s="989"/>
      <c r="ASF1054" s="989"/>
      <c r="ASG1054" s="989"/>
      <c r="ASH1054" s="989"/>
      <c r="ASI1054" s="989"/>
      <c r="ASJ1054" s="989"/>
      <c r="ASK1054" s="989"/>
      <c r="ASL1054" s="989"/>
      <c r="ASM1054" s="989"/>
      <c r="ASN1054" s="989"/>
      <c r="ASO1054" s="989"/>
      <c r="ASP1054" s="989"/>
      <c r="ASQ1054" s="989"/>
      <c r="ASR1054" s="989"/>
      <c r="ASS1054" s="989"/>
      <c r="AST1054" s="989"/>
      <c r="ASU1054" s="989"/>
      <c r="ASV1054" s="989"/>
      <c r="ASW1054" s="989"/>
      <c r="ASX1054" s="989"/>
      <c r="ASY1054" s="989"/>
      <c r="ASZ1054" s="989"/>
      <c r="ATA1054" s="989"/>
      <c r="ATB1054" s="989"/>
      <c r="ATC1054" s="989"/>
      <c r="ATD1054" s="989"/>
      <c r="ATE1054" s="989"/>
      <c r="ATF1054" s="989"/>
      <c r="ATG1054" s="989"/>
      <c r="ATH1054" s="989"/>
      <c r="ATI1054" s="989"/>
      <c r="ATJ1054" s="989"/>
      <c r="ATK1054" s="989"/>
      <c r="ATL1054" s="989"/>
      <c r="ATM1054" s="989"/>
      <c r="ATN1054" s="989"/>
      <c r="ATO1054" s="989"/>
      <c r="ATP1054" s="989"/>
      <c r="ATQ1054" s="989"/>
      <c r="ATR1054" s="989"/>
      <c r="ATS1054" s="989"/>
      <c r="ATT1054" s="989"/>
      <c r="ATU1054" s="989"/>
      <c r="ATV1054" s="989"/>
      <c r="ATW1054" s="989"/>
      <c r="ATX1054" s="989"/>
      <c r="ATY1054" s="989"/>
      <c r="ATZ1054" s="989"/>
      <c r="AUA1054" s="989"/>
      <c r="AUB1054" s="989"/>
      <c r="AUC1054" s="989"/>
      <c r="AUD1054" s="989"/>
      <c r="AUE1054" s="989"/>
      <c r="AUF1054" s="989"/>
      <c r="AUG1054" s="989"/>
      <c r="AUH1054" s="989"/>
      <c r="AUI1054" s="989"/>
      <c r="AUJ1054" s="989"/>
      <c r="AUK1054" s="989"/>
      <c r="AUL1054" s="989"/>
      <c r="AUM1054" s="989"/>
      <c r="AUN1054" s="989"/>
      <c r="AUO1054" s="989"/>
      <c r="AUP1054" s="989"/>
      <c r="AUQ1054" s="989"/>
      <c r="AUR1054" s="989"/>
      <c r="AUS1054" s="989"/>
      <c r="AUT1054" s="989"/>
      <c r="AUU1054" s="989"/>
      <c r="AUV1054" s="989"/>
      <c r="AUW1054" s="989"/>
      <c r="AUX1054" s="989"/>
      <c r="AUY1054" s="989"/>
      <c r="AUZ1054" s="989"/>
      <c r="AVA1054" s="989"/>
      <c r="AVB1054" s="989"/>
      <c r="AVC1054" s="989"/>
      <c r="AVD1054" s="989"/>
      <c r="AVE1054" s="989"/>
      <c r="AVF1054" s="989"/>
      <c r="AVG1054" s="989"/>
      <c r="AVH1054" s="989"/>
      <c r="AVI1054" s="989"/>
      <c r="AVJ1054" s="989"/>
      <c r="AVK1054" s="989"/>
      <c r="AVL1054" s="989"/>
      <c r="AVM1054" s="989"/>
      <c r="AVN1054" s="989"/>
      <c r="AVO1054" s="989"/>
      <c r="AVP1054" s="989"/>
      <c r="AVQ1054" s="989"/>
      <c r="AVR1054" s="989"/>
      <c r="AVS1054" s="989"/>
      <c r="AVT1054" s="989"/>
      <c r="AVU1054" s="989"/>
      <c r="AVV1054" s="989"/>
      <c r="AVW1054" s="989"/>
      <c r="AVX1054" s="989"/>
      <c r="AVY1054" s="989"/>
      <c r="AVZ1054" s="989"/>
      <c r="AWA1054" s="989"/>
      <c r="AWB1054" s="989"/>
      <c r="AWC1054" s="989"/>
      <c r="AWD1054" s="989"/>
      <c r="AWE1054" s="989"/>
      <c r="AWF1054" s="989"/>
      <c r="AWG1054" s="989"/>
      <c r="AWH1054" s="989"/>
      <c r="AWI1054" s="989"/>
      <c r="AWJ1054" s="989"/>
      <c r="AWK1054" s="989"/>
      <c r="AWL1054" s="989"/>
      <c r="AWM1054" s="989"/>
      <c r="AWN1054" s="989"/>
      <c r="AWO1054" s="989"/>
      <c r="AWP1054" s="989"/>
      <c r="AWQ1054" s="989"/>
      <c r="AWR1054" s="989"/>
      <c r="AWS1054" s="989"/>
      <c r="AWT1054" s="989"/>
      <c r="AWU1054" s="989"/>
      <c r="AWV1054" s="989"/>
      <c r="AWW1054" s="989"/>
      <c r="AWX1054" s="989"/>
      <c r="AWY1054" s="989"/>
      <c r="AWZ1054" s="989"/>
      <c r="AXA1054" s="989"/>
      <c r="AXB1054" s="989"/>
      <c r="AXC1054" s="989"/>
      <c r="AXD1054" s="989"/>
      <c r="AXE1054" s="989"/>
      <c r="AXF1054" s="989"/>
      <c r="AXG1054" s="989"/>
      <c r="AXH1054" s="989"/>
      <c r="AXI1054" s="989"/>
      <c r="AXJ1054" s="989"/>
      <c r="AXK1054" s="989"/>
      <c r="AXL1054" s="989"/>
      <c r="AXM1054" s="989"/>
      <c r="AXN1054" s="989"/>
      <c r="AXO1054" s="989"/>
      <c r="AXP1054" s="989"/>
      <c r="AXQ1054" s="989"/>
      <c r="AXR1054" s="989"/>
      <c r="AXS1054" s="989"/>
      <c r="AXT1054" s="989"/>
      <c r="AXU1054" s="989"/>
      <c r="AXV1054" s="989"/>
      <c r="AXW1054" s="989"/>
      <c r="AXX1054" s="989"/>
      <c r="AXY1054" s="989"/>
      <c r="AXZ1054" s="989"/>
      <c r="AYA1054" s="989"/>
      <c r="AYB1054" s="989"/>
      <c r="AYC1054" s="989"/>
      <c r="AYD1054" s="989"/>
      <c r="AYE1054" s="989"/>
      <c r="AYF1054" s="989"/>
      <c r="AYG1054" s="989"/>
      <c r="AYH1054" s="989"/>
      <c r="AYI1054" s="989"/>
      <c r="AYJ1054" s="989"/>
      <c r="AYK1054" s="989"/>
      <c r="AYL1054" s="989"/>
      <c r="AYM1054" s="989"/>
      <c r="AYN1054" s="989"/>
      <c r="AYO1054" s="989"/>
      <c r="AYP1054" s="989"/>
      <c r="AYQ1054" s="989"/>
      <c r="AYR1054" s="989"/>
      <c r="AYS1054" s="989"/>
      <c r="AYT1054" s="989"/>
      <c r="AYU1054" s="989"/>
      <c r="AYV1054" s="989"/>
      <c r="AYW1054" s="989"/>
      <c r="AYX1054" s="989"/>
      <c r="AYY1054" s="989"/>
      <c r="AYZ1054" s="989"/>
      <c r="AZA1054" s="989"/>
      <c r="AZB1054" s="989"/>
      <c r="AZC1054" s="989"/>
      <c r="AZD1054" s="989"/>
      <c r="AZE1054" s="989"/>
      <c r="AZF1054" s="989"/>
      <c r="AZG1054" s="989"/>
      <c r="AZH1054" s="989"/>
      <c r="AZI1054" s="989"/>
      <c r="AZJ1054" s="989"/>
      <c r="AZK1054" s="989"/>
      <c r="AZL1054" s="989"/>
      <c r="AZM1054" s="989"/>
      <c r="AZN1054" s="989"/>
      <c r="AZO1054" s="989"/>
      <c r="AZP1054" s="989"/>
      <c r="AZQ1054" s="989"/>
      <c r="AZR1054" s="989"/>
      <c r="AZS1054" s="989"/>
      <c r="AZT1054" s="989"/>
      <c r="AZU1054" s="989"/>
      <c r="AZV1054" s="989"/>
      <c r="AZW1054" s="989"/>
      <c r="AZX1054" s="989"/>
      <c r="AZY1054" s="989"/>
      <c r="AZZ1054" s="989"/>
      <c r="BAA1054" s="989"/>
      <c r="BAB1054" s="989"/>
      <c r="BAC1054" s="989"/>
      <c r="BAD1054" s="989"/>
      <c r="BAE1054" s="989"/>
      <c r="BAF1054" s="989"/>
      <c r="BAG1054" s="989"/>
      <c r="BAH1054" s="989"/>
      <c r="BAI1054" s="989"/>
      <c r="BAJ1054" s="989"/>
      <c r="BAK1054" s="989"/>
      <c r="BAL1054" s="989"/>
      <c r="BAM1054" s="989"/>
      <c r="BAN1054" s="989"/>
      <c r="BAO1054" s="989"/>
      <c r="BAP1054" s="989"/>
      <c r="BAQ1054" s="989"/>
      <c r="BAR1054" s="989"/>
      <c r="BAS1054" s="989"/>
      <c r="BAT1054" s="989"/>
      <c r="BAU1054" s="989"/>
      <c r="BAV1054" s="989"/>
      <c r="BAW1054" s="989"/>
      <c r="BAX1054" s="989"/>
      <c r="BAY1054" s="989"/>
      <c r="BAZ1054" s="989"/>
      <c r="BBA1054" s="989"/>
      <c r="BBB1054" s="989"/>
      <c r="BBC1054" s="989"/>
      <c r="BBD1054" s="989"/>
      <c r="BBE1054" s="989"/>
      <c r="BBF1054" s="989"/>
      <c r="BBG1054" s="989"/>
      <c r="BBH1054" s="989"/>
      <c r="BBI1054" s="989"/>
      <c r="BBJ1054" s="989"/>
      <c r="BBK1054" s="989"/>
      <c r="BBL1054" s="989"/>
      <c r="BBM1054" s="989"/>
      <c r="BBN1054" s="989"/>
      <c r="BBO1054" s="989"/>
      <c r="BBP1054" s="989"/>
      <c r="BBQ1054" s="989"/>
      <c r="BBR1054" s="989"/>
      <c r="BBS1054" s="989"/>
      <c r="BBT1054" s="989"/>
      <c r="BBU1054" s="989"/>
      <c r="BBV1054" s="989"/>
      <c r="BBW1054" s="989"/>
      <c r="BBX1054" s="989"/>
      <c r="BBY1054" s="989"/>
      <c r="BBZ1054" s="989"/>
      <c r="BCA1054" s="989"/>
      <c r="BCB1054" s="989"/>
      <c r="BCC1054" s="989"/>
      <c r="BCD1054" s="989"/>
      <c r="BCE1054" s="989"/>
      <c r="BCF1054" s="989"/>
      <c r="BCG1054" s="989"/>
      <c r="BCH1054" s="989"/>
      <c r="BCI1054" s="989"/>
      <c r="BCJ1054" s="989"/>
      <c r="BCK1054" s="989"/>
      <c r="BCL1054" s="989"/>
      <c r="BCM1054" s="989"/>
      <c r="BCN1054" s="989"/>
      <c r="BCO1054" s="989"/>
      <c r="BCP1054" s="989"/>
      <c r="BCQ1054" s="989"/>
      <c r="BCR1054" s="989"/>
      <c r="BCS1054" s="989"/>
      <c r="BCT1054" s="989"/>
      <c r="BCU1054" s="989"/>
      <c r="BCV1054" s="989"/>
      <c r="BCW1054" s="989"/>
      <c r="BCX1054" s="989"/>
      <c r="BCY1054" s="989"/>
      <c r="BCZ1054" s="989"/>
      <c r="BDA1054" s="989"/>
      <c r="BDB1054" s="989"/>
      <c r="BDC1054" s="989"/>
      <c r="BDD1054" s="989"/>
      <c r="BDE1054" s="989"/>
      <c r="BDF1054" s="989"/>
      <c r="BDG1054" s="989"/>
      <c r="BDH1054" s="989"/>
      <c r="BDI1054" s="989"/>
      <c r="BDJ1054" s="989"/>
      <c r="BDK1054" s="989"/>
      <c r="BDL1054" s="989"/>
      <c r="BDM1054" s="989"/>
      <c r="BDN1054" s="989"/>
      <c r="BDO1054" s="989"/>
      <c r="BDP1054" s="989"/>
      <c r="BDQ1054" s="989"/>
      <c r="BDR1054" s="989"/>
      <c r="BDS1054" s="989"/>
      <c r="BDT1054" s="989"/>
      <c r="BDU1054" s="989"/>
      <c r="BDV1054" s="989"/>
      <c r="BDW1054" s="989"/>
      <c r="BDX1054" s="989"/>
      <c r="BDY1054" s="989"/>
      <c r="BDZ1054" s="989"/>
      <c r="BEA1054" s="989"/>
      <c r="BEB1054" s="989"/>
      <c r="BEC1054" s="989"/>
      <c r="BED1054" s="989"/>
      <c r="BEE1054" s="989"/>
      <c r="BEF1054" s="989"/>
      <c r="BEG1054" s="989"/>
      <c r="BEH1054" s="989"/>
      <c r="BEI1054" s="989"/>
      <c r="BEJ1054" s="989"/>
      <c r="BEK1054" s="989"/>
      <c r="BEL1054" s="989"/>
      <c r="BEM1054" s="989"/>
      <c r="BEN1054" s="989"/>
      <c r="BEO1054" s="989"/>
      <c r="BEP1054" s="989"/>
      <c r="BEQ1054" s="989"/>
      <c r="BER1054" s="989"/>
      <c r="BES1054" s="989"/>
      <c r="BET1054" s="989"/>
      <c r="BEU1054" s="989"/>
      <c r="BEV1054" s="989"/>
      <c r="BEW1054" s="989"/>
      <c r="BEX1054" s="989"/>
      <c r="BEY1054" s="989"/>
      <c r="BEZ1054" s="989"/>
      <c r="BFA1054" s="989"/>
      <c r="BFB1054" s="989"/>
      <c r="BFC1054" s="989"/>
      <c r="BFD1054" s="989"/>
      <c r="BFE1054" s="989"/>
      <c r="BFF1054" s="989"/>
      <c r="BFG1054" s="989"/>
      <c r="BFH1054" s="989"/>
      <c r="BFI1054" s="989"/>
      <c r="BFJ1054" s="989"/>
      <c r="BFK1054" s="989"/>
      <c r="BFL1054" s="989"/>
      <c r="BFM1054" s="989"/>
      <c r="BFN1054" s="989"/>
      <c r="BFO1054" s="989"/>
      <c r="BFP1054" s="989"/>
      <c r="BFQ1054" s="989"/>
      <c r="BFR1054" s="989"/>
      <c r="BFS1054" s="989"/>
      <c r="BFT1054" s="989"/>
      <c r="BFU1054" s="989"/>
      <c r="BFV1054" s="989"/>
      <c r="BFW1054" s="989"/>
      <c r="BFX1054" s="989"/>
      <c r="BFY1054" s="989"/>
      <c r="BFZ1054" s="989"/>
      <c r="BGA1054" s="989"/>
      <c r="BGB1054" s="989"/>
      <c r="BGC1054" s="989"/>
      <c r="BGD1054" s="989"/>
      <c r="BGE1054" s="989"/>
      <c r="BGF1054" s="989"/>
      <c r="BGG1054" s="989"/>
      <c r="BGH1054" s="989"/>
      <c r="BGI1054" s="989"/>
      <c r="BGJ1054" s="989"/>
      <c r="BGK1054" s="989"/>
      <c r="BGL1054" s="989"/>
      <c r="BGM1054" s="989"/>
      <c r="BGN1054" s="989"/>
      <c r="BGO1054" s="989"/>
      <c r="BGP1054" s="989"/>
      <c r="BGQ1054" s="989"/>
      <c r="BGR1054" s="989"/>
      <c r="BGS1054" s="989"/>
      <c r="BGT1054" s="989"/>
      <c r="BGU1054" s="989"/>
      <c r="BGV1054" s="989"/>
      <c r="BGW1054" s="989"/>
      <c r="BGX1054" s="989"/>
      <c r="BGY1054" s="989"/>
      <c r="BGZ1054" s="989"/>
      <c r="BHA1054" s="989"/>
      <c r="BHB1054" s="989"/>
      <c r="BHC1054" s="989"/>
      <c r="BHD1054" s="989"/>
      <c r="BHE1054" s="989"/>
      <c r="BHF1054" s="989"/>
      <c r="BHG1054" s="989"/>
      <c r="BHH1054" s="989"/>
      <c r="BHI1054" s="989"/>
      <c r="BHJ1054" s="989"/>
      <c r="BHK1054" s="989"/>
      <c r="BHL1054" s="989"/>
      <c r="BHM1054" s="989"/>
      <c r="BHN1054" s="989"/>
      <c r="BHO1054" s="989"/>
      <c r="BHP1054" s="989"/>
      <c r="BHQ1054" s="989"/>
      <c r="BHR1054" s="989"/>
      <c r="BHS1054" s="989"/>
      <c r="BHT1054" s="989"/>
      <c r="BHU1054" s="989"/>
      <c r="BHV1054" s="989"/>
      <c r="BHW1054" s="989"/>
      <c r="BHX1054" s="989"/>
      <c r="BHY1054" s="989"/>
      <c r="BHZ1054" s="989"/>
      <c r="BIA1054" s="989"/>
      <c r="BIB1054" s="989"/>
      <c r="BIC1054" s="989"/>
      <c r="BID1054" s="989"/>
      <c r="BIE1054" s="989"/>
      <c r="BIF1054" s="989"/>
      <c r="BIG1054" s="989"/>
      <c r="BIH1054" s="989"/>
      <c r="BII1054" s="989"/>
      <c r="BIJ1054" s="989"/>
      <c r="BIK1054" s="989"/>
      <c r="BIL1054" s="989"/>
      <c r="BIM1054" s="989"/>
      <c r="BIN1054" s="989"/>
      <c r="BIO1054" s="989"/>
      <c r="BIP1054" s="989"/>
      <c r="BIQ1054" s="989"/>
      <c r="BIR1054" s="989"/>
      <c r="BIS1054" s="989"/>
      <c r="BIT1054" s="989"/>
      <c r="BIU1054" s="989"/>
      <c r="BIV1054" s="989"/>
      <c r="BIW1054" s="989"/>
      <c r="BIX1054" s="989"/>
      <c r="BIY1054" s="989"/>
      <c r="BIZ1054" s="989"/>
      <c r="BJA1054" s="989"/>
      <c r="BJB1054" s="989"/>
      <c r="BJC1054" s="989"/>
      <c r="BJD1054" s="989"/>
      <c r="BJE1054" s="989"/>
      <c r="BJF1054" s="989"/>
      <c r="BJG1054" s="989"/>
      <c r="BJH1054" s="989"/>
      <c r="BJI1054" s="989"/>
      <c r="BJJ1054" s="989"/>
      <c r="BJK1054" s="989"/>
      <c r="BJL1054" s="989"/>
      <c r="BJM1054" s="989"/>
      <c r="BJN1054" s="989"/>
      <c r="BJO1054" s="989"/>
      <c r="BJP1054" s="989"/>
      <c r="BJQ1054" s="989"/>
      <c r="BJR1054" s="989"/>
      <c r="BJS1054" s="989"/>
      <c r="BJT1054" s="989"/>
      <c r="BJU1054" s="989"/>
      <c r="BJV1054" s="989"/>
      <c r="BJW1054" s="989"/>
      <c r="BJX1054" s="989"/>
      <c r="BJY1054" s="989"/>
      <c r="BJZ1054" s="989"/>
      <c r="BKA1054" s="989"/>
      <c r="BKB1054" s="989"/>
      <c r="BKC1054" s="989"/>
      <c r="BKD1054" s="989"/>
      <c r="BKE1054" s="989"/>
      <c r="BKF1054" s="989"/>
      <c r="BKG1054" s="989"/>
      <c r="BKH1054" s="989"/>
      <c r="BKI1054" s="989"/>
      <c r="BKJ1054" s="989"/>
      <c r="BKK1054" s="989"/>
      <c r="BKL1054" s="989"/>
      <c r="BKM1054" s="989"/>
      <c r="BKN1054" s="989"/>
      <c r="BKO1054" s="989"/>
      <c r="BKP1054" s="989"/>
      <c r="BKQ1054" s="989"/>
      <c r="BKR1054" s="989"/>
      <c r="BKS1054" s="989"/>
      <c r="BKT1054" s="989"/>
      <c r="BKU1054" s="989"/>
      <c r="BKV1054" s="989"/>
      <c r="BKW1054" s="989"/>
      <c r="BKX1054" s="989"/>
      <c r="BKY1054" s="989"/>
      <c r="BKZ1054" s="989"/>
      <c r="BLA1054" s="989"/>
      <c r="BLB1054" s="989"/>
      <c r="BLC1054" s="989"/>
      <c r="BLD1054" s="989"/>
      <c r="BLE1054" s="989"/>
      <c r="BLF1054" s="989"/>
      <c r="BLG1054" s="989"/>
      <c r="BLH1054" s="989"/>
      <c r="BLI1054" s="989"/>
      <c r="BLJ1054" s="989"/>
      <c r="BLK1054" s="989"/>
      <c r="BLL1054" s="989"/>
      <c r="BLM1054" s="989"/>
      <c r="BLN1054" s="989"/>
      <c r="BLO1054" s="989"/>
      <c r="BLP1054" s="989"/>
      <c r="BLQ1054" s="989"/>
      <c r="BLR1054" s="989"/>
      <c r="BLS1054" s="989"/>
      <c r="BLT1054" s="989"/>
      <c r="BLU1054" s="989"/>
      <c r="BLV1054" s="989"/>
      <c r="BLW1054" s="989"/>
      <c r="BLX1054" s="989"/>
      <c r="BLY1054" s="989"/>
      <c r="BLZ1054" s="989"/>
      <c r="BMA1054" s="989"/>
      <c r="BMB1054" s="989"/>
      <c r="BMC1054" s="989"/>
      <c r="BMD1054" s="989"/>
      <c r="BME1054" s="989"/>
      <c r="BMF1054" s="989"/>
      <c r="BMG1054" s="989"/>
      <c r="BMH1054" s="989"/>
      <c r="BMI1054" s="989"/>
      <c r="BMJ1054" s="989"/>
      <c r="BMK1054" s="989"/>
      <c r="BML1054" s="989"/>
      <c r="BMM1054" s="989"/>
      <c r="BMN1054" s="989"/>
      <c r="BMO1054" s="989"/>
      <c r="BMP1054" s="989"/>
      <c r="BMQ1054" s="989"/>
      <c r="BMR1054" s="989"/>
      <c r="BMS1054" s="989"/>
      <c r="BMT1054" s="989"/>
      <c r="BMU1054" s="989"/>
      <c r="BMV1054" s="989"/>
      <c r="BMW1054" s="989"/>
      <c r="BMX1054" s="989"/>
      <c r="BMY1054" s="989"/>
      <c r="BMZ1054" s="989"/>
      <c r="BNA1054" s="989"/>
      <c r="BNB1054" s="989"/>
      <c r="BNC1054" s="989"/>
      <c r="BND1054" s="989"/>
      <c r="BNE1054" s="989"/>
      <c r="BNF1054" s="989"/>
      <c r="BNG1054" s="989"/>
      <c r="BNH1054" s="989"/>
      <c r="BNI1054" s="989"/>
      <c r="BNJ1054" s="989"/>
      <c r="BNK1054" s="989"/>
      <c r="BNL1054" s="989"/>
      <c r="BNM1054" s="989"/>
      <c r="BNN1054" s="989"/>
      <c r="BNO1054" s="989"/>
      <c r="BNP1054" s="989"/>
      <c r="BNQ1054" s="989"/>
      <c r="BNR1054" s="989"/>
      <c r="BNS1054" s="989"/>
      <c r="BNT1054" s="989"/>
      <c r="BNU1054" s="989"/>
      <c r="BNV1054" s="989"/>
      <c r="BNW1054" s="989"/>
      <c r="BNX1054" s="989"/>
      <c r="BNY1054" s="989"/>
      <c r="BNZ1054" s="989"/>
      <c r="BOA1054" s="989"/>
      <c r="BOB1054" s="989"/>
      <c r="BOC1054" s="989"/>
      <c r="BOD1054" s="989"/>
      <c r="BOE1054" s="989"/>
      <c r="BOF1054" s="989"/>
      <c r="BOG1054" s="989"/>
      <c r="BOH1054" s="989"/>
      <c r="BOI1054" s="989"/>
      <c r="BOJ1054" s="989"/>
      <c r="BOK1054" s="989"/>
      <c r="BOL1054" s="989"/>
      <c r="BOM1054" s="989"/>
      <c r="BON1054" s="989"/>
      <c r="BOO1054" s="989"/>
      <c r="BOP1054" s="989"/>
      <c r="BOQ1054" s="989"/>
      <c r="BOR1054" s="989"/>
      <c r="BOS1054" s="989"/>
      <c r="BOT1054" s="989"/>
      <c r="BOU1054" s="989"/>
      <c r="BOV1054" s="989"/>
      <c r="BOW1054" s="989"/>
      <c r="BOX1054" s="989"/>
      <c r="BOY1054" s="989"/>
      <c r="BOZ1054" s="989"/>
      <c r="BPA1054" s="989"/>
      <c r="BPB1054" s="989"/>
      <c r="BPC1054" s="989"/>
      <c r="BPD1054" s="989"/>
      <c r="BPE1054" s="989"/>
      <c r="BPF1054" s="989"/>
      <c r="BPG1054" s="989"/>
      <c r="BPH1054" s="989"/>
      <c r="BPI1054" s="989"/>
      <c r="BPJ1054" s="989"/>
      <c r="BPK1054" s="989"/>
      <c r="BPL1054" s="989"/>
      <c r="BPM1054" s="989"/>
      <c r="BPN1054" s="989"/>
      <c r="BPO1054" s="989"/>
      <c r="BPP1054" s="989"/>
      <c r="BPQ1054" s="989"/>
      <c r="BPR1054" s="989"/>
      <c r="BPS1054" s="989"/>
      <c r="BPT1054" s="989"/>
      <c r="BPU1054" s="989"/>
      <c r="BPV1054" s="989"/>
      <c r="BPW1054" s="989"/>
      <c r="BPX1054" s="989"/>
      <c r="BPY1054" s="989"/>
      <c r="BPZ1054" s="989"/>
      <c r="BQA1054" s="989"/>
      <c r="BQB1054" s="989"/>
      <c r="BQC1054" s="989"/>
      <c r="BQD1054" s="989"/>
      <c r="BQE1054" s="989"/>
      <c r="BQF1054" s="989"/>
      <c r="BQG1054" s="989"/>
      <c r="BQH1054" s="989"/>
      <c r="BQI1054" s="989"/>
      <c r="BQJ1054" s="989"/>
      <c r="BQK1054" s="989"/>
      <c r="BQL1054" s="989"/>
      <c r="BQM1054" s="989"/>
      <c r="BQN1054" s="989"/>
      <c r="BQO1054" s="989"/>
      <c r="BQP1054" s="989"/>
      <c r="BQQ1054" s="989"/>
      <c r="BQR1054" s="989"/>
      <c r="BQS1054" s="989"/>
      <c r="BQT1054" s="989"/>
      <c r="BQU1054" s="989"/>
      <c r="BQV1054" s="989"/>
      <c r="BQW1054" s="989"/>
      <c r="BQX1054" s="989"/>
      <c r="BQY1054" s="989"/>
      <c r="BQZ1054" s="989"/>
      <c r="BRA1054" s="989"/>
      <c r="BRB1054" s="989"/>
      <c r="BRC1054" s="989"/>
      <c r="BRD1054" s="989"/>
      <c r="BRE1054" s="989"/>
      <c r="BRF1054" s="989"/>
      <c r="BRG1054" s="989"/>
      <c r="BRH1054" s="989"/>
      <c r="BRI1054" s="989"/>
      <c r="BRJ1054" s="989"/>
      <c r="BRK1054" s="989"/>
      <c r="BRL1054" s="989"/>
      <c r="BRM1054" s="989"/>
      <c r="BRN1054" s="989"/>
      <c r="BRO1054" s="989"/>
      <c r="BRP1054" s="989"/>
      <c r="BRQ1054" s="989"/>
      <c r="BRR1054" s="989"/>
      <c r="BRS1054" s="989"/>
      <c r="BRT1054" s="989"/>
      <c r="BRU1054" s="989"/>
      <c r="BRV1054" s="989"/>
      <c r="BRW1054" s="989"/>
      <c r="BRX1054" s="989"/>
      <c r="BRY1054" s="989"/>
      <c r="BRZ1054" s="989"/>
      <c r="BSA1054" s="989"/>
      <c r="BSB1054" s="989"/>
      <c r="BSC1054" s="989"/>
      <c r="BSD1054" s="989"/>
      <c r="BSE1054" s="989"/>
      <c r="BSF1054" s="989"/>
      <c r="BSG1054" s="989"/>
      <c r="BSH1054" s="989"/>
      <c r="BSI1054" s="989"/>
      <c r="BSJ1054" s="989"/>
      <c r="BSK1054" s="989"/>
      <c r="BSL1054" s="989"/>
      <c r="BSM1054" s="989"/>
      <c r="BSN1054" s="989"/>
      <c r="BSO1054" s="989"/>
      <c r="BSP1054" s="989"/>
      <c r="BSQ1054" s="989"/>
      <c r="BSR1054" s="989"/>
      <c r="BSS1054" s="989"/>
      <c r="BST1054" s="989"/>
      <c r="BSU1054" s="989"/>
      <c r="BSV1054" s="989"/>
      <c r="BSW1054" s="989"/>
      <c r="BSX1054" s="989"/>
      <c r="BSY1054" s="989"/>
      <c r="BSZ1054" s="989"/>
      <c r="BTA1054" s="989"/>
      <c r="BTB1054" s="989"/>
      <c r="BTC1054" s="989"/>
      <c r="BTD1054" s="989"/>
      <c r="BTE1054" s="989"/>
      <c r="BTF1054" s="989"/>
      <c r="BTG1054" s="989"/>
      <c r="BTH1054" s="989"/>
      <c r="BTI1054" s="989"/>
      <c r="BTJ1054" s="989"/>
      <c r="BTK1054" s="989"/>
      <c r="BTL1054" s="989"/>
      <c r="BTM1054" s="989"/>
      <c r="BTN1054" s="989"/>
      <c r="BTO1054" s="989"/>
      <c r="BTP1054" s="989"/>
      <c r="BTQ1054" s="989"/>
      <c r="BTR1054" s="989"/>
      <c r="BTS1054" s="989"/>
      <c r="BTT1054" s="989"/>
      <c r="BTU1054" s="989"/>
      <c r="BTV1054" s="989"/>
      <c r="BTW1054" s="989"/>
      <c r="BTX1054" s="989"/>
      <c r="BTY1054" s="989"/>
      <c r="BTZ1054" s="989"/>
      <c r="BUA1054" s="989"/>
      <c r="BUB1054" s="989"/>
      <c r="BUC1054" s="989"/>
      <c r="BUD1054" s="989"/>
      <c r="BUE1054" s="989"/>
      <c r="BUF1054" s="989"/>
      <c r="BUG1054" s="989"/>
      <c r="BUH1054" s="989"/>
      <c r="BUI1054" s="989"/>
      <c r="BUJ1054" s="989"/>
      <c r="BUK1054" s="989"/>
      <c r="BUL1054" s="989"/>
      <c r="BUM1054" s="989"/>
      <c r="BUN1054" s="989"/>
      <c r="BUO1054" s="989"/>
      <c r="BUP1054" s="989"/>
      <c r="BUQ1054" s="989"/>
      <c r="BUR1054" s="989"/>
      <c r="BUS1054" s="989"/>
      <c r="BUT1054" s="989"/>
      <c r="BUU1054" s="989"/>
      <c r="BUV1054" s="989"/>
      <c r="BUW1054" s="989"/>
      <c r="BUX1054" s="989"/>
      <c r="BUY1054" s="989"/>
      <c r="BUZ1054" s="989"/>
      <c r="BVA1054" s="989"/>
      <c r="BVB1054" s="989"/>
      <c r="BVC1054" s="989"/>
      <c r="BVD1054" s="989"/>
      <c r="BVE1054" s="989"/>
      <c r="BVF1054" s="989"/>
      <c r="BVG1054" s="989"/>
      <c r="BVH1054" s="989"/>
      <c r="BVI1054" s="989"/>
      <c r="BVJ1054" s="989"/>
      <c r="BVK1054" s="989"/>
      <c r="BVL1054" s="989"/>
      <c r="BVM1054" s="989"/>
      <c r="BVN1054" s="989"/>
      <c r="BVO1054" s="989"/>
      <c r="BVP1054" s="989"/>
      <c r="BVQ1054" s="989"/>
      <c r="BVR1054" s="989"/>
      <c r="BVS1054" s="989"/>
      <c r="BVT1054" s="989"/>
      <c r="BVU1054" s="989"/>
      <c r="BVV1054" s="989"/>
      <c r="BVW1054" s="989"/>
      <c r="BVX1054" s="989"/>
      <c r="BVY1054" s="989"/>
      <c r="BVZ1054" s="989"/>
      <c r="BWA1054" s="989"/>
      <c r="BWB1054" s="989"/>
      <c r="BWC1054" s="989"/>
      <c r="BWD1054" s="989"/>
      <c r="BWE1054" s="989"/>
      <c r="BWF1054" s="989"/>
      <c r="BWG1054" s="989"/>
      <c r="BWH1054" s="989"/>
      <c r="BWI1054" s="989"/>
      <c r="BWJ1054" s="989"/>
      <c r="BWK1054" s="989"/>
      <c r="BWL1054" s="989"/>
      <c r="BWM1054" s="989"/>
      <c r="BWN1054" s="989"/>
      <c r="BWO1054" s="989"/>
      <c r="BWP1054" s="989"/>
      <c r="BWQ1054" s="989"/>
      <c r="BWR1054" s="989"/>
      <c r="BWS1054" s="989"/>
      <c r="BWT1054" s="989"/>
      <c r="BWU1054" s="989"/>
      <c r="BWV1054" s="989"/>
      <c r="BWW1054" s="989"/>
      <c r="BWX1054" s="989"/>
      <c r="BWY1054" s="989"/>
      <c r="BWZ1054" s="989"/>
      <c r="BXA1054" s="989"/>
      <c r="BXB1054" s="989"/>
      <c r="BXC1054" s="989"/>
      <c r="BXD1054" s="989"/>
      <c r="BXE1054" s="989"/>
      <c r="BXF1054" s="989"/>
      <c r="BXG1054" s="989"/>
      <c r="BXH1054" s="989"/>
      <c r="BXI1054" s="989"/>
      <c r="BXJ1054" s="989"/>
      <c r="BXK1054" s="989"/>
      <c r="BXL1054" s="989"/>
      <c r="BXM1054" s="989"/>
      <c r="BXN1054" s="989"/>
      <c r="BXO1054" s="989"/>
      <c r="BXP1054" s="989"/>
      <c r="BXQ1054" s="989"/>
      <c r="BXR1054" s="989"/>
      <c r="BXS1054" s="989"/>
      <c r="BXT1054" s="989"/>
      <c r="BXU1054" s="989"/>
      <c r="BXV1054" s="989"/>
      <c r="BXW1054" s="989"/>
      <c r="BXX1054" s="989"/>
      <c r="BXY1054" s="989"/>
      <c r="BXZ1054" s="989"/>
      <c r="BYA1054" s="989"/>
      <c r="BYB1054" s="989"/>
      <c r="BYC1054" s="989"/>
      <c r="BYD1054" s="989"/>
      <c r="BYE1054" s="989"/>
      <c r="BYF1054" s="989"/>
      <c r="BYG1054" s="989"/>
      <c r="BYH1054" s="989"/>
      <c r="BYI1054" s="989"/>
      <c r="BYJ1054" s="989"/>
      <c r="BYK1054" s="989"/>
      <c r="BYL1054" s="989"/>
      <c r="BYM1054" s="989"/>
      <c r="BYN1054" s="989"/>
      <c r="BYO1054" s="989"/>
      <c r="BYP1054" s="989"/>
      <c r="BYQ1054" s="989"/>
      <c r="BYR1054" s="989"/>
      <c r="BYS1054" s="989"/>
      <c r="BYT1054" s="989"/>
      <c r="BYU1054" s="989"/>
      <c r="BYV1054" s="989"/>
      <c r="BYW1054" s="989"/>
      <c r="BYX1054" s="989"/>
      <c r="BYY1054" s="989"/>
      <c r="BYZ1054" s="989"/>
      <c r="BZA1054" s="989"/>
      <c r="BZB1054" s="989"/>
      <c r="BZC1054" s="989"/>
      <c r="BZD1054" s="989"/>
      <c r="BZE1054" s="989"/>
      <c r="BZF1054" s="989"/>
      <c r="BZG1054" s="989"/>
      <c r="BZH1054" s="989"/>
      <c r="BZI1054" s="989"/>
      <c r="BZJ1054" s="989"/>
      <c r="BZK1054" s="989"/>
      <c r="BZL1054" s="989"/>
      <c r="BZM1054" s="989"/>
      <c r="BZN1054" s="989"/>
      <c r="BZO1054" s="989"/>
      <c r="BZP1054" s="989"/>
      <c r="BZQ1054" s="989"/>
      <c r="BZR1054" s="989"/>
      <c r="BZS1054" s="989"/>
      <c r="BZT1054" s="989"/>
      <c r="BZU1054" s="989"/>
      <c r="BZV1054" s="989"/>
      <c r="BZW1054" s="989"/>
      <c r="BZX1054" s="989"/>
      <c r="BZY1054" s="989"/>
      <c r="BZZ1054" s="989"/>
      <c r="CAA1054" s="989"/>
      <c r="CAB1054" s="989"/>
      <c r="CAC1054" s="989"/>
      <c r="CAD1054" s="989"/>
      <c r="CAE1054" s="989"/>
      <c r="CAF1054" s="989"/>
      <c r="CAG1054" s="989"/>
      <c r="CAH1054" s="989"/>
      <c r="CAI1054" s="989"/>
      <c r="CAJ1054" s="989"/>
      <c r="CAK1054" s="989"/>
      <c r="CAL1054" s="989"/>
      <c r="CAM1054" s="989"/>
      <c r="CAN1054" s="989"/>
      <c r="CAO1054" s="989"/>
      <c r="CAP1054" s="989"/>
      <c r="CAQ1054" s="989"/>
      <c r="CAR1054" s="989"/>
      <c r="CAS1054" s="989"/>
      <c r="CAT1054" s="989"/>
      <c r="CAU1054" s="989"/>
      <c r="CAV1054" s="989"/>
      <c r="CAW1054" s="989"/>
      <c r="CAX1054" s="989"/>
      <c r="CAY1054" s="989"/>
      <c r="CAZ1054" s="989"/>
      <c r="CBA1054" s="989"/>
      <c r="CBB1054" s="989"/>
      <c r="CBC1054" s="989"/>
      <c r="CBD1054" s="989"/>
      <c r="CBE1054" s="989"/>
      <c r="CBF1054" s="989"/>
      <c r="CBG1054" s="989"/>
      <c r="CBH1054" s="989"/>
      <c r="CBI1054" s="989"/>
      <c r="CBJ1054" s="989"/>
      <c r="CBK1054" s="989"/>
      <c r="CBL1054" s="989"/>
      <c r="CBM1054" s="989"/>
      <c r="CBN1054" s="989"/>
      <c r="CBO1054" s="989"/>
      <c r="CBP1054" s="989"/>
      <c r="CBQ1054" s="989"/>
      <c r="CBR1054" s="989"/>
      <c r="CBS1054" s="989"/>
      <c r="CBT1054" s="989"/>
      <c r="CBU1054" s="989"/>
      <c r="CBV1054" s="989"/>
      <c r="CBW1054" s="989"/>
      <c r="CBX1054" s="989"/>
      <c r="CBY1054" s="989"/>
      <c r="CBZ1054" s="989"/>
      <c r="CCA1054" s="989"/>
      <c r="CCB1054" s="989"/>
      <c r="CCC1054" s="989"/>
      <c r="CCD1054" s="989"/>
      <c r="CCE1054" s="989"/>
      <c r="CCF1054" s="989"/>
      <c r="CCG1054" s="989"/>
      <c r="CCH1054" s="989"/>
      <c r="CCI1054" s="989"/>
      <c r="CCJ1054" s="989"/>
      <c r="CCK1054" s="989"/>
      <c r="CCL1054" s="989"/>
      <c r="CCM1054" s="989"/>
      <c r="CCN1054" s="989"/>
      <c r="CCO1054" s="989"/>
      <c r="CCP1054" s="989"/>
      <c r="CCQ1054" s="989"/>
      <c r="CCR1054" s="989"/>
      <c r="CCS1054" s="989"/>
      <c r="CCT1054" s="989"/>
      <c r="CCU1054" s="989"/>
      <c r="CCV1054" s="989"/>
      <c r="CCW1054" s="989"/>
      <c r="CCX1054" s="989"/>
      <c r="CCY1054" s="989"/>
      <c r="CCZ1054" s="989"/>
      <c r="CDA1054" s="989"/>
      <c r="CDB1054" s="989"/>
      <c r="CDC1054" s="989"/>
      <c r="CDD1054" s="989"/>
      <c r="CDE1054" s="989"/>
      <c r="CDF1054" s="989"/>
      <c r="CDG1054" s="989"/>
      <c r="CDH1054" s="989"/>
      <c r="CDI1054" s="989"/>
      <c r="CDJ1054" s="989"/>
      <c r="CDK1054" s="989"/>
      <c r="CDL1054" s="989"/>
      <c r="CDM1054" s="989"/>
      <c r="CDN1054" s="989"/>
      <c r="CDO1054" s="989"/>
      <c r="CDP1054" s="989"/>
      <c r="CDQ1054" s="989"/>
      <c r="CDR1054" s="989"/>
      <c r="CDS1054" s="989"/>
      <c r="CDT1054" s="989"/>
      <c r="CDU1054" s="989"/>
      <c r="CDV1054" s="989"/>
      <c r="CDW1054" s="989"/>
      <c r="CDX1054" s="989"/>
      <c r="CDY1054" s="989"/>
      <c r="CDZ1054" s="989"/>
      <c r="CEA1054" s="989"/>
      <c r="CEB1054" s="989"/>
      <c r="CEC1054" s="989"/>
      <c r="CED1054" s="989"/>
      <c r="CEE1054" s="989"/>
      <c r="CEF1054" s="989"/>
      <c r="CEG1054" s="989"/>
      <c r="CEH1054" s="989"/>
      <c r="CEI1054" s="989"/>
      <c r="CEJ1054" s="989"/>
      <c r="CEK1054" s="989"/>
      <c r="CEL1054" s="989"/>
      <c r="CEM1054" s="989"/>
      <c r="CEN1054" s="989"/>
      <c r="CEO1054" s="989"/>
      <c r="CEP1054" s="989"/>
      <c r="CEQ1054" s="989"/>
      <c r="CER1054" s="989"/>
      <c r="CES1054" s="989"/>
      <c r="CET1054" s="989"/>
      <c r="CEU1054" s="989"/>
      <c r="CEV1054" s="989"/>
      <c r="CEW1054" s="989"/>
      <c r="CEX1054" s="989"/>
      <c r="CEY1054" s="989"/>
      <c r="CEZ1054" s="989"/>
      <c r="CFA1054" s="989"/>
      <c r="CFB1054" s="989"/>
      <c r="CFC1054" s="989"/>
      <c r="CFD1054" s="989"/>
      <c r="CFE1054" s="989"/>
      <c r="CFF1054" s="989"/>
      <c r="CFG1054" s="989"/>
      <c r="CFH1054" s="989"/>
      <c r="CFI1054" s="989"/>
      <c r="CFJ1054" s="989"/>
      <c r="CFK1054" s="989"/>
      <c r="CFL1054" s="989"/>
      <c r="CFM1054" s="989"/>
      <c r="CFN1054" s="989"/>
      <c r="CFO1054" s="989"/>
      <c r="CFP1054" s="989"/>
      <c r="CFQ1054" s="989"/>
      <c r="CFR1054" s="989"/>
      <c r="CFS1054" s="989"/>
      <c r="CFT1054" s="989"/>
      <c r="CFU1054" s="989"/>
      <c r="CFV1054" s="989"/>
      <c r="CFW1054" s="989"/>
      <c r="CFX1054" s="989"/>
      <c r="CFY1054" s="989"/>
      <c r="CFZ1054" s="989"/>
      <c r="CGA1054" s="989"/>
      <c r="CGB1054" s="989"/>
      <c r="CGC1054" s="989"/>
      <c r="CGD1054" s="989"/>
      <c r="CGE1054" s="989"/>
      <c r="CGF1054" s="989"/>
      <c r="CGG1054" s="989"/>
      <c r="CGH1054" s="989"/>
      <c r="CGI1054" s="989"/>
      <c r="CGJ1054" s="989"/>
      <c r="CGK1054" s="989"/>
      <c r="CGL1054" s="989"/>
      <c r="CGM1054" s="989"/>
      <c r="CGN1054" s="989"/>
      <c r="CGO1054" s="989"/>
      <c r="CGP1054" s="989"/>
      <c r="CGQ1054" s="989"/>
      <c r="CGR1054" s="989"/>
      <c r="CGS1054" s="989"/>
      <c r="CGT1054" s="989"/>
      <c r="CGU1054" s="989"/>
      <c r="CGV1054" s="989"/>
      <c r="CGW1054" s="989"/>
      <c r="CGX1054" s="989"/>
      <c r="CGY1054" s="989"/>
      <c r="CGZ1054" s="989"/>
      <c r="CHA1054" s="989"/>
      <c r="CHB1054" s="989"/>
      <c r="CHC1054" s="989"/>
      <c r="CHD1054" s="989"/>
      <c r="CHE1054" s="989"/>
      <c r="CHF1054" s="989"/>
      <c r="CHG1054" s="989"/>
      <c r="CHH1054" s="989"/>
      <c r="CHI1054" s="989"/>
      <c r="CHJ1054" s="989"/>
      <c r="CHK1054" s="989"/>
      <c r="CHL1054" s="989"/>
      <c r="CHM1054" s="989"/>
      <c r="CHN1054" s="989"/>
      <c r="CHO1054" s="989"/>
      <c r="CHP1054" s="989"/>
      <c r="CHQ1054" s="989"/>
      <c r="CHR1054" s="989"/>
      <c r="CHS1054" s="989"/>
      <c r="CHT1054" s="989"/>
      <c r="CHU1054" s="989"/>
      <c r="CHV1054" s="989"/>
      <c r="CHW1054" s="989"/>
      <c r="CHX1054" s="989"/>
      <c r="CHY1054" s="989"/>
      <c r="CHZ1054" s="989"/>
      <c r="CIA1054" s="989"/>
      <c r="CIB1054" s="989"/>
      <c r="CIC1054" s="989"/>
      <c r="CID1054" s="989"/>
      <c r="CIE1054" s="989"/>
      <c r="CIF1054" s="989"/>
      <c r="CIG1054" s="989"/>
      <c r="CIH1054" s="989"/>
      <c r="CII1054" s="989"/>
      <c r="CIJ1054" s="989"/>
      <c r="CIK1054" s="989"/>
      <c r="CIL1054" s="989"/>
      <c r="CIM1054" s="989"/>
      <c r="CIN1054" s="989"/>
      <c r="CIO1054" s="989"/>
      <c r="CIP1054" s="989"/>
      <c r="CIQ1054" s="989"/>
      <c r="CIR1054" s="989"/>
      <c r="CIS1054" s="989"/>
      <c r="CIT1054" s="989"/>
      <c r="CIU1054" s="989"/>
      <c r="CIV1054" s="989"/>
      <c r="CIW1054" s="989"/>
      <c r="CIX1054" s="989"/>
      <c r="CIY1054" s="989"/>
      <c r="CIZ1054" s="989"/>
      <c r="CJA1054" s="989"/>
      <c r="CJB1054" s="989"/>
      <c r="CJC1054" s="989"/>
      <c r="CJD1054" s="989"/>
      <c r="CJE1054" s="989"/>
      <c r="CJF1054" s="989"/>
      <c r="CJG1054" s="989"/>
      <c r="CJH1054" s="989"/>
      <c r="CJI1054" s="989"/>
      <c r="CJJ1054" s="989"/>
      <c r="CJK1054" s="989"/>
      <c r="CJL1054" s="989"/>
      <c r="CJM1054" s="989"/>
      <c r="CJN1054" s="989"/>
      <c r="CJO1054" s="989"/>
      <c r="CJP1054" s="989"/>
      <c r="CJQ1054" s="989"/>
      <c r="CJR1054" s="989"/>
      <c r="CJS1054" s="989"/>
      <c r="CJT1054" s="989"/>
      <c r="CJU1054" s="989"/>
      <c r="CJV1054" s="989"/>
      <c r="CJW1054" s="989"/>
      <c r="CJX1054" s="989"/>
      <c r="CJY1054" s="989"/>
      <c r="CJZ1054" s="989"/>
      <c r="CKA1054" s="989"/>
      <c r="CKB1054" s="989"/>
      <c r="CKC1054" s="989"/>
      <c r="CKD1054" s="989"/>
      <c r="CKE1054" s="989"/>
      <c r="CKF1054" s="989"/>
      <c r="CKG1054" s="989"/>
      <c r="CKH1054" s="989"/>
      <c r="CKI1054" s="989"/>
      <c r="CKJ1054" s="989"/>
      <c r="CKK1054" s="989"/>
      <c r="CKL1054" s="989"/>
      <c r="CKM1054" s="989"/>
      <c r="CKN1054" s="989"/>
      <c r="CKO1054" s="989"/>
      <c r="CKP1054" s="989"/>
      <c r="CKQ1054" s="989"/>
      <c r="CKR1054" s="989"/>
      <c r="CKS1054" s="989"/>
      <c r="CKT1054" s="989"/>
      <c r="CKU1054" s="989"/>
      <c r="CKV1054" s="989"/>
      <c r="CKW1054" s="989"/>
      <c r="CKX1054" s="989"/>
      <c r="CKY1054" s="989"/>
      <c r="CKZ1054" s="989"/>
      <c r="CLA1054" s="989"/>
      <c r="CLB1054" s="989"/>
      <c r="CLC1054" s="989"/>
      <c r="CLD1054" s="989"/>
      <c r="CLE1054" s="989"/>
      <c r="CLF1054" s="989"/>
      <c r="CLG1054" s="989"/>
      <c r="CLH1054" s="989"/>
      <c r="CLI1054" s="989"/>
      <c r="CLJ1054" s="989"/>
      <c r="CLK1054" s="989"/>
      <c r="CLL1054" s="989"/>
      <c r="CLM1054" s="989"/>
      <c r="CLN1054" s="989"/>
      <c r="CLO1054" s="989"/>
      <c r="CLP1054" s="989"/>
      <c r="CLQ1054" s="989"/>
      <c r="CLR1054" s="989"/>
      <c r="CLS1054" s="989"/>
      <c r="CLT1054" s="989"/>
      <c r="CLU1054" s="989"/>
      <c r="CLV1054" s="989"/>
      <c r="CLW1054" s="989"/>
      <c r="CLX1054" s="989"/>
      <c r="CLY1054" s="989"/>
      <c r="CLZ1054" s="989"/>
      <c r="CMA1054" s="989"/>
      <c r="CMB1054" s="989"/>
      <c r="CMC1054" s="989"/>
      <c r="CMD1054" s="989"/>
      <c r="CME1054" s="989"/>
      <c r="CMF1054" s="989"/>
      <c r="CMG1054" s="989"/>
      <c r="CMH1054" s="989"/>
      <c r="CMI1054" s="989"/>
      <c r="CMJ1054" s="989"/>
      <c r="CMK1054" s="989"/>
      <c r="CML1054" s="989"/>
      <c r="CMM1054" s="989"/>
      <c r="CMN1054" s="989"/>
      <c r="CMO1054" s="989"/>
      <c r="CMP1054" s="989"/>
      <c r="CMQ1054" s="989"/>
      <c r="CMR1054" s="989"/>
      <c r="CMS1054" s="989"/>
      <c r="CMT1054" s="989"/>
      <c r="CMU1054" s="989"/>
      <c r="CMV1054" s="989"/>
      <c r="CMW1054" s="989"/>
      <c r="CMX1054" s="989"/>
      <c r="CMY1054" s="989"/>
      <c r="CMZ1054" s="989"/>
      <c r="CNA1054" s="989"/>
      <c r="CNB1054" s="989"/>
      <c r="CNC1054" s="989"/>
      <c r="CND1054" s="989"/>
      <c r="CNE1054" s="989"/>
      <c r="CNF1054" s="989"/>
      <c r="CNG1054" s="989"/>
      <c r="CNH1054" s="989"/>
      <c r="CNI1054" s="989"/>
      <c r="CNJ1054" s="989"/>
      <c r="CNK1054" s="989"/>
      <c r="CNL1054" s="989"/>
      <c r="CNM1054" s="989"/>
      <c r="CNN1054" s="989"/>
      <c r="CNO1054" s="989"/>
      <c r="CNP1054" s="989"/>
      <c r="CNQ1054" s="989"/>
      <c r="CNR1054" s="989"/>
      <c r="CNS1054" s="989"/>
      <c r="CNT1054" s="989"/>
      <c r="CNU1054" s="989"/>
      <c r="CNV1054" s="989"/>
      <c r="CNW1054" s="989"/>
      <c r="CNX1054" s="989"/>
      <c r="CNY1054" s="989"/>
      <c r="CNZ1054" s="989"/>
      <c r="COA1054" s="989"/>
      <c r="COB1054" s="989"/>
      <c r="COC1054" s="989"/>
      <c r="COD1054" s="989"/>
      <c r="COE1054" s="989"/>
      <c r="COF1054" s="989"/>
      <c r="COG1054" s="989"/>
      <c r="COH1054" s="989"/>
      <c r="COI1054" s="989"/>
      <c r="COJ1054" s="989"/>
      <c r="COK1054" s="989"/>
      <c r="COL1054" s="989"/>
      <c r="COM1054" s="989"/>
      <c r="CON1054" s="989"/>
      <c r="COO1054" s="989"/>
      <c r="COP1054" s="989"/>
      <c r="COQ1054" s="989"/>
      <c r="COR1054" s="989"/>
      <c r="COS1054" s="989"/>
      <c r="COT1054" s="989"/>
      <c r="COU1054" s="989"/>
      <c r="COV1054" s="989"/>
      <c r="COW1054" s="989"/>
      <c r="COX1054" s="989"/>
      <c r="COY1054" s="989"/>
      <c r="COZ1054" s="989"/>
      <c r="CPA1054" s="989"/>
      <c r="CPB1054" s="989"/>
      <c r="CPC1054" s="989"/>
      <c r="CPD1054" s="989"/>
      <c r="CPE1054" s="989"/>
      <c r="CPF1054" s="989"/>
      <c r="CPG1054" s="989"/>
      <c r="CPH1054" s="989"/>
      <c r="CPI1054" s="989"/>
      <c r="CPJ1054" s="989"/>
      <c r="CPK1054" s="989"/>
      <c r="CPL1054" s="989"/>
      <c r="CPM1054" s="989"/>
      <c r="CPN1054" s="989"/>
      <c r="CPO1054" s="989"/>
      <c r="CPP1054" s="989"/>
      <c r="CPQ1054" s="989"/>
      <c r="CPR1054" s="989"/>
      <c r="CPS1054" s="989"/>
      <c r="CPT1054" s="989"/>
      <c r="CPU1054" s="989"/>
      <c r="CPV1054" s="989"/>
      <c r="CPW1054" s="989"/>
      <c r="CPX1054" s="989"/>
      <c r="CPY1054" s="989"/>
      <c r="CPZ1054" s="989"/>
      <c r="CQA1054" s="989"/>
      <c r="CQB1054" s="989"/>
      <c r="CQC1054" s="989"/>
      <c r="CQD1054" s="989"/>
      <c r="CQE1054" s="989"/>
      <c r="CQF1054" s="989"/>
      <c r="CQG1054" s="989"/>
      <c r="CQH1054" s="989"/>
      <c r="CQI1054" s="989"/>
      <c r="CQJ1054" s="989"/>
      <c r="CQK1054" s="989"/>
      <c r="CQL1054" s="989"/>
      <c r="CQM1054" s="989"/>
      <c r="CQN1054" s="989"/>
      <c r="CQO1054" s="989"/>
      <c r="CQP1054" s="989"/>
      <c r="CQQ1054" s="989"/>
      <c r="CQR1054" s="989"/>
      <c r="CQS1054" s="989"/>
      <c r="CQT1054" s="989"/>
      <c r="CQU1054" s="989"/>
      <c r="CQV1054" s="989"/>
      <c r="CQW1054" s="989"/>
      <c r="CQX1054" s="989"/>
      <c r="CQY1054" s="989"/>
      <c r="CQZ1054" s="989"/>
      <c r="CRA1054" s="989"/>
      <c r="CRB1054" s="989"/>
      <c r="CRC1054" s="989"/>
      <c r="CRD1054" s="989"/>
      <c r="CRE1054" s="989"/>
      <c r="CRF1054" s="989"/>
      <c r="CRG1054" s="989"/>
      <c r="CRH1054" s="989"/>
      <c r="CRI1054" s="989"/>
      <c r="CRJ1054" s="989"/>
      <c r="CRK1054" s="989"/>
      <c r="CRL1054" s="989"/>
      <c r="CRM1054" s="989"/>
      <c r="CRN1054" s="989"/>
      <c r="CRO1054" s="989"/>
      <c r="CRP1054" s="989"/>
      <c r="CRQ1054" s="989"/>
      <c r="CRR1054" s="989"/>
      <c r="CRS1054" s="989"/>
      <c r="CRT1054" s="989"/>
      <c r="CRU1054" s="989"/>
      <c r="CRV1054" s="989"/>
      <c r="CRW1054" s="989"/>
      <c r="CRX1054" s="989"/>
      <c r="CRY1054" s="989"/>
      <c r="CRZ1054" s="989"/>
      <c r="CSA1054" s="989"/>
      <c r="CSB1054" s="989"/>
      <c r="CSC1054" s="989"/>
      <c r="CSD1054" s="989"/>
      <c r="CSE1054" s="989"/>
      <c r="CSF1054" s="989"/>
      <c r="CSG1054" s="989"/>
      <c r="CSH1054" s="989"/>
      <c r="CSI1054" s="989"/>
      <c r="CSJ1054" s="989"/>
      <c r="CSK1054" s="989"/>
      <c r="CSL1054" s="989"/>
      <c r="CSM1054" s="989"/>
      <c r="CSN1054" s="989"/>
      <c r="CSO1054" s="989"/>
      <c r="CSP1054" s="989"/>
      <c r="CSQ1054" s="989"/>
      <c r="CSR1054" s="989"/>
      <c r="CSS1054" s="989"/>
      <c r="CST1054" s="989"/>
      <c r="CSU1054" s="989"/>
      <c r="CSV1054" s="989"/>
      <c r="CSW1054" s="989"/>
      <c r="CSX1054" s="989"/>
      <c r="CSY1054" s="989"/>
      <c r="CSZ1054" s="989"/>
      <c r="CTA1054" s="989"/>
      <c r="CTB1054" s="989"/>
      <c r="CTC1054" s="989"/>
      <c r="CTD1054" s="989"/>
      <c r="CTE1054" s="989"/>
      <c r="CTF1054" s="989"/>
      <c r="CTG1054" s="989"/>
      <c r="CTH1054" s="989"/>
      <c r="CTI1054" s="989"/>
      <c r="CTJ1054" s="989"/>
      <c r="CTK1054" s="989"/>
      <c r="CTL1054" s="989"/>
      <c r="CTM1054" s="989"/>
      <c r="CTN1054" s="989"/>
      <c r="CTO1054" s="989"/>
      <c r="CTP1054" s="989"/>
      <c r="CTQ1054" s="989"/>
      <c r="CTR1054" s="989"/>
      <c r="CTS1054" s="989"/>
      <c r="CTT1054" s="989"/>
      <c r="CTU1054" s="989"/>
      <c r="CTV1054" s="989"/>
      <c r="CTW1054" s="989"/>
      <c r="CTX1054" s="989"/>
      <c r="CTY1054" s="989"/>
      <c r="CTZ1054" s="989"/>
      <c r="CUA1054" s="989"/>
      <c r="CUB1054" s="989"/>
      <c r="CUC1054" s="989"/>
      <c r="CUD1054" s="989"/>
      <c r="CUE1054" s="989"/>
      <c r="CUF1054" s="989"/>
      <c r="CUG1054" s="989"/>
      <c r="CUH1054" s="989"/>
      <c r="CUI1054" s="989"/>
      <c r="CUJ1054" s="989"/>
      <c r="CUK1054" s="989"/>
      <c r="CUL1054" s="989"/>
      <c r="CUM1054" s="989"/>
      <c r="CUN1054" s="989"/>
      <c r="CUO1054" s="989"/>
      <c r="CUP1054" s="989"/>
      <c r="CUQ1054" s="989"/>
      <c r="CUR1054" s="989"/>
      <c r="CUS1054" s="989"/>
      <c r="CUT1054" s="989"/>
      <c r="CUU1054" s="989"/>
      <c r="CUV1054" s="989"/>
      <c r="CUW1054" s="989"/>
      <c r="CUX1054" s="989"/>
      <c r="CUY1054" s="989"/>
      <c r="CUZ1054" s="989"/>
      <c r="CVA1054" s="989"/>
      <c r="CVB1054" s="989"/>
      <c r="CVC1054" s="989"/>
      <c r="CVD1054" s="989"/>
      <c r="CVE1054" s="989"/>
      <c r="CVF1054" s="989"/>
      <c r="CVG1054" s="989"/>
      <c r="CVH1054" s="989"/>
      <c r="CVI1054" s="989"/>
      <c r="CVJ1054" s="989"/>
      <c r="CVK1054" s="989"/>
      <c r="CVL1054" s="989"/>
      <c r="CVM1054" s="989"/>
      <c r="CVN1054" s="989"/>
      <c r="CVO1054" s="989"/>
      <c r="CVP1054" s="989"/>
      <c r="CVQ1054" s="989"/>
      <c r="CVR1054" s="989"/>
      <c r="CVS1054" s="989"/>
      <c r="CVT1054" s="989"/>
      <c r="CVU1054" s="989"/>
      <c r="CVV1054" s="989"/>
      <c r="CVW1054" s="989"/>
      <c r="CVX1054" s="989"/>
      <c r="CVY1054" s="989"/>
      <c r="CVZ1054" s="989"/>
      <c r="CWA1054" s="989"/>
      <c r="CWB1054" s="989"/>
      <c r="CWC1054" s="989"/>
      <c r="CWD1054" s="989"/>
      <c r="CWE1054" s="989"/>
      <c r="CWF1054" s="989"/>
      <c r="CWG1054" s="989"/>
      <c r="CWH1054" s="989"/>
      <c r="CWI1054" s="989"/>
      <c r="CWJ1054" s="989"/>
      <c r="CWK1054" s="989"/>
      <c r="CWL1054" s="989"/>
      <c r="CWM1054" s="989"/>
      <c r="CWN1054" s="989"/>
      <c r="CWO1054" s="989"/>
      <c r="CWP1054" s="989"/>
      <c r="CWQ1054" s="989"/>
      <c r="CWR1054" s="989"/>
      <c r="CWS1054" s="989"/>
      <c r="CWT1054" s="989"/>
      <c r="CWU1054" s="989"/>
      <c r="CWV1054" s="989"/>
      <c r="CWW1054" s="989"/>
      <c r="CWX1054" s="989"/>
      <c r="CWY1054" s="989"/>
      <c r="CWZ1054" s="989"/>
      <c r="CXA1054" s="989"/>
      <c r="CXB1054" s="989"/>
      <c r="CXC1054" s="989"/>
      <c r="CXD1054" s="989"/>
      <c r="CXE1054" s="989"/>
      <c r="CXF1054" s="989"/>
      <c r="CXG1054" s="989"/>
      <c r="CXH1054" s="989"/>
      <c r="CXI1054" s="989"/>
      <c r="CXJ1054" s="989"/>
      <c r="CXK1054" s="989"/>
      <c r="CXL1054" s="989"/>
      <c r="CXM1054" s="989"/>
      <c r="CXN1054" s="989"/>
      <c r="CXO1054" s="989"/>
      <c r="CXP1054" s="989"/>
      <c r="CXQ1054" s="989"/>
      <c r="CXR1054" s="989"/>
      <c r="CXS1054" s="989"/>
      <c r="CXT1054" s="989"/>
      <c r="CXU1054" s="989"/>
      <c r="CXV1054" s="989"/>
      <c r="CXW1054" s="989"/>
      <c r="CXX1054" s="989"/>
      <c r="CXY1054" s="989"/>
      <c r="CXZ1054" s="989"/>
      <c r="CYA1054" s="989"/>
      <c r="CYB1054" s="989"/>
      <c r="CYC1054" s="989"/>
      <c r="CYD1054" s="989"/>
      <c r="CYE1054" s="989"/>
      <c r="CYF1054" s="989"/>
      <c r="CYG1054" s="989"/>
      <c r="CYH1054" s="989"/>
      <c r="CYI1054" s="989"/>
      <c r="CYJ1054" s="989"/>
      <c r="CYK1054" s="989"/>
      <c r="CYL1054" s="989"/>
      <c r="CYM1054" s="989"/>
      <c r="CYN1054" s="989"/>
      <c r="CYO1054" s="989"/>
      <c r="CYP1054" s="989"/>
      <c r="CYQ1054" s="989"/>
      <c r="CYR1054" s="989"/>
      <c r="CYS1054" s="989"/>
      <c r="CYT1054" s="989"/>
      <c r="CYU1054" s="989"/>
      <c r="CYV1054" s="989"/>
      <c r="CYW1054" s="989"/>
      <c r="CYX1054" s="989"/>
      <c r="CYY1054" s="989"/>
      <c r="CYZ1054" s="989"/>
      <c r="CZA1054" s="989"/>
      <c r="CZB1054" s="989"/>
      <c r="CZC1054" s="989"/>
      <c r="CZD1054" s="989"/>
      <c r="CZE1054" s="989"/>
      <c r="CZF1054" s="989"/>
      <c r="CZG1054" s="989"/>
      <c r="CZH1054" s="989"/>
      <c r="CZI1054" s="989"/>
      <c r="CZJ1054" s="989"/>
      <c r="CZK1054" s="989"/>
      <c r="CZL1054" s="989"/>
      <c r="CZM1054" s="989"/>
      <c r="CZN1054" s="989"/>
      <c r="CZO1054" s="989"/>
      <c r="CZP1054" s="989"/>
      <c r="CZQ1054" s="989"/>
      <c r="CZR1054" s="989"/>
      <c r="CZS1054" s="989"/>
      <c r="CZT1054" s="989"/>
      <c r="CZU1054" s="989"/>
      <c r="CZV1054" s="989"/>
      <c r="CZW1054" s="989"/>
      <c r="CZX1054" s="989"/>
      <c r="CZY1054" s="989"/>
      <c r="CZZ1054" s="989"/>
      <c r="DAA1054" s="989"/>
      <c r="DAB1054" s="989"/>
      <c r="DAC1054" s="989"/>
      <c r="DAD1054" s="989"/>
      <c r="DAE1054" s="989"/>
      <c r="DAF1054" s="989"/>
      <c r="DAG1054" s="989"/>
      <c r="DAH1054" s="989"/>
      <c r="DAI1054" s="989"/>
      <c r="DAJ1054" s="989"/>
      <c r="DAK1054" s="989"/>
      <c r="DAL1054" s="989"/>
      <c r="DAM1054" s="989"/>
      <c r="DAN1054" s="989"/>
      <c r="DAO1054" s="989"/>
      <c r="DAP1054" s="989"/>
      <c r="DAQ1054" s="989"/>
      <c r="DAR1054" s="989"/>
      <c r="DAS1054" s="989"/>
      <c r="DAT1054" s="989"/>
      <c r="DAU1054" s="989"/>
      <c r="DAV1054" s="989"/>
      <c r="DAW1054" s="989"/>
      <c r="DAX1054" s="989"/>
      <c r="DAY1054" s="989"/>
      <c r="DAZ1054" s="989"/>
      <c r="DBA1054" s="989"/>
      <c r="DBB1054" s="989"/>
      <c r="DBC1054" s="989"/>
      <c r="DBD1054" s="989"/>
      <c r="DBE1054" s="989"/>
      <c r="DBF1054" s="989"/>
      <c r="DBG1054" s="989"/>
      <c r="DBH1054" s="989"/>
      <c r="DBI1054" s="989"/>
      <c r="DBJ1054" s="989"/>
      <c r="DBK1054" s="989"/>
      <c r="DBL1054" s="989"/>
      <c r="DBM1054" s="989"/>
      <c r="DBN1054" s="989"/>
      <c r="DBO1054" s="989"/>
      <c r="DBP1054" s="989"/>
      <c r="DBQ1054" s="989"/>
      <c r="DBR1054" s="989"/>
      <c r="DBS1054" s="989"/>
      <c r="DBT1054" s="989"/>
      <c r="DBU1054" s="989"/>
      <c r="DBV1054" s="989"/>
      <c r="DBW1054" s="989"/>
      <c r="DBX1054" s="989"/>
      <c r="DBY1054" s="989"/>
      <c r="DBZ1054" s="989"/>
      <c r="DCA1054" s="989"/>
      <c r="DCB1054" s="989"/>
      <c r="DCC1054" s="989"/>
      <c r="DCD1054" s="989"/>
      <c r="DCE1054" s="989"/>
      <c r="DCF1054" s="989"/>
      <c r="DCG1054" s="989"/>
      <c r="DCH1054" s="989"/>
      <c r="DCI1054" s="989"/>
      <c r="DCJ1054" s="989"/>
      <c r="DCK1054" s="989"/>
      <c r="DCL1054" s="989"/>
      <c r="DCM1054" s="989"/>
      <c r="DCN1054" s="989"/>
      <c r="DCO1054" s="989"/>
      <c r="DCP1054" s="989"/>
      <c r="DCQ1054" s="989"/>
      <c r="DCR1054" s="989"/>
      <c r="DCS1054" s="989"/>
      <c r="DCT1054" s="989"/>
      <c r="DCU1054" s="989"/>
      <c r="DCV1054" s="989"/>
      <c r="DCW1054" s="989"/>
      <c r="DCX1054" s="989"/>
      <c r="DCY1054" s="989"/>
      <c r="DCZ1054" s="989"/>
      <c r="DDA1054" s="989"/>
      <c r="DDB1054" s="989"/>
      <c r="DDC1054" s="989"/>
      <c r="DDD1054" s="989"/>
      <c r="DDE1054" s="989"/>
      <c r="DDF1054" s="989"/>
      <c r="DDG1054" s="989"/>
      <c r="DDH1054" s="989"/>
      <c r="DDI1054" s="989"/>
      <c r="DDJ1054" s="989"/>
      <c r="DDK1054" s="989"/>
      <c r="DDL1054" s="989"/>
      <c r="DDM1054" s="989"/>
      <c r="DDN1054" s="989"/>
      <c r="DDO1054" s="989"/>
      <c r="DDP1054" s="989"/>
      <c r="DDQ1054" s="989"/>
      <c r="DDR1054" s="989"/>
      <c r="DDS1054" s="989"/>
      <c r="DDT1054" s="989"/>
      <c r="DDU1054" s="989"/>
      <c r="DDV1054" s="989"/>
      <c r="DDW1054" s="989"/>
      <c r="DDX1054" s="989"/>
      <c r="DDY1054" s="989"/>
      <c r="DDZ1054" s="989"/>
      <c r="DEA1054" s="989"/>
      <c r="DEB1054" s="989"/>
      <c r="DEC1054" s="989"/>
      <c r="DED1054" s="989"/>
      <c r="DEE1054" s="989"/>
      <c r="DEF1054" s="989"/>
      <c r="DEG1054" s="989"/>
      <c r="DEH1054" s="989"/>
      <c r="DEI1054" s="989"/>
      <c r="DEJ1054" s="989"/>
      <c r="DEK1054" s="989"/>
      <c r="DEL1054" s="989"/>
      <c r="DEM1054" s="989"/>
      <c r="DEN1054" s="989"/>
      <c r="DEO1054" s="989"/>
      <c r="DEP1054" s="989"/>
      <c r="DEQ1054" s="989"/>
      <c r="DER1054" s="989"/>
      <c r="DES1054" s="989"/>
      <c r="DET1054" s="989"/>
      <c r="DEU1054" s="989"/>
      <c r="DEV1054" s="989"/>
      <c r="DEW1054" s="989"/>
      <c r="DEX1054" s="989"/>
      <c r="DEY1054" s="989"/>
      <c r="DEZ1054" s="989"/>
      <c r="DFA1054" s="989"/>
      <c r="DFB1054" s="989"/>
      <c r="DFC1054" s="989"/>
      <c r="DFD1054" s="989"/>
      <c r="DFE1054" s="989"/>
      <c r="DFF1054" s="989"/>
      <c r="DFG1054" s="989"/>
      <c r="DFH1054" s="989"/>
      <c r="DFI1054" s="989"/>
      <c r="DFJ1054" s="989"/>
      <c r="DFK1054" s="989"/>
      <c r="DFL1054" s="989"/>
      <c r="DFM1054" s="989"/>
      <c r="DFN1054" s="989"/>
      <c r="DFO1054" s="989"/>
      <c r="DFP1054" s="989"/>
      <c r="DFQ1054" s="989"/>
      <c r="DFR1054" s="989"/>
      <c r="DFS1054" s="989"/>
      <c r="DFT1054" s="989"/>
      <c r="DFU1054" s="989"/>
      <c r="DFV1054" s="989"/>
      <c r="DFW1054" s="989"/>
      <c r="DFX1054" s="989"/>
      <c r="DFY1054" s="989"/>
      <c r="DFZ1054" s="989"/>
      <c r="DGA1054" s="989"/>
      <c r="DGB1054" s="989"/>
      <c r="DGC1054" s="989"/>
      <c r="DGD1054" s="989"/>
      <c r="DGE1054" s="989"/>
      <c r="DGF1054" s="989"/>
      <c r="DGG1054" s="989"/>
      <c r="DGH1054" s="989"/>
      <c r="DGI1054" s="989"/>
      <c r="DGJ1054" s="989"/>
      <c r="DGK1054" s="989"/>
      <c r="DGL1054" s="989"/>
      <c r="DGM1054" s="989"/>
      <c r="DGN1054" s="989"/>
      <c r="DGO1054" s="989"/>
      <c r="DGP1054" s="989"/>
      <c r="DGQ1054" s="989"/>
      <c r="DGR1054" s="989"/>
      <c r="DGS1054" s="989"/>
      <c r="DGT1054" s="989"/>
      <c r="DGU1054" s="989"/>
      <c r="DGV1054" s="989"/>
      <c r="DGW1054" s="989"/>
      <c r="DGX1054" s="989"/>
      <c r="DGY1054" s="989"/>
      <c r="DGZ1054" s="989"/>
      <c r="DHA1054" s="989"/>
      <c r="DHB1054" s="989"/>
      <c r="DHC1054" s="989"/>
      <c r="DHD1054" s="989"/>
      <c r="DHE1054" s="989"/>
      <c r="DHF1054" s="989"/>
      <c r="DHG1054" s="989"/>
      <c r="DHH1054" s="989"/>
      <c r="DHI1054" s="989"/>
      <c r="DHJ1054" s="989"/>
      <c r="DHK1054" s="989"/>
      <c r="DHL1054" s="989"/>
      <c r="DHM1054" s="989"/>
      <c r="DHN1054" s="989"/>
      <c r="DHO1054" s="989"/>
      <c r="DHP1054" s="989"/>
      <c r="DHQ1054" s="989"/>
      <c r="DHR1054" s="989"/>
      <c r="DHS1054" s="989"/>
      <c r="DHT1054" s="989"/>
      <c r="DHU1054" s="989"/>
      <c r="DHV1054" s="989"/>
      <c r="DHW1054" s="989"/>
      <c r="DHX1054" s="989"/>
      <c r="DHY1054" s="989"/>
      <c r="DHZ1054" s="989"/>
      <c r="DIA1054" s="989"/>
      <c r="DIB1054" s="989"/>
      <c r="DIC1054" s="989"/>
      <c r="DID1054" s="989"/>
      <c r="DIE1054" s="989"/>
      <c r="DIF1054" s="989"/>
      <c r="DIG1054" s="989"/>
      <c r="DIH1054" s="989"/>
      <c r="DII1054" s="989"/>
      <c r="DIJ1054" s="989"/>
      <c r="DIK1054" s="989"/>
      <c r="DIL1054" s="989"/>
      <c r="DIM1054" s="989"/>
      <c r="DIN1054" s="989"/>
      <c r="DIO1054" s="989"/>
      <c r="DIP1054" s="989"/>
      <c r="DIQ1054" s="989"/>
      <c r="DIR1054" s="989"/>
      <c r="DIS1054" s="989"/>
      <c r="DIT1054" s="989"/>
      <c r="DIU1054" s="989"/>
      <c r="DIV1054" s="989"/>
      <c r="DIW1054" s="989"/>
      <c r="DIX1054" s="989"/>
      <c r="DIY1054" s="989"/>
      <c r="DIZ1054" s="989"/>
      <c r="DJA1054" s="989"/>
      <c r="DJB1054" s="989"/>
      <c r="DJC1054" s="989"/>
      <c r="DJD1054" s="989"/>
      <c r="DJE1054" s="989"/>
      <c r="DJF1054" s="989"/>
      <c r="DJG1054" s="989"/>
      <c r="DJH1054" s="989"/>
      <c r="DJI1054" s="989"/>
      <c r="DJJ1054" s="989"/>
      <c r="DJK1054" s="989"/>
      <c r="DJL1054" s="989"/>
      <c r="DJM1054" s="989"/>
      <c r="DJN1054" s="989"/>
      <c r="DJO1054" s="989"/>
      <c r="DJP1054" s="989"/>
      <c r="DJQ1054" s="989"/>
      <c r="DJR1054" s="989"/>
      <c r="DJS1054" s="989"/>
      <c r="DJT1054" s="989"/>
      <c r="DJU1054" s="989"/>
      <c r="DJV1054" s="989"/>
      <c r="DJW1054" s="989"/>
      <c r="DJX1054" s="989"/>
      <c r="DJY1054" s="989"/>
      <c r="DJZ1054" s="989"/>
      <c r="DKA1054" s="989"/>
      <c r="DKB1054" s="989"/>
      <c r="DKC1054" s="989"/>
      <c r="DKD1054" s="989"/>
      <c r="DKE1054" s="989"/>
      <c r="DKF1054" s="989"/>
      <c r="DKG1054" s="989"/>
      <c r="DKH1054" s="989"/>
      <c r="DKI1054" s="989"/>
      <c r="DKJ1054" s="989"/>
      <c r="DKK1054" s="989"/>
      <c r="DKL1054" s="989"/>
      <c r="DKM1054" s="989"/>
      <c r="DKN1054" s="989"/>
      <c r="DKO1054" s="989"/>
      <c r="DKP1054" s="989"/>
      <c r="DKQ1054" s="989"/>
      <c r="DKR1054" s="989"/>
      <c r="DKS1054" s="989"/>
      <c r="DKT1054" s="989"/>
      <c r="DKU1054" s="989"/>
      <c r="DKV1054" s="989"/>
      <c r="DKW1054" s="989"/>
      <c r="DKX1054" s="989"/>
      <c r="DKY1054" s="989"/>
      <c r="DKZ1054" s="989"/>
      <c r="DLA1054" s="989"/>
      <c r="DLB1054" s="989"/>
      <c r="DLC1054" s="989"/>
      <c r="DLD1054" s="989"/>
      <c r="DLE1054" s="989"/>
      <c r="DLF1054" s="989"/>
      <c r="DLG1054" s="989"/>
      <c r="DLH1054" s="989"/>
      <c r="DLI1054" s="989"/>
      <c r="DLJ1054" s="989"/>
      <c r="DLK1054" s="989"/>
      <c r="DLL1054" s="989"/>
      <c r="DLM1054" s="989"/>
      <c r="DLN1054" s="989"/>
      <c r="DLO1054" s="989"/>
      <c r="DLP1054" s="989"/>
      <c r="DLQ1054" s="989"/>
      <c r="DLR1054" s="989"/>
      <c r="DLS1054" s="989"/>
      <c r="DLT1054" s="989"/>
      <c r="DLU1054" s="989"/>
      <c r="DLV1054" s="989"/>
      <c r="DLW1054" s="989"/>
      <c r="DLX1054" s="989"/>
      <c r="DLY1054" s="989"/>
      <c r="DLZ1054" s="989"/>
      <c r="DMA1054" s="989"/>
      <c r="DMB1054" s="989"/>
      <c r="DMC1054" s="989"/>
      <c r="DMD1054" s="989"/>
      <c r="DME1054" s="989"/>
      <c r="DMF1054" s="989"/>
      <c r="DMG1054" s="989"/>
      <c r="DMH1054" s="989"/>
      <c r="DMI1054" s="989"/>
      <c r="DMJ1054" s="989"/>
      <c r="DMK1054" s="989"/>
      <c r="DML1054" s="989"/>
      <c r="DMM1054" s="989"/>
      <c r="DMN1054" s="989"/>
      <c r="DMO1054" s="989"/>
      <c r="DMP1054" s="989"/>
      <c r="DMQ1054" s="989"/>
      <c r="DMR1054" s="989"/>
      <c r="DMS1054" s="989"/>
      <c r="DMT1054" s="989"/>
      <c r="DMU1054" s="989"/>
      <c r="DMV1054" s="989"/>
      <c r="DMW1054" s="989"/>
      <c r="DMX1054" s="989"/>
      <c r="DMY1054" s="989"/>
      <c r="DMZ1054" s="989"/>
      <c r="DNA1054" s="989"/>
      <c r="DNB1054" s="989"/>
      <c r="DNC1054" s="989"/>
      <c r="DND1054" s="989"/>
      <c r="DNE1054" s="989"/>
      <c r="DNF1054" s="989"/>
      <c r="DNG1054" s="989"/>
      <c r="DNH1054" s="989"/>
      <c r="DNI1054" s="989"/>
      <c r="DNJ1054" s="989"/>
      <c r="DNK1054" s="989"/>
      <c r="DNL1054" s="989"/>
      <c r="DNM1054" s="989"/>
      <c r="DNN1054" s="989"/>
      <c r="DNO1054" s="989"/>
      <c r="DNP1054" s="989"/>
      <c r="DNQ1054" s="989"/>
      <c r="DNR1054" s="989"/>
      <c r="DNS1054" s="989"/>
      <c r="DNT1054" s="989"/>
      <c r="DNU1054" s="989"/>
      <c r="DNV1054" s="989"/>
      <c r="DNW1054" s="989"/>
      <c r="DNX1054" s="989"/>
      <c r="DNY1054" s="989"/>
      <c r="DNZ1054" s="989"/>
      <c r="DOA1054" s="989"/>
      <c r="DOB1054" s="989"/>
      <c r="DOC1054" s="989"/>
      <c r="DOD1054" s="989"/>
      <c r="DOE1054" s="989"/>
      <c r="DOF1054" s="989"/>
      <c r="DOG1054" s="989"/>
      <c r="DOH1054" s="989"/>
      <c r="DOI1054" s="989"/>
      <c r="DOJ1054" s="989"/>
      <c r="DOK1054" s="989"/>
      <c r="DOL1054" s="989"/>
      <c r="DOM1054" s="989"/>
      <c r="DON1054" s="989"/>
      <c r="DOO1054" s="989"/>
      <c r="DOP1054" s="989"/>
      <c r="DOQ1054" s="989"/>
      <c r="DOR1054" s="989"/>
      <c r="DOS1054" s="989"/>
      <c r="DOT1054" s="989"/>
      <c r="DOU1054" s="989"/>
      <c r="DOV1054" s="989"/>
      <c r="DOW1054" s="989"/>
      <c r="DOX1054" s="989"/>
      <c r="DOY1054" s="989"/>
      <c r="DOZ1054" s="989"/>
      <c r="DPA1054" s="989"/>
      <c r="DPB1054" s="989"/>
      <c r="DPC1054" s="989"/>
      <c r="DPD1054" s="989"/>
      <c r="DPE1054" s="989"/>
      <c r="DPF1054" s="989"/>
      <c r="DPG1054" s="989"/>
      <c r="DPH1054" s="989"/>
      <c r="DPI1054" s="989"/>
      <c r="DPJ1054" s="989"/>
      <c r="DPK1054" s="989"/>
      <c r="DPL1054" s="989"/>
      <c r="DPM1054" s="989"/>
      <c r="DPN1054" s="989"/>
      <c r="DPO1054" s="989"/>
      <c r="DPP1054" s="989"/>
      <c r="DPQ1054" s="989"/>
      <c r="DPR1054" s="989"/>
      <c r="DPS1054" s="989"/>
      <c r="DPT1054" s="989"/>
      <c r="DPU1054" s="989"/>
      <c r="DPV1054" s="989"/>
      <c r="DPW1054" s="989"/>
      <c r="DPX1054" s="989"/>
      <c r="DPY1054" s="989"/>
      <c r="DPZ1054" s="989"/>
      <c r="DQA1054" s="989"/>
      <c r="DQB1054" s="989"/>
      <c r="DQC1054" s="989"/>
      <c r="DQD1054" s="989"/>
      <c r="DQE1054" s="989"/>
      <c r="DQF1054" s="989"/>
      <c r="DQG1054" s="989"/>
      <c r="DQH1054" s="989"/>
      <c r="DQI1054" s="989"/>
      <c r="DQJ1054" s="989"/>
      <c r="DQK1054" s="989"/>
      <c r="DQL1054" s="989"/>
      <c r="DQM1054" s="989"/>
      <c r="DQN1054" s="989"/>
      <c r="DQO1054" s="989"/>
      <c r="DQP1054" s="989"/>
      <c r="DQQ1054" s="989"/>
      <c r="DQR1054" s="989"/>
      <c r="DQS1054" s="989"/>
      <c r="DQT1054" s="989"/>
      <c r="DQU1054" s="989"/>
      <c r="DQV1054" s="989"/>
      <c r="DQW1054" s="989"/>
      <c r="DQX1054" s="989"/>
      <c r="DQY1054" s="989"/>
      <c r="DQZ1054" s="989"/>
      <c r="DRA1054" s="989"/>
      <c r="DRB1054" s="989"/>
      <c r="DRC1054" s="989"/>
      <c r="DRD1054" s="989"/>
      <c r="DRE1054" s="989"/>
      <c r="DRF1054" s="989"/>
      <c r="DRG1054" s="989"/>
      <c r="DRH1054" s="989"/>
      <c r="DRI1054" s="989"/>
      <c r="DRJ1054" s="989"/>
      <c r="DRK1054" s="989"/>
      <c r="DRL1054" s="989"/>
      <c r="DRM1054" s="989"/>
      <c r="DRN1054" s="989"/>
      <c r="DRO1054" s="989"/>
      <c r="DRP1054" s="989"/>
      <c r="DRQ1054" s="989"/>
      <c r="DRR1054" s="989"/>
      <c r="DRS1054" s="989"/>
      <c r="DRT1054" s="989"/>
      <c r="DRU1054" s="989"/>
      <c r="DRV1054" s="989"/>
      <c r="DRW1054" s="989"/>
      <c r="DRX1054" s="989"/>
      <c r="DRY1054" s="989"/>
      <c r="DRZ1054" s="989"/>
      <c r="DSA1054" s="989"/>
      <c r="DSB1054" s="989"/>
      <c r="DSC1054" s="989"/>
      <c r="DSD1054" s="989"/>
      <c r="DSE1054" s="989"/>
      <c r="DSF1054" s="989"/>
      <c r="DSG1054" s="989"/>
      <c r="DSH1054" s="989"/>
      <c r="DSI1054" s="989"/>
      <c r="DSJ1054" s="989"/>
      <c r="DSK1054" s="989"/>
      <c r="DSL1054" s="989"/>
      <c r="DSM1054" s="989"/>
      <c r="DSN1054" s="989"/>
      <c r="DSO1054" s="989"/>
      <c r="DSP1054" s="989"/>
      <c r="DSQ1054" s="989"/>
      <c r="DSR1054" s="989"/>
      <c r="DSS1054" s="989"/>
      <c r="DST1054" s="989"/>
      <c r="DSU1054" s="989"/>
      <c r="DSV1054" s="989"/>
      <c r="DSW1054" s="989"/>
      <c r="DSX1054" s="989"/>
      <c r="DSY1054" s="989"/>
      <c r="DSZ1054" s="989"/>
      <c r="DTA1054" s="989"/>
      <c r="DTB1054" s="989"/>
      <c r="DTC1054" s="989"/>
      <c r="DTD1054" s="989"/>
      <c r="DTE1054" s="989"/>
      <c r="DTF1054" s="989"/>
      <c r="DTG1054" s="989"/>
      <c r="DTH1054" s="989"/>
      <c r="DTI1054" s="989"/>
      <c r="DTJ1054" s="989"/>
      <c r="DTK1054" s="989"/>
      <c r="DTL1054" s="989"/>
      <c r="DTM1054" s="989"/>
      <c r="DTN1054" s="989"/>
      <c r="DTO1054" s="989"/>
      <c r="DTP1054" s="989"/>
      <c r="DTQ1054" s="989"/>
      <c r="DTR1054" s="989"/>
      <c r="DTS1054" s="989"/>
      <c r="DTT1054" s="989"/>
      <c r="DTU1054" s="989"/>
      <c r="DTV1054" s="989"/>
      <c r="DTW1054" s="989"/>
      <c r="DTX1054" s="989"/>
      <c r="DTY1054" s="989"/>
      <c r="DTZ1054" s="989"/>
      <c r="DUA1054" s="989"/>
      <c r="DUB1054" s="989"/>
      <c r="DUC1054" s="989"/>
      <c r="DUD1054" s="989"/>
      <c r="DUE1054" s="989"/>
      <c r="DUF1054" s="989"/>
      <c r="DUG1054" s="989"/>
      <c r="DUH1054" s="989"/>
      <c r="DUI1054" s="989"/>
      <c r="DUJ1054" s="989"/>
      <c r="DUK1054" s="989"/>
      <c r="DUL1054" s="989"/>
      <c r="DUM1054" s="989"/>
      <c r="DUN1054" s="989"/>
      <c r="DUO1054" s="989"/>
      <c r="DUP1054" s="989"/>
      <c r="DUQ1054" s="989"/>
      <c r="DUR1054" s="989"/>
      <c r="DUS1054" s="989"/>
      <c r="DUT1054" s="989"/>
      <c r="DUU1054" s="989"/>
      <c r="DUV1054" s="989"/>
      <c r="DUW1054" s="989"/>
      <c r="DUX1054" s="989"/>
      <c r="DUY1054" s="989"/>
      <c r="DUZ1054" s="989"/>
      <c r="DVA1054" s="989"/>
      <c r="DVB1054" s="989"/>
      <c r="DVC1054" s="989"/>
      <c r="DVD1054" s="989"/>
      <c r="DVE1054" s="989"/>
      <c r="DVF1054" s="989"/>
      <c r="DVG1054" s="989"/>
      <c r="DVH1054" s="989"/>
      <c r="DVI1054" s="989"/>
      <c r="DVJ1054" s="989"/>
      <c r="DVK1054" s="989"/>
      <c r="DVL1054" s="989"/>
      <c r="DVM1054" s="989"/>
      <c r="DVN1054" s="989"/>
      <c r="DVO1054" s="989"/>
      <c r="DVP1054" s="989"/>
      <c r="DVQ1054" s="989"/>
      <c r="DVR1054" s="989"/>
      <c r="DVS1054" s="989"/>
      <c r="DVT1054" s="989"/>
      <c r="DVU1054" s="989"/>
      <c r="DVV1054" s="989"/>
      <c r="DVW1054" s="989"/>
      <c r="DVX1054" s="989"/>
      <c r="DVY1054" s="989"/>
      <c r="DVZ1054" s="989"/>
      <c r="DWA1054" s="989"/>
      <c r="DWB1054" s="989"/>
      <c r="DWC1054" s="989"/>
      <c r="DWD1054" s="989"/>
      <c r="DWE1054" s="989"/>
      <c r="DWF1054" s="989"/>
      <c r="DWG1054" s="989"/>
      <c r="DWH1054" s="989"/>
      <c r="DWI1054" s="989"/>
      <c r="DWJ1054" s="989"/>
      <c r="DWK1054" s="989"/>
      <c r="DWL1054" s="989"/>
      <c r="DWM1054" s="989"/>
      <c r="DWN1054" s="989"/>
      <c r="DWO1054" s="989"/>
      <c r="DWP1054" s="989"/>
      <c r="DWQ1054" s="989"/>
      <c r="DWR1054" s="989"/>
      <c r="DWS1054" s="989"/>
      <c r="DWT1054" s="989"/>
      <c r="DWU1054" s="989"/>
      <c r="DWV1054" s="989"/>
      <c r="DWW1054" s="989"/>
      <c r="DWX1054" s="989"/>
      <c r="DWY1054" s="989"/>
      <c r="DWZ1054" s="989"/>
      <c r="DXA1054" s="989"/>
      <c r="DXB1054" s="989"/>
      <c r="DXC1054" s="989"/>
      <c r="DXD1054" s="989"/>
      <c r="DXE1054" s="989"/>
      <c r="DXF1054" s="989"/>
      <c r="DXG1054" s="989"/>
      <c r="DXH1054" s="989"/>
      <c r="DXI1054" s="989"/>
      <c r="DXJ1054" s="989"/>
      <c r="DXK1054" s="989"/>
      <c r="DXL1054" s="989"/>
      <c r="DXM1054" s="989"/>
      <c r="DXN1054" s="989"/>
      <c r="DXO1054" s="989"/>
      <c r="DXP1054" s="989"/>
      <c r="DXQ1054" s="989"/>
      <c r="DXR1054" s="989"/>
      <c r="DXS1054" s="989"/>
      <c r="DXT1054" s="989"/>
      <c r="DXU1054" s="989"/>
      <c r="DXV1054" s="989"/>
      <c r="DXW1054" s="989"/>
      <c r="DXX1054" s="989"/>
      <c r="DXY1054" s="989"/>
      <c r="DXZ1054" s="989"/>
      <c r="DYA1054" s="989"/>
      <c r="DYB1054" s="989"/>
      <c r="DYC1054" s="989"/>
      <c r="DYD1054" s="989"/>
      <c r="DYE1054" s="989"/>
      <c r="DYF1054" s="989"/>
      <c r="DYG1054" s="989"/>
      <c r="DYH1054" s="989"/>
      <c r="DYI1054" s="989"/>
      <c r="DYJ1054" s="989"/>
      <c r="DYK1054" s="989"/>
      <c r="DYL1054" s="989"/>
      <c r="DYM1054" s="989"/>
      <c r="DYN1054" s="989"/>
      <c r="DYO1054" s="989"/>
      <c r="DYP1054" s="989"/>
      <c r="DYQ1054" s="989"/>
      <c r="DYR1054" s="989"/>
      <c r="DYS1054" s="989"/>
      <c r="DYT1054" s="989"/>
      <c r="DYU1054" s="989"/>
      <c r="DYV1054" s="989"/>
      <c r="DYW1054" s="989"/>
      <c r="DYX1054" s="989"/>
      <c r="DYY1054" s="989"/>
      <c r="DYZ1054" s="989"/>
      <c r="DZA1054" s="989"/>
      <c r="DZB1054" s="989"/>
      <c r="DZC1054" s="989"/>
      <c r="DZD1054" s="989"/>
      <c r="DZE1054" s="989"/>
      <c r="DZF1054" s="989"/>
      <c r="DZG1054" s="989"/>
      <c r="DZH1054" s="989"/>
      <c r="DZI1054" s="989"/>
      <c r="DZJ1054" s="989"/>
      <c r="DZK1054" s="989"/>
      <c r="DZL1054" s="989"/>
      <c r="DZM1054" s="989"/>
      <c r="DZN1054" s="989"/>
      <c r="DZO1054" s="989"/>
      <c r="DZP1054" s="989"/>
      <c r="DZQ1054" s="989"/>
      <c r="DZR1054" s="989"/>
      <c r="DZS1054" s="989"/>
      <c r="DZT1054" s="989"/>
      <c r="DZU1054" s="989"/>
      <c r="DZV1054" s="989"/>
      <c r="DZW1054" s="989"/>
      <c r="DZX1054" s="989"/>
      <c r="DZY1054" s="989"/>
      <c r="DZZ1054" s="989"/>
      <c r="EAA1054" s="989"/>
      <c r="EAB1054" s="989"/>
      <c r="EAC1054" s="989"/>
      <c r="EAD1054" s="989"/>
      <c r="EAE1054" s="989"/>
      <c r="EAF1054" s="989"/>
      <c r="EAG1054" s="989"/>
      <c r="EAH1054" s="989"/>
      <c r="EAI1054" s="989"/>
      <c r="EAJ1054" s="989"/>
      <c r="EAK1054" s="989"/>
      <c r="EAL1054" s="989"/>
      <c r="EAM1054" s="989"/>
      <c r="EAN1054" s="989"/>
      <c r="EAO1054" s="989"/>
      <c r="EAP1054" s="989"/>
      <c r="EAQ1054" s="989"/>
      <c r="EAR1054" s="989"/>
      <c r="EAS1054" s="989"/>
      <c r="EAT1054" s="989"/>
      <c r="EAU1054" s="989"/>
      <c r="EAV1054" s="989"/>
      <c r="EAW1054" s="989"/>
      <c r="EAX1054" s="989"/>
      <c r="EAY1054" s="989"/>
      <c r="EAZ1054" s="989"/>
      <c r="EBA1054" s="989"/>
      <c r="EBB1054" s="989"/>
      <c r="EBC1054" s="989"/>
      <c r="EBD1054" s="989"/>
      <c r="EBE1054" s="989"/>
      <c r="EBF1054" s="989"/>
      <c r="EBG1054" s="989"/>
      <c r="EBH1054" s="989"/>
      <c r="EBI1054" s="989"/>
      <c r="EBJ1054" s="989"/>
      <c r="EBK1054" s="989"/>
      <c r="EBL1054" s="989"/>
      <c r="EBM1054" s="989"/>
      <c r="EBN1054" s="989"/>
      <c r="EBO1054" s="989"/>
      <c r="EBP1054" s="989"/>
      <c r="EBQ1054" s="989"/>
      <c r="EBR1054" s="989"/>
      <c r="EBS1054" s="989"/>
      <c r="EBT1054" s="989"/>
      <c r="EBU1054" s="989"/>
      <c r="EBV1054" s="989"/>
      <c r="EBW1054" s="989"/>
      <c r="EBX1054" s="989"/>
      <c r="EBY1054" s="989"/>
      <c r="EBZ1054" s="989"/>
      <c r="ECA1054" s="989"/>
      <c r="ECB1054" s="989"/>
      <c r="ECC1054" s="989"/>
      <c r="ECD1054" s="989"/>
      <c r="ECE1054" s="989"/>
      <c r="ECF1054" s="989"/>
      <c r="ECG1054" s="989"/>
      <c r="ECH1054" s="989"/>
      <c r="ECI1054" s="989"/>
      <c r="ECJ1054" s="989"/>
      <c r="ECK1054" s="989"/>
      <c r="ECL1054" s="989"/>
      <c r="ECM1054" s="989"/>
      <c r="ECN1054" s="989"/>
      <c r="ECO1054" s="989"/>
      <c r="ECP1054" s="989"/>
      <c r="ECQ1054" s="989"/>
      <c r="ECR1054" s="989"/>
      <c r="ECS1054" s="989"/>
      <c r="ECT1054" s="989"/>
      <c r="ECU1054" s="989"/>
      <c r="ECV1054" s="989"/>
      <c r="ECW1054" s="989"/>
      <c r="ECX1054" s="989"/>
      <c r="ECY1054" s="989"/>
      <c r="ECZ1054" s="989"/>
      <c r="EDA1054" s="989"/>
      <c r="EDB1054" s="989"/>
      <c r="EDC1054" s="989"/>
      <c r="EDD1054" s="989"/>
      <c r="EDE1054" s="989"/>
      <c r="EDF1054" s="989"/>
      <c r="EDG1054" s="989"/>
      <c r="EDH1054" s="989"/>
      <c r="EDI1054" s="989"/>
      <c r="EDJ1054" s="989"/>
      <c r="EDK1054" s="989"/>
      <c r="EDL1054" s="989"/>
      <c r="EDM1054" s="989"/>
      <c r="EDN1054" s="989"/>
      <c r="EDO1054" s="989"/>
      <c r="EDP1054" s="989"/>
      <c r="EDQ1054" s="989"/>
      <c r="EDR1054" s="989"/>
      <c r="EDS1054" s="989"/>
      <c r="EDT1054" s="989"/>
      <c r="EDU1054" s="989"/>
      <c r="EDV1054" s="989"/>
      <c r="EDW1054" s="989"/>
      <c r="EDX1054" s="989"/>
      <c r="EDY1054" s="989"/>
      <c r="EDZ1054" s="989"/>
      <c r="EEA1054" s="989"/>
      <c r="EEB1054" s="989"/>
      <c r="EEC1054" s="989"/>
      <c r="EED1054" s="989"/>
      <c r="EEE1054" s="989"/>
      <c r="EEF1054" s="989"/>
      <c r="EEG1054" s="989"/>
      <c r="EEH1054" s="989"/>
      <c r="EEI1054" s="989"/>
      <c r="EEJ1054" s="989"/>
      <c r="EEK1054" s="989"/>
      <c r="EEL1054" s="989"/>
      <c r="EEM1054" s="989"/>
      <c r="EEN1054" s="989"/>
      <c r="EEO1054" s="989"/>
      <c r="EEP1054" s="989"/>
      <c r="EEQ1054" s="989"/>
      <c r="EER1054" s="989"/>
      <c r="EES1054" s="989"/>
      <c r="EET1054" s="989"/>
      <c r="EEU1054" s="989"/>
      <c r="EEV1054" s="989"/>
      <c r="EEW1054" s="989"/>
      <c r="EEX1054" s="989"/>
      <c r="EEY1054" s="989"/>
      <c r="EEZ1054" s="989"/>
      <c r="EFA1054" s="989"/>
      <c r="EFB1054" s="989"/>
      <c r="EFC1054" s="989"/>
      <c r="EFD1054" s="989"/>
      <c r="EFE1054" s="989"/>
      <c r="EFF1054" s="989"/>
      <c r="EFG1054" s="989"/>
      <c r="EFH1054" s="989"/>
      <c r="EFI1054" s="989"/>
      <c r="EFJ1054" s="989"/>
      <c r="EFK1054" s="989"/>
      <c r="EFL1054" s="989"/>
      <c r="EFM1054" s="989"/>
      <c r="EFN1054" s="989"/>
      <c r="EFO1054" s="989"/>
      <c r="EFP1054" s="989"/>
      <c r="EFQ1054" s="989"/>
      <c r="EFR1054" s="989"/>
      <c r="EFS1054" s="989"/>
      <c r="EFT1054" s="989"/>
      <c r="EFU1054" s="989"/>
      <c r="EFV1054" s="989"/>
      <c r="EFW1054" s="989"/>
      <c r="EFX1054" s="989"/>
      <c r="EFY1054" s="989"/>
      <c r="EFZ1054" s="989"/>
      <c r="EGA1054" s="989"/>
      <c r="EGB1054" s="989"/>
      <c r="EGC1054" s="989"/>
      <c r="EGD1054" s="989"/>
      <c r="EGE1054" s="989"/>
      <c r="EGF1054" s="989"/>
      <c r="EGG1054" s="989"/>
      <c r="EGH1054" s="989"/>
      <c r="EGI1054" s="989"/>
      <c r="EGJ1054" s="989"/>
      <c r="EGK1054" s="989"/>
      <c r="EGL1054" s="989"/>
      <c r="EGM1054" s="989"/>
      <c r="EGN1054" s="989"/>
      <c r="EGO1054" s="989"/>
      <c r="EGP1054" s="989"/>
      <c r="EGQ1054" s="989"/>
      <c r="EGR1054" s="989"/>
      <c r="EGS1054" s="989"/>
      <c r="EGT1054" s="989"/>
      <c r="EGU1054" s="989"/>
      <c r="EGV1054" s="989"/>
      <c r="EGW1054" s="989"/>
      <c r="EGX1054" s="989"/>
      <c r="EGY1054" s="989"/>
      <c r="EGZ1054" s="989"/>
      <c r="EHA1054" s="989"/>
      <c r="EHB1054" s="989"/>
      <c r="EHC1054" s="989"/>
      <c r="EHD1054" s="989"/>
      <c r="EHE1054" s="989"/>
      <c r="EHF1054" s="989"/>
      <c r="EHG1054" s="989"/>
      <c r="EHH1054" s="989"/>
      <c r="EHI1054" s="989"/>
      <c r="EHJ1054" s="989"/>
      <c r="EHK1054" s="989"/>
      <c r="EHL1054" s="989"/>
      <c r="EHM1054" s="989"/>
      <c r="EHN1054" s="989"/>
      <c r="EHO1054" s="989"/>
      <c r="EHP1054" s="989"/>
      <c r="EHQ1054" s="989"/>
      <c r="EHR1054" s="989"/>
      <c r="EHS1054" s="989"/>
      <c r="EHT1054" s="989"/>
      <c r="EHU1054" s="989"/>
      <c r="EHV1054" s="989"/>
      <c r="EHW1054" s="989"/>
      <c r="EHX1054" s="989"/>
      <c r="EHY1054" s="989"/>
      <c r="EHZ1054" s="989"/>
      <c r="EIA1054" s="989"/>
      <c r="EIB1054" s="989"/>
      <c r="EIC1054" s="989"/>
      <c r="EID1054" s="989"/>
      <c r="EIE1054" s="989"/>
      <c r="EIF1054" s="989"/>
      <c r="EIG1054" s="989"/>
      <c r="EIH1054" s="989"/>
      <c r="EII1054" s="989"/>
      <c r="EIJ1054" s="989"/>
      <c r="EIK1054" s="989"/>
      <c r="EIL1054" s="989"/>
      <c r="EIM1054" s="989"/>
      <c r="EIN1054" s="989"/>
      <c r="EIO1054" s="989"/>
      <c r="EIP1054" s="989"/>
      <c r="EIQ1054" s="989"/>
      <c r="EIR1054" s="989"/>
      <c r="EIS1054" s="989"/>
      <c r="EIT1054" s="989"/>
      <c r="EIU1054" s="989"/>
      <c r="EIV1054" s="989"/>
      <c r="EIW1054" s="989"/>
      <c r="EIX1054" s="989"/>
      <c r="EIY1054" s="989"/>
      <c r="EIZ1054" s="989"/>
      <c r="EJA1054" s="989"/>
      <c r="EJB1054" s="989"/>
      <c r="EJC1054" s="989"/>
      <c r="EJD1054" s="989"/>
      <c r="EJE1054" s="989"/>
      <c r="EJF1054" s="989"/>
      <c r="EJG1054" s="989"/>
      <c r="EJH1054" s="989"/>
      <c r="EJI1054" s="989"/>
      <c r="EJJ1054" s="989"/>
      <c r="EJK1054" s="989"/>
      <c r="EJL1054" s="989"/>
      <c r="EJM1054" s="989"/>
      <c r="EJN1054" s="989"/>
      <c r="EJO1054" s="989"/>
      <c r="EJP1054" s="989"/>
      <c r="EJQ1054" s="989"/>
      <c r="EJR1054" s="989"/>
      <c r="EJS1054" s="989"/>
      <c r="EJT1054" s="989"/>
      <c r="EJU1054" s="989"/>
      <c r="EJV1054" s="989"/>
      <c r="EJW1054" s="989"/>
      <c r="EJX1054" s="989"/>
      <c r="EJY1054" s="989"/>
      <c r="EJZ1054" s="989"/>
      <c r="EKA1054" s="989"/>
      <c r="EKB1054" s="989"/>
      <c r="EKC1054" s="989"/>
      <c r="EKD1054" s="989"/>
      <c r="EKE1054" s="989"/>
      <c r="EKF1054" s="989"/>
      <c r="EKG1054" s="989"/>
      <c r="EKH1054" s="989"/>
      <c r="EKI1054" s="989"/>
      <c r="EKJ1054" s="989"/>
      <c r="EKK1054" s="989"/>
      <c r="EKL1054" s="989"/>
      <c r="EKM1054" s="989"/>
      <c r="EKN1054" s="989"/>
      <c r="EKO1054" s="989"/>
      <c r="EKP1054" s="989"/>
      <c r="EKQ1054" s="989"/>
      <c r="EKR1054" s="989"/>
      <c r="EKS1054" s="989"/>
      <c r="EKT1054" s="989"/>
      <c r="EKU1054" s="989"/>
      <c r="EKV1054" s="989"/>
      <c r="EKW1054" s="989"/>
      <c r="EKX1054" s="989"/>
      <c r="EKY1054" s="989"/>
      <c r="EKZ1054" s="989"/>
      <c r="ELA1054" s="989"/>
      <c r="ELB1054" s="989"/>
      <c r="ELC1054" s="989"/>
      <c r="ELD1054" s="989"/>
      <c r="ELE1054" s="989"/>
      <c r="ELF1054" s="989"/>
      <c r="ELG1054" s="989"/>
      <c r="ELH1054" s="989"/>
      <c r="ELI1054" s="989"/>
      <c r="ELJ1054" s="989"/>
      <c r="ELK1054" s="989"/>
      <c r="ELL1054" s="989"/>
      <c r="ELM1054" s="989"/>
      <c r="ELN1054" s="989"/>
      <c r="ELO1054" s="989"/>
      <c r="ELP1054" s="989"/>
      <c r="ELQ1054" s="989"/>
      <c r="ELR1054" s="989"/>
      <c r="ELS1054" s="989"/>
      <c r="ELT1054" s="989"/>
      <c r="ELU1054" s="989"/>
      <c r="ELV1054" s="989"/>
      <c r="ELW1054" s="989"/>
      <c r="ELX1054" s="989"/>
      <c r="ELY1054" s="989"/>
      <c r="ELZ1054" s="989"/>
      <c r="EMA1054" s="989"/>
      <c r="EMB1054" s="989"/>
      <c r="EMC1054" s="989"/>
      <c r="EMD1054" s="989"/>
      <c r="EME1054" s="989"/>
      <c r="EMF1054" s="989"/>
      <c r="EMG1054" s="989"/>
      <c r="EMH1054" s="989"/>
      <c r="EMI1054" s="989"/>
      <c r="EMJ1054" s="989"/>
      <c r="EMK1054" s="989"/>
      <c r="EML1054" s="989"/>
      <c r="EMM1054" s="989"/>
      <c r="EMN1054" s="989"/>
      <c r="EMO1054" s="989"/>
      <c r="EMP1054" s="989"/>
      <c r="EMQ1054" s="989"/>
      <c r="EMR1054" s="989"/>
      <c r="EMS1054" s="989"/>
      <c r="EMT1054" s="989"/>
      <c r="EMU1054" s="989"/>
      <c r="EMV1054" s="989"/>
      <c r="EMW1054" s="989"/>
      <c r="EMX1054" s="989"/>
      <c r="EMY1054" s="989"/>
      <c r="EMZ1054" s="989"/>
      <c r="ENA1054" s="989"/>
      <c r="ENB1054" s="989"/>
      <c r="ENC1054" s="989"/>
      <c r="END1054" s="989"/>
      <c r="ENE1054" s="989"/>
      <c r="ENF1054" s="989"/>
      <c r="ENG1054" s="989"/>
      <c r="ENH1054" s="989"/>
      <c r="ENI1054" s="989"/>
      <c r="ENJ1054" s="989"/>
      <c r="ENK1054" s="989"/>
      <c r="ENL1054" s="989"/>
      <c r="ENM1054" s="989"/>
      <c r="ENN1054" s="989"/>
      <c r="ENO1054" s="989"/>
      <c r="ENP1054" s="989"/>
      <c r="ENQ1054" s="989"/>
      <c r="ENR1054" s="989"/>
      <c r="ENS1054" s="989"/>
      <c r="ENT1054" s="989"/>
      <c r="ENU1054" s="989"/>
      <c r="ENV1054" s="989"/>
      <c r="ENW1054" s="989"/>
      <c r="ENX1054" s="989"/>
      <c r="ENY1054" s="989"/>
      <c r="ENZ1054" s="989"/>
      <c r="EOA1054" s="989"/>
      <c r="EOB1054" s="989"/>
      <c r="EOC1054" s="989"/>
      <c r="EOD1054" s="989"/>
      <c r="EOE1054" s="989"/>
      <c r="EOF1054" s="989"/>
      <c r="EOG1054" s="989"/>
      <c r="EOH1054" s="989"/>
      <c r="EOI1054" s="989"/>
      <c r="EOJ1054" s="989"/>
      <c r="EOK1054" s="989"/>
      <c r="EOL1054" s="989"/>
      <c r="EOM1054" s="989"/>
      <c r="EON1054" s="989"/>
      <c r="EOO1054" s="989"/>
      <c r="EOP1054" s="989"/>
      <c r="EOQ1054" s="989"/>
      <c r="EOR1054" s="989"/>
      <c r="EOS1054" s="989"/>
      <c r="EOT1054" s="989"/>
      <c r="EOU1054" s="989"/>
      <c r="EOV1054" s="989"/>
      <c r="EOW1054" s="989"/>
      <c r="EOX1054" s="989"/>
      <c r="EOY1054" s="989"/>
      <c r="EOZ1054" s="989"/>
      <c r="EPA1054" s="989"/>
      <c r="EPB1054" s="989"/>
      <c r="EPC1054" s="989"/>
      <c r="EPD1054" s="989"/>
      <c r="EPE1054" s="989"/>
      <c r="EPF1054" s="989"/>
      <c r="EPG1054" s="989"/>
      <c r="EPH1054" s="989"/>
      <c r="EPI1054" s="989"/>
      <c r="EPJ1054" s="989"/>
      <c r="EPK1054" s="989"/>
      <c r="EPL1054" s="989"/>
      <c r="EPM1054" s="989"/>
      <c r="EPN1054" s="989"/>
      <c r="EPO1054" s="989"/>
      <c r="EPP1054" s="989"/>
      <c r="EPQ1054" s="989"/>
      <c r="EPR1054" s="989"/>
      <c r="EPS1054" s="989"/>
      <c r="EPT1054" s="989"/>
      <c r="EPU1054" s="989"/>
      <c r="EPV1054" s="989"/>
      <c r="EPW1054" s="989"/>
      <c r="EPX1054" s="989"/>
      <c r="EPY1054" s="989"/>
      <c r="EPZ1054" s="989"/>
      <c r="EQA1054" s="989"/>
      <c r="EQB1054" s="989"/>
      <c r="EQC1054" s="989"/>
      <c r="EQD1054" s="989"/>
      <c r="EQE1054" s="989"/>
      <c r="EQF1054" s="989"/>
      <c r="EQG1054" s="989"/>
      <c r="EQH1054" s="989"/>
      <c r="EQI1054" s="989"/>
      <c r="EQJ1054" s="989"/>
      <c r="EQK1054" s="989"/>
      <c r="EQL1054" s="989"/>
      <c r="EQM1054" s="989"/>
      <c r="EQN1054" s="989"/>
      <c r="EQO1054" s="989"/>
      <c r="EQP1054" s="989"/>
      <c r="EQQ1054" s="989"/>
      <c r="EQR1054" s="989"/>
      <c r="EQS1054" s="989"/>
      <c r="EQT1054" s="989"/>
      <c r="EQU1054" s="989"/>
      <c r="EQV1054" s="989"/>
      <c r="EQW1054" s="989"/>
      <c r="EQX1054" s="989"/>
      <c r="EQY1054" s="989"/>
      <c r="EQZ1054" s="989"/>
      <c r="ERA1054" s="989"/>
      <c r="ERB1054" s="989"/>
      <c r="ERC1054" s="989"/>
      <c r="ERD1054" s="989"/>
      <c r="ERE1054" s="989"/>
      <c r="ERF1054" s="989"/>
      <c r="ERG1054" s="989"/>
      <c r="ERH1054" s="989"/>
      <c r="ERI1054" s="989"/>
      <c r="ERJ1054" s="989"/>
      <c r="ERK1054" s="989"/>
      <c r="ERL1054" s="989"/>
      <c r="ERM1054" s="989"/>
      <c r="ERN1054" s="989"/>
      <c r="ERO1054" s="989"/>
      <c r="ERP1054" s="989"/>
      <c r="ERQ1054" s="989"/>
      <c r="ERR1054" s="989"/>
      <c r="ERS1054" s="989"/>
      <c r="ERT1054" s="989"/>
      <c r="ERU1054" s="989"/>
      <c r="ERV1054" s="989"/>
      <c r="ERW1054" s="989"/>
      <c r="ERX1054" s="989"/>
      <c r="ERY1054" s="989"/>
      <c r="ERZ1054" s="989"/>
      <c r="ESA1054" s="989"/>
      <c r="ESB1054" s="989"/>
      <c r="ESC1054" s="989"/>
      <c r="ESD1054" s="989"/>
      <c r="ESE1054" s="989"/>
      <c r="ESF1054" s="989"/>
      <c r="ESG1054" s="989"/>
      <c r="ESH1054" s="989"/>
      <c r="ESI1054" s="989"/>
      <c r="ESJ1054" s="989"/>
      <c r="ESK1054" s="989"/>
      <c r="ESL1054" s="989"/>
      <c r="ESM1054" s="989"/>
      <c r="ESN1054" s="989"/>
      <c r="ESO1054" s="989"/>
      <c r="ESP1054" s="989"/>
      <c r="ESQ1054" s="989"/>
      <c r="ESR1054" s="989"/>
      <c r="ESS1054" s="989"/>
      <c r="EST1054" s="989"/>
      <c r="ESU1054" s="989"/>
      <c r="ESV1054" s="989"/>
      <c r="ESW1054" s="989"/>
      <c r="ESX1054" s="989"/>
      <c r="ESY1054" s="989"/>
      <c r="ESZ1054" s="989"/>
      <c r="ETA1054" s="989"/>
      <c r="ETB1054" s="989"/>
      <c r="ETC1054" s="989"/>
      <c r="ETD1054" s="989"/>
      <c r="ETE1054" s="989"/>
      <c r="ETF1054" s="989"/>
      <c r="ETG1054" s="989"/>
      <c r="ETH1054" s="989"/>
      <c r="ETI1054" s="989"/>
      <c r="ETJ1054" s="989"/>
      <c r="ETK1054" s="989"/>
      <c r="ETL1054" s="989"/>
      <c r="ETM1054" s="989"/>
      <c r="ETN1054" s="989"/>
      <c r="ETO1054" s="989"/>
      <c r="ETP1054" s="989"/>
      <c r="ETQ1054" s="989"/>
      <c r="ETR1054" s="989"/>
      <c r="ETS1054" s="989"/>
      <c r="ETT1054" s="989"/>
      <c r="ETU1054" s="989"/>
      <c r="ETV1054" s="989"/>
      <c r="ETW1054" s="989"/>
      <c r="ETX1054" s="989"/>
      <c r="ETY1054" s="989"/>
      <c r="ETZ1054" s="989"/>
      <c r="EUA1054" s="989"/>
      <c r="EUB1054" s="989"/>
      <c r="EUC1054" s="989"/>
      <c r="EUD1054" s="989"/>
      <c r="EUE1054" s="989"/>
      <c r="EUF1054" s="989"/>
      <c r="EUG1054" s="989"/>
      <c r="EUH1054" s="989"/>
      <c r="EUI1054" s="989"/>
      <c r="EUJ1054" s="989"/>
      <c r="EUK1054" s="989"/>
      <c r="EUL1054" s="989"/>
      <c r="EUM1054" s="989"/>
      <c r="EUN1054" s="989"/>
      <c r="EUO1054" s="989"/>
      <c r="EUP1054" s="989"/>
      <c r="EUQ1054" s="989"/>
      <c r="EUR1054" s="989"/>
      <c r="EUS1054" s="989"/>
      <c r="EUT1054" s="989"/>
      <c r="EUU1054" s="989"/>
      <c r="EUV1054" s="989"/>
      <c r="EUW1054" s="989"/>
      <c r="EUX1054" s="989"/>
      <c r="EUY1054" s="989"/>
      <c r="EUZ1054" s="989"/>
      <c r="EVA1054" s="989"/>
      <c r="EVB1054" s="989"/>
      <c r="EVC1054" s="989"/>
      <c r="EVD1054" s="989"/>
      <c r="EVE1054" s="989"/>
      <c r="EVF1054" s="989"/>
      <c r="EVG1054" s="989"/>
      <c r="EVH1054" s="989"/>
      <c r="EVI1054" s="989"/>
      <c r="EVJ1054" s="989"/>
      <c r="EVK1054" s="989"/>
      <c r="EVL1054" s="989"/>
      <c r="EVM1054" s="989"/>
      <c r="EVN1054" s="989"/>
      <c r="EVO1054" s="989"/>
      <c r="EVP1054" s="989"/>
      <c r="EVQ1054" s="989"/>
      <c r="EVR1054" s="989"/>
      <c r="EVS1054" s="989"/>
      <c r="EVT1054" s="989"/>
      <c r="EVU1054" s="989"/>
      <c r="EVV1054" s="989"/>
      <c r="EVW1054" s="989"/>
      <c r="EVX1054" s="989"/>
      <c r="EVY1054" s="989"/>
      <c r="EVZ1054" s="989"/>
      <c r="EWA1054" s="989"/>
      <c r="EWB1054" s="989"/>
      <c r="EWC1054" s="989"/>
      <c r="EWD1054" s="989"/>
      <c r="EWE1054" s="989"/>
      <c r="EWF1054" s="989"/>
      <c r="EWG1054" s="989"/>
      <c r="EWH1054" s="989"/>
      <c r="EWI1054" s="989"/>
      <c r="EWJ1054" s="989"/>
      <c r="EWK1054" s="989"/>
      <c r="EWL1054" s="989"/>
      <c r="EWM1054" s="989"/>
      <c r="EWN1054" s="989"/>
      <c r="EWO1054" s="989"/>
      <c r="EWP1054" s="989"/>
      <c r="EWQ1054" s="989"/>
      <c r="EWR1054" s="989"/>
      <c r="EWS1054" s="989"/>
      <c r="EWT1054" s="989"/>
      <c r="EWU1054" s="989"/>
      <c r="EWV1054" s="989"/>
      <c r="EWW1054" s="989"/>
      <c r="EWX1054" s="989"/>
      <c r="EWY1054" s="989"/>
      <c r="EWZ1054" s="989"/>
      <c r="EXA1054" s="989"/>
      <c r="EXB1054" s="989"/>
      <c r="EXC1054" s="989"/>
      <c r="EXD1054" s="989"/>
      <c r="EXE1054" s="989"/>
      <c r="EXF1054" s="989"/>
      <c r="EXG1054" s="989"/>
      <c r="EXH1054" s="989"/>
      <c r="EXI1054" s="989"/>
      <c r="EXJ1054" s="989"/>
      <c r="EXK1054" s="989"/>
      <c r="EXL1054" s="989"/>
      <c r="EXM1054" s="989"/>
      <c r="EXN1054" s="989"/>
      <c r="EXO1054" s="989"/>
      <c r="EXP1054" s="989"/>
      <c r="EXQ1054" s="989"/>
      <c r="EXR1054" s="989"/>
      <c r="EXS1054" s="989"/>
      <c r="EXT1054" s="989"/>
      <c r="EXU1054" s="989"/>
      <c r="EXV1054" s="989"/>
      <c r="EXW1054" s="989"/>
      <c r="EXX1054" s="989"/>
      <c r="EXY1054" s="989"/>
      <c r="EXZ1054" s="989"/>
      <c r="EYA1054" s="989"/>
      <c r="EYB1054" s="989"/>
      <c r="EYC1054" s="989"/>
      <c r="EYD1054" s="989"/>
      <c r="EYE1054" s="989"/>
      <c r="EYF1054" s="989"/>
      <c r="EYG1054" s="989"/>
      <c r="EYH1054" s="989"/>
      <c r="EYI1054" s="989"/>
      <c r="EYJ1054" s="989"/>
      <c r="EYK1054" s="989"/>
      <c r="EYL1054" s="989"/>
      <c r="EYM1054" s="989"/>
      <c r="EYN1054" s="989"/>
      <c r="EYO1054" s="989"/>
      <c r="EYP1054" s="989"/>
      <c r="EYQ1054" s="989"/>
      <c r="EYR1054" s="989"/>
      <c r="EYS1054" s="989"/>
      <c r="EYT1054" s="989"/>
      <c r="EYU1054" s="989"/>
      <c r="EYV1054" s="989"/>
      <c r="EYW1054" s="989"/>
      <c r="EYX1054" s="989"/>
      <c r="EYY1054" s="989"/>
      <c r="EYZ1054" s="989"/>
      <c r="EZA1054" s="989"/>
      <c r="EZB1054" s="989"/>
      <c r="EZC1054" s="989"/>
      <c r="EZD1054" s="989"/>
      <c r="EZE1054" s="989"/>
      <c r="EZF1054" s="989"/>
      <c r="EZG1054" s="989"/>
      <c r="EZH1054" s="989"/>
      <c r="EZI1054" s="989"/>
      <c r="EZJ1054" s="989"/>
      <c r="EZK1054" s="989"/>
      <c r="EZL1054" s="989"/>
      <c r="EZM1054" s="989"/>
      <c r="EZN1054" s="989"/>
      <c r="EZO1054" s="989"/>
      <c r="EZP1054" s="989"/>
      <c r="EZQ1054" s="989"/>
      <c r="EZR1054" s="989"/>
      <c r="EZS1054" s="989"/>
      <c r="EZT1054" s="989"/>
      <c r="EZU1054" s="989"/>
      <c r="EZV1054" s="989"/>
      <c r="EZW1054" s="989"/>
      <c r="EZX1054" s="989"/>
      <c r="EZY1054" s="989"/>
      <c r="EZZ1054" s="989"/>
      <c r="FAA1054" s="989"/>
      <c r="FAB1054" s="989"/>
      <c r="FAC1054" s="989"/>
      <c r="FAD1054" s="989"/>
      <c r="FAE1054" s="989"/>
      <c r="FAF1054" s="989"/>
      <c r="FAG1054" s="989"/>
      <c r="FAH1054" s="989"/>
      <c r="FAI1054" s="989"/>
      <c r="FAJ1054" s="989"/>
      <c r="FAK1054" s="989"/>
      <c r="FAL1054" s="989"/>
      <c r="FAM1054" s="989"/>
      <c r="FAN1054" s="989"/>
      <c r="FAO1054" s="989"/>
      <c r="FAP1054" s="989"/>
      <c r="FAQ1054" s="989"/>
      <c r="FAR1054" s="989"/>
      <c r="FAS1054" s="989"/>
      <c r="FAT1054" s="989"/>
      <c r="FAU1054" s="989"/>
      <c r="FAV1054" s="989"/>
      <c r="FAW1054" s="989"/>
      <c r="FAX1054" s="989"/>
      <c r="FAY1054" s="989"/>
      <c r="FAZ1054" s="989"/>
      <c r="FBA1054" s="989"/>
      <c r="FBB1054" s="989"/>
      <c r="FBC1054" s="989"/>
      <c r="FBD1054" s="989"/>
      <c r="FBE1054" s="989"/>
      <c r="FBF1054" s="989"/>
      <c r="FBG1054" s="989"/>
      <c r="FBH1054" s="989"/>
      <c r="FBI1054" s="989"/>
      <c r="FBJ1054" s="989"/>
      <c r="FBK1054" s="989"/>
      <c r="FBL1054" s="989"/>
      <c r="FBM1054" s="989"/>
      <c r="FBN1054" s="989"/>
      <c r="FBO1054" s="989"/>
      <c r="FBP1054" s="989"/>
      <c r="FBQ1054" s="989"/>
      <c r="FBR1054" s="989"/>
      <c r="FBS1054" s="989"/>
      <c r="FBT1054" s="989"/>
      <c r="FBU1054" s="989"/>
      <c r="FBV1054" s="989"/>
      <c r="FBW1054" s="989"/>
      <c r="FBX1054" s="989"/>
      <c r="FBY1054" s="989"/>
      <c r="FBZ1054" s="989"/>
      <c r="FCA1054" s="989"/>
      <c r="FCB1054" s="989"/>
      <c r="FCC1054" s="989"/>
      <c r="FCD1054" s="989"/>
      <c r="FCE1054" s="989"/>
      <c r="FCF1054" s="989"/>
      <c r="FCG1054" s="989"/>
      <c r="FCH1054" s="989"/>
      <c r="FCI1054" s="989"/>
      <c r="FCJ1054" s="989"/>
      <c r="FCK1054" s="989"/>
      <c r="FCL1054" s="989"/>
      <c r="FCM1054" s="989"/>
      <c r="FCN1054" s="989"/>
      <c r="FCO1054" s="989"/>
      <c r="FCP1054" s="989"/>
      <c r="FCQ1054" s="989"/>
      <c r="FCR1054" s="989"/>
      <c r="FCS1054" s="989"/>
      <c r="FCT1054" s="989"/>
      <c r="FCU1054" s="989"/>
      <c r="FCV1054" s="989"/>
      <c r="FCW1054" s="989"/>
      <c r="FCX1054" s="989"/>
      <c r="FCY1054" s="989"/>
      <c r="FCZ1054" s="989"/>
      <c r="FDA1054" s="989"/>
      <c r="FDB1054" s="989"/>
      <c r="FDC1054" s="989"/>
      <c r="FDD1054" s="989"/>
      <c r="FDE1054" s="989"/>
      <c r="FDF1054" s="989"/>
      <c r="FDG1054" s="989"/>
      <c r="FDH1054" s="989"/>
      <c r="FDI1054" s="989"/>
      <c r="FDJ1054" s="989"/>
      <c r="FDK1054" s="989"/>
      <c r="FDL1054" s="989"/>
      <c r="FDM1054" s="989"/>
      <c r="FDN1054" s="989"/>
      <c r="FDO1054" s="989"/>
      <c r="FDP1054" s="989"/>
      <c r="FDQ1054" s="989"/>
      <c r="FDR1054" s="989"/>
      <c r="FDS1054" s="989"/>
      <c r="FDT1054" s="989"/>
      <c r="FDU1054" s="989"/>
      <c r="FDV1054" s="989"/>
      <c r="FDW1054" s="989"/>
      <c r="FDX1054" s="989"/>
      <c r="FDY1054" s="989"/>
      <c r="FDZ1054" s="989"/>
      <c r="FEA1054" s="989"/>
      <c r="FEB1054" s="989"/>
      <c r="FEC1054" s="989"/>
      <c r="FED1054" s="989"/>
      <c r="FEE1054" s="989"/>
      <c r="FEF1054" s="989"/>
      <c r="FEG1054" s="989"/>
      <c r="FEH1054" s="989"/>
      <c r="FEI1054" s="989"/>
      <c r="FEJ1054" s="989"/>
      <c r="FEK1054" s="989"/>
      <c r="FEL1054" s="989"/>
      <c r="FEM1054" s="989"/>
      <c r="FEN1054" s="989"/>
      <c r="FEO1054" s="989"/>
      <c r="FEP1054" s="989"/>
      <c r="FEQ1054" s="989"/>
      <c r="FER1054" s="989"/>
      <c r="FES1054" s="989"/>
      <c r="FET1054" s="989"/>
      <c r="FEU1054" s="989"/>
      <c r="FEV1054" s="989"/>
      <c r="FEW1054" s="989"/>
      <c r="FEX1054" s="989"/>
      <c r="FEY1054" s="989"/>
      <c r="FEZ1054" s="989"/>
      <c r="FFA1054" s="989"/>
      <c r="FFB1054" s="989"/>
      <c r="FFC1054" s="989"/>
      <c r="FFD1054" s="989"/>
      <c r="FFE1054" s="989"/>
      <c r="FFF1054" s="989"/>
      <c r="FFG1054" s="989"/>
      <c r="FFH1054" s="989"/>
      <c r="FFI1054" s="989"/>
      <c r="FFJ1054" s="989"/>
      <c r="FFK1054" s="989"/>
      <c r="FFL1054" s="989"/>
      <c r="FFM1054" s="989"/>
      <c r="FFN1054" s="989"/>
      <c r="FFO1054" s="989"/>
      <c r="FFP1054" s="989"/>
      <c r="FFQ1054" s="989"/>
      <c r="FFR1054" s="989"/>
      <c r="FFS1054" s="989"/>
      <c r="FFT1054" s="989"/>
      <c r="FFU1054" s="989"/>
      <c r="FFV1054" s="989"/>
      <c r="FFW1054" s="989"/>
      <c r="FFX1054" s="989"/>
      <c r="FFY1054" s="989"/>
      <c r="FFZ1054" s="989"/>
      <c r="FGA1054" s="989"/>
      <c r="FGB1054" s="989"/>
      <c r="FGC1054" s="989"/>
      <c r="FGD1054" s="989"/>
      <c r="FGE1054" s="989"/>
      <c r="FGF1054" s="989"/>
      <c r="FGG1054" s="989"/>
      <c r="FGH1054" s="989"/>
      <c r="FGI1054" s="989"/>
      <c r="FGJ1054" s="989"/>
      <c r="FGK1054" s="989"/>
      <c r="FGL1054" s="989"/>
      <c r="FGM1054" s="989"/>
      <c r="FGN1054" s="989"/>
      <c r="FGO1054" s="989"/>
      <c r="FGP1054" s="989"/>
      <c r="FGQ1054" s="989"/>
      <c r="FGR1054" s="989"/>
      <c r="FGS1054" s="989"/>
      <c r="FGT1054" s="989"/>
      <c r="FGU1054" s="989"/>
      <c r="FGV1054" s="989"/>
      <c r="FGW1054" s="989"/>
      <c r="FGX1054" s="989"/>
      <c r="FGY1054" s="989"/>
      <c r="FGZ1054" s="989"/>
      <c r="FHA1054" s="989"/>
      <c r="FHB1054" s="989"/>
      <c r="FHC1054" s="989"/>
      <c r="FHD1054" s="989"/>
      <c r="FHE1054" s="989"/>
      <c r="FHF1054" s="989"/>
      <c r="FHG1054" s="989"/>
      <c r="FHH1054" s="989"/>
      <c r="FHI1054" s="989"/>
      <c r="FHJ1054" s="989"/>
      <c r="FHK1054" s="989"/>
      <c r="FHL1054" s="989"/>
      <c r="FHM1054" s="989"/>
      <c r="FHN1054" s="989"/>
      <c r="FHO1054" s="989"/>
      <c r="FHP1054" s="989"/>
      <c r="FHQ1054" s="989"/>
      <c r="FHR1054" s="989"/>
      <c r="FHS1054" s="989"/>
      <c r="FHT1054" s="989"/>
      <c r="FHU1054" s="989"/>
      <c r="FHV1054" s="989"/>
      <c r="FHW1054" s="989"/>
      <c r="FHX1054" s="989"/>
      <c r="FHY1054" s="989"/>
      <c r="FHZ1054" s="989"/>
      <c r="FIA1054" s="989"/>
      <c r="FIB1054" s="989"/>
      <c r="FIC1054" s="989"/>
      <c r="FID1054" s="989"/>
      <c r="FIE1054" s="989"/>
      <c r="FIF1054" s="989"/>
      <c r="FIG1054" s="989"/>
      <c r="FIH1054" s="989"/>
      <c r="FII1054" s="989"/>
      <c r="FIJ1054" s="989"/>
      <c r="FIK1054" s="989"/>
      <c r="FIL1054" s="989"/>
      <c r="FIM1054" s="989"/>
      <c r="FIN1054" s="989"/>
      <c r="FIO1054" s="989"/>
      <c r="FIP1054" s="989"/>
      <c r="FIQ1054" s="989"/>
      <c r="FIR1054" s="989"/>
      <c r="FIS1054" s="989"/>
      <c r="FIT1054" s="989"/>
      <c r="FIU1054" s="989"/>
      <c r="FIV1054" s="989"/>
      <c r="FIW1054" s="989"/>
      <c r="FIX1054" s="989"/>
      <c r="FIY1054" s="989"/>
      <c r="FIZ1054" s="989"/>
      <c r="FJA1054" s="989"/>
      <c r="FJB1054" s="989"/>
      <c r="FJC1054" s="989"/>
      <c r="FJD1054" s="989"/>
      <c r="FJE1054" s="989"/>
      <c r="FJF1054" s="989"/>
      <c r="FJG1054" s="989"/>
      <c r="FJH1054" s="989"/>
      <c r="FJI1054" s="989"/>
      <c r="FJJ1054" s="989"/>
      <c r="FJK1054" s="989"/>
      <c r="FJL1054" s="989"/>
      <c r="FJM1054" s="989"/>
      <c r="FJN1054" s="989"/>
      <c r="FJO1054" s="989"/>
      <c r="FJP1054" s="989"/>
      <c r="FJQ1054" s="989"/>
      <c r="FJR1054" s="989"/>
      <c r="FJS1054" s="989"/>
      <c r="FJT1054" s="989"/>
      <c r="FJU1054" s="989"/>
      <c r="FJV1054" s="989"/>
      <c r="FJW1054" s="989"/>
      <c r="FJX1054" s="989"/>
      <c r="FJY1054" s="989"/>
      <c r="FJZ1054" s="989"/>
      <c r="FKA1054" s="989"/>
      <c r="FKB1054" s="989"/>
      <c r="FKC1054" s="989"/>
      <c r="FKD1054" s="989"/>
      <c r="FKE1054" s="989"/>
      <c r="FKF1054" s="989"/>
      <c r="FKG1054" s="989"/>
      <c r="FKH1054" s="989"/>
      <c r="FKI1054" s="989"/>
      <c r="FKJ1054" s="989"/>
      <c r="FKK1054" s="989"/>
      <c r="FKL1054" s="989"/>
      <c r="FKM1054" s="989"/>
      <c r="FKN1054" s="989"/>
      <c r="FKO1054" s="989"/>
      <c r="FKP1054" s="989"/>
      <c r="FKQ1054" s="989"/>
      <c r="FKR1054" s="989"/>
      <c r="FKS1054" s="989"/>
      <c r="FKT1054" s="989"/>
      <c r="FKU1054" s="989"/>
      <c r="FKV1054" s="989"/>
      <c r="FKW1054" s="989"/>
      <c r="FKX1054" s="989"/>
      <c r="FKY1054" s="989"/>
      <c r="FKZ1054" s="989"/>
      <c r="FLA1054" s="989"/>
      <c r="FLB1054" s="989"/>
      <c r="FLC1054" s="989"/>
      <c r="FLD1054" s="989"/>
      <c r="FLE1054" s="989"/>
      <c r="FLF1054" s="989"/>
      <c r="FLG1054" s="989"/>
      <c r="FLH1054" s="989"/>
      <c r="FLI1054" s="989"/>
      <c r="FLJ1054" s="989"/>
      <c r="FLK1054" s="989"/>
      <c r="FLL1054" s="989"/>
      <c r="FLM1054" s="989"/>
      <c r="FLN1054" s="989"/>
      <c r="FLO1054" s="989"/>
      <c r="FLP1054" s="989"/>
      <c r="FLQ1054" s="989"/>
      <c r="FLR1054" s="989"/>
      <c r="FLS1054" s="989"/>
      <c r="FLT1054" s="989"/>
      <c r="FLU1054" s="989"/>
      <c r="FLV1054" s="989"/>
      <c r="FLW1054" s="989"/>
      <c r="FLX1054" s="989"/>
      <c r="FLY1054" s="989"/>
      <c r="FLZ1054" s="989"/>
      <c r="FMA1054" s="989"/>
      <c r="FMB1054" s="989"/>
      <c r="FMC1054" s="989"/>
      <c r="FMD1054" s="989"/>
      <c r="FME1054" s="989"/>
      <c r="FMF1054" s="989"/>
      <c r="FMG1054" s="989"/>
      <c r="FMH1054" s="989"/>
      <c r="FMI1054" s="989"/>
      <c r="FMJ1054" s="989"/>
      <c r="FMK1054" s="989"/>
      <c r="FML1054" s="989"/>
      <c r="FMM1054" s="989"/>
      <c r="FMN1054" s="989"/>
      <c r="FMO1054" s="989"/>
      <c r="FMP1054" s="989"/>
      <c r="FMQ1054" s="989"/>
      <c r="FMR1054" s="989"/>
      <c r="FMS1054" s="989"/>
      <c r="FMT1054" s="989"/>
      <c r="FMU1054" s="989"/>
      <c r="FMV1054" s="989"/>
      <c r="FMW1054" s="989"/>
      <c r="FMX1054" s="989"/>
      <c r="FMY1054" s="989"/>
      <c r="FMZ1054" s="989"/>
      <c r="FNA1054" s="989"/>
      <c r="FNB1054" s="989"/>
      <c r="FNC1054" s="989"/>
      <c r="FND1054" s="989"/>
      <c r="FNE1054" s="989"/>
      <c r="FNF1054" s="989"/>
      <c r="FNG1054" s="989"/>
      <c r="FNH1054" s="989"/>
      <c r="FNI1054" s="989"/>
      <c r="FNJ1054" s="989"/>
      <c r="FNK1054" s="989"/>
      <c r="FNL1054" s="989"/>
      <c r="FNM1054" s="989"/>
      <c r="FNN1054" s="989"/>
      <c r="FNO1054" s="989"/>
      <c r="FNP1054" s="989"/>
      <c r="FNQ1054" s="989"/>
      <c r="FNR1054" s="989"/>
      <c r="FNS1054" s="989"/>
      <c r="FNT1054" s="989"/>
      <c r="FNU1054" s="989"/>
      <c r="FNV1054" s="989"/>
      <c r="FNW1054" s="989"/>
      <c r="FNX1054" s="989"/>
      <c r="FNY1054" s="989"/>
      <c r="FNZ1054" s="989"/>
      <c r="FOA1054" s="989"/>
      <c r="FOB1054" s="989"/>
      <c r="FOC1054" s="989"/>
      <c r="FOD1054" s="989"/>
      <c r="FOE1054" s="989"/>
      <c r="FOF1054" s="989"/>
      <c r="FOG1054" s="989"/>
      <c r="FOH1054" s="989"/>
      <c r="FOI1054" s="989"/>
      <c r="FOJ1054" s="989"/>
      <c r="FOK1054" s="989"/>
      <c r="FOL1054" s="989"/>
      <c r="FOM1054" s="989"/>
      <c r="FON1054" s="989"/>
      <c r="FOO1054" s="989"/>
      <c r="FOP1054" s="989"/>
      <c r="FOQ1054" s="989"/>
      <c r="FOR1054" s="989"/>
      <c r="FOS1054" s="989"/>
      <c r="FOT1054" s="989"/>
      <c r="FOU1054" s="989"/>
      <c r="FOV1054" s="989"/>
      <c r="FOW1054" s="989"/>
      <c r="FOX1054" s="989"/>
      <c r="FOY1054" s="989"/>
      <c r="FOZ1054" s="989"/>
      <c r="FPA1054" s="989"/>
      <c r="FPB1054" s="989"/>
      <c r="FPC1054" s="989"/>
      <c r="FPD1054" s="989"/>
      <c r="FPE1054" s="989"/>
      <c r="FPF1054" s="989"/>
      <c r="FPG1054" s="989"/>
      <c r="FPH1054" s="989"/>
      <c r="FPI1054" s="989"/>
      <c r="FPJ1054" s="989"/>
      <c r="FPK1054" s="989"/>
      <c r="FPL1054" s="989"/>
      <c r="FPM1054" s="989"/>
      <c r="FPN1054" s="989"/>
      <c r="FPO1054" s="989"/>
      <c r="FPP1054" s="989"/>
      <c r="FPQ1054" s="989"/>
      <c r="FPR1054" s="989"/>
      <c r="FPS1054" s="989"/>
      <c r="FPT1054" s="989"/>
      <c r="FPU1054" s="989"/>
      <c r="FPV1054" s="989"/>
      <c r="FPW1054" s="989"/>
      <c r="FPX1054" s="989"/>
      <c r="FPY1054" s="989"/>
      <c r="FPZ1054" s="989"/>
      <c r="FQA1054" s="989"/>
      <c r="FQB1054" s="989"/>
      <c r="FQC1054" s="989"/>
      <c r="FQD1054" s="989"/>
      <c r="FQE1054" s="989"/>
      <c r="FQF1054" s="989"/>
      <c r="FQG1054" s="989"/>
      <c r="FQH1054" s="989"/>
      <c r="FQI1054" s="989"/>
      <c r="FQJ1054" s="989"/>
      <c r="FQK1054" s="989"/>
      <c r="FQL1054" s="989"/>
      <c r="FQM1054" s="989"/>
      <c r="FQN1054" s="989"/>
      <c r="FQO1054" s="989"/>
      <c r="FQP1054" s="989"/>
      <c r="FQQ1054" s="989"/>
      <c r="FQR1054" s="989"/>
      <c r="FQS1054" s="989"/>
      <c r="FQT1054" s="989"/>
      <c r="FQU1054" s="989"/>
      <c r="FQV1054" s="989"/>
      <c r="FQW1054" s="989"/>
      <c r="FQX1054" s="989"/>
      <c r="FQY1054" s="989"/>
      <c r="FQZ1054" s="989"/>
      <c r="FRA1054" s="989"/>
      <c r="FRB1054" s="989"/>
      <c r="FRC1054" s="989"/>
      <c r="FRD1054" s="989"/>
      <c r="FRE1054" s="989"/>
      <c r="FRF1054" s="989"/>
      <c r="FRG1054" s="989"/>
      <c r="FRH1054" s="989"/>
      <c r="FRI1054" s="989"/>
      <c r="FRJ1054" s="989"/>
      <c r="FRK1054" s="989"/>
      <c r="FRL1054" s="989"/>
      <c r="FRM1054" s="989"/>
      <c r="FRN1054" s="989"/>
      <c r="FRO1054" s="989"/>
      <c r="FRP1054" s="989"/>
      <c r="FRQ1054" s="989"/>
      <c r="FRR1054" s="989"/>
      <c r="FRS1054" s="989"/>
      <c r="FRT1054" s="989"/>
      <c r="FRU1054" s="989"/>
      <c r="FRV1054" s="989"/>
      <c r="FRW1054" s="989"/>
      <c r="FRX1054" s="989"/>
      <c r="FRY1054" s="989"/>
      <c r="FRZ1054" s="989"/>
      <c r="FSA1054" s="989"/>
      <c r="FSB1054" s="989"/>
      <c r="FSC1054" s="989"/>
      <c r="FSD1054" s="989"/>
      <c r="FSE1054" s="989"/>
      <c r="FSF1054" s="989"/>
      <c r="FSG1054" s="989"/>
      <c r="FSH1054" s="989"/>
      <c r="FSI1054" s="989"/>
      <c r="FSJ1054" s="989"/>
      <c r="FSK1054" s="989"/>
      <c r="FSL1054" s="989"/>
      <c r="FSM1054" s="989"/>
      <c r="FSN1054" s="989"/>
      <c r="FSO1054" s="989"/>
      <c r="FSP1054" s="989"/>
      <c r="FSQ1054" s="989"/>
      <c r="FSR1054" s="989"/>
      <c r="FSS1054" s="989"/>
      <c r="FST1054" s="989"/>
      <c r="FSU1054" s="989"/>
      <c r="FSV1054" s="989"/>
      <c r="FSW1054" s="989"/>
      <c r="FSX1054" s="989"/>
      <c r="FSY1054" s="989"/>
      <c r="FSZ1054" s="989"/>
      <c r="FTA1054" s="989"/>
      <c r="FTB1054" s="989"/>
      <c r="FTC1054" s="989"/>
      <c r="FTD1054" s="989"/>
      <c r="FTE1054" s="989"/>
      <c r="FTF1054" s="989"/>
      <c r="FTG1054" s="989"/>
      <c r="FTH1054" s="989"/>
      <c r="FTI1054" s="989"/>
      <c r="FTJ1054" s="989"/>
      <c r="FTK1054" s="989"/>
      <c r="FTL1054" s="989"/>
      <c r="FTM1054" s="989"/>
      <c r="FTN1054" s="989"/>
      <c r="FTO1054" s="989"/>
      <c r="FTP1054" s="989"/>
      <c r="FTQ1054" s="989"/>
      <c r="FTR1054" s="989"/>
      <c r="FTS1054" s="989"/>
      <c r="FTT1054" s="989"/>
      <c r="FTU1054" s="989"/>
      <c r="FTV1054" s="989"/>
      <c r="FTW1054" s="989"/>
      <c r="FTX1054" s="989"/>
      <c r="FTY1054" s="989"/>
      <c r="FTZ1054" s="989"/>
      <c r="FUA1054" s="989"/>
      <c r="FUB1054" s="989"/>
      <c r="FUC1054" s="989"/>
      <c r="FUD1054" s="989"/>
      <c r="FUE1054" s="989"/>
      <c r="FUF1054" s="989"/>
      <c r="FUG1054" s="989"/>
      <c r="FUH1054" s="989"/>
      <c r="FUI1054" s="989"/>
      <c r="FUJ1054" s="989"/>
      <c r="FUK1054" s="989"/>
      <c r="FUL1054" s="989"/>
      <c r="FUM1054" s="989"/>
      <c r="FUN1054" s="989"/>
      <c r="FUO1054" s="989"/>
      <c r="FUP1054" s="989"/>
      <c r="FUQ1054" s="989"/>
      <c r="FUR1054" s="989"/>
      <c r="FUS1054" s="989"/>
      <c r="FUT1054" s="989"/>
      <c r="FUU1054" s="989"/>
      <c r="FUV1054" s="989"/>
      <c r="FUW1054" s="989"/>
      <c r="FUX1054" s="989"/>
      <c r="FUY1054" s="989"/>
      <c r="FUZ1054" s="989"/>
      <c r="FVA1054" s="989"/>
      <c r="FVB1054" s="989"/>
      <c r="FVC1054" s="989"/>
      <c r="FVD1054" s="989"/>
      <c r="FVE1054" s="989"/>
      <c r="FVF1054" s="989"/>
      <c r="FVG1054" s="989"/>
      <c r="FVH1054" s="989"/>
      <c r="FVI1054" s="989"/>
      <c r="FVJ1054" s="989"/>
      <c r="FVK1054" s="989"/>
      <c r="FVL1054" s="989"/>
      <c r="FVM1054" s="989"/>
      <c r="FVN1054" s="989"/>
      <c r="FVO1054" s="989"/>
      <c r="FVP1054" s="989"/>
      <c r="FVQ1054" s="989"/>
      <c r="FVR1054" s="989"/>
      <c r="FVS1054" s="989"/>
      <c r="FVT1054" s="989"/>
      <c r="FVU1054" s="989"/>
      <c r="FVV1054" s="989"/>
      <c r="FVW1054" s="989"/>
      <c r="FVX1054" s="989"/>
      <c r="FVY1054" s="989"/>
      <c r="FVZ1054" s="989"/>
      <c r="FWA1054" s="989"/>
      <c r="FWB1054" s="989"/>
      <c r="FWC1054" s="989"/>
      <c r="FWD1054" s="989"/>
      <c r="FWE1054" s="989"/>
      <c r="FWF1054" s="989"/>
      <c r="FWG1054" s="989"/>
      <c r="FWH1054" s="989"/>
      <c r="FWI1054" s="989"/>
      <c r="FWJ1054" s="989"/>
      <c r="FWK1054" s="989"/>
      <c r="FWL1054" s="989"/>
      <c r="FWM1054" s="989"/>
      <c r="FWN1054" s="989"/>
      <c r="FWO1054" s="989"/>
      <c r="FWP1054" s="989"/>
      <c r="FWQ1054" s="989"/>
      <c r="FWR1054" s="989"/>
      <c r="FWS1054" s="989"/>
      <c r="FWT1054" s="989"/>
      <c r="FWU1054" s="989"/>
      <c r="FWV1054" s="989"/>
      <c r="FWW1054" s="989"/>
      <c r="FWX1054" s="989"/>
      <c r="FWY1054" s="989"/>
      <c r="FWZ1054" s="989"/>
      <c r="FXA1054" s="989"/>
      <c r="FXB1054" s="989"/>
      <c r="FXC1054" s="989"/>
      <c r="FXD1054" s="989"/>
      <c r="FXE1054" s="989"/>
      <c r="FXF1054" s="989"/>
      <c r="FXG1054" s="989"/>
      <c r="FXH1054" s="989"/>
      <c r="FXI1054" s="989"/>
      <c r="FXJ1054" s="989"/>
      <c r="FXK1054" s="989"/>
      <c r="FXL1054" s="989"/>
      <c r="FXM1054" s="989"/>
      <c r="FXN1054" s="989"/>
      <c r="FXO1054" s="989"/>
      <c r="FXP1054" s="989"/>
      <c r="FXQ1054" s="989"/>
      <c r="FXR1054" s="989"/>
      <c r="FXS1054" s="989"/>
      <c r="FXT1054" s="989"/>
      <c r="FXU1054" s="989"/>
      <c r="FXV1054" s="989"/>
      <c r="FXW1054" s="989"/>
      <c r="FXX1054" s="989"/>
      <c r="FXY1054" s="989"/>
      <c r="FXZ1054" s="989"/>
      <c r="FYA1054" s="989"/>
      <c r="FYB1054" s="989"/>
      <c r="FYC1054" s="989"/>
      <c r="FYD1054" s="989"/>
      <c r="FYE1054" s="989"/>
      <c r="FYF1054" s="989"/>
      <c r="FYG1054" s="989"/>
      <c r="FYH1054" s="989"/>
      <c r="FYI1054" s="989"/>
      <c r="FYJ1054" s="989"/>
      <c r="FYK1054" s="989"/>
      <c r="FYL1054" s="989"/>
      <c r="FYM1054" s="989"/>
      <c r="FYN1054" s="989"/>
      <c r="FYO1054" s="989"/>
      <c r="FYP1054" s="989"/>
      <c r="FYQ1054" s="989"/>
      <c r="FYR1054" s="989"/>
      <c r="FYS1054" s="989"/>
      <c r="FYT1054" s="989"/>
      <c r="FYU1054" s="989"/>
      <c r="FYV1054" s="989"/>
      <c r="FYW1054" s="989"/>
      <c r="FYX1054" s="989"/>
      <c r="FYY1054" s="989"/>
      <c r="FYZ1054" s="989"/>
      <c r="FZA1054" s="989"/>
      <c r="FZB1054" s="989"/>
      <c r="FZC1054" s="989"/>
      <c r="FZD1054" s="989"/>
      <c r="FZE1054" s="989"/>
      <c r="FZF1054" s="989"/>
      <c r="FZG1054" s="989"/>
      <c r="FZH1054" s="989"/>
      <c r="FZI1054" s="989"/>
      <c r="FZJ1054" s="989"/>
      <c r="FZK1054" s="989"/>
      <c r="FZL1054" s="989"/>
      <c r="FZM1054" s="989"/>
      <c r="FZN1054" s="989"/>
      <c r="FZO1054" s="989"/>
      <c r="FZP1054" s="989"/>
      <c r="FZQ1054" s="989"/>
      <c r="FZR1054" s="989"/>
      <c r="FZS1054" s="989"/>
      <c r="FZT1054" s="989"/>
      <c r="FZU1054" s="989"/>
      <c r="FZV1054" s="989"/>
      <c r="FZW1054" s="989"/>
      <c r="FZX1054" s="989"/>
      <c r="FZY1054" s="989"/>
      <c r="FZZ1054" s="989"/>
      <c r="GAA1054" s="989"/>
      <c r="GAB1054" s="989"/>
      <c r="GAC1054" s="989"/>
      <c r="GAD1054" s="989"/>
      <c r="GAE1054" s="989"/>
      <c r="GAF1054" s="989"/>
      <c r="GAG1054" s="989"/>
      <c r="GAH1054" s="989"/>
      <c r="GAI1054" s="989"/>
      <c r="GAJ1054" s="989"/>
      <c r="GAK1054" s="989"/>
      <c r="GAL1054" s="989"/>
      <c r="GAM1054" s="989"/>
      <c r="GAN1054" s="989"/>
      <c r="GAO1054" s="989"/>
      <c r="GAP1054" s="989"/>
      <c r="GAQ1054" s="989"/>
      <c r="GAR1054" s="989"/>
      <c r="GAS1054" s="989"/>
      <c r="GAT1054" s="989"/>
      <c r="GAU1054" s="989"/>
      <c r="GAV1054" s="989"/>
      <c r="GAW1054" s="989"/>
      <c r="GAX1054" s="989"/>
      <c r="GAY1054" s="989"/>
      <c r="GAZ1054" s="989"/>
      <c r="GBA1054" s="989"/>
      <c r="GBB1054" s="989"/>
      <c r="GBC1054" s="989"/>
      <c r="GBD1054" s="989"/>
      <c r="GBE1054" s="989"/>
      <c r="GBF1054" s="989"/>
      <c r="GBG1054" s="989"/>
      <c r="GBH1054" s="989"/>
      <c r="GBI1054" s="989"/>
      <c r="GBJ1054" s="989"/>
      <c r="GBK1054" s="989"/>
      <c r="GBL1054" s="989"/>
      <c r="GBM1054" s="989"/>
      <c r="GBN1054" s="989"/>
      <c r="GBO1054" s="989"/>
      <c r="GBP1054" s="989"/>
      <c r="GBQ1054" s="989"/>
      <c r="GBR1054" s="989"/>
      <c r="GBS1054" s="989"/>
      <c r="GBT1054" s="989"/>
      <c r="GBU1054" s="989"/>
      <c r="GBV1054" s="989"/>
      <c r="GBW1054" s="989"/>
      <c r="GBX1054" s="989"/>
      <c r="GBY1054" s="989"/>
      <c r="GBZ1054" s="989"/>
      <c r="GCA1054" s="989"/>
      <c r="GCB1054" s="989"/>
      <c r="GCC1054" s="989"/>
      <c r="GCD1054" s="989"/>
      <c r="GCE1054" s="989"/>
      <c r="GCF1054" s="989"/>
      <c r="GCG1054" s="989"/>
      <c r="GCH1054" s="989"/>
      <c r="GCI1054" s="989"/>
      <c r="GCJ1054" s="989"/>
      <c r="GCK1054" s="989"/>
      <c r="GCL1054" s="989"/>
      <c r="GCM1054" s="989"/>
      <c r="GCN1054" s="989"/>
      <c r="GCO1054" s="989"/>
      <c r="GCP1054" s="989"/>
      <c r="GCQ1054" s="989"/>
      <c r="GCR1054" s="989"/>
      <c r="GCS1054" s="989"/>
      <c r="GCT1054" s="989"/>
      <c r="GCU1054" s="989"/>
      <c r="GCV1054" s="989"/>
      <c r="GCW1054" s="989"/>
      <c r="GCX1054" s="989"/>
      <c r="GCY1054" s="989"/>
      <c r="GCZ1054" s="989"/>
      <c r="GDA1054" s="989"/>
      <c r="GDB1054" s="989"/>
      <c r="GDC1054" s="989"/>
      <c r="GDD1054" s="989"/>
      <c r="GDE1054" s="989"/>
      <c r="GDF1054" s="989"/>
      <c r="GDG1054" s="989"/>
      <c r="GDH1054" s="989"/>
      <c r="GDI1054" s="989"/>
      <c r="GDJ1054" s="989"/>
      <c r="GDK1054" s="989"/>
      <c r="GDL1054" s="989"/>
      <c r="GDM1054" s="989"/>
      <c r="GDN1054" s="989"/>
      <c r="GDO1054" s="989"/>
      <c r="GDP1054" s="989"/>
      <c r="GDQ1054" s="989"/>
      <c r="GDR1054" s="989"/>
      <c r="GDS1054" s="989"/>
      <c r="GDT1054" s="989"/>
      <c r="GDU1054" s="989"/>
      <c r="GDV1054" s="989"/>
      <c r="GDW1054" s="989"/>
      <c r="GDX1054" s="989"/>
      <c r="GDY1054" s="989"/>
      <c r="GDZ1054" s="989"/>
      <c r="GEA1054" s="989"/>
      <c r="GEB1054" s="989"/>
      <c r="GEC1054" s="989"/>
      <c r="GED1054" s="989"/>
      <c r="GEE1054" s="989"/>
      <c r="GEF1054" s="989"/>
      <c r="GEG1054" s="989"/>
      <c r="GEH1054" s="989"/>
      <c r="GEI1054" s="989"/>
      <c r="GEJ1054" s="989"/>
      <c r="GEK1054" s="989"/>
      <c r="GEL1054" s="989"/>
      <c r="GEM1054" s="989"/>
      <c r="GEN1054" s="989"/>
      <c r="GEO1054" s="989"/>
      <c r="GEP1054" s="989"/>
      <c r="GEQ1054" s="989"/>
      <c r="GER1054" s="989"/>
      <c r="GES1054" s="989"/>
      <c r="GET1054" s="989"/>
      <c r="GEU1054" s="989"/>
      <c r="GEV1054" s="989"/>
      <c r="GEW1054" s="989"/>
      <c r="GEX1054" s="989"/>
      <c r="GEY1054" s="989"/>
      <c r="GEZ1054" s="989"/>
      <c r="GFA1054" s="989"/>
      <c r="GFB1054" s="989"/>
      <c r="GFC1054" s="989"/>
      <c r="GFD1054" s="989"/>
      <c r="GFE1054" s="989"/>
      <c r="GFF1054" s="989"/>
      <c r="GFG1054" s="989"/>
      <c r="GFH1054" s="989"/>
      <c r="GFI1054" s="989"/>
      <c r="GFJ1054" s="989"/>
      <c r="GFK1054" s="989"/>
      <c r="GFL1054" s="989"/>
      <c r="GFM1054" s="989"/>
      <c r="GFN1054" s="989"/>
      <c r="GFO1054" s="989"/>
      <c r="GFP1054" s="989"/>
      <c r="GFQ1054" s="989"/>
      <c r="GFR1054" s="989"/>
      <c r="GFS1054" s="989"/>
      <c r="GFT1054" s="989"/>
      <c r="GFU1054" s="989"/>
      <c r="GFV1054" s="989"/>
      <c r="GFW1054" s="989"/>
      <c r="GFX1054" s="989"/>
      <c r="GFY1054" s="989"/>
      <c r="GFZ1054" s="989"/>
      <c r="GGA1054" s="989"/>
      <c r="GGB1054" s="989"/>
      <c r="GGC1054" s="989"/>
      <c r="GGD1054" s="989"/>
      <c r="GGE1054" s="989"/>
      <c r="GGF1054" s="989"/>
      <c r="GGG1054" s="989"/>
      <c r="GGH1054" s="989"/>
      <c r="GGI1054" s="989"/>
      <c r="GGJ1054" s="989"/>
      <c r="GGK1054" s="989"/>
      <c r="GGL1054" s="989"/>
      <c r="GGM1054" s="989"/>
      <c r="GGN1054" s="989"/>
      <c r="GGO1054" s="989"/>
      <c r="GGP1054" s="989"/>
      <c r="GGQ1054" s="989"/>
      <c r="GGR1054" s="989"/>
      <c r="GGS1054" s="989"/>
      <c r="GGT1054" s="989"/>
      <c r="GGU1054" s="989"/>
      <c r="GGV1054" s="989"/>
      <c r="GGW1054" s="989"/>
      <c r="GGX1054" s="989"/>
      <c r="GGY1054" s="989"/>
      <c r="GGZ1054" s="989"/>
      <c r="GHA1054" s="989"/>
      <c r="GHB1054" s="989"/>
      <c r="GHC1054" s="989"/>
      <c r="GHD1054" s="989"/>
      <c r="GHE1054" s="989"/>
      <c r="GHF1054" s="989"/>
      <c r="GHG1054" s="989"/>
      <c r="GHH1054" s="989"/>
      <c r="GHI1054" s="989"/>
      <c r="GHJ1054" s="989"/>
      <c r="GHK1054" s="989"/>
      <c r="GHL1054" s="989"/>
      <c r="GHM1054" s="989"/>
      <c r="GHN1054" s="989"/>
      <c r="GHO1054" s="989"/>
      <c r="GHP1054" s="989"/>
      <c r="GHQ1054" s="989"/>
      <c r="GHR1054" s="989"/>
      <c r="GHS1054" s="989"/>
      <c r="GHT1054" s="989"/>
      <c r="GHU1054" s="989"/>
      <c r="GHV1054" s="989"/>
      <c r="GHW1054" s="989"/>
      <c r="GHX1054" s="989"/>
      <c r="GHY1054" s="989"/>
      <c r="GHZ1054" s="989"/>
      <c r="GIA1054" s="989"/>
      <c r="GIB1054" s="989"/>
      <c r="GIC1054" s="989"/>
      <c r="GID1054" s="989"/>
      <c r="GIE1054" s="989"/>
      <c r="GIF1054" s="989"/>
      <c r="GIG1054" s="989"/>
      <c r="GIH1054" s="989"/>
      <c r="GII1054" s="989"/>
      <c r="GIJ1054" s="989"/>
      <c r="GIK1054" s="989"/>
      <c r="GIL1054" s="989"/>
      <c r="GIM1054" s="989"/>
      <c r="GIN1054" s="989"/>
      <c r="GIO1054" s="989"/>
      <c r="GIP1054" s="989"/>
      <c r="GIQ1054" s="989"/>
      <c r="GIR1054" s="989"/>
      <c r="GIS1054" s="989"/>
      <c r="GIT1054" s="989"/>
      <c r="GIU1054" s="989"/>
      <c r="GIV1054" s="989"/>
      <c r="GIW1054" s="989"/>
      <c r="GIX1054" s="989"/>
      <c r="GIY1054" s="989"/>
      <c r="GIZ1054" s="989"/>
      <c r="GJA1054" s="989"/>
      <c r="GJB1054" s="989"/>
      <c r="GJC1054" s="989"/>
      <c r="GJD1054" s="989"/>
      <c r="GJE1054" s="989"/>
      <c r="GJF1054" s="989"/>
      <c r="GJG1054" s="989"/>
      <c r="GJH1054" s="989"/>
      <c r="GJI1054" s="989"/>
      <c r="GJJ1054" s="989"/>
      <c r="GJK1054" s="989"/>
      <c r="GJL1054" s="989"/>
      <c r="GJM1054" s="989"/>
      <c r="GJN1054" s="989"/>
      <c r="GJO1054" s="989"/>
      <c r="GJP1054" s="989"/>
      <c r="GJQ1054" s="989"/>
      <c r="GJR1054" s="989"/>
      <c r="GJS1054" s="989"/>
      <c r="GJT1054" s="989"/>
      <c r="GJU1054" s="989"/>
      <c r="GJV1054" s="989"/>
      <c r="GJW1054" s="989"/>
      <c r="GJX1054" s="989"/>
      <c r="GJY1054" s="989"/>
      <c r="GJZ1054" s="989"/>
      <c r="GKA1054" s="989"/>
      <c r="GKB1054" s="989"/>
      <c r="GKC1054" s="989"/>
      <c r="GKD1054" s="989"/>
      <c r="GKE1054" s="989"/>
      <c r="GKF1054" s="989"/>
      <c r="GKG1054" s="989"/>
      <c r="GKH1054" s="989"/>
      <c r="GKI1054" s="989"/>
      <c r="GKJ1054" s="989"/>
      <c r="GKK1054" s="989"/>
      <c r="GKL1054" s="989"/>
      <c r="GKM1054" s="989"/>
      <c r="GKN1054" s="989"/>
      <c r="GKO1054" s="989"/>
      <c r="GKP1054" s="989"/>
      <c r="GKQ1054" s="989"/>
      <c r="GKR1054" s="989"/>
      <c r="GKS1054" s="989"/>
      <c r="GKT1054" s="989"/>
      <c r="GKU1054" s="989"/>
      <c r="GKV1054" s="989"/>
      <c r="GKW1054" s="989"/>
      <c r="GKX1054" s="989"/>
      <c r="GKY1054" s="989"/>
      <c r="GKZ1054" s="989"/>
      <c r="GLA1054" s="989"/>
      <c r="GLB1054" s="989"/>
      <c r="GLC1054" s="989"/>
      <c r="GLD1054" s="989"/>
      <c r="GLE1054" s="989"/>
      <c r="GLF1054" s="989"/>
      <c r="GLG1054" s="989"/>
      <c r="GLH1054" s="989"/>
      <c r="GLI1054" s="989"/>
      <c r="GLJ1054" s="989"/>
      <c r="GLK1054" s="989"/>
      <c r="GLL1054" s="989"/>
      <c r="GLM1054" s="989"/>
      <c r="GLN1054" s="989"/>
      <c r="GLO1054" s="989"/>
      <c r="GLP1054" s="989"/>
      <c r="GLQ1054" s="989"/>
      <c r="GLR1054" s="989"/>
      <c r="GLS1054" s="989"/>
      <c r="GLT1054" s="989"/>
      <c r="GLU1054" s="989"/>
      <c r="GLV1054" s="989"/>
      <c r="GLW1054" s="989"/>
      <c r="GLX1054" s="989"/>
      <c r="GLY1054" s="989"/>
      <c r="GLZ1054" s="989"/>
      <c r="GMA1054" s="989"/>
      <c r="GMB1054" s="989"/>
      <c r="GMC1054" s="989"/>
      <c r="GMD1054" s="989"/>
      <c r="GME1054" s="989"/>
      <c r="GMF1054" s="989"/>
      <c r="GMG1054" s="989"/>
      <c r="GMH1054" s="989"/>
      <c r="GMI1054" s="989"/>
      <c r="GMJ1054" s="989"/>
      <c r="GMK1054" s="989"/>
      <c r="GML1054" s="989"/>
      <c r="GMM1054" s="989"/>
      <c r="GMN1054" s="989"/>
      <c r="GMO1054" s="989"/>
      <c r="GMP1054" s="989"/>
      <c r="GMQ1054" s="989"/>
      <c r="GMR1054" s="989"/>
      <c r="GMS1054" s="989"/>
      <c r="GMT1054" s="989"/>
      <c r="GMU1054" s="989"/>
      <c r="GMV1054" s="989"/>
      <c r="GMW1054" s="989"/>
      <c r="GMX1054" s="989"/>
      <c r="GMY1054" s="989"/>
      <c r="GMZ1054" s="989"/>
      <c r="GNA1054" s="989"/>
      <c r="GNB1054" s="989"/>
      <c r="GNC1054" s="989"/>
      <c r="GND1054" s="989"/>
      <c r="GNE1054" s="989"/>
      <c r="GNF1054" s="989"/>
      <c r="GNG1054" s="989"/>
      <c r="GNH1054" s="989"/>
      <c r="GNI1054" s="989"/>
      <c r="GNJ1054" s="989"/>
      <c r="GNK1054" s="989"/>
      <c r="GNL1054" s="989"/>
      <c r="GNM1054" s="989"/>
      <c r="GNN1054" s="989"/>
      <c r="GNO1054" s="989"/>
      <c r="GNP1054" s="989"/>
      <c r="GNQ1054" s="989"/>
      <c r="GNR1054" s="989"/>
      <c r="GNS1054" s="989"/>
      <c r="GNT1054" s="989"/>
      <c r="GNU1054" s="989"/>
      <c r="GNV1054" s="989"/>
      <c r="GNW1054" s="989"/>
      <c r="GNX1054" s="989"/>
      <c r="GNY1054" s="989"/>
      <c r="GNZ1054" s="989"/>
      <c r="GOA1054" s="989"/>
      <c r="GOB1054" s="989"/>
      <c r="GOC1054" s="989"/>
      <c r="GOD1054" s="989"/>
      <c r="GOE1054" s="989"/>
      <c r="GOF1054" s="989"/>
      <c r="GOG1054" s="989"/>
      <c r="GOH1054" s="989"/>
      <c r="GOI1054" s="989"/>
      <c r="GOJ1054" s="989"/>
      <c r="GOK1054" s="989"/>
      <c r="GOL1054" s="989"/>
      <c r="GOM1054" s="989"/>
      <c r="GON1054" s="989"/>
      <c r="GOO1054" s="989"/>
      <c r="GOP1054" s="989"/>
      <c r="GOQ1054" s="989"/>
      <c r="GOR1054" s="989"/>
      <c r="GOS1054" s="989"/>
      <c r="GOT1054" s="989"/>
      <c r="GOU1054" s="989"/>
      <c r="GOV1054" s="989"/>
      <c r="GOW1054" s="989"/>
      <c r="GOX1054" s="989"/>
      <c r="GOY1054" s="989"/>
      <c r="GOZ1054" s="989"/>
      <c r="GPA1054" s="989"/>
      <c r="GPB1054" s="989"/>
      <c r="GPC1054" s="989"/>
      <c r="GPD1054" s="989"/>
      <c r="GPE1054" s="989"/>
      <c r="GPF1054" s="989"/>
      <c r="GPG1054" s="989"/>
      <c r="GPH1054" s="989"/>
      <c r="GPI1054" s="989"/>
      <c r="GPJ1054" s="989"/>
      <c r="GPK1054" s="989"/>
      <c r="GPL1054" s="989"/>
      <c r="GPM1054" s="989"/>
      <c r="GPN1054" s="989"/>
      <c r="GPO1054" s="989"/>
      <c r="GPP1054" s="989"/>
      <c r="GPQ1054" s="989"/>
      <c r="GPR1054" s="989"/>
      <c r="GPS1054" s="989"/>
      <c r="GPT1054" s="989"/>
      <c r="GPU1054" s="989"/>
      <c r="GPV1054" s="989"/>
      <c r="GPW1054" s="989"/>
      <c r="GPX1054" s="989"/>
      <c r="GPY1054" s="989"/>
      <c r="GPZ1054" s="989"/>
      <c r="GQA1054" s="989"/>
      <c r="GQB1054" s="989"/>
      <c r="GQC1054" s="989"/>
      <c r="GQD1054" s="989"/>
      <c r="GQE1054" s="989"/>
      <c r="GQF1054" s="989"/>
      <c r="GQG1054" s="989"/>
      <c r="GQH1054" s="989"/>
      <c r="GQI1054" s="989"/>
      <c r="GQJ1054" s="989"/>
      <c r="GQK1054" s="989"/>
      <c r="GQL1054" s="989"/>
      <c r="GQM1054" s="989"/>
      <c r="GQN1054" s="989"/>
      <c r="GQO1054" s="989"/>
      <c r="GQP1054" s="989"/>
      <c r="GQQ1054" s="989"/>
      <c r="GQR1054" s="989"/>
      <c r="GQS1054" s="989"/>
      <c r="GQT1054" s="989"/>
      <c r="GQU1054" s="989"/>
      <c r="GQV1054" s="989"/>
      <c r="GQW1054" s="989"/>
      <c r="GQX1054" s="989"/>
      <c r="GQY1054" s="989"/>
      <c r="GQZ1054" s="989"/>
      <c r="GRA1054" s="989"/>
      <c r="GRB1054" s="989"/>
      <c r="GRC1054" s="989"/>
      <c r="GRD1054" s="989"/>
      <c r="GRE1054" s="989"/>
      <c r="GRF1054" s="989"/>
      <c r="GRG1054" s="989"/>
      <c r="GRH1054" s="989"/>
      <c r="GRI1054" s="989"/>
      <c r="GRJ1054" s="989"/>
      <c r="GRK1054" s="989"/>
      <c r="GRL1054" s="989"/>
      <c r="GRM1054" s="989"/>
      <c r="GRN1054" s="989"/>
      <c r="GRO1054" s="989"/>
      <c r="GRP1054" s="989"/>
      <c r="GRQ1054" s="989"/>
      <c r="GRR1054" s="989"/>
      <c r="GRS1054" s="989"/>
      <c r="GRT1054" s="989"/>
      <c r="GRU1054" s="989"/>
      <c r="GRV1054" s="989"/>
      <c r="GRW1054" s="989"/>
      <c r="GRX1054" s="989"/>
      <c r="GRY1054" s="989"/>
      <c r="GRZ1054" s="989"/>
      <c r="GSA1054" s="989"/>
      <c r="GSB1054" s="989"/>
      <c r="GSC1054" s="989"/>
      <c r="GSD1054" s="989"/>
      <c r="GSE1054" s="989"/>
      <c r="GSF1054" s="989"/>
      <c r="GSG1054" s="989"/>
      <c r="GSH1054" s="989"/>
      <c r="GSI1054" s="989"/>
      <c r="GSJ1054" s="989"/>
      <c r="GSK1054" s="989"/>
      <c r="GSL1054" s="989"/>
      <c r="GSM1054" s="989"/>
      <c r="GSN1054" s="989"/>
      <c r="GSO1054" s="989"/>
      <c r="GSP1054" s="989"/>
      <c r="GSQ1054" s="989"/>
      <c r="GSR1054" s="989"/>
      <c r="GSS1054" s="989"/>
      <c r="GST1054" s="989"/>
      <c r="GSU1054" s="989"/>
      <c r="GSV1054" s="989"/>
      <c r="GSW1054" s="989"/>
      <c r="GSX1054" s="989"/>
      <c r="GSY1054" s="989"/>
      <c r="GSZ1054" s="989"/>
      <c r="GTA1054" s="989"/>
      <c r="GTB1054" s="989"/>
      <c r="GTC1054" s="989"/>
      <c r="GTD1054" s="989"/>
      <c r="GTE1054" s="989"/>
      <c r="GTF1054" s="989"/>
      <c r="GTG1054" s="989"/>
      <c r="GTH1054" s="989"/>
      <c r="GTI1054" s="989"/>
      <c r="GTJ1054" s="989"/>
      <c r="GTK1054" s="989"/>
      <c r="GTL1054" s="989"/>
      <c r="GTM1054" s="989"/>
      <c r="GTN1054" s="989"/>
      <c r="GTO1054" s="989"/>
      <c r="GTP1054" s="989"/>
      <c r="GTQ1054" s="989"/>
      <c r="GTR1054" s="989"/>
      <c r="GTS1054" s="989"/>
      <c r="GTT1054" s="989"/>
      <c r="GTU1054" s="989"/>
      <c r="GTV1054" s="989"/>
      <c r="GTW1054" s="989"/>
      <c r="GTX1054" s="989"/>
      <c r="GTY1054" s="989"/>
      <c r="GTZ1054" s="989"/>
      <c r="GUA1054" s="989"/>
      <c r="GUB1054" s="989"/>
      <c r="GUC1054" s="989"/>
      <c r="GUD1054" s="989"/>
      <c r="GUE1054" s="989"/>
      <c r="GUF1054" s="989"/>
      <c r="GUG1054" s="989"/>
      <c r="GUH1054" s="989"/>
      <c r="GUI1054" s="989"/>
      <c r="GUJ1054" s="989"/>
      <c r="GUK1054" s="989"/>
      <c r="GUL1054" s="989"/>
      <c r="GUM1054" s="989"/>
      <c r="GUN1054" s="989"/>
      <c r="GUO1054" s="989"/>
      <c r="GUP1054" s="989"/>
      <c r="GUQ1054" s="989"/>
      <c r="GUR1054" s="989"/>
      <c r="GUS1054" s="989"/>
      <c r="GUT1054" s="989"/>
      <c r="GUU1054" s="989"/>
      <c r="GUV1054" s="989"/>
      <c r="GUW1054" s="989"/>
      <c r="GUX1054" s="989"/>
      <c r="GUY1054" s="989"/>
      <c r="GUZ1054" s="989"/>
      <c r="GVA1054" s="989"/>
      <c r="GVB1054" s="989"/>
      <c r="GVC1054" s="989"/>
      <c r="GVD1054" s="989"/>
      <c r="GVE1054" s="989"/>
      <c r="GVF1054" s="989"/>
      <c r="GVG1054" s="989"/>
      <c r="GVH1054" s="989"/>
      <c r="GVI1054" s="989"/>
      <c r="GVJ1054" s="989"/>
      <c r="GVK1054" s="989"/>
      <c r="GVL1054" s="989"/>
      <c r="GVM1054" s="989"/>
      <c r="GVN1054" s="989"/>
      <c r="GVO1054" s="989"/>
      <c r="GVP1054" s="989"/>
      <c r="GVQ1054" s="989"/>
      <c r="GVR1054" s="989"/>
      <c r="GVS1054" s="989"/>
      <c r="GVT1054" s="989"/>
      <c r="GVU1054" s="989"/>
      <c r="GVV1054" s="989"/>
      <c r="GVW1054" s="989"/>
      <c r="GVX1054" s="989"/>
      <c r="GVY1054" s="989"/>
      <c r="GVZ1054" s="989"/>
      <c r="GWA1054" s="989"/>
      <c r="GWB1054" s="989"/>
      <c r="GWC1054" s="989"/>
      <c r="GWD1054" s="989"/>
      <c r="GWE1054" s="989"/>
      <c r="GWF1054" s="989"/>
      <c r="GWG1054" s="989"/>
      <c r="GWH1054" s="989"/>
      <c r="GWI1054" s="989"/>
      <c r="GWJ1054" s="989"/>
      <c r="GWK1054" s="989"/>
      <c r="GWL1054" s="989"/>
      <c r="GWM1054" s="989"/>
      <c r="GWN1054" s="989"/>
      <c r="GWO1054" s="989"/>
      <c r="GWP1054" s="989"/>
      <c r="GWQ1054" s="989"/>
      <c r="GWR1054" s="989"/>
      <c r="GWS1054" s="989"/>
      <c r="GWT1054" s="989"/>
      <c r="GWU1054" s="989"/>
      <c r="GWV1054" s="989"/>
      <c r="GWW1054" s="989"/>
      <c r="GWX1054" s="989"/>
      <c r="GWY1054" s="989"/>
      <c r="GWZ1054" s="989"/>
      <c r="GXA1054" s="989"/>
      <c r="GXB1054" s="989"/>
      <c r="GXC1054" s="989"/>
      <c r="GXD1054" s="989"/>
      <c r="GXE1054" s="989"/>
      <c r="GXF1054" s="989"/>
      <c r="GXG1054" s="989"/>
      <c r="GXH1054" s="989"/>
      <c r="GXI1054" s="989"/>
      <c r="GXJ1054" s="989"/>
      <c r="GXK1054" s="989"/>
      <c r="GXL1054" s="989"/>
      <c r="GXM1054" s="989"/>
      <c r="GXN1054" s="989"/>
      <c r="GXO1054" s="989"/>
      <c r="GXP1054" s="989"/>
      <c r="GXQ1054" s="989"/>
      <c r="GXR1054" s="989"/>
      <c r="GXS1054" s="989"/>
      <c r="GXT1054" s="989"/>
      <c r="GXU1054" s="989"/>
      <c r="GXV1054" s="989"/>
      <c r="GXW1054" s="989"/>
      <c r="GXX1054" s="989"/>
      <c r="GXY1054" s="989"/>
      <c r="GXZ1054" s="989"/>
      <c r="GYA1054" s="989"/>
      <c r="GYB1054" s="989"/>
      <c r="GYC1054" s="989"/>
      <c r="GYD1054" s="989"/>
      <c r="GYE1054" s="989"/>
      <c r="GYF1054" s="989"/>
      <c r="GYG1054" s="989"/>
      <c r="GYH1054" s="989"/>
      <c r="GYI1054" s="989"/>
      <c r="GYJ1054" s="989"/>
      <c r="GYK1054" s="989"/>
      <c r="GYL1054" s="989"/>
      <c r="GYM1054" s="989"/>
      <c r="GYN1054" s="989"/>
      <c r="GYO1054" s="989"/>
      <c r="GYP1054" s="989"/>
      <c r="GYQ1054" s="989"/>
      <c r="GYR1054" s="989"/>
      <c r="GYS1054" s="989"/>
      <c r="GYT1054" s="989"/>
      <c r="GYU1054" s="989"/>
      <c r="GYV1054" s="989"/>
      <c r="GYW1054" s="989"/>
      <c r="GYX1054" s="989"/>
      <c r="GYY1054" s="989"/>
      <c r="GYZ1054" s="989"/>
      <c r="GZA1054" s="989"/>
      <c r="GZB1054" s="989"/>
      <c r="GZC1054" s="989"/>
      <c r="GZD1054" s="989"/>
      <c r="GZE1054" s="989"/>
      <c r="GZF1054" s="989"/>
      <c r="GZG1054" s="989"/>
      <c r="GZH1054" s="989"/>
      <c r="GZI1054" s="989"/>
      <c r="GZJ1054" s="989"/>
      <c r="GZK1054" s="989"/>
      <c r="GZL1054" s="989"/>
      <c r="GZM1054" s="989"/>
      <c r="GZN1054" s="989"/>
      <c r="GZO1054" s="989"/>
      <c r="GZP1054" s="989"/>
      <c r="GZQ1054" s="989"/>
      <c r="GZR1054" s="989"/>
      <c r="GZS1054" s="989"/>
      <c r="GZT1054" s="989"/>
      <c r="GZU1054" s="989"/>
      <c r="GZV1054" s="989"/>
      <c r="GZW1054" s="989"/>
      <c r="GZX1054" s="989"/>
      <c r="GZY1054" s="989"/>
      <c r="GZZ1054" s="989"/>
      <c r="HAA1054" s="989"/>
      <c r="HAB1054" s="989"/>
      <c r="HAC1054" s="989"/>
      <c r="HAD1054" s="989"/>
      <c r="HAE1054" s="989"/>
      <c r="HAF1054" s="989"/>
      <c r="HAG1054" s="989"/>
      <c r="HAH1054" s="989"/>
      <c r="HAI1054" s="989"/>
      <c r="HAJ1054" s="989"/>
      <c r="HAK1054" s="989"/>
      <c r="HAL1054" s="989"/>
      <c r="HAM1054" s="989"/>
      <c r="HAN1054" s="989"/>
      <c r="HAO1054" s="989"/>
      <c r="HAP1054" s="989"/>
      <c r="HAQ1054" s="989"/>
      <c r="HAR1054" s="989"/>
      <c r="HAS1054" s="989"/>
      <c r="HAT1054" s="989"/>
      <c r="HAU1054" s="989"/>
      <c r="HAV1054" s="989"/>
      <c r="HAW1054" s="989"/>
      <c r="HAX1054" s="989"/>
      <c r="HAY1054" s="989"/>
      <c r="HAZ1054" s="989"/>
      <c r="HBA1054" s="989"/>
      <c r="HBB1054" s="989"/>
      <c r="HBC1054" s="989"/>
      <c r="HBD1054" s="989"/>
      <c r="HBE1054" s="989"/>
      <c r="HBF1054" s="989"/>
      <c r="HBG1054" s="989"/>
      <c r="HBH1054" s="989"/>
      <c r="HBI1054" s="989"/>
      <c r="HBJ1054" s="989"/>
      <c r="HBK1054" s="989"/>
      <c r="HBL1054" s="989"/>
      <c r="HBM1054" s="989"/>
      <c r="HBN1054" s="989"/>
      <c r="HBO1054" s="989"/>
      <c r="HBP1054" s="989"/>
      <c r="HBQ1054" s="989"/>
      <c r="HBR1054" s="989"/>
      <c r="HBS1054" s="989"/>
      <c r="HBT1054" s="989"/>
      <c r="HBU1054" s="989"/>
      <c r="HBV1054" s="989"/>
      <c r="HBW1054" s="989"/>
      <c r="HBX1054" s="989"/>
      <c r="HBY1054" s="989"/>
      <c r="HBZ1054" s="989"/>
      <c r="HCA1054" s="989"/>
      <c r="HCB1054" s="989"/>
      <c r="HCC1054" s="989"/>
      <c r="HCD1054" s="989"/>
      <c r="HCE1054" s="989"/>
      <c r="HCF1054" s="989"/>
      <c r="HCG1054" s="989"/>
      <c r="HCH1054" s="989"/>
      <c r="HCI1054" s="989"/>
      <c r="HCJ1054" s="989"/>
      <c r="HCK1054" s="989"/>
      <c r="HCL1054" s="989"/>
      <c r="HCM1054" s="989"/>
      <c r="HCN1054" s="989"/>
      <c r="HCO1054" s="989"/>
      <c r="HCP1054" s="989"/>
      <c r="HCQ1054" s="989"/>
      <c r="HCR1054" s="989"/>
      <c r="HCS1054" s="989"/>
      <c r="HCT1054" s="989"/>
      <c r="HCU1054" s="989"/>
      <c r="HCV1054" s="989"/>
      <c r="HCW1054" s="989"/>
      <c r="HCX1054" s="989"/>
      <c r="HCY1054" s="989"/>
      <c r="HCZ1054" s="989"/>
      <c r="HDA1054" s="989"/>
      <c r="HDB1054" s="989"/>
      <c r="HDC1054" s="989"/>
      <c r="HDD1054" s="989"/>
      <c r="HDE1054" s="989"/>
      <c r="HDF1054" s="989"/>
      <c r="HDG1054" s="989"/>
      <c r="HDH1054" s="989"/>
      <c r="HDI1054" s="989"/>
      <c r="HDJ1054" s="989"/>
      <c r="HDK1054" s="989"/>
      <c r="HDL1054" s="989"/>
      <c r="HDM1054" s="989"/>
      <c r="HDN1054" s="989"/>
      <c r="HDO1054" s="989"/>
      <c r="HDP1054" s="989"/>
      <c r="HDQ1054" s="989"/>
      <c r="HDR1054" s="989"/>
      <c r="HDS1054" s="989"/>
      <c r="HDT1054" s="989"/>
      <c r="HDU1054" s="989"/>
      <c r="HDV1054" s="989"/>
      <c r="HDW1054" s="989"/>
      <c r="HDX1054" s="989"/>
      <c r="HDY1054" s="989"/>
      <c r="HDZ1054" s="989"/>
      <c r="HEA1054" s="989"/>
      <c r="HEB1054" s="989"/>
      <c r="HEC1054" s="989"/>
      <c r="HED1054" s="989"/>
      <c r="HEE1054" s="989"/>
      <c r="HEF1054" s="989"/>
      <c r="HEG1054" s="989"/>
      <c r="HEH1054" s="989"/>
      <c r="HEI1054" s="989"/>
      <c r="HEJ1054" s="989"/>
      <c r="HEK1054" s="989"/>
      <c r="HEL1054" s="989"/>
      <c r="HEM1054" s="989"/>
      <c r="HEN1054" s="989"/>
      <c r="HEO1054" s="989"/>
      <c r="HEP1054" s="989"/>
      <c r="HEQ1054" s="989"/>
      <c r="HER1054" s="989"/>
      <c r="HES1054" s="989"/>
      <c r="HET1054" s="989"/>
      <c r="HEU1054" s="989"/>
      <c r="HEV1054" s="989"/>
      <c r="HEW1054" s="989"/>
      <c r="HEX1054" s="989"/>
      <c r="HEY1054" s="989"/>
      <c r="HEZ1054" s="989"/>
      <c r="HFA1054" s="989"/>
      <c r="HFB1054" s="989"/>
      <c r="HFC1054" s="989"/>
      <c r="HFD1054" s="989"/>
      <c r="HFE1054" s="989"/>
      <c r="HFF1054" s="989"/>
      <c r="HFG1054" s="989"/>
      <c r="HFH1054" s="989"/>
      <c r="HFI1054" s="989"/>
      <c r="HFJ1054" s="989"/>
      <c r="HFK1054" s="989"/>
      <c r="HFL1054" s="989"/>
      <c r="HFM1054" s="989"/>
      <c r="HFN1054" s="989"/>
      <c r="HFO1054" s="989"/>
      <c r="HFP1054" s="989"/>
      <c r="HFQ1054" s="989"/>
      <c r="HFR1054" s="989"/>
      <c r="HFS1054" s="989"/>
      <c r="HFT1054" s="989"/>
      <c r="HFU1054" s="989"/>
      <c r="HFV1054" s="989"/>
      <c r="HFW1054" s="989"/>
      <c r="HFX1054" s="989"/>
      <c r="HFY1054" s="989"/>
      <c r="HFZ1054" s="989"/>
      <c r="HGA1054" s="989"/>
      <c r="HGB1054" s="989"/>
      <c r="HGC1054" s="989"/>
      <c r="HGD1054" s="989"/>
      <c r="HGE1054" s="989"/>
      <c r="HGF1054" s="989"/>
      <c r="HGG1054" s="989"/>
      <c r="HGH1054" s="989"/>
      <c r="HGI1054" s="989"/>
      <c r="HGJ1054" s="989"/>
      <c r="HGK1054" s="989"/>
      <c r="HGL1054" s="989"/>
      <c r="HGM1054" s="989"/>
      <c r="HGN1054" s="989"/>
      <c r="HGO1054" s="989"/>
      <c r="HGP1054" s="989"/>
      <c r="HGQ1054" s="989"/>
      <c r="HGR1054" s="989"/>
      <c r="HGS1054" s="989"/>
      <c r="HGT1054" s="989"/>
      <c r="HGU1054" s="989"/>
      <c r="HGV1054" s="989"/>
      <c r="HGW1054" s="989"/>
      <c r="HGX1054" s="989"/>
      <c r="HGY1054" s="989"/>
      <c r="HGZ1054" s="989"/>
      <c r="HHA1054" s="989"/>
      <c r="HHB1054" s="989"/>
      <c r="HHC1054" s="989"/>
      <c r="HHD1054" s="989"/>
      <c r="HHE1054" s="989"/>
      <c r="HHF1054" s="989"/>
      <c r="HHG1054" s="989"/>
      <c r="HHH1054" s="989"/>
      <c r="HHI1054" s="989"/>
      <c r="HHJ1054" s="989"/>
      <c r="HHK1054" s="989"/>
      <c r="HHL1054" s="989"/>
      <c r="HHM1054" s="989"/>
      <c r="HHN1054" s="989"/>
      <c r="HHO1054" s="989"/>
      <c r="HHP1054" s="989"/>
      <c r="HHQ1054" s="989"/>
      <c r="HHR1054" s="989"/>
      <c r="HHS1054" s="989"/>
      <c r="HHT1054" s="989"/>
      <c r="HHU1054" s="989"/>
      <c r="HHV1054" s="989"/>
      <c r="HHW1054" s="989"/>
      <c r="HHX1054" s="989"/>
      <c r="HHY1054" s="989"/>
      <c r="HHZ1054" s="989"/>
      <c r="HIA1054" s="989"/>
      <c r="HIB1054" s="989"/>
      <c r="HIC1054" s="989"/>
      <c r="HID1054" s="989"/>
      <c r="HIE1054" s="989"/>
      <c r="HIF1054" s="989"/>
      <c r="HIG1054" s="989"/>
      <c r="HIH1054" s="989"/>
      <c r="HII1054" s="989"/>
      <c r="HIJ1054" s="989"/>
      <c r="HIK1054" s="989"/>
      <c r="HIL1054" s="989"/>
      <c r="HIM1054" s="989"/>
      <c r="HIN1054" s="989"/>
      <c r="HIO1054" s="989"/>
      <c r="HIP1054" s="989"/>
      <c r="HIQ1054" s="989"/>
      <c r="HIR1054" s="989"/>
      <c r="HIS1054" s="989"/>
      <c r="HIT1054" s="989"/>
      <c r="HIU1054" s="989"/>
      <c r="HIV1054" s="989"/>
      <c r="HIW1054" s="989"/>
      <c r="HIX1054" s="989"/>
      <c r="HIY1054" s="989"/>
      <c r="HIZ1054" s="989"/>
      <c r="HJA1054" s="989"/>
      <c r="HJB1054" s="989"/>
      <c r="HJC1054" s="989"/>
      <c r="HJD1054" s="989"/>
      <c r="HJE1054" s="989"/>
      <c r="HJF1054" s="989"/>
      <c r="HJG1054" s="989"/>
      <c r="HJH1054" s="989"/>
      <c r="HJI1054" s="989"/>
      <c r="HJJ1054" s="989"/>
      <c r="HJK1054" s="989"/>
      <c r="HJL1054" s="989"/>
      <c r="HJM1054" s="989"/>
      <c r="HJN1054" s="989"/>
      <c r="HJO1054" s="989"/>
      <c r="HJP1054" s="989"/>
      <c r="HJQ1054" s="989"/>
      <c r="HJR1054" s="989"/>
      <c r="HJS1054" s="989"/>
      <c r="HJT1054" s="989"/>
      <c r="HJU1054" s="989"/>
      <c r="HJV1054" s="989"/>
      <c r="HJW1054" s="989"/>
      <c r="HJX1054" s="989"/>
      <c r="HJY1054" s="989"/>
      <c r="HJZ1054" s="989"/>
      <c r="HKA1054" s="989"/>
      <c r="HKB1054" s="989"/>
      <c r="HKC1054" s="989"/>
      <c r="HKD1054" s="989"/>
      <c r="HKE1054" s="989"/>
      <c r="HKF1054" s="989"/>
      <c r="HKG1054" s="989"/>
      <c r="HKH1054" s="989"/>
      <c r="HKI1054" s="989"/>
      <c r="HKJ1054" s="989"/>
      <c r="HKK1054" s="989"/>
      <c r="HKL1054" s="989"/>
      <c r="HKM1054" s="989"/>
      <c r="HKN1054" s="989"/>
      <c r="HKO1054" s="989"/>
      <c r="HKP1054" s="989"/>
      <c r="HKQ1054" s="989"/>
      <c r="HKR1054" s="989"/>
      <c r="HKS1054" s="989"/>
      <c r="HKT1054" s="989"/>
      <c r="HKU1054" s="989"/>
      <c r="HKV1054" s="989"/>
      <c r="HKW1054" s="989"/>
      <c r="HKX1054" s="989"/>
      <c r="HKY1054" s="989"/>
      <c r="HKZ1054" s="989"/>
      <c r="HLA1054" s="989"/>
      <c r="HLB1054" s="989"/>
      <c r="HLC1054" s="989"/>
      <c r="HLD1054" s="989"/>
      <c r="HLE1054" s="989"/>
      <c r="HLF1054" s="989"/>
      <c r="HLG1054" s="989"/>
      <c r="HLH1054" s="989"/>
      <c r="HLI1054" s="989"/>
      <c r="HLJ1054" s="989"/>
      <c r="HLK1054" s="989"/>
      <c r="HLL1054" s="989"/>
      <c r="HLM1054" s="989"/>
      <c r="HLN1054" s="989"/>
      <c r="HLO1054" s="989"/>
      <c r="HLP1054" s="989"/>
      <c r="HLQ1054" s="989"/>
      <c r="HLR1054" s="989"/>
      <c r="HLS1054" s="989"/>
      <c r="HLT1054" s="989"/>
      <c r="HLU1054" s="989"/>
      <c r="HLV1054" s="989"/>
      <c r="HLW1054" s="989"/>
      <c r="HLX1054" s="989"/>
      <c r="HLY1054" s="989"/>
      <c r="HLZ1054" s="989"/>
      <c r="HMA1054" s="989"/>
      <c r="HMB1054" s="989"/>
      <c r="HMC1054" s="989"/>
      <c r="HMD1054" s="989"/>
      <c r="HME1054" s="989"/>
      <c r="HMF1054" s="989"/>
      <c r="HMG1054" s="989"/>
      <c r="HMH1054" s="989"/>
      <c r="HMI1054" s="989"/>
      <c r="HMJ1054" s="989"/>
      <c r="HMK1054" s="989"/>
      <c r="HML1054" s="989"/>
      <c r="HMM1054" s="989"/>
      <c r="HMN1054" s="989"/>
      <c r="HMO1054" s="989"/>
      <c r="HMP1054" s="989"/>
      <c r="HMQ1054" s="989"/>
      <c r="HMR1054" s="989"/>
      <c r="HMS1054" s="989"/>
      <c r="HMT1054" s="989"/>
      <c r="HMU1054" s="989"/>
      <c r="HMV1054" s="989"/>
      <c r="HMW1054" s="989"/>
      <c r="HMX1054" s="989"/>
      <c r="HMY1054" s="989"/>
      <c r="HMZ1054" s="989"/>
      <c r="HNA1054" s="989"/>
      <c r="HNB1054" s="989"/>
      <c r="HNC1054" s="989"/>
      <c r="HND1054" s="989"/>
      <c r="HNE1054" s="989"/>
      <c r="HNF1054" s="989"/>
      <c r="HNG1054" s="989"/>
      <c r="HNH1054" s="989"/>
      <c r="HNI1054" s="989"/>
      <c r="HNJ1054" s="989"/>
      <c r="HNK1054" s="989"/>
      <c r="HNL1054" s="989"/>
      <c r="HNM1054" s="989"/>
      <c r="HNN1054" s="989"/>
      <c r="HNO1054" s="989"/>
      <c r="HNP1054" s="989"/>
      <c r="HNQ1054" s="989"/>
      <c r="HNR1054" s="989"/>
      <c r="HNS1054" s="989"/>
      <c r="HNT1054" s="989"/>
      <c r="HNU1054" s="989"/>
      <c r="HNV1054" s="989"/>
      <c r="HNW1054" s="989"/>
      <c r="HNX1054" s="989"/>
      <c r="HNY1054" s="989"/>
      <c r="HNZ1054" s="989"/>
      <c r="HOA1054" s="989"/>
      <c r="HOB1054" s="989"/>
      <c r="HOC1054" s="989"/>
      <c r="HOD1054" s="989"/>
      <c r="HOE1054" s="989"/>
      <c r="HOF1054" s="989"/>
      <c r="HOG1054" s="989"/>
      <c r="HOH1054" s="989"/>
      <c r="HOI1054" s="989"/>
      <c r="HOJ1054" s="989"/>
      <c r="HOK1054" s="989"/>
      <c r="HOL1054" s="989"/>
      <c r="HOM1054" s="989"/>
      <c r="HON1054" s="989"/>
      <c r="HOO1054" s="989"/>
      <c r="HOP1054" s="989"/>
      <c r="HOQ1054" s="989"/>
      <c r="HOR1054" s="989"/>
      <c r="HOS1054" s="989"/>
      <c r="HOT1054" s="989"/>
      <c r="HOU1054" s="989"/>
      <c r="HOV1054" s="989"/>
      <c r="HOW1054" s="989"/>
      <c r="HOX1054" s="989"/>
      <c r="HOY1054" s="989"/>
      <c r="HOZ1054" s="989"/>
      <c r="HPA1054" s="989"/>
      <c r="HPB1054" s="989"/>
      <c r="HPC1054" s="989"/>
      <c r="HPD1054" s="989"/>
      <c r="HPE1054" s="989"/>
      <c r="HPF1054" s="989"/>
      <c r="HPG1054" s="989"/>
      <c r="HPH1054" s="989"/>
      <c r="HPI1054" s="989"/>
      <c r="HPJ1054" s="989"/>
      <c r="HPK1054" s="989"/>
      <c r="HPL1054" s="989"/>
      <c r="HPM1054" s="989"/>
      <c r="HPN1054" s="989"/>
      <c r="HPO1054" s="989"/>
      <c r="HPP1054" s="989"/>
      <c r="HPQ1054" s="989"/>
      <c r="HPR1054" s="989"/>
      <c r="HPS1054" s="989"/>
      <c r="HPT1054" s="989"/>
      <c r="HPU1054" s="989"/>
      <c r="HPV1054" s="989"/>
      <c r="HPW1054" s="989"/>
      <c r="HPX1054" s="989"/>
      <c r="HPY1054" s="989"/>
      <c r="HPZ1054" s="989"/>
      <c r="HQA1054" s="989"/>
      <c r="HQB1054" s="989"/>
      <c r="HQC1054" s="989"/>
      <c r="HQD1054" s="989"/>
      <c r="HQE1054" s="989"/>
      <c r="HQF1054" s="989"/>
      <c r="HQG1054" s="989"/>
      <c r="HQH1054" s="989"/>
      <c r="HQI1054" s="989"/>
      <c r="HQJ1054" s="989"/>
      <c r="HQK1054" s="989"/>
      <c r="HQL1054" s="989"/>
      <c r="HQM1054" s="989"/>
      <c r="HQN1054" s="989"/>
      <c r="HQO1054" s="989"/>
      <c r="HQP1054" s="989"/>
      <c r="HQQ1054" s="989"/>
      <c r="HQR1054" s="989"/>
      <c r="HQS1054" s="989"/>
      <c r="HQT1054" s="989"/>
      <c r="HQU1054" s="989"/>
      <c r="HQV1054" s="989"/>
      <c r="HQW1054" s="989"/>
      <c r="HQX1054" s="989"/>
      <c r="HQY1054" s="989"/>
      <c r="HQZ1054" s="989"/>
      <c r="HRA1054" s="989"/>
      <c r="HRB1054" s="989"/>
      <c r="HRC1054" s="989"/>
      <c r="HRD1054" s="989"/>
      <c r="HRE1054" s="989"/>
      <c r="HRF1054" s="989"/>
      <c r="HRG1054" s="989"/>
      <c r="HRH1054" s="989"/>
      <c r="HRI1054" s="989"/>
      <c r="HRJ1054" s="989"/>
      <c r="HRK1054" s="989"/>
      <c r="HRL1054" s="989"/>
      <c r="HRM1054" s="989"/>
      <c r="HRN1054" s="989"/>
      <c r="HRO1054" s="989"/>
      <c r="HRP1054" s="989"/>
      <c r="HRQ1054" s="989"/>
      <c r="HRR1054" s="989"/>
      <c r="HRS1054" s="989"/>
      <c r="HRT1054" s="989"/>
      <c r="HRU1054" s="989"/>
      <c r="HRV1054" s="989"/>
      <c r="HRW1054" s="989"/>
      <c r="HRX1054" s="989"/>
      <c r="HRY1054" s="989"/>
      <c r="HRZ1054" s="989"/>
      <c r="HSA1054" s="989"/>
      <c r="HSB1054" s="989"/>
      <c r="HSC1054" s="989"/>
      <c r="HSD1054" s="989"/>
      <c r="HSE1054" s="989"/>
      <c r="HSF1054" s="989"/>
      <c r="HSG1054" s="989"/>
      <c r="HSH1054" s="989"/>
      <c r="HSI1054" s="989"/>
      <c r="HSJ1054" s="989"/>
      <c r="HSK1054" s="989"/>
      <c r="HSL1054" s="989"/>
      <c r="HSM1054" s="989"/>
      <c r="HSN1054" s="989"/>
      <c r="HSO1054" s="989"/>
      <c r="HSP1054" s="989"/>
      <c r="HSQ1054" s="989"/>
      <c r="HSR1054" s="989"/>
      <c r="HSS1054" s="989"/>
      <c r="HST1054" s="989"/>
      <c r="HSU1054" s="989"/>
      <c r="HSV1054" s="989"/>
      <c r="HSW1054" s="989"/>
      <c r="HSX1054" s="989"/>
      <c r="HSY1054" s="989"/>
      <c r="HSZ1054" s="989"/>
      <c r="HTA1054" s="989"/>
      <c r="HTB1054" s="989"/>
      <c r="HTC1054" s="989"/>
      <c r="HTD1054" s="989"/>
      <c r="HTE1054" s="989"/>
      <c r="HTF1054" s="989"/>
      <c r="HTG1054" s="989"/>
      <c r="HTH1054" s="989"/>
      <c r="HTI1054" s="989"/>
      <c r="HTJ1054" s="989"/>
      <c r="HTK1054" s="989"/>
      <c r="HTL1054" s="989"/>
      <c r="HTM1054" s="989"/>
      <c r="HTN1054" s="989"/>
      <c r="HTO1054" s="989"/>
      <c r="HTP1054" s="989"/>
      <c r="HTQ1054" s="989"/>
      <c r="HTR1054" s="989"/>
      <c r="HTS1054" s="989"/>
      <c r="HTT1054" s="989"/>
      <c r="HTU1054" s="989"/>
      <c r="HTV1054" s="989"/>
      <c r="HTW1054" s="989"/>
      <c r="HTX1054" s="989"/>
      <c r="HTY1054" s="989"/>
      <c r="HTZ1054" s="989"/>
      <c r="HUA1054" s="989"/>
      <c r="HUB1054" s="989"/>
      <c r="HUC1054" s="989"/>
      <c r="HUD1054" s="989"/>
      <c r="HUE1054" s="989"/>
      <c r="HUF1054" s="989"/>
      <c r="HUG1054" s="989"/>
      <c r="HUH1054" s="989"/>
      <c r="HUI1054" s="989"/>
      <c r="HUJ1054" s="989"/>
      <c r="HUK1054" s="989"/>
      <c r="HUL1054" s="989"/>
      <c r="HUM1054" s="989"/>
      <c r="HUN1054" s="989"/>
      <c r="HUO1054" s="989"/>
      <c r="HUP1054" s="989"/>
      <c r="HUQ1054" s="989"/>
      <c r="HUR1054" s="989"/>
      <c r="HUS1054" s="989"/>
      <c r="HUT1054" s="989"/>
      <c r="HUU1054" s="989"/>
      <c r="HUV1054" s="989"/>
      <c r="HUW1054" s="989"/>
      <c r="HUX1054" s="989"/>
      <c r="HUY1054" s="989"/>
      <c r="HUZ1054" s="989"/>
      <c r="HVA1054" s="989"/>
      <c r="HVB1054" s="989"/>
      <c r="HVC1054" s="989"/>
      <c r="HVD1054" s="989"/>
      <c r="HVE1054" s="989"/>
      <c r="HVF1054" s="989"/>
      <c r="HVG1054" s="989"/>
      <c r="HVH1054" s="989"/>
      <c r="HVI1054" s="989"/>
      <c r="HVJ1054" s="989"/>
      <c r="HVK1054" s="989"/>
      <c r="HVL1054" s="989"/>
      <c r="HVM1054" s="989"/>
      <c r="HVN1054" s="989"/>
      <c r="HVO1054" s="989"/>
      <c r="HVP1054" s="989"/>
      <c r="HVQ1054" s="989"/>
      <c r="HVR1054" s="989"/>
      <c r="HVS1054" s="989"/>
      <c r="HVT1054" s="989"/>
      <c r="HVU1054" s="989"/>
      <c r="HVV1054" s="989"/>
      <c r="HVW1054" s="989"/>
      <c r="HVX1054" s="989"/>
      <c r="HVY1054" s="989"/>
      <c r="HVZ1054" s="989"/>
      <c r="HWA1054" s="989"/>
      <c r="HWB1054" s="989"/>
      <c r="HWC1054" s="989"/>
      <c r="HWD1054" s="989"/>
      <c r="HWE1054" s="989"/>
      <c r="HWF1054" s="989"/>
      <c r="HWG1054" s="989"/>
      <c r="HWH1054" s="989"/>
      <c r="HWI1054" s="989"/>
      <c r="HWJ1054" s="989"/>
      <c r="HWK1054" s="989"/>
      <c r="HWL1054" s="989"/>
      <c r="HWM1054" s="989"/>
      <c r="HWN1054" s="989"/>
      <c r="HWO1054" s="989"/>
      <c r="HWP1054" s="989"/>
      <c r="HWQ1054" s="989"/>
      <c r="HWR1054" s="989"/>
      <c r="HWS1054" s="989"/>
      <c r="HWT1054" s="989"/>
      <c r="HWU1054" s="989"/>
      <c r="HWV1054" s="989"/>
      <c r="HWW1054" s="989"/>
      <c r="HWX1054" s="989"/>
      <c r="HWY1054" s="989"/>
      <c r="HWZ1054" s="989"/>
      <c r="HXA1054" s="989"/>
      <c r="HXB1054" s="989"/>
      <c r="HXC1054" s="989"/>
      <c r="HXD1054" s="989"/>
      <c r="HXE1054" s="989"/>
      <c r="HXF1054" s="989"/>
      <c r="HXG1054" s="989"/>
      <c r="HXH1054" s="989"/>
      <c r="HXI1054" s="989"/>
      <c r="HXJ1054" s="989"/>
      <c r="HXK1054" s="989"/>
      <c r="HXL1054" s="989"/>
      <c r="HXM1054" s="989"/>
      <c r="HXN1054" s="989"/>
      <c r="HXO1054" s="989"/>
      <c r="HXP1054" s="989"/>
      <c r="HXQ1054" s="989"/>
      <c r="HXR1054" s="989"/>
      <c r="HXS1054" s="989"/>
      <c r="HXT1054" s="989"/>
      <c r="HXU1054" s="989"/>
      <c r="HXV1054" s="989"/>
      <c r="HXW1054" s="989"/>
      <c r="HXX1054" s="989"/>
      <c r="HXY1054" s="989"/>
      <c r="HXZ1054" s="989"/>
      <c r="HYA1054" s="989"/>
      <c r="HYB1054" s="989"/>
      <c r="HYC1054" s="989"/>
      <c r="HYD1054" s="989"/>
      <c r="HYE1054" s="989"/>
      <c r="HYF1054" s="989"/>
      <c r="HYG1054" s="989"/>
      <c r="HYH1054" s="989"/>
      <c r="HYI1054" s="989"/>
      <c r="HYJ1054" s="989"/>
      <c r="HYK1054" s="989"/>
      <c r="HYL1054" s="989"/>
      <c r="HYM1054" s="989"/>
      <c r="HYN1054" s="989"/>
      <c r="HYO1054" s="989"/>
      <c r="HYP1054" s="989"/>
      <c r="HYQ1054" s="989"/>
      <c r="HYR1054" s="989"/>
      <c r="HYS1054" s="989"/>
      <c r="HYT1054" s="989"/>
      <c r="HYU1054" s="989"/>
      <c r="HYV1054" s="989"/>
      <c r="HYW1054" s="989"/>
      <c r="HYX1054" s="989"/>
      <c r="HYY1054" s="989"/>
      <c r="HYZ1054" s="989"/>
      <c r="HZA1054" s="989"/>
      <c r="HZB1054" s="989"/>
      <c r="HZC1054" s="989"/>
      <c r="HZD1054" s="989"/>
      <c r="HZE1054" s="989"/>
      <c r="HZF1054" s="989"/>
      <c r="HZG1054" s="989"/>
      <c r="HZH1054" s="989"/>
      <c r="HZI1054" s="989"/>
      <c r="HZJ1054" s="989"/>
      <c r="HZK1054" s="989"/>
      <c r="HZL1054" s="989"/>
      <c r="HZM1054" s="989"/>
      <c r="HZN1054" s="989"/>
      <c r="HZO1054" s="989"/>
      <c r="HZP1054" s="989"/>
      <c r="HZQ1054" s="989"/>
      <c r="HZR1054" s="989"/>
      <c r="HZS1054" s="989"/>
      <c r="HZT1054" s="989"/>
      <c r="HZU1054" s="989"/>
      <c r="HZV1054" s="989"/>
      <c r="HZW1054" s="989"/>
      <c r="HZX1054" s="989"/>
      <c r="HZY1054" s="989"/>
      <c r="HZZ1054" s="989"/>
      <c r="IAA1054" s="989"/>
      <c r="IAB1054" s="989"/>
      <c r="IAC1054" s="989"/>
      <c r="IAD1054" s="989"/>
      <c r="IAE1054" s="989"/>
      <c r="IAF1054" s="989"/>
      <c r="IAG1054" s="989"/>
      <c r="IAH1054" s="989"/>
      <c r="IAI1054" s="989"/>
      <c r="IAJ1054" s="989"/>
      <c r="IAK1054" s="989"/>
      <c r="IAL1054" s="989"/>
      <c r="IAM1054" s="989"/>
      <c r="IAN1054" s="989"/>
      <c r="IAO1054" s="989"/>
      <c r="IAP1054" s="989"/>
      <c r="IAQ1054" s="989"/>
      <c r="IAR1054" s="989"/>
      <c r="IAS1054" s="989"/>
      <c r="IAT1054" s="989"/>
      <c r="IAU1054" s="989"/>
      <c r="IAV1054" s="989"/>
      <c r="IAW1054" s="989"/>
      <c r="IAX1054" s="989"/>
      <c r="IAY1054" s="989"/>
      <c r="IAZ1054" s="989"/>
      <c r="IBA1054" s="989"/>
      <c r="IBB1054" s="989"/>
      <c r="IBC1054" s="989"/>
      <c r="IBD1054" s="989"/>
      <c r="IBE1054" s="989"/>
      <c r="IBF1054" s="989"/>
      <c r="IBG1054" s="989"/>
      <c r="IBH1054" s="989"/>
      <c r="IBI1054" s="989"/>
      <c r="IBJ1054" s="989"/>
      <c r="IBK1054" s="989"/>
      <c r="IBL1054" s="989"/>
      <c r="IBM1054" s="989"/>
      <c r="IBN1054" s="989"/>
      <c r="IBO1054" s="989"/>
      <c r="IBP1054" s="989"/>
      <c r="IBQ1054" s="989"/>
      <c r="IBR1054" s="989"/>
      <c r="IBS1054" s="989"/>
      <c r="IBT1054" s="989"/>
      <c r="IBU1054" s="989"/>
      <c r="IBV1054" s="989"/>
      <c r="IBW1054" s="989"/>
      <c r="IBX1054" s="989"/>
      <c r="IBY1054" s="989"/>
      <c r="IBZ1054" s="989"/>
      <c r="ICA1054" s="989"/>
      <c r="ICB1054" s="989"/>
      <c r="ICC1054" s="989"/>
      <c r="ICD1054" s="989"/>
      <c r="ICE1054" s="989"/>
      <c r="ICF1054" s="989"/>
      <c r="ICG1054" s="989"/>
      <c r="ICH1054" s="989"/>
      <c r="ICI1054" s="989"/>
      <c r="ICJ1054" s="989"/>
      <c r="ICK1054" s="989"/>
      <c r="ICL1054" s="989"/>
      <c r="ICM1054" s="989"/>
      <c r="ICN1054" s="989"/>
      <c r="ICO1054" s="989"/>
      <c r="ICP1054" s="989"/>
      <c r="ICQ1054" s="989"/>
      <c r="ICR1054" s="989"/>
      <c r="ICS1054" s="989"/>
      <c r="ICT1054" s="989"/>
      <c r="ICU1054" s="989"/>
      <c r="ICV1054" s="989"/>
      <c r="ICW1054" s="989"/>
      <c r="ICX1054" s="989"/>
      <c r="ICY1054" s="989"/>
      <c r="ICZ1054" s="989"/>
      <c r="IDA1054" s="989"/>
      <c r="IDB1054" s="989"/>
      <c r="IDC1054" s="989"/>
      <c r="IDD1054" s="989"/>
      <c r="IDE1054" s="989"/>
      <c r="IDF1054" s="989"/>
      <c r="IDG1054" s="989"/>
      <c r="IDH1054" s="989"/>
      <c r="IDI1054" s="989"/>
      <c r="IDJ1054" s="989"/>
      <c r="IDK1054" s="989"/>
      <c r="IDL1054" s="989"/>
      <c r="IDM1054" s="989"/>
      <c r="IDN1054" s="989"/>
      <c r="IDO1054" s="989"/>
      <c r="IDP1054" s="989"/>
      <c r="IDQ1054" s="989"/>
      <c r="IDR1054" s="989"/>
      <c r="IDS1054" s="989"/>
      <c r="IDT1054" s="989"/>
      <c r="IDU1054" s="989"/>
      <c r="IDV1054" s="989"/>
      <c r="IDW1054" s="989"/>
      <c r="IDX1054" s="989"/>
      <c r="IDY1054" s="989"/>
      <c r="IDZ1054" s="989"/>
      <c r="IEA1054" s="989"/>
      <c r="IEB1054" s="989"/>
      <c r="IEC1054" s="989"/>
      <c r="IED1054" s="989"/>
      <c r="IEE1054" s="989"/>
      <c r="IEF1054" s="989"/>
      <c r="IEG1054" s="989"/>
      <c r="IEH1054" s="989"/>
      <c r="IEI1054" s="989"/>
      <c r="IEJ1054" s="989"/>
      <c r="IEK1054" s="989"/>
      <c r="IEL1054" s="989"/>
      <c r="IEM1054" s="989"/>
      <c r="IEN1054" s="989"/>
      <c r="IEO1054" s="989"/>
      <c r="IEP1054" s="989"/>
      <c r="IEQ1054" s="989"/>
      <c r="IER1054" s="989"/>
      <c r="IES1054" s="989"/>
      <c r="IET1054" s="989"/>
      <c r="IEU1054" s="989"/>
      <c r="IEV1054" s="989"/>
      <c r="IEW1054" s="989"/>
      <c r="IEX1054" s="989"/>
      <c r="IEY1054" s="989"/>
      <c r="IEZ1054" s="989"/>
      <c r="IFA1054" s="989"/>
      <c r="IFB1054" s="989"/>
      <c r="IFC1054" s="989"/>
      <c r="IFD1054" s="989"/>
      <c r="IFE1054" s="989"/>
      <c r="IFF1054" s="989"/>
      <c r="IFG1054" s="989"/>
      <c r="IFH1054" s="989"/>
      <c r="IFI1054" s="989"/>
      <c r="IFJ1054" s="989"/>
      <c r="IFK1054" s="989"/>
      <c r="IFL1054" s="989"/>
      <c r="IFM1054" s="989"/>
      <c r="IFN1054" s="989"/>
      <c r="IFO1054" s="989"/>
      <c r="IFP1054" s="989"/>
      <c r="IFQ1054" s="989"/>
      <c r="IFR1054" s="989"/>
      <c r="IFS1054" s="989"/>
      <c r="IFT1054" s="989"/>
      <c r="IFU1054" s="989"/>
      <c r="IFV1054" s="989"/>
      <c r="IFW1054" s="989"/>
      <c r="IFX1054" s="989"/>
      <c r="IFY1054" s="989"/>
      <c r="IFZ1054" s="989"/>
      <c r="IGA1054" s="989"/>
      <c r="IGB1054" s="989"/>
      <c r="IGC1054" s="989"/>
      <c r="IGD1054" s="989"/>
      <c r="IGE1054" s="989"/>
      <c r="IGF1054" s="989"/>
      <c r="IGG1054" s="989"/>
      <c r="IGH1054" s="989"/>
      <c r="IGI1054" s="989"/>
      <c r="IGJ1054" s="989"/>
      <c r="IGK1054" s="989"/>
      <c r="IGL1054" s="989"/>
      <c r="IGM1054" s="989"/>
      <c r="IGN1054" s="989"/>
      <c r="IGO1054" s="989"/>
      <c r="IGP1054" s="989"/>
      <c r="IGQ1054" s="989"/>
      <c r="IGR1054" s="989"/>
      <c r="IGS1054" s="989"/>
      <c r="IGT1054" s="989"/>
      <c r="IGU1054" s="989"/>
      <c r="IGV1054" s="989"/>
      <c r="IGW1054" s="989"/>
      <c r="IGX1054" s="989"/>
      <c r="IGY1054" s="989"/>
      <c r="IGZ1054" s="989"/>
      <c r="IHA1054" s="989"/>
      <c r="IHB1054" s="989"/>
      <c r="IHC1054" s="989"/>
      <c r="IHD1054" s="989"/>
      <c r="IHE1054" s="989"/>
      <c r="IHF1054" s="989"/>
      <c r="IHG1054" s="989"/>
      <c r="IHH1054" s="989"/>
      <c r="IHI1054" s="989"/>
      <c r="IHJ1054" s="989"/>
      <c r="IHK1054" s="989"/>
      <c r="IHL1054" s="989"/>
      <c r="IHM1054" s="989"/>
      <c r="IHN1054" s="989"/>
      <c r="IHO1054" s="989"/>
      <c r="IHP1054" s="989"/>
      <c r="IHQ1054" s="989"/>
      <c r="IHR1054" s="989"/>
      <c r="IHS1054" s="989"/>
      <c r="IHT1054" s="989"/>
      <c r="IHU1054" s="989"/>
      <c r="IHV1054" s="989"/>
      <c r="IHW1054" s="989"/>
      <c r="IHX1054" s="989"/>
      <c r="IHY1054" s="989"/>
      <c r="IHZ1054" s="989"/>
      <c r="IIA1054" s="989"/>
      <c r="IIB1054" s="989"/>
      <c r="IIC1054" s="989"/>
      <c r="IID1054" s="989"/>
      <c r="IIE1054" s="989"/>
      <c r="IIF1054" s="989"/>
      <c r="IIG1054" s="989"/>
      <c r="IIH1054" s="989"/>
      <c r="III1054" s="989"/>
      <c r="IIJ1054" s="989"/>
      <c r="IIK1054" s="989"/>
      <c r="IIL1054" s="989"/>
      <c r="IIM1054" s="989"/>
      <c r="IIN1054" s="989"/>
      <c r="IIO1054" s="989"/>
      <c r="IIP1054" s="989"/>
      <c r="IIQ1054" s="989"/>
      <c r="IIR1054" s="989"/>
      <c r="IIS1054" s="989"/>
      <c r="IIT1054" s="989"/>
      <c r="IIU1054" s="989"/>
      <c r="IIV1054" s="989"/>
      <c r="IIW1054" s="989"/>
      <c r="IIX1054" s="989"/>
      <c r="IIY1054" s="989"/>
      <c r="IIZ1054" s="989"/>
      <c r="IJA1054" s="989"/>
      <c r="IJB1054" s="989"/>
      <c r="IJC1054" s="989"/>
      <c r="IJD1054" s="989"/>
      <c r="IJE1054" s="989"/>
      <c r="IJF1054" s="989"/>
      <c r="IJG1054" s="989"/>
      <c r="IJH1054" s="989"/>
      <c r="IJI1054" s="989"/>
      <c r="IJJ1054" s="989"/>
      <c r="IJK1054" s="989"/>
      <c r="IJL1054" s="989"/>
      <c r="IJM1054" s="989"/>
      <c r="IJN1054" s="989"/>
      <c r="IJO1054" s="989"/>
      <c r="IJP1054" s="989"/>
      <c r="IJQ1054" s="989"/>
      <c r="IJR1054" s="989"/>
      <c r="IJS1054" s="989"/>
      <c r="IJT1054" s="989"/>
      <c r="IJU1054" s="989"/>
      <c r="IJV1054" s="989"/>
      <c r="IJW1054" s="989"/>
      <c r="IJX1054" s="989"/>
      <c r="IJY1054" s="989"/>
      <c r="IJZ1054" s="989"/>
      <c r="IKA1054" s="989"/>
      <c r="IKB1054" s="989"/>
      <c r="IKC1054" s="989"/>
      <c r="IKD1054" s="989"/>
      <c r="IKE1054" s="989"/>
      <c r="IKF1054" s="989"/>
      <c r="IKG1054" s="989"/>
      <c r="IKH1054" s="989"/>
      <c r="IKI1054" s="989"/>
      <c r="IKJ1054" s="989"/>
      <c r="IKK1054" s="989"/>
      <c r="IKL1054" s="989"/>
      <c r="IKM1054" s="989"/>
      <c r="IKN1054" s="989"/>
      <c r="IKO1054" s="989"/>
      <c r="IKP1054" s="989"/>
      <c r="IKQ1054" s="989"/>
      <c r="IKR1054" s="989"/>
      <c r="IKS1054" s="989"/>
      <c r="IKT1054" s="989"/>
      <c r="IKU1054" s="989"/>
      <c r="IKV1054" s="989"/>
      <c r="IKW1054" s="989"/>
      <c r="IKX1054" s="989"/>
      <c r="IKY1054" s="989"/>
      <c r="IKZ1054" s="989"/>
      <c r="ILA1054" s="989"/>
      <c r="ILB1054" s="989"/>
      <c r="ILC1054" s="989"/>
      <c r="ILD1054" s="989"/>
      <c r="ILE1054" s="989"/>
      <c r="ILF1054" s="989"/>
      <c r="ILG1054" s="989"/>
      <c r="ILH1054" s="989"/>
      <c r="ILI1054" s="989"/>
      <c r="ILJ1054" s="989"/>
      <c r="ILK1054" s="989"/>
      <c r="ILL1054" s="989"/>
      <c r="ILM1054" s="989"/>
      <c r="ILN1054" s="989"/>
      <c r="ILO1054" s="989"/>
      <c r="ILP1054" s="989"/>
      <c r="ILQ1054" s="989"/>
      <c r="ILR1054" s="989"/>
      <c r="ILS1054" s="989"/>
      <c r="ILT1054" s="989"/>
      <c r="ILU1054" s="989"/>
      <c r="ILV1054" s="989"/>
      <c r="ILW1054" s="989"/>
      <c r="ILX1054" s="989"/>
      <c r="ILY1054" s="989"/>
      <c r="ILZ1054" s="989"/>
      <c r="IMA1054" s="989"/>
      <c r="IMB1054" s="989"/>
      <c r="IMC1054" s="989"/>
      <c r="IMD1054" s="989"/>
      <c r="IME1054" s="989"/>
      <c r="IMF1054" s="989"/>
      <c r="IMG1054" s="989"/>
      <c r="IMH1054" s="989"/>
      <c r="IMI1054" s="989"/>
      <c r="IMJ1054" s="989"/>
      <c r="IMK1054" s="989"/>
      <c r="IML1054" s="989"/>
      <c r="IMM1054" s="989"/>
      <c r="IMN1054" s="989"/>
      <c r="IMO1054" s="989"/>
      <c r="IMP1054" s="989"/>
      <c r="IMQ1054" s="989"/>
      <c r="IMR1054" s="989"/>
      <c r="IMS1054" s="989"/>
      <c r="IMT1054" s="989"/>
      <c r="IMU1054" s="989"/>
      <c r="IMV1054" s="989"/>
      <c r="IMW1054" s="989"/>
      <c r="IMX1054" s="989"/>
      <c r="IMY1054" s="989"/>
      <c r="IMZ1054" s="989"/>
      <c r="INA1054" s="989"/>
      <c r="INB1054" s="989"/>
      <c r="INC1054" s="989"/>
      <c r="IND1054" s="989"/>
      <c r="INE1054" s="989"/>
      <c r="INF1054" s="989"/>
      <c r="ING1054" s="989"/>
      <c r="INH1054" s="989"/>
      <c r="INI1054" s="989"/>
      <c r="INJ1054" s="989"/>
      <c r="INK1054" s="989"/>
      <c r="INL1054" s="989"/>
      <c r="INM1054" s="989"/>
      <c r="INN1054" s="989"/>
      <c r="INO1054" s="989"/>
      <c r="INP1054" s="989"/>
      <c r="INQ1054" s="989"/>
      <c r="INR1054" s="989"/>
      <c r="INS1054" s="989"/>
      <c r="INT1054" s="989"/>
      <c r="INU1054" s="989"/>
      <c r="INV1054" s="989"/>
      <c r="INW1054" s="989"/>
      <c r="INX1054" s="989"/>
      <c r="INY1054" s="989"/>
      <c r="INZ1054" s="989"/>
      <c r="IOA1054" s="989"/>
      <c r="IOB1054" s="989"/>
      <c r="IOC1054" s="989"/>
      <c r="IOD1054" s="989"/>
      <c r="IOE1054" s="989"/>
      <c r="IOF1054" s="989"/>
      <c r="IOG1054" s="989"/>
      <c r="IOH1054" s="989"/>
      <c r="IOI1054" s="989"/>
      <c r="IOJ1054" s="989"/>
      <c r="IOK1054" s="989"/>
      <c r="IOL1054" s="989"/>
      <c r="IOM1054" s="989"/>
      <c r="ION1054" s="989"/>
      <c r="IOO1054" s="989"/>
      <c r="IOP1054" s="989"/>
      <c r="IOQ1054" s="989"/>
      <c r="IOR1054" s="989"/>
      <c r="IOS1054" s="989"/>
      <c r="IOT1054" s="989"/>
      <c r="IOU1054" s="989"/>
      <c r="IOV1054" s="989"/>
      <c r="IOW1054" s="989"/>
      <c r="IOX1054" s="989"/>
      <c r="IOY1054" s="989"/>
      <c r="IOZ1054" s="989"/>
      <c r="IPA1054" s="989"/>
      <c r="IPB1054" s="989"/>
      <c r="IPC1054" s="989"/>
      <c r="IPD1054" s="989"/>
      <c r="IPE1054" s="989"/>
      <c r="IPF1054" s="989"/>
      <c r="IPG1054" s="989"/>
      <c r="IPH1054" s="989"/>
      <c r="IPI1054" s="989"/>
      <c r="IPJ1054" s="989"/>
      <c r="IPK1054" s="989"/>
      <c r="IPL1054" s="989"/>
      <c r="IPM1054" s="989"/>
      <c r="IPN1054" s="989"/>
      <c r="IPO1054" s="989"/>
      <c r="IPP1054" s="989"/>
      <c r="IPQ1054" s="989"/>
      <c r="IPR1054" s="989"/>
      <c r="IPS1054" s="989"/>
      <c r="IPT1054" s="989"/>
      <c r="IPU1054" s="989"/>
      <c r="IPV1054" s="989"/>
      <c r="IPW1054" s="989"/>
      <c r="IPX1054" s="989"/>
      <c r="IPY1054" s="989"/>
      <c r="IPZ1054" s="989"/>
      <c r="IQA1054" s="989"/>
      <c r="IQB1054" s="989"/>
      <c r="IQC1054" s="989"/>
      <c r="IQD1054" s="989"/>
      <c r="IQE1054" s="989"/>
      <c r="IQF1054" s="989"/>
      <c r="IQG1054" s="989"/>
      <c r="IQH1054" s="989"/>
      <c r="IQI1054" s="989"/>
      <c r="IQJ1054" s="989"/>
      <c r="IQK1054" s="989"/>
      <c r="IQL1054" s="989"/>
      <c r="IQM1054" s="989"/>
      <c r="IQN1054" s="989"/>
      <c r="IQO1054" s="989"/>
      <c r="IQP1054" s="989"/>
      <c r="IQQ1054" s="989"/>
      <c r="IQR1054" s="989"/>
      <c r="IQS1054" s="989"/>
      <c r="IQT1054" s="989"/>
      <c r="IQU1054" s="989"/>
      <c r="IQV1054" s="989"/>
      <c r="IQW1054" s="989"/>
      <c r="IQX1054" s="989"/>
      <c r="IQY1054" s="989"/>
      <c r="IQZ1054" s="989"/>
      <c r="IRA1054" s="989"/>
      <c r="IRB1054" s="989"/>
      <c r="IRC1054" s="989"/>
      <c r="IRD1054" s="989"/>
      <c r="IRE1054" s="989"/>
      <c r="IRF1054" s="989"/>
      <c r="IRG1054" s="989"/>
      <c r="IRH1054" s="989"/>
      <c r="IRI1054" s="989"/>
      <c r="IRJ1054" s="989"/>
      <c r="IRK1054" s="989"/>
      <c r="IRL1054" s="989"/>
      <c r="IRM1054" s="989"/>
      <c r="IRN1054" s="989"/>
      <c r="IRO1054" s="989"/>
      <c r="IRP1054" s="989"/>
      <c r="IRQ1054" s="989"/>
      <c r="IRR1054" s="989"/>
      <c r="IRS1054" s="989"/>
      <c r="IRT1054" s="989"/>
      <c r="IRU1054" s="989"/>
      <c r="IRV1054" s="989"/>
      <c r="IRW1054" s="989"/>
      <c r="IRX1054" s="989"/>
      <c r="IRY1054" s="989"/>
      <c r="IRZ1054" s="989"/>
      <c r="ISA1054" s="989"/>
      <c r="ISB1054" s="989"/>
      <c r="ISC1054" s="989"/>
      <c r="ISD1054" s="989"/>
      <c r="ISE1054" s="989"/>
      <c r="ISF1054" s="989"/>
      <c r="ISG1054" s="989"/>
      <c r="ISH1054" s="989"/>
      <c r="ISI1054" s="989"/>
      <c r="ISJ1054" s="989"/>
      <c r="ISK1054" s="989"/>
      <c r="ISL1054" s="989"/>
      <c r="ISM1054" s="989"/>
      <c r="ISN1054" s="989"/>
      <c r="ISO1054" s="989"/>
      <c r="ISP1054" s="989"/>
      <c r="ISQ1054" s="989"/>
      <c r="ISR1054" s="989"/>
      <c r="ISS1054" s="989"/>
      <c r="IST1054" s="989"/>
      <c r="ISU1054" s="989"/>
      <c r="ISV1054" s="989"/>
      <c r="ISW1054" s="989"/>
      <c r="ISX1054" s="989"/>
      <c r="ISY1054" s="989"/>
      <c r="ISZ1054" s="989"/>
      <c r="ITA1054" s="989"/>
      <c r="ITB1054" s="989"/>
      <c r="ITC1054" s="989"/>
      <c r="ITD1054" s="989"/>
      <c r="ITE1054" s="989"/>
      <c r="ITF1054" s="989"/>
      <c r="ITG1054" s="989"/>
      <c r="ITH1054" s="989"/>
      <c r="ITI1054" s="989"/>
      <c r="ITJ1054" s="989"/>
      <c r="ITK1054" s="989"/>
      <c r="ITL1054" s="989"/>
      <c r="ITM1054" s="989"/>
      <c r="ITN1054" s="989"/>
      <c r="ITO1054" s="989"/>
      <c r="ITP1054" s="989"/>
      <c r="ITQ1054" s="989"/>
      <c r="ITR1054" s="989"/>
      <c r="ITS1054" s="989"/>
      <c r="ITT1054" s="989"/>
      <c r="ITU1054" s="989"/>
      <c r="ITV1054" s="989"/>
      <c r="ITW1054" s="989"/>
      <c r="ITX1054" s="989"/>
      <c r="ITY1054" s="989"/>
      <c r="ITZ1054" s="989"/>
      <c r="IUA1054" s="989"/>
      <c r="IUB1054" s="989"/>
      <c r="IUC1054" s="989"/>
      <c r="IUD1054" s="989"/>
      <c r="IUE1054" s="989"/>
      <c r="IUF1054" s="989"/>
      <c r="IUG1054" s="989"/>
      <c r="IUH1054" s="989"/>
      <c r="IUI1054" s="989"/>
      <c r="IUJ1054" s="989"/>
      <c r="IUK1054" s="989"/>
      <c r="IUL1054" s="989"/>
      <c r="IUM1054" s="989"/>
      <c r="IUN1054" s="989"/>
      <c r="IUO1054" s="989"/>
      <c r="IUP1054" s="989"/>
      <c r="IUQ1054" s="989"/>
      <c r="IUR1054" s="989"/>
      <c r="IUS1054" s="989"/>
      <c r="IUT1054" s="989"/>
      <c r="IUU1054" s="989"/>
      <c r="IUV1054" s="989"/>
      <c r="IUW1054" s="989"/>
      <c r="IUX1054" s="989"/>
      <c r="IUY1054" s="989"/>
      <c r="IUZ1054" s="989"/>
      <c r="IVA1054" s="989"/>
      <c r="IVB1054" s="989"/>
      <c r="IVC1054" s="989"/>
      <c r="IVD1054" s="989"/>
      <c r="IVE1054" s="989"/>
      <c r="IVF1054" s="989"/>
      <c r="IVG1054" s="989"/>
      <c r="IVH1054" s="989"/>
      <c r="IVI1054" s="989"/>
      <c r="IVJ1054" s="989"/>
      <c r="IVK1054" s="989"/>
      <c r="IVL1054" s="989"/>
      <c r="IVM1054" s="989"/>
      <c r="IVN1054" s="989"/>
      <c r="IVO1054" s="989"/>
      <c r="IVP1054" s="989"/>
      <c r="IVQ1054" s="989"/>
      <c r="IVR1054" s="989"/>
      <c r="IVS1054" s="989"/>
      <c r="IVT1054" s="989"/>
      <c r="IVU1054" s="989"/>
      <c r="IVV1054" s="989"/>
      <c r="IVW1054" s="989"/>
      <c r="IVX1054" s="989"/>
      <c r="IVY1054" s="989"/>
      <c r="IVZ1054" s="989"/>
      <c r="IWA1054" s="989"/>
      <c r="IWB1054" s="989"/>
      <c r="IWC1054" s="989"/>
      <c r="IWD1054" s="989"/>
      <c r="IWE1054" s="989"/>
      <c r="IWF1054" s="989"/>
      <c r="IWG1054" s="989"/>
      <c r="IWH1054" s="989"/>
      <c r="IWI1054" s="989"/>
      <c r="IWJ1054" s="989"/>
      <c r="IWK1054" s="989"/>
      <c r="IWL1054" s="989"/>
      <c r="IWM1054" s="989"/>
      <c r="IWN1054" s="989"/>
      <c r="IWO1054" s="989"/>
      <c r="IWP1054" s="989"/>
      <c r="IWQ1054" s="989"/>
      <c r="IWR1054" s="989"/>
      <c r="IWS1054" s="989"/>
      <c r="IWT1054" s="989"/>
      <c r="IWU1054" s="989"/>
      <c r="IWV1054" s="989"/>
      <c r="IWW1054" s="989"/>
      <c r="IWX1054" s="989"/>
      <c r="IWY1054" s="989"/>
      <c r="IWZ1054" s="989"/>
      <c r="IXA1054" s="989"/>
      <c r="IXB1054" s="989"/>
      <c r="IXC1054" s="989"/>
      <c r="IXD1054" s="989"/>
      <c r="IXE1054" s="989"/>
      <c r="IXF1054" s="989"/>
      <c r="IXG1054" s="989"/>
      <c r="IXH1054" s="989"/>
      <c r="IXI1054" s="989"/>
      <c r="IXJ1054" s="989"/>
      <c r="IXK1054" s="989"/>
      <c r="IXL1054" s="989"/>
      <c r="IXM1054" s="989"/>
      <c r="IXN1054" s="989"/>
      <c r="IXO1054" s="989"/>
      <c r="IXP1054" s="989"/>
      <c r="IXQ1054" s="989"/>
      <c r="IXR1054" s="989"/>
      <c r="IXS1054" s="989"/>
      <c r="IXT1054" s="989"/>
      <c r="IXU1054" s="989"/>
      <c r="IXV1054" s="989"/>
      <c r="IXW1054" s="989"/>
      <c r="IXX1054" s="989"/>
      <c r="IXY1054" s="989"/>
      <c r="IXZ1054" s="989"/>
      <c r="IYA1054" s="989"/>
      <c r="IYB1054" s="989"/>
      <c r="IYC1054" s="989"/>
      <c r="IYD1054" s="989"/>
      <c r="IYE1054" s="989"/>
      <c r="IYF1054" s="989"/>
      <c r="IYG1054" s="989"/>
      <c r="IYH1054" s="989"/>
      <c r="IYI1054" s="989"/>
      <c r="IYJ1054" s="989"/>
      <c r="IYK1054" s="989"/>
      <c r="IYL1054" s="989"/>
      <c r="IYM1054" s="989"/>
      <c r="IYN1054" s="989"/>
      <c r="IYO1054" s="989"/>
      <c r="IYP1054" s="989"/>
      <c r="IYQ1054" s="989"/>
      <c r="IYR1054" s="989"/>
      <c r="IYS1054" s="989"/>
      <c r="IYT1054" s="989"/>
      <c r="IYU1054" s="989"/>
      <c r="IYV1054" s="989"/>
      <c r="IYW1054" s="989"/>
      <c r="IYX1054" s="989"/>
      <c r="IYY1054" s="989"/>
      <c r="IYZ1054" s="989"/>
      <c r="IZA1054" s="989"/>
      <c r="IZB1054" s="989"/>
      <c r="IZC1054" s="989"/>
      <c r="IZD1054" s="989"/>
      <c r="IZE1054" s="989"/>
      <c r="IZF1054" s="989"/>
      <c r="IZG1054" s="989"/>
      <c r="IZH1054" s="989"/>
      <c r="IZI1054" s="989"/>
      <c r="IZJ1054" s="989"/>
      <c r="IZK1054" s="989"/>
      <c r="IZL1054" s="989"/>
      <c r="IZM1054" s="989"/>
      <c r="IZN1054" s="989"/>
      <c r="IZO1054" s="989"/>
      <c r="IZP1054" s="989"/>
      <c r="IZQ1054" s="989"/>
      <c r="IZR1054" s="989"/>
      <c r="IZS1054" s="989"/>
      <c r="IZT1054" s="989"/>
      <c r="IZU1054" s="989"/>
      <c r="IZV1054" s="989"/>
      <c r="IZW1054" s="989"/>
      <c r="IZX1054" s="989"/>
      <c r="IZY1054" s="989"/>
      <c r="IZZ1054" s="989"/>
      <c r="JAA1054" s="989"/>
      <c r="JAB1054" s="989"/>
      <c r="JAC1054" s="989"/>
      <c r="JAD1054" s="989"/>
      <c r="JAE1054" s="989"/>
      <c r="JAF1054" s="989"/>
      <c r="JAG1054" s="989"/>
      <c r="JAH1054" s="989"/>
      <c r="JAI1054" s="989"/>
      <c r="JAJ1054" s="989"/>
      <c r="JAK1054" s="989"/>
      <c r="JAL1054" s="989"/>
      <c r="JAM1054" s="989"/>
      <c r="JAN1054" s="989"/>
      <c r="JAO1054" s="989"/>
      <c r="JAP1054" s="989"/>
      <c r="JAQ1054" s="989"/>
      <c r="JAR1054" s="989"/>
      <c r="JAS1054" s="989"/>
      <c r="JAT1054" s="989"/>
      <c r="JAU1054" s="989"/>
      <c r="JAV1054" s="989"/>
      <c r="JAW1054" s="989"/>
      <c r="JAX1054" s="989"/>
      <c r="JAY1054" s="989"/>
      <c r="JAZ1054" s="989"/>
      <c r="JBA1054" s="989"/>
      <c r="JBB1054" s="989"/>
      <c r="JBC1054" s="989"/>
      <c r="JBD1054" s="989"/>
      <c r="JBE1054" s="989"/>
      <c r="JBF1054" s="989"/>
      <c r="JBG1054" s="989"/>
      <c r="JBH1054" s="989"/>
      <c r="JBI1054" s="989"/>
      <c r="JBJ1054" s="989"/>
      <c r="JBK1054" s="989"/>
      <c r="JBL1054" s="989"/>
      <c r="JBM1054" s="989"/>
      <c r="JBN1054" s="989"/>
      <c r="JBO1054" s="989"/>
      <c r="JBP1054" s="989"/>
      <c r="JBQ1054" s="989"/>
      <c r="JBR1054" s="989"/>
      <c r="JBS1054" s="989"/>
      <c r="JBT1054" s="989"/>
      <c r="JBU1054" s="989"/>
      <c r="JBV1054" s="989"/>
      <c r="JBW1054" s="989"/>
      <c r="JBX1054" s="989"/>
      <c r="JBY1054" s="989"/>
      <c r="JBZ1054" s="989"/>
      <c r="JCA1054" s="989"/>
      <c r="JCB1054" s="989"/>
      <c r="JCC1054" s="989"/>
      <c r="JCD1054" s="989"/>
      <c r="JCE1054" s="989"/>
      <c r="JCF1054" s="989"/>
      <c r="JCG1054" s="989"/>
      <c r="JCH1054" s="989"/>
      <c r="JCI1054" s="989"/>
      <c r="JCJ1054" s="989"/>
      <c r="JCK1054" s="989"/>
      <c r="JCL1054" s="989"/>
      <c r="JCM1054" s="989"/>
      <c r="JCN1054" s="989"/>
      <c r="JCO1054" s="989"/>
      <c r="JCP1054" s="989"/>
      <c r="JCQ1054" s="989"/>
      <c r="JCR1054" s="989"/>
      <c r="JCS1054" s="989"/>
      <c r="JCT1054" s="989"/>
      <c r="JCU1054" s="989"/>
      <c r="JCV1054" s="989"/>
      <c r="JCW1054" s="989"/>
      <c r="JCX1054" s="989"/>
      <c r="JCY1054" s="989"/>
      <c r="JCZ1054" s="989"/>
      <c r="JDA1054" s="989"/>
      <c r="JDB1054" s="989"/>
      <c r="JDC1054" s="989"/>
      <c r="JDD1054" s="989"/>
      <c r="JDE1054" s="989"/>
      <c r="JDF1054" s="989"/>
      <c r="JDG1054" s="989"/>
      <c r="JDH1054" s="989"/>
      <c r="JDI1054" s="989"/>
      <c r="JDJ1054" s="989"/>
      <c r="JDK1054" s="989"/>
      <c r="JDL1054" s="989"/>
      <c r="JDM1054" s="989"/>
      <c r="JDN1054" s="989"/>
      <c r="JDO1054" s="989"/>
      <c r="JDP1054" s="989"/>
      <c r="JDQ1054" s="989"/>
      <c r="JDR1054" s="989"/>
      <c r="JDS1054" s="989"/>
      <c r="JDT1054" s="989"/>
      <c r="JDU1054" s="989"/>
      <c r="JDV1054" s="989"/>
      <c r="JDW1054" s="989"/>
      <c r="JDX1054" s="989"/>
      <c r="JDY1054" s="989"/>
      <c r="JDZ1054" s="989"/>
      <c r="JEA1054" s="989"/>
      <c r="JEB1054" s="989"/>
      <c r="JEC1054" s="989"/>
      <c r="JED1054" s="989"/>
      <c r="JEE1054" s="989"/>
      <c r="JEF1054" s="989"/>
      <c r="JEG1054" s="989"/>
      <c r="JEH1054" s="989"/>
      <c r="JEI1054" s="989"/>
      <c r="JEJ1054" s="989"/>
      <c r="JEK1054" s="989"/>
      <c r="JEL1054" s="989"/>
      <c r="JEM1054" s="989"/>
      <c r="JEN1054" s="989"/>
      <c r="JEO1054" s="989"/>
      <c r="JEP1054" s="989"/>
      <c r="JEQ1054" s="989"/>
      <c r="JER1054" s="989"/>
      <c r="JES1054" s="989"/>
      <c r="JET1054" s="989"/>
      <c r="JEU1054" s="989"/>
      <c r="JEV1054" s="989"/>
      <c r="JEW1054" s="989"/>
      <c r="JEX1054" s="989"/>
      <c r="JEY1054" s="989"/>
      <c r="JEZ1054" s="989"/>
      <c r="JFA1054" s="989"/>
      <c r="JFB1054" s="989"/>
      <c r="JFC1054" s="989"/>
      <c r="JFD1054" s="989"/>
      <c r="JFE1054" s="989"/>
      <c r="JFF1054" s="989"/>
      <c r="JFG1054" s="989"/>
      <c r="JFH1054" s="989"/>
      <c r="JFI1054" s="989"/>
      <c r="JFJ1054" s="989"/>
      <c r="JFK1054" s="989"/>
      <c r="JFL1054" s="989"/>
      <c r="JFM1054" s="989"/>
      <c r="JFN1054" s="989"/>
      <c r="JFO1054" s="989"/>
      <c r="JFP1054" s="989"/>
      <c r="JFQ1054" s="989"/>
      <c r="JFR1054" s="989"/>
      <c r="JFS1054" s="989"/>
      <c r="JFT1054" s="989"/>
      <c r="JFU1054" s="989"/>
      <c r="JFV1054" s="989"/>
      <c r="JFW1054" s="989"/>
      <c r="JFX1054" s="989"/>
      <c r="JFY1054" s="989"/>
      <c r="JFZ1054" s="989"/>
      <c r="JGA1054" s="989"/>
      <c r="JGB1054" s="989"/>
      <c r="JGC1054" s="989"/>
      <c r="JGD1054" s="989"/>
      <c r="JGE1054" s="989"/>
      <c r="JGF1054" s="989"/>
      <c r="JGG1054" s="989"/>
      <c r="JGH1054" s="989"/>
      <c r="JGI1054" s="989"/>
      <c r="JGJ1054" s="989"/>
      <c r="JGK1054" s="989"/>
      <c r="JGL1054" s="989"/>
      <c r="JGM1054" s="989"/>
      <c r="JGN1054" s="989"/>
      <c r="JGO1054" s="989"/>
      <c r="JGP1054" s="989"/>
      <c r="JGQ1054" s="989"/>
      <c r="JGR1054" s="989"/>
      <c r="JGS1054" s="989"/>
      <c r="JGT1054" s="989"/>
      <c r="JGU1054" s="989"/>
      <c r="JGV1054" s="989"/>
      <c r="JGW1054" s="989"/>
      <c r="JGX1054" s="989"/>
      <c r="JGY1054" s="989"/>
      <c r="JGZ1054" s="989"/>
      <c r="JHA1054" s="989"/>
      <c r="JHB1054" s="989"/>
      <c r="JHC1054" s="989"/>
      <c r="JHD1054" s="989"/>
      <c r="JHE1054" s="989"/>
      <c r="JHF1054" s="989"/>
      <c r="JHG1054" s="989"/>
      <c r="JHH1054" s="989"/>
      <c r="JHI1054" s="989"/>
      <c r="JHJ1054" s="989"/>
      <c r="JHK1054" s="989"/>
      <c r="JHL1054" s="989"/>
      <c r="JHM1054" s="989"/>
      <c r="JHN1054" s="989"/>
      <c r="JHO1054" s="989"/>
      <c r="JHP1054" s="989"/>
      <c r="JHQ1054" s="989"/>
      <c r="JHR1054" s="989"/>
      <c r="JHS1054" s="989"/>
      <c r="JHT1054" s="989"/>
      <c r="JHU1054" s="989"/>
      <c r="JHV1054" s="989"/>
      <c r="JHW1054" s="989"/>
      <c r="JHX1054" s="989"/>
      <c r="JHY1054" s="989"/>
      <c r="JHZ1054" s="989"/>
      <c r="JIA1054" s="989"/>
      <c r="JIB1054" s="989"/>
      <c r="JIC1054" s="989"/>
      <c r="JID1054" s="989"/>
      <c r="JIE1054" s="989"/>
      <c r="JIF1054" s="989"/>
      <c r="JIG1054" s="989"/>
      <c r="JIH1054" s="989"/>
      <c r="JII1054" s="989"/>
      <c r="JIJ1054" s="989"/>
      <c r="JIK1054" s="989"/>
      <c r="JIL1054" s="989"/>
      <c r="JIM1054" s="989"/>
      <c r="JIN1054" s="989"/>
      <c r="JIO1054" s="989"/>
      <c r="JIP1054" s="989"/>
      <c r="JIQ1054" s="989"/>
      <c r="JIR1054" s="989"/>
      <c r="JIS1054" s="989"/>
      <c r="JIT1054" s="989"/>
      <c r="JIU1054" s="989"/>
      <c r="JIV1054" s="989"/>
      <c r="JIW1054" s="989"/>
      <c r="JIX1054" s="989"/>
      <c r="JIY1054" s="989"/>
      <c r="JIZ1054" s="989"/>
      <c r="JJA1054" s="989"/>
      <c r="JJB1054" s="989"/>
      <c r="JJC1054" s="989"/>
      <c r="JJD1054" s="989"/>
      <c r="JJE1054" s="989"/>
      <c r="JJF1054" s="989"/>
      <c r="JJG1054" s="989"/>
      <c r="JJH1054" s="989"/>
      <c r="JJI1054" s="989"/>
      <c r="JJJ1054" s="989"/>
      <c r="JJK1054" s="989"/>
      <c r="JJL1054" s="989"/>
      <c r="JJM1054" s="989"/>
      <c r="JJN1054" s="989"/>
      <c r="JJO1054" s="989"/>
      <c r="JJP1054" s="989"/>
      <c r="JJQ1054" s="989"/>
      <c r="JJR1054" s="989"/>
      <c r="JJS1054" s="989"/>
      <c r="JJT1054" s="989"/>
      <c r="JJU1054" s="989"/>
      <c r="JJV1054" s="989"/>
      <c r="JJW1054" s="989"/>
      <c r="JJX1054" s="989"/>
      <c r="JJY1054" s="989"/>
      <c r="JJZ1054" s="989"/>
      <c r="JKA1054" s="989"/>
      <c r="JKB1054" s="989"/>
      <c r="JKC1054" s="989"/>
      <c r="JKD1054" s="989"/>
      <c r="JKE1054" s="989"/>
      <c r="JKF1054" s="989"/>
      <c r="JKG1054" s="989"/>
      <c r="JKH1054" s="989"/>
      <c r="JKI1054" s="989"/>
      <c r="JKJ1054" s="989"/>
      <c r="JKK1054" s="989"/>
      <c r="JKL1054" s="989"/>
      <c r="JKM1054" s="989"/>
      <c r="JKN1054" s="989"/>
      <c r="JKO1054" s="989"/>
      <c r="JKP1054" s="989"/>
      <c r="JKQ1054" s="989"/>
      <c r="JKR1054" s="989"/>
      <c r="JKS1054" s="989"/>
      <c r="JKT1054" s="989"/>
      <c r="JKU1054" s="989"/>
      <c r="JKV1054" s="989"/>
      <c r="JKW1054" s="989"/>
      <c r="JKX1054" s="989"/>
      <c r="JKY1054" s="989"/>
      <c r="JKZ1054" s="989"/>
      <c r="JLA1054" s="989"/>
      <c r="JLB1054" s="989"/>
      <c r="JLC1054" s="989"/>
      <c r="JLD1054" s="989"/>
      <c r="JLE1054" s="989"/>
      <c r="JLF1054" s="989"/>
      <c r="JLG1054" s="989"/>
      <c r="JLH1054" s="989"/>
      <c r="JLI1054" s="989"/>
      <c r="JLJ1054" s="989"/>
      <c r="JLK1054" s="989"/>
      <c r="JLL1054" s="989"/>
      <c r="JLM1054" s="989"/>
      <c r="JLN1054" s="989"/>
      <c r="JLO1054" s="989"/>
      <c r="JLP1054" s="989"/>
      <c r="JLQ1054" s="989"/>
      <c r="JLR1054" s="989"/>
      <c r="JLS1054" s="989"/>
      <c r="JLT1054" s="989"/>
      <c r="JLU1054" s="989"/>
      <c r="JLV1054" s="989"/>
      <c r="JLW1054" s="989"/>
      <c r="JLX1054" s="989"/>
      <c r="JLY1054" s="989"/>
      <c r="JLZ1054" s="989"/>
      <c r="JMA1054" s="989"/>
      <c r="JMB1054" s="989"/>
      <c r="JMC1054" s="989"/>
      <c r="JMD1054" s="989"/>
      <c r="JME1054" s="989"/>
      <c r="JMF1054" s="989"/>
      <c r="JMG1054" s="989"/>
      <c r="JMH1054" s="989"/>
      <c r="JMI1054" s="989"/>
      <c r="JMJ1054" s="989"/>
      <c r="JMK1054" s="989"/>
      <c r="JML1054" s="989"/>
      <c r="JMM1054" s="989"/>
      <c r="JMN1054" s="989"/>
      <c r="JMO1054" s="989"/>
      <c r="JMP1054" s="989"/>
      <c r="JMQ1054" s="989"/>
      <c r="JMR1054" s="989"/>
      <c r="JMS1054" s="989"/>
      <c r="JMT1054" s="989"/>
      <c r="JMU1054" s="989"/>
      <c r="JMV1054" s="989"/>
      <c r="JMW1054" s="989"/>
      <c r="JMX1054" s="989"/>
      <c r="JMY1054" s="989"/>
      <c r="JMZ1054" s="989"/>
      <c r="JNA1054" s="989"/>
      <c r="JNB1054" s="989"/>
      <c r="JNC1054" s="989"/>
      <c r="JND1054" s="989"/>
      <c r="JNE1054" s="989"/>
      <c r="JNF1054" s="989"/>
      <c r="JNG1054" s="989"/>
      <c r="JNH1054" s="989"/>
      <c r="JNI1054" s="989"/>
      <c r="JNJ1054" s="989"/>
      <c r="JNK1054" s="989"/>
      <c r="JNL1054" s="989"/>
      <c r="JNM1054" s="989"/>
      <c r="JNN1054" s="989"/>
      <c r="JNO1054" s="989"/>
      <c r="JNP1054" s="989"/>
      <c r="JNQ1054" s="989"/>
      <c r="JNR1054" s="989"/>
      <c r="JNS1054" s="989"/>
      <c r="JNT1054" s="989"/>
      <c r="JNU1054" s="989"/>
      <c r="JNV1054" s="989"/>
      <c r="JNW1054" s="989"/>
      <c r="JNX1054" s="989"/>
      <c r="JNY1054" s="989"/>
      <c r="JNZ1054" s="989"/>
      <c r="JOA1054" s="989"/>
      <c r="JOB1054" s="989"/>
      <c r="JOC1054" s="989"/>
      <c r="JOD1054" s="989"/>
      <c r="JOE1054" s="989"/>
      <c r="JOF1054" s="989"/>
      <c r="JOG1054" s="989"/>
      <c r="JOH1054" s="989"/>
      <c r="JOI1054" s="989"/>
      <c r="JOJ1054" s="989"/>
      <c r="JOK1054" s="989"/>
      <c r="JOL1054" s="989"/>
      <c r="JOM1054" s="989"/>
      <c r="JON1054" s="989"/>
      <c r="JOO1054" s="989"/>
      <c r="JOP1054" s="989"/>
      <c r="JOQ1054" s="989"/>
      <c r="JOR1054" s="989"/>
      <c r="JOS1054" s="989"/>
      <c r="JOT1054" s="989"/>
      <c r="JOU1054" s="989"/>
      <c r="JOV1054" s="989"/>
      <c r="JOW1054" s="989"/>
      <c r="JOX1054" s="989"/>
      <c r="JOY1054" s="989"/>
      <c r="JOZ1054" s="989"/>
      <c r="JPA1054" s="989"/>
      <c r="JPB1054" s="989"/>
      <c r="JPC1054" s="989"/>
      <c r="JPD1054" s="989"/>
      <c r="JPE1054" s="989"/>
      <c r="JPF1054" s="989"/>
      <c r="JPG1054" s="989"/>
      <c r="JPH1054" s="989"/>
      <c r="JPI1054" s="989"/>
      <c r="JPJ1054" s="989"/>
      <c r="JPK1054" s="989"/>
      <c r="JPL1054" s="989"/>
      <c r="JPM1054" s="989"/>
      <c r="JPN1054" s="989"/>
      <c r="JPO1054" s="989"/>
      <c r="JPP1054" s="989"/>
      <c r="JPQ1054" s="989"/>
      <c r="JPR1054" s="989"/>
      <c r="JPS1054" s="989"/>
      <c r="JPT1054" s="989"/>
      <c r="JPU1054" s="989"/>
      <c r="JPV1054" s="989"/>
      <c r="JPW1054" s="989"/>
      <c r="JPX1054" s="989"/>
      <c r="JPY1054" s="989"/>
      <c r="JPZ1054" s="989"/>
      <c r="JQA1054" s="989"/>
      <c r="JQB1054" s="989"/>
      <c r="JQC1054" s="989"/>
      <c r="JQD1054" s="989"/>
      <c r="JQE1054" s="989"/>
      <c r="JQF1054" s="989"/>
      <c r="JQG1054" s="989"/>
      <c r="JQH1054" s="989"/>
      <c r="JQI1054" s="989"/>
      <c r="JQJ1054" s="989"/>
      <c r="JQK1054" s="989"/>
      <c r="JQL1054" s="989"/>
      <c r="JQM1054" s="989"/>
      <c r="JQN1054" s="989"/>
      <c r="JQO1054" s="989"/>
      <c r="JQP1054" s="989"/>
      <c r="JQQ1054" s="989"/>
      <c r="JQR1054" s="989"/>
      <c r="JQS1054" s="989"/>
      <c r="JQT1054" s="989"/>
      <c r="JQU1054" s="989"/>
      <c r="JQV1054" s="989"/>
      <c r="JQW1054" s="989"/>
      <c r="JQX1054" s="989"/>
      <c r="JQY1054" s="989"/>
      <c r="JQZ1054" s="989"/>
      <c r="JRA1054" s="989"/>
      <c r="JRB1054" s="989"/>
      <c r="JRC1054" s="989"/>
      <c r="JRD1054" s="989"/>
      <c r="JRE1054" s="989"/>
      <c r="JRF1054" s="989"/>
      <c r="JRG1054" s="989"/>
      <c r="JRH1054" s="989"/>
      <c r="JRI1054" s="989"/>
      <c r="JRJ1054" s="989"/>
      <c r="JRK1054" s="989"/>
      <c r="JRL1054" s="989"/>
      <c r="JRM1054" s="989"/>
      <c r="JRN1054" s="989"/>
      <c r="JRO1054" s="989"/>
      <c r="JRP1054" s="989"/>
      <c r="JRQ1054" s="989"/>
      <c r="JRR1054" s="989"/>
      <c r="JRS1054" s="989"/>
      <c r="JRT1054" s="989"/>
      <c r="JRU1054" s="989"/>
      <c r="JRV1054" s="989"/>
      <c r="JRW1054" s="989"/>
      <c r="JRX1054" s="989"/>
      <c r="JRY1054" s="989"/>
      <c r="JRZ1054" s="989"/>
      <c r="JSA1054" s="989"/>
      <c r="JSB1054" s="989"/>
      <c r="JSC1054" s="989"/>
      <c r="JSD1054" s="989"/>
      <c r="JSE1054" s="989"/>
      <c r="JSF1054" s="989"/>
      <c r="JSG1054" s="989"/>
      <c r="JSH1054" s="989"/>
      <c r="JSI1054" s="989"/>
      <c r="JSJ1054" s="989"/>
      <c r="JSK1054" s="989"/>
      <c r="JSL1054" s="989"/>
      <c r="JSM1054" s="989"/>
      <c r="JSN1054" s="989"/>
      <c r="JSO1054" s="989"/>
      <c r="JSP1054" s="989"/>
      <c r="JSQ1054" s="989"/>
      <c r="JSR1054" s="989"/>
      <c r="JSS1054" s="989"/>
      <c r="JST1054" s="989"/>
      <c r="JSU1054" s="989"/>
      <c r="JSV1054" s="989"/>
      <c r="JSW1054" s="989"/>
      <c r="JSX1054" s="989"/>
      <c r="JSY1054" s="989"/>
      <c r="JSZ1054" s="989"/>
      <c r="JTA1054" s="989"/>
      <c r="JTB1054" s="989"/>
      <c r="JTC1054" s="989"/>
      <c r="JTD1054" s="989"/>
      <c r="JTE1054" s="989"/>
      <c r="JTF1054" s="989"/>
      <c r="JTG1054" s="989"/>
      <c r="JTH1054" s="989"/>
      <c r="JTI1054" s="989"/>
      <c r="JTJ1054" s="989"/>
      <c r="JTK1054" s="989"/>
      <c r="JTL1054" s="989"/>
      <c r="JTM1054" s="989"/>
      <c r="JTN1054" s="989"/>
      <c r="JTO1054" s="989"/>
      <c r="JTP1054" s="989"/>
      <c r="JTQ1054" s="989"/>
      <c r="JTR1054" s="989"/>
      <c r="JTS1054" s="989"/>
      <c r="JTT1054" s="989"/>
      <c r="JTU1054" s="989"/>
      <c r="JTV1054" s="989"/>
      <c r="JTW1054" s="989"/>
      <c r="JTX1054" s="989"/>
      <c r="JTY1054" s="989"/>
      <c r="JTZ1054" s="989"/>
      <c r="JUA1054" s="989"/>
      <c r="JUB1054" s="989"/>
      <c r="JUC1054" s="989"/>
      <c r="JUD1054" s="989"/>
      <c r="JUE1054" s="989"/>
      <c r="JUF1054" s="989"/>
      <c r="JUG1054" s="989"/>
      <c r="JUH1054" s="989"/>
      <c r="JUI1054" s="989"/>
      <c r="JUJ1054" s="989"/>
      <c r="JUK1054" s="989"/>
      <c r="JUL1054" s="989"/>
      <c r="JUM1054" s="989"/>
      <c r="JUN1054" s="989"/>
      <c r="JUO1054" s="989"/>
      <c r="JUP1054" s="989"/>
      <c r="JUQ1054" s="989"/>
      <c r="JUR1054" s="989"/>
      <c r="JUS1054" s="989"/>
      <c r="JUT1054" s="989"/>
      <c r="JUU1054" s="989"/>
      <c r="JUV1054" s="989"/>
      <c r="JUW1054" s="989"/>
      <c r="JUX1054" s="989"/>
      <c r="JUY1054" s="989"/>
      <c r="JUZ1054" s="989"/>
      <c r="JVA1054" s="989"/>
      <c r="JVB1054" s="989"/>
      <c r="JVC1054" s="989"/>
      <c r="JVD1054" s="989"/>
      <c r="JVE1054" s="989"/>
      <c r="JVF1054" s="989"/>
      <c r="JVG1054" s="989"/>
      <c r="JVH1054" s="989"/>
      <c r="JVI1054" s="989"/>
      <c r="JVJ1054" s="989"/>
      <c r="JVK1054" s="989"/>
      <c r="JVL1054" s="989"/>
      <c r="JVM1054" s="989"/>
      <c r="JVN1054" s="989"/>
      <c r="JVO1054" s="989"/>
      <c r="JVP1054" s="989"/>
      <c r="JVQ1054" s="989"/>
      <c r="JVR1054" s="989"/>
      <c r="JVS1054" s="989"/>
      <c r="JVT1054" s="989"/>
      <c r="JVU1054" s="989"/>
      <c r="JVV1054" s="989"/>
      <c r="JVW1054" s="989"/>
      <c r="JVX1054" s="989"/>
      <c r="JVY1054" s="989"/>
      <c r="JVZ1054" s="989"/>
      <c r="JWA1054" s="989"/>
      <c r="JWB1054" s="989"/>
      <c r="JWC1054" s="989"/>
      <c r="JWD1054" s="989"/>
      <c r="JWE1054" s="989"/>
      <c r="JWF1054" s="989"/>
      <c r="JWG1054" s="989"/>
      <c r="JWH1054" s="989"/>
      <c r="JWI1054" s="989"/>
      <c r="JWJ1054" s="989"/>
      <c r="JWK1054" s="989"/>
      <c r="JWL1054" s="989"/>
      <c r="JWM1054" s="989"/>
      <c r="JWN1054" s="989"/>
      <c r="JWO1054" s="989"/>
      <c r="JWP1054" s="989"/>
      <c r="JWQ1054" s="989"/>
      <c r="JWR1054" s="989"/>
      <c r="JWS1054" s="989"/>
      <c r="JWT1054" s="989"/>
      <c r="JWU1054" s="989"/>
      <c r="JWV1054" s="989"/>
      <c r="JWW1054" s="989"/>
      <c r="JWX1054" s="989"/>
      <c r="JWY1054" s="989"/>
      <c r="JWZ1054" s="989"/>
      <c r="JXA1054" s="989"/>
      <c r="JXB1054" s="989"/>
      <c r="JXC1054" s="989"/>
      <c r="JXD1054" s="989"/>
      <c r="JXE1054" s="989"/>
      <c r="JXF1054" s="989"/>
      <c r="JXG1054" s="989"/>
      <c r="JXH1054" s="989"/>
      <c r="JXI1054" s="989"/>
      <c r="JXJ1054" s="989"/>
      <c r="JXK1054" s="989"/>
      <c r="JXL1054" s="989"/>
      <c r="JXM1054" s="989"/>
      <c r="JXN1054" s="989"/>
      <c r="JXO1054" s="989"/>
      <c r="JXP1054" s="989"/>
      <c r="JXQ1054" s="989"/>
      <c r="JXR1054" s="989"/>
      <c r="JXS1054" s="989"/>
      <c r="JXT1054" s="989"/>
      <c r="JXU1054" s="989"/>
      <c r="JXV1054" s="989"/>
      <c r="JXW1054" s="989"/>
      <c r="JXX1054" s="989"/>
      <c r="JXY1054" s="989"/>
      <c r="JXZ1054" s="989"/>
      <c r="JYA1054" s="989"/>
      <c r="JYB1054" s="989"/>
      <c r="JYC1054" s="989"/>
      <c r="JYD1054" s="989"/>
      <c r="JYE1054" s="989"/>
      <c r="JYF1054" s="989"/>
      <c r="JYG1054" s="989"/>
      <c r="JYH1054" s="989"/>
      <c r="JYI1054" s="989"/>
      <c r="JYJ1054" s="989"/>
      <c r="JYK1054" s="989"/>
      <c r="JYL1054" s="989"/>
      <c r="JYM1054" s="989"/>
      <c r="JYN1054" s="989"/>
      <c r="JYO1054" s="989"/>
      <c r="JYP1054" s="989"/>
      <c r="JYQ1054" s="989"/>
      <c r="JYR1054" s="989"/>
      <c r="JYS1054" s="989"/>
      <c r="JYT1054" s="989"/>
      <c r="JYU1054" s="989"/>
      <c r="JYV1054" s="989"/>
      <c r="JYW1054" s="989"/>
      <c r="JYX1054" s="989"/>
      <c r="JYY1054" s="989"/>
      <c r="JYZ1054" s="989"/>
      <c r="JZA1054" s="989"/>
      <c r="JZB1054" s="989"/>
      <c r="JZC1054" s="989"/>
      <c r="JZD1054" s="989"/>
      <c r="JZE1054" s="989"/>
      <c r="JZF1054" s="989"/>
      <c r="JZG1054" s="989"/>
      <c r="JZH1054" s="989"/>
      <c r="JZI1054" s="989"/>
      <c r="JZJ1054" s="989"/>
      <c r="JZK1054" s="989"/>
      <c r="JZL1054" s="989"/>
      <c r="JZM1054" s="989"/>
      <c r="JZN1054" s="989"/>
      <c r="JZO1054" s="989"/>
      <c r="JZP1054" s="989"/>
      <c r="JZQ1054" s="989"/>
      <c r="JZR1054" s="989"/>
      <c r="JZS1054" s="989"/>
      <c r="JZT1054" s="989"/>
      <c r="JZU1054" s="989"/>
      <c r="JZV1054" s="989"/>
      <c r="JZW1054" s="989"/>
      <c r="JZX1054" s="989"/>
      <c r="JZY1054" s="989"/>
      <c r="JZZ1054" s="989"/>
      <c r="KAA1054" s="989"/>
      <c r="KAB1054" s="989"/>
      <c r="KAC1054" s="989"/>
      <c r="KAD1054" s="989"/>
      <c r="KAE1054" s="989"/>
      <c r="KAF1054" s="989"/>
      <c r="KAG1054" s="989"/>
      <c r="KAH1054" s="989"/>
      <c r="KAI1054" s="989"/>
      <c r="KAJ1054" s="989"/>
      <c r="KAK1054" s="989"/>
      <c r="KAL1054" s="989"/>
      <c r="KAM1054" s="989"/>
      <c r="KAN1054" s="989"/>
      <c r="KAO1054" s="989"/>
      <c r="KAP1054" s="989"/>
      <c r="KAQ1054" s="989"/>
      <c r="KAR1054" s="989"/>
      <c r="KAS1054" s="989"/>
      <c r="KAT1054" s="989"/>
      <c r="KAU1054" s="989"/>
      <c r="KAV1054" s="989"/>
      <c r="KAW1054" s="989"/>
      <c r="KAX1054" s="989"/>
      <c r="KAY1054" s="989"/>
      <c r="KAZ1054" s="989"/>
      <c r="KBA1054" s="989"/>
      <c r="KBB1054" s="989"/>
      <c r="KBC1054" s="989"/>
      <c r="KBD1054" s="989"/>
      <c r="KBE1054" s="989"/>
      <c r="KBF1054" s="989"/>
      <c r="KBG1054" s="989"/>
      <c r="KBH1054" s="989"/>
      <c r="KBI1054" s="989"/>
      <c r="KBJ1054" s="989"/>
      <c r="KBK1054" s="989"/>
      <c r="KBL1054" s="989"/>
      <c r="KBM1054" s="989"/>
      <c r="KBN1054" s="989"/>
      <c r="KBO1054" s="989"/>
      <c r="KBP1054" s="989"/>
      <c r="KBQ1054" s="989"/>
      <c r="KBR1054" s="989"/>
      <c r="KBS1054" s="989"/>
      <c r="KBT1054" s="989"/>
      <c r="KBU1054" s="989"/>
      <c r="KBV1054" s="989"/>
      <c r="KBW1054" s="989"/>
      <c r="KBX1054" s="989"/>
      <c r="KBY1054" s="989"/>
      <c r="KBZ1054" s="989"/>
      <c r="KCA1054" s="989"/>
      <c r="KCB1054" s="989"/>
      <c r="KCC1054" s="989"/>
      <c r="KCD1054" s="989"/>
      <c r="KCE1054" s="989"/>
      <c r="KCF1054" s="989"/>
      <c r="KCG1054" s="989"/>
      <c r="KCH1054" s="989"/>
      <c r="KCI1054" s="989"/>
      <c r="KCJ1054" s="989"/>
      <c r="KCK1054" s="989"/>
      <c r="KCL1054" s="989"/>
      <c r="KCM1054" s="989"/>
      <c r="KCN1054" s="989"/>
      <c r="KCO1054" s="989"/>
      <c r="KCP1054" s="989"/>
      <c r="KCQ1054" s="989"/>
      <c r="KCR1054" s="989"/>
      <c r="KCS1054" s="989"/>
      <c r="KCT1054" s="989"/>
      <c r="KCU1054" s="989"/>
      <c r="KCV1054" s="989"/>
      <c r="KCW1054" s="989"/>
      <c r="KCX1054" s="989"/>
      <c r="KCY1054" s="989"/>
      <c r="KCZ1054" s="989"/>
      <c r="KDA1054" s="989"/>
      <c r="KDB1054" s="989"/>
      <c r="KDC1054" s="989"/>
      <c r="KDD1054" s="989"/>
      <c r="KDE1054" s="989"/>
      <c r="KDF1054" s="989"/>
      <c r="KDG1054" s="989"/>
      <c r="KDH1054" s="989"/>
      <c r="KDI1054" s="989"/>
      <c r="KDJ1054" s="989"/>
      <c r="KDK1054" s="989"/>
      <c r="KDL1054" s="989"/>
      <c r="KDM1054" s="989"/>
      <c r="KDN1054" s="989"/>
      <c r="KDO1054" s="989"/>
      <c r="KDP1054" s="989"/>
      <c r="KDQ1054" s="989"/>
      <c r="KDR1054" s="989"/>
      <c r="KDS1054" s="989"/>
      <c r="KDT1054" s="989"/>
      <c r="KDU1054" s="989"/>
      <c r="KDV1054" s="989"/>
      <c r="KDW1054" s="989"/>
      <c r="KDX1054" s="989"/>
      <c r="KDY1054" s="989"/>
      <c r="KDZ1054" s="989"/>
      <c r="KEA1054" s="989"/>
      <c r="KEB1054" s="989"/>
      <c r="KEC1054" s="989"/>
      <c r="KED1054" s="989"/>
      <c r="KEE1054" s="989"/>
      <c r="KEF1054" s="989"/>
      <c r="KEG1054" s="989"/>
      <c r="KEH1054" s="989"/>
      <c r="KEI1054" s="989"/>
      <c r="KEJ1054" s="989"/>
      <c r="KEK1054" s="989"/>
      <c r="KEL1054" s="989"/>
      <c r="KEM1054" s="989"/>
      <c r="KEN1054" s="989"/>
      <c r="KEO1054" s="989"/>
      <c r="KEP1054" s="989"/>
      <c r="KEQ1054" s="989"/>
      <c r="KER1054" s="989"/>
      <c r="KES1054" s="989"/>
      <c r="KET1054" s="989"/>
      <c r="KEU1054" s="989"/>
      <c r="KEV1054" s="989"/>
      <c r="KEW1054" s="989"/>
      <c r="KEX1054" s="989"/>
      <c r="KEY1054" s="989"/>
      <c r="KEZ1054" s="989"/>
      <c r="KFA1054" s="989"/>
      <c r="KFB1054" s="989"/>
      <c r="KFC1054" s="989"/>
      <c r="KFD1054" s="989"/>
      <c r="KFE1054" s="989"/>
      <c r="KFF1054" s="989"/>
      <c r="KFG1054" s="989"/>
      <c r="KFH1054" s="989"/>
      <c r="KFI1054" s="989"/>
      <c r="KFJ1054" s="989"/>
      <c r="KFK1054" s="989"/>
      <c r="KFL1054" s="989"/>
      <c r="KFM1054" s="989"/>
      <c r="KFN1054" s="989"/>
      <c r="KFO1054" s="989"/>
      <c r="KFP1054" s="989"/>
      <c r="KFQ1054" s="989"/>
      <c r="KFR1054" s="989"/>
      <c r="KFS1054" s="989"/>
      <c r="KFT1054" s="989"/>
      <c r="KFU1054" s="989"/>
      <c r="KFV1054" s="989"/>
      <c r="KFW1054" s="989"/>
      <c r="KFX1054" s="989"/>
      <c r="KFY1054" s="989"/>
      <c r="KFZ1054" s="989"/>
      <c r="KGA1054" s="989"/>
      <c r="KGB1054" s="989"/>
      <c r="KGC1054" s="989"/>
      <c r="KGD1054" s="989"/>
      <c r="KGE1054" s="989"/>
      <c r="KGF1054" s="989"/>
      <c r="KGG1054" s="989"/>
      <c r="KGH1054" s="989"/>
      <c r="KGI1054" s="989"/>
      <c r="KGJ1054" s="989"/>
      <c r="KGK1054" s="989"/>
      <c r="KGL1054" s="989"/>
      <c r="KGM1054" s="989"/>
      <c r="KGN1054" s="989"/>
      <c r="KGO1054" s="989"/>
      <c r="KGP1054" s="989"/>
      <c r="KGQ1054" s="989"/>
      <c r="KGR1054" s="989"/>
      <c r="KGS1054" s="989"/>
      <c r="KGT1054" s="989"/>
      <c r="KGU1054" s="989"/>
      <c r="KGV1054" s="989"/>
      <c r="KGW1054" s="989"/>
      <c r="KGX1054" s="989"/>
      <c r="KGY1054" s="989"/>
      <c r="KGZ1054" s="989"/>
      <c r="KHA1054" s="989"/>
      <c r="KHB1054" s="989"/>
      <c r="KHC1054" s="989"/>
      <c r="KHD1054" s="989"/>
      <c r="KHE1054" s="989"/>
      <c r="KHF1054" s="989"/>
      <c r="KHG1054" s="989"/>
      <c r="KHH1054" s="989"/>
      <c r="KHI1054" s="989"/>
      <c r="KHJ1054" s="989"/>
      <c r="KHK1054" s="989"/>
      <c r="KHL1054" s="989"/>
      <c r="KHM1054" s="989"/>
      <c r="KHN1054" s="989"/>
      <c r="KHO1054" s="989"/>
      <c r="KHP1054" s="989"/>
      <c r="KHQ1054" s="989"/>
      <c r="KHR1054" s="989"/>
      <c r="KHS1054" s="989"/>
      <c r="KHT1054" s="989"/>
      <c r="KHU1054" s="989"/>
      <c r="KHV1054" s="989"/>
      <c r="KHW1054" s="989"/>
      <c r="KHX1054" s="989"/>
      <c r="KHY1054" s="989"/>
      <c r="KHZ1054" s="989"/>
      <c r="KIA1054" s="989"/>
      <c r="KIB1054" s="989"/>
      <c r="KIC1054" s="989"/>
      <c r="KID1054" s="989"/>
      <c r="KIE1054" s="989"/>
      <c r="KIF1054" s="989"/>
      <c r="KIG1054" s="989"/>
      <c r="KIH1054" s="989"/>
      <c r="KII1054" s="989"/>
      <c r="KIJ1054" s="989"/>
      <c r="KIK1054" s="989"/>
      <c r="KIL1054" s="989"/>
      <c r="KIM1054" s="989"/>
      <c r="KIN1054" s="989"/>
      <c r="KIO1054" s="989"/>
      <c r="KIP1054" s="989"/>
      <c r="KIQ1054" s="989"/>
      <c r="KIR1054" s="989"/>
      <c r="KIS1054" s="989"/>
      <c r="KIT1054" s="989"/>
      <c r="KIU1054" s="989"/>
      <c r="KIV1054" s="989"/>
      <c r="KIW1054" s="989"/>
      <c r="KIX1054" s="989"/>
      <c r="KIY1054" s="989"/>
      <c r="KIZ1054" s="989"/>
      <c r="KJA1054" s="989"/>
      <c r="KJB1054" s="989"/>
      <c r="KJC1054" s="989"/>
      <c r="KJD1054" s="989"/>
      <c r="KJE1054" s="989"/>
      <c r="KJF1054" s="989"/>
      <c r="KJG1054" s="989"/>
      <c r="KJH1054" s="989"/>
      <c r="KJI1054" s="989"/>
      <c r="KJJ1054" s="989"/>
      <c r="KJK1054" s="989"/>
      <c r="KJL1054" s="989"/>
      <c r="KJM1054" s="989"/>
      <c r="KJN1054" s="989"/>
      <c r="KJO1054" s="989"/>
      <c r="KJP1054" s="989"/>
      <c r="KJQ1054" s="989"/>
      <c r="KJR1054" s="989"/>
      <c r="KJS1054" s="989"/>
      <c r="KJT1054" s="989"/>
      <c r="KJU1054" s="989"/>
      <c r="KJV1054" s="989"/>
      <c r="KJW1054" s="989"/>
      <c r="KJX1054" s="989"/>
      <c r="KJY1054" s="989"/>
      <c r="KJZ1054" s="989"/>
      <c r="KKA1054" s="989"/>
      <c r="KKB1054" s="989"/>
      <c r="KKC1054" s="989"/>
      <c r="KKD1054" s="989"/>
      <c r="KKE1054" s="989"/>
      <c r="KKF1054" s="989"/>
      <c r="KKG1054" s="989"/>
      <c r="KKH1054" s="989"/>
      <c r="KKI1054" s="989"/>
      <c r="KKJ1054" s="989"/>
      <c r="KKK1054" s="989"/>
      <c r="KKL1054" s="989"/>
      <c r="KKM1054" s="989"/>
      <c r="KKN1054" s="989"/>
      <c r="KKO1054" s="989"/>
      <c r="KKP1054" s="989"/>
      <c r="KKQ1054" s="989"/>
      <c r="KKR1054" s="989"/>
      <c r="KKS1054" s="989"/>
      <c r="KKT1054" s="989"/>
      <c r="KKU1054" s="989"/>
      <c r="KKV1054" s="989"/>
      <c r="KKW1054" s="989"/>
      <c r="KKX1054" s="989"/>
      <c r="KKY1054" s="989"/>
      <c r="KKZ1054" s="989"/>
      <c r="KLA1054" s="989"/>
      <c r="KLB1054" s="989"/>
      <c r="KLC1054" s="989"/>
      <c r="KLD1054" s="989"/>
      <c r="KLE1054" s="989"/>
      <c r="KLF1054" s="989"/>
      <c r="KLG1054" s="989"/>
      <c r="KLH1054" s="989"/>
      <c r="KLI1054" s="989"/>
      <c r="KLJ1054" s="989"/>
      <c r="KLK1054" s="989"/>
      <c r="KLL1054" s="989"/>
      <c r="KLM1054" s="989"/>
      <c r="KLN1054" s="989"/>
      <c r="KLO1054" s="989"/>
      <c r="KLP1054" s="989"/>
      <c r="KLQ1054" s="989"/>
      <c r="KLR1054" s="989"/>
      <c r="KLS1054" s="989"/>
      <c r="KLT1054" s="989"/>
      <c r="KLU1054" s="989"/>
      <c r="KLV1054" s="989"/>
      <c r="KLW1054" s="989"/>
      <c r="KLX1054" s="989"/>
      <c r="KLY1054" s="989"/>
      <c r="KLZ1054" s="989"/>
      <c r="KMA1054" s="989"/>
      <c r="KMB1054" s="989"/>
      <c r="KMC1054" s="989"/>
      <c r="KMD1054" s="989"/>
      <c r="KME1054" s="989"/>
      <c r="KMF1054" s="989"/>
      <c r="KMG1054" s="989"/>
      <c r="KMH1054" s="989"/>
      <c r="KMI1054" s="989"/>
      <c r="KMJ1054" s="989"/>
      <c r="KMK1054" s="989"/>
      <c r="KML1054" s="989"/>
      <c r="KMM1054" s="989"/>
      <c r="KMN1054" s="989"/>
      <c r="KMO1054" s="989"/>
      <c r="KMP1054" s="989"/>
      <c r="KMQ1054" s="989"/>
      <c r="KMR1054" s="989"/>
      <c r="KMS1054" s="989"/>
      <c r="KMT1054" s="989"/>
      <c r="KMU1054" s="989"/>
      <c r="KMV1054" s="989"/>
      <c r="KMW1054" s="989"/>
      <c r="KMX1054" s="989"/>
      <c r="KMY1054" s="989"/>
      <c r="KMZ1054" s="989"/>
      <c r="KNA1054" s="989"/>
      <c r="KNB1054" s="989"/>
      <c r="KNC1054" s="989"/>
      <c r="KND1054" s="989"/>
      <c r="KNE1054" s="989"/>
      <c r="KNF1054" s="989"/>
      <c r="KNG1054" s="989"/>
      <c r="KNH1054" s="989"/>
      <c r="KNI1054" s="989"/>
      <c r="KNJ1054" s="989"/>
      <c r="KNK1054" s="989"/>
      <c r="KNL1054" s="989"/>
      <c r="KNM1054" s="989"/>
      <c r="KNN1054" s="989"/>
      <c r="KNO1054" s="989"/>
      <c r="KNP1054" s="989"/>
      <c r="KNQ1054" s="989"/>
      <c r="KNR1054" s="989"/>
      <c r="KNS1054" s="989"/>
      <c r="KNT1054" s="989"/>
      <c r="KNU1054" s="989"/>
      <c r="KNV1054" s="989"/>
      <c r="KNW1054" s="989"/>
      <c r="KNX1054" s="989"/>
      <c r="KNY1054" s="989"/>
      <c r="KNZ1054" s="989"/>
      <c r="KOA1054" s="989"/>
      <c r="KOB1054" s="989"/>
      <c r="KOC1054" s="989"/>
      <c r="KOD1054" s="989"/>
      <c r="KOE1054" s="989"/>
      <c r="KOF1054" s="989"/>
      <c r="KOG1054" s="989"/>
      <c r="KOH1054" s="989"/>
      <c r="KOI1054" s="989"/>
      <c r="KOJ1054" s="989"/>
      <c r="KOK1054" s="989"/>
      <c r="KOL1054" s="989"/>
      <c r="KOM1054" s="989"/>
      <c r="KON1054" s="989"/>
      <c r="KOO1054" s="989"/>
      <c r="KOP1054" s="989"/>
      <c r="KOQ1054" s="989"/>
      <c r="KOR1054" s="989"/>
      <c r="KOS1054" s="989"/>
      <c r="KOT1054" s="989"/>
      <c r="KOU1054" s="989"/>
      <c r="KOV1054" s="989"/>
      <c r="KOW1054" s="989"/>
      <c r="KOX1054" s="989"/>
      <c r="KOY1054" s="989"/>
      <c r="KOZ1054" s="989"/>
      <c r="KPA1054" s="989"/>
      <c r="KPB1054" s="989"/>
      <c r="KPC1054" s="989"/>
      <c r="KPD1054" s="989"/>
      <c r="KPE1054" s="989"/>
      <c r="KPF1054" s="989"/>
      <c r="KPG1054" s="989"/>
      <c r="KPH1054" s="989"/>
      <c r="KPI1054" s="989"/>
      <c r="KPJ1054" s="989"/>
      <c r="KPK1054" s="989"/>
      <c r="KPL1054" s="989"/>
      <c r="KPM1054" s="989"/>
      <c r="KPN1054" s="989"/>
      <c r="KPO1054" s="989"/>
      <c r="KPP1054" s="989"/>
      <c r="KPQ1054" s="989"/>
      <c r="KPR1054" s="989"/>
      <c r="KPS1054" s="989"/>
      <c r="KPT1054" s="989"/>
      <c r="KPU1054" s="989"/>
      <c r="KPV1054" s="989"/>
      <c r="KPW1054" s="989"/>
      <c r="KPX1054" s="989"/>
      <c r="KPY1054" s="989"/>
      <c r="KPZ1054" s="989"/>
      <c r="KQA1054" s="989"/>
      <c r="KQB1054" s="989"/>
      <c r="KQC1054" s="989"/>
      <c r="KQD1054" s="989"/>
      <c r="KQE1054" s="989"/>
      <c r="KQF1054" s="989"/>
      <c r="KQG1054" s="989"/>
      <c r="KQH1054" s="989"/>
      <c r="KQI1054" s="989"/>
      <c r="KQJ1054" s="989"/>
      <c r="KQK1054" s="989"/>
      <c r="KQL1054" s="989"/>
      <c r="KQM1054" s="989"/>
      <c r="KQN1054" s="989"/>
      <c r="KQO1054" s="989"/>
      <c r="KQP1054" s="989"/>
      <c r="KQQ1054" s="989"/>
      <c r="KQR1054" s="989"/>
      <c r="KQS1054" s="989"/>
      <c r="KQT1054" s="989"/>
      <c r="KQU1054" s="989"/>
      <c r="KQV1054" s="989"/>
      <c r="KQW1054" s="989"/>
      <c r="KQX1054" s="989"/>
      <c r="KQY1054" s="989"/>
      <c r="KQZ1054" s="989"/>
      <c r="KRA1054" s="989"/>
      <c r="KRB1054" s="989"/>
      <c r="KRC1054" s="989"/>
      <c r="KRD1054" s="989"/>
      <c r="KRE1054" s="989"/>
      <c r="KRF1054" s="989"/>
      <c r="KRG1054" s="989"/>
      <c r="KRH1054" s="989"/>
      <c r="KRI1054" s="989"/>
      <c r="KRJ1054" s="989"/>
      <c r="KRK1054" s="989"/>
      <c r="KRL1054" s="989"/>
      <c r="KRM1054" s="989"/>
      <c r="KRN1054" s="989"/>
      <c r="KRO1054" s="989"/>
      <c r="KRP1054" s="989"/>
      <c r="KRQ1054" s="989"/>
      <c r="KRR1054" s="989"/>
      <c r="KRS1054" s="989"/>
      <c r="KRT1054" s="989"/>
      <c r="KRU1054" s="989"/>
      <c r="KRV1054" s="989"/>
      <c r="KRW1054" s="989"/>
      <c r="KRX1054" s="989"/>
      <c r="KRY1054" s="989"/>
      <c r="KRZ1054" s="989"/>
      <c r="KSA1054" s="989"/>
      <c r="KSB1054" s="989"/>
      <c r="KSC1054" s="989"/>
      <c r="KSD1054" s="989"/>
      <c r="KSE1054" s="989"/>
      <c r="KSF1054" s="989"/>
      <c r="KSG1054" s="989"/>
      <c r="KSH1054" s="989"/>
      <c r="KSI1054" s="989"/>
      <c r="KSJ1054" s="989"/>
      <c r="KSK1054" s="989"/>
      <c r="KSL1054" s="989"/>
      <c r="KSM1054" s="989"/>
      <c r="KSN1054" s="989"/>
      <c r="KSO1054" s="989"/>
      <c r="KSP1054" s="989"/>
      <c r="KSQ1054" s="989"/>
      <c r="KSR1054" s="989"/>
      <c r="KSS1054" s="989"/>
      <c r="KST1054" s="989"/>
      <c r="KSU1054" s="989"/>
      <c r="KSV1054" s="989"/>
      <c r="KSW1054" s="989"/>
      <c r="KSX1054" s="989"/>
      <c r="KSY1054" s="989"/>
      <c r="KSZ1054" s="989"/>
      <c r="KTA1054" s="989"/>
      <c r="KTB1054" s="989"/>
      <c r="KTC1054" s="989"/>
      <c r="KTD1054" s="989"/>
      <c r="KTE1054" s="989"/>
      <c r="KTF1054" s="989"/>
      <c r="KTG1054" s="989"/>
      <c r="KTH1054" s="989"/>
      <c r="KTI1054" s="989"/>
      <c r="KTJ1054" s="989"/>
      <c r="KTK1054" s="989"/>
      <c r="KTL1054" s="989"/>
      <c r="KTM1054" s="989"/>
      <c r="KTN1054" s="989"/>
      <c r="KTO1054" s="989"/>
      <c r="KTP1054" s="989"/>
      <c r="KTQ1054" s="989"/>
      <c r="KTR1054" s="989"/>
      <c r="KTS1054" s="989"/>
      <c r="KTT1054" s="989"/>
      <c r="KTU1054" s="989"/>
      <c r="KTV1054" s="989"/>
      <c r="KTW1054" s="989"/>
      <c r="KTX1054" s="989"/>
      <c r="KTY1054" s="989"/>
      <c r="KTZ1054" s="989"/>
      <c r="KUA1054" s="989"/>
      <c r="KUB1054" s="989"/>
      <c r="KUC1054" s="989"/>
      <c r="KUD1054" s="989"/>
      <c r="KUE1054" s="989"/>
      <c r="KUF1054" s="989"/>
      <c r="KUG1054" s="989"/>
      <c r="KUH1054" s="989"/>
      <c r="KUI1054" s="989"/>
      <c r="KUJ1054" s="989"/>
      <c r="KUK1054" s="989"/>
      <c r="KUL1054" s="989"/>
      <c r="KUM1054" s="989"/>
      <c r="KUN1054" s="989"/>
      <c r="KUO1054" s="989"/>
      <c r="KUP1054" s="989"/>
      <c r="KUQ1054" s="989"/>
      <c r="KUR1054" s="989"/>
      <c r="KUS1054" s="989"/>
      <c r="KUT1054" s="989"/>
      <c r="KUU1054" s="989"/>
      <c r="KUV1054" s="989"/>
      <c r="KUW1054" s="989"/>
      <c r="KUX1054" s="989"/>
      <c r="KUY1054" s="989"/>
      <c r="KUZ1054" s="989"/>
      <c r="KVA1054" s="989"/>
      <c r="KVB1054" s="989"/>
      <c r="KVC1054" s="989"/>
      <c r="KVD1054" s="989"/>
      <c r="KVE1054" s="989"/>
      <c r="KVF1054" s="989"/>
      <c r="KVG1054" s="989"/>
      <c r="KVH1054" s="989"/>
      <c r="KVI1054" s="989"/>
      <c r="KVJ1054" s="989"/>
      <c r="KVK1054" s="989"/>
      <c r="KVL1054" s="989"/>
      <c r="KVM1054" s="989"/>
      <c r="KVN1054" s="989"/>
      <c r="KVO1054" s="989"/>
      <c r="KVP1054" s="989"/>
      <c r="KVQ1054" s="989"/>
      <c r="KVR1054" s="989"/>
      <c r="KVS1054" s="989"/>
      <c r="KVT1054" s="989"/>
      <c r="KVU1054" s="989"/>
      <c r="KVV1054" s="989"/>
      <c r="KVW1054" s="989"/>
      <c r="KVX1054" s="989"/>
      <c r="KVY1054" s="989"/>
      <c r="KVZ1054" s="989"/>
      <c r="KWA1054" s="989"/>
      <c r="KWB1054" s="989"/>
      <c r="KWC1054" s="989"/>
      <c r="KWD1054" s="989"/>
      <c r="KWE1054" s="989"/>
      <c r="KWF1054" s="989"/>
      <c r="KWG1054" s="989"/>
      <c r="KWH1054" s="989"/>
      <c r="KWI1054" s="989"/>
      <c r="KWJ1054" s="989"/>
      <c r="KWK1054" s="989"/>
      <c r="KWL1054" s="989"/>
      <c r="KWM1054" s="989"/>
      <c r="KWN1054" s="989"/>
      <c r="KWO1054" s="989"/>
      <c r="KWP1054" s="989"/>
      <c r="KWQ1054" s="989"/>
      <c r="KWR1054" s="989"/>
      <c r="KWS1054" s="989"/>
      <c r="KWT1054" s="989"/>
      <c r="KWU1054" s="989"/>
      <c r="KWV1054" s="989"/>
      <c r="KWW1054" s="989"/>
      <c r="KWX1054" s="989"/>
      <c r="KWY1054" s="989"/>
      <c r="KWZ1054" s="989"/>
      <c r="KXA1054" s="989"/>
      <c r="KXB1054" s="989"/>
      <c r="KXC1054" s="989"/>
      <c r="KXD1054" s="989"/>
      <c r="KXE1054" s="989"/>
      <c r="KXF1054" s="989"/>
      <c r="KXG1054" s="989"/>
      <c r="KXH1054" s="989"/>
      <c r="KXI1054" s="989"/>
      <c r="KXJ1054" s="989"/>
      <c r="KXK1054" s="989"/>
      <c r="KXL1054" s="989"/>
      <c r="KXM1054" s="989"/>
      <c r="KXN1054" s="989"/>
      <c r="KXO1054" s="989"/>
      <c r="KXP1054" s="989"/>
      <c r="KXQ1054" s="989"/>
      <c r="KXR1054" s="989"/>
      <c r="KXS1054" s="989"/>
      <c r="KXT1054" s="989"/>
      <c r="KXU1054" s="989"/>
      <c r="KXV1054" s="989"/>
      <c r="KXW1054" s="989"/>
      <c r="KXX1054" s="989"/>
      <c r="KXY1054" s="989"/>
      <c r="KXZ1054" s="989"/>
      <c r="KYA1054" s="989"/>
      <c r="KYB1054" s="989"/>
      <c r="KYC1054" s="989"/>
      <c r="KYD1054" s="989"/>
      <c r="KYE1054" s="989"/>
      <c r="KYF1054" s="989"/>
      <c r="KYG1054" s="989"/>
      <c r="KYH1054" s="989"/>
      <c r="KYI1054" s="989"/>
      <c r="KYJ1054" s="989"/>
      <c r="KYK1054" s="989"/>
      <c r="KYL1054" s="989"/>
      <c r="KYM1054" s="989"/>
      <c r="KYN1054" s="989"/>
      <c r="KYO1054" s="989"/>
      <c r="KYP1054" s="989"/>
      <c r="KYQ1054" s="989"/>
      <c r="KYR1054" s="989"/>
      <c r="KYS1054" s="989"/>
      <c r="KYT1054" s="989"/>
      <c r="KYU1054" s="989"/>
      <c r="KYV1054" s="989"/>
      <c r="KYW1054" s="989"/>
      <c r="KYX1054" s="989"/>
      <c r="KYY1054" s="989"/>
      <c r="KYZ1054" s="989"/>
      <c r="KZA1054" s="989"/>
      <c r="KZB1054" s="989"/>
      <c r="KZC1054" s="989"/>
      <c r="KZD1054" s="989"/>
      <c r="KZE1054" s="989"/>
      <c r="KZF1054" s="989"/>
      <c r="KZG1054" s="989"/>
      <c r="KZH1054" s="989"/>
      <c r="KZI1054" s="989"/>
      <c r="KZJ1054" s="989"/>
      <c r="KZK1054" s="989"/>
      <c r="KZL1054" s="989"/>
      <c r="KZM1054" s="989"/>
      <c r="KZN1054" s="989"/>
      <c r="KZO1054" s="989"/>
      <c r="KZP1054" s="989"/>
      <c r="KZQ1054" s="989"/>
      <c r="KZR1054" s="989"/>
      <c r="KZS1054" s="989"/>
      <c r="KZT1054" s="989"/>
      <c r="KZU1054" s="989"/>
      <c r="KZV1054" s="989"/>
      <c r="KZW1054" s="989"/>
      <c r="KZX1054" s="989"/>
      <c r="KZY1054" s="989"/>
      <c r="KZZ1054" s="989"/>
      <c r="LAA1054" s="989"/>
      <c r="LAB1054" s="989"/>
      <c r="LAC1054" s="989"/>
      <c r="LAD1054" s="989"/>
      <c r="LAE1054" s="989"/>
      <c r="LAF1054" s="989"/>
      <c r="LAG1054" s="989"/>
      <c r="LAH1054" s="989"/>
      <c r="LAI1054" s="989"/>
      <c r="LAJ1054" s="989"/>
      <c r="LAK1054" s="989"/>
      <c r="LAL1054" s="989"/>
      <c r="LAM1054" s="989"/>
      <c r="LAN1054" s="989"/>
      <c r="LAO1054" s="989"/>
      <c r="LAP1054" s="989"/>
      <c r="LAQ1054" s="989"/>
      <c r="LAR1054" s="989"/>
      <c r="LAS1054" s="989"/>
      <c r="LAT1054" s="989"/>
      <c r="LAU1054" s="989"/>
      <c r="LAV1054" s="989"/>
      <c r="LAW1054" s="989"/>
      <c r="LAX1054" s="989"/>
      <c r="LAY1054" s="989"/>
      <c r="LAZ1054" s="989"/>
      <c r="LBA1054" s="989"/>
      <c r="LBB1054" s="989"/>
      <c r="LBC1054" s="989"/>
      <c r="LBD1054" s="989"/>
      <c r="LBE1054" s="989"/>
      <c r="LBF1054" s="989"/>
      <c r="LBG1054" s="989"/>
      <c r="LBH1054" s="989"/>
      <c r="LBI1054" s="989"/>
      <c r="LBJ1054" s="989"/>
      <c r="LBK1054" s="989"/>
      <c r="LBL1054" s="989"/>
      <c r="LBM1054" s="989"/>
      <c r="LBN1054" s="989"/>
      <c r="LBO1054" s="989"/>
      <c r="LBP1054" s="989"/>
      <c r="LBQ1054" s="989"/>
      <c r="LBR1054" s="989"/>
      <c r="LBS1054" s="989"/>
      <c r="LBT1054" s="989"/>
      <c r="LBU1054" s="989"/>
      <c r="LBV1054" s="989"/>
      <c r="LBW1054" s="989"/>
      <c r="LBX1054" s="989"/>
      <c r="LBY1054" s="989"/>
      <c r="LBZ1054" s="989"/>
      <c r="LCA1054" s="989"/>
      <c r="LCB1054" s="989"/>
      <c r="LCC1054" s="989"/>
      <c r="LCD1054" s="989"/>
      <c r="LCE1054" s="989"/>
      <c r="LCF1054" s="989"/>
      <c r="LCG1054" s="989"/>
      <c r="LCH1054" s="989"/>
      <c r="LCI1054" s="989"/>
      <c r="LCJ1054" s="989"/>
      <c r="LCK1054" s="989"/>
      <c r="LCL1054" s="989"/>
      <c r="LCM1054" s="989"/>
      <c r="LCN1054" s="989"/>
      <c r="LCO1054" s="989"/>
      <c r="LCP1054" s="989"/>
      <c r="LCQ1054" s="989"/>
      <c r="LCR1054" s="989"/>
      <c r="LCS1054" s="989"/>
      <c r="LCT1054" s="989"/>
      <c r="LCU1054" s="989"/>
      <c r="LCV1054" s="989"/>
      <c r="LCW1054" s="989"/>
      <c r="LCX1054" s="989"/>
      <c r="LCY1054" s="989"/>
      <c r="LCZ1054" s="989"/>
      <c r="LDA1054" s="989"/>
      <c r="LDB1054" s="989"/>
      <c r="LDC1054" s="989"/>
      <c r="LDD1054" s="989"/>
      <c r="LDE1054" s="989"/>
      <c r="LDF1054" s="989"/>
      <c r="LDG1054" s="989"/>
      <c r="LDH1054" s="989"/>
      <c r="LDI1054" s="989"/>
      <c r="LDJ1054" s="989"/>
      <c r="LDK1054" s="989"/>
      <c r="LDL1054" s="989"/>
      <c r="LDM1054" s="989"/>
      <c r="LDN1054" s="989"/>
      <c r="LDO1054" s="989"/>
      <c r="LDP1054" s="989"/>
      <c r="LDQ1054" s="989"/>
      <c r="LDR1054" s="989"/>
      <c r="LDS1054" s="989"/>
      <c r="LDT1054" s="989"/>
      <c r="LDU1054" s="989"/>
      <c r="LDV1054" s="989"/>
      <c r="LDW1054" s="989"/>
      <c r="LDX1054" s="989"/>
      <c r="LDY1054" s="989"/>
      <c r="LDZ1054" s="989"/>
      <c r="LEA1054" s="989"/>
      <c r="LEB1054" s="989"/>
      <c r="LEC1054" s="989"/>
      <c r="LED1054" s="989"/>
      <c r="LEE1054" s="989"/>
      <c r="LEF1054" s="989"/>
      <c r="LEG1054" s="989"/>
      <c r="LEH1054" s="989"/>
      <c r="LEI1054" s="989"/>
      <c r="LEJ1054" s="989"/>
      <c r="LEK1054" s="989"/>
      <c r="LEL1054" s="989"/>
      <c r="LEM1054" s="989"/>
      <c r="LEN1054" s="989"/>
      <c r="LEO1054" s="989"/>
      <c r="LEP1054" s="989"/>
      <c r="LEQ1054" s="989"/>
      <c r="LER1054" s="989"/>
      <c r="LES1054" s="989"/>
      <c r="LET1054" s="989"/>
      <c r="LEU1054" s="989"/>
      <c r="LEV1054" s="989"/>
      <c r="LEW1054" s="989"/>
      <c r="LEX1054" s="989"/>
      <c r="LEY1054" s="989"/>
      <c r="LEZ1054" s="989"/>
      <c r="LFA1054" s="989"/>
      <c r="LFB1054" s="989"/>
      <c r="LFC1054" s="989"/>
      <c r="LFD1054" s="989"/>
      <c r="LFE1054" s="989"/>
      <c r="LFF1054" s="989"/>
      <c r="LFG1054" s="989"/>
      <c r="LFH1054" s="989"/>
      <c r="LFI1054" s="989"/>
      <c r="LFJ1054" s="989"/>
      <c r="LFK1054" s="989"/>
      <c r="LFL1054" s="989"/>
      <c r="LFM1054" s="989"/>
      <c r="LFN1054" s="989"/>
      <c r="LFO1054" s="989"/>
      <c r="LFP1054" s="989"/>
      <c r="LFQ1054" s="989"/>
      <c r="LFR1054" s="989"/>
      <c r="LFS1054" s="989"/>
      <c r="LFT1054" s="989"/>
      <c r="LFU1054" s="989"/>
      <c r="LFV1054" s="989"/>
      <c r="LFW1054" s="989"/>
      <c r="LFX1054" s="989"/>
      <c r="LFY1054" s="989"/>
      <c r="LFZ1054" s="989"/>
      <c r="LGA1054" s="989"/>
      <c r="LGB1054" s="989"/>
      <c r="LGC1054" s="989"/>
      <c r="LGD1054" s="989"/>
      <c r="LGE1054" s="989"/>
      <c r="LGF1054" s="989"/>
      <c r="LGG1054" s="989"/>
      <c r="LGH1054" s="989"/>
      <c r="LGI1054" s="989"/>
      <c r="LGJ1054" s="989"/>
      <c r="LGK1054" s="989"/>
      <c r="LGL1054" s="989"/>
      <c r="LGM1054" s="989"/>
      <c r="LGN1054" s="989"/>
      <c r="LGO1054" s="989"/>
      <c r="LGP1054" s="989"/>
      <c r="LGQ1054" s="989"/>
      <c r="LGR1054" s="989"/>
      <c r="LGS1054" s="989"/>
      <c r="LGT1054" s="989"/>
      <c r="LGU1054" s="989"/>
      <c r="LGV1054" s="989"/>
      <c r="LGW1054" s="989"/>
      <c r="LGX1054" s="989"/>
      <c r="LGY1054" s="989"/>
      <c r="LGZ1054" s="989"/>
      <c r="LHA1054" s="989"/>
      <c r="LHB1054" s="989"/>
      <c r="LHC1054" s="989"/>
      <c r="LHD1054" s="989"/>
      <c r="LHE1054" s="989"/>
      <c r="LHF1054" s="989"/>
      <c r="LHG1054" s="989"/>
      <c r="LHH1054" s="989"/>
      <c r="LHI1054" s="989"/>
      <c r="LHJ1054" s="989"/>
      <c r="LHK1054" s="989"/>
      <c r="LHL1054" s="989"/>
      <c r="LHM1054" s="989"/>
      <c r="LHN1054" s="989"/>
      <c r="LHO1054" s="989"/>
      <c r="LHP1054" s="989"/>
      <c r="LHQ1054" s="989"/>
      <c r="LHR1054" s="989"/>
      <c r="LHS1054" s="989"/>
      <c r="LHT1054" s="989"/>
      <c r="LHU1054" s="989"/>
      <c r="LHV1054" s="989"/>
      <c r="LHW1054" s="989"/>
      <c r="LHX1054" s="989"/>
      <c r="LHY1054" s="989"/>
      <c r="LHZ1054" s="989"/>
      <c r="LIA1054" s="989"/>
      <c r="LIB1054" s="989"/>
      <c r="LIC1054" s="989"/>
      <c r="LID1054" s="989"/>
      <c r="LIE1054" s="989"/>
      <c r="LIF1054" s="989"/>
      <c r="LIG1054" s="989"/>
      <c r="LIH1054" s="989"/>
      <c r="LII1054" s="989"/>
      <c r="LIJ1054" s="989"/>
      <c r="LIK1054" s="989"/>
      <c r="LIL1054" s="989"/>
      <c r="LIM1054" s="989"/>
      <c r="LIN1054" s="989"/>
      <c r="LIO1054" s="989"/>
      <c r="LIP1054" s="989"/>
      <c r="LIQ1054" s="989"/>
      <c r="LIR1054" s="989"/>
      <c r="LIS1054" s="989"/>
      <c r="LIT1054" s="989"/>
      <c r="LIU1054" s="989"/>
      <c r="LIV1054" s="989"/>
      <c r="LIW1054" s="989"/>
      <c r="LIX1054" s="989"/>
      <c r="LIY1054" s="989"/>
      <c r="LIZ1054" s="989"/>
      <c r="LJA1054" s="989"/>
      <c r="LJB1054" s="989"/>
      <c r="LJC1054" s="989"/>
      <c r="LJD1054" s="989"/>
      <c r="LJE1054" s="989"/>
      <c r="LJF1054" s="989"/>
      <c r="LJG1054" s="989"/>
      <c r="LJH1054" s="989"/>
      <c r="LJI1054" s="989"/>
      <c r="LJJ1054" s="989"/>
      <c r="LJK1054" s="989"/>
      <c r="LJL1054" s="989"/>
      <c r="LJM1054" s="989"/>
      <c r="LJN1054" s="989"/>
      <c r="LJO1054" s="989"/>
      <c r="LJP1054" s="989"/>
      <c r="LJQ1054" s="989"/>
      <c r="LJR1054" s="989"/>
      <c r="LJS1054" s="989"/>
      <c r="LJT1054" s="989"/>
      <c r="LJU1054" s="989"/>
      <c r="LJV1054" s="989"/>
      <c r="LJW1054" s="989"/>
      <c r="LJX1054" s="989"/>
      <c r="LJY1054" s="989"/>
      <c r="LJZ1054" s="989"/>
      <c r="LKA1054" s="989"/>
      <c r="LKB1054" s="989"/>
      <c r="LKC1054" s="989"/>
      <c r="LKD1054" s="989"/>
      <c r="LKE1054" s="989"/>
      <c r="LKF1054" s="989"/>
      <c r="LKG1054" s="989"/>
      <c r="LKH1054" s="989"/>
      <c r="LKI1054" s="989"/>
      <c r="LKJ1054" s="989"/>
      <c r="LKK1054" s="989"/>
      <c r="LKL1054" s="989"/>
      <c r="LKM1054" s="989"/>
      <c r="LKN1054" s="989"/>
      <c r="LKO1054" s="989"/>
      <c r="LKP1054" s="989"/>
      <c r="LKQ1054" s="989"/>
      <c r="LKR1054" s="989"/>
      <c r="LKS1054" s="989"/>
      <c r="LKT1054" s="989"/>
      <c r="LKU1054" s="989"/>
      <c r="LKV1054" s="989"/>
      <c r="LKW1054" s="989"/>
      <c r="LKX1054" s="989"/>
      <c r="LKY1054" s="989"/>
      <c r="LKZ1054" s="989"/>
      <c r="LLA1054" s="989"/>
      <c r="LLB1054" s="989"/>
      <c r="LLC1054" s="989"/>
      <c r="LLD1054" s="989"/>
      <c r="LLE1054" s="989"/>
      <c r="LLF1054" s="989"/>
      <c r="LLG1054" s="989"/>
      <c r="LLH1054" s="989"/>
      <c r="LLI1054" s="989"/>
      <c r="LLJ1054" s="989"/>
      <c r="LLK1054" s="989"/>
      <c r="LLL1054" s="989"/>
      <c r="LLM1054" s="989"/>
      <c r="LLN1054" s="989"/>
      <c r="LLO1054" s="989"/>
      <c r="LLP1054" s="989"/>
      <c r="LLQ1054" s="989"/>
      <c r="LLR1054" s="989"/>
      <c r="LLS1054" s="989"/>
      <c r="LLT1054" s="989"/>
      <c r="LLU1054" s="989"/>
      <c r="LLV1054" s="989"/>
      <c r="LLW1054" s="989"/>
      <c r="LLX1054" s="989"/>
      <c r="LLY1054" s="989"/>
      <c r="LLZ1054" s="989"/>
      <c r="LMA1054" s="989"/>
      <c r="LMB1054" s="989"/>
      <c r="LMC1054" s="989"/>
      <c r="LMD1054" s="989"/>
      <c r="LME1054" s="989"/>
      <c r="LMF1054" s="989"/>
      <c r="LMG1054" s="989"/>
      <c r="LMH1054" s="989"/>
      <c r="LMI1054" s="989"/>
      <c r="LMJ1054" s="989"/>
      <c r="LMK1054" s="989"/>
      <c r="LML1054" s="989"/>
      <c r="LMM1054" s="989"/>
      <c r="LMN1054" s="989"/>
      <c r="LMO1054" s="989"/>
      <c r="LMP1054" s="989"/>
      <c r="LMQ1054" s="989"/>
      <c r="LMR1054" s="989"/>
      <c r="LMS1054" s="989"/>
      <c r="LMT1054" s="989"/>
      <c r="LMU1054" s="989"/>
      <c r="LMV1054" s="989"/>
      <c r="LMW1054" s="989"/>
      <c r="LMX1054" s="989"/>
      <c r="LMY1054" s="989"/>
      <c r="LMZ1054" s="989"/>
      <c r="LNA1054" s="989"/>
      <c r="LNB1054" s="989"/>
      <c r="LNC1054" s="989"/>
      <c r="LND1054" s="989"/>
      <c r="LNE1054" s="989"/>
      <c r="LNF1054" s="989"/>
      <c r="LNG1054" s="989"/>
      <c r="LNH1054" s="989"/>
      <c r="LNI1054" s="989"/>
      <c r="LNJ1054" s="989"/>
      <c r="LNK1054" s="989"/>
      <c r="LNL1054" s="989"/>
      <c r="LNM1054" s="989"/>
      <c r="LNN1054" s="989"/>
      <c r="LNO1054" s="989"/>
      <c r="LNP1054" s="989"/>
      <c r="LNQ1054" s="989"/>
      <c r="LNR1054" s="989"/>
      <c r="LNS1054" s="989"/>
      <c r="LNT1054" s="989"/>
      <c r="LNU1054" s="989"/>
      <c r="LNV1054" s="989"/>
      <c r="LNW1054" s="989"/>
      <c r="LNX1054" s="989"/>
      <c r="LNY1054" s="989"/>
      <c r="LNZ1054" s="989"/>
      <c r="LOA1054" s="989"/>
      <c r="LOB1054" s="989"/>
      <c r="LOC1054" s="989"/>
      <c r="LOD1054" s="989"/>
      <c r="LOE1054" s="989"/>
      <c r="LOF1054" s="989"/>
      <c r="LOG1054" s="989"/>
      <c r="LOH1054" s="989"/>
      <c r="LOI1054" s="989"/>
      <c r="LOJ1054" s="989"/>
      <c r="LOK1054" s="989"/>
      <c r="LOL1054" s="989"/>
      <c r="LOM1054" s="989"/>
      <c r="LON1054" s="989"/>
      <c r="LOO1054" s="989"/>
      <c r="LOP1054" s="989"/>
      <c r="LOQ1054" s="989"/>
      <c r="LOR1054" s="989"/>
      <c r="LOS1054" s="989"/>
      <c r="LOT1054" s="989"/>
      <c r="LOU1054" s="989"/>
      <c r="LOV1054" s="989"/>
      <c r="LOW1054" s="989"/>
      <c r="LOX1054" s="989"/>
      <c r="LOY1054" s="989"/>
      <c r="LOZ1054" s="989"/>
      <c r="LPA1054" s="989"/>
      <c r="LPB1054" s="989"/>
      <c r="LPC1054" s="989"/>
      <c r="LPD1054" s="989"/>
      <c r="LPE1054" s="989"/>
      <c r="LPF1054" s="989"/>
      <c r="LPG1054" s="989"/>
      <c r="LPH1054" s="989"/>
      <c r="LPI1054" s="989"/>
      <c r="LPJ1054" s="989"/>
      <c r="LPK1054" s="989"/>
      <c r="LPL1054" s="989"/>
      <c r="LPM1054" s="989"/>
      <c r="LPN1054" s="989"/>
      <c r="LPO1054" s="989"/>
      <c r="LPP1054" s="989"/>
      <c r="LPQ1054" s="989"/>
      <c r="LPR1054" s="989"/>
      <c r="LPS1054" s="989"/>
      <c r="LPT1054" s="989"/>
      <c r="LPU1054" s="989"/>
      <c r="LPV1054" s="989"/>
      <c r="LPW1054" s="989"/>
      <c r="LPX1054" s="989"/>
      <c r="LPY1054" s="989"/>
      <c r="LPZ1054" s="989"/>
      <c r="LQA1054" s="989"/>
      <c r="LQB1054" s="989"/>
      <c r="LQC1054" s="989"/>
      <c r="LQD1054" s="989"/>
      <c r="LQE1054" s="989"/>
      <c r="LQF1054" s="989"/>
      <c r="LQG1054" s="989"/>
      <c r="LQH1054" s="989"/>
      <c r="LQI1054" s="989"/>
      <c r="LQJ1054" s="989"/>
      <c r="LQK1054" s="989"/>
      <c r="LQL1054" s="989"/>
      <c r="LQM1054" s="989"/>
      <c r="LQN1054" s="989"/>
      <c r="LQO1054" s="989"/>
      <c r="LQP1054" s="989"/>
      <c r="LQQ1054" s="989"/>
      <c r="LQR1054" s="989"/>
      <c r="LQS1054" s="989"/>
      <c r="LQT1054" s="989"/>
      <c r="LQU1054" s="989"/>
      <c r="LQV1054" s="989"/>
      <c r="LQW1054" s="989"/>
      <c r="LQX1054" s="989"/>
      <c r="LQY1054" s="989"/>
      <c r="LQZ1054" s="989"/>
      <c r="LRA1054" s="989"/>
      <c r="LRB1054" s="989"/>
      <c r="LRC1054" s="989"/>
      <c r="LRD1054" s="989"/>
      <c r="LRE1054" s="989"/>
      <c r="LRF1054" s="989"/>
      <c r="LRG1054" s="989"/>
      <c r="LRH1054" s="989"/>
      <c r="LRI1054" s="989"/>
      <c r="LRJ1054" s="989"/>
      <c r="LRK1054" s="989"/>
      <c r="LRL1054" s="989"/>
      <c r="LRM1054" s="989"/>
      <c r="LRN1054" s="989"/>
      <c r="LRO1054" s="989"/>
      <c r="LRP1054" s="989"/>
      <c r="LRQ1054" s="989"/>
      <c r="LRR1054" s="989"/>
      <c r="LRS1054" s="989"/>
      <c r="LRT1054" s="989"/>
      <c r="LRU1054" s="989"/>
      <c r="LRV1054" s="989"/>
      <c r="LRW1054" s="989"/>
      <c r="LRX1054" s="989"/>
      <c r="LRY1054" s="989"/>
      <c r="LRZ1054" s="989"/>
      <c r="LSA1054" s="989"/>
      <c r="LSB1054" s="989"/>
      <c r="LSC1054" s="989"/>
      <c r="LSD1054" s="989"/>
      <c r="LSE1054" s="989"/>
      <c r="LSF1054" s="989"/>
      <c r="LSG1054" s="989"/>
      <c r="LSH1054" s="989"/>
      <c r="LSI1054" s="989"/>
      <c r="LSJ1054" s="989"/>
      <c r="LSK1054" s="989"/>
      <c r="LSL1054" s="989"/>
      <c r="LSM1054" s="989"/>
      <c r="LSN1054" s="989"/>
      <c r="LSO1054" s="989"/>
      <c r="LSP1054" s="989"/>
      <c r="LSQ1054" s="989"/>
      <c r="LSR1054" s="989"/>
      <c r="LSS1054" s="989"/>
      <c r="LST1054" s="989"/>
      <c r="LSU1054" s="989"/>
      <c r="LSV1054" s="989"/>
      <c r="LSW1054" s="989"/>
      <c r="LSX1054" s="989"/>
      <c r="LSY1054" s="989"/>
      <c r="LSZ1054" s="989"/>
      <c r="LTA1054" s="989"/>
      <c r="LTB1054" s="989"/>
      <c r="LTC1054" s="989"/>
      <c r="LTD1054" s="989"/>
      <c r="LTE1054" s="989"/>
      <c r="LTF1054" s="989"/>
      <c r="LTG1054" s="989"/>
      <c r="LTH1054" s="989"/>
      <c r="LTI1054" s="989"/>
      <c r="LTJ1054" s="989"/>
      <c r="LTK1054" s="989"/>
      <c r="LTL1054" s="989"/>
      <c r="LTM1054" s="989"/>
      <c r="LTN1054" s="989"/>
      <c r="LTO1054" s="989"/>
      <c r="LTP1054" s="989"/>
      <c r="LTQ1054" s="989"/>
      <c r="LTR1054" s="989"/>
      <c r="LTS1054" s="989"/>
      <c r="LTT1054" s="989"/>
      <c r="LTU1054" s="989"/>
      <c r="LTV1054" s="989"/>
      <c r="LTW1054" s="989"/>
      <c r="LTX1054" s="989"/>
      <c r="LTY1054" s="989"/>
      <c r="LTZ1054" s="989"/>
      <c r="LUA1054" s="989"/>
      <c r="LUB1054" s="989"/>
      <c r="LUC1054" s="989"/>
      <c r="LUD1054" s="989"/>
      <c r="LUE1054" s="989"/>
      <c r="LUF1054" s="989"/>
      <c r="LUG1054" s="989"/>
      <c r="LUH1054" s="989"/>
      <c r="LUI1054" s="989"/>
      <c r="LUJ1054" s="989"/>
      <c r="LUK1054" s="989"/>
      <c r="LUL1054" s="989"/>
      <c r="LUM1054" s="989"/>
      <c r="LUN1054" s="989"/>
      <c r="LUO1054" s="989"/>
      <c r="LUP1054" s="989"/>
      <c r="LUQ1054" s="989"/>
      <c r="LUR1054" s="989"/>
      <c r="LUS1054" s="989"/>
      <c r="LUT1054" s="989"/>
      <c r="LUU1054" s="989"/>
      <c r="LUV1054" s="989"/>
      <c r="LUW1054" s="989"/>
      <c r="LUX1054" s="989"/>
      <c r="LUY1054" s="989"/>
      <c r="LUZ1054" s="989"/>
      <c r="LVA1054" s="989"/>
      <c r="LVB1054" s="989"/>
      <c r="LVC1054" s="989"/>
      <c r="LVD1054" s="989"/>
      <c r="LVE1054" s="989"/>
      <c r="LVF1054" s="989"/>
      <c r="LVG1054" s="989"/>
      <c r="LVH1054" s="989"/>
      <c r="LVI1054" s="989"/>
      <c r="LVJ1054" s="989"/>
      <c r="LVK1054" s="989"/>
      <c r="LVL1054" s="989"/>
      <c r="LVM1054" s="989"/>
      <c r="LVN1054" s="989"/>
      <c r="LVO1054" s="989"/>
      <c r="LVP1054" s="989"/>
      <c r="LVQ1054" s="989"/>
      <c r="LVR1054" s="989"/>
      <c r="LVS1054" s="989"/>
      <c r="LVT1054" s="989"/>
      <c r="LVU1054" s="989"/>
      <c r="LVV1054" s="989"/>
      <c r="LVW1054" s="989"/>
      <c r="LVX1054" s="989"/>
      <c r="LVY1054" s="989"/>
      <c r="LVZ1054" s="989"/>
      <c r="LWA1054" s="989"/>
      <c r="LWB1054" s="989"/>
      <c r="LWC1054" s="989"/>
      <c r="LWD1054" s="989"/>
      <c r="LWE1054" s="989"/>
      <c r="LWF1054" s="989"/>
      <c r="LWG1054" s="989"/>
      <c r="LWH1054" s="989"/>
      <c r="LWI1054" s="989"/>
      <c r="LWJ1054" s="989"/>
      <c r="LWK1054" s="989"/>
      <c r="LWL1054" s="989"/>
      <c r="LWM1054" s="989"/>
      <c r="LWN1054" s="989"/>
      <c r="LWO1054" s="989"/>
      <c r="LWP1054" s="989"/>
      <c r="LWQ1054" s="989"/>
      <c r="LWR1054" s="989"/>
      <c r="LWS1054" s="989"/>
      <c r="LWT1054" s="989"/>
      <c r="LWU1054" s="989"/>
      <c r="LWV1054" s="989"/>
      <c r="LWW1054" s="989"/>
      <c r="LWX1054" s="989"/>
      <c r="LWY1054" s="989"/>
      <c r="LWZ1054" s="989"/>
      <c r="LXA1054" s="989"/>
      <c r="LXB1054" s="989"/>
      <c r="LXC1054" s="989"/>
      <c r="LXD1054" s="989"/>
      <c r="LXE1054" s="989"/>
      <c r="LXF1054" s="989"/>
      <c r="LXG1054" s="989"/>
      <c r="LXH1054" s="989"/>
      <c r="LXI1054" s="989"/>
      <c r="LXJ1054" s="989"/>
      <c r="LXK1054" s="989"/>
      <c r="LXL1054" s="989"/>
      <c r="LXM1054" s="989"/>
      <c r="LXN1054" s="989"/>
      <c r="LXO1054" s="989"/>
      <c r="LXP1054" s="989"/>
      <c r="LXQ1054" s="989"/>
      <c r="LXR1054" s="989"/>
      <c r="LXS1054" s="989"/>
      <c r="LXT1054" s="989"/>
      <c r="LXU1054" s="989"/>
      <c r="LXV1054" s="989"/>
      <c r="LXW1054" s="989"/>
      <c r="LXX1054" s="989"/>
      <c r="LXY1054" s="989"/>
      <c r="LXZ1054" s="989"/>
      <c r="LYA1054" s="989"/>
      <c r="LYB1054" s="989"/>
      <c r="LYC1054" s="989"/>
      <c r="LYD1054" s="989"/>
      <c r="LYE1054" s="989"/>
      <c r="LYF1054" s="989"/>
      <c r="LYG1054" s="989"/>
      <c r="LYH1054" s="989"/>
      <c r="LYI1054" s="989"/>
      <c r="LYJ1054" s="989"/>
      <c r="LYK1054" s="989"/>
      <c r="LYL1054" s="989"/>
      <c r="LYM1054" s="989"/>
      <c r="LYN1054" s="989"/>
      <c r="LYO1054" s="989"/>
      <c r="LYP1054" s="989"/>
      <c r="LYQ1054" s="989"/>
      <c r="LYR1054" s="989"/>
      <c r="LYS1054" s="989"/>
      <c r="LYT1054" s="989"/>
      <c r="LYU1054" s="989"/>
      <c r="LYV1054" s="989"/>
      <c r="LYW1054" s="989"/>
      <c r="LYX1054" s="989"/>
      <c r="LYY1054" s="989"/>
      <c r="LYZ1054" s="989"/>
      <c r="LZA1054" s="989"/>
      <c r="LZB1054" s="989"/>
      <c r="LZC1054" s="989"/>
      <c r="LZD1054" s="989"/>
      <c r="LZE1054" s="989"/>
      <c r="LZF1054" s="989"/>
      <c r="LZG1054" s="989"/>
      <c r="LZH1054" s="989"/>
      <c r="LZI1054" s="989"/>
      <c r="LZJ1054" s="989"/>
      <c r="LZK1054" s="989"/>
      <c r="LZL1054" s="989"/>
      <c r="LZM1054" s="989"/>
      <c r="LZN1054" s="989"/>
      <c r="LZO1054" s="989"/>
      <c r="LZP1054" s="989"/>
      <c r="LZQ1054" s="989"/>
      <c r="LZR1054" s="989"/>
      <c r="LZS1054" s="989"/>
      <c r="LZT1054" s="989"/>
      <c r="LZU1054" s="989"/>
      <c r="LZV1054" s="989"/>
      <c r="LZW1054" s="989"/>
      <c r="LZX1054" s="989"/>
      <c r="LZY1054" s="989"/>
      <c r="LZZ1054" s="989"/>
      <c r="MAA1054" s="989"/>
      <c r="MAB1054" s="989"/>
      <c r="MAC1054" s="989"/>
      <c r="MAD1054" s="989"/>
      <c r="MAE1054" s="989"/>
      <c r="MAF1054" s="989"/>
      <c r="MAG1054" s="989"/>
      <c r="MAH1054" s="989"/>
      <c r="MAI1054" s="989"/>
      <c r="MAJ1054" s="989"/>
      <c r="MAK1054" s="989"/>
      <c r="MAL1054" s="989"/>
      <c r="MAM1054" s="989"/>
      <c r="MAN1054" s="989"/>
      <c r="MAO1054" s="989"/>
      <c r="MAP1054" s="989"/>
      <c r="MAQ1054" s="989"/>
      <c r="MAR1054" s="989"/>
      <c r="MAS1054" s="989"/>
      <c r="MAT1054" s="989"/>
      <c r="MAU1054" s="989"/>
      <c r="MAV1054" s="989"/>
      <c r="MAW1054" s="989"/>
      <c r="MAX1054" s="989"/>
      <c r="MAY1054" s="989"/>
      <c r="MAZ1054" s="989"/>
      <c r="MBA1054" s="989"/>
      <c r="MBB1054" s="989"/>
      <c r="MBC1054" s="989"/>
      <c r="MBD1054" s="989"/>
      <c r="MBE1054" s="989"/>
      <c r="MBF1054" s="989"/>
      <c r="MBG1054" s="989"/>
      <c r="MBH1054" s="989"/>
      <c r="MBI1054" s="989"/>
      <c r="MBJ1054" s="989"/>
      <c r="MBK1054" s="989"/>
      <c r="MBL1054" s="989"/>
      <c r="MBM1054" s="989"/>
      <c r="MBN1054" s="989"/>
      <c r="MBO1054" s="989"/>
      <c r="MBP1054" s="989"/>
      <c r="MBQ1054" s="989"/>
      <c r="MBR1054" s="989"/>
      <c r="MBS1054" s="989"/>
      <c r="MBT1054" s="989"/>
      <c r="MBU1054" s="989"/>
      <c r="MBV1054" s="989"/>
      <c r="MBW1054" s="989"/>
      <c r="MBX1054" s="989"/>
      <c r="MBY1054" s="989"/>
      <c r="MBZ1054" s="989"/>
      <c r="MCA1054" s="989"/>
      <c r="MCB1054" s="989"/>
      <c r="MCC1054" s="989"/>
      <c r="MCD1054" s="989"/>
      <c r="MCE1054" s="989"/>
      <c r="MCF1054" s="989"/>
      <c r="MCG1054" s="989"/>
      <c r="MCH1054" s="989"/>
      <c r="MCI1054" s="989"/>
      <c r="MCJ1054" s="989"/>
      <c r="MCK1054" s="989"/>
      <c r="MCL1054" s="989"/>
      <c r="MCM1054" s="989"/>
      <c r="MCN1054" s="989"/>
      <c r="MCO1054" s="989"/>
      <c r="MCP1054" s="989"/>
      <c r="MCQ1054" s="989"/>
      <c r="MCR1054" s="989"/>
      <c r="MCS1054" s="989"/>
      <c r="MCT1054" s="989"/>
      <c r="MCU1054" s="989"/>
      <c r="MCV1054" s="989"/>
      <c r="MCW1054" s="989"/>
      <c r="MCX1054" s="989"/>
      <c r="MCY1054" s="989"/>
      <c r="MCZ1054" s="989"/>
      <c r="MDA1054" s="989"/>
      <c r="MDB1054" s="989"/>
      <c r="MDC1054" s="989"/>
      <c r="MDD1054" s="989"/>
      <c r="MDE1054" s="989"/>
      <c r="MDF1054" s="989"/>
      <c r="MDG1054" s="989"/>
      <c r="MDH1054" s="989"/>
      <c r="MDI1054" s="989"/>
      <c r="MDJ1054" s="989"/>
      <c r="MDK1054" s="989"/>
      <c r="MDL1054" s="989"/>
      <c r="MDM1054" s="989"/>
      <c r="MDN1054" s="989"/>
      <c r="MDO1054" s="989"/>
      <c r="MDP1054" s="989"/>
      <c r="MDQ1054" s="989"/>
      <c r="MDR1054" s="989"/>
      <c r="MDS1054" s="989"/>
      <c r="MDT1054" s="989"/>
      <c r="MDU1054" s="989"/>
      <c r="MDV1054" s="989"/>
      <c r="MDW1054" s="989"/>
      <c r="MDX1054" s="989"/>
      <c r="MDY1054" s="989"/>
      <c r="MDZ1054" s="989"/>
      <c r="MEA1054" s="989"/>
      <c r="MEB1054" s="989"/>
      <c r="MEC1054" s="989"/>
      <c r="MED1054" s="989"/>
      <c r="MEE1054" s="989"/>
      <c r="MEF1054" s="989"/>
      <c r="MEG1054" s="989"/>
      <c r="MEH1054" s="989"/>
      <c r="MEI1054" s="989"/>
      <c r="MEJ1054" s="989"/>
      <c r="MEK1054" s="989"/>
      <c r="MEL1054" s="989"/>
      <c r="MEM1054" s="989"/>
      <c r="MEN1054" s="989"/>
      <c r="MEO1054" s="989"/>
      <c r="MEP1054" s="989"/>
      <c r="MEQ1054" s="989"/>
      <c r="MER1054" s="989"/>
      <c r="MES1054" s="989"/>
      <c r="MET1054" s="989"/>
      <c r="MEU1054" s="989"/>
      <c r="MEV1054" s="989"/>
      <c r="MEW1054" s="989"/>
      <c r="MEX1054" s="989"/>
      <c r="MEY1054" s="989"/>
      <c r="MEZ1054" s="989"/>
      <c r="MFA1054" s="989"/>
      <c r="MFB1054" s="989"/>
      <c r="MFC1054" s="989"/>
      <c r="MFD1054" s="989"/>
      <c r="MFE1054" s="989"/>
      <c r="MFF1054" s="989"/>
      <c r="MFG1054" s="989"/>
      <c r="MFH1054" s="989"/>
      <c r="MFI1054" s="989"/>
      <c r="MFJ1054" s="989"/>
      <c r="MFK1054" s="989"/>
      <c r="MFL1054" s="989"/>
      <c r="MFM1054" s="989"/>
      <c r="MFN1054" s="989"/>
      <c r="MFO1054" s="989"/>
      <c r="MFP1054" s="989"/>
      <c r="MFQ1054" s="989"/>
      <c r="MFR1054" s="989"/>
      <c r="MFS1054" s="989"/>
      <c r="MFT1054" s="989"/>
      <c r="MFU1054" s="989"/>
      <c r="MFV1054" s="989"/>
      <c r="MFW1054" s="989"/>
      <c r="MFX1054" s="989"/>
      <c r="MFY1054" s="989"/>
      <c r="MFZ1054" s="989"/>
      <c r="MGA1054" s="989"/>
      <c r="MGB1054" s="989"/>
      <c r="MGC1054" s="989"/>
      <c r="MGD1054" s="989"/>
      <c r="MGE1054" s="989"/>
      <c r="MGF1054" s="989"/>
      <c r="MGG1054" s="989"/>
      <c r="MGH1054" s="989"/>
      <c r="MGI1054" s="989"/>
      <c r="MGJ1054" s="989"/>
      <c r="MGK1054" s="989"/>
      <c r="MGL1054" s="989"/>
      <c r="MGM1054" s="989"/>
      <c r="MGN1054" s="989"/>
      <c r="MGO1054" s="989"/>
      <c r="MGP1054" s="989"/>
      <c r="MGQ1054" s="989"/>
      <c r="MGR1054" s="989"/>
      <c r="MGS1054" s="989"/>
      <c r="MGT1054" s="989"/>
      <c r="MGU1054" s="989"/>
      <c r="MGV1054" s="989"/>
      <c r="MGW1054" s="989"/>
      <c r="MGX1054" s="989"/>
      <c r="MGY1054" s="989"/>
      <c r="MGZ1054" s="989"/>
      <c r="MHA1054" s="989"/>
      <c r="MHB1054" s="989"/>
      <c r="MHC1054" s="989"/>
      <c r="MHD1054" s="989"/>
      <c r="MHE1054" s="989"/>
      <c r="MHF1054" s="989"/>
      <c r="MHG1054" s="989"/>
      <c r="MHH1054" s="989"/>
      <c r="MHI1054" s="989"/>
      <c r="MHJ1054" s="989"/>
      <c r="MHK1054" s="989"/>
      <c r="MHL1054" s="989"/>
      <c r="MHM1054" s="989"/>
      <c r="MHN1054" s="989"/>
      <c r="MHO1054" s="989"/>
      <c r="MHP1054" s="989"/>
      <c r="MHQ1054" s="989"/>
      <c r="MHR1054" s="989"/>
      <c r="MHS1054" s="989"/>
      <c r="MHT1054" s="989"/>
      <c r="MHU1054" s="989"/>
      <c r="MHV1054" s="989"/>
      <c r="MHW1054" s="989"/>
      <c r="MHX1054" s="989"/>
      <c r="MHY1054" s="989"/>
      <c r="MHZ1054" s="989"/>
      <c r="MIA1054" s="989"/>
      <c r="MIB1054" s="989"/>
      <c r="MIC1054" s="989"/>
      <c r="MID1054" s="989"/>
      <c r="MIE1054" s="989"/>
      <c r="MIF1054" s="989"/>
      <c r="MIG1054" s="989"/>
      <c r="MIH1054" s="989"/>
      <c r="MII1054" s="989"/>
      <c r="MIJ1054" s="989"/>
      <c r="MIK1054" s="989"/>
      <c r="MIL1054" s="989"/>
      <c r="MIM1054" s="989"/>
      <c r="MIN1054" s="989"/>
      <c r="MIO1054" s="989"/>
      <c r="MIP1054" s="989"/>
      <c r="MIQ1054" s="989"/>
      <c r="MIR1054" s="989"/>
      <c r="MIS1054" s="989"/>
      <c r="MIT1054" s="989"/>
      <c r="MIU1054" s="989"/>
      <c r="MIV1054" s="989"/>
      <c r="MIW1054" s="989"/>
      <c r="MIX1054" s="989"/>
      <c r="MIY1054" s="989"/>
      <c r="MIZ1054" s="989"/>
      <c r="MJA1054" s="989"/>
      <c r="MJB1054" s="989"/>
      <c r="MJC1054" s="989"/>
      <c r="MJD1054" s="989"/>
      <c r="MJE1054" s="989"/>
      <c r="MJF1054" s="989"/>
      <c r="MJG1054" s="989"/>
      <c r="MJH1054" s="989"/>
      <c r="MJI1054" s="989"/>
      <c r="MJJ1054" s="989"/>
      <c r="MJK1054" s="989"/>
      <c r="MJL1054" s="989"/>
      <c r="MJM1054" s="989"/>
      <c r="MJN1054" s="989"/>
      <c r="MJO1054" s="989"/>
      <c r="MJP1054" s="989"/>
      <c r="MJQ1054" s="989"/>
      <c r="MJR1054" s="989"/>
      <c r="MJS1054" s="989"/>
      <c r="MJT1054" s="989"/>
      <c r="MJU1054" s="989"/>
      <c r="MJV1054" s="989"/>
      <c r="MJW1054" s="989"/>
      <c r="MJX1054" s="989"/>
      <c r="MJY1054" s="989"/>
      <c r="MJZ1054" s="989"/>
      <c r="MKA1054" s="989"/>
      <c r="MKB1054" s="989"/>
      <c r="MKC1054" s="989"/>
      <c r="MKD1054" s="989"/>
      <c r="MKE1054" s="989"/>
      <c r="MKF1054" s="989"/>
      <c r="MKG1054" s="989"/>
      <c r="MKH1054" s="989"/>
      <c r="MKI1054" s="989"/>
      <c r="MKJ1054" s="989"/>
      <c r="MKK1054" s="989"/>
      <c r="MKL1054" s="989"/>
      <c r="MKM1054" s="989"/>
      <c r="MKN1054" s="989"/>
      <c r="MKO1054" s="989"/>
      <c r="MKP1054" s="989"/>
      <c r="MKQ1054" s="989"/>
      <c r="MKR1054" s="989"/>
      <c r="MKS1054" s="989"/>
      <c r="MKT1054" s="989"/>
      <c r="MKU1054" s="989"/>
      <c r="MKV1054" s="989"/>
      <c r="MKW1054" s="989"/>
      <c r="MKX1054" s="989"/>
      <c r="MKY1054" s="989"/>
      <c r="MKZ1054" s="989"/>
      <c r="MLA1054" s="989"/>
      <c r="MLB1054" s="989"/>
      <c r="MLC1054" s="989"/>
      <c r="MLD1054" s="989"/>
      <c r="MLE1054" s="989"/>
      <c r="MLF1054" s="989"/>
      <c r="MLG1054" s="989"/>
      <c r="MLH1054" s="989"/>
      <c r="MLI1054" s="989"/>
      <c r="MLJ1054" s="989"/>
      <c r="MLK1054" s="989"/>
      <c r="MLL1054" s="989"/>
      <c r="MLM1054" s="989"/>
      <c r="MLN1054" s="989"/>
      <c r="MLO1054" s="989"/>
      <c r="MLP1054" s="989"/>
      <c r="MLQ1054" s="989"/>
      <c r="MLR1054" s="989"/>
      <c r="MLS1054" s="989"/>
      <c r="MLT1054" s="989"/>
      <c r="MLU1054" s="989"/>
      <c r="MLV1054" s="989"/>
      <c r="MLW1054" s="989"/>
      <c r="MLX1054" s="989"/>
      <c r="MLY1054" s="989"/>
      <c r="MLZ1054" s="989"/>
      <c r="MMA1054" s="989"/>
      <c r="MMB1054" s="989"/>
      <c r="MMC1054" s="989"/>
      <c r="MMD1054" s="989"/>
      <c r="MME1054" s="989"/>
      <c r="MMF1054" s="989"/>
      <c r="MMG1054" s="989"/>
      <c r="MMH1054" s="989"/>
      <c r="MMI1054" s="989"/>
      <c r="MMJ1054" s="989"/>
      <c r="MMK1054" s="989"/>
      <c r="MML1054" s="989"/>
      <c r="MMM1054" s="989"/>
      <c r="MMN1054" s="989"/>
      <c r="MMO1054" s="989"/>
      <c r="MMP1054" s="989"/>
      <c r="MMQ1054" s="989"/>
      <c r="MMR1054" s="989"/>
      <c r="MMS1054" s="989"/>
      <c r="MMT1054" s="989"/>
      <c r="MMU1054" s="989"/>
      <c r="MMV1054" s="989"/>
      <c r="MMW1054" s="989"/>
      <c r="MMX1054" s="989"/>
      <c r="MMY1054" s="989"/>
      <c r="MMZ1054" s="989"/>
      <c r="MNA1054" s="989"/>
      <c r="MNB1054" s="989"/>
      <c r="MNC1054" s="989"/>
      <c r="MND1054" s="989"/>
      <c r="MNE1054" s="989"/>
      <c r="MNF1054" s="989"/>
      <c r="MNG1054" s="989"/>
      <c r="MNH1054" s="989"/>
      <c r="MNI1054" s="989"/>
      <c r="MNJ1054" s="989"/>
      <c r="MNK1054" s="989"/>
      <c r="MNL1054" s="989"/>
      <c r="MNM1054" s="989"/>
      <c r="MNN1054" s="989"/>
      <c r="MNO1054" s="989"/>
      <c r="MNP1054" s="989"/>
      <c r="MNQ1054" s="989"/>
      <c r="MNR1054" s="989"/>
      <c r="MNS1054" s="989"/>
      <c r="MNT1054" s="989"/>
      <c r="MNU1054" s="989"/>
      <c r="MNV1054" s="989"/>
      <c r="MNW1054" s="989"/>
      <c r="MNX1054" s="989"/>
      <c r="MNY1054" s="989"/>
      <c r="MNZ1054" s="989"/>
      <c r="MOA1054" s="989"/>
      <c r="MOB1054" s="989"/>
      <c r="MOC1054" s="989"/>
      <c r="MOD1054" s="989"/>
      <c r="MOE1054" s="989"/>
      <c r="MOF1054" s="989"/>
      <c r="MOG1054" s="989"/>
      <c r="MOH1054" s="989"/>
      <c r="MOI1054" s="989"/>
      <c r="MOJ1054" s="989"/>
      <c r="MOK1054" s="989"/>
      <c r="MOL1054" s="989"/>
      <c r="MOM1054" s="989"/>
      <c r="MON1054" s="989"/>
      <c r="MOO1054" s="989"/>
      <c r="MOP1054" s="989"/>
      <c r="MOQ1054" s="989"/>
      <c r="MOR1054" s="989"/>
      <c r="MOS1054" s="989"/>
      <c r="MOT1054" s="989"/>
      <c r="MOU1054" s="989"/>
      <c r="MOV1054" s="989"/>
      <c r="MOW1054" s="989"/>
      <c r="MOX1054" s="989"/>
      <c r="MOY1054" s="989"/>
      <c r="MOZ1054" s="989"/>
      <c r="MPA1054" s="989"/>
      <c r="MPB1054" s="989"/>
      <c r="MPC1054" s="989"/>
      <c r="MPD1054" s="989"/>
      <c r="MPE1054" s="989"/>
      <c r="MPF1054" s="989"/>
      <c r="MPG1054" s="989"/>
      <c r="MPH1054" s="989"/>
      <c r="MPI1054" s="989"/>
      <c r="MPJ1054" s="989"/>
      <c r="MPK1054" s="989"/>
      <c r="MPL1054" s="989"/>
      <c r="MPM1054" s="989"/>
      <c r="MPN1054" s="989"/>
      <c r="MPO1054" s="989"/>
      <c r="MPP1054" s="989"/>
      <c r="MPQ1054" s="989"/>
      <c r="MPR1054" s="989"/>
      <c r="MPS1054" s="989"/>
      <c r="MPT1054" s="989"/>
      <c r="MPU1054" s="989"/>
      <c r="MPV1054" s="989"/>
      <c r="MPW1054" s="989"/>
      <c r="MPX1054" s="989"/>
      <c r="MPY1054" s="989"/>
      <c r="MPZ1054" s="989"/>
      <c r="MQA1054" s="989"/>
      <c r="MQB1054" s="989"/>
      <c r="MQC1054" s="989"/>
      <c r="MQD1054" s="989"/>
      <c r="MQE1054" s="989"/>
      <c r="MQF1054" s="989"/>
      <c r="MQG1054" s="989"/>
      <c r="MQH1054" s="989"/>
      <c r="MQI1054" s="989"/>
      <c r="MQJ1054" s="989"/>
      <c r="MQK1054" s="989"/>
      <c r="MQL1054" s="989"/>
      <c r="MQM1054" s="989"/>
      <c r="MQN1054" s="989"/>
      <c r="MQO1054" s="989"/>
      <c r="MQP1054" s="989"/>
      <c r="MQQ1054" s="989"/>
      <c r="MQR1054" s="989"/>
      <c r="MQS1054" s="989"/>
      <c r="MQT1054" s="989"/>
      <c r="MQU1054" s="989"/>
      <c r="MQV1054" s="989"/>
      <c r="MQW1054" s="989"/>
      <c r="MQX1054" s="989"/>
      <c r="MQY1054" s="989"/>
      <c r="MQZ1054" s="989"/>
      <c r="MRA1054" s="989"/>
      <c r="MRB1054" s="989"/>
      <c r="MRC1054" s="989"/>
      <c r="MRD1054" s="989"/>
      <c r="MRE1054" s="989"/>
      <c r="MRF1054" s="989"/>
      <c r="MRG1054" s="989"/>
      <c r="MRH1054" s="989"/>
      <c r="MRI1054" s="989"/>
      <c r="MRJ1054" s="989"/>
      <c r="MRK1054" s="989"/>
      <c r="MRL1054" s="989"/>
      <c r="MRM1054" s="989"/>
      <c r="MRN1054" s="989"/>
      <c r="MRO1054" s="989"/>
      <c r="MRP1054" s="989"/>
      <c r="MRQ1054" s="989"/>
      <c r="MRR1054" s="989"/>
      <c r="MRS1054" s="989"/>
      <c r="MRT1054" s="989"/>
      <c r="MRU1054" s="989"/>
      <c r="MRV1054" s="989"/>
      <c r="MRW1054" s="989"/>
      <c r="MRX1054" s="989"/>
      <c r="MRY1054" s="989"/>
      <c r="MRZ1054" s="989"/>
      <c r="MSA1054" s="989"/>
      <c r="MSB1054" s="989"/>
      <c r="MSC1054" s="989"/>
      <c r="MSD1054" s="989"/>
      <c r="MSE1054" s="989"/>
      <c r="MSF1054" s="989"/>
      <c r="MSG1054" s="989"/>
      <c r="MSH1054" s="989"/>
      <c r="MSI1054" s="989"/>
      <c r="MSJ1054" s="989"/>
      <c r="MSK1054" s="989"/>
      <c r="MSL1054" s="989"/>
      <c r="MSM1054" s="989"/>
      <c r="MSN1054" s="989"/>
      <c r="MSO1054" s="989"/>
      <c r="MSP1054" s="989"/>
      <c r="MSQ1054" s="989"/>
      <c r="MSR1054" s="989"/>
      <c r="MSS1054" s="989"/>
      <c r="MST1054" s="989"/>
      <c r="MSU1054" s="989"/>
      <c r="MSV1054" s="989"/>
      <c r="MSW1054" s="989"/>
      <c r="MSX1054" s="989"/>
      <c r="MSY1054" s="989"/>
      <c r="MSZ1054" s="989"/>
      <c r="MTA1054" s="989"/>
      <c r="MTB1054" s="989"/>
      <c r="MTC1054" s="989"/>
      <c r="MTD1054" s="989"/>
      <c r="MTE1054" s="989"/>
      <c r="MTF1054" s="989"/>
      <c r="MTG1054" s="989"/>
      <c r="MTH1054" s="989"/>
      <c r="MTI1054" s="989"/>
      <c r="MTJ1054" s="989"/>
      <c r="MTK1054" s="989"/>
      <c r="MTL1054" s="989"/>
      <c r="MTM1054" s="989"/>
      <c r="MTN1054" s="989"/>
      <c r="MTO1054" s="989"/>
      <c r="MTP1054" s="989"/>
      <c r="MTQ1054" s="989"/>
      <c r="MTR1054" s="989"/>
      <c r="MTS1054" s="989"/>
      <c r="MTT1054" s="989"/>
      <c r="MTU1054" s="989"/>
      <c r="MTV1054" s="989"/>
      <c r="MTW1054" s="989"/>
      <c r="MTX1054" s="989"/>
      <c r="MTY1054" s="989"/>
      <c r="MTZ1054" s="989"/>
      <c r="MUA1054" s="989"/>
      <c r="MUB1054" s="989"/>
      <c r="MUC1054" s="989"/>
      <c r="MUD1054" s="989"/>
      <c r="MUE1054" s="989"/>
      <c r="MUF1054" s="989"/>
      <c r="MUG1054" s="989"/>
      <c r="MUH1054" s="989"/>
      <c r="MUI1054" s="989"/>
      <c r="MUJ1054" s="989"/>
      <c r="MUK1054" s="989"/>
      <c r="MUL1054" s="989"/>
      <c r="MUM1054" s="989"/>
      <c r="MUN1054" s="989"/>
      <c r="MUO1054" s="989"/>
      <c r="MUP1054" s="989"/>
      <c r="MUQ1054" s="989"/>
      <c r="MUR1054" s="989"/>
      <c r="MUS1054" s="989"/>
      <c r="MUT1054" s="989"/>
      <c r="MUU1054" s="989"/>
      <c r="MUV1054" s="989"/>
      <c r="MUW1054" s="989"/>
      <c r="MUX1054" s="989"/>
      <c r="MUY1054" s="989"/>
      <c r="MUZ1054" s="989"/>
      <c r="MVA1054" s="989"/>
      <c r="MVB1054" s="989"/>
      <c r="MVC1054" s="989"/>
      <c r="MVD1054" s="989"/>
      <c r="MVE1054" s="989"/>
      <c r="MVF1054" s="989"/>
      <c r="MVG1054" s="989"/>
      <c r="MVH1054" s="989"/>
      <c r="MVI1054" s="989"/>
      <c r="MVJ1054" s="989"/>
      <c r="MVK1054" s="989"/>
      <c r="MVL1054" s="989"/>
      <c r="MVM1054" s="989"/>
      <c r="MVN1054" s="989"/>
      <c r="MVO1054" s="989"/>
      <c r="MVP1054" s="989"/>
      <c r="MVQ1054" s="989"/>
      <c r="MVR1054" s="989"/>
      <c r="MVS1054" s="989"/>
      <c r="MVT1054" s="989"/>
      <c r="MVU1054" s="989"/>
      <c r="MVV1054" s="989"/>
      <c r="MVW1054" s="989"/>
      <c r="MVX1054" s="989"/>
      <c r="MVY1054" s="989"/>
      <c r="MVZ1054" s="989"/>
      <c r="MWA1054" s="989"/>
      <c r="MWB1054" s="989"/>
      <c r="MWC1054" s="989"/>
      <c r="MWD1054" s="989"/>
      <c r="MWE1054" s="989"/>
      <c r="MWF1054" s="989"/>
      <c r="MWG1054" s="989"/>
      <c r="MWH1054" s="989"/>
      <c r="MWI1054" s="989"/>
      <c r="MWJ1054" s="989"/>
      <c r="MWK1054" s="989"/>
      <c r="MWL1054" s="989"/>
      <c r="MWM1054" s="989"/>
      <c r="MWN1054" s="989"/>
      <c r="MWO1054" s="989"/>
      <c r="MWP1054" s="989"/>
      <c r="MWQ1054" s="989"/>
      <c r="MWR1054" s="989"/>
      <c r="MWS1054" s="989"/>
      <c r="MWT1054" s="989"/>
      <c r="MWU1054" s="989"/>
      <c r="MWV1054" s="989"/>
      <c r="MWW1054" s="989"/>
      <c r="MWX1054" s="989"/>
      <c r="MWY1054" s="989"/>
      <c r="MWZ1054" s="989"/>
      <c r="MXA1054" s="989"/>
      <c r="MXB1054" s="989"/>
      <c r="MXC1054" s="989"/>
      <c r="MXD1054" s="989"/>
      <c r="MXE1054" s="989"/>
      <c r="MXF1054" s="989"/>
      <c r="MXG1054" s="989"/>
      <c r="MXH1054" s="989"/>
      <c r="MXI1054" s="989"/>
      <c r="MXJ1054" s="989"/>
      <c r="MXK1054" s="989"/>
      <c r="MXL1054" s="989"/>
      <c r="MXM1054" s="989"/>
      <c r="MXN1054" s="989"/>
      <c r="MXO1054" s="989"/>
      <c r="MXP1054" s="989"/>
      <c r="MXQ1054" s="989"/>
      <c r="MXR1054" s="989"/>
      <c r="MXS1054" s="989"/>
      <c r="MXT1054" s="989"/>
      <c r="MXU1054" s="989"/>
      <c r="MXV1054" s="989"/>
      <c r="MXW1054" s="989"/>
      <c r="MXX1054" s="989"/>
      <c r="MXY1054" s="989"/>
      <c r="MXZ1054" s="989"/>
      <c r="MYA1054" s="989"/>
      <c r="MYB1054" s="989"/>
      <c r="MYC1054" s="989"/>
      <c r="MYD1054" s="989"/>
      <c r="MYE1054" s="989"/>
      <c r="MYF1054" s="989"/>
      <c r="MYG1054" s="989"/>
      <c r="MYH1054" s="989"/>
      <c r="MYI1054" s="989"/>
      <c r="MYJ1054" s="989"/>
      <c r="MYK1054" s="989"/>
      <c r="MYL1054" s="989"/>
      <c r="MYM1054" s="989"/>
      <c r="MYN1054" s="989"/>
      <c r="MYO1054" s="989"/>
      <c r="MYP1054" s="989"/>
      <c r="MYQ1054" s="989"/>
      <c r="MYR1054" s="989"/>
      <c r="MYS1054" s="989"/>
      <c r="MYT1054" s="989"/>
      <c r="MYU1054" s="989"/>
      <c r="MYV1054" s="989"/>
      <c r="MYW1054" s="989"/>
      <c r="MYX1054" s="989"/>
      <c r="MYY1054" s="989"/>
      <c r="MYZ1054" s="989"/>
      <c r="MZA1054" s="989"/>
      <c r="MZB1054" s="989"/>
      <c r="MZC1054" s="989"/>
      <c r="MZD1054" s="989"/>
      <c r="MZE1054" s="989"/>
      <c r="MZF1054" s="989"/>
      <c r="MZG1054" s="989"/>
      <c r="MZH1054" s="989"/>
      <c r="MZI1054" s="989"/>
      <c r="MZJ1054" s="989"/>
      <c r="MZK1054" s="989"/>
      <c r="MZL1054" s="989"/>
      <c r="MZM1054" s="989"/>
      <c r="MZN1054" s="989"/>
      <c r="MZO1054" s="989"/>
      <c r="MZP1054" s="989"/>
      <c r="MZQ1054" s="989"/>
      <c r="MZR1054" s="989"/>
      <c r="MZS1054" s="989"/>
      <c r="MZT1054" s="989"/>
      <c r="MZU1054" s="989"/>
      <c r="MZV1054" s="989"/>
      <c r="MZW1054" s="989"/>
      <c r="MZX1054" s="989"/>
      <c r="MZY1054" s="989"/>
      <c r="MZZ1054" s="989"/>
      <c r="NAA1054" s="989"/>
      <c r="NAB1054" s="989"/>
      <c r="NAC1054" s="989"/>
      <c r="NAD1054" s="989"/>
      <c r="NAE1054" s="989"/>
      <c r="NAF1054" s="989"/>
      <c r="NAG1054" s="989"/>
      <c r="NAH1054" s="989"/>
      <c r="NAI1054" s="989"/>
      <c r="NAJ1054" s="989"/>
      <c r="NAK1054" s="989"/>
      <c r="NAL1054" s="989"/>
      <c r="NAM1054" s="989"/>
      <c r="NAN1054" s="989"/>
      <c r="NAO1054" s="989"/>
      <c r="NAP1054" s="989"/>
      <c r="NAQ1054" s="989"/>
      <c r="NAR1054" s="989"/>
      <c r="NAS1054" s="989"/>
      <c r="NAT1054" s="989"/>
      <c r="NAU1054" s="989"/>
      <c r="NAV1054" s="989"/>
      <c r="NAW1054" s="989"/>
      <c r="NAX1054" s="989"/>
      <c r="NAY1054" s="989"/>
      <c r="NAZ1054" s="989"/>
      <c r="NBA1054" s="989"/>
      <c r="NBB1054" s="989"/>
      <c r="NBC1054" s="989"/>
      <c r="NBD1054" s="989"/>
      <c r="NBE1054" s="989"/>
      <c r="NBF1054" s="989"/>
      <c r="NBG1054" s="989"/>
      <c r="NBH1054" s="989"/>
      <c r="NBI1054" s="989"/>
      <c r="NBJ1054" s="989"/>
      <c r="NBK1054" s="989"/>
      <c r="NBL1054" s="989"/>
      <c r="NBM1054" s="989"/>
      <c r="NBN1054" s="989"/>
      <c r="NBO1054" s="989"/>
      <c r="NBP1054" s="989"/>
      <c r="NBQ1054" s="989"/>
      <c r="NBR1054" s="989"/>
      <c r="NBS1054" s="989"/>
      <c r="NBT1054" s="989"/>
      <c r="NBU1054" s="989"/>
      <c r="NBV1054" s="989"/>
      <c r="NBW1054" s="989"/>
      <c r="NBX1054" s="989"/>
      <c r="NBY1054" s="989"/>
      <c r="NBZ1054" s="989"/>
      <c r="NCA1054" s="989"/>
      <c r="NCB1054" s="989"/>
      <c r="NCC1054" s="989"/>
      <c r="NCD1054" s="989"/>
      <c r="NCE1054" s="989"/>
      <c r="NCF1054" s="989"/>
      <c r="NCG1054" s="989"/>
      <c r="NCH1054" s="989"/>
      <c r="NCI1054" s="989"/>
      <c r="NCJ1054" s="989"/>
      <c r="NCK1054" s="989"/>
      <c r="NCL1054" s="989"/>
      <c r="NCM1054" s="989"/>
      <c r="NCN1054" s="989"/>
      <c r="NCO1054" s="989"/>
      <c r="NCP1054" s="989"/>
      <c r="NCQ1054" s="989"/>
      <c r="NCR1054" s="989"/>
      <c r="NCS1054" s="989"/>
      <c r="NCT1054" s="989"/>
      <c r="NCU1054" s="989"/>
      <c r="NCV1054" s="989"/>
      <c r="NCW1054" s="989"/>
      <c r="NCX1054" s="989"/>
      <c r="NCY1054" s="989"/>
      <c r="NCZ1054" s="989"/>
      <c r="NDA1054" s="989"/>
      <c r="NDB1054" s="989"/>
      <c r="NDC1054" s="989"/>
      <c r="NDD1054" s="989"/>
      <c r="NDE1054" s="989"/>
      <c r="NDF1054" s="989"/>
      <c r="NDG1054" s="989"/>
      <c r="NDH1054" s="989"/>
      <c r="NDI1054" s="989"/>
      <c r="NDJ1054" s="989"/>
      <c r="NDK1054" s="989"/>
      <c r="NDL1054" s="989"/>
      <c r="NDM1054" s="989"/>
      <c r="NDN1054" s="989"/>
      <c r="NDO1054" s="989"/>
      <c r="NDP1054" s="989"/>
      <c r="NDQ1054" s="989"/>
      <c r="NDR1054" s="989"/>
      <c r="NDS1054" s="989"/>
      <c r="NDT1054" s="989"/>
      <c r="NDU1054" s="989"/>
      <c r="NDV1054" s="989"/>
      <c r="NDW1054" s="989"/>
      <c r="NDX1054" s="989"/>
      <c r="NDY1054" s="989"/>
      <c r="NDZ1054" s="989"/>
      <c r="NEA1054" s="989"/>
      <c r="NEB1054" s="989"/>
      <c r="NEC1054" s="989"/>
      <c r="NED1054" s="989"/>
      <c r="NEE1054" s="989"/>
      <c r="NEF1054" s="989"/>
      <c r="NEG1054" s="989"/>
      <c r="NEH1054" s="989"/>
      <c r="NEI1054" s="989"/>
      <c r="NEJ1054" s="989"/>
      <c r="NEK1054" s="989"/>
      <c r="NEL1054" s="989"/>
      <c r="NEM1054" s="989"/>
      <c r="NEN1054" s="989"/>
      <c r="NEO1054" s="989"/>
      <c r="NEP1054" s="989"/>
      <c r="NEQ1054" s="989"/>
      <c r="NER1054" s="989"/>
      <c r="NES1054" s="989"/>
      <c r="NET1054" s="989"/>
      <c r="NEU1054" s="989"/>
      <c r="NEV1054" s="989"/>
      <c r="NEW1054" s="989"/>
      <c r="NEX1054" s="989"/>
      <c r="NEY1054" s="989"/>
      <c r="NEZ1054" s="989"/>
      <c r="NFA1054" s="989"/>
      <c r="NFB1054" s="989"/>
      <c r="NFC1054" s="989"/>
      <c r="NFD1054" s="989"/>
      <c r="NFE1054" s="989"/>
      <c r="NFF1054" s="989"/>
      <c r="NFG1054" s="989"/>
      <c r="NFH1054" s="989"/>
      <c r="NFI1054" s="989"/>
      <c r="NFJ1054" s="989"/>
      <c r="NFK1054" s="989"/>
      <c r="NFL1054" s="989"/>
      <c r="NFM1054" s="989"/>
      <c r="NFN1054" s="989"/>
      <c r="NFO1054" s="989"/>
      <c r="NFP1054" s="989"/>
      <c r="NFQ1054" s="989"/>
      <c r="NFR1054" s="989"/>
      <c r="NFS1054" s="989"/>
      <c r="NFT1054" s="989"/>
      <c r="NFU1054" s="989"/>
      <c r="NFV1054" s="989"/>
      <c r="NFW1054" s="989"/>
      <c r="NFX1054" s="989"/>
      <c r="NFY1054" s="989"/>
      <c r="NFZ1054" s="989"/>
      <c r="NGA1054" s="989"/>
      <c r="NGB1054" s="989"/>
      <c r="NGC1054" s="989"/>
      <c r="NGD1054" s="989"/>
      <c r="NGE1054" s="989"/>
      <c r="NGF1054" s="989"/>
      <c r="NGG1054" s="989"/>
      <c r="NGH1054" s="989"/>
      <c r="NGI1054" s="989"/>
      <c r="NGJ1054" s="989"/>
      <c r="NGK1054" s="989"/>
      <c r="NGL1054" s="989"/>
      <c r="NGM1054" s="989"/>
      <c r="NGN1054" s="989"/>
      <c r="NGO1054" s="989"/>
      <c r="NGP1054" s="989"/>
      <c r="NGQ1054" s="989"/>
      <c r="NGR1054" s="989"/>
      <c r="NGS1054" s="989"/>
      <c r="NGT1054" s="989"/>
      <c r="NGU1054" s="989"/>
      <c r="NGV1054" s="989"/>
      <c r="NGW1054" s="989"/>
      <c r="NGX1054" s="989"/>
      <c r="NGY1054" s="989"/>
      <c r="NGZ1054" s="989"/>
      <c r="NHA1054" s="989"/>
      <c r="NHB1054" s="989"/>
      <c r="NHC1054" s="989"/>
      <c r="NHD1054" s="989"/>
      <c r="NHE1054" s="989"/>
      <c r="NHF1054" s="989"/>
      <c r="NHG1054" s="989"/>
      <c r="NHH1054" s="989"/>
      <c r="NHI1054" s="989"/>
      <c r="NHJ1054" s="989"/>
      <c r="NHK1054" s="989"/>
      <c r="NHL1054" s="989"/>
      <c r="NHM1054" s="989"/>
      <c r="NHN1054" s="989"/>
      <c r="NHO1054" s="989"/>
      <c r="NHP1054" s="989"/>
      <c r="NHQ1054" s="989"/>
      <c r="NHR1054" s="989"/>
      <c r="NHS1054" s="989"/>
      <c r="NHT1054" s="989"/>
      <c r="NHU1054" s="989"/>
      <c r="NHV1054" s="989"/>
      <c r="NHW1054" s="989"/>
      <c r="NHX1054" s="989"/>
      <c r="NHY1054" s="989"/>
      <c r="NHZ1054" s="989"/>
      <c r="NIA1054" s="989"/>
      <c r="NIB1054" s="989"/>
      <c r="NIC1054" s="989"/>
      <c r="NID1054" s="989"/>
      <c r="NIE1054" s="989"/>
      <c r="NIF1054" s="989"/>
      <c r="NIG1054" s="989"/>
      <c r="NIH1054" s="989"/>
      <c r="NII1054" s="989"/>
      <c r="NIJ1054" s="989"/>
      <c r="NIK1054" s="989"/>
      <c r="NIL1054" s="989"/>
      <c r="NIM1054" s="989"/>
      <c r="NIN1054" s="989"/>
      <c r="NIO1054" s="989"/>
      <c r="NIP1054" s="989"/>
      <c r="NIQ1054" s="989"/>
      <c r="NIR1054" s="989"/>
      <c r="NIS1054" s="989"/>
      <c r="NIT1054" s="989"/>
      <c r="NIU1054" s="989"/>
      <c r="NIV1054" s="989"/>
      <c r="NIW1054" s="989"/>
      <c r="NIX1054" s="989"/>
      <c r="NIY1054" s="989"/>
      <c r="NIZ1054" s="989"/>
      <c r="NJA1054" s="989"/>
      <c r="NJB1054" s="989"/>
      <c r="NJC1054" s="989"/>
      <c r="NJD1054" s="989"/>
      <c r="NJE1054" s="989"/>
      <c r="NJF1054" s="989"/>
      <c r="NJG1054" s="989"/>
      <c r="NJH1054" s="989"/>
      <c r="NJI1054" s="989"/>
      <c r="NJJ1054" s="989"/>
      <c r="NJK1054" s="989"/>
      <c r="NJL1054" s="989"/>
      <c r="NJM1054" s="989"/>
      <c r="NJN1054" s="989"/>
      <c r="NJO1054" s="989"/>
      <c r="NJP1054" s="989"/>
      <c r="NJQ1054" s="989"/>
      <c r="NJR1054" s="989"/>
      <c r="NJS1054" s="989"/>
      <c r="NJT1054" s="989"/>
      <c r="NJU1054" s="989"/>
      <c r="NJV1054" s="989"/>
      <c r="NJW1054" s="989"/>
      <c r="NJX1054" s="989"/>
      <c r="NJY1054" s="989"/>
      <c r="NJZ1054" s="989"/>
      <c r="NKA1054" s="989"/>
      <c r="NKB1054" s="989"/>
      <c r="NKC1054" s="989"/>
      <c r="NKD1054" s="989"/>
      <c r="NKE1054" s="989"/>
      <c r="NKF1054" s="989"/>
      <c r="NKG1054" s="989"/>
      <c r="NKH1054" s="989"/>
      <c r="NKI1054" s="989"/>
      <c r="NKJ1054" s="989"/>
      <c r="NKK1054" s="989"/>
      <c r="NKL1054" s="989"/>
      <c r="NKM1054" s="989"/>
      <c r="NKN1054" s="989"/>
      <c r="NKO1054" s="989"/>
      <c r="NKP1054" s="989"/>
      <c r="NKQ1054" s="989"/>
      <c r="NKR1054" s="989"/>
      <c r="NKS1054" s="989"/>
      <c r="NKT1054" s="989"/>
      <c r="NKU1054" s="989"/>
      <c r="NKV1054" s="989"/>
      <c r="NKW1054" s="989"/>
      <c r="NKX1054" s="989"/>
      <c r="NKY1054" s="989"/>
      <c r="NKZ1054" s="989"/>
      <c r="NLA1054" s="989"/>
      <c r="NLB1054" s="989"/>
      <c r="NLC1054" s="989"/>
      <c r="NLD1054" s="989"/>
      <c r="NLE1054" s="989"/>
      <c r="NLF1054" s="989"/>
      <c r="NLG1054" s="989"/>
      <c r="NLH1054" s="989"/>
      <c r="NLI1054" s="989"/>
      <c r="NLJ1054" s="989"/>
      <c r="NLK1054" s="989"/>
      <c r="NLL1054" s="989"/>
      <c r="NLM1054" s="989"/>
      <c r="NLN1054" s="989"/>
      <c r="NLO1054" s="989"/>
      <c r="NLP1054" s="989"/>
      <c r="NLQ1054" s="989"/>
      <c r="NLR1054" s="989"/>
      <c r="NLS1054" s="989"/>
      <c r="NLT1054" s="989"/>
      <c r="NLU1054" s="989"/>
      <c r="NLV1054" s="989"/>
      <c r="NLW1054" s="989"/>
      <c r="NLX1054" s="989"/>
      <c r="NLY1054" s="989"/>
      <c r="NLZ1054" s="989"/>
      <c r="NMA1054" s="989"/>
      <c r="NMB1054" s="989"/>
      <c r="NMC1054" s="989"/>
      <c r="NMD1054" s="989"/>
      <c r="NME1054" s="989"/>
      <c r="NMF1054" s="989"/>
      <c r="NMG1054" s="989"/>
      <c r="NMH1054" s="989"/>
      <c r="NMI1054" s="989"/>
      <c r="NMJ1054" s="989"/>
      <c r="NMK1054" s="989"/>
      <c r="NML1054" s="989"/>
      <c r="NMM1054" s="989"/>
      <c r="NMN1054" s="989"/>
      <c r="NMO1054" s="989"/>
      <c r="NMP1054" s="989"/>
      <c r="NMQ1054" s="989"/>
      <c r="NMR1054" s="989"/>
      <c r="NMS1054" s="989"/>
      <c r="NMT1054" s="989"/>
      <c r="NMU1054" s="989"/>
      <c r="NMV1054" s="989"/>
      <c r="NMW1054" s="989"/>
      <c r="NMX1054" s="989"/>
      <c r="NMY1054" s="989"/>
      <c r="NMZ1054" s="989"/>
      <c r="NNA1054" s="989"/>
      <c r="NNB1054" s="989"/>
      <c r="NNC1054" s="989"/>
      <c r="NND1054" s="989"/>
      <c r="NNE1054" s="989"/>
      <c r="NNF1054" s="989"/>
      <c r="NNG1054" s="989"/>
      <c r="NNH1054" s="989"/>
      <c r="NNI1054" s="989"/>
      <c r="NNJ1054" s="989"/>
      <c r="NNK1054" s="989"/>
      <c r="NNL1054" s="989"/>
      <c r="NNM1054" s="989"/>
      <c r="NNN1054" s="989"/>
      <c r="NNO1054" s="989"/>
      <c r="NNP1054" s="989"/>
      <c r="NNQ1054" s="989"/>
      <c r="NNR1054" s="989"/>
      <c r="NNS1054" s="989"/>
      <c r="NNT1054" s="989"/>
      <c r="NNU1054" s="989"/>
      <c r="NNV1054" s="989"/>
      <c r="NNW1054" s="989"/>
      <c r="NNX1054" s="989"/>
      <c r="NNY1054" s="989"/>
      <c r="NNZ1054" s="989"/>
      <c r="NOA1054" s="989"/>
      <c r="NOB1054" s="989"/>
      <c r="NOC1054" s="989"/>
      <c r="NOD1054" s="989"/>
      <c r="NOE1054" s="989"/>
      <c r="NOF1054" s="989"/>
      <c r="NOG1054" s="989"/>
      <c r="NOH1054" s="989"/>
      <c r="NOI1054" s="989"/>
      <c r="NOJ1054" s="989"/>
      <c r="NOK1054" s="989"/>
      <c r="NOL1054" s="989"/>
      <c r="NOM1054" s="989"/>
      <c r="NON1054" s="989"/>
      <c r="NOO1054" s="989"/>
      <c r="NOP1054" s="989"/>
      <c r="NOQ1054" s="989"/>
      <c r="NOR1054" s="989"/>
      <c r="NOS1054" s="989"/>
      <c r="NOT1054" s="989"/>
      <c r="NOU1054" s="989"/>
      <c r="NOV1054" s="989"/>
      <c r="NOW1054" s="989"/>
      <c r="NOX1054" s="989"/>
      <c r="NOY1054" s="989"/>
      <c r="NOZ1054" s="989"/>
      <c r="NPA1054" s="989"/>
      <c r="NPB1054" s="989"/>
      <c r="NPC1054" s="989"/>
      <c r="NPD1054" s="989"/>
      <c r="NPE1054" s="989"/>
      <c r="NPF1054" s="989"/>
      <c r="NPG1054" s="989"/>
      <c r="NPH1054" s="989"/>
      <c r="NPI1054" s="989"/>
      <c r="NPJ1054" s="989"/>
      <c r="NPK1054" s="989"/>
      <c r="NPL1054" s="989"/>
      <c r="NPM1054" s="989"/>
      <c r="NPN1054" s="989"/>
      <c r="NPO1054" s="989"/>
      <c r="NPP1054" s="989"/>
      <c r="NPQ1054" s="989"/>
      <c r="NPR1054" s="989"/>
      <c r="NPS1054" s="989"/>
      <c r="NPT1054" s="989"/>
      <c r="NPU1054" s="989"/>
      <c r="NPV1054" s="989"/>
      <c r="NPW1054" s="989"/>
      <c r="NPX1054" s="989"/>
      <c r="NPY1054" s="989"/>
      <c r="NPZ1054" s="989"/>
      <c r="NQA1054" s="989"/>
      <c r="NQB1054" s="989"/>
      <c r="NQC1054" s="989"/>
      <c r="NQD1054" s="989"/>
      <c r="NQE1054" s="989"/>
      <c r="NQF1054" s="989"/>
      <c r="NQG1054" s="989"/>
      <c r="NQH1054" s="989"/>
      <c r="NQI1054" s="989"/>
      <c r="NQJ1054" s="989"/>
      <c r="NQK1054" s="989"/>
      <c r="NQL1054" s="989"/>
      <c r="NQM1054" s="989"/>
      <c r="NQN1054" s="989"/>
      <c r="NQO1054" s="989"/>
      <c r="NQP1054" s="989"/>
      <c r="NQQ1054" s="989"/>
      <c r="NQR1054" s="989"/>
      <c r="NQS1054" s="989"/>
      <c r="NQT1054" s="989"/>
      <c r="NQU1054" s="989"/>
      <c r="NQV1054" s="989"/>
      <c r="NQW1054" s="989"/>
      <c r="NQX1054" s="989"/>
      <c r="NQY1054" s="989"/>
      <c r="NQZ1054" s="989"/>
      <c r="NRA1054" s="989"/>
      <c r="NRB1054" s="989"/>
      <c r="NRC1054" s="989"/>
      <c r="NRD1054" s="989"/>
      <c r="NRE1054" s="989"/>
      <c r="NRF1054" s="989"/>
      <c r="NRG1054" s="989"/>
      <c r="NRH1054" s="989"/>
      <c r="NRI1054" s="989"/>
      <c r="NRJ1054" s="989"/>
      <c r="NRK1054" s="989"/>
      <c r="NRL1054" s="989"/>
      <c r="NRM1054" s="989"/>
      <c r="NRN1054" s="989"/>
      <c r="NRO1054" s="989"/>
      <c r="NRP1054" s="989"/>
      <c r="NRQ1054" s="989"/>
      <c r="NRR1054" s="989"/>
      <c r="NRS1054" s="989"/>
      <c r="NRT1054" s="989"/>
      <c r="NRU1054" s="989"/>
      <c r="NRV1054" s="989"/>
      <c r="NRW1054" s="989"/>
      <c r="NRX1054" s="989"/>
      <c r="NRY1054" s="989"/>
      <c r="NRZ1054" s="989"/>
      <c r="NSA1054" s="989"/>
      <c r="NSB1054" s="989"/>
      <c r="NSC1054" s="989"/>
      <c r="NSD1054" s="989"/>
      <c r="NSE1054" s="989"/>
      <c r="NSF1054" s="989"/>
      <c r="NSG1054" s="989"/>
      <c r="NSH1054" s="989"/>
      <c r="NSI1054" s="989"/>
      <c r="NSJ1054" s="989"/>
      <c r="NSK1054" s="989"/>
      <c r="NSL1054" s="989"/>
      <c r="NSM1054" s="989"/>
      <c r="NSN1054" s="989"/>
      <c r="NSO1054" s="989"/>
      <c r="NSP1054" s="989"/>
      <c r="NSQ1054" s="989"/>
      <c r="NSR1054" s="989"/>
      <c r="NSS1054" s="989"/>
      <c r="NST1054" s="989"/>
      <c r="NSU1054" s="989"/>
      <c r="NSV1054" s="989"/>
      <c r="NSW1054" s="989"/>
      <c r="NSX1054" s="989"/>
      <c r="NSY1054" s="989"/>
      <c r="NSZ1054" s="989"/>
      <c r="NTA1054" s="989"/>
      <c r="NTB1054" s="989"/>
      <c r="NTC1054" s="989"/>
      <c r="NTD1054" s="989"/>
      <c r="NTE1054" s="989"/>
      <c r="NTF1054" s="989"/>
      <c r="NTG1054" s="989"/>
      <c r="NTH1054" s="989"/>
      <c r="NTI1054" s="989"/>
      <c r="NTJ1054" s="989"/>
      <c r="NTK1054" s="989"/>
      <c r="NTL1054" s="989"/>
      <c r="NTM1054" s="989"/>
      <c r="NTN1054" s="989"/>
      <c r="NTO1054" s="989"/>
      <c r="NTP1054" s="989"/>
      <c r="NTQ1054" s="989"/>
      <c r="NTR1054" s="989"/>
      <c r="NTS1054" s="989"/>
      <c r="NTT1054" s="989"/>
      <c r="NTU1054" s="989"/>
      <c r="NTV1054" s="989"/>
      <c r="NTW1054" s="989"/>
      <c r="NTX1054" s="989"/>
      <c r="NTY1054" s="989"/>
      <c r="NTZ1054" s="989"/>
      <c r="NUA1054" s="989"/>
      <c r="NUB1054" s="989"/>
      <c r="NUC1054" s="989"/>
      <c r="NUD1054" s="989"/>
      <c r="NUE1054" s="989"/>
      <c r="NUF1054" s="989"/>
      <c r="NUG1054" s="989"/>
      <c r="NUH1054" s="989"/>
      <c r="NUI1054" s="989"/>
      <c r="NUJ1054" s="989"/>
      <c r="NUK1054" s="989"/>
      <c r="NUL1054" s="989"/>
      <c r="NUM1054" s="989"/>
      <c r="NUN1054" s="989"/>
      <c r="NUO1054" s="989"/>
      <c r="NUP1054" s="989"/>
      <c r="NUQ1054" s="989"/>
      <c r="NUR1054" s="989"/>
      <c r="NUS1054" s="989"/>
      <c r="NUT1054" s="989"/>
      <c r="NUU1054" s="989"/>
      <c r="NUV1054" s="989"/>
      <c r="NUW1054" s="989"/>
      <c r="NUX1054" s="989"/>
      <c r="NUY1054" s="989"/>
      <c r="NUZ1054" s="989"/>
      <c r="NVA1054" s="989"/>
      <c r="NVB1054" s="989"/>
      <c r="NVC1054" s="989"/>
      <c r="NVD1054" s="989"/>
      <c r="NVE1054" s="989"/>
      <c r="NVF1054" s="989"/>
      <c r="NVG1054" s="989"/>
      <c r="NVH1054" s="989"/>
      <c r="NVI1054" s="989"/>
      <c r="NVJ1054" s="989"/>
      <c r="NVK1054" s="989"/>
      <c r="NVL1054" s="989"/>
      <c r="NVM1054" s="989"/>
      <c r="NVN1054" s="989"/>
      <c r="NVO1054" s="989"/>
      <c r="NVP1054" s="989"/>
      <c r="NVQ1054" s="989"/>
      <c r="NVR1054" s="989"/>
      <c r="NVS1054" s="989"/>
      <c r="NVT1054" s="989"/>
      <c r="NVU1054" s="989"/>
      <c r="NVV1054" s="989"/>
      <c r="NVW1054" s="989"/>
      <c r="NVX1054" s="989"/>
      <c r="NVY1054" s="989"/>
      <c r="NVZ1054" s="989"/>
      <c r="NWA1054" s="989"/>
      <c r="NWB1054" s="989"/>
      <c r="NWC1054" s="989"/>
      <c r="NWD1054" s="989"/>
      <c r="NWE1054" s="989"/>
      <c r="NWF1054" s="989"/>
      <c r="NWG1054" s="989"/>
      <c r="NWH1054" s="989"/>
      <c r="NWI1054" s="989"/>
      <c r="NWJ1054" s="989"/>
      <c r="NWK1054" s="989"/>
      <c r="NWL1054" s="989"/>
      <c r="NWM1054" s="989"/>
      <c r="NWN1054" s="989"/>
      <c r="NWO1054" s="989"/>
      <c r="NWP1054" s="989"/>
      <c r="NWQ1054" s="989"/>
      <c r="NWR1054" s="989"/>
      <c r="NWS1054" s="989"/>
      <c r="NWT1054" s="989"/>
      <c r="NWU1054" s="989"/>
      <c r="NWV1054" s="989"/>
      <c r="NWW1054" s="989"/>
      <c r="NWX1054" s="989"/>
      <c r="NWY1054" s="989"/>
      <c r="NWZ1054" s="989"/>
      <c r="NXA1054" s="989"/>
      <c r="NXB1054" s="989"/>
      <c r="NXC1054" s="989"/>
      <c r="NXD1054" s="989"/>
      <c r="NXE1054" s="989"/>
      <c r="NXF1054" s="989"/>
      <c r="NXG1054" s="989"/>
      <c r="NXH1054" s="989"/>
      <c r="NXI1054" s="989"/>
      <c r="NXJ1054" s="989"/>
      <c r="NXK1054" s="989"/>
      <c r="NXL1054" s="989"/>
      <c r="NXM1054" s="989"/>
      <c r="NXN1054" s="989"/>
      <c r="NXO1054" s="989"/>
      <c r="NXP1054" s="989"/>
      <c r="NXQ1054" s="989"/>
      <c r="NXR1054" s="989"/>
      <c r="NXS1054" s="989"/>
      <c r="NXT1054" s="989"/>
      <c r="NXU1054" s="989"/>
      <c r="NXV1054" s="989"/>
      <c r="NXW1054" s="989"/>
      <c r="NXX1054" s="989"/>
      <c r="NXY1054" s="989"/>
      <c r="NXZ1054" s="989"/>
      <c r="NYA1054" s="989"/>
      <c r="NYB1054" s="989"/>
      <c r="NYC1054" s="989"/>
      <c r="NYD1054" s="989"/>
      <c r="NYE1054" s="989"/>
      <c r="NYF1054" s="989"/>
      <c r="NYG1054" s="989"/>
      <c r="NYH1054" s="989"/>
      <c r="NYI1054" s="989"/>
      <c r="NYJ1054" s="989"/>
      <c r="NYK1054" s="989"/>
      <c r="NYL1054" s="989"/>
      <c r="NYM1054" s="989"/>
      <c r="NYN1054" s="989"/>
      <c r="NYO1054" s="989"/>
      <c r="NYP1054" s="989"/>
      <c r="NYQ1054" s="989"/>
      <c r="NYR1054" s="989"/>
      <c r="NYS1054" s="989"/>
      <c r="NYT1054" s="989"/>
      <c r="NYU1054" s="989"/>
      <c r="NYV1054" s="989"/>
      <c r="NYW1054" s="989"/>
      <c r="NYX1054" s="989"/>
      <c r="NYY1054" s="989"/>
      <c r="NYZ1054" s="989"/>
      <c r="NZA1054" s="989"/>
      <c r="NZB1054" s="989"/>
      <c r="NZC1054" s="989"/>
      <c r="NZD1054" s="989"/>
      <c r="NZE1054" s="989"/>
      <c r="NZF1054" s="989"/>
      <c r="NZG1054" s="989"/>
      <c r="NZH1054" s="989"/>
      <c r="NZI1054" s="989"/>
      <c r="NZJ1054" s="989"/>
      <c r="NZK1054" s="989"/>
      <c r="NZL1054" s="989"/>
      <c r="NZM1054" s="989"/>
      <c r="NZN1054" s="989"/>
      <c r="NZO1054" s="989"/>
      <c r="NZP1054" s="989"/>
      <c r="NZQ1054" s="989"/>
      <c r="NZR1054" s="989"/>
      <c r="NZS1054" s="989"/>
      <c r="NZT1054" s="989"/>
      <c r="NZU1054" s="989"/>
      <c r="NZV1054" s="989"/>
      <c r="NZW1054" s="989"/>
      <c r="NZX1054" s="989"/>
      <c r="NZY1054" s="989"/>
      <c r="NZZ1054" s="989"/>
      <c r="OAA1054" s="989"/>
      <c r="OAB1054" s="989"/>
      <c r="OAC1054" s="989"/>
      <c r="OAD1054" s="989"/>
      <c r="OAE1054" s="989"/>
      <c r="OAF1054" s="989"/>
      <c r="OAG1054" s="989"/>
      <c r="OAH1054" s="989"/>
      <c r="OAI1054" s="989"/>
      <c r="OAJ1054" s="989"/>
      <c r="OAK1054" s="989"/>
      <c r="OAL1054" s="989"/>
      <c r="OAM1054" s="989"/>
      <c r="OAN1054" s="989"/>
      <c r="OAO1054" s="989"/>
      <c r="OAP1054" s="989"/>
      <c r="OAQ1054" s="989"/>
      <c r="OAR1054" s="989"/>
      <c r="OAS1054" s="989"/>
      <c r="OAT1054" s="989"/>
      <c r="OAU1054" s="989"/>
      <c r="OAV1054" s="989"/>
      <c r="OAW1054" s="989"/>
      <c r="OAX1054" s="989"/>
      <c r="OAY1054" s="989"/>
      <c r="OAZ1054" s="989"/>
      <c r="OBA1054" s="989"/>
      <c r="OBB1054" s="989"/>
      <c r="OBC1054" s="989"/>
      <c r="OBD1054" s="989"/>
      <c r="OBE1054" s="989"/>
      <c r="OBF1054" s="989"/>
      <c r="OBG1054" s="989"/>
      <c r="OBH1054" s="989"/>
      <c r="OBI1054" s="989"/>
      <c r="OBJ1054" s="989"/>
      <c r="OBK1054" s="989"/>
      <c r="OBL1054" s="989"/>
      <c r="OBM1054" s="989"/>
      <c r="OBN1054" s="989"/>
      <c r="OBO1054" s="989"/>
      <c r="OBP1054" s="989"/>
      <c r="OBQ1054" s="989"/>
      <c r="OBR1054" s="989"/>
      <c r="OBS1054" s="989"/>
      <c r="OBT1054" s="989"/>
      <c r="OBU1054" s="989"/>
      <c r="OBV1054" s="989"/>
      <c r="OBW1054" s="989"/>
      <c r="OBX1054" s="989"/>
      <c r="OBY1054" s="989"/>
      <c r="OBZ1054" s="989"/>
      <c r="OCA1054" s="989"/>
      <c r="OCB1054" s="989"/>
      <c r="OCC1054" s="989"/>
      <c r="OCD1054" s="989"/>
      <c r="OCE1054" s="989"/>
      <c r="OCF1054" s="989"/>
      <c r="OCG1054" s="989"/>
      <c r="OCH1054" s="989"/>
      <c r="OCI1054" s="989"/>
      <c r="OCJ1054" s="989"/>
      <c r="OCK1054" s="989"/>
      <c r="OCL1054" s="989"/>
      <c r="OCM1054" s="989"/>
      <c r="OCN1054" s="989"/>
      <c r="OCO1054" s="989"/>
      <c r="OCP1054" s="989"/>
      <c r="OCQ1054" s="989"/>
      <c r="OCR1054" s="989"/>
      <c r="OCS1054" s="989"/>
      <c r="OCT1054" s="989"/>
      <c r="OCU1054" s="989"/>
      <c r="OCV1054" s="989"/>
      <c r="OCW1054" s="989"/>
      <c r="OCX1054" s="989"/>
      <c r="OCY1054" s="989"/>
      <c r="OCZ1054" s="989"/>
      <c r="ODA1054" s="989"/>
      <c r="ODB1054" s="989"/>
      <c r="ODC1054" s="989"/>
      <c r="ODD1054" s="989"/>
      <c r="ODE1054" s="989"/>
      <c r="ODF1054" s="989"/>
      <c r="ODG1054" s="989"/>
      <c r="ODH1054" s="989"/>
      <c r="ODI1054" s="989"/>
      <c r="ODJ1054" s="989"/>
      <c r="ODK1054" s="989"/>
      <c r="ODL1054" s="989"/>
      <c r="ODM1054" s="989"/>
      <c r="ODN1054" s="989"/>
      <c r="ODO1054" s="989"/>
      <c r="ODP1054" s="989"/>
      <c r="ODQ1054" s="989"/>
      <c r="ODR1054" s="989"/>
      <c r="ODS1054" s="989"/>
      <c r="ODT1054" s="989"/>
      <c r="ODU1054" s="989"/>
      <c r="ODV1054" s="989"/>
      <c r="ODW1054" s="989"/>
      <c r="ODX1054" s="989"/>
      <c r="ODY1054" s="989"/>
      <c r="ODZ1054" s="989"/>
      <c r="OEA1054" s="989"/>
      <c r="OEB1054" s="989"/>
      <c r="OEC1054" s="989"/>
      <c r="OED1054" s="989"/>
      <c r="OEE1054" s="989"/>
      <c r="OEF1054" s="989"/>
      <c r="OEG1054" s="989"/>
      <c r="OEH1054" s="989"/>
      <c r="OEI1054" s="989"/>
      <c r="OEJ1054" s="989"/>
      <c r="OEK1054" s="989"/>
      <c r="OEL1054" s="989"/>
      <c r="OEM1054" s="989"/>
      <c r="OEN1054" s="989"/>
      <c r="OEO1054" s="989"/>
      <c r="OEP1054" s="989"/>
      <c r="OEQ1054" s="989"/>
      <c r="OER1054" s="989"/>
      <c r="OES1054" s="989"/>
      <c r="OET1054" s="989"/>
      <c r="OEU1054" s="989"/>
      <c r="OEV1054" s="989"/>
      <c r="OEW1054" s="989"/>
      <c r="OEX1054" s="989"/>
      <c r="OEY1054" s="989"/>
      <c r="OEZ1054" s="989"/>
      <c r="OFA1054" s="989"/>
      <c r="OFB1054" s="989"/>
      <c r="OFC1054" s="989"/>
      <c r="OFD1054" s="989"/>
      <c r="OFE1054" s="989"/>
      <c r="OFF1054" s="989"/>
      <c r="OFG1054" s="989"/>
      <c r="OFH1054" s="989"/>
      <c r="OFI1054" s="989"/>
      <c r="OFJ1054" s="989"/>
      <c r="OFK1054" s="989"/>
      <c r="OFL1054" s="989"/>
      <c r="OFM1054" s="989"/>
      <c r="OFN1054" s="989"/>
      <c r="OFO1054" s="989"/>
      <c r="OFP1054" s="989"/>
      <c r="OFQ1054" s="989"/>
      <c r="OFR1054" s="989"/>
      <c r="OFS1054" s="989"/>
      <c r="OFT1054" s="989"/>
      <c r="OFU1054" s="989"/>
      <c r="OFV1054" s="989"/>
      <c r="OFW1054" s="989"/>
      <c r="OFX1054" s="989"/>
      <c r="OFY1054" s="989"/>
      <c r="OFZ1054" s="989"/>
      <c r="OGA1054" s="989"/>
      <c r="OGB1054" s="989"/>
      <c r="OGC1054" s="989"/>
      <c r="OGD1054" s="989"/>
      <c r="OGE1054" s="989"/>
      <c r="OGF1054" s="989"/>
      <c r="OGG1054" s="989"/>
      <c r="OGH1054" s="989"/>
      <c r="OGI1054" s="989"/>
      <c r="OGJ1054" s="989"/>
      <c r="OGK1054" s="989"/>
      <c r="OGL1054" s="989"/>
      <c r="OGM1054" s="989"/>
      <c r="OGN1054" s="989"/>
      <c r="OGO1054" s="989"/>
      <c r="OGP1054" s="989"/>
      <c r="OGQ1054" s="989"/>
      <c r="OGR1054" s="989"/>
      <c r="OGS1054" s="989"/>
      <c r="OGT1054" s="989"/>
      <c r="OGU1054" s="989"/>
      <c r="OGV1054" s="989"/>
      <c r="OGW1054" s="989"/>
      <c r="OGX1054" s="989"/>
      <c r="OGY1054" s="989"/>
      <c r="OGZ1054" s="989"/>
      <c r="OHA1054" s="989"/>
      <c r="OHB1054" s="989"/>
      <c r="OHC1054" s="989"/>
      <c r="OHD1054" s="989"/>
      <c r="OHE1054" s="989"/>
      <c r="OHF1054" s="989"/>
      <c r="OHG1054" s="989"/>
      <c r="OHH1054" s="989"/>
      <c r="OHI1054" s="989"/>
      <c r="OHJ1054" s="989"/>
      <c r="OHK1054" s="989"/>
      <c r="OHL1054" s="989"/>
      <c r="OHM1054" s="989"/>
      <c r="OHN1054" s="989"/>
      <c r="OHO1054" s="989"/>
      <c r="OHP1054" s="989"/>
      <c r="OHQ1054" s="989"/>
      <c r="OHR1054" s="989"/>
      <c r="OHS1054" s="989"/>
      <c r="OHT1054" s="989"/>
      <c r="OHU1054" s="989"/>
      <c r="OHV1054" s="989"/>
      <c r="OHW1054" s="989"/>
      <c r="OHX1054" s="989"/>
      <c r="OHY1054" s="989"/>
      <c r="OHZ1054" s="989"/>
      <c r="OIA1054" s="989"/>
      <c r="OIB1054" s="989"/>
      <c r="OIC1054" s="989"/>
      <c r="OID1054" s="989"/>
      <c r="OIE1054" s="989"/>
      <c r="OIF1054" s="989"/>
      <c r="OIG1054" s="989"/>
      <c r="OIH1054" s="989"/>
      <c r="OII1054" s="989"/>
      <c r="OIJ1054" s="989"/>
      <c r="OIK1054" s="989"/>
      <c r="OIL1054" s="989"/>
      <c r="OIM1054" s="989"/>
      <c r="OIN1054" s="989"/>
      <c r="OIO1054" s="989"/>
      <c r="OIP1054" s="989"/>
      <c r="OIQ1054" s="989"/>
      <c r="OIR1054" s="989"/>
      <c r="OIS1054" s="989"/>
      <c r="OIT1054" s="989"/>
      <c r="OIU1054" s="989"/>
      <c r="OIV1054" s="989"/>
      <c r="OIW1054" s="989"/>
      <c r="OIX1054" s="989"/>
      <c r="OIY1054" s="989"/>
      <c r="OIZ1054" s="989"/>
      <c r="OJA1054" s="989"/>
      <c r="OJB1054" s="989"/>
      <c r="OJC1054" s="989"/>
      <c r="OJD1054" s="989"/>
      <c r="OJE1054" s="989"/>
      <c r="OJF1054" s="989"/>
      <c r="OJG1054" s="989"/>
      <c r="OJH1054" s="989"/>
      <c r="OJI1054" s="989"/>
      <c r="OJJ1054" s="989"/>
      <c r="OJK1054" s="989"/>
      <c r="OJL1054" s="989"/>
      <c r="OJM1054" s="989"/>
      <c r="OJN1054" s="989"/>
      <c r="OJO1054" s="989"/>
      <c r="OJP1054" s="989"/>
      <c r="OJQ1054" s="989"/>
      <c r="OJR1054" s="989"/>
      <c r="OJS1054" s="989"/>
      <c r="OJT1054" s="989"/>
      <c r="OJU1054" s="989"/>
      <c r="OJV1054" s="989"/>
      <c r="OJW1054" s="989"/>
      <c r="OJX1054" s="989"/>
      <c r="OJY1054" s="989"/>
      <c r="OJZ1054" s="989"/>
      <c r="OKA1054" s="989"/>
      <c r="OKB1054" s="989"/>
      <c r="OKC1054" s="989"/>
      <c r="OKD1054" s="989"/>
      <c r="OKE1054" s="989"/>
      <c r="OKF1054" s="989"/>
      <c r="OKG1054" s="989"/>
      <c r="OKH1054" s="989"/>
      <c r="OKI1054" s="989"/>
      <c r="OKJ1054" s="989"/>
      <c r="OKK1054" s="989"/>
      <c r="OKL1054" s="989"/>
      <c r="OKM1054" s="989"/>
      <c r="OKN1054" s="989"/>
      <c r="OKO1054" s="989"/>
      <c r="OKP1054" s="989"/>
      <c r="OKQ1054" s="989"/>
      <c r="OKR1054" s="989"/>
      <c r="OKS1054" s="989"/>
      <c r="OKT1054" s="989"/>
      <c r="OKU1054" s="989"/>
      <c r="OKV1054" s="989"/>
      <c r="OKW1054" s="989"/>
      <c r="OKX1054" s="989"/>
      <c r="OKY1054" s="989"/>
      <c r="OKZ1054" s="989"/>
      <c r="OLA1054" s="989"/>
      <c r="OLB1054" s="989"/>
      <c r="OLC1054" s="989"/>
      <c r="OLD1054" s="989"/>
      <c r="OLE1054" s="989"/>
      <c r="OLF1054" s="989"/>
      <c r="OLG1054" s="989"/>
      <c r="OLH1054" s="989"/>
      <c r="OLI1054" s="989"/>
      <c r="OLJ1054" s="989"/>
      <c r="OLK1054" s="989"/>
      <c r="OLL1054" s="989"/>
      <c r="OLM1054" s="989"/>
      <c r="OLN1054" s="989"/>
      <c r="OLO1054" s="989"/>
      <c r="OLP1054" s="989"/>
      <c r="OLQ1054" s="989"/>
      <c r="OLR1054" s="989"/>
      <c r="OLS1054" s="989"/>
      <c r="OLT1054" s="989"/>
      <c r="OLU1054" s="989"/>
      <c r="OLV1054" s="989"/>
      <c r="OLW1054" s="989"/>
      <c r="OLX1054" s="989"/>
      <c r="OLY1054" s="989"/>
      <c r="OLZ1054" s="989"/>
      <c r="OMA1054" s="989"/>
      <c r="OMB1054" s="989"/>
      <c r="OMC1054" s="989"/>
      <c r="OMD1054" s="989"/>
      <c r="OME1054" s="989"/>
      <c r="OMF1054" s="989"/>
      <c r="OMG1054" s="989"/>
      <c r="OMH1054" s="989"/>
      <c r="OMI1054" s="989"/>
      <c r="OMJ1054" s="989"/>
      <c r="OMK1054" s="989"/>
      <c r="OML1054" s="989"/>
      <c r="OMM1054" s="989"/>
      <c r="OMN1054" s="989"/>
      <c r="OMO1054" s="989"/>
      <c r="OMP1054" s="989"/>
      <c r="OMQ1054" s="989"/>
      <c r="OMR1054" s="989"/>
      <c r="OMS1054" s="989"/>
      <c r="OMT1054" s="989"/>
      <c r="OMU1054" s="989"/>
      <c r="OMV1054" s="989"/>
      <c r="OMW1054" s="989"/>
      <c r="OMX1054" s="989"/>
      <c r="OMY1054" s="989"/>
      <c r="OMZ1054" s="989"/>
      <c r="ONA1054" s="989"/>
      <c r="ONB1054" s="989"/>
      <c r="ONC1054" s="989"/>
      <c r="OND1054" s="989"/>
      <c r="ONE1054" s="989"/>
      <c r="ONF1054" s="989"/>
      <c r="ONG1054" s="989"/>
      <c r="ONH1054" s="989"/>
      <c r="ONI1054" s="989"/>
      <c r="ONJ1054" s="989"/>
      <c r="ONK1054" s="989"/>
      <c r="ONL1054" s="989"/>
      <c r="ONM1054" s="989"/>
      <c r="ONN1054" s="989"/>
      <c r="ONO1054" s="989"/>
      <c r="ONP1054" s="989"/>
      <c r="ONQ1054" s="989"/>
      <c r="ONR1054" s="989"/>
      <c r="ONS1054" s="989"/>
      <c r="ONT1054" s="989"/>
      <c r="ONU1054" s="989"/>
      <c r="ONV1054" s="989"/>
      <c r="ONW1054" s="989"/>
      <c r="ONX1054" s="989"/>
      <c r="ONY1054" s="989"/>
      <c r="ONZ1054" s="989"/>
      <c r="OOA1054" s="989"/>
      <c r="OOB1054" s="989"/>
      <c r="OOC1054" s="989"/>
      <c r="OOD1054" s="989"/>
      <c r="OOE1054" s="989"/>
      <c r="OOF1054" s="989"/>
      <c r="OOG1054" s="989"/>
      <c r="OOH1054" s="989"/>
      <c r="OOI1054" s="989"/>
      <c r="OOJ1054" s="989"/>
      <c r="OOK1054" s="989"/>
      <c r="OOL1054" s="989"/>
      <c r="OOM1054" s="989"/>
      <c r="OON1054" s="989"/>
      <c r="OOO1054" s="989"/>
      <c r="OOP1054" s="989"/>
      <c r="OOQ1054" s="989"/>
      <c r="OOR1054" s="989"/>
      <c r="OOS1054" s="989"/>
      <c r="OOT1054" s="989"/>
      <c r="OOU1054" s="989"/>
      <c r="OOV1054" s="989"/>
      <c r="OOW1054" s="989"/>
      <c r="OOX1054" s="989"/>
      <c r="OOY1054" s="989"/>
      <c r="OOZ1054" s="989"/>
      <c r="OPA1054" s="989"/>
      <c r="OPB1054" s="989"/>
      <c r="OPC1054" s="989"/>
      <c r="OPD1054" s="989"/>
      <c r="OPE1054" s="989"/>
      <c r="OPF1054" s="989"/>
      <c r="OPG1054" s="989"/>
      <c r="OPH1054" s="989"/>
      <c r="OPI1054" s="989"/>
      <c r="OPJ1054" s="989"/>
      <c r="OPK1054" s="989"/>
      <c r="OPL1054" s="989"/>
      <c r="OPM1054" s="989"/>
      <c r="OPN1054" s="989"/>
      <c r="OPO1054" s="989"/>
      <c r="OPP1054" s="989"/>
      <c r="OPQ1054" s="989"/>
      <c r="OPR1054" s="989"/>
      <c r="OPS1054" s="989"/>
      <c r="OPT1054" s="989"/>
      <c r="OPU1054" s="989"/>
      <c r="OPV1054" s="989"/>
      <c r="OPW1054" s="989"/>
      <c r="OPX1054" s="989"/>
      <c r="OPY1054" s="989"/>
      <c r="OPZ1054" s="989"/>
      <c r="OQA1054" s="989"/>
      <c r="OQB1054" s="989"/>
      <c r="OQC1054" s="989"/>
      <c r="OQD1054" s="989"/>
      <c r="OQE1054" s="989"/>
      <c r="OQF1054" s="989"/>
      <c r="OQG1054" s="989"/>
      <c r="OQH1054" s="989"/>
      <c r="OQI1054" s="989"/>
      <c r="OQJ1054" s="989"/>
      <c r="OQK1054" s="989"/>
      <c r="OQL1054" s="989"/>
      <c r="OQM1054" s="989"/>
      <c r="OQN1054" s="989"/>
      <c r="OQO1054" s="989"/>
      <c r="OQP1054" s="989"/>
      <c r="OQQ1054" s="989"/>
      <c r="OQR1054" s="989"/>
      <c r="OQS1054" s="989"/>
      <c r="OQT1054" s="989"/>
      <c r="OQU1054" s="989"/>
      <c r="OQV1054" s="989"/>
      <c r="OQW1054" s="989"/>
      <c r="OQX1054" s="989"/>
      <c r="OQY1054" s="989"/>
      <c r="OQZ1054" s="989"/>
      <c r="ORA1054" s="989"/>
      <c r="ORB1054" s="989"/>
      <c r="ORC1054" s="989"/>
      <c r="ORD1054" s="989"/>
      <c r="ORE1054" s="989"/>
      <c r="ORF1054" s="989"/>
      <c r="ORG1054" s="989"/>
      <c r="ORH1054" s="989"/>
      <c r="ORI1054" s="989"/>
      <c r="ORJ1054" s="989"/>
      <c r="ORK1054" s="989"/>
      <c r="ORL1054" s="989"/>
      <c r="ORM1054" s="989"/>
      <c r="ORN1054" s="989"/>
      <c r="ORO1054" s="989"/>
      <c r="ORP1054" s="989"/>
      <c r="ORQ1054" s="989"/>
      <c r="ORR1054" s="989"/>
      <c r="ORS1054" s="989"/>
      <c r="ORT1054" s="989"/>
      <c r="ORU1054" s="989"/>
      <c r="ORV1054" s="989"/>
      <c r="ORW1054" s="989"/>
      <c r="ORX1054" s="989"/>
      <c r="ORY1054" s="989"/>
      <c r="ORZ1054" s="989"/>
      <c r="OSA1054" s="989"/>
      <c r="OSB1054" s="989"/>
      <c r="OSC1054" s="989"/>
      <c r="OSD1054" s="989"/>
      <c r="OSE1054" s="989"/>
      <c r="OSF1054" s="989"/>
      <c r="OSG1054" s="989"/>
      <c r="OSH1054" s="989"/>
      <c r="OSI1054" s="989"/>
      <c r="OSJ1054" s="989"/>
      <c r="OSK1054" s="989"/>
      <c r="OSL1054" s="989"/>
      <c r="OSM1054" s="989"/>
      <c r="OSN1054" s="989"/>
      <c r="OSO1054" s="989"/>
      <c r="OSP1054" s="989"/>
      <c r="OSQ1054" s="989"/>
      <c r="OSR1054" s="989"/>
      <c r="OSS1054" s="989"/>
      <c r="OST1054" s="989"/>
      <c r="OSU1054" s="989"/>
      <c r="OSV1054" s="989"/>
      <c r="OSW1054" s="989"/>
      <c r="OSX1054" s="989"/>
      <c r="OSY1054" s="989"/>
      <c r="OSZ1054" s="989"/>
      <c r="OTA1054" s="989"/>
      <c r="OTB1054" s="989"/>
      <c r="OTC1054" s="989"/>
      <c r="OTD1054" s="989"/>
      <c r="OTE1054" s="989"/>
      <c r="OTF1054" s="989"/>
      <c r="OTG1054" s="989"/>
      <c r="OTH1054" s="989"/>
      <c r="OTI1054" s="989"/>
      <c r="OTJ1054" s="989"/>
      <c r="OTK1054" s="989"/>
      <c r="OTL1054" s="989"/>
      <c r="OTM1054" s="989"/>
      <c r="OTN1054" s="989"/>
      <c r="OTO1054" s="989"/>
      <c r="OTP1054" s="989"/>
      <c r="OTQ1054" s="989"/>
      <c r="OTR1054" s="989"/>
      <c r="OTS1054" s="989"/>
      <c r="OTT1054" s="989"/>
      <c r="OTU1054" s="989"/>
      <c r="OTV1054" s="989"/>
      <c r="OTW1054" s="989"/>
      <c r="OTX1054" s="989"/>
      <c r="OTY1054" s="989"/>
      <c r="OTZ1054" s="989"/>
      <c r="OUA1054" s="989"/>
      <c r="OUB1054" s="989"/>
      <c r="OUC1054" s="989"/>
      <c r="OUD1054" s="989"/>
      <c r="OUE1054" s="989"/>
      <c r="OUF1054" s="989"/>
      <c r="OUG1054" s="989"/>
      <c r="OUH1054" s="989"/>
      <c r="OUI1054" s="989"/>
      <c r="OUJ1054" s="989"/>
      <c r="OUK1054" s="989"/>
      <c r="OUL1054" s="989"/>
      <c r="OUM1054" s="989"/>
      <c r="OUN1054" s="989"/>
      <c r="OUO1054" s="989"/>
      <c r="OUP1054" s="989"/>
      <c r="OUQ1054" s="989"/>
      <c r="OUR1054" s="989"/>
      <c r="OUS1054" s="989"/>
      <c r="OUT1054" s="989"/>
      <c r="OUU1054" s="989"/>
      <c r="OUV1054" s="989"/>
      <c r="OUW1054" s="989"/>
      <c r="OUX1054" s="989"/>
      <c r="OUY1054" s="989"/>
      <c r="OUZ1054" s="989"/>
      <c r="OVA1054" s="989"/>
      <c r="OVB1054" s="989"/>
      <c r="OVC1054" s="989"/>
      <c r="OVD1054" s="989"/>
      <c r="OVE1054" s="989"/>
      <c r="OVF1054" s="989"/>
      <c r="OVG1054" s="989"/>
      <c r="OVH1054" s="989"/>
      <c r="OVI1054" s="989"/>
      <c r="OVJ1054" s="989"/>
      <c r="OVK1054" s="989"/>
      <c r="OVL1054" s="989"/>
      <c r="OVM1054" s="989"/>
      <c r="OVN1054" s="989"/>
      <c r="OVO1054" s="989"/>
      <c r="OVP1054" s="989"/>
      <c r="OVQ1054" s="989"/>
      <c r="OVR1054" s="989"/>
      <c r="OVS1054" s="989"/>
      <c r="OVT1054" s="989"/>
      <c r="OVU1054" s="989"/>
      <c r="OVV1054" s="989"/>
      <c r="OVW1054" s="989"/>
      <c r="OVX1054" s="989"/>
      <c r="OVY1054" s="989"/>
      <c r="OVZ1054" s="989"/>
      <c r="OWA1054" s="989"/>
      <c r="OWB1054" s="989"/>
      <c r="OWC1054" s="989"/>
      <c r="OWD1054" s="989"/>
      <c r="OWE1054" s="989"/>
      <c r="OWF1054" s="989"/>
      <c r="OWG1054" s="989"/>
      <c r="OWH1054" s="989"/>
      <c r="OWI1054" s="989"/>
      <c r="OWJ1054" s="989"/>
      <c r="OWK1054" s="989"/>
      <c r="OWL1054" s="989"/>
      <c r="OWM1054" s="989"/>
      <c r="OWN1054" s="989"/>
      <c r="OWO1054" s="989"/>
      <c r="OWP1054" s="989"/>
      <c r="OWQ1054" s="989"/>
      <c r="OWR1054" s="989"/>
      <c r="OWS1054" s="989"/>
      <c r="OWT1054" s="989"/>
      <c r="OWU1054" s="989"/>
      <c r="OWV1054" s="989"/>
      <c r="OWW1054" s="989"/>
      <c r="OWX1054" s="989"/>
      <c r="OWY1054" s="989"/>
      <c r="OWZ1054" s="989"/>
      <c r="OXA1054" s="989"/>
      <c r="OXB1054" s="989"/>
      <c r="OXC1054" s="989"/>
      <c r="OXD1054" s="989"/>
      <c r="OXE1054" s="989"/>
      <c r="OXF1054" s="989"/>
      <c r="OXG1054" s="989"/>
      <c r="OXH1054" s="989"/>
      <c r="OXI1054" s="989"/>
      <c r="OXJ1054" s="989"/>
      <c r="OXK1054" s="989"/>
      <c r="OXL1054" s="989"/>
      <c r="OXM1054" s="989"/>
      <c r="OXN1054" s="989"/>
      <c r="OXO1054" s="989"/>
      <c r="OXP1054" s="989"/>
      <c r="OXQ1054" s="989"/>
      <c r="OXR1054" s="989"/>
      <c r="OXS1054" s="989"/>
      <c r="OXT1054" s="989"/>
      <c r="OXU1054" s="989"/>
      <c r="OXV1054" s="989"/>
      <c r="OXW1054" s="989"/>
      <c r="OXX1054" s="989"/>
      <c r="OXY1054" s="989"/>
      <c r="OXZ1054" s="989"/>
      <c r="OYA1054" s="989"/>
      <c r="OYB1054" s="989"/>
      <c r="OYC1054" s="989"/>
      <c r="OYD1054" s="989"/>
      <c r="OYE1054" s="989"/>
      <c r="OYF1054" s="989"/>
      <c r="OYG1054" s="989"/>
      <c r="OYH1054" s="989"/>
      <c r="OYI1054" s="989"/>
      <c r="OYJ1054" s="989"/>
      <c r="OYK1054" s="989"/>
      <c r="OYL1054" s="989"/>
      <c r="OYM1054" s="989"/>
      <c r="OYN1054" s="989"/>
      <c r="OYO1054" s="989"/>
      <c r="OYP1054" s="989"/>
      <c r="OYQ1054" s="989"/>
      <c r="OYR1054" s="989"/>
      <c r="OYS1054" s="989"/>
      <c r="OYT1054" s="989"/>
      <c r="OYU1054" s="989"/>
      <c r="OYV1054" s="989"/>
      <c r="OYW1054" s="989"/>
      <c r="OYX1054" s="989"/>
      <c r="OYY1054" s="989"/>
      <c r="OYZ1054" s="989"/>
      <c r="OZA1054" s="989"/>
      <c r="OZB1054" s="989"/>
      <c r="OZC1054" s="989"/>
      <c r="OZD1054" s="989"/>
      <c r="OZE1054" s="989"/>
      <c r="OZF1054" s="989"/>
      <c r="OZG1054" s="989"/>
      <c r="OZH1054" s="989"/>
      <c r="OZI1054" s="989"/>
      <c r="OZJ1054" s="989"/>
      <c r="OZK1054" s="989"/>
      <c r="OZL1054" s="989"/>
      <c r="OZM1054" s="989"/>
      <c r="OZN1054" s="989"/>
      <c r="OZO1054" s="989"/>
      <c r="OZP1054" s="989"/>
      <c r="OZQ1054" s="989"/>
      <c r="OZR1054" s="989"/>
      <c r="OZS1054" s="989"/>
      <c r="OZT1054" s="989"/>
      <c r="OZU1054" s="989"/>
      <c r="OZV1054" s="989"/>
      <c r="OZW1054" s="989"/>
      <c r="OZX1054" s="989"/>
      <c r="OZY1054" s="989"/>
      <c r="OZZ1054" s="989"/>
      <c r="PAA1054" s="989"/>
      <c r="PAB1054" s="989"/>
      <c r="PAC1054" s="989"/>
      <c r="PAD1054" s="989"/>
      <c r="PAE1054" s="989"/>
      <c r="PAF1054" s="989"/>
      <c r="PAG1054" s="989"/>
      <c r="PAH1054" s="989"/>
      <c r="PAI1054" s="989"/>
      <c r="PAJ1054" s="989"/>
      <c r="PAK1054" s="989"/>
      <c r="PAL1054" s="989"/>
      <c r="PAM1054" s="989"/>
      <c r="PAN1054" s="989"/>
      <c r="PAO1054" s="989"/>
      <c r="PAP1054" s="989"/>
      <c r="PAQ1054" s="989"/>
      <c r="PAR1054" s="989"/>
      <c r="PAS1054" s="989"/>
      <c r="PAT1054" s="989"/>
      <c r="PAU1054" s="989"/>
      <c r="PAV1054" s="989"/>
      <c r="PAW1054" s="989"/>
      <c r="PAX1054" s="989"/>
      <c r="PAY1054" s="989"/>
      <c r="PAZ1054" s="989"/>
      <c r="PBA1054" s="989"/>
      <c r="PBB1054" s="989"/>
      <c r="PBC1054" s="989"/>
      <c r="PBD1054" s="989"/>
      <c r="PBE1054" s="989"/>
      <c r="PBF1054" s="989"/>
      <c r="PBG1054" s="989"/>
      <c r="PBH1054" s="989"/>
      <c r="PBI1054" s="989"/>
      <c r="PBJ1054" s="989"/>
      <c r="PBK1054" s="989"/>
      <c r="PBL1054" s="989"/>
      <c r="PBM1054" s="989"/>
      <c r="PBN1054" s="989"/>
      <c r="PBO1054" s="989"/>
      <c r="PBP1054" s="989"/>
      <c r="PBQ1054" s="989"/>
      <c r="PBR1054" s="989"/>
      <c r="PBS1054" s="989"/>
      <c r="PBT1054" s="989"/>
      <c r="PBU1054" s="989"/>
      <c r="PBV1054" s="989"/>
      <c r="PBW1054" s="989"/>
      <c r="PBX1054" s="989"/>
      <c r="PBY1054" s="989"/>
      <c r="PBZ1054" s="989"/>
      <c r="PCA1054" s="989"/>
      <c r="PCB1054" s="989"/>
      <c r="PCC1054" s="989"/>
      <c r="PCD1054" s="989"/>
      <c r="PCE1054" s="989"/>
      <c r="PCF1054" s="989"/>
      <c r="PCG1054" s="989"/>
      <c r="PCH1054" s="989"/>
      <c r="PCI1054" s="989"/>
      <c r="PCJ1054" s="989"/>
      <c r="PCK1054" s="989"/>
      <c r="PCL1054" s="989"/>
      <c r="PCM1054" s="989"/>
      <c r="PCN1054" s="989"/>
      <c r="PCO1054" s="989"/>
      <c r="PCP1054" s="989"/>
      <c r="PCQ1054" s="989"/>
      <c r="PCR1054" s="989"/>
      <c r="PCS1054" s="989"/>
      <c r="PCT1054" s="989"/>
      <c r="PCU1054" s="989"/>
      <c r="PCV1054" s="989"/>
      <c r="PCW1054" s="989"/>
      <c r="PCX1054" s="989"/>
      <c r="PCY1054" s="989"/>
      <c r="PCZ1054" s="989"/>
      <c r="PDA1054" s="989"/>
      <c r="PDB1054" s="989"/>
      <c r="PDC1054" s="989"/>
      <c r="PDD1054" s="989"/>
      <c r="PDE1054" s="989"/>
      <c r="PDF1054" s="989"/>
      <c r="PDG1054" s="989"/>
      <c r="PDH1054" s="989"/>
      <c r="PDI1054" s="989"/>
      <c r="PDJ1054" s="989"/>
      <c r="PDK1054" s="989"/>
      <c r="PDL1054" s="989"/>
      <c r="PDM1054" s="989"/>
      <c r="PDN1054" s="989"/>
      <c r="PDO1054" s="989"/>
      <c r="PDP1054" s="989"/>
      <c r="PDQ1054" s="989"/>
      <c r="PDR1054" s="989"/>
      <c r="PDS1054" s="989"/>
      <c r="PDT1054" s="989"/>
      <c r="PDU1054" s="989"/>
      <c r="PDV1054" s="989"/>
      <c r="PDW1054" s="989"/>
      <c r="PDX1054" s="989"/>
      <c r="PDY1054" s="989"/>
      <c r="PDZ1054" s="989"/>
      <c r="PEA1054" s="989"/>
      <c r="PEB1054" s="989"/>
      <c r="PEC1054" s="989"/>
      <c r="PED1054" s="989"/>
      <c r="PEE1054" s="989"/>
      <c r="PEF1054" s="989"/>
      <c r="PEG1054" s="989"/>
      <c r="PEH1054" s="989"/>
      <c r="PEI1054" s="989"/>
      <c r="PEJ1054" s="989"/>
      <c r="PEK1054" s="989"/>
      <c r="PEL1054" s="989"/>
      <c r="PEM1054" s="989"/>
      <c r="PEN1054" s="989"/>
      <c r="PEO1054" s="989"/>
      <c r="PEP1054" s="989"/>
      <c r="PEQ1054" s="989"/>
      <c r="PER1054" s="989"/>
      <c r="PES1054" s="989"/>
      <c r="PET1054" s="989"/>
      <c r="PEU1054" s="989"/>
      <c r="PEV1054" s="989"/>
      <c r="PEW1054" s="989"/>
      <c r="PEX1054" s="989"/>
      <c r="PEY1054" s="989"/>
      <c r="PEZ1054" s="989"/>
      <c r="PFA1054" s="989"/>
      <c r="PFB1054" s="989"/>
      <c r="PFC1054" s="989"/>
      <c r="PFD1054" s="989"/>
      <c r="PFE1054" s="989"/>
      <c r="PFF1054" s="989"/>
      <c r="PFG1054" s="989"/>
      <c r="PFH1054" s="989"/>
      <c r="PFI1054" s="989"/>
      <c r="PFJ1054" s="989"/>
      <c r="PFK1054" s="989"/>
      <c r="PFL1054" s="989"/>
      <c r="PFM1054" s="989"/>
      <c r="PFN1054" s="989"/>
      <c r="PFO1054" s="989"/>
      <c r="PFP1054" s="989"/>
      <c r="PFQ1054" s="989"/>
      <c r="PFR1054" s="989"/>
      <c r="PFS1054" s="989"/>
      <c r="PFT1054" s="989"/>
      <c r="PFU1054" s="989"/>
      <c r="PFV1054" s="989"/>
      <c r="PFW1054" s="989"/>
      <c r="PFX1054" s="989"/>
      <c r="PFY1054" s="989"/>
      <c r="PFZ1054" s="989"/>
      <c r="PGA1054" s="989"/>
      <c r="PGB1054" s="989"/>
      <c r="PGC1054" s="989"/>
      <c r="PGD1054" s="989"/>
      <c r="PGE1054" s="989"/>
      <c r="PGF1054" s="989"/>
      <c r="PGG1054" s="989"/>
      <c r="PGH1054" s="989"/>
      <c r="PGI1054" s="989"/>
      <c r="PGJ1054" s="989"/>
      <c r="PGK1054" s="989"/>
      <c r="PGL1054" s="989"/>
      <c r="PGM1054" s="989"/>
      <c r="PGN1054" s="989"/>
      <c r="PGO1054" s="989"/>
      <c r="PGP1054" s="989"/>
      <c r="PGQ1054" s="989"/>
      <c r="PGR1054" s="989"/>
      <c r="PGS1054" s="989"/>
      <c r="PGT1054" s="989"/>
      <c r="PGU1054" s="989"/>
      <c r="PGV1054" s="989"/>
      <c r="PGW1054" s="989"/>
      <c r="PGX1054" s="989"/>
      <c r="PGY1054" s="989"/>
      <c r="PGZ1054" s="989"/>
      <c r="PHA1054" s="989"/>
      <c r="PHB1054" s="989"/>
      <c r="PHC1054" s="989"/>
      <c r="PHD1054" s="989"/>
      <c r="PHE1054" s="989"/>
      <c r="PHF1054" s="989"/>
      <c r="PHG1054" s="989"/>
      <c r="PHH1054" s="989"/>
      <c r="PHI1054" s="989"/>
      <c r="PHJ1054" s="989"/>
      <c r="PHK1054" s="989"/>
      <c r="PHL1054" s="989"/>
      <c r="PHM1054" s="989"/>
      <c r="PHN1054" s="989"/>
      <c r="PHO1054" s="989"/>
      <c r="PHP1054" s="989"/>
      <c r="PHQ1054" s="989"/>
      <c r="PHR1054" s="989"/>
      <c r="PHS1054" s="989"/>
      <c r="PHT1054" s="989"/>
      <c r="PHU1054" s="989"/>
      <c r="PHV1054" s="989"/>
      <c r="PHW1054" s="989"/>
      <c r="PHX1054" s="989"/>
      <c r="PHY1054" s="989"/>
      <c r="PHZ1054" s="989"/>
      <c r="PIA1054" s="989"/>
      <c r="PIB1054" s="989"/>
      <c r="PIC1054" s="989"/>
      <c r="PID1054" s="989"/>
      <c r="PIE1054" s="989"/>
      <c r="PIF1054" s="989"/>
      <c r="PIG1054" s="989"/>
      <c r="PIH1054" s="989"/>
      <c r="PII1054" s="989"/>
      <c r="PIJ1054" s="989"/>
      <c r="PIK1054" s="989"/>
      <c r="PIL1054" s="989"/>
      <c r="PIM1054" s="989"/>
      <c r="PIN1054" s="989"/>
      <c r="PIO1054" s="989"/>
      <c r="PIP1054" s="989"/>
      <c r="PIQ1054" s="989"/>
      <c r="PIR1054" s="989"/>
      <c r="PIS1054" s="989"/>
      <c r="PIT1054" s="989"/>
      <c r="PIU1054" s="989"/>
      <c r="PIV1054" s="989"/>
      <c r="PIW1054" s="989"/>
      <c r="PIX1054" s="989"/>
      <c r="PIY1054" s="989"/>
      <c r="PIZ1054" s="989"/>
      <c r="PJA1054" s="989"/>
      <c r="PJB1054" s="989"/>
      <c r="PJC1054" s="989"/>
      <c r="PJD1054" s="989"/>
      <c r="PJE1054" s="989"/>
      <c r="PJF1054" s="989"/>
      <c r="PJG1054" s="989"/>
      <c r="PJH1054" s="989"/>
      <c r="PJI1054" s="989"/>
      <c r="PJJ1054" s="989"/>
      <c r="PJK1054" s="989"/>
      <c r="PJL1054" s="989"/>
      <c r="PJM1054" s="989"/>
      <c r="PJN1054" s="989"/>
      <c r="PJO1054" s="989"/>
      <c r="PJP1054" s="989"/>
      <c r="PJQ1054" s="989"/>
      <c r="PJR1054" s="989"/>
      <c r="PJS1054" s="989"/>
      <c r="PJT1054" s="989"/>
      <c r="PJU1054" s="989"/>
      <c r="PJV1054" s="989"/>
      <c r="PJW1054" s="989"/>
      <c r="PJX1054" s="989"/>
      <c r="PJY1054" s="989"/>
      <c r="PJZ1054" s="989"/>
      <c r="PKA1054" s="989"/>
      <c r="PKB1054" s="989"/>
      <c r="PKC1054" s="989"/>
      <c r="PKD1054" s="989"/>
      <c r="PKE1054" s="989"/>
      <c r="PKF1054" s="989"/>
      <c r="PKG1054" s="989"/>
      <c r="PKH1054" s="989"/>
      <c r="PKI1054" s="989"/>
      <c r="PKJ1054" s="989"/>
      <c r="PKK1054" s="989"/>
      <c r="PKL1054" s="989"/>
      <c r="PKM1054" s="989"/>
      <c r="PKN1054" s="989"/>
      <c r="PKO1054" s="989"/>
      <c r="PKP1054" s="989"/>
      <c r="PKQ1054" s="989"/>
      <c r="PKR1054" s="989"/>
      <c r="PKS1054" s="989"/>
      <c r="PKT1054" s="989"/>
      <c r="PKU1054" s="989"/>
      <c r="PKV1054" s="989"/>
      <c r="PKW1054" s="989"/>
      <c r="PKX1054" s="989"/>
      <c r="PKY1054" s="989"/>
      <c r="PKZ1054" s="989"/>
      <c r="PLA1054" s="989"/>
      <c r="PLB1054" s="989"/>
      <c r="PLC1054" s="989"/>
      <c r="PLD1054" s="989"/>
      <c r="PLE1054" s="989"/>
      <c r="PLF1054" s="989"/>
      <c r="PLG1054" s="989"/>
      <c r="PLH1054" s="989"/>
      <c r="PLI1054" s="989"/>
      <c r="PLJ1054" s="989"/>
      <c r="PLK1054" s="989"/>
      <c r="PLL1054" s="989"/>
      <c r="PLM1054" s="989"/>
      <c r="PLN1054" s="989"/>
      <c r="PLO1054" s="989"/>
      <c r="PLP1054" s="989"/>
      <c r="PLQ1054" s="989"/>
      <c r="PLR1054" s="989"/>
      <c r="PLS1054" s="989"/>
      <c r="PLT1054" s="989"/>
      <c r="PLU1054" s="989"/>
      <c r="PLV1054" s="989"/>
      <c r="PLW1054" s="989"/>
      <c r="PLX1054" s="989"/>
      <c r="PLY1054" s="989"/>
      <c r="PLZ1054" s="989"/>
      <c r="PMA1054" s="989"/>
      <c r="PMB1054" s="989"/>
      <c r="PMC1054" s="989"/>
      <c r="PMD1054" s="989"/>
      <c r="PME1054" s="989"/>
      <c r="PMF1054" s="989"/>
      <c r="PMG1054" s="989"/>
      <c r="PMH1054" s="989"/>
      <c r="PMI1054" s="989"/>
      <c r="PMJ1054" s="989"/>
      <c r="PMK1054" s="989"/>
      <c r="PML1054" s="989"/>
      <c r="PMM1054" s="989"/>
      <c r="PMN1054" s="989"/>
      <c r="PMO1054" s="989"/>
      <c r="PMP1054" s="989"/>
      <c r="PMQ1054" s="989"/>
      <c r="PMR1054" s="989"/>
      <c r="PMS1054" s="989"/>
      <c r="PMT1054" s="989"/>
      <c r="PMU1054" s="989"/>
      <c r="PMV1054" s="989"/>
      <c r="PMW1054" s="989"/>
      <c r="PMX1054" s="989"/>
      <c r="PMY1054" s="989"/>
      <c r="PMZ1054" s="989"/>
      <c r="PNA1054" s="989"/>
      <c r="PNB1054" s="989"/>
      <c r="PNC1054" s="989"/>
      <c r="PND1054" s="989"/>
      <c r="PNE1054" s="989"/>
      <c r="PNF1054" s="989"/>
      <c r="PNG1054" s="989"/>
      <c r="PNH1054" s="989"/>
      <c r="PNI1054" s="989"/>
      <c r="PNJ1054" s="989"/>
      <c r="PNK1054" s="989"/>
      <c r="PNL1054" s="989"/>
      <c r="PNM1054" s="989"/>
      <c r="PNN1054" s="989"/>
      <c r="PNO1054" s="989"/>
      <c r="PNP1054" s="989"/>
      <c r="PNQ1054" s="989"/>
      <c r="PNR1054" s="989"/>
      <c r="PNS1054" s="989"/>
      <c r="PNT1054" s="989"/>
      <c r="PNU1054" s="989"/>
      <c r="PNV1054" s="989"/>
      <c r="PNW1054" s="989"/>
      <c r="PNX1054" s="989"/>
      <c r="PNY1054" s="989"/>
      <c r="PNZ1054" s="989"/>
      <c r="POA1054" s="989"/>
      <c r="POB1054" s="989"/>
      <c r="POC1054" s="989"/>
      <c r="POD1054" s="989"/>
      <c r="POE1054" s="989"/>
      <c r="POF1054" s="989"/>
      <c r="POG1054" s="989"/>
      <c r="POH1054" s="989"/>
      <c r="POI1054" s="989"/>
      <c r="POJ1054" s="989"/>
      <c r="POK1054" s="989"/>
      <c r="POL1054" s="989"/>
      <c r="POM1054" s="989"/>
      <c r="PON1054" s="989"/>
      <c r="POO1054" s="989"/>
      <c r="POP1054" s="989"/>
      <c r="POQ1054" s="989"/>
      <c r="POR1054" s="989"/>
      <c r="POS1054" s="989"/>
      <c r="POT1054" s="989"/>
      <c r="POU1054" s="989"/>
      <c r="POV1054" s="989"/>
      <c r="POW1054" s="989"/>
      <c r="POX1054" s="989"/>
      <c r="POY1054" s="989"/>
      <c r="POZ1054" s="989"/>
      <c r="PPA1054" s="989"/>
      <c r="PPB1054" s="989"/>
      <c r="PPC1054" s="989"/>
      <c r="PPD1054" s="989"/>
      <c r="PPE1054" s="989"/>
      <c r="PPF1054" s="989"/>
      <c r="PPG1054" s="989"/>
      <c r="PPH1054" s="989"/>
      <c r="PPI1054" s="989"/>
      <c r="PPJ1054" s="989"/>
      <c r="PPK1054" s="989"/>
      <c r="PPL1054" s="989"/>
      <c r="PPM1054" s="989"/>
      <c r="PPN1054" s="989"/>
      <c r="PPO1054" s="989"/>
      <c r="PPP1054" s="989"/>
      <c r="PPQ1054" s="989"/>
      <c r="PPR1054" s="989"/>
      <c r="PPS1054" s="989"/>
      <c r="PPT1054" s="989"/>
      <c r="PPU1054" s="989"/>
      <c r="PPV1054" s="989"/>
      <c r="PPW1054" s="989"/>
      <c r="PPX1054" s="989"/>
      <c r="PPY1054" s="989"/>
      <c r="PPZ1054" s="989"/>
      <c r="PQA1054" s="989"/>
      <c r="PQB1054" s="989"/>
      <c r="PQC1054" s="989"/>
      <c r="PQD1054" s="989"/>
      <c r="PQE1054" s="989"/>
      <c r="PQF1054" s="989"/>
      <c r="PQG1054" s="989"/>
      <c r="PQH1054" s="989"/>
      <c r="PQI1054" s="989"/>
      <c r="PQJ1054" s="989"/>
      <c r="PQK1054" s="989"/>
      <c r="PQL1054" s="989"/>
      <c r="PQM1054" s="989"/>
      <c r="PQN1054" s="989"/>
      <c r="PQO1054" s="989"/>
      <c r="PQP1054" s="989"/>
      <c r="PQQ1054" s="989"/>
      <c r="PQR1054" s="989"/>
      <c r="PQS1054" s="989"/>
      <c r="PQT1054" s="989"/>
      <c r="PQU1054" s="989"/>
      <c r="PQV1054" s="989"/>
      <c r="PQW1054" s="989"/>
      <c r="PQX1054" s="989"/>
      <c r="PQY1054" s="989"/>
      <c r="PQZ1054" s="989"/>
      <c r="PRA1054" s="989"/>
      <c r="PRB1054" s="989"/>
      <c r="PRC1054" s="989"/>
      <c r="PRD1054" s="989"/>
      <c r="PRE1054" s="989"/>
      <c r="PRF1054" s="989"/>
      <c r="PRG1054" s="989"/>
      <c r="PRH1054" s="989"/>
      <c r="PRI1054" s="989"/>
      <c r="PRJ1054" s="989"/>
      <c r="PRK1054" s="989"/>
      <c r="PRL1054" s="989"/>
      <c r="PRM1054" s="989"/>
      <c r="PRN1054" s="989"/>
      <c r="PRO1054" s="989"/>
      <c r="PRP1054" s="989"/>
      <c r="PRQ1054" s="989"/>
      <c r="PRR1054" s="989"/>
      <c r="PRS1054" s="989"/>
      <c r="PRT1054" s="989"/>
      <c r="PRU1054" s="989"/>
      <c r="PRV1054" s="989"/>
      <c r="PRW1054" s="989"/>
      <c r="PRX1054" s="989"/>
      <c r="PRY1054" s="989"/>
      <c r="PRZ1054" s="989"/>
      <c r="PSA1054" s="989"/>
      <c r="PSB1054" s="989"/>
      <c r="PSC1054" s="989"/>
      <c r="PSD1054" s="989"/>
      <c r="PSE1054" s="989"/>
      <c r="PSF1054" s="989"/>
      <c r="PSG1054" s="989"/>
      <c r="PSH1054" s="989"/>
      <c r="PSI1054" s="989"/>
      <c r="PSJ1054" s="989"/>
      <c r="PSK1054" s="989"/>
      <c r="PSL1054" s="989"/>
      <c r="PSM1054" s="989"/>
      <c r="PSN1054" s="989"/>
      <c r="PSO1054" s="989"/>
      <c r="PSP1054" s="989"/>
      <c r="PSQ1054" s="989"/>
      <c r="PSR1054" s="989"/>
      <c r="PSS1054" s="989"/>
      <c r="PST1054" s="989"/>
      <c r="PSU1054" s="989"/>
      <c r="PSV1054" s="989"/>
      <c r="PSW1054" s="989"/>
      <c r="PSX1054" s="989"/>
      <c r="PSY1054" s="989"/>
      <c r="PSZ1054" s="989"/>
      <c r="PTA1054" s="989"/>
      <c r="PTB1054" s="989"/>
      <c r="PTC1054" s="989"/>
      <c r="PTD1054" s="989"/>
      <c r="PTE1054" s="989"/>
      <c r="PTF1054" s="989"/>
      <c r="PTG1054" s="989"/>
      <c r="PTH1054" s="989"/>
      <c r="PTI1054" s="989"/>
      <c r="PTJ1054" s="989"/>
      <c r="PTK1054" s="989"/>
      <c r="PTL1054" s="989"/>
      <c r="PTM1054" s="989"/>
      <c r="PTN1054" s="989"/>
      <c r="PTO1054" s="989"/>
      <c r="PTP1054" s="989"/>
      <c r="PTQ1054" s="989"/>
      <c r="PTR1054" s="989"/>
      <c r="PTS1054" s="989"/>
      <c r="PTT1054" s="989"/>
      <c r="PTU1054" s="989"/>
      <c r="PTV1054" s="989"/>
      <c r="PTW1054" s="989"/>
      <c r="PTX1054" s="989"/>
      <c r="PTY1054" s="989"/>
      <c r="PTZ1054" s="989"/>
      <c r="PUA1054" s="989"/>
      <c r="PUB1054" s="989"/>
      <c r="PUC1054" s="989"/>
      <c r="PUD1054" s="989"/>
      <c r="PUE1054" s="989"/>
      <c r="PUF1054" s="989"/>
      <c r="PUG1054" s="989"/>
      <c r="PUH1054" s="989"/>
      <c r="PUI1054" s="989"/>
      <c r="PUJ1054" s="989"/>
      <c r="PUK1054" s="989"/>
      <c r="PUL1054" s="989"/>
      <c r="PUM1054" s="989"/>
      <c r="PUN1054" s="989"/>
      <c r="PUO1054" s="989"/>
      <c r="PUP1054" s="989"/>
      <c r="PUQ1054" s="989"/>
      <c r="PUR1054" s="989"/>
      <c r="PUS1054" s="989"/>
      <c r="PUT1054" s="989"/>
      <c r="PUU1054" s="989"/>
      <c r="PUV1054" s="989"/>
      <c r="PUW1054" s="989"/>
      <c r="PUX1054" s="989"/>
      <c r="PUY1054" s="989"/>
      <c r="PUZ1054" s="989"/>
      <c r="PVA1054" s="989"/>
      <c r="PVB1054" s="989"/>
      <c r="PVC1054" s="989"/>
      <c r="PVD1054" s="989"/>
      <c r="PVE1054" s="989"/>
      <c r="PVF1054" s="989"/>
      <c r="PVG1054" s="989"/>
      <c r="PVH1054" s="989"/>
      <c r="PVI1054" s="989"/>
      <c r="PVJ1054" s="989"/>
      <c r="PVK1054" s="989"/>
      <c r="PVL1054" s="989"/>
      <c r="PVM1054" s="989"/>
      <c r="PVN1054" s="989"/>
      <c r="PVO1054" s="989"/>
      <c r="PVP1054" s="989"/>
      <c r="PVQ1054" s="989"/>
      <c r="PVR1054" s="989"/>
      <c r="PVS1054" s="989"/>
      <c r="PVT1054" s="989"/>
      <c r="PVU1054" s="989"/>
      <c r="PVV1054" s="989"/>
      <c r="PVW1054" s="989"/>
      <c r="PVX1054" s="989"/>
      <c r="PVY1054" s="989"/>
      <c r="PVZ1054" s="989"/>
      <c r="PWA1054" s="989"/>
      <c r="PWB1054" s="989"/>
      <c r="PWC1054" s="989"/>
      <c r="PWD1054" s="989"/>
      <c r="PWE1054" s="989"/>
      <c r="PWF1054" s="989"/>
      <c r="PWG1054" s="989"/>
      <c r="PWH1054" s="989"/>
      <c r="PWI1054" s="989"/>
      <c r="PWJ1054" s="989"/>
      <c r="PWK1054" s="989"/>
      <c r="PWL1054" s="989"/>
      <c r="PWM1054" s="989"/>
      <c r="PWN1054" s="989"/>
      <c r="PWO1054" s="989"/>
      <c r="PWP1054" s="989"/>
      <c r="PWQ1054" s="989"/>
      <c r="PWR1054" s="989"/>
      <c r="PWS1054" s="989"/>
      <c r="PWT1054" s="989"/>
      <c r="PWU1054" s="989"/>
      <c r="PWV1054" s="989"/>
      <c r="PWW1054" s="989"/>
      <c r="PWX1054" s="989"/>
      <c r="PWY1054" s="989"/>
      <c r="PWZ1054" s="989"/>
      <c r="PXA1054" s="989"/>
      <c r="PXB1054" s="989"/>
      <c r="PXC1054" s="989"/>
      <c r="PXD1054" s="989"/>
      <c r="PXE1054" s="989"/>
      <c r="PXF1054" s="989"/>
      <c r="PXG1054" s="989"/>
      <c r="PXH1054" s="989"/>
      <c r="PXI1054" s="989"/>
      <c r="PXJ1054" s="989"/>
      <c r="PXK1054" s="989"/>
      <c r="PXL1054" s="989"/>
      <c r="PXM1054" s="989"/>
      <c r="PXN1054" s="989"/>
      <c r="PXO1054" s="989"/>
      <c r="PXP1054" s="989"/>
      <c r="PXQ1054" s="989"/>
      <c r="PXR1054" s="989"/>
      <c r="PXS1054" s="989"/>
      <c r="PXT1054" s="989"/>
      <c r="PXU1054" s="989"/>
      <c r="PXV1054" s="989"/>
      <c r="PXW1054" s="989"/>
      <c r="PXX1054" s="989"/>
      <c r="PXY1054" s="989"/>
      <c r="PXZ1054" s="989"/>
      <c r="PYA1054" s="989"/>
      <c r="PYB1054" s="989"/>
      <c r="PYC1054" s="989"/>
      <c r="PYD1054" s="989"/>
      <c r="PYE1054" s="989"/>
      <c r="PYF1054" s="989"/>
      <c r="PYG1054" s="989"/>
      <c r="PYH1054" s="989"/>
      <c r="PYI1054" s="989"/>
      <c r="PYJ1054" s="989"/>
      <c r="PYK1054" s="989"/>
      <c r="PYL1054" s="989"/>
      <c r="PYM1054" s="989"/>
      <c r="PYN1054" s="989"/>
      <c r="PYO1054" s="989"/>
      <c r="PYP1054" s="989"/>
      <c r="PYQ1054" s="989"/>
      <c r="PYR1054" s="989"/>
      <c r="PYS1054" s="989"/>
      <c r="PYT1054" s="989"/>
      <c r="PYU1054" s="989"/>
      <c r="PYV1054" s="989"/>
      <c r="PYW1054" s="989"/>
      <c r="PYX1054" s="989"/>
      <c r="PYY1054" s="989"/>
      <c r="PYZ1054" s="989"/>
      <c r="PZA1054" s="989"/>
      <c r="PZB1054" s="989"/>
      <c r="PZC1054" s="989"/>
      <c r="PZD1054" s="989"/>
      <c r="PZE1054" s="989"/>
      <c r="PZF1054" s="989"/>
      <c r="PZG1054" s="989"/>
      <c r="PZH1054" s="989"/>
      <c r="PZI1054" s="989"/>
      <c r="PZJ1054" s="989"/>
      <c r="PZK1054" s="989"/>
      <c r="PZL1054" s="989"/>
      <c r="PZM1054" s="989"/>
      <c r="PZN1054" s="989"/>
      <c r="PZO1054" s="989"/>
      <c r="PZP1054" s="989"/>
      <c r="PZQ1054" s="989"/>
      <c r="PZR1054" s="989"/>
      <c r="PZS1054" s="989"/>
      <c r="PZT1054" s="989"/>
      <c r="PZU1054" s="989"/>
      <c r="PZV1054" s="989"/>
      <c r="PZW1054" s="989"/>
      <c r="PZX1054" s="989"/>
      <c r="PZY1054" s="989"/>
      <c r="PZZ1054" s="989"/>
      <c r="QAA1054" s="989"/>
      <c r="QAB1054" s="989"/>
      <c r="QAC1054" s="989"/>
      <c r="QAD1054" s="989"/>
      <c r="QAE1054" s="989"/>
      <c r="QAF1054" s="989"/>
      <c r="QAG1054" s="989"/>
      <c r="QAH1054" s="989"/>
      <c r="QAI1054" s="989"/>
      <c r="QAJ1054" s="989"/>
      <c r="QAK1054" s="989"/>
      <c r="QAL1054" s="989"/>
      <c r="QAM1054" s="989"/>
      <c r="QAN1054" s="989"/>
      <c r="QAO1054" s="989"/>
      <c r="QAP1054" s="989"/>
      <c r="QAQ1054" s="989"/>
      <c r="QAR1054" s="989"/>
      <c r="QAS1054" s="989"/>
      <c r="QAT1054" s="989"/>
      <c r="QAU1054" s="989"/>
      <c r="QAV1054" s="989"/>
      <c r="QAW1054" s="989"/>
      <c r="QAX1054" s="989"/>
      <c r="QAY1054" s="989"/>
      <c r="QAZ1054" s="989"/>
      <c r="QBA1054" s="989"/>
      <c r="QBB1054" s="989"/>
      <c r="QBC1054" s="989"/>
      <c r="QBD1054" s="989"/>
      <c r="QBE1054" s="989"/>
      <c r="QBF1054" s="989"/>
      <c r="QBG1054" s="989"/>
      <c r="QBH1054" s="989"/>
      <c r="QBI1054" s="989"/>
      <c r="QBJ1054" s="989"/>
      <c r="QBK1054" s="989"/>
      <c r="QBL1054" s="989"/>
      <c r="QBM1054" s="989"/>
      <c r="QBN1054" s="989"/>
      <c r="QBO1054" s="989"/>
      <c r="QBP1054" s="989"/>
      <c r="QBQ1054" s="989"/>
      <c r="QBR1054" s="989"/>
      <c r="QBS1054" s="989"/>
      <c r="QBT1054" s="989"/>
      <c r="QBU1054" s="989"/>
      <c r="QBV1054" s="989"/>
      <c r="QBW1054" s="989"/>
      <c r="QBX1054" s="989"/>
      <c r="QBY1054" s="989"/>
      <c r="QBZ1054" s="989"/>
      <c r="QCA1054" s="989"/>
      <c r="QCB1054" s="989"/>
      <c r="QCC1054" s="989"/>
      <c r="QCD1054" s="989"/>
      <c r="QCE1054" s="989"/>
      <c r="QCF1054" s="989"/>
      <c r="QCG1054" s="989"/>
      <c r="QCH1054" s="989"/>
      <c r="QCI1054" s="989"/>
      <c r="QCJ1054" s="989"/>
      <c r="QCK1054" s="989"/>
      <c r="QCL1054" s="989"/>
      <c r="QCM1054" s="989"/>
      <c r="QCN1054" s="989"/>
      <c r="QCO1054" s="989"/>
      <c r="QCP1054" s="989"/>
      <c r="QCQ1054" s="989"/>
      <c r="QCR1054" s="989"/>
      <c r="QCS1054" s="989"/>
      <c r="QCT1054" s="989"/>
      <c r="QCU1054" s="989"/>
      <c r="QCV1054" s="989"/>
      <c r="QCW1054" s="989"/>
      <c r="QCX1054" s="989"/>
      <c r="QCY1054" s="989"/>
      <c r="QCZ1054" s="989"/>
      <c r="QDA1054" s="989"/>
      <c r="QDB1054" s="989"/>
      <c r="QDC1054" s="989"/>
      <c r="QDD1054" s="989"/>
      <c r="QDE1054" s="989"/>
      <c r="QDF1054" s="989"/>
      <c r="QDG1054" s="989"/>
      <c r="QDH1054" s="989"/>
      <c r="QDI1054" s="989"/>
      <c r="QDJ1054" s="989"/>
      <c r="QDK1054" s="989"/>
      <c r="QDL1054" s="989"/>
      <c r="QDM1054" s="989"/>
      <c r="QDN1054" s="989"/>
      <c r="QDO1054" s="989"/>
      <c r="QDP1054" s="989"/>
      <c r="QDQ1054" s="989"/>
      <c r="QDR1054" s="989"/>
      <c r="QDS1054" s="989"/>
      <c r="QDT1054" s="989"/>
      <c r="QDU1054" s="989"/>
      <c r="QDV1054" s="989"/>
      <c r="QDW1054" s="989"/>
      <c r="QDX1054" s="989"/>
      <c r="QDY1054" s="989"/>
      <c r="QDZ1054" s="989"/>
      <c r="QEA1054" s="989"/>
      <c r="QEB1054" s="989"/>
      <c r="QEC1054" s="989"/>
      <c r="QED1054" s="989"/>
      <c r="QEE1054" s="989"/>
      <c r="QEF1054" s="989"/>
      <c r="QEG1054" s="989"/>
      <c r="QEH1054" s="989"/>
      <c r="QEI1054" s="989"/>
      <c r="QEJ1054" s="989"/>
      <c r="QEK1054" s="989"/>
      <c r="QEL1054" s="989"/>
      <c r="QEM1054" s="989"/>
      <c r="QEN1054" s="989"/>
      <c r="QEO1054" s="989"/>
      <c r="QEP1054" s="989"/>
      <c r="QEQ1054" s="989"/>
      <c r="QER1054" s="989"/>
      <c r="QES1054" s="989"/>
      <c r="QET1054" s="989"/>
      <c r="QEU1054" s="989"/>
      <c r="QEV1054" s="989"/>
      <c r="QEW1054" s="989"/>
      <c r="QEX1054" s="989"/>
      <c r="QEY1054" s="989"/>
      <c r="QEZ1054" s="989"/>
      <c r="QFA1054" s="989"/>
      <c r="QFB1054" s="989"/>
      <c r="QFC1054" s="989"/>
      <c r="QFD1054" s="989"/>
      <c r="QFE1054" s="989"/>
      <c r="QFF1054" s="989"/>
      <c r="QFG1054" s="989"/>
      <c r="QFH1054" s="989"/>
      <c r="QFI1054" s="989"/>
      <c r="QFJ1054" s="989"/>
      <c r="QFK1054" s="989"/>
      <c r="QFL1054" s="989"/>
      <c r="QFM1054" s="989"/>
      <c r="QFN1054" s="989"/>
      <c r="QFO1054" s="989"/>
      <c r="QFP1054" s="989"/>
      <c r="QFQ1054" s="989"/>
      <c r="QFR1054" s="989"/>
      <c r="QFS1054" s="989"/>
      <c r="QFT1054" s="989"/>
      <c r="QFU1054" s="989"/>
      <c r="QFV1054" s="989"/>
      <c r="QFW1054" s="989"/>
      <c r="QFX1054" s="989"/>
      <c r="QFY1054" s="989"/>
      <c r="QFZ1054" s="989"/>
      <c r="QGA1054" s="989"/>
      <c r="QGB1054" s="989"/>
      <c r="QGC1054" s="989"/>
      <c r="QGD1054" s="989"/>
      <c r="QGE1054" s="989"/>
      <c r="QGF1054" s="989"/>
      <c r="QGG1054" s="989"/>
      <c r="QGH1054" s="989"/>
      <c r="QGI1054" s="989"/>
      <c r="QGJ1054" s="989"/>
      <c r="QGK1054" s="989"/>
      <c r="QGL1054" s="989"/>
      <c r="QGM1054" s="989"/>
      <c r="QGN1054" s="989"/>
      <c r="QGO1054" s="989"/>
      <c r="QGP1054" s="989"/>
      <c r="QGQ1054" s="989"/>
      <c r="QGR1054" s="989"/>
      <c r="QGS1054" s="989"/>
      <c r="QGT1054" s="989"/>
      <c r="QGU1054" s="989"/>
      <c r="QGV1054" s="989"/>
      <c r="QGW1054" s="989"/>
      <c r="QGX1054" s="989"/>
      <c r="QGY1054" s="989"/>
      <c r="QGZ1054" s="989"/>
      <c r="QHA1054" s="989"/>
      <c r="QHB1054" s="989"/>
      <c r="QHC1054" s="989"/>
      <c r="QHD1054" s="989"/>
      <c r="QHE1054" s="989"/>
      <c r="QHF1054" s="989"/>
      <c r="QHG1054" s="989"/>
      <c r="QHH1054" s="989"/>
      <c r="QHI1054" s="989"/>
      <c r="QHJ1054" s="989"/>
      <c r="QHK1054" s="989"/>
      <c r="QHL1054" s="989"/>
      <c r="QHM1054" s="989"/>
      <c r="QHN1054" s="989"/>
      <c r="QHO1054" s="989"/>
      <c r="QHP1054" s="989"/>
      <c r="QHQ1054" s="989"/>
      <c r="QHR1054" s="989"/>
      <c r="QHS1054" s="989"/>
      <c r="QHT1054" s="989"/>
      <c r="QHU1054" s="989"/>
      <c r="QHV1054" s="989"/>
      <c r="QHW1054" s="989"/>
      <c r="QHX1054" s="989"/>
      <c r="QHY1054" s="989"/>
      <c r="QHZ1054" s="989"/>
      <c r="QIA1054" s="989"/>
      <c r="QIB1054" s="989"/>
      <c r="QIC1054" s="989"/>
      <c r="QID1054" s="989"/>
      <c r="QIE1054" s="989"/>
      <c r="QIF1054" s="989"/>
      <c r="QIG1054" s="989"/>
      <c r="QIH1054" s="989"/>
      <c r="QII1054" s="989"/>
      <c r="QIJ1054" s="989"/>
      <c r="QIK1054" s="989"/>
      <c r="QIL1054" s="989"/>
      <c r="QIM1054" s="989"/>
      <c r="QIN1054" s="989"/>
      <c r="QIO1054" s="989"/>
      <c r="QIP1054" s="989"/>
      <c r="QIQ1054" s="989"/>
      <c r="QIR1054" s="989"/>
      <c r="QIS1054" s="989"/>
      <c r="QIT1054" s="989"/>
      <c r="QIU1054" s="989"/>
      <c r="QIV1054" s="989"/>
      <c r="QIW1054" s="989"/>
      <c r="QIX1054" s="989"/>
      <c r="QIY1054" s="989"/>
      <c r="QIZ1054" s="989"/>
      <c r="QJA1054" s="989"/>
      <c r="QJB1054" s="989"/>
      <c r="QJC1054" s="989"/>
      <c r="QJD1054" s="989"/>
      <c r="QJE1054" s="989"/>
      <c r="QJF1054" s="989"/>
      <c r="QJG1054" s="989"/>
      <c r="QJH1054" s="989"/>
      <c r="QJI1054" s="989"/>
      <c r="QJJ1054" s="989"/>
      <c r="QJK1054" s="989"/>
      <c r="QJL1054" s="989"/>
      <c r="QJM1054" s="989"/>
      <c r="QJN1054" s="989"/>
      <c r="QJO1054" s="989"/>
      <c r="QJP1054" s="989"/>
      <c r="QJQ1054" s="989"/>
      <c r="QJR1054" s="989"/>
      <c r="QJS1054" s="989"/>
      <c r="QJT1054" s="989"/>
      <c r="QJU1054" s="989"/>
      <c r="QJV1054" s="989"/>
      <c r="QJW1054" s="989"/>
      <c r="QJX1054" s="989"/>
      <c r="QJY1054" s="989"/>
      <c r="QJZ1054" s="989"/>
      <c r="QKA1054" s="989"/>
      <c r="QKB1054" s="989"/>
      <c r="QKC1054" s="989"/>
      <c r="QKD1054" s="989"/>
      <c r="QKE1054" s="989"/>
      <c r="QKF1054" s="989"/>
      <c r="QKG1054" s="989"/>
      <c r="QKH1054" s="989"/>
      <c r="QKI1054" s="989"/>
      <c r="QKJ1054" s="989"/>
      <c r="QKK1054" s="989"/>
      <c r="QKL1054" s="989"/>
      <c r="QKM1054" s="989"/>
      <c r="QKN1054" s="989"/>
      <c r="QKO1054" s="989"/>
      <c r="QKP1054" s="989"/>
      <c r="QKQ1054" s="989"/>
      <c r="QKR1054" s="989"/>
      <c r="QKS1054" s="989"/>
      <c r="QKT1054" s="989"/>
      <c r="QKU1054" s="989"/>
      <c r="QKV1054" s="989"/>
      <c r="QKW1054" s="989"/>
      <c r="QKX1054" s="989"/>
      <c r="QKY1054" s="989"/>
      <c r="QKZ1054" s="989"/>
      <c r="QLA1054" s="989"/>
      <c r="QLB1054" s="989"/>
      <c r="QLC1054" s="989"/>
      <c r="QLD1054" s="989"/>
      <c r="QLE1054" s="989"/>
      <c r="QLF1054" s="989"/>
      <c r="QLG1054" s="989"/>
      <c r="QLH1054" s="989"/>
      <c r="QLI1054" s="989"/>
      <c r="QLJ1054" s="989"/>
      <c r="QLK1054" s="989"/>
      <c r="QLL1054" s="989"/>
      <c r="QLM1054" s="989"/>
      <c r="QLN1054" s="989"/>
      <c r="QLO1054" s="989"/>
      <c r="QLP1054" s="989"/>
      <c r="QLQ1054" s="989"/>
      <c r="QLR1054" s="989"/>
      <c r="QLS1054" s="989"/>
      <c r="QLT1054" s="989"/>
      <c r="QLU1054" s="989"/>
      <c r="QLV1054" s="989"/>
      <c r="QLW1054" s="989"/>
      <c r="QLX1054" s="989"/>
      <c r="QLY1054" s="989"/>
      <c r="QLZ1054" s="989"/>
      <c r="QMA1054" s="989"/>
      <c r="QMB1054" s="989"/>
      <c r="QMC1054" s="989"/>
      <c r="QMD1054" s="989"/>
      <c r="QME1054" s="989"/>
      <c r="QMF1054" s="989"/>
      <c r="QMG1054" s="989"/>
      <c r="QMH1054" s="989"/>
      <c r="QMI1054" s="989"/>
      <c r="QMJ1054" s="989"/>
      <c r="QMK1054" s="989"/>
      <c r="QML1054" s="989"/>
      <c r="QMM1054" s="989"/>
      <c r="QMN1054" s="989"/>
      <c r="QMO1054" s="989"/>
      <c r="QMP1054" s="989"/>
      <c r="QMQ1054" s="989"/>
      <c r="QMR1054" s="989"/>
      <c r="QMS1054" s="989"/>
      <c r="QMT1054" s="989"/>
      <c r="QMU1054" s="989"/>
      <c r="QMV1054" s="989"/>
      <c r="QMW1054" s="989"/>
      <c r="QMX1054" s="989"/>
      <c r="QMY1054" s="989"/>
      <c r="QMZ1054" s="989"/>
      <c r="QNA1054" s="989"/>
      <c r="QNB1054" s="989"/>
      <c r="QNC1054" s="989"/>
      <c r="QND1054" s="989"/>
      <c r="QNE1054" s="989"/>
      <c r="QNF1054" s="989"/>
      <c r="QNG1054" s="989"/>
      <c r="QNH1054" s="989"/>
      <c r="QNI1054" s="989"/>
      <c r="QNJ1054" s="989"/>
      <c r="QNK1054" s="989"/>
      <c r="QNL1054" s="989"/>
      <c r="QNM1054" s="989"/>
      <c r="QNN1054" s="989"/>
      <c r="QNO1054" s="989"/>
      <c r="QNP1054" s="989"/>
      <c r="QNQ1054" s="989"/>
      <c r="QNR1054" s="989"/>
      <c r="QNS1054" s="989"/>
      <c r="QNT1054" s="989"/>
      <c r="QNU1054" s="989"/>
      <c r="QNV1054" s="989"/>
      <c r="QNW1054" s="989"/>
      <c r="QNX1054" s="989"/>
      <c r="QNY1054" s="989"/>
      <c r="QNZ1054" s="989"/>
      <c r="QOA1054" s="989"/>
      <c r="QOB1054" s="989"/>
      <c r="QOC1054" s="989"/>
      <c r="QOD1054" s="989"/>
      <c r="QOE1054" s="989"/>
      <c r="QOF1054" s="989"/>
      <c r="QOG1054" s="989"/>
      <c r="QOH1054" s="989"/>
      <c r="QOI1054" s="989"/>
      <c r="QOJ1054" s="989"/>
      <c r="QOK1054" s="989"/>
      <c r="QOL1054" s="989"/>
      <c r="QOM1054" s="989"/>
      <c r="QON1054" s="989"/>
      <c r="QOO1054" s="989"/>
      <c r="QOP1054" s="989"/>
      <c r="QOQ1054" s="989"/>
      <c r="QOR1054" s="989"/>
      <c r="QOS1054" s="989"/>
      <c r="QOT1054" s="989"/>
      <c r="QOU1054" s="989"/>
      <c r="QOV1054" s="989"/>
      <c r="QOW1054" s="989"/>
      <c r="QOX1054" s="989"/>
      <c r="QOY1054" s="989"/>
      <c r="QOZ1054" s="989"/>
      <c r="QPA1054" s="989"/>
      <c r="QPB1054" s="989"/>
      <c r="QPC1054" s="989"/>
      <c r="QPD1054" s="989"/>
      <c r="QPE1054" s="989"/>
      <c r="QPF1054" s="989"/>
      <c r="QPG1054" s="989"/>
      <c r="QPH1054" s="989"/>
      <c r="QPI1054" s="989"/>
      <c r="QPJ1054" s="989"/>
      <c r="QPK1054" s="989"/>
      <c r="QPL1054" s="989"/>
      <c r="QPM1054" s="989"/>
      <c r="QPN1054" s="989"/>
      <c r="QPO1054" s="989"/>
      <c r="QPP1054" s="989"/>
      <c r="QPQ1054" s="989"/>
      <c r="QPR1054" s="989"/>
      <c r="QPS1054" s="989"/>
      <c r="QPT1054" s="989"/>
      <c r="QPU1054" s="989"/>
      <c r="QPV1054" s="989"/>
      <c r="QPW1054" s="989"/>
      <c r="QPX1054" s="989"/>
      <c r="QPY1054" s="989"/>
      <c r="QPZ1054" s="989"/>
      <c r="QQA1054" s="989"/>
      <c r="QQB1054" s="989"/>
      <c r="QQC1054" s="989"/>
      <c r="QQD1054" s="989"/>
      <c r="QQE1054" s="989"/>
      <c r="QQF1054" s="989"/>
      <c r="QQG1054" s="989"/>
      <c r="QQH1054" s="989"/>
      <c r="QQI1054" s="989"/>
      <c r="QQJ1054" s="989"/>
      <c r="QQK1054" s="989"/>
      <c r="QQL1054" s="989"/>
      <c r="QQM1054" s="989"/>
      <c r="QQN1054" s="989"/>
      <c r="QQO1054" s="989"/>
      <c r="QQP1054" s="989"/>
      <c r="QQQ1054" s="989"/>
      <c r="QQR1054" s="989"/>
      <c r="QQS1054" s="989"/>
      <c r="QQT1054" s="989"/>
      <c r="QQU1054" s="989"/>
      <c r="QQV1054" s="989"/>
      <c r="QQW1054" s="989"/>
      <c r="QQX1054" s="989"/>
      <c r="QQY1054" s="989"/>
      <c r="QQZ1054" s="989"/>
      <c r="QRA1054" s="989"/>
      <c r="QRB1054" s="989"/>
      <c r="QRC1054" s="989"/>
      <c r="QRD1054" s="989"/>
      <c r="QRE1054" s="989"/>
      <c r="QRF1054" s="989"/>
      <c r="QRG1054" s="989"/>
      <c r="QRH1054" s="989"/>
      <c r="QRI1054" s="989"/>
      <c r="QRJ1054" s="989"/>
      <c r="QRK1054" s="989"/>
      <c r="QRL1054" s="989"/>
      <c r="QRM1054" s="989"/>
      <c r="QRN1054" s="989"/>
      <c r="QRO1054" s="989"/>
      <c r="QRP1054" s="989"/>
      <c r="QRQ1054" s="989"/>
      <c r="QRR1054" s="989"/>
      <c r="QRS1054" s="989"/>
      <c r="QRT1054" s="989"/>
      <c r="QRU1054" s="989"/>
      <c r="QRV1054" s="989"/>
      <c r="QRW1054" s="989"/>
      <c r="QRX1054" s="989"/>
      <c r="QRY1054" s="989"/>
      <c r="QRZ1054" s="989"/>
      <c r="QSA1054" s="989"/>
      <c r="QSB1054" s="989"/>
      <c r="QSC1054" s="989"/>
      <c r="QSD1054" s="989"/>
      <c r="QSE1054" s="989"/>
      <c r="QSF1054" s="989"/>
      <c r="QSG1054" s="989"/>
      <c r="QSH1054" s="989"/>
      <c r="QSI1054" s="989"/>
      <c r="QSJ1054" s="989"/>
      <c r="QSK1054" s="989"/>
      <c r="QSL1054" s="989"/>
      <c r="QSM1054" s="989"/>
      <c r="QSN1054" s="989"/>
      <c r="QSO1054" s="989"/>
      <c r="QSP1054" s="989"/>
      <c r="QSQ1054" s="989"/>
      <c r="QSR1054" s="989"/>
      <c r="QSS1054" s="989"/>
      <c r="QST1054" s="989"/>
      <c r="QSU1054" s="989"/>
      <c r="QSV1054" s="989"/>
      <c r="QSW1054" s="989"/>
      <c r="QSX1054" s="989"/>
      <c r="QSY1054" s="989"/>
      <c r="QSZ1054" s="989"/>
      <c r="QTA1054" s="989"/>
      <c r="QTB1054" s="989"/>
      <c r="QTC1054" s="989"/>
      <c r="QTD1054" s="989"/>
      <c r="QTE1054" s="989"/>
      <c r="QTF1054" s="989"/>
      <c r="QTG1054" s="989"/>
      <c r="QTH1054" s="989"/>
      <c r="QTI1054" s="989"/>
      <c r="QTJ1054" s="989"/>
      <c r="QTK1054" s="989"/>
      <c r="QTL1054" s="989"/>
      <c r="QTM1054" s="989"/>
      <c r="QTN1054" s="989"/>
      <c r="QTO1054" s="989"/>
      <c r="QTP1054" s="989"/>
      <c r="QTQ1054" s="989"/>
      <c r="QTR1054" s="989"/>
      <c r="QTS1054" s="989"/>
      <c r="QTT1054" s="989"/>
      <c r="QTU1054" s="989"/>
      <c r="QTV1054" s="989"/>
      <c r="QTW1054" s="989"/>
      <c r="QTX1054" s="989"/>
      <c r="QTY1054" s="989"/>
      <c r="QTZ1054" s="989"/>
      <c r="QUA1054" s="989"/>
      <c r="QUB1054" s="989"/>
      <c r="QUC1054" s="989"/>
      <c r="QUD1054" s="989"/>
      <c r="QUE1054" s="989"/>
      <c r="QUF1054" s="989"/>
      <c r="QUG1054" s="989"/>
      <c r="QUH1054" s="989"/>
      <c r="QUI1054" s="989"/>
      <c r="QUJ1054" s="989"/>
      <c r="QUK1054" s="989"/>
      <c r="QUL1054" s="989"/>
      <c r="QUM1054" s="989"/>
      <c r="QUN1054" s="989"/>
      <c r="QUO1054" s="989"/>
      <c r="QUP1054" s="989"/>
      <c r="QUQ1054" s="989"/>
      <c r="QUR1054" s="989"/>
      <c r="QUS1054" s="989"/>
      <c r="QUT1054" s="989"/>
      <c r="QUU1054" s="989"/>
      <c r="QUV1054" s="989"/>
      <c r="QUW1054" s="989"/>
      <c r="QUX1054" s="989"/>
      <c r="QUY1054" s="989"/>
      <c r="QUZ1054" s="989"/>
      <c r="QVA1054" s="989"/>
      <c r="QVB1054" s="989"/>
      <c r="QVC1054" s="989"/>
      <c r="QVD1054" s="989"/>
      <c r="QVE1054" s="989"/>
      <c r="QVF1054" s="989"/>
      <c r="QVG1054" s="989"/>
      <c r="QVH1054" s="989"/>
      <c r="QVI1054" s="989"/>
      <c r="QVJ1054" s="989"/>
      <c r="QVK1054" s="989"/>
      <c r="QVL1054" s="989"/>
      <c r="QVM1054" s="989"/>
      <c r="QVN1054" s="989"/>
      <c r="QVO1054" s="989"/>
      <c r="QVP1054" s="989"/>
      <c r="QVQ1054" s="989"/>
      <c r="QVR1054" s="989"/>
      <c r="QVS1054" s="989"/>
      <c r="QVT1054" s="989"/>
      <c r="QVU1054" s="989"/>
      <c r="QVV1054" s="989"/>
      <c r="QVW1054" s="989"/>
      <c r="QVX1054" s="989"/>
      <c r="QVY1054" s="989"/>
      <c r="QVZ1054" s="989"/>
      <c r="QWA1054" s="989"/>
      <c r="QWB1054" s="989"/>
      <c r="QWC1054" s="989"/>
      <c r="QWD1054" s="989"/>
      <c r="QWE1054" s="989"/>
      <c r="QWF1054" s="989"/>
      <c r="QWG1054" s="989"/>
      <c r="QWH1054" s="989"/>
      <c r="QWI1054" s="989"/>
      <c r="QWJ1054" s="989"/>
      <c r="QWK1054" s="989"/>
      <c r="QWL1054" s="989"/>
      <c r="QWM1054" s="989"/>
      <c r="QWN1054" s="989"/>
      <c r="QWO1054" s="989"/>
      <c r="QWP1054" s="989"/>
      <c r="QWQ1054" s="989"/>
      <c r="QWR1054" s="989"/>
      <c r="QWS1054" s="989"/>
      <c r="QWT1054" s="989"/>
      <c r="QWU1054" s="989"/>
      <c r="QWV1054" s="989"/>
      <c r="QWW1054" s="989"/>
      <c r="QWX1054" s="989"/>
      <c r="QWY1054" s="989"/>
      <c r="QWZ1054" s="989"/>
      <c r="QXA1054" s="989"/>
      <c r="QXB1054" s="989"/>
      <c r="QXC1054" s="989"/>
      <c r="QXD1054" s="989"/>
      <c r="QXE1054" s="989"/>
      <c r="QXF1054" s="989"/>
      <c r="QXG1054" s="989"/>
      <c r="QXH1054" s="989"/>
      <c r="QXI1054" s="989"/>
      <c r="QXJ1054" s="989"/>
      <c r="QXK1054" s="989"/>
      <c r="QXL1054" s="989"/>
      <c r="QXM1054" s="989"/>
      <c r="QXN1054" s="989"/>
      <c r="QXO1054" s="989"/>
      <c r="QXP1054" s="989"/>
      <c r="QXQ1054" s="989"/>
      <c r="QXR1054" s="989"/>
      <c r="QXS1054" s="989"/>
      <c r="QXT1054" s="989"/>
      <c r="QXU1054" s="989"/>
      <c r="QXV1054" s="989"/>
      <c r="QXW1054" s="989"/>
      <c r="QXX1054" s="989"/>
      <c r="QXY1054" s="989"/>
      <c r="QXZ1054" s="989"/>
      <c r="QYA1054" s="989"/>
      <c r="QYB1054" s="989"/>
      <c r="QYC1054" s="989"/>
      <c r="QYD1054" s="989"/>
      <c r="QYE1054" s="989"/>
      <c r="QYF1054" s="989"/>
      <c r="QYG1054" s="989"/>
      <c r="QYH1054" s="989"/>
      <c r="QYI1054" s="989"/>
      <c r="QYJ1054" s="989"/>
      <c r="QYK1054" s="989"/>
      <c r="QYL1054" s="989"/>
      <c r="QYM1054" s="989"/>
      <c r="QYN1054" s="989"/>
      <c r="QYO1054" s="989"/>
      <c r="QYP1054" s="989"/>
      <c r="QYQ1054" s="989"/>
      <c r="QYR1054" s="989"/>
      <c r="QYS1054" s="989"/>
      <c r="QYT1054" s="989"/>
      <c r="QYU1054" s="989"/>
      <c r="QYV1054" s="989"/>
      <c r="QYW1054" s="989"/>
      <c r="QYX1054" s="989"/>
      <c r="QYY1054" s="989"/>
      <c r="QYZ1054" s="989"/>
      <c r="QZA1054" s="989"/>
      <c r="QZB1054" s="989"/>
      <c r="QZC1054" s="989"/>
      <c r="QZD1054" s="989"/>
      <c r="QZE1054" s="989"/>
      <c r="QZF1054" s="989"/>
      <c r="QZG1054" s="989"/>
      <c r="QZH1054" s="989"/>
      <c r="QZI1054" s="989"/>
      <c r="QZJ1054" s="989"/>
      <c r="QZK1054" s="989"/>
      <c r="QZL1054" s="989"/>
      <c r="QZM1054" s="989"/>
      <c r="QZN1054" s="989"/>
      <c r="QZO1054" s="989"/>
      <c r="QZP1054" s="989"/>
      <c r="QZQ1054" s="989"/>
      <c r="QZR1054" s="989"/>
      <c r="QZS1054" s="989"/>
      <c r="QZT1054" s="989"/>
      <c r="QZU1054" s="989"/>
      <c r="QZV1054" s="989"/>
      <c r="QZW1054" s="989"/>
      <c r="QZX1054" s="989"/>
      <c r="QZY1054" s="989"/>
      <c r="QZZ1054" s="989"/>
      <c r="RAA1054" s="989"/>
      <c r="RAB1054" s="989"/>
      <c r="RAC1054" s="989"/>
      <c r="RAD1054" s="989"/>
      <c r="RAE1054" s="989"/>
      <c r="RAF1054" s="989"/>
      <c r="RAG1054" s="989"/>
      <c r="RAH1054" s="989"/>
      <c r="RAI1054" s="989"/>
      <c r="RAJ1054" s="989"/>
      <c r="RAK1054" s="989"/>
      <c r="RAL1054" s="989"/>
      <c r="RAM1054" s="989"/>
      <c r="RAN1054" s="989"/>
      <c r="RAO1054" s="989"/>
      <c r="RAP1054" s="989"/>
      <c r="RAQ1054" s="989"/>
      <c r="RAR1054" s="989"/>
      <c r="RAS1054" s="989"/>
      <c r="RAT1054" s="989"/>
      <c r="RAU1054" s="989"/>
      <c r="RAV1054" s="989"/>
      <c r="RAW1054" s="989"/>
      <c r="RAX1054" s="989"/>
      <c r="RAY1054" s="989"/>
      <c r="RAZ1054" s="989"/>
      <c r="RBA1054" s="989"/>
      <c r="RBB1054" s="989"/>
      <c r="RBC1054" s="989"/>
      <c r="RBD1054" s="989"/>
      <c r="RBE1054" s="989"/>
      <c r="RBF1054" s="989"/>
      <c r="RBG1054" s="989"/>
      <c r="RBH1054" s="989"/>
      <c r="RBI1054" s="989"/>
      <c r="RBJ1054" s="989"/>
      <c r="RBK1054" s="989"/>
      <c r="RBL1054" s="989"/>
      <c r="RBM1054" s="989"/>
      <c r="RBN1054" s="989"/>
      <c r="RBO1054" s="989"/>
      <c r="RBP1054" s="989"/>
      <c r="RBQ1054" s="989"/>
      <c r="RBR1054" s="989"/>
      <c r="RBS1054" s="989"/>
      <c r="RBT1054" s="989"/>
      <c r="RBU1054" s="989"/>
      <c r="RBV1054" s="989"/>
      <c r="RBW1054" s="989"/>
      <c r="RBX1054" s="989"/>
      <c r="RBY1054" s="989"/>
      <c r="RBZ1054" s="989"/>
      <c r="RCA1054" s="989"/>
      <c r="RCB1054" s="989"/>
      <c r="RCC1054" s="989"/>
      <c r="RCD1054" s="989"/>
      <c r="RCE1054" s="989"/>
      <c r="RCF1054" s="989"/>
      <c r="RCG1054" s="989"/>
      <c r="RCH1054" s="989"/>
      <c r="RCI1054" s="989"/>
      <c r="RCJ1054" s="989"/>
      <c r="RCK1054" s="989"/>
      <c r="RCL1054" s="989"/>
      <c r="RCM1054" s="989"/>
      <c r="RCN1054" s="989"/>
      <c r="RCO1054" s="989"/>
      <c r="RCP1054" s="989"/>
      <c r="RCQ1054" s="989"/>
      <c r="RCR1054" s="989"/>
      <c r="RCS1054" s="989"/>
      <c r="RCT1054" s="989"/>
      <c r="RCU1054" s="989"/>
      <c r="RCV1054" s="989"/>
      <c r="RCW1054" s="989"/>
      <c r="RCX1054" s="989"/>
      <c r="RCY1054" s="989"/>
      <c r="RCZ1054" s="989"/>
      <c r="RDA1054" s="989"/>
      <c r="RDB1054" s="989"/>
      <c r="RDC1054" s="989"/>
      <c r="RDD1054" s="989"/>
      <c r="RDE1054" s="989"/>
      <c r="RDF1054" s="989"/>
      <c r="RDG1054" s="989"/>
      <c r="RDH1054" s="989"/>
      <c r="RDI1054" s="989"/>
      <c r="RDJ1054" s="989"/>
      <c r="RDK1054" s="989"/>
      <c r="RDL1054" s="989"/>
      <c r="RDM1054" s="989"/>
      <c r="RDN1054" s="989"/>
      <c r="RDO1054" s="989"/>
      <c r="RDP1054" s="989"/>
      <c r="RDQ1054" s="989"/>
      <c r="RDR1054" s="989"/>
      <c r="RDS1054" s="989"/>
      <c r="RDT1054" s="989"/>
      <c r="RDU1054" s="989"/>
      <c r="RDV1054" s="989"/>
      <c r="RDW1054" s="989"/>
      <c r="RDX1054" s="989"/>
      <c r="RDY1054" s="989"/>
      <c r="RDZ1054" s="989"/>
      <c r="REA1054" s="989"/>
      <c r="REB1054" s="989"/>
      <c r="REC1054" s="989"/>
      <c r="RED1054" s="989"/>
      <c r="REE1054" s="989"/>
      <c r="REF1054" s="989"/>
      <c r="REG1054" s="989"/>
      <c r="REH1054" s="989"/>
      <c r="REI1054" s="989"/>
      <c r="REJ1054" s="989"/>
      <c r="REK1054" s="989"/>
      <c r="REL1054" s="989"/>
      <c r="REM1054" s="989"/>
      <c r="REN1054" s="989"/>
      <c r="REO1054" s="989"/>
      <c r="REP1054" s="989"/>
      <c r="REQ1054" s="989"/>
      <c r="RER1054" s="989"/>
      <c r="RES1054" s="989"/>
      <c r="RET1054" s="989"/>
      <c r="REU1054" s="989"/>
      <c r="REV1054" s="989"/>
      <c r="REW1054" s="989"/>
      <c r="REX1054" s="989"/>
      <c r="REY1054" s="989"/>
      <c r="REZ1054" s="989"/>
      <c r="RFA1054" s="989"/>
      <c r="RFB1054" s="989"/>
      <c r="RFC1054" s="989"/>
      <c r="RFD1054" s="989"/>
      <c r="RFE1054" s="989"/>
      <c r="RFF1054" s="989"/>
      <c r="RFG1054" s="989"/>
      <c r="RFH1054" s="989"/>
      <c r="RFI1054" s="989"/>
      <c r="RFJ1054" s="989"/>
      <c r="RFK1054" s="989"/>
      <c r="RFL1054" s="989"/>
      <c r="RFM1054" s="989"/>
      <c r="RFN1054" s="989"/>
      <c r="RFO1054" s="989"/>
      <c r="RFP1054" s="989"/>
      <c r="RFQ1054" s="989"/>
      <c r="RFR1054" s="989"/>
      <c r="RFS1054" s="989"/>
      <c r="RFT1054" s="989"/>
      <c r="RFU1054" s="989"/>
      <c r="RFV1054" s="989"/>
      <c r="RFW1054" s="989"/>
      <c r="RFX1054" s="989"/>
      <c r="RFY1054" s="989"/>
      <c r="RFZ1054" s="989"/>
      <c r="RGA1054" s="989"/>
      <c r="RGB1054" s="989"/>
      <c r="RGC1054" s="989"/>
      <c r="RGD1054" s="989"/>
      <c r="RGE1054" s="989"/>
      <c r="RGF1054" s="989"/>
      <c r="RGG1054" s="989"/>
      <c r="RGH1054" s="989"/>
      <c r="RGI1054" s="989"/>
      <c r="RGJ1054" s="989"/>
      <c r="RGK1054" s="989"/>
      <c r="RGL1054" s="989"/>
      <c r="RGM1054" s="989"/>
      <c r="RGN1054" s="989"/>
      <c r="RGO1054" s="989"/>
      <c r="RGP1054" s="989"/>
      <c r="RGQ1054" s="989"/>
      <c r="RGR1054" s="989"/>
      <c r="RGS1054" s="989"/>
      <c r="RGT1054" s="989"/>
      <c r="RGU1054" s="989"/>
      <c r="RGV1054" s="989"/>
      <c r="RGW1054" s="989"/>
      <c r="RGX1054" s="989"/>
      <c r="RGY1054" s="989"/>
      <c r="RGZ1054" s="989"/>
      <c r="RHA1054" s="989"/>
      <c r="RHB1054" s="989"/>
      <c r="RHC1054" s="989"/>
      <c r="RHD1054" s="989"/>
      <c r="RHE1054" s="989"/>
      <c r="RHF1054" s="989"/>
      <c r="RHG1054" s="989"/>
      <c r="RHH1054" s="989"/>
      <c r="RHI1054" s="989"/>
      <c r="RHJ1054" s="989"/>
      <c r="RHK1054" s="989"/>
      <c r="RHL1054" s="989"/>
      <c r="RHM1054" s="989"/>
      <c r="RHN1054" s="989"/>
      <c r="RHO1054" s="989"/>
      <c r="RHP1054" s="989"/>
      <c r="RHQ1054" s="989"/>
      <c r="RHR1054" s="989"/>
      <c r="RHS1054" s="989"/>
      <c r="RHT1054" s="989"/>
      <c r="RHU1054" s="989"/>
      <c r="RHV1054" s="989"/>
      <c r="RHW1054" s="989"/>
      <c r="RHX1054" s="989"/>
      <c r="RHY1054" s="989"/>
      <c r="RHZ1054" s="989"/>
      <c r="RIA1054" s="989"/>
      <c r="RIB1054" s="989"/>
      <c r="RIC1054" s="989"/>
      <c r="RID1054" s="989"/>
      <c r="RIE1054" s="989"/>
      <c r="RIF1054" s="989"/>
      <c r="RIG1054" s="989"/>
      <c r="RIH1054" s="989"/>
      <c r="RII1054" s="989"/>
      <c r="RIJ1054" s="989"/>
      <c r="RIK1054" s="989"/>
      <c r="RIL1054" s="989"/>
      <c r="RIM1054" s="989"/>
      <c r="RIN1054" s="989"/>
      <c r="RIO1054" s="989"/>
      <c r="RIP1054" s="989"/>
      <c r="RIQ1054" s="989"/>
      <c r="RIR1054" s="989"/>
      <c r="RIS1054" s="989"/>
      <c r="RIT1054" s="989"/>
      <c r="RIU1054" s="989"/>
      <c r="RIV1054" s="989"/>
      <c r="RIW1054" s="989"/>
      <c r="RIX1054" s="989"/>
      <c r="RIY1054" s="989"/>
      <c r="RIZ1054" s="989"/>
      <c r="RJA1054" s="989"/>
      <c r="RJB1054" s="989"/>
      <c r="RJC1054" s="989"/>
      <c r="RJD1054" s="989"/>
      <c r="RJE1054" s="989"/>
      <c r="RJF1054" s="989"/>
      <c r="RJG1054" s="989"/>
      <c r="RJH1054" s="989"/>
      <c r="RJI1054" s="989"/>
      <c r="RJJ1054" s="989"/>
      <c r="RJK1054" s="989"/>
      <c r="RJL1054" s="989"/>
      <c r="RJM1054" s="989"/>
      <c r="RJN1054" s="989"/>
      <c r="RJO1054" s="989"/>
      <c r="RJP1054" s="989"/>
      <c r="RJQ1054" s="989"/>
      <c r="RJR1054" s="989"/>
      <c r="RJS1054" s="989"/>
      <c r="RJT1054" s="989"/>
      <c r="RJU1054" s="989"/>
      <c r="RJV1054" s="989"/>
      <c r="RJW1054" s="989"/>
      <c r="RJX1054" s="989"/>
      <c r="RJY1054" s="989"/>
      <c r="RJZ1054" s="989"/>
      <c r="RKA1054" s="989"/>
      <c r="RKB1054" s="989"/>
      <c r="RKC1054" s="989"/>
      <c r="RKD1054" s="989"/>
      <c r="RKE1054" s="989"/>
      <c r="RKF1054" s="989"/>
      <c r="RKG1054" s="989"/>
      <c r="RKH1054" s="989"/>
      <c r="RKI1054" s="989"/>
      <c r="RKJ1054" s="989"/>
      <c r="RKK1054" s="989"/>
      <c r="RKL1054" s="989"/>
      <c r="RKM1054" s="989"/>
      <c r="RKN1054" s="989"/>
      <c r="RKO1054" s="989"/>
      <c r="RKP1054" s="989"/>
      <c r="RKQ1054" s="989"/>
      <c r="RKR1054" s="989"/>
      <c r="RKS1054" s="989"/>
      <c r="RKT1054" s="989"/>
      <c r="RKU1054" s="989"/>
      <c r="RKV1054" s="989"/>
      <c r="RKW1054" s="989"/>
      <c r="RKX1054" s="989"/>
      <c r="RKY1054" s="989"/>
      <c r="RKZ1054" s="989"/>
      <c r="RLA1054" s="989"/>
      <c r="RLB1054" s="989"/>
      <c r="RLC1054" s="989"/>
      <c r="RLD1054" s="989"/>
      <c r="RLE1054" s="989"/>
      <c r="RLF1054" s="989"/>
      <c r="RLG1054" s="989"/>
      <c r="RLH1054" s="989"/>
      <c r="RLI1054" s="989"/>
      <c r="RLJ1054" s="989"/>
      <c r="RLK1054" s="989"/>
      <c r="RLL1054" s="989"/>
      <c r="RLM1054" s="989"/>
      <c r="RLN1054" s="989"/>
      <c r="RLO1054" s="989"/>
      <c r="RLP1054" s="989"/>
      <c r="RLQ1054" s="989"/>
      <c r="RLR1054" s="989"/>
      <c r="RLS1054" s="989"/>
      <c r="RLT1054" s="989"/>
      <c r="RLU1054" s="989"/>
      <c r="RLV1054" s="989"/>
      <c r="RLW1054" s="989"/>
      <c r="RLX1054" s="989"/>
      <c r="RLY1054" s="989"/>
      <c r="RLZ1054" s="989"/>
      <c r="RMA1054" s="989"/>
      <c r="RMB1054" s="989"/>
      <c r="RMC1054" s="989"/>
      <c r="RMD1054" s="989"/>
      <c r="RME1054" s="989"/>
      <c r="RMF1054" s="989"/>
      <c r="RMG1054" s="989"/>
      <c r="RMH1054" s="989"/>
      <c r="RMI1054" s="989"/>
      <c r="RMJ1054" s="989"/>
      <c r="RMK1054" s="989"/>
      <c r="RML1054" s="989"/>
      <c r="RMM1054" s="989"/>
      <c r="RMN1054" s="989"/>
      <c r="RMO1054" s="989"/>
      <c r="RMP1054" s="989"/>
      <c r="RMQ1054" s="989"/>
      <c r="RMR1054" s="989"/>
      <c r="RMS1054" s="989"/>
      <c r="RMT1054" s="989"/>
      <c r="RMU1054" s="989"/>
      <c r="RMV1054" s="989"/>
      <c r="RMW1054" s="989"/>
      <c r="RMX1054" s="989"/>
      <c r="RMY1054" s="989"/>
      <c r="RMZ1054" s="989"/>
      <c r="RNA1054" s="989"/>
      <c r="RNB1054" s="989"/>
      <c r="RNC1054" s="989"/>
      <c r="RND1054" s="989"/>
      <c r="RNE1054" s="989"/>
      <c r="RNF1054" s="989"/>
      <c r="RNG1054" s="989"/>
      <c r="RNH1054" s="989"/>
      <c r="RNI1054" s="989"/>
      <c r="RNJ1054" s="989"/>
      <c r="RNK1054" s="989"/>
      <c r="RNL1054" s="989"/>
      <c r="RNM1054" s="989"/>
      <c r="RNN1054" s="989"/>
      <c r="RNO1054" s="989"/>
      <c r="RNP1054" s="989"/>
      <c r="RNQ1054" s="989"/>
      <c r="RNR1054" s="989"/>
      <c r="RNS1054" s="989"/>
      <c r="RNT1054" s="989"/>
      <c r="RNU1054" s="989"/>
      <c r="RNV1054" s="989"/>
      <c r="RNW1054" s="989"/>
      <c r="RNX1054" s="989"/>
      <c r="RNY1054" s="989"/>
      <c r="RNZ1054" s="989"/>
      <c r="ROA1054" s="989"/>
      <c r="ROB1054" s="989"/>
      <c r="ROC1054" s="989"/>
      <c r="ROD1054" s="989"/>
      <c r="ROE1054" s="989"/>
      <c r="ROF1054" s="989"/>
      <c r="ROG1054" s="989"/>
      <c r="ROH1054" s="989"/>
      <c r="ROI1054" s="989"/>
      <c r="ROJ1054" s="989"/>
      <c r="ROK1054" s="989"/>
      <c r="ROL1054" s="989"/>
      <c r="ROM1054" s="989"/>
      <c r="RON1054" s="989"/>
      <c r="ROO1054" s="989"/>
      <c r="ROP1054" s="989"/>
      <c r="ROQ1054" s="989"/>
      <c r="ROR1054" s="989"/>
      <c r="ROS1054" s="989"/>
      <c r="ROT1054" s="989"/>
      <c r="ROU1054" s="989"/>
      <c r="ROV1054" s="989"/>
      <c r="ROW1054" s="989"/>
      <c r="ROX1054" s="989"/>
      <c r="ROY1054" s="989"/>
      <c r="ROZ1054" s="989"/>
      <c r="RPA1054" s="989"/>
      <c r="RPB1054" s="989"/>
      <c r="RPC1054" s="989"/>
      <c r="RPD1054" s="989"/>
      <c r="RPE1054" s="989"/>
      <c r="RPF1054" s="989"/>
      <c r="RPG1054" s="989"/>
      <c r="RPH1054" s="989"/>
      <c r="RPI1054" s="989"/>
      <c r="RPJ1054" s="989"/>
      <c r="RPK1054" s="989"/>
      <c r="RPL1054" s="989"/>
      <c r="RPM1054" s="989"/>
      <c r="RPN1054" s="989"/>
      <c r="RPO1054" s="989"/>
      <c r="RPP1054" s="989"/>
      <c r="RPQ1054" s="989"/>
      <c r="RPR1054" s="989"/>
      <c r="RPS1054" s="989"/>
      <c r="RPT1054" s="989"/>
      <c r="RPU1054" s="989"/>
      <c r="RPV1054" s="989"/>
      <c r="RPW1054" s="989"/>
      <c r="RPX1054" s="989"/>
      <c r="RPY1054" s="989"/>
      <c r="RPZ1054" s="989"/>
      <c r="RQA1054" s="989"/>
      <c r="RQB1054" s="989"/>
      <c r="RQC1054" s="989"/>
      <c r="RQD1054" s="989"/>
      <c r="RQE1054" s="989"/>
      <c r="RQF1054" s="989"/>
      <c r="RQG1054" s="989"/>
      <c r="RQH1054" s="989"/>
      <c r="RQI1054" s="989"/>
      <c r="RQJ1054" s="989"/>
      <c r="RQK1054" s="989"/>
      <c r="RQL1054" s="989"/>
      <c r="RQM1054" s="989"/>
      <c r="RQN1054" s="989"/>
      <c r="RQO1054" s="989"/>
      <c r="RQP1054" s="989"/>
      <c r="RQQ1054" s="989"/>
      <c r="RQR1054" s="989"/>
      <c r="RQS1054" s="989"/>
      <c r="RQT1054" s="989"/>
      <c r="RQU1054" s="989"/>
      <c r="RQV1054" s="989"/>
      <c r="RQW1054" s="989"/>
      <c r="RQX1054" s="989"/>
      <c r="RQY1054" s="989"/>
      <c r="RQZ1054" s="989"/>
      <c r="RRA1054" s="989"/>
      <c r="RRB1054" s="989"/>
      <c r="RRC1054" s="989"/>
      <c r="RRD1054" s="989"/>
      <c r="RRE1054" s="989"/>
      <c r="RRF1054" s="989"/>
      <c r="RRG1054" s="989"/>
      <c r="RRH1054" s="989"/>
      <c r="RRI1054" s="989"/>
      <c r="RRJ1054" s="989"/>
      <c r="RRK1054" s="989"/>
      <c r="RRL1054" s="989"/>
      <c r="RRM1054" s="989"/>
      <c r="RRN1054" s="989"/>
      <c r="RRO1054" s="989"/>
      <c r="RRP1054" s="989"/>
      <c r="RRQ1054" s="989"/>
      <c r="RRR1054" s="989"/>
      <c r="RRS1054" s="989"/>
      <c r="RRT1054" s="989"/>
      <c r="RRU1054" s="989"/>
      <c r="RRV1054" s="989"/>
      <c r="RRW1054" s="989"/>
      <c r="RRX1054" s="989"/>
      <c r="RRY1054" s="989"/>
      <c r="RRZ1054" s="989"/>
      <c r="RSA1054" s="989"/>
      <c r="RSB1054" s="989"/>
      <c r="RSC1054" s="989"/>
      <c r="RSD1054" s="989"/>
      <c r="RSE1054" s="989"/>
      <c r="RSF1054" s="989"/>
      <c r="RSG1054" s="989"/>
      <c r="RSH1054" s="989"/>
      <c r="RSI1054" s="989"/>
      <c r="RSJ1054" s="989"/>
      <c r="RSK1054" s="989"/>
      <c r="RSL1054" s="989"/>
      <c r="RSM1054" s="989"/>
      <c r="RSN1054" s="989"/>
      <c r="RSO1054" s="989"/>
      <c r="RSP1054" s="989"/>
      <c r="RSQ1054" s="989"/>
      <c r="RSR1054" s="989"/>
      <c r="RSS1054" s="989"/>
      <c r="RST1054" s="989"/>
      <c r="RSU1054" s="989"/>
      <c r="RSV1054" s="989"/>
      <c r="RSW1054" s="989"/>
      <c r="RSX1054" s="989"/>
      <c r="RSY1054" s="989"/>
      <c r="RSZ1054" s="989"/>
      <c r="RTA1054" s="989"/>
      <c r="RTB1054" s="989"/>
      <c r="RTC1054" s="989"/>
      <c r="RTD1054" s="989"/>
      <c r="RTE1054" s="989"/>
      <c r="RTF1054" s="989"/>
      <c r="RTG1054" s="989"/>
      <c r="RTH1054" s="989"/>
      <c r="RTI1054" s="989"/>
      <c r="RTJ1054" s="989"/>
      <c r="RTK1054" s="989"/>
      <c r="RTL1054" s="989"/>
      <c r="RTM1054" s="989"/>
      <c r="RTN1054" s="989"/>
      <c r="RTO1054" s="989"/>
      <c r="RTP1054" s="989"/>
      <c r="RTQ1054" s="989"/>
      <c r="RTR1054" s="989"/>
      <c r="RTS1054" s="989"/>
      <c r="RTT1054" s="989"/>
      <c r="RTU1054" s="989"/>
      <c r="RTV1054" s="989"/>
      <c r="RTW1054" s="989"/>
      <c r="RTX1054" s="989"/>
      <c r="RTY1054" s="989"/>
      <c r="RTZ1054" s="989"/>
      <c r="RUA1054" s="989"/>
      <c r="RUB1054" s="989"/>
      <c r="RUC1054" s="989"/>
      <c r="RUD1054" s="989"/>
      <c r="RUE1054" s="989"/>
      <c r="RUF1054" s="989"/>
      <c r="RUG1054" s="989"/>
      <c r="RUH1054" s="989"/>
      <c r="RUI1054" s="989"/>
      <c r="RUJ1054" s="989"/>
      <c r="RUK1054" s="989"/>
      <c r="RUL1054" s="989"/>
      <c r="RUM1054" s="989"/>
      <c r="RUN1054" s="989"/>
      <c r="RUO1054" s="989"/>
      <c r="RUP1054" s="989"/>
      <c r="RUQ1054" s="989"/>
      <c r="RUR1054" s="989"/>
      <c r="RUS1054" s="989"/>
      <c r="RUT1054" s="989"/>
      <c r="RUU1054" s="989"/>
      <c r="RUV1054" s="989"/>
      <c r="RUW1054" s="989"/>
      <c r="RUX1054" s="989"/>
      <c r="RUY1054" s="989"/>
      <c r="RUZ1054" s="989"/>
      <c r="RVA1054" s="989"/>
      <c r="RVB1054" s="989"/>
      <c r="RVC1054" s="989"/>
      <c r="RVD1054" s="989"/>
      <c r="RVE1054" s="989"/>
      <c r="RVF1054" s="989"/>
      <c r="RVG1054" s="989"/>
      <c r="RVH1054" s="989"/>
      <c r="RVI1054" s="989"/>
      <c r="RVJ1054" s="989"/>
      <c r="RVK1054" s="989"/>
      <c r="RVL1054" s="989"/>
      <c r="RVM1054" s="989"/>
      <c r="RVN1054" s="989"/>
      <c r="RVO1054" s="989"/>
      <c r="RVP1054" s="989"/>
      <c r="RVQ1054" s="989"/>
      <c r="RVR1054" s="989"/>
      <c r="RVS1054" s="989"/>
      <c r="RVT1054" s="989"/>
      <c r="RVU1054" s="989"/>
      <c r="RVV1054" s="989"/>
      <c r="RVW1054" s="989"/>
      <c r="RVX1054" s="989"/>
      <c r="RVY1054" s="989"/>
      <c r="RVZ1054" s="989"/>
      <c r="RWA1054" s="989"/>
      <c r="RWB1054" s="989"/>
      <c r="RWC1054" s="989"/>
      <c r="RWD1054" s="989"/>
      <c r="RWE1054" s="989"/>
      <c r="RWF1054" s="989"/>
      <c r="RWG1054" s="989"/>
      <c r="RWH1054" s="989"/>
      <c r="RWI1054" s="989"/>
      <c r="RWJ1054" s="989"/>
      <c r="RWK1054" s="989"/>
      <c r="RWL1054" s="989"/>
      <c r="RWM1054" s="989"/>
      <c r="RWN1054" s="989"/>
      <c r="RWO1054" s="989"/>
      <c r="RWP1054" s="989"/>
      <c r="RWQ1054" s="989"/>
      <c r="RWR1054" s="989"/>
      <c r="RWS1054" s="989"/>
      <c r="RWT1054" s="989"/>
      <c r="RWU1054" s="989"/>
      <c r="RWV1054" s="989"/>
      <c r="RWW1054" s="989"/>
      <c r="RWX1054" s="989"/>
      <c r="RWY1054" s="989"/>
      <c r="RWZ1054" s="989"/>
      <c r="RXA1054" s="989"/>
      <c r="RXB1054" s="989"/>
      <c r="RXC1054" s="989"/>
      <c r="RXD1054" s="989"/>
      <c r="RXE1054" s="989"/>
      <c r="RXF1054" s="989"/>
      <c r="RXG1054" s="989"/>
      <c r="RXH1054" s="989"/>
      <c r="RXI1054" s="989"/>
      <c r="RXJ1054" s="989"/>
      <c r="RXK1054" s="989"/>
      <c r="RXL1054" s="989"/>
      <c r="RXM1054" s="989"/>
      <c r="RXN1054" s="989"/>
      <c r="RXO1054" s="989"/>
      <c r="RXP1054" s="989"/>
      <c r="RXQ1054" s="989"/>
      <c r="RXR1054" s="989"/>
      <c r="RXS1054" s="989"/>
      <c r="RXT1054" s="989"/>
      <c r="RXU1054" s="989"/>
      <c r="RXV1054" s="989"/>
      <c r="RXW1054" s="989"/>
      <c r="RXX1054" s="989"/>
      <c r="RXY1054" s="989"/>
      <c r="RXZ1054" s="989"/>
      <c r="RYA1054" s="989"/>
      <c r="RYB1054" s="989"/>
      <c r="RYC1054" s="989"/>
      <c r="RYD1054" s="989"/>
      <c r="RYE1054" s="989"/>
      <c r="RYF1054" s="989"/>
      <c r="RYG1054" s="989"/>
      <c r="RYH1054" s="989"/>
      <c r="RYI1054" s="989"/>
      <c r="RYJ1054" s="989"/>
      <c r="RYK1054" s="989"/>
      <c r="RYL1054" s="989"/>
      <c r="RYM1054" s="989"/>
      <c r="RYN1054" s="989"/>
      <c r="RYO1054" s="989"/>
      <c r="RYP1054" s="989"/>
      <c r="RYQ1054" s="989"/>
      <c r="RYR1054" s="989"/>
      <c r="RYS1054" s="989"/>
      <c r="RYT1054" s="989"/>
      <c r="RYU1054" s="989"/>
      <c r="RYV1054" s="989"/>
      <c r="RYW1054" s="989"/>
      <c r="RYX1054" s="989"/>
      <c r="RYY1054" s="989"/>
      <c r="RYZ1054" s="989"/>
      <c r="RZA1054" s="989"/>
      <c r="RZB1054" s="989"/>
      <c r="RZC1054" s="989"/>
      <c r="RZD1054" s="989"/>
      <c r="RZE1054" s="989"/>
      <c r="RZF1054" s="989"/>
      <c r="RZG1054" s="989"/>
      <c r="RZH1054" s="989"/>
      <c r="RZI1054" s="989"/>
      <c r="RZJ1054" s="989"/>
      <c r="RZK1054" s="989"/>
      <c r="RZL1054" s="989"/>
      <c r="RZM1054" s="989"/>
      <c r="RZN1054" s="989"/>
      <c r="RZO1054" s="989"/>
      <c r="RZP1054" s="989"/>
      <c r="RZQ1054" s="989"/>
      <c r="RZR1054" s="989"/>
      <c r="RZS1054" s="989"/>
      <c r="RZT1054" s="989"/>
      <c r="RZU1054" s="989"/>
      <c r="RZV1054" s="989"/>
      <c r="RZW1054" s="989"/>
      <c r="RZX1054" s="989"/>
      <c r="RZY1054" s="989"/>
      <c r="RZZ1054" s="989"/>
      <c r="SAA1054" s="989"/>
      <c r="SAB1054" s="989"/>
      <c r="SAC1054" s="989"/>
      <c r="SAD1054" s="989"/>
      <c r="SAE1054" s="989"/>
      <c r="SAF1054" s="989"/>
      <c r="SAG1054" s="989"/>
      <c r="SAH1054" s="989"/>
      <c r="SAI1054" s="989"/>
      <c r="SAJ1054" s="989"/>
      <c r="SAK1054" s="989"/>
      <c r="SAL1054" s="989"/>
      <c r="SAM1054" s="989"/>
      <c r="SAN1054" s="989"/>
      <c r="SAO1054" s="989"/>
      <c r="SAP1054" s="989"/>
      <c r="SAQ1054" s="989"/>
      <c r="SAR1054" s="989"/>
      <c r="SAS1054" s="989"/>
      <c r="SAT1054" s="989"/>
      <c r="SAU1054" s="989"/>
      <c r="SAV1054" s="989"/>
      <c r="SAW1054" s="989"/>
      <c r="SAX1054" s="989"/>
      <c r="SAY1054" s="989"/>
      <c r="SAZ1054" s="989"/>
      <c r="SBA1054" s="989"/>
      <c r="SBB1054" s="989"/>
      <c r="SBC1054" s="989"/>
      <c r="SBD1054" s="989"/>
      <c r="SBE1054" s="989"/>
      <c r="SBF1054" s="989"/>
      <c r="SBG1054" s="989"/>
      <c r="SBH1054" s="989"/>
      <c r="SBI1054" s="989"/>
      <c r="SBJ1054" s="989"/>
      <c r="SBK1054" s="989"/>
      <c r="SBL1054" s="989"/>
      <c r="SBM1054" s="989"/>
      <c r="SBN1054" s="989"/>
      <c r="SBO1054" s="989"/>
      <c r="SBP1054" s="989"/>
      <c r="SBQ1054" s="989"/>
      <c r="SBR1054" s="989"/>
      <c r="SBS1054" s="989"/>
      <c r="SBT1054" s="989"/>
      <c r="SBU1054" s="989"/>
      <c r="SBV1054" s="989"/>
      <c r="SBW1054" s="989"/>
      <c r="SBX1054" s="989"/>
      <c r="SBY1054" s="989"/>
      <c r="SBZ1054" s="989"/>
      <c r="SCA1054" s="989"/>
      <c r="SCB1054" s="989"/>
      <c r="SCC1054" s="989"/>
      <c r="SCD1054" s="989"/>
      <c r="SCE1054" s="989"/>
      <c r="SCF1054" s="989"/>
      <c r="SCG1054" s="989"/>
      <c r="SCH1054" s="989"/>
      <c r="SCI1054" s="989"/>
      <c r="SCJ1054" s="989"/>
      <c r="SCK1054" s="989"/>
      <c r="SCL1054" s="989"/>
      <c r="SCM1054" s="989"/>
      <c r="SCN1054" s="989"/>
      <c r="SCO1054" s="989"/>
      <c r="SCP1054" s="989"/>
      <c r="SCQ1054" s="989"/>
      <c r="SCR1054" s="989"/>
      <c r="SCS1054" s="989"/>
      <c r="SCT1054" s="989"/>
      <c r="SCU1054" s="989"/>
      <c r="SCV1054" s="989"/>
      <c r="SCW1054" s="989"/>
      <c r="SCX1054" s="989"/>
      <c r="SCY1054" s="989"/>
      <c r="SCZ1054" s="989"/>
      <c r="SDA1054" s="989"/>
      <c r="SDB1054" s="989"/>
      <c r="SDC1054" s="989"/>
      <c r="SDD1054" s="989"/>
      <c r="SDE1054" s="989"/>
      <c r="SDF1054" s="989"/>
      <c r="SDG1054" s="989"/>
      <c r="SDH1054" s="989"/>
      <c r="SDI1054" s="989"/>
      <c r="SDJ1054" s="989"/>
      <c r="SDK1054" s="989"/>
      <c r="SDL1054" s="989"/>
      <c r="SDM1054" s="989"/>
      <c r="SDN1054" s="989"/>
      <c r="SDO1054" s="989"/>
      <c r="SDP1054" s="989"/>
      <c r="SDQ1054" s="989"/>
      <c r="SDR1054" s="989"/>
      <c r="SDS1054" s="989"/>
      <c r="SDT1054" s="989"/>
      <c r="SDU1054" s="989"/>
      <c r="SDV1054" s="989"/>
      <c r="SDW1054" s="989"/>
      <c r="SDX1054" s="989"/>
      <c r="SDY1054" s="989"/>
      <c r="SDZ1054" s="989"/>
      <c r="SEA1054" s="989"/>
      <c r="SEB1054" s="989"/>
      <c r="SEC1054" s="989"/>
      <c r="SED1054" s="989"/>
      <c r="SEE1054" s="989"/>
      <c r="SEF1054" s="989"/>
      <c r="SEG1054" s="989"/>
      <c r="SEH1054" s="989"/>
      <c r="SEI1054" s="989"/>
      <c r="SEJ1054" s="989"/>
      <c r="SEK1054" s="989"/>
      <c r="SEL1054" s="989"/>
      <c r="SEM1054" s="989"/>
      <c r="SEN1054" s="989"/>
      <c r="SEO1054" s="989"/>
      <c r="SEP1054" s="989"/>
      <c r="SEQ1054" s="989"/>
      <c r="SER1054" s="989"/>
      <c r="SES1054" s="989"/>
      <c r="SET1054" s="989"/>
      <c r="SEU1054" s="989"/>
      <c r="SEV1054" s="989"/>
      <c r="SEW1054" s="989"/>
      <c r="SEX1054" s="989"/>
      <c r="SEY1054" s="989"/>
      <c r="SEZ1054" s="989"/>
      <c r="SFA1054" s="989"/>
      <c r="SFB1054" s="989"/>
      <c r="SFC1054" s="989"/>
      <c r="SFD1054" s="989"/>
      <c r="SFE1054" s="989"/>
      <c r="SFF1054" s="989"/>
      <c r="SFG1054" s="989"/>
      <c r="SFH1054" s="989"/>
      <c r="SFI1054" s="989"/>
      <c r="SFJ1054" s="989"/>
      <c r="SFK1054" s="989"/>
      <c r="SFL1054" s="989"/>
      <c r="SFM1054" s="989"/>
      <c r="SFN1054" s="989"/>
      <c r="SFO1054" s="989"/>
      <c r="SFP1054" s="989"/>
      <c r="SFQ1054" s="989"/>
      <c r="SFR1054" s="989"/>
      <c r="SFS1054" s="989"/>
      <c r="SFT1054" s="989"/>
      <c r="SFU1054" s="989"/>
      <c r="SFV1054" s="989"/>
      <c r="SFW1054" s="989"/>
      <c r="SFX1054" s="989"/>
      <c r="SFY1054" s="989"/>
      <c r="SFZ1054" s="989"/>
      <c r="SGA1054" s="989"/>
      <c r="SGB1054" s="989"/>
      <c r="SGC1054" s="989"/>
      <c r="SGD1054" s="989"/>
      <c r="SGE1054" s="989"/>
      <c r="SGF1054" s="989"/>
      <c r="SGG1054" s="989"/>
      <c r="SGH1054" s="989"/>
      <c r="SGI1054" s="989"/>
      <c r="SGJ1054" s="989"/>
      <c r="SGK1054" s="989"/>
      <c r="SGL1054" s="989"/>
      <c r="SGM1054" s="989"/>
      <c r="SGN1054" s="989"/>
      <c r="SGO1054" s="989"/>
      <c r="SGP1054" s="989"/>
      <c r="SGQ1054" s="989"/>
      <c r="SGR1054" s="989"/>
      <c r="SGS1054" s="989"/>
      <c r="SGT1054" s="989"/>
      <c r="SGU1054" s="989"/>
      <c r="SGV1054" s="989"/>
      <c r="SGW1054" s="989"/>
      <c r="SGX1054" s="989"/>
      <c r="SGY1054" s="989"/>
      <c r="SGZ1054" s="989"/>
      <c r="SHA1054" s="989"/>
      <c r="SHB1054" s="989"/>
      <c r="SHC1054" s="989"/>
      <c r="SHD1054" s="989"/>
      <c r="SHE1054" s="989"/>
      <c r="SHF1054" s="989"/>
      <c r="SHG1054" s="989"/>
      <c r="SHH1054" s="989"/>
      <c r="SHI1054" s="989"/>
      <c r="SHJ1054" s="989"/>
      <c r="SHK1054" s="989"/>
      <c r="SHL1054" s="989"/>
      <c r="SHM1054" s="989"/>
      <c r="SHN1054" s="989"/>
      <c r="SHO1054" s="989"/>
      <c r="SHP1054" s="989"/>
      <c r="SHQ1054" s="989"/>
      <c r="SHR1054" s="989"/>
      <c r="SHS1054" s="989"/>
      <c r="SHT1054" s="989"/>
      <c r="SHU1054" s="989"/>
      <c r="SHV1054" s="989"/>
      <c r="SHW1054" s="989"/>
      <c r="SHX1054" s="989"/>
      <c r="SHY1054" s="989"/>
      <c r="SHZ1054" s="989"/>
      <c r="SIA1054" s="989"/>
      <c r="SIB1054" s="989"/>
      <c r="SIC1054" s="989"/>
      <c r="SID1054" s="989"/>
      <c r="SIE1054" s="989"/>
      <c r="SIF1054" s="989"/>
      <c r="SIG1054" s="989"/>
      <c r="SIH1054" s="989"/>
      <c r="SII1054" s="989"/>
      <c r="SIJ1054" s="989"/>
      <c r="SIK1054" s="989"/>
      <c r="SIL1054" s="989"/>
      <c r="SIM1054" s="989"/>
      <c r="SIN1054" s="989"/>
      <c r="SIO1054" s="989"/>
      <c r="SIP1054" s="989"/>
      <c r="SIQ1054" s="989"/>
      <c r="SIR1054" s="989"/>
      <c r="SIS1054" s="989"/>
      <c r="SIT1054" s="989"/>
      <c r="SIU1054" s="989"/>
      <c r="SIV1054" s="989"/>
      <c r="SIW1054" s="989"/>
      <c r="SIX1054" s="989"/>
      <c r="SIY1054" s="989"/>
      <c r="SIZ1054" s="989"/>
      <c r="SJA1054" s="989"/>
      <c r="SJB1054" s="989"/>
      <c r="SJC1054" s="989"/>
      <c r="SJD1054" s="989"/>
      <c r="SJE1054" s="989"/>
      <c r="SJF1054" s="989"/>
      <c r="SJG1054" s="989"/>
      <c r="SJH1054" s="989"/>
      <c r="SJI1054" s="989"/>
      <c r="SJJ1054" s="989"/>
      <c r="SJK1054" s="989"/>
      <c r="SJL1054" s="989"/>
      <c r="SJM1054" s="989"/>
      <c r="SJN1054" s="989"/>
      <c r="SJO1054" s="989"/>
      <c r="SJP1054" s="989"/>
      <c r="SJQ1054" s="989"/>
      <c r="SJR1054" s="989"/>
      <c r="SJS1054" s="989"/>
      <c r="SJT1054" s="989"/>
      <c r="SJU1054" s="989"/>
      <c r="SJV1054" s="989"/>
      <c r="SJW1054" s="989"/>
      <c r="SJX1054" s="989"/>
      <c r="SJY1054" s="989"/>
      <c r="SJZ1054" s="989"/>
      <c r="SKA1054" s="989"/>
      <c r="SKB1054" s="989"/>
      <c r="SKC1054" s="989"/>
      <c r="SKD1054" s="989"/>
      <c r="SKE1054" s="989"/>
      <c r="SKF1054" s="989"/>
      <c r="SKG1054" s="989"/>
      <c r="SKH1054" s="989"/>
      <c r="SKI1054" s="989"/>
      <c r="SKJ1054" s="989"/>
      <c r="SKK1054" s="989"/>
      <c r="SKL1054" s="989"/>
      <c r="SKM1054" s="989"/>
      <c r="SKN1054" s="989"/>
      <c r="SKO1054" s="989"/>
      <c r="SKP1054" s="989"/>
      <c r="SKQ1054" s="989"/>
      <c r="SKR1054" s="989"/>
      <c r="SKS1054" s="989"/>
      <c r="SKT1054" s="989"/>
      <c r="SKU1054" s="989"/>
      <c r="SKV1054" s="989"/>
      <c r="SKW1054" s="989"/>
      <c r="SKX1054" s="989"/>
      <c r="SKY1054" s="989"/>
      <c r="SKZ1054" s="989"/>
      <c r="SLA1054" s="989"/>
      <c r="SLB1054" s="989"/>
      <c r="SLC1054" s="989"/>
      <c r="SLD1054" s="989"/>
      <c r="SLE1054" s="989"/>
      <c r="SLF1054" s="989"/>
      <c r="SLG1054" s="989"/>
      <c r="SLH1054" s="989"/>
      <c r="SLI1054" s="989"/>
      <c r="SLJ1054" s="989"/>
      <c r="SLK1054" s="989"/>
      <c r="SLL1054" s="989"/>
      <c r="SLM1054" s="989"/>
      <c r="SLN1054" s="989"/>
      <c r="SLO1054" s="989"/>
      <c r="SLP1054" s="989"/>
      <c r="SLQ1054" s="989"/>
      <c r="SLR1054" s="989"/>
      <c r="SLS1054" s="989"/>
      <c r="SLT1054" s="989"/>
      <c r="SLU1054" s="989"/>
      <c r="SLV1054" s="989"/>
      <c r="SLW1054" s="989"/>
      <c r="SLX1054" s="989"/>
      <c r="SLY1054" s="989"/>
      <c r="SLZ1054" s="989"/>
      <c r="SMA1054" s="989"/>
      <c r="SMB1054" s="989"/>
      <c r="SMC1054" s="989"/>
      <c r="SMD1054" s="989"/>
      <c r="SME1054" s="989"/>
      <c r="SMF1054" s="989"/>
      <c r="SMG1054" s="989"/>
      <c r="SMH1054" s="989"/>
      <c r="SMI1054" s="989"/>
      <c r="SMJ1054" s="989"/>
      <c r="SMK1054" s="989"/>
      <c r="SML1054" s="989"/>
      <c r="SMM1054" s="989"/>
      <c r="SMN1054" s="989"/>
      <c r="SMO1054" s="989"/>
      <c r="SMP1054" s="989"/>
      <c r="SMQ1054" s="989"/>
      <c r="SMR1054" s="989"/>
      <c r="SMS1054" s="989"/>
      <c r="SMT1054" s="989"/>
      <c r="SMU1054" s="989"/>
      <c r="SMV1054" s="989"/>
      <c r="SMW1054" s="989"/>
      <c r="SMX1054" s="989"/>
      <c r="SMY1054" s="989"/>
      <c r="SMZ1054" s="989"/>
      <c r="SNA1054" s="989"/>
      <c r="SNB1054" s="989"/>
      <c r="SNC1054" s="989"/>
      <c r="SND1054" s="989"/>
      <c r="SNE1054" s="989"/>
      <c r="SNF1054" s="989"/>
      <c r="SNG1054" s="989"/>
      <c r="SNH1054" s="989"/>
      <c r="SNI1054" s="989"/>
      <c r="SNJ1054" s="989"/>
      <c r="SNK1054" s="989"/>
      <c r="SNL1054" s="989"/>
      <c r="SNM1054" s="989"/>
      <c r="SNN1054" s="989"/>
      <c r="SNO1054" s="989"/>
      <c r="SNP1054" s="989"/>
      <c r="SNQ1054" s="989"/>
      <c r="SNR1054" s="989"/>
      <c r="SNS1054" s="989"/>
      <c r="SNT1054" s="989"/>
      <c r="SNU1054" s="989"/>
      <c r="SNV1054" s="989"/>
      <c r="SNW1054" s="989"/>
      <c r="SNX1054" s="989"/>
      <c r="SNY1054" s="989"/>
      <c r="SNZ1054" s="989"/>
      <c r="SOA1054" s="989"/>
      <c r="SOB1054" s="989"/>
      <c r="SOC1054" s="989"/>
      <c r="SOD1054" s="989"/>
      <c r="SOE1054" s="989"/>
      <c r="SOF1054" s="989"/>
      <c r="SOG1054" s="989"/>
      <c r="SOH1054" s="989"/>
      <c r="SOI1054" s="989"/>
      <c r="SOJ1054" s="989"/>
      <c r="SOK1054" s="989"/>
      <c r="SOL1054" s="989"/>
      <c r="SOM1054" s="989"/>
      <c r="SON1054" s="989"/>
      <c r="SOO1054" s="989"/>
      <c r="SOP1054" s="989"/>
      <c r="SOQ1054" s="989"/>
      <c r="SOR1054" s="989"/>
      <c r="SOS1054" s="989"/>
      <c r="SOT1054" s="989"/>
      <c r="SOU1054" s="989"/>
      <c r="SOV1054" s="989"/>
      <c r="SOW1054" s="989"/>
      <c r="SOX1054" s="989"/>
      <c r="SOY1054" s="989"/>
      <c r="SOZ1054" s="989"/>
      <c r="SPA1054" s="989"/>
      <c r="SPB1054" s="989"/>
      <c r="SPC1054" s="989"/>
      <c r="SPD1054" s="989"/>
      <c r="SPE1054" s="989"/>
      <c r="SPF1054" s="989"/>
      <c r="SPG1054" s="989"/>
      <c r="SPH1054" s="989"/>
      <c r="SPI1054" s="989"/>
      <c r="SPJ1054" s="989"/>
      <c r="SPK1054" s="989"/>
      <c r="SPL1054" s="989"/>
      <c r="SPM1054" s="989"/>
      <c r="SPN1054" s="989"/>
      <c r="SPO1054" s="989"/>
      <c r="SPP1054" s="989"/>
      <c r="SPQ1054" s="989"/>
      <c r="SPR1054" s="989"/>
      <c r="SPS1054" s="989"/>
      <c r="SPT1054" s="989"/>
      <c r="SPU1054" s="989"/>
      <c r="SPV1054" s="989"/>
      <c r="SPW1054" s="989"/>
      <c r="SPX1054" s="989"/>
      <c r="SPY1054" s="989"/>
      <c r="SPZ1054" s="989"/>
      <c r="SQA1054" s="989"/>
      <c r="SQB1054" s="989"/>
      <c r="SQC1054" s="989"/>
      <c r="SQD1054" s="989"/>
      <c r="SQE1054" s="989"/>
      <c r="SQF1054" s="989"/>
      <c r="SQG1054" s="989"/>
      <c r="SQH1054" s="989"/>
      <c r="SQI1054" s="989"/>
      <c r="SQJ1054" s="989"/>
      <c r="SQK1054" s="989"/>
      <c r="SQL1054" s="989"/>
      <c r="SQM1054" s="989"/>
      <c r="SQN1054" s="989"/>
      <c r="SQO1054" s="989"/>
      <c r="SQP1054" s="989"/>
      <c r="SQQ1054" s="989"/>
      <c r="SQR1054" s="989"/>
      <c r="SQS1054" s="989"/>
      <c r="SQT1054" s="989"/>
      <c r="SQU1054" s="989"/>
      <c r="SQV1054" s="989"/>
      <c r="SQW1054" s="989"/>
      <c r="SQX1054" s="989"/>
      <c r="SQY1054" s="989"/>
      <c r="SQZ1054" s="989"/>
      <c r="SRA1054" s="989"/>
      <c r="SRB1054" s="989"/>
      <c r="SRC1054" s="989"/>
      <c r="SRD1054" s="989"/>
      <c r="SRE1054" s="989"/>
      <c r="SRF1054" s="989"/>
      <c r="SRG1054" s="989"/>
      <c r="SRH1054" s="989"/>
      <c r="SRI1054" s="989"/>
      <c r="SRJ1054" s="989"/>
      <c r="SRK1054" s="989"/>
      <c r="SRL1054" s="989"/>
      <c r="SRM1054" s="989"/>
      <c r="SRN1054" s="989"/>
      <c r="SRO1054" s="989"/>
      <c r="SRP1054" s="989"/>
      <c r="SRQ1054" s="989"/>
      <c r="SRR1054" s="989"/>
      <c r="SRS1054" s="989"/>
      <c r="SRT1054" s="989"/>
      <c r="SRU1054" s="989"/>
      <c r="SRV1054" s="989"/>
      <c r="SRW1054" s="989"/>
      <c r="SRX1054" s="989"/>
      <c r="SRY1054" s="989"/>
      <c r="SRZ1054" s="989"/>
      <c r="SSA1054" s="989"/>
      <c r="SSB1054" s="989"/>
      <c r="SSC1054" s="989"/>
      <c r="SSD1054" s="989"/>
      <c r="SSE1054" s="989"/>
      <c r="SSF1054" s="989"/>
      <c r="SSG1054" s="989"/>
      <c r="SSH1054" s="989"/>
      <c r="SSI1054" s="989"/>
      <c r="SSJ1054" s="989"/>
      <c r="SSK1054" s="989"/>
      <c r="SSL1054" s="989"/>
      <c r="SSM1054" s="989"/>
      <c r="SSN1054" s="989"/>
      <c r="SSO1054" s="989"/>
      <c r="SSP1054" s="989"/>
      <c r="SSQ1054" s="989"/>
      <c r="SSR1054" s="989"/>
      <c r="SSS1054" s="989"/>
      <c r="SST1054" s="989"/>
      <c r="SSU1054" s="989"/>
      <c r="SSV1054" s="989"/>
      <c r="SSW1054" s="989"/>
      <c r="SSX1054" s="989"/>
      <c r="SSY1054" s="989"/>
      <c r="SSZ1054" s="989"/>
      <c r="STA1054" s="989"/>
      <c r="STB1054" s="989"/>
      <c r="STC1054" s="989"/>
      <c r="STD1054" s="989"/>
      <c r="STE1054" s="989"/>
      <c r="STF1054" s="989"/>
      <c r="STG1054" s="989"/>
      <c r="STH1054" s="989"/>
      <c r="STI1054" s="989"/>
      <c r="STJ1054" s="989"/>
      <c r="STK1054" s="989"/>
      <c r="STL1054" s="989"/>
      <c r="STM1054" s="989"/>
      <c r="STN1054" s="989"/>
      <c r="STO1054" s="989"/>
      <c r="STP1054" s="989"/>
      <c r="STQ1054" s="989"/>
      <c r="STR1054" s="989"/>
      <c r="STS1054" s="989"/>
      <c r="STT1054" s="989"/>
      <c r="STU1054" s="989"/>
      <c r="STV1054" s="989"/>
      <c r="STW1054" s="989"/>
      <c r="STX1054" s="989"/>
      <c r="STY1054" s="989"/>
      <c r="STZ1054" s="989"/>
      <c r="SUA1054" s="989"/>
      <c r="SUB1054" s="989"/>
      <c r="SUC1054" s="989"/>
      <c r="SUD1054" s="989"/>
      <c r="SUE1054" s="989"/>
      <c r="SUF1054" s="989"/>
      <c r="SUG1054" s="989"/>
      <c r="SUH1054" s="989"/>
      <c r="SUI1054" s="989"/>
      <c r="SUJ1054" s="989"/>
      <c r="SUK1054" s="989"/>
      <c r="SUL1054" s="989"/>
      <c r="SUM1054" s="989"/>
      <c r="SUN1054" s="989"/>
      <c r="SUO1054" s="989"/>
      <c r="SUP1054" s="989"/>
      <c r="SUQ1054" s="989"/>
      <c r="SUR1054" s="989"/>
      <c r="SUS1054" s="989"/>
      <c r="SUT1054" s="989"/>
      <c r="SUU1054" s="989"/>
      <c r="SUV1054" s="989"/>
      <c r="SUW1054" s="989"/>
      <c r="SUX1054" s="989"/>
      <c r="SUY1054" s="989"/>
      <c r="SUZ1054" s="989"/>
      <c r="SVA1054" s="989"/>
      <c r="SVB1054" s="989"/>
      <c r="SVC1054" s="989"/>
      <c r="SVD1054" s="989"/>
      <c r="SVE1054" s="989"/>
      <c r="SVF1054" s="989"/>
      <c r="SVG1054" s="989"/>
      <c r="SVH1054" s="989"/>
      <c r="SVI1054" s="989"/>
      <c r="SVJ1054" s="989"/>
      <c r="SVK1054" s="989"/>
      <c r="SVL1054" s="989"/>
      <c r="SVM1054" s="989"/>
      <c r="SVN1054" s="989"/>
      <c r="SVO1054" s="989"/>
      <c r="SVP1054" s="989"/>
      <c r="SVQ1054" s="989"/>
      <c r="SVR1054" s="989"/>
      <c r="SVS1054" s="989"/>
      <c r="SVT1054" s="989"/>
      <c r="SVU1054" s="989"/>
      <c r="SVV1054" s="989"/>
      <c r="SVW1054" s="989"/>
      <c r="SVX1054" s="989"/>
      <c r="SVY1054" s="989"/>
      <c r="SVZ1054" s="989"/>
      <c r="SWA1054" s="989"/>
      <c r="SWB1054" s="989"/>
      <c r="SWC1054" s="989"/>
      <c r="SWD1054" s="989"/>
      <c r="SWE1054" s="989"/>
      <c r="SWF1054" s="989"/>
      <c r="SWG1054" s="989"/>
      <c r="SWH1054" s="989"/>
      <c r="SWI1054" s="989"/>
      <c r="SWJ1054" s="989"/>
      <c r="SWK1054" s="989"/>
      <c r="SWL1054" s="989"/>
      <c r="SWM1054" s="989"/>
      <c r="SWN1054" s="989"/>
      <c r="SWO1054" s="989"/>
      <c r="SWP1054" s="989"/>
      <c r="SWQ1054" s="989"/>
      <c r="SWR1054" s="989"/>
      <c r="SWS1054" s="989"/>
      <c r="SWT1054" s="989"/>
      <c r="SWU1054" s="989"/>
      <c r="SWV1054" s="989"/>
      <c r="SWW1054" s="989"/>
      <c r="SWX1054" s="989"/>
      <c r="SWY1054" s="989"/>
      <c r="SWZ1054" s="989"/>
      <c r="SXA1054" s="989"/>
      <c r="SXB1054" s="989"/>
      <c r="SXC1054" s="989"/>
      <c r="SXD1054" s="989"/>
      <c r="SXE1054" s="989"/>
      <c r="SXF1054" s="989"/>
      <c r="SXG1054" s="989"/>
      <c r="SXH1054" s="989"/>
      <c r="SXI1054" s="989"/>
      <c r="SXJ1054" s="989"/>
      <c r="SXK1054" s="989"/>
      <c r="SXL1054" s="989"/>
      <c r="SXM1054" s="989"/>
      <c r="SXN1054" s="989"/>
      <c r="SXO1054" s="989"/>
      <c r="SXP1054" s="989"/>
      <c r="SXQ1054" s="989"/>
      <c r="SXR1054" s="989"/>
      <c r="SXS1054" s="989"/>
      <c r="SXT1054" s="989"/>
      <c r="SXU1054" s="989"/>
      <c r="SXV1054" s="989"/>
      <c r="SXW1054" s="989"/>
      <c r="SXX1054" s="989"/>
      <c r="SXY1054" s="989"/>
      <c r="SXZ1054" s="989"/>
      <c r="SYA1054" s="989"/>
      <c r="SYB1054" s="989"/>
      <c r="SYC1054" s="989"/>
      <c r="SYD1054" s="989"/>
      <c r="SYE1054" s="989"/>
      <c r="SYF1054" s="989"/>
      <c r="SYG1054" s="989"/>
      <c r="SYH1054" s="989"/>
      <c r="SYI1054" s="989"/>
      <c r="SYJ1054" s="989"/>
      <c r="SYK1054" s="989"/>
      <c r="SYL1054" s="989"/>
      <c r="SYM1054" s="989"/>
      <c r="SYN1054" s="989"/>
      <c r="SYO1054" s="989"/>
      <c r="SYP1054" s="989"/>
      <c r="SYQ1054" s="989"/>
      <c r="SYR1054" s="989"/>
      <c r="SYS1054" s="989"/>
      <c r="SYT1054" s="989"/>
      <c r="SYU1054" s="989"/>
      <c r="SYV1054" s="989"/>
      <c r="SYW1054" s="989"/>
      <c r="SYX1054" s="989"/>
      <c r="SYY1054" s="989"/>
      <c r="SYZ1054" s="989"/>
      <c r="SZA1054" s="989"/>
      <c r="SZB1054" s="989"/>
      <c r="SZC1054" s="989"/>
      <c r="SZD1054" s="989"/>
      <c r="SZE1054" s="989"/>
      <c r="SZF1054" s="989"/>
      <c r="SZG1054" s="989"/>
      <c r="SZH1054" s="989"/>
      <c r="SZI1054" s="989"/>
      <c r="SZJ1054" s="989"/>
      <c r="SZK1054" s="989"/>
      <c r="SZL1054" s="989"/>
      <c r="SZM1054" s="989"/>
      <c r="SZN1054" s="989"/>
      <c r="SZO1054" s="989"/>
      <c r="SZP1054" s="989"/>
      <c r="SZQ1054" s="989"/>
      <c r="SZR1054" s="989"/>
      <c r="SZS1054" s="989"/>
      <c r="SZT1054" s="989"/>
      <c r="SZU1054" s="989"/>
      <c r="SZV1054" s="989"/>
      <c r="SZW1054" s="989"/>
      <c r="SZX1054" s="989"/>
      <c r="SZY1054" s="989"/>
      <c r="SZZ1054" s="989"/>
      <c r="TAA1054" s="989"/>
      <c r="TAB1054" s="989"/>
      <c r="TAC1054" s="989"/>
      <c r="TAD1054" s="989"/>
      <c r="TAE1054" s="989"/>
      <c r="TAF1054" s="989"/>
      <c r="TAG1054" s="989"/>
      <c r="TAH1054" s="989"/>
      <c r="TAI1054" s="989"/>
      <c r="TAJ1054" s="989"/>
      <c r="TAK1054" s="989"/>
      <c r="TAL1054" s="989"/>
      <c r="TAM1054" s="989"/>
      <c r="TAN1054" s="989"/>
      <c r="TAO1054" s="989"/>
      <c r="TAP1054" s="989"/>
      <c r="TAQ1054" s="989"/>
      <c r="TAR1054" s="989"/>
      <c r="TAS1054" s="989"/>
      <c r="TAT1054" s="989"/>
      <c r="TAU1054" s="989"/>
      <c r="TAV1054" s="989"/>
      <c r="TAW1054" s="989"/>
      <c r="TAX1054" s="989"/>
      <c r="TAY1054" s="989"/>
      <c r="TAZ1054" s="989"/>
      <c r="TBA1054" s="989"/>
      <c r="TBB1054" s="989"/>
      <c r="TBC1054" s="989"/>
      <c r="TBD1054" s="989"/>
      <c r="TBE1054" s="989"/>
      <c r="TBF1054" s="989"/>
      <c r="TBG1054" s="989"/>
      <c r="TBH1054" s="989"/>
      <c r="TBI1054" s="989"/>
      <c r="TBJ1054" s="989"/>
      <c r="TBK1054" s="989"/>
      <c r="TBL1054" s="989"/>
      <c r="TBM1054" s="989"/>
      <c r="TBN1054" s="989"/>
      <c r="TBO1054" s="989"/>
      <c r="TBP1054" s="989"/>
      <c r="TBQ1054" s="989"/>
      <c r="TBR1054" s="989"/>
      <c r="TBS1054" s="989"/>
      <c r="TBT1054" s="989"/>
      <c r="TBU1054" s="989"/>
      <c r="TBV1054" s="989"/>
      <c r="TBW1054" s="989"/>
      <c r="TBX1054" s="989"/>
      <c r="TBY1054" s="989"/>
      <c r="TBZ1054" s="989"/>
      <c r="TCA1054" s="989"/>
      <c r="TCB1054" s="989"/>
      <c r="TCC1054" s="989"/>
      <c r="TCD1054" s="989"/>
      <c r="TCE1054" s="989"/>
      <c r="TCF1054" s="989"/>
      <c r="TCG1054" s="989"/>
      <c r="TCH1054" s="989"/>
      <c r="TCI1054" s="989"/>
      <c r="TCJ1054" s="989"/>
      <c r="TCK1054" s="989"/>
      <c r="TCL1054" s="989"/>
      <c r="TCM1054" s="989"/>
      <c r="TCN1054" s="989"/>
      <c r="TCO1054" s="989"/>
      <c r="TCP1054" s="989"/>
      <c r="TCQ1054" s="989"/>
      <c r="TCR1054" s="989"/>
      <c r="TCS1054" s="989"/>
      <c r="TCT1054" s="989"/>
      <c r="TCU1054" s="989"/>
      <c r="TCV1054" s="989"/>
      <c r="TCW1054" s="989"/>
      <c r="TCX1054" s="989"/>
      <c r="TCY1054" s="989"/>
      <c r="TCZ1054" s="989"/>
      <c r="TDA1054" s="989"/>
      <c r="TDB1054" s="989"/>
      <c r="TDC1054" s="989"/>
      <c r="TDD1054" s="989"/>
      <c r="TDE1054" s="989"/>
      <c r="TDF1054" s="989"/>
      <c r="TDG1054" s="989"/>
      <c r="TDH1054" s="989"/>
      <c r="TDI1054" s="989"/>
      <c r="TDJ1054" s="989"/>
      <c r="TDK1054" s="989"/>
      <c r="TDL1054" s="989"/>
      <c r="TDM1054" s="989"/>
      <c r="TDN1054" s="989"/>
      <c r="TDO1054" s="989"/>
      <c r="TDP1054" s="989"/>
      <c r="TDQ1054" s="989"/>
      <c r="TDR1054" s="989"/>
      <c r="TDS1054" s="989"/>
      <c r="TDT1054" s="989"/>
      <c r="TDU1054" s="989"/>
      <c r="TDV1054" s="989"/>
      <c r="TDW1054" s="989"/>
      <c r="TDX1054" s="989"/>
      <c r="TDY1054" s="989"/>
      <c r="TDZ1054" s="989"/>
      <c r="TEA1054" s="989"/>
      <c r="TEB1054" s="989"/>
      <c r="TEC1054" s="989"/>
      <c r="TED1054" s="989"/>
      <c r="TEE1054" s="989"/>
      <c r="TEF1054" s="989"/>
      <c r="TEG1054" s="989"/>
      <c r="TEH1054" s="989"/>
      <c r="TEI1054" s="989"/>
      <c r="TEJ1054" s="989"/>
      <c r="TEK1054" s="989"/>
      <c r="TEL1054" s="989"/>
      <c r="TEM1054" s="989"/>
      <c r="TEN1054" s="989"/>
      <c r="TEO1054" s="989"/>
      <c r="TEP1054" s="989"/>
      <c r="TEQ1054" s="989"/>
      <c r="TER1054" s="989"/>
      <c r="TES1054" s="989"/>
      <c r="TET1054" s="989"/>
      <c r="TEU1054" s="989"/>
      <c r="TEV1054" s="989"/>
      <c r="TEW1054" s="989"/>
      <c r="TEX1054" s="989"/>
      <c r="TEY1054" s="989"/>
      <c r="TEZ1054" s="989"/>
      <c r="TFA1054" s="989"/>
      <c r="TFB1054" s="989"/>
      <c r="TFC1054" s="989"/>
      <c r="TFD1054" s="989"/>
      <c r="TFE1054" s="989"/>
      <c r="TFF1054" s="989"/>
      <c r="TFG1054" s="989"/>
      <c r="TFH1054" s="989"/>
      <c r="TFI1054" s="989"/>
      <c r="TFJ1054" s="989"/>
      <c r="TFK1054" s="989"/>
      <c r="TFL1054" s="989"/>
      <c r="TFM1054" s="989"/>
      <c r="TFN1054" s="989"/>
      <c r="TFO1054" s="989"/>
      <c r="TFP1054" s="989"/>
      <c r="TFQ1054" s="989"/>
      <c r="TFR1054" s="989"/>
      <c r="TFS1054" s="989"/>
      <c r="TFT1054" s="989"/>
      <c r="TFU1054" s="989"/>
      <c r="TFV1054" s="989"/>
      <c r="TFW1054" s="989"/>
      <c r="TFX1054" s="989"/>
      <c r="TFY1054" s="989"/>
      <c r="TFZ1054" s="989"/>
      <c r="TGA1054" s="989"/>
      <c r="TGB1054" s="989"/>
      <c r="TGC1054" s="989"/>
      <c r="TGD1054" s="989"/>
      <c r="TGE1054" s="989"/>
      <c r="TGF1054" s="989"/>
      <c r="TGG1054" s="989"/>
      <c r="TGH1054" s="989"/>
      <c r="TGI1054" s="989"/>
      <c r="TGJ1054" s="989"/>
      <c r="TGK1054" s="989"/>
      <c r="TGL1054" s="989"/>
      <c r="TGM1054" s="989"/>
      <c r="TGN1054" s="989"/>
      <c r="TGO1054" s="989"/>
      <c r="TGP1054" s="989"/>
      <c r="TGQ1054" s="989"/>
      <c r="TGR1054" s="989"/>
      <c r="TGS1054" s="989"/>
      <c r="TGT1054" s="989"/>
      <c r="TGU1054" s="989"/>
      <c r="TGV1054" s="989"/>
      <c r="TGW1054" s="989"/>
      <c r="TGX1054" s="989"/>
      <c r="TGY1054" s="989"/>
      <c r="TGZ1054" s="989"/>
      <c r="THA1054" s="989"/>
      <c r="THB1054" s="989"/>
      <c r="THC1054" s="989"/>
      <c r="THD1054" s="989"/>
      <c r="THE1054" s="989"/>
      <c r="THF1054" s="989"/>
      <c r="THG1054" s="989"/>
      <c r="THH1054" s="989"/>
      <c r="THI1054" s="989"/>
      <c r="THJ1054" s="989"/>
      <c r="THK1054" s="989"/>
      <c r="THL1054" s="989"/>
      <c r="THM1054" s="989"/>
      <c r="THN1054" s="989"/>
      <c r="THO1054" s="989"/>
      <c r="THP1054" s="989"/>
      <c r="THQ1054" s="989"/>
      <c r="THR1054" s="989"/>
      <c r="THS1054" s="989"/>
      <c r="THT1054" s="989"/>
      <c r="THU1054" s="989"/>
      <c r="THV1054" s="989"/>
      <c r="THW1054" s="989"/>
      <c r="THX1054" s="989"/>
      <c r="THY1054" s="989"/>
      <c r="THZ1054" s="989"/>
      <c r="TIA1054" s="989"/>
      <c r="TIB1054" s="989"/>
      <c r="TIC1054" s="989"/>
      <c r="TID1054" s="989"/>
      <c r="TIE1054" s="989"/>
      <c r="TIF1054" s="989"/>
      <c r="TIG1054" s="989"/>
      <c r="TIH1054" s="989"/>
      <c r="TII1054" s="989"/>
      <c r="TIJ1054" s="989"/>
      <c r="TIK1054" s="989"/>
      <c r="TIL1054" s="989"/>
      <c r="TIM1054" s="989"/>
      <c r="TIN1054" s="989"/>
      <c r="TIO1054" s="989"/>
      <c r="TIP1054" s="989"/>
      <c r="TIQ1054" s="989"/>
      <c r="TIR1054" s="989"/>
      <c r="TIS1054" s="989"/>
      <c r="TIT1054" s="989"/>
      <c r="TIU1054" s="989"/>
      <c r="TIV1054" s="989"/>
      <c r="TIW1054" s="989"/>
      <c r="TIX1054" s="989"/>
      <c r="TIY1054" s="989"/>
      <c r="TIZ1054" s="989"/>
      <c r="TJA1054" s="989"/>
      <c r="TJB1054" s="989"/>
      <c r="TJC1054" s="989"/>
      <c r="TJD1054" s="989"/>
      <c r="TJE1054" s="989"/>
      <c r="TJF1054" s="989"/>
      <c r="TJG1054" s="989"/>
      <c r="TJH1054" s="989"/>
      <c r="TJI1054" s="989"/>
      <c r="TJJ1054" s="989"/>
      <c r="TJK1054" s="989"/>
      <c r="TJL1054" s="989"/>
      <c r="TJM1054" s="989"/>
      <c r="TJN1054" s="989"/>
      <c r="TJO1054" s="989"/>
      <c r="TJP1054" s="989"/>
      <c r="TJQ1054" s="989"/>
      <c r="TJR1054" s="989"/>
      <c r="TJS1054" s="989"/>
      <c r="TJT1054" s="989"/>
      <c r="TJU1054" s="989"/>
      <c r="TJV1054" s="989"/>
      <c r="TJW1054" s="989"/>
      <c r="TJX1054" s="989"/>
      <c r="TJY1054" s="989"/>
      <c r="TJZ1054" s="989"/>
      <c r="TKA1054" s="989"/>
      <c r="TKB1054" s="989"/>
      <c r="TKC1054" s="989"/>
      <c r="TKD1054" s="989"/>
      <c r="TKE1054" s="989"/>
      <c r="TKF1054" s="989"/>
      <c r="TKG1054" s="989"/>
      <c r="TKH1054" s="989"/>
      <c r="TKI1054" s="989"/>
      <c r="TKJ1054" s="989"/>
      <c r="TKK1054" s="989"/>
      <c r="TKL1054" s="989"/>
      <c r="TKM1054" s="989"/>
      <c r="TKN1054" s="989"/>
      <c r="TKO1054" s="989"/>
      <c r="TKP1054" s="989"/>
      <c r="TKQ1054" s="989"/>
      <c r="TKR1054" s="989"/>
      <c r="TKS1054" s="989"/>
      <c r="TKT1054" s="989"/>
      <c r="TKU1054" s="989"/>
      <c r="TKV1054" s="989"/>
      <c r="TKW1054" s="989"/>
      <c r="TKX1054" s="989"/>
      <c r="TKY1054" s="989"/>
      <c r="TKZ1054" s="989"/>
      <c r="TLA1054" s="989"/>
      <c r="TLB1054" s="989"/>
      <c r="TLC1054" s="989"/>
      <c r="TLD1054" s="989"/>
      <c r="TLE1054" s="989"/>
      <c r="TLF1054" s="989"/>
      <c r="TLG1054" s="989"/>
      <c r="TLH1054" s="989"/>
      <c r="TLI1054" s="989"/>
      <c r="TLJ1054" s="989"/>
      <c r="TLK1054" s="989"/>
      <c r="TLL1054" s="989"/>
      <c r="TLM1054" s="989"/>
      <c r="TLN1054" s="989"/>
      <c r="TLO1054" s="989"/>
      <c r="TLP1054" s="989"/>
      <c r="TLQ1054" s="989"/>
      <c r="TLR1054" s="989"/>
      <c r="TLS1054" s="989"/>
      <c r="TLT1054" s="989"/>
      <c r="TLU1054" s="989"/>
      <c r="TLV1054" s="989"/>
      <c r="TLW1054" s="989"/>
      <c r="TLX1054" s="989"/>
      <c r="TLY1054" s="989"/>
      <c r="TLZ1054" s="989"/>
      <c r="TMA1054" s="989"/>
      <c r="TMB1054" s="989"/>
      <c r="TMC1054" s="989"/>
      <c r="TMD1054" s="989"/>
      <c r="TME1054" s="989"/>
      <c r="TMF1054" s="989"/>
      <c r="TMG1054" s="989"/>
      <c r="TMH1054" s="989"/>
      <c r="TMI1054" s="989"/>
      <c r="TMJ1054" s="989"/>
      <c r="TMK1054" s="989"/>
      <c r="TML1054" s="989"/>
      <c r="TMM1054" s="989"/>
      <c r="TMN1054" s="989"/>
      <c r="TMO1054" s="989"/>
      <c r="TMP1054" s="989"/>
      <c r="TMQ1054" s="989"/>
      <c r="TMR1054" s="989"/>
      <c r="TMS1054" s="989"/>
      <c r="TMT1054" s="989"/>
      <c r="TMU1054" s="989"/>
      <c r="TMV1054" s="989"/>
      <c r="TMW1054" s="989"/>
      <c r="TMX1054" s="989"/>
      <c r="TMY1054" s="989"/>
      <c r="TMZ1054" s="989"/>
      <c r="TNA1054" s="989"/>
      <c r="TNB1054" s="989"/>
      <c r="TNC1054" s="989"/>
      <c r="TND1054" s="989"/>
      <c r="TNE1054" s="989"/>
      <c r="TNF1054" s="989"/>
      <c r="TNG1054" s="989"/>
      <c r="TNH1054" s="989"/>
      <c r="TNI1054" s="989"/>
      <c r="TNJ1054" s="989"/>
      <c r="TNK1054" s="989"/>
      <c r="TNL1054" s="989"/>
      <c r="TNM1054" s="989"/>
      <c r="TNN1054" s="989"/>
      <c r="TNO1054" s="989"/>
      <c r="TNP1054" s="989"/>
      <c r="TNQ1054" s="989"/>
      <c r="TNR1054" s="989"/>
      <c r="TNS1054" s="989"/>
      <c r="TNT1054" s="989"/>
      <c r="TNU1054" s="989"/>
      <c r="TNV1054" s="989"/>
      <c r="TNW1054" s="989"/>
      <c r="TNX1054" s="989"/>
      <c r="TNY1054" s="989"/>
      <c r="TNZ1054" s="989"/>
      <c r="TOA1054" s="989"/>
      <c r="TOB1054" s="989"/>
      <c r="TOC1054" s="989"/>
      <c r="TOD1054" s="989"/>
      <c r="TOE1054" s="989"/>
      <c r="TOF1054" s="989"/>
      <c r="TOG1054" s="989"/>
      <c r="TOH1054" s="989"/>
      <c r="TOI1054" s="989"/>
      <c r="TOJ1054" s="989"/>
      <c r="TOK1054" s="989"/>
      <c r="TOL1054" s="989"/>
      <c r="TOM1054" s="989"/>
      <c r="TON1054" s="989"/>
      <c r="TOO1054" s="989"/>
      <c r="TOP1054" s="989"/>
      <c r="TOQ1054" s="989"/>
      <c r="TOR1054" s="989"/>
      <c r="TOS1054" s="989"/>
      <c r="TOT1054" s="989"/>
      <c r="TOU1054" s="989"/>
      <c r="TOV1054" s="989"/>
      <c r="TOW1054" s="989"/>
      <c r="TOX1054" s="989"/>
      <c r="TOY1054" s="989"/>
      <c r="TOZ1054" s="989"/>
      <c r="TPA1054" s="989"/>
      <c r="TPB1054" s="989"/>
      <c r="TPC1054" s="989"/>
      <c r="TPD1054" s="989"/>
      <c r="TPE1054" s="989"/>
      <c r="TPF1054" s="989"/>
      <c r="TPG1054" s="989"/>
      <c r="TPH1054" s="989"/>
      <c r="TPI1054" s="989"/>
      <c r="TPJ1054" s="989"/>
      <c r="TPK1054" s="989"/>
      <c r="TPL1054" s="989"/>
      <c r="TPM1054" s="989"/>
      <c r="TPN1054" s="989"/>
      <c r="TPO1054" s="989"/>
      <c r="TPP1054" s="989"/>
      <c r="TPQ1054" s="989"/>
      <c r="TPR1054" s="989"/>
      <c r="TPS1054" s="989"/>
      <c r="TPT1054" s="989"/>
      <c r="TPU1054" s="989"/>
      <c r="TPV1054" s="989"/>
      <c r="TPW1054" s="989"/>
      <c r="TPX1054" s="989"/>
      <c r="TPY1054" s="989"/>
      <c r="TPZ1054" s="989"/>
      <c r="TQA1054" s="989"/>
      <c r="TQB1054" s="989"/>
      <c r="TQC1054" s="989"/>
      <c r="TQD1054" s="989"/>
      <c r="TQE1054" s="989"/>
      <c r="TQF1054" s="989"/>
      <c r="TQG1054" s="989"/>
      <c r="TQH1054" s="989"/>
      <c r="TQI1054" s="989"/>
      <c r="TQJ1054" s="989"/>
      <c r="TQK1054" s="989"/>
      <c r="TQL1054" s="989"/>
      <c r="TQM1054" s="989"/>
      <c r="TQN1054" s="989"/>
      <c r="TQO1054" s="989"/>
      <c r="TQP1054" s="989"/>
      <c r="TQQ1054" s="989"/>
      <c r="TQR1054" s="989"/>
      <c r="TQS1054" s="989"/>
      <c r="TQT1054" s="989"/>
      <c r="TQU1054" s="989"/>
      <c r="TQV1054" s="989"/>
      <c r="TQW1054" s="989"/>
      <c r="TQX1054" s="989"/>
      <c r="TQY1054" s="989"/>
      <c r="TQZ1054" s="989"/>
      <c r="TRA1054" s="989"/>
      <c r="TRB1054" s="989"/>
      <c r="TRC1054" s="989"/>
      <c r="TRD1054" s="989"/>
      <c r="TRE1054" s="989"/>
      <c r="TRF1054" s="989"/>
      <c r="TRG1054" s="989"/>
      <c r="TRH1054" s="989"/>
      <c r="TRI1054" s="989"/>
      <c r="TRJ1054" s="989"/>
      <c r="TRK1054" s="989"/>
      <c r="TRL1054" s="989"/>
      <c r="TRM1054" s="989"/>
      <c r="TRN1054" s="989"/>
      <c r="TRO1054" s="989"/>
      <c r="TRP1054" s="989"/>
      <c r="TRQ1054" s="989"/>
      <c r="TRR1054" s="989"/>
      <c r="TRS1054" s="989"/>
      <c r="TRT1054" s="989"/>
      <c r="TRU1054" s="989"/>
      <c r="TRV1054" s="989"/>
      <c r="TRW1054" s="989"/>
      <c r="TRX1054" s="989"/>
      <c r="TRY1054" s="989"/>
      <c r="TRZ1054" s="989"/>
      <c r="TSA1054" s="989"/>
      <c r="TSB1054" s="989"/>
      <c r="TSC1054" s="989"/>
      <c r="TSD1054" s="989"/>
      <c r="TSE1054" s="989"/>
      <c r="TSF1054" s="989"/>
      <c r="TSG1054" s="989"/>
      <c r="TSH1054" s="989"/>
      <c r="TSI1054" s="989"/>
      <c r="TSJ1054" s="989"/>
      <c r="TSK1054" s="989"/>
      <c r="TSL1054" s="989"/>
      <c r="TSM1054" s="989"/>
      <c r="TSN1054" s="989"/>
      <c r="TSO1054" s="989"/>
      <c r="TSP1054" s="989"/>
      <c r="TSQ1054" s="989"/>
      <c r="TSR1054" s="989"/>
      <c r="TSS1054" s="989"/>
      <c r="TST1054" s="989"/>
      <c r="TSU1054" s="989"/>
      <c r="TSV1054" s="989"/>
      <c r="TSW1054" s="989"/>
      <c r="TSX1054" s="989"/>
      <c r="TSY1054" s="989"/>
      <c r="TSZ1054" s="989"/>
      <c r="TTA1054" s="989"/>
      <c r="TTB1054" s="989"/>
      <c r="TTC1054" s="989"/>
      <c r="TTD1054" s="989"/>
      <c r="TTE1054" s="989"/>
      <c r="TTF1054" s="989"/>
      <c r="TTG1054" s="989"/>
      <c r="TTH1054" s="989"/>
      <c r="TTI1054" s="989"/>
      <c r="TTJ1054" s="989"/>
      <c r="TTK1054" s="989"/>
      <c r="TTL1054" s="989"/>
      <c r="TTM1054" s="989"/>
      <c r="TTN1054" s="989"/>
      <c r="TTO1054" s="989"/>
      <c r="TTP1054" s="989"/>
      <c r="TTQ1054" s="989"/>
      <c r="TTR1054" s="989"/>
      <c r="TTS1054" s="989"/>
      <c r="TTT1054" s="989"/>
      <c r="TTU1054" s="989"/>
      <c r="TTV1054" s="989"/>
      <c r="TTW1054" s="989"/>
      <c r="TTX1054" s="989"/>
      <c r="TTY1054" s="989"/>
      <c r="TTZ1054" s="989"/>
      <c r="TUA1054" s="989"/>
      <c r="TUB1054" s="989"/>
      <c r="TUC1054" s="989"/>
      <c r="TUD1054" s="989"/>
      <c r="TUE1054" s="989"/>
      <c r="TUF1054" s="989"/>
      <c r="TUG1054" s="989"/>
      <c r="TUH1054" s="989"/>
      <c r="TUI1054" s="989"/>
      <c r="TUJ1054" s="989"/>
      <c r="TUK1054" s="989"/>
      <c r="TUL1054" s="989"/>
      <c r="TUM1054" s="989"/>
      <c r="TUN1054" s="989"/>
      <c r="TUO1054" s="989"/>
      <c r="TUP1054" s="989"/>
      <c r="TUQ1054" s="989"/>
      <c r="TUR1054" s="989"/>
      <c r="TUS1054" s="989"/>
      <c r="TUT1054" s="989"/>
      <c r="TUU1054" s="989"/>
      <c r="TUV1054" s="989"/>
      <c r="TUW1054" s="989"/>
      <c r="TUX1054" s="989"/>
      <c r="TUY1054" s="989"/>
      <c r="TUZ1054" s="989"/>
      <c r="TVA1054" s="989"/>
      <c r="TVB1054" s="989"/>
      <c r="TVC1054" s="989"/>
      <c r="TVD1054" s="989"/>
      <c r="TVE1054" s="989"/>
      <c r="TVF1054" s="989"/>
      <c r="TVG1054" s="989"/>
      <c r="TVH1054" s="989"/>
      <c r="TVI1054" s="989"/>
      <c r="TVJ1054" s="989"/>
      <c r="TVK1054" s="989"/>
      <c r="TVL1054" s="989"/>
      <c r="TVM1054" s="989"/>
      <c r="TVN1054" s="989"/>
      <c r="TVO1054" s="989"/>
      <c r="TVP1054" s="989"/>
      <c r="TVQ1054" s="989"/>
      <c r="TVR1054" s="989"/>
      <c r="TVS1054" s="989"/>
      <c r="TVT1054" s="989"/>
      <c r="TVU1054" s="989"/>
      <c r="TVV1054" s="989"/>
      <c r="TVW1054" s="989"/>
      <c r="TVX1054" s="989"/>
      <c r="TVY1054" s="989"/>
      <c r="TVZ1054" s="989"/>
      <c r="TWA1054" s="989"/>
      <c r="TWB1054" s="989"/>
      <c r="TWC1054" s="989"/>
      <c r="TWD1054" s="989"/>
      <c r="TWE1054" s="989"/>
      <c r="TWF1054" s="989"/>
      <c r="TWG1054" s="989"/>
      <c r="TWH1054" s="989"/>
      <c r="TWI1054" s="989"/>
      <c r="TWJ1054" s="989"/>
      <c r="TWK1054" s="989"/>
      <c r="TWL1054" s="989"/>
      <c r="TWM1054" s="989"/>
      <c r="TWN1054" s="989"/>
      <c r="TWO1054" s="989"/>
      <c r="TWP1054" s="989"/>
      <c r="TWQ1054" s="989"/>
      <c r="TWR1054" s="989"/>
      <c r="TWS1054" s="989"/>
      <c r="TWT1054" s="989"/>
      <c r="TWU1054" s="989"/>
      <c r="TWV1054" s="989"/>
      <c r="TWW1054" s="989"/>
      <c r="TWX1054" s="989"/>
      <c r="TWY1054" s="989"/>
      <c r="TWZ1054" s="989"/>
      <c r="TXA1054" s="989"/>
      <c r="TXB1054" s="989"/>
      <c r="TXC1054" s="989"/>
      <c r="TXD1054" s="989"/>
      <c r="TXE1054" s="989"/>
      <c r="TXF1054" s="989"/>
      <c r="TXG1054" s="989"/>
      <c r="TXH1054" s="989"/>
      <c r="TXI1054" s="989"/>
      <c r="TXJ1054" s="989"/>
      <c r="TXK1054" s="989"/>
      <c r="TXL1054" s="989"/>
      <c r="TXM1054" s="989"/>
      <c r="TXN1054" s="989"/>
      <c r="TXO1054" s="989"/>
      <c r="TXP1054" s="989"/>
      <c r="TXQ1054" s="989"/>
      <c r="TXR1054" s="989"/>
      <c r="TXS1054" s="989"/>
      <c r="TXT1054" s="989"/>
      <c r="TXU1054" s="989"/>
      <c r="TXV1054" s="989"/>
      <c r="TXW1054" s="989"/>
      <c r="TXX1054" s="989"/>
      <c r="TXY1054" s="989"/>
      <c r="TXZ1054" s="989"/>
      <c r="TYA1054" s="989"/>
      <c r="TYB1054" s="989"/>
      <c r="TYC1054" s="989"/>
      <c r="TYD1054" s="989"/>
      <c r="TYE1054" s="989"/>
      <c r="TYF1054" s="989"/>
      <c r="TYG1054" s="989"/>
      <c r="TYH1054" s="989"/>
      <c r="TYI1054" s="989"/>
      <c r="TYJ1054" s="989"/>
      <c r="TYK1054" s="989"/>
      <c r="TYL1054" s="989"/>
      <c r="TYM1054" s="989"/>
      <c r="TYN1054" s="989"/>
      <c r="TYO1054" s="989"/>
      <c r="TYP1054" s="989"/>
      <c r="TYQ1054" s="989"/>
      <c r="TYR1054" s="989"/>
      <c r="TYS1054" s="989"/>
      <c r="TYT1054" s="989"/>
      <c r="TYU1054" s="989"/>
      <c r="TYV1054" s="989"/>
      <c r="TYW1054" s="989"/>
      <c r="TYX1054" s="989"/>
      <c r="TYY1054" s="989"/>
      <c r="TYZ1054" s="989"/>
      <c r="TZA1054" s="989"/>
      <c r="TZB1054" s="989"/>
      <c r="TZC1054" s="989"/>
      <c r="TZD1054" s="989"/>
      <c r="TZE1054" s="989"/>
      <c r="TZF1054" s="989"/>
      <c r="TZG1054" s="989"/>
      <c r="TZH1054" s="989"/>
      <c r="TZI1054" s="989"/>
      <c r="TZJ1054" s="989"/>
      <c r="TZK1054" s="989"/>
      <c r="TZL1054" s="989"/>
      <c r="TZM1054" s="989"/>
      <c r="TZN1054" s="989"/>
      <c r="TZO1054" s="989"/>
      <c r="TZP1054" s="989"/>
      <c r="TZQ1054" s="989"/>
      <c r="TZR1054" s="989"/>
      <c r="TZS1054" s="989"/>
      <c r="TZT1054" s="989"/>
      <c r="TZU1054" s="989"/>
      <c r="TZV1054" s="989"/>
      <c r="TZW1054" s="989"/>
      <c r="TZX1054" s="989"/>
      <c r="TZY1054" s="989"/>
      <c r="TZZ1054" s="989"/>
      <c r="UAA1054" s="989"/>
      <c r="UAB1054" s="989"/>
      <c r="UAC1054" s="989"/>
      <c r="UAD1054" s="989"/>
      <c r="UAE1054" s="989"/>
      <c r="UAF1054" s="989"/>
      <c r="UAG1054" s="989"/>
      <c r="UAH1054" s="989"/>
      <c r="UAI1054" s="989"/>
      <c r="UAJ1054" s="989"/>
      <c r="UAK1054" s="989"/>
      <c r="UAL1054" s="989"/>
      <c r="UAM1054" s="989"/>
      <c r="UAN1054" s="989"/>
      <c r="UAO1054" s="989"/>
      <c r="UAP1054" s="989"/>
      <c r="UAQ1054" s="989"/>
      <c r="UAR1054" s="989"/>
      <c r="UAS1054" s="989"/>
      <c r="UAT1054" s="989"/>
      <c r="UAU1054" s="989"/>
      <c r="UAV1054" s="989"/>
      <c r="UAW1054" s="989"/>
      <c r="UAX1054" s="989"/>
      <c r="UAY1054" s="989"/>
      <c r="UAZ1054" s="989"/>
      <c r="UBA1054" s="989"/>
      <c r="UBB1054" s="989"/>
      <c r="UBC1054" s="989"/>
      <c r="UBD1054" s="989"/>
      <c r="UBE1054" s="989"/>
      <c r="UBF1054" s="989"/>
      <c r="UBG1054" s="989"/>
      <c r="UBH1054" s="989"/>
      <c r="UBI1054" s="989"/>
      <c r="UBJ1054" s="989"/>
      <c r="UBK1054" s="989"/>
      <c r="UBL1054" s="989"/>
      <c r="UBM1054" s="989"/>
      <c r="UBN1054" s="989"/>
      <c r="UBO1054" s="989"/>
      <c r="UBP1054" s="989"/>
      <c r="UBQ1054" s="989"/>
      <c r="UBR1054" s="989"/>
      <c r="UBS1054" s="989"/>
      <c r="UBT1054" s="989"/>
      <c r="UBU1054" s="989"/>
      <c r="UBV1054" s="989"/>
      <c r="UBW1054" s="989"/>
      <c r="UBX1054" s="989"/>
      <c r="UBY1054" s="989"/>
      <c r="UBZ1054" s="989"/>
      <c r="UCA1054" s="989"/>
      <c r="UCB1054" s="989"/>
      <c r="UCC1054" s="989"/>
      <c r="UCD1054" s="989"/>
      <c r="UCE1054" s="989"/>
      <c r="UCF1054" s="989"/>
      <c r="UCG1054" s="989"/>
      <c r="UCH1054" s="989"/>
      <c r="UCI1054" s="989"/>
      <c r="UCJ1054" s="989"/>
      <c r="UCK1054" s="989"/>
      <c r="UCL1054" s="989"/>
      <c r="UCM1054" s="989"/>
      <c r="UCN1054" s="989"/>
      <c r="UCO1054" s="989"/>
      <c r="UCP1054" s="989"/>
      <c r="UCQ1054" s="989"/>
      <c r="UCR1054" s="989"/>
      <c r="UCS1054" s="989"/>
      <c r="UCT1054" s="989"/>
      <c r="UCU1054" s="989"/>
      <c r="UCV1054" s="989"/>
      <c r="UCW1054" s="989"/>
      <c r="UCX1054" s="989"/>
      <c r="UCY1054" s="989"/>
      <c r="UCZ1054" s="989"/>
      <c r="UDA1054" s="989"/>
      <c r="UDB1054" s="989"/>
      <c r="UDC1054" s="989"/>
      <c r="UDD1054" s="989"/>
      <c r="UDE1054" s="989"/>
      <c r="UDF1054" s="989"/>
      <c r="UDG1054" s="989"/>
      <c r="UDH1054" s="989"/>
      <c r="UDI1054" s="989"/>
      <c r="UDJ1054" s="989"/>
      <c r="UDK1054" s="989"/>
      <c r="UDL1054" s="989"/>
      <c r="UDM1054" s="989"/>
      <c r="UDN1054" s="989"/>
      <c r="UDO1054" s="989"/>
      <c r="UDP1054" s="989"/>
      <c r="UDQ1054" s="989"/>
      <c r="UDR1054" s="989"/>
      <c r="UDS1054" s="989"/>
      <c r="UDT1054" s="989"/>
      <c r="UDU1054" s="989"/>
      <c r="UDV1054" s="989"/>
      <c r="UDW1054" s="989"/>
      <c r="UDX1054" s="989"/>
      <c r="UDY1054" s="989"/>
      <c r="UDZ1054" s="989"/>
      <c r="UEA1054" s="989"/>
      <c r="UEB1054" s="989"/>
      <c r="UEC1054" s="989"/>
      <c r="UED1054" s="989"/>
      <c r="UEE1054" s="989"/>
      <c r="UEF1054" s="989"/>
      <c r="UEG1054" s="989"/>
      <c r="UEH1054" s="989"/>
      <c r="UEI1054" s="989"/>
      <c r="UEJ1054" s="989"/>
      <c r="UEK1054" s="989"/>
      <c r="UEL1054" s="989"/>
      <c r="UEM1054" s="989"/>
      <c r="UEN1054" s="989"/>
      <c r="UEO1054" s="989"/>
      <c r="UEP1054" s="989"/>
      <c r="UEQ1054" s="989"/>
      <c r="UER1054" s="989"/>
      <c r="UES1054" s="989"/>
      <c r="UET1054" s="989"/>
      <c r="UEU1054" s="989"/>
      <c r="UEV1054" s="989"/>
      <c r="UEW1054" s="989"/>
      <c r="UEX1054" s="989"/>
      <c r="UEY1054" s="989"/>
      <c r="UEZ1054" s="989"/>
      <c r="UFA1054" s="989"/>
      <c r="UFB1054" s="989"/>
      <c r="UFC1054" s="989"/>
      <c r="UFD1054" s="989"/>
      <c r="UFE1054" s="989"/>
      <c r="UFF1054" s="989"/>
      <c r="UFG1054" s="989"/>
      <c r="UFH1054" s="989"/>
      <c r="UFI1054" s="989"/>
      <c r="UFJ1054" s="989"/>
      <c r="UFK1054" s="989"/>
      <c r="UFL1054" s="989"/>
      <c r="UFM1054" s="989"/>
      <c r="UFN1054" s="989"/>
      <c r="UFO1054" s="989"/>
      <c r="UFP1054" s="989"/>
      <c r="UFQ1054" s="989"/>
      <c r="UFR1054" s="989"/>
      <c r="UFS1054" s="989"/>
      <c r="UFT1054" s="989"/>
      <c r="UFU1054" s="989"/>
      <c r="UFV1054" s="989"/>
      <c r="UFW1054" s="989"/>
      <c r="UFX1054" s="989"/>
      <c r="UFY1054" s="989"/>
      <c r="UFZ1054" s="989"/>
      <c r="UGA1054" s="989"/>
      <c r="UGB1054" s="989"/>
      <c r="UGC1054" s="989"/>
      <c r="UGD1054" s="989"/>
      <c r="UGE1054" s="989"/>
      <c r="UGF1054" s="989"/>
      <c r="UGG1054" s="989"/>
      <c r="UGH1054" s="989"/>
      <c r="UGI1054" s="989"/>
      <c r="UGJ1054" s="989"/>
      <c r="UGK1054" s="989"/>
      <c r="UGL1054" s="989"/>
      <c r="UGM1054" s="989"/>
      <c r="UGN1054" s="989"/>
      <c r="UGO1054" s="989"/>
      <c r="UGP1054" s="989"/>
      <c r="UGQ1054" s="989"/>
      <c r="UGR1054" s="989"/>
      <c r="UGS1054" s="989"/>
      <c r="UGT1054" s="989"/>
      <c r="UGU1054" s="989"/>
      <c r="UGV1054" s="989"/>
      <c r="UGW1054" s="989"/>
      <c r="UGX1054" s="989"/>
      <c r="UGY1054" s="989"/>
      <c r="UGZ1054" s="989"/>
      <c r="UHA1054" s="989"/>
      <c r="UHB1054" s="989"/>
      <c r="UHC1054" s="989"/>
      <c r="UHD1054" s="989"/>
      <c r="UHE1054" s="989"/>
      <c r="UHF1054" s="989"/>
      <c r="UHG1054" s="989"/>
      <c r="UHH1054" s="989"/>
      <c r="UHI1054" s="989"/>
      <c r="UHJ1054" s="989"/>
      <c r="UHK1054" s="989"/>
      <c r="UHL1054" s="989"/>
      <c r="UHM1054" s="989"/>
      <c r="UHN1054" s="989"/>
      <c r="UHO1054" s="989"/>
      <c r="UHP1054" s="989"/>
      <c r="UHQ1054" s="989"/>
      <c r="UHR1054" s="989"/>
      <c r="UHS1054" s="989"/>
      <c r="UHT1054" s="989"/>
      <c r="UHU1054" s="989"/>
      <c r="UHV1054" s="989"/>
      <c r="UHW1054" s="989"/>
      <c r="UHX1054" s="989"/>
      <c r="UHY1054" s="989"/>
      <c r="UHZ1054" s="989"/>
      <c r="UIA1054" s="989"/>
      <c r="UIB1054" s="989"/>
      <c r="UIC1054" s="989"/>
      <c r="UID1054" s="989"/>
      <c r="UIE1054" s="989"/>
      <c r="UIF1054" s="989"/>
      <c r="UIG1054" s="989"/>
      <c r="UIH1054" s="989"/>
      <c r="UII1054" s="989"/>
      <c r="UIJ1054" s="989"/>
      <c r="UIK1054" s="989"/>
      <c r="UIL1054" s="989"/>
      <c r="UIM1054" s="989"/>
      <c r="UIN1054" s="989"/>
      <c r="UIO1054" s="989"/>
      <c r="UIP1054" s="989"/>
      <c r="UIQ1054" s="989"/>
      <c r="UIR1054" s="989"/>
      <c r="UIS1054" s="989"/>
      <c r="UIT1054" s="989"/>
      <c r="UIU1054" s="989"/>
      <c r="UIV1054" s="989"/>
      <c r="UIW1054" s="989"/>
      <c r="UIX1054" s="989"/>
      <c r="UIY1054" s="989"/>
      <c r="UIZ1054" s="989"/>
      <c r="UJA1054" s="989"/>
      <c r="UJB1054" s="989"/>
      <c r="UJC1054" s="989"/>
      <c r="UJD1054" s="989"/>
      <c r="UJE1054" s="989"/>
      <c r="UJF1054" s="989"/>
      <c r="UJG1054" s="989"/>
      <c r="UJH1054" s="989"/>
      <c r="UJI1054" s="989"/>
      <c r="UJJ1054" s="989"/>
      <c r="UJK1054" s="989"/>
      <c r="UJL1054" s="989"/>
      <c r="UJM1054" s="989"/>
      <c r="UJN1054" s="989"/>
      <c r="UJO1054" s="989"/>
      <c r="UJP1054" s="989"/>
      <c r="UJQ1054" s="989"/>
      <c r="UJR1054" s="989"/>
      <c r="UJS1054" s="989"/>
      <c r="UJT1054" s="989"/>
      <c r="UJU1054" s="989"/>
      <c r="UJV1054" s="989"/>
      <c r="UJW1054" s="989"/>
      <c r="UJX1054" s="989"/>
      <c r="UJY1054" s="989"/>
      <c r="UJZ1054" s="989"/>
      <c r="UKA1054" s="989"/>
      <c r="UKB1054" s="989"/>
      <c r="UKC1054" s="989"/>
      <c r="UKD1054" s="989"/>
      <c r="UKE1054" s="989"/>
      <c r="UKF1054" s="989"/>
      <c r="UKG1054" s="989"/>
      <c r="UKH1054" s="989"/>
      <c r="UKI1054" s="989"/>
      <c r="UKJ1054" s="989"/>
      <c r="UKK1054" s="989"/>
      <c r="UKL1054" s="989"/>
      <c r="UKM1054" s="989"/>
      <c r="UKN1054" s="989"/>
      <c r="UKO1054" s="989"/>
      <c r="UKP1054" s="989"/>
      <c r="UKQ1054" s="989"/>
      <c r="UKR1054" s="989"/>
      <c r="UKS1054" s="989"/>
      <c r="UKT1054" s="989"/>
      <c r="UKU1054" s="989"/>
      <c r="UKV1054" s="989"/>
      <c r="UKW1054" s="989"/>
      <c r="UKX1054" s="989"/>
      <c r="UKY1054" s="989"/>
      <c r="UKZ1054" s="989"/>
      <c r="ULA1054" s="989"/>
      <c r="ULB1054" s="989"/>
      <c r="ULC1054" s="989"/>
      <c r="ULD1054" s="989"/>
      <c r="ULE1054" s="989"/>
      <c r="ULF1054" s="989"/>
      <c r="ULG1054" s="989"/>
      <c r="ULH1054" s="989"/>
      <c r="ULI1054" s="989"/>
      <c r="ULJ1054" s="989"/>
      <c r="ULK1054" s="989"/>
      <c r="ULL1054" s="989"/>
      <c r="ULM1054" s="989"/>
      <c r="ULN1054" s="989"/>
      <c r="ULO1054" s="989"/>
      <c r="ULP1054" s="989"/>
      <c r="ULQ1054" s="989"/>
      <c r="ULR1054" s="989"/>
      <c r="ULS1054" s="989"/>
      <c r="ULT1054" s="989"/>
      <c r="ULU1054" s="989"/>
      <c r="ULV1054" s="989"/>
      <c r="ULW1054" s="989"/>
      <c r="ULX1054" s="989"/>
      <c r="ULY1054" s="989"/>
      <c r="ULZ1054" s="989"/>
      <c r="UMA1054" s="989"/>
      <c r="UMB1054" s="989"/>
      <c r="UMC1054" s="989"/>
      <c r="UMD1054" s="989"/>
      <c r="UME1054" s="989"/>
      <c r="UMF1054" s="989"/>
      <c r="UMG1054" s="989"/>
      <c r="UMH1054" s="989"/>
      <c r="UMI1054" s="989"/>
      <c r="UMJ1054" s="989"/>
      <c r="UMK1054" s="989"/>
      <c r="UML1054" s="989"/>
      <c r="UMM1054" s="989"/>
      <c r="UMN1054" s="989"/>
      <c r="UMO1054" s="989"/>
      <c r="UMP1054" s="989"/>
      <c r="UMQ1054" s="989"/>
      <c r="UMR1054" s="989"/>
      <c r="UMS1054" s="989"/>
      <c r="UMT1054" s="989"/>
      <c r="UMU1054" s="989"/>
      <c r="UMV1054" s="989"/>
      <c r="UMW1054" s="989"/>
      <c r="UMX1054" s="989"/>
      <c r="UMY1054" s="989"/>
      <c r="UMZ1054" s="989"/>
      <c r="UNA1054" s="989"/>
      <c r="UNB1054" s="989"/>
      <c r="UNC1054" s="989"/>
      <c r="UND1054" s="989"/>
      <c r="UNE1054" s="989"/>
      <c r="UNF1054" s="989"/>
      <c r="UNG1054" s="989"/>
      <c r="UNH1054" s="989"/>
      <c r="UNI1054" s="989"/>
      <c r="UNJ1054" s="989"/>
      <c r="UNK1054" s="989"/>
      <c r="UNL1054" s="989"/>
      <c r="UNM1054" s="989"/>
      <c r="UNN1054" s="989"/>
      <c r="UNO1054" s="989"/>
      <c r="UNP1054" s="989"/>
      <c r="UNQ1054" s="989"/>
      <c r="UNR1054" s="989"/>
      <c r="UNS1054" s="989"/>
      <c r="UNT1054" s="989"/>
      <c r="UNU1054" s="989"/>
      <c r="UNV1054" s="989"/>
      <c r="UNW1054" s="989"/>
      <c r="UNX1054" s="989"/>
      <c r="UNY1054" s="989"/>
      <c r="UNZ1054" s="989"/>
      <c r="UOA1054" s="989"/>
      <c r="UOB1054" s="989"/>
      <c r="UOC1054" s="989"/>
      <c r="UOD1054" s="989"/>
      <c r="UOE1054" s="989"/>
      <c r="UOF1054" s="989"/>
      <c r="UOG1054" s="989"/>
      <c r="UOH1054" s="989"/>
      <c r="UOI1054" s="989"/>
      <c r="UOJ1054" s="989"/>
      <c r="UOK1054" s="989"/>
      <c r="UOL1054" s="989"/>
      <c r="UOM1054" s="989"/>
      <c r="UON1054" s="989"/>
      <c r="UOO1054" s="989"/>
      <c r="UOP1054" s="989"/>
      <c r="UOQ1054" s="989"/>
      <c r="UOR1054" s="989"/>
      <c r="UOS1054" s="989"/>
      <c r="UOT1054" s="989"/>
      <c r="UOU1054" s="989"/>
      <c r="UOV1054" s="989"/>
      <c r="UOW1054" s="989"/>
      <c r="UOX1054" s="989"/>
      <c r="UOY1054" s="989"/>
      <c r="UOZ1054" s="989"/>
      <c r="UPA1054" s="989"/>
      <c r="UPB1054" s="989"/>
      <c r="UPC1054" s="989"/>
      <c r="UPD1054" s="989"/>
      <c r="UPE1054" s="989"/>
      <c r="UPF1054" s="989"/>
      <c r="UPG1054" s="989"/>
      <c r="UPH1054" s="989"/>
      <c r="UPI1054" s="989"/>
      <c r="UPJ1054" s="989"/>
      <c r="UPK1054" s="989"/>
      <c r="UPL1054" s="989"/>
      <c r="UPM1054" s="989"/>
      <c r="UPN1054" s="989"/>
      <c r="UPO1054" s="989"/>
      <c r="UPP1054" s="989"/>
      <c r="UPQ1054" s="989"/>
      <c r="UPR1054" s="989"/>
      <c r="UPS1054" s="989"/>
      <c r="UPT1054" s="989"/>
      <c r="UPU1054" s="989"/>
      <c r="UPV1054" s="989"/>
      <c r="UPW1054" s="989"/>
      <c r="UPX1054" s="989"/>
      <c r="UPY1054" s="989"/>
      <c r="UPZ1054" s="989"/>
      <c r="UQA1054" s="989"/>
      <c r="UQB1054" s="989"/>
      <c r="UQC1054" s="989"/>
      <c r="UQD1054" s="989"/>
      <c r="UQE1054" s="989"/>
      <c r="UQF1054" s="989"/>
      <c r="UQG1054" s="989"/>
      <c r="UQH1054" s="989"/>
      <c r="UQI1054" s="989"/>
      <c r="UQJ1054" s="989"/>
      <c r="UQK1054" s="989"/>
      <c r="UQL1054" s="989"/>
      <c r="UQM1054" s="989"/>
      <c r="UQN1054" s="989"/>
      <c r="UQO1054" s="989"/>
      <c r="UQP1054" s="989"/>
      <c r="UQQ1054" s="989"/>
      <c r="UQR1054" s="989"/>
      <c r="UQS1054" s="989"/>
      <c r="UQT1054" s="989"/>
      <c r="UQU1054" s="989"/>
      <c r="UQV1054" s="989"/>
      <c r="UQW1054" s="989"/>
      <c r="UQX1054" s="989"/>
      <c r="UQY1054" s="989"/>
      <c r="UQZ1054" s="989"/>
      <c r="URA1054" s="989"/>
      <c r="URB1054" s="989"/>
      <c r="URC1054" s="989"/>
      <c r="URD1054" s="989"/>
      <c r="URE1054" s="989"/>
      <c r="URF1054" s="989"/>
      <c r="URG1054" s="989"/>
      <c r="URH1054" s="989"/>
      <c r="URI1054" s="989"/>
      <c r="URJ1054" s="989"/>
      <c r="URK1054" s="989"/>
      <c r="URL1054" s="989"/>
      <c r="URM1054" s="989"/>
      <c r="URN1054" s="989"/>
      <c r="URO1054" s="989"/>
      <c r="URP1054" s="989"/>
      <c r="URQ1054" s="989"/>
      <c r="URR1054" s="989"/>
      <c r="URS1054" s="989"/>
      <c r="URT1054" s="989"/>
      <c r="URU1054" s="989"/>
      <c r="URV1054" s="989"/>
      <c r="URW1054" s="989"/>
      <c r="URX1054" s="989"/>
      <c r="URY1054" s="989"/>
      <c r="URZ1054" s="989"/>
      <c r="USA1054" s="989"/>
      <c r="USB1054" s="989"/>
      <c r="USC1054" s="989"/>
      <c r="USD1054" s="989"/>
      <c r="USE1054" s="989"/>
      <c r="USF1054" s="989"/>
      <c r="USG1054" s="989"/>
      <c r="USH1054" s="989"/>
      <c r="USI1054" s="989"/>
      <c r="USJ1054" s="989"/>
      <c r="USK1054" s="989"/>
      <c r="USL1054" s="989"/>
      <c r="USM1054" s="989"/>
      <c r="USN1054" s="989"/>
      <c r="USO1054" s="989"/>
      <c r="USP1054" s="989"/>
      <c r="USQ1054" s="989"/>
      <c r="USR1054" s="989"/>
      <c r="USS1054" s="989"/>
      <c r="UST1054" s="989"/>
      <c r="USU1054" s="989"/>
      <c r="USV1054" s="989"/>
      <c r="USW1054" s="989"/>
      <c r="USX1054" s="989"/>
      <c r="USY1054" s="989"/>
      <c r="USZ1054" s="989"/>
      <c r="UTA1054" s="989"/>
      <c r="UTB1054" s="989"/>
      <c r="UTC1054" s="989"/>
      <c r="UTD1054" s="989"/>
      <c r="UTE1054" s="989"/>
      <c r="UTF1054" s="989"/>
      <c r="UTG1054" s="989"/>
      <c r="UTH1054" s="989"/>
      <c r="UTI1054" s="989"/>
      <c r="UTJ1054" s="989"/>
      <c r="UTK1054" s="989"/>
      <c r="UTL1054" s="989"/>
      <c r="UTM1054" s="989"/>
      <c r="UTN1054" s="989"/>
      <c r="UTO1054" s="989"/>
      <c r="UTP1054" s="989"/>
      <c r="UTQ1054" s="989"/>
      <c r="UTR1054" s="989"/>
      <c r="UTS1054" s="989"/>
      <c r="UTT1054" s="989"/>
      <c r="UTU1054" s="989"/>
      <c r="UTV1054" s="989"/>
      <c r="UTW1054" s="989"/>
      <c r="UTX1054" s="989"/>
      <c r="UTY1054" s="989"/>
      <c r="UTZ1054" s="989"/>
      <c r="UUA1054" s="989"/>
      <c r="UUB1054" s="989"/>
      <c r="UUC1054" s="989"/>
      <c r="UUD1054" s="989"/>
      <c r="UUE1054" s="989"/>
      <c r="UUF1054" s="989"/>
      <c r="UUG1054" s="989"/>
      <c r="UUH1054" s="989"/>
      <c r="UUI1054" s="989"/>
      <c r="UUJ1054" s="989"/>
      <c r="UUK1054" s="989"/>
      <c r="UUL1054" s="989"/>
      <c r="UUM1054" s="989"/>
      <c r="UUN1054" s="989"/>
      <c r="UUO1054" s="989"/>
      <c r="UUP1054" s="989"/>
      <c r="UUQ1054" s="989"/>
      <c r="UUR1054" s="989"/>
      <c r="UUS1054" s="989"/>
      <c r="UUT1054" s="989"/>
      <c r="UUU1054" s="989"/>
      <c r="UUV1054" s="989"/>
      <c r="UUW1054" s="989"/>
      <c r="UUX1054" s="989"/>
      <c r="UUY1054" s="989"/>
      <c r="UUZ1054" s="989"/>
      <c r="UVA1054" s="989"/>
      <c r="UVB1054" s="989"/>
      <c r="UVC1054" s="989"/>
      <c r="UVD1054" s="989"/>
      <c r="UVE1054" s="989"/>
      <c r="UVF1054" s="989"/>
      <c r="UVG1054" s="989"/>
      <c r="UVH1054" s="989"/>
      <c r="UVI1054" s="989"/>
      <c r="UVJ1054" s="989"/>
      <c r="UVK1054" s="989"/>
      <c r="UVL1054" s="989"/>
      <c r="UVM1054" s="989"/>
      <c r="UVN1054" s="989"/>
      <c r="UVO1054" s="989"/>
      <c r="UVP1054" s="989"/>
      <c r="UVQ1054" s="989"/>
      <c r="UVR1054" s="989"/>
      <c r="UVS1054" s="989"/>
      <c r="UVT1054" s="989"/>
      <c r="UVU1054" s="989"/>
      <c r="UVV1054" s="989"/>
      <c r="UVW1054" s="989"/>
      <c r="UVX1054" s="989"/>
      <c r="UVY1054" s="989"/>
      <c r="UVZ1054" s="989"/>
      <c r="UWA1054" s="989"/>
      <c r="UWB1054" s="989"/>
      <c r="UWC1054" s="989"/>
      <c r="UWD1054" s="989"/>
      <c r="UWE1054" s="989"/>
      <c r="UWF1054" s="989"/>
      <c r="UWG1054" s="989"/>
      <c r="UWH1054" s="989"/>
      <c r="UWI1054" s="989"/>
      <c r="UWJ1054" s="989"/>
      <c r="UWK1054" s="989"/>
      <c r="UWL1054" s="989"/>
      <c r="UWM1054" s="989"/>
      <c r="UWN1054" s="989"/>
      <c r="UWO1054" s="989"/>
      <c r="UWP1054" s="989"/>
      <c r="UWQ1054" s="989"/>
      <c r="UWR1054" s="989"/>
      <c r="UWS1054" s="989"/>
      <c r="UWT1054" s="989"/>
      <c r="UWU1054" s="989"/>
      <c r="UWV1054" s="989"/>
      <c r="UWW1054" s="989"/>
      <c r="UWX1054" s="989"/>
      <c r="UWY1054" s="989"/>
      <c r="UWZ1054" s="989"/>
      <c r="UXA1054" s="989"/>
      <c r="UXB1054" s="989"/>
      <c r="UXC1054" s="989"/>
      <c r="UXD1054" s="989"/>
      <c r="UXE1054" s="989"/>
      <c r="UXF1054" s="989"/>
      <c r="UXG1054" s="989"/>
      <c r="UXH1054" s="989"/>
      <c r="UXI1054" s="989"/>
      <c r="UXJ1054" s="989"/>
      <c r="UXK1054" s="989"/>
      <c r="UXL1054" s="989"/>
      <c r="UXM1054" s="989"/>
      <c r="UXN1054" s="989"/>
      <c r="UXO1054" s="989"/>
      <c r="UXP1054" s="989"/>
      <c r="UXQ1054" s="989"/>
      <c r="UXR1054" s="989"/>
      <c r="UXS1054" s="989"/>
      <c r="UXT1054" s="989"/>
      <c r="UXU1054" s="989"/>
      <c r="UXV1054" s="989"/>
      <c r="UXW1054" s="989"/>
      <c r="UXX1054" s="989"/>
      <c r="UXY1054" s="989"/>
      <c r="UXZ1054" s="989"/>
      <c r="UYA1054" s="989"/>
      <c r="UYB1054" s="989"/>
      <c r="UYC1054" s="989"/>
      <c r="UYD1054" s="989"/>
      <c r="UYE1054" s="989"/>
      <c r="UYF1054" s="989"/>
      <c r="UYG1054" s="989"/>
      <c r="UYH1054" s="989"/>
      <c r="UYI1054" s="989"/>
      <c r="UYJ1054" s="989"/>
      <c r="UYK1054" s="989"/>
      <c r="UYL1054" s="989"/>
      <c r="UYM1054" s="989"/>
      <c r="UYN1054" s="989"/>
      <c r="UYO1054" s="989"/>
      <c r="UYP1054" s="989"/>
      <c r="UYQ1054" s="989"/>
      <c r="UYR1054" s="989"/>
      <c r="UYS1054" s="989"/>
      <c r="UYT1054" s="989"/>
      <c r="UYU1054" s="989"/>
      <c r="UYV1054" s="989"/>
      <c r="UYW1054" s="989"/>
      <c r="UYX1054" s="989"/>
      <c r="UYY1054" s="989"/>
      <c r="UYZ1054" s="989"/>
      <c r="UZA1054" s="989"/>
      <c r="UZB1054" s="989"/>
      <c r="UZC1054" s="989"/>
      <c r="UZD1054" s="989"/>
      <c r="UZE1054" s="989"/>
      <c r="UZF1054" s="989"/>
      <c r="UZG1054" s="989"/>
      <c r="UZH1054" s="989"/>
      <c r="UZI1054" s="989"/>
      <c r="UZJ1054" s="989"/>
      <c r="UZK1054" s="989"/>
      <c r="UZL1054" s="989"/>
      <c r="UZM1054" s="989"/>
      <c r="UZN1054" s="989"/>
      <c r="UZO1054" s="989"/>
      <c r="UZP1054" s="989"/>
      <c r="UZQ1054" s="989"/>
      <c r="UZR1054" s="989"/>
      <c r="UZS1054" s="989"/>
      <c r="UZT1054" s="989"/>
      <c r="UZU1054" s="989"/>
      <c r="UZV1054" s="989"/>
      <c r="UZW1054" s="989"/>
      <c r="UZX1054" s="989"/>
      <c r="UZY1054" s="989"/>
      <c r="UZZ1054" s="989"/>
      <c r="VAA1054" s="989"/>
      <c r="VAB1054" s="989"/>
      <c r="VAC1054" s="989"/>
      <c r="VAD1054" s="989"/>
      <c r="VAE1054" s="989"/>
      <c r="VAF1054" s="989"/>
      <c r="VAG1054" s="989"/>
      <c r="VAH1054" s="989"/>
      <c r="VAI1054" s="989"/>
      <c r="VAJ1054" s="989"/>
      <c r="VAK1054" s="989"/>
      <c r="VAL1054" s="989"/>
      <c r="VAM1054" s="989"/>
      <c r="VAN1054" s="989"/>
      <c r="VAO1054" s="989"/>
      <c r="VAP1054" s="989"/>
      <c r="VAQ1054" s="989"/>
      <c r="VAR1054" s="989"/>
      <c r="VAS1054" s="989"/>
      <c r="VAT1054" s="989"/>
      <c r="VAU1054" s="989"/>
      <c r="VAV1054" s="989"/>
      <c r="VAW1054" s="989"/>
      <c r="VAX1054" s="989"/>
      <c r="VAY1054" s="989"/>
      <c r="VAZ1054" s="989"/>
      <c r="VBA1054" s="989"/>
      <c r="VBB1054" s="989"/>
      <c r="VBC1054" s="989"/>
      <c r="VBD1054" s="989"/>
      <c r="VBE1054" s="989"/>
      <c r="VBF1054" s="989"/>
      <c r="VBG1054" s="989"/>
      <c r="VBH1054" s="989"/>
      <c r="VBI1054" s="989"/>
      <c r="VBJ1054" s="989"/>
      <c r="VBK1054" s="989"/>
      <c r="VBL1054" s="989"/>
      <c r="VBM1054" s="989"/>
      <c r="VBN1054" s="989"/>
      <c r="VBO1054" s="989"/>
      <c r="VBP1054" s="989"/>
      <c r="VBQ1054" s="989"/>
      <c r="VBR1054" s="989"/>
      <c r="VBS1054" s="989"/>
      <c r="VBT1054" s="989"/>
      <c r="VBU1054" s="989"/>
      <c r="VBV1054" s="989"/>
      <c r="VBW1054" s="989"/>
      <c r="VBX1054" s="989"/>
      <c r="VBY1054" s="989"/>
      <c r="VBZ1054" s="989"/>
      <c r="VCA1054" s="989"/>
      <c r="VCB1054" s="989"/>
      <c r="VCC1054" s="989"/>
      <c r="VCD1054" s="989"/>
      <c r="VCE1054" s="989"/>
      <c r="VCF1054" s="989"/>
      <c r="VCG1054" s="989"/>
      <c r="VCH1054" s="989"/>
      <c r="VCI1054" s="989"/>
      <c r="VCJ1054" s="989"/>
      <c r="VCK1054" s="989"/>
      <c r="VCL1054" s="989"/>
      <c r="VCM1054" s="989"/>
      <c r="VCN1054" s="989"/>
      <c r="VCO1054" s="989"/>
      <c r="VCP1054" s="989"/>
      <c r="VCQ1054" s="989"/>
      <c r="VCR1054" s="989"/>
      <c r="VCS1054" s="989"/>
      <c r="VCT1054" s="989"/>
      <c r="VCU1054" s="989"/>
      <c r="VCV1054" s="989"/>
      <c r="VCW1054" s="989"/>
      <c r="VCX1054" s="989"/>
      <c r="VCY1054" s="989"/>
      <c r="VCZ1054" s="989"/>
      <c r="VDA1054" s="989"/>
      <c r="VDB1054" s="989"/>
      <c r="VDC1054" s="989"/>
      <c r="VDD1054" s="989"/>
      <c r="VDE1054" s="989"/>
      <c r="VDF1054" s="989"/>
      <c r="VDG1054" s="989"/>
      <c r="VDH1054" s="989"/>
      <c r="VDI1054" s="989"/>
      <c r="VDJ1054" s="989"/>
      <c r="VDK1054" s="989"/>
      <c r="VDL1054" s="989"/>
      <c r="VDM1054" s="989"/>
      <c r="VDN1054" s="989"/>
      <c r="VDO1054" s="989"/>
      <c r="VDP1054" s="989"/>
      <c r="VDQ1054" s="989"/>
      <c r="VDR1054" s="989"/>
      <c r="VDS1054" s="989"/>
      <c r="VDT1054" s="989"/>
      <c r="VDU1054" s="989"/>
      <c r="VDV1054" s="989"/>
      <c r="VDW1054" s="989"/>
      <c r="VDX1054" s="989"/>
      <c r="VDY1054" s="989"/>
      <c r="VDZ1054" s="989"/>
      <c r="VEA1054" s="989"/>
      <c r="VEB1054" s="989"/>
      <c r="VEC1054" s="989"/>
      <c r="VED1054" s="989"/>
      <c r="VEE1054" s="989"/>
      <c r="VEF1054" s="989"/>
      <c r="VEG1054" s="989"/>
      <c r="VEH1054" s="989"/>
      <c r="VEI1054" s="989"/>
      <c r="VEJ1054" s="989"/>
      <c r="VEK1054" s="989"/>
      <c r="VEL1054" s="989"/>
      <c r="VEM1054" s="989"/>
      <c r="VEN1054" s="989"/>
      <c r="VEO1054" s="989"/>
      <c r="VEP1054" s="989"/>
      <c r="VEQ1054" s="989"/>
      <c r="VER1054" s="989"/>
      <c r="VES1054" s="989"/>
      <c r="VET1054" s="989"/>
      <c r="VEU1054" s="989"/>
      <c r="VEV1054" s="989"/>
      <c r="VEW1054" s="989"/>
      <c r="VEX1054" s="989"/>
      <c r="VEY1054" s="989"/>
      <c r="VEZ1054" s="989"/>
      <c r="VFA1054" s="989"/>
      <c r="VFB1054" s="989"/>
      <c r="VFC1054" s="989"/>
      <c r="VFD1054" s="989"/>
      <c r="VFE1054" s="989"/>
      <c r="VFF1054" s="989"/>
      <c r="VFG1054" s="989"/>
      <c r="VFH1054" s="989"/>
      <c r="VFI1054" s="989"/>
      <c r="VFJ1054" s="989"/>
      <c r="VFK1054" s="989"/>
      <c r="VFL1054" s="989"/>
      <c r="VFM1054" s="989"/>
      <c r="VFN1054" s="989"/>
      <c r="VFO1054" s="989"/>
      <c r="VFP1054" s="989"/>
      <c r="VFQ1054" s="989"/>
      <c r="VFR1054" s="989"/>
      <c r="VFS1054" s="989"/>
      <c r="VFT1054" s="989"/>
      <c r="VFU1054" s="989"/>
      <c r="VFV1054" s="989"/>
      <c r="VFW1054" s="989"/>
      <c r="VFX1054" s="989"/>
      <c r="VFY1054" s="989"/>
      <c r="VFZ1054" s="989"/>
      <c r="VGA1054" s="989"/>
      <c r="VGB1054" s="989"/>
      <c r="VGC1054" s="989"/>
      <c r="VGD1054" s="989"/>
      <c r="VGE1054" s="989"/>
      <c r="VGF1054" s="989"/>
      <c r="VGG1054" s="989"/>
      <c r="VGH1054" s="989"/>
      <c r="VGI1054" s="989"/>
      <c r="VGJ1054" s="989"/>
      <c r="VGK1054" s="989"/>
      <c r="VGL1054" s="989"/>
      <c r="VGM1054" s="989"/>
      <c r="VGN1054" s="989"/>
      <c r="VGO1054" s="989"/>
      <c r="VGP1054" s="989"/>
      <c r="VGQ1054" s="989"/>
      <c r="VGR1054" s="989"/>
      <c r="VGS1054" s="989"/>
      <c r="VGT1054" s="989"/>
      <c r="VGU1054" s="989"/>
      <c r="VGV1054" s="989"/>
      <c r="VGW1054" s="989"/>
      <c r="VGX1054" s="989"/>
      <c r="VGY1054" s="989"/>
      <c r="VGZ1054" s="989"/>
      <c r="VHA1054" s="989"/>
      <c r="VHB1054" s="989"/>
      <c r="VHC1054" s="989"/>
      <c r="VHD1054" s="989"/>
      <c r="VHE1054" s="989"/>
      <c r="VHF1054" s="989"/>
      <c r="VHG1054" s="989"/>
      <c r="VHH1054" s="989"/>
      <c r="VHI1054" s="989"/>
      <c r="VHJ1054" s="989"/>
      <c r="VHK1054" s="989"/>
      <c r="VHL1054" s="989"/>
      <c r="VHM1054" s="989"/>
      <c r="VHN1054" s="989"/>
      <c r="VHO1054" s="989"/>
      <c r="VHP1054" s="989"/>
      <c r="VHQ1054" s="989"/>
      <c r="VHR1054" s="989"/>
      <c r="VHS1054" s="989"/>
      <c r="VHT1054" s="989"/>
      <c r="VHU1054" s="989"/>
      <c r="VHV1054" s="989"/>
      <c r="VHW1054" s="989"/>
      <c r="VHX1054" s="989"/>
      <c r="VHY1054" s="989"/>
      <c r="VHZ1054" s="989"/>
      <c r="VIA1054" s="989"/>
      <c r="VIB1054" s="989"/>
      <c r="VIC1054" s="989"/>
      <c r="VID1054" s="989"/>
      <c r="VIE1054" s="989"/>
      <c r="VIF1054" s="989"/>
      <c r="VIG1054" s="989"/>
      <c r="VIH1054" s="989"/>
      <c r="VII1054" s="989"/>
      <c r="VIJ1054" s="989"/>
      <c r="VIK1054" s="989"/>
      <c r="VIL1054" s="989"/>
      <c r="VIM1054" s="989"/>
      <c r="VIN1054" s="989"/>
      <c r="VIO1054" s="989"/>
      <c r="VIP1054" s="989"/>
      <c r="VIQ1054" s="989"/>
      <c r="VIR1054" s="989"/>
      <c r="VIS1054" s="989"/>
      <c r="VIT1054" s="989"/>
      <c r="VIU1054" s="989"/>
      <c r="VIV1054" s="989"/>
      <c r="VIW1054" s="989"/>
      <c r="VIX1054" s="989"/>
      <c r="VIY1054" s="989"/>
      <c r="VIZ1054" s="989"/>
      <c r="VJA1054" s="989"/>
      <c r="VJB1054" s="989"/>
      <c r="VJC1054" s="989"/>
      <c r="VJD1054" s="989"/>
      <c r="VJE1054" s="989"/>
      <c r="VJF1054" s="989"/>
      <c r="VJG1054" s="989"/>
      <c r="VJH1054" s="989"/>
      <c r="VJI1054" s="989"/>
      <c r="VJJ1054" s="989"/>
      <c r="VJK1054" s="989"/>
      <c r="VJL1054" s="989"/>
      <c r="VJM1054" s="989"/>
      <c r="VJN1054" s="989"/>
      <c r="VJO1054" s="989"/>
      <c r="VJP1054" s="989"/>
      <c r="VJQ1054" s="989"/>
      <c r="VJR1054" s="989"/>
      <c r="VJS1054" s="989"/>
      <c r="VJT1054" s="989"/>
      <c r="VJU1054" s="989"/>
      <c r="VJV1054" s="989"/>
      <c r="VJW1054" s="989"/>
      <c r="VJX1054" s="989"/>
      <c r="VJY1054" s="989"/>
      <c r="VJZ1054" s="989"/>
      <c r="VKA1054" s="989"/>
      <c r="VKB1054" s="989"/>
      <c r="VKC1054" s="989"/>
      <c r="VKD1054" s="989"/>
      <c r="VKE1054" s="989"/>
      <c r="VKF1054" s="989"/>
      <c r="VKG1054" s="989"/>
      <c r="VKH1054" s="989"/>
      <c r="VKI1054" s="989"/>
      <c r="VKJ1054" s="989"/>
      <c r="VKK1054" s="989"/>
      <c r="VKL1054" s="989"/>
      <c r="VKM1054" s="989"/>
      <c r="VKN1054" s="989"/>
      <c r="VKO1054" s="989"/>
      <c r="VKP1054" s="989"/>
      <c r="VKQ1054" s="989"/>
      <c r="VKR1054" s="989"/>
      <c r="VKS1054" s="989"/>
      <c r="VKT1054" s="989"/>
      <c r="VKU1054" s="989"/>
      <c r="VKV1054" s="989"/>
      <c r="VKW1054" s="989"/>
      <c r="VKX1054" s="989"/>
      <c r="VKY1054" s="989"/>
      <c r="VKZ1054" s="989"/>
      <c r="VLA1054" s="989"/>
      <c r="VLB1054" s="989"/>
      <c r="VLC1054" s="989"/>
      <c r="VLD1054" s="989"/>
      <c r="VLE1054" s="989"/>
      <c r="VLF1054" s="989"/>
      <c r="VLG1054" s="989"/>
      <c r="VLH1054" s="989"/>
      <c r="VLI1054" s="989"/>
      <c r="VLJ1054" s="989"/>
      <c r="VLK1054" s="989"/>
      <c r="VLL1054" s="989"/>
      <c r="VLM1054" s="989"/>
      <c r="VLN1054" s="989"/>
      <c r="VLO1054" s="989"/>
      <c r="VLP1054" s="989"/>
      <c r="VLQ1054" s="989"/>
      <c r="VLR1054" s="989"/>
      <c r="VLS1054" s="989"/>
      <c r="VLT1054" s="989"/>
      <c r="VLU1054" s="989"/>
      <c r="VLV1054" s="989"/>
      <c r="VLW1054" s="989"/>
      <c r="VLX1054" s="989"/>
      <c r="VLY1054" s="989"/>
      <c r="VLZ1054" s="989"/>
      <c r="VMA1054" s="989"/>
      <c r="VMB1054" s="989"/>
      <c r="VMC1054" s="989"/>
      <c r="VMD1054" s="989"/>
      <c r="VME1054" s="989"/>
      <c r="VMF1054" s="989"/>
      <c r="VMG1054" s="989"/>
      <c r="VMH1054" s="989"/>
      <c r="VMI1054" s="989"/>
      <c r="VMJ1054" s="989"/>
      <c r="VMK1054" s="989"/>
      <c r="VML1054" s="989"/>
      <c r="VMM1054" s="989"/>
      <c r="VMN1054" s="989"/>
      <c r="VMO1054" s="989"/>
      <c r="VMP1054" s="989"/>
      <c r="VMQ1054" s="989"/>
      <c r="VMR1054" s="989"/>
      <c r="VMS1054" s="989"/>
      <c r="VMT1054" s="989"/>
      <c r="VMU1054" s="989"/>
      <c r="VMV1054" s="989"/>
      <c r="VMW1054" s="989"/>
      <c r="VMX1054" s="989"/>
      <c r="VMY1054" s="989"/>
      <c r="VMZ1054" s="989"/>
      <c r="VNA1054" s="989"/>
      <c r="VNB1054" s="989"/>
      <c r="VNC1054" s="989"/>
      <c r="VND1054" s="989"/>
      <c r="VNE1054" s="989"/>
      <c r="VNF1054" s="989"/>
      <c r="VNG1054" s="989"/>
      <c r="VNH1054" s="989"/>
      <c r="VNI1054" s="989"/>
      <c r="VNJ1054" s="989"/>
      <c r="VNK1054" s="989"/>
      <c r="VNL1054" s="989"/>
      <c r="VNM1054" s="989"/>
      <c r="VNN1054" s="989"/>
      <c r="VNO1054" s="989"/>
      <c r="VNP1054" s="989"/>
      <c r="VNQ1054" s="989"/>
      <c r="VNR1054" s="989"/>
      <c r="VNS1054" s="989"/>
      <c r="VNT1054" s="989"/>
      <c r="VNU1054" s="989"/>
      <c r="VNV1054" s="989"/>
      <c r="VNW1054" s="989"/>
      <c r="VNX1054" s="989"/>
      <c r="VNY1054" s="989"/>
      <c r="VNZ1054" s="989"/>
      <c r="VOA1054" s="989"/>
      <c r="VOB1054" s="989"/>
      <c r="VOC1054" s="989"/>
      <c r="VOD1054" s="989"/>
      <c r="VOE1054" s="989"/>
      <c r="VOF1054" s="989"/>
      <c r="VOG1054" s="989"/>
      <c r="VOH1054" s="989"/>
      <c r="VOI1054" s="989"/>
      <c r="VOJ1054" s="989"/>
      <c r="VOK1054" s="989"/>
      <c r="VOL1054" s="989"/>
      <c r="VOM1054" s="989"/>
      <c r="VON1054" s="989"/>
      <c r="VOO1054" s="989"/>
      <c r="VOP1054" s="989"/>
      <c r="VOQ1054" s="989"/>
      <c r="VOR1054" s="989"/>
      <c r="VOS1054" s="989"/>
      <c r="VOT1054" s="989"/>
      <c r="VOU1054" s="989"/>
      <c r="VOV1054" s="989"/>
      <c r="VOW1054" s="989"/>
      <c r="VOX1054" s="989"/>
      <c r="VOY1054" s="989"/>
      <c r="VOZ1054" s="989"/>
      <c r="VPA1054" s="989"/>
      <c r="VPB1054" s="989"/>
      <c r="VPC1054" s="989"/>
      <c r="VPD1054" s="989"/>
      <c r="VPE1054" s="989"/>
      <c r="VPF1054" s="989"/>
      <c r="VPG1054" s="989"/>
      <c r="VPH1054" s="989"/>
      <c r="VPI1054" s="989"/>
      <c r="VPJ1054" s="989"/>
      <c r="VPK1054" s="989"/>
      <c r="VPL1054" s="989"/>
      <c r="VPM1054" s="989"/>
      <c r="VPN1054" s="989"/>
      <c r="VPO1054" s="989"/>
      <c r="VPP1054" s="989"/>
      <c r="VPQ1054" s="989"/>
      <c r="VPR1054" s="989"/>
      <c r="VPS1054" s="989"/>
      <c r="VPT1054" s="989"/>
      <c r="VPU1054" s="989"/>
      <c r="VPV1054" s="989"/>
      <c r="VPW1054" s="989"/>
      <c r="VPX1054" s="989"/>
      <c r="VPY1054" s="989"/>
      <c r="VPZ1054" s="989"/>
      <c r="VQA1054" s="989"/>
      <c r="VQB1054" s="989"/>
      <c r="VQC1054" s="989"/>
      <c r="VQD1054" s="989"/>
      <c r="VQE1054" s="989"/>
      <c r="VQF1054" s="989"/>
      <c r="VQG1054" s="989"/>
      <c r="VQH1054" s="989"/>
      <c r="VQI1054" s="989"/>
      <c r="VQJ1054" s="989"/>
      <c r="VQK1054" s="989"/>
      <c r="VQL1054" s="989"/>
      <c r="VQM1054" s="989"/>
      <c r="VQN1054" s="989"/>
      <c r="VQO1054" s="989"/>
      <c r="VQP1054" s="989"/>
      <c r="VQQ1054" s="989"/>
      <c r="VQR1054" s="989"/>
      <c r="VQS1054" s="989"/>
      <c r="VQT1054" s="989"/>
      <c r="VQU1054" s="989"/>
      <c r="VQV1054" s="989"/>
      <c r="VQW1054" s="989"/>
      <c r="VQX1054" s="989"/>
      <c r="VQY1054" s="989"/>
      <c r="VQZ1054" s="989"/>
      <c r="VRA1054" s="989"/>
      <c r="VRB1054" s="989"/>
      <c r="VRC1054" s="989"/>
      <c r="VRD1054" s="989"/>
      <c r="VRE1054" s="989"/>
      <c r="VRF1054" s="989"/>
      <c r="VRG1054" s="989"/>
      <c r="VRH1054" s="989"/>
      <c r="VRI1054" s="989"/>
      <c r="VRJ1054" s="989"/>
      <c r="VRK1054" s="989"/>
      <c r="VRL1054" s="989"/>
      <c r="VRM1054" s="989"/>
      <c r="VRN1054" s="989"/>
      <c r="VRO1054" s="989"/>
      <c r="VRP1054" s="989"/>
      <c r="VRQ1054" s="989"/>
      <c r="VRR1054" s="989"/>
      <c r="VRS1054" s="989"/>
      <c r="VRT1054" s="989"/>
      <c r="VRU1054" s="989"/>
      <c r="VRV1054" s="989"/>
      <c r="VRW1054" s="989"/>
      <c r="VRX1054" s="989"/>
      <c r="VRY1054" s="989"/>
      <c r="VRZ1054" s="989"/>
      <c r="VSA1054" s="989"/>
      <c r="VSB1054" s="989"/>
      <c r="VSC1054" s="989"/>
      <c r="VSD1054" s="989"/>
      <c r="VSE1054" s="989"/>
      <c r="VSF1054" s="989"/>
      <c r="VSG1054" s="989"/>
      <c r="VSH1054" s="989"/>
      <c r="VSI1054" s="989"/>
      <c r="VSJ1054" s="989"/>
      <c r="VSK1054" s="989"/>
      <c r="VSL1054" s="989"/>
      <c r="VSM1054" s="989"/>
      <c r="VSN1054" s="989"/>
      <c r="VSO1054" s="989"/>
      <c r="VSP1054" s="989"/>
      <c r="VSQ1054" s="989"/>
      <c r="VSR1054" s="989"/>
      <c r="VSS1054" s="989"/>
      <c r="VST1054" s="989"/>
      <c r="VSU1054" s="989"/>
      <c r="VSV1054" s="989"/>
      <c r="VSW1054" s="989"/>
      <c r="VSX1054" s="989"/>
      <c r="VSY1054" s="989"/>
      <c r="VSZ1054" s="989"/>
      <c r="VTA1054" s="989"/>
      <c r="VTB1054" s="989"/>
      <c r="VTC1054" s="989"/>
      <c r="VTD1054" s="989"/>
      <c r="VTE1054" s="989"/>
      <c r="VTF1054" s="989"/>
      <c r="VTG1054" s="989"/>
      <c r="VTH1054" s="989"/>
      <c r="VTI1054" s="989"/>
      <c r="VTJ1054" s="989"/>
      <c r="VTK1054" s="989"/>
      <c r="VTL1054" s="989"/>
      <c r="VTM1054" s="989"/>
      <c r="VTN1054" s="989"/>
      <c r="VTO1054" s="989"/>
      <c r="VTP1054" s="989"/>
      <c r="VTQ1054" s="989"/>
      <c r="VTR1054" s="989"/>
      <c r="VTS1054" s="989"/>
      <c r="VTT1054" s="989"/>
      <c r="VTU1054" s="989"/>
      <c r="VTV1054" s="989"/>
      <c r="VTW1054" s="989"/>
      <c r="VTX1054" s="989"/>
      <c r="VTY1054" s="989"/>
      <c r="VTZ1054" s="989"/>
      <c r="VUA1054" s="989"/>
      <c r="VUB1054" s="989"/>
      <c r="VUC1054" s="989"/>
      <c r="VUD1054" s="989"/>
      <c r="VUE1054" s="989"/>
      <c r="VUF1054" s="989"/>
      <c r="VUG1054" s="989"/>
      <c r="VUH1054" s="989"/>
      <c r="VUI1054" s="989"/>
      <c r="VUJ1054" s="989"/>
      <c r="VUK1054" s="989"/>
      <c r="VUL1054" s="989"/>
      <c r="VUM1054" s="989"/>
      <c r="VUN1054" s="989"/>
      <c r="VUO1054" s="989"/>
      <c r="VUP1054" s="989"/>
      <c r="VUQ1054" s="989"/>
      <c r="VUR1054" s="989"/>
      <c r="VUS1054" s="989"/>
      <c r="VUT1054" s="989"/>
      <c r="VUU1054" s="989"/>
      <c r="VUV1054" s="989"/>
      <c r="VUW1054" s="989"/>
      <c r="VUX1054" s="989"/>
      <c r="VUY1054" s="989"/>
      <c r="VUZ1054" s="989"/>
      <c r="VVA1054" s="989"/>
      <c r="VVB1054" s="989"/>
      <c r="VVC1054" s="989"/>
      <c r="VVD1054" s="989"/>
      <c r="VVE1054" s="989"/>
      <c r="VVF1054" s="989"/>
      <c r="VVG1054" s="989"/>
      <c r="VVH1054" s="989"/>
      <c r="VVI1054" s="989"/>
      <c r="VVJ1054" s="989"/>
      <c r="VVK1054" s="989"/>
      <c r="VVL1054" s="989"/>
      <c r="VVM1054" s="989"/>
      <c r="VVN1054" s="989"/>
      <c r="VVO1054" s="989"/>
      <c r="VVP1054" s="989"/>
      <c r="VVQ1054" s="989"/>
      <c r="VVR1054" s="989"/>
      <c r="VVS1054" s="989"/>
      <c r="VVT1054" s="989"/>
      <c r="VVU1054" s="989"/>
      <c r="VVV1054" s="989"/>
      <c r="VVW1054" s="989"/>
      <c r="VVX1054" s="989"/>
      <c r="VVY1054" s="989"/>
      <c r="VVZ1054" s="989"/>
      <c r="VWA1054" s="989"/>
      <c r="VWB1054" s="989"/>
      <c r="VWC1054" s="989"/>
      <c r="VWD1054" s="989"/>
      <c r="VWE1054" s="989"/>
      <c r="VWF1054" s="989"/>
      <c r="VWG1054" s="989"/>
      <c r="VWH1054" s="989"/>
      <c r="VWI1054" s="989"/>
      <c r="VWJ1054" s="989"/>
      <c r="VWK1054" s="989"/>
      <c r="VWL1054" s="989"/>
      <c r="VWM1054" s="989"/>
      <c r="VWN1054" s="989"/>
      <c r="VWO1054" s="989"/>
      <c r="VWP1054" s="989"/>
      <c r="VWQ1054" s="989"/>
      <c r="VWR1054" s="989"/>
      <c r="VWS1054" s="989"/>
      <c r="VWT1054" s="989"/>
      <c r="VWU1054" s="989"/>
      <c r="VWV1054" s="989"/>
      <c r="VWW1054" s="989"/>
      <c r="VWX1054" s="989"/>
      <c r="VWY1054" s="989"/>
      <c r="VWZ1054" s="989"/>
      <c r="VXA1054" s="989"/>
      <c r="VXB1054" s="989"/>
      <c r="VXC1054" s="989"/>
      <c r="VXD1054" s="989"/>
      <c r="VXE1054" s="989"/>
      <c r="VXF1054" s="989"/>
      <c r="VXG1054" s="989"/>
      <c r="VXH1054" s="989"/>
      <c r="VXI1054" s="989"/>
      <c r="VXJ1054" s="989"/>
      <c r="VXK1054" s="989"/>
      <c r="VXL1054" s="989"/>
      <c r="VXM1054" s="989"/>
      <c r="VXN1054" s="989"/>
      <c r="VXO1054" s="989"/>
      <c r="VXP1054" s="989"/>
      <c r="VXQ1054" s="989"/>
      <c r="VXR1054" s="989"/>
      <c r="VXS1054" s="989"/>
      <c r="VXT1054" s="989"/>
      <c r="VXU1054" s="989"/>
      <c r="VXV1054" s="989"/>
      <c r="VXW1054" s="989"/>
      <c r="VXX1054" s="989"/>
      <c r="VXY1054" s="989"/>
      <c r="VXZ1054" s="989"/>
      <c r="VYA1054" s="989"/>
      <c r="VYB1054" s="989"/>
      <c r="VYC1054" s="989"/>
      <c r="VYD1054" s="989"/>
      <c r="VYE1054" s="989"/>
      <c r="VYF1054" s="989"/>
      <c r="VYG1054" s="989"/>
      <c r="VYH1054" s="989"/>
      <c r="VYI1054" s="989"/>
      <c r="VYJ1054" s="989"/>
      <c r="VYK1054" s="989"/>
      <c r="VYL1054" s="989"/>
      <c r="VYM1054" s="989"/>
      <c r="VYN1054" s="989"/>
      <c r="VYO1054" s="989"/>
      <c r="VYP1054" s="989"/>
      <c r="VYQ1054" s="989"/>
      <c r="VYR1054" s="989"/>
      <c r="VYS1054" s="989"/>
      <c r="VYT1054" s="989"/>
      <c r="VYU1054" s="989"/>
      <c r="VYV1054" s="989"/>
      <c r="VYW1054" s="989"/>
      <c r="VYX1054" s="989"/>
      <c r="VYY1054" s="989"/>
      <c r="VYZ1054" s="989"/>
      <c r="VZA1054" s="989"/>
      <c r="VZB1054" s="989"/>
      <c r="VZC1054" s="989"/>
      <c r="VZD1054" s="989"/>
      <c r="VZE1054" s="989"/>
      <c r="VZF1054" s="989"/>
      <c r="VZG1054" s="989"/>
      <c r="VZH1054" s="989"/>
      <c r="VZI1054" s="989"/>
      <c r="VZJ1054" s="989"/>
      <c r="VZK1054" s="989"/>
      <c r="VZL1054" s="989"/>
      <c r="VZM1054" s="989"/>
      <c r="VZN1054" s="989"/>
      <c r="VZO1054" s="989"/>
      <c r="VZP1054" s="989"/>
      <c r="VZQ1054" s="989"/>
      <c r="VZR1054" s="989"/>
      <c r="VZS1054" s="989"/>
      <c r="VZT1054" s="989"/>
      <c r="VZU1054" s="989"/>
      <c r="VZV1054" s="989"/>
      <c r="VZW1054" s="989"/>
      <c r="VZX1054" s="989"/>
      <c r="VZY1054" s="989"/>
      <c r="VZZ1054" s="989"/>
      <c r="WAA1054" s="989"/>
      <c r="WAB1054" s="989"/>
      <c r="WAC1054" s="989"/>
      <c r="WAD1054" s="989"/>
      <c r="WAE1054" s="989"/>
      <c r="WAF1054" s="989"/>
      <c r="WAG1054" s="989"/>
      <c r="WAH1054" s="989"/>
      <c r="WAI1054" s="989"/>
      <c r="WAJ1054" s="989"/>
      <c r="WAK1054" s="989"/>
      <c r="WAL1054" s="989"/>
      <c r="WAM1054" s="989"/>
      <c r="WAN1054" s="989"/>
      <c r="WAO1054" s="989"/>
      <c r="WAP1054" s="989"/>
      <c r="WAQ1054" s="989"/>
      <c r="WAR1054" s="989"/>
      <c r="WAS1054" s="989"/>
      <c r="WAT1054" s="989"/>
      <c r="WAU1054" s="989"/>
      <c r="WAV1054" s="989"/>
      <c r="WAW1054" s="989"/>
      <c r="WAX1054" s="989"/>
      <c r="WAY1054" s="989"/>
      <c r="WAZ1054" s="989"/>
      <c r="WBA1054" s="989"/>
      <c r="WBB1054" s="989"/>
      <c r="WBC1054" s="989"/>
      <c r="WBD1054" s="989"/>
      <c r="WBE1054" s="989"/>
      <c r="WBF1054" s="989"/>
      <c r="WBG1054" s="989"/>
      <c r="WBH1054" s="989"/>
      <c r="WBI1054" s="989"/>
      <c r="WBJ1054" s="989"/>
      <c r="WBK1054" s="989"/>
      <c r="WBL1054" s="989"/>
      <c r="WBM1054" s="989"/>
      <c r="WBN1054" s="989"/>
      <c r="WBO1054" s="989"/>
      <c r="WBP1054" s="989"/>
      <c r="WBQ1054" s="989"/>
      <c r="WBR1054" s="989"/>
      <c r="WBS1054" s="989"/>
      <c r="WBT1054" s="989"/>
      <c r="WBU1054" s="989"/>
      <c r="WBV1054" s="989"/>
      <c r="WBW1054" s="989"/>
      <c r="WBX1054" s="989"/>
      <c r="WBY1054" s="989"/>
      <c r="WBZ1054" s="989"/>
      <c r="WCA1054" s="989"/>
      <c r="WCB1054" s="989"/>
      <c r="WCC1054" s="989"/>
      <c r="WCD1054" s="989"/>
      <c r="WCE1054" s="989"/>
      <c r="WCF1054" s="989"/>
      <c r="WCG1054" s="989"/>
      <c r="WCH1054" s="989"/>
      <c r="WCI1054" s="989"/>
      <c r="WCJ1054" s="989"/>
      <c r="WCK1054" s="989"/>
      <c r="WCL1054" s="989"/>
      <c r="WCM1054" s="989"/>
      <c r="WCN1054" s="989"/>
      <c r="WCO1054" s="989"/>
      <c r="WCP1054" s="989"/>
      <c r="WCQ1054" s="989"/>
      <c r="WCR1054" s="989"/>
      <c r="WCS1054" s="989"/>
      <c r="WCT1054" s="989"/>
      <c r="WCU1054" s="989"/>
      <c r="WCV1054" s="989"/>
      <c r="WCW1054" s="989"/>
      <c r="WCX1054" s="989"/>
      <c r="WCY1054" s="989"/>
      <c r="WCZ1054" s="989"/>
      <c r="WDA1054" s="989"/>
      <c r="WDB1054" s="989"/>
      <c r="WDC1054" s="989"/>
      <c r="WDD1054" s="989"/>
      <c r="WDE1054" s="989"/>
      <c r="WDF1054" s="989"/>
      <c r="WDG1054" s="989"/>
      <c r="WDH1054" s="989"/>
      <c r="WDI1054" s="989"/>
      <c r="WDJ1054" s="989"/>
      <c r="WDK1054" s="989"/>
      <c r="WDL1054" s="989"/>
      <c r="WDM1054" s="989"/>
      <c r="WDN1054" s="989"/>
      <c r="WDO1054" s="989"/>
      <c r="WDP1054" s="989"/>
      <c r="WDQ1054" s="989"/>
      <c r="WDR1054" s="989"/>
      <c r="WDS1054" s="989"/>
      <c r="WDT1054" s="989"/>
      <c r="WDU1054" s="989"/>
      <c r="WDV1054" s="989"/>
      <c r="WDW1054" s="989"/>
      <c r="WDX1054" s="989"/>
      <c r="WDY1054" s="989"/>
      <c r="WDZ1054" s="989"/>
      <c r="WEA1054" s="989"/>
      <c r="WEB1054" s="989"/>
      <c r="WEC1054" s="989"/>
      <c r="WED1054" s="989"/>
      <c r="WEE1054" s="989"/>
      <c r="WEF1054" s="989"/>
      <c r="WEG1054" s="989"/>
      <c r="WEH1054" s="989"/>
      <c r="WEI1054" s="989"/>
      <c r="WEJ1054" s="989"/>
      <c r="WEK1054" s="989"/>
      <c r="WEL1054" s="989"/>
      <c r="WEM1054" s="989"/>
      <c r="WEN1054" s="989"/>
      <c r="WEO1054" s="989"/>
      <c r="WEP1054" s="989"/>
      <c r="WEQ1054" s="989"/>
      <c r="WER1054" s="989"/>
      <c r="WES1054" s="989"/>
      <c r="WET1054" s="989"/>
      <c r="WEU1054" s="989"/>
      <c r="WEV1054" s="989"/>
      <c r="WEW1054" s="989"/>
      <c r="WEX1054" s="989"/>
      <c r="WEY1054" s="989"/>
      <c r="WEZ1054" s="989"/>
      <c r="WFA1054" s="989"/>
      <c r="WFB1054" s="989"/>
      <c r="WFC1054" s="989"/>
      <c r="WFD1054" s="989"/>
      <c r="WFE1054" s="989"/>
      <c r="WFF1054" s="989"/>
      <c r="WFG1054" s="989"/>
      <c r="WFH1054" s="989"/>
      <c r="WFI1054" s="989"/>
      <c r="WFJ1054" s="989"/>
      <c r="WFK1054" s="989"/>
      <c r="WFL1054" s="989"/>
      <c r="WFM1054" s="989"/>
      <c r="WFN1054" s="989"/>
      <c r="WFO1054" s="989"/>
      <c r="WFP1054" s="989"/>
      <c r="WFQ1054" s="989"/>
      <c r="WFR1054" s="989"/>
      <c r="WFS1054" s="989"/>
      <c r="WFT1054" s="989"/>
      <c r="WFU1054" s="989"/>
      <c r="WFV1054" s="989"/>
      <c r="WFW1054" s="989"/>
      <c r="WFX1054" s="989"/>
      <c r="WFY1054" s="989"/>
      <c r="WFZ1054" s="989"/>
      <c r="WGA1054" s="989"/>
      <c r="WGB1054" s="989"/>
      <c r="WGC1054" s="989"/>
      <c r="WGD1054" s="989"/>
      <c r="WGE1054" s="989"/>
      <c r="WGF1054" s="989"/>
      <c r="WGG1054" s="989"/>
      <c r="WGH1054" s="989"/>
      <c r="WGI1054" s="989"/>
      <c r="WGJ1054" s="989"/>
      <c r="WGK1054" s="989"/>
      <c r="WGL1054" s="989"/>
      <c r="WGM1054" s="989"/>
      <c r="WGN1054" s="989"/>
      <c r="WGO1054" s="989"/>
      <c r="WGP1054" s="989"/>
      <c r="WGQ1054" s="989"/>
      <c r="WGR1054" s="989"/>
      <c r="WGS1054" s="989"/>
      <c r="WGT1054" s="989"/>
      <c r="WGU1054" s="989"/>
      <c r="WGV1054" s="989"/>
      <c r="WGW1054" s="989"/>
      <c r="WGX1054" s="989"/>
      <c r="WGY1054" s="989"/>
      <c r="WGZ1054" s="989"/>
      <c r="WHA1054" s="989"/>
      <c r="WHB1054" s="989"/>
      <c r="WHC1054" s="989"/>
      <c r="WHD1054" s="989"/>
      <c r="WHE1054" s="989"/>
      <c r="WHF1054" s="989"/>
      <c r="WHG1054" s="989"/>
      <c r="WHH1054" s="989"/>
      <c r="WHI1054" s="989"/>
      <c r="WHJ1054" s="989"/>
      <c r="WHK1054" s="989"/>
      <c r="WHL1054" s="989"/>
      <c r="WHM1054" s="989"/>
      <c r="WHN1054" s="989"/>
      <c r="WHO1054" s="989"/>
      <c r="WHP1054" s="989"/>
      <c r="WHQ1054" s="989"/>
      <c r="WHR1054" s="989"/>
      <c r="WHS1054" s="989"/>
      <c r="WHT1054" s="989"/>
      <c r="WHU1054" s="989"/>
      <c r="WHV1054" s="989"/>
      <c r="WHW1054" s="989"/>
      <c r="WHX1054" s="989"/>
      <c r="WHY1054" s="989"/>
      <c r="WHZ1054" s="989"/>
      <c r="WIA1054" s="989"/>
      <c r="WIB1054" s="989"/>
      <c r="WIC1054" s="989"/>
      <c r="WID1054" s="989"/>
      <c r="WIE1054" s="989"/>
      <c r="WIF1054" s="989"/>
      <c r="WIG1054" s="989"/>
      <c r="WIH1054" s="989"/>
      <c r="WII1054" s="989"/>
      <c r="WIJ1054" s="989"/>
      <c r="WIK1054" s="989"/>
      <c r="WIL1054" s="989"/>
      <c r="WIM1054" s="989"/>
      <c r="WIN1054" s="989"/>
      <c r="WIO1054" s="989"/>
      <c r="WIP1054" s="989"/>
      <c r="WIQ1054" s="989"/>
      <c r="WIR1054" s="989"/>
      <c r="WIS1054" s="989"/>
      <c r="WIT1054" s="989"/>
      <c r="WIU1054" s="989"/>
      <c r="WIV1054" s="989"/>
      <c r="WIW1054" s="989"/>
      <c r="WIX1054" s="989"/>
      <c r="WIY1054" s="989"/>
      <c r="WIZ1054" s="989"/>
      <c r="WJA1054" s="989"/>
      <c r="WJB1054" s="989"/>
      <c r="WJC1054" s="989"/>
      <c r="WJD1054" s="989"/>
      <c r="WJE1054" s="989"/>
      <c r="WJF1054" s="989"/>
      <c r="WJG1054" s="989"/>
      <c r="WJH1054" s="989"/>
      <c r="WJI1054" s="989"/>
      <c r="WJJ1054" s="989"/>
      <c r="WJK1054" s="989"/>
      <c r="WJL1054" s="989"/>
      <c r="WJM1054" s="989"/>
      <c r="WJN1054" s="989"/>
      <c r="WJO1054" s="989"/>
      <c r="WJP1054" s="989"/>
      <c r="WJQ1054" s="989"/>
      <c r="WJR1054" s="989"/>
      <c r="WJS1054" s="989"/>
      <c r="WJT1054" s="989"/>
      <c r="WJU1054" s="989"/>
      <c r="WJV1054" s="989"/>
      <c r="WJW1054" s="989"/>
      <c r="WJX1054" s="989"/>
      <c r="WJY1054" s="989"/>
      <c r="WJZ1054" s="989"/>
      <c r="WKA1054" s="989"/>
      <c r="WKB1054" s="989"/>
      <c r="WKC1054" s="989"/>
      <c r="WKD1054" s="989"/>
      <c r="WKE1054" s="989"/>
      <c r="WKF1054" s="989"/>
      <c r="WKG1054" s="989"/>
      <c r="WKH1054" s="989"/>
      <c r="WKI1054" s="989"/>
      <c r="WKJ1054" s="989"/>
      <c r="WKK1054" s="989"/>
      <c r="WKL1054" s="989"/>
      <c r="WKM1054" s="989"/>
      <c r="WKN1054" s="989"/>
      <c r="WKO1054" s="989"/>
      <c r="WKP1054" s="989"/>
      <c r="WKQ1054" s="989"/>
      <c r="WKR1054" s="989"/>
      <c r="WKS1054" s="989"/>
      <c r="WKT1054" s="989"/>
      <c r="WKU1054" s="989"/>
      <c r="WKV1054" s="989"/>
      <c r="WKW1054" s="989"/>
      <c r="WKX1054" s="989"/>
      <c r="WKY1054" s="989"/>
      <c r="WKZ1054" s="989"/>
      <c r="WLA1054" s="989"/>
      <c r="WLB1054" s="989"/>
      <c r="WLC1054" s="989"/>
      <c r="WLD1054" s="989"/>
      <c r="WLE1054" s="989"/>
      <c r="WLF1054" s="989"/>
      <c r="WLG1054" s="989"/>
      <c r="WLH1054" s="989"/>
      <c r="WLI1054" s="989"/>
      <c r="WLJ1054" s="989"/>
      <c r="WLK1054" s="989"/>
      <c r="WLL1054" s="989"/>
      <c r="WLM1054" s="989"/>
      <c r="WLN1054" s="989"/>
      <c r="WLO1054" s="989"/>
      <c r="WLP1054" s="989"/>
      <c r="WLQ1054" s="989"/>
      <c r="WLR1054" s="989"/>
      <c r="WLS1054" s="989"/>
      <c r="WLT1054" s="989"/>
      <c r="WLU1054" s="989"/>
      <c r="WLV1054" s="989"/>
      <c r="WLW1054" s="989"/>
      <c r="WLX1054" s="989"/>
      <c r="WLY1054" s="989"/>
      <c r="WLZ1054" s="989"/>
      <c r="WMA1054" s="989"/>
      <c r="WMB1054" s="989"/>
      <c r="WMC1054" s="989"/>
      <c r="WMD1054" s="989"/>
      <c r="WME1054" s="989"/>
      <c r="WMF1054" s="989"/>
      <c r="WMG1054" s="989"/>
      <c r="WMH1054" s="989"/>
      <c r="WMI1054" s="989"/>
      <c r="WMJ1054" s="989"/>
      <c r="WMK1054" s="989"/>
      <c r="WML1054" s="989"/>
      <c r="WMM1054" s="989"/>
      <c r="WMN1054" s="989"/>
      <c r="WMO1054" s="989"/>
      <c r="WMP1054" s="989"/>
      <c r="WMQ1054" s="989"/>
      <c r="WMR1054" s="989"/>
      <c r="WMS1054" s="989"/>
      <c r="WMT1054" s="989"/>
      <c r="WMU1054" s="989"/>
      <c r="WMV1054" s="989"/>
      <c r="WMW1054" s="989"/>
      <c r="WMX1054" s="989"/>
      <c r="WMY1054" s="989"/>
      <c r="WMZ1054" s="989"/>
      <c r="WNA1054" s="989"/>
      <c r="WNB1054" s="989"/>
      <c r="WNC1054" s="989"/>
      <c r="WND1054" s="989"/>
      <c r="WNE1054" s="989"/>
      <c r="WNF1054" s="989"/>
      <c r="WNG1054" s="989"/>
      <c r="WNH1054" s="989"/>
      <c r="WNI1054" s="989"/>
      <c r="WNJ1054" s="989"/>
      <c r="WNK1054" s="989"/>
      <c r="WNL1054" s="989"/>
      <c r="WNM1054" s="989"/>
      <c r="WNN1054" s="989"/>
      <c r="WNO1054" s="989"/>
      <c r="WNP1054" s="989"/>
      <c r="WNQ1054" s="989"/>
      <c r="WNR1054" s="989"/>
      <c r="WNS1054" s="989"/>
      <c r="WNT1054" s="989"/>
      <c r="WNU1054" s="989"/>
      <c r="WNV1054" s="989"/>
      <c r="WNW1054" s="989"/>
      <c r="WNX1054" s="989"/>
      <c r="WNY1054" s="989"/>
      <c r="WNZ1054" s="989"/>
      <c r="WOA1054" s="989"/>
      <c r="WOB1054" s="989"/>
      <c r="WOC1054" s="989"/>
      <c r="WOD1054" s="989"/>
      <c r="WOE1054" s="989"/>
      <c r="WOF1054" s="989"/>
      <c r="WOG1054" s="989"/>
      <c r="WOH1054" s="989"/>
      <c r="WOI1054" s="989"/>
      <c r="WOJ1054" s="989"/>
      <c r="WOK1054" s="989"/>
      <c r="WOL1054" s="989"/>
      <c r="WOM1054" s="989"/>
      <c r="WON1054" s="989"/>
      <c r="WOO1054" s="989"/>
      <c r="WOP1054" s="989"/>
      <c r="WOQ1054" s="989"/>
      <c r="WOR1054" s="989"/>
      <c r="WOS1054" s="989"/>
      <c r="WOT1054" s="989"/>
      <c r="WOU1054" s="989"/>
      <c r="WOV1054" s="989"/>
      <c r="WOW1054" s="989"/>
      <c r="WOX1054" s="989"/>
      <c r="WOY1054" s="989"/>
      <c r="WOZ1054" s="989"/>
      <c r="WPA1054" s="989"/>
      <c r="WPB1054" s="989"/>
      <c r="WPC1054" s="989"/>
      <c r="WPD1054" s="989"/>
      <c r="WPE1054" s="989"/>
      <c r="WPF1054" s="989"/>
      <c r="WPG1054" s="989"/>
      <c r="WPH1054" s="989"/>
      <c r="WPI1054" s="989"/>
      <c r="WPJ1054" s="989"/>
      <c r="WPK1054" s="989"/>
      <c r="WPL1054" s="989"/>
      <c r="WPM1054" s="989"/>
      <c r="WPN1054" s="989"/>
      <c r="WPO1054" s="989"/>
      <c r="WPP1054" s="989"/>
      <c r="WPQ1054" s="989"/>
      <c r="WPR1054" s="989"/>
      <c r="WPS1054" s="989"/>
      <c r="WPT1054" s="989"/>
      <c r="WPU1054" s="989"/>
      <c r="WPV1054" s="989"/>
      <c r="WPW1054" s="989"/>
      <c r="WPX1054" s="989"/>
      <c r="WPY1054" s="989"/>
      <c r="WPZ1054" s="989"/>
      <c r="WQA1054" s="989"/>
      <c r="WQB1054" s="989"/>
      <c r="WQC1054" s="989"/>
      <c r="WQD1054" s="989"/>
      <c r="WQE1054" s="989"/>
      <c r="WQF1054" s="989"/>
      <c r="WQG1054" s="989"/>
      <c r="WQH1054" s="989"/>
      <c r="WQI1054" s="989"/>
      <c r="WQJ1054" s="989"/>
      <c r="WQK1054" s="989"/>
      <c r="WQL1054" s="989"/>
      <c r="WQM1054" s="989"/>
      <c r="WQN1054" s="989"/>
      <c r="WQO1054" s="989"/>
      <c r="WQP1054" s="989"/>
      <c r="WQQ1054" s="989"/>
      <c r="WQR1054" s="989"/>
      <c r="WQS1054" s="989"/>
      <c r="WQT1054" s="989"/>
      <c r="WQU1054" s="989"/>
      <c r="WQV1054" s="989"/>
      <c r="WQW1054" s="989"/>
      <c r="WQX1054" s="989"/>
      <c r="WQY1054" s="989"/>
      <c r="WQZ1054" s="989"/>
      <c r="WRA1054" s="989"/>
      <c r="WRB1054" s="989"/>
      <c r="WRC1054" s="989"/>
      <c r="WRD1054" s="989"/>
      <c r="WRE1054" s="989"/>
      <c r="WRF1054" s="989"/>
      <c r="WRG1054" s="989"/>
      <c r="WRH1054" s="989"/>
      <c r="WRI1054" s="989"/>
      <c r="WRJ1054" s="989"/>
      <c r="WRK1054" s="989"/>
      <c r="WRL1054" s="989"/>
      <c r="WRM1054" s="989"/>
      <c r="WRN1054" s="989"/>
      <c r="WRO1054" s="989"/>
      <c r="WRP1054" s="989"/>
      <c r="WRQ1054" s="989"/>
      <c r="WRR1054" s="989"/>
      <c r="WRS1054" s="989"/>
      <c r="WRT1054" s="989"/>
      <c r="WRU1054" s="989"/>
      <c r="WRV1054" s="989"/>
      <c r="WRW1054" s="989"/>
      <c r="WRX1054" s="989"/>
      <c r="WRY1054" s="989"/>
      <c r="WRZ1054" s="989"/>
      <c r="WSA1054" s="989"/>
      <c r="WSB1054" s="989"/>
      <c r="WSC1054" s="989"/>
      <c r="WSD1054" s="989"/>
      <c r="WSE1054" s="989"/>
      <c r="WSF1054" s="989"/>
      <c r="WSG1054" s="989"/>
      <c r="WSH1054" s="989"/>
      <c r="WSI1054" s="989"/>
      <c r="WSJ1054" s="989"/>
      <c r="WSK1054" s="989"/>
      <c r="WSL1054" s="989"/>
      <c r="WSM1054" s="989"/>
      <c r="WSN1054" s="989"/>
      <c r="WSO1054" s="989"/>
      <c r="WSP1054" s="989"/>
      <c r="WSQ1054" s="989"/>
      <c r="WSR1054" s="989"/>
      <c r="WSS1054" s="989"/>
      <c r="WST1054" s="989"/>
      <c r="WSU1054" s="989"/>
      <c r="WSV1054" s="989"/>
      <c r="WSW1054" s="989"/>
      <c r="WSX1054" s="989"/>
      <c r="WSY1054" s="989"/>
      <c r="WSZ1054" s="989"/>
      <c r="WTA1054" s="989"/>
      <c r="WTB1054" s="989"/>
      <c r="WTC1054" s="989"/>
      <c r="WTD1054" s="989"/>
      <c r="WTE1054" s="989"/>
      <c r="WTF1054" s="989"/>
      <c r="WTG1054" s="989"/>
      <c r="WTH1054" s="989"/>
      <c r="WTI1054" s="989"/>
      <c r="WTJ1054" s="989"/>
      <c r="WTK1054" s="989"/>
      <c r="WTL1054" s="989"/>
      <c r="WTM1054" s="989"/>
      <c r="WTN1054" s="989"/>
      <c r="WTO1054" s="989"/>
      <c r="WTP1054" s="989"/>
      <c r="WTQ1054" s="989"/>
      <c r="WTR1054" s="989"/>
      <c r="WTS1054" s="989"/>
      <c r="WTT1054" s="989"/>
      <c r="WTU1054" s="989"/>
      <c r="WTV1054" s="989"/>
      <c r="WTW1054" s="989"/>
      <c r="WTX1054" s="989"/>
      <c r="WTY1054" s="989"/>
      <c r="WTZ1054" s="989"/>
      <c r="WUA1054" s="989"/>
      <c r="WUB1054" s="989"/>
      <c r="WUC1054" s="989"/>
      <c r="WUD1054" s="989"/>
      <c r="WUE1054" s="989"/>
      <c r="WUF1054" s="989"/>
      <c r="WUG1054" s="989"/>
      <c r="WUH1054" s="989"/>
      <c r="WUI1054" s="989"/>
      <c r="WUJ1054" s="989"/>
      <c r="WUK1054" s="989"/>
      <c r="WUL1054" s="989"/>
      <c r="WUM1054" s="989"/>
      <c r="WUN1054" s="989"/>
      <c r="WUO1054" s="989"/>
      <c r="WUP1054" s="989"/>
      <c r="WUQ1054" s="989"/>
      <c r="WUR1054" s="989"/>
      <c r="WUS1054" s="989"/>
      <c r="WUT1054" s="989"/>
      <c r="WUU1054" s="989"/>
      <c r="WUV1054" s="989"/>
      <c r="WUW1054" s="989"/>
      <c r="WUX1054" s="989"/>
      <c r="WUY1054" s="989"/>
      <c r="WUZ1054" s="989"/>
      <c r="WVA1054" s="989"/>
      <c r="WVB1054" s="989"/>
      <c r="WVC1054" s="989"/>
      <c r="WVD1054" s="989"/>
      <c r="WVE1054" s="989"/>
      <c r="WVF1054" s="989"/>
      <c r="WVG1054" s="989"/>
      <c r="WVH1054" s="989"/>
      <c r="WVI1054" s="989"/>
      <c r="WVJ1054" s="989"/>
      <c r="WVK1054" s="989"/>
      <c r="WVL1054" s="989"/>
      <c r="WVM1054" s="989"/>
      <c r="WVN1054" s="989"/>
      <c r="WVO1054" s="989"/>
      <c r="WVP1054" s="989"/>
      <c r="WVQ1054" s="989"/>
      <c r="WVR1054" s="989"/>
      <c r="WVS1054" s="989"/>
      <c r="WVT1054" s="989"/>
      <c r="WVU1054" s="989"/>
      <c r="WVV1054" s="989"/>
      <c r="WVW1054" s="989"/>
      <c r="WVX1054" s="989"/>
      <c r="WVY1054" s="989"/>
      <c r="WVZ1054" s="989"/>
      <c r="WWA1054" s="989"/>
      <c r="WWB1054" s="989"/>
      <c r="WWC1054" s="989"/>
      <c r="WWD1054" s="989"/>
      <c r="WWE1054" s="989"/>
      <c r="WWF1054" s="989"/>
      <c r="WWG1054" s="989"/>
      <c r="WWH1054" s="989"/>
      <c r="WWI1054" s="989"/>
      <c r="WWJ1054" s="989"/>
      <c r="WWK1054" s="989"/>
      <c r="WWL1054" s="989"/>
      <c r="WWM1054" s="989"/>
      <c r="WWN1054" s="989"/>
      <c r="WWO1054" s="989"/>
      <c r="WWP1054" s="989"/>
      <c r="WWQ1054" s="989"/>
      <c r="WWR1054" s="989"/>
      <c r="WWS1054" s="989"/>
      <c r="WWT1054" s="989"/>
      <c r="WWU1054" s="989"/>
      <c r="WWV1054" s="989"/>
      <c r="WWW1054" s="989"/>
      <c r="WWX1054" s="989"/>
      <c r="WWY1054" s="989"/>
      <c r="WWZ1054" s="989"/>
      <c r="WXA1054" s="989"/>
      <c r="WXB1054" s="989"/>
      <c r="WXC1054" s="989"/>
      <c r="WXD1054" s="989"/>
      <c r="WXE1054" s="989"/>
      <c r="WXF1054" s="989"/>
      <c r="WXG1054" s="989"/>
      <c r="WXH1054" s="989"/>
      <c r="WXI1054" s="989"/>
      <c r="WXJ1054" s="989"/>
      <c r="WXK1054" s="989"/>
      <c r="WXL1054" s="989"/>
      <c r="WXM1054" s="989"/>
      <c r="WXN1054" s="989"/>
      <c r="WXO1054" s="989"/>
      <c r="WXP1054" s="989"/>
      <c r="WXQ1054" s="989"/>
      <c r="WXR1054" s="989"/>
      <c r="WXS1054" s="989"/>
      <c r="WXT1054" s="989"/>
      <c r="WXU1054" s="989"/>
      <c r="WXV1054" s="989"/>
      <c r="WXW1054" s="989"/>
      <c r="WXX1054" s="989"/>
      <c r="WXY1054" s="989"/>
      <c r="WXZ1054" s="989"/>
      <c r="WYA1054" s="989"/>
      <c r="WYB1054" s="989"/>
      <c r="WYC1054" s="989"/>
      <c r="WYD1054" s="989"/>
      <c r="WYE1054" s="989"/>
      <c r="WYF1054" s="989"/>
      <c r="WYG1054" s="989"/>
      <c r="WYH1054" s="989"/>
      <c r="WYI1054" s="989"/>
      <c r="WYJ1054" s="989"/>
      <c r="WYK1054" s="989"/>
      <c r="WYL1054" s="989"/>
      <c r="WYM1054" s="989"/>
      <c r="WYN1054" s="989"/>
      <c r="WYO1054" s="989"/>
      <c r="WYP1054" s="989"/>
      <c r="WYQ1054" s="989"/>
      <c r="WYR1054" s="989"/>
      <c r="WYS1054" s="989"/>
      <c r="WYT1054" s="989"/>
      <c r="WYU1054" s="989"/>
      <c r="WYV1054" s="989"/>
      <c r="WYW1054" s="989"/>
      <c r="WYX1054" s="989"/>
      <c r="WYY1054" s="989"/>
      <c r="WYZ1054" s="989"/>
      <c r="WZA1054" s="989"/>
      <c r="WZB1054" s="989"/>
      <c r="WZC1054" s="989"/>
      <c r="WZD1054" s="989"/>
      <c r="WZE1054" s="989"/>
      <c r="WZF1054" s="989"/>
      <c r="WZG1054" s="989"/>
      <c r="WZH1054" s="989"/>
      <c r="WZI1054" s="989"/>
      <c r="WZJ1054" s="989"/>
      <c r="WZK1054" s="989"/>
      <c r="WZL1054" s="989"/>
      <c r="WZM1054" s="989"/>
      <c r="WZN1054" s="989"/>
      <c r="WZO1054" s="989"/>
      <c r="WZP1054" s="989"/>
      <c r="WZQ1054" s="989"/>
      <c r="WZR1054" s="989"/>
      <c r="WZS1054" s="989"/>
      <c r="WZT1054" s="989"/>
      <c r="WZU1054" s="989"/>
      <c r="WZV1054" s="989"/>
      <c r="WZW1054" s="989"/>
      <c r="WZX1054" s="989"/>
      <c r="WZY1054" s="989"/>
      <c r="WZZ1054" s="989"/>
      <c r="XAA1054" s="989"/>
      <c r="XAB1054" s="989"/>
      <c r="XAC1054" s="989"/>
      <c r="XAD1054" s="989"/>
      <c r="XAE1054" s="989"/>
      <c r="XAF1054" s="989"/>
      <c r="XAG1054" s="989"/>
      <c r="XAH1054" s="989"/>
      <c r="XAI1054" s="989"/>
      <c r="XAJ1054" s="989"/>
      <c r="XAK1054" s="989"/>
      <c r="XAL1054" s="989"/>
      <c r="XAM1054" s="989"/>
      <c r="XAN1054" s="989"/>
      <c r="XAO1054" s="989"/>
      <c r="XAP1054" s="989"/>
      <c r="XAQ1054" s="989"/>
      <c r="XAR1054" s="989"/>
      <c r="XAS1054" s="989"/>
      <c r="XAT1054" s="989"/>
      <c r="XAU1054" s="989"/>
      <c r="XAV1054" s="989"/>
      <c r="XAW1054" s="989"/>
      <c r="XAX1054" s="989"/>
      <c r="XAY1054" s="989"/>
      <c r="XAZ1054" s="989"/>
      <c r="XBA1054" s="989"/>
      <c r="XBB1054" s="989"/>
      <c r="XBC1054" s="989"/>
      <c r="XBD1054" s="989"/>
      <c r="XBE1054" s="989"/>
      <c r="XBF1054" s="989"/>
      <c r="XBG1054" s="989"/>
      <c r="XBH1054" s="989"/>
      <c r="XBI1054" s="989"/>
      <c r="XBJ1054" s="989"/>
      <c r="XBK1054" s="989"/>
      <c r="XBL1054" s="989"/>
      <c r="XBM1054" s="989"/>
      <c r="XBN1054" s="989"/>
      <c r="XBO1054" s="989"/>
      <c r="XBP1054" s="989"/>
      <c r="XBQ1054" s="989"/>
      <c r="XBR1054" s="989"/>
      <c r="XBS1054" s="989"/>
      <c r="XBT1054" s="989"/>
      <c r="XBU1054" s="989"/>
      <c r="XBV1054" s="989"/>
      <c r="XBW1054" s="989"/>
      <c r="XBX1054" s="989"/>
      <c r="XBY1054" s="989"/>
      <c r="XBZ1054" s="989"/>
      <c r="XCA1054" s="989"/>
      <c r="XCB1054" s="989"/>
      <c r="XCC1054" s="989"/>
      <c r="XCD1054" s="989"/>
      <c r="XCE1054" s="989"/>
      <c r="XCF1054" s="989"/>
      <c r="XCG1054" s="989"/>
      <c r="XCH1054" s="989"/>
      <c r="XCI1054" s="989"/>
      <c r="XCJ1054" s="989"/>
      <c r="XCK1054" s="989"/>
      <c r="XCL1054" s="989"/>
      <c r="XCM1054" s="989"/>
      <c r="XCN1054" s="989"/>
      <c r="XCO1054" s="989"/>
      <c r="XCP1054" s="989"/>
      <c r="XCQ1054" s="989"/>
      <c r="XCR1054" s="989"/>
      <c r="XCS1054" s="989"/>
      <c r="XCT1054" s="989"/>
      <c r="XCU1054" s="989"/>
      <c r="XCV1054" s="989"/>
      <c r="XCW1054" s="989"/>
      <c r="XCX1054" s="989"/>
      <c r="XCY1054" s="989"/>
      <c r="XCZ1054" s="989"/>
      <c r="XDA1054" s="989"/>
      <c r="XDB1054" s="989"/>
      <c r="XDC1054" s="989"/>
      <c r="XDD1054" s="989"/>
      <c r="XDE1054" s="989"/>
      <c r="XDF1054" s="989"/>
      <c r="XDG1054" s="989"/>
      <c r="XDH1054" s="989"/>
      <c r="XDI1054" s="989"/>
      <c r="XDJ1054" s="989"/>
      <c r="XDK1054" s="989"/>
      <c r="XDL1054" s="989"/>
      <c r="XDM1054" s="989"/>
      <c r="XDN1054" s="989"/>
      <c r="XDO1054" s="989"/>
      <c r="XDP1054" s="989"/>
      <c r="XDQ1054" s="989"/>
      <c r="XDR1054" s="989"/>
      <c r="XDS1054" s="989"/>
      <c r="XDT1054" s="989"/>
      <c r="XDU1054" s="989"/>
      <c r="XDV1054" s="989"/>
      <c r="XDW1054" s="989"/>
      <c r="XDX1054" s="989"/>
      <c r="XDY1054" s="989"/>
      <c r="XDZ1054" s="989"/>
      <c r="XEA1054" s="989"/>
      <c r="XEB1054" s="989"/>
      <c r="XEC1054" s="989"/>
      <c r="XED1054" s="989"/>
      <c r="XEE1054" s="989"/>
      <c r="XEF1054" s="989"/>
      <c r="XEG1054" s="989"/>
      <c r="XEH1054" s="989"/>
      <c r="XEI1054" s="989"/>
      <c r="XEJ1054" s="989"/>
      <c r="XEK1054" s="989"/>
      <c r="XEL1054" s="989"/>
      <c r="XEM1054" s="42"/>
      <c r="XEN1054" s="42"/>
      <c r="XEO1054" s="42"/>
      <c r="XEP1054" s="42"/>
      <c r="XEQ1054" s="42"/>
      <c r="XER1054" s="42"/>
      <c r="XES1054" s="42"/>
      <c r="XET1054" s="2431"/>
      <c r="XEU1054" s="2431"/>
      <c r="XEV1054" s="2431"/>
      <c r="XEW1054" s="2431"/>
      <c r="XEX1054" s="2431"/>
      <c r="XEY1054" s="2431"/>
      <c r="XEZ1054" s="2431"/>
      <c r="XFA1054" s="2431"/>
      <c r="XFB1054" s="2431"/>
      <c r="XFC1054" s="2431"/>
    </row>
    <row r="1055" ht="25" customHeight="1"/>
    <row r="1056" hidden="1"/>
    <row r="1057" hidden="1"/>
    <row r="1058" ht="25" customHeight="1" spans="1:1024 1025:16384">
      <c r="A1058" s="989"/>
      <c r="B1058" s="990"/>
      <c r="D1058" s="2439" t="s">
        <v>3308</v>
      </c>
      <c r="E1058" s="2439" t="s">
        <v>3309</v>
      </c>
      <c r="F1058" s="2440"/>
      <c r="G1058" s="2441"/>
      <c r="H1058" s="2441"/>
      <c r="I1058" s="1658"/>
      <c r="J1058" s="1658"/>
      <c r="K1058" s="2442" t="s">
        <v>3310</v>
      </c>
      <c r="L1058" s="2442" t="s">
        <v>3311</v>
      </c>
      <c r="M1058" s="2443" t="s">
        <v>3312</v>
      </c>
      <c r="N1058" s="2443" t="s">
        <v>3313</v>
      </c>
      <c r="O1058" s="2444" t="s">
        <v>3314</v>
      </c>
      <c r="P1058" s="2444" t="s">
        <v>3315</v>
      </c>
      <c r="Q1058" s="2444" t="s">
        <v>10</v>
      </c>
      <c r="R1058" s="989"/>
      <c r="S1058" s="989"/>
      <c r="T1058" s="42"/>
      <c r="U1058" s="42"/>
      <c r="V1058" s="42"/>
      <c r="W1058" s="2163"/>
      <c r="X1058" s="42"/>
      <c r="Y1058" s="989"/>
      <c r="Z1058" s="42"/>
      <c r="AA1058" s="42"/>
      <c r="AB1058" s="2163"/>
      <c r="AC1058" s="989"/>
      <c r="AD1058" s="989"/>
      <c r="AE1058" s="989"/>
      <c r="AF1058" s="989"/>
      <c r="AG1058" s="989"/>
      <c r="AH1058" s="989"/>
      <c r="AI1058" s="989"/>
      <c r="AJ1058" s="989"/>
      <c r="AK1058" s="989"/>
      <c r="AL1058" s="989"/>
      <c r="AM1058" s="989"/>
      <c r="AN1058" s="989"/>
      <c r="AO1058" s="989"/>
      <c r="AP1058" s="989"/>
      <c r="AQ1058" s="989"/>
      <c r="AR1058" s="989"/>
      <c r="AS1058" s="989"/>
      <c r="AT1058" s="989"/>
      <c r="AU1058" s="989"/>
      <c r="AV1058" s="989"/>
      <c r="AW1058" s="989"/>
      <c r="AX1058" s="989"/>
      <c r="AY1058" s="989"/>
      <c r="AZ1058" s="989"/>
      <c r="BA1058" s="989"/>
      <c r="BB1058" s="989"/>
      <c r="BC1058" s="989"/>
      <c r="BD1058" s="989"/>
      <c r="BE1058" s="989"/>
      <c r="BF1058" s="989"/>
      <c r="BG1058" s="989"/>
      <c r="BH1058" s="989"/>
      <c r="BI1058" s="989"/>
      <c r="BJ1058" s="989"/>
      <c r="BK1058" s="989"/>
      <c r="BL1058" s="989"/>
      <c r="BM1058" s="989"/>
      <c r="BN1058" s="989"/>
      <c r="BO1058" s="989"/>
      <c r="BP1058" s="989"/>
      <c r="BQ1058" s="989"/>
      <c r="BR1058" s="989"/>
      <c r="BS1058" s="989"/>
      <c r="BT1058" s="989"/>
      <c r="BU1058" s="989"/>
      <c r="BV1058" s="989"/>
      <c r="BW1058" s="989"/>
      <c r="BX1058" s="989"/>
      <c r="BY1058" s="989"/>
      <c r="BZ1058" s="989"/>
      <c r="CA1058" s="989"/>
      <c r="CB1058" s="989"/>
      <c r="CC1058" s="989"/>
      <c r="CD1058" s="989"/>
      <c r="CE1058" s="989"/>
      <c r="CF1058" s="989"/>
      <c r="CG1058" s="989"/>
      <c r="CH1058" s="989"/>
      <c r="CI1058" s="989"/>
      <c r="CJ1058" s="989"/>
      <c r="CK1058" s="989"/>
      <c r="CL1058" s="989"/>
      <c r="CM1058" s="989"/>
      <c r="CN1058" s="989"/>
      <c r="CO1058" s="989"/>
      <c r="CP1058" s="989"/>
      <c r="CQ1058" s="989"/>
      <c r="CR1058" s="989"/>
      <c r="CS1058" s="989"/>
      <c r="CT1058" s="989"/>
      <c r="CU1058" s="989"/>
      <c r="CV1058" s="989"/>
      <c r="CW1058" s="989"/>
      <c r="CX1058" s="989"/>
      <c r="CY1058" s="989"/>
      <c r="CZ1058" s="989"/>
      <c r="DA1058" s="989"/>
      <c r="DB1058" s="989"/>
      <c r="DC1058" s="989"/>
      <c r="DD1058" s="989"/>
      <c r="DE1058" s="989"/>
      <c r="DF1058" s="989"/>
      <c r="DG1058" s="989"/>
      <c r="DH1058" s="989"/>
      <c r="DI1058" s="989"/>
      <c r="DJ1058" s="989"/>
      <c r="DK1058" s="989"/>
      <c r="DL1058" s="989"/>
      <c r="DM1058" s="989"/>
      <c r="DN1058" s="989"/>
      <c r="DO1058" s="989"/>
      <c r="DP1058" s="989"/>
      <c r="DQ1058" s="989"/>
      <c r="DR1058" s="989"/>
      <c r="DS1058" s="989"/>
      <c r="DT1058" s="989"/>
      <c r="DU1058" s="989"/>
      <c r="DV1058" s="989"/>
      <c r="DW1058" s="989"/>
      <c r="DX1058" s="989"/>
      <c r="DY1058" s="989"/>
      <c r="DZ1058" s="989"/>
      <c r="EA1058" s="989"/>
      <c r="EB1058" s="989"/>
      <c r="EC1058" s="989"/>
      <c r="ED1058" s="989"/>
      <c r="EE1058" s="989"/>
      <c r="EF1058" s="989"/>
      <c r="EG1058" s="989"/>
      <c r="EH1058" s="989"/>
      <c r="EI1058" s="989"/>
      <c r="EJ1058" s="989"/>
      <c r="EK1058" s="989"/>
      <c r="EL1058" s="989"/>
      <c r="EM1058" s="989"/>
      <c r="EN1058" s="989"/>
      <c r="EO1058" s="989"/>
      <c r="EP1058" s="989"/>
      <c r="EQ1058" s="989"/>
      <c r="ER1058" s="989"/>
      <c r="ES1058" s="989"/>
      <c r="ET1058" s="989"/>
      <c r="EU1058" s="989"/>
      <c r="EV1058" s="989"/>
      <c r="EW1058" s="989"/>
      <c r="EX1058" s="989"/>
      <c r="EY1058" s="989"/>
      <c r="EZ1058" s="989"/>
      <c r="FA1058" s="989"/>
      <c r="FB1058" s="989"/>
      <c r="FC1058" s="989"/>
      <c r="FD1058" s="989"/>
      <c r="FE1058" s="989"/>
      <c r="FF1058" s="989"/>
      <c r="FG1058" s="989"/>
      <c r="FH1058" s="989"/>
      <c r="FI1058" s="989"/>
      <c r="FJ1058" s="989"/>
      <c r="FK1058" s="989"/>
      <c r="FL1058" s="989"/>
      <c r="FM1058" s="989"/>
      <c r="FN1058" s="989"/>
      <c r="FO1058" s="989"/>
      <c r="FP1058" s="989"/>
      <c r="FQ1058" s="989"/>
      <c r="FR1058" s="989"/>
      <c r="FS1058" s="989"/>
      <c r="FT1058" s="989"/>
      <c r="FU1058" s="989"/>
      <c r="FV1058" s="989"/>
      <c r="FW1058" s="989"/>
      <c r="FX1058" s="989"/>
      <c r="FY1058" s="989"/>
      <c r="FZ1058" s="989"/>
      <c r="GA1058" s="989"/>
      <c r="GB1058" s="989"/>
      <c r="GC1058" s="989"/>
      <c r="GD1058" s="989"/>
      <c r="GE1058" s="989"/>
      <c r="GF1058" s="989"/>
      <c r="GG1058" s="989"/>
      <c r="GH1058" s="989"/>
      <c r="GI1058" s="989"/>
      <c r="GJ1058" s="989"/>
      <c r="GK1058" s="989"/>
      <c r="GL1058" s="989"/>
      <c r="GM1058" s="989"/>
      <c r="GN1058" s="989"/>
      <c r="GO1058" s="989"/>
      <c r="GP1058" s="989"/>
      <c r="GQ1058" s="989"/>
      <c r="GR1058" s="989"/>
      <c r="GS1058" s="989"/>
      <c r="GT1058" s="989"/>
      <c r="GU1058" s="989"/>
      <c r="GV1058" s="989"/>
      <c r="GW1058" s="989"/>
      <c r="GX1058" s="989"/>
      <c r="GY1058" s="989"/>
      <c r="GZ1058" s="989"/>
      <c r="HA1058" s="989"/>
      <c r="HB1058" s="989"/>
      <c r="HC1058" s="989"/>
      <c r="HD1058" s="989"/>
      <c r="HE1058" s="989"/>
      <c r="HF1058" s="989"/>
      <c r="HG1058" s="989"/>
      <c r="HH1058" s="989"/>
      <c r="HI1058" s="989"/>
      <c r="HJ1058" s="989"/>
      <c r="HK1058" s="989"/>
      <c r="HL1058" s="989"/>
      <c r="HM1058" s="989"/>
      <c r="HN1058" s="989"/>
      <c r="HO1058" s="989"/>
      <c r="HP1058" s="989"/>
      <c r="HQ1058" s="989"/>
      <c r="HR1058" s="989"/>
      <c r="HS1058" s="989"/>
      <c r="HT1058" s="989"/>
      <c r="HU1058" s="989"/>
      <c r="HV1058" s="989"/>
      <c r="HW1058" s="989"/>
      <c r="HX1058" s="989"/>
      <c r="HY1058" s="989"/>
      <c r="HZ1058" s="989"/>
      <c r="IA1058" s="989"/>
      <c r="IB1058" s="989"/>
      <c r="IC1058" s="989"/>
      <c r="ID1058" s="989"/>
      <c r="IE1058" s="989"/>
      <c r="IF1058" s="989"/>
      <c r="IG1058" s="989"/>
      <c r="IH1058" s="989"/>
      <c r="II1058" s="989"/>
      <c r="IJ1058" s="989"/>
      <c r="IK1058" s="989"/>
      <c r="IL1058" s="989"/>
      <c r="IM1058" s="989"/>
      <c r="IN1058" s="989"/>
      <c r="IO1058" s="989"/>
      <c r="IP1058" s="989"/>
      <c r="IQ1058" s="989"/>
      <c r="IR1058" s="989"/>
      <c r="IS1058" s="989"/>
      <c r="IT1058" s="989"/>
      <c r="IU1058" s="989"/>
      <c r="IV1058" s="989"/>
      <c r="IW1058" s="989"/>
      <c r="IX1058" s="989"/>
      <c r="IY1058" s="989"/>
      <c r="IZ1058" s="989"/>
      <c r="JA1058" s="989"/>
      <c r="JB1058" s="989"/>
      <c r="JC1058" s="989"/>
      <c r="JD1058" s="989"/>
      <c r="JE1058" s="989"/>
      <c r="JF1058" s="989"/>
      <c r="JG1058" s="989"/>
      <c r="JH1058" s="989"/>
      <c r="JI1058" s="989"/>
      <c r="JJ1058" s="989"/>
      <c r="JK1058" s="989"/>
      <c r="JL1058" s="989"/>
      <c r="JM1058" s="989"/>
      <c r="JN1058" s="989"/>
      <c r="JO1058" s="989"/>
      <c r="JP1058" s="989"/>
      <c r="JQ1058" s="989"/>
      <c r="JR1058" s="989"/>
      <c r="JS1058" s="989"/>
      <c r="JT1058" s="989"/>
      <c r="JU1058" s="989"/>
      <c r="JV1058" s="989"/>
      <c r="JW1058" s="989"/>
      <c r="JX1058" s="989"/>
      <c r="JY1058" s="989"/>
      <c r="JZ1058" s="989"/>
      <c r="KA1058" s="989"/>
      <c r="KB1058" s="989"/>
      <c r="KC1058" s="989"/>
      <c r="KD1058" s="989"/>
      <c r="KE1058" s="989"/>
      <c r="KF1058" s="989"/>
      <c r="KG1058" s="989"/>
      <c r="KH1058" s="989"/>
      <c r="KI1058" s="989"/>
      <c r="KJ1058" s="989"/>
      <c r="KK1058" s="989"/>
      <c r="KL1058" s="989"/>
      <c r="KM1058" s="989"/>
      <c r="KN1058" s="989"/>
      <c r="KO1058" s="989"/>
      <c r="KP1058" s="989"/>
      <c r="KQ1058" s="989"/>
      <c r="KR1058" s="989"/>
      <c r="KS1058" s="989"/>
      <c r="KT1058" s="989"/>
      <c r="KU1058" s="989"/>
      <c r="KV1058" s="989"/>
      <c r="KW1058" s="989"/>
      <c r="KX1058" s="989"/>
      <c r="KY1058" s="989"/>
      <c r="KZ1058" s="989"/>
      <c r="LA1058" s="989"/>
      <c r="LB1058" s="989"/>
      <c r="LC1058" s="989"/>
      <c r="LD1058" s="989"/>
      <c r="LE1058" s="989"/>
      <c r="LF1058" s="989"/>
      <c r="LG1058" s="989"/>
      <c r="LH1058" s="989"/>
      <c r="LI1058" s="989"/>
      <c r="LJ1058" s="989"/>
      <c r="LK1058" s="989"/>
      <c r="LL1058" s="989"/>
      <c r="LM1058" s="989"/>
      <c r="LN1058" s="989"/>
      <c r="LO1058" s="989"/>
      <c r="LP1058" s="989"/>
      <c r="LQ1058" s="989"/>
      <c r="LR1058" s="989"/>
      <c r="LS1058" s="989"/>
      <c r="LT1058" s="989"/>
      <c r="LU1058" s="989"/>
      <c r="LV1058" s="989"/>
      <c r="LW1058" s="989"/>
      <c r="LX1058" s="989"/>
      <c r="LY1058" s="989"/>
      <c r="LZ1058" s="989"/>
      <c r="MA1058" s="989"/>
      <c r="MB1058" s="989"/>
      <c r="MC1058" s="989"/>
      <c r="MD1058" s="989"/>
      <c r="ME1058" s="989"/>
      <c r="MF1058" s="989"/>
      <c r="MG1058" s="989"/>
      <c r="MH1058" s="989"/>
      <c r="MI1058" s="989"/>
      <c r="MJ1058" s="989"/>
      <c r="MK1058" s="989"/>
      <c r="ML1058" s="989"/>
      <c r="MM1058" s="989"/>
      <c r="MN1058" s="989"/>
      <c r="MO1058" s="989"/>
      <c r="MP1058" s="989"/>
      <c r="MQ1058" s="989"/>
      <c r="MR1058" s="989"/>
      <c r="MS1058" s="989"/>
      <c r="MT1058" s="989"/>
      <c r="MU1058" s="989"/>
      <c r="MV1058" s="989"/>
      <c r="MW1058" s="989"/>
      <c r="MX1058" s="989"/>
      <c r="MY1058" s="989"/>
      <c r="MZ1058" s="989"/>
      <c r="NA1058" s="989"/>
      <c r="NB1058" s="989"/>
      <c r="NC1058" s="989"/>
      <c r="ND1058" s="989"/>
      <c r="NE1058" s="989"/>
      <c r="NF1058" s="989"/>
      <c r="NG1058" s="989"/>
      <c r="NH1058" s="989"/>
      <c r="NI1058" s="989"/>
      <c r="NJ1058" s="989"/>
      <c r="NK1058" s="989"/>
      <c r="NL1058" s="989"/>
      <c r="NM1058" s="989"/>
      <c r="NN1058" s="989"/>
      <c r="NO1058" s="989"/>
      <c r="NP1058" s="989"/>
      <c r="NQ1058" s="989"/>
      <c r="NR1058" s="989"/>
      <c r="NS1058" s="989"/>
      <c r="NT1058" s="989"/>
      <c r="NU1058" s="989"/>
      <c r="NV1058" s="989"/>
      <c r="NW1058" s="989"/>
      <c r="NX1058" s="989"/>
      <c r="NY1058" s="989"/>
      <c r="NZ1058" s="989"/>
      <c r="OA1058" s="989"/>
      <c r="OB1058" s="989"/>
      <c r="OC1058" s="989"/>
      <c r="OD1058" s="989"/>
      <c r="OE1058" s="989"/>
      <c r="OF1058" s="989"/>
      <c r="OG1058" s="989"/>
      <c r="OH1058" s="989"/>
      <c r="OI1058" s="989"/>
      <c r="OJ1058" s="989"/>
      <c r="OK1058" s="989"/>
      <c r="OL1058" s="989"/>
      <c r="OM1058" s="989"/>
      <c r="ON1058" s="989"/>
      <c r="OO1058" s="989"/>
      <c r="OP1058" s="989"/>
      <c r="OQ1058" s="989"/>
      <c r="OR1058" s="989"/>
      <c r="OS1058" s="989"/>
      <c r="OT1058" s="989"/>
      <c r="OU1058" s="989"/>
      <c r="OV1058" s="989"/>
      <c r="OW1058" s="989"/>
      <c r="OX1058" s="989"/>
      <c r="OY1058" s="989"/>
      <c r="OZ1058" s="989"/>
      <c r="PA1058" s="989"/>
      <c r="PB1058" s="989"/>
      <c r="PC1058" s="989"/>
      <c r="PD1058" s="989"/>
      <c r="PE1058" s="989"/>
      <c r="PF1058" s="989"/>
      <c r="PG1058" s="989"/>
      <c r="PH1058" s="989"/>
      <c r="PI1058" s="989"/>
      <c r="PJ1058" s="989"/>
      <c r="PK1058" s="989"/>
      <c r="PL1058" s="989"/>
      <c r="PM1058" s="989"/>
      <c r="PN1058" s="989"/>
      <c r="PO1058" s="989"/>
      <c r="PP1058" s="989"/>
      <c r="PQ1058" s="989"/>
      <c r="PR1058" s="989"/>
      <c r="PS1058" s="989"/>
      <c r="PT1058" s="989"/>
      <c r="PU1058" s="989"/>
      <c r="PV1058" s="989"/>
      <c r="PW1058" s="989"/>
      <c r="PX1058" s="989"/>
      <c r="PY1058" s="989"/>
      <c r="PZ1058" s="989"/>
      <c r="QA1058" s="989"/>
      <c r="QB1058" s="989"/>
      <c r="QC1058" s="989"/>
      <c r="QD1058" s="989"/>
      <c r="QE1058" s="989"/>
      <c r="QF1058" s="989"/>
      <c r="QG1058" s="989"/>
      <c r="QH1058" s="989"/>
      <c r="QI1058" s="989"/>
      <c r="QJ1058" s="989"/>
      <c r="QK1058" s="989"/>
      <c r="QL1058" s="989"/>
      <c r="QM1058" s="989"/>
      <c r="QN1058" s="989"/>
      <c r="QO1058" s="989"/>
      <c r="QP1058" s="989"/>
      <c r="QQ1058" s="989"/>
      <c r="QR1058" s="989"/>
      <c r="QS1058" s="989"/>
      <c r="QT1058" s="989"/>
      <c r="QU1058" s="989"/>
      <c r="QV1058" s="989"/>
      <c r="QW1058" s="989"/>
      <c r="QX1058" s="989"/>
      <c r="QY1058" s="989"/>
      <c r="QZ1058" s="989"/>
      <c r="RA1058" s="989"/>
      <c r="RB1058" s="989"/>
      <c r="RC1058" s="989"/>
      <c r="RD1058" s="989"/>
      <c r="RE1058" s="989"/>
      <c r="RF1058" s="989"/>
      <c r="RG1058" s="989"/>
      <c r="RH1058" s="989"/>
      <c r="RI1058" s="989"/>
      <c r="RJ1058" s="989"/>
      <c r="RK1058" s="989"/>
      <c r="RL1058" s="989"/>
      <c r="RM1058" s="989"/>
      <c r="RN1058" s="989"/>
      <c r="RO1058" s="989"/>
      <c r="RP1058" s="989"/>
      <c r="RQ1058" s="989"/>
      <c r="RR1058" s="989"/>
      <c r="RS1058" s="989"/>
      <c r="RT1058" s="989"/>
      <c r="RU1058" s="989"/>
      <c r="RV1058" s="989"/>
      <c r="RW1058" s="989"/>
      <c r="RX1058" s="989"/>
      <c r="RY1058" s="989"/>
      <c r="RZ1058" s="989"/>
      <c r="SA1058" s="989"/>
      <c r="SB1058" s="989"/>
      <c r="SC1058" s="989"/>
      <c r="SD1058" s="989"/>
      <c r="SE1058" s="989"/>
      <c r="SF1058" s="989"/>
      <c r="SG1058" s="989"/>
      <c r="SH1058" s="989"/>
      <c r="SI1058" s="989"/>
      <c r="SJ1058" s="989"/>
      <c r="SK1058" s="989"/>
      <c r="SL1058" s="989"/>
      <c r="SM1058" s="989"/>
      <c r="SN1058" s="989"/>
      <c r="SO1058" s="989"/>
      <c r="SP1058" s="989"/>
      <c r="SQ1058" s="989"/>
      <c r="SR1058" s="989"/>
      <c r="SS1058" s="989"/>
      <c r="ST1058" s="989"/>
      <c r="SU1058" s="989"/>
      <c r="SV1058" s="989"/>
      <c r="SW1058" s="989"/>
      <c r="SX1058" s="989"/>
      <c r="SY1058" s="989"/>
      <c r="SZ1058" s="989"/>
      <c r="TA1058" s="989"/>
      <c r="TB1058" s="989"/>
      <c r="TC1058" s="989"/>
      <c r="TD1058" s="989"/>
      <c r="TE1058" s="989"/>
      <c r="TF1058" s="989"/>
      <c r="TG1058" s="989"/>
      <c r="TH1058" s="989"/>
      <c r="TI1058" s="989"/>
      <c r="TJ1058" s="989"/>
      <c r="TK1058" s="989"/>
      <c r="TL1058" s="989"/>
      <c r="TM1058" s="989"/>
      <c r="TN1058" s="989"/>
      <c r="TO1058" s="989"/>
      <c r="TP1058" s="989"/>
      <c r="TQ1058" s="989"/>
      <c r="TR1058" s="989"/>
      <c r="TS1058" s="989"/>
      <c r="TT1058" s="989"/>
      <c r="TU1058" s="989"/>
      <c r="TV1058" s="989"/>
      <c r="TW1058" s="989"/>
      <c r="TX1058" s="989"/>
      <c r="TY1058" s="989"/>
      <c r="TZ1058" s="989"/>
      <c r="UA1058" s="989"/>
      <c r="UB1058" s="989"/>
      <c r="UC1058" s="989"/>
      <c r="UD1058" s="989"/>
      <c r="UE1058" s="989"/>
      <c r="UF1058" s="989"/>
      <c r="UG1058" s="989"/>
      <c r="UH1058" s="989"/>
      <c r="UI1058" s="989"/>
      <c r="UJ1058" s="989"/>
      <c r="UK1058" s="989"/>
      <c r="UL1058" s="989"/>
      <c r="UM1058" s="989"/>
      <c r="UN1058" s="989"/>
      <c r="UO1058" s="989"/>
      <c r="UP1058" s="989"/>
      <c r="UQ1058" s="989"/>
      <c r="UR1058" s="989"/>
      <c r="US1058" s="989"/>
      <c r="UT1058" s="989"/>
      <c r="UU1058" s="989"/>
      <c r="UV1058" s="989"/>
      <c r="UW1058" s="989"/>
      <c r="UX1058" s="989"/>
      <c r="UY1058" s="989"/>
      <c r="UZ1058" s="989"/>
      <c r="VA1058" s="989"/>
      <c r="VB1058" s="989"/>
      <c r="VC1058" s="989"/>
      <c r="VD1058" s="989"/>
      <c r="VE1058" s="989"/>
      <c r="VF1058" s="989"/>
      <c r="VG1058" s="989"/>
      <c r="VH1058" s="989"/>
      <c r="VI1058" s="989"/>
      <c r="VJ1058" s="989"/>
      <c r="VK1058" s="989"/>
      <c r="VL1058" s="989"/>
      <c r="VM1058" s="989"/>
      <c r="VN1058" s="989"/>
      <c r="VO1058" s="989"/>
      <c r="VP1058" s="989"/>
      <c r="VQ1058" s="989"/>
      <c r="VR1058" s="989"/>
      <c r="VS1058" s="989"/>
      <c r="VT1058" s="989"/>
      <c r="VU1058" s="989"/>
      <c r="VV1058" s="989"/>
      <c r="VW1058" s="989"/>
      <c r="VX1058" s="989"/>
      <c r="VY1058" s="989"/>
      <c r="VZ1058" s="989"/>
      <c r="WA1058" s="989"/>
      <c r="WB1058" s="989"/>
      <c r="WC1058" s="989"/>
      <c r="WD1058" s="989"/>
      <c r="WE1058" s="989"/>
      <c r="WF1058" s="989"/>
      <c r="WG1058" s="989"/>
      <c r="WH1058" s="989"/>
      <c r="WI1058" s="989"/>
      <c r="WJ1058" s="989"/>
      <c r="WK1058" s="989"/>
      <c r="WL1058" s="989"/>
      <c r="WM1058" s="989"/>
      <c r="WN1058" s="989"/>
      <c r="WO1058" s="989"/>
      <c r="WP1058" s="989"/>
      <c r="WQ1058" s="989"/>
      <c r="WR1058" s="989"/>
      <c r="WS1058" s="989"/>
      <c r="WT1058" s="989"/>
      <c r="WU1058" s="989"/>
      <c r="WV1058" s="989"/>
      <c r="WW1058" s="989"/>
      <c r="WX1058" s="989"/>
      <c r="WY1058" s="989"/>
      <c r="WZ1058" s="989"/>
      <c r="XA1058" s="989"/>
      <c r="XB1058" s="989"/>
      <c r="XC1058" s="989"/>
      <c r="XD1058" s="989"/>
      <c r="XE1058" s="989"/>
      <c r="XF1058" s="989"/>
      <c r="XG1058" s="989"/>
      <c r="XH1058" s="989"/>
      <c r="XI1058" s="989"/>
      <c r="XJ1058" s="989"/>
      <c r="XK1058" s="989"/>
      <c r="XL1058" s="989"/>
      <c r="XM1058" s="989"/>
      <c r="XN1058" s="989"/>
      <c r="XO1058" s="989"/>
      <c r="XP1058" s="989"/>
      <c r="XQ1058" s="989"/>
      <c r="XR1058" s="989"/>
      <c r="XS1058" s="989"/>
      <c r="XT1058" s="989"/>
      <c r="XU1058" s="989"/>
      <c r="XV1058" s="989"/>
      <c r="XW1058" s="989"/>
      <c r="XX1058" s="989"/>
      <c r="XY1058" s="989"/>
      <c r="XZ1058" s="989"/>
      <c r="YA1058" s="989"/>
      <c r="YB1058" s="989"/>
      <c r="YC1058" s="989"/>
      <c r="YD1058" s="989"/>
      <c r="YE1058" s="989"/>
      <c r="YF1058" s="989"/>
      <c r="YG1058" s="989"/>
      <c r="YH1058" s="989"/>
      <c r="YI1058" s="989"/>
      <c r="YJ1058" s="989"/>
      <c r="YK1058" s="989"/>
      <c r="YL1058" s="989"/>
      <c r="YM1058" s="989"/>
      <c r="YN1058" s="989"/>
      <c r="YO1058" s="989"/>
      <c r="YP1058" s="989"/>
      <c r="YQ1058" s="989"/>
      <c r="YR1058" s="989"/>
      <c r="YS1058" s="989"/>
      <c r="YT1058" s="989"/>
      <c r="YU1058" s="989"/>
      <c r="YV1058" s="989"/>
      <c r="YW1058" s="989"/>
      <c r="YX1058" s="989"/>
      <c r="YY1058" s="989"/>
      <c r="YZ1058" s="989"/>
      <c r="ZA1058" s="989"/>
      <c r="ZB1058" s="989"/>
      <c r="ZC1058" s="989"/>
      <c r="ZD1058" s="989"/>
      <c r="ZE1058" s="989"/>
      <c r="ZF1058" s="989"/>
      <c r="ZG1058" s="989"/>
      <c r="ZH1058" s="989"/>
      <c r="ZI1058" s="989"/>
      <c r="ZJ1058" s="989"/>
      <c r="ZK1058" s="989"/>
      <c r="ZL1058" s="989"/>
      <c r="ZM1058" s="989"/>
      <c r="ZN1058" s="989"/>
      <c r="ZO1058" s="989"/>
      <c r="ZP1058" s="989"/>
      <c r="ZQ1058" s="989"/>
      <c r="ZR1058" s="989"/>
      <c r="ZS1058" s="989"/>
      <c r="ZT1058" s="989"/>
      <c r="ZU1058" s="989"/>
      <c r="ZV1058" s="989"/>
      <c r="ZW1058" s="989"/>
      <c r="ZX1058" s="989"/>
      <c r="ZY1058" s="989"/>
      <c r="ZZ1058" s="989"/>
      <c r="AAA1058" s="989"/>
      <c r="AAB1058" s="989"/>
      <c r="AAC1058" s="989"/>
      <c r="AAD1058" s="989"/>
      <c r="AAE1058" s="989"/>
      <c r="AAF1058" s="989"/>
      <c r="AAG1058" s="989"/>
      <c r="AAH1058" s="989"/>
      <c r="AAI1058" s="989"/>
      <c r="AAJ1058" s="989"/>
      <c r="AAK1058" s="989"/>
      <c r="AAL1058" s="989"/>
      <c r="AAM1058" s="989"/>
      <c r="AAN1058" s="989"/>
      <c r="AAO1058" s="989"/>
      <c r="AAP1058" s="989"/>
      <c r="AAQ1058" s="989"/>
      <c r="AAR1058" s="989"/>
      <c r="AAS1058" s="989"/>
      <c r="AAT1058" s="989"/>
      <c r="AAU1058" s="989"/>
      <c r="AAV1058" s="989"/>
      <c r="AAW1058" s="989"/>
      <c r="AAX1058" s="989"/>
      <c r="AAY1058" s="989"/>
      <c r="AAZ1058" s="989"/>
      <c r="ABA1058" s="989"/>
      <c r="ABB1058" s="989"/>
      <c r="ABC1058" s="989"/>
      <c r="ABD1058" s="989"/>
      <c r="ABE1058" s="989"/>
      <c r="ABF1058" s="989"/>
      <c r="ABG1058" s="989"/>
      <c r="ABH1058" s="989"/>
      <c r="ABI1058" s="989"/>
      <c r="ABJ1058" s="989"/>
      <c r="ABK1058" s="989"/>
      <c r="ABL1058" s="989"/>
      <c r="ABM1058" s="989"/>
      <c r="ABN1058" s="989"/>
      <c r="ABO1058" s="989"/>
      <c r="ABP1058" s="989"/>
      <c r="ABQ1058" s="989"/>
      <c r="ABR1058" s="989"/>
      <c r="ABS1058" s="989"/>
      <c r="ABT1058" s="989"/>
      <c r="ABU1058" s="989"/>
      <c r="ABV1058" s="989"/>
      <c r="ABW1058" s="989"/>
      <c r="ABX1058" s="989"/>
      <c r="ABY1058" s="989"/>
      <c r="ABZ1058" s="989"/>
      <c r="ACA1058" s="989"/>
      <c r="ACB1058" s="989"/>
      <c r="ACC1058" s="989"/>
      <c r="ACD1058" s="989"/>
      <c r="ACE1058" s="989"/>
      <c r="ACF1058" s="989"/>
      <c r="ACG1058" s="989"/>
      <c r="ACH1058" s="989"/>
      <c r="ACI1058" s="989"/>
      <c r="ACJ1058" s="989"/>
      <c r="ACK1058" s="989"/>
      <c r="ACL1058" s="989"/>
      <c r="ACM1058" s="989"/>
      <c r="ACN1058" s="989"/>
      <c r="ACO1058" s="989"/>
      <c r="ACP1058" s="989"/>
      <c r="ACQ1058" s="989"/>
      <c r="ACR1058" s="989"/>
      <c r="ACS1058" s="989"/>
      <c r="ACT1058" s="989"/>
      <c r="ACU1058" s="989"/>
      <c r="ACV1058" s="989"/>
      <c r="ACW1058" s="989"/>
      <c r="ACX1058" s="989"/>
      <c r="ACY1058" s="989"/>
      <c r="ACZ1058" s="989"/>
      <c r="ADA1058" s="989"/>
      <c r="ADB1058" s="989"/>
      <c r="ADC1058" s="989"/>
      <c r="ADD1058" s="989"/>
      <c r="ADE1058" s="989"/>
      <c r="ADF1058" s="989"/>
      <c r="ADG1058" s="989"/>
      <c r="ADH1058" s="989"/>
      <c r="ADI1058" s="989"/>
      <c r="ADJ1058" s="989"/>
      <c r="ADK1058" s="989"/>
      <c r="ADL1058" s="989"/>
      <c r="ADM1058" s="989"/>
      <c r="ADN1058" s="989"/>
      <c r="ADO1058" s="989"/>
      <c r="ADP1058" s="989"/>
      <c r="ADQ1058" s="989"/>
      <c r="ADR1058" s="989"/>
      <c r="ADS1058" s="989"/>
      <c r="ADT1058" s="989"/>
      <c r="ADU1058" s="989"/>
      <c r="ADV1058" s="989"/>
      <c r="ADW1058" s="989"/>
      <c r="ADX1058" s="989"/>
      <c r="ADY1058" s="989"/>
      <c r="ADZ1058" s="989"/>
      <c r="AEA1058" s="989"/>
      <c r="AEB1058" s="989"/>
      <c r="AEC1058" s="989"/>
      <c r="AED1058" s="989"/>
      <c r="AEE1058" s="989"/>
      <c r="AEF1058" s="989"/>
      <c r="AEG1058" s="989"/>
      <c r="AEH1058" s="989"/>
      <c r="AEI1058" s="989"/>
      <c r="AEJ1058" s="989"/>
      <c r="AEK1058" s="989"/>
      <c r="AEL1058" s="989"/>
      <c r="AEM1058" s="989"/>
      <c r="AEN1058" s="989"/>
      <c r="AEO1058" s="989"/>
      <c r="AEP1058" s="989"/>
      <c r="AEQ1058" s="989"/>
      <c r="AER1058" s="989"/>
      <c r="AES1058" s="989"/>
      <c r="AET1058" s="989"/>
      <c r="AEU1058" s="989"/>
      <c r="AEV1058" s="989"/>
      <c r="AEW1058" s="989"/>
      <c r="AEX1058" s="989"/>
      <c r="AEY1058" s="989"/>
      <c r="AEZ1058" s="989"/>
      <c r="AFA1058" s="989"/>
      <c r="AFB1058" s="989"/>
      <c r="AFC1058" s="989"/>
      <c r="AFD1058" s="989"/>
      <c r="AFE1058" s="989"/>
      <c r="AFF1058" s="989"/>
      <c r="AFG1058" s="989"/>
      <c r="AFH1058" s="989"/>
      <c r="AFI1058" s="989"/>
      <c r="AFJ1058" s="989"/>
      <c r="AFK1058" s="989"/>
      <c r="AFL1058" s="989"/>
      <c r="AFM1058" s="989"/>
      <c r="AFN1058" s="989"/>
      <c r="AFO1058" s="989"/>
      <c r="AFP1058" s="989"/>
      <c r="AFQ1058" s="989"/>
      <c r="AFR1058" s="989"/>
      <c r="AFS1058" s="989"/>
      <c r="AFT1058" s="989"/>
      <c r="AFU1058" s="989"/>
      <c r="AFV1058" s="989"/>
      <c r="AFW1058" s="989"/>
      <c r="AFX1058" s="989"/>
      <c r="AFY1058" s="989"/>
      <c r="AFZ1058" s="989"/>
      <c r="AGA1058" s="989"/>
      <c r="AGB1058" s="989"/>
      <c r="AGC1058" s="989"/>
      <c r="AGD1058" s="989"/>
      <c r="AGE1058" s="989"/>
      <c r="AGF1058" s="989"/>
      <c r="AGG1058" s="989"/>
      <c r="AGH1058" s="989"/>
      <c r="AGI1058" s="989"/>
      <c r="AGJ1058" s="989"/>
      <c r="AGK1058" s="989"/>
      <c r="AGL1058" s="989"/>
      <c r="AGM1058" s="989"/>
      <c r="AGN1058" s="989"/>
      <c r="AGO1058" s="989"/>
      <c r="AGP1058" s="989"/>
      <c r="AGQ1058" s="989"/>
      <c r="AGR1058" s="989"/>
      <c r="AGS1058" s="989"/>
      <c r="AGT1058" s="989"/>
      <c r="AGU1058" s="989"/>
      <c r="AGV1058" s="989"/>
      <c r="AGW1058" s="989"/>
      <c r="AGX1058" s="989"/>
      <c r="AGY1058" s="989"/>
      <c r="AGZ1058" s="989"/>
      <c r="AHA1058" s="989"/>
      <c r="AHB1058" s="989"/>
      <c r="AHC1058" s="989"/>
      <c r="AHD1058" s="989"/>
      <c r="AHE1058" s="989"/>
      <c r="AHF1058" s="989"/>
      <c r="AHG1058" s="989"/>
      <c r="AHH1058" s="989"/>
      <c r="AHI1058" s="989"/>
      <c r="AHJ1058" s="989"/>
      <c r="AHK1058" s="989"/>
      <c r="AHL1058" s="989"/>
      <c r="AHM1058" s="989"/>
      <c r="AHN1058" s="989"/>
      <c r="AHO1058" s="989"/>
      <c r="AHP1058" s="989"/>
      <c r="AHQ1058" s="989"/>
      <c r="AHR1058" s="989"/>
      <c r="AHS1058" s="989"/>
      <c r="AHT1058" s="989"/>
      <c r="AHU1058" s="989"/>
      <c r="AHV1058" s="989"/>
      <c r="AHW1058" s="989"/>
      <c r="AHX1058" s="989"/>
      <c r="AHY1058" s="989"/>
      <c r="AHZ1058" s="989"/>
      <c r="AIA1058" s="989"/>
      <c r="AIB1058" s="989"/>
      <c r="AIC1058" s="989"/>
      <c r="AID1058" s="989"/>
      <c r="AIE1058" s="989"/>
      <c r="AIF1058" s="989"/>
      <c r="AIG1058" s="989"/>
      <c r="AIH1058" s="989"/>
      <c r="AII1058" s="989"/>
      <c r="AIJ1058" s="989"/>
      <c r="AIK1058" s="989"/>
      <c r="AIL1058" s="989"/>
      <c r="AIM1058" s="989"/>
      <c r="AIN1058" s="989"/>
      <c r="AIO1058" s="989"/>
      <c r="AIP1058" s="989"/>
      <c r="AIQ1058" s="989"/>
      <c r="AIR1058" s="989"/>
      <c r="AIS1058" s="989"/>
      <c r="AIT1058" s="989"/>
      <c r="AIU1058" s="989"/>
      <c r="AIV1058" s="989"/>
      <c r="AIW1058" s="989"/>
      <c r="AIX1058" s="989"/>
      <c r="AIY1058" s="989"/>
      <c r="AIZ1058" s="989"/>
      <c r="AJA1058" s="989"/>
      <c r="AJB1058" s="989"/>
      <c r="AJC1058" s="989"/>
      <c r="AJD1058" s="989"/>
      <c r="AJE1058" s="989"/>
      <c r="AJF1058" s="989"/>
      <c r="AJG1058" s="989"/>
      <c r="AJH1058" s="989"/>
      <c r="AJI1058" s="989"/>
      <c r="AJJ1058" s="989"/>
      <c r="AJK1058" s="989"/>
      <c r="AJL1058" s="989"/>
      <c r="AJM1058" s="989"/>
      <c r="AJN1058" s="989"/>
      <c r="AJO1058" s="989"/>
      <c r="AJP1058" s="989"/>
      <c r="AJQ1058" s="989"/>
      <c r="AJR1058" s="989"/>
      <c r="AJS1058" s="989"/>
      <c r="AJT1058" s="989"/>
      <c r="AJU1058" s="989"/>
      <c r="AJV1058" s="989"/>
      <c r="AJW1058" s="989"/>
      <c r="AJX1058" s="989"/>
      <c r="AJY1058" s="989"/>
      <c r="AJZ1058" s="989"/>
      <c r="AKA1058" s="989"/>
      <c r="AKB1058" s="989"/>
      <c r="AKC1058" s="989"/>
      <c r="AKD1058" s="989"/>
      <c r="AKE1058" s="989"/>
      <c r="AKF1058" s="989"/>
      <c r="AKG1058" s="989"/>
      <c r="AKH1058" s="989"/>
      <c r="AKI1058" s="989"/>
      <c r="AKJ1058" s="989"/>
      <c r="AKK1058" s="989"/>
      <c r="AKL1058" s="989"/>
      <c r="AKM1058" s="989"/>
      <c r="AKN1058" s="989"/>
      <c r="AKO1058" s="989"/>
      <c r="AKP1058" s="989"/>
      <c r="AKQ1058" s="989"/>
      <c r="AKR1058" s="989"/>
      <c r="AKS1058" s="989"/>
      <c r="AKT1058" s="989"/>
      <c r="AKU1058" s="989"/>
      <c r="AKV1058" s="989"/>
      <c r="AKW1058" s="989"/>
      <c r="AKX1058" s="989"/>
      <c r="AKY1058" s="989"/>
      <c r="AKZ1058" s="989"/>
      <c r="ALA1058" s="989"/>
      <c r="ALB1058" s="989"/>
      <c r="ALC1058" s="989"/>
      <c r="ALD1058" s="989"/>
      <c r="ALE1058" s="989"/>
      <c r="ALF1058" s="989"/>
      <c r="ALG1058" s="989"/>
      <c r="ALH1058" s="989"/>
      <c r="ALI1058" s="989"/>
      <c r="ALJ1058" s="989"/>
      <c r="ALK1058" s="989"/>
      <c r="ALL1058" s="989"/>
      <c r="ALM1058" s="989"/>
      <c r="ALN1058" s="989"/>
      <c r="ALO1058" s="989"/>
      <c r="ALP1058" s="989"/>
      <c r="ALQ1058" s="989"/>
      <c r="ALR1058" s="989"/>
      <c r="ALS1058" s="989"/>
      <c r="ALT1058" s="989"/>
      <c r="ALU1058" s="989"/>
      <c r="ALV1058" s="989"/>
      <c r="ALW1058" s="989"/>
      <c r="ALX1058" s="989"/>
      <c r="ALY1058" s="989"/>
      <c r="ALZ1058" s="989"/>
      <c r="AMA1058" s="989"/>
      <c r="AMB1058" s="989"/>
      <c r="AMC1058" s="989"/>
      <c r="AMD1058" s="989"/>
      <c r="AME1058" s="989"/>
      <c r="AMF1058" s="989"/>
      <c r="AMG1058" s="989"/>
      <c r="AMH1058" s="989"/>
      <c r="AMI1058" s="989"/>
      <c r="AMJ1058" s="989"/>
      <c r="AMK1058" s="989"/>
      <c r="AML1058" s="989"/>
      <c r="AMM1058" s="989"/>
      <c r="AMN1058" s="989"/>
      <c r="AMO1058" s="989"/>
      <c r="AMP1058" s="989"/>
      <c r="AMQ1058" s="989"/>
      <c r="AMR1058" s="989"/>
      <c r="AMS1058" s="989"/>
      <c r="AMT1058" s="989"/>
      <c r="AMU1058" s="989"/>
      <c r="AMV1058" s="989"/>
      <c r="AMW1058" s="989"/>
      <c r="AMX1058" s="989"/>
      <c r="AMY1058" s="989"/>
      <c r="AMZ1058" s="989"/>
      <c r="ANA1058" s="989"/>
      <c r="ANB1058" s="989"/>
      <c r="ANC1058" s="989"/>
      <c r="AND1058" s="989"/>
      <c r="ANE1058" s="989"/>
      <c r="ANF1058" s="989"/>
      <c r="ANG1058" s="989"/>
      <c r="ANH1058" s="989"/>
      <c r="ANI1058" s="989"/>
      <c r="ANJ1058" s="989"/>
      <c r="ANK1058" s="989"/>
      <c r="ANL1058" s="989"/>
      <c r="ANM1058" s="989"/>
      <c r="ANN1058" s="989"/>
      <c r="ANO1058" s="989"/>
      <c r="ANP1058" s="989"/>
      <c r="ANQ1058" s="989"/>
      <c r="ANR1058" s="989"/>
      <c r="ANS1058" s="989"/>
      <c r="ANT1058" s="989"/>
      <c r="ANU1058" s="989"/>
      <c r="ANV1058" s="989"/>
      <c r="ANW1058" s="989"/>
      <c r="ANX1058" s="989"/>
      <c r="ANY1058" s="989"/>
      <c r="ANZ1058" s="989"/>
      <c r="AOA1058" s="989"/>
      <c r="AOB1058" s="989"/>
      <c r="AOC1058" s="989"/>
      <c r="AOD1058" s="989"/>
      <c r="AOE1058" s="989"/>
      <c r="AOF1058" s="989"/>
      <c r="AOG1058" s="989"/>
      <c r="AOH1058" s="989"/>
      <c r="AOI1058" s="989"/>
      <c r="AOJ1058" s="989"/>
      <c r="AOK1058" s="989"/>
      <c r="AOL1058" s="989"/>
      <c r="AOM1058" s="989"/>
      <c r="AON1058" s="989"/>
      <c r="AOO1058" s="989"/>
      <c r="AOP1058" s="989"/>
      <c r="AOQ1058" s="989"/>
      <c r="AOR1058" s="989"/>
      <c r="AOS1058" s="989"/>
      <c r="AOT1058" s="989"/>
      <c r="AOU1058" s="989"/>
      <c r="AOV1058" s="989"/>
      <c r="AOW1058" s="989"/>
      <c r="AOX1058" s="989"/>
      <c r="AOY1058" s="989"/>
      <c r="AOZ1058" s="989"/>
      <c r="APA1058" s="989"/>
      <c r="APB1058" s="989"/>
      <c r="APC1058" s="989"/>
      <c r="APD1058" s="989"/>
      <c r="APE1058" s="989"/>
      <c r="APF1058" s="989"/>
      <c r="APG1058" s="989"/>
      <c r="APH1058" s="989"/>
      <c r="API1058" s="989"/>
      <c r="APJ1058" s="989"/>
      <c r="APK1058" s="989"/>
      <c r="APL1058" s="989"/>
      <c r="APM1058" s="989"/>
      <c r="APN1058" s="989"/>
      <c r="APO1058" s="989"/>
      <c r="APP1058" s="989"/>
      <c r="APQ1058" s="989"/>
      <c r="APR1058" s="989"/>
      <c r="APS1058" s="989"/>
      <c r="APT1058" s="989"/>
      <c r="APU1058" s="989"/>
      <c r="APV1058" s="989"/>
      <c r="APW1058" s="989"/>
      <c r="APX1058" s="989"/>
      <c r="APY1058" s="989"/>
      <c r="APZ1058" s="989"/>
      <c r="AQA1058" s="989"/>
      <c r="AQB1058" s="989"/>
      <c r="AQC1058" s="989"/>
      <c r="AQD1058" s="989"/>
      <c r="AQE1058" s="989"/>
      <c r="AQF1058" s="989"/>
      <c r="AQG1058" s="989"/>
      <c r="AQH1058" s="989"/>
      <c r="AQI1058" s="989"/>
      <c r="AQJ1058" s="989"/>
      <c r="AQK1058" s="989"/>
      <c r="AQL1058" s="989"/>
      <c r="AQM1058" s="989"/>
      <c r="AQN1058" s="989"/>
      <c r="AQO1058" s="989"/>
      <c r="AQP1058" s="989"/>
      <c r="AQQ1058" s="989"/>
      <c r="AQR1058" s="989"/>
      <c r="AQS1058" s="989"/>
      <c r="AQT1058" s="989"/>
      <c r="AQU1058" s="989"/>
      <c r="AQV1058" s="989"/>
      <c r="AQW1058" s="989"/>
      <c r="AQX1058" s="989"/>
      <c r="AQY1058" s="989"/>
      <c r="AQZ1058" s="989"/>
      <c r="ARA1058" s="989"/>
      <c r="ARB1058" s="989"/>
      <c r="ARC1058" s="989"/>
      <c r="ARD1058" s="989"/>
      <c r="ARE1058" s="989"/>
      <c r="ARF1058" s="989"/>
      <c r="ARG1058" s="989"/>
      <c r="ARH1058" s="989"/>
      <c r="ARI1058" s="989"/>
      <c r="ARJ1058" s="989"/>
      <c r="ARK1058" s="989"/>
      <c r="ARL1058" s="989"/>
      <c r="ARM1058" s="989"/>
      <c r="ARN1058" s="989"/>
      <c r="ARO1058" s="989"/>
      <c r="ARP1058" s="989"/>
      <c r="ARQ1058" s="989"/>
      <c r="ARR1058" s="989"/>
      <c r="ARS1058" s="989"/>
      <c r="ART1058" s="989"/>
      <c r="ARU1058" s="989"/>
      <c r="ARV1058" s="989"/>
      <c r="ARW1058" s="989"/>
      <c r="ARX1058" s="989"/>
      <c r="ARY1058" s="989"/>
      <c r="ARZ1058" s="989"/>
      <c r="ASA1058" s="989"/>
      <c r="ASB1058" s="989"/>
      <c r="ASC1058" s="989"/>
      <c r="ASD1058" s="989"/>
      <c r="ASE1058" s="989"/>
      <c r="ASF1058" s="989"/>
      <c r="ASG1058" s="989"/>
      <c r="ASH1058" s="989"/>
      <c r="ASI1058" s="989"/>
      <c r="ASJ1058" s="989"/>
      <c r="ASK1058" s="989"/>
      <c r="ASL1058" s="989"/>
      <c r="ASM1058" s="989"/>
      <c r="ASN1058" s="989"/>
      <c r="ASO1058" s="989"/>
      <c r="ASP1058" s="989"/>
      <c r="ASQ1058" s="989"/>
      <c r="ASR1058" s="989"/>
      <c r="ASS1058" s="989"/>
      <c r="AST1058" s="989"/>
      <c r="ASU1058" s="989"/>
      <c r="ASV1058" s="989"/>
      <c r="ASW1058" s="989"/>
      <c r="ASX1058" s="989"/>
      <c r="ASY1058" s="989"/>
      <c r="ASZ1058" s="989"/>
      <c r="ATA1058" s="989"/>
      <c r="ATB1058" s="989"/>
      <c r="ATC1058" s="989"/>
      <c r="ATD1058" s="989"/>
      <c r="ATE1058" s="989"/>
      <c r="ATF1058" s="989"/>
      <c r="ATG1058" s="989"/>
      <c r="ATH1058" s="989"/>
      <c r="ATI1058" s="989"/>
      <c r="ATJ1058" s="989"/>
      <c r="ATK1058" s="989"/>
      <c r="ATL1058" s="989"/>
      <c r="ATM1058" s="989"/>
      <c r="ATN1058" s="989"/>
      <c r="ATO1058" s="989"/>
      <c r="ATP1058" s="989"/>
      <c r="ATQ1058" s="989"/>
      <c r="ATR1058" s="989"/>
      <c r="ATS1058" s="989"/>
      <c r="ATT1058" s="989"/>
      <c r="ATU1058" s="989"/>
      <c r="ATV1058" s="989"/>
      <c r="ATW1058" s="989"/>
      <c r="ATX1058" s="989"/>
      <c r="ATY1058" s="989"/>
      <c r="ATZ1058" s="989"/>
      <c r="AUA1058" s="989"/>
      <c r="AUB1058" s="989"/>
      <c r="AUC1058" s="989"/>
      <c r="AUD1058" s="989"/>
      <c r="AUE1058" s="989"/>
      <c r="AUF1058" s="989"/>
      <c r="AUG1058" s="989"/>
      <c r="AUH1058" s="989"/>
      <c r="AUI1058" s="989"/>
      <c r="AUJ1058" s="989"/>
      <c r="AUK1058" s="989"/>
      <c r="AUL1058" s="989"/>
      <c r="AUM1058" s="989"/>
      <c r="AUN1058" s="989"/>
      <c r="AUO1058" s="989"/>
      <c r="AUP1058" s="989"/>
      <c r="AUQ1058" s="989"/>
      <c r="AUR1058" s="989"/>
      <c r="AUS1058" s="989"/>
      <c r="AUT1058" s="989"/>
      <c r="AUU1058" s="989"/>
      <c r="AUV1058" s="989"/>
      <c r="AUW1058" s="989"/>
      <c r="AUX1058" s="989"/>
      <c r="AUY1058" s="989"/>
      <c r="AUZ1058" s="989"/>
      <c r="AVA1058" s="989"/>
      <c r="AVB1058" s="989"/>
      <c r="AVC1058" s="989"/>
      <c r="AVD1058" s="989"/>
      <c r="AVE1058" s="989"/>
      <c r="AVF1058" s="989"/>
      <c r="AVG1058" s="989"/>
      <c r="AVH1058" s="989"/>
      <c r="AVI1058" s="989"/>
      <c r="AVJ1058" s="989"/>
      <c r="AVK1058" s="989"/>
      <c r="AVL1058" s="989"/>
      <c r="AVM1058" s="989"/>
      <c r="AVN1058" s="989"/>
      <c r="AVO1058" s="989"/>
      <c r="AVP1058" s="989"/>
      <c r="AVQ1058" s="989"/>
      <c r="AVR1058" s="989"/>
      <c r="AVS1058" s="989"/>
      <c r="AVT1058" s="989"/>
      <c r="AVU1058" s="989"/>
      <c r="AVV1058" s="989"/>
      <c r="AVW1058" s="989"/>
      <c r="AVX1058" s="989"/>
      <c r="AVY1058" s="989"/>
      <c r="AVZ1058" s="989"/>
      <c r="AWA1058" s="989"/>
      <c r="AWB1058" s="989"/>
      <c r="AWC1058" s="989"/>
      <c r="AWD1058" s="989"/>
      <c r="AWE1058" s="989"/>
      <c r="AWF1058" s="989"/>
      <c r="AWG1058" s="989"/>
      <c r="AWH1058" s="989"/>
      <c r="AWI1058" s="989"/>
      <c r="AWJ1058" s="989"/>
      <c r="AWK1058" s="989"/>
      <c r="AWL1058" s="989"/>
      <c r="AWM1058" s="989"/>
      <c r="AWN1058" s="989"/>
      <c r="AWO1058" s="989"/>
      <c r="AWP1058" s="989"/>
      <c r="AWQ1058" s="989"/>
      <c r="AWR1058" s="989"/>
      <c r="AWS1058" s="989"/>
      <c r="AWT1058" s="989"/>
      <c r="AWU1058" s="989"/>
      <c r="AWV1058" s="989"/>
      <c r="AWW1058" s="989"/>
      <c r="AWX1058" s="989"/>
      <c r="AWY1058" s="989"/>
      <c r="AWZ1058" s="989"/>
      <c r="AXA1058" s="989"/>
      <c r="AXB1058" s="989"/>
      <c r="AXC1058" s="989"/>
      <c r="AXD1058" s="989"/>
      <c r="AXE1058" s="989"/>
      <c r="AXF1058" s="989"/>
      <c r="AXG1058" s="989"/>
      <c r="AXH1058" s="989"/>
      <c r="AXI1058" s="989"/>
      <c r="AXJ1058" s="989"/>
      <c r="AXK1058" s="989"/>
      <c r="AXL1058" s="989"/>
      <c r="AXM1058" s="989"/>
      <c r="AXN1058" s="989"/>
      <c r="AXO1058" s="989"/>
      <c r="AXP1058" s="989"/>
      <c r="AXQ1058" s="989"/>
      <c r="AXR1058" s="989"/>
      <c r="AXS1058" s="989"/>
      <c r="AXT1058" s="989"/>
      <c r="AXU1058" s="989"/>
      <c r="AXV1058" s="989"/>
      <c r="AXW1058" s="989"/>
      <c r="AXX1058" s="989"/>
      <c r="AXY1058" s="989"/>
      <c r="AXZ1058" s="989"/>
      <c r="AYA1058" s="989"/>
      <c r="AYB1058" s="989"/>
      <c r="AYC1058" s="989"/>
      <c r="AYD1058" s="989"/>
      <c r="AYE1058" s="989"/>
      <c r="AYF1058" s="989"/>
      <c r="AYG1058" s="989"/>
      <c r="AYH1058" s="989"/>
      <c r="AYI1058" s="989"/>
      <c r="AYJ1058" s="989"/>
      <c r="AYK1058" s="989"/>
      <c r="AYL1058" s="989"/>
      <c r="AYM1058" s="989"/>
      <c r="AYN1058" s="989"/>
      <c r="AYO1058" s="989"/>
      <c r="AYP1058" s="989"/>
      <c r="AYQ1058" s="989"/>
      <c r="AYR1058" s="989"/>
      <c r="AYS1058" s="989"/>
      <c r="AYT1058" s="989"/>
      <c r="AYU1058" s="989"/>
      <c r="AYV1058" s="989"/>
      <c r="AYW1058" s="989"/>
      <c r="AYX1058" s="989"/>
      <c r="AYY1058" s="989"/>
      <c r="AYZ1058" s="989"/>
      <c r="AZA1058" s="989"/>
      <c r="AZB1058" s="989"/>
      <c r="AZC1058" s="989"/>
      <c r="AZD1058" s="989"/>
      <c r="AZE1058" s="989"/>
      <c r="AZF1058" s="989"/>
      <c r="AZG1058" s="989"/>
      <c r="AZH1058" s="989"/>
      <c r="AZI1058" s="989"/>
      <c r="AZJ1058" s="989"/>
      <c r="AZK1058" s="989"/>
      <c r="AZL1058" s="989"/>
      <c r="AZM1058" s="989"/>
      <c r="AZN1058" s="989"/>
      <c r="AZO1058" s="989"/>
      <c r="AZP1058" s="989"/>
      <c r="AZQ1058" s="989"/>
      <c r="AZR1058" s="989"/>
      <c r="AZS1058" s="989"/>
      <c r="AZT1058" s="989"/>
      <c r="AZU1058" s="989"/>
      <c r="AZV1058" s="989"/>
      <c r="AZW1058" s="989"/>
      <c r="AZX1058" s="989"/>
      <c r="AZY1058" s="989"/>
      <c r="AZZ1058" s="989"/>
      <c r="BAA1058" s="989"/>
      <c r="BAB1058" s="989"/>
      <c r="BAC1058" s="989"/>
      <c r="BAD1058" s="989"/>
      <c r="BAE1058" s="989"/>
      <c r="BAF1058" s="989"/>
      <c r="BAG1058" s="989"/>
      <c r="BAH1058" s="989"/>
      <c r="BAI1058" s="989"/>
      <c r="BAJ1058" s="989"/>
      <c r="BAK1058" s="989"/>
      <c r="BAL1058" s="989"/>
      <c r="BAM1058" s="989"/>
      <c r="BAN1058" s="989"/>
      <c r="BAO1058" s="989"/>
      <c r="BAP1058" s="989"/>
      <c r="BAQ1058" s="989"/>
      <c r="BAR1058" s="989"/>
      <c r="BAS1058" s="989"/>
      <c r="BAT1058" s="989"/>
      <c r="BAU1058" s="989"/>
      <c r="BAV1058" s="989"/>
      <c r="BAW1058" s="989"/>
      <c r="BAX1058" s="989"/>
      <c r="BAY1058" s="989"/>
      <c r="BAZ1058" s="989"/>
      <c r="BBA1058" s="989"/>
      <c r="BBB1058" s="989"/>
      <c r="BBC1058" s="989"/>
      <c r="BBD1058" s="989"/>
      <c r="BBE1058" s="989"/>
      <c r="BBF1058" s="989"/>
      <c r="BBG1058" s="989"/>
      <c r="BBH1058" s="989"/>
      <c r="BBI1058" s="989"/>
      <c r="BBJ1058" s="989"/>
      <c r="BBK1058" s="989"/>
      <c r="BBL1058" s="989"/>
      <c r="BBM1058" s="989"/>
      <c r="BBN1058" s="989"/>
      <c r="BBO1058" s="989"/>
      <c r="BBP1058" s="989"/>
      <c r="BBQ1058" s="989"/>
      <c r="BBR1058" s="989"/>
      <c r="BBS1058" s="989"/>
      <c r="BBT1058" s="989"/>
      <c r="BBU1058" s="989"/>
      <c r="BBV1058" s="989"/>
      <c r="BBW1058" s="989"/>
      <c r="BBX1058" s="989"/>
      <c r="BBY1058" s="989"/>
      <c r="BBZ1058" s="989"/>
      <c r="BCA1058" s="989"/>
      <c r="BCB1058" s="989"/>
      <c r="BCC1058" s="989"/>
      <c r="BCD1058" s="989"/>
      <c r="BCE1058" s="989"/>
      <c r="BCF1058" s="989"/>
      <c r="BCG1058" s="989"/>
      <c r="BCH1058" s="989"/>
      <c r="BCI1058" s="989"/>
      <c r="BCJ1058" s="989"/>
      <c r="BCK1058" s="989"/>
      <c r="BCL1058" s="989"/>
      <c r="BCM1058" s="989"/>
      <c r="BCN1058" s="989"/>
      <c r="BCO1058" s="989"/>
      <c r="BCP1058" s="989"/>
      <c r="BCQ1058" s="989"/>
      <c r="BCR1058" s="989"/>
      <c r="BCS1058" s="989"/>
      <c r="BCT1058" s="989"/>
      <c r="BCU1058" s="989"/>
      <c r="BCV1058" s="989"/>
      <c r="BCW1058" s="989"/>
      <c r="BCX1058" s="989"/>
      <c r="BCY1058" s="989"/>
      <c r="BCZ1058" s="989"/>
      <c r="BDA1058" s="989"/>
      <c r="BDB1058" s="989"/>
      <c r="BDC1058" s="989"/>
      <c r="BDD1058" s="989"/>
      <c r="BDE1058" s="989"/>
      <c r="BDF1058" s="989"/>
      <c r="BDG1058" s="989"/>
      <c r="BDH1058" s="989"/>
      <c r="BDI1058" s="989"/>
      <c r="BDJ1058" s="989"/>
      <c r="BDK1058" s="989"/>
      <c r="BDL1058" s="989"/>
      <c r="BDM1058" s="989"/>
      <c r="BDN1058" s="989"/>
      <c r="BDO1058" s="989"/>
      <c r="BDP1058" s="989"/>
      <c r="BDQ1058" s="989"/>
      <c r="BDR1058" s="989"/>
      <c r="BDS1058" s="989"/>
      <c r="BDT1058" s="989"/>
      <c r="BDU1058" s="989"/>
      <c r="BDV1058" s="989"/>
      <c r="BDW1058" s="989"/>
      <c r="BDX1058" s="989"/>
      <c r="BDY1058" s="989"/>
      <c r="BDZ1058" s="989"/>
      <c r="BEA1058" s="989"/>
      <c r="BEB1058" s="989"/>
      <c r="BEC1058" s="989"/>
      <c r="BED1058" s="989"/>
      <c r="BEE1058" s="989"/>
      <c r="BEF1058" s="989"/>
      <c r="BEG1058" s="989"/>
      <c r="BEH1058" s="989"/>
      <c r="BEI1058" s="989"/>
      <c r="BEJ1058" s="989"/>
      <c r="BEK1058" s="989"/>
      <c r="BEL1058" s="989"/>
      <c r="BEM1058" s="989"/>
      <c r="BEN1058" s="989"/>
      <c r="BEO1058" s="989"/>
      <c r="BEP1058" s="989"/>
      <c r="BEQ1058" s="989"/>
      <c r="BER1058" s="989"/>
      <c r="BES1058" s="989"/>
      <c r="BET1058" s="989"/>
      <c r="BEU1058" s="989"/>
      <c r="BEV1058" s="989"/>
      <c r="BEW1058" s="989"/>
      <c r="BEX1058" s="989"/>
      <c r="BEY1058" s="989"/>
      <c r="BEZ1058" s="989"/>
      <c r="BFA1058" s="989"/>
      <c r="BFB1058" s="989"/>
      <c r="BFC1058" s="989"/>
      <c r="BFD1058" s="989"/>
      <c r="BFE1058" s="989"/>
      <c r="BFF1058" s="989"/>
      <c r="BFG1058" s="989"/>
      <c r="BFH1058" s="989"/>
      <c r="BFI1058" s="989"/>
      <c r="BFJ1058" s="989"/>
      <c r="BFK1058" s="989"/>
      <c r="BFL1058" s="989"/>
      <c r="BFM1058" s="989"/>
      <c r="BFN1058" s="989"/>
      <c r="BFO1058" s="989"/>
      <c r="BFP1058" s="989"/>
      <c r="BFQ1058" s="989"/>
      <c r="BFR1058" s="989"/>
      <c r="BFS1058" s="989"/>
      <c r="BFT1058" s="989"/>
      <c r="BFU1058" s="989"/>
      <c r="BFV1058" s="989"/>
      <c r="BFW1058" s="989"/>
      <c r="BFX1058" s="989"/>
      <c r="BFY1058" s="989"/>
      <c r="BFZ1058" s="989"/>
      <c r="BGA1058" s="989"/>
      <c r="BGB1058" s="989"/>
      <c r="BGC1058" s="989"/>
      <c r="BGD1058" s="989"/>
      <c r="BGE1058" s="989"/>
      <c r="BGF1058" s="989"/>
      <c r="BGG1058" s="989"/>
      <c r="BGH1058" s="989"/>
      <c r="BGI1058" s="989"/>
      <c r="BGJ1058" s="989"/>
      <c r="BGK1058" s="989"/>
      <c r="BGL1058" s="989"/>
      <c r="BGM1058" s="989"/>
      <c r="BGN1058" s="989"/>
      <c r="BGO1058" s="989"/>
      <c r="BGP1058" s="989"/>
      <c r="BGQ1058" s="989"/>
      <c r="BGR1058" s="989"/>
      <c r="BGS1058" s="989"/>
      <c r="BGT1058" s="989"/>
      <c r="BGU1058" s="989"/>
      <c r="BGV1058" s="989"/>
      <c r="BGW1058" s="989"/>
      <c r="BGX1058" s="989"/>
      <c r="BGY1058" s="989"/>
      <c r="BGZ1058" s="989"/>
      <c r="BHA1058" s="989"/>
      <c r="BHB1058" s="989"/>
      <c r="BHC1058" s="989"/>
      <c r="BHD1058" s="989"/>
      <c r="BHE1058" s="989"/>
      <c r="BHF1058" s="989"/>
      <c r="BHG1058" s="989"/>
      <c r="BHH1058" s="989"/>
      <c r="BHI1058" s="989"/>
      <c r="BHJ1058" s="989"/>
      <c r="BHK1058" s="989"/>
      <c r="BHL1058" s="989"/>
      <c r="BHM1058" s="989"/>
      <c r="BHN1058" s="989"/>
      <c r="BHO1058" s="989"/>
      <c r="BHP1058" s="989"/>
      <c r="BHQ1058" s="989"/>
      <c r="BHR1058" s="989"/>
      <c r="BHS1058" s="989"/>
      <c r="BHT1058" s="989"/>
      <c r="BHU1058" s="989"/>
      <c r="BHV1058" s="989"/>
      <c r="BHW1058" s="989"/>
      <c r="BHX1058" s="989"/>
      <c r="BHY1058" s="989"/>
      <c r="BHZ1058" s="989"/>
      <c r="BIA1058" s="989"/>
      <c r="BIB1058" s="989"/>
      <c r="BIC1058" s="989"/>
      <c r="BID1058" s="989"/>
      <c r="BIE1058" s="989"/>
      <c r="BIF1058" s="989"/>
      <c r="BIG1058" s="989"/>
      <c r="BIH1058" s="989"/>
      <c r="BII1058" s="989"/>
      <c r="BIJ1058" s="989"/>
      <c r="BIK1058" s="989"/>
      <c r="BIL1058" s="989"/>
      <c r="BIM1058" s="989"/>
      <c r="BIN1058" s="989"/>
      <c r="BIO1058" s="989"/>
      <c r="BIP1058" s="989"/>
      <c r="BIQ1058" s="989"/>
      <c r="BIR1058" s="989"/>
      <c r="BIS1058" s="989"/>
      <c r="BIT1058" s="989"/>
      <c r="BIU1058" s="989"/>
      <c r="BIV1058" s="989"/>
      <c r="BIW1058" s="989"/>
      <c r="BIX1058" s="989"/>
      <c r="BIY1058" s="989"/>
      <c r="BIZ1058" s="989"/>
      <c r="BJA1058" s="989"/>
      <c r="BJB1058" s="989"/>
      <c r="BJC1058" s="989"/>
      <c r="BJD1058" s="989"/>
      <c r="BJE1058" s="989"/>
      <c r="BJF1058" s="989"/>
      <c r="BJG1058" s="989"/>
      <c r="BJH1058" s="989"/>
      <c r="BJI1058" s="989"/>
      <c r="BJJ1058" s="989"/>
      <c r="BJK1058" s="989"/>
      <c r="BJL1058" s="989"/>
      <c r="BJM1058" s="989"/>
      <c r="BJN1058" s="989"/>
      <c r="BJO1058" s="989"/>
      <c r="BJP1058" s="989"/>
      <c r="BJQ1058" s="989"/>
      <c r="BJR1058" s="989"/>
      <c r="BJS1058" s="989"/>
      <c r="BJT1058" s="989"/>
      <c r="BJU1058" s="989"/>
      <c r="BJV1058" s="989"/>
      <c r="BJW1058" s="989"/>
      <c r="BJX1058" s="989"/>
      <c r="BJY1058" s="989"/>
      <c r="BJZ1058" s="989"/>
      <c r="BKA1058" s="989"/>
      <c r="BKB1058" s="989"/>
      <c r="BKC1058" s="989"/>
      <c r="BKD1058" s="989"/>
      <c r="BKE1058" s="989"/>
      <c r="BKF1058" s="989"/>
      <c r="BKG1058" s="989"/>
      <c r="BKH1058" s="989"/>
      <c r="BKI1058" s="989"/>
      <c r="BKJ1058" s="989"/>
      <c r="BKK1058" s="989"/>
      <c r="BKL1058" s="989"/>
      <c r="BKM1058" s="989"/>
      <c r="BKN1058" s="989"/>
      <c r="BKO1058" s="989"/>
      <c r="BKP1058" s="989"/>
      <c r="BKQ1058" s="989"/>
      <c r="BKR1058" s="989"/>
      <c r="BKS1058" s="989"/>
      <c r="BKT1058" s="989"/>
      <c r="BKU1058" s="989"/>
      <c r="BKV1058" s="989"/>
      <c r="BKW1058" s="989"/>
      <c r="BKX1058" s="989"/>
      <c r="BKY1058" s="989"/>
      <c r="BKZ1058" s="989"/>
      <c r="BLA1058" s="989"/>
      <c r="BLB1058" s="989"/>
      <c r="BLC1058" s="989"/>
      <c r="BLD1058" s="989"/>
      <c r="BLE1058" s="989"/>
      <c r="BLF1058" s="989"/>
      <c r="BLG1058" s="989"/>
      <c r="BLH1058" s="989"/>
      <c r="BLI1058" s="989"/>
      <c r="BLJ1058" s="989"/>
      <c r="BLK1058" s="989"/>
      <c r="BLL1058" s="989"/>
      <c r="BLM1058" s="989"/>
      <c r="BLN1058" s="989"/>
      <c r="BLO1058" s="989"/>
      <c r="BLP1058" s="989"/>
      <c r="BLQ1058" s="989"/>
      <c r="BLR1058" s="989"/>
      <c r="BLS1058" s="989"/>
      <c r="BLT1058" s="989"/>
      <c r="BLU1058" s="989"/>
      <c r="BLV1058" s="989"/>
      <c r="BLW1058" s="989"/>
      <c r="BLX1058" s="989"/>
      <c r="BLY1058" s="989"/>
      <c r="BLZ1058" s="989"/>
      <c r="BMA1058" s="989"/>
      <c r="BMB1058" s="989"/>
      <c r="BMC1058" s="989"/>
      <c r="BMD1058" s="989"/>
      <c r="BME1058" s="989"/>
      <c r="BMF1058" s="989"/>
      <c r="BMG1058" s="989"/>
      <c r="BMH1058" s="989"/>
      <c r="BMI1058" s="989"/>
      <c r="BMJ1058" s="989"/>
      <c r="BMK1058" s="989"/>
      <c r="BML1058" s="989"/>
      <c r="BMM1058" s="989"/>
      <c r="BMN1058" s="989"/>
      <c r="BMO1058" s="989"/>
      <c r="BMP1058" s="989"/>
      <c r="BMQ1058" s="989"/>
      <c r="BMR1058" s="989"/>
      <c r="BMS1058" s="989"/>
      <c r="BMT1058" s="989"/>
      <c r="BMU1058" s="989"/>
      <c r="BMV1058" s="989"/>
      <c r="BMW1058" s="989"/>
      <c r="BMX1058" s="989"/>
      <c r="BMY1058" s="989"/>
      <c r="BMZ1058" s="989"/>
      <c r="BNA1058" s="989"/>
      <c r="BNB1058" s="989"/>
      <c r="BNC1058" s="989"/>
      <c r="BND1058" s="989"/>
      <c r="BNE1058" s="989"/>
      <c r="BNF1058" s="989"/>
      <c r="BNG1058" s="989"/>
      <c r="BNH1058" s="989"/>
      <c r="BNI1058" s="989"/>
      <c r="BNJ1058" s="989"/>
      <c r="BNK1058" s="989"/>
      <c r="BNL1058" s="989"/>
      <c r="BNM1058" s="989"/>
      <c r="BNN1058" s="989"/>
      <c r="BNO1058" s="989"/>
      <c r="BNP1058" s="989"/>
      <c r="BNQ1058" s="989"/>
      <c r="BNR1058" s="989"/>
      <c r="BNS1058" s="989"/>
      <c r="BNT1058" s="989"/>
      <c r="BNU1058" s="989"/>
      <c r="BNV1058" s="989"/>
      <c r="BNW1058" s="989"/>
      <c r="BNX1058" s="989"/>
      <c r="BNY1058" s="989"/>
      <c r="BNZ1058" s="989"/>
      <c r="BOA1058" s="989"/>
      <c r="BOB1058" s="989"/>
      <c r="BOC1058" s="989"/>
      <c r="BOD1058" s="989"/>
      <c r="BOE1058" s="989"/>
      <c r="BOF1058" s="989"/>
      <c r="BOG1058" s="989"/>
      <c r="BOH1058" s="989"/>
      <c r="BOI1058" s="989"/>
      <c r="BOJ1058" s="989"/>
      <c r="BOK1058" s="989"/>
      <c r="BOL1058" s="989"/>
      <c r="BOM1058" s="989"/>
      <c r="BON1058" s="989"/>
      <c r="BOO1058" s="989"/>
      <c r="BOP1058" s="989"/>
      <c r="BOQ1058" s="989"/>
      <c r="BOR1058" s="989"/>
      <c r="BOS1058" s="989"/>
      <c r="BOT1058" s="989"/>
      <c r="BOU1058" s="989"/>
      <c r="BOV1058" s="989"/>
      <c r="BOW1058" s="989"/>
      <c r="BOX1058" s="989"/>
      <c r="BOY1058" s="989"/>
      <c r="BOZ1058" s="989"/>
      <c r="BPA1058" s="989"/>
      <c r="BPB1058" s="989"/>
      <c r="BPC1058" s="989"/>
      <c r="BPD1058" s="989"/>
      <c r="BPE1058" s="989"/>
      <c r="BPF1058" s="989"/>
      <c r="BPG1058" s="989"/>
      <c r="BPH1058" s="989"/>
      <c r="BPI1058" s="989"/>
      <c r="BPJ1058" s="989"/>
      <c r="BPK1058" s="989"/>
      <c r="BPL1058" s="989"/>
      <c r="BPM1058" s="989"/>
      <c r="BPN1058" s="989"/>
      <c r="BPO1058" s="989"/>
      <c r="BPP1058" s="989"/>
      <c r="BPQ1058" s="989"/>
      <c r="BPR1058" s="989"/>
      <c r="BPS1058" s="989"/>
      <c r="BPT1058" s="989"/>
      <c r="BPU1058" s="989"/>
      <c r="BPV1058" s="989"/>
      <c r="BPW1058" s="989"/>
      <c r="BPX1058" s="989"/>
      <c r="BPY1058" s="989"/>
      <c r="BPZ1058" s="989"/>
      <c r="BQA1058" s="989"/>
      <c r="BQB1058" s="989"/>
      <c r="BQC1058" s="989"/>
      <c r="BQD1058" s="989"/>
      <c r="BQE1058" s="989"/>
      <c r="BQF1058" s="989"/>
      <c r="BQG1058" s="989"/>
      <c r="BQH1058" s="989"/>
      <c r="BQI1058" s="989"/>
      <c r="BQJ1058" s="989"/>
      <c r="BQK1058" s="989"/>
      <c r="BQL1058" s="989"/>
      <c r="BQM1058" s="989"/>
      <c r="BQN1058" s="989"/>
      <c r="BQO1058" s="989"/>
      <c r="BQP1058" s="989"/>
      <c r="BQQ1058" s="989"/>
      <c r="BQR1058" s="989"/>
      <c r="BQS1058" s="989"/>
      <c r="BQT1058" s="989"/>
      <c r="BQU1058" s="989"/>
      <c r="BQV1058" s="989"/>
      <c r="BQW1058" s="989"/>
      <c r="BQX1058" s="989"/>
      <c r="BQY1058" s="989"/>
      <c r="BQZ1058" s="989"/>
      <c r="BRA1058" s="989"/>
      <c r="BRB1058" s="989"/>
      <c r="BRC1058" s="989"/>
      <c r="BRD1058" s="989"/>
      <c r="BRE1058" s="989"/>
      <c r="BRF1058" s="989"/>
      <c r="BRG1058" s="989"/>
      <c r="BRH1058" s="989"/>
      <c r="BRI1058" s="989"/>
      <c r="BRJ1058" s="989"/>
      <c r="BRK1058" s="989"/>
      <c r="BRL1058" s="989"/>
      <c r="BRM1058" s="989"/>
      <c r="BRN1058" s="989"/>
      <c r="BRO1058" s="989"/>
      <c r="BRP1058" s="989"/>
      <c r="BRQ1058" s="989"/>
      <c r="BRR1058" s="989"/>
      <c r="BRS1058" s="989"/>
      <c r="BRT1058" s="989"/>
      <c r="BRU1058" s="989"/>
      <c r="BRV1058" s="989"/>
      <c r="BRW1058" s="989"/>
      <c r="BRX1058" s="989"/>
      <c r="BRY1058" s="989"/>
      <c r="BRZ1058" s="989"/>
      <c r="BSA1058" s="989"/>
      <c r="BSB1058" s="989"/>
      <c r="BSC1058" s="989"/>
      <c r="BSD1058" s="989"/>
      <c r="BSE1058" s="989"/>
      <c r="BSF1058" s="989"/>
      <c r="BSG1058" s="989"/>
      <c r="BSH1058" s="989"/>
      <c r="BSI1058" s="989"/>
      <c r="BSJ1058" s="989"/>
      <c r="BSK1058" s="989"/>
      <c r="BSL1058" s="989"/>
      <c r="BSM1058" s="989"/>
      <c r="BSN1058" s="989"/>
      <c r="BSO1058" s="989"/>
      <c r="BSP1058" s="989"/>
      <c r="BSQ1058" s="989"/>
      <c r="BSR1058" s="989"/>
      <c r="BSS1058" s="989"/>
      <c r="BST1058" s="989"/>
      <c r="BSU1058" s="989"/>
      <c r="BSV1058" s="989"/>
      <c r="BSW1058" s="989"/>
      <c r="BSX1058" s="989"/>
      <c r="BSY1058" s="989"/>
      <c r="BSZ1058" s="989"/>
      <c r="BTA1058" s="989"/>
      <c r="BTB1058" s="989"/>
      <c r="BTC1058" s="989"/>
      <c r="BTD1058" s="989"/>
      <c r="BTE1058" s="989"/>
      <c r="BTF1058" s="989"/>
      <c r="BTG1058" s="989"/>
      <c r="BTH1058" s="989"/>
      <c r="BTI1058" s="989"/>
      <c r="BTJ1058" s="989"/>
      <c r="BTK1058" s="989"/>
      <c r="BTL1058" s="989"/>
      <c r="BTM1058" s="989"/>
      <c r="BTN1058" s="989"/>
      <c r="BTO1058" s="989"/>
      <c r="BTP1058" s="989"/>
      <c r="BTQ1058" s="989"/>
      <c r="BTR1058" s="989"/>
      <c r="BTS1058" s="989"/>
      <c r="BTT1058" s="989"/>
      <c r="BTU1058" s="989"/>
      <c r="BTV1058" s="989"/>
      <c r="BTW1058" s="989"/>
      <c r="BTX1058" s="989"/>
      <c r="BTY1058" s="989"/>
      <c r="BTZ1058" s="989"/>
      <c r="BUA1058" s="989"/>
      <c r="BUB1058" s="989"/>
      <c r="BUC1058" s="989"/>
      <c r="BUD1058" s="989"/>
      <c r="BUE1058" s="989"/>
      <c r="BUF1058" s="989"/>
      <c r="BUG1058" s="989"/>
      <c r="BUH1058" s="989"/>
      <c r="BUI1058" s="989"/>
      <c r="BUJ1058" s="989"/>
      <c r="BUK1058" s="989"/>
      <c r="BUL1058" s="989"/>
      <c r="BUM1058" s="989"/>
      <c r="BUN1058" s="989"/>
      <c r="BUO1058" s="989"/>
      <c r="BUP1058" s="989"/>
      <c r="BUQ1058" s="989"/>
      <c r="BUR1058" s="989"/>
      <c r="BUS1058" s="989"/>
      <c r="BUT1058" s="989"/>
      <c r="BUU1058" s="989"/>
      <c r="BUV1058" s="989"/>
      <c r="BUW1058" s="989"/>
      <c r="BUX1058" s="989"/>
      <c r="BUY1058" s="989"/>
      <c r="BUZ1058" s="989"/>
      <c r="BVA1058" s="989"/>
      <c r="BVB1058" s="989"/>
      <c r="BVC1058" s="989"/>
      <c r="BVD1058" s="989"/>
      <c r="BVE1058" s="989"/>
      <c r="BVF1058" s="989"/>
      <c r="BVG1058" s="989"/>
      <c r="BVH1058" s="989"/>
      <c r="BVI1058" s="989"/>
      <c r="BVJ1058" s="989"/>
      <c r="BVK1058" s="989"/>
      <c r="BVL1058" s="989"/>
      <c r="BVM1058" s="989"/>
      <c r="BVN1058" s="989"/>
      <c r="BVO1058" s="989"/>
      <c r="BVP1058" s="989"/>
      <c r="BVQ1058" s="989"/>
      <c r="BVR1058" s="989"/>
      <c r="BVS1058" s="989"/>
      <c r="BVT1058" s="989"/>
      <c r="BVU1058" s="989"/>
      <c r="BVV1058" s="989"/>
      <c r="BVW1058" s="989"/>
      <c r="BVX1058" s="989"/>
      <c r="BVY1058" s="989"/>
      <c r="BVZ1058" s="989"/>
      <c r="BWA1058" s="989"/>
      <c r="BWB1058" s="989"/>
      <c r="BWC1058" s="989"/>
      <c r="BWD1058" s="989"/>
      <c r="BWE1058" s="989"/>
      <c r="BWF1058" s="989"/>
      <c r="BWG1058" s="989"/>
      <c r="BWH1058" s="989"/>
      <c r="BWI1058" s="989"/>
      <c r="BWJ1058" s="989"/>
      <c r="BWK1058" s="989"/>
      <c r="BWL1058" s="989"/>
      <c r="BWM1058" s="989"/>
      <c r="BWN1058" s="989"/>
      <c r="BWO1058" s="989"/>
      <c r="BWP1058" s="989"/>
      <c r="BWQ1058" s="989"/>
      <c r="BWR1058" s="989"/>
      <c r="BWS1058" s="989"/>
      <c r="BWT1058" s="989"/>
      <c r="BWU1058" s="989"/>
      <c r="BWV1058" s="989"/>
      <c r="BWW1058" s="989"/>
      <c r="BWX1058" s="989"/>
      <c r="BWY1058" s="989"/>
      <c r="BWZ1058" s="989"/>
      <c r="BXA1058" s="989"/>
      <c r="BXB1058" s="989"/>
      <c r="BXC1058" s="989"/>
      <c r="BXD1058" s="989"/>
      <c r="BXE1058" s="989"/>
      <c r="BXF1058" s="989"/>
      <c r="BXG1058" s="989"/>
      <c r="BXH1058" s="989"/>
      <c r="BXI1058" s="989"/>
      <c r="BXJ1058" s="989"/>
      <c r="BXK1058" s="989"/>
      <c r="BXL1058" s="989"/>
      <c r="BXM1058" s="989"/>
      <c r="BXN1058" s="989"/>
      <c r="BXO1058" s="989"/>
      <c r="BXP1058" s="989"/>
      <c r="BXQ1058" s="989"/>
      <c r="BXR1058" s="989"/>
      <c r="BXS1058" s="989"/>
      <c r="BXT1058" s="989"/>
      <c r="BXU1058" s="989"/>
      <c r="BXV1058" s="989"/>
      <c r="BXW1058" s="989"/>
      <c r="BXX1058" s="989"/>
      <c r="BXY1058" s="989"/>
      <c r="BXZ1058" s="989"/>
      <c r="BYA1058" s="989"/>
      <c r="BYB1058" s="989"/>
      <c r="BYC1058" s="989"/>
      <c r="BYD1058" s="989"/>
      <c r="BYE1058" s="989"/>
      <c r="BYF1058" s="989"/>
      <c r="BYG1058" s="989"/>
      <c r="BYH1058" s="989"/>
      <c r="BYI1058" s="989"/>
      <c r="BYJ1058" s="989"/>
      <c r="BYK1058" s="989"/>
      <c r="BYL1058" s="989"/>
      <c r="BYM1058" s="989"/>
      <c r="BYN1058" s="989"/>
      <c r="BYO1058" s="989"/>
      <c r="BYP1058" s="989"/>
      <c r="BYQ1058" s="989"/>
      <c r="BYR1058" s="989"/>
      <c r="BYS1058" s="989"/>
      <c r="BYT1058" s="989"/>
      <c r="BYU1058" s="989"/>
      <c r="BYV1058" s="989"/>
      <c r="BYW1058" s="989"/>
      <c r="BYX1058" s="989"/>
      <c r="BYY1058" s="989"/>
      <c r="BYZ1058" s="989"/>
      <c r="BZA1058" s="989"/>
      <c r="BZB1058" s="989"/>
      <c r="BZC1058" s="989"/>
      <c r="BZD1058" s="989"/>
      <c r="BZE1058" s="989"/>
      <c r="BZF1058" s="989"/>
      <c r="BZG1058" s="989"/>
      <c r="BZH1058" s="989"/>
      <c r="BZI1058" s="989"/>
      <c r="BZJ1058" s="989"/>
      <c r="BZK1058" s="989"/>
      <c r="BZL1058" s="989"/>
      <c r="BZM1058" s="989"/>
      <c r="BZN1058" s="989"/>
      <c r="BZO1058" s="989"/>
      <c r="BZP1058" s="989"/>
      <c r="BZQ1058" s="989"/>
      <c r="BZR1058" s="989"/>
      <c r="BZS1058" s="989"/>
      <c r="BZT1058" s="989"/>
      <c r="BZU1058" s="989"/>
      <c r="BZV1058" s="989"/>
      <c r="BZW1058" s="989"/>
      <c r="BZX1058" s="989"/>
      <c r="BZY1058" s="989"/>
      <c r="BZZ1058" s="989"/>
      <c r="CAA1058" s="989"/>
      <c r="CAB1058" s="989"/>
      <c r="CAC1058" s="989"/>
      <c r="CAD1058" s="989"/>
      <c r="CAE1058" s="989"/>
      <c r="CAF1058" s="989"/>
      <c r="CAG1058" s="989"/>
      <c r="CAH1058" s="989"/>
      <c r="CAI1058" s="989"/>
      <c r="CAJ1058" s="989"/>
      <c r="CAK1058" s="989"/>
      <c r="CAL1058" s="989"/>
      <c r="CAM1058" s="989"/>
      <c r="CAN1058" s="989"/>
      <c r="CAO1058" s="989"/>
      <c r="CAP1058" s="989"/>
      <c r="CAQ1058" s="989"/>
      <c r="CAR1058" s="989"/>
      <c r="CAS1058" s="989"/>
      <c r="CAT1058" s="989"/>
      <c r="CAU1058" s="989"/>
      <c r="CAV1058" s="989"/>
      <c r="CAW1058" s="989"/>
      <c r="CAX1058" s="989"/>
      <c r="CAY1058" s="989"/>
      <c r="CAZ1058" s="989"/>
      <c r="CBA1058" s="989"/>
      <c r="CBB1058" s="989"/>
      <c r="CBC1058" s="989"/>
      <c r="CBD1058" s="989"/>
      <c r="CBE1058" s="989"/>
      <c r="CBF1058" s="989"/>
      <c r="CBG1058" s="989"/>
      <c r="CBH1058" s="989"/>
      <c r="CBI1058" s="989"/>
      <c r="CBJ1058" s="989"/>
      <c r="CBK1058" s="989"/>
      <c r="CBL1058" s="989"/>
      <c r="CBM1058" s="989"/>
      <c r="CBN1058" s="989"/>
      <c r="CBO1058" s="989"/>
      <c r="CBP1058" s="989"/>
      <c r="CBQ1058" s="989"/>
      <c r="CBR1058" s="989"/>
      <c r="CBS1058" s="989"/>
      <c r="CBT1058" s="989"/>
      <c r="CBU1058" s="989"/>
      <c r="CBV1058" s="989"/>
      <c r="CBW1058" s="989"/>
      <c r="CBX1058" s="989"/>
      <c r="CBY1058" s="989"/>
      <c r="CBZ1058" s="989"/>
      <c r="CCA1058" s="989"/>
      <c r="CCB1058" s="989"/>
      <c r="CCC1058" s="989"/>
      <c r="CCD1058" s="989"/>
      <c r="CCE1058" s="989"/>
      <c r="CCF1058" s="989"/>
      <c r="CCG1058" s="989"/>
      <c r="CCH1058" s="989"/>
      <c r="CCI1058" s="989"/>
      <c r="CCJ1058" s="989"/>
      <c r="CCK1058" s="989"/>
      <c r="CCL1058" s="989"/>
      <c r="CCM1058" s="989"/>
      <c r="CCN1058" s="989"/>
      <c r="CCO1058" s="989"/>
      <c r="CCP1058" s="989"/>
      <c r="CCQ1058" s="989"/>
      <c r="CCR1058" s="989"/>
      <c r="CCS1058" s="989"/>
      <c r="CCT1058" s="989"/>
      <c r="CCU1058" s="989"/>
      <c r="CCV1058" s="989"/>
      <c r="CCW1058" s="989"/>
      <c r="CCX1058" s="989"/>
      <c r="CCY1058" s="989"/>
      <c r="CCZ1058" s="989"/>
      <c r="CDA1058" s="989"/>
      <c r="CDB1058" s="989"/>
      <c r="CDC1058" s="989"/>
      <c r="CDD1058" s="989"/>
      <c r="CDE1058" s="989"/>
      <c r="CDF1058" s="989"/>
      <c r="CDG1058" s="989"/>
      <c r="CDH1058" s="989"/>
      <c r="CDI1058" s="989"/>
      <c r="CDJ1058" s="989"/>
      <c r="CDK1058" s="989"/>
      <c r="CDL1058" s="989"/>
      <c r="CDM1058" s="989"/>
      <c r="CDN1058" s="989"/>
      <c r="CDO1058" s="989"/>
      <c r="CDP1058" s="989"/>
      <c r="CDQ1058" s="989"/>
      <c r="CDR1058" s="989"/>
      <c r="CDS1058" s="989"/>
      <c r="CDT1058" s="989"/>
      <c r="CDU1058" s="989"/>
      <c r="CDV1058" s="989"/>
      <c r="CDW1058" s="989"/>
      <c r="CDX1058" s="989"/>
      <c r="CDY1058" s="989"/>
      <c r="CDZ1058" s="989"/>
      <c r="CEA1058" s="989"/>
      <c r="CEB1058" s="989"/>
      <c r="CEC1058" s="989"/>
      <c r="CED1058" s="989"/>
      <c r="CEE1058" s="989"/>
      <c r="CEF1058" s="989"/>
      <c r="CEG1058" s="989"/>
      <c r="CEH1058" s="989"/>
      <c r="CEI1058" s="989"/>
      <c r="CEJ1058" s="989"/>
      <c r="CEK1058" s="989"/>
      <c r="CEL1058" s="989"/>
      <c r="CEM1058" s="989"/>
      <c r="CEN1058" s="989"/>
      <c r="CEO1058" s="989"/>
      <c r="CEP1058" s="989"/>
      <c r="CEQ1058" s="989"/>
      <c r="CER1058" s="989"/>
      <c r="CES1058" s="989"/>
      <c r="CET1058" s="989"/>
      <c r="CEU1058" s="989"/>
      <c r="CEV1058" s="989"/>
      <c r="CEW1058" s="989"/>
      <c r="CEX1058" s="989"/>
      <c r="CEY1058" s="989"/>
      <c r="CEZ1058" s="989"/>
      <c r="CFA1058" s="989"/>
      <c r="CFB1058" s="989"/>
      <c r="CFC1058" s="989"/>
      <c r="CFD1058" s="989"/>
      <c r="CFE1058" s="989"/>
      <c r="CFF1058" s="989"/>
      <c r="CFG1058" s="989"/>
      <c r="CFH1058" s="989"/>
      <c r="CFI1058" s="989"/>
      <c r="CFJ1058" s="989"/>
      <c r="CFK1058" s="989"/>
      <c r="CFL1058" s="989"/>
      <c r="CFM1058" s="989"/>
      <c r="CFN1058" s="989"/>
      <c r="CFO1058" s="989"/>
      <c r="CFP1058" s="989"/>
      <c r="CFQ1058" s="989"/>
      <c r="CFR1058" s="989"/>
      <c r="CFS1058" s="989"/>
      <c r="CFT1058" s="989"/>
      <c r="CFU1058" s="989"/>
      <c r="CFV1058" s="989"/>
      <c r="CFW1058" s="989"/>
      <c r="CFX1058" s="989"/>
      <c r="CFY1058" s="989"/>
      <c r="CFZ1058" s="989"/>
      <c r="CGA1058" s="989"/>
      <c r="CGB1058" s="989"/>
      <c r="CGC1058" s="989"/>
      <c r="CGD1058" s="989"/>
      <c r="CGE1058" s="989"/>
      <c r="CGF1058" s="989"/>
      <c r="CGG1058" s="989"/>
      <c r="CGH1058" s="989"/>
      <c r="CGI1058" s="989"/>
      <c r="CGJ1058" s="989"/>
      <c r="CGK1058" s="989"/>
      <c r="CGL1058" s="989"/>
      <c r="CGM1058" s="989"/>
      <c r="CGN1058" s="989"/>
      <c r="CGO1058" s="989"/>
      <c r="CGP1058" s="989"/>
      <c r="CGQ1058" s="989"/>
      <c r="CGR1058" s="989"/>
      <c r="CGS1058" s="989"/>
      <c r="CGT1058" s="989"/>
      <c r="CGU1058" s="989"/>
      <c r="CGV1058" s="989"/>
      <c r="CGW1058" s="989"/>
      <c r="CGX1058" s="989"/>
      <c r="CGY1058" s="989"/>
      <c r="CGZ1058" s="989"/>
      <c r="CHA1058" s="989"/>
      <c r="CHB1058" s="989"/>
      <c r="CHC1058" s="989"/>
      <c r="CHD1058" s="989"/>
      <c r="CHE1058" s="989"/>
      <c r="CHF1058" s="989"/>
      <c r="CHG1058" s="989"/>
      <c r="CHH1058" s="989"/>
      <c r="CHI1058" s="989"/>
      <c r="CHJ1058" s="989"/>
      <c r="CHK1058" s="989"/>
      <c r="CHL1058" s="989"/>
      <c r="CHM1058" s="989"/>
      <c r="CHN1058" s="989"/>
      <c r="CHO1058" s="989"/>
      <c r="CHP1058" s="989"/>
      <c r="CHQ1058" s="989"/>
      <c r="CHR1058" s="989"/>
      <c r="CHS1058" s="989"/>
      <c r="CHT1058" s="989"/>
      <c r="CHU1058" s="989"/>
      <c r="CHV1058" s="989"/>
      <c r="CHW1058" s="989"/>
      <c r="CHX1058" s="989"/>
      <c r="CHY1058" s="989"/>
      <c r="CHZ1058" s="989"/>
      <c r="CIA1058" s="989"/>
      <c r="CIB1058" s="989"/>
      <c r="CIC1058" s="989"/>
      <c r="CID1058" s="989"/>
      <c r="CIE1058" s="989"/>
      <c r="CIF1058" s="989"/>
      <c r="CIG1058" s="989"/>
      <c r="CIH1058" s="989"/>
      <c r="CII1058" s="989"/>
      <c r="CIJ1058" s="989"/>
      <c r="CIK1058" s="989"/>
      <c r="CIL1058" s="989"/>
      <c r="CIM1058" s="989"/>
      <c r="CIN1058" s="989"/>
      <c r="CIO1058" s="989"/>
      <c r="CIP1058" s="989"/>
      <c r="CIQ1058" s="989"/>
      <c r="CIR1058" s="989"/>
      <c r="CIS1058" s="989"/>
      <c r="CIT1058" s="989"/>
      <c r="CIU1058" s="989"/>
      <c r="CIV1058" s="989"/>
      <c r="CIW1058" s="989"/>
      <c r="CIX1058" s="989"/>
      <c r="CIY1058" s="989"/>
      <c r="CIZ1058" s="989"/>
      <c r="CJA1058" s="989"/>
      <c r="CJB1058" s="989"/>
      <c r="CJC1058" s="989"/>
      <c r="CJD1058" s="989"/>
      <c r="CJE1058" s="989"/>
      <c r="CJF1058" s="989"/>
      <c r="CJG1058" s="989"/>
      <c r="CJH1058" s="989"/>
      <c r="CJI1058" s="989"/>
      <c r="CJJ1058" s="989"/>
      <c r="CJK1058" s="989"/>
      <c r="CJL1058" s="989"/>
      <c r="CJM1058" s="989"/>
      <c r="CJN1058" s="989"/>
      <c r="CJO1058" s="989"/>
      <c r="CJP1058" s="989"/>
      <c r="CJQ1058" s="989"/>
      <c r="CJR1058" s="989"/>
      <c r="CJS1058" s="989"/>
      <c r="CJT1058" s="989"/>
      <c r="CJU1058" s="989"/>
      <c r="CJV1058" s="989"/>
      <c r="CJW1058" s="989"/>
      <c r="CJX1058" s="989"/>
      <c r="CJY1058" s="989"/>
      <c r="CJZ1058" s="989"/>
      <c r="CKA1058" s="989"/>
      <c r="CKB1058" s="989"/>
      <c r="CKC1058" s="989"/>
      <c r="CKD1058" s="989"/>
      <c r="CKE1058" s="989"/>
      <c r="CKF1058" s="989"/>
      <c r="CKG1058" s="989"/>
      <c r="CKH1058" s="989"/>
      <c r="CKI1058" s="989"/>
      <c r="CKJ1058" s="989"/>
      <c r="CKK1058" s="989"/>
      <c r="CKL1058" s="989"/>
      <c r="CKM1058" s="989"/>
      <c r="CKN1058" s="989"/>
      <c r="CKO1058" s="989"/>
      <c r="CKP1058" s="989"/>
      <c r="CKQ1058" s="989"/>
      <c r="CKR1058" s="989"/>
      <c r="CKS1058" s="989"/>
      <c r="CKT1058" s="989"/>
      <c r="CKU1058" s="989"/>
      <c r="CKV1058" s="989"/>
      <c r="CKW1058" s="989"/>
      <c r="CKX1058" s="989"/>
      <c r="CKY1058" s="989"/>
      <c r="CKZ1058" s="989"/>
      <c r="CLA1058" s="989"/>
      <c r="CLB1058" s="989"/>
      <c r="CLC1058" s="989"/>
      <c r="CLD1058" s="989"/>
      <c r="CLE1058" s="989"/>
      <c r="CLF1058" s="989"/>
      <c r="CLG1058" s="989"/>
      <c r="CLH1058" s="989"/>
      <c r="CLI1058" s="989"/>
      <c r="CLJ1058" s="989"/>
      <c r="CLK1058" s="989"/>
      <c r="CLL1058" s="989"/>
      <c r="CLM1058" s="989"/>
      <c r="CLN1058" s="989"/>
      <c r="CLO1058" s="989"/>
      <c r="CLP1058" s="989"/>
      <c r="CLQ1058" s="989"/>
      <c r="CLR1058" s="989"/>
      <c r="CLS1058" s="989"/>
      <c r="CLT1058" s="989"/>
      <c r="CLU1058" s="989"/>
      <c r="CLV1058" s="989"/>
      <c r="CLW1058" s="989"/>
      <c r="CLX1058" s="989"/>
      <c r="CLY1058" s="989"/>
      <c r="CLZ1058" s="989"/>
      <c r="CMA1058" s="989"/>
      <c r="CMB1058" s="989"/>
      <c r="CMC1058" s="989"/>
      <c r="CMD1058" s="989"/>
      <c r="CME1058" s="989"/>
      <c r="CMF1058" s="989"/>
      <c r="CMG1058" s="989"/>
      <c r="CMH1058" s="989"/>
      <c r="CMI1058" s="989"/>
      <c r="CMJ1058" s="989"/>
      <c r="CMK1058" s="989"/>
      <c r="CML1058" s="989"/>
      <c r="CMM1058" s="989"/>
      <c r="CMN1058" s="989"/>
      <c r="CMO1058" s="989"/>
      <c r="CMP1058" s="989"/>
      <c r="CMQ1058" s="989"/>
      <c r="CMR1058" s="989"/>
      <c r="CMS1058" s="989"/>
      <c r="CMT1058" s="989"/>
      <c r="CMU1058" s="989"/>
      <c r="CMV1058" s="989"/>
      <c r="CMW1058" s="989"/>
      <c r="CMX1058" s="989"/>
      <c r="CMY1058" s="989"/>
      <c r="CMZ1058" s="989"/>
      <c r="CNA1058" s="989"/>
      <c r="CNB1058" s="989"/>
      <c r="CNC1058" s="989"/>
      <c r="CND1058" s="989"/>
      <c r="CNE1058" s="989"/>
      <c r="CNF1058" s="989"/>
      <c r="CNG1058" s="989"/>
      <c r="CNH1058" s="989"/>
      <c r="CNI1058" s="989"/>
      <c r="CNJ1058" s="989"/>
      <c r="CNK1058" s="989"/>
      <c r="CNL1058" s="989"/>
      <c r="CNM1058" s="989"/>
      <c r="CNN1058" s="989"/>
      <c r="CNO1058" s="989"/>
      <c r="CNP1058" s="989"/>
      <c r="CNQ1058" s="989"/>
      <c r="CNR1058" s="989"/>
      <c r="CNS1058" s="989"/>
      <c r="CNT1058" s="989"/>
      <c r="CNU1058" s="989"/>
      <c r="CNV1058" s="989"/>
      <c r="CNW1058" s="989"/>
      <c r="CNX1058" s="989"/>
      <c r="CNY1058" s="989"/>
      <c r="CNZ1058" s="989"/>
      <c r="COA1058" s="989"/>
      <c r="COB1058" s="989"/>
      <c r="COC1058" s="989"/>
      <c r="COD1058" s="989"/>
      <c r="COE1058" s="989"/>
      <c r="COF1058" s="989"/>
      <c r="COG1058" s="989"/>
      <c r="COH1058" s="989"/>
      <c r="COI1058" s="989"/>
      <c r="COJ1058" s="989"/>
      <c r="COK1058" s="989"/>
      <c r="COL1058" s="989"/>
      <c r="COM1058" s="989"/>
      <c r="CON1058" s="989"/>
      <c r="COO1058" s="989"/>
      <c r="COP1058" s="989"/>
      <c r="COQ1058" s="989"/>
      <c r="COR1058" s="989"/>
      <c r="COS1058" s="989"/>
      <c r="COT1058" s="989"/>
      <c r="COU1058" s="989"/>
      <c r="COV1058" s="989"/>
      <c r="COW1058" s="989"/>
      <c r="COX1058" s="989"/>
      <c r="COY1058" s="989"/>
      <c r="COZ1058" s="989"/>
      <c r="CPA1058" s="989"/>
      <c r="CPB1058" s="989"/>
      <c r="CPC1058" s="989"/>
      <c r="CPD1058" s="989"/>
      <c r="CPE1058" s="989"/>
      <c r="CPF1058" s="989"/>
      <c r="CPG1058" s="989"/>
      <c r="CPH1058" s="989"/>
      <c r="CPI1058" s="989"/>
      <c r="CPJ1058" s="989"/>
      <c r="CPK1058" s="989"/>
      <c r="CPL1058" s="989"/>
      <c r="CPM1058" s="989"/>
      <c r="CPN1058" s="989"/>
      <c r="CPO1058" s="989"/>
      <c r="CPP1058" s="989"/>
      <c r="CPQ1058" s="989"/>
      <c r="CPR1058" s="989"/>
      <c r="CPS1058" s="989"/>
      <c r="CPT1058" s="989"/>
      <c r="CPU1058" s="989"/>
      <c r="CPV1058" s="989"/>
      <c r="CPW1058" s="989"/>
      <c r="CPX1058" s="989"/>
      <c r="CPY1058" s="989"/>
      <c r="CPZ1058" s="989"/>
      <c r="CQA1058" s="989"/>
      <c r="CQB1058" s="989"/>
      <c r="CQC1058" s="989"/>
      <c r="CQD1058" s="989"/>
      <c r="CQE1058" s="989"/>
      <c r="CQF1058" s="989"/>
      <c r="CQG1058" s="989"/>
      <c r="CQH1058" s="989"/>
      <c r="CQI1058" s="989"/>
      <c r="CQJ1058" s="989"/>
      <c r="CQK1058" s="989"/>
      <c r="CQL1058" s="989"/>
      <c r="CQM1058" s="989"/>
      <c r="CQN1058" s="989"/>
      <c r="CQO1058" s="989"/>
      <c r="CQP1058" s="989"/>
      <c r="CQQ1058" s="989"/>
      <c r="CQR1058" s="989"/>
      <c r="CQS1058" s="989"/>
      <c r="CQT1058" s="989"/>
      <c r="CQU1058" s="989"/>
      <c r="CQV1058" s="989"/>
      <c r="CQW1058" s="989"/>
      <c r="CQX1058" s="989"/>
      <c r="CQY1058" s="989"/>
      <c r="CQZ1058" s="989"/>
      <c r="CRA1058" s="989"/>
      <c r="CRB1058" s="989"/>
      <c r="CRC1058" s="989"/>
      <c r="CRD1058" s="989"/>
      <c r="CRE1058" s="989"/>
      <c r="CRF1058" s="989"/>
      <c r="CRG1058" s="989"/>
      <c r="CRH1058" s="989"/>
      <c r="CRI1058" s="989"/>
      <c r="CRJ1058" s="989"/>
      <c r="CRK1058" s="989"/>
      <c r="CRL1058" s="989"/>
      <c r="CRM1058" s="989"/>
      <c r="CRN1058" s="989"/>
      <c r="CRO1058" s="989"/>
      <c r="CRP1058" s="989"/>
      <c r="CRQ1058" s="989"/>
      <c r="CRR1058" s="989"/>
      <c r="CRS1058" s="989"/>
      <c r="CRT1058" s="989"/>
      <c r="CRU1058" s="989"/>
      <c r="CRV1058" s="989"/>
      <c r="CRW1058" s="989"/>
      <c r="CRX1058" s="989"/>
      <c r="CRY1058" s="989"/>
      <c r="CRZ1058" s="989"/>
      <c r="CSA1058" s="989"/>
      <c r="CSB1058" s="989"/>
      <c r="CSC1058" s="989"/>
      <c r="CSD1058" s="989"/>
      <c r="CSE1058" s="989"/>
      <c r="CSF1058" s="989"/>
      <c r="CSG1058" s="989"/>
      <c r="CSH1058" s="989"/>
      <c r="CSI1058" s="989"/>
      <c r="CSJ1058" s="989"/>
      <c r="CSK1058" s="989"/>
      <c r="CSL1058" s="989"/>
      <c r="CSM1058" s="989"/>
      <c r="CSN1058" s="989"/>
      <c r="CSO1058" s="989"/>
      <c r="CSP1058" s="989"/>
      <c r="CSQ1058" s="989"/>
      <c r="CSR1058" s="989"/>
      <c r="CSS1058" s="989"/>
      <c r="CST1058" s="989"/>
      <c r="CSU1058" s="989"/>
      <c r="CSV1058" s="989"/>
      <c r="CSW1058" s="989"/>
      <c r="CSX1058" s="989"/>
      <c r="CSY1058" s="989"/>
      <c r="CSZ1058" s="989"/>
      <c r="CTA1058" s="989"/>
      <c r="CTB1058" s="989"/>
      <c r="CTC1058" s="989"/>
      <c r="CTD1058" s="989"/>
      <c r="CTE1058" s="989"/>
      <c r="CTF1058" s="989"/>
      <c r="CTG1058" s="989"/>
      <c r="CTH1058" s="989"/>
      <c r="CTI1058" s="989"/>
      <c r="CTJ1058" s="989"/>
      <c r="CTK1058" s="989"/>
      <c r="CTL1058" s="989"/>
      <c r="CTM1058" s="989"/>
      <c r="CTN1058" s="989"/>
      <c r="CTO1058" s="989"/>
      <c r="CTP1058" s="989"/>
      <c r="CTQ1058" s="989"/>
      <c r="CTR1058" s="989"/>
      <c r="CTS1058" s="989"/>
      <c r="CTT1058" s="989"/>
      <c r="CTU1058" s="989"/>
      <c r="CTV1058" s="989"/>
      <c r="CTW1058" s="989"/>
      <c r="CTX1058" s="989"/>
      <c r="CTY1058" s="989"/>
      <c r="CTZ1058" s="989"/>
      <c r="CUA1058" s="989"/>
      <c r="CUB1058" s="989"/>
      <c r="CUC1058" s="989"/>
      <c r="CUD1058" s="989"/>
      <c r="CUE1058" s="989"/>
      <c r="CUF1058" s="989"/>
      <c r="CUG1058" s="989"/>
      <c r="CUH1058" s="989"/>
      <c r="CUI1058" s="989"/>
      <c r="CUJ1058" s="989"/>
      <c r="CUK1058" s="989"/>
      <c r="CUL1058" s="989"/>
      <c r="CUM1058" s="989"/>
      <c r="CUN1058" s="989"/>
      <c r="CUO1058" s="989"/>
      <c r="CUP1058" s="989"/>
      <c r="CUQ1058" s="989"/>
      <c r="CUR1058" s="989"/>
      <c r="CUS1058" s="989"/>
      <c r="CUT1058" s="989"/>
      <c r="CUU1058" s="989"/>
      <c r="CUV1058" s="989"/>
      <c r="CUW1058" s="989"/>
      <c r="CUX1058" s="989"/>
      <c r="CUY1058" s="989"/>
      <c r="CUZ1058" s="989"/>
      <c r="CVA1058" s="989"/>
      <c r="CVB1058" s="989"/>
      <c r="CVC1058" s="989"/>
      <c r="CVD1058" s="989"/>
      <c r="CVE1058" s="989"/>
      <c r="CVF1058" s="989"/>
      <c r="CVG1058" s="989"/>
      <c r="CVH1058" s="989"/>
      <c r="CVI1058" s="989"/>
      <c r="CVJ1058" s="989"/>
      <c r="CVK1058" s="989"/>
      <c r="CVL1058" s="989"/>
      <c r="CVM1058" s="989"/>
      <c r="CVN1058" s="989"/>
      <c r="CVO1058" s="989"/>
      <c r="CVP1058" s="989"/>
      <c r="CVQ1058" s="989"/>
      <c r="CVR1058" s="989"/>
      <c r="CVS1058" s="989"/>
      <c r="CVT1058" s="989"/>
      <c r="CVU1058" s="989"/>
      <c r="CVV1058" s="989"/>
      <c r="CVW1058" s="989"/>
      <c r="CVX1058" s="989"/>
      <c r="CVY1058" s="989"/>
      <c r="CVZ1058" s="989"/>
      <c r="CWA1058" s="989"/>
      <c r="CWB1058" s="989"/>
      <c r="CWC1058" s="989"/>
      <c r="CWD1058" s="989"/>
      <c r="CWE1058" s="989"/>
      <c r="CWF1058" s="989"/>
      <c r="CWG1058" s="989"/>
      <c r="CWH1058" s="989"/>
      <c r="CWI1058" s="989"/>
      <c r="CWJ1058" s="989"/>
      <c r="CWK1058" s="989"/>
      <c r="CWL1058" s="989"/>
      <c r="CWM1058" s="989"/>
      <c r="CWN1058" s="989"/>
      <c r="CWO1058" s="989"/>
      <c r="CWP1058" s="989"/>
      <c r="CWQ1058" s="989"/>
      <c r="CWR1058" s="989"/>
      <c r="CWS1058" s="989"/>
      <c r="CWT1058" s="989"/>
      <c r="CWU1058" s="989"/>
      <c r="CWV1058" s="989"/>
      <c r="CWW1058" s="989"/>
      <c r="CWX1058" s="989"/>
      <c r="CWY1058" s="989"/>
      <c r="CWZ1058" s="989"/>
      <c r="CXA1058" s="989"/>
      <c r="CXB1058" s="989"/>
      <c r="CXC1058" s="989"/>
      <c r="CXD1058" s="989"/>
      <c r="CXE1058" s="989"/>
      <c r="CXF1058" s="989"/>
      <c r="CXG1058" s="989"/>
      <c r="CXH1058" s="989"/>
      <c r="CXI1058" s="989"/>
      <c r="CXJ1058" s="989"/>
      <c r="CXK1058" s="989"/>
      <c r="CXL1058" s="989"/>
      <c r="CXM1058" s="989"/>
      <c r="CXN1058" s="989"/>
      <c r="CXO1058" s="989"/>
      <c r="CXP1058" s="989"/>
      <c r="CXQ1058" s="989"/>
      <c r="CXR1058" s="989"/>
      <c r="CXS1058" s="989"/>
      <c r="CXT1058" s="989"/>
      <c r="CXU1058" s="989"/>
      <c r="CXV1058" s="989"/>
      <c r="CXW1058" s="989"/>
      <c r="CXX1058" s="989"/>
      <c r="CXY1058" s="989"/>
      <c r="CXZ1058" s="989"/>
      <c r="CYA1058" s="989"/>
      <c r="CYB1058" s="989"/>
      <c r="CYC1058" s="989"/>
      <c r="CYD1058" s="989"/>
      <c r="CYE1058" s="989"/>
      <c r="CYF1058" s="989"/>
      <c r="CYG1058" s="989"/>
      <c r="CYH1058" s="989"/>
      <c r="CYI1058" s="989"/>
      <c r="CYJ1058" s="989"/>
      <c r="CYK1058" s="989"/>
      <c r="CYL1058" s="989"/>
      <c r="CYM1058" s="989"/>
      <c r="CYN1058" s="989"/>
      <c r="CYO1058" s="989"/>
      <c r="CYP1058" s="989"/>
      <c r="CYQ1058" s="989"/>
      <c r="CYR1058" s="989"/>
      <c r="CYS1058" s="989"/>
      <c r="CYT1058" s="989"/>
      <c r="CYU1058" s="989"/>
      <c r="CYV1058" s="989"/>
      <c r="CYW1058" s="989"/>
      <c r="CYX1058" s="989"/>
      <c r="CYY1058" s="989"/>
      <c r="CYZ1058" s="989"/>
      <c r="CZA1058" s="989"/>
      <c r="CZB1058" s="989"/>
      <c r="CZC1058" s="989"/>
      <c r="CZD1058" s="989"/>
      <c r="CZE1058" s="989"/>
      <c r="CZF1058" s="989"/>
      <c r="CZG1058" s="989"/>
      <c r="CZH1058" s="989"/>
      <c r="CZI1058" s="989"/>
      <c r="CZJ1058" s="989"/>
      <c r="CZK1058" s="989"/>
      <c r="CZL1058" s="989"/>
      <c r="CZM1058" s="989"/>
      <c r="CZN1058" s="989"/>
      <c r="CZO1058" s="989"/>
      <c r="CZP1058" s="989"/>
      <c r="CZQ1058" s="989"/>
      <c r="CZR1058" s="989"/>
      <c r="CZS1058" s="989"/>
      <c r="CZT1058" s="989"/>
      <c r="CZU1058" s="989"/>
      <c r="CZV1058" s="989"/>
      <c r="CZW1058" s="989"/>
      <c r="CZX1058" s="989"/>
      <c r="CZY1058" s="989"/>
      <c r="CZZ1058" s="989"/>
      <c r="DAA1058" s="989"/>
      <c r="DAB1058" s="989"/>
      <c r="DAC1058" s="989"/>
      <c r="DAD1058" s="989"/>
      <c r="DAE1058" s="989"/>
      <c r="DAF1058" s="989"/>
      <c r="DAG1058" s="989"/>
      <c r="DAH1058" s="989"/>
      <c r="DAI1058" s="989"/>
      <c r="DAJ1058" s="989"/>
      <c r="DAK1058" s="989"/>
      <c r="DAL1058" s="989"/>
      <c r="DAM1058" s="989"/>
      <c r="DAN1058" s="989"/>
      <c r="DAO1058" s="989"/>
      <c r="DAP1058" s="989"/>
      <c r="DAQ1058" s="989"/>
      <c r="DAR1058" s="989"/>
      <c r="DAS1058" s="989"/>
      <c r="DAT1058" s="989"/>
      <c r="DAU1058" s="989"/>
      <c r="DAV1058" s="989"/>
      <c r="DAW1058" s="989"/>
      <c r="DAX1058" s="989"/>
      <c r="DAY1058" s="989"/>
      <c r="DAZ1058" s="989"/>
      <c r="DBA1058" s="989"/>
      <c r="DBB1058" s="989"/>
      <c r="DBC1058" s="989"/>
      <c r="DBD1058" s="989"/>
      <c r="DBE1058" s="989"/>
      <c r="DBF1058" s="989"/>
      <c r="DBG1058" s="989"/>
      <c r="DBH1058" s="989"/>
      <c r="DBI1058" s="989"/>
      <c r="DBJ1058" s="989"/>
      <c r="DBK1058" s="989"/>
      <c r="DBL1058" s="989"/>
      <c r="DBM1058" s="989"/>
      <c r="DBN1058" s="989"/>
      <c r="DBO1058" s="989"/>
      <c r="DBP1058" s="989"/>
      <c r="DBQ1058" s="989"/>
      <c r="DBR1058" s="989"/>
      <c r="DBS1058" s="989"/>
      <c r="DBT1058" s="989"/>
      <c r="DBU1058" s="989"/>
      <c r="DBV1058" s="989"/>
      <c r="DBW1058" s="989"/>
      <c r="DBX1058" s="989"/>
      <c r="DBY1058" s="989"/>
      <c r="DBZ1058" s="989"/>
      <c r="DCA1058" s="989"/>
      <c r="DCB1058" s="989"/>
      <c r="DCC1058" s="989"/>
      <c r="DCD1058" s="989"/>
      <c r="DCE1058" s="989"/>
      <c r="DCF1058" s="989"/>
      <c r="DCG1058" s="989"/>
      <c r="DCH1058" s="989"/>
      <c r="DCI1058" s="989"/>
      <c r="DCJ1058" s="989"/>
      <c r="DCK1058" s="989"/>
      <c r="DCL1058" s="989"/>
      <c r="DCM1058" s="989"/>
      <c r="DCN1058" s="989"/>
      <c r="DCO1058" s="989"/>
      <c r="DCP1058" s="989"/>
      <c r="DCQ1058" s="989"/>
      <c r="DCR1058" s="989"/>
      <c r="DCS1058" s="989"/>
      <c r="DCT1058" s="989"/>
      <c r="DCU1058" s="989"/>
      <c r="DCV1058" s="989"/>
      <c r="DCW1058" s="989"/>
      <c r="DCX1058" s="989"/>
      <c r="DCY1058" s="989"/>
      <c r="DCZ1058" s="989"/>
      <c r="DDA1058" s="989"/>
      <c r="DDB1058" s="989"/>
      <c r="DDC1058" s="989"/>
      <c r="DDD1058" s="989"/>
      <c r="DDE1058" s="989"/>
      <c r="DDF1058" s="989"/>
      <c r="DDG1058" s="989"/>
      <c r="DDH1058" s="989"/>
      <c r="DDI1058" s="989"/>
      <c r="DDJ1058" s="989"/>
      <c r="DDK1058" s="989"/>
      <c r="DDL1058" s="989"/>
      <c r="DDM1058" s="989"/>
      <c r="DDN1058" s="989"/>
      <c r="DDO1058" s="989"/>
      <c r="DDP1058" s="989"/>
      <c r="DDQ1058" s="989"/>
      <c r="DDR1058" s="989"/>
      <c r="DDS1058" s="989"/>
      <c r="DDT1058" s="989"/>
      <c r="DDU1058" s="989"/>
      <c r="DDV1058" s="989"/>
      <c r="DDW1058" s="989"/>
      <c r="DDX1058" s="989"/>
      <c r="DDY1058" s="989"/>
      <c r="DDZ1058" s="989"/>
      <c r="DEA1058" s="989"/>
      <c r="DEB1058" s="989"/>
      <c r="DEC1058" s="989"/>
      <c r="DED1058" s="989"/>
      <c r="DEE1058" s="989"/>
      <c r="DEF1058" s="989"/>
      <c r="DEG1058" s="989"/>
      <c r="DEH1058" s="989"/>
      <c r="DEI1058" s="989"/>
      <c r="DEJ1058" s="989"/>
      <c r="DEK1058" s="989"/>
      <c r="DEL1058" s="989"/>
      <c r="DEM1058" s="989"/>
      <c r="DEN1058" s="989"/>
      <c r="DEO1058" s="989"/>
      <c r="DEP1058" s="989"/>
      <c r="DEQ1058" s="989"/>
      <c r="DER1058" s="989"/>
      <c r="DES1058" s="989"/>
      <c r="DET1058" s="989"/>
      <c r="DEU1058" s="989"/>
      <c r="DEV1058" s="989"/>
      <c r="DEW1058" s="989"/>
      <c r="DEX1058" s="989"/>
      <c r="DEY1058" s="989"/>
      <c r="DEZ1058" s="989"/>
      <c r="DFA1058" s="989"/>
      <c r="DFB1058" s="989"/>
      <c r="DFC1058" s="989"/>
      <c r="DFD1058" s="989"/>
      <c r="DFE1058" s="989"/>
      <c r="DFF1058" s="989"/>
      <c r="DFG1058" s="989"/>
      <c r="DFH1058" s="989"/>
      <c r="DFI1058" s="989"/>
      <c r="DFJ1058" s="989"/>
      <c r="DFK1058" s="989"/>
      <c r="DFL1058" s="989"/>
      <c r="DFM1058" s="989"/>
      <c r="DFN1058" s="989"/>
      <c r="DFO1058" s="989"/>
      <c r="DFP1058" s="989"/>
      <c r="DFQ1058" s="989"/>
      <c r="DFR1058" s="989"/>
      <c r="DFS1058" s="989"/>
      <c r="DFT1058" s="989"/>
      <c r="DFU1058" s="989"/>
      <c r="DFV1058" s="989"/>
      <c r="DFW1058" s="989"/>
      <c r="DFX1058" s="989"/>
      <c r="DFY1058" s="989"/>
      <c r="DFZ1058" s="989"/>
      <c r="DGA1058" s="989"/>
      <c r="DGB1058" s="989"/>
      <c r="DGC1058" s="989"/>
      <c r="DGD1058" s="989"/>
      <c r="DGE1058" s="989"/>
      <c r="DGF1058" s="989"/>
      <c r="DGG1058" s="989"/>
      <c r="DGH1058" s="989"/>
      <c r="DGI1058" s="989"/>
      <c r="DGJ1058" s="989"/>
      <c r="DGK1058" s="989"/>
      <c r="DGL1058" s="989"/>
      <c r="DGM1058" s="989"/>
      <c r="DGN1058" s="989"/>
      <c r="DGO1058" s="989"/>
      <c r="DGP1058" s="989"/>
      <c r="DGQ1058" s="989"/>
      <c r="DGR1058" s="989"/>
      <c r="DGS1058" s="989"/>
      <c r="DGT1058" s="989"/>
      <c r="DGU1058" s="989"/>
      <c r="DGV1058" s="989"/>
      <c r="DGW1058" s="989"/>
      <c r="DGX1058" s="989"/>
      <c r="DGY1058" s="989"/>
      <c r="DGZ1058" s="989"/>
      <c r="DHA1058" s="989"/>
      <c r="DHB1058" s="989"/>
      <c r="DHC1058" s="989"/>
      <c r="DHD1058" s="989"/>
      <c r="DHE1058" s="989"/>
      <c r="DHF1058" s="989"/>
      <c r="DHG1058" s="989"/>
      <c r="DHH1058" s="989"/>
      <c r="DHI1058" s="989"/>
      <c r="DHJ1058" s="989"/>
      <c r="DHK1058" s="989"/>
      <c r="DHL1058" s="989"/>
      <c r="DHM1058" s="989"/>
      <c r="DHN1058" s="989"/>
      <c r="DHO1058" s="989"/>
      <c r="DHP1058" s="989"/>
      <c r="DHQ1058" s="989"/>
      <c r="DHR1058" s="989"/>
      <c r="DHS1058" s="989"/>
      <c r="DHT1058" s="989"/>
      <c r="DHU1058" s="989"/>
      <c r="DHV1058" s="989"/>
      <c r="DHW1058" s="989"/>
      <c r="DHX1058" s="989"/>
      <c r="DHY1058" s="989"/>
      <c r="DHZ1058" s="989"/>
      <c r="DIA1058" s="989"/>
      <c r="DIB1058" s="989"/>
      <c r="DIC1058" s="989"/>
      <c r="DID1058" s="989"/>
      <c r="DIE1058" s="989"/>
      <c r="DIF1058" s="989"/>
      <c r="DIG1058" s="989"/>
      <c r="DIH1058" s="989"/>
      <c r="DII1058" s="989"/>
      <c r="DIJ1058" s="989"/>
      <c r="DIK1058" s="989"/>
      <c r="DIL1058" s="989"/>
      <c r="DIM1058" s="989"/>
      <c r="DIN1058" s="989"/>
      <c r="DIO1058" s="989"/>
      <c r="DIP1058" s="989"/>
      <c r="DIQ1058" s="989"/>
      <c r="DIR1058" s="989"/>
      <c r="DIS1058" s="989"/>
      <c r="DIT1058" s="989"/>
      <c r="DIU1058" s="989"/>
      <c r="DIV1058" s="989"/>
      <c r="DIW1058" s="989"/>
      <c r="DIX1058" s="989"/>
      <c r="DIY1058" s="989"/>
      <c r="DIZ1058" s="989"/>
      <c r="DJA1058" s="989"/>
      <c r="DJB1058" s="989"/>
      <c r="DJC1058" s="989"/>
      <c r="DJD1058" s="989"/>
      <c r="DJE1058" s="989"/>
      <c r="DJF1058" s="989"/>
      <c r="DJG1058" s="989"/>
      <c r="DJH1058" s="989"/>
      <c r="DJI1058" s="989"/>
      <c r="DJJ1058" s="989"/>
      <c r="DJK1058" s="989"/>
      <c r="DJL1058" s="989"/>
      <c r="DJM1058" s="989"/>
      <c r="DJN1058" s="989"/>
      <c r="DJO1058" s="989"/>
      <c r="DJP1058" s="989"/>
      <c r="DJQ1058" s="989"/>
      <c r="DJR1058" s="989"/>
      <c r="DJS1058" s="989"/>
      <c r="DJT1058" s="989"/>
      <c r="DJU1058" s="989"/>
      <c r="DJV1058" s="989"/>
      <c r="DJW1058" s="989"/>
      <c r="DJX1058" s="989"/>
      <c r="DJY1058" s="989"/>
      <c r="DJZ1058" s="989"/>
      <c r="DKA1058" s="989"/>
      <c r="DKB1058" s="989"/>
      <c r="DKC1058" s="989"/>
      <c r="DKD1058" s="989"/>
      <c r="DKE1058" s="989"/>
      <c r="DKF1058" s="989"/>
      <c r="DKG1058" s="989"/>
      <c r="DKH1058" s="989"/>
      <c r="DKI1058" s="989"/>
      <c r="DKJ1058" s="989"/>
      <c r="DKK1058" s="989"/>
      <c r="DKL1058" s="989"/>
      <c r="DKM1058" s="989"/>
      <c r="DKN1058" s="989"/>
      <c r="DKO1058" s="989"/>
      <c r="DKP1058" s="989"/>
      <c r="DKQ1058" s="989"/>
      <c r="DKR1058" s="989"/>
      <c r="DKS1058" s="989"/>
      <c r="DKT1058" s="989"/>
      <c r="DKU1058" s="989"/>
      <c r="DKV1058" s="989"/>
      <c r="DKW1058" s="989"/>
      <c r="DKX1058" s="989"/>
      <c r="DKY1058" s="989"/>
      <c r="DKZ1058" s="989"/>
      <c r="DLA1058" s="989"/>
      <c r="DLB1058" s="989"/>
      <c r="DLC1058" s="989"/>
      <c r="DLD1058" s="989"/>
      <c r="DLE1058" s="989"/>
      <c r="DLF1058" s="989"/>
      <c r="DLG1058" s="989"/>
      <c r="DLH1058" s="989"/>
      <c r="DLI1058" s="989"/>
      <c r="DLJ1058" s="989"/>
      <c r="DLK1058" s="989"/>
      <c r="DLL1058" s="989"/>
      <c r="DLM1058" s="989"/>
      <c r="DLN1058" s="989"/>
      <c r="DLO1058" s="989"/>
      <c r="DLP1058" s="989"/>
      <c r="DLQ1058" s="989"/>
      <c r="DLR1058" s="989"/>
      <c r="DLS1058" s="989"/>
      <c r="DLT1058" s="989"/>
      <c r="DLU1058" s="989"/>
      <c r="DLV1058" s="989"/>
      <c r="DLW1058" s="989"/>
      <c r="DLX1058" s="989"/>
      <c r="DLY1058" s="989"/>
      <c r="DLZ1058" s="989"/>
      <c r="DMA1058" s="989"/>
      <c r="DMB1058" s="989"/>
      <c r="DMC1058" s="989"/>
      <c r="DMD1058" s="989"/>
      <c r="DME1058" s="989"/>
      <c r="DMF1058" s="989"/>
      <c r="DMG1058" s="989"/>
      <c r="DMH1058" s="989"/>
      <c r="DMI1058" s="989"/>
      <c r="DMJ1058" s="989"/>
      <c r="DMK1058" s="989"/>
      <c r="DML1058" s="989"/>
      <c r="DMM1058" s="989"/>
      <c r="DMN1058" s="989"/>
      <c r="DMO1058" s="989"/>
      <c r="DMP1058" s="989"/>
      <c r="DMQ1058" s="989"/>
      <c r="DMR1058" s="989"/>
      <c r="DMS1058" s="989"/>
      <c r="DMT1058" s="989"/>
      <c r="DMU1058" s="989"/>
      <c r="DMV1058" s="989"/>
      <c r="DMW1058" s="989"/>
      <c r="DMX1058" s="989"/>
      <c r="DMY1058" s="989"/>
      <c r="DMZ1058" s="989"/>
      <c r="DNA1058" s="989"/>
      <c r="DNB1058" s="989"/>
      <c r="DNC1058" s="989"/>
      <c r="DND1058" s="989"/>
      <c r="DNE1058" s="989"/>
      <c r="DNF1058" s="989"/>
      <c r="DNG1058" s="989"/>
      <c r="DNH1058" s="989"/>
      <c r="DNI1058" s="989"/>
      <c r="DNJ1058" s="989"/>
      <c r="DNK1058" s="989"/>
      <c r="DNL1058" s="989"/>
      <c r="DNM1058" s="989"/>
      <c r="DNN1058" s="989"/>
      <c r="DNO1058" s="989"/>
      <c r="DNP1058" s="989"/>
      <c r="DNQ1058" s="989"/>
      <c r="DNR1058" s="989"/>
      <c r="DNS1058" s="989"/>
      <c r="DNT1058" s="989"/>
      <c r="DNU1058" s="989"/>
      <c r="DNV1058" s="989"/>
      <c r="DNW1058" s="989"/>
      <c r="DNX1058" s="989"/>
      <c r="DNY1058" s="989"/>
      <c r="DNZ1058" s="989"/>
      <c r="DOA1058" s="989"/>
      <c r="DOB1058" s="989"/>
      <c r="DOC1058" s="989"/>
      <c r="DOD1058" s="989"/>
      <c r="DOE1058" s="989"/>
      <c r="DOF1058" s="989"/>
      <c r="DOG1058" s="989"/>
      <c r="DOH1058" s="989"/>
      <c r="DOI1058" s="989"/>
      <c r="DOJ1058" s="989"/>
      <c r="DOK1058" s="989"/>
      <c r="DOL1058" s="989"/>
      <c r="DOM1058" s="989"/>
      <c r="DON1058" s="989"/>
      <c r="DOO1058" s="989"/>
      <c r="DOP1058" s="989"/>
      <c r="DOQ1058" s="989"/>
      <c r="DOR1058" s="989"/>
      <c r="DOS1058" s="989"/>
      <c r="DOT1058" s="989"/>
      <c r="DOU1058" s="989"/>
      <c r="DOV1058" s="989"/>
      <c r="DOW1058" s="989"/>
      <c r="DOX1058" s="989"/>
      <c r="DOY1058" s="989"/>
      <c r="DOZ1058" s="989"/>
      <c r="DPA1058" s="989"/>
      <c r="DPB1058" s="989"/>
      <c r="DPC1058" s="989"/>
      <c r="DPD1058" s="989"/>
      <c r="DPE1058" s="989"/>
      <c r="DPF1058" s="989"/>
      <c r="DPG1058" s="989"/>
      <c r="DPH1058" s="989"/>
      <c r="DPI1058" s="989"/>
      <c r="DPJ1058" s="989"/>
      <c r="DPK1058" s="989"/>
      <c r="DPL1058" s="989"/>
      <c r="DPM1058" s="989"/>
      <c r="DPN1058" s="989"/>
      <c r="DPO1058" s="989"/>
      <c r="DPP1058" s="989"/>
      <c r="DPQ1058" s="989"/>
      <c r="DPR1058" s="989"/>
      <c r="DPS1058" s="989"/>
      <c r="DPT1058" s="989"/>
      <c r="DPU1058" s="989"/>
      <c r="DPV1058" s="989"/>
      <c r="DPW1058" s="989"/>
      <c r="DPX1058" s="989"/>
      <c r="DPY1058" s="989"/>
      <c r="DPZ1058" s="989"/>
      <c r="DQA1058" s="989"/>
      <c r="DQB1058" s="989"/>
      <c r="DQC1058" s="989"/>
      <c r="DQD1058" s="989"/>
      <c r="DQE1058" s="989"/>
      <c r="DQF1058" s="989"/>
      <c r="DQG1058" s="989"/>
      <c r="DQH1058" s="989"/>
      <c r="DQI1058" s="989"/>
      <c r="DQJ1058" s="989"/>
      <c r="DQK1058" s="989"/>
      <c r="DQL1058" s="989"/>
      <c r="DQM1058" s="989"/>
      <c r="DQN1058" s="989"/>
      <c r="DQO1058" s="989"/>
      <c r="DQP1058" s="989"/>
      <c r="DQQ1058" s="989"/>
      <c r="DQR1058" s="989"/>
      <c r="DQS1058" s="989"/>
      <c r="DQT1058" s="989"/>
      <c r="DQU1058" s="989"/>
      <c r="DQV1058" s="989"/>
      <c r="DQW1058" s="989"/>
      <c r="DQX1058" s="989"/>
      <c r="DQY1058" s="989"/>
      <c r="DQZ1058" s="989"/>
      <c r="DRA1058" s="989"/>
      <c r="DRB1058" s="989"/>
      <c r="DRC1058" s="989"/>
      <c r="DRD1058" s="989"/>
      <c r="DRE1058" s="989"/>
      <c r="DRF1058" s="989"/>
      <c r="DRG1058" s="989"/>
      <c r="DRH1058" s="989"/>
      <c r="DRI1058" s="989"/>
      <c r="DRJ1058" s="989"/>
      <c r="DRK1058" s="989"/>
      <c r="DRL1058" s="989"/>
      <c r="DRM1058" s="989"/>
      <c r="DRN1058" s="989"/>
      <c r="DRO1058" s="989"/>
      <c r="DRP1058" s="989"/>
      <c r="DRQ1058" s="989"/>
      <c r="DRR1058" s="989"/>
      <c r="DRS1058" s="989"/>
      <c r="DRT1058" s="989"/>
      <c r="DRU1058" s="989"/>
      <c r="DRV1058" s="989"/>
      <c r="DRW1058" s="989"/>
      <c r="DRX1058" s="989"/>
      <c r="DRY1058" s="989"/>
      <c r="DRZ1058" s="989"/>
      <c r="DSA1058" s="989"/>
      <c r="DSB1058" s="989"/>
      <c r="DSC1058" s="989"/>
      <c r="DSD1058" s="989"/>
      <c r="DSE1058" s="989"/>
      <c r="DSF1058" s="989"/>
      <c r="DSG1058" s="989"/>
      <c r="DSH1058" s="989"/>
      <c r="DSI1058" s="989"/>
      <c r="DSJ1058" s="989"/>
      <c r="DSK1058" s="989"/>
      <c r="DSL1058" s="989"/>
      <c r="DSM1058" s="989"/>
      <c r="DSN1058" s="989"/>
      <c r="DSO1058" s="989"/>
      <c r="DSP1058" s="989"/>
      <c r="DSQ1058" s="989"/>
      <c r="DSR1058" s="989"/>
      <c r="DSS1058" s="989"/>
      <c r="DST1058" s="989"/>
      <c r="DSU1058" s="989"/>
      <c r="DSV1058" s="989"/>
      <c r="DSW1058" s="989"/>
      <c r="DSX1058" s="989"/>
      <c r="DSY1058" s="989"/>
      <c r="DSZ1058" s="989"/>
      <c r="DTA1058" s="989"/>
      <c r="DTB1058" s="989"/>
      <c r="DTC1058" s="989"/>
      <c r="DTD1058" s="989"/>
      <c r="DTE1058" s="989"/>
      <c r="DTF1058" s="989"/>
      <c r="DTG1058" s="989"/>
      <c r="DTH1058" s="989"/>
      <c r="DTI1058" s="989"/>
      <c r="DTJ1058" s="989"/>
      <c r="DTK1058" s="989"/>
      <c r="DTL1058" s="989"/>
      <c r="DTM1058" s="989"/>
      <c r="DTN1058" s="989"/>
      <c r="DTO1058" s="989"/>
      <c r="DTP1058" s="989"/>
      <c r="DTQ1058" s="989"/>
      <c r="DTR1058" s="989"/>
      <c r="DTS1058" s="989"/>
      <c r="DTT1058" s="989"/>
      <c r="DTU1058" s="989"/>
      <c r="DTV1058" s="989"/>
      <c r="DTW1058" s="989"/>
      <c r="DTX1058" s="989"/>
      <c r="DTY1058" s="989"/>
      <c r="DTZ1058" s="989"/>
      <c r="DUA1058" s="989"/>
      <c r="DUB1058" s="989"/>
      <c r="DUC1058" s="989"/>
      <c r="DUD1058" s="989"/>
      <c r="DUE1058" s="989"/>
      <c r="DUF1058" s="989"/>
      <c r="DUG1058" s="989"/>
      <c r="DUH1058" s="989"/>
      <c r="DUI1058" s="989"/>
      <c r="DUJ1058" s="989"/>
      <c r="DUK1058" s="989"/>
      <c r="DUL1058" s="989"/>
      <c r="DUM1058" s="989"/>
      <c r="DUN1058" s="989"/>
      <c r="DUO1058" s="989"/>
      <c r="DUP1058" s="989"/>
      <c r="DUQ1058" s="989"/>
      <c r="DUR1058" s="989"/>
      <c r="DUS1058" s="989"/>
      <c r="DUT1058" s="989"/>
      <c r="DUU1058" s="989"/>
      <c r="DUV1058" s="989"/>
      <c r="DUW1058" s="989"/>
      <c r="DUX1058" s="989"/>
      <c r="DUY1058" s="989"/>
      <c r="DUZ1058" s="989"/>
      <c r="DVA1058" s="989"/>
      <c r="DVB1058" s="989"/>
      <c r="DVC1058" s="989"/>
      <c r="DVD1058" s="989"/>
      <c r="DVE1058" s="989"/>
      <c r="DVF1058" s="989"/>
      <c r="DVG1058" s="989"/>
      <c r="DVH1058" s="989"/>
      <c r="DVI1058" s="989"/>
      <c r="DVJ1058" s="989"/>
      <c r="DVK1058" s="989"/>
      <c r="DVL1058" s="989"/>
      <c r="DVM1058" s="989"/>
      <c r="DVN1058" s="989"/>
      <c r="DVO1058" s="989"/>
      <c r="DVP1058" s="989"/>
      <c r="DVQ1058" s="989"/>
      <c r="DVR1058" s="989"/>
      <c r="DVS1058" s="989"/>
      <c r="DVT1058" s="989"/>
      <c r="DVU1058" s="989"/>
      <c r="DVV1058" s="989"/>
      <c r="DVW1058" s="989"/>
      <c r="DVX1058" s="989"/>
      <c r="DVY1058" s="989"/>
      <c r="DVZ1058" s="989"/>
      <c r="DWA1058" s="989"/>
      <c r="DWB1058" s="989"/>
      <c r="DWC1058" s="989"/>
      <c r="DWD1058" s="989"/>
      <c r="DWE1058" s="989"/>
      <c r="DWF1058" s="989"/>
      <c r="DWG1058" s="989"/>
      <c r="DWH1058" s="989"/>
      <c r="DWI1058" s="989"/>
      <c r="DWJ1058" s="989"/>
      <c r="DWK1058" s="989"/>
      <c r="DWL1058" s="989"/>
      <c r="DWM1058" s="989"/>
      <c r="DWN1058" s="989"/>
      <c r="DWO1058" s="989"/>
      <c r="DWP1058" s="989"/>
      <c r="DWQ1058" s="989"/>
      <c r="DWR1058" s="989"/>
      <c r="DWS1058" s="989"/>
      <c r="DWT1058" s="989"/>
      <c r="DWU1058" s="989"/>
      <c r="DWV1058" s="989"/>
      <c r="DWW1058" s="989"/>
      <c r="DWX1058" s="989"/>
      <c r="DWY1058" s="989"/>
      <c r="DWZ1058" s="989"/>
      <c r="DXA1058" s="989"/>
      <c r="DXB1058" s="989"/>
      <c r="DXC1058" s="989"/>
      <c r="DXD1058" s="989"/>
      <c r="DXE1058" s="989"/>
      <c r="DXF1058" s="989"/>
      <c r="DXG1058" s="989"/>
      <c r="DXH1058" s="989"/>
      <c r="DXI1058" s="989"/>
      <c r="DXJ1058" s="989"/>
      <c r="DXK1058" s="989"/>
      <c r="DXL1058" s="989"/>
      <c r="DXM1058" s="989"/>
      <c r="DXN1058" s="989"/>
      <c r="DXO1058" s="989"/>
      <c r="DXP1058" s="989"/>
      <c r="DXQ1058" s="989"/>
      <c r="DXR1058" s="989"/>
      <c r="DXS1058" s="989"/>
      <c r="DXT1058" s="989"/>
      <c r="DXU1058" s="989"/>
      <c r="DXV1058" s="989"/>
      <c r="DXW1058" s="989"/>
      <c r="DXX1058" s="989"/>
      <c r="DXY1058" s="989"/>
      <c r="DXZ1058" s="989"/>
      <c r="DYA1058" s="989"/>
      <c r="DYB1058" s="989"/>
      <c r="DYC1058" s="989"/>
      <c r="DYD1058" s="989"/>
      <c r="DYE1058" s="989"/>
      <c r="DYF1058" s="989"/>
      <c r="DYG1058" s="989"/>
      <c r="DYH1058" s="989"/>
      <c r="DYI1058" s="989"/>
      <c r="DYJ1058" s="989"/>
      <c r="DYK1058" s="989"/>
      <c r="DYL1058" s="989"/>
      <c r="DYM1058" s="989"/>
      <c r="DYN1058" s="989"/>
      <c r="DYO1058" s="989"/>
      <c r="DYP1058" s="989"/>
      <c r="DYQ1058" s="989"/>
      <c r="DYR1058" s="989"/>
      <c r="DYS1058" s="989"/>
      <c r="DYT1058" s="989"/>
      <c r="DYU1058" s="989"/>
      <c r="DYV1058" s="989"/>
      <c r="DYW1058" s="989"/>
      <c r="DYX1058" s="989"/>
      <c r="DYY1058" s="989"/>
      <c r="DYZ1058" s="989"/>
      <c r="DZA1058" s="989"/>
      <c r="DZB1058" s="989"/>
      <c r="DZC1058" s="989"/>
      <c r="DZD1058" s="989"/>
      <c r="DZE1058" s="989"/>
      <c r="DZF1058" s="989"/>
      <c r="DZG1058" s="989"/>
      <c r="DZH1058" s="989"/>
      <c r="DZI1058" s="989"/>
      <c r="DZJ1058" s="989"/>
      <c r="DZK1058" s="989"/>
      <c r="DZL1058" s="989"/>
      <c r="DZM1058" s="989"/>
      <c r="DZN1058" s="989"/>
      <c r="DZO1058" s="989"/>
      <c r="DZP1058" s="989"/>
      <c r="DZQ1058" s="989"/>
      <c r="DZR1058" s="989"/>
      <c r="DZS1058" s="989"/>
      <c r="DZT1058" s="989"/>
      <c r="DZU1058" s="989"/>
      <c r="DZV1058" s="989"/>
      <c r="DZW1058" s="989"/>
      <c r="DZX1058" s="989"/>
      <c r="DZY1058" s="989"/>
      <c r="DZZ1058" s="989"/>
      <c r="EAA1058" s="989"/>
      <c r="EAB1058" s="989"/>
      <c r="EAC1058" s="989"/>
      <c r="EAD1058" s="989"/>
      <c r="EAE1058" s="989"/>
      <c r="EAF1058" s="989"/>
      <c r="EAG1058" s="989"/>
      <c r="EAH1058" s="989"/>
      <c r="EAI1058" s="989"/>
      <c r="EAJ1058" s="989"/>
      <c r="EAK1058" s="989"/>
      <c r="EAL1058" s="989"/>
      <c r="EAM1058" s="989"/>
      <c r="EAN1058" s="989"/>
      <c r="EAO1058" s="989"/>
      <c r="EAP1058" s="989"/>
      <c r="EAQ1058" s="989"/>
      <c r="EAR1058" s="989"/>
      <c r="EAS1058" s="989"/>
      <c r="EAT1058" s="989"/>
      <c r="EAU1058" s="989"/>
      <c r="EAV1058" s="989"/>
      <c r="EAW1058" s="989"/>
      <c r="EAX1058" s="989"/>
      <c r="EAY1058" s="989"/>
      <c r="EAZ1058" s="989"/>
      <c r="EBA1058" s="989"/>
      <c r="EBB1058" s="989"/>
      <c r="EBC1058" s="989"/>
      <c r="EBD1058" s="989"/>
      <c r="EBE1058" s="989"/>
      <c r="EBF1058" s="989"/>
      <c r="EBG1058" s="989"/>
      <c r="EBH1058" s="989"/>
      <c r="EBI1058" s="989"/>
      <c r="EBJ1058" s="989"/>
      <c r="EBK1058" s="989"/>
      <c r="EBL1058" s="989"/>
      <c r="EBM1058" s="989"/>
      <c r="EBN1058" s="989"/>
      <c r="EBO1058" s="989"/>
      <c r="EBP1058" s="989"/>
      <c r="EBQ1058" s="989"/>
      <c r="EBR1058" s="989"/>
      <c r="EBS1058" s="989"/>
      <c r="EBT1058" s="989"/>
      <c r="EBU1058" s="989"/>
      <c r="EBV1058" s="989"/>
      <c r="EBW1058" s="989"/>
      <c r="EBX1058" s="989"/>
      <c r="EBY1058" s="989"/>
      <c r="EBZ1058" s="989"/>
      <c r="ECA1058" s="989"/>
      <c r="ECB1058" s="989"/>
      <c r="ECC1058" s="989"/>
      <c r="ECD1058" s="989"/>
      <c r="ECE1058" s="989"/>
      <c r="ECF1058" s="989"/>
      <c r="ECG1058" s="989"/>
      <c r="ECH1058" s="989"/>
      <c r="ECI1058" s="989"/>
      <c r="ECJ1058" s="989"/>
      <c r="ECK1058" s="989"/>
      <c r="ECL1058" s="989"/>
      <c r="ECM1058" s="989"/>
      <c r="ECN1058" s="989"/>
      <c r="ECO1058" s="989"/>
      <c r="ECP1058" s="989"/>
      <c r="ECQ1058" s="989"/>
      <c r="ECR1058" s="989"/>
      <c r="ECS1058" s="989"/>
      <c r="ECT1058" s="989"/>
      <c r="ECU1058" s="989"/>
      <c r="ECV1058" s="989"/>
      <c r="ECW1058" s="989"/>
      <c r="ECX1058" s="989"/>
      <c r="ECY1058" s="989"/>
      <c r="ECZ1058" s="989"/>
      <c r="EDA1058" s="989"/>
      <c r="EDB1058" s="989"/>
      <c r="EDC1058" s="989"/>
      <c r="EDD1058" s="989"/>
      <c r="EDE1058" s="989"/>
      <c r="EDF1058" s="989"/>
      <c r="EDG1058" s="989"/>
      <c r="EDH1058" s="989"/>
      <c r="EDI1058" s="989"/>
      <c r="EDJ1058" s="989"/>
      <c r="EDK1058" s="989"/>
      <c r="EDL1058" s="989"/>
      <c r="EDM1058" s="989"/>
      <c r="EDN1058" s="989"/>
      <c r="EDO1058" s="989"/>
      <c r="EDP1058" s="989"/>
      <c r="EDQ1058" s="989"/>
      <c r="EDR1058" s="989"/>
      <c r="EDS1058" s="989"/>
      <c r="EDT1058" s="989"/>
      <c r="EDU1058" s="989"/>
      <c r="EDV1058" s="989"/>
      <c r="EDW1058" s="989"/>
      <c r="EDX1058" s="989"/>
      <c r="EDY1058" s="989"/>
      <c r="EDZ1058" s="989"/>
      <c r="EEA1058" s="989"/>
      <c r="EEB1058" s="989"/>
      <c r="EEC1058" s="989"/>
      <c r="EED1058" s="989"/>
      <c r="EEE1058" s="989"/>
      <c r="EEF1058" s="989"/>
      <c r="EEG1058" s="989"/>
      <c r="EEH1058" s="989"/>
      <c r="EEI1058" s="989"/>
      <c r="EEJ1058" s="989"/>
      <c r="EEK1058" s="989"/>
      <c r="EEL1058" s="989"/>
      <c r="EEM1058" s="989"/>
      <c r="EEN1058" s="989"/>
      <c r="EEO1058" s="989"/>
      <c r="EEP1058" s="989"/>
      <c r="EEQ1058" s="989"/>
      <c r="EER1058" s="989"/>
      <c r="EES1058" s="989"/>
      <c r="EET1058" s="989"/>
      <c r="EEU1058" s="989"/>
      <c r="EEV1058" s="989"/>
      <c r="EEW1058" s="989"/>
      <c r="EEX1058" s="989"/>
      <c r="EEY1058" s="989"/>
      <c r="EEZ1058" s="989"/>
      <c r="EFA1058" s="989"/>
      <c r="EFB1058" s="989"/>
      <c r="EFC1058" s="989"/>
      <c r="EFD1058" s="989"/>
      <c r="EFE1058" s="989"/>
      <c r="EFF1058" s="989"/>
      <c r="EFG1058" s="989"/>
      <c r="EFH1058" s="989"/>
      <c r="EFI1058" s="989"/>
      <c r="EFJ1058" s="989"/>
      <c r="EFK1058" s="989"/>
      <c r="EFL1058" s="989"/>
      <c r="EFM1058" s="989"/>
      <c r="EFN1058" s="989"/>
      <c r="EFO1058" s="989"/>
      <c r="EFP1058" s="989"/>
      <c r="EFQ1058" s="989"/>
      <c r="EFR1058" s="989"/>
      <c r="EFS1058" s="989"/>
      <c r="EFT1058" s="989"/>
      <c r="EFU1058" s="989"/>
      <c r="EFV1058" s="989"/>
      <c r="EFW1058" s="989"/>
      <c r="EFX1058" s="989"/>
      <c r="EFY1058" s="989"/>
      <c r="EFZ1058" s="989"/>
      <c r="EGA1058" s="989"/>
      <c r="EGB1058" s="989"/>
      <c r="EGC1058" s="989"/>
      <c r="EGD1058" s="989"/>
      <c r="EGE1058" s="989"/>
      <c r="EGF1058" s="989"/>
      <c r="EGG1058" s="989"/>
      <c r="EGH1058" s="989"/>
      <c r="EGI1058" s="989"/>
      <c r="EGJ1058" s="989"/>
      <c r="EGK1058" s="989"/>
      <c r="EGL1058" s="989"/>
      <c r="EGM1058" s="989"/>
      <c r="EGN1058" s="989"/>
      <c r="EGO1058" s="989"/>
      <c r="EGP1058" s="989"/>
      <c r="EGQ1058" s="989"/>
      <c r="EGR1058" s="989"/>
      <c r="EGS1058" s="989"/>
      <c r="EGT1058" s="989"/>
      <c r="EGU1058" s="989"/>
      <c r="EGV1058" s="989"/>
      <c r="EGW1058" s="989"/>
      <c r="EGX1058" s="989"/>
      <c r="EGY1058" s="989"/>
      <c r="EGZ1058" s="989"/>
      <c r="EHA1058" s="989"/>
      <c r="EHB1058" s="989"/>
      <c r="EHC1058" s="989"/>
      <c r="EHD1058" s="989"/>
      <c r="EHE1058" s="989"/>
      <c r="EHF1058" s="989"/>
      <c r="EHG1058" s="989"/>
      <c r="EHH1058" s="989"/>
      <c r="EHI1058" s="989"/>
      <c r="EHJ1058" s="989"/>
      <c r="EHK1058" s="989"/>
      <c r="EHL1058" s="989"/>
      <c r="EHM1058" s="989"/>
      <c r="EHN1058" s="989"/>
      <c r="EHO1058" s="989"/>
      <c r="EHP1058" s="989"/>
      <c r="EHQ1058" s="989"/>
      <c r="EHR1058" s="989"/>
      <c r="EHS1058" s="989"/>
      <c r="EHT1058" s="989"/>
      <c r="EHU1058" s="989"/>
      <c r="EHV1058" s="989"/>
      <c r="EHW1058" s="989"/>
      <c r="EHX1058" s="989"/>
      <c r="EHY1058" s="989"/>
      <c r="EHZ1058" s="989"/>
      <c r="EIA1058" s="989"/>
      <c r="EIB1058" s="989"/>
      <c r="EIC1058" s="989"/>
      <c r="EID1058" s="989"/>
      <c r="EIE1058" s="989"/>
      <c r="EIF1058" s="989"/>
      <c r="EIG1058" s="989"/>
      <c r="EIH1058" s="989"/>
      <c r="EII1058" s="989"/>
      <c r="EIJ1058" s="989"/>
      <c r="EIK1058" s="989"/>
      <c r="EIL1058" s="989"/>
      <c r="EIM1058" s="989"/>
      <c r="EIN1058" s="989"/>
      <c r="EIO1058" s="989"/>
      <c r="EIP1058" s="989"/>
      <c r="EIQ1058" s="989"/>
      <c r="EIR1058" s="989"/>
      <c r="EIS1058" s="989"/>
      <c r="EIT1058" s="989"/>
      <c r="EIU1058" s="989"/>
      <c r="EIV1058" s="989"/>
      <c r="EIW1058" s="989"/>
      <c r="EIX1058" s="989"/>
      <c r="EIY1058" s="989"/>
      <c r="EIZ1058" s="989"/>
      <c r="EJA1058" s="989"/>
      <c r="EJB1058" s="989"/>
      <c r="EJC1058" s="989"/>
      <c r="EJD1058" s="989"/>
      <c r="EJE1058" s="989"/>
      <c r="EJF1058" s="989"/>
      <c r="EJG1058" s="989"/>
      <c r="EJH1058" s="989"/>
      <c r="EJI1058" s="989"/>
      <c r="EJJ1058" s="989"/>
      <c r="EJK1058" s="989"/>
      <c r="EJL1058" s="989"/>
      <c r="EJM1058" s="989"/>
      <c r="EJN1058" s="989"/>
      <c r="EJO1058" s="989"/>
      <c r="EJP1058" s="989"/>
      <c r="EJQ1058" s="989"/>
      <c r="EJR1058" s="989"/>
      <c r="EJS1058" s="989"/>
      <c r="EJT1058" s="989"/>
      <c r="EJU1058" s="989"/>
      <c r="EJV1058" s="989"/>
      <c r="EJW1058" s="989"/>
      <c r="EJX1058" s="989"/>
      <c r="EJY1058" s="989"/>
      <c r="EJZ1058" s="989"/>
      <c r="EKA1058" s="989"/>
      <c r="EKB1058" s="989"/>
      <c r="EKC1058" s="989"/>
      <c r="EKD1058" s="989"/>
      <c r="EKE1058" s="989"/>
      <c r="EKF1058" s="989"/>
      <c r="EKG1058" s="989"/>
      <c r="EKH1058" s="989"/>
      <c r="EKI1058" s="989"/>
      <c r="EKJ1058" s="989"/>
      <c r="EKK1058" s="989"/>
      <c r="EKL1058" s="989"/>
      <c r="EKM1058" s="989"/>
      <c r="EKN1058" s="989"/>
      <c r="EKO1058" s="989"/>
      <c r="EKP1058" s="989"/>
      <c r="EKQ1058" s="989"/>
      <c r="EKR1058" s="989"/>
      <c r="EKS1058" s="989"/>
      <c r="EKT1058" s="989"/>
      <c r="EKU1058" s="989"/>
      <c r="EKV1058" s="989"/>
      <c r="EKW1058" s="989"/>
      <c r="EKX1058" s="989"/>
      <c r="EKY1058" s="989"/>
      <c r="EKZ1058" s="989"/>
      <c r="ELA1058" s="989"/>
      <c r="ELB1058" s="989"/>
      <c r="ELC1058" s="989"/>
      <c r="ELD1058" s="989"/>
      <c r="ELE1058" s="989"/>
      <c r="ELF1058" s="989"/>
      <c r="ELG1058" s="989"/>
      <c r="ELH1058" s="989"/>
      <c r="ELI1058" s="989"/>
      <c r="ELJ1058" s="989"/>
      <c r="ELK1058" s="989"/>
      <c r="ELL1058" s="989"/>
      <c r="ELM1058" s="989"/>
      <c r="ELN1058" s="989"/>
      <c r="ELO1058" s="989"/>
      <c r="ELP1058" s="989"/>
      <c r="ELQ1058" s="989"/>
      <c r="ELR1058" s="989"/>
      <c r="ELS1058" s="989"/>
      <c r="ELT1058" s="989"/>
      <c r="ELU1058" s="989"/>
      <c r="ELV1058" s="989"/>
      <c r="ELW1058" s="989"/>
      <c r="ELX1058" s="989"/>
      <c r="ELY1058" s="989"/>
      <c r="ELZ1058" s="989"/>
      <c r="EMA1058" s="989"/>
      <c r="EMB1058" s="989"/>
      <c r="EMC1058" s="989"/>
      <c r="EMD1058" s="989"/>
      <c r="EME1058" s="989"/>
      <c r="EMF1058" s="989"/>
      <c r="EMG1058" s="989"/>
      <c r="EMH1058" s="989"/>
      <c r="EMI1058" s="989"/>
      <c r="EMJ1058" s="989"/>
      <c r="EMK1058" s="989"/>
      <c r="EML1058" s="989"/>
      <c r="EMM1058" s="989"/>
      <c r="EMN1058" s="989"/>
      <c r="EMO1058" s="989"/>
      <c r="EMP1058" s="989"/>
      <c r="EMQ1058" s="989"/>
      <c r="EMR1058" s="989"/>
      <c r="EMS1058" s="989"/>
      <c r="EMT1058" s="989"/>
      <c r="EMU1058" s="989"/>
      <c r="EMV1058" s="989"/>
      <c r="EMW1058" s="989"/>
      <c r="EMX1058" s="989"/>
      <c r="EMY1058" s="989"/>
      <c r="EMZ1058" s="989"/>
      <c r="ENA1058" s="989"/>
      <c r="ENB1058" s="989"/>
      <c r="ENC1058" s="989"/>
      <c r="END1058" s="989"/>
      <c r="ENE1058" s="989"/>
      <c r="ENF1058" s="989"/>
      <c r="ENG1058" s="989"/>
      <c r="ENH1058" s="989"/>
      <c r="ENI1058" s="989"/>
      <c r="ENJ1058" s="989"/>
      <c r="ENK1058" s="989"/>
      <c r="ENL1058" s="989"/>
      <c r="ENM1058" s="989"/>
      <c r="ENN1058" s="989"/>
      <c r="ENO1058" s="989"/>
      <c r="ENP1058" s="989"/>
      <c r="ENQ1058" s="989"/>
      <c r="ENR1058" s="989"/>
      <c r="ENS1058" s="989"/>
      <c r="ENT1058" s="989"/>
      <c r="ENU1058" s="989"/>
      <c r="ENV1058" s="989"/>
      <c r="ENW1058" s="989"/>
      <c r="ENX1058" s="989"/>
      <c r="ENY1058" s="989"/>
      <c r="ENZ1058" s="989"/>
      <c r="EOA1058" s="989"/>
      <c r="EOB1058" s="989"/>
      <c r="EOC1058" s="989"/>
      <c r="EOD1058" s="989"/>
      <c r="EOE1058" s="989"/>
      <c r="EOF1058" s="989"/>
      <c r="EOG1058" s="989"/>
      <c r="EOH1058" s="989"/>
      <c r="EOI1058" s="989"/>
      <c r="EOJ1058" s="989"/>
      <c r="EOK1058" s="989"/>
      <c r="EOL1058" s="989"/>
      <c r="EOM1058" s="989"/>
      <c r="EON1058" s="989"/>
      <c r="EOO1058" s="989"/>
      <c r="EOP1058" s="989"/>
      <c r="EOQ1058" s="989"/>
      <c r="EOR1058" s="989"/>
      <c r="EOS1058" s="989"/>
      <c r="EOT1058" s="989"/>
      <c r="EOU1058" s="989"/>
      <c r="EOV1058" s="989"/>
      <c r="EOW1058" s="989"/>
      <c r="EOX1058" s="989"/>
      <c r="EOY1058" s="989"/>
      <c r="EOZ1058" s="989"/>
      <c r="EPA1058" s="989"/>
      <c r="EPB1058" s="989"/>
      <c r="EPC1058" s="989"/>
      <c r="EPD1058" s="989"/>
      <c r="EPE1058" s="989"/>
      <c r="EPF1058" s="989"/>
      <c r="EPG1058" s="989"/>
      <c r="EPH1058" s="989"/>
      <c r="EPI1058" s="989"/>
      <c r="EPJ1058" s="989"/>
      <c r="EPK1058" s="989"/>
      <c r="EPL1058" s="989"/>
      <c r="EPM1058" s="989"/>
      <c r="EPN1058" s="989"/>
      <c r="EPO1058" s="989"/>
      <c r="EPP1058" s="989"/>
      <c r="EPQ1058" s="989"/>
      <c r="EPR1058" s="989"/>
      <c r="EPS1058" s="989"/>
      <c r="EPT1058" s="989"/>
      <c r="EPU1058" s="989"/>
      <c r="EPV1058" s="989"/>
      <c r="EPW1058" s="989"/>
      <c r="EPX1058" s="989"/>
      <c r="EPY1058" s="989"/>
      <c r="EPZ1058" s="989"/>
      <c r="EQA1058" s="989"/>
      <c r="EQB1058" s="989"/>
      <c r="EQC1058" s="989"/>
      <c r="EQD1058" s="989"/>
      <c r="EQE1058" s="989"/>
      <c r="EQF1058" s="989"/>
      <c r="EQG1058" s="989"/>
      <c r="EQH1058" s="989"/>
      <c r="EQI1058" s="989"/>
      <c r="EQJ1058" s="989"/>
      <c r="EQK1058" s="989"/>
      <c r="EQL1058" s="989"/>
      <c r="EQM1058" s="989"/>
      <c r="EQN1058" s="989"/>
      <c r="EQO1058" s="989"/>
      <c r="EQP1058" s="989"/>
      <c r="EQQ1058" s="989"/>
      <c r="EQR1058" s="989"/>
      <c r="EQS1058" s="989"/>
      <c r="EQT1058" s="989"/>
      <c r="EQU1058" s="989"/>
      <c r="EQV1058" s="989"/>
      <c r="EQW1058" s="989"/>
      <c r="EQX1058" s="989"/>
      <c r="EQY1058" s="989"/>
      <c r="EQZ1058" s="989"/>
      <c r="ERA1058" s="989"/>
      <c r="ERB1058" s="989"/>
      <c r="ERC1058" s="989"/>
      <c r="ERD1058" s="989"/>
      <c r="ERE1058" s="989"/>
      <c r="ERF1058" s="989"/>
      <c r="ERG1058" s="989"/>
      <c r="ERH1058" s="989"/>
      <c r="ERI1058" s="989"/>
      <c r="ERJ1058" s="989"/>
      <c r="ERK1058" s="989"/>
      <c r="ERL1058" s="989"/>
      <c r="ERM1058" s="989"/>
      <c r="ERN1058" s="989"/>
      <c r="ERO1058" s="989"/>
      <c r="ERP1058" s="989"/>
      <c r="ERQ1058" s="989"/>
      <c r="ERR1058" s="989"/>
      <c r="ERS1058" s="989"/>
      <c r="ERT1058" s="989"/>
      <c r="ERU1058" s="989"/>
      <c r="ERV1058" s="989"/>
      <c r="ERW1058" s="989"/>
      <c r="ERX1058" s="989"/>
      <c r="ERY1058" s="989"/>
      <c r="ERZ1058" s="989"/>
      <c r="ESA1058" s="989"/>
      <c r="ESB1058" s="989"/>
      <c r="ESC1058" s="989"/>
      <c r="ESD1058" s="989"/>
      <c r="ESE1058" s="989"/>
      <c r="ESF1058" s="989"/>
      <c r="ESG1058" s="989"/>
      <c r="ESH1058" s="989"/>
      <c r="ESI1058" s="989"/>
      <c r="ESJ1058" s="989"/>
      <c r="ESK1058" s="989"/>
      <c r="ESL1058" s="989"/>
      <c r="ESM1058" s="989"/>
      <c r="ESN1058" s="989"/>
      <c r="ESO1058" s="989"/>
      <c r="ESP1058" s="989"/>
      <c r="ESQ1058" s="989"/>
      <c r="ESR1058" s="989"/>
      <c r="ESS1058" s="989"/>
      <c r="EST1058" s="989"/>
      <c r="ESU1058" s="989"/>
      <c r="ESV1058" s="989"/>
      <c r="ESW1058" s="989"/>
      <c r="ESX1058" s="989"/>
      <c r="ESY1058" s="989"/>
      <c r="ESZ1058" s="989"/>
      <c r="ETA1058" s="989"/>
      <c r="ETB1058" s="989"/>
      <c r="ETC1058" s="989"/>
      <c r="ETD1058" s="989"/>
      <c r="ETE1058" s="989"/>
      <c r="ETF1058" s="989"/>
      <c r="ETG1058" s="989"/>
      <c r="ETH1058" s="989"/>
      <c r="ETI1058" s="989"/>
      <c r="ETJ1058" s="989"/>
      <c r="ETK1058" s="989"/>
      <c r="ETL1058" s="989"/>
      <c r="ETM1058" s="989"/>
      <c r="ETN1058" s="989"/>
      <c r="ETO1058" s="989"/>
      <c r="ETP1058" s="989"/>
      <c r="ETQ1058" s="989"/>
      <c r="ETR1058" s="989"/>
      <c r="ETS1058" s="989"/>
      <c r="ETT1058" s="989"/>
      <c r="ETU1058" s="989"/>
      <c r="ETV1058" s="989"/>
      <c r="ETW1058" s="989"/>
      <c r="ETX1058" s="989"/>
      <c r="ETY1058" s="989"/>
      <c r="ETZ1058" s="989"/>
      <c r="EUA1058" s="989"/>
      <c r="EUB1058" s="989"/>
      <c r="EUC1058" s="989"/>
      <c r="EUD1058" s="989"/>
      <c r="EUE1058" s="989"/>
      <c r="EUF1058" s="989"/>
      <c r="EUG1058" s="989"/>
      <c r="EUH1058" s="989"/>
      <c r="EUI1058" s="989"/>
      <c r="EUJ1058" s="989"/>
      <c r="EUK1058" s="989"/>
      <c r="EUL1058" s="989"/>
      <c r="EUM1058" s="989"/>
      <c r="EUN1058" s="989"/>
      <c r="EUO1058" s="989"/>
      <c r="EUP1058" s="989"/>
      <c r="EUQ1058" s="989"/>
      <c r="EUR1058" s="989"/>
      <c r="EUS1058" s="989"/>
      <c r="EUT1058" s="989"/>
      <c r="EUU1058" s="989"/>
      <c r="EUV1058" s="989"/>
      <c r="EUW1058" s="989"/>
      <c r="EUX1058" s="989"/>
      <c r="EUY1058" s="989"/>
      <c r="EUZ1058" s="989"/>
      <c r="EVA1058" s="989"/>
      <c r="EVB1058" s="989"/>
      <c r="EVC1058" s="989"/>
      <c r="EVD1058" s="989"/>
      <c r="EVE1058" s="989"/>
      <c r="EVF1058" s="989"/>
      <c r="EVG1058" s="989"/>
      <c r="EVH1058" s="989"/>
      <c r="EVI1058" s="989"/>
      <c r="EVJ1058" s="989"/>
      <c r="EVK1058" s="989"/>
      <c r="EVL1058" s="989"/>
      <c r="EVM1058" s="989"/>
      <c r="EVN1058" s="989"/>
      <c r="EVO1058" s="989"/>
      <c r="EVP1058" s="989"/>
      <c r="EVQ1058" s="989"/>
      <c r="EVR1058" s="989"/>
      <c r="EVS1058" s="989"/>
      <c r="EVT1058" s="989"/>
      <c r="EVU1058" s="989"/>
      <c r="EVV1058" s="989"/>
      <c r="EVW1058" s="989"/>
      <c r="EVX1058" s="989"/>
      <c r="EVY1058" s="989"/>
      <c r="EVZ1058" s="989"/>
      <c r="EWA1058" s="989"/>
      <c r="EWB1058" s="989"/>
      <c r="EWC1058" s="989"/>
      <c r="EWD1058" s="989"/>
      <c r="EWE1058" s="989"/>
      <c r="EWF1058" s="989"/>
      <c r="EWG1058" s="989"/>
      <c r="EWH1058" s="989"/>
      <c r="EWI1058" s="989"/>
      <c r="EWJ1058" s="989"/>
      <c r="EWK1058" s="989"/>
      <c r="EWL1058" s="989"/>
      <c r="EWM1058" s="989"/>
      <c r="EWN1058" s="989"/>
      <c r="EWO1058" s="989"/>
      <c r="EWP1058" s="989"/>
      <c r="EWQ1058" s="989"/>
      <c r="EWR1058" s="989"/>
      <c r="EWS1058" s="989"/>
      <c r="EWT1058" s="989"/>
      <c r="EWU1058" s="989"/>
      <c r="EWV1058" s="989"/>
      <c r="EWW1058" s="989"/>
      <c r="EWX1058" s="989"/>
      <c r="EWY1058" s="989"/>
      <c r="EWZ1058" s="989"/>
      <c r="EXA1058" s="989"/>
      <c r="EXB1058" s="989"/>
      <c r="EXC1058" s="989"/>
      <c r="EXD1058" s="989"/>
      <c r="EXE1058" s="989"/>
      <c r="EXF1058" s="989"/>
      <c r="EXG1058" s="989"/>
      <c r="EXH1058" s="989"/>
      <c r="EXI1058" s="989"/>
      <c r="EXJ1058" s="989"/>
      <c r="EXK1058" s="989"/>
      <c r="EXL1058" s="989"/>
      <c r="EXM1058" s="989"/>
      <c r="EXN1058" s="989"/>
      <c r="EXO1058" s="989"/>
      <c r="EXP1058" s="989"/>
      <c r="EXQ1058" s="989"/>
      <c r="EXR1058" s="989"/>
      <c r="EXS1058" s="989"/>
      <c r="EXT1058" s="989"/>
      <c r="EXU1058" s="989"/>
      <c r="EXV1058" s="989"/>
      <c r="EXW1058" s="989"/>
      <c r="EXX1058" s="989"/>
      <c r="EXY1058" s="989"/>
      <c r="EXZ1058" s="989"/>
      <c r="EYA1058" s="989"/>
      <c r="EYB1058" s="989"/>
      <c r="EYC1058" s="989"/>
      <c r="EYD1058" s="989"/>
      <c r="EYE1058" s="989"/>
      <c r="EYF1058" s="989"/>
      <c r="EYG1058" s="989"/>
      <c r="EYH1058" s="989"/>
      <c r="EYI1058" s="989"/>
      <c r="EYJ1058" s="989"/>
      <c r="EYK1058" s="989"/>
      <c r="EYL1058" s="989"/>
      <c r="EYM1058" s="989"/>
      <c r="EYN1058" s="989"/>
      <c r="EYO1058" s="989"/>
      <c r="EYP1058" s="989"/>
      <c r="EYQ1058" s="989"/>
      <c r="EYR1058" s="989"/>
      <c r="EYS1058" s="989"/>
      <c r="EYT1058" s="989"/>
      <c r="EYU1058" s="989"/>
      <c r="EYV1058" s="989"/>
      <c r="EYW1058" s="989"/>
      <c r="EYX1058" s="989"/>
      <c r="EYY1058" s="989"/>
      <c r="EYZ1058" s="989"/>
      <c r="EZA1058" s="989"/>
      <c r="EZB1058" s="989"/>
      <c r="EZC1058" s="989"/>
      <c r="EZD1058" s="989"/>
      <c r="EZE1058" s="989"/>
      <c r="EZF1058" s="989"/>
      <c r="EZG1058" s="989"/>
      <c r="EZH1058" s="989"/>
      <c r="EZI1058" s="989"/>
      <c r="EZJ1058" s="989"/>
      <c r="EZK1058" s="989"/>
      <c r="EZL1058" s="989"/>
      <c r="EZM1058" s="989"/>
      <c r="EZN1058" s="989"/>
      <c r="EZO1058" s="989"/>
      <c r="EZP1058" s="989"/>
      <c r="EZQ1058" s="989"/>
      <c r="EZR1058" s="989"/>
      <c r="EZS1058" s="989"/>
      <c r="EZT1058" s="989"/>
      <c r="EZU1058" s="989"/>
      <c r="EZV1058" s="989"/>
      <c r="EZW1058" s="989"/>
      <c r="EZX1058" s="989"/>
      <c r="EZY1058" s="989"/>
      <c r="EZZ1058" s="989"/>
      <c r="FAA1058" s="989"/>
      <c r="FAB1058" s="989"/>
      <c r="FAC1058" s="989"/>
      <c r="FAD1058" s="989"/>
      <c r="FAE1058" s="989"/>
      <c r="FAF1058" s="989"/>
      <c r="FAG1058" s="989"/>
      <c r="FAH1058" s="989"/>
      <c r="FAI1058" s="989"/>
      <c r="FAJ1058" s="989"/>
      <c r="FAK1058" s="989"/>
      <c r="FAL1058" s="989"/>
      <c r="FAM1058" s="989"/>
      <c r="FAN1058" s="989"/>
      <c r="FAO1058" s="989"/>
      <c r="FAP1058" s="989"/>
      <c r="FAQ1058" s="989"/>
      <c r="FAR1058" s="989"/>
      <c r="FAS1058" s="989"/>
      <c r="FAT1058" s="989"/>
      <c r="FAU1058" s="989"/>
      <c r="FAV1058" s="989"/>
      <c r="FAW1058" s="989"/>
      <c r="FAX1058" s="989"/>
      <c r="FAY1058" s="989"/>
      <c r="FAZ1058" s="989"/>
      <c r="FBA1058" s="989"/>
      <c r="FBB1058" s="989"/>
      <c r="FBC1058" s="989"/>
      <c r="FBD1058" s="989"/>
      <c r="FBE1058" s="989"/>
      <c r="FBF1058" s="989"/>
      <c r="FBG1058" s="989"/>
      <c r="FBH1058" s="989"/>
      <c r="FBI1058" s="989"/>
      <c r="FBJ1058" s="989"/>
      <c r="FBK1058" s="989"/>
      <c r="FBL1058" s="989"/>
      <c r="FBM1058" s="989"/>
      <c r="FBN1058" s="989"/>
      <c r="FBO1058" s="989"/>
      <c r="FBP1058" s="989"/>
      <c r="FBQ1058" s="989"/>
      <c r="FBR1058" s="989"/>
      <c r="FBS1058" s="989"/>
      <c r="FBT1058" s="989"/>
      <c r="FBU1058" s="989"/>
      <c r="FBV1058" s="989"/>
      <c r="FBW1058" s="989"/>
      <c r="FBX1058" s="989"/>
      <c r="FBY1058" s="989"/>
      <c r="FBZ1058" s="989"/>
      <c r="FCA1058" s="989"/>
      <c r="FCB1058" s="989"/>
      <c r="FCC1058" s="989"/>
      <c r="FCD1058" s="989"/>
      <c r="FCE1058" s="989"/>
      <c r="FCF1058" s="989"/>
      <c r="FCG1058" s="989"/>
      <c r="FCH1058" s="989"/>
      <c r="FCI1058" s="989"/>
      <c r="FCJ1058" s="989"/>
      <c r="FCK1058" s="989"/>
      <c r="FCL1058" s="989"/>
      <c r="FCM1058" s="989"/>
      <c r="FCN1058" s="989"/>
      <c r="FCO1058" s="989"/>
      <c r="FCP1058" s="989"/>
      <c r="FCQ1058" s="989"/>
      <c r="FCR1058" s="989"/>
      <c r="FCS1058" s="989"/>
      <c r="FCT1058" s="989"/>
      <c r="FCU1058" s="989"/>
      <c r="FCV1058" s="989"/>
      <c r="FCW1058" s="989"/>
      <c r="FCX1058" s="989"/>
      <c r="FCY1058" s="989"/>
      <c r="FCZ1058" s="989"/>
      <c r="FDA1058" s="989"/>
      <c r="FDB1058" s="989"/>
      <c r="FDC1058" s="989"/>
      <c r="FDD1058" s="989"/>
      <c r="FDE1058" s="989"/>
      <c r="FDF1058" s="989"/>
      <c r="FDG1058" s="989"/>
      <c r="FDH1058" s="989"/>
      <c r="FDI1058" s="989"/>
      <c r="FDJ1058" s="989"/>
      <c r="FDK1058" s="989"/>
      <c r="FDL1058" s="989"/>
      <c r="FDM1058" s="989"/>
      <c r="FDN1058" s="989"/>
      <c r="FDO1058" s="989"/>
      <c r="FDP1058" s="989"/>
      <c r="FDQ1058" s="989"/>
      <c r="FDR1058" s="989"/>
      <c r="FDS1058" s="989"/>
      <c r="FDT1058" s="989"/>
      <c r="FDU1058" s="989"/>
      <c r="FDV1058" s="989"/>
      <c r="FDW1058" s="989"/>
      <c r="FDX1058" s="989"/>
      <c r="FDY1058" s="989"/>
      <c r="FDZ1058" s="989"/>
      <c r="FEA1058" s="989"/>
      <c r="FEB1058" s="989"/>
      <c r="FEC1058" s="989"/>
      <c r="FED1058" s="989"/>
      <c r="FEE1058" s="989"/>
      <c r="FEF1058" s="989"/>
      <c r="FEG1058" s="989"/>
      <c r="FEH1058" s="989"/>
      <c r="FEI1058" s="989"/>
      <c r="FEJ1058" s="989"/>
      <c r="FEK1058" s="989"/>
      <c r="FEL1058" s="989"/>
      <c r="FEM1058" s="989"/>
      <c r="FEN1058" s="989"/>
      <c r="FEO1058" s="989"/>
      <c r="FEP1058" s="989"/>
      <c r="FEQ1058" s="989"/>
      <c r="FER1058" s="989"/>
      <c r="FES1058" s="989"/>
      <c r="FET1058" s="989"/>
      <c r="FEU1058" s="989"/>
      <c r="FEV1058" s="989"/>
      <c r="FEW1058" s="989"/>
      <c r="FEX1058" s="989"/>
      <c r="FEY1058" s="989"/>
      <c r="FEZ1058" s="989"/>
      <c r="FFA1058" s="989"/>
      <c r="FFB1058" s="989"/>
      <c r="FFC1058" s="989"/>
      <c r="FFD1058" s="989"/>
      <c r="FFE1058" s="989"/>
      <c r="FFF1058" s="989"/>
      <c r="FFG1058" s="989"/>
      <c r="FFH1058" s="989"/>
      <c r="FFI1058" s="989"/>
      <c r="FFJ1058" s="989"/>
      <c r="FFK1058" s="989"/>
      <c r="FFL1058" s="989"/>
      <c r="FFM1058" s="989"/>
      <c r="FFN1058" s="989"/>
      <c r="FFO1058" s="989"/>
      <c r="FFP1058" s="989"/>
      <c r="FFQ1058" s="989"/>
      <c r="FFR1058" s="989"/>
      <c r="FFS1058" s="989"/>
      <c r="FFT1058" s="989"/>
      <c r="FFU1058" s="989"/>
      <c r="FFV1058" s="989"/>
      <c r="FFW1058" s="989"/>
      <c r="FFX1058" s="989"/>
      <c r="FFY1058" s="989"/>
      <c r="FFZ1058" s="989"/>
      <c r="FGA1058" s="989"/>
      <c r="FGB1058" s="989"/>
      <c r="FGC1058" s="989"/>
      <c r="FGD1058" s="989"/>
      <c r="FGE1058" s="989"/>
      <c r="FGF1058" s="989"/>
      <c r="FGG1058" s="989"/>
      <c r="FGH1058" s="989"/>
      <c r="FGI1058" s="989"/>
      <c r="FGJ1058" s="989"/>
      <c r="FGK1058" s="989"/>
      <c r="FGL1058" s="989"/>
      <c r="FGM1058" s="989"/>
      <c r="FGN1058" s="989"/>
      <c r="FGO1058" s="989"/>
      <c r="FGP1058" s="989"/>
      <c r="FGQ1058" s="989"/>
      <c r="FGR1058" s="989"/>
      <c r="FGS1058" s="989"/>
      <c r="FGT1058" s="989"/>
      <c r="FGU1058" s="989"/>
      <c r="FGV1058" s="989"/>
      <c r="FGW1058" s="989"/>
      <c r="FGX1058" s="989"/>
      <c r="FGY1058" s="989"/>
      <c r="FGZ1058" s="989"/>
      <c r="FHA1058" s="989"/>
      <c r="FHB1058" s="989"/>
      <c r="FHC1058" s="989"/>
      <c r="FHD1058" s="989"/>
      <c r="FHE1058" s="989"/>
      <c r="FHF1058" s="989"/>
      <c r="FHG1058" s="989"/>
      <c r="FHH1058" s="989"/>
      <c r="FHI1058" s="989"/>
      <c r="FHJ1058" s="989"/>
      <c r="FHK1058" s="989"/>
      <c r="FHL1058" s="989"/>
      <c r="FHM1058" s="989"/>
      <c r="FHN1058" s="989"/>
      <c r="FHO1058" s="989"/>
      <c r="FHP1058" s="989"/>
      <c r="FHQ1058" s="989"/>
      <c r="FHR1058" s="989"/>
      <c r="FHS1058" s="989"/>
      <c r="FHT1058" s="989"/>
      <c r="FHU1058" s="989"/>
      <c r="FHV1058" s="989"/>
      <c r="FHW1058" s="989"/>
      <c r="FHX1058" s="989"/>
      <c r="FHY1058" s="989"/>
      <c r="FHZ1058" s="989"/>
      <c r="FIA1058" s="989"/>
      <c r="FIB1058" s="989"/>
      <c r="FIC1058" s="989"/>
      <c r="FID1058" s="989"/>
      <c r="FIE1058" s="989"/>
      <c r="FIF1058" s="989"/>
      <c r="FIG1058" s="989"/>
      <c r="FIH1058" s="989"/>
      <c r="FII1058" s="989"/>
      <c r="FIJ1058" s="989"/>
      <c r="FIK1058" s="989"/>
      <c r="FIL1058" s="989"/>
      <c r="FIM1058" s="989"/>
      <c r="FIN1058" s="989"/>
      <c r="FIO1058" s="989"/>
      <c r="FIP1058" s="989"/>
      <c r="FIQ1058" s="989"/>
      <c r="FIR1058" s="989"/>
      <c r="FIS1058" s="989"/>
      <c r="FIT1058" s="989"/>
      <c r="FIU1058" s="989"/>
      <c r="FIV1058" s="989"/>
      <c r="FIW1058" s="989"/>
      <c r="FIX1058" s="989"/>
      <c r="FIY1058" s="989"/>
      <c r="FIZ1058" s="989"/>
      <c r="FJA1058" s="989"/>
      <c r="FJB1058" s="989"/>
      <c r="FJC1058" s="989"/>
      <c r="FJD1058" s="989"/>
      <c r="FJE1058" s="989"/>
      <c r="FJF1058" s="989"/>
      <c r="FJG1058" s="989"/>
      <c r="FJH1058" s="989"/>
      <c r="FJI1058" s="989"/>
      <c r="FJJ1058" s="989"/>
      <c r="FJK1058" s="989"/>
      <c r="FJL1058" s="989"/>
      <c r="FJM1058" s="989"/>
      <c r="FJN1058" s="989"/>
      <c r="FJO1058" s="989"/>
      <c r="FJP1058" s="989"/>
      <c r="FJQ1058" s="989"/>
      <c r="FJR1058" s="989"/>
      <c r="FJS1058" s="989"/>
      <c r="FJT1058" s="989"/>
      <c r="FJU1058" s="989"/>
      <c r="FJV1058" s="989"/>
      <c r="FJW1058" s="989"/>
      <c r="FJX1058" s="989"/>
      <c r="FJY1058" s="989"/>
      <c r="FJZ1058" s="989"/>
      <c r="FKA1058" s="989"/>
      <c r="FKB1058" s="989"/>
      <c r="FKC1058" s="989"/>
      <c r="FKD1058" s="989"/>
      <c r="FKE1058" s="989"/>
      <c r="FKF1058" s="989"/>
      <c r="FKG1058" s="989"/>
      <c r="FKH1058" s="989"/>
      <c r="FKI1058" s="989"/>
      <c r="FKJ1058" s="989"/>
      <c r="FKK1058" s="989"/>
      <c r="FKL1058" s="989"/>
      <c r="FKM1058" s="989"/>
      <c r="FKN1058" s="989"/>
      <c r="FKO1058" s="989"/>
      <c r="FKP1058" s="989"/>
      <c r="FKQ1058" s="989"/>
      <c r="FKR1058" s="989"/>
      <c r="FKS1058" s="989"/>
      <c r="FKT1058" s="989"/>
      <c r="FKU1058" s="989"/>
      <c r="FKV1058" s="989"/>
      <c r="FKW1058" s="989"/>
      <c r="FKX1058" s="989"/>
      <c r="FKY1058" s="989"/>
      <c r="FKZ1058" s="989"/>
      <c r="FLA1058" s="989"/>
      <c r="FLB1058" s="989"/>
      <c r="FLC1058" s="989"/>
      <c r="FLD1058" s="989"/>
      <c r="FLE1058" s="989"/>
      <c r="FLF1058" s="989"/>
      <c r="FLG1058" s="989"/>
      <c r="FLH1058" s="989"/>
      <c r="FLI1058" s="989"/>
      <c r="FLJ1058" s="989"/>
      <c r="FLK1058" s="989"/>
      <c r="FLL1058" s="989"/>
      <c r="FLM1058" s="989"/>
      <c r="FLN1058" s="989"/>
      <c r="FLO1058" s="989"/>
      <c r="FLP1058" s="989"/>
      <c r="FLQ1058" s="989"/>
      <c r="FLR1058" s="989"/>
      <c r="FLS1058" s="989"/>
      <c r="FLT1058" s="989"/>
      <c r="FLU1058" s="989"/>
      <c r="FLV1058" s="989"/>
      <c r="FLW1058" s="989"/>
      <c r="FLX1058" s="989"/>
      <c r="FLY1058" s="989"/>
      <c r="FLZ1058" s="989"/>
      <c r="FMA1058" s="989"/>
      <c r="FMB1058" s="989"/>
      <c r="FMC1058" s="989"/>
      <c r="FMD1058" s="989"/>
      <c r="FME1058" s="989"/>
      <c r="FMF1058" s="989"/>
      <c r="FMG1058" s="989"/>
      <c r="FMH1058" s="989"/>
      <c r="FMI1058" s="989"/>
      <c r="FMJ1058" s="989"/>
      <c r="FMK1058" s="989"/>
      <c r="FML1058" s="989"/>
      <c r="FMM1058" s="989"/>
      <c r="FMN1058" s="989"/>
      <c r="FMO1058" s="989"/>
      <c r="FMP1058" s="989"/>
      <c r="FMQ1058" s="989"/>
      <c r="FMR1058" s="989"/>
      <c r="FMS1058" s="989"/>
      <c r="FMT1058" s="989"/>
      <c r="FMU1058" s="989"/>
      <c r="FMV1058" s="989"/>
      <c r="FMW1058" s="989"/>
      <c r="FMX1058" s="989"/>
      <c r="FMY1058" s="989"/>
      <c r="FMZ1058" s="989"/>
      <c r="FNA1058" s="989"/>
      <c r="FNB1058" s="989"/>
      <c r="FNC1058" s="989"/>
      <c r="FND1058" s="989"/>
      <c r="FNE1058" s="989"/>
      <c r="FNF1058" s="989"/>
      <c r="FNG1058" s="989"/>
      <c r="FNH1058" s="989"/>
      <c r="FNI1058" s="989"/>
      <c r="FNJ1058" s="989"/>
      <c r="FNK1058" s="989"/>
      <c r="FNL1058" s="989"/>
      <c r="FNM1058" s="989"/>
      <c r="FNN1058" s="989"/>
      <c r="FNO1058" s="989"/>
      <c r="FNP1058" s="989"/>
      <c r="FNQ1058" s="989"/>
      <c r="FNR1058" s="989"/>
      <c r="FNS1058" s="989"/>
      <c r="FNT1058" s="989"/>
      <c r="FNU1058" s="989"/>
      <c r="FNV1058" s="989"/>
      <c r="FNW1058" s="989"/>
      <c r="FNX1058" s="989"/>
      <c r="FNY1058" s="989"/>
      <c r="FNZ1058" s="989"/>
      <c r="FOA1058" s="989"/>
      <c r="FOB1058" s="989"/>
      <c r="FOC1058" s="989"/>
      <c r="FOD1058" s="989"/>
      <c r="FOE1058" s="989"/>
      <c r="FOF1058" s="989"/>
      <c r="FOG1058" s="989"/>
      <c r="FOH1058" s="989"/>
      <c r="FOI1058" s="989"/>
      <c r="FOJ1058" s="989"/>
      <c r="FOK1058" s="989"/>
      <c r="FOL1058" s="989"/>
      <c r="FOM1058" s="989"/>
      <c r="FON1058" s="989"/>
      <c r="FOO1058" s="989"/>
      <c r="FOP1058" s="989"/>
      <c r="FOQ1058" s="989"/>
      <c r="FOR1058" s="989"/>
      <c r="FOS1058" s="989"/>
      <c r="FOT1058" s="989"/>
      <c r="FOU1058" s="989"/>
      <c r="FOV1058" s="989"/>
      <c r="FOW1058" s="989"/>
      <c r="FOX1058" s="989"/>
      <c r="FOY1058" s="989"/>
      <c r="FOZ1058" s="989"/>
      <c r="FPA1058" s="989"/>
      <c r="FPB1058" s="989"/>
      <c r="FPC1058" s="989"/>
      <c r="FPD1058" s="989"/>
      <c r="FPE1058" s="989"/>
      <c r="FPF1058" s="989"/>
      <c r="FPG1058" s="989"/>
      <c r="FPH1058" s="989"/>
      <c r="FPI1058" s="989"/>
      <c r="FPJ1058" s="989"/>
      <c r="FPK1058" s="989"/>
      <c r="FPL1058" s="989"/>
      <c r="FPM1058" s="989"/>
      <c r="FPN1058" s="989"/>
      <c r="FPO1058" s="989"/>
      <c r="FPP1058" s="989"/>
      <c r="FPQ1058" s="989"/>
      <c r="FPR1058" s="989"/>
      <c r="FPS1058" s="989"/>
      <c r="FPT1058" s="989"/>
      <c r="FPU1058" s="989"/>
      <c r="FPV1058" s="989"/>
      <c r="FPW1058" s="989"/>
      <c r="FPX1058" s="989"/>
      <c r="FPY1058" s="989"/>
      <c r="FPZ1058" s="989"/>
      <c r="FQA1058" s="989"/>
      <c r="FQB1058" s="989"/>
      <c r="FQC1058" s="989"/>
      <c r="FQD1058" s="989"/>
      <c r="FQE1058" s="989"/>
      <c r="FQF1058" s="989"/>
      <c r="FQG1058" s="989"/>
      <c r="FQH1058" s="989"/>
      <c r="FQI1058" s="989"/>
      <c r="FQJ1058" s="989"/>
      <c r="FQK1058" s="989"/>
      <c r="FQL1058" s="989"/>
      <c r="FQM1058" s="989"/>
      <c r="FQN1058" s="989"/>
      <c r="FQO1058" s="989"/>
      <c r="FQP1058" s="989"/>
      <c r="FQQ1058" s="989"/>
      <c r="FQR1058" s="989"/>
      <c r="FQS1058" s="989"/>
      <c r="FQT1058" s="989"/>
      <c r="FQU1058" s="989"/>
      <c r="FQV1058" s="989"/>
      <c r="FQW1058" s="989"/>
      <c r="FQX1058" s="989"/>
      <c r="FQY1058" s="989"/>
      <c r="FQZ1058" s="989"/>
      <c r="FRA1058" s="989"/>
      <c r="FRB1058" s="989"/>
      <c r="FRC1058" s="989"/>
      <c r="FRD1058" s="989"/>
      <c r="FRE1058" s="989"/>
      <c r="FRF1058" s="989"/>
      <c r="FRG1058" s="989"/>
      <c r="FRH1058" s="989"/>
      <c r="FRI1058" s="989"/>
      <c r="FRJ1058" s="989"/>
      <c r="FRK1058" s="989"/>
      <c r="FRL1058" s="989"/>
      <c r="FRM1058" s="989"/>
      <c r="FRN1058" s="989"/>
      <c r="FRO1058" s="989"/>
      <c r="FRP1058" s="989"/>
      <c r="FRQ1058" s="989"/>
      <c r="FRR1058" s="989"/>
      <c r="FRS1058" s="989"/>
      <c r="FRT1058" s="989"/>
      <c r="FRU1058" s="989"/>
      <c r="FRV1058" s="989"/>
      <c r="FRW1058" s="989"/>
      <c r="FRX1058" s="989"/>
      <c r="FRY1058" s="989"/>
      <c r="FRZ1058" s="989"/>
      <c r="FSA1058" s="989"/>
      <c r="FSB1058" s="989"/>
      <c r="FSC1058" s="989"/>
      <c r="FSD1058" s="989"/>
      <c r="FSE1058" s="989"/>
      <c r="FSF1058" s="989"/>
      <c r="FSG1058" s="989"/>
      <c r="FSH1058" s="989"/>
      <c r="FSI1058" s="989"/>
      <c r="FSJ1058" s="989"/>
      <c r="FSK1058" s="989"/>
      <c r="FSL1058" s="989"/>
      <c r="FSM1058" s="989"/>
      <c r="FSN1058" s="989"/>
      <c r="FSO1058" s="989"/>
      <c r="FSP1058" s="989"/>
      <c r="FSQ1058" s="989"/>
      <c r="FSR1058" s="989"/>
      <c r="FSS1058" s="989"/>
      <c r="FST1058" s="989"/>
      <c r="FSU1058" s="989"/>
      <c r="FSV1058" s="989"/>
      <c r="FSW1058" s="989"/>
      <c r="FSX1058" s="989"/>
      <c r="FSY1058" s="989"/>
      <c r="FSZ1058" s="989"/>
      <c r="FTA1058" s="989"/>
      <c r="FTB1058" s="989"/>
      <c r="FTC1058" s="989"/>
      <c r="FTD1058" s="989"/>
      <c r="FTE1058" s="989"/>
      <c r="FTF1058" s="989"/>
      <c r="FTG1058" s="989"/>
      <c r="FTH1058" s="989"/>
      <c r="FTI1058" s="989"/>
      <c r="FTJ1058" s="989"/>
      <c r="FTK1058" s="989"/>
      <c r="FTL1058" s="989"/>
      <c r="FTM1058" s="989"/>
      <c r="FTN1058" s="989"/>
      <c r="FTO1058" s="989"/>
      <c r="FTP1058" s="989"/>
      <c r="FTQ1058" s="989"/>
      <c r="FTR1058" s="989"/>
      <c r="FTS1058" s="989"/>
      <c r="FTT1058" s="989"/>
      <c r="FTU1058" s="989"/>
      <c r="FTV1058" s="989"/>
      <c r="FTW1058" s="989"/>
      <c r="FTX1058" s="989"/>
      <c r="FTY1058" s="989"/>
      <c r="FTZ1058" s="989"/>
      <c r="FUA1058" s="989"/>
      <c r="FUB1058" s="989"/>
      <c r="FUC1058" s="989"/>
      <c r="FUD1058" s="989"/>
      <c r="FUE1058" s="989"/>
      <c r="FUF1058" s="989"/>
      <c r="FUG1058" s="989"/>
      <c r="FUH1058" s="989"/>
      <c r="FUI1058" s="989"/>
      <c r="FUJ1058" s="989"/>
      <c r="FUK1058" s="989"/>
      <c r="FUL1058" s="989"/>
      <c r="FUM1058" s="989"/>
      <c r="FUN1058" s="989"/>
      <c r="FUO1058" s="989"/>
      <c r="FUP1058" s="989"/>
      <c r="FUQ1058" s="989"/>
      <c r="FUR1058" s="989"/>
      <c r="FUS1058" s="989"/>
      <c r="FUT1058" s="989"/>
      <c r="FUU1058" s="989"/>
      <c r="FUV1058" s="989"/>
      <c r="FUW1058" s="989"/>
      <c r="FUX1058" s="989"/>
      <c r="FUY1058" s="989"/>
      <c r="FUZ1058" s="989"/>
      <c r="FVA1058" s="989"/>
      <c r="FVB1058" s="989"/>
      <c r="FVC1058" s="989"/>
      <c r="FVD1058" s="989"/>
      <c r="FVE1058" s="989"/>
      <c r="FVF1058" s="989"/>
      <c r="FVG1058" s="989"/>
      <c r="FVH1058" s="989"/>
      <c r="FVI1058" s="989"/>
      <c r="FVJ1058" s="989"/>
      <c r="FVK1058" s="989"/>
      <c r="FVL1058" s="989"/>
      <c r="FVM1058" s="989"/>
      <c r="FVN1058" s="989"/>
      <c r="FVO1058" s="989"/>
      <c r="FVP1058" s="989"/>
      <c r="FVQ1058" s="989"/>
      <c r="FVR1058" s="989"/>
      <c r="FVS1058" s="989"/>
      <c r="FVT1058" s="989"/>
      <c r="FVU1058" s="989"/>
      <c r="FVV1058" s="989"/>
      <c r="FVW1058" s="989"/>
      <c r="FVX1058" s="989"/>
      <c r="FVY1058" s="989"/>
      <c r="FVZ1058" s="989"/>
      <c r="FWA1058" s="989"/>
      <c r="FWB1058" s="989"/>
      <c r="FWC1058" s="989"/>
      <c r="FWD1058" s="989"/>
      <c r="FWE1058" s="989"/>
      <c r="FWF1058" s="989"/>
      <c r="FWG1058" s="989"/>
      <c r="FWH1058" s="989"/>
      <c r="FWI1058" s="989"/>
      <c r="FWJ1058" s="989"/>
      <c r="FWK1058" s="989"/>
      <c r="FWL1058" s="989"/>
      <c r="FWM1058" s="989"/>
      <c r="FWN1058" s="989"/>
      <c r="FWO1058" s="989"/>
      <c r="FWP1058" s="989"/>
      <c r="FWQ1058" s="989"/>
      <c r="FWR1058" s="989"/>
      <c r="FWS1058" s="989"/>
      <c r="FWT1058" s="989"/>
      <c r="FWU1058" s="989"/>
      <c r="FWV1058" s="989"/>
      <c r="FWW1058" s="989"/>
      <c r="FWX1058" s="989"/>
      <c r="FWY1058" s="989"/>
      <c r="FWZ1058" s="989"/>
      <c r="FXA1058" s="989"/>
      <c r="FXB1058" s="989"/>
      <c r="FXC1058" s="989"/>
      <c r="FXD1058" s="989"/>
      <c r="FXE1058" s="989"/>
      <c r="FXF1058" s="989"/>
      <c r="FXG1058" s="989"/>
      <c r="FXH1058" s="989"/>
      <c r="FXI1058" s="989"/>
      <c r="FXJ1058" s="989"/>
      <c r="FXK1058" s="989"/>
      <c r="FXL1058" s="989"/>
      <c r="FXM1058" s="989"/>
      <c r="FXN1058" s="989"/>
      <c r="FXO1058" s="989"/>
      <c r="FXP1058" s="989"/>
      <c r="FXQ1058" s="989"/>
      <c r="FXR1058" s="989"/>
      <c r="FXS1058" s="989"/>
      <c r="FXT1058" s="989"/>
      <c r="FXU1058" s="989"/>
      <c r="FXV1058" s="989"/>
      <c r="FXW1058" s="989"/>
      <c r="FXX1058" s="989"/>
      <c r="FXY1058" s="989"/>
      <c r="FXZ1058" s="989"/>
      <c r="FYA1058" s="989"/>
      <c r="FYB1058" s="989"/>
      <c r="FYC1058" s="989"/>
      <c r="FYD1058" s="989"/>
      <c r="FYE1058" s="989"/>
      <c r="FYF1058" s="989"/>
      <c r="FYG1058" s="989"/>
      <c r="FYH1058" s="989"/>
      <c r="FYI1058" s="989"/>
      <c r="FYJ1058" s="989"/>
      <c r="FYK1058" s="989"/>
      <c r="FYL1058" s="989"/>
      <c r="FYM1058" s="989"/>
      <c r="FYN1058" s="989"/>
      <c r="FYO1058" s="989"/>
      <c r="FYP1058" s="989"/>
      <c r="FYQ1058" s="989"/>
      <c r="FYR1058" s="989"/>
      <c r="FYS1058" s="989"/>
      <c r="FYT1058" s="989"/>
      <c r="FYU1058" s="989"/>
      <c r="FYV1058" s="989"/>
      <c r="FYW1058" s="989"/>
      <c r="FYX1058" s="989"/>
      <c r="FYY1058" s="989"/>
      <c r="FYZ1058" s="989"/>
      <c r="FZA1058" s="989"/>
      <c r="FZB1058" s="989"/>
      <c r="FZC1058" s="989"/>
      <c r="FZD1058" s="989"/>
      <c r="FZE1058" s="989"/>
      <c r="FZF1058" s="989"/>
      <c r="FZG1058" s="989"/>
      <c r="FZH1058" s="989"/>
      <c r="FZI1058" s="989"/>
      <c r="FZJ1058" s="989"/>
      <c r="FZK1058" s="989"/>
      <c r="FZL1058" s="989"/>
      <c r="FZM1058" s="989"/>
      <c r="FZN1058" s="989"/>
      <c r="FZO1058" s="989"/>
      <c r="FZP1058" s="989"/>
      <c r="FZQ1058" s="989"/>
      <c r="FZR1058" s="989"/>
      <c r="FZS1058" s="989"/>
      <c r="FZT1058" s="989"/>
      <c r="FZU1058" s="989"/>
      <c r="FZV1058" s="989"/>
      <c r="FZW1058" s="989"/>
      <c r="FZX1058" s="989"/>
      <c r="FZY1058" s="989"/>
      <c r="FZZ1058" s="989"/>
      <c r="GAA1058" s="989"/>
      <c r="GAB1058" s="989"/>
      <c r="GAC1058" s="989"/>
      <c r="GAD1058" s="989"/>
      <c r="GAE1058" s="989"/>
      <c r="GAF1058" s="989"/>
      <c r="GAG1058" s="989"/>
      <c r="GAH1058" s="989"/>
      <c r="GAI1058" s="989"/>
      <c r="GAJ1058" s="989"/>
      <c r="GAK1058" s="989"/>
      <c r="GAL1058" s="989"/>
      <c r="GAM1058" s="989"/>
      <c r="GAN1058" s="989"/>
      <c r="GAO1058" s="989"/>
      <c r="GAP1058" s="989"/>
      <c r="GAQ1058" s="989"/>
      <c r="GAR1058" s="989"/>
      <c r="GAS1058" s="989"/>
      <c r="GAT1058" s="989"/>
      <c r="GAU1058" s="989"/>
      <c r="GAV1058" s="989"/>
      <c r="GAW1058" s="989"/>
      <c r="GAX1058" s="989"/>
      <c r="GAY1058" s="989"/>
      <c r="GAZ1058" s="989"/>
      <c r="GBA1058" s="989"/>
      <c r="GBB1058" s="989"/>
      <c r="GBC1058" s="989"/>
      <c r="GBD1058" s="989"/>
      <c r="GBE1058" s="989"/>
      <c r="GBF1058" s="989"/>
      <c r="GBG1058" s="989"/>
      <c r="GBH1058" s="989"/>
      <c r="GBI1058" s="989"/>
      <c r="GBJ1058" s="989"/>
      <c r="GBK1058" s="989"/>
      <c r="GBL1058" s="989"/>
      <c r="GBM1058" s="989"/>
      <c r="GBN1058" s="989"/>
      <c r="GBO1058" s="989"/>
      <c r="GBP1058" s="989"/>
      <c r="GBQ1058" s="989"/>
      <c r="GBR1058" s="989"/>
      <c r="GBS1058" s="989"/>
      <c r="GBT1058" s="989"/>
      <c r="GBU1058" s="989"/>
      <c r="GBV1058" s="989"/>
      <c r="GBW1058" s="989"/>
      <c r="GBX1058" s="989"/>
      <c r="GBY1058" s="989"/>
      <c r="GBZ1058" s="989"/>
      <c r="GCA1058" s="989"/>
      <c r="GCB1058" s="989"/>
      <c r="GCC1058" s="989"/>
      <c r="GCD1058" s="989"/>
      <c r="GCE1058" s="989"/>
      <c r="GCF1058" s="989"/>
      <c r="GCG1058" s="989"/>
      <c r="GCH1058" s="989"/>
      <c r="GCI1058" s="989"/>
      <c r="GCJ1058" s="989"/>
      <c r="GCK1058" s="989"/>
      <c r="GCL1058" s="989"/>
      <c r="GCM1058" s="989"/>
      <c r="GCN1058" s="989"/>
      <c r="GCO1058" s="989"/>
      <c r="GCP1058" s="989"/>
      <c r="GCQ1058" s="989"/>
      <c r="GCR1058" s="989"/>
      <c r="GCS1058" s="989"/>
      <c r="GCT1058" s="989"/>
      <c r="GCU1058" s="989"/>
      <c r="GCV1058" s="989"/>
      <c r="GCW1058" s="989"/>
      <c r="GCX1058" s="989"/>
      <c r="GCY1058" s="989"/>
      <c r="GCZ1058" s="989"/>
      <c r="GDA1058" s="989"/>
      <c r="GDB1058" s="989"/>
      <c r="GDC1058" s="989"/>
      <c r="GDD1058" s="989"/>
      <c r="GDE1058" s="989"/>
      <c r="GDF1058" s="989"/>
      <c r="GDG1058" s="989"/>
      <c r="GDH1058" s="989"/>
      <c r="GDI1058" s="989"/>
      <c r="GDJ1058" s="989"/>
      <c r="GDK1058" s="989"/>
      <c r="GDL1058" s="989"/>
      <c r="GDM1058" s="989"/>
      <c r="GDN1058" s="989"/>
      <c r="GDO1058" s="989"/>
      <c r="GDP1058" s="989"/>
      <c r="GDQ1058" s="989"/>
      <c r="GDR1058" s="989"/>
      <c r="GDS1058" s="989"/>
      <c r="GDT1058" s="989"/>
      <c r="GDU1058" s="989"/>
      <c r="GDV1058" s="989"/>
      <c r="GDW1058" s="989"/>
      <c r="GDX1058" s="989"/>
      <c r="GDY1058" s="989"/>
      <c r="GDZ1058" s="989"/>
      <c r="GEA1058" s="989"/>
      <c r="GEB1058" s="989"/>
      <c r="GEC1058" s="989"/>
      <c r="GED1058" s="989"/>
      <c r="GEE1058" s="989"/>
      <c r="GEF1058" s="989"/>
      <c r="GEG1058" s="989"/>
      <c r="GEH1058" s="989"/>
      <c r="GEI1058" s="989"/>
      <c r="GEJ1058" s="989"/>
      <c r="GEK1058" s="989"/>
      <c r="GEL1058" s="989"/>
      <c r="GEM1058" s="989"/>
      <c r="GEN1058" s="989"/>
      <c r="GEO1058" s="989"/>
      <c r="GEP1058" s="989"/>
      <c r="GEQ1058" s="989"/>
      <c r="GER1058" s="989"/>
      <c r="GES1058" s="989"/>
      <c r="GET1058" s="989"/>
      <c r="GEU1058" s="989"/>
      <c r="GEV1058" s="989"/>
      <c r="GEW1058" s="989"/>
      <c r="GEX1058" s="989"/>
      <c r="GEY1058" s="989"/>
      <c r="GEZ1058" s="989"/>
      <c r="GFA1058" s="989"/>
      <c r="GFB1058" s="989"/>
      <c r="GFC1058" s="989"/>
      <c r="GFD1058" s="989"/>
      <c r="GFE1058" s="989"/>
      <c r="GFF1058" s="989"/>
      <c r="GFG1058" s="989"/>
      <c r="GFH1058" s="989"/>
      <c r="GFI1058" s="989"/>
      <c r="GFJ1058" s="989"/>
      <c r="GFK1058" s="989"/>
      <c r="GFL1058" s="989"/>
      <c r="GFM1058" s="989"/>
      <c r="GFN1058" s="989"/>
      <c r="GFO1058" s="989"/>
      <c r="GFP1058" s="989"/>
      <c r="GFQ1058" s="989"/>
      <c r="GFR1058" s="989"/>
      <c r="GFS1058" s="989"/>
      <c r="GFT1058" s="989"/>
      <c r="GFU1058" s="989"/>
      <c r="GFV1058" s="989"/>
      <c r="GFW1058" s="989"/>
      <c r="GFX1058" s="989"/>
      <c r="GFY1058" s="989"/>
      <c r="GFZ1058" s="989"/>
      <c r="GGA1058" s="989"/>
      <c r="GGB1058" s="989"/>
      <c r="GGC1058" s="989"/>
      <c r="GGD1058" s="989"/>
      <c r="GGE1058" s="989"/>
      <c r="GGF1058" s="989"/>
      <c r="GGG1058" s="989"/>
      <c r="GGH1058" s="989"/>
      <c r="GGI1058" s="989"/>
      <c r="GGJ1058" s="989"/>
      <c r="GGK1058" s="989"/>
      <c r="GGL1058" s="989"/>
      <c r="GGM1058" s="989"/>
      <c r="GGN1058" s="989"/>
      <c r="GGO1058" s="989"/>
      <c r="GGP1058" s="989"/>
      <c r="GGQ1058" s="989"/>
      <c r="GGR1058" s="989"/>
      <c r="GGS1058" s="989"/>
      <c r="GGT1058" s="989"/>
      <c r="GGU1058" s="989"/>
      <c r="GGV1058" s="989"/>
      <c r="GGW1058" s="989"/>
      <c r="GGX1058" s="989"/>
      <c r="GGY1058" s="989"/>
      <c r="GGZ1058" s="989"/>
      <c r="GHA1058" s="989"/>
      <c r="GHB1058" s="989"/>
      <c r="GHC1058" s="989"/>
      <c r="GHD1058" s="989"/>
      <c r="GHE1058" s="989"/>
      <c r="GHF1058" s="989"/>
      <c r="GHG1058" s="989"/>
      <c r="GHH1058" s="989"/>
      <c r="GHI1058" s="989"/>
      <c r="GHJ1058" s="989"/>
      <c r="GHK1058" s="989"/>
      <c r="GHL1058" s="989"/>
      <c r="GHM1058" s="989"/>
      <c r="GHN1058" s="989"/>
      <c r="GHO1058" s="989"/>
      <c r="GHP1058" s="989"/>
      <c r="GHQ1058" s="989"/>
      <c r="GHR1058" s="989"/>
      <c r="GHS1058" s="989"/>
      <c r="GHT1058" s="989"/>
      <c r="GHU1058" s="989"/>
      <c r="GHV1058" s="989"/>
      <c r="GHW1058" s="989"/>
      <c r="GHX1058" s="989"/>
      <c r="GHY1058" s="989"/>
      <c r="GHZ1058" s="989"/>
      <c r="GIA1058" s="989"/>
      <c r="GIB1058" s="989"/>
      <c r="GIC1058" s="989"/>
      <c r="GID1058" s="989"/>
      <c r="GIE1058" s="989"/>
      <c r="GIF1058" s="989"/>
      <c r="GIG1058" s="989"/>
      <c r="GIH1058" s="989"/>
      <c r="GII1058" s="989"/>
      <c r="GIJ1058" s="989"/>
      <c r="GIK1058" s="989"/>
      <c r="GIL1058" s="989"/>
      <c r="GIM1058" s="989"/>
      <c r="GIN1058" s="989"/>
      <c r="GIO1058" s="989"/>
      <c r="GIP1058" s="989"/>
      <c r="GIQ1058" s="989"/>
      <c r="GIR1058" s="989"/>
      <c r="GIS1058" s="989"/>
      <c r="GIT1058" s="989"/>
      <c r="GIU1058" s="989"/>
      <c r="GIV1058" s="989"/>
      <c r="GIW1058" s="989"/>
      <c r="GIX1058" s="989"/>
      <c r="GIY1058" s="989"/>
      <c r="GIZ1058" s="989"/>
      <c r="GJA1058" s="989"/>
      <c r="GJB1058" s="989"/>
      <c r="GJC1058" s="989"/>
      <c r="GJD1058" s="989"/>
      <c r="GJE1058" s="989"/>
      <c r="GJF1058" s="989"/>
      <c r="GJG1058" s="989"/>
      <c r="GJH1058" s="989"/>
      <c r="GJI1058" s="989"/>
      <c r="GJJ1058" s="989"/>
      <c r="GJK1058" s="989"/>
      <c r="GJL1058" s="989"/>
      <c r="GJM1058" s="989"/>
      <c r="GJN1058" s="989"/>
      <c r="GJO1058" s="989"/>
      <c r="GJP1058" s="989"/>
      <c r="GJQ1058" s="989"/>
      <c r="GJR1058" s="989"/>
      <c r="GJS1058" s="989"/>
      <c r="GJT1058" s="989"/>
      <c r="GJU1058" s="989"/>
      <c r="GJV1058" s="989"/>
      <c r="GJW1058" s="989"/>
      <c r="GJX1058" s="989"/>
      <c r="GJY1058" s="989"/>
      <c r="GJZ1058" s="989"/>
      <c r="GKA1058" s="989"/>
      <c r="GKB1058" s="989"/>
      <c r="GKC1058" s="989"/>
      <c r="GKD1058" s="989"/>
      <c r="GKE1058" s="989"/>
      <c r="GKF1058" s="989"/>
      <c r="GKG1058" s="989"/>
      <c r="GKH1058" s="989"/>
      <c r="GKI1058" s="989"/>
      <c r="GKJ1058" s="989"/>
      <c r="GKK1058" s="989"/>
      <c r="GKL1058" s="989"/>
      <c r="GKM1058" s="989"/>
      <c r="GKN1058" s="989"/>
      <c r="GKO1058" s="989"/>
      <c r="GKP1058" s="989"/>
      <c r="GKQ1058" s="989"/>
      <c r="GKR1058" s="989"/>
      <c r="GKS1058" s="989"/>
      <c r="GKT1058" s="989"/>
      <c r="GKU1058" s="989"/>
      <c r="GKV1058" s="989"/>
      <c r="GKW1058" s="989"/>
      <c r="GKX1058" s="989"/>
      <c r="GKY1058" s="989"/>
      <c r="GKZ1058" s="989"/>
      <c r="GLA1058" s="989"/>
      <c r="GLB1058" s="989"/>
      <c r="GLC1058" s="989"/>
      <c r="GLD1058" s="989"/>
      <c r="GLE1058" s="989"/>
      <c r="GLF1058" s="989"/>
      <c r="GLG1058" s="989"/>
      <c r="GLH1058" s="989"/>
      <c r="GLI1058" s="989"/>
      <c r="GLJ1058" s="989"/>
      <c r="GLK1058" s="989"/>
      <c r="GLL1058" s="989"/>
      <c r="GLM1058" s="989"/>
      <c r="GLN1058" s="989"/>
      <c r="GLO1058" s="989"/>
      <c r="GLP1058" s="989"/>
      <c r="GLQ1058" s="989"/>
      <c r="GLR1058" s="989"/>
      <c r="GLS1058" s="989"/>
      <c r="GLT1058" s="989"/>
      <c r="GLU1058" s="989"/>
      <c r="GLV1058" s="989"/>
      <c r="GLW1058" s="989"/>
      <c r="GLX1058" s="989"/>
      <c r="GLY1058" s="989"/>
      <c r="GLZ1058" s="989"/>
      <c r="GMA1058" s="989"/>
      <c r="GMB1058" s="989"/>
      <c r="GMC1058" s="989"/>
      <c r="GMD1058" s="989"/>
      <c r="GME1058" s="989"/>
      <c r="GMF1058" s="989"/>
      <c r="GMG1058" s="989"/>
      <c r="GMH1058" s="989"/>
      <c r="GMI1058" s="989"/>
      <c r="GMJ1058" s="989"/>
      <c r="GMK1058" s="989"/>
      <c r="GML1058" s="989"/>
      <c r="GMM1058" s="989"/>
      <c r="GMN1058" s="989"/>
      <c r="GMO1058" s="989"/>
      <c r="GMP1058" s="989"/>
      <c r="GMQ1058" s="989"/>
      <c r="GMR1058" s="989"/>
      <c r="GMS1058" s="989"/>
      <c r="GMT1058" s="989"/>
      <c r="GMU1058" s="989"/>
      <c r="GMV1058" s="989"/>
      <c r="GMW1058" s="989"/>
      <c r="GMX1058" s="989"/>
      <c r="GMY1058" s="989"/>
      <c r="GMZ1058" s="989"/>
      <c r="GNA1058" s="989"/>
      <c r="GNB1058" s="989"/>
      <c r="GNC1058" s="989"/>
      <c r="GND1058" s="989"/>
      <c r="GNE1058" s="989"/>
      <c r="GNF1058" s="989"/>
      <c r="GNG1058" s="989"/>
      <c r="GNH1058" s="989"/>
      <c r="GNI1058" s="989"/>
      <c r="GNJ1058" s="989"/>
      <c r="GNK1058" s="989"/>
      <c r="GNL1058" s="989"/>
      <c r="GNM1058" s="989"/>
      <c r="GNN1058" s="989"/>
      <c r="GNO1058" s="989"/>
      <c r="GNP1058" s="989"/>
      <c r="GNQ1058" s="989"/>
      <c r="GNR1058" s="989"/>
      <c r="GNS1058" s="989"/>
      <c r="GNT1058" s="989"/>
      <c r="GNU1058" s="989"/>
      <c r="GNV1058" s="989"/>
      <c r="GNW1058" s="989"/>
      <c r="GNX1058" s="989"/>
      <c r="GNY1058" s="989"/>
      <c r="GNZ1058" s="989"/>
      <c r="GOA1058" s="989"/>
      <c r="GOB1058" s="989"/>
      <c r="GOC1058" s="989"/>
      <c r="GOD1058" s="989"/>
      <c r="GOE1058" s="989"/>
      <c r="GOF1058" s="989"/>
      <c r="GOG1058" s="989"/>
      <c r="GOH1058" s="989"/>
      <c r="GOI1058" s="989"/>
      <c r="GOJ1058" s="989"/>
      <c r="GOK1058" s="989"/>
      <c r="GOL1058" s="989"/>
      <c r="GOM1058" s="989"/>
      <c r="GON1058" s="989"/>
      <c r="GOO1058" s="989"/>
      <c r="GOP1058" s="989"/>
      <c r="GOQ1058" s="989"/>
      <c r="GOR1058" s="989"/>
      <c r="GOS1058" s="989"/>
      <c r="GOT1058" s="989"/>
      <c r="GOU1058" s="989"/>
      <c r="GOV1058" s="989"/>
      <c r="GOW1058" s="989"/>
      <c r="GOX1058" s="989"/>
      <c r="GOY1058" s="989"/>
      <c r="GOZ1058" s="989"/>
      <c r="GPA1058" s="989"/>
      <c r="GPB1058" s="989"/>
      <c r="GPC1058" s="989"/>
      <c r="GPD1058" s="989"/>
      <c r="GPE1058" s="989"/>
      <c r="GPF1058" s="989"/>
      <c r="GPG1058" s="989"/>
      <c r="GPH1058" s="989"/>
      <c r="GPI1058" s="989"/>
      <c r="GPJ1058" s="989"/>
      <c r="GPK1058" s="989"/>
      <c r="GPL1058" s="989"/>
      <c r="GPM1058" s="989"/>
      <c r="GPN1058" s="989"/>
      <c r="GPO1058" s="989"/>
      <c r="GPP1058" s="989"/>
      <c r="GPQ1058" s="989"/>
      <c r="GPR1058" s="989"/>
      <c r="GPS1058" s="989"/>
      <c r="GPT1058" s="989"/>
      <c r="GPU1058" s="989"/>
      <c r="GPV1058" s="989"/>
      <c r="GPW1058" s="989"/>
      <c r="GPX1058" s="989"/>
      <c r="GPY1058" s="989"/>
      <c r="GPZ1058" s="989"/>
      <c r="GQA1058" s="989"/>
      <c r="GQB1058" s="989"/>
      <c r="GQC1058" s="989"/>
      <c r="GQD1058" s="989"/>
      <c r="GQE1058" s="989"/>
      <c r="GQF1058" s="989"/>
      <c r="GQG1058" s="989"/>
      <c r="GQH1058" s="989"/>
      <c r="GQI1058" s="989"/>
      <c r="GQJ1058" s="989"/>
      <c r="GQK1058" s="989"/>
      <c r="GQL1058" s="989"/>
      <c r="GQM1058" s="989"/>
      <c r="GQN1058" s="989"/>
      <c r="GQO1058" s="989"/>
      <c r="GQP1058" s="989"/>
      <c r="GQQ1058" s="989"/>
      <c r="GQR1058" s="989"/>
      <c r="GQS1058" s="989"/>
      <c r="GQT1058" s="989"/>
      <c r="GQU1058" s="989"/>
      <c r="GQV1058" s="989"/>
      <c r="GQW1058" s="989"/>
      <c r="GQX1058" s="989"/>
      <c r="GQY1058" s="989"/>
      <c r="GQZ1058" s="989"/>
      <c r="GRA1058" s="989"/>
      <c r="GRB1058" s="989"/>
      <c r="GRC1058" s="989"/>
      <c r="GRD1058" s="989"/>
      <c r="GRE1058" s="989"/>
      <c r="GRF1058" s="989"/>
      <c r="GRG1058" s="989"/>
      <c r="GRH1058" s="989"/>
      <c r="GRI1058" s="989"/>
      <c r="GRJ1058" s="989"/>
      <c r="GRK1058" s="989"/>
      <c r="GRL1058" s="989"/>
      <c r="GRM1058" s="989"/>
      <c r="GRN1058" s="989"/>
      <c r="GRO1058" s="989"/>
      <c r="GRP1058" s="989"/>
      <c r="GRQ1058" s="989"/>
      <c r="GRR1058" s="989"/>
      <c r="GRS1058" s="989"/>
      <c r="GRT1058" s="989"/>
      <c r="GRU1058" s="989"/>
      <c r="GRV1058" s="989"/>
      <c r="GRW1058" s="989"/>
      <c r="GRX1058" s="989"/>
      <c r="GRY1058" s="989"/>
      <c r="GRZ1058" s="989"/>
      <c r="GSA1058" s="989"/>
      <c r="GSB1058" s="989"/>
      <c r="GSC1058" s="989"/>
      <c r="GSD1058" s="989"/>
      <c r="GSE1058" s="989"/>
      <c r="GSF1058" s="989"/>
      <c r="GSG1058" s="989"/>
      <c r="GSH1058" s="989"/>
      <c r="GSI1058" s="989"/>
      <c r="GSJ1058" s="989"/>
      <c r="GSK1058" s="989"/>
      <c r="GSL1058" s="989"/>
      <c r="GSM1058" s="989"/>
      <c r="GSN1058" s="989"/>
      <c r="GSO1058" s="989"/>
      <c r="GSP1058" s="989"/>
      <c r="GSQ1058" s="989"/>
      <c r="GSR1058" s="989"/>
      <c r="GSS1058" s="989"/>
      <c r="GST1058" s="989"/>
      <c r="GSU1058" s="989"/>
      <c r="GSV1058" s="989"/>
      <c r="GSW1058" s="989"/>
      <c r="GSX1058" s="989"/>
      <c r="GSY1058" s="989"/>
      <c r="GSZ1058" s="989"/>
      <c r="GTA1058" s="989"/>
      <c r="GTB1058" s="989"/>
      <c r="GTC1058" s="989"/>
      <c r="GTD1058" s="989"/>
      <c r="GTE1058" s="989"/>
      <c r="GTF1058" s="989"/>
      <c r="GTG1058" s="989"/>
      <c r="GTH1058" s="989"/>
      <c r="GTI1058" s="989"/>
      <c r="GTJ1058" s="989"/>
      <c r="GTK1058" s="989"/>
      <c r="GTL1058" s="989"/>
      <c r="GTM1058" s="989"/>
      <c r="GTN1058" s="989"/>
      <c r="GTO1058" s="989"/>
      <c r="GTP1058" s="989"/>
      <c r="GTQ1058" s="989"/>
      <c r="GTR1058" s="989"/>
      <c r="GTS1058" s="989"/>
      <c r="GTT1058" s="989"/>
      <c r="GTU1058" s="989"/>
      <c r="GTV1058" s="989"/>
      <c r="GTW1058" s="989"/>
      <c r="GTX1058" s="989"/>
      <c r="GTY1058" s="989"/>
      <c r="GTZ1058" s="989"/>
      <c r="GUA1058" s="989"/>
      <c r="GUB1058" s="989"/>
      <c r="GUC1058" s="989"/>
      <c r="GUD1058" s="989"/>
      <c r="GUE1058" s="989"/>
      <c r="GUF1058" s="989"/>
      <c r="GUG1058" s="989"/>
      <c r="GUH1058" s="989"/>
      <c r="GUI1058" s="989"/>
      <c r="GUJ1058" s="989"/>
      <c r="GUK1058" s="989"/>
      <c r="GUL1058" s="989"/>
      <c r="GUM1058" s="989"/>
      <c r="GUN1058" s="989"/>
      <c r="GUO1058" s="989"/>
      <c r="GUP1058" s="989"/>
      <c r="GUQ1058" s="989"/>
      <c r="GUR1058" s="989"/>
      <c r="GUS1058" s="989"/>
      <c r="GUT1058" s="989"/>
      <c r="GUU1058" s="989"/>
      <c r="GUV1058" s="989"/>
      <c r="GUW1058" s="989"/>
      <c r="GUX1058" s="989"/>
      <c r="GUY1058" s="989"/>
      <c r="GUZ1058" s="989"/>
      <c r="GVA1058" s="989"/>
      <c r="GVB1058" s="989"/>
      <c r="GVC1058" s="989"/>
      <c r="GVD1058" s="989"/>
      <c r="GVE1058" s="989"/>
      <c r="GVF1058" s="989"/>
      <c r="GVG1058" s="989"/>
      <c r="GVH1058" s="989"/>
      <c r="GVI1058" s="989"/>
      <c r="GVJ1058" s="989"/>
      <c r="GVK1058" s="989"/>
      <c r="GVL1058" s="989"/>
      <c r="GVM1058" s="989"/>
      <c r="GVN1058" s="989"/>
      <c r="GVO1058" s="989"/>
      <c r="GVP1058" s="989"/>
      <c r="GVQ1058" s="989"/>
      <c r="GVR1058" s="989"/>
      <c r="GVS1058" s="989"/>
      <c r="GVT1058" s="989"/>
      <c r="GVU1058" s="989"/>
      <c r="GVV1058" s="989"/>
      <c r="GVW1058" s="989"/>
      <c r="GVX1058" s="989"/>
      <c r="GVY1058" s="989"/>
      <c r="GVZ1058" s="989"/>
      <c r="GWA1058" s="989"/>
      <c r="GWB1058" s="989"/>
      <c r="GWC1058" s="989"/>
      <c r="GWD1058" s="989"/>
      <c r="GWE1058" s="989"/>
      <c r="GWF1058" s="989"/>
      <c r="GWG1058" s="989"/>
      <c r="GWH1058" s="989"/>
      <c r="GWI1058" s="989"/>
      <c r="GWJ1058" s="989"/>
      <c r="GWK1058" s="989"/>
      <c r="GWL1058" s="989"/>
      <c r="GWM1058" s="989"/>
      <c r="GWN1058" s="989"/>
      <c r="GWO1058" s="989"/>
      <c r="GWP1058" s="989"/>
      <c r="GWQ1058" s="989"/>
      <c r="GWR1058" s="989"/>
      <c r="GWS1058" s="989"/>
      <c r="GWT1058" s="989"/>
      <c r="GWU1058" s="989"/>
      <c r="GWV1058" s="989"/>
      <c r="GWW1058" s="989"/>
      <c r="GWX1058" s="989"/>
      <c r="GWY1058" s="989"/>
      <c r="GWZ1058" s="989"/>
      <c r="GXA1058" s="989"/>
      <c r="GXB1058" s="989"/>
      <c r="GXC1058" s="989"/>
      <c r="GXD1058" s="989"/>
      <c r="GXE1058" s="989"/>
      <c r="GXF1058" s="989"/>
      <c r="GXG1058" s="989"/>
      <c r="GXH1058" s="989"/>
      <c r="GXI1058" s="989"/>
      <c r="GXJ1058" s="989"/>
      <c r="GXK1058" s="989"/>
      <c r="GXL1058" s="989"/>
      <c r="GXM1058" s="989"/>
      <c r="GXN1058" s="989"/>
      <c r="GXO1058" s="989"/>
      <c r="GXP1058" s="989"/>
      <c r="GXQ1058" s="989"/>
      <c r="GXR1058" s="989"/>
      <c r="GXS1058" s="989"/>
      <c r="GXT1058" s="989"/>
      <c r="GXU1058" s="989"/>
      <c r="GXV1058" s="989"/>
      <c r="GXW1058" s="989"/>
      <c r="GXX1058" s="989"/>
      <c r="GXY1058" s="989"/>
      <c r="GXZ1058" s="989"/>
      <c r="GYA1058" s="989"/>
      <c r="GYB1058" s="989"/>
      <c r="GYC1058" s="989"/>
      <c r="GYD1058" s="989"/>
      <c r="GYE1058" s="989"/>
      <c r="GYF1058" s="989"/>
      <c r="GYG1058" s="989"/>
      <c r="GYH1058" s="989"/>
      <c r="GYI1058" s="989"/>
      <c r="GYJ1058" s="989"/>
      <c r="GYK1058" s="989"/>
      <c r="GYL1058" s="989"/>
      <c r="GYM1058" s="989"/>
      <c r="GYN1058" s="989"/>
      <c r="GYO1058" s="989"/>
      <c r="GYP1058" s="989"/>
      <c r="GYQ1058" s="989"/>
      <c r="GYR1058" s="989"/>
      <c r="GYS1058" s="989"/>
      <c r="GYT1058" s="989"/>
      <c r="GYU1058" s="989"/>
      <c r="GYV1058" s="989"/>
      <c r="GYW1058" s="989"/>
      <c r="GYX1058" s="989"/>
      <c r="GYY1058" s="989"/>
      <c r="GYZ1058" s="989"/>
      <c r="GZA1058" s="989"/>
      <c r="GZB1058" s="989"/>
      <c r="GZC1058" s="989"/>
      <c r="GZD1058" s="989"/>
      <c r="GZE1058" s="989"/>
      <c r="GZF1058" s="989"/>
      <c r="GZG1058" s="989"/>
      <c r="GZH1058" s="989"/>
      <c r="GZI1058" s="989"/>
      <c r="GZJ1058" s="989"/>
      <c r="GZK1058" s="989"/>
      <c r="GZL1058" s="989"/>
      <c r="GZM1058" s="989"/>
      <c r="GZN1058" s="989"/>
      <c r="GZO1058" s="989"/>
      <c r="GZP1058" s="989"/>
      <c r="GZQ1058" s="989"/>
      <c r="GZR1058" s="989"/>
      <c r="GZS1058" s="989"/>
      <c r="GZT1058" s="989"/>
      <c r="GZU1058" s="989"/>
      <c r="GZV1058" s="989"/>
      <c r="GZW1058" s="989"/>
      <c r="GZX1058" s="989"/>
      <c r="GZY1058" s="989"/>
      <c r="GZZ1058" s="989"/>
      <c r="HAA1058" s="989"/>
      <c r="HAB1058" s="989"/>
      <c r="HAC1058" s="989"/>
      <c r="HAD1058" s="989"/>
      <c r="HAE1058" s="989"/>
      <c r="HAF1058" s="989"/>
      <c r="HAG1058" s="989"/>
      <c r="HAH1058" s="989"/>
      <c r="HAI1058" s="989"/>
      <c r="HAJ1058" s="989"/>
      <c r="HAK1058" s="989"/>
      <c r="HAL1058" s="989"/>
      <c r="HAM1058" s="989"/>
      <c r="HAN1058" s="989"/>
      <c r="HAO1058" s="989"/>
      <c r="HAP1058" s="989"/>
      <c r="HAQ1058" s="989"/>
      <c r="HAR1058" s="989"/>
      <c r="HAS1058" s="989"/>
      <c r="HAT1058" s="989"/>
      <c r="HAU1058" s="989"/>
      <c r="HAV1058" s="989"/>
      <c r="HAW1058" s="989"/>
      <c r="HAX1058" s="989"/>
      <c r="HAY1058" s="989"/>
      <c r="HAZ1058" s="989"/>
      <c r="HBA1058" s="989"/>
      <c r="HBB1058" s="989"/>
      <c r="HBC1058" s="989"/>
      <c r="HBD1058" s="989"/>
      <c r="HBE1058" s="989"/>
      <c r="HBF1058" s="989"/>
      <c r="HBG1058" s="989"/>
      <c r="HBH1058" s="989"/>
      <c r="HBI1058" s="989"/>
      <c r="HBJ1058" s="989"/>
      <c r="HBK1058" s="989"/>
      <c r="HBL1058" s="989"/>
      <c r="HBM1058" s="989"/>
      <c r="HBN1058" s="989"/>
      <c r="HBO1058" s="989"/>
      <c r="HBP1058" s="989"/>
      <c r="HBQ1058" s="989"/>
      <c r="HBR1058" s="989"/>
      <c r="HBS1058" s="989"/>
      <c r="HBT1058" s="989"/>
      <c r="HBU1058" s="989"/>
      <c r="HBV1058" s="989"/>
      <c r="HBW1058" s="989"/>
      <c r="HBX1058" s="989"/>
      <c r="HBY1058" s="989"/>
      <c r="HBZ1058" s="989"/>
      <c r="HCA1058" s="989"/>
      <c r="HCB1058" s="989"/>
      <c r="HCC1058" s="989"/>
      <c r="HCD1058" s="989"/>
      <c r="HCE1058" s="989"/>
      <c r="HCF1058" s="989"/>
      <c r="HCG1058" s="989"/>
      <c r="HCH1058" s="989"/>
      <c r="HCI1058" s="989"/>
      <c r="HCJ1058" s="989"/>
      <c r="HCK1058" s="989"/>
      <c r="HCL1058" s="989"/>
      <c r="HCM1058" s="989"/>
      <c r="HCN1058" s="989"/>
      <c r="HCO1058" s="989"/>
      <c r="HCP1058" s="989"/>
      <c r="HCQ1058" s="989"/>
      <c r="HCR1058" s="989"/>
      <c r="HCS1058" s="989"/>
      <c r="HCT1058" s="989"/>
      <c r="HCU1058" s="989"/>
      <c r="HCV1058" s="989"/>
      <c r="HCW1058" s="989"/>
      <c r="HCX1058" s="989"/>
      <c r="HCY1058" s="989"/>
      <c r="HCZ1058" s="989"/>
      <c r="HDA1058" s="989"/>
      <c r="HDB1058" s="989"/>
      <c r="HDC1058" s="989"/>
      <c r="HDD1058" s="989"/>
      <c r="HDE1058" s="989"/>
      <c r="HDF1058" s="989"/>
      <c r="HDG1058" s="989"/>
      <c r="HDH1058" s="989"/>
      <c r="HDI1058" s="989"/>
      <c r="HDJ1058" s="989"/>
      <c r="HDK1058" s="989"/>
      <c r="HDL1058" s="989"/>
      <c r="HDM1058" s="989"/>
      <c r="HDN1058" s="989"/>
      <c r="HDO1058" s="989"/>
      <c r="HDP1058" s="989"/>
      <c r="HDQ1058" s="989"/>
      <c r="HDR1058" s="989"/>
      <c r="HDS1058" s="989"/>
      <c r="HDT1058" s="989"/>
      <c r="HDU1058" s="989"/>
      <c r="HDV1058" s="989"/>
      <c r="HDW1058" s="989"/>
      <c r="HDX1058" s="989"/>
      <c r="HDY1058" s="989"/>
      <c r="HDZ1058" s="989"/>
      <c r="HEA1058" s="989"/>
      <c r="HEB1058" s="989"/>
      <c r="HEC1058" s="989"/>
      <c r="HED1058" s="989"/>
      <c r="HEE1058" s="989"/>
      <c r="HEF1058" s="989"/>
      <c r="HEG1058" s="989"/>
      <c r="HEH1058" s="989"/>
      <c r="HEI1058" s="989"/>
      <c r="HEJ1058" s="989"/>
      <c r="HEK1058" s="989"/>
      <c r="HEL1058" s="989"/>
      <c r="HEM1058" s="989"/>
      <c r="HEN1058" s="989"/>
      <c r="HEO1058" s="989"/>
      <c r="HEP1058" s="989"/>
      <c r="HEQ1058" s="989"/>
      <c r="HER1058" s="989"/>
      <c r="HES1058" s="989"/>
      <c r="HET1058" s="989"/>
      <c r="HEU1058" s="989"/>
      <c r="HEV1058" s="989"/>
      <c r="HEW1058" s="989"/>
      <c r="HEX1058" s="989"/>
      <c r="HEY1058" s="989"/>
      <c r="HEZ1058" s="989"/>
      <c r="HFA1058" s="989"/>
      <c r="HFB1058" s="989"/>
      <c r="HFC1058" s="989"/>
      <c r="HFD1058" s="989"/>
      <c r="HFE1058" s="989"/>
      <c r="HFF1058" s="989"/>
      <c r="HFG1058" s="989"/>
      <c r="HFH1058" s="989"/>
      <c r="HFI1058" s="989"/>
      <c r="HFJ1058" s="989"/>
      <c r="HFK1058" s="989"/>
      <c r="HFL1058" s="989"/>
      <c r="HFM1058" s="989"/>
      <c r="HFN1058" s="989"/>
      <c r="HFO1058" s="989"/>
      <c r="HFP1058" s="989"/>
      <c r="HFQ1058" s="989"/>
      <c r="HFR1058" s="989"/>
      <c r="HFS1058" s="989"/>
      <c r="HFT1058" s="989"/>
      <c r="HFU1058" s="989"/>
      <c r="HFV1058" s="989"/>
      <c r="HFW1058" s="989"/>
      <c r="HFX1058" s="989"/>
      <c r="HFY1058" s="989"/>
      <c r="HFZ1058" s="989"/>
      <c r="HGA1058" s="989"/>
      <c r="HGB1058" s="989"/>
      <c r="HGC1058" s="989"/>
      <c r="HGD1058" s="989"/>
      <c r="HGE1058" s="989"/>
      <c r="HGF1058" s="989"/>
      <c r="HGG1058" s="989"/>
      <c r="HGH1058" s="989"/>
      <c r="HGI1058" s="989"/>
      <c r="HGJ1058" s="989"/>
      <c r="HGK1058" s="989"/>
      <c r="HGL1058" s="989"/>
      <c r="HGM1058" s="989"/>
      <c r="HGN1058" s="989"/>
      <c r="HGO1058" s="989"/>
      <c r="HGP1058" s="989"/>
      <c r="HGQ1058" s="989"/>
      <c r="HGR1058" s="989"/>
      <c r="HGS1058" s="989"/>
      <c r="HGT1058" s="989"/>
      <c r="HGU1058" s="989"/>
      <c r="HGV1058" s="989"/>
      <c r="HGW1058" s="989"/>
      <c r="HGX1058" s="989"/>
      <c r="HGY1058" s="989"/>
      <c r="HGZ1058" s="989"/>
      <c r="HHA1058" s="989"/>
      <c r="HHB1058" s="989"/>
      <c r="HHC1058" s="989"/>
      <c r="HHD1058" s="989"/>
      <c r="HHE1058" s="989"/>
      <c r="HHF1058" s="989"/>
      <c r="HHG1058" s="989"/>
      <c r="HHH1058" s="989"/>
      <c r="HHI1058" s="989"/>
      <c r="HHJ1058" s="989"/>
      <c r="HHK1058" s="989"/>
      <c r="HHL1058" s="989"/>
      <c r="HHM1058" s="989"/>
      <c r="HHN1058" s="989"/>
      <c r="HHO1058" s="989"/>
      <c r="HHP1058" s="989"/>
      <c r="HHQ1058" s="989"/>
      <c r="HHR1058" s="989"/>
      <c r="HHS1058" s="989"/>
      <c r="HHT1058" s="989"/>
      <c r="HHU1058" s="989"/>
      <c r="HHV1058" s="989"/>
      <c r="HHW1058" s="989"/>
      <c r="HHX1058" s="989"/>
      <c r="HHY1058" s="989"/>
      <c r="HHZ1058" s="989"/>
      <c r="HIA1058" s="989"/>
      <c r="HIB1058" s="989"/>
      <c r="HIC1058" s="989"/>
      <c r="HID1058" s="989"/>
      <c r="HIE1058" s="989"/>
      <c r="HIF1058" s="989"/>
      <c r="HIG1058" s="989"/>
      <c r="HIH1058" s="989"/>
      <c r="HII1058" s="989"/>
      <c r="HIJ1058" s="989"/>
      <c r="HIK1058" s="989"/>
      <c r="HIL1058" s="989"/>
      <c r="HIM1058" s="989"/>
      <c r="HIN1058" s="989"/>
      <c r="HIO1058" s="989"/>
      <c r="HIP1058" s="989"/>
      <c r="HIQ1058" s="989"/>
      <c r="HIR1058" s="989"/>
      <c r="HIS1058" s="989"/>
      <c r="HIT1058" s="989"/>
      <c r="HIU1058" s="989"/>
      <c r="HIV1058" s="989"/>
      <c r="HIW1058" s="989"/>
      <c r="HIX1058" s="989"/>
      <c r="HIY1058" s="989"/>
      <c r="HIZ1058" s="989"/>
      <c r="HJA1058" s="989"/>
      <c r="HJB1058" s="989"/>
      <c r="HJC1058" s="989"/>
      <c r="HJD1058" s="989"/>
      <c r="HJE1058" s="989"/>
      <c r="HJF1058" s="989"/>
      <c r="HJG1058" s="989"/>
      <c r="HJH1058" s="989"/>
      <c r="HJI1058" s="989"/>
      <c r="HJJ1058" s="989"/>
      <c r="HJK1058" s="989"/>
      <c r="HJL1058" s="989"/>
      <c r="HJM1058" s="989"/>
      <c r="HJN1058" s="989"/>
      <c r="HJO1058" s="989"/>
      <c r="HJP1058" s="989"/>
      <c r="HJQ1058" s="989"/>
      <c r="HJR1058" s="989"/>
      <c r="HJS1058" s="989"/>
      <c r="HJT1058" s="989"/>
      <c r="HJU1058" s="989"/>
      <c r="HJV1058" s="989"/>
      <c r="HJW1058" s="989"/>
      <c r="HJX1058" s="989"/>
      <c r="HJY1058" s="989"/>
      <c r="HJZ1058" s="989"/>
      <c r="HKA1058" s="989"/>
      <c r="HKB1058" s="989"/>
      <c r="HKC1058" s="989"/>
      <c r="HKD1058" s="989"/>
      <c r="HKE1058" s="989"/>
      <c r="HKF1058" s="989"/>
      <c r="HKG1058" s="989"/>
      <c r="HKH1058" s="989"/>
      <c r="HKI1058" s="989"/>
      <c r="HKJ1058" s="989"/>
      <c r="HKK1058" s="989"/>
      <c r="HKL1058" s="989"/>
      <c r="HKM1058" s="989"/>
      <c r="HKN1058" s="989"/>
      <c r="HKO1058" s="989"/>
      <c r="HKP1058" s="989"/>
      <c r="HKQ1058" s="989"/>
      <c r="HKR1058" s="989"/>
      <c r="HKS1058" s="989"/>
      <c r="HKT1058" s="989"/>
      <c r="HKU1058" s="989"/>
      <c r="HKV1058" s="989"/>
      <c r="HKW1058" s="989"/>
      <c r="HKX1058" s="989"/>
      <c r="HKY1058" s="989"/>
      <c r="HKZ1058" s="989"/>
      <c r="HLA1058" s="989"/>
      <c r="HLB1058" s="989"/>
      <c r="HLC1058" s="989"/>
      <c r="HLD1058" s="989"/>
      <c r="HLE1058" s="989"/>
      <c r="HLF1058" s="989"/>
      <c r="HLG1058" s="989"/>
      <c r="HLH1058" s="989"/>
      <c r="HLI1058" s="989"/>
      <c r="HLJ1058" s="989"/>
      <c r="HLK1058" s="989"/>
      <c r="HLL1058" s="989"/>
      <c r="HLM1058" s="989"/>
      <c r="HLN1058" s="989"/>
      <c r="HLO1058" s="989"/>
      <c r="HLP1058" s="989"/>
      <c r="HLQ1058" s="989"/>
      <c r="HLR1058" s="989"/>
      <c r="HLS1058" s="989"/>
      <c r="HLT1058" s="989"/>
      <c r="HLU1058" s="989"/>
      <c r="HLV1058" s="989"/>
      <c r="HLW1058" s="989"/>
      <c r="HLX1058" s="989"/>
      <c r="HLY1058" s="989"/>
      <c r="HLZ1058" s="989"/>
      <c r="HMA1058" s="989"/>
      <c r="HMB1058" s="989"/>
      <c r="HMC1058" s="989"/>
      <c r="HMD1058" s="989"/>
      <c r="HME1058" s="989"/>
      <c r="HMF1058" s="989"/>
      <c r="HMG1058" s="989"/>
      <c r="HMH1058" s="989"/>
      <c r="HMI1058" s="989"/>
      <c r="HMJ1058" s="989"/>
      <c r="HMK1058" s="989"/>
      <c r="HML1058" s="989"/>
      <c r="HMM1058" s="989"/>
      <c r="HMN1058" s="989"/>
      <c r="HMO1058" s="989"/>
      <c r="HMP1058" s="989"/>
      <c r="HMQ1058" s="989"/>
      <c r="HMR1058" s="989"/>
      <c r="HMS1058" s="989"/>
      <c r="HMT1058" s="989"/>
      <c r="HMU1058" s="989"/>
      <c r="HMV1058" s="989"/>
      <c r="HMW1058" s="989"/>
      <c r="HMX1058" s="989"/>
      <c r="HMY1058" s="989"/>
      <c r="HMZ1058" s="989"/>
      <c r="HNA1058" s="989"/>
      <c r="HNB1058" s="989"/>
      <c r="HNC1058" s="989"/>
      <c r="HND1058" s="989"/>
      <c r="HNE1058" s="989"/>
      <c r="HNF1058" s="989"/>
      <c r="HNG1058" s="989"/>
      <c r="HNH1058" s="989"/>
      <c r="HNI1058" s="989"/>
      <c r="HNJ1058" s="989"/>
      <c r="HNK1058" s="989"/>
      <c r="HNL1058" s="989"/>
      <c r="HNM1058" s="989"/>
      <c r="HNN1058" s="989"/>
      <c r="HNO1058" s="989"/>
      <c r="HNP1058" s="989"/>
      <c r="HNQ1058" s="989"/>
      <c r="HNR1058" s="989"/>
      <c r="HNS1058" s="989"/>
      <c r="HNT1058" s="989"/>
      <c r="HNU1058" s="989"/>
      <c r="HNV1058" s="989"/>
      <c r="HNW1058" s="989"/>
      <c r="HNX1058" s="989"/>
      <c r="HNY1058" s="989"/>
      <c r="HNZ1058" s="989"/>
      <c r="HOA1058" s="989"/>
      <c r="HOB1058" s="989"/>
      <c r="HOC1058" s="989"/>
      <c r="HOD1058" s="989"/>
      <c r="HOE1058" s="989"/>
      <c r="HOF1058" s="989"/>
      <c r="HOG1058" s="989"/>
      <c r="HOH1058" s="989"/>
      <c r="HOI1058" s="989"/>
      <c r="HOJ1058" s="989"/>
      <c r="HOK1058" s="989"/>
      <c r="HOL1058" s="989"/>
      <c r="HOM1058" s="989"/>
      <c r="HON1058" s="989"/>
      <c r="HOO1058" s="989"/>
      <c r="HOP1058" s="989"/>
      <c r="HOQ1058" s="989"/>
      <c r="HOR1058" s="989"/>
      <c r="HOS1058" s="989"/>
      <c r="HOT1058" s="989"/>
      <c r="HOU1058" s="989"/>
      <c r="HOV1058" s="989"/>
      <c r="HOW1058" s="989"/>
      <c r="HOX1058" s="989"/>
      <c r="HOY1058" s="989"/>
      <c r="HOZ1058" s="989"/>
      <c r="HPA1058" s="989"/>
      <c r="HPB1058" s="989"/>
      <c r="HPC1058" s="989"/>
      <c r="HPD1058" s="989"/>
      <c r="HPE1058" s="989"/>
      <c r="HPF1058" s="989"/>
      <c r="HPG1058" s="989"/>
      <c r="HPH1058" s="989"/>
      <c r="HPI1058" s="989"/>
      <c r="HPJ1058" s="989"/>
      <c r="HPK1058" s="989"/>
      <c r="HPL1058" s="989"/>
      <c r="HPM1058" s="989"/>
      <c r="HPN1058" s="989"/>
      <c r="HPO1058" s="989"/>
      <c r="HPP1058" s="989"/>
      <c r="HPQ1058" s="989"/>
      <c r="HPR1058" s="989"/>
      <c r="HPS1058" s="989"/>
      <c r="HPT1058" s="989"/>
      <c r="HPU1058" s="989"/>
      <c r="HPV1058" s="989"/>
      <c r="HPW1058" s="989"/>
      <c r="HPX1058" s="989"/>
      <c r="HPY1058" s="989"/>
      <c r="HPZ1058" s="989"/>
      <c r="HQA1058" s="989"/>
      <c r="HQB1058" s="989"/>
      <c r="HQC1058" s="989"/>
      <c r="HQD1058" s="989"/>
      <c r="HQE1058" s="989"/>
      <c r="HQF1058" s="989"/>
      <c r="HQG1058" s="989"/>
      <c r="HQH1058" s="989"/>
      <c r="HQI1058" s="989"/>
      <c r="HQJ1058" s="989"/>
      <c r="HQK1058" s="989"/>
      <c r="HQL1058" s="989"/>
      <c r="HQM1058" s="989"/>
      <c r="HQN1058" s="989"/>
      <c r="HQO1058" s="989"/>
      <c r="HQP1058" s="989"/>
      <c r="HQQ1058" s="989"/>
      <c r="HQR1058" s="989"/>
      <c r="HQS1058" s="989"/>
      <c r="HQT1058" s="989"/>
      <c r="HQU1058" s="989"/>
      <c r="HQV1058" s="989"/>
      <c r="HQW1058" s="989"/>
      <c r="HQX1058" s="989"/>
      <c r="HQY1058" s="989"/>
      <c r="HQZ1058" s="989"/>
      <c r="HRA1058" s="989"/>
      <c r="HRB1058" s="989"/>
      <c r="HRC1058" s="989"/>
      <c r="HRD1058" s="989"/>
      <c r="HRE1058" s="989"/>
      <c r="HRF1058" s="989"/>
      <c r="HRG1058" s="989"/>
      <c r="HRH1058" s="989"/>
      <c r="HRI1058" s="989"/>
      <c r="HRJ1058" s="989"/>
      <c r="HRK1058" s="989"/>
      <c r="HRL1058" s="989"/>
      <c r="HRM1058" s="989"/>
      <c r="HRN1058" s="989"/>
      <c r="HRO1058" s="989"/>
      <c r="HRP1058" s="989"/>
      <c r="HRQ1058" s="989"/>
      <c r="HRR1058" s="989"/>
      <c r="HRS1058" s="989"/>
      <c r="HRT1058" s="989"/>
      <c r="HRU1058" s="989"/>
      <c r="HRV1058" s="989"/>
      <c r="HRW1058" s="989"/>
      <c r="HRX1058" s="989"/>
      <c r="HRY1058" s="989"/>
      <c r="HRZ1058" s="989"/>
      <c r="HSA1058" s="989"/>
      <c r="HSB1058" s="989"/>
      <c r="HSC1058" s="989"/>
      <c r="HSD1058" s="989"/>
      <c r="HSE1058" s="989"/>
      <c r="HSF1058" s="989"/>
      <c r="HSG1058" s="989"/>
      <c r="HSH1058" s="989"/>
      <c r="HSI1058" s="989"/>
      <c r="HSJ1058" s="989"/>
      <c r="HSK1058" s="989"/>
      <c r="HSL1058" s="989"/>
      <c r="HSM1058" s="989"/>
      <c r="HSN1058" s="989"/>
      <c r="HSO1058" s="989"/>
      <c r="HSP1058" s="989"/>
      <c r="HSQ1058" s="989"/>
      <c r="HSR1058" s="989"/>
      <c r="HSS1058" s="989"/>
      <c r="HST1058" s="989"/>
      <c r="HSU1058" s="989"/>
      <c r="HSV1058" s="989"/>
      <c r="HSW1058" s="989"/>
      <c r="HSX1058" s="989"/>
      <c r="HSY1058" s="989"/>
      <c r="HSZ1058" s="989"/>
      <c r="HTA1058" s="989"/>
      <c r="HTB1058" s="989"/>
      <c r="HTC1058" s="989"/>
      <c r="HTD1058" s="989"/>
      <c r="HTE1058" s="989"/>
      <c r="HTF1058" s="989"/>
      <c r="HTG1058" s="989"/>
      <c r="HTH1058" s="989"/>
      <c r="HTI1058" s="989"/>
      <c r="HTJ1058" s="989"/>
      <c r="HTK1058" s="989"/>
      <c r="HTL1058" s="989"/>
      <c r="HTM1058" s="989"/>
      <c r="HTN1058" s="989"/>
      <c r="HTO1058" s="989"/>
      <c r="HTP1058" s="989"/>
      <c r="HTQ1058" s="989"/>
      <c r="HTR1058" s="989"/>
      <c r="HTS1058" s="989"/>
      <c r="HTT1058" s="989"/>
      <c r="HTU1058" s="989"/>
      <c r="HTV1058" s="989"/>
      <c r="HTW1058" s="989"/>
      <c r="HTX1058" s="989"/>
      <c r="HTY1058" s="989"/>
      <c r="HTZ1058" s="989"/>
      <c r="HUA1058" s="989"/>
      <c r="HUB1058" s="989"/>
      <c r="HUC1058" s="989"/>
      <c r="HUD1058" s="989"/>
      <c r="HUE1058" s="989"/>
      <c r="HUF1058" s="989"/>
      <c r="HUG1058" s="989"/>
      <c r="HUH1058" s="989"/>
      <c r="HUI1058" s="989"/>
      <c r="HUJ1058" s="989"/>
      <c r="HUK1058" s="989"/>
      <c r="HUL1058" s="989"/>
      <c r="HUM1058" s="989"/>
      <c r="HUN1058" s="989"/>
      <c r="HUO1058" s="989"/>
      <c r="HUP1058" s="989"/>
      <c r="HUQ1058" s="989"/>
      <c r="HUR1058" s="989"/>
      <c r="HUS1058" s="989"/>
      <c r="HUT1058" s="989"/>
      <c r="HUU1058" s="989"/>
      <c r="HUV1058" s="989"/>
      <c r="HUW1058" s="989"/>
      <c r="HUX1058" s="989"/>
      <c r="HUY1058" s="989"/>
      <c r="HUZ1058" s="989"/>
      <c r="HVA1058" s="989"/>
      <c r="HVB1058" s="989"/>
      <c r="HVC1058" s="989"/>
      <c r="HVD1058" s="989"/>
      <c r="HVE1058" s="989"/>
      <c r="HVF1058" s="989"/>
      <c r="HVG1058" s="989"/>
      <c r="HVH1058" s="989"/>
      <c r="HVI1058" s="989"/>
      <c r="HVJ1058" s="989"/>
      <c r="HVK1058" s="989"/>
      <c r="HVL1058" s="989"/>
      <c r="HVM1058" s="989"/>
      <c r="HVN1058" s="989"/>
      <c r="HVO1058" s="989"/>
      <c r="HVP1058" s="989"/>
      <c r="HVQ1058" s="989"/>
      <c r="HVR1058" s="989"/>
      <c r="HVS1058" s="989"/>
      <c r="HVT1058" s="989"/>
      <c r="HVU1058" s="989"/>
      <c r="HVV1058" s="989"/>
      <c r="HVW1058" s="989"/>
      <c r="HVX1058" s="989"/>
      <c r="HVY1058" s="989"/>
      <c r="HVZ1058" s="989"/>
      <c r="HWA1058" s="989"/>
      <c r="HWB1058" s="989"/>
      <c r="HWC1058" s="989"/>
      <c r="HWD1058" s="989"/>
      <c r="HWE1058" s="989"/>
      <c r="HWF1058" s="989"/>
      <c r="HWG1058" s="989"/>
      <c r="HWH1058" s="989"/>
      <c r="HWI1058" s="989"/>
      <c r="HWJ1058" s="989"/>
      <c r="HWK1058" s="989"/>
      <c r="HWL1058" s="989"/>
      <c r="HWM1058" s="989"/>
      <c r="HWN1058" s="989"/>
      <c r="HWO1058" s="989"/>
      <c r="HWP1058" s="989"/>
      <c r="HWQ1058" s="989"/>
      <c r="HWR1058" s="989"/>
      <c r="HWS1058" s="989"/>
      <c r="HWT1058" s="989"/>
      <c r="HWU1058" s="989"/>
      <c r="HWV1058" s="989"/>
      <c r="HWW1058" s="989"/>
      <c r="HWX1058" s="989"/>
      <c r="HWY1058" s="989"/>
      <c r="HWZ1058" s="989"/>
      <c r="HXA1058" s="989"/>
      <c r="HXB1058" s="989"/>
      <c r="HXC1058" s="989"/>
      <c r="HXD1058" s="989"/>
      <c r="HXE1058" s="989"/>
      <c r="HXF1058" s="989"/>
      <c r="HXG1058" s="989"/>
      <c r="HXH1058" s="989"/>
      <c r="HXI1058" s="989"/>
      <c r="HXJ1058" s="989"/>
      <c r="HXK1058" s="989"/>
      <c r="HXL1058" s="989"/>
      <c r="HXM1058" s="989"/>
      <c r="HXN1058" s="989"/>
      <c r="HXO1058" s="989"/>
      <c r="HXP1058" s="989"/>
      <c r="HXQ1058" s="989"/>
      <c r="HXR1058" s="989"/>
      <c r="HXS1058" s="989"/>
      <c r="HXT1058" s="989"/>
      <c r="HXU1058" s="989"/>
      <c r="HXV1058" s="989"/>
      <c r="HXW1058" s="989"/>
      <c r="HXX1058" s="989"/>
      <c r="HXY1058" s="989"/>
      <c r="HXZ1058" s="989"/>
      <c r="HYA1058" s="989"/>
      <c r="HYB1058" s="989"/>
      <c r="HYC1058" s="989"/>
      <c r="HYD1058" s="989"/>
      <c r="HYE1058" s="989"/>
      <c r="HYF1058" s="989"/>
      <c r="HYG1058" s="989"/>
      <c r="HYH1058" s="989"/>
      <c r="HYI1058" s="989"/>
      <c r="HYJ1058" s="989"/>
      <c r="HYK1058" s="989"/>
      <c r="HYL1058" s="989"/>
      <c r="HYM1058" s="989"/>
      <c r="HYN1058" s="989"/>
      <c r="HYO1058" s="989"/>
      <c r="HYP1058" s="989"/>
      <c r="HYQ1058" s="989"/>
      <c r="HYR1058" s="989"/>
      <c r="HYS1058" s="989"/>
      <c r="HYT1058" s="989"/>
      <c r="HYU1058" s="989"/>
      <c r="HYV1058" s="989"/>
      <c r="HYW1058" s="989"/>
      <c r="HYX1058" s="989"/>
      <c r="HYY1058" s="989"/>
      <c r="HYZ1058" s="989"/>
      <c r="HZA1058" s="989"/>
      <c r="HZB1058" s="989"/>
      <c r="HZC1058" s="989"/>
      <c r="HZD1058" s="989"/>
      <c r="HZE1058" s="989"/>
      <c r="HZF1058" s="989"/>
      <c r="HZG1058" s="989"/>
      <c r="HZH1058" s="989"/>
      <c r="HZI1058" s="989"/>
      <c r="HZJ1058" s="989"/>
      <c r="HZK1058" s="989"/>
      <c r="HZL1058" s="989"/>
      <c r="HZM1058" s="989"/>
      <c r="HZN1058" s="989"/>
      <c r="HZO1058" s="989"/>
      <c r="HZP1058" s="989"/>
      <c r="HZQ1058" s="989"/>
      <c r="HZR1058" s="989"/>
      <c r="HZS1058" s="989"/>
      <c r="HZT1058" s="989"/>
      <c r="HZU1058" s="989"/>
      <c r="HZV1058" s="989"/>
      <c r="HZW1058" s="989"/>
      <c r="HZX1058" s="989"/>
      <c r="HZY1058" s="989"/>
      <c r="HZZ1058" s="989"/>
      <c r="IAA1058" s="989"/>
      <c r="IAB1058" s="989"/>
      <c r="IAC1058" s="989"/>
      <c r="IAD1058" s="989"/>
      <c r="IAE1058" s="989"/>
      <c r="IAF1058" s="989"/>
      <c r="IAG1058" s="989"/>
      <c r="IAH1058" s="989"/>
      <c r="IAI1058" s="989"/>
      <c r="IAJ1058" s="989"/>
      <c r="IAK1058" s="989"/>
      <c r="IAL1058" s="989"/>
      <c r="IAM1058" s="989"/>
      <c r="IAN1058" s="989"/>
      <c r="IAO1058" s="989"/>
      <c r="IAP1058" s="989"/>
      <c r="IAQ1058" s="989"/>
      <c r="IAR1058" s="989"/>
      <c r="IAS1058" s="989"/>
      <c r="IAT1058" s="989"/>
      <c r="IAU1058" s="989"/>
      <c r="IAV1058" s="989"/>
      <c r="IAW1058" s="989"/>
      <c r="IAX1058" s="989"/>
      <c r="IAY1058" s="989"/>
      <c r="IAZ1058" s="989"/>
      <c r="IBA1058" s="989"/>
      <c r="IBB1058" s="989"/>
      <c r="IBC1058" s="989"/>
      <c r="IBD1058" s="989"/>
      <c r="IBE1058" s="989"/>
      <c r="IBF1058" s="989"/>
      <c r="IBG1058" s="989"/>
      <c r="IBH1058" s="989"/>
      <c r="IBI1058" s="989"/>
      <c r="IBJ1058" s="989"/>
      <c r="IBK1058" s="989"/>
      <c r="IBL1058" s="989"/>
      <c r="IBM1058" s="989"/>
      <c r="IBN1058" s="989"/>
      <c r="IBO1058" s="989"/>
      <c r="IBP1058" s="989"/>
      <c r="IBQ1058" s="989"/>
      <c r="IBR1058" s="989"/>
      <c r="IBS1058" s="989"/>
      <c r="IBT1058" s="989"/>
      <c r="IBU1058" s="989"/>
      <c r="IBV1058" s="989"/>
      <c r="IBW1058" s="989"/>
      <c r="IBX1058" s="989"/>
      <c r="IBY1058" s="989"/>
      <c r="IBZ1058" s="989"/>
      <c r="ICA1058" s="989"/>
      <c r="ICB1058" s="989"/>
      <c r="ICC1058" s="989"/>
      <c r="ICD1058" s="989"/>
      <c r="ICE1058" s="989"/>
      <c r="ICF1058" s="989"/>
      <c r="ICG1058" s="989"/>
      <c r="ICH1058" s="989"/>
      <c r="ICI1058" s="989"/>
      <c r="ICJ1058" s="989"/>
      <c r="ICK1058" s="989"/>
      <c r="ICL1058" s="989"/>
      <c r="ICM1058" s="989"/>
      <c r="ICN1058" s="989"/>
      <c r="ICO1058" s="989"/>
      <c r="ICP1058" s="989"/>
      <c r="ICQ1058" s="989"/>
      <c r="ICR1058" s="989"/>
      <c r="ICS1058" s="989"/>
      <c r="ICT1058" s="989"/>
      <c r="ICU1058" s="989"/>
      <c r="ICV1058" s="989"/>
      <c r="ICW1058" s="989"/>
      <c r="ICX1058" s="989"/>
      <c r="ICY1058" s="989"/>
      <c r="ICZ1058" s="989"/>
      <c r="IDA1058" s="989"/>
      <c r="IDB1058" s="989"/>
      <c r="IDC1058" s="989"/>
      <c r="IDD1058" s="989"/>
      <c r="IDE1058" s="989"/>
      <c r="IDF1058" s="989"/>
      <c r="IDG1058" s="989"/>
      <c r="IDH1058" s="989"/>
      <c r="IDI1058" s="989"/>
      <c r="IDJ1058" s="989"/>
      <c r="IDK1058" s="989"/>
      <c r="IDL1058" s="989"/>
      <c r="IDM1058" s="989"/>
      <c r="IDN1058" s="989"/>
      <c r="IDO1058" s="989"/>
      <c r="IDP1058" s="989"/>
      <c r="IDQ1058" s="989"/>
      <c r="IDR1058" s="989"/>
      <c r="IDS1058" s="989"/>
      <c r="IDT1058" s="989"/>
      <c r="IDU1058" s="989"/>
      <c r="IDV1058" s="989"/>
      <c r="IDW1058" s="989"/>
      <c r="IDX1058" s="989"/>
      <c r="IDY1058" s="989"/>
      <c r="IDZ1058" s="989"/>
      <c r="IEA1058" s="989"/>
      <c r="IEB1058" s="989"/>
      <c r="IEC1058" s="989"/>
      <c r="IED1058" s="989"/>
      <c r="IEE1058" s="989"/>
      <c r="IEF1058" s="989"/>
      <c r="IEG1058" s="989"/>
      <c r="IEH1058" s="989"/>
      <c r="IEI1058" s="989"/>
      <c r="IEJ1058" s="989"/>
      <c r="IEK1058" s="989"/>
      <c r="IEL1058" s="989"/>
      <c r="IEM1058" s="989"/>
      <c r="IEN1058" s="989"/>
      <c r="IEO1058" s="989"/>
      <c r="IEP1058" s="989"/>
      <c r="IEQ1058" s="989"/>
      <c r="IER1058" s="989"/>
      <c r="IES1058" s="989"/>
      <c r="IET1058" s="989"/>
      <c r="IEU1058" s="989"/>
      <c r="IEV1058" s="989"/>
      <c r="IEW1058" s="989"/>
      <c r="IEX1058" s="989"/>
      <c r="IEY1058" s="989"/>
      <c r="IEZ1058" s="989"/>
      <c r="IFA1058" s="989"/>
      <c r="IFB1058" s="989"/>
      <c r="IFC1058" s="989"/>
      <c r="IFD1058" s="989"/>
      <c r="IFE1058" s="989"/>
      <c r="IFF1058" s="989"/>
      <c r="IFG1058" s="989"/>
      <c r="IFH1058" s="989"/>
      <c r="IFI1058" s="989"/>
      <c r="IFJ1058" s="989"/>
      <c r="IFK1058" s="989"/>
      <c r="IFL1058" s="989"/>
      <c r="IFM1058" s="989"/>
      <c r="IFN1058" s="989"/>
      <c r="IFO1058" s="989"/>
      <c r="IFP1058" s="989"/>
      <c r="IFQ1058" s="989"/>
      <c r="IFR1058" s="989"/>
      <c r="IFS1058" s="989"/>
      <c r="IFT1058" s="989"/>
      <c r="IFU1058" s="989"/>
      <c r="IFV1058" s="989"/>
      <c r="IFW1058" s="989"/>
      <c r="IFX1058" s="989"/>
      <c r="IFY1058" s="989"/>
      <c r="IFZ1058" s="989"/>
      <c r="IGA1058" s="989"/>
      <c r="IGB1058" s="989"/>
      <c r="IGC1058" s="989"/>
      <c r="IGD1058" s="989"/>
      <c r="IGE1058" s="989"/>
      <c r="IGF1058" s="989"/>
      <c r="IGG1058" s="989"/>
      <c r="IGH1058" s="989"/>
      <c r="IGI1058" s="989"/>
      <c r="IGJ1058" s="989"/>
      <c r="IGK1058" s="989"/>
      <c r="IGL1058" s="989"/>
      <c r="IGM1058" s="989"/>
      <c r="IGN1058" s="989"/>
      <c r="IGO1058" s="989"/>
      <c r="IGP1058" s="989"/>
      <c r="IGQ1058" s="989"/>
      <c r="IGR1058" s="989"/>
      <c r="IGS1058" s="989"/>
      <c r="IGT1058" s="989"/>
      <c r="IGU1058" s="989"/>
      <c r="IGV1058" s="989"/>
      <c r="IGW1058" s="989"/>
      <c r="IGX1058" s="989"/>
      <c r="IGY1058" s="989"/>
      <c r="IGZ1058" s="989"/>
      <c r="IHA1058" s="989"/>
      <c r="IHB1058" s="989"/>
      <c r="IHC1058" s="989"/>
      <c r="IHD1058" s="989"/>
      <c r="IHE1058" s="989"/>
      <c r="IHF1058" s="989"/>
      <c r="IHG1058" s="989"/>
      <c r="IHH1058" s="989"/>
      <c r="IHI1058" s="989"/>
      <c r="IHJ1058" s="989"/>
      <c r="IHK1058" s="989"/>
      <c r="IHL1058" s="989"/>
      <c r="IHM1058" s="989"/>
      <c r="IHN1058" s="989"/>
      <c r="IHO1058" s="989"/>
      <c r="IHP1058" s="989"/>
      <c r="IHQ1058" s="989"/>
      <c r="IHR1058" s="989"/>
      <c r="IHS1058" s="989"/>
      <c r="IHT1058" s="989"/>
      <c r="IHU1058" s="989"/>
      <c r="IHV1058" s="989"/>
      <c r="IHW1058" s="989"/>
      <c r="IHX1058" s="989"/>
      <c r="IHY1058" s="989"/>
      <c r="IHZ1058" s="989"/>
      <c r="IIA1058" s="989"/>
      <c r="IIB1058" s="989"/>
      <c r="IIC1058" s="989"/>
      <c r="IID1058" s="989"/>
      <c r="IIE1058" s="989"/>
      <c r="IIF1058" s="989"/>
      <c r="IIG1058" s="989"/>
      <c r="IIH1058" s="989"/>
      <c r="III1058" s="989"/>
      <c r="IIJ1058" s="989"/>
      <c r="IIK1058" s="989"/>
      <c r="IIL1058" s="989"/>
      <c r="IIM1058" s="989"/>
      <c r="IIN1058" s="989"/>
      <c r="IIO1058" s="989"/>
      <c r="IIP1058" s="989"/>
      <c r="IIQ1058" s="989"/>
      <c r="IIR1058" s="989"/>
      <c r="IIS1058" s="989"/>
      <c r="IIT1058" s="989"/>
      <c r="IIU1058" s="989"/>
      <c r="IIV1058" s="989"/>
      <c r="IIW1058" s="989"/>
      <c r="IIX1058" s="989"/>
      <c r="IIY1058" s="989"/>
      <c r="IIZ1058" s="989"/>
      <c r="IJA1058" s="989"/>
      <c r="IJB1058" s="989"/>
      <c r="IJC1058" s="989"/>
      <c r="IJD1058" s="989"/>
      <c r="IJE1058" s="989"/>
      <c r="IJF1058" s="989"/>
      <c r="IJG1058" s="989"/>
      <c r="IJH1058" s="989"/>
      <c r="IJI1058" s="989"/>
      <c r="IJJ1058" s="989"/>
      <c r="IJK1058" s="989"/>
      <c r="IJL1058" s="989"/>
      <c r="IJM1058" s="989"/>
      <c r="IJN1058" s="989"/>
      <c r="IJO1058" s="989"/>
      <c r="IJP1058" s="989"/>
      <c r="IJQ1058" s="989"/>
      <c r="IJR1058" s="989"/>
      <c r="IJS1058" s="989"/>
      <c r="IJT1058" s="989"/>
      <c r="IJU1058" s="989"/>
      <c r="IJV1058" s="989"/>
      <c r="IJW1058" s="989"/>
      <c r="IJX1058" s="989"/>
      <c r="IJY1058" s="989"/>
      <c r="IJZ1058" s="989"/>
      <c r="IKA1058" s="989"/>
      <c r="IKB1058" s="989"/>
      <c r="IKC1058" s="989"/>
      <c r="IKD1058" s="989"/>
      <c r="IKE1058" s="989"/>
      <c r="IKF1058" s="989"/>
      <c r="IKG1058" s="989"/>
      <c r="IKH1058" s="989"/>
      <c r="IKI1058" s="989"/>
      <c r="IKJ1058" s="989"/>
      <c r="IKK1058" s="989"/>
      <c r="IKL1058" s="989"/>
      <c r="IKM1058" s="989"/>
      <c r="IKN1058" s="989"/>
      <c r="IKO1058" s="989"/>
      <c r="IKP1058" s="989"/>
      <c r="IKQ1058" s="989"/>
      <c r="IKR1058" s="989"/>
      <c r="IKS1058" s="989"/>
      <c r="IKT1058" s="989"/>
      <c r="IKU1058" s="989"/>
      <c r="IKV1058" s="989"/>
      <c r="IKW1058" s="989"/>
      <c r="IKX1058" s="989"/>
      <c r="IKY1058" s="989"/>
      <c r="IKZ1058" s="989"/>
      <c r="ILA1058" s="989"/>
      <c r="ILB1058" s="989"/>
      <c r="ILC1058" s="989"/>
      <c r="ILD1058" s="989"/>
      <c r="ILE1058" s="989"/>
      <c r="ILF1058" s="989"/>
      <c r="ILG1058" s="989"/>
      <c r="ILH1058" s="989"/>
      <c r="ILI1058" s="989"/>
      <c r="ILJ1058" s="989"/>
      <c r="ILK1058" s="989"/>
      <c r="ILL1058" s="989"/>
      <c r="ILM1058" s="989"/>
      <c r="ILN1058" s="989"/>
      <c r="ILO1058" s="989"/>
      <c r="ILP1058" s="989"/>
      <c r="ILQ1058" s="989"/>
      <c r="ILR1058" s="989"/>
      <c r="ILS1058" s="989"/>
      <c r="ILT1058" s="989"/>
      <c r="ILU1058" s="989"/>
      <c r="ILV1058" s="989"/>
      <c r="ILW1058" s="989"/>
      <c r="ILX1058" s="989"/>
      <c r="ILY1058" s="989"/>
      <c r="ILZ1058" s="989"/>
      <c r="IMA1058" s="989"/>
      <c r="IMB1058" s="989"/>
      <c r="IMC1058" s="989"/>
      <c r="IMD1058" s="989"/>
      <c r="IME1058" s="989"/>
      <c r="IMF1058" s="989"/>
      <c r="IMG1058" s="989"/>
      <c r="IMH1058" s="989"/>
      <c r="IMI1058" s="989"/>
      <c r="IMJ1058" s="989"/>
      <c r="IMK1058" s="989"/>
      <c r="IML1058" s="989"/>
      <c r="IMM1058" s="989"/>
      <c r="IMN1058" s="989"/>
      <c r="IMO1058" s="989"/>
      <c r="IMP1058" s="989"/>
      <c r="IMQ1058" s="989"/>
      <c r="IMR1058" s="989"/>
      <c r="IMS1058" s="989"/>
      <c r="IMT1058" s="989"/>
      <c r="IMU1058" s="989"/>
      <c r="IMV1058" s="989"/>
      <c r="IMW1058" s="989"/>
      <c r="IMX1058" s="989"/>
      <c r="IMY1058" s="989"/>
      <c r="IMZ1058" s="989"/>
      <c r="INA1058" s="989"/>
      <c r="INB1058" s="989"/>
      <c r="INC1058" s="989"/>
      <c r="IND1058" s="989"/>
      <c r="INE1058" s="989"/>
      <c r="INF1058" s="989"/>
      <c r="ING1058" s="989"/>
      <c r="INH1058" s="989"/>
      <c r="INI1058" s="989"/>
      <c r="INJ1058" s="989"/>
      <c r="INK1058" s="989"/>
      <c r="INL1058" s="989"/>
      <c r="INM1058" s="989"/>
      <c r="INN1058" s="989"/>
      <c r="INO1058" s="989"/>
      <c r="INP1058" s="989"/>
      <c r="INQ1058" s="989"/>
      <c r="INR1058" s="989"/>
      <c r="INS1058" s="989"/>
      <c r="INT1058" s="989"/>
      <c r="INU1058" s="989"/>
      <c r="INV1058" s="989"/>
      <c r="INW1058" s="989"/>
      <c r="INX1058" s="989"/>
      <c r="INY1058" s="989"/>
      <c r="INZ1058" s="989"/>
      <c r="IOA1058" s="989"/>
      <c r="IOB1058" s="989"/>
      <c r="IOC1058" s="989"/>
      <c r="IOD1058" s="989"/>
      <c r="IOE1058" s="989"/>
      <c r="IOF1058" s="989"/>
      <c r="IOG1058" s="989"/>
      <c r="IOH1058" s="989"/>
      <c r="IOI1058" s="989"/>
      <c r="IOJ1058" s="989"/>
      <c r="IOK1058" s="989"/>
      <c r="IOL1058" s="989"/>
      <c r="IOM1058" s="989"/>
      <c r="ION1058" s="989"/>
      <c r="IOO1058" s="989"/>
      <c r="IOP1058" s="989"/>
      <c r="IOQ1058" s="989"/>
      <c r="IOR1058" s="989"/>
      <c r="IOS1058" s="989"/>
      <c r="IOT1058" s="989"/>
      <c r="IOU1058" s="989"/>
      <c r="IOV1058" s="989"/>
      <c r="IOW1058" s="989"/>
      <c r="IOX1058" s="989"/>
      <c r="IOY1058" s="989"/>
      <c r="IOZ1058" s="989"/>
      <c r="IPA1058" s="989"/>
      <c r="IPB1058" s="989"/>
      <c r="IPC1058" s="989"/>
      <c r="IPD1058" s="989"/>
      <c r="IPE1058" s="989"/>
      <c r="IPF1058" s="989"/>
      <c r="IPG1058" s="989"/>
      <c r="IPH1058" s="989"/>
      <c r="IPI1058" s="989"/>
      <c r="IPJ1058" s="989"/>
      <c r="IPK1058" s="989"/>
      <c r="IPL1058" s="989"/>
      <c r="IPM1058" s="989"/>
      <c r="IPN1058" s="989"/>
      <c r="IPO1058" s="989"/>
      <c r="IPP1058" s="989"/>
      <c r="IPQ1058" s="989"/>
      <c r="IPR1058" s="989"/>
      <c r="IPS1058" s="989"/>
      <c r="IPT1058" s="989"/>
      <c r="IPU1058" s="989"/>
      <c r="IPV1058" s="989"/>
      <c r="IPW1058" s="989"/>
      <c r="IPX1058" s="989"/>
      <c r="IPY1058" s="989"/>
      <c r="IPZ1058" s="989"/>
      <c r="IQA1058" s="989"/>
      <c r="IQB1058" s="989"/>
      <c r="IQC1058" s="989"/>
      <c r="IQD1058" s="989"/>
      <c r="IQE1058" s="989"/>
      <c r="IQF1058" s="989"/>
      <c r="IQG1058" s="989"/>
      <c r="IQH1058" s="989"/>
      <c r="IQI1058" s="989"/>
      <c r="IQJ1058" s="989"/>
      <c r="IQK1058" s="989"/>
      <c r="IQL1058" s="989"/>
      <c r="IQM1058" s="989"/>
      <c r="IQN1058" s="989"/>
      <c r="IQO1058" s="989"/>
      <c r="IQP1058" s="989"/>
      <c r="IQQ1058" s="989"/>
      <c r="IQR1058" s="989"/>
      <c r="IQS1058" s="989"/>
      <c r="IQT1058" s="989"/>
      <c r="IQU1058" s="989"/>
      <c r="IQV1058" s="989"/>
      <c r="IQW1058" s="989"/>
      <c r="IQX1058" s="989"/>
      <c r="IQY1058" s="989"/>
      <c r="IQZ1058" s="989"/>
      <c r="IRA1058" s="989"/>
      <c r="IRB1058" s="989"/>
      <c r="IRC1058" s="989"/>
      <c r="IRD1058" s="989"/>
      <c r="IRE1058" s="989"/>
      <c r="IRF1058" s="989"/>
      <c r="IRG1058" s="989"/>
      <c r="IRH1058" s="989"/>
      <c r="IRI1058" s="989"/>
      <c r="IRJ1058" s="989"/>
      <c r="IRK1058" s="989"/>
      <c r="IRL1058" s="989"/>
      <c r="IRM1058" s="989"/>
      <c r="IRN1058" s="989"/>
      <c r="IRO1058" s="989"/>
      <c r="IRP1058" s="989"/>
      <c r="IRQ1058" s="989"/>
      <c r="IRR1058" s="989"/>
      <c r="IRS1058" s="989"/>
      <c r="IRT1058" s="989"/>
      <c r="IRU1058" s="989"/>
      <c r="IRV1058" s="989"/>
      <c r="IRW1058" s="989"/>
      <c r="IRX1058" s="989"/>
      <c r="IRY1058" s="989"/>
      <c r="IRZ1058" s="989"/>
      <c r="ISA1058" s="989"/>
      <c r="ISB1058" s="989"/>
      <c r="ISC1058" s="989"/>
      <c r="ISD1058" s="989"/>
      <c r="ISE1058" s="989"/>
      <c r="ISF1058" s="989"/>
      <c r="ISG1058" s="989"/>
      <c r="ISH1058" s="989"/>
      <c r="ISI1058" s="989"/>
      <c r="ISJ1058" s="989"/>
      <c r="ISK1058" s="989"/>
      <c r="ISL1058" s="989"/>
      <c r="ISM1058" s="989"/>
      <c r="ISN1058" s="989"/>
      <c r="ISO1058" s="989"/>
      <c r="ISP1058" s="989"/>
      <c r="ISQ1058" s="989"/>
      <c r="ISR1058" s="989"/>
      <c r="ISS1058" s="989"/>
      <c r="IST1058" s="989"/>
      <c r="ISU1058" s="989"/>
      <c r="ISV1058" s="989"/>
      <c r="ISW1058" s="989"/>
      <c r="ISX1058" s="989"/>
      <c r="ISY1058" s="989"/>
      <c r="ISZ1058" s="989"/>
      <c r="ITA1058" s="989"/>
      <c r="ITB1058" s="989"/>
      <c r="ITC1058" s="989"/>
      <c r="ITD1058" s="989"/>
      <c r="ITE1058" s="989"/>
      <c r="ITF1058" s="989"/>
      <c r="ITG1058" s="989"/>
      <c r="ITH1058" s="989"/>
      <c r="ITI1058" s="989"/>
      <c r="ITJ1058" s="989"/>
      <c r="ITK1058" s="989"/>
      <c r="ITL1058" s="989"/>
      <c r="ITM1058" s="989"/>
      <c r="ITN1058" s="989"/>
      <c r="ITO1058" s="989"/>
      <c r="ITP1058" s="989"/>
      <c r="ITQ1058" s="989"/>
      <c r="ITR1058" s="989"/>
      <c r="ITS1058" s="989"/>
      <c r="ITT1058" s="989"/>
      <c r="ITU1058" s="989"/>
      <c r="ITV1058" s="989"/>
      <c r="ITW1058" s="989"/>
      <c r="ITX1058" s="989"/>
      <c r="ITY1058" s="989"/>
      <c r="ITZ1058" s="989"/>
      <c r="IUA1058" s="989"/>
      <c r="IUB1058" s="989"/>
      <c r="IUC1058" s="989"/>
      <c r="IUD1058" s="989"/>
      <c r="IUE1058" s="989"/>
      <c r="IUF1058" s="989"/>
      <c r="IUG1058" s="989"/>
      <c r="IUH1058" s="989"/>
      <c r="IUI1058" s="989"/>
      <c r="IUJ1058" s="989"/>
      <c r="IUK1058" s="989"/>
      <c r="IUL1058" s="989"/>
      <c r="IUM1058" s="989"/>
      <c r="IUN1058" s="989"/>
      <c r="IUO1058" s="989"/>
      <c r="IUP1058" s="989"/>
      <c r="IUQ1058" s="989"/>
      <c r="IUR1058" s="989"/>
      <c r="IUS1058" s="989"/>
      <c r="IUT1058" s="989"/>
      <c r="IUU1058" s="989"/>
      <c r="IUV1058" s="989"/>
      <c r="IUW1058" s="989"/>
      <c r="IUX1058" s="989"/>
      <c r="IUY1058" s="989"/>
      <c r="IUZ1058" s="989"/>
      <c r="IVA1058" s="989"/>
      <c r="IVB1058" s="989"/>
      <c r="IVC1058" s="989"/>
      <c r="IVD1058" s="989"/>
      <c r="IVE1058" s="989"/>
      <c r="IVF1058" s="989"/>
      <c r="IVG1058" s="989"/>
      <c r="IVH1058" s="989"/>
      <c r="IVI1058" s="989"/>
      <c r="IVJ1058" s="989"/>
      <c r="IVK1058" s="989"/>
      <c r="IVL1058" s="989"/>
      <c r="IVM1058" s="989"/>
      <c r="IVN1058" s="989"/>
      <c r="IVO1058" s="989"/>
      <c r="IVP1058" s="989"/>
      <c r="IVQ1058" s="989"/>
      <c r="IVR1058" s="989"/>
      <c r="IVS1058" s="989"/>
      <c r="IVT1058" s="989"/>
      <c r="IVU1058" s="989"/>
      <c r="IVV1058" s="989"/>
      <c r="IVW1058" s="989"/>
      <c r="IVX1058" s="989"/>
      <c r="IVY1058" s="989"/>
      <c r="IVZ1058" s="989"/>
      <c r="IWA1058" s="989"/>
      <c r="IWB1058" s="989"/>
      <c r="IWC1058" s="989"/>
      <c r="IWD1058" s="989"/>
      <c r="IWE1058" s="989"/>
      <c r="IWF1058" s="989"/>
      <c r="IWG1058" s="989"/>
      <c r="IWH1058" s="989"/>
      <c r="IWI1058" s="989"/>
      <c r="IWJ1058" s="989"/>
      <c r="IWK1058" s="989"/>
      <c r="IWL1058" s="989"/>
      <c r="IWM1058" s="989"/>
      <c r="IWN1058" s="989"/>
      <c r="IWO1058" s="989"/>
      <c r="IWP1058" s="989"/>
      <c r="IWQ1058" s="989"/>
      <c r="IWR1058" s="989"/>
      <c r="IWS1058" s="989"/>
      <c r="IWT1058" s="989"/>
      <c r="IWU1058" s="989"/>
      <c r="IWV1058" s="989"/>
      <c r="IWW1058" s="989"/>
      <c r="IWX1058" s="989"/>
      <c r="IWY1058" s="989"/>
      <c r="IWZ1058" s="989"/>
      <c r="IXA1058" s="989"/>
      <c r="IXB1058" s="989"/>
      <c r="IXC1058" s="989"/>
      <c r="IXD1058" s="989"/>
      <c r="IXE1058" s="989"/>
      <c r="IXF1058" s="989"/>
      <c r="IXG1058" s="989"/>
      <c r="IXH1058" s="989"/>
      <c r="IXI1058" s="989"/>
      <c r="IXJ1058" s="989"/>
      <c r="IXK1058" s="989"/>
      <c r="IXL1058" s="989"/>
      <c r="IXM1058" s="989"/>
      <c r="IXN1058" s="989"/>
      <c r="IXO1058" s="989"/>
      <c r="IXP1058" s="989"/>
      <c r="IXQ1058" s="989"/>
      <c r="IXR1058" s="989"/>
      <c r="IXS1058" s="989"/>
      <c r="IXT1058" s="989"/>
      <c r="IXU1058" s="989"/>
      <c r="IXV1058" s="989"/>
      <c r="IXW1058" s="989"/>
      <c r="IXX1058" s="989"/>
      <c r="IXY1058" s="989"/>
      <c r="IXZ1058" s="989"/>
      <c r="IYA1058" s="989"/>
      <c r="IYB1058" s="989"/>
      <c r="IYC1058" s="989"/>
      <c r="IYD1058" s="989"/>
      <c r="IYE1058" s="989"/>
      <c r="IYF1058" s="989"/>
      <c r="IYG1058" s="989"/>
      <c r="IYH1058" s="989"/>
      <c r="IYI1058" s="989"/>
      <c r="IYJ1058" s="989"/>
      <c r="IYK1058" s="989"/>
      <c r="IYL1058" s="989"/>
      <c r="IYM1058" s="989"/>
      <c r="IYN1058" s="989"/>
      <c r="IYO1058" s="989"/>
      <c r="IYP1058" s="989"/>
      <c r="IYQ1058" s="989"/>
      <c r="IYR1058" s="989"/>
      <c r="IYS1058" s="989"/>
      <c r="IYT1058" s="989"/>
      <c r="IYU1058" s="989"/>
      <c r="IYV1058" s="989"/>
      <c r="IYW1058" s="989"/>
      <c r="IYX1058" s="989"/>
      <c r="IYY1058" s="989"/>
      <c r="IYZ1058" s="989"/>
      <c r="IZA1058" s="989"/>
      <c r="IZB1058" s="989"/>
      <c r="IZC1058" s="989"/>
      <c r="IZD1058" s="989"/>
      <c r="IZE1058" s="989"/>
      <c r="IZF1058" s="989"/>
      <c r="IZG1058" s="989"/>
      <c r="IZH1058" s="989"/>
      <c r="IZI1058" s="989"/>
      <c r="IZJ1058" s="989"/>
      <c r="IZK1058" s="989"/>
      <c r="IZL1058" s="989"/>
      <c r="IZM1058" s="989"/>
      <c r="IZN1058" s="989"/>
      <c r="IZO1058" s="989"/>
      <c r="IZP1058" s="989"/>
      <c r="IZQ1058" s="989"/>
      <c r="IZR1058" s="989"/>
      <c r="IZS1058" s="989"/>
      <c r="IZT1058" s="989"/>
      <c r="IZU1058" s="989"/>
      <c r="IZV1058" s="989"/>
      <c r="IZW1058" s="989"/>
      <c r="IZX1058" s="989"/>
      <c r="IZY1058" s="989"/>
      <c r="IZZ1058" s="989"/>
      <c r="JAA1058" s="989"/>
      <c r="JAB1058" s="989"/>
      <c r="JAC1058" s="989"/>
      <c r="JAD1058" s="989"/>
      <c r="JAE1058" s="989"/>
      <c r="JAF1058" s="989"/>
      <c r="JAG1058" s="989"/>
      <c r="JAH1058" s="989"/>
      <c r="JAI1058" s="989"/>
      <c r="JAJ1058" s="989"/>
      <c r="JAK1058" s="989"/>
      <c r="JAL1058" s="989"/>
      <c r="JAM1058" s="989"/>
      <c r="JAN1058" s="989"/>
      <c r="JAO1058" s="989"/>
      <c r="JAP1058" s="989"/>
      <c r="JAQ1058" s="989"/>
      <c r="JAR1058" s="989"/>
      <c r="JAS1058" s="989"/>
      <c r="JAT1058" s="989"/>
      <c r="JAU1058" s="989"/>
      <c r="JAV1058" s="989"/>
      <c r="JAW1058" s="989"/>
      <c r="JAX1058" s="989"/>
      <c r="JAY1058" s="989"/>
      <c r="JAZ1058" s="989"/>
      <c r="JBA1058" s="989"/>
      <c r="JBB1058" s="989"/>
      <c r="JBC1058" s="989"/>
      <c r="JBD1058" s="989"/>
      <c r="JBE1058" s="989"/>
      <c r="JBF1058" s="989"/>
      <c r="JBG1058" s="989"/>
      <c r="JBH1058" s="989"/>
      <c r="JBI1058" s="989"/>
      <c r="JBJ1058" s="989"/>
      <c r="JBK1058" s="989"/>
      <c r="JBL1058" s="989"/>
      <c r="JBM1058" s="989"/>
      <c r="JBN1058" s="989"/>
      <c r="JBO1058" s="989"/>
      <c r="JBP1058" s="989"/>
      <c r="JBQ1058" s="989"/>
      <c r="JBR1058" s="989"/>
      <c r="JBS1058" s="989"/>
      <c r="JBT1058" s="989"/>
      <c r="JBU1058" s="989"/>
      <c r="JBV1058" s="989"/>
      <c r="JBW1058" s="989"/>
      <c r="JBX1058" s="989"/>
      <c r="JBY1058" s="989"/>
      <c r="JBZ1058" s="989"/>
      <c r="JCA1058" s="989"/>
      <c r="JCB1058" s="989"/>
      <c r="JCC1058" s="989"/>
      <c r="JCD1058" s="989"/>
      <c r="JCE1058" s="989"/>
      <c r="JCF1058" s="989"/>
      <c r="JCG1058" s="989"/>
      <c r="JCH1058" s="989"/>
      <c r="JCI1058" s="989"/>
      <c r="JCJ1058" s="989"/>
      <c r="JCK1058" s="989"/>
      <c r="JCL1058" s="989"/>
      <c r="JCM1058" s="989"/>
      <c r="JCN1058" s="989"/>
      <c r="JCO1058" s="989"/>
      <c r="JCP1058" s="989"/>
      <c r="JCQ1058" s="989"/>
      <c r="JCR1058" s="989"/>
      <c r="JCS1058" s="989"/>
      <c r="JCT1058" s="989"/>
      <c r="JCU1058" s="989"/>
      <c r="JCV1058" s="989"/>
      <c r="JCW1058" s="989"/>
      <c r="JCX1058" s="989"/>
      <c r="JCY1058" s="989"/>
      <c r="JCZ1058" s="989"/>
      <c r="JDA1058" s="989"/>
      <c r="JDB1058" s="989"/>
      <c r="JDC1058" s="989"/>
      <c r="JDD1058" s="989"/>
      <c r="JDE1058" s="989"/>
      <c r="JDF1058" s="989"/>
      <c r="JDG1058" s="989"/>
      <c r="JDH1058" s="989"/>
      <c r="JDI1058" s="989"/>
      <c r="JDJ1058" s="989"/>
      <c r="JDK1058" s="989"/>
      <c r="JDL1058" s="989"/>
      <c r="JDM1058" s="989"/>
      <c r="JDN1058" s="989"/>
      <c r="JDO1058" s="989"/>
      <c r="JDP1058" s="989"/>
      <c r="JDQ1058" s="989"/>
      <c r="JDR1058" s="989"/>
      <c r="JDS1058" s="989"/>
      <c r="JDT1058" s="989"/>
      <c r="JDU1058" s="989"/>
      <c r="JDV1058" s="989"/>
      <c r="JDW1058" s="989"/>
      <c r="JDX1058" s="989"/>
      <c r="JDY1058" s="989"/>
      <c r="JDZ1058" s="989"/>
      <c r="JEA1058" s="989"/>
      <c r="JEB1058" s="989"/>
      <c r="JEC1058" s="989"/>
      <c r="JED1058" s="989"/>
      <c r="JEE1058" s="989"/>
      <c r="JEF1058" s="989"/>
      <c r="JEG1058" s="989"/>
      <c r="JEH1058" s="989"/>
      <c r="JEI1058" s="989"/>
      <c r="JEJ1058" s="989"/>
      <c r="JEK1058" s="989"/>
      <c r="JEL1058" s="989"/>
      <c r="JEM1058" s="989"/>
      <c r="JEN1058" s="989"/>
      <c r="JEO1058" s="989"/>
      <c r="JEP1058" s="989"/>
      <c r="JEQ1058" s="989"/>
      <c r="JER1058" s="989"/>
      <c r="JES1058" s="989"/>
      <c r="JET1058" s="989"/>
      <c r="JEU1058" s="989"/>
      <c r="JEV1058" s="989"/>
      <c r="JEW1058" s="989"/>
      <c r="JEX1058" s="989"/>
      <c r="JEY1058" s="989"/>
      <c r="JEZ1058" s="989"/>
      <c r="JFA1058" s="989"/>
      <c r="JFB1058" s="989"/>
      <c r="JFC1058" s="989"/>
      <c r="JFD1058" s="989"/>
      <c r="JFE1058" s="989"/>
      <c r="JFF1058" s="989"/>
      <c r="JFG1058" s="989"/>
      <c r="JFH1058" s="989"/>
      <c r="JFI1058" s="989"/>
      <c r="JFJ1058" s="989"/>
      <c r="JFK1058" s="989"/>
      <c r="JFL1058" s="989"/>
      <c r="JFM1058" s="989"/>
      <c r="JFN1058" s="989"/>
      <c r="JFO1058" s="989"/>
      <c r="JFP1058" s="989"/>
      <c r="JFQ1058" s="989"/>
      <c r="JFR1058" s="989"/>
      <c r="JFS1058" s="989"/>
      <c r="JFT1058" s="989"/>
      <c r="JFU1058" s="989"/>
      <c r="JFV1058" s="989"/>
      <c r="JFW1058" s="989"/>
      <c r="JFX1058" s="989"/>
      <c r="JFY1058" s="989"/>
      <c r="JFZ1058" s="989"/>
      <c r="JGA1058" s="989"/>
      <c r="JGB1058" s="989"/>
      <c r="JGC1058" s="989"/>
      <c r="JGD1058" s="989"/>
      <c r="JGE1058" s="989"/>
      <c r="JGF1058" s="989"/>
      <c r="JGG1058" s="989"/>
      <c r="JGH1058" s="989"/>
      <c r="JGI1058" s="989"/>
      <c r="JGJ1058" s="989"/>
      <c r="JGK1058" s="989"/>
      <c r="JGL1058" s="989"/>
      <c r="JGM1058" s="989"/>
      <c r="JGN1058" s="989"/>
      <c r="JGO1058" s="989"/>
      <c r="JGP1058" s="989"/>
      <c r="JGQ1058" s="989"/>
      <c r="JGR1058" s="989"/>
      <c r="JGS1058" s="989"/>
      <c r="JGT1058" s="989"/>
      <c r="JGU1058" s="989"/>
      <c r="JGV1058" s="989"/>
      <c r="JGW1058" s="989"/>
      <c r="JGX1058" s="989"/>
      <c r="JGY1058" s="989"/>
      <c r="JGZ1058" s="989"/>
      <c r="JHA1058" s="989"/>
      <c r="JHB1058" s="989"/>
      <c r="JHC1058" s="989"/>
      <c r="JHD1058" s="989"/>
      <c r="JHE1058" s="989"/>
      <c r="JHF1058" s="989"/>
      <c r="JHG1058" s="989"/>
      <c r="JHH1058" s="989"/>
      <c r="JHI1058" s="989"/>
      <c r="JHJ1058" s="989"/>
      <c r="JHK1058" s="989"/>
      <c r="JHL1058" s="989"/>
      <c r="JHM1058" s="989"/>
      <c r="JHN1058" s="989"/>
      <c r="JHO1058" s="989"/>
      <c r="JHP1058" s="989"/>
      <c r="JHQ1058" s="989"/>
      <c r="JHR1058" s="989"/>
      <c r="JHS1058" s="989"/>
      <c r="JHT1058" s="989"/>
      <c r="JHU1058" s="989"/>
      <c r="JHV1058" s="989"/>
      <c r="JHW1058" s="989"/>
      <c r="JHX1058" s="989"/>
      <c r="JHY1058" s="989"/>
      <c r="JHZ1058" s="989"/>
      <c r="JIA1058" s="989"/>
      <c r="JIB1058" s="989"/>
      <c r="JIC1058" s="989"/>
      <c r="JID1058" s="989"/>
      <c r="JIE1058" s="989"/>
      <c r="JIF1058" s="989"/>
      <c r="JIG1058" s="989"/>
      <c r="JIH1058" s="989"/>
      <c r="JII1058" s="989"/>
      <c r="JIJ1058" s="989"/>
      <c r="JIK1058" s="989"/>
      <c r="JIL1058" s="989"/>
      <c r="JIM1058" s="989"/>
      <c r="JIN1058" s="989"/>
      <c r="JIO1058" s="989"/>
      <c r="JIP1058" s="989"/>
      <c r="JIQ1058" s="989"/>
      <c r="JIR1058" s="989"/>
      <c r="JIS1058" s="989"/>
      <c r="JIT1058" s="989"/>
      <c r="JIU1058" s="989"/>
      <c r="JIV1058" s="989"/>
      <c r="JIW1058" s="989"/>
      <c r="JIX1058" s="989"/>
      <c r="JIY1058" s="989"/>
      <c r="JIZ1058" s="989"/>
      <c r="JJA1058" s="989"/>
      <c r="JJB1058" s="989"/>
      <c r="JJC1058" s="989"/>
      <c r="JJD1058" s="989"/>
      <c r="JJE1058" s="989"/>
      <c r="JJF1058" s="989"/>
      <c r="JJG1058" s="989"/>
      <c r="JJH1058" s="989"/>
      <c r="JJI1058" s="989"/>
      <c r="JJJ1058" s="989"/>
      <c r="JJK1058" s="989"/>
      <c r="JJL1058" s="989"/>
      <c r="JJM1058" s="989"/>
      <c r="JJN1058" s="989"/>
      <c r="JJO1058" s="989"/>
      <c r="JJP1058" s="989"/>
      <c r="JJQ1058" s="989"/>
      <c r="JJR1058" s="989"/>
      <c r="JJS1058" s="989"/>
      <c r="JJT1058" s="989"/>
      <c r="JJU1058" s="989"/>
      <c r="JJV1058" s="989"/>
      <c r="JJW1058" s="989"/>
      <c r="JJX1058" s="989"/>
      <c r="JJY1058" s="989"/>
      <c r="JJZ1058" s="989"/>
      <c r="JKA1058" s="989"/>
      <c r="JKB1058" s="989"/>
      <c r="JKC1058" s="989"/>
      <c r="JKD1058" s="989"/>
      <c r="JKE1058" s="989"/>
      <c r="JKF1058" s="989"/>
      <c r="JKG1058" s="989"/>
      <c r="JKH1058" s="989"/>
      <c r="JKI1058" s="989"/>
      <c r="JKJ1058" s="989"/>
      <c r="JKK1058" s="989"/>
      <c r="JKL1058" s="989"/>
      <c r="JKM1058" s="989"/>
      <c r="JKN1058" s="989"/>
      <c r="JKO1058" s="989"/>
      <c r="JKP1058" s="989"/>
      <c r="JKQ1058" s="989"/>
      <c r="JKR1058" s="989"/>
      <c r="JKS1058" s="989"/>
      <c r="JKT1058" s="989"/>
      <c r="JKU1058" s="989"/>
      <c r="JKV1058" s="989"/>
      <c r="JKW1058" s="989"/>
      <c r="JKX1058" s="989"/>
      <c r="JKY1058" s="989"/>
      <c r="JKZ1058" s="989"/>
      <c r="JLA1058" s="989"/>
      <c r="JLB1058" s="989"/>
      <c r="JLC1058" s="989"/>
      <c r="JLD1058" s="989"/>
      <c r="JLE1058" s="989"/>
      <c r="JLF1058" s="989"/>
      <c r="JLG1058" s="989"/>
      <c r="JLH1058" s="989"/>
      <c r="JLI1058" s="989"/>
      <c r="JLJ1058" s="989"/>
      <c r="JLK1058" s="989"/>
      <c r="JLL1058" s="989"/>
      <c r="JLM1058" s="989"/>
      <c r="JLN1058" s="989"/>
      <c r="JLO1058" s="989"/>
      <c r="JLP1058" s="989"/>
      <c r="JLQ1058" s="989"/>
      <c r="JLR1058" s="989"/>
      <c r="JLS1058" s="989"/>
      <c r="JLT1058" s="989"/>
      <c r="JLU1058" s="989"/>
      <c r="JLV1058" s="989"/>
      <c r="JLW1058" s="989"/>
      <c r="JLX1058" s="989"/>
      <c r="JLY1058" s="989"/>
      <c r="JLZ1058" s="989"/>
      <c r="JMA1058" s="989"/>
      <c r="JMB1058" s="989"/>
      <c r="JMC1058" s="989"/>
      <c r="JMD1058" s="989"/>
      <c r="JME1058" s="989"/>
      <c r="JMF1058" s="989"/>
      <c r="JMG1058" s="989"/>
      <c r="JMH1058" s="989"/>
      <c r="JMI1058" s="989"/>
      <c r="JMJ1058" s="989"/>
      <c r="JMK1058" s="989"/>
      <c r="JML1058" s="989"/>
      <c r="JMM1058" s="989"/>
      <c r="JMN1058" s="989"/>
      <c r="JMO1058" s="989"/>
      <c r="JMP1058" s="989"/>
      <c r="JMQ1058" s="989"/>
      <c r="JMR1058" s="989"/>
      <c r="JMS1058" s="989"/>
      <c r="JMT1058" s="989"/>
      <c r="JMU1058" s="989"/>
      <c r="JMV1058" s="989"/>
      <c r="JMW1058" s="989"/>
      <c r="JMX1058" s="989"/>
      <c r="JMY1058" s="989"/>
      <c r="JMZ1058" s="989"/>
      <c r="JNA1058" s="989"/>
      <c r="JNB1058" s="989"/>
      <c r="JNC1058" s="989"/>
      <c r="JND1058" s="989"/>
      <c r="JNE1058" s="989"/>
      <c r="JNF1058" s="989"/>
      <c r="JNG1058" s="989"/>
      <c r="JNH1058" s="989"/>
      <c r="JNI1058" s="989"/>
      <c r="JNJ1058" s="989"/>
      <c r="JNK1058" s="989"/>
      <c r="JNL1058" s="989"/>
      <c r="JNM1058" s="989"/>
      <c r="JNN1058" s="989"/>
      <c r="JNO1058" s="989"/>
      <c r="JNP1058" s="989"/>
      <c r="JNQ1058" s="989"/>
      <c r="JNR1058" s="989"/>
      <c r="JNS1058" s="989"/>
      <c r="JNT1058" s="989"/>
      <c r="JNU1058" s="989"/>
      <c r="JNV1058" s="989"/>
      <c r="JNW1058" s="989"/>
      <c r="JNX1058" s="989"/>
      <c r="JNY1058" s="989"/>
      <c r="JNZ1058" s="989"/>
      <c r="JOA1058" s="989"/>
      <c r="JOB1058" s="989"/>
      <c r="JOC1058" s="989"/>
      <c r="JOD1058" s="989"/>
      <c r="JOE1058" s="989"/>
      <c r="JOF1058" s="989"/>
      <c r="JOG1058" s="989"/>
      <c r="JOH1058" s="989"/>
      <c r="JOI1058" s="989"/>
      <c r="JOJ1058" s="989"/>
      <c r="JOK1058" s="989"/>
      <c r="JOL1058" s="989"/>
      <c r="JOM1058" s="989"/>
      <c r="JON1058" s="989"/>
      <c r="JOO1058" s="989"/>
      <c r="JOP1058" s="989"/>
      <c r="JOQ1058" s="989"/>
      <c r="JOR1058" s="989"/>
      <c r="JOS1058" s="989"/>
      <c r="JOT1058" s="989"/>
      <c r="JOU1058" s="989"/>
      <c r="JOV1058" s="989"/>
      <c r="JOW1058" s="989"/>
      <c r="JOX1058" s="989"/>
      <c r="JOY1058" s="989"/>
      <c r="JOZ1058" s="989"/>
      <c r="JPA1058" s="989"/>
      <c r="JPB1058" s="989"/>
      <c r="JPC1058" s="989"/>
      <c r="JPD1058" s="989"/>
      <c r="JPE1058" s="989"/>
      <c r="JPF1058" s="989"/>
      <c r="JPG1058" s="989"/>
      <c r="JPH1058" s="989"/>
      <c r="JPI1058" s="989"/>
      <c r="JPJ1058" s="989"/>
      <c r="JPK1058" s="989"/>
      <c r="JPL1058" s="989"/>
      <c r="JPM1058" s="989"/>
      <c r="JPN1058" s="989"/>
      <c r="JPO1058" s="989"/>
      <c r="JPP1058" s="989"/>
      <c r="JPQ1058" s="989"/>
      <c r="JPR1058" s="989"/>
      <c r="JPS1058" s="989"/>
      <c r="JPT1058" s="989"/>
      <c r="JPU1058" s="989"/>
      <c r="JPV1058" s="989"/>
      <c r="JPW1058" s="989"/>
      <c r="JPX1058" s="989"/>
      <c r="JPY1058" s="989"/>
      <c r="JPZ1058" s="989"/>
      <c r="JQA1058" s="989"/>
      <c r="JQB1058" s="989"/>
      <c r="JQC1058" s="989"/>
      <c r="JQD1058" s="989"/>
      <c r="JQE1058" s="989"/>
      <c r="JQF1058" s="989"/>
      <c r="JQG1058" s="989"/>
      <c r="JQH1058" s="989"/>
      <c r="JQI1058" s="989"/>
      <c r="JQJ1058" s="989"/>
      <c r="JQK1058" s="989"/>
      <c r="JQL1058" s="989"/>
      <c r="JQM1058" s="989"/>
      <c r="JQN1058" s="989"/>
      <c r="JQO1058" s="989"/>
      <c r="JQP1058" s="989"/>
      <c r="JQQ1058" s="989"/>
      <c r="JQR1058" s="989"/>
      <c r="JQS1058" s="989"/>
      <c r="JQT1058" s="989"/>
      <c r="JQU1058" s="989"/>
      <c r="JQV1058" s="989"/>
      <c r="JQW1058" s="989"/>
      <c r="JQX1058" s="989"/>
      <c r="JQY1058" s="989"/>
      <c r="JQZ1058" s="989"/>
      <c r="JRA1058" s="989"/>
      <c r="JRB1058" s="989"/>
      <c r="JRC1058" s="989"/>
      <c r="JRD1058" s="989"/>
      <c r="JRE1058" s="989"/>
      <c r="JRF1058" s="989"/>
      <c r="JRG1058" s="989"/>
      <c r="JRH1058" s="989"/>
      <c r="JRI1058" s="989"/>
      <c r="JRJ1058" s="989"/>
      <c r="JRK1058" s="989"/>
      <c r="JRL1058" s="989"/>
      <c r="JRM1058" s="989"/>
      <c r="JRN1058" s="989"/>
      <c r="JRO1058" s="989"/>
      <c r="JRP1058" s="989"/>
      <c r="JRQ1058" s="989"/>
      <c r="JRR1058" s="989"/>
      <c r="JRS1058" s="989"/>
      <c r="JRT1058" s="989"/>
      <c r="JRU1058" s="989"/>
      <c r="JRV1058" s="989"/>
      <c r="JRW1058" s="989"/>
      <c r="JRX1058" s="989"/>
      <c r="JRY1058" s="989"/>
      <c r="JRZ1058" s="989"/>
      <c r="JSA1058" s="989"/>
      <c r="JSB1058" s="989"/>
      <c r="JSC1058" s="989"/>
      <c r="JSD1058" s="989"/>
      <c r="JSE1058" s="989"/>
      <c r="JSF1058" s="989"/>
      <c r="JSG1058" s="989"/>
      <c r="JSH1058" s="989"/>
      <c r="JSI1058" s="989"/>
      <c r="JSJ1058" s="989"/>
      <c r="JSK1058" s="989"/>
      <c r="JSL1058" s="989"/>
      <c r="JSM1058" s="989"/>
      <c r="JSN1058" s="989"/>
      <c r="JSO1058" s="989"/>
      <c r="JSP1058" s="989"/>
      <c r="JSQ1058" s="989"/>
      <c r="JSR1058" s="989"/>
      <c r="JSS1058" s="989"/>
      <c r="JST1058" s="989"/>
      <c r="JSU1058" s="989"/>
      <c r="JSV1058" s="989"/>
      <c r="JSW1058" s="989"/>
      <c r="JSX1058" s="989"/>
      <c r="JSY1058" s="989"/>
      <c r="JSZ1058" s="989"/>
      <c r="JTA1058" s="989"/>
      <c r="JTB1058" s="989"/>
      <c r="JTC1058" s="989"/>
      <c r="JTD1058" s="989"/>
      <c r="JTE1058" s="989"/>
      <c r="JTF1058" s="989"/>
      <c r="JTG1058" s="989"/>
      <c r="JTH1058" s="989"/>
      <c r="JTI1058" s="989"/>
      <c r="JTJ1058" s="989"/>
      <c r="JTK1058" s="989"/>
      <c r="JTL1058" s="989"/>
      <c r="JTM1058" s="989"/>
      <c r="JTN1058" s="989"/>
      <c r="JTO1058" s="989"/>
      <c r="JTP1058" s="989"/>
      <c r="JTQ1058" s="989"/>
      <c r="JTR1058" s="989"/>
      <c r="JTS1058" s="989"/>
      <c r="JTT1058" s="989"/>
      <c r="JTU1058" s="989"/>
      <c r="JTV1058" s="989"/>
      <c r="JTW1058" s="989"/>
      <c r="JTX1058" s="989"/>
      <c r="JTY1058" s="989"/>
      <c r="JTZ1058" s="989"/>
      <c r="JUA1058" s="989"/>
      <c r="JUB1058" s="989"/>
      <c r="JUC1058" s="989"/>
      <c r="JUD1058" s="989"/>
      <c r="JUE1058" s="989"/>
      <c r="JUF1058" s="989"/>
      <c r="JUG1058" s="989"/>
      <c r="JUH1058" s="989"/>
      <c r="JUI1058" s="989"/>
      <c r="JUJ1058" s="989"/>
      <c r="JUK1058" s="989"/>
      <c r="JUL1058" s="989"/>
      <c r="JUM1058" s="989"/>
      <c r="JUN1058" s="989"/>
      <c r="JUO1058" s="989"/>
      <c r="JUP1058" s="989"/>
      <c r="JUQ1058" s="989"/>
      <c r="JUR1058" s="989"/>
      <c r="JUS1058" s="989"/>
      <c r="JUT1058" s="989"/>
      <c r="JUU1058" s="989"/>
      <c r="JUV1058" s="989"/>
      <c r="JUW1058" s="989"/>
      <c r="JUX1058" s="989"/>
      <c r="JUY1058" s="989"/>
      <c r="JUZ1058" s="989"/>
      <c r="JVA1058" s="989"/>
      <c r="JVB1058" s="989"/>
      <c r="JVC1058" s="989"/>
      <c r="JVD1058" s="989"/>
      <c r="JVE1058" s="989"/>
      <c r="JVF1058" s="989"/>
      <c r="JVG1058" s="989"/>
      <c r="JVH1058" s="989"/>
      <c r="JVI1058" s="989"/>
      <c r="JVJ1058" s="989"/>
      <c r="JVK1058" s="989"/>
      <c r="JVL1058" s="989"/>
      <c r="JVM1058" s="989"/>
      <c r="JVN1058" s="989"/>
      <c r="JVO1058" s="989"/>
      <c r="JVP1058" s="989"/>
      <c r="JVQ1058" s="989"/>
      <c r="JVR1058" s="989"/>
      <c r="JVS1058" s="989"/>
      <c r="JVT1058" s="989"/>
      <c r="JVU1058" s="989"/>
      <c r="JVV1058" s="989"/>
      <c r="JVW1058" s="989"/>
      <c r="JVX1058" s="989"/>
      <c r="JVY1058" s="989"/>
      <c r="JVZ1058" s="989"/>
      <c r="JWA1058" s="989"/>
      <c r="JWB1058" s="989"/>
      <c r="JWC1058" s="989"/>
      <c r="JWD1058" s="989"/>
      <c r="JWE1058" s="989"/>
      <c r="JWF1058" s="989"/>
      <c r="JWG1058" s="989"/>
      <c r="JWH1058" s="989"/>
      <c r="JWI1058" s="989"/>
      <c r="JWJ1058" s="989"/>
      <c r="JWK1058" s="989"/>
      <c r="JWL1058" s="989"/>
      <c r="JWM1058" s="989"/>
      <c r="JWN1058" s="989"/>
      <c r="JWO1058" s="989"/>
      <c r="JWP1058" s="989"/>
      <c r="JWQ1058" s="989"/>
      <c r="JWR1058" s="989"/>
      <c r="JWS1058" s="989"/>
      <c r="JWT1058" s="989"/>
      <c r="JWU1058" s="989"/>
      <c r="JWV1058" s="989"/>
      <c r="JWW1058" s="989"/>
      <c r="JWX1058" s="989"/>
      <c r="JWY1058" s="989"/>
      <c r="JWZ1058" s="989"/>
      <c r="JXA1058" s="989"/>
      <c r="JXB1058" s="989"/>
      <c r="JXC1058" s="989"/>
      <c r="JXD1058" s="989"/>
      <c r="JXE1058" s="989"/>
      <c r="JXF1058" s="989"/>
      <c r="JXG1058" s="989"/>
      <c r="JXH1058" s="989"/>
      <c r="JXI1058" s="989"/>
      <c r="JXJ1058" s="989"/>
      <c r="JXK1058" s="989"/>
      <c r="JXL1058" s="989"/>
      <c r="JXM1058" s="989"/>
      <c r="JXN1058" s="989"/>
      <c r="JXO1058" s="989"/>
      <c r="JXP1058" s="989"/>
      <c r="JXQ1058" s="989"/>
      <c r="JXR1058" s="989"/>
      <c r="JXS1058" s="989"/>
      <c r="JXT1058" s="989"/>
      <c r="JXU1058" s="989"/>
      <c r="JXV1058" s="989"/>
      <c r="JXW1058" s="989"/>
      <c r="JXX1058" s="989"/>
      <c r="JXY1058" s="989"/>
      <c r="JXZ1058" s="989"/>
      <c r="JYA1058" s="989"/>
      <c r="JYB1058" s="989"/>
      <c r="JYC1058" s="989"/>
      <c r="JYD1058" s="989"/>
      <c r="JYE1058" s="989"/>
      <c r="JYF1058" s="989"/>
      <c r="JYG1058" s="989"/>
      <c r="JYH1058" s="989"/>
      <c r="JYI1058" s="989"/>
      <c r="JYJ1058" s="989"/>
      <c r="JYK1058" s="989"/>
      <c r="JYL1058" s="989"/>
      <c r="JYM1058" s="989"/>
      <c r="JYN1058" s="989"/>
      <c r="JYO1058" s="989"/>
      <c r="JYP1058" s="989"/>
      <c r="JYQ1058" s="989"/>
      <c r="JYR1058" s="989"/>
      <c r="JYS1058" s="989"/>
      <c r="JYT1058" s="989"/>
      <c r="JYU1058" s="989"/>
      <c r="JYV1058" s="989"/>
      <c r="JYW1058" s="989"/>
      <c r="JYX1058" s="989"/>
      <c r="JYY1058" s="989"/>
      <c r="JYZ1058" s="989"/>
      <c r="JZA1058" s="989"/>
      <c r="JZB1058" s="989"/>
      <c r="JZC1058" s="989"/>
      <c r="JZD1058" s="989"/>
      <c r="JZE1058" s="989"/>
      <c r="JZF1058" s="989"/>
      <c r="JZG1058" s="989"/>
      <c r="JZH1058" s="989"/>
      <c r="JZI1058" s="989"/>
      <c r="JZJ1058" s="989"/>
      <c r="JZK1058" s="989"/>
      <c r="JZL1058" s="989"/>
      <c r="JZM1058" s="989"/>
      <c r="JZN1058" s="989"/>
      <c r="JZO1058" s="989"/>
      <c r="JZP1058" s="989"/>
      <c r="JZQ1058" s="989"/>
      <c r="JZR1058" s="989"/>
      <c r="JZS1058" s="989"/>
      <c r="JZT1058" s="989"/>
      <c r="JZU1058" s="989"/>
      <c r="JZV1058" s="989"/>
      <c r="JZW1058" s="989"/>
      <c r="JZX1058" s="989"/>
      <c r="JZY1058" s="989"/>
      <c r="JZZ1058" s="989"/>
      <c r="KAA1058" s="989"/>
      <c r="KAB1058" s="989"/>
      <c r="KAC1058" s="989"/>
      <c r="KAD1058" s="989"/>
      <c r="KAE1058" s="989"/>
      <c r="KAF1058" s="989"/>
      <c r="KAG1058" s="989"/>
      <c r="KAH1058" s="989"/>
      <c r="KAI1058" s="989"/>
      <c r="KAJ1058" s="989"/>
      <c r="KAK1058" s="989"/>
      <c r="KAL1058" s="989"/>
      <c r="KAM1058" s="989"/>
      <c r="KAN1058" s="989"/>
      <c r="KAO1058" s="989"/>
      <c r="KAP1058" s="989"/>
      <c r="KAQ1058" s="989"/>
      <c r="KAR1058" s="989"/>
      <c r="KAS1058" s="989"/>
      <c r="KAT1058" s="989"/>
      <c r="KAU1058" s="989"/>
      <c r="KAV1058" s="989"/>
      <c r="KAW1058" s="989"/>
      <c r="KAX1058" s="989"/>
      <c r="KAY1058" s="989"/>
      <c r="KAZ1058" s="989"/>
      <c r="KBA1058" s="989"/>
      <c r="KBB1058" s="989"/>
      <c r="KBC1058" s="989"/>
      <c r="KBD1058" s="989"/>
      <c r="KBE1058" s="989"/>
      <c r="KBF1058" s="989"/>
      <c r="KBG1058" s="989"/>
      <c r="KBH1058" s="989"/>
      <c r="KBI1058" s="989"/>
      <c r="KBJ1058" s="989"/>
      <c r="KBK1058" s="989"/>
      <c r="KBL1058" s="989"/>
      <c r="KBM1058" s="989"/>
      <c r="KBN1058" s="989"/>
      <c r="KBO1058" s="989"/>
      <c r="KBP1058" s="989"/>
      <c r="KBQ1058" s="989"/>
      <c r="KBR1058" s="989"/>
      <c r="KBS1058" s="989"/>
      <c r="KBT1058" s="989"/>
      <c r="KBU1058" s="989"/>
      <c r="KBV1058" s="989"/>
      <c r="KBW1058" s="989"/>
      <c r="KBX1058" s="989"/>
      <c r="KBY1058" s="989"/>
      <c r="KBZ1058" s="989"/>
      <c r="KCA1058" s="989"/>
      <c r="KCB1058" s="989"/>
      <c r="KCC1058" s="989"/>
      <c r="KCD1058" s="989"/>
      <c r="KCE1058" s="989"/>
      <c r="KCF1058" s="989"/>
      <c r="KCG1058" s="989"/>
      <c r="KCH1058" s="989"/>
      <c r="KCI1058" s="989"/>
      <c r="KCJ1058" s="989"/>
      <c r="KCK1058" s="989"/>
      <c r="KCL1058" s="989"/>
      <c r="KCM1058" s="989"/>
      <c r="KCN1058" s="989"/>
      <c r="KCO1058" s="989"/>
      <c r="KCP1058" s="989"/>
      <c r="KCQ1058" s="989"/>
      <c r="KCR1058" s="989"/>
      <c r="KCS1058" s="989"/>
      <c r="KCT1058" s="989"/>
      <c r="KCU1058" s="989"/>
      <c r="KCV1058" s="989"/>
      <c r="KCW1058" s="989"/>
      <c r="KCX1058" s="989"/>
      <c r="KCY1058" s="989"/>
      <c r="KCZ1058" s="989"/>
      <c r="KDA1058" s="989"/>
      <c r="KDB1058" s="989"/>
      <c r="KDC1058" s="989"/>
      <c r="KDD1058" s="989"/>
      <c r="KDE1058" s="989"/>
      <c r="KDF1058" s="989"/>
      <c r="KDG1058" s="989"/>
      <c r="KDH1058" s="989"/>
      <c r="KDI1058" s="989"/>
      <c r="KDJ1058" s="989"/>
      <c r="KDK1058" s="989"/>
      <c r="KDL1058" s="989"/>
      <c r="KDM1058" s="989"/>
      <c r="KDN1058" s="989"/>
      <c r="KDO1058" s="989"/>
      <c r="KDP1058" s="989"/>
      <c r="KDQ1058" s="989"/>
      <c r="KDR1058" s="989"/>
      <c r="KDS1058" s="989"/>
      <c r="KDT1058" s="989"/>
      <c r="KDU1058" s="989"/>
      <c r="KDV1058" s="989"/>
      <c r="KDW1058" s="989"/>
      <c r="KDX1058" s="989"/>
      <c r="KDY1058" s="989"/>
      <c r="KDZ1058" s="989"/>
      <c r="KEA1058" s="989"/>
      <c r="KEB1058" s="989"/>
      <c r="KEC1058" s="989"/>
      <c r="KED1058" s="989"/>
      <c r="KEE1058" s="989"/>
      <c r="KEF1058" s="989"/>
      <c r="KEG1058" s="989"/>
      <c r="KEH1058" s="989"/>
      <c r="KEI1058" s="989"/>
      <c r="KEJ1058" s="989"/>
      <c r="KEK1058" s="989"/>
      <c r="KEL1058" s="989"/>
      <c r="KEM1058" s="989"/>
      <c r="KEN1058" s="989"/>
      <c r="KEO1058" s="989"/>
      <c r="KEP1058" s="989"/>
      <c r="KEQ1058" s="989"/>
      <c r="KER1058" s="989"/>
      <c r="KES1058" s="989"/>
      <c r="KET1058" s="989"/>
      <c r="KEU1058" s="989"/>
      <c r="KEV1058" s="989"/>
      <c r="KEW1058" s="989"/>
      <c r="KEX1058" s="989"/>
      <c r="KEY1058" s="989"/>
      <c r="KEZ1058" s="989"/>
      <c r="KFA1058" s="989"/>
      <c r="KFB1058" s="989"/>
      <c r="KFC1058" s="989"/>
      <c r="KFD1058" s="989"/>
      <c r="KFE1058" s="989"/>
      <c r="KFF1058" s="989"/>
      <c r="KFG1058" s="989"/>
      <c r="KFH1058" s="989"/>
      <c r="KFI1058" s="989"/>
      <c r="KFJ1058" s="989"/>
      <c r="KFK1058" s="989"/>
      <c r="KFL1058" s="989"/>
      <c r="KFM1058" s="989"/>
      <c r="KFN1058" s="989"/>
      <c r="KFO1058" s="989"/>
      <c r="KFP1058" s="989"/>
      <c r="KFQ1058" s="989"/>
      <c r="KFR1058" s="989"/>
      <c r="KFS1058" s="989"/>
      <c r="KFT1058" s="989"/>
      <c r="KFU1058" s="989"/>
      <c r="KFV1058" s="989"/>
      <c r="KFW1058" s="989"/>
      <c r="KFX1058" s="989"/>
      <c r="KFY1058" s="989"/>
      <c r="KFZ1058" s="989"/>
      <c r="KGA1058" s="989"/>
      <c r="KGB1058" s="989"/>
      <c r="KGC1058" s="989"/>
      <c r="KGD1058" s="989"/>
      <c r="KGE1058" s="989"/>
      <c r="KGF1058" s="989"/>
      <c r="KGG1058" s="989"/>
      <c r="KGH1058" s="989"/>
      <c r="KGI1058" s="989"/>
      <c r="KGJ1058" s="989"/>
      <c r="KGK1058" s="989"/>
      <c r="KGL1058" s="989"/>
      <c r="KGM1058" s="989"/>
      <c r="KGN1058" s="989"/>
      <c r="KGO1058" s="989"/>
      <c r="KGP1058" s="989"/>
      <c r="KGQ1058" s="989"/>
      <c r="KGR1058" s="989"/>
      <c r="KGS1058" s="989"/>
      <c r="KGT1058" s="989"/>
      <c r="KGU1058" s="989"/>
      <c r="KGV1058" s="989"/>
      <c r="KGW1058" s="989"/>
      <c r="KGX1058" s="989"/>
      <c r="KGY1058" s="989"/>
      <c r="KGZ1058" s="989"/>
      <c r="KHA1058" s="989"/>
      <c r="KHB1058" s="989"/>
      <c r="KHC1058" s="989"/>
      <c r="KHD1058" s="989"/>
      <c r="KHE1058" s="989"/>
      <c r="KHF1058" s="989"/>
      <c r="KHG1058" s="989"/>
      <c r="KHH1058" s="989"/>
      <c r="KHI1058" s="989"/>
      <c r="KHJ1058" s="989"/>
      <c r="KHK1058" s="989"/>
      <c r="KHL1058" s="989"/>
      <c r="KHM1058" s="989"/>
      <c r="KHN1058" s="989"/>
      <c r="KHO1058" s="989"/>
      <c r="KHP1058" s="989"/>
      <c r="KHQ1058" s="989"/>
      <c r="KHR1058" s="989"/>
      <c r="KHS1058" s="989"/>
      <c r="KHT1058" s="989"/>
      <c r="KHU1058" s="989"/>
      <c r="KHV1058" s="989"/>
      <c r="KHW1058" s="989"/>
      <c r="KHX1058" s="989"/>
      <c r="KHY1058" s="989"/>
      <c r="KHZ1058" s="989"/>
      <c r="KIA1058" s="989"/>
      <c r="KIB1058" s="989"/>
      <c r="KIC1058" s="989"/>
      <c r="KID1058" s="989"/>
      <c r="KIE1058" s="989"/>
      <c r="KIF1058" s="989"/>
      <c r="KIG1058" s="989"/>
      <c r="KIH1058" s="989"/>
      <c r="KII1058" s="989"/>
      <c r="KIJ1058" s="989"/>
      <c r="KIK1058" s="989"/>
      <c r="KIL1058" s="989"/>
      <c r="KIM1058" s="989"/>
      <c r="KIN1058" s="989"/>
      <c r="KIO1058" s="989"/>
      <c r="KIP1058" s="989"/>
      <c r="KIQ1058" s="989"/>
      <c r="KIR1058" s="989"/>
      <c r="KIS1058" s="989"/>
      <c r="KIT1058" s="989"/>
      <c r="KIU1058" s="989"/>
      <c r="KIV1058" s="989"/>
      <c r="KIW1058" s="989"/>
      <c r="KIX1058" s="989"/>
      <c r="KIY1058" s="989"/>
      <c r="KIZ1058" s="989"/>
      <c r="KJA1058" s="989"/>
      <c r="KJB1058" s="989"/>
      <c r="KJC1058" s="989"/>
      <c r="KJD1058" s="989"/>
      <c r="KJE1058" s="989"/>
      <c r="KJF1058" s="989"/>
      <c r="KJG1058" s="989"/>
      <c r="KJH1058" s="989"/>
      <c r="KJI1058" s="989"/>
      <c r="KJJ1058" s="989"/>
      <c r="KJK1058" s="989"/>
      <c r="KJL1058" s="989"/>
      <c r="KJM1058" s="989"/>
      <c r="KJN1058" s="989"/>
      <c r="KJO1058" s="989"/>
      <c r="KJP1058" s="989"/>
      <c r="KJQ1058" s="989"/>
      <c r="KJR1058" s="989"/>
      <c r="KJS1058" s="989"/>
      <c r="KJT1058" s="989"/>
      <c r="KJU1058" s="989"/>
      <c r="KJV1058" s="989"/>
      <c r="KJW1058" s="989"/>
      <c r="KJX1058" s="989"/>
      <c r="KJY1058" s="989"/>
      <c r="KJZ1058" s="989"/>
      <c r="KKA1058" s="989"/>
      <c r="KKB1058" s="989"/>
      <c r="KKC1058" s="989"/>
      <c r="KKD1058" s="989"/>
      <c r="KKE1058" s="989"/>
      <c r="KKF1058" s="989"/>
      <c r="KKG1058" s="989"/>
      <c r="KKH1058" s="989"/>
      <c r="KKI1058" s="989"/>
      <c r="KKJ1058" s="989"/>
      <c r="KKK1058" s="989"/>
      <c r="KKL1058" s="989"/>
      <c r="KKM1058" s="989"/>
      <c r="KKN1058" s="989"/>
      <c r="KKO1058" s="989"/>
      <c r="KKP1058" s="989"/>
      <c r="KKQ1058" s="989"/>
      <c r="KKR1058" s="989"/>
      <c r="KKS1058" s="989"/>
      <c r="KKT1058" s="989"/>
      <c r="KKU1058" s="989"/>
      <c r="KKV1058" s="989"/>
      <c r="KKW1058" s="989"/>
      <c r="KKX1058" s="989"/>
      <c r="KKY1058" s="989"/>
      <c r="KKZ1058" s="989"/>
      <c r="KLA1058" s="989"/>
      <c r="KLB1058" s="989"/>
      <c r="KLC1058" s="989"/>
      <c r="KLD1058" s="989"/>
      <c r="KLE1058" s="989"/>
      <c r="KLF1058" s="989"/>
      <c r="KLG1058" s="989"/>
      <c r="KLH1058" s="989"/>
      <c r="KLI1058" s="989"/>
      <c r="KLJ1058" s="989"/>
      <c r="KLK1058" s="989"/>
      <c r="KLL1058" s="989"/>
      <c r="KLM1058" s="989"/>
      <c r="KLN1058" s="989"/>
      <c r="KLO1058" s="989"/>
      <c r="KLP1058" s="989"/>
      <c r="KLQ1058" s="989"/>
      <c r="KLR1058" s="989"/>
      <c r="KLS1058" s="989"/>
      <c r="KLT1058" s="989"/>
      <c r="KLU1058" s="989"/>
      <c r="KLV1058" s="989"/>
      <c r="KLW1058" s="989"/>
      <c r="KLX1058" s="989"/>
      <c r="KLY1058" s="989"/>
      <c r="KLZ1058" s="989"/>
      <c r="KMA1058" s="989"/>
      <c r="KMB1058" s="989"/>
      <c r="KMC1058" s="989"/>
      <c r="KMD1058" s="989"/>
      <c r="KME1058" s="989"/>
      <c r="KMF1058" s="989"/>
      <c r="KMG1058" s="989"/>
      <c r="KMH1058" s="989"/>
      <c r="KMI1058" s="989"/>
      <c r="KMJ1058" s="989"/>
      <c r="KMK1058" s="989"/>
      <c r="KML1058" s="989"/>
      <c r="KMM1058" s="989"/>
      <c r="KMN1058" s="989"/>
      <c r="KMO1058" s="989"/>
      <c r="KMP1058" s="989"/>
      <c r="KMQ1058" s="989"/>
      <c r="KMR1058" s="989"/>
      <c r="KMS1058" s="989"/>
      <c r="KMT1058" s="989"/>
      <c r="KMU1058" s="989"/>
      <c r="KMV1058" s="989"/>
      <c r="KMW1058" s="989"/>
      <c r="KMX1058" s="989"/>
      <c r="KMY1058" s="989"/>
      <c r="KMZ1058" s="989"/>
      <c r="KNA1058" s="989"/>
      <c r="KNB1058" s="989"/>
      <c r="KNC1058" s="989"/>
      <c r="KND1058" s="989"/>
      <c r="KNE1058" s="989"/>
      <c r="KNF1058" s="989"/>
      <c r="KNG1058" s="989"/>
      <c r="KNH1058" s="989"/>
      <c r="KNI1058" s="989"/>
      <c r="KNJ1058" s="989"/>
      <c r="KNK1058" s="989"/>
      <c r="KNL1058" s="989"/>
      <c r="KNM1058" s="989"/>
      <c r="KNN1058" s="989"/>
      <c r="KNO1058" s="989"/>
      <c r="KNP1058" s="989"/>
      <c r="KNQ1058" s="989"/>
      <c r="KNR1058" s="989"/>
      <c r="KNS1058" s="989"/>
      <c r="KNT1058" s="989"/>
      <c r="KNU1058" s="989"/>
      <c r="KNV1058" s="989"/>
      <c r="KNW1058" s="989"/>
      <c r="KNX1058" s="989"/>
      <c r="KNY1058" s="989"/>
      <c r="KNZ1058" s="989"/>
      <c r="KOA1058" s="989"/>
      <c r="KOB1058" s="989"/>
      <c r="KOC1058" s="989"/>
      <c r="KOD1058" s="989"/>
      <c r="KOE1058" s="989"/>
      <c r="KOF1058" s="989"/>
      <c r="KOG1058" s="989"/>
      <c r="KOH1058" s="989"/>
      <c r="KOI1058" s="989"/>
      <c r="KOJ1058" s="989"/>
      <c r="KOK1058" s="989"/>
      <c r="KOL1058" s="989"/>
      <c r="KOM1058" s="989"/>
      <c r="KON1058" s="989"/>
      <c r="KOO1058" s="989"/>
      <c r="KOP1058" s="989"/>
      <c r="KOQ1058" s="989"/>
      <c r="KOR1058" s="989"/>
      <c r="KOS1058" s="989"/>
      <c r="KOT1058" s="989"/>
      <c r="KOU1058" s="989"/>
      <c r="KOV1058" s="989"/>
      <c r="KOW1058" s="989"/>
      <c r="KOX1058" s="989"/>
      <c r="KOY1058" s="989"/>
      <c r="KOZ1058" s="989"/>
      <c r="KPA1058" s="989"/>
      <c r="KPB1058" s="989"/>
      <c r="KPC1058" s="989"/>
      <c r="KPD1058" s="989"/>
      <c r="KPE1058" s="989"/>
      <c r="KPF1058" s="989"/>
      <c r="KPG1058" s="989"/>
      <c r="KPH1058" s="989"/>
      <c r="KPI1058" s="989"/>
      <c r="KPJ1058" s="989"/>
      <c r="KPK1058" s="989"/>
      <c r="KPL1058" s="989"/>
      <c r="KPM1058" s="989"/>
      <c r="KPN1058" s="989"/>
      <c r="KPO1058" s="989"/>
      <c r="KPP1058" s="989"/>
      <c r="KPQ1058" s="989"/>
      <c r="KPR1058" s="989"/>
      <c r="KPS1058" s="989"/>
      <c r="KPT1058" s="989"/>
      <c r="KPU1058" s="989"/>
      <c r="KPV1058" s="989"/>
      <c r="KPW1058" s="989"/>
      <c r="KPX1058" s="989"/>
      <c r="KPY1058" s="989"/>
      <c r="KPZ1058" s="989"/>
      <c r="KQA1058" s="989"/>
      <c r="KQB1058" s="989"/>
      <c r="KQC1058" s="989"/>
      <c r="KQD1058" s="989"/>
      <c r="KQE1058" s="989"/>
      <c r="KQF1058" s="989"/>
      <c r="KQG1058" s="989"/>
      <c r="KQH1058" s="989"/>
      <c r="KQI1058" s="989"/>
      <c r="KQJ1058" s="989"/>
      <c r="KQK1058" s="989"/>
      <c r="KQL1058" s="989"/>
      <c r="KQM1058" s="989"/>
      <c r="KQN1058" s="989"/>
      <c r="KQO1058" s="989"/>
      <c r="KQP1058" s="989"/>
      <c r="KQQ1058" s="989"/>
      <c r="KQR1058" s="989"/>
      <c r="KQS1058" s="989"/>
      <c r="KQT1058" s="989"/>
      <c r="KQU1058" s="989"/>
      <c r="KQV1058" s="989"/>
      <c r="KQW1058" s="989"/>
      <c r="KQX1058" s="989"/>
      <c r="KQY1058" s="989"/>
      <c r="KQZ1058" s="989"/>
      <c r="KRA1058" s="989"/>
      <c r="KRB1058" s="989"/>
      <c r="KRC1058" s="989"/>
      <c r="KRD1058" s="989"/>
      <c r="KRE1058" s="989"/>
      <c r="KRF1058" s="989"/>
      <c r="KRG1058" s="989"/>
      <c r="KRH1058" s="989"/>
      <c r="KRI1058" s="989"/>
      <c r="KRJ1058" s="989"/>
      <c r="KRK1058" s="989"/>
      <c r="KRL1058" s="989"/>
      <c r="KRM1058" s="989"/>
      <c r="KRN1058" s="989"/>
      <c r="KRO1058" s="989"/>
      <c r="KRP1058" s="989"/>
      <c r="KRQ1058" s="989"/>
      <c r="KRR1058" s="989"/>
      <c r="KRS1058" s="989"/>
      <c r="KRT1058" s="989"/>
      <c r="KRU1058" s="989"/>
      <c r="KRV1058" s="989"/>
      <c r="KRW1058" s="989"/>
      <c r="KRX1058" s="989"/>
      <c r="KRY1058" s="989"/>
      <c r="KRZ1058" s="989"/>
      <c r="KSA1058" s="989"/>
      <c r="KSB1058" s="989"/>
      <c r="KSC1058" s="989"/>
      <c r="KSD1058" s="989"/>
      <c r="KSE1058" s="989"/>
      <c r="KSF1058" s="989"/>
      <c r="KSG1058" s="989"/>
      <c r="KSH1058" s="989"/>
      <c r="KSI1058" s="989"/>
      <c r="KSJ1058" s="989"/>
      <c r="KSK1058" s="989"/>
      <c r="KSL1058" s="989"/>
      <c r="KSM1058" s="989"/>
      <c r="KSN1058" s="989"/>
      <c r="KSO1058" s="989"/>
      <c r="KSP1058" s="989"/>
      <c r="KSQ1058" s="989"/>
      <c r="KSR1058" s="989"/>
      <c r="KSS1058" s="989"/>
      <c r="KST1058" s="989"/>
      <c r="KSU1058" s="989"/>
      <c r="KSV1058" s="989"/>
      <c r="KSW1058" s="989"/>
      <c r="KSX1058" s="989"/>
      <c r="KSY1058" s="989"/>
      <c r="KSZ1058" s="989"/>
      <c r="KTA1058" s="989"/>
      <c r="KTB1058" s="989"/>
      <c r="KTC1058" s="989"/>
      <c r="KTD1058" s="989"/>
      <c r="KTE1058" s="989"/>
      <c r="KTF1058" s="989"/>
      <c r="KTG1058" s="989"/>
      <c r="KTH1058" s="989"/>
      <c r="KTI1058" s="989"/>
      <c r="KTJ1058" s="989"/>
      <c r="KTK1058" s="989"/>
      <c r="KTL1058" s="989"/>
      <c r="KTM1058" s="989"/>
      <c r="KTN1058" s="989"/>
      <c r="KTO1058" s="989"/>
      <c r="KTP1058" s="989"/>
      <c r="KTQ1058" s="989"/>
      <c r="KTR1058" s="989"/>
      <c r="KTS1058" s="989"/>
      <c r="KTT1058" s="989"/>
      <c r="KTU1058" s="989"/>
      <c r="KTV1058" s="989"/>
      <c r="KTW1058" s="989"/>
      <c r="KTX1058" s="989"/>
      <c r="KTY1058" s="989"/>
      <c r="KTZ1058" s="989"/>
      <c r="KUA1058" s="989"/>
      <c r="KUB1058" s="989"/>
      <c r="KUC1058" s="989"/>
      <c r="KUD1058" s="989"/>
      <c r="KUE1058" s="989"/>
      <c r="KUF1058" s="989"/>
      <c r="KUG1058" s="989"/>
      <c r="KUH1058" s="989"/>
      <c r="KUI1058" s="989"/>
      <c r="KUJ1058" s="989"/>
      <c r="KUK1058" s="989"/>
      <c r="KUL1058" s="989"/>
      <c r="KUM1058" s="989"/>
      <c r="KUN1058" s="989"/>
      <c r="KUO1058" s="989"/>
      <c r="KUP1058" s="989"/>
      <c r="KUQ1058" s="989"/>
      <c r="KUR1058" s="989"/>
      <c r="KUS1058" s="989"/>
      <c r="KUT1058" s="989"/>
      <c r="KUU1058" s="989"/>
      <c r="KUV1058" s="989"/>
      <c r="KUW1058" s="989"/>
      <c r="KUX1058" s="989"/>
      <c r="KUY1058" s="989"/>
      <c r="KUZ1058" s="989"/>
      <c r="KVA1058" s="989"/>
      <c r="KVB1058" s="989"/>
      <c r="KVC1058" s="989"/>
      <c r="KVD1058" s="989"/>
      <c r="KVE1058" s="989"/>
      <c r="KVF1058" s="989"/>
      <c r="KVG1058" s="989"/>
      <c r="KVH1058" s="989"/>
      <c r="KVI1058" s="989"/>
      <c r="KVJ1058" s="989"/>
      <c r="KVK1058" s="989"/>
      <c r="KVL1058" s="989"/>
      <c r="KVM1058" s="989"/>
      <c r="KVN1058" s="989"/>
      <c r="KVO1058" s="989"/>
      <c r="KVP1058" s="989"/>
      <c r="KVQ1058" s="989"/>
      <c r="KVR1058" s="989"/>
      <c r="KVS1058" s="989"/>
      <c r="KVT1058" s="989"/>
      <c r="KVU1058" s="989"/>
      <c r="KVV1058" s="989"/>
      <c r="KVW1058" s="989"/>
      <c r="KVX1058" s="989"/>
      <c r="KVY1058" s="989"/>
      <c r="KVZ1058" s="989"/>
      <c r="KWA1058" s="989"/>
      <c r="KWB1058" s="989"/>
      <c r="KWC1058" s="989"/>
      <c r="KWD1058" s="989"/>
      <c r="KWE1058" s="989"/>
      <c r="KWF1058" s="989"/>
      <c r="KWG1058" s="989"/>
      <c r="KWH1058" s="989"/>
      <c r="KWI1058" s="989"/>
      <c r="KWJ1058" s="989"/>
      <c r="KWK1058" s="989"/>
      <c r="KWL1058" s="989"/>
      <c r="KWM1058" s="989"/>
      <c r="KWN1058" s="989"/>
      <c r="KWO1058" s="989"/>
      <c r="KWP1058" s="989"/>
      <c r="KWQ1058" s="989"/>
      <c r="KWR1058" s="989"/>
      <c r="KWS1058" s="989"/>
      <c r="KWT1058" s="989"/>
      <c r="KWU1058" s="989"/>
      <c r="KWV1058" s="989"/>
      <c r="KWW1058" s="989"/>
      <c r="KWX1058" s="989"/>
      <c r="KWY1058" s="989"/>
      <c r="KWZ1058" s="989"/>
      <c r="KXA1058" s="989"/>
      <c r="KXB1058" s="989"/>
      <c r="KXC1058" s="989"/>
      <c r="KXD1058" s="989"/>
      <c r="KXE1058" s="989"/>
      <c r="KXF1058" s="989"/>
      <c r="KXG1058" s="989"/>
      <c r="KXH1058" s="989"/>
      <c r="KXI1058" s="989"/>
      <c r="KXJ1058" s="989"/>
      <c r="KXK1058" s="989"/>
      <c r="KXL1058" s="989"/>
      <c r="KXM1058" s="989"/>
      <c r="KXN1058" s="989"/>
      <c r="KXO1058" s="989"/>
      <c r="KXP1058" s="989"/>
      <c r="KXQ1058" s="989"/>
      <c r="KXR1058" s="989"/>
      <c r="KXS1058" s="989"/>
      <c r="KXT1058" s="989"/>
      <c r="KXU1058" s="989"/>
      <c r="KXV1058" s="989"/>
      <c r="KXW1058" s="989"/>
      <c r="KXX1058" s="989"/>
      <c r="KXY1058" s="989"/>
      <c r="KXZ1058" s="989"/>
      <c r="KYA1058" s="989"/>
      <c r="KYB1058" s="989"/>
      <c r="KYC1058" s="989"/>
      <c r="KYD1058" s="989"/>
      <c r="KYE1058" s="989"/>
      <c r="KYF1058" s="989"/>
      <c r="KYG1058" s="989"/>
      <c r="KYH1058" s="989"/>
      <c r="KYI1058" s="989"/>
      <c r="KYJ1058" s="989"/>
      <c r="KYK1058" s="989"/>
      <c r="KYL1058" s="989"/>
      <c r="KYM1058" s="989"/>
      <c r="KYN1058" s="989"/>
      <c r="KYO1058" s="989"/>
      <c r="KYP1058" s="989"/>
      <c r="KYQ1058" s="989"/>
      <c r="KYR1058" s="989"/>
      <c r="KYS1058" s="989"/>
      <c r="KYT1058" s="989"/>
      <c r="KYU1058" s="989"/>
      <c r="KYV1058" s="989"/>
      <c r="KYW1058" s="989"/>
      <c r="KYX1058" s="989"/>
      <c r="KYY1058" s="989"/>
      <c r="KYZ1058" s="989"/>
      <c r="KZA1058" s="989"/>
      <c r="KZB1058" s="989"/>
      <c r="KZC1058" s="989"/>
      <c r="KZD1058" s="989"/>
      <c r="KZE1058" s="989"/>
      <c r="KZF1058" s="989"/>
      <c r="KZG1058" s="989"/>
      <c r="KZH1058" s="989"/>
      <c r="KZI1058" s="989"/>
      <c r="KZJ1058" s="989"/>
      <c r="KZK1058" s="989"/>
      <c r="KZL1058" s="989"/>
      <c r="KZM1058" s="989"/>
      <c r="KZN1058" s="989"/>
      <c r="KZO1058" s="989"/>
      <c r="KZP1058" s="989"/>
      <c r="KZQ1058" s="989"/>
      <c r="KZR1058" s="989"/>
      <c r="KZS1058" s="989"/>
      <c r="KZT1058" s="989"/>
      <c r="KZU1058" s="989"/>
      <c r="KZV1058" s="989"/>
      <c r="KZW1058" s="989"/>
      <c r="KZX1058" s="989"/>
      <c r="KZY1058" s="989"/>
      <c r="KZZ1058" s="989"/>
      <c r="LAA1058" s="989"/>
      <c r="LAB1058" s="989"/>
      <c r="LAC1058" s="989"/>
      <c r="LAD1058" s="989"/>
      <c r="LAE1058" s="989"/>
      <c r="LAF1058" s="989"/>
      <c r="LAG1058" s="989"/>
      <c r="LAH1058" s="989"/>
      <c r="LAI1058" s="989"/>
      <c r="LAJ1058" s="989"/>
      <c r="LAK1058" s="989"/>
      <c r="LAL1058" s="989"/>
      <c r="LAM1058" s="989"/>
      <c r="LAN1058" s="989"/>
      <c r="LAO1058" s="989"/>
      <c r="LAP1058" s="989"/>
      <c r="LAQ1058" s="989"/>
      <c r="LAR1058" s="989"/>
      <c r="LAS1058" s="989"/>
      <c r="LAT1058" s="989"/>
      <c r="LAU1058" s="989"/>
      <c r="LAV1058" s="989"/>
      <c r="LAW1058" s="989"/>
      <c r="LAX1058" s="989"/>
      <c r="LAY1058" s="989"/>
      <c r="LAZ1058" s="989"/>
      <c r="LBA1058" s="989"/>
      <c r="LBB1058" s="989"/>
      <c r="LBC1058" s="989"/>
      <c r="LBD1058" s="989"/>
      <c r="LBE1058" s="989"/>
      <c r="LBF1058" s="989"/>
      <c r="LBG1058" s="989"/>
      <c r="LBH1058" s="989"/>
      <c r="LBI1058" s="989"/>
      <c r="LBJ1058" s="989"/>
      <c r="LBK1058" s="989"/>
      <c r="LBL1058" s="989"/>
      <c r="LBM1058" s="989"/>
      <c r="LBN1058" s="989"/>
      <c r="LBO1058" s="989"/>
      <c r="LBP1058" s="989"/>
      <c r="LBQ1058" s="989"/>
      <c r="LBR1058" s="989"/>
      <c r="LBS1058" s="989"/>
      <c r="LBT1058" s="989"/>
      <c r="LBU1058" s="989"/>
      <c r="LBV1058" s="989"/>
      <c r="LBW1058" s="989"/>
      <c r="LBX1058" s="989"/>
      <c r="LBY1058" s="989"/>
      <c r="LBZ1058" s="989"/>
      <c r="LCA1058" s="989"/>
      <c r="LCB1058" s="989"/>
      <c r="LCC1058" s="989"/>
      <c r="LCD1058" s="989"/>
      <c r="LCE1058" s="989"/>
      <c r="LCF1058" s="989"/>
      <c r="LCG1058" s="989"/>
      <c r="LCH1058" s="989"/>
      <c r="LCI1058" s="989"/>
      <c r="LCJ1058" s="989"/>
      <c r="LCK1058" s="989"/>
      <c r="LCL1058" s="989"/>
      <c r="LCM1058" s="989"/>
      <c r="LCN1058" s="989"/>
      <c r="LCO1058" s="989"/>
      <c r="LCP1058" s="989"/>
      <c r="LCQ1058" s="989"/>
      <c r="LCR1058" s="989"/>
      <c r="LCS1058" s="989"/>
      <c r="LCT1058" s="989"/>
      <c r="LCU1058" s="989"/>
      <c r="LCV1058" s="989"/>
      <c r="LCW1058" s="989"/>
      <c r="LCX1058" s="989"/>
      <c r="LCY1058" s="989"/>
      <c r="LCZ1058" s="989"/>
      <c r="LDA1058" s="989"/>
      <c r="LDB1058" s="989"/>
      <c r="LDC1058" s="989"/>
      <c r="LDD1058" s="989"/>
      <c r="LDE1058" s="989"/>
      <c r="LDF1058" s="989"/>
      <c r="LDG1058" s="989"/>
      <c r="LDH1058" s="989"/>
      <c r="LDI1058" s="989"/>
      <c r="LDJ1058" s="989"/>
      <c r="LDK1058" s="989"/>
      <c r="LDL1058" s="989"/>
      <c r="LDM1058" s="989"/>
      <c r="LDN1058" s="989"/>
      <c r="LDO1058" s="989"/>
      <c r="LDP1058" s="989"/>
      <c r="LDQ1058" s="989"/>
      <c r="LDR1058" s="989"/>
      <c r="LDS1058" s="989"/>
      <c r="LDT1058" s="989"/>
      <c r="LDU1058" s="989"/>
      <c r="LDV1058" s="989"/>
      <c r="LDW1058" s="989"/>
      <c r="LDX1058" s="989"/>
      <c r="LDY1058" s="989"/>
      <c r="LDZ1058" s="989"/>
      <c r="LEA1058" s="989"/>
      <c r="LEB1058" s="989"/>
      <c r="LEC1058" s="989"/>
      <c r="LED1058" s="989"/>
      <c r="LEE1058" s="989"/>
      <c r="LEF1058" s="989"/>
      <c r="LEG1058" s="989"/>
      <c r="LEH1058" s="989"/>
      <c r="LEI1058" s="989"/>
      <c r="LEJ1058" s="989"/>
      <c r="LEK1058" s="989"/>
      <c r="LEL1058" s="989"/>
      <c r="LEM1058" s="989"/>
      <c r="LEN1058" s="989"/>
      <c r="LEO1058" s="989"/>
      <c r="LEP1058" s="989"/>
      <c r="LEQ1058" s="989"/>
      <c r="LER1058" s="989"/>
      <c r="LES1058" s="989"/>
      <c r="LET1058" s="989"/>
      <c r="LEU1058" s="989"/>
      <c r="LEV1058" s="989"/>
      <c r="LEW1058" s="989"/>
      <c r="LEX1058" s="989"/>
      <c r="LEY1058" s="989"/>
      <c r="LEZ1058" s="989"/>
      <c r="LFA1058" s="989"/>
      <c r="LFB1058" s="989"/>
      <c r="LFC1058" s="989"/>
      <c r="LFD1058" s="989"/>
      <c r="LFE1058" s="989"/>
      <c r="LFF1058" s="989"/>
      <c r="LFG1058" s="989"/>
      <c r="LFH1058" s="989"/>
      <c r="LFI1058" s="989"/>
      <c r="LFJ1058" s="989"/>
      <c r="LFK1058" s="989"/>
      <c r="LFL1058" s="989"/>
      <c r="LFM1058" s="989"/>
      <c r="LFN1058" s="989"/>
      <c r="LFO1058" s="989"/>
      <c r="LFP1058" s="989"/>
      <c r="LFQ1058" s="989"/>
      <c r="LFR1058" s="989"/>
      <c r="LFS1058" s="989"/>
      <c r="LFT1058" s="989"/>
      <c r="LFU1058" s="989"/>
      <c r="LFV1058" s="989"/>
      <c r="LFW1058" s="989"/>
      <c r="LFX1058" s="989"/>
      <c r="LFY1058" s="989"/>
      <c r="LFZ1058" s="989"/>
      <c r="LGA1058" s="989"/>
      <c r="LGB1058" s="989"/>
      <c r="LGC1058" s="989"/>
      <c r="LGD1058" s="989"/>
      <c r="LGE1058" s="989"/>
      <c r="LGF1058" s="989"/>
      <c r="LGG1058" s="989"/>
      <c r="LGH1058" s="989"/>
      <c r="LGI1058" s="989"/>
      <c r="LGJ1058" s="989"/>
      <c r="LGK1058" s="989"/>
      <c r="LGL1058" s="989"/>
      <c r="LGM1058" s="989"/>
      <c r="LGN1058" s="989"/>
      <c r="LGO1058" s="989"/>
      <c r="LGP1058" s="989"/>
      <c r="LGQ1058" s="989"/>
      <c r="LGR1058" s="989"/>
      <c r="LGS1058" s="989"/>
      <c r="LGT1058" s="989"/>
      <c r="LGU1058" s="989"/>
      <c r="LGV1058" s="989"/>
      <c r="LGW1058" s="989"/>
      <c r="LGX1058" s="989"/>
      <c r="LGY1058" s="989"/>
      <c r="LGZ1058" s="989"/>
      <c r="LHA1058" s="989"/>
      <c r="LHB1058" s="989"/>
      <c r="LHC1058" s="989"/>
      <c r="LHD1058" s="989"/>
      <c r="LHE1058" s="989"/>
      <c r="LHF1058" s="989"/>
      <c r="LHG1058" s="989"/>
      <c r="LHH1058" s="989"/>
      <c r="LHI1058" s="989"/>
      <c r="LHJ1058" s="989"/>
      <c r="LHK1058" s="989"/>
      <c r="LHL1058" s="989"/>
      <c r="LHM1058" s="989"/>
      <c r="LHN1058" s="989"/>
      <c r="LHO1058" s="989"/>
      <c r="LHP1058" s="989"/>
      <c r="LHQ1058" s="989"/>
      <c r="LHR1058" s="989"/>
      <c r="LHS1058" s="989"/>
      <c r="LHT1058" s="989"/>
      <c r="LHU1058" s="989"/>
      <c r="LHV1058" s="989"/>
      <c r="LHW1058" s="989"/>
      <c r="LHX1058" s="989"/>
      <c r="LHY1058" s="989"/>
      <c r="LHZ1058" s="989"/>
      <c r="LIA1058" s="989"/>
      <c r="LIB1058" s="989"/>
      <c r="LIC1058" s="989"/>
      <c r="LID1058" s="989"/>
      <c r="LIE1058" s="989"/>
      <c r="LIF1058" s="989"/>
      <c r="LIG1058" s="989"/>
      <c r="LIH1058" s="989"/>
      <c r="LII1058" s="989"/>
      <c r="LIJ1058" s="989"/>
      <c r="LIK1058" s="989"/>
      <c r="LIL1058" s="989"/>
      <c r="LIM1058" s="989"/>
      <c r="LIN1058" s="989"/>
      <c r="LIO1058" s="989"/>
      <c r="LIP1058" s="989"/>
      <c r="LIQ1058" s="989"/>
      <c r="LIR1058" s="989"/>
      <c r="LIS1058" s="989"/>
      <c r="LIT1058" s="989"/>
      <c r="LIU1058" s="989"/>
      <c r="LIV1058" s="989"/>
      <c r="LIW1058" s="989"/>
      <c r="LIX1058" s="989"/>
      <c r="LIY1058" s="989"/>
      <c r="LIZ1058" s="989"/>
      <c r="LJA1058" s="989"/>
      <c r="LJB1058" s="989"/>
      <c r="LJC1058" s="989"/>
      <c r="LJD1058" s="989"/>
      <c r="LJE1058" s="989"/>
      <c r="LJF1058" s="989"/>
      <c r="LJG1058" s="989"/>
      <c r="LJH1058" s="989"/>
      <c r="LJI1058" s="989"/>
      <c r="LJJ1058" s="989"/>
      <c r="LJK1058" s="989"/>
      <c r="LJL1058" s="989"/>
      <c r="LJM1058" s="989"/>
      <c r="LJN1058" s="989"/>
      <c r="LJO1058" s="989"/>
      <c r="LJP1058" s="989"/>
      <c r="LJQ1058" s="989"/>
      <c r="LJR1058" s="989"/>
      <c r="LJS1058" s="989"/>
      <c r="LJT1058" s="989"/>
      <c r="LJU1058" s="989"/>
      <c r="LJV1058" s="989"/>
      <c r="LJW1058" s="989"/>
      <c r="LJX1058" s="989"/>
      <c r="LJY1058" s="989"/>
      <c r="LJZ1058" s="989"/>
      <c r="LKA1058" s="989"/>
      <c r="LKB1058" s="989"/>
      <c r="LKC1058" s="989"/>
      <c r="LKD1058" s="989"/>
      <c r="LKE1058" s="989"/>
      <c r="LKF1058" s="989"/>
      <c r="LKG1058" s="989"/>
      <c r="LKH1058" s="989"/>
      <c r="LKI1058" s="989"/>
      <c r="LKJ1058" s="989"/>
      <c r="LKK1058" s="989"/>
      <c r="LKL1058" s="989"/>
      <c r="LKM1058" s="989"/>
      <c r="LKN1058" s="989"/>
      <c r="LKO1058" s="989"/>
      <c r="LKP1058" s="989"/>
      <c r="LKQ1058" s="989"/>
      <c r="LKR1058" s="989"/>
      <c r="LKS1058" s="989"/>
      <c r="LKT1058" s="989"/>
      <c r="LKU1058" s="989"/>
      <c r="LKV1058" s="989"/>
      <c r="LKW1058" s="989"/>
      <c r="LKX1058" s="989"/>
      <c r="LKY1058" s="989"/>
      <c r="LKZ1058" s="989"/>
      <c r="LLA1058" s="989"/>
      <c r="LLB1058" s="989"/>
      <c r="LLC1058" s="989"/>
      <c r="LLD1058" s="989"/>
      <c r="LLE1058" s="989"/>
      <c r="LLF1058" s="989"/>
      <c r="LLG1058" s="989"/>
      <c r="LLH1058" s="989"/>
      <c r="LLI1058" s="989"/>
      <c r="LLJ1058" s="989"/>
      <c r="LLK1058" s="989"/>
      <c r="LLL1058" s="989"/>
      <c r="LLM1058" s="989"/>
      <c r="LLN1058" s="989"/>
      <c r="LLO1058" s="989"/>
      <c r="LLP1058" s="989"/>
      <c r="LLQ1058" s="989"/>
      <c r="LLR1058" s="989"/>
      <c r="LLS1058" s="989"/>
      <c r="LLT1058" s="989"/>
      <c r="LLU1058" s="989"/>
      <c r="LLV1058" s="989"/>
      <c r="LLW1058" s="989"/>
      <c r="LLX1058" s="989"/>
      <c r="LLY1058" s="989"/>
      <c r="LLZ1058" s="989"/>
      <c r="LMA1058" s="989"/>
      <c r="LMB1058" s="989"/>
      <c r="LMC1058" s="989"/>
      <c r="LMD1058" s="989"/>
      <c r="LME1058" s="989"/>
      <c r="LMF1058" s="989"/>
      <c r="LMG1058" s="989"/>
      <c r="LMH1058" s="989"/>
      <c r="LMI1058" s="989"/>
      <c r="LMJ1058" s="989"/>
      <c r="LMK1058" s="989"/>
      <c r="LML1058" s="989"/>
      <c r="LMM1058" s="989"/>
      <c r="LMN1058" s="989"/>
      <c r="LMO1058" s="989"/>
      <c r="LMP1058" s="989"/>
      <c r="LMQ1058" s="989"/>
      <c r="LMR1058" s="989"/>
      <c r="LMS1058" s="989"/>
      <c r="LMT1058" s="989"/>
      <c r="LMU1058" s="989"/>
      <c r="LMV1058" s="989"/>
      <c r="LMW1058" s="989"/>
      <c r="LMX1058" s="989"/>
      <c r="LMY1058" s="989"/>
      <c r="LMZ1058" s="989"/>
      <c r="LNA1058" s="989"/>
      <c r="LNB1058" s="989"/>
      <c r="LNC1058" s="989"/>
      <c r="LND1058" s="989"/>
      <c r="LNE1058" s="989"/>
      <c r="LNF1058" s="989"/>
      <c r="LNG1058" s="989"/>
      <c r="LNH1058" s="989"/>
      <c r="LNI1058" s="989"/>
      <c r="LNJ1058" s="989"/>
      <c r="LNK1058" s="989"/>
      <c r="LNL1058" s="989"/>
      <c r="LNM1058" s="989"/>
      <c r="LNN1058" s="989"/>
      <c r="LNO1058" s="989"/>
      <c r="LNP1058" s="989"/>
      <c r="LNQ1058" s="989"/>
      <c r="LNR1058" s="989"/>
      <c r="LNS1058" s="989"/>
      <c r="LNT1058" s="989"/>
      <c r="LNU1058" s="989"/>
      <c r="LNV1058" s="989"/>
      <c r="LNW1058" s="989"/>
      <c r="LNX1058" s="989"/>
      <c r="LNY1058" s="989"/>
      <c r="LNZ1058" s="989"/>
      <c r="LOA1058" s="989"/>
      <c r="LOB1058" s="989"/>
      <c r="LOC1058" s="989"/>
      <c r="LOD1058" s="989"/>
      <c r="LOE1058" s="989"/>
      <c r="LOF1058" s="989"/>
      <c r="LOG1058" s="989"/>
      <c r="LOH1058" s="989"/>
      <c r="LOI1058" s="989"/>
      <c r="LOJ1058" s="989"/>
      <c r="LOK1058" s="989"/>
      <c r="LOL1058" s="989"/>
      <c r="LOM1058" s="989"/>
      <c r="LON1058" s="989"/>
      <c r="LOO1058" s="989"/>
      <c r="LOP1058" s="989"/>
      <c r="LOQ1058" s="989"/>
      <c r="LOR1058" s="989"/>
      <c r="LOS1058" s="989"/>
      <c r="LOT1058" s="989"/>
      <c r="LOU1058" s="989"/>
      <c r="LOV1058" s="989"/>
      <c r="LOW1058" s="989"/>
      <c r="LOX1058" s="989"/>
      <c r="LOY1058" s="989"/>
      <c r="LOZ1058" s="989"/>
      <c r="LPA1058" s="989"/>
      <c r="LPB1058" s="989"/>
      <c r="LPC1058" s="989"/>
      <c r="LPD1058" s="989"/>
      <c r="LPE1058" s="989"/>
      <c r="LPF1058" s="989"/>
      <c r="LPG1058" s="989"/>
      <c r="LPH1058" s="989"/>
      <c r="LPI1058" s="989"/>
      <c r="LPJ1058" s="989"/>
      <c r="LPK1058" s="989"/>
      <c r="LPL1058" s="989"/>
      <c r="LPM1058" s="989"/>
      <c r="LPN1058" s="989"/>
      <c r="LPO1058" s="989"/>
      <c r="LPP1058" s="989"/>
      <c r="LPQ1058" s="989"/>
      <c r="LPR1058" s="989"/>
      <c r="LPS1058" s="989"/>
      <c r="LPT1058" s="989"/>
      <c r="LPU1058" s="989"/>
      <c r="LPV1058" s="989"/>
      <c r="LPW1058" s="989"/>
      <c r="LPX1058" s="989"/>
      <c r="LPY1058" s="989"/>
      <c r="LPZ1058" s="989"/>
      <c r="LQA1058" s="989"/>
      <c r="LQB1058" s="989"/>
      <c r="LQC1058" s="989"/>
      <c r="LQD1058" s="989"/>
      <c r="LQE1058" s="989"/>
      <c r="LQF1058" s="989"/>
      <c r="LQG1058" s="989"/>
      <c r="LQH1058" s="989"/>
      <c r="LQI1058" s="989"/>
      <c r="LQJ1058" s="989"/>
      <c r="LQK1058" s="989"/>
      <c r="LQL1058" s="989"/>
      <c r="LQM1058" s="989"/>
      <c r="LQN1058" s="989"/>
      <c r="LQO1058" s="989"/>
      <c r="LQP1058" s="989"/>
      <c r="LQQ1058" s="989"/>
      <c r="LQR1058" s="989"/>
      <c r="LQS1058" s="989"/>
      <c r="LQT1058" s="989"/>
      <c r="LQU1058" s="989"/>
      <c r="LQV1058" s="989"/>
      <c r="LQW1058" s="989"/>
      <c r="LQX1058" s="989"/>
      <c r="LQY1058" s="989"/>
      <c r="LQZ1058" s="989"/>
      <c r="LRA1058" s="989"/>
      <c r="LRB1058" s="989"/>
      <c r="LRC1058" s="989"/>
      <c r="LRD1058" s="989"/>
      <c r="LRE1058" s="989"/>
      <c r="LRF1058" s="989"/>
      <c r="LRG1058" s="989"/>
      <c r="LRH1058" s="989"/>
      <c r="LRI1058" s="989"/>
      <c r="LRJ1058" s="989"/>
      <c r="LRK1058" s="989"/>
      <c r="LRL1058" s="989"/>
      <c r="LRM1058" s="989"/>
      <c r="LRN1058" s="989"/>
      <c r="LRO1058" s="989"/>
      <c r="LRP1058" s="989"/>
      <c r="LRQ1058" s="989"/>
      <c r="LRR1058" s="989"/>
      <c r="LRS1058" s="989"/>
      <c r="LRT1058" s="989"/>
      <c r="LRU1058" s="989"/>
      <c r="LRV1058" s="989"/>
      <c r="LRW1058" s="989"/>
      <c r="LRX1058" s="989"/>
      <c r="LRY1058" s="989"/>
      <c r="LRZ1058" s="989"/>
      <c r="LSA1058" s="989"/>
      <c r="LSB1058" s="989"/>
      <c r="LSC1058" s="989"/>
      <c r="LSD1058" s="989"/>
      <c r="LSE1058" s="989"/>
      <c r="LSF1058" s="989"/>
      <c r="LSG1058" s="989"/>
      <c r="LSH1058" s="989"/>
      <c r="LSI1058" s="989"/>
      <c r="LSJ1058" s="989"/>
      <c r="LSK1058" s="989"/>
      <c r="LSL1058" s="989"/>
      <c r="LSM1058" s="989"/>
      <c r="LSN1058" s="989"/>
      <c r="LSO1058" s="989"/>
      <c r="LSP1058" s="989"/>
      <c r="LSQ1058" s="989"/>
      <c r="LSR1058" s="989"/>
      <c r="LSS1058" s="989"/>
      <c r="LST1058" s="989"/>
      <c r="LSU1058" s="989"/>
      <c r="LSV1058" s="989"/>
      <c r="LSW1058" s="989"/>
      <c r="LSX1058" s="989"/>
      <c r="LSY1058" s="989"/>
      <c r="LSZ1058" s="989"/>
      <c r="LTA1058" s="989"/>
      <c r="LTB1058" s="989"/>
      <c r="LTC1058" s="989"/>
      <c r="LTD1058" s="989"/>
      <c r="LTE1058" s="989"/>
      <c r="LTF1058" s="989"/>
      <c r="LTG1058" s="989"/>
      <c r="LTH1058" s="989"/>
      <c r="LTI1058" s="989"/>
      <c r="LTJ1058" s="989"/>
      <c r="LTK1058" s="989"/>
      <c r="LTL1058" s="989"/>
      <c r="LTM1058" s="989"/>
      <c r="LTN1058" s="989"/>
      <c r="LTO1058" s="989"/>
      <c r="LTP1058" s="989"/>
      <c r="LTQ1058" s="989"/>
      <c r="LTR1058" s="989"/>
      <c r="LTS1058" s="989"/>
      <c r="LTT1058" s="989"/>
      <c r="LTU1058" s="989"/>
      <c r="LTV1058" s="989"/>
      <c r="LTW1058" s="989"/>
      <c r="LTX1058" s="989"/>
      <c r="LTY1058" s="989"/>
      <c r="LTZ1058" s="989"/>
      <c r="LUA1058" s="989"/>
      <c r="LUB1058" s="989"/>
      <c r="LUC1058" s="989"/>
      <c r="LUD1058" s="989"/>
      <c r="LUE1058" s="989"/>
      <c r="LUF1058" s="989"/>
      <c r="LUG1058" s="989"/>
      <c r="LUH1058" s="989"/>
      <c r="LUI1058" s="989"/>
      <c r="LUJ1058" s="989"/>
      <c r="LUK1058" s="989"/>
      <c r="LUL1058" s="989"/>
      <c r="LUM1058" s="989"/>
      <c r="LUN1058" s="989"/>
      <c r="LUO1058" s="989"/>
      <c r="LUP1058" s="989"/>
      <c r="LUQ1058" s="989"/>
      <c r="LUR1058" s="989"/>
      <c r="LUS1058" s="989"/>
      <c r="LUT1058" s="989"/>
      <c r="LUU1058" s="989"/>
      <c r="LUV1058" s="989"/>
      <c r="LUW1058" s="989"/>
      <c r="LUX1058" s="989"/>
      <c r="LUY1058" s="989"/>
      <c r="LUZ1058" s="989"/>
      <c r="LVA1058" s="989"/>
      <c r="LVB1058" s="989"/>
      <c r="LVC1058" s="989"/>
      <c r="LVD1058" s="989"/>
      <c r="LVE1058" s="989"/>
      <c r="LVF1058" s="989"/>
      <c r="LVG1058" s="989"/>
      <c r="LVH1058" s="989"/>
      <c r="LVI1058" s="989"/>
      <c r="LVJ1058" s="989"/>
      <c r="LVK1058" s="989"/>
      <c r="LVL1058" s="989"/>
      <c r="LVM1058" s="989"/>
      <c r="LVN1058" s="989"/>
      <c r="LVO1058" s="989"/>
      <c r="LVP1058" s="989"/>
      <c r="LVQ1058" s="989"/>
      <c r="LVR1058" s="989"/>
      <c r="LVS1058" s="989"/>
      <c r="LVT1058" s="989"/>
      <c r="LVU1058" s="989"/>
      <c r="LVV1058" s="989"/>
      <c r="LVW1058" s="989"/>
      <c r="LVX1058" s="989"/>
      <c r="LVY1058" s="989"/>
      <c r="LVZ1058" s="989"/>
      <c r="LWA1058" s="989"/>
      <c r="LWB1058" s="989"/>
      <c r="LWC1058" s="989"/>
      <c r="LWD1058" s="989"/>
      <c r="LWE1058" s="989"/>
      <c r="LWF1058" s="989"/>
      <c r="LWG1058" s="989"/>
      <c r="LWH1058" s="989"/>
      <c r="LWI1058" s="989"/>
      <c r="LWJ1058" s="989"/>
      <c r="LWK1058" s="989"/>
      <c r="LWL1058" s="989"/>
      <c r="LWM1058" s="989"/>
      <c r="LWN1058" s="989"/>
      <c r="LWO1058" s="989"/>
      <c r="LWP1058" s="989"/>
      <c r="LWQ1058" s="989"/>
      <c r="LWR1058" s="989"/>
      <c r="LWS1058" s="989"/>
      <c r="LWT1058" s="989"/>
      <c r="LWU1058" s="989"/>
      <c r="LWV1058" s="989"/>
      <c r="LWW1058" s="989"/>
      <c r="LWX1058" s="989"/>
      <c r="LWY1058" s="989"/>
      <c r="LWZ1058" s="989"/>
      <c r="LXA1058" s="989"/>
      <c r="LXB1058" s="989"/>
      <c r="LXC1058" s="989"/>
      <c r="LXD1058" s="989"/>
      <c r="LXE1058" s="989"/>
      <c r="LXF1058" s="989"/>
      <c r="LXG1058" s="989"/>
      <c r="LXH1058" s="989"/>
      <c r="LXI1058" s="989"/>
      <c r="LXJ1058" s="989"/>
      <c r="LXK1058" s="989"/>
      <c r="LXL1058" s="989"/>
      <c r="LXM1058" s="989"/>
      <c r="LXN1058" s="989"/>
      <c r="LXO1058" s="989"/>
      <c r="LXP1058" s="989"/>
      <c r="LXQ1058" s="989"/>
      <c r="LXR1058" s="989"/>
      <c r="LXS1058" s="989"/>
      <c r="LXT1058" s="989"/>
      <c r="LXU1058" s="989"/>
      <c r="LXV1058" s="989"/>
      <c r="LXW1058" s="989"/>
      <c r="LXX1058" s="989"/>
      <c r="LXY1058" s="989"/>
      <c r="LXZ1058" s="989"/>
      <c r="LYA1058" s="989"/>
      <c r="LYB1058" s="989"/>
      <c r="LYC1058" s="989"/>
      <c r="LYD1058" s="989"/>
      <c r="LYE1058" s="989"/>
      <c r="LYF1058" s="989"/>
      <c r="LYG1058" s="989"/>
      <c r="LYH1058" s="989"/>
      <c r="LYI1058" s="989"/>
      <c r="LYJ1058" s="989"/>
      <c r="LYK1058" s="989"/>
      <c r="LYL1058" s="989"/>
      <c r="LYM1058" s="989"/>
      <c r="LYN1058" s="989"/>
      <c r="LYO1058" s="989"/>
      <c r="LYP1058" s="989"/>
      <c r="LYQ1058" s="989"/>
      <c r="LYR1058" s="989"/>
      <c r="LYS1058" s="989"/>
      <c r="LYT1058" s="989"/>
      <c r="LYU1058" s="989"/>
      <c r="LYV1058" s="989"/>
      <c r="LYW1058" s="989"/>
      <c r="LYX1058" s="989"/>
      <c r="LYY1058" s="989"/>
      <c r="LYZ1058" s="989"/>
      <c r="LZA1058" s="989"/>
      <c r="LZB1058" s="989"/>
      <c r="LZC1058" s="989"/>
      <c r="LZD1058" s="989"/>
      <c r="LZE1058" s="989"/>
      <c r="LZF1058" s="989"/>
      <c r="LZG1058" s="989"/>
      <c r="LZH1058" s="989"/>
      <c r="LZI1058" s="989"/>
      <c r="LZJ1058" s="989"/>
      <c r="LZK1058" s="989"/>
      <c r="LZL1058" s="989"/>
      <c r="LZM1058" s="989"/>
      <c r="LZN1058" s="989"/>
      <c r="LZO1058" s="989"/>
      <c r="LZP1058" s="989"/>
      <c r="LZQ1058" s="989"/>
      <c r="LZR1058" s="989"/>
      <c r="LZS1058" s="989"/>
      <c r="LZT1058" s="989"/>
      <c r="LZU1058" s="989"/>
      <c r="LZV1058" s="989"/>
      <c r="LZW1058" s="989"/>
      <c r="LZX1058" s="989"/>
      <c r="LZY1058" s="989"/>
      <c r="LZZ1058" s="989"/>
      <c r="MAA1058" s="989"/>
      <c r="MAB1058" s="989"/>
      <c r="MAC1058" s="989"/>
      <c r="MAD1058" s="989"/>
      <c r="MAE1058" s="989"/>
      <c r="MAF1058" s="989"/>
      <c r="MAG1058" s="989"/>
      <c r="MAH1058" s="989"/>
      <c r="MAI1058" s="989"/>
      <c r="MAJ1058" s="989"/>
      <c r="MAK1058" s="989"/>
      <c r="MAL1058" s="989"/>
      <c r="MAM1058" s="989"/>
      <c r="MAN1058" s="989"/>
      <c r="MAO1058" s="989"/>
      <c r="MAP1058" s="989"/>
      <c r="MAQ1058" s="989"/>
      <c r="MAR1058" s="989"/>
      <c r="MAS1058" s="989"/>
      <c r="MAT1058" s="989"/>
      <c r="MAU1058" s="989"/>
      <c r="MAV1058" s="989"/>
      <c r="MAW1058" s="989"/>
      <c r="MAX1058" s="989"/>
      <c r="MAY1058" s="989"/>
      <c r="MAZ1058" s="989"/>
      <c r="MBA1058" s="989"/>
      <c r="MBB1058" s="989"/>
      <c r="MBC1058" s="989"/>
      <c r="MBD1058" s="989"/>
      <c r="MBE1058" s="989"/>
      <c r="MBF1058" s="989"/>
      <c r="MBG1058" s="989"/>
      <c r="MBH1058" s="989"/>
      <c r="MBI1058" s="989"/>
      <c r="MBJ1058" s="989"/>
      <c r="MBK1058" s="989"/>
      <c r="MBL1058" s="989"/>
      <c r="MBM1058" s="989"/>
      <c r="MBN1058" s="989"/>
      <c r="MBO1058" s="989"/>
      <c r="MBP1058" s="989"/>
      <c r="MBQ1058" s="989"/>
      <c r="MBR1058" s="989"/>
      <c r="MBS1058" s="989"/>
      <c r="MBT1058" s="989"/>
      <c r="MBU1058" s="989"/>
      <c r="MBV1058" s="989"/>
      <c r="MBW1058" s="989"/>
      <c r="MBX1058" s="989"/>
      <c r="MBY1058" s="989"/>
      <c r="MBZ1058" s="989"/>
      <c r="MCA1058" s="989"/>
      <c r="MCB1058" s="989"/>
      <c r="MCC1058" s="989"/>
      <c r="MCD1058" s="989"/>
      <c r="MCE1058" s="989"/>
      <c r="MCF1058" s="989"/>
      <c r="MCG1058" s="989"/>
      <c r="MCH1058" s="989"/>
      <c r="MCI1058" s="989"/>
      <c r="MCJ1058" s="989"/>
      <c r="MCK1058" s="989"/>
      <c r="MCL1058" s="989"/>
      <c r="MCM1058" s="989"/>
      <c r="MCN1058" s="989"/>
      <c r="MCO1058" s="989"/>
      <c r="MCP1058" s="989"/>
      <c r="MCQ1058" s="989"/>
      <c r="MCR1058" s="989"/>
      <c r="MCS1058" s="989"/>
      <c r="MCT1058" s="989"/>
      <c r="MCU1058" s="989"/>
      <c r="MCV1058" s="989"/>
      <c r="MCW1058" s="989"/>
      <c r="MCX1058" s="989"/>
      <c r="MCY1058" s="989"/>
      <c r="MCZ1058" s="989"/>
      <c r="MDA1058" s="989"/>
      <c r="MDB1058" s="989"/>
      <c r="MDC1058" s="989"/>
      <c r="MDD1058" s="989"/>
      <c r="MDE1058" s="989"/>
      <c r="MDF1058" s="989"/>
      <c r="MDG1058" s="989"/>
      <c r="MDH1058" s="989"/>
      <c r="MDI1058" s="989"/>
      <c r="MDJ1058" s="989"/>
      <c r="MDK1058" s="989"/>
      <c r="MDL1058" s="989"/>
      <c r="MDM1058" s="989"/>
      <c r="MDN1058" s="989"/>
      <c r="MDO1058" s="989"/>
      <c r="MDP1058" s="989"/>
      <c r="MDQ1058" s="989"/>
      <c r="MDR1058" s="989"/>
      <c r="MDS1058" s="989"/>
      <c r="MDT1058" s="989"/>
      <c r="MDU1058" s="989"/>
      <c r="MDV1058" s="989"/>
      <c r="MDW1058" s="989"/>
      <c r="MDX1058" s="989"/>
      <c r="MDY1058" s="989"/>
      <c r="MDZ1058" s="989"/>
      <c r="MEA1058" s="989"/>
      <c r="MEB1058" s="989"/>
      <c r="MEC1058" s="989"/>
      <c r="MED1058" s="989"/>
      <c r="MEE1058" s="989"/>
      <c r="MEF1058" s="989"/>
      <c r="MEG1058" s="989"/>
      <c r="MEH1058" s="989"/>
      <c r="MEI1058" s="989"/>
      <c r="MEJ1058" s="989"/>
      <c r="MEK1058" s="989"/>
      <c r="MEL1058" s="989"/>
      <c r="MEM1058" s="989"/>
      <c r="MEN1058" s="989"/>
      <c r="MEO1058" s="989"/>
      <c r="MEP1058" s="989"/>
      <c r="MEQ1058" s="989"/>
      <c r="MER1058" s="989"/>
      <c r="MES1058" s="989"/>
      <c r="MET1058" s="989"/>
      <c r="MEU1058" s="989"/>
      <c r="MEV1058" s="989"/>
      <c r="MEW1058" s="989"/>
      <c r="MEX1058" s="989"/>
      <c r="MEY1058" s="989"/>
      <c r="MEZ1058" s="989"/>
      <c r="MFA1058" s="989"/>
      <c r="MFB1058" s="989"/>
      <c r="MFC1058" s="989"/>
      <c r="MFD1058" s="989"/>
      <c r="MFE1058" s="989"/>
      <c r="MFF1058" s="989"/>
      <c r="MFG1058" s="989"/>
      <c r="MFH1058" s="989"/>
      <c r="MFI1058" s="989"/>
      <c r="MFJ1058" s="989"/>
      <c r="MFK1058" s="989"/>
      <c r="MFL1058" s="989"/>
      <c r="MFM1058" s="989"/>
      <c r="MFN1058" s="989"/>
      <c r="MFO1058" s="989"/>
      <c r="MFP1058" s="989"/>
      <c r="MFQ1058" s="989"/>
      <c r="MFR1058" s="989"/>
      <c r="MFS1058" s="989"/>
      <c r="MFT1058" s="989"/>
      <c r="MFU1058" s="989"/>
      <c r="MFV1058" s="989"/>
      <c r="MFW1058" s="989"/>
      <c r="MFX1058" s="989"/>
      <c r="MFY1058" s="989"/>
      <c r="MFZ1058" s="989"/>
      <c r="MGA1058" s="989"/>
      <c r="MGB1058" s="989"/>
      <c r="MGC1058" s="989"/>
      <c r="MGD1058" s="989"/>
      <c r="MGE1058" s="989"/>
      <c r="MGF1058" s="989"/>
      <c r="MGG1058" s="989"/>
      <c r="MGH1058" s="989"/>
      <c r="MGI1058" s="989"/>
      <c r="MGJ1058" s="989"/>
      <c r="MGK1058" s="989"/>
      <c r="MGL1058" s="989"/>
      <c r="MGM1058" s="989"/>
      <c r="MGN1058" s="989"/>
      <c r="MGO1058" s="989"/>
      <c r="MGP1058" s="989"/>
      <c r="MGQ1058" s="989"/>
      <c r="MGR1058" s="989"/>
      <c r="MGS1058" s="989"/>
      <c r="MGT1058" s="989"/>
      <c r="MGU1058" s="989"/>
      <c r="MGV1058" s="989"/>
      <c r="MGW1058" s="989"/>
      <c r="MGX1058" s="989"/>
      <c r="MGY1058" s="989"/>
      <c r="MGZ1058" s="989"/>
      <c r="MHA1058" s="989"/>
      <c r="MHB1058" s="989"/>
      <c r="MHC1058" s="989"/>
      <c r="MHD1058" s="989"/>
      <c r="MHE1058" s="989"/>
      <c r="MHF1058" s="989"/>
      <c r="MHG1058" s="989"/>
      <c r="MHH1058" s="989"/>
      <c r="MHI1058" s="989"/>
      <c r="MHJ1058" s="989"/>
      <c r="MHK1058" s="989"/>
      <c r="MHL1058" s="989"/>
      <c r="MHM1058" s="989"/>
      <c r="MHN1058" s="989"/>
      <c r="MHO1058" s="989"/>
      <c r="MHP1058" s="989"/>
      <c r="MHQ1058" s="989"/>
      <c r="MHR1058" s="989"/>
      <c r="MHS1058" s="989"/>
      <c r="MHT1058" s="989"/>
      <c r="MHU1058" s="989"/>
      <c r="MHV1058" s="989"/>
      <c r="MHW1058" s="989"/>
      <c r="MHX1058" s="989"/>
      <c r="MHY1058" s="989"/>
      <c r="MHZ1058" s="989"/>
      <c r="MIA1058" s="989"/>
      <c r="MIB1058" s="989"/>
      <c r="MIC1058" s="989"/>
      <c r="MID1058" s="989"/>
      <c r="MIE1058" s="989"/>
      <c r="MIF1058" s="989"/>
      <c r="MIG1058" s="989"/>
      <c r="MIH1058" s="989"/>
      <c r="MII1058" s="989"/>
      <c r="MIJ1058" s="989"/>
      <c r="MIK1058" s="989"/>
      <c r="MIL1058" s="989"/>
      <c r="MIM1058" s="989"/>
      <c r="MIN1058" s="989"/>
      <c r="MIO1058" s="989"/>
      <c r="MIP1058" s="989"/>
      <c r="MIQ1058" s="989"/>
      <c r="MIR1058" s="989"/>
      <c r="MIS1058" s="989"/>
      <c r="MIT1058" s="989"/>
      <c r="MIU1058" s="989"/>
      <c r="MIV1058" s="989"/>
      <c r="MIW1058" s="989"/>
      <c r="MIX1058" s="989"/>
      <c r="MIY1058" s="989"/>
      <c r="MIZ1058" s="989"/>
      <c r="MJA1058" s="989"/>
      <c r="MJB1058" s="989"/>
      <c r="MJC1058" s="989"/>
      <c r="MJD1058" s="989"/>
      <c r="MJE1058" s="989"/>
      <c r="MJF1058" s="989"/>
      <c r="MJG1058" s="989"/>
      <c r="MJH1058" s="989"/>
      <c r="MJI1058" s="989"/>
      <c r="MJJ1058" s="989"/>
      <c r="MJK1058" s="989"/>
      <c r="MJL1058" s="989"/>
      <c r="MJM1058" s="989"/>
      <c r="MJN1058" s="989"/>
      <c r="MJO1058" s="989"/>
      <c r="MJP1058" s="989"/>
      <c r="MJQ1058" s="989"/>
      <c r="MJR1058" s="989"/>
      <c r="MJS1058" s="989"/>
      <c r="MJT1058" s="989"/>
      <c r="MJU1058" s="989"/>
      <c r="MJV1058" s="989"/>
      <c r="MJW1058" s="989"/>
      <c r="MJX1058" s="989"/>
      <c r="MJY1058" s="989"/>
      <c r="MJZ1058" s="989"/>
      <c r="MKA1058" s="989"/>
      <c r="MKB1058" s="989"/>
      <c r="MKC1058" s="989"/>
      <c r="MKD1058" s="989"/>
      <c r="MKE1058" s="989"/>
      <c r="MKF1058" s="989"/>
      <c r="MKG1058" s="989"/>
      <c r="MKH1058" s="989"/>
      <c r="MKI1058" s="989"/>
      <c r="MKJ1058" s="989"/>
      <c r="MKK1058" s="989"/>
      <c r="MKL1058" s="989"/>
      <c r="MKM1058" s="989"/>
      <c r="MKN1058" s="989"/>
      <c r="MKO1058" s="989"/>
      <c r="MKP1058" s="989"/>
      <c r="MKQ1058" s="989"/>
      <c r="MKR1058" s="989"/>
      <c r="MKS1058" s="989"/>
      <c r="MKT1058" s="989"/>
      <c r="MKU1058" s="989"/>
      <c r="MKV1058" s="989"/>
      <c r="MKW1058" s="989"/>
      <c r="MKX1058" s="989"/>
      <c r="MKY1058" s="989"/>
      <c r="MKZ1058" s="989"/>
      <c r="MLA1058" s="989"/>
      <c r="MLB1058" s="989"/>
      <c r="MLC1058" s="989"/>
      <c r="MLD1058" s="989"/>
      <c r="MLE1058" s="989"/>
      <c r="MLF1058" s="989"/>
      <c r="MLG1058" s="989"/>
      <c r="MLH1058" s="989"/>
      <c r="MLI1058" s="989"/>
      <c r="MLJ1058" s="989"/>
      <c r="MLK1058" s="989"/>
      <c r="MLL1058" s="989"/>
      <c r="MLM1058" s="989"/>
      <c r="MLN1058" s="989"/>
      <c r="MLO1058" s="989"/>
      <c r="MLP1058" s="989"/>
      <c r="MLQ1058" s="989"/>
      <c r="MLR1058" s="989"/>
      <c r="MLS1058" s="989"/>
      <c r="MLT1058" s="989"/>
      <c r="MLU1058" s="989"/>
      <c r="MLV1058" s="989"/>
      <c r="MLW1058" s="989"/>
      <c r="MLX1058" s="989"/>
      <c r="MLY1058" s="989"/>
      <c r="MLZ1058" s="989"/>
      <c r="MMA1058" s="989"/>
      <c r="MMB1058" s="989"/>
      <c r="MMC1058" s="989"/>
      <c r="MMD1058" s="989"/>
      <c r="MME1058" s="989"/>
      <c r="MMF1058" s="989"/>
      <c r="MMG1058" s="989"/>
      <c r="MMH1058" s="989"/>
      <c r="MMI1058" s="989"/>
      <c r="MMJ1058" s="989"/>
      <c r="MMK1058" s="989"/>
      <c r="MML1058" s="989"/>
      <c r="MMM1058" s="989"/>
      <c r="MMN1058" s="989"/>
      <c r="MMO1058" s="989"/>
      <c r="MMP1058" s="989"/>
      <c r="MMQ1058" s="989"/>
      <c r="MMR1058" s="989"/>
      <c r="MMS1058" s="989"/>
      <c r="MMT1058" s="989"/>
      <c r="MMU1058" s="989"/>
      <c r="MMV1058" s="989"/>
      <c r="MMW1058" s="989"/>
      <c r="MMX1058" s="989"/>
      <c r="MMY1058" s="989"/>
      <c r="MMZ1058" s="989"/>
      <c r="MNA1058" s="989"/>
      <c r="MNB1058" s="989"/>
      <c r="MNC1058" s="989"/>
      <c r="MND1058" s="989"/>
      <c r="MNE1058" s="989"/>
      <c r="MNF1058" s="989"/>
      <c r="MNG1058" s="989"/>
      <c r="MNH1058" s="989"/>
      <c r="MNI1058" s="989"/>
      <c r="MNJ1058" s="989"/>
      <c r="MNK1058" s="989"/>
      <c r="MNL1058" s="989"/>
      <c r="MNM1058" s="989"/>
      <c r="MNN1058" s="989"/>
      <c r="MNO1058" s="989"/>
      <c r="MNP1058" s="989"/>
      <c r="MNQ1058" s="989"/>
      <c r="MNR1058" s="989"/>
      <c r="MNS1058" s="989"/>
      <c r="MNT1058" s="989"/>
      <c r="MNU1058" s="989"/>
      <c r="MNV1058" s="989"/>
      <c r="MNW1058" s="989"/>
      <c r="MNX1058" s="989"/>
      <c r="MNY1058" s="989"/>
      <c r="MNZ1058" s="989"/>
      <c r="MOA1058" s="989"/>
      <c r="MOB1058" s="989"/>
      <c r="MOC1058" s="989"/>
      <c r="MOD1058" s="989"/>
      <c r="MOE1058" s="989"/>
      <c r="MOF1058" s="989"/>
      <c r="MOG1058" s="989"/>
      <c r="MOH1058" s="989"/>
      <c r="MOI1058" s="989"/>
      <c r="MOJ1058" s="989"/>
      <c r="MOK1058" s="989"/>
      <c r="MOL1058" s="989"/>
      <c r="MOM1058" s="989"/>
      <c r="MON1058" s="989"/>
      <c r="MOO1058" s="989"/>
      <c r="MOP1058" s="989"/>
      <c r="MOQ1058" s="989"/>
      <c r="MOR1058" s="989"/>
      <c r="MOS1058" s="989"/>
      <c r="MOT1058" s="989"/>
      <c r="MOU1058" s="989"/>
      <c r="MOV1058" s="989"/>
      <c r="MOW1058" s="989"/>
      <c r="MOX1058" s="989"/>
      <c r="MOY1058" s="989"/>
      <c r="MOZ1058" s="989"/>
      <c r="MPA1058" s="989"/>
      <c r="MPB1058" s="989"/>
      <c r="MPC1058" s="989"/>
      <c r="MPD1058" s="989"/>
      <c r="MPE1058" s="989"/>
      <c r="MPF1058" s="989"/>
      <c r="MPG1058" s="989"/>
      <c r="MPH1058" s="989"/>
      <c r="MPI1058" s="989"/>
      <c r="MPJ1058" s="989"/>
      <c r="MPK1058" s="989"/>
      <c r="MPL1058" s="989"/>
      <c r="MPM1058" s="989"/>
      <c r="MPN1058" s="989"/>
      <c r="MPO1058" s="989"/>
      <c r="MPP1058" s="989"/>
      <c r="MPQ1058" s="989"/>
      <c r="MPR1058" s="989"/>
      <c r="MPS1058" s="989"/>
      <c r="MPT1058" s="989"/>
      <c r="MPU1058" s="989"/>
      <c r="MPV1058" s="989"/>
      <c r="MPW1058" s="989"/>
      <c r="MPX1058" s="989"/>
      <c r="MPY1058" s="989"/>
      <c r="MPZ1058" s="989"/>
      <c r="MQA1058" s="989"/>
      <c r="MQB1058" s="989"/>
      <c r="MQC1058" s="989"/>
      <c r="MQD1058" s="989"/>
      <c r="MQE1058" s="989"/>
      <c r="MQF1058" s="989"/>
      <c r="MQG1058" s="989"/>
      <c r="MQH1058" s="989"/>
      <c r="MQI1058" s="989"/>
      <c r="MQJ1058" s="989"/>
      <c r="MQK1058" s="989"/>
      <c r="MQL1058" s="989"/>
      <c r="MQM1058" s="989"/>
      <c r="MQN1058" s="989"/>
      <c r="MQO1058" s="989"/>
      <c r="MQP1058" s="989"/>
      <c r="MQQ1058" s="989"/>
      <c r="MQR1058" s="989"/>
      <c r="MQS1058" s="989"/>
      <c r="MQT1058" s="989"/>
      <c r="MQU1058" s="989"/>
      <c r="MQV1058" s="989"/>
      <c r="MQW1058" s="989"/>
      <c r="MQX1058" s="989"/>
      <c r="MQY1058" s="989"/>
      <c r="MQZ1058" s="989"/>
      <c r="MRA1058" s="989"/>
      <c r="MRB1058" s="989"/>
      <c r="MRC1058" s="989"/>
      <c r="MRD1058" s="989"/>
      <c r="MRE1058" s="989"/>
      <c r="MRF1058" s="989"/>
      <c r="MRG1058" s="989"/>
      <c r="MRH1058" s="989"/>
      <c r="MRI1058" s="989"/>
      <c r="MRJ1058" s="989"/>
      <c r="MRK1058" s="989"/>
      <c r="MRL1058" s="989"/>
      <c r="MRM1058" s="989"/>
      <c r="MRN1058" s="989"/>
      <c r="MRO1058" s="989"/>
      <c r="MRP1058" s="989"/>
      <c r="MRQ1058" s="989"/>
      <c r="MRR1058" s="989"/>
      <c r="MRS1058" s="989"/>
      <c r="MRT1058" s="989"/>
      <c r="MRU1058" s="989"/>
      <c r="MRV1058" s="989"/>
      <c r="MRW1058" s="989"/>
      <c r="MRX1058" s="989"/>
      <c r="MRY1058" s="989"/>
      <c r="MRZ1058" s="989"/>
      <c r="MSA1058" s="989"/>
      <c r="MSB1058" s="989"/>
      <c r="MSC1058" s="989"/>
      <c r="MSD1058" s="989"/>
      <c r="MSE1058" s="989"/>
      <c r="MSF1058" s="989"/>
      <c r="MSG1058" s="989"/>
      <c r="MSH1058" s="989"/>
      <c r="MSI1058" s="989"/>
      <c r="MSJ1058" s="989"/>
      <c r="MSK1058" s="989"/>
      <c r="MSL1058" s="989"/>
      <c r="MSM1058" s="989"/>
      <c r="MSN1058" s="989"/>
      <c r="MSO1058" s="989"/>
      <c r="MSP1058" s="989"/>
      <c r="MSQ1058" s="989"/>
      <c r="MSR1058" s="989"/>
      <c r="MSS1058" s="989"/>
      <c r="MST1058" s="989"/>
      <c r="MSU1058" s="989"/>
      <c r="MSV1058" s="989"/>
      <c r="MSW1058" s="989"/>
      <c r="MSX1058" s="989"/>
      <c r="MSY1058" s="989"/>
      <c r="MSZ1058" s="989"/>
      <c r="MTA1058" s="989"/>
      <c r="MTB1058" s="989"/>
      <c r="MTC1058" s="989"/>
      <c r="MTD1058" s="989"/>
      <c r="MTE1058" s="989"/>
      <c r="MTF1058" s="989"/>
      <c r="MTG1058" s="989"/>
      <c r="MTH1058" s="989"/>
      <c r="MTI1058" s="989"/>
      <c r="MTJ1058" s="989"/>
      <c r="MTK1058" s="989"/>
      <c r="MTL1058" s="989"/>
      <c r="MTM1058" s="989"/>
      <c r="MTN1058" s="989"/>
      <c r="MTO1058" s="989"/>
      <c r="MTP1058" s="989"/>
      <c r="MTQ1058" s="989"/>
      <c r="MTR1058" s="989"/>
      <c r="MTS1058" s="989"/>
      <c r="MTT1058" s="989"/>
      <c r="MTU1058" s="989"/>
      <c r="MTV1058" s="989"/>
      <c r="MTW1058" s="989"/>
      <c r="MTX1058" s="989"/>
      <c r="MTY1058" s="989"/>
      <c r="MTZ1058" s="989"/>
      <c r="MUA1058" s="989"/>
      <c r="MUB1058" s="989"/>
      <c r="MUC1058" s="989"/>
      <c r="MUD1058" s="989"/>
      <c r="MUE1058" s="989"/>
      <c r="MUF1058" s="989"/>
      <c r="MUG1058" s="989"/>
      <c r="MUH1058" s="989"/>
      <c r="MUI1058" s="989"/>
      <c r="MUJ1058" s="989"/>
      <c r="MUK1058" s="989"/>
      <c r="MUL1058" s="989"/>
      <c r="MUM1058" s="989"/>
      <c r="MUN1058" s="989"/>
      <c r="MUO1058" s="989"/>
      <c r="MUP1058" s="989"/>
      <c r="MUQ1058" s="989"/>
      <c r="MUR1058" s="989"/>
      <c r="MUS1058" s="989"/>
      <c r="MUT1058" s="989"/>
      <c r="MUU1058" s="989"/>
      <c r="MUV1058" s="989"/>
      <c r="MUW1058" s="989"/>
      <c r="MUX1058" s="989"/>
      <c r="MUY1058" s="989"/>
      <c r="MUZ1058" s="989"/>
      <c r="MVA1058" s="989"/>
      <c r="MVB1058" s="989"/>
      <c r="MVC1058" s="989"/>
      <c r="MVD1058" s="989"/>
      <c r="MVE1058" s="989"/>
      <c r="MVF1058" s="989"/>
      <c r="MVG1058" s="989"/>
      <c r="MVH1058" s="989"/>
      <c r="MVI1058" s="989"/>
      <c r="MVJ1058" s="989"/>
      <c r="MVK1058" s="989"/>
      <c r="MVL1058" s="989"/>
      <c r="MVM1058" s="989"/>
      <c r="MVN1058" s="989"/>
      <c r="MVO1058" s="989"/>
      <c r="MVP1058" s="989"/>
      <c r="MVQ1058" s="989"/>
      <c r="MVR1058" s="989"/>
      <c r="MVS1058" s="989"/>
      <c r="MVT1058" s="989"/>
      <c r="MVU1058" s="989"/>
      <c r="MVV1058" s="989"/>
      <c r="MVW1058" s="989"/>
      <c r="MVX1058" s="989"/>
      <c r="MVY1058" s="989"/>
      <c r="MVZ1058" s="989"/>
      <c r="MWA1058" s="989"/>
      <c r="MWB1058" s="989"/>
      <c r="MWC1058" s="989"/>
      <c r="MWD1058" s="989"/>
      <c r="MWE1058" s="989"/>
      <c r="MWF1058" s="989"/>
      <c r="MWG1058" s="989"/>
      <c r="MWH1058" s="989"/>
      <c r="MWI1058" s="989"/>
      <c r="MWJ1058" s="989"/>
      <c r="MWK1058" s="989"/>
      <c r="MWL1058" s="989"/>
      <c r="MWM1058" s="989"/>
      <c r="MWN1058" s="989"/>
      <c r="MWO1058" s="989"/>
      <c r="MWP1058" s="989"/>
      <c r="MWQ1058" s="989"/>
      <c r="MWR1058" s="989"/>
      <c r="MWS1058" s="989"/>
      <c r="MWT1058" s="989"/>
      <c r="MWU1058" s="989"/>
      <c r="MWV1058" s="989"/>
      <c r="MWW1058" s="989"/>
      <c r="MWX1058" s="989"/>
      <c r="MWY1058" s="989"/>
      <c r="MWZ1058" s="989"/>
      <c r="MXA1058" s="989"/>
      <c r="MXB1058" s="989"/>
      <c r="MXC1058" s="989"/>
      <c r="MXD1058" s="989"/>
      <c r="MXE1058" s="989"/>
      <c r="MXF1058" s="989"/>
      <c r="MXG1058" s="989"/>
      <c r="MXH1058" s="989"/>
      <c r="MXI1058" s="989"/>
      <c r="MXJ1058" s="989"/>
      <c r="MXK1058" s="989"/>
      <c r="MXL1058" s="989"/>
      <c r="MXM1058" s="989"/>
      <c r="MXN1058" s="989"/>
      <c r="MXO1058" s="989"/>
      <c r="MXP1058" s="989"/>
      <c r="MXQ1058" s="989"/>
      <c r="MXR1058" s="989"/>
      <c r="MXS1058" s="989"/>
      <c r="MXT1058" s="989"/>
      <c r="MXU1058" s="989"/>
      <c r="MXV1058" s="989"/>
      <c r="MXW1058" s="989"/>
      <c r="MXX1058" s="989"/>
      <c r="MXY1058" s="989"/>
      <c r="MXZ1058" s="989"/>
      <c r="MYA1058" s="989"/>
      <c r="MYB1058" s="989"/>
      <c r="MYC1058" s="989"/>
      <c r="MYD1058" s="989"/>
      <c r="MYE1058" s="989"/>
      <c r="MYF1058" s="989"/>
      <c r="MYG1058" s="989"/>
      <c r="MYH1058" s="989"/>
      <c r="MYI1058" s="989"/>
      <c r="MYJ1058" s="989"/>
      <c r="MYK1058" s="989"/>
      <c r="MYL1058" s="989"/>
      <c r="MYM1058" s="989"/>
      <c r="MYN1058" s="989"/>
      <c r="MYO1058" s="989"/>
      <c r="MYP1058" s="989"/>
      <c r="MYQ1058" s="989"/>
      <c r="MYR1058" s="989"/>
      <c r="MYS1058" s="989"/>
      <c r="MYT1058" s="989"/>
      <c r="MYU1058" s="989"/>
      <c r="MYV1058" s="989"/>
      <c r="MYW1058" s="989"/>
      <c r="MYX1058" s="989"/>
      <c r="MYY1058" s="989"/>
      <c r="MYZ1058" s="989"/>
      <c r="MZA1058" s="989"/>
      <c r="MZB1058" s="989"/>
      <c r="MZC1058" s="989"/>
      <c r="MZD1058" s="989"/>
      <c r="MZE1058" s="989"/>
      <c r="MZF1058" s="989"/>
      <c r="MZG1058" s="989"/>
      <c r="MZH1058" s="989"/>
      <c r="MZI1058" s="989"/>
      <c r="MZJ1058" s="989"/>
      <c r="MZK1058" s="989"/>
      <c r="MZL1058" s="989"/>
      <c r="MZM1058" s="989"/>
      <c r="MZN1058" s="989"/>
      <c r="MZO1058" s="989"/>
      <c r="MZP1058" s="989"/>
      <c r="MZQ1058" s="989"/>
      <c r="MZR1058" s="989"/>
      <c r="MZS1058" s="989"/>
      <c r="MZT1058" s="989"/>
      <c r="MZU1058" s="989"/>
      <c r="MZV1058" s="989"/>
      <c r="MZW1058" s="989"/>
      <c r="MZX1058" s="989"/>
      <c r="MZY1058" s="989"/>
      <c r="MZZ1058" s="989"/>
      <c r="NAA1058" s="989"/>
      <c r="NAB1058" s="989"/>
      <c r="NAC1058" s="989"/>
      <c r="NAD1058" s="989"/>
      <c r="NAE1058" s="989"/>
      <c r="NAF1058" s="989"/>
      <c r="NAG1058" s="989"/>
      <c r="NAH1058" s="989"/>
      <c r="NAI1058" s="989"/>
      <c r="NAJ1058" s="989"/>
      <c r="NAK1058" s="989"/>
      <c r="NAL1058" s="989"/>
      <c r="NAM1058" s="989"/>
      <c r="NAN1058" s="989"/>
      <c r="NAO1058" s="989"/>
      <c r="NAP1058" s="989"/>
      <c r="NAQ1058" s="989"/>
      <c r="NAR1058" s="989"/>
      <c r="NAS1058" s="989"/>
      <c r="NAT1058" s="989"/>
      <c r="NAU1058" s="989"/>
      <c r="NAV1058" s="989"/>
      <c r="NAW1058" s="989"/>
      <c r="NAX1058" s="989"/>
      <c r="NAY1058" s="989"/>
      <c r="NAZ1058" s="989"/>
      <c r="NBA1058" s="989"/>
      <c r="NBB1058" s="989"/>
      <c r="NBC1058" s="989"/>
      <c r="NBD1058" s="989"/>
      <c r="NBE1058" s="989"/>
      <c r="NBF1058" s="989"/>
      <c r="NBG1058" s="989"/>
      <c r="NBH1058" s="989"/>
      <c r="NBI1058" s="989"/>
      <c r="NBJ1058" s="989"/>
      <c r="NBK1058" s="989"/>
      <c r="NBL1058" s="989"/>
      <c r="NBM1058" s="989"/>
      <c r="NBN1058" s="989"/>
      <c r="NBO1058" s="989"/>
      <c r="NBP1058" s="989"/>
      <c r="NBQ1058" s="989"/>
      <c r="NBR1058" s="989"/>
      <c r="NBS1058" s="989"/>
      <c r="NBT1058" s="989"/>
      <c r="NBU1058" s="989"/>
      <c r="NBV1058" s="989"/>
      <c r="NBW1058" s="989"/>
      <c r="NBX1058" s="989"/>
      <c r="NBY1058" s="989"/>
      <c r="NBZ1058" s="989"/>
      <c r="NCA1058" s="989"/>
      <c r="NCB1058" s="989"/>
      <c r="NCC1058" s="989"/>
      <c r="NCD1058" s="989"/>
      <c r="NCE1058" s="989"/>
      <c r="NCF1058" s="989"/>
      <c r="NCG1058" s="989"/>
      <c r="NCH1058" s="989"/>
      <c r="NCI1058" s="989"/>
      <c r="NCJ1058" s="989"/>
      <c r="NCK1058" s="989"/>
      <c r="NCL1058" s="989"/>
      <c r="NCM1058" s="989"/>
      <c r="NCN1058" s="989"/>
      <c r="NCO1058" s="989"/>
      <c r="NCP1058" s="989"/>
      <c r="NCQ1058" s="989"/>
      <c r="NCR1058" s="989"/>
      <c r="NCS1058" s="989"/>
      <c r="NCT1058" s="989"/>
      <c r="NCU1058" s="989"/>
      <c r="NCV1058" s="989"/>
      <c r="NCW1058" s="989"/>
      <c r="NCX1058" s="989"/>
      <c r="NCY1058" s="989"/>
      <c r="NCZ1058" s="989"/>
      <c r="NDA1058" s="989"/>
      <c r="NDB1058" s="989"/>
      <c r="NDC1058" s="989"/>
      <c r="NDD1058" s="989"/>
      <c r="NDE1058" s="989"/>
      <c r="NDF1058" s="989"/>
      <c r="NDG1058" s="989"/>
      <c r="NDH1058" s="989"/>
      <c r="NDI1058" s="989"/>
      <c r="NDJ1058" s="989"/>
      <c r="NDK1058" s="989"/>
      <c r="NDL1058" s="989"/>
      <c r="NDM1058" s="989"/>
      <c r="NDN1058" s="989"/>
      <c r="NDO1058" s="989"/>
      <c r="NDP1058" s="989"/>
      <c r="NDQ1058" s="989"/>
      <c r="NDR1058" s="989"/>
      <c r="NDS1058" s="989"/>
      <c r="NDT1058" s="989"/>
      <c r="NDU1058" s="989"/>
      <c r="NDV1058" s="989"/>
      <c r="NDW1058" s="989"/>
      <c r="NDX1058" s="989"/>
      <c r="NDY1058" s="989"/>
      <c r="NDZ1058" s="989"/>
      <c r="NEA1058" s="989"/>
      <c r="NEB1058" s="989"/>
      <c r="NEC1058" s="989"/>
      <c r="NED1058" s="989"/>
      <c r="NEE1058" s="989"/>
      <c r="NEF1058" s="989"/>
      <c r="NEG1058" s="989"/>
      <c r="NEH1058" s="989"/>
      <c r="NEI1058" s="989"/>
      <c r="NEJ1058" s="989"/>
      <c r="NEK1058" s="989"/>
      <c r="NEL1058" s="989"/>
      <c r="NEM1058" s="989"/>
      <c r="NEN1058" s="989"/>
      <c r="NEO1058" s="989"/>
      <c r="NEP1058" s="989"/>
      <c r="NEQ1058" s="989"/>
      <c r="NER1058" s="989"/>
      <c r="NES1058" s="989"/>
      <c r="NET1058" s="989"/>
      <c r="NEU1058" s="989"/>
      <c r="NEV1058" s="989"/>
      <c r="NEW1058" s="989"/>
      <c r="NEX1058" s="989"/>
      <c r="NEY1058" s="989"/>
      <c r="NEZ1058" s="989"/>
      <c r="NFA1058" s="989"/>
      <c r="NFB1058" s="989"/>
      <c r="NFC1058" s="989"/>
      <c r="NFD1058" s="989"/>
      <c r="NFE1058" s="989"/>
      <c r="NFF1058" s="989"/>
      <c r="NFG1058" s="989"/>
      <c r="NFH1058" s="989"/>
      <c r="NFI1058" s="989"/>
      <c r="NFJ1058" s="989"/>
      <c r="NFK1058" s="989"/>
      <c r="NFL1058" s="989"/>
      <c r="NFM1058" s="989"/>
      <c r="NFN1058" s="989"/>
      <c r="NFO1058" s="989"/>
      <c r="NFP1058" s="989"/>
      <c r="NFQ1058" s="989"/>
      <c r="NFR1058" s="989"/>
      <c r="NFS1058" s="989"/>
      <c r="NFT1058" s="989"/>
      <c r="NFU1058" s="989"/>
      <c r="NFV1058" s="989"/>
      <c r="NFW1058" s="989"/>
      <c r="NFX1058" s="989"/>
      <c r="NFY1058" s="989"/>
      <c r="NFZ1058" s="989"/>
      <c r="NGA1058" s="989"/>
      <c r="NGB1058" s="989"/>
      <c r="NGC1058" s="989"/>
      <c r="NGD1058" s="989"/>
      <c r="NGE1058" s="989"/>
      <c r="NGF1058" s="989"/>
      <c r="NGG1058" s="989"/>
      <c r="NGH1058" s="989"/>
      <c r="NGI1058" s="989"/>
      <c r="NGJ1058" s="989"/>
      <c r="NGK1058" s="989"/>
      <c r="NGL1058" s="989"/>
      <c r="NGM1058" s="989"/>
      <c r="NGN1058" s="989"/>
      <c r="NGO1058" s="989"/>
      <c r="NGP1058" s="989"/>
      <c r="NGQ1058" s="989"/>
      <c r="NGR1058" s="989"/>
      <c r="NGS1058" s="989"/>
      <c r="NGT1058" s="989"/>
      <c r="NGU1058" s="989"/>
      <c r="NGV1058" s="989"/>
      <c r="NGW1058" s="989"/>
      <c r="NGX1058" s="989"/>
      <c r="NGY1058" s="989"/>
      <c r="NGZ1058" s="989"/>
      <c r="NHA1058" s="989"/>
      <c r="NHB1058" s="989"/>
      <c r="NHC1058" s="989"/>
      <c r="NHD1058" s="989"/>
      <c r="NHE1058" s="989"/>
      <c r="NHF1058" s="989"/>
      <c r="NHG1058" s="989"/>
      <c r="NHH1058" s="989"/>
      <c r="NHI1058" s="989"/>
      <c r="NHJ1058" s="989"/>
      <c r="NHK1058" s="989"/>
      <c r="NHL1058" s="989"/>
      <c r="NHM1058" s="989"/>
      <c r="NHN1058" s="989"/>
      <c r="NHO1058" s="989"/>
      <c r="NHP1058" s="989"/>
      <c r="NHQ1058" s="989"/>
      <c r="NHR1058" s="989"/>
      <c r="NHS1058" s="989"/>
      <c r="NHT1058" s="989"/>
      <c r="NHU1058" s="989"/>
      <c r="NHV1058" s="989"/>
      <c r="NHW1058" s="989"/>
      <c r="NHX1058" s="989"/>
      <c r="NHY1058" s="989"/>
      <c r="NHZ1058" s="989"/>
      <c r="NIA1058" s="989"/>
      <c r="NIB1058" s="989"/>
      <c r="NIC1058" s="989"/>
      <c r="NID1058" s="989"/>
      <c r="NIE1058" s="989"/>
      <c r="NIF1058" s="989"/>
      <c r="NIG1058" s="989"/>
      <c r="NIH1058" s="989"/>
      <c r="NII1058" s="989"/>
      <c r="NIJ1058" s="989"/>
      <c r="NIK1058" s="989"/>
      <c r="NIL1058" s="989"/>
      <c r="NIM1058" s="989"/>
      <c r="NIN1058" s="989"/>
      <c r="NIO1058" s="989"/>
      <c r="NIP1058" s="989"/>
      <c r="NIQ1058" s="989"/>
      <c r="NIR1058" s="989"/>
      <c r="NIS1058" s="989"/>
      <c r="NIT1058" s="989"/>
      <c r="NIU1058" s="989"/>
      <c r="NIV1058" s="989"/>
      <c r="NIW1058" s="989"/>
      <c r="NIX1058" s="989"/>
      <c r="NIY1058" s="989"/>
      <c r="NIZ1058" s="989"/>
      <c r="NJA1058" s="989"/>
      <c r="NJB1058" s="989"/>
      <c r="NJC1058" s="989"/>
      <c r="NJD1058" s="989"/>
      <c r="NJE1058" s="989"/>
      <c r="NJF1058" s="989"/>
      <c r="NJG1058" s="989"/>
      <c r="NJH1058" s="989"/>
      <c r="NJI1058" s="989"/>
      <c r="NJJ1058" s="989"/>
      <c r="NJK1058" s="989"/>
      <c r="NJL1058" s="989"/>
      <c r="NJM1058" s="989"/>
      <c r="NJN1058" s="989"/>
      <c r="NJO1058" s="989"/>
      <c r="NJP1058" s="989"/>
      <c r="NJQ1058" s="989"/>
      <c r="NJR1058" s="989"/>
      <c r="NJS1058" s="989"/>
      <c r="NJT1058" s="989"/>
      <c r="NJU1058" s="989"/>
      <c r="NJV1058" s="989"/>
      <c r="NJW1058" s="989"/>
      <c r="NJX1058" s="989"/>
      <c r="NJY1058" s="989"/>
      <c r="NJZ1058" s="989"/>
      <c r="NKA1058" s="989"/>
      <c r="NKB1058" s="989"/>
      <c r="NKC1058" s="989"/>
      <c r="NKD1058" s="989"/>
      <c r="NKE1058" s="989"/>
      <c r="NKF1058" s="989"/>
      <c r="NKG1058" s="989"/>
      <c r="NKH1058" s="989"/>
      <c r="NKI1058" s="989"/>
      <c r="NKJ1058" s="989"/>
      <c r="NKK1058" s="989"/>
      <c r="NKL1058" s="989"/>
      <c r="NKM1058" s="989"/>
      <c r="NKN1058" s="989"/>
      <c r="NKO1058" s="989"/>
      <c r="NKP1058" s="989"/>
      <c r="NKQ1058" s="989"/>
      <c r="NKR1058" s="989"/>
      <c r="NKS1058" s="989"/>
      <c r="NKT1058" s="989"/>
      <c r="NKU1058" s="989"/>
      <c r="NKV1058" s="989"/>
      <c r="NKW1058" s="989"/>
      <c r="NKX1058" s="989"/>
      <c r="NKY1058" s="989"/>
      <c r="NKZ1058" s="989"/>
      <c r="NLA1058" s="989"/>
      <c r="NLB1058" s="989"/>
      <c r="NLC1058" s="989"/>
      <c r="NLD1058" s="989"/>
      <c r="NLE1058" s="989"/>
      <c r="NLF1058" s="989"/>
      <c r="NLG1058" s="989"/>
      <c r="NLH1058" s="989"/>
      <c r="NLI1058" s="989"/>
      <c r="NLJ1058" s="989"/>
      <c r="NLK1058" s="989"/>
      <c r="NLL1058" s="989"/>
      <c r="NLM1058" s="989"/>
      <c r="NLN1058" s="989"/>
      <c r="NLO1058" s="989"/>
      <c r="NLP1058" s="989"/>
      <c r="NLQ1058" s="989"/>
      <c r="NLR1058" s="989"/>
      <c r="NLS1058" s="989"/>
      <c r="NLT1058" s="989"/>
      <c r="NLU1058" s="989"/>
      <c r="NLV1058" s="989"/>
      <c r="NLW1058" s="989"/>
      <c r="NLX1058" s="989"/>
      <c r="NLY1058" s="989"/>
      <c r="NLZ1058" s="989"/>
      <c r="NMA1058" s="989"/>
      <c r="NMB1058" s="989"/>
      <c r="NMC1058" s="989"/>
      <c r="NMD1058" s="989"/>
      <c r="NME1058" s="989"/>
      <c r="NMF1058" s="989"/>
      <c r="NMG1058" s="989"/>
      <c r="NMH1058" s="989"/>
      <c r="NMI1058" s="989"/>
      <c r="NMJ1058" s="989"/>
      <c r="NMK1058" s="989"/>
      <c r="NML1058" s="989"/>
      <c r="NMM1058" s="989"/>
      <c r="NMN1058" s="989"/>
      <c r="NMO1058" s="989"/>
      <c r="NMP1058" s="989"/>
      <c r="NMQ1058" s="989"/>
      <c r="NMR1058" s="989"/>
      <c r="NMS1058" s="989"/>
      <c r="NMT1058" s="989"/>
      <c r="NMU1058" s="989"/>
      <c r="NMV1058" s="989"/>
      <c r="NMW1058" s="989"/>
      <c r="NMX1058" s="989"/>
      <c r="NMY1058" s="989"/>
      <c r="NMZ1058" s="989"/>
      <c r="NNA1058" s="989"/>
      <c r="NNB1058" s="989"/>
      <c r="NNC1058" s="989"/>
      <c r="NND1058" s="989"/>
      <c r="NNE1058" s="989"/>
      <c r="NNF1058" s="989"/>
      <c r="NNG1058" s="989"/>
      <c r="NNH1058" s="989"/>
      <c r="NNI1058" s="989"/>
      <c r="NNJ1058" s="989"/>
      <c r="NNK1058" s="989"/>
      <c r="NNL1058" s="989"/>
      <c r="NNM1058" s="989"/>
      <c r="NNN1058" s="989"/>
      <c r="NNO1058" s="989"/>
      <c r="NNP1058" s="989"/>
      <c r="NNQ1058" s="989"/>
      <c r="NNR1058" s="989"/>
      <c r="NNS1058" s="989"/>
      <c r="NNT1058" s="989"/>
      <c r="NNU1058" s="989"/>
      <c r="NNV1058" s="989"/>
      <c r="NNW1058" s="989"/>
      <c r="NNX1058" s="989"/>
      <c r="NNY1058" s="989"/>
      <c r="NNZ1058" s="989"/>
      <c r="NOA1058" s="989"/>
      <c r="NOB1058" s="989"/>
      <c r="NOC1058" s="989"/>
      <c r="NOD1058" s="989"/>
      <c r="NOE1058" s="989"/>
      <c r="NOF1058" s="989"/>
      <c r="NOG1058" s="989"/>
      <c r="NOH1058" s="989"/>
      <c r="NOI1058" s="989"/>
      <c r="NOJ1058" s="989"/>
      <c r="NOK1058" s="989"/>
      <c r="NOL1058" s="989"/>
      <c r="NOM1058" s="989"/>
      <c r="NON1058" s="989"/>
      <c r="NOO1058" s="989"/>
      <c r="NOP1058" s="989"/>
      <c r="NOQ1058" s="989"/>
      <c r="NOR1058" s="989"/>
      <c r="NOS1058" s="989"/>
      <c r="NOT1058" s="989"/>
      <c r="NOU1058" s="989"/>
      <c r="NOV1058" s="989"/>
      <c r="NOW1058" s="989"/>
      <c r="NOX1058" s="989"/>
      <c r="NOY1058" s="989"/>
      <c r="NOZ1058" s="989"/>
      <c r="NPA1058" s="989"/>
      <c r="NPB1058" s="989"/>
      <c r="NPC1058" s="989"/>
      <c r="NPD1058" s="989"/>
      <c r="NPE1058" s="989"/>
      <c r="NPF1058" s="989"/>
      <c r="NPG1058" s="989"/>
      <c r="NPH1058" s="989"/>
      <c r="NPI1058" s="989"/>
      <c r="NPJ1058" s="989"/>
      <c r="NPK1058" s="989"/>
      <c r="NPL1058" s="989"/>
      <c r="NPM1058" s="989"/>
      <c r="NPN1058" s="989"/>
      <c r="NPO1058" s="989"/>
      <c r="NPP1058" s="989"/>
      <c r="NPQ1058" s="989"/>
      <c r="NPR1058" s="989"/>
      <c r="NPS1058" s="989"/>
      <c r="NPT1058" s="989"/>
      <c r="NPU1058" s="989"/>
      <c r="NPV1058" s="989"/>
      <c r="NPW1058" s="989"/>
      <c r="NPX1058" s="989"/>
      <c r="NPY1058" s="989"/>
      <c r="NPZ1058" s="989"/>
      <c r="NQA1058" s="989"/>
      <c r="NQB1058" s="989"/>
      <c r="NQC1058" s="989"/>
      <c r="NQD1058" s="989"/>
      <c r="NQE1058" s="989"/>
      <c r="NQF1058" s="989"/>
      <c r="NQG1058" s="989"/>
      <c r="NQH1058" s="989"/>
      <c r="NQI1058" s="989"/>
      <c r="NQJ1058" s="989"/>
      <c r="NQK1058" s="989"/>
      <c r="NQL1058" s="989"/>
      <c r="NQM1058" s="989"/>
      <c r="NQN1058" s="989"/>
      <c r="NQO1058" s="989"/>
      <c r="NQP1058" s="989"/>
      <c r="NQQ1058" s="989"/>
      <c r="NQR1058" s="989"/>
      <c r="NQS1058" s="989"/>
      <c r="NQT1058" s="989"/>
      <c r="NQU1058" s="989"/>
      <c r="NQV1058" s="989"/>
      <c r="NQW1058" s="989"/>
      <c r="NQX1058" s="989"/>
      <c r="NQY1058" s="989"/>
      <c r="NQZ1058" s="989"/>
      <c r="NRA1058" s="989"/>
      <c r="NRB1058" s="989"/>
      <c r="NRC1058" s="989"/>
      <c r="NRD1058" s="989"/>
      <c r="NRE1058" s="989"/>
      <c r="NRF1058" s="989"/>
      <c r="NRG1058" s="989"/>
      <c r="NRH1058" s="989"/>
      <c r="NRI1058" s="989"/>
      <c r="NRJ1058" s="989"/>
      <c r="NRK1058" s="989"/>
      <c r="NRL1058" s="989"/>
      <c r="NRM1058" s="989"/>
      <c r="NRN1058" s="989"/>
      <c r="NRO1058" s="989"/>
      <c r="NRP1058" s="989"/>
      <c r="NRQ1058" s="989"/>
      <c r="NRR1058" s="989"/>
      <c r="NRS1058" s="989"/>
      <c r="NRT1058" s="989"/>
      <c r="NRU1058" s="989"/>
      <c r="NRV1058" s="989"/>
      <c r="NRW1058" s="989"/>
      <c r="NRX1058" s="989"/>
      <c r="NRY1058" s="989"/>
      <c r="NRZ1058" s="989"/>
      <c r="NSA1058" s="989"/>
      <c r="NSB1058" s="989"/>
      <c r="NSC1058" s="989"/>
      <c r="NSD1058" s="989"/>
      <c r="NSE1058" s="989"/>
      <c r="NSF1058" s="989"/>
      <c r="NSG1058" s="989"/>
      <c r="NSH1058" s="989"/>
      <c r="NSI1058" s="989"/>
      <c r="NSJ1058" s="989"/>
      <c r="NSK1058" s="989"/>
      <c r="NSL1058" s="989"/>
      <c r="NSM1058" s="989"/>
      <c r="NSN1058" s="989"/>
      <c r="NSO1058" s="989"/>
      <c r="NSP1058" s="989"/>
      <c r="NSQ1058" s="989"/>
      <c r="NSR1058" s="989"/>
      <c r="NSS1058" s="989"/>
      <c r="NST1058" s="989"/>
      <c r="NSU1058" s="989"/>
      <c r="NSV1058" s="989"/>
      <c r="NSW1058" s="989"/>
      <c r="NSX1058" s="989"/>
      <c r="NSY1058" s="989"/>
      <c r="NSZ1058" s="989"/>
      <c r="NTA1058" s="989"/>
      <c r="NTB1058" s="989"/>
      <c r="NTC1058" s="989"/>
      <c r="NTD1058" s="989"/>
      <c r="NTE1058" s="989"/>
      <c r="NTF1058" s="989"/>
      <c r="NTG1058" s="989"/>
      <c r="NTH1058" s="989"/>
      <c r="NTI1058" s="989"/>
      <c r="NTJ1058" s="989"/>
      <c r="NTK1058" s="989"/>
      <c r="NTL1058" s="989"/>
      <c r="NTM1058" s="989"/>
      <c r="NTN1058" s="989"/>
      <c r="NTO1058" s="989"/>
      <c r="NTP1058" s="989"/>
      <c r="NTQ1058" s="989"/>
      <c r="NTR1058" s="989"/>
      <c r="NTS1058" s="989"/>
      <c r="NTT1058" s="989"/>
      <c r="NTU1058" s="989"/>
      <c r="NTV1058" s="989"/>
      <c r="NTW1058" s="989"/>
      <c r="NTX1058" s="989"/>
      <c r="NTY1058" s="989"/>
      <c r="NTZ1058" s="989"/>
      <c r="NUA1058" s="989"/>
      <c r="NUB1058" s="989"/>
      <c r="NUC1058" s="989"/>
      <c r="NUD1058" s="989"/>
      <c r="NUE1058" s="989"/>
      <c r="NUF1058" s="989"/>
      <c r="NUG1058" s="989"/>
      <c r="NUH1058" s="989"/>
      <c r="NUI1058" s="989"/>
      <c r="NUJ1058" s="989"/>
      <c r="NUK1058" s="989"/>
      <c r="NUL1058" s="989"/>
      <c r="NUM1058" s="989"/>
      <c r="NUN1058" s="989"/>
      <c r="NUO1058" s="989"/>
      <c r="NUP1058" s="989"/>
      <c r="NUQ1058" s="989"/>
      <c r="NUR1058" s="989"/>
      <c r="NUS1058" s="989"/>
      <c r="NUT1058" s="989"/>
      <c r="NUU1058" s="989"/>
      <c r="NUV1058" s="989"/>
      <c r="NUW1058" s="989"/>
      <c r="NUX1058" s="989"/>
      <c r="NUY1058" s="989"/>
      <c r="NUZ1058" s="989"/>
      <c r="NVA1058" s="989"/>
      <c r="NVB1058" s="989"/>
      <c r="NVC1058" s="989"/>
      <c r="NVD1058" s="989"/>
      <c r="NVE1058" s="989"/>
      <c r="NVF1058" s="989"/>
      <c r="NVG1058" s="989"/>
      <c r="NVH1058" s="989"/>
      <c r="NVI1058" s="989"/>
      <c r="NVJ1058" s="989"/>
      <c r="NVK1058" s="989"/>
      <c r="NVL1058" s="989"/>
      <c r="NVM1058" s="989"/>
      <c r="NVN1058" s="989"/>
      <c r="NVO1058" s="989"/>
      <c r="NVP1058" s="989"/>
      <c r="NVQ1058" s="989"/>
      <c r="NVR1058" s="989"/>
      <c r="NVS1058" s="989"/>
      <c r="NVT1058" s="989"/>
      <c r="NVU1058" s="989"/>
      <c r="NVV1058" s="989"/>
      <c r="NVW1058" s="989"/>
      <c r="NVX1058" s="989"/>
      <c r="NVY1058" s="989"/>
      <c r="NVZ1058" s="989"/>
      <c r="NWA1058" s="989"/>
      <c r="NWB1058" s="989"/>
      <c r="NWC1058" s="989"/>
      <c r="NWD1058" s="989"/>
      <c r="NWE1058" s="989"/>
      <c r="NWF1058" s="989"/>
      <c r="NWG1058" s="989"/>
      <c r="NWH1058" s="989"/>
      <c r="NWI1058" s="989"/>
      <c r="NWJ1058" s="989"/>
      <c r="NWK1058" s="989"/>
      <c r="NWL1058" s="989"/>
      <c r="NWM1058" s="989"/>
      <c r="NWN1058" s="989"/>
      <c r="NWO1058" s="989"/>
      <c r="NWP1058" s="989"/>
      <c r="NWQ1058" s="989"/>
      <c r="NWR1058" s="989"/>
      <c r="NWS1058" s="989"/>
      <c r="NWT1058" s="989"/>
      <c r="NWU1058" s="989"/>
      <c r="NWV1058" s="989"/>
      <c r="NWW1058" s="989"/>
      <c r="NWX1058" s="989"/>
      <c r="NWY1058" s="989"/>
      <c r="NWZ1058" s="989"/>
      <c r="NXA1058" s="989"/>
      <c r="NXB1058" s="989"/>
      <c r="NXC1058" s="989"/>
      <c r="NXD1058" s="989"/>
      <c r="NXE1058" s="989"/>
      <c r="NXF1058" s="989"/>
      <c r="NXG1058" s="989"/>
      <c r="NXH1058" s="989"/>
      <c r="NXI1058" s="989"/>
      <c r="NXJ1058" s="989"/>
      <c r="NXK1058" s="989"/>
      <c r="NXL1058" s="989"/>
      <c r="NXM1058" s="989"/>
      <c r="NXN1058" s="989"/>
      <c r="NXO1058" s="989"/>
      <c r="NXP1058" s="989"/>
      <c r="NXQ1058" s="989"/>
      <c r="NXR1058" s="989"/>
      <c r="NXS1058" s="989"/>
      <c r="NXT1058" s="989"/>
      <c r="NXU1058" s="989"/>
      <c r="NXV1058" s="989"/>
      <c r="NXW1058" s="989"/>
      <c r="NXX1058" s="989"/>
      <c r="NXY1058" s="989"/>
      <c r="NXZ1058" s="989"/>
      <c r="NYA1058" s="989"/>
      <c r="NYB1058" s="989"/>
      <c r="NYC1058" s="989"/>
      <c r="NYD1058" s="989"/>
      <c r="NYE1058" s="989"/>
      <c r="NYF1058" s="989"/>
      <c r="NYG1058" s="989"/>
      <c r="NYH1058" s="989"/>
      <c r="NYI1058" s="989"/>
      <c r="NYJ1058" s="989"/>
      <c r="NYK1058" s="989"/>
      <c r="NYL1058" s="989"/>
      <c r="NYM1058" s="989"/>
      <c r="NYN1058" s="989"/>
      <c r="NYO1058" s="989"/>
      <c r="NYP1058" s="989"/>
      <c r="NYQ1058" s="989"/>
      <c r="NYR1058" s="989"/>
      <c r="NYS1058" s="989"/>
      <c r="NYT1058" s="989"/>
      <c r="NYU1058" s="989"/>
      <c r="NYV1058" s="989"/>
      <c r="NYW1058" s="989"/>
      <c r="NYX1058" s="989"/>
      <c r="NYY1058" s="989"/>
      <c r="NYZ1058" s="989"/>
      <c r="NZA1058" s="989"/>
      <c r="NZB1058" s="989"/>
      <c r="NZC1058" s="989"/>
      <c r="NZD1058" s="989"/>
      <c r="NZE1058" s="989"/>
      <c r="NZF1058" s="989"/>
      <c r="NZG1058" s="989"/>
      <c r="NZH1058" s="989"/>
      <c r="NZI1058" s="989"/>
      <c r="NZJ1058" s="989"/>
      <c r="NZK1058" s="989"/>
      <c r="NZL1058" s="989"/>
      <c r="NZM1058" s="989"/>
      <c r="NZN1058" s="989"/>
      <c r="NZO1058" s="989"/>
      <c r="NZP1058" s="989"/>
      <c r="NZQ1058" s="989"/>
      <c r="NZR1058" s="989"/>
      <c r="NZS1058" s="989"/>
      <c r="NZT1058" s="989"/>
      <c r="NZU1058" s="989"/>
      <c r="NZV1058" s="989"/>
      <c r="NZW1058" s="989"/>
      <c r="NZX1058" s="989"/>
      <c r="NZY1058" s="989"/>
      <c r="NZZ1058" s="989"/>
      <c r="OAA1058" s="989"/>
      <c r="OAB1058" s="989"/>
      <c r="OAC1058" s="989"/>
      <c r="OAD1058" s="989"/>
      <c r="OAE1058" s="989"/>
      <c r="OAF1058" s="989"/>
      <c r="OAG1058" s="989"/>
      <c r="OAH1058" s="989"/>
      <c r="OAI1058" s="989"/>
      <c r="OAJ1058" s="989"/>
      <c r="OAK1058" s="989"/>
      <c r="OAL1058" s="989"/>
      <c r="OAM1058" s="989"/>
      <c r="OAN1058" s="989"/>
      <c r="OAO1058" s="989"/>
      <c r="OAP1058" s="989"/>
      <c r="OAQ1058" s="989"/>
      <c r="OAR1058" s="989"/>
      <c r="OAS1058" s="989"/>
      <c r="OAT1058" s="989"/>
      <c r="OAU1058" s="989"/>
      <c r="OAV1058" s="989"/>
      <c r="OAW1058" s="989"/>
      <c r="OAX1058" s="989"/>
      <c r="OAY1058" s="989"/>
      <c r="OAZ1058" s="989"/>
      <c r="OBA1058" s="989"/>
      <c r="OBB1058" s="989"/>
      <c r="OBC1058" s="989"/>
      <c r="OBD1058" s="989"/>
      <c r="OBE1058" s="989"/>
      <c r="OBF1058" s="989"/>
      <c r="OBG1058" s="989"/>
      <c r="OBH1058" s="989"/>
      <c r="OBI1058" s="989"/>
      <c r="OBJ1058" s="989"/>
      <c r="OBK1058" s="989"/>
      <c r="OBL1058" s="989"/>
      <c r="OBM1058" s="989"/>
      <c r="OBN1058" s="989"/>
      <c r="OBO1058" s="989"/>
      <c r="OBP1058" s="989"/>
      <c r="OBQ1058" s="989"/>
      <c r="OBR1058" s="989"/>
      <c r="OBS1058" s="989"/>
      <c r="OBT1058" s="989"/>
      <c r="OBU1058" s="989"/>
      <c r="OBV1058" s="989"/>
      <c r="OBW1058" s="989"/>
      <c r="OBX1058" s="989"/>
      <c r="OBY1058" s="989"/>
      <c r="OBZ1058" s="989"/>
      <c r="OCA1058" s="989"/>
      <c r="OCB1058" s="989"/>
      <c r="OCC1058" s="989"/>
      <c r="OCD1058" s="989"/>
      <c r="OCE1058" s="989"/>
      <c r="OCF1058" s="989"/>
      <c r="OCG1058" s="989"/>
      <c r="OCH1058" s="989"/>
      <c r="OCI1058" s="989"/>
      <c r="OCJ1058" s="989"/>
      <c r="OCK1058" s="989"/>
      <c r="OCL1058" s="989"/>
      <c r="OCM1058" s="989"/>
      <c r="OCN1058" s="989"/>
      <c r="OCO1058" s="989"/>
      <c r="OCP1058" s="989"/>
      <c r="OCQ1058" s="989"/>
      <c r="OCR1058" s="989"/>
      <c r="OCS1058" s="989"/>
      <c r="OCT1058" s="989"/>
      <c r="OCU1058" s="989"/>
      <c r="OCV1058" s="989"/>
      <c r="OCW1058" s="989"/>
      <c r="OCX1058" s="989"/>
      <c r="OCY1058" s="989"/>
      <c r="OCZ1058" s="989"/>
      <c r="ODA1058" s="989"/>
      <c r="ODB1058" s="989"/>
      <c r="ODC1058" s="989"/>
      <c r="ODD1058" s="989"/>
      <c r="ODE1058" s="989"/>
      <c r="ODF1058" s="989"/>
      <c r="ODG1058" s="989"/>
      <c r="ODH1058" s="989"/>
      <c r="ODI1058" s="989"/>
      <c r="ODJ1058" s="989"/>
      <c r="ODK1058" s="989"/>
      <c r="ODL1058" s="989"/>
      <c r="ODM1058" s="989"/>
      <c r="ODN1058" s="989"/>
      <c r="ODO1058" s="989"/>
      <c r="ODP1058" s="989"/>
      <c r="ODQ1058" s="989"/>
      <c r="ODR1058" s="989"/>
      <c r="ODS1058" s="989"/>
      <c r="ODT1058" s="989"/>
      <c r="ODU1058" s="989"/>
      <c r="ODV1058" s="989"/>
      <c r="ODW1058" s="989"/>
      <c r="ODX1058" s="989"/>
      <c r="ODY1058" s="989"/>
      <c r="ODZ1058" s="989"/>
      <c r="OEA1058" s="989"/>
      <c r="OEB1058" s="989"/>
      <c r="OEC1058" s="989"/>
      <c r="OED1058" s="989"/>
      <c r="OEE1058" s="989"/>
      <c r="OEF1058" s="989"/>
      <c r="OEG1058" s="989"/>
      <c r="OEH1058" s="989"/>
      <c r="OEI1058" s="989"/>
      <c r="OEJ1058" s="989"/>
      <c r="OEK1058" s="989"/>
      <c r="OEL1058" s="989"/>
      <c r="OEM1058" s="989"/>
      <c r="OEN1058" s="989"/>
      <c r="OEO1058" s="989"/>
      <c r="OEP1058" s="989"/>
      <c r="OEQ1058" s="989"/>
      <c r="OER1058" s="989"/>
      <c r="OES1058" s="989"/>
      <c r="OET1058" s="989"/>
      <c r="OEU1058" s="989"/>
      <c r="OEV1058" s="989"/>
      <c r="OEW1058" s="989"/>
      <c r="OEX1058" s="989"/>
      <c r="OEY1058" s="989"/>
      <c r="OEZ1058" s="989"/>
      <c r="OFA1058" s="989"/>
      <c r="OFB1058" s="989"/>
      <c r="OFC1058" s="989"/>
      <c r="OFD1058" s="989"/>
      <c r="OFE1058" s="989"/>
      <c r="OFF1058" s="989"/>
      <c r="OFG1058" s="989"/>
      <c r="OFH1058" s="989"/>
      <c r="OFI1058" s="989"/>
      <c r="OFJ1058" s="989"/>
      <c r="OFK1058" s="989"/>
      <c r="OFL1058" s="989"/>
      <c r="OFM1058" s="989"/>
      <c r="OFN1058" s="989"/>
      <c r="OFO1058" s="989"/>
      <c r="OFP1058" s="989"/>
      <c r="OFQ1058" s="989"/>
      <c r="OFR1058" s="989"/>
      <c r="OFS1058" s="989"/>
      <c r="OFT1058" s="989"/>
      <c r="OFU1058" s="989"/>
      <c r="OFV1058" s="989"/>
      <c r="OFW1058" s="989"/>
      <c r="OFX1058" s="989"/>
      <c r="OFY1058" s="989"/>
      <c r="OFZ1058" s="989"/>
      <c r="OGA1058" s="989"/>
      <c r="OGB1058" s="989"/>
      <c r="OGC1058" s="989"/>
      <c r="OGD1058" s="989"/>
      <c r="OGE1058" s="989"/>
      <c r="OGF1058" s="989"/>
      <c r="OGG1058" s="989"/>
      <c r="OGH1058" s="989"/>
      <c r="OGI1058" s="989"/>
      <c r="OGJ1058" s="989"/>
      <c r="OGK1058" s="989"/>
      <c r="OGL1058" s="989"/>
      <c r="OGM1058" s="989"/>
      <c r="OGN1058" s="989"/>
      <c r="OGO1058" s="989"/>
      <c r="OGP1058" s="989"/>
      <c r="OGQ1058" s="989"/>
      <c r="OGR1058" s="989"/>
      <c r="OGS1058" s="989"/>
      <c r="OGT1058" s="989"/>
      <c r="OGU1058" s="989"/>
      <c r="OGV1058" s="989"/>
      <c r="OGW1058" s="989"/>
      <c r="OGX1058" s="989"/>
      <c r="OGY1058" s="989"/>
      <c r="OGZ1058" s="989"/>
      <c r="OHA1058" s="989"/>
      <c r="OHB1058" s="989"/>
      <c r="OHC1058" s="989"/>
      <c r="OHD1058" s="989"/>
      <c r="OHE1058" s="989"/>
      <c r="OHF1058" s="989"/>
      <c r="OHG1058" s="989"/>
      <c r="OHH1058" s="989"/>
      <c r="OHI1058" s="989"/>
      <c r="OHJ1058" s="989"/>
      <c r="OHK1058" s="989"/>
      <c r="OHL1058" s="989"/>
      <c r="OHM1058" s="989"/>
      <c r="OHN1058" s="989"/>
      <c r="OHO1058" s="989"/>
      <c r="OHP1058" s="989"/>
      <c r="OHQ1058" s="989"/>
      <c r="OHR1058" s="989"/>
      <c r="OHS1058" s="989"/>
      <c r="OHT1058" s="989"/>
      <c r="OHU1058" s="989"/>
      <c r="OHV1058" s="989"/>
      <c r="OHW1058" s="989"/>
      <c r="OHX1058" s="989"/>
      <c r="OHY1058" s="989"/>
      <c r="OHZ1058" s="989"/>
      <c r="OIA1058" s="989"/>
      <c r="OIB1058" s="989"/>
      <c r="OIC1058" s="989"/>
      <c r="OID1058" s="989"/>
      <c r="OIE1058" s="989"/>
      <c r="OIF1058" s="989"/>
      <c r="OIG1058" s="989"/>
      <c r="OIH1058" s="989"/>
      <c r="OII1058" s="989"/>
      <c r="OIJ1058" s="989"/>
      <c r="OIK1058" s="989"/>
      <c r="OIL1058" s="989"/>
      <c r="OIM1058" s="989"/>
      <c r="OIN1058" s="989"/>
      <c r="OIO1058" s="989"/>
      <c r="OIP1058" s="989"/>
      <c r="OIQ1058" s="989"/>
      <c r="OIR1058" s="989"/>
      <c r="OIS1058" s="989"/>
      <c r="OIT1058" s="989"/>
      <c r="OIU1058" s="989"/>
      <c r="OIV1058" s="989"/>
      <c r="OIW1058" s="989"/>
      <c r="OIX1058" s="989"/>
      <c r="OIY1058" s="989"/>
      <c r="OIZ1058" s="989"/>
      <c r="OJA1058" s="989"/>
      <c r="OJB1058" s="989"/>
      <c r="OJC1058" s="989"/>
      <c r="OJD1058" s="989"/>
      <c r="OJE1058" s="989"/>
      <c r="OJF1058" s="989"/>
      <c r="OJG1058" s="989"/>
      <c r="OJH1058" s="989"/>
      <c r="OJI1058" s="989"/>
      <c r="OJJ1058" s="989"/>
      <c r="OJK1058" s="989"/>
      <c r="OJL1058" s="989"/>
      <c r="OJM1058" s="989"/>
      <c r="OJN1058" s="989"/>
      <c r="OJO1058" s="989"/>
      <c r="OJP1058" s="989"/>
      <c r="OJQ1058" s="989"/>
      <c r="OJR1058" s="989"/>
      <c r="OJS1058" s="989"/>
      <c r="OJT1058" s="989"/>
      <c r="OJU1058" s="989"/>
      <c r="OJV1058" s="989"/>
      <c r="OJW1058" s="989"/>
      <c r="OJX1058" s="989"/>
      <c r="OJY1058" s="989"/>
      <c r="OJZ1058" s="989"/>
      <c r="OKA1058" s="989"/>
      <c r="OKB1058" s="989"/>
      <c r="OKC1058" s="989"/>
      <c r="OKD1058" s="989"/>
      <c r="OKE1058" s="989"/>
      <c r="OKF1058" s="989"/>
      <c r="OKG1058" s="989"/>
      <c r="OKH1058" s="989"/>
      <c r="OKI1058" s="989"/>
      <c r="OKJ1058" s="989"/>
      <c r="OKK1058" s="989"/>
      <c r="OKL1058" s="989"/>
      <c r="OKM1058" s="989"/>
      <c r="OKN1058" s="989"/>
      <c r="OKO1058" s="989"/>
      <c r="OKP1058" s="989"/>
      <c r="OKQ1058" s="989"/>
      <c r="OKR1058" s="989"/>
      <c r="OKS1058" s="989"/>
      <c r="OKT1058" s="989"/>
      <c r="OKU1058" s="989"/>
      <c r="OKV1058" s="989"/>
      <c r="OKW1058" s="989"/>
      <c r="OKX1058" s="989"/>
      <c r="OKY1058" s="989"/>
      <c r="OKZ1058" s="989"/>
      <c r="OLA1058" s="989"/>
      <c r="OLB1058" s="989"/>
      <c r="OLC1058" s="989"/>
      <c r="OLD1058" s="989"/>
      <c r="OLE1058" s="989"/>
      <c r="OLF1058" s="989"/>
      <c r="OLG1058" s="989"/>
      <c r="OLH1058" s="989"/>
      <c r="OLI1058" s="989"/>
      <c r="OLJ1058" s="989"/>
      <c r="OLK1058" s="989"/>
      <c r="OLL1058" s="989"/>
      <c r="OLM1058" s="989"/>
      <c r="OLN1058" s="989"/>
      <c r="OLO1058" s="989"/>
      <c r="OLP1058" s="989"/>
      <c r="OLQ1058" s="989"/>
      <c r="OLR1058" s="989"/>
      <c r="OLS1058" s="989"/>
      <c r="OLT1058" s="989"/>
      <c r="OLU1058" s="989"/>
      <c r="OLV1058" s="989"/>
      <c r="OLW1058" s="989"/>
      <c r="OLX1058" s="989"/>
      <c r="OLY1058" s="989"/>
      <c r="OLZ1058" s="989"/>
      <c r="OMA1058" s="989"/>
      <c r="OMB1058" s="989"/>
      <c r="OMC1058" s="989"/>
      <c r="OMD1058" s="989"/>
      <c r="OME1058" s="989"/>
      <c r="OMF1058" s="989"/>
      <c r="OMG1058" s="989"/>
      <c r="OMH1058" s="989"/>
      <c r="OMI1058" s="989"/>
      <c r="OMJ1058" s="989"/>
      <c r="OMK1058" s="989"/>
      <c r="OML1058" s="989"/>
      <c r="OMM1058" s="989"/>
      <c r="OMN1058" s="989"/>
      <c r="OMO1058" s="989"/>
      <c r="OMP1058" s="989"/>
      <c r="OMQ1058" s="989"/>
      <c r="OMR1058" s="989"/>
      <c r="OMS1058" s="989"/>
      <c r="OMT1058" s="989"/>
      <c r="OMU1058" s="989"/>
      <c r="OMV1058" s="989"/>
      <c r="OMW1058" s="989"/>
      <c r="OMX1058" s="989"/>
      <c r="OMY1058" s="989"/>
      <c r="OMZ1058" s="989"/>
      <c r="ONA1058" s="989"/>
      <c r="ONB1058" s="989"/>
      <c r="ONC1058" s="989"/>
      <c r="OND1058" s="989"/>
      <c r="ONE1058" s="989"/>
      <c r="ONF1058" s="989"/>
      <c r="ONG1058" s="989"/>
      <c r="ONH1058" s="989"/>
      <c r="ONI1058" s="989"/>
      <c r="ONJ1058" s="989"/>
      <c r="ONK1058" s="989"/>
      <c r="ONL1058" s="989"/>
      <c r="ONM1058" s="989"/>
      <c r="ONN1058" s="989"/>
      <c r="ONO1058" s="989"/>
      <c r="ONP1058" s="989"/>
      <c r="ONQ1058" s="989"/>
      <c r="ONR1058" s="989"/>
      <c r="ONS1058" s="989"/>
      <c r="ONT1058" s="989"/>
      <c r="ONU1058" s="989"/>
      <c r="ONV1058" s="989"/>
      <c r="ONW1058" s="989"/>
      <c r="ONX1058" s="989"/>
      <c r="ONY1058" s="989"/>
      <c r="ONZ1058" s="989"/>
      <c r="OOA1058" s="989"/>
      <c r="OOB1058" s="989"/>
      <c r="OOC1058" s="989"/>
      <c r="OOD1058" s="989"/>
      <c r="OOE1058" s="989"/>
      <c r="OOF1058" s="989"/>
      <c r="OOG1058" s="989"/>
      <c r="OOH1058" s="989"/>
      <c r="OOI1058" s="989"/>
      <c r="OOJ1058" s="989"/>
      <c r="OOK1058" s="989"/>
      <c r="OOL1058" s="989"/>
      <c r="OOM1058" s="989"/>
      <c r="OON1058" s="989"/>
      <c r="OOO1058" s="989"/>
      <c r="OOP1058" s="989"/>
      <c r="OOQ1058" s="989"/>
      <c r="OOR1058" s="989"/>
      <c r="OOS1058" s="989"/>
      <c r="OOT1058" s="989"/>
      <c r="OOU1058" s="989"/>
      <c r="OOV1058" s="989"/>
      <c r="OOW1058" s="989"/>
      <c r="OOX1058" s="989"/>
      <c r="OOY1058" s="989"/>
      <c r="OOZ1058" s="989"/>
      <c r="OPA1058" s="989"/>
      <c r="OPB1058" s="989"/>
      <c r="OPC1058" s="989"/>
      <c r="OPD1058" s="989"/>
      <c r="OPE1058" s="989"/>
      <c r="OPF1058" s="989"/>
      <c r="OPG1058" s="989"/>
      <c r="OPH1058" s="989"/>
      <c r="OPI1058" s="989"/>
      <c r="OPJ1058" s="989"/>
      <c r="OPK1058" s="989"/>
      <c r="OPL1058" s="989"/>
      <c r="OPM1058" s="989"/>
      <c r="OPN1058" s="989"/>
      <c r="OPO1058" s="989"/>
      <c r="OPP1058" s="989"/>
      <c r="OPQ1058" s="989"/>
      <c r="OPR1058" s="989"/>
      <c r="OPS1058" s="989"/>
      <c r="OPT1058" s="989"/>
      <c r="OPU1058" s="989"/>
      <c r="OPV1058" s="989"/>
      <c r="OPW1058" s="989"/>
      <c r="OPX1058" s="989"/>
      <c r="OPY1058" s="989"/>
      <c r="OPZ1058" s="989"/>
      <c r="OQA1058" s="989"/>
      <c r="OQB1058" s="989"/>
      <c r="OQC1058" s="989"/>
      <c r="OQD1058" s="989"/>
      <c r="OQE1058" s="989"/>
      <c r="OQF1058" s="989"/>
      <c r="OQG1058" s="989"/>
      <c r="OQH1058" s="989"/>
      <c r="OQI1058" s="989"/>
      <c r="OQJ1058" s="989"/>
      <c r="OQK1058" s="989"/>
      <c r="OQL1058" s="989"/>
      <c r="OQM1058" s="989"/>
      <c r="OQN1058" s="989"/>
      <c r="OQO1058" s="989"/>
      <c r="OQP1058" s="989"/>
      <c r="OQQ1058" s="989"/>
      <c r="OQR1058" s="989"/>
      <c r="OQS1058" s="989"/>
      <c r="OQT1058" s="989"/>
      <c r="OQU1058" s="989"/>
      <c r="OQV1058" s="989"/>
      <c r="OQW1058" s="989"/>
      <c r="OQX1058" s="989"/>
      <c r="OQY1058" s="989"/>
      <c r="OQZ1058" s="989"/>
      <c r="ORA1058" s="989"/>
      <c r="ORB1058" s="989"/>
      <c r="ORC1058" s="989"/>
      <c r="ORD1058" s="989"/>
      <c r="ORE1058" s="989"/>
      <c r="ORF1058" s="989"/>
      <c r="ORG1058" s="989"/>
      <c r="ORH1058" s="989"/>
      <c r="ORI1058" s="989"/>
      <c r="ORJ1058" s="989"/>
      <c r="ORK1058" s="989"/>
      <c r="ORL1058" s="989"/>
      <c r="ORM1058" s="989"/>
      <c r="ORN1058" s="989"/>
      <c r="ORO1058" s="989"/>
      <c r="ORP1058" s="989"/>
      <c r="ORQ1058" s="989"/>
      <c r="ORR1058" s="989"/>
      <c r="ORS1058" s="989"/>
      <c r="ORT1058" s="989"/>
      <c r="ORU1058" s="989"/>
      <c r="ORV1058" s="989"/>
      <c r="ORW1058" s="989"/>
      <c r="ORX1058" s="989"/>
      <c r="ORY1058" s="989"/>
      <c r="ORZ1058" s="989"/>
      <c r="OSA1058" s="989"/>
      <c r="OSB1058" s="989"/>
      <c r="OSC1058" s="989"/>
      <c r="OSD1058" s="989"/>
      <c r="OSE1058" s="989"/>
      <c r="OSF1058" s="989"/>
      <c r="OSG1058" s="989"/>
      <c r="OSH1058" s="989"/>
      <c r="OSI1058" s="989"/>
      <c r="OSJ1058" s="989"/>
      <c r="OSK1058" s="989"/>
      <c r="OSL1058" s="989"/>
      <c r="OSM1058" s="989"/>
      <c r="OSN1058" s="989"/>
      <c r="OSO1058" s="989"/>
      <c r="OSP1058" s="989"/>
      <c r="OSQ1058" s="989"/>
      <c r="OSR1058" s="989"/>
      <c r="OSS1058" s="989"/>
      <c r="OST1058" s="989"/>
      <c r="OSU1058" s="989"/>
      <c r="OSV1058" s="989"/>
      <c r="OSW1058" s="989"/>
      <c r="OSX1058" s="989"/>
      <c r="OSY1058" s="989"/>
      <c r="OSZ1058" s="989"/>
      <c r="OTA1058" s="989"/>
      <c r="OTB1058" s="989"/>
      <c r="OTC1058" s="989"/>
      <c r="OTD1058" s="989"/>
      <c r="OTE1058" s="989"/>
      <c r="OTF1058" s="989"/>
      <c r="OTG1058" s="989"/>
      <c r="OTH1058" s="989"/>
      <c r="OTI1058" s="989"/>
      <c r="OTJ1058" s="989"/>
      <c r="OTK1058" s="989"/>
      <c r="OTL1058" s="989"/>
      <c r="OTM1058" s="989"/>
      <c r="OTN1058" s="989"/>
      <c r="OTO1058" s="989"/>
      <c r="OTP1058" s="989"/>
      <c r="OTQ1058" s="989"/>
      <c r="OTR1058" s="989"/>
      <c r="OTS1058" s="989"/>
      <c r="OTT1058" s="989"/>
      <c r="OTU1058" s="989"/>
      <c r="OTV1058" s="989"/>
      <c r="OTW1058" s="989"/>
      <c r="OTX1058" s="989"/>
      <c r="OTY1058" s="989"/>
      <c r="OTZ1058" s="989"/>
      <c r="OUA1058" s="989"/>
      <c r="OUB1058" s="989"/>
      <c r="OUC1058" s="989"/>
      <c r="OUD1058" s="989"/>
      <c r="OUE1058" s="989"/>
      <c r="OUF1058" s="989"/>
      <c r="OUG1058" s="989"/>
      <c r="OUH1058" s="989"/>
      <c r="OUI1058" s="989"/>
      <c r="OUJ1058" s="989"/>
      <c r="OUK1058" s="989"/>
      <c r="OUL1058" s="989"/>
      <c r="OUM1058" s="989"/>
      <c r="OUN1058" s="989"/>
      <c r="OUO1058" s="989"/>
      <c r="OUP1058" s="989"/>
      <c r="OUQ1058" s="989"/>
      <c r="OUR1058" s="989"/>
      <c r="OUS1058" s="989"/>
      <c r="OUT1058" s="989"/>
      <c r="OUU1058" s="989"/>
      <c r="OUV1058" s="989"/>
      <c r="OUW1058" s="989"/>
      <c r="OUX1058" s="989"/>
      <c r="OUY1058" s="989"/>
      <c r="OUZ1058" s="989"/>
      <c r="OVA1058" s="989"/>
      <c r="OVB1058" s="989"/>
      <c r="OVC1058" s="989"/>
      <c r="OVD1058" s="989"/>
      <c r="OVE1058" s="989"/>
      <c r="OVF1058" s="989"/>
      <c r="OVG1058" s="989"/>
      <c r="OVH1058" s="989"/>
      <c r="OVI1058" s="989"/>
      <c r="OVJ1058" s="989"/>
      <c r="OVK1058" s="989"/>
      <c r="OVL1058" s="989"/>
      <c r="OVM1058" s="989"/>
      <c r="OVN1058" s="989"/>
      <c r="OVO1058" s="989"/>
      <c r="OVP1058" s="989"/>
      <c r="OVQ1058" s="989"/>
      <c r="OVR1058" s="989"/>
      <c r="OVS1058" s="989"/>
      <c r="OVT1058" s="989"/>
      <c r="OVU1058" s="989"/>
      <c r="OVV1058" s="989"/>
      <c r="OVW1058" s="989"/>
      <c r="OVX1058" s="989"/>
      <c r="OVY1058" s="989"/>
      <c r="OVZ1058" s="989"/>
      <c r="OWA1058" s="989"/>
      <c r="OWB1058" s="989"/>
      <c r="OWC1058" s="989"/>
      <c r="OWD1058" s="989"/>
      <c r="OWE1058" s="989"/>
      <c r="OWF1058" s="989"/>
      <c r="OWG1058" s="989"/>
      <c r="OWH1058" s="989"/>
      <c r="OWI1058" s="989"/>
      <c r="OWJ1058" s="989"/>
      <c r="OWK1058" s="989"/>
      <c r="OWL1058" s="989"/>
      <c r="OWM1058" s="989"/>
      <c r="OWN1058" s="989"/>
      <c r="OWO1058" s="989"/>
      <c r="OWP1058" s="989"/>
      <c r="OWQ1058" s="989"/>
      <c r="OWR1058" s="989"/>
      <c r="OWS1058" s="989"/>
      <c r="OWT1058" s="989"/>
      <c r="OWU1058" s="989"/>
      <c r="OWV1058" s="989"/>
      <c r="OWW1058" s="989"/>
      <c r="OWX1058" s="989"/>
      <c r="OWY1058" s="989"/>
      <c r="OWZ1058" s="989"/>
      <c r="OXA1058" s="989"/>
      <c r="OXB1058" s="989"/>
      <c r="OXC1058" s="989"/>
      <c r="OXD1058" s="989"/>
      <c r="OXE1058" s="989"/>
      <c r="OXF1058" s="989"/>
      <c r="OXG1058" s="989"/>
      <c r="OXH1058" s="989"/>
      <c r="OXI1058" s="989"/>
      <c r="OXJ1058" s="989"/>
      <c r="OXK1058" s="989"/>
      <c r="OXL1058" s="989"/>
      <c r="OXM1058" s="989"/>
      <c r="OXN1058" s="989"/>
      <c r="OXO1058" s="989"/>
      <c r="OXP1058" s="989"/>
      <c r="OXQ1058" s="989"/>
      <c r="OXR1058" s="989"/>
      <c r="OXS1058" s="989"/>
      <c r="OXT1058" s="989"/>
      <c r="OXU1058" s="989"/>
      <c r="OXV1058" s="989"/>
      <c r="OXW1058" s="989"/>
      <c r="OXX1058" s="989"/>
      <c r="OXY1058" s="989"/>
      <c r="OXZ1058" s="989"/>
      <c r="OYA1058" s="989"/>
      <c r="OYB1058" s="989"/>
      <c r="OYC1058" s="989"/>
      <c r="OYD1058" s="989"/>
      <c r="OYE1058" s="989"/>
      <c r="OYF1058" s="989"/>
      <c r="OYG1058" s="989"/>
      <c r="OYH1058" s="989"/>
      <c r="OYI1058" s="989"/>
      <c r="OYJ1058" s="989"/>
      <c r="OYK1058" s="989"/>
      <c r="OYL1058" s="989"/>
      <c r="OYM1058" s="989"/>
      <c r="OYN1058" s="989"/>
      <c r="OYO1058" s="989"/>
      <c r="OYP1058" s="989"/>
      <c r="OYQ1058" s="989"/>
      <c r="OYR1058" s="989"/>
      <c r="OYS1058" s="989"/>
      <c r="OYT1058" s="989"/>
      <c r="OYU1058" s="989"/>
      <c r="OYV1058" s="989"/>
      <c r="OYW1058" s="989"/>
      <c r="OYX1058" s="989"/>
      <c r="OYY1058" s="989"/>
      <c r="OYZ1058" s="989"/>
      <c r="OZA1058" s="989"/>
      <c r="OZB1058" s="989"/>
      <c r="OZC1058" s="989"/>
      <c r="OZD1058" s="989"/>
      <c r="OZE1058" s="989"/>
      <c r="OZF1058" s="989"/>
      <c r="OZG1058" s="989"/>
      <c r="OZH1058" s="989"/>
      <c r="OZI1058" s="989"/>
      <c r="OZJ1058" s="989"/>
      <c r="OZK1058" s="989"/>
      <c r="OZL1058" s="989"/>
      <c r="OZM1058" s="989"/>
      <c r="OZN1058" s="989"/>
      <c r="OZO1058" s="989"/>
      <c r="OZP1058" s="989"/>
      <c r="OZQ1058" s="989"/>
      <c r="OZR1058" s="989"/>
      <c r="OZS1058" s="989"/>
      <c r="OZT1058" s="989"/>
      <c r="OZU1058" s="989"/>
      <c r="OZV1058" s="989"/>
      <c r="OZW1058" s="989"/>
      <c r="OZX1058" s="989"/>
      <c r="OZY1058" s="989"/>
      <c r="OZZ1058" s="989"/>
      <c r="PAA1058" s="989"/>
      <c r="PAB1058" s="989"/>
      <c r="PAC1058" s="989"/>
      <c r="PAD1058" s="989"/>
      <c r="PAE1058" s="989"/>
      <c r="PAF1058" s="989"/>
      <c r="PAG1058" s="989"/>
      <c r="PAH1058" s="989"/>
      <c r="PAI1058" s="989"/>
      <c r="PAJ1058" s="989"/>
      <c r="PAK1058" s="989"/>
      <c r="PAL1058" s="989"/>
      <c r="PAM1058" s="989"/>
      <c r="PAN1058" s="989"/>
      <c r="PAO1058" s="989"/>
      <c r="PAP1058" s="989"/>
      <c r="PAQ1058" s="989"/>
      <c r="PAR1058" s="989"/>
      <c r="PAS1058" s="989"/>
      <c r="PAT1058" s="989"/>
      <c r="PAU1058" s="989"/>
      <c r="PAV1058" s="989"/>
      <c r="PAW1058" s="989"/>
      <c r="PAX1058" s="989"/>
      <c r="PAY1058" s="989"/>
      <c r="PAZ1058" s="989"/>
      <c r="PBA1058" s="989"/>
      <c r="PBB1058" s="989"/>
      <c r="PBC1058" s="989"/>
      <c r="PBD1058" s="989"/>
      <c r="PBE1058" s="989"/>
      <c r="PBF1058" s="989"/>
      <c r="PBG1058" s="989"/>
      <c r="PBH1058" s="989"/>
      <c r="PBI1058" s="989"/>
      <c r="PBJ1058" s="989"/>
      <c r="PBK1058" s="989"/>
      <c r="PBL1058" s="989"/>
      <c r="PBM1058" s="989"/>
      <c r="PBN1058" s="989"/>
      <c r="PBO1058" s="989"/>
      <c r="PBP1058" s="989"/>
      <c r="PBQ1058" s="989"/>
      <c r="PBR1058" s="989"/>
      <c r="PBS1058" s="989"/>
      <c r="PBT1058" s="989"/>
      <c r="PBU1058" s="989"/>
      <c r="PBV1058" s="989"/>
      <c r="PBW1058" s="989"/>
      <c r="PBX1058" s="989"/>
      <c r="PBY1058" s="989"/>
      <c r="PBZ1058" s="989"/>
      <c r="PCA1058" s="989"/>
      <c r="PCB1058" s="989"/>
      <c r="PCC1058" s="989"/>
      <c r="PCD1058" s="989"/>
      <c r="PCE1058" s="989"/>
      <c r="PCF1058" s="989"/>
      <c r="PCG1058" s="989"/>
      <c r="PCH1058" s="989"/>
      <c r="PCI1058" s="989"/>
      <c r="PCJ1058" s="989"/>
      <c r="PCK1058" s="989"/>
      <c r="PCL1058" s="989"/>
      <c r="PCM1058" s="989"/>
      <c r="PCN1058" s="989"/>
      <c r="PCO1058" s="989"/>
      <c r="PCP1058" s="989"/>
      <c r="PCQ1058" s="989"/>
      <c r="PCR1058" s="989"/>
      <c r="PCS1058" s="989"/>
      <c r="PCT1058" s="989"/>
      <c r="PCU1058" s="989"/>
      <c r="PCV1058" s="989"/>
      <c r="PCW1058" s="989"/>
      <c r="PCX1058" s="989"/>
      <c r="PCY1058" s="989"/>
      <c r="PCZ1058" s="989"/>
      <c r="PDA1058" s="989"/>
      <c r="PDB1058" s="989"/>
      <c r="PDC1058" s="989"/>
      <c r="PDD1058" s="989"/>
      <c r="PDE1058" s="989"/>
      <c r="PDF1058" s="989"/>
      <c r="PDG1058" s="989"/>
      <c r="PDH1058" s="989"/>
      <c r="PDI1058" s="989"/>
      <c r="PDJ1058" s="989"/>
      <c r="PDK1058" s="989"/>
      <c r="PDL1058" s="989"/>
      <c r="PDM1058" s="989"/>
      <c r="PDN1058" s="989"/>
      <c r="PDO1058" s="989"/>
      <c r="PDP1058" s="989"/>
      <c r="PDQ1058" s="989"/>
      <c r="PDR1058" s="989"/>
      <c r="PDS1058" s="989"/>
      <c r="PDT1058" s="989"/>
      <c r="PDU1058" s="989"/>
      <c r="PDV1058" s="989"/>
      <c r="PDW1058" s="989"/>
      <c r="PDX1058" s="989"/>
      <c r="PDY1058" s="989"/>
      <c r="PDZ1058" s="989"/>
      <c r="PEA1058" s="989"/>
      <c r="PEB1058" s="989"/>
      <c r="PEC1058" s="989"/>
      <c r="PED1058" s="989"/>
      <c r="PEE1058" s="989"/>
      <c r="PEF1058" s="989"/>
      <c r="PEG1058" s="989"/>
      <c r="PEH1058" s="989"/>
      <c r="PEI1058" s="989"/>
      <c r="PEJ1058" s="989"/>
      <c r="PEK1058" s="989"/>
      <c r="PEL1058" s="989"/>
      <c r="PEM1058" s="989"/>
      <c r="PEN1058" s="989"/>
      <c r="PEO1058" s="989"/>
      <c r="PEP1058" s="989"/>
      <c r="PEQ1058" s="989"/>
      <c r="PER1058" s="989"/>
      <c r="PES1058" s="989"/>
      <c r="PET1058" s="989"/>
      <c r="PEU1058" s="989"/>
      <c r="PEV1058" s="989"/>
      <c r="PEW1058" s="989"/>
      <c r="PEX1058" s="989"/>
      <c r="PEY1058" s="989"/>
      <c r="PEZ1058" s="989"/>
      <c r="PFA1058" s="989"/>
      <c r="PFB1058" s="989"/>
      <c r="PFC1058" s="989"/>
      <c r="PFD1058" s="989"/>
      <c r="PFE1058" s="989"/>
      <c r="PFF1058" s="989"/>
      <c r="PFG1058" s="989"/>
      <c r="PFH1058" s="989"/>
      <c r="PFI1058" s="989"/>
      <c r="PFJ1058" s="989"/>
      <c r="PFK1058" s="989"/>
      <c r="PFL1058" s="989"/>
      <c r="PFM1058" s="989"/>
      <c r="PFN1058" s="989"/>
      <c r="PFO1058" s="989"/>
      <c r="PFP1058" s="989"/>
      <c r="PFQ1058" s="989"/>
      <c r="PFR1058" s="989"/>
      <c r="PFS1058" s="989"/>
      <c r="PFT1058" s="989"/>
      <c r="PFU1058" s="989"/>
      <c r="PFV1058" s="989"/>
      <c r="PFW1058" s="989"/>
      <c r="PFX1058" s="989"/>
      <c r="PFY1058" s="989"/>
      <c r="PFZ1058" s="989"/>
      <c r="PGA1058" s="989"/>
      <c r="PGB1058" s="989"/>
      <c r="PGC1058" s="989"/>
      <c r="PGD1058" s="989"/>
      <c r="PGE1058" s="989"/>
      <c r="PGF1058" s="989"/>
      <c r="PGG1058" s="989"/>
      <c r="PGH1058" s="989"/>
      <c r="PGI1058" s="989"/>
      <c r="PGJ1058" s="989"/>
      <c r="PGK1058" s="989"/>
      <c r="PGL1058" s="989"/>
      <c r="PGM1058" s="989"/>
      <c r="PGN1058" s="989"/>
      <c r="PGO1058" s="989"/>
      <c r="PGP1058" s="989"/>
      <c r="PGQ1058" s="989"/>
      <c r="PGR1058" s="989"/>
      <c r="PGS1058" s="989"/>
      <c r="PGT1058" s="989"/>
      <c r="PGU1058" s="989"/>
      <c r="PGV1058" s="989"/>
      <c r="PGW1058" s="989"/>
      <c r="PGX1058" s="989"/>
      <c r="PGY1058" s="989"/>
      <c r="PGZ1058" s="989"/>
      <c r="PHA1058" s="989"/>
      <c r="PHB1058" s="989"/>
      <c r="PHC1058" s="989"/>
      <c r="PHD1058" s="989"/>
      <c r="PHE1058" s="989"/>
      <c r="PHF1058" s="989"/>
      <c r="PHG1058" s="989"/>
      <c r="PHH1058" s="989"/>
      <c r="PHI1058" s="989"/>
      <c r="PHJ1058" s="989"/>
      <c r="PHK1058" s="989"/>
      <c r="PHL1058" s="989"/>
      <c r="PHM1058" s="989"/>
      <c r="PHN1058" s="989"/>
      <c r="PHO1058" s="989"/>
      <c r="PHP1058" s="989"/>
      <c r="PHQ1058" s="989"/>
      <c r="PHR1058" s="989"/>
      <c r="PHS1058" s="989"/>
      <c r="PHT1058" s="989"/>
      <c r="PHU1058" s="989"/>
      <c r="PHV1058" s="989"/>
      <c r="PHW1058" s="989"/>
      <c r="PHX1058" s="989"/>
      <c r="PHY1058" s="989"/>
      <c r="PHZ1058" s="989"/>
      <c r="PIA1058" s="989"/>
      <c r="PIB1058" s="989"/>
      <c r="PIC1058" s="989"/>
      <c r="PID1058" s="989"/>
      <c r="PIE1058" s="989"/>
      <c r="PIF1058" s="989"/>
      <c r="PIG1058" s="989"/>
      <c r="PIH1058" s="989"/>
      <c r="PII1058" s="989"/>
      <c r="PIJ1058" s="989"/>
      <c r="PIK1058" s="989"/>
      <c r="PIL1058" s="989"/>
      <c r="PIM1058" s="989"/>
      <c r="PIN1058" s="989"/>
      <c r="PIO1058" s="989"/>
      <c r="PIP1058" s="989"/>
      <c r="PIQ1058" s="989"/>
      <c r="PIR1058" s="989"/>
      <c r="PIS1058" s="989"/>
      <c r="PIT1058" s="989"/>
      <c r="PIU1058" s="989"/>
      <c r="PIV1058" s="989"/>
      <c r="PIW1058" s="989"/>
      <c r="PIX1058" s="989"/>
      <c r="PIY1058" s="989"/>
      <c r="PIZ1058" s="989"/>
      <c r="PJA1058" s="989"/>
      <c r="PJB1058" s="989"/>
      <c r="PJC1058" s="989"/>
      <c r="PJD1058" s="989"/>
      <c r="PJE1058" s="989"/>
      <c r="PJF1058" s="989"/>
      <c r="PJG1058" s="989"/>
      <c r="PJH1058" s="989"/>
      <c r="PJI1058" s="989"/>
      <c r="PJJ1058" s="989"/>
      <c r="PJK1058" s="989"/>
      <c r="PJL1058" s="989"/>
      <c r="PJM1058" s="989"/>
      <c r="PJN1058" s="989"/>
      <c r="PJO1058" s="989"/>
      <c r="PJP1058" s="989"/>
      <c r="PJQ1058" s="989"/>
      <c r="PJR1058" s="989"/>
      <c r="PJS1058" s="989"/>
      <c r="PJT1058" s="989"/>
      <c r="PJU1058" s="989"/>
      <c r="PJV1058" s="989"/>
      <c r="PJW1058" s="989"/>
      <c r="PJX1058" s="989"/>
      <c r="PJY1058" s="989"/>
      <c r="PJZ1058" s="989"/>
      <c r="PKA1058" s="989"/>
      <c r="PKB1058" s="989"/>
      <c r="PKC1058" s="989"/>
      <c r="PKD1058" s="989"/>
      <c r="PKE1058" s="989"/>
      <c r="PKF1058" s="989"/>
      <c r="PKG1058" s="989"/>
      <c r="PKH1058" s="989"/>
      <c r="PKI1058" s="989"/>
      <c r="PKJ1058" s="989"/>
      <c r="PKK1058" s="989"/>
      <c r="PKL1058" s="989"/>
      <c r="PKM1058" s="989"/>
      <c r="PKN1058" s="989"/>
      <c r="PKO1058" s="989"/>
      <c r="PKP1058" s="989"/>
      <c r="PKQ1058" s="989"/>
      <c r="PKR1058" s="989"/>
      <c r="PKS1058" s="989"/>
      <c r="PKT1058" s="989"/>
      <c r="PKU1058" s="989"/>
      <c r="PKV1058" s="989"/>
      <c r="PKW1058" s="989"/>
      <c r="PKX1058" s="989"/>
      <c r="PKY1058" s="989"/>
      <c r="PKZ1058" s="989"/>
      <c r="PLA1058" s="989"/>
      <c r="PLB1058" s="989"/>
      <c r="PLC1058" s="989"/>
      <c r="PLD1058" s="989"/>
      <c r="PLE1058" s="989"/>
      <c r="PLF1058" s="989"/>
      <c r="PLG1058" s="989"/>
      <c r="PLH1058" s="989"/>
      <c r="PLI1058" s="989"/>
      <c r="PLJ1058" s="989"/>
      <c r="PLK1058" s="989"/>
      <c r="PLL1058" s="989"/>
      <c r="PLM1058" s="989"/>
      <c r="PLN1058" s="989"/>
      <c r="PLO1058" s="989"/>
      <c r="PLP1058" s="989"/>
      <c r="PLQ1058" s="989"/>
      <c r="PLR1058" s="989"/>
      <c r="PLS1058" s="989"/>
      <c r="PLT1058" s="989"/>
      <c r="PLU1058" s="989"/>
      <c r="PLV1058" s="989"/>
      <c r="PLW1058" s="989"/>
      <c r="PLX1058" s="989"/>
      <c r="PLY1058" s="989"/>
      <c r="PLZ1058" s="989"/>
      <c r="PMA1058" s="989"/>
      <c r="PMB1058" s="989"/>
      <c r="PMC1058" s="989"/>
      <c r="PMD1058" s="989"/>
      <c r="PME1058" s="989"/>
      <c r="PMF1058" s="989"/>
      <c r="PMG1058" s="989"/>
      <c r="PMH1058" s="989"/>
      <c r="PMI1058" s="989"/>
      <c r="PMJ1058" s="989"/>
      <c r="PMK1058" s="989"/>
      <c r="PML1058" s="989"/>
      <c r="PMM1058" s="989"/>
      <c r="PMN1058" s="989"/>
      <c r="PMO1058" s="989"/>
      <c r="PMP1058" s="989"/>
      <c r="PMQ1058" s="989"/>
      <c r="PMR1058" s="989"/>
      <c r="PMS1058" s="989"/>
      <c r="PMT1058" s="989"/>
      <c r="PMU1058" s="989"/>
      <c r="PMV1058" s="989"/>
      <c r="PMW1058" s="989"/>
      <c r="PMX1058" s="989"/>
      <c r="PMY1058" s="989"/>
      <c r="PMZ1058" s="989"/>
      <c r="PNA1058" s="989"/>
      <c r="PNB1058" s="989"/>
      <c r="PNC1058" s="989"/>
      <c r="PND1058" s="989"/>
      <c r="PNE1058" s="989"/>
      <c r="PNF1058" s="989"/>
      <c r="PNG1058" s="989"/>
      <c r="PNH1058" s="989"/>
      <c r="PNI1058" s="989"/>
      <c r="PNJ1058" s="989"/>
      <c r="PNK1058" s="989"/>
      <c r="PNL1058" s="989"/>
      <c r="PNM1058" s="989"/>
      <c r="PNN1058" s="989"/>
      <c r="PNO1058" s="989"/>
      <c r="PNP1058" s="989"/>
      <c r="PNQ1058" s="989"/>
      <c r="PNR1058" s="989"/>
      <c r="PNS1058" s="989"/>
      <c r="PNT1058" s="989"/>
      <c r="PNU1058" s="989"/>
      <c r="PNV1058" s="989"/>
      <c r="PNW1058" s="989"/>
      <c r="PNX1058" s="989"/>
      <c r="PNY1058" s="989"/>
      <c r="PNZ1058" s="989"/>
      <c r="POA1058" s="989"/>
      <c r="POB1058" s="989"/>
      <c r="POC1058" s="989"/>
      <c r="POD1058" s="989"/>
      <c r="POE1058" s="989"/>
      <c r="POF1058" s="989"/>
      <c r="POG1058" s="989"/>
      <c r="POH1058" s="989"/>
      <c r="POI1058" s="989"/>
      <c r="POJ1058" s="989"/>
      <c r="POK1058" s="989"/>
      <c r="POL1058" s="989"/>
      <c r="POM1058" s="989"/>
      <c r="PON1058" s="989"/>
      <c r="POO1058" s="989"/>
      <c r="POP1058" s="989"/>
      <c r="POQ1058" s="989"/>
      <c r="POR1058" s="989"/>
      <c r="POS1058" s="989"/>
      <c r="POT1058" s="989"/>
      <c r="POU1058" s="989"/>
      <c r="POV1058" s="989"/>
      <c r="POW1058" s="989"/>
      <c r="POX1058" s="989"/>
      <c r="POY1058" s="989"/>
      <c r="POZ1058" s="989"/>
      <c r="PPA1058" s="989"/>
      <c r="PPB1058" s="989"/>
      <c r="PPC1058" s="989"/>
      <c r="PPD1058" s="989"/>
      <c r="PPE1058" s="989"/>
      <c r="PPF1058" s="989"/>
      <c r="PPG1058" s="989"/>
      <c r="PPH1058" s="989"/>
      <c r="PPI1058" s="989"/>
      <c r="PPJ1058" s="989"/>
      <c r="PPK1058" s="989"/>
      <c r="PPL1058" s="989"/>
      <c r="PPM1058" s="989"/>
      <c r="PPN1058" s="989"/>
      <c r="PPO1058" s="989"/>
      <c r="PPP1058" s="989"/>
      <c r="PPQ1058" s="989"/>
      <c r="PPR1058" s="989"/>
      <c r="PPS1058" s="989"/>
      <c r="PPT1058" s="989"/>
      <c r="PPU1058" s="989"/>
      <c r="PPV1058" s="989"/>
      <c r="PPW1058" s="989"/>
      <c r="PPX1058" s="989"/>
      <c r="PPY1058" s="989"/>
      <c r="PPZ1058" s="989"/>
      <c r="PQA1058" s="989"/>
      <c r="PQB1058" s="989"/>
      <c r="PQC1058" s="989"/>
      <c r="PQD1058" s="989"/>
      <c r="PQE1058" s="989"/>
      <c r="PQF1058" s="989"/>
      <c r="PQG1058" s="989"/>
      <c r="PQH1058" s="989"/>
      <c r="PQI1058" s="989"/>
      <c r="PQJ1058" s="989"/>
      <c r="PQK1058" s="989"/>
      <c r="PQL1058" s="989"/>
      <c r="PQM1058" s="989"/>
      <c r="PQN1058" s="989"/>
      <c r="PQO1058" s="989"/>
      <c r="PQP1058" s="989"/>
      <c r="PQQ1058" s="989"/>
      <c r="PQR1058" s="989"/>
      <c r="PQS1058" s="989"/>
      <c r="PQT1058" s="989"/>
      <c r="PQU1058" s="989"/>
      <c r="PQV1058" s="989"/>
      <c r="PQW1058" s="989"/>
      <c r="PQX1058" s="989"/>
      <c r="PQY1058" s="989"/>
      <c r="PQZ1058" s="989"/>
      <c r="PRA1058" s="989"/>
      <c r="PRB1058" s="989"/>
      <c r="PRC1058" s="989"/>
      <c r="PRD1058" s="989"/>
      <c r="PRE1058" s="989"/>
      <c r="PRF1058" s="989"/>
      <c r="PRG1058" s="989"/>
      <c r="PRH1058" s="989"/>
      <c r="PRI1058" s="989"/>
      <c r="PRJ1058" s="989"/>
      <c r="PRK1058" s="989"/>
      <c r="PRL1058" s="989"/>
      <c r="PRM1058" s="989"/>
      <c r="PRN1058" s="989"/>
      <c r="PRO1058" s="989"/>
      <c r="PRP1058" s="989"/>
      <c r="PRQ1058" s="989"/>
      <c r="PRR1058" s="989"/>
      <c r="PRS1058" s="989"/>
      <c r="PRT1058" s="989"/>
      <c r="PRU1058" s="989"/>
      <c r="PRV1058" s="989"/>
      <c r="PRW1058" s="989"/>
      <c r="PRX1058" s="989"/>
      <c r="PRY1058" s="989"/>
      <c r="PRZ1058" s="989"/>
      <c r="PSA1058" s="989"/>
      <c r="PSB1058" s="989"/>
      <c r="PSC1058" s="989"/>
      <c r="PSD1058" s="989"/>
      <c r="PSE1058" s="989"/>
      <c r="PSF1058" s="989"/>
      <c r="PSG1058" s="989"/>
      <c r="PSH1058" s="989"/>
      <c r="PSI1058" s="989"/>
      <c r="PSJ1058" s="989"/>
      <c r="PSK1058" s="989"/>
      <c r="PSL1058" s="989"/>
      <c r="PSM1058" s="989"/>
      <c r="PSN1058" s="989"/>
      <c r="PSO1058" s="989"/>
      <c r="PSP1058" s="989"/>
      <c r="PSQ1058" s="989"/>
      <c r="PSR1058" s="989"/>
      <c r="PSS1058" s="989"/>
      <c r="PST1058" s="989"/>
      <c r="PSU1058" s="989"/>
      <c r="PSV1058" s="989"/>
      <c r="PSW1058" s="989"/>
      <c r="PSX1058" s="989"/>
      <c r="PSY1058" s="989"/>
      <c r="PSZ1058" s="989"/>
      <c r="PTA1058" s="989"/>
      <c r="PTB1058" s="989"/>
      <c r="PTC1058" s="989"/>
      <c r="PTD1058" s="989"/>
      <c r="PTE1058" s="989"/>
      <c r="PTF1058" s="989"/>
      <c r="PTG1058" s="989"/>
      <c r="PTH1058" s="989"/>
      <c r="PTI1058" s="989"/>
      <c r="PTJ1058" s="989"/>
      <c r="PTK1058" s="989"/>
      <c r="PTL1058" s="989"/>
      <c r="PTM1058" s="989"/>
      <c r="PTN1058" s="989"/>
      <c r="PTO1058" s="989"/>
      <c r="PTP1058" s="989"/>
      <c r="PTQ1058" s="989"/>
      <c r="PTR1058" s="989"/>
      <c r="PTS1058" s="989"/>
      <c r="PTT1058" s="989"/>
      <c r="PTU1058" s="989"/>
      <c r="PTV1058" s="989"/>
      <c r="PTW1058" s="989"/>
      <c r="PTX1058" s="989"/>
      <c r="PTY1058" s="989"/>
      <c r="PTZ1058" s="989"/>
      <c r="PUA1058" s="989"/>
      <c r="PUB1058" s="989"/>
      <c r="PUC1058" s="989"/>
      <c r="PUD1058" s="989"/>
      <c r="PUE1058" s="989"/>
      <c r="PUF1058" s="989"/>
      <c r="PUG1058" s="989"/>
      <c r="PUH1058" s="989"/>
      <c r="PUI1058" s="989"/>
      <c r="PUJ1058" s="989"/>
      <c r="PUK1058" s="989"/>
      <c r="PUL1058" s="989"/>
      <c r="PUM1058" s="989"/>
      <c r="PUN1058" s="989"/>
      <c r="PUO1058" s="989"/>
      <c r="PUP1058" s="989"/>
      <c r="PUQ1058" s="989"/>
      <c r="PUR1058" s="989"/>
      <c r="PUS1058" s="989"/>
      <c r="PUT1058" s="989"/>
      <c r="PUU1058" s="989"/>
      <c r="PUV1058" s="989"/>
      <c r="PUW1058" s="989"/>
      <c r="PUX1058" s="989"/>
      <c r="PUY1058" s="989"/>
      <c r="PUZ1058" s="989"/>
      <c r="PVA1058" s="989"/>
      <c r="PVB1058" s="989"/>
      <c r="PVC1058" s="989"/>
      <c r="PVD1058" s="989"/>
      <c r="PVE1058" s="989"/>
      <c r="PVF1058" s="989"/>
      <c r="PVG1058" s="989"/>
      <c r="PVH1058" s="989"/>
      <c r="PVI1058" s="989"/>
      <c r="PVJ1058" s="989"/>
      <c r="PVK1058" s="989"/>
      <c r="PVL1058" s="989"/>
      <c r="PVM1058" s="989"/>
      <c r="PVN1058" s="989"/>
      <c r="PVO1058" s="989"/>
      <c r="PVP1058" s="989"/>
      <c r="PVQ1058" s="989"/>
      <c r="PVR1058" s="989"/>
      <c r="PVS1058" s="989"/>
      <c r="PVT1058" s="989"/>
      <c r="PVU1058" s="989"/>
      <c r="PVV1058" s="989"/>
      <c r="PVW1058" s="989"/>
      <c r="PVX1058" s="989"/>
      <c r="PVY1058" s="989"/>
      <c r="PVZ1058" s="989"/>
      <c r="PWA1058" s="989"/>
      <c r="PWB1058" s="989"/>
      <c r="PWC1058" s="989"/>
      <c r="PWD1058" s="989"/>
      <c r="PWE1058" s="989"/>
      <c r="PWF1058" s="989"/>
      <c r="PWG1058" s="989"/>
      <c r="PWH1058" s="989"/>
      <c r="PWI1058" s="989"/>
      <c r="PWJ1058" s="989"/>
      <c r="PWK1058" s="989"/>
      <c r="PWL1058" s="989"/>
      <c r="PWM1058" s="989"/>
      <c r="PWN1058" s="989"/>
      <c r="PWO1058" s="989"/>
      <c r="PWP1058" s="989"/>
      <c r="PWQ1058" s="989"/>
      <c r="PWR1058" s="989"/>
      <c r="PWS1058" s="989"/>
      <c r="PWT1058" s="989"/>
      <c r="PWU1058" s="989"/>
      <c r="PWV1058" s="989"/>
      <c r="PWW1058" s="989"/>
      <c r="PWX1058" s="989"/>
      <c r="PWY1058" s="989"/>
      <c r="PWZ1058" s="989"/>
      <c r="PXA1058" s="989"/>
      <c r="PXB1058" s="989"/>
      <c r="PXC1058" s="989"/>
      <c r="PXD1058" s="989"/>
      <c r="PXE1058" s="989"/>
      <c r="PXF1058" s="989"/>
      <c r="PXG1058" s="989"/>
      <c r="PXH1058" s="989"/>
      <c r="PXI1058" s="989"/>
      <c r="PXJ1058" s="989"/>
      <c r="PXK1058" s="989"/>
      <c r="PXL1058" s="989"/>
      <c r="PXM1058" s="989"/>
      <c r="PXN1058" s="989"/>
      <c r="PXO1058" s="989"/>
      <c r="PXP1058" s="989"/>
      <c r="PXQ1058" s="989"/>
      <c r="PXR1058" s="989"/>
      <c r="PXS1058" s="989"/>
      <c r="PXT1058" s="989"/>
      <c r="PXU1058" s="989"/>
      <c r="PXV1058" s="989"/>
      <c r="PXW1058" s="989"/>
      <c r="PXX1058" s="989"/>
      <c r="PXY1058" s="989"/>
      <c r="PXZ1058" s="989"/>
      <c r="PYA1058" s="989"/>
      <c r="PYB1058" s="989"/>
      <c r="PYC1058" s="989"/>
      <c r="PYD1058" s="989"/>
      <c r="PYE1058" s="989"/>
      <c r="PYF1058" s="989"/>
      <c r="PYG1058" s="989"/>
      <c r="PYH1058" s="989"/>
      <c r="PYI1058" s="989"/>
      <c r="PYJ1058" s="989"/>
      <c r="PYK1058" s="989"/>
      <c r="PYL1058" s="989"/>
      <c r="PYM1058" s="989"/>
      <c r="PYN1058" s="989"/>
      <c r="PYO1058" s="989"/>
      <c r="PYP1058" s="989"/>
      <c r="PYQ1058" s="989"/>
      <c r="PYR1058" s="989"/>
      <c r="PYS1058" s="989"/>
      <c r="PYT1058" s="989"/>
      <c r="PYU1058" s="989"/>
      <c r="PYV1058" s="989"/>
      <c r="PYW1058" s="989"/>
      <c r="PYX1058" s="989"/>
      <c r="PYY1058" s="989"/>
      <c r="PYZ1058" s="989"/>
      <c r="PZA1058" s="989"/>
      <c r="PZB1058" s="989"/>
      <c r="PZC1058" s="989"/>
      <c r="PZD1058" s="989"/>
      <c r="PZE1058" s="989"/>
      <c r="PZF1058" s="989"/>
      <c r="PZG1058" s="989"/>
      <c r="PZH1058" s="989"/>
      <c r="PZI1058" s="989"/>
      <c r="PZJ1058" s="989"/>
      <c r="PZK1058" s="989"/>
      <c r="PZL1058" s="989"/>
      <c r="PZM1058" s="989"/>
      <c r="PZN1058" s="989"/>
      <c r="PZO1058" s="989"/>
      <c r="PZP1058" s="989"/>
      <c r="PZQ1058" s="989"/>
      <c r="PZR1058" s="989"/>
      <c r="PZS1058" s="989"/>
      <c r="PZT1058" s="989"/>
      <c r="PZU1058" s="989"/>
      <c r="PZV1058" s="989"/>
      <c r="PZW1058" s="989"/>
      <c r="PZX1058" s="989"/>
      <c r="PZY1058" s="989"/>
      <c r="PZZ1058" s="989"/>
      <c r="QAA1058" s="989"/>
      <c r="QAB1058" s="989"/>
      <c r="QAC1058" s="989"/>
      <c r="QAD1058" s="989"/>
      <c r="QAE1058" s="989"/>
      <c r="QAF1058" s="989"/>
      <c r="QAG1058" s="989"/>
      <c r="QAH1058" s="989"/>
      <c r="QAI1058" s="989"/>
      <c r="QAJ1058" s="989"/>
      <c r="QAK1058" s="989"/>
      <c r="QAL1058" s="989"/>
      <c r="QAM1058" s="989"/>
      <c r="QAN1058" s="989"/>
      <c r="QAO1058" s="989"/>
      <c r="QAP1058" s="989"/>
      <c r="QAQ1058" s="989"/>
      <c r="QAR1058" s="989"/>
      <c r="QAS1058" s="989"/>
      <c r="QAT1058" s="989"/>
      <c r="QAU1058" s="989"/>
      <c r="QAV1058" s="989"/>
      <c r="QAW1058" s="989"/>
      <c r="QAX1058" s="989"/>
      <c r="QAY1058" s="989"/>
      <c r="QAZ1058" s="989"/>
      <c r="QBA1058" s="989"/>
      <c r="QBB1058" s="989"/>
      <c r="QBC1058" s="989"/>
      <c r="QBD1058" s="989"/>
      <c r="QBE1058" s="989"/>
      <c r="QBF1058" s="989"/>
      <c r="QBG1058" s="989"/>
      <c r="QBH1058" s="989"/>
      <c r="QBI1058" s="989"/>
      <c r="QBJ1058" s="989"/>
      <c r="QBK1058" s="989"/>
      <c r="QBL1058" s="989"/>
      <c r="QBM1058" s="989"/>
      <c r="QBN1058" s="989"/>
      <c r="QBO1058" s="989"/>
      <c r="QBP1058" s="989"/>
      <c r="QBQ1058" s="989"/>
      <c r="QBR1058" s="989"/>
      <c r="QBS1058" s="989"/>
      <c r="QBT1058" s="989"/>
      <c r="QBU1058" s="989"/>
      <c r="QBV1058" s="989"/>
      <c r="QBW1058" s="989"/>
      <c r="QBX1058" s="989"/>
      <c r="QBY1058" s="989"/>
      <c r="QBZ1058" s="989"/>
      <c r="QCA1058" s="989"/>
      <c r="QCB1058" s="989"/>
      <c r="QCC1058" s="989"/>
      <c r="QCD1058" s="989"/>
      <c r="QCE1058" s="989"/>
      <c r="QCF1058" s="989"/>
      <c r="QCG1058" s="989"/>
      <c r="QCH1058" s="989"/>
      <c r="QCI1058" s="989"/>
      <c r="QCJ1058" s="989"/>
      <c r="QCK1058" s="989"/>
      <c r="QCL1058" s="989"/>
      <c r="QCM1058" s="989"/>
      <c r="QCN1058" s="989"/>
      <c r="QCO1058" s="989"/>
      <c r="QCP1058" s="989"/>
      <c r="QCQ1058" s="989"/>
      <c r="QCR1058" s="989"/>
      <c r="QCS1058" s="989"/>
      <c r="QCT1058" s="989"/>
      <c r="QCU1058" s="989"/>
      <c r="QCV1058" s="989"/>
      <c r="QCW1058" s="989"/>
      <c r="QCX1058" s="989"/>
      <c r="QCY1058" s="989"/>
      <c r="QCZ1058" s="989"/>
      <c r="QDA1058" s="989"/>
      <c r="QDB1058" s="989"/>
      <c r="QDC1058" s="989"/>
      <c r="QDD1058" s="989"/>
      <c r="QDE1058" s="989"/>
      <c r="QDF1058" s="989"/>
      <c r="QDG1058" s="989"/>
      <c r="QDH1058" s="989"/>
      <c r="QDI1058" s="989"/>
      <c r="QDJ1058" s="989"/>
      <c r="QDK1058" s="989"/>
      <c r="QDL1058" s="989"/>
      <c r="QDM1058" s="989"/>
      <c r="QDN1058" s="989"/>
      <c r="QDO1058" s="989"/>
      <c r="QDP1058" s="989"/>
      <c r="QDQ1058" s="989"/>
      <c r="QDR1058" s="989"/>
      <c r="QDS1058" s="989"/>
      <c r="QDT1058" s="989"/>
      <c r="QDU1058" s="989"/>
      <c r="QDV1058" s="989"/>
      <c r="QDW1058" s="989"/>
      <c r="QDX1058" s="989"/>
      <c r="QDY1058" s="989"/>
      <c r="QDZ1058" s="989"/>
      <c r="QEA1058" s="989"/>
      <c r="QEB1058" s="989"/>
      <c r="QEC1058" s="989"/>
      <c r="QED1058" s="989"/>
      <c r="QEE1058" s="989"/>
      <c r="QEF1058" s="989"/>
      <c r="QEG1058" s="989"/>
      <c r="QEH1058" s="989"/>
      <c r="QEI1058" s="989"/>
      <c r="QEJ1058" s="989"/>
      <c r="QEK1058" s="989"/>
      <c r="QEL1058" s="989"/>
      <c r="QEM1058" s="989"/>
      <c r="QEN1058" s="989"/>
      <c r="QEO1058" s="989"/>
      <c r="QEP1058" s="989"/>
      <c r="QEQ1058" s="989"/>
      <c r="QER1058" s="989"/>
      <c r="QES1058" s="989"/>
      <c r="QET1058" s="989"/>
      <c r="QEU1058" s="989"/>
      <c r="QEV1058" s="989"/>
      <c r="QEW1058" s="989"/>
      <c r="QEX1058" s="989"/>
      <c r="QEY1058" s="989"/>
      <c r="QEZ1058" s="989"/>
      <c r="QFA1058" s="989"/>
      <c r="QFB1058" s="989"/>
      <c r="QFC1058" s="989"/>
      <c r="QFD1058" s="989"/>
      <c r="QFE1058" s="989"/>
      <c r="QFF1058" s="989"/>
      <c r="QFG1058" s="989"/>
      <c r="QFH1058" s="989"/>
      <c r="QFI1058" s="989"/>
      <c r="QFJ1058" s="989"/>
      <c r="QFK1058" s="989"/>
      <c r="QFL1058" s="989"/>
      <c r="QFM1058" s="989"/>
      <c r="QFN1058" s="989"/>
      <c r="QFO1058" s="989"/>
      <c r="QFP1058" s="989"/>
      <c r="QFQ1058" s="989"/>
      <c r="QFR1058" s="989"/>
      <c r="QFS1058" s="989"/>
      <c r="QFT1058" s="989"/>
      <c r="QFU1058" s="989"/>
      <c r="QFV1058" s="989"/>
      <c r="QFW1058" s="989"/>
      <c r="QFX1058" s="989"/>
      <c r="QFY1058" s="989"/>
      <c r="QFZ1058" s="989"/>
      <c r="QGA1058" s="989"/>
      <c r="QGB1058" s="989"/>
      <c r="QGC1058" s="989"/>
      <c r="QGD1058" s="989"/>
      <c r="QGE1058" s="989"/>
      <c r="QGF1058" s="989"/>
      <c r="QGG1058" s="989"/>
      <c r="QGH1058" s="989"/>
      <c r="QGI1058" s="989"/>
      <c r="QGJ1058" s="989"/>
      <c r="QGK1058" s="989"/>
      <c r="QGL1058" s="989"/>
      <c r="QGM1058" s="989"/>
      <c r="QGN1058" s="989"/>
      <c r="QGO1058" s="989"/>
      <c r="QGP1058" s="989"/>
      <c r="QGQ1058" s="989"/>
      <c r="QGR1058" s="989"/>
      <c r="QGS1058" s="989"/>
      <c r="QGT1058" s="989"/>
      <c r="QGU1058" s="989"/>
      <c r="QGV1058" s="989"/>
      <c r="QGW1058" s="989"/>
      <c r="QGX1058" s="989"/>
      <c r="QGY1058" s="989"/>
      <c r="QGZ1058" s="989"/>
      <c r="QHA1058" s="989"/>
      <c r="QHB1058" s="989"/>
      <c r="QHC1058" s="989"/>
      <c r="QHD1058" s="989"/>
      <c r="QHE1058" s="989"/>
      <c r="QHF1058" s="989"/>
      <c r="QHG1058" s="989"/>
      <c r="QHH1058" s="989"/>
      <c r="QHI1058" s="989"/>
      <c r="QHJ1058" s="989"/>
      <c r="QHK1058" s="989"/>
      <c r="QHL1058" s="989"/>
      <c r="QHM1058" s="989"/>
      <c r="QHN1058" s="989"/>
      <c r="QHO1058" s="989"/>
      <c r="QHP1058" s="989"/>
      <c r="QHQ1058" s="989"/>
      <c r="QHR1058" s="989"/>
      <c r="QHS1058" s="989"/>
      <c r="QHT1058" s="989"/>
      <c r="QHU1058" s="989"/>
      <c r="QHV1058" s="989"/>
      <c r="QHW1058" s="989"/>
      <c r="QHX1058" s="989"/>
      <c r="QHY1058" s="989"/>
      <c r="QHZ1058" s="989"/>
      <c r="QIA1058" s="989"/>
      <c r="QIB1058" s="989"/>
      <c r="QIC1058" s="989"/>
      <c r="QID1058" s="989"/>
      <c r="QIE1058" s="989"/>
      <c r="QIF1058" s="989"/>
      <c r="QIG1058" s="989"/>
      <c r="QIH1058" s="989"/>
      <c r="QII1058" s="989"/>
      <c r="QIJ1058" s="989"/>
      <c r="QIK1058" s="989"/>
      <c r="QIL1058" s="989"/>
      <c r="QIM1058" s="989"/>
      <c r="QIN1058" s="989"/>
      <c r="QIO1058" s="989"/>
      <c r="QIP1058" s="989"/>
      <c r="QIQ1058" s="989"/>
      <c r="QIR1058" s="989"/>
      <c r="QIS1058" s="989"/>
      <c r="QIT1058" s="989"/>
      <c r="QIU1058" s="989"/>
      <c r="QIV1058" s="989"/>
      <c r="QIW1058" s="989"/>
      <c r="QIX1058" s="989"/>
      <c r="QIY1058" s="989"/>
      <c r="QIZ1058" s="989"/>
      <c r="QJA1058" s="989"/>
      <c r="QJB1058" s="989"/>
      <c r="QJC1058" s="989"/>
      <c r="QJD1058" s="989"/>
      <c r="QJE1058" s="989"/>
      <c r="QJF1058" s="989"/>
      <c r="QJG1058" s="989"/>
      <c r="QJH1058" s="989"/>
      <c r="QJI1058" s="989"/>
      <c r="QJJ1058" s="989"/>
      <c r="QJK1058" s="989"/>
      <c r="QJL1058" s="989"/>
      <c r="QJM1058" s="989"/>
      <c r="QJN1058" s="989"/>
      <c r="QJO1058" s="989"/>
      <c r="QJP1058" s="989"/>
      <c r="QJQ1058" s="989"/>
      <c r="QJR1058" s="989"/>
      <c r="QJS1058" s="989"/>
      <c r="QJT1058" s="989"/>
      <c r="QJU1058" s="989"/>
      <c r="QJV1058" s="989"/>
      <c r="QJW1058" s="989"/>
      <c r="QJX1058" s="989"/>
      <c r="QJY1058" s="989"/>
      <c r="QJZ1058" s="989"/>
      <c r="QKA1058" s="989"/>
      <c r="QKB1058" s="989"/>
      <c r="QKC1058" s="989"/>
      <c r="QKD1058" s="989"/>
      <c r="QKE1058" s="989"/>
      <c r="QKF1058" s="989"/>
      <c r="QKG1058" s="989"/>
      <c r="QKH1058" s="989"/>
      <c r="QKI1058" s="989"/>
      <c r="QKJ1058" s="989"/>
      <c r="QKK1058" s="989"/>
      <c r="QKL1058" s="989"/>
      <c r="QKM1058" s="989"/>
      <c r="QKN1058" s="989"/>
      <c r="QKO1058" s="989"/>
      <c r="QKP1058" s="989"/>
      <c r="QKQ1058" s="989"/>
      <c r="QKR1058" s="989"/>
      <c r="QKS1058" s="989"/>
      <c r="QKT1058" s="989"/>
      <c r="QKU1058" s="989"/>
      <c r="QKV1058" s="989"/>
      <c r="QKW1058" s="989"/>
      <c r="QKX1058" s="989"/>
      <c r="QKY1058" s="989"/>
      <c r="QKZ1058" s="989"/>
      <c r="QLA1058" s="989"/>
      <c r="QLB1058" s="989"/>
      <c r="QLC1058" s="989"/>
      <c r="QLD1058" s="989"/>
      <c r="QLE1058" s="989"/>
      <c r="QLF1058" s="989"/>
      <c r="QLG1058" s="989"/>
      <c r="QLH1058" s="989"/>
      <c r="QLI1058" s="989"/>
      <c r="QLJ1058" s="989"/>
      <c r="QLK1058" s="989"/>
      <c r="QLL1058" s="989"/>
      <c r="QLM1058" s="989"/>
      <c r="QLN1058" s="989"/>
      <c r="QLO1058" s="989"/>
      <c r="QLP1058" s="989"/>
      <c r="QLQ1058" s="989"/>
      <c r="QLR1058" s="989"/>
      <c r="QLS1058" s="989"/>
      <c r="QLT1058" s="989"/>
      <c r="QLU1058" s="989"/>
      <c r="QLV1058" s="989"/>
      <c r="QLW1058" s="989"/>
      <c r="QLX1058" s="989"/>
      <c r="QLY1058" s="989"/>
      <c r="QLZ1058" s="989"/>
      <c r="QMA1058" s="989"/>
      <c r="QMB1058" s="989"/>
      <c r="QMC1058" s="989"/>
      <c r="QMD1058" s="989"/>
      <c r="QME1058" s="989"/>
      <c r="QMF1058" s="989"/>
      <c r="QMG1058" s="989"/>
      <c r="QMH1058" s="989"/>
      <c r="QMI1058" s="989"/>
      <c r="QMJ1058" s="989"/>
      <c r="QMK1058" s="989"/>
      <c r="QML1058" s="989"/>
      <c r="QMM1058" s="989"/>
      <c r="QMN1058" s="989"/>
      <c r="QMO1058" s="989"/>
      <c r="QMP1058" s="989"/>
      <c r="QMQ1058" s="989"/>
      <c r="QMR1058" s="989"/>
      <c r="QMS1058" s="989"/>
      <c r="QMT1058" s="989"/>
      <c r="QMU1058" s="989"/>
      <c r="QMV1058" s="989"/>
      <c r="QMW1058" s="989"/>
      <c r="QMX1058" s="989"/>
      <c r="QMY1058" s="989"/>
      <c r="QMZ1058" s="989"/>
      <c r="QNA1058" s="989"/>
      <c r="QNB1058" s="989"/>
      <c r="QNC1058" s="989"/>
      <c r="QND1058" s="989"/>
      <c r="QNE1058" s="989"/>
      <c r="QNF1058" s="989"/>
      <c r="QNG1058" s="989"/>
      <c r="QNH1058" s="989"/>
      <c r="QNI1058" s="989"/>
      <c r="QNJ1058" s="989"/>
      <c r="QNK1058" s="989"/>
      <c r="QNL1058" s="989"/>
      <c r="QNM1058" s="989"/>
      <c r="QNN1058" s="989"/>
      <c r="QNO1058" s="989"/>
      <c r="QNP1058" s="989"/>
      <c r="QNQ1058" s="989"/>
      <c r="QNR1058" s="989"/>
      <c r="QNS1058" s="989"/>
      <c r="QNT1058" s="989"/>
      <c r="QNU1058" s="989"/>
      <c r="QNV1058" s="989"/>
      <c r="QNW1058" s="989"/>
      <c r="QNX1058" s="989"/>
      <c r="QNY1058" s="989"/>
      <c r="QNZ1058" s="989"/>
      <c r="QOA1058" s="989"/>
      <c r="QOB1058" s="989"/>
      <c r="QOC1058" s="989"/>
      <c r="QOD1058" s="989"/>
      <c r="QOE1058" s="989"/>
      <c r="QOF1058" s="989"/>
      <c r="QOG1058" s="989"/>
      <c r="QOH1058" s="989"/>
      <c r="QOI1058" s="989"/>
      <c r="QOJ1058" s="989"/>
      <c r="QOK1058" s="989"/>
      <c r="QOL1058" s="989"/>
      <c r="QOM1058" s="989"/>
      <c r="QON1058" s="989"/>
      <c r="QOO1058" s="989"/>
      <c r="QOP1058" s="989"/>
      <c r="QOQ1058" s="989"/>
      <c r="QOR1058" s="989"/>
      <c r="QOS1058" s="989"/>
      <c r="QOT1058" s="989"/>
      <c r="QOU1058" s="989"/>
      <c r="QOV1058" s="989"/>
      <c r="QOW1058" s="989"/>
      <c r="QOX1058" s="989"/>
      <c r="QOY1058" s="989"/>
      <c r="QOZ1058" s="989"/>
      <c r="QPA1058" s="989"/>
      <c r="QPB1058" s="989"/>
      <c r="QPC1058" s="989"/>
      <c r="QPD1058" s="989"/>
      <c r="QPE1058" s="989"/>
      <c r="QPF1058" s="989"/>
      <c r="QPG1058" s="989"/>
      <c r="QPH1058" s="989"/>
      <c r="QPI1058" s="989"/>
      <c r="QPJ1058" s="989"/>
      <c r="QPK1058" s="989"/>
      <c r="QPL1058" s="989"/>
      <c r="QPM1058" s="989"/>
      <c r="QPN1058" s="989"/>
      <c r="QPO1058" s="989"/>
      <c r="QPP1058" s="989"/>
      <c r="QPQ1058" s="989"/>
      <c r="QPR1058" s="989"/>
      <c r="QPS1058" s="989"/>
      <c r="QPT1058" s="989"/>
      <c r="QPU1058" s="989"/>
      <c r="QPV1058" s="989"/>
      <c r="QPW1058" s="989"/>
      <c r="QPX1058" s="989"/>
      <c r="QPY1058" s="989"/>
      <c r="QPZ1058" s="989"/>
      <c r="QQA1058" s="989"/>
      <c r="QQB1058" s="989"/>
      <c r="QQC1058" s="989"/>
      <c r="QQD1058" s="989"/>
      <c r="QQE1058" s="989"/>
      <c r="QQF1058" s="989"/>
      <c r="QQG1058" s="989"/>
      <c r="QQH1058" s="989"/>
      <c r="QQI1058" s="989"/>
      <c r="QQJ1058" s="989"/>
      <c r="QQK1058" s="989"/>
      <c r="QQL1058" s="989"/>
      <c r="QQM1058" s="989"/>
      <c r="QQN1058" s="989"/>
      <c r="QQO1058" s="989"/>
      <c r="QQP1058" s="989"/>
      <c r="QQQ1058" s="989"/>
      <c r="QQR1058" s="989"/>
      <c r="QQS1058" s="989"/>
      <c r="QQT1058" s="989"/>
      <c r="QQU1058" s="989"/>
      <c r="QQV1058" s="989"/>
      <c r="QQW1058" s="989"/>
      <c r="QQX1058" s="989"/>
      <c r="QQY1058" s="989"/>
      <c r="QQZ1058" s="989"/>
      <c r="QRA1058" s="989"/>
      <c r="QRB1058" s="989"/>
      <c r="QRC1058" s="989"/>
      <c r="QRD1058" s="989"/>
      <c r="QRE1058" s="989"/>
      <c r="QRF1058" s="989"/>
      <c r="QRG1058" s="989"/>
      <c r="QRH1058" s="989"/>
      <c r="QRI1058" s="989"/>
      <c r="QRJ1058" s="989"/>
      <c r="QRK1058" s="989"/>
      <c r="QRL1058" s="989"/>
      <c r="QRM1058" s="989"/>
      <c r="QRN1058" s="989"/>
      <c r="QRO1058" s="989"/>
      <c r="QRP1058" s="989"/>
      <c r="QRQ1058" s="989"/>
      <c r="QRR1058" s="989"/>
      <c r="QRS1058" s="989"/>
      <c r="QRT1058" s="989"/>
      <c r="QRU1058" s="989"/>
      <c r="QRV1058" s="989"/>
      <c r="QRW1058" s="989"/>
      <c r="QRX1058" s="989"/>
      <c r="QRY1058" s="989"/>
      <c r="QRZ1058" s="989"/>
      <c r="QSA1058" s="989"/>
      <c r="QSB1058" s="989"/>
      <c r="QSC1058" s="989"/>
      <c r="QSD1058" s="989"/>
      <c r="QSE1058" s="989"/>
      <c r="QSF1058" s="989"/>
      <c r="QSG1058" s="989"/>
      <c r="QSH1058" s="989"/>
      <c r="QSI1058" s="989"/>
      <c r="QSJ1058" s="989"/>
      <c r="QSK1058" s="989"/>
      <c r="QSL1058" s="989"/>
      <c r="QSM1058" s="989"/>
      <c r="QSN1058" s="989"/>
      <c r="QSO1058" s="989"/>
      <c r="QSP1058" s="989"/>
      <c r="QSQ1058" s="989"/>
      <c r="QSR1058" s="989"/>
      <c r="QSS1058" s="989"/>
      <c r="QST1058" s="989"/>
      <c r="QSU1058" s="989"/>
      <c r="QSV1058" s="989"/>
      <c r="QSW1058" s="989"/>
      <c r="QSX1058" s="989"/>
      <c r="QSY1058" s="989"/>
      <c r="QSZ1058" s="989"/>
      <c r="QTA1058" s="989"/>
      <c r="QTB1058" s="989"/>
      <c r="QTC1058" s="989"/>
      <c r="QTD1058" s="989"/>
      <c r="QTE1058" s="989"/>
      <c r="QTF1058" s="989"/>
      <c r="QTG1058" s="989"/>
      <c r="QTH1058" s="989"/>
      <c r="QTI1058" s="989"/>
      <c r="QTJ1058" s="989"/>
      <c r="QTK1058" s="989"/>
      <c r="QTL1058" s="989"/>
      <c r="QTM1058" s="989"/>
      <c r="QTN1058" s="989"/>
      <c r="QTO1058" s="989"/>
      <c r="QTP1058" s="989"/>
      <c r="QTQ1058" s="989"/>
      <c r="QTR1058" s="989"/>
      <c r="QTS1058" s="989"/>
      <c r="QTT1058" s="989"/>
      <c r="QTU1058" s="989"/>
      <c r="QTV1058" s="989"/>
      <c r="QTW1058" s="989"/>
      <c r="QTX1058" s="989"/>
      <c r="QTY1058" s="989"/>
      <c r="QTZ1058" s="989"/>
      <c r="QUA1058" s="989"/>
      <c r="QUB1058" s="989"/>
      <c r="QUC1058" s="989"/>
      <c r="QUD1058" s="989"/>
      <c r="QUE1058" s="989"/>
      <c r="QUF1058" s="989"/>
      <c r="QUG1058" s="989"/>
      <c r="QUH1058" s="989"/>
      <c r="QUI1058" s="989"/>
      <c r="QUJ1058" s="989"/>
      <c r="QUK1058" s="989"/>
      <c r="QUL1058" s="989"/>
      <c r="QUM1058" s="989"/>
      <c r="QUN1058" s="989"/>
      <c r="QUO1058" s="989"/>
      <c r="QUP1058" s="989"/>
      <c r="QUQ1058" s="989"/>
      <c r="QUR1058" s="989"/>
      <c r="QUS1058" s="989"/>
      <c r="QUT1058" s="989"/>
      <c r="QUU1058" s="989"/>
      <c r="QUV1058" s="989"/>
      <c r="QUW1058" s="989"/>
      <c r="QUX1058" s="989"/>
      <c r="QUY1058" s="989"/>
      <c r="QUZ1058" s="989"/>
      <c r="QVA1058" s="989"/>
      <c r="QVB1058" s="989"/>
      <c r="QVC1058" s="989"/>
      <c r="QVD1058" s="989"/>
      <c r="QVE1058" s="989"/>
      <c r="QVF1058" s="989"/>
      <c r="QVG1058" s="989"/>
      <c r="QVH1058" s="989"/>
      <c r="QVI1058" s="989"/>
      <c r="QVJ1058" s="989"/>
      <c r="QVK1058" s="989"/>
      <c r="QVL1058" s="989"/>
      <c r="QVM1058" s="989"/>
      <c r="QVN1058" s="989"/>
      <c r="QVO1058" s="989"/>
      <c r="QVP1058" s="989"/>
      <c r="QVQ1058" s="989"/>
      <c r="QVR1058" s="989"/>
      <c r="QVS1058" s="989"/>
      <c r="QVT1058" s="989"/>
      <c r="QVU1058" s="989"/>
      <c r="QVV1058" s="989"/>
      <c r="QVW1058" s="989"/>
      <c r="QVX1058" s="989"/>
      <c r="QVY1058" s="989"/>
      <c r="QVZ1058" s="989"/>
      <c r="QWA1058" s="989"/>
      <c r="QWB1058" s="989"/>
      <c r="QWC1058" s="989"/>
      <c r="QWD1058" s="989"/>
      <c r="QWE1058" s="989"/>
      <c r="QWF1058" s="989"/>
      <c r="QWG1058" s="989"/>
      <c r="QWH1058" s="989"/>
      <c r="QWI1058" s="989"/>
      <c r="QWJ1058" s="989"/>
      <c r="QWK1058" s="989"/>
      <c r="QWL1058" s="989"/>
      <c r="QWM1058" s="989"/>
      <c r="QWN1058" s="989"/>
      <c r="QWO1058" s="989"/>
      <c r="QWP1058" s="989"/>
      <c r="QWQ1058" s="989"/>
      <c r="QWR1058" s="989"/>
      <c r="QWS1058" s="989"/>
      <c r="QWT1058" s="989"/>
      <c r="QWU1058" s="989"/>
      <c r="QWV1058" s="989"/>
      <c r="QWW1058" s="989"/>
      <c r="QWX1058" s="989"/>
      <c r="QWY1058" s="989"/>
      <c r="QWZ1058" s="989"/>
      <c r="QXA1058" s="989"/>
      <c r="QXB1058" s="989"/>
      <c r="QXC1058" s="989"/>
      <c r="QXD1058" s="989"/>
      <c r="QXE1058" s="989"/>
      <c r="QXF1058" s="989"/>
      <c r="QXG1058" s="989"/>
      <c r="QXH1058" s="989"/>
      <c r="QXI1058" s="989"/>
      <c r="QXJ1058" s="989"/>
      <c r="QXK1058" s="989"/>
      <c r="QXL1058" s="989"/>
      <c r="QXM1058" s="989"/>
      <c r="QXN1058" s="989"/>
      <c r="QXO1058" s="989"/>
      <c r="QXP1058" s="989"/>
      <c r="QXQ1058" s="989"/>
      <c r="QXR1058" s="989"/>
      <c r="QXS1058" s="989"/>
      <c r="QXT1058" s="989"/>
      <c r="QXU1058" s="989"/>
      <c r="QXV1058" s="989"/>
      <c r="QXW1058" s="989"/>
      <c r="QXX1058" s="989"/>
      <c r="QXY1058" s="989"/>
      <c r="QXZ1058" s="989"/>
      <c r="QYA1058" s="989"/>
      <c r="QYB1058" s="989"/>
      <c r="QYC1058" s="989"/>
      <c r="QYD1058" s="989"/>
      <c r="QYE1058" s="989"/>
      <c r="QYF1058" s="989"/>
      <c r="QYG1058" s="989"/>
      <c r="QYH1058" s="989"/>
      <c r="QYI1058" s="989"/>
      <c r="QYJ1058" s="989"/>
      <c r="QYK1058" s="989"/>
      <c r="QYL1058" s="989"/>
      <c r="QYM1058" s="989"/>
      <c r="QYN1058" s="989"/>
      <c r="QYO1058" s="989"/>
      <c r="QYP1058" s="989"/>
      <c r="QYQ1058" s="989"/>
      <c r="QYR1058" s="989"/>
      <c r="QYS1058" s="989"/>
      <c r="QYT1058" s="989"/>
      <c r="QYU1058" s="989"/>
      <c r="QYV1058" s="989"/>
      <c r="QYW1058" s="989"/>
      <c r="QYX1058" s="989"/>
      <c r="QYY1058" s="989"/>
      <c r="QYZ1058" s="989"/>
      <c r="QZA1058" s="989"/>
      <c r="QZB1058" s="989"/>
      <c r="QZC1058" s="989"/>
      <c r="QZD1058" s="989"/>
      <c r="QZE1058" s="989"/>
      <c r="QZF1058" s="989"/>
      <c r="QZG1058" s="989"/>
      <c r="QZH1058" s="989"/>
      <c r="QZI1058" s="989"/>
      <c r="QZJ1058" s="989"/>
      <c r="QZK1058" s="989"/>
      <c r="QZL1058" s="989"/>
      <c r="QZM1058" s="989"/>
      <c r="QZN1058" s="989"/>
      <c r="QZO1058" s="989"/>
      <c r="QZP1058" s="989"/>
      <c r="QZQ1058" s="989"/>
      <c r="QZR1058" s="989"/>
      <c r="QZS1058" s="989"/>
      <c r="QZT1058" s="989"/>
      <c r="QZU1058" s="989"/>
      <c r="QZV1058" s="989"/>
      <c r="QZW1058" s="989"/>
      <c r="QZX1058" s="989"/>
      <c r="QZY1058" s="989"/>
      <c r="QZZ1058" s="989"/>
      <c r="RAA1058" s="989"/>
      <c r="RAB1058" s="989"/>
      <c r="RAC1058" s="989"/>
      <c r="RAD1058" s="989"/>
      <c r="RAE1058" s="989"/>
      <c r="RAF1058" s="989"/>
      <c r="RAG1058" s="989"/>
      <c r="RAH1058" s="989"/>
      <c r="RAI1058" s="989"/>
      <c r="RAJ1058" s="989"/>
      <c r="RAK1058" s="989"/>
      <c r="RAL1058" s="989"/>
      <c r="RAM1058" s="989"/>
      <c r="RAN1058" s="989"/>
      <c r="RAO1058" s="989"/>
      <c r="RAP1058" s="989"/>
      <c r="RAQ1058" s="989"/>
      <c r="RAR1058" s="989"/>
      <c r="RAS1058" s="989"/>
      <c r="RAT1058" s="989"/>
      <c r="RAU1058" s="989"/>
      <c r="RAV1058" s="989"/>
      <c r="RAW1058" s="989"/>
      <c r="RAX1058" s="989"/>
      <c r="RAY1058" s="989"/>
      <c r="RAZ1058" s="989"/>
      <c r="RBA1058" s="989"/>
      <c r="RBB1058" s="989"/>
      <c r="RBC1058" s="989"/>
      <c r="RBD1058" s="989"/>
      <c r="RBE1058" s="989"/>
      <c r="RBF1058" s="989"/>
      <c r="RBG1058" s="989"/>
      <c r="RBH1058" s="989"/>
      <c r="RBI1058" s="989"/>
      <c r="RBJ1058" s="989"/>
      <c r="RBK1058" s="989"/>
      <c r="RBL1058" s="989"/>
      <c r="RBM1058" s="989"/>
      <c r="RBN1058" s="989"/>
      <c r="RBO1058" s="989"/>
      <c r="RBP1058" s="989"/>
      <c r="RBQ1058" s="989"/>
      <c r="RBR1058" s="989"/>
      <c r="RBS1058" s="989"/>
      <c r="RBT1058" s="989"/>
      <c r="RBU1058" s="989"/>
      <c r="RBV1058" s="989"/>
      <c r="RBW1058" s="989"/>
      <c r="RBX1058" s="989"/>
      <c r="RBY1058" s="989"/>
      <c r="RBZ1058" s="989"/>
      <c r="RCA1058" s="989"/>
      <c r="RCB1058" s="989"/>
      <c r="RCC1058" s="989"/>
      <c r="RCD1058" s="989"/>
      <c r="RCE1058" s="989"/>
      <c r="RCF1058" s="989"/>
      <c r="RCG1058" s="989"/>
      <c r="RCH1058" s="989"/>
      <c r="RCI1058" s="989"/>
      <c r="RCJ1058" s="989"/>
      <c r="RCK1058" s="989"/>
      <c r="RCL1058" s="989"/>
      <c r="RCM1058" s="989"/>
      <c r="RCN1058" s="989"/>
      <c r="RCO1058" s="989"/>
      <c r="RCP1058" s="989"/>
      <c r="RCQ1058" s="989"/>
      <c r="RCR1058" s="989"/>
      <c r="RCS1058" s="989"/>
      <c r="RCT1058" s="989"/>
      <c r="RCU1058" s="989"/>
      <c r="RCV1058" s="989"/>
      <c r="RCW1058" s="989"/>
      <c r="RCX1058" s="989"/>
      <c r="RCY1058" s="989"/>
      <c r="RCZ1058" s="989"/>
      <c r="RDA1058" s="989"/>
      <c r="RDB1058" s="989"/>
      <c r="RDC1058" s="989"/>
      <c r="RDD1058" s="989"/>
      <c r="RDE1058" s="989"/>
      <c r="RDF1058" s="989"/>
      <c r="RDG1058" s="989"/>
      <c r="RDH1058" s="989"/>
      <c r="RDI1058" s="989"/>
      <c r="RDJ1058" s="989"/>
      <c r="RDK1058" s="989"/>
      <c r="RDL1058" s="989"/>
      <c r="RDM1058" s="989"/>
      <c r="RDN1058" s="989"/>
      <c r="RDO1058" s="989"/>
      <c r="RDP1058" s="989"/>
      <c r="RDQ1058" s="989"/>
      <c r="RDR1058" s="989"/>
      <c r="RDS1058" s="989"/>
      <c r="RDT1058" s="989"/>
      <c r="RDU1058" s="989"/>
      <c r="RDV1058" s="989"/>
      <c r="RDW1058" s="989"/>
      <c r="RDX1058" s="989"/>
      <c r="RDY1058" s="989"/>
      <c r="RDZ1058" s="989"/>
      <c r="REA1058" s="989"/>
      <c r="REB1058" s="989"/>
      <c r="REC1058" s="989"/>
      <c r="RED1058" s="989"/>
      <c r="REE1058" s="989"/>
      <c r="REF1058" s="989"/>
      <c r="REG1058" s="989"/>
      <c r="REH1058" s="989"/>
      <c r="REI1058" s="989"/>
      <c r="REJ1058" s="989"/>
      <c r="REK1058" s="989"/>
      <c r="REL1058" s="989"/>
      <c r="REM1058" s="989"/>
      <c r="REN1058" s="989"/>
      <c r="REO1058" s="989"/>
      <c r="REP1058" s="989"/>
      <c r="REQ1058" s="989"/>
      <c r="RER1058" s="989"/>
      <c r="RES1058" s="989"/>
      <c r="RET1058" s="989"/>
      <c r="REU1058" s="989"/>
      <c r="REV1058" s="989"/>
      <c r="REW1058" s="989"/>
      <c r="REX1058" s="989"/>
      <c r="REY1058" s="989"/>
      <c r="REZ1058" s="989"/>
      <c r="RFA1058" s="989"/>
      <c r="RFB1058" s="989"/>
      <c r="RFC1058" s="989"/>
      <c r="RFD1058" s="989"/>
      <c r="RFE1058" s="989"/>
      <c r="RFF1058" s="989"/>
      <c r="RFG1058" s="989"/>
      <c r="RFH1058" s="989"/>
      <c r="RFI1058" s="989"/>
      <c r="RFJ1058" s="989"/>
      <c r="RFK1058" s="989"/>
      <c r="RFL1058" s="989"/>
      <c r="RFM1058" s="989"/>
      <c r="RFN1058" s="989"/>
      <c r="RFO1058" s="989"/>
      <c r="RFP1058" s="989"/>
      <c r="RFQ1058" s="989"/>
      <c r="RFR1058" s="989"/>
      <c r="RFS1058" s="989"/>
      <c r="RFT1058" s="989"/>
      <c r="RFU1058" s="989"/>
      <c r="RFV1058" s="989"/>
      <c r="RFW1058" s="989"/>
      <c r="RFX1058" s="989"/>
      <c r="RFY1058" s="989"/>
      <c r="RFZ1058" s="989"/>
      <c r="RGA1058" s="989"/>
      <c r="RGB1058" s="989"/>
      <c r="RGC1058" s="989"/>
      <c r="RGD1058" s="989"/>
      <c r="RGE1058" s="989"/>
      <c r="RGF1058" s="989"/>
      <c r="RGG1058" s="989"/>
      <c r="RGH1058" s="989"/>
      <c r="RGI1058" s="989"/>
      <c r="RGJ1058" s="989"/>
      <c r="RGK1058" s="989"/>
      <c r="RGL1058" s="989"/>
      <c r="RGM1058" s="989"/>
      <c r="RGN1058" s="989"/>
      <c r="RGO1058" s="989"/>
      <c r="RGP1058" s="989"/>
      <c r="RGQ1058" s="989"/>
      <c r="RGR1058" s="989"/>
      <c r="RGS1058" s="989"/>
      <c r="RGT1058" s="989"/>
      <c r="RGU1058" s="989"/>
      <c r="RGV1058" s="989"/>
      <c r="RGW1058" s="989"/>
      <c r="RGX1058" s="989"/>
      <c r="RGY1058" s="989"/>
      <c r="RGZ1058" s="989"/>
      <c r="RHA1058" s="989"/>
      <c r="RHB1058" s="989"/>
      <c r="RHC1058" s="989"/>
      <c r="RHD1058" s="989"/>
      <c r="RHE1058" s="989"/>
      <c r="RHF1058" s="989"/>
      <c r="RHG1058" s="989"/>
      <c r="RHH1058" s="989"/>
      <c r="RHI1058" s="989"/>
      <c r="RHJ1058" s="989"/>
      <c r="RHK1058" s="989"/>
      <c r="RHL1058" s="989"/>
      <c r="RHM1058" s="989"/>
      <c r="RHN1058" s="989"/>
      <c r="RHO1058" s="989"/>
      <c r="RHP1058" s="989"/>
      <c r="RHQ1058" s="989"/>
      <c r="RHR1058" s="989"/>
      <c r="RHS1058" s="989"/>
      <c r="RHT1058" s="989"/>
      <c r="RHU1058" s="989"/>
      <c r="RHV1058" s="989"/>
      <c r="RHW1058" s="989"/>
      <c r="RHX1058" s="989"/>
      <c r="RHY1058" s="989"/>
      <c r="RHZ1058" s="989"/>
      <c r="RIA1058" s="989"/>
      <c r="RIB1058" s="989"/>
      <c r="RIC1058" s="989"/>
      <c r="RID1058" s="989"/>
      <c r="RIE1058" s="989"/>
      <c r="RIF1058" s="989"/>
      <c r="RIG1058" s="989"/>
      <c r="RIH1058" s="989"/>
      <c r="RII1058" s="989"/>
      <c r="RIJ1058" s="989"/>
      <c r="RIK1058" s="989"/>
      <c r="RIL1058" s="989"/>
      <c r="RIM1058" s="989"/>
      <c r="RIN1058" s="989"/>
      <c r="RIO1058" s="989"/>
      <c r="RIP1058" s="989"/>
      <c r="RIQ1058" s="989"/>
      <c r="RIR1058" s="989"/>
      <c r="RIS1058" s="989"/>
      <c r="RIT1058" s="989"/>
      <c r="RIU1058" s="989"/>
      <c r="RIV1058" s="989"/>
      <c r="RIW1058" s="989"/>
      <c r="RIX1058" s="989"/>
      <c r="RIY1058" s="989"/>
      <c r="RIZ1058" s="989"/>
      <c r="RJA1058" s="989"/>
      <c r="RJB1058" s="989"/>
      <c r="RJC1058" s="989"/>
      <c r="RJD1058" s="989"/>
      <c r="RJE1058" s="989"/>
      <c r="RJF1058" s="989"/>
      <c r="RJG1058" s="989"/>
      <c r="RJH1058" s="989"/>
      <c r="RJI1058" s="989"/>
      <c r="RJJ1058" s="989"/>
      <c r="RJK1058" s="989"/>
      <c r="RJL1058" s="989"/>
      <c r="RJM1058" s="989"/>
      <c r="RJN1058" s="989"/>
      <c r="RJO1058" s="989"/>
      <c r="RJP1058" s="989"/>
      <c r="RJQ1058" s="989"/>
      <c r="RJR1058" s="989"/>
      <c r="RJS1058" s="989"/>
      <c r="RJT1058" s="989"/>
      <c r="RJU1058" s="989"/>
      <c r="RJV1058" s="989"/>
      <c r="RJW1058" s="989"/>
      <c r="RJX1058" s="989"/>
      <c r="RJY1058" s="989"/>
      <c r="RJZ1058" s="989"/>
      <c r="RKA1058" s="989"/>
      <c r="RKB1058" s="989"/>
      <c r="RKC1058" s="989"/>
      <c r="RKD1058" s="989"/>
      <c r="RKE1058" s="989"/>
      <c r="RKF1058" s="989"/>
      <c r="RKG1058" s="989"/>
      <c r="RKH1058" s="989"/>
      <c r="RKI1058" s="989"/>
      <c r="RKJ1058" s="989"/>
      <c r="RKK1058" s="989"/>
      <c r="RKL1058" s="989"/>
      <c r="RKM1058" s="989"/>
      <c r="RKN1058" s="989"/>
      <c r="RKO1058" s="989"/>
      <c r="RKP1058" s="989"/>
      <c r="RKQ1058" s="989"/>
      <c r="RKR1058" s="989"/>
      <c r="RKS1058" s="989"/>
      <c r="RKT1058" s="989"/>
      <c r="RKU1058" s="989"/>
      <c r="RKV1058" s="989"/>
      <c r="RKW1058" s="989"/>
      <c r="RKX1058" s="989"/>
      <c r="RKY1058" s="989"/>
      <c r="RKZ1058" s="989"/>
      <c r="RLA1058" s="989"/>
      <c r="RLB1058" s="989"/>
      <c r="RLC1058" s="989"/>
      <c r="RLD1058" s="989"/>
      <c r="RLE1058" s="989"/>
      <c r="RLF1058" s="989"/>
      <c r="RLG1058" s="989"/>
      <c r="RLH1058" s="989"/>
      <c r="RLI1058" s="989"/>
      <c r="RLJ1058" s="989"/>
      <c r="RLK1058" s="989"/>
      <c r="RLL1058" s="989"/>
      <c r="RLM1058" s="989"/>
      <c r="RLN1058" s="989"/>
      <c r="RLO1058" s="989"/>
      <c r="RLP1058" s="989"/>
      <c r="RLQ1058" s="989"/>
      <c r="RLR1058" s="989"/>
      <c r="RLS1058" s="989"/>
      <c r="RLT1058" s="989"/>
      <c r="RLU1058" s="989"/>
      <c r="RLV1058" s="989"/>
      <c r="RLW1058" s="989"/>
      <c r="RLX1058" s="989"/>
      <c r="RLY1058" s="989"/>
      <c r="RLZ1058" s="989"/>
      <c r="RMA1058" s="989"/>
      <c r="RMB1058" s="989"/>
      <c r="RMC1058" s="989"/>
      <c r="RMD1058" s="989"/>
      <c r="RME1058" s="989"/>
      <c r="RMF1058" s="989"/>
      <c r="RMG1058" s="989"/>
      <c r="RMH1058" s="989"/>
      <c r="RMI1058" s="989"/>
      <c r="RMJ1058" s="989"/>
      <c r="RMK1058" s="989"/>
      <c r="RML1058" s="989"/>
      <c r="RMM1058" s="989"/>
      <c r="RMN1058" s="989"/>
      <c r="RMO1058" s="989"/>
      <c r="RMP1058" s="989"/>
      <c r="RMQ1058" s="989"/>
      <c r="RMR1058" s="989"/>
      <c r="RMS1058" s="989"/>
      <c r="RMT1058" s="989"/>
      <c r="RMU1058" s="989"/>
      <c r="RMV1058" s="989"/>
      <c r="RMW1058" s="989"/>
      <c r="RMX1058" s="989"/>
      <c r="RMY1058" s="989"/>
      <c r="RMZ1058" s="989"/>
      <c r="RNA1058" s="989"/>
      <c r="RNB1058" s="989"/>
      <c r="RNC1058" s="989"/>
      <c r="RND1058" s="989"/>
      <c r="RNE1058" s="989"/>
      <c r="RNF1058" s="989"/>
      <c r="RNG1058" s="989"/>
      <c r="RNH1058" s="989"/>
      <c r="RNI1058" s="989"/>
      <c r="RNJ1058" s="989"/>
      <c r="RNK1058" s="989"/>
      <c r="RNL1058" s="989"/>
      <c r="RNM1058" s="989"/>
      <c r="RNN1058" s="989"/>
      <c r="RNO1058" s="989"/>
      <c r="RNP1058" s="989"/>
      <c r="RNQ1058" s="989"/>
      <c r="RNR1058" s="989"/>
      <c r="RNS1058" s="989"/>
      <c r="RNT1058" s="989"/>
      <c r="RNU1058" s="989"/>
      <c r="RNV1058" s="989"/>
      <c r="RNW1058" s="989"/>
      <c r="RNX1058" s="989"/>
      <c r="RNY1058" s="989"/>
      <c r="RNZ1058" s="989"/>
      <c r="ROA1058" s="989"/>
      <c r="ROB1058" s="989"/>
      <c r="ROC1058" s="989"/>
      <c r="ROD1058" s="989"/>
      <c r="ROE1058" s="989"/>
      <c r="ROF1058" s="989"/>
      <c r="ROG1058" s="989"/>
      <c r="ROH1058" s="989"/>
      <c r="ROI1058" s="989"/>
      <c r="ROJ1058" s="989"/>
      <c r="ROK1058" s="989"/>
      <c r="ROL1058" s="989"/>
      <c r="ROM1058" s="989"/>
      <c r="RON1058" s="989"/>
      <c r="ROO1058" s="989"/>
      <c r="ROP1058" s="989"/>
      <c r="ROQ1058" s="989"/>
      <c r="ROR1058" s="989"/>
      <c r="ROS1058" s="989"/>
      <c r="ROT1058" s="989"/>
      <c r="ROU1058" s="989"/>
      <c r="ROV1058" s="989"/>
      <c r="ROW1058" s="989"/>
      <c r="ROX1058" s="989"/>
      <c r="ROY1058" s="989"/>
      <c r="ROZ1058" s="989"/>
      <c r="RPA1058" s="989"/>
      <c r="RPB1058" s="989"/>
      <c r="RPC1058" s="989"/>
      <c r="RPD1058" s="989"/>
      <c r="RPE1058" s="989"/>
      <c r="RPF1058" s="989"/>
      <c r="RPG1058" s="989"/>
      <c r="RPH1058" s="989"/>
      <c r="RPI1058" s="989"/>
      <c r="RPJ1058" s="989"/>
      <c r="RPK1058" s="989"/>
      <c r="RPL1058" s="989"/>
      <c r="RPM1058" s="989"/>
      <c r="RPN1058" s="989"/>
      <c r="RPO1058" s="989"/>
      <c r="RPP1058" s="989"/>
      <c r="RPQ1058" s="989"/>
      <c r="RPR1058" s="989"/>
      <c r="RPS1058" s="989"/>
      <c r="RPT1058" s="989"/>
      <c r="RPU1058" s="989"/>
      <c r="RPV1058" s="989"/>
      <c r="RPW1058" s="989"/>
      <c r="RPX1058" s="989"/>
      <c r="RPY1058" s="989"/>
      <c r="RPZ1058" s="989"/>
      <c r="RQA1058" s="989"/>
      <c r="RQB1058" s="989"/>
      <c r="RQC1058" s="989"/>
      <c r="RQD1058" s="989"/>
      <c r="RQE1058" s="989"/>
      <c r="RQF1058" s="989"/>
      <c r="RQG1058" s="989"/>
      <c r="RQH1058" s="989"/>
      <c r="RQI1058" s="989"/>
      <c r="RQJ1058" s="989"/>
      <c r="RQK1058" s="989"/>
      <c r="RQL1058" s="989"/>
      <c r="RQM1058" s="989"/>
      <c r="RQN1058" s="989"/>
      <c r="RQO1058" s="989"/>
      <c r="RQP1058" s="989"/>
      <c r="RQQ1058" s="989"/>
      <c r="RQR1058" s="989"/>
      <c r="RQS1058" s="989"/>
      <c r="RQT1058" s="989"/>
      <c r="RQU1058" s="989"/>
      <c r="RQV1058" s="989"/>
      <c r="RQW1058" s="989"/>
      <c r="RQX1058" s="989"/>
      <c r="RQY1058" s="989"/>
      <c r="RQZ1058" s="989"/>
      <c r="RRA1058" s="989"/>
      <c r="RRB1058" s="989"/>
      <c r="RRC1058" s="989"/>
      <c r="RRD1058" s="989"/>
      <c r="RRE1058" s="989"/>
      <c r="RRF1058" s="989"/>
      <c r="RRG1058" s="989"/>
      <c r="RRH1058" s="989"/>
      <c r="RRI1058" s="989"/>
      <c r="RRJ1058" s="989"/>
      <c r="RRK1058" s="989"/>
      <c r="RRL1058" s="989"/>
      <c r="RRM1058" s="989"/>
      <c r="RRN1058" s="989"/>
      <c r="RRO1058" s="989"/>
      <c r="RRP1058" s="989"/>
      <c r="RRQ1058" s="989"/>
      <c r="RRR1058" s="989"/>
      <c r="RRS1058" s="989"/>
      <c r="RRT1058" s="989"/>
      <c r="RRU1058" s="989"/>
      <c r="RRV1058" s="989"/>
      <c r="RRW1058" s="989"/>
      <c r="RRX1058" s="989"/>
      <c r="RRY1058" s="989"/>
      <c r="RRZ1058" s="989"/>
      <c r="RSA1058" s="989"/>
      <c r="RSB1058" s="989"/>
      <c r="RSC1058" s="989"/>
      <c r="RSD1058" s="989"/>
      <c r="RSE1058" s="989"/>
      <c r="RSF1058" s="989"/>
      <c r="RSG1058" s="989"/>
      <c r="RSH1058" s="989"/>
      <c r="RSI1058" s="989"/>
      <c r="RSJ1058" s="989"/>
      <c r="RSK1058" s="989"/>
      <c r="RSL1058" s="989"/>
      <c r="RSM1058" s="989"/>
      <c r="RSN1058" s="989"/>
      <c r="RSO1058" s="989"/>
      <c r="RSP1058" s="989"/>
      <c r="RSQ1058" s="989"/>
      <c r="RSR1058" s="989"/>
      <c r="RSS1058" s="989"/>
      <c r="RST1058" s="989"/>
      <c r="RSU1058" s="989"/>
      <c r="RSV1058" s="989"/>
      <c r="RSW1058" s="989"/>
      <c r="RSX1058" s="989"/>
      <c r="RSY1058" s="989"/>
      <c r="RSZ1058" s="989"/>
      <c r="RTA1058" s="989"/>
      <c r="RTB1058" s="989"/>
      <c r="RTC1058" s="989"/>
      <c r="RTD1058" s="989"/>
      <c r="RTE1058" s="989"/>
      <c r="RTF1058" s="989"/>
      <c r="RTG1058" s="989"/>
      <c r="RTH1058" s="989"/>
      <c r="RTI1058" s="989"/>
      <c r="RTJ1058" s="989"/>
      <c r="RTK1058" s="989"/>
      <c r="RTL1058" s="989"/>
      <c r="RTM1058" s="989"/>
      <c r="RTN1058" s="989"/>
      <c r="RTO1058" s="989"/>
      <c r="RTP1058" s="989"/>
      <c r="RTQ1058" s="989"/>
      <c r="RTR1058" s="989"/>
      <c r="RTS1058" s="989"/>
      <c r="RTT1058" s="989"/>
      <c r="RTU1058" s="989"/>
      <c r="RTV1058" s="989"/>
      <c r="RTW1058" s="989"/>
      <c r="RTX1058" s="989"/>
      <c r="RTY1058" s="989"/>
      <c r="RTZ1058" s="989"/>
      <c r="RUA1058" s="989"/>
      <c r="RUB1058" s="989"/>
      <c r="RUC1058" s="989"/>
      <c r="RUD1058" s="989"/>
      <c r="RUE1058" s="989"/>
      <c r="RUF1058" s="989"/>
      <c r="RUG1058" s="989"/>
      <c r="RUH1058" s="989"/>
      <c r="RUI1058" s="989"/>
      <c r="RUJ1058" s="989"/>
      <c r="RUK1058" s="989"/>
      <c r="RUL1058" s="989"/>
      <c r="RUM1058" s="989"/>
      <c r="RUN1058" s="989"/>
      <c r="RUO1058" s="989"/>
      <c r="RUP1058" s="989"/>
      <c r="RUQ1058" s="989"/>
      <c r="RUR1058" s="989"/>
      <c r="RUS1058" s="989"/>
      <c r="RUT1058" s="989"/>
      <c r="RUU1058" s="989"/>
      <c r="RUV1058" s="989"/>
      <c r="RUW1058" s="989"/>
      <c r="RUX1058" s="989"/>
      <c r="RUY1058" s="989"/>
      <c r="RUZ1058" s="989"/>
      <c r="RVA1058" s="989"/>
      <c r="RVB1058" s="989"/>
      <c r="RVC1058" s="989"/>
      <c r="RVD1058" s="989"/>
      <c r="RVE1058" s="989"/>
      <c r="RVF1058" s="989"/>
      <c r="RVG1058" s="989"/>
      <c r="RVH1058" s="989"/>
      <c r="RVI1058" s="989"/>
      <c r="RVJ1058" s="989"/>
      <c r="RVK1058" s="989"/>
      <c r="RVL1058" s="989"/>
      <c r="RVM1058" s="989"/>
      <c r="RVN1058" s="989"/>
      <c r="RVO1058" s="989"/>
      <c r="RVP1058" s="989"/>
      <c r="RVQ1058" s="989"/>
      <c r="RVR1058" s="989"/>
      <c r="RVS1058" s="989"/>
      <c r="RVT1058" s="989"/>
      <c r="RVU1058" s="989"/>
      <c r="RVV1058" s="989"/>
      <c r="RVW1058" s="989"/>
      <c r="RVX1058" s="989"/>
      <c r="RVY1058" s="989"/>
      <c r="RVZ1058" s="989"/>
      <c r="RWA1058" s="989"/>
      <c r="RWB1058" s="989"/>
      <c r="RWC1058" s="989"/>
      <c r="RWD1058" s="989"/>
      <c r="RWE1058" s="989"/>
      <c r="RWF1058" s="989"/>
      <c r="RWG1058" s="989"/>
      <c r="RWH1058" s="989"/>
      <c r="RWI1058" s="989"/>
      <c r="RWJ1058" s="989"/>
      <c r="RWK1058" s="989"/>
      <c r="RWL1058" s="989"/>
      <c r="RWM1058" s="989"/>
      <c r="RWN1058" s="989"/>
      <c r="RWO1058" s="989"/>
      <c r="RWP1058" s="989"/>
      <c r="RWQ1058" s="989"/>
      <c r="RWR1058" s="989"/>
      <c r="RWS1058" s="989"/>
      <c r="RWT1058" s="989"/>
      <c r="RWU1058" s="989"/>
      <c r="RWV1058" s="989"/>
      <c r="RWW1058" s="989"/>
      <c r="RWX1058" s="989"/>
      <c r="RWY1058" s="989"/>
      <c r="RWZ1058" s="989"/>
      <c r="RXA1058" s="989"/>
      <c r="RXB1058" s="989"/>
      <c r="RXC1058" s="989"/>
      <c r="RXD1058" s="989"/>
      <c r="RXE1058" s="989"/>
      <c r="RXF1058" s="989"/>
      <c r="RXG1058" s="989"/>
      <c r="RXH1058" s="989"/>
      <c r="RXI1058" s="989"/>
      <c r="RXJ1058" s="989"/>
      <c r="RXK1058" s="989"/>
      <c r="RXL1058" s="989"/>
      <c r="RXM1058" s="989"/>
      <c r="RXN1058" s="989"/>
      <c r="RXO1058" s="989"/>
      <c r="RXP1058" s="989"/>
      <c r="RXQ1058" s="989"/>
      <c r="RXR1058" s="989"/>
      <c r="RXS1058" s="989"/>
      <c r="RXT1058" s="989"/>
      <c r="RXU1058" s="989"/>
      <c r="RXV1058" s="989"/>
      <c r="RXW1058" s="989"/>
      <c r="RXX1058" s="989"/>
      <c r="RXY1058" s="989"/>
      <c r="RXZ1058" s="989"/>
      <c r="RYA1058" s="989"/>
      <c r="RYB1058" s="989"/>
      <c r="RYC1058" s="989"/>
      <c r="RYD1058" s="989"/>
      <c r="RYE1058" s="989"/>
      <c r="RYF1058" s="989"/>
      <c r="RYG1058" s="989"/>
      <c r="RYH1058" s="989"/>
      <c r="RYI1058" s="989"/>
      <c r="RYJ1058" s="989"/>
      <c r="RYK1058" s="989"/>
      <c r="RYL1058" s="989"/>
      <c r="RYM1058" s="989"/>
      <c r="RYN1058" s="989"/>
      <c r="RYO1058" s="989"/>
      <c r="RYP1058" s="989"/>
      <c r="RYQ1058" s="989"/>
      <c r="RYR1058" s="989"/>
      <c r="RYS1058" s="989"/>
      <c r="RYT1058" s="989"/>
      <c r="RYU1058" s="989"/>
      <c r="RYV1058" s="989"/>
      <c r="RYW1058" s="989"/>
      <c r="RYX1058" s="989"/>
      <c r="RYY1058" s="989"/>
      <c r="RYZ1058" s="989"/>
      <c r="RZA1058" s="989"/>
      <c r="RZB1058" s="989"/>
      <c r="RZC1058" s="989"/>
      <c r="RZD1058" s="989"/>
      <c r="RZE1058" s="989"/>
      <c r="RZF1058" s="989"/>
      <c r="RZG1058" s="989"/>
      <c r="RZH1058" s="989"/>
      <c r="RZI1058" s="989"/>
      <c r="RZJ1058" s="989"/>
      <c r="RZK1058" s="989"/>
      <c r="RZL1058" s="989"/>
      <c r="RZM1058" s="989"/>
      <c r="RZN1058" s="989"/>
      <c r="RZO1058" s="989"/>
      <c r="RZP1058" s="989"/>
      <c r="RZQ1058" s="989"/>
      <c r="RZR1058" s="989"/>
      <c r="RZS1058" s="989"/>
      <c r="RZT1058" s="989"/>
      <c r="RZU1058" s="989"/>
      <c r="RZV1058" s="989"/>
      <c r="RZW1058" s="989"/>
      <c r="RZX1058" s="989"/>
      <c r="RZY1058" s="989"/>
      <c r="RZZ1058" s="989"/>
      <c r="SAA1058" s="989"/>
      <c r="SAB1058" s="989"/>
      <c r="SAC1058" s="989"/>
      <c r="SAD1058" s="989"/>
      <c r="SAE1058" s="989"/>
      <c r="SAF1058" s="989"/>
      <c r="SAG1058" s="989"/>
      <c r="SAH1058" s="989"/>
      <c r="SAI1058" s="989"/>
      <c r="SAJ1058" s="989"/>
      <c r="SAK1058" s="989"/>
      <c r="SAL1058" s="989"/>
      <c r="SAM1058" s="989"/>
      <c r="SAN1058" s="989"/>
      <c r="SAO1058" s="989"/>
      <c r="SAP1058" s="989"/>
      <c r="SAQ1058" s="989"/>
      <c r="SAR1058" s="989"/>
      <c r="SAS1058" s="989"/>
      <c r="SAT1058" s="989"/>
      <c r="SAU1058" s="989"/>
      <c r="SAV1058" s="989"/>
      <c r="SAW1058" s="989"/>
      <c r="SAX1058" s="989"/>
      <c r="SAY1058" s="989"/>
      <c r="SAZ1058" s="989"/>
      <c r="SBA1058" s="989"/>
      <c r="SBB1058" s="989"/>
      <c r="SBC1058" s="989"/>
      <c r="SBD1058" s="989"/>
      <c r="SBE1058" s="989"/>
      <c r="SBF1058" s="989"/>
      <c r="SBG1058" s="989"/>
      <c r="SBH1058" s="989"/>
      <c r="SBI1058" s="989"/>
      <c r="SBJ1058" s="989"/>
      <c r="SBK1058" s="989"/>
      <c r="SBL1058" s="989"/>
      <c r="SBM1058" s="989"/>
      <c r="SBN1058" s="989"/>
      <c r="SBO1058" s="989"/>
      <c r="SBP1058" s="989"/>
      <c r="SBQ1058" s="989"/>
      <c r="SBR1058" s="989"/>
      <c r="SBS1058" s="989"/>
      <c r="SBT1058" s="989"/>
      <c r="SBU1058" s="989"/>
      <c r="SBV1058" s="989"/>
      <c r="SBW1058" s="989"/>
      <c r="SBX1058" s="989"/>
      <c r="SBY1058" s="989"/>
      <c r="SBZ1058" s="989"/>
      <c r="SCA1058" s="989"/>
      <c r="SCB1058" s="989"/>
      <c r="SCC1058" s="989"/>
      <c r="SCD1058" s="989"/>
      <c r="SCE1058" s="989"/>
      <c r="SCF1058" s="989"/>
      <c r="SCG1058" s="989"/>
      <c r="SCH1058" s="989"/>
      <c r="SCI1058" s="989"/>
      <c r="SCJ1058" s="989"/>
      <c r="SCK1058" s="989"/>
      <c r="SCL1058" s="989"/>
      <c r="SCM1058" s="989"/>
      <c r="SCN1058" s="989"/>
      <c r="SCO1058" s="989"/>
      <c r="SCP1058" s="989"/>
      <c r="SCQ1058" s="989"/>
      <c r="SCR1058" s="989"/>
      <c r="SCS1058" s="989"/>
      <c r="SCT1058" s="989"/>
      <c r="SCU1058" s="989"/>
      <c r="SCV1058" s="989"/>
      <c r="SCW1058" s="989"/>
      <c r="SCX1058" s="989"/>
      <c r="SCY1058" s="989"/>
      <c r="SCZ1058" s="989"/>
      <c r="SDA1058" s="989"/>
      <c r="SDB1058" s="989"/>
      <c r="SDC1058" s="989"/>
      <c r="SDD1058" s="989"/>
      <c r="SDE1058" s="989"/>
      <c r="SDF1058" s="989"/>
      <c r="SDG1058" s="989"/>
      <c r="SDH1058" s="989"/>
      <c r="SDI1058" s="989"/>
      <c r="SDJ1058" s="989"/>
      <c r="SDK1058" s="989"/>
      <c r="SDL1058" s="989"/>
      <c r="SDM1058" s="989"/>
      <c r="SDN1058" s="989"/>
      <c r="SDO1058" s="989"/>
      <c r="SDP1058" s="989"/>
      <c r="SDQ1058" s="989"/>
      <c r="SDR1058" s="989"/>
      <c r="SDS1058" s="989"/>
      <c r="SDT1058" s="989"/>
      <c r="SDU1058" s="989"/>
      <c r="SDV1058" s="989"/>
      <c r="SDW1058" s="989"/>
      <c r="SDX1058" s="989"/>
      <c r="SDY1058" s="989"/>
      <c r="SDZ1058" s="989"/>
      <c r="SEA1058" s="989"/>
      <c r="SEB1058" s="989"/>
      <c r="SEC1058" s="989"/>
      <c r="SED1058" s="989"/>
      <c r="SEE1058" s="989"/>
      <c r="SEF1058" s="989"/>
      <c r="SEG1058" s="989"/>
      <c r="SEH1058" s="989"/>
      <c r="SEI1058" s="989"/>
      <c r="SEJ1058" s="989"/>
      <c r="SEK1058" s="989"/>
      <c r="SEL1058" s="989"/>
      <c r="SEM1058" s="989"/>
      <c r="SEN1058" s="989"/>
      <c r="SEO1058" s="989"/>
      <c r="SEP1058" s="989"/>
      <c r="SEQ1058" s="989"/>
      <c r="SER1058" s="989"/>
      <c r="SES1058" s="989"/>
      <c r="SET1058" s="989"/>
      <c r="SEU1058" s="989"/>
      <c r="SEV1058" s="989"/>
      <c r="SEW1058" s="989"/>
      <c r="SEX1058" s="989"/>
      <c r="SEY1058" s="989"/>
      <c r="SEZ1058" s="989"/>
      <c r="SFA1058" s="989"/>
      <c r="SFB1058" s="989"/>
      <c r="SFC1058" s="989"/>
      <c r="SFD1058" s="989"/>
      <c r="SFE1058" s="989"/>
      <c r="SFF1058" s="989"/>
      <c r="SFG1058" s="989"/>
      <c r="SFH1058" s="989"/>
      <c r="SFI1058" s="989"/>
      <c r="SFJ1058" s="989"/>
      <c r="SFK1058" s="989"/>
      <c r="SFL1058" s="989"/>
      <c r="SFM1058" s="989"/>
      <c r="SFN1058" s="989"/>
      <c r="SFO1058" s="989"/>
      <c r="SFP1058" s="989"/>
      <c r="SFQ1058" s="989"/>
      <c r="SFR1058" s="989"/>
      <c r="SFS1058" s="989"/>
      <c r="SFT1058" s="989"/>
      <c r="SFU1058" s="989"/>
      <c r="SFV1058" s="989"/>
      <c r="SFW1058" s="989"/>
      <c r="SFX1058" s="989"/>
      <c r="SFY1058" s="989"/>
      <c r="SFZ1058" s="989"/>
      <c r="SGA1058" s="989"/>
      <c r="SGB1058" s="989"/>
      <c r="SGC1058" s="989"/>
      <c r="SGD1058" s="989"/>
      <c r="SGE1058" s="989"/>
      <c r="SGF1058" s="989"/>
      <c r="SGG1058" s="989"/>
      <c r="SGH1058" s="989"/>
      <c r="SGI1058" s="989"/>
      <c r="SGJ1058" s="989"/>
      <c r="SGK1058" s="989"/>
      <c r="SGL1058" s="989"/>
      <c r="SGM1058" s="989"/>
      <c r="SGN1058" s="989"/>
      <c r="SGO1058" s="989"/>
      <c r="SGP1058" s="989"/>
      <c r="SGQ1058" s="989"/>
      <c r="SGR1058" s="989"/>
      <c r="SGS1058" s="989"/>
      <c r="SGT1058" s="989"/>
      <c r="SGU1058" s="989"/>
      <c r="SGV1058" s="989"/>
      <c r="SGW1058" s="989"/>
      <c r="SGX1058" s="989"/>
      <c r="SGY1058" s="989"/>
      <c r="SGZ1058" s="989"/>
      <c r="SHA1058" s="989"/>
      <c r="SHB1058" s="989"/>
      <c r="SHC1058" s="989"/>
      <c r="SHD1058" s="989"/>
      <c r="SHE1058" s="989"/>
      <c r="SHF1058" s="989"/>
      <c r="SHG1058" s="989"/>
      <c r="SHH1058" s="989"/>
      <c r="SHI1058" s="989"/>
      <c r="SHJ1058" s="989"/>
      <c r="SHK1058" s="989"/>
      <c r="SHL1058" s="989"/>
      <c r="SHM1058" s="989"/>
      <c r="SHN1058" s="989"/>
      <c r="SHO1058" s="989"/>
      <c r="SHP1058" s="989"/>
      <c r="SHQ1058" s="989"/>
      <c r="SHR1058" s="989"/>
      <c r="SHS1058" s="989"/>
      <c r="SHT1058" s="989"/>
      <c r="SHU1058" s="989"/>
      <c r="SHV1058" s="989"/>
      <c r="SHW1058" s="989"/>
      <c r="SHX1058" s="989"/>
      <c r="SHY1058" s="989"/>
      <c r="SHZ1058" s="989"/>
      <c r="SIA1058" s="989"/>
      <c r="SIB1058" s="989"/>
      <c r="SIC1058" s="989"/>
      <c r="SID1058" s="989"/>
      <c r="SIE1058" s="989"/>
      <c r="SIF1058" s="989"/>
      <c r="SIG1058" s="989"/>
      <c r="SIH1058" s="989"/>
      <c r="SII1058" s="989"/>
      <c r="SIJ1058" s="989"/>
      <c r="SIK1058" s="989"/>
      <c r="SIL1058" s="989"/>
      <c r="SIM1058" s="989"/>
      <c r="SIN1058" s="989"/>
      <c r="SIO1058" s="989"/>
      <c r="SIP1058" s="989"/>
      <c r="SIQ1058" s="989"/>
      <c r="SIR1058" s="989"/>
      <c r="SIS1058" s="989"/>
      <c r="SIT1058" s="989"/>
      <c r="SIU1058" s="989"/>
      <c r="SIV1058" s="989"/>
      <c r="SIW1058" s="989"/>
      <c r="SIX1058" s="989"/>
      <c r="SIY1058" s="989"/>
      <c r="SIZ1058" s="989"/>
      <c r="SJA1058" s="989"/>
      <c r="SJB1058" s="989"/>
      <c r="SJC1058" s="989"/>
      <c r="SJD1058" s="989"/>
      <c r="SJE1058" s="989"/>
      <c r="SJF1058" s="989"/>
      <c r="SJG1058" s="989"/>
      <c r="SJH1058" s="989"/>
      <c r="SJI1058" s="989"/>
      <c r="SJJ1058" s="989"/>
      <c r="SJK1058" s="989"/>
      <c r="SJL1058" s="989"/>
      <c r="SJM1058" s="989"/>
      <c r="SJN1058" s="989"/>
      <c r="SJO1058" s="989"/>
      <c r="SJP1058" s="989"/>
      <c r="SJQ1058" s="989"/>
      <c r="SJR1058" s="989"/>
      <c r="SJS1058" s="989"/>
      <c r="SJT1058" s="989"/>
      <c r="SJU1058" s="989"/>
      <c r="SJV1058" s="989"/>
      <c r="SJW1058" s="989"/>
      <c r="SJX1058" s="989"/>
      <c r="SJY1058" s="989"/>
      <c r="SJZ1058" s="989"/>
      <c r="SKA1058" s="989"/>
      <c r="SKB1058" s="989"/>
      <c r="SKC1058" s="989"/>
      <c r="SKD1058" s="989"/>
      <c r="SKE1058" s="989"/>
      <c r="SKF1058" s="989"/>
      <c r="SKG1058" s="989"/>
      <c r="SKH1058" s="989"/>
      <c r="SKI1058" s="989"/>
      <c r="SKJ1058" s="989"/>
      <c r="SKK1058" s="989"/>
      <c r="SKL1058" s="989"/>
      <c r="SKM1058" s="989"/>
      <c r="SKN1058" s="989"/>
      <c r="SKO1058" s="989"/>
      <c r="SKP1058" s="989"/>
      <c r="SKQ1058" s="989"/>
      <c r="SKR1058" s="989"/>
      <c r="SKS1058" s="989"/>
      <c r="SKT1058" s="989"/>
      <c r="SKU1058" s="989"/>
      <c r="SKV1058" s="989"/>
      <c r="SKW1058" s="989"/>
      <c r="SKX1058" s="989"/>
      <c r="SKY1058" s="989"/>
      <c r="SKZ1058" s="989"/>
      <c r="SLA1058" s="989"/>
      <c r="SLB1058" s="989"/>
      <c r="SLC1058" s="989"/>
      <c r="SLD1058" s="989"/>
      <c r="SLE1058" s="989"/>
      <c r="SLF1058" s="989"/>
      <c r="SLG1058" s="989"/>
      <c r="SLH1058" s="989"/>
      <c r="SLI1058" s="989"/>
      <c r="SLJ1058" s="989"/>
      <c r="SLK1058" s="989"/>
      <c r="SLL1058" s="989"/>
      <c r="SLM1058" s="989"/>
      <c r="SLN1058" s="989"/>
      <c r="SLO1058" s="989"/>
      <c r="SLP1058" s="989"/>
      <c r="SLQ1058" s="989"/>
      <c r="SLR1058" s="989"/>
      <c r="SLS1058" s="989"/>
      <c r="SLT1058" s="989"/>
      <c r="SLU1058" s="989"/>
      <c r="SLV1058" s="989"/>
      <c r="SLW1058" s="989"/>
      <c r="SLX1058" s="989"/>
      <c r="SLY1058" s="989"/>
      <c r="SLZ1058" s="989"/>
      <c r="SMA1058" s="989"/>
      <c r="SMB1058" s="989"/>
      <c r="SMC1058" s="989"/>
      <c r="SMD1058" s="989"/>
      <c r="SME1058" s="989"/>
      <c r="SMF1058" s="989"/>
      <c r="SMG1058" s="989"/>
      <c r="SMH1058" s="989"/>
      <c r="SMI1058" s="989"/>
      <c r="SMJ1058" s="989"/>
      <c r="SMK1058" s="989"/>
      <c r="SML1058" s="989"/>
      <c r="SMM1058" s="989"/>
      <c r="SMN1058" s="989"/>
      <c r="SMO1058" s="989"/>
      <c r="SMP1058" s="989"/>
      <c r="SMQ1058" s="989"/>
      <c r="SMR1058" s="989"/>
      <c r="SMS1058" s="989"/>
      <c r="SMT1058" s="989"/>
      <c r="SMU1058" s="989"/>
      <c r="SMV1058" s="989"/>
      <c r="SMW1058" s="989"/>
      <c r="SMX1058" s="989"/>
      <c r="SMY1058" s="989"/>
      <c r="SMZ1058" s="989"/>
      <c r="SNA1058" s="989"/>
      <c r="SNB1058" s="989"/>
      <c r="SNC1058" s="989"/>
      <c r="SND1058" s="989"/>
      <c r="SNE1058" s="989"/>
      <c r="SNF1058" s="989"/>
      <c r="SNG1058" s="989"/>
      <c r="SNH1058" s="989"/>
      <c r="SNI1058" s="989"/>
      <c r="SNJ1058" s="989"/>
      <c r="SNK1058" s="989"/>
      <c r="SNL1058" s="989"/>
      <c r="SNM1058" s="989"/>
      <c r="SNN1058" s="989"/>
      <c r="SNO1058" s="989"/>
      <c r="SNP1058" s="989"/>
      <c r="SNQ1058" s="989"/>
      <c r="SNR1058" s="989"/>
      <c r="SNS1058" s="989"/>
      <c r="SNT1058" s="989"/>
      <c r="SNU1058" s="989"/>
      <c r="SNV1058" s="989"/>
      <c r="SNW1058" s="989"/>
      <c r="SNX1058" s="989"/>
      <c r="SNY1058" s="989"/>
      <c r="SNZ1058" s="989"/>
      <c r="SOA1058" s="989"/>
      <c r="SOB1058" s="989"/>
      <c r="SOC1058" s="989"/>
      <c r="SOD1058" s="989"/>
      <c r="SOE1058" s="989"/>
      <c r="SOF1058" s="989"/>
      <c r="SOG1058" s="989"/>
      <c r="SOH1058" s="989"/>
      <c r="SOI1058" s="989"/>
      <c r="SOJ1058" s="989"/>
      <c r="SOK1058" s="989"/>
      <c r="SOL1058" s="989"/>
      <c r="SOM1058" s="989"/>
      <c r="SON1058" s="989"/>
      <c r="SOO1058" s="989"/>
      <c r="SOP1058" s="989"/>
      <c r="SOQ1058" s="989"/>
      <c r="SOR1058" s="989"/>
      <c r="SOS1058" s="989"/>
      <c r="SOT1058" s="989"/>
      <c r="SOU1058" s="989"/>
      <c r="SOV1058" s="989"/>
      <c r="SOW1058" s="989"/>
      <c r="SOX1058" s="989"/>
      <c r="SOY1058" s="989"/>
      <c r="SOZ1058" s="989"/>
      <c r="SPA1058" s="989"/>
      <c r="SPB1058" s="989"/>
      <c r="SPC1058" s="989"/>
      <c r="SPD1058" s="989"/>
      <c r="SPE1058" s="989"/>
      <c r="SPF1058" s="989"/>
      <c r="SPG1058" s="989"/>
      <c r="SPH1058" s="989"/>
      <c r="SPI1058" s="989"/>
      <c r="SPJ1058" s="989"/>
      <c r="SPK1058" s="989"/>
      <c r="SPL1058" s="989"/>
      <c r="SPM1058" s="989"/>
      <c r="SPN1058" s="989"/>
      <c r="SPO1058" s="989"/>
      <c r="SPP1058" s="989"/>
      <c r="SPQ1058" s="989"/>
      <c r="SPR1058" s="989"/>
      <c r="SPS1058" s="989"/>
      <c r="SPT1058" s="989"/>
      <c r="SPU1058" s="989"/>
      <c r="SPV1058" s="989"/>
      <c r="SPW1058" s="989"/>
      <c r="SPX1058" s="989"/>
      <c r="SPY1058" s="989"/>
      <c r="SPZ1058" s="989"/>
      <c r="SQA1058" s="989"/>
      <c r="SQB1058" s="989"/>
      <c r="SQC1058" s="989"/>
      <c r="SQD1058" s="989"/>
      <c r="SQE1058" s="989"/>
      <c r="SQF1058" s="989"/>
      <c r="SQG1058" s="989"/>
      <c r="SQH1058" s="989"/>
      <c r="SQI1058" s="989"/>
      <c r="SQJ1058" s="989"/>
      <c r="SQK1058" s="989"/>
      <c r="SQL1058" s="989"/>
      <c r="SQM1058" s="989"/>
      <c r="SQN1058" s="989"/>
      <c r="SQO1058" s="989"/>
      <c r="SQP1058" s="989"/>
      <c r="SQQ1058" s="989"/>
      <c r="SQR1058" s="989"/>
      <c r="SQS1058" s="989"/>
      <c r="SQT1058" s="989"/>
      <c r="SQU1058" s="989"/>
      <c r="SQV1058" s="989"/>
      <c r="SQW1058" s="989"/>
      <c r="SQX1058" s="989"/>
      <c r="SQY1058" s="989"/>
      <c r="SQZ1058" s="989"/>
      <c r="SRA1058" s="989"/>
      <c r="SRB1058" s="989"/>
      <c r="SRC1058" s="989"/>
      <c r="SRD1058" s="989"/>
      <c r="SRE1058" s="989"/>
      <c r="SRF1058" s="989"/>
      <c r="SRG1058" s="989"/>
      <c r="SRH1058" s="989"/>
      <c r="SRI1058" s="989"/>
      <c r="SRJ1058" s="989"/>
      <c r="SRK1058" s="989"/>
      <c r="SRL1058" s="989"/>
      <c r="SRM1058" s="989"/>
      <c r="SRN1058" s="989"/>
      <c r="SRO1058" s="989"/>
      <c r="SRP1058" s="989"/>
      <c r="SRQ1058" s="989"/>
      <c r="SRR1058" s="989"/>
      <c r="SRS1058" s="989"/>
      <c r="SRT1058" s="989"/>
      <c r="SRU1058" s="989"/>
      <c r="SRV1058" s="989"/>
      <c r="SRW1058" s="989"/>
      <c r="SRX1058" s="989"/>
      <c r="SRY1058" s="989"/>
      <c r="SRZ1058" s="989"/>
      <c r="SSA1058" s="989"/>
      <c r="SSB1058" s="989"/>
      <c r="SSC1058" s="989"/>
      <c r="SSD1058" s="989"/>
      <c r="SSE1058" s="989"/>
      <c r="SSF1058" s="989"/>
      <c r="SSG1058" s="989"/>
      <c r="SSH1058" s="989"/>
      <c r="SSI1058" s="989"/>
      <c r="SSJ1058" s="989"/>
      <c r="SSK1058" s="989"/>
      <c r="SSL1058" s="989"/>
      <c r="SSM1058" s="989"/>
      <c r="SSN1058" s="989"/>
      <c r="SSO1058" s="989"/>
      <c r="SSP1058" s="989"/>
      <c r="SSQ1058" s="989"/>
      <c r="SSR1058" s="989"/>
      <c r="SSS1058" s="989"/>
      <c r="SST1058" s="989"/>
      <c r="SSU1058" s="989"/>
      <c r="SSV1058" s="989"/>
      <c r="SSW1058" s="989"/>
      <c r="SSX1058" s="989"/>
      <c r="SSY1058" s="989"/>
      <c r="SSZ1058" s="989"/>
      <c r="STA1058" s="989"/>
      <c r="STB1058" s="989"/>
      <c r="STC1058" s="989"/>
      <c r="STD1058" s="989"/>
      <c r="STE1058" s="989"/>
      <c r="STF1058" s="989"/>
      <c r="STG1058" s="989"/>
      <c r="STH1058" s="989"/>
      <c r="STI1058" s="989"/>
      <c r="STJ1058" s="989"/>
      <c r="STK1058" s="989"/>
      <c r="STL1058" s="989"/>
      <c r="STM1058" s="989"/>
      <c r="STN1058" s="989"/>
      <c r="STO1058" s="989"/>
      <c r="STP1058" s="989"/>
      <c r="STQ1058" s="989"/>
      <c r="STR1058" s="989"/>
      <c r="STS1058" s="989"/>
      <c r="STT1058" s="989"/>
      <c r="STU1058" s="989"/>
      <c r="STV1058" s="989"/>
      <c r="STW1058" s="989"/>
      <c r="STX1058" s="989"/>
      <c r="STY1058" s="989"/>
      <c r="STZ1058" s="989"/>
      <c r="SUA1058" s="989"/>
      <c r="SUB1058" s="989"/>
      <c r="SUC1058" s="989"/>
      <c r="SUD1058" s="989"/>
      <c r="SUE1058" s="989"/>
      <c r="SUF1058" s="989"/>
      <c r="SUG1058" s="989"/>
      <c r="SUH1058" s="989"/>
      <c r="SUI1058" s="989"/>
      <c r="SUJ1058" s="989"/>
      <c r="SUK1058" s="989"/>
      <c r="SUL1058" s="989"/>
      <c r="SUM1058" s="989"/>
      <c r="SUN1058" s="989"/>
      <c r="SUO1058" s="989"/>
      <c r="SUP1058" s="989"/>
      <c r="SUQ1058" s="989"/>
      <c r="SUR1058" s="989"/>
      <c r="SUS1058" s="989"/>
      <c r="SUT1058" s="989"/>
      <c r="SUU1058" s="989"/>
      <c r="SUV1058" s="989"/>
      <c r="SUW1058" s="989"/>
      <c r="SUX1058" s="989"/>
      <c r="SUY1058" s="989"/>
      <c r="SUZ1058" s="989"/>
      <c r="SVA1058" s="989"/>
      <c r="SVB1058" s="989"/>
      <c r="SVC1058" s="989"/>
      <c r="SVD1058" s="989"/>
      <c r="SVE1058" s="989"/>
      <c r="SVF1058" s="989"/>
      <c r="SVG1058" s="989"/>
      <c r="SVH1058" s="989"/>
      <c r="SVI1058" s="989"/>
      <c r="SVJ1058" s="989"/>
      <c r="SVK1058" s="989"/>
      <c r="SVL1058" s="989"/>
      <c r="SVM1058" s="989"/>
      <c r="SVN1058" s="989"/>
      <c r="SVO1058" s="989"/>
      <c r="SVP1058" s="989"/>
      <c r="SVQ1058" s="989"/>
      <c r="SVR1058" s="989"/>
      <c r="SVS1058" s="989"/>
      <c r="SVT1058" s="989"/>
      <c r="SVU1058" s="989"/>
      <c r="SVV1058" s="989"/>
      <c r="SVW1058" s="989"/>
      <c r="SVX1058" s="989"/>
      <c r="SVY1058" s="989"/>
      <c r="SVZ1058" s="989"/>
      <c r="SWA1058" s="989"/>
      <c r="SWB1058" s="989"/>
      <c r="SWC1058" s="989"/>
      <c r="SWD1058" s="989"/>
      <c r="SWE1058" s="989"/>
      <c r="SWF1058" s="989"/>
      <c r="SWG1058" s="989"/>
      <c r="SWH1058" s="989"/>
      <c r="SWI1058" s="989"/>
      <c r="SWJ1058" s="989"/>
      <c r="SWK1058" s="989"/>
      <c r="SWL1058" s="989"/>
      <c r="SWM1058" s="989"/>
      <c r="SWN1058" s="989"/>
      <c r="SWO1058" s="989"/>
      <c r="SWP1058" s="989"/>
      <c r="SWQ1058" s="989"/>
      <c r="SWR1058" s="989"/>
      <c r="SWS1058" s="989"/>
      <c r="SWT1058" s="989"/>
      <c r="SWU1058" s="989"/>
      <c r="SWV1058" s="989"/>
      <c r="SWW1058" s="989"/>
      <c r="SWX1058" s="989"/>
      <c r="SWY1058" s="989"/>
      <c r="SWZ1058" s="989"/>
      <c r="SXA1058" s="989"/>
      <c r="SXB1058" s="989"/>
      <c r="SXC1058" s="989"/>
      <c r="SXD1058" s="989"/>
      <c r="SXE1058" s="989"/>
      <c r="SXF1058" s="989"/>
      <c r="SXG1058" s="989"/>
      <c r="SXH1058" s="989"/>
      <c r="SXI1058" s="989"/>
      <c r="SXJ1058" s="989"/>
      <c r="SXK1058" s="989"/>
      <c r="SXL1058" s="989"/>
      <c r="SXM1058" s="989"/>
      <c r="SXN1058" s="989"/>
      <c r="SXO1058" s="989"/>
      <c r="SXP1058" s="989"/>
      <c r="SXQ1058" s="989"/>
      <c r="SXR1058" s="989"/>
      <c r="SXS1058" s="989"/>
      <c r="SXT1058" s="989"/>
      <c r="SXU1058" s="989"/>
      <c r="SXV1058" s="989"/>
      <c r="SXW1058" s="989"/>
      <c r="SXX1058" s="989"/>
      <c r="SXY1058" s="989"/>
      <c r="SXZ1058" s="989"/>
      <c r="SYA1058" s="989"/>
      <c r="SYB1058" s="989"/>
      <c r="SYC1058" s="989"/>
      <c r="SYD1058" s="989"/>
      <c r="SYE1058" s="989"/>
      <c r="SYF1058" s="989"/>
      <c r="SYG1058" s="989"/>
      <c r="SYH1058" s="989"/>
      <c r="SYI1058" s="989"/>
      <c r="SYJ1058" s="989"/>
      <c r="SYK1058" s="989"/>
      <c r="SYL1058" s="989"/>
      <c r="SYM1058" s="989"/>
      <c r="SYN1058" s="989"/>
      <c r="SYO1058" s="989"/>
      <c r="SYP1058" s="989"/>
      <c r="SYQ1058" s="989"/>
      <c r="SYR1058" s="989"/>
      <c r="SYS1058" s="989"/>
      <c r="SYT1058" s="989"/>
      <c r="SYU1058" s="989"/>
      <c r="SYV1058" s="989"/>
      <c r="SYW1058" s="989"/>
      <c r="SYX1058" s="989"/>
      <c r="SYY1058" s="989"/>
      <c r="SYZ1058" s="989"/>
      <c r="SZA1058" s="989"/>
      <c r="SZB1058" s="989"/>
      <c r="SZC1058" s="989"/>
      <c r="SZD1058" s="989"/>
      <c r="SZE1058" s="989"/>
      <c r="SZF1058" s="989"/>
      <c r="SZG1058" s="989"/>
      <c r="SZH1058" s="989"/>
      <c r="SZI1058" s="989"/>
      <c r="SZJ1058" s="989"/>
      <c r="SZK1058" s="989"/>
      <c r="SZL1058" s="989"/>
      <c r="SZM1058" s="989"/>
      <c r="SZN1058" s="989"/>
      <c r="SZO1058" s="989"/>
      <c r="SZP1058" s="989"/>
      <c r="SZQ1058" s="989"/>
      <c r="SZR1058" s="989"/>
      <c r="SZS1058" s="989"/>
      <c r="SZT1058" s="989"/>
      <c r="SZU1058" s="989"/>
      <c r="SZV1058" s="989"/>
      <c r="SZW1058" s="989"/>
      <c r="SZX1058" s="989"/>
      <c r="SZY1058" s="989"/>
      <c r="SZZ1058" s="989"/>
      <c r="TAA1058" s="989"/>
      <c r="TAB1058" s="989"/>
      <c r="TAC1058" s="989"/>
      <c r="TAD1058" s="989"/>
      <c r="TAE1058" s="989"/>
      <c r="TAF1058" s="989"/>
      <c r="TAG1058" s="989"/>
      <c r="TAH1058" s="989"/>
      <c r="TAI1058" s="989"/>
      <c r="TAJ1058" s="989"/>
      <c r="TAK1058" s="989"/>
      <c r="TAL1058" s="989"/>
      <c r="TAM1058" s="989"/>
      <c r="TAN1058" s="989"/>
      <c r="TAO1058" s="989"/>
      <c r="TAP1058" s="989"/>
      <c r="TAQ1058" s="989"/>
      <c r="TAR1058" s="989"/>
      <c r="TAS1058" s="989"/>
      <c r="TAT1058" s="989"/>
      <c r="TAU1058" s="989"/>
      <c r="TAV1058" s="989"/>
      <c r="TAW1058" s="989"/>
      <c r="TAX1058" s="989"/>
      <c r="TAY1058" s="989"/>
      <c r="TAZ1058" s="989"/>
      <c r="TBA1058" s="989"/>
      <c r="TBB1058" s="989"/>
      <c r="TBC1058" s="989"/>
      <c r="TBD1058" s="989"/>
      <c r="TBE1058" s="989"/>
      <c r="TBF1058" s="989"/>
      <c r="TBG1058" s="989"/>
      <c r="TBH1058" s="989"/>
      <c r="TBI1058" s="989"/>
      <c r="TBJ1058" s="989"/>
      <c r="TBK1058" s="989"/>
      <c r="TBL1058" s="989"/>
      <c r="TBM1058" s="989"/>
      <c r="TBN1058" s="989"/>
      <c r="TBO1058" s="989"/>
      <c r="TBP1058" s="989"/>
      <c r="TBQ1058" s="989"/>
      <c r="TBR1058" s="989"/>
      <c r="TBS1058" s="989"/>
      <c r="TBT1058" s="989"/>
      <c r="TBU1058" s="989"/>
      <c r="TBV1058" s="989"/>
      <c r="TBW1058" s="989"/>
      <c r="TBX1058" s="989"/>
      <c r="TBY1058" s="989"/>
      <c r="TBZ1058" s="989"/>
      <c r="TCA1058" s="989"/>
      <c r="TCB1058" s="989"/>
      <c r="TCC1058" s="989"/>
      <c r="TCD1058" s="989"/>
      <c r="TCE1058" s="989"/>
      <c r="TCF1058" s="989"/>
      <c r="TCG1058" s="989"/>
      <c r="TCH1058" s="989"/>
      <c r="TCI1058" s="989"/>
      <c r="TCJ1058" s="989"/>
      <c r="TCK1058" s="989"/>
      <c r="TCL1058" s="989"/>
      <c r="TCM1058" s="989"/>
      <c r="TCN1058" s="989"/>
      <c r="TCO1058" s="989"/>
      <c r="TCP1058" s="989"/>
      <c r="TCQ1058" s="989"/>
      <c r="TCR1058" s="989"/>
      <c r="TCS1058" s="989"/>
      <c r="TCT1058" s="989"/>
      <c r="TCU1058" s="989"/>
      <c r="TCV1058" s="989"/>
      <c r="TCW1058" s="989"/>
      <c r="TCX1058" s="989"/>
      <c r="TCY1058" s="989"/>
      <c r="TCZ1058" s="989"/>
      <c r="TDA1058" s="989"/>
      <c r="TDB1058" s="989"/>
      <c r="TDC1058" s="989"/>
      <c r="TDD1058" s="989"/>
      <c r="TDE1058" s="989"/>
      <c r="TDF1058" s="989"/>
      <c r="TDG1058" s="989"/>
      <c r="TDH1058" s="989"/>
      <c r="TDI1058" s="989"/>
      <c r="TDJ1058" s="989"/>
      <c r="TDK1058" s="989"/>
      <c r="TDL1058" s="989"/>
      <c r="TDM1058" s="989"/>
      <c r="TDN1058" s="989"/>
      <c r="TDO1058" s="989"/>
      <c r="TDP1058" s="989"/>
      <c r="TDQ1058" s="989"/>
      <c r="TDR1058" s="989"/>
      <c r="TDS1058" s="989"/>
      <c r="TDT1058" s="989"/>
      <c r="TDU1058" s="989"/>
      <c r="TDV1058" s="989"/>
      <c r="TDW1058" s="989"/>
      <c r="TDX1058" s="989"/>
      <c r="TDY1058" s="989"/>
      <c r="TDZ1058" s="989"/>
      <c r="TEA1058" s="989"/>
      <c r="TEB1058" s="989"/>
      <c r="TEC1058" s="989"/>
      <c r="TED1058" s="989"/>
      <c r="TEE1058" s="989"/>
      <c r="TEF1058" s="989"/>
      <c r="TEG1058" s="989"/>
      <c r="TEH1058" s="989"/>
      <c r="TEI1058" s="989"/>
      <c r="TEJ1058" s="989"/>
      <c r="TEK1058" s="989"/>
      <c r="TEL1058" s="989"/>
      <c r="TEM1058" s="989"/>
      <c r="TEN1058" s="989"/>
      <c r="TEO1058" s="989"/>
      <c r="TEP1058" s="989"/>
      <c r="TEQ1058" s="989"/>
      <c r="TER1058" s="989"/>
      <c r="TES1058" s="989"/>
      <c r="TET1058" s="989"/>
      <c r="TEU1058" s="989"/>
      <c r="TEV1058" s="989"/>
      <c r="TEW1058" s="989"/>
      <c r="TEX1058" s="989"/>
      <c r="TEY1058" s="989"/>
      <c r="TEZ1058" s="989"/>
      <c r="TFA1058" s="989"/>
      <c r="TFB1058" s="989"/>
      <c r="TFC1058" s="989"/>
      <c r="TFD1058" s="989"/>
      <c r="TFE1058" s="989"/>
      <c r="TFF1058" s="989"/>
      <c r="TFG1058" s="989"/>
      <c r="TFH1058" s="989"/>
      <c r="TFI1058" s="989"/>
      <c r="TFJ1058" s="989"/>
      <c r="TFK1058" s="989"/>
      <c r="TFL1058" s="989"/>
      <c r="TFM1058" s="989"/>
      <c r="TFN1058" s="989"/>
      <c r="TFO1058" s="989"/>
      <c r="TFP1058" s="989"/>
      <c r="TFQ1058" s="989"/>
      <c r="TFR1058" s="989"/>
      <c r="TFS1058" s="989"/>
      <c r="TFT1058" s="989"/>
      <c r="TFU1058" s="989"/>
      <c r="TFV1058" s="989"/>
      <c r="TFW1058" s="989"/>
      <c r="TFX1058" s="989"/>
      <c r="TFY1058" s="989"/>
      <c r="TFZ1058" s="989"/>
      <c r="TGA1058" s="989"/>
      <c r="TGB1058" s="989"/>
      <c r="TGC1058" s="989"/>
      <c r="TGD1058" s="989"/>
      <c r="TGE1058" s="989"/>
      <c r="TGF1058" s="989"/>
      <c r="TGG1058" s="989"/>
      <c r="TGH1058" s="989"/>
      <c r="TGI1058" s="989"/>
      <c r="TGJ1058" s="989"/>
      <c r="TGK1058" s="989"/>
      <c r="TGL1058" s="989"/>
      <c r="TGM1058" s="989"/>
      <c r="TGN1058" s="989"/>
      <c r="TGO1058" s="989"/>
      <c r="TGP1058" s="989"/>
      <c r="TGQ1058" s="989"/>
      <c r="TGR1058" s="989"/>
      <c r="TGS1058" s="989"/>
      <c r="TGT1058" s="989"/>
      <c r="TGU1058" s="989"/>
      <c r="TGV1058" s="989"/>
      <c r="TGW1058" s="989"/>
      <c r="TGX1058" s="989"/>
      <c r="TGY1058" s="989"/>
      <c r="TGZ1058" s="989"/>
      <c r="THA1058" s="989"/>
      <c r="THB1058" s="989"/>
      <c r="THC1058" s="989"/>
      <c r="THD1058" s="989"/>
      <c r="THE1058" s="989"/>
      <c r="THF1058" s="989"/>
      <c r="THG1058" s="989"/>
      <c r="THH1058" s="989"/>
      <c r="THI1058" s="989"/>
      <c r="THJ1058" s="989"/>
      <c r="THK1058" s="989"/>
      <c r="THL1058" s="989"/>
      <c r="THM1058" s="989"/>
      <c r="THN1058" s="989"/>
      <c r="THO1058" s="989"/>
      <c r="THP1058" s="989"/>
      <c r="THQ1058" s="989"/>
      <c r="THR1058" s="989"/>
      <c r="THS1058" s="989"/>
      <c r="THT1058" s="989"/>
      <c r="THU1058" s="989"/>
      <c r="THV1058" s="989"/>
      <c r="THW1058" s="989"/>
      <c r="THX1058" s="989"/>
      <c r="THY1058" s="989"/>
      <c r="THZ1058" s="989"/>
      <c r="TIA1058" s="989"/>
      <c r="TIB1058" s="989"/>
      <c r="TIC1058" s="989"/>
      <c r="TID1058" s="989"/>
      <c r="TIE1058" s="989"/>
      <c r="TIF1058" s="989"/>
      <c r="TIG1058" s="989"/>
      <c r="TIH1058" s="989"/>
      <c r="TII1058" s="989"/>
      <c r="TIJ1058" s="989"/>
      <c r="TIK1058" s="989"/>
      <c r="TIL1058" s="989"/>
      <c r="TIM1058" s="989"/>
      <c r="TIN1058" s="989"/>
      <c r="TIO1058" s="989"/>
      <c r="TIP1058" s="989"/>
      <c r="TIQ1058" s="989"/>
      <c r="TIR1058" s="989"/>
      <c r="TIS1058" s="989"/>
      <c r="TIT1058" s="989"/>
      <c r="TIU1058" s="989"/>
      <c r="TIV1058" s="989"/>
      <c r="TIW1058" s="989"/>
      <c r="TIX1058" s="989"/>
      <c r="TIY1058" s="989"/>
      <c r="TIZ1058" s="989"/>
      <c r="TJA1058" s="989"/>
      <c r="TJB1058" s="989"/>
      <c r="TJC1058" s="989"/>
      <c r="TJD1058" s="989"/>
      <c r="TJE1058" s="989"/>
      <c r="TJF1058" s="989"/>
      <c r="TJG1058" s="989"/>
      <c r="TJH1058" s="989"/>
      <c r="TJI1058" s="989"/>
      <c r="TJJ1058" s="989"/>
      <c r="TJK1058" s="989"/>
      <c r="TJL1058" s="989"/>
      <c r="TJM1058" s="989"/>
      <c r="TJN1058" s="989"/>
      <c r="TJO1058" s="989"/>
      <c r="TJP1058" s="989"/>
      <c r="TJQ1058" s="989"/>
      <c r="TJR1058" s="989"/>
      <c r="TJS1058" s="989"/>
      <c r="TJT1058" s="989"/>
      <c r="TJU1058" s="989"/>
      <c r="TJV1058" s="989"/>
      <c r="TJW1058" s="989"/>
      <c r="TJX1058" s="989"/>
      <c r="TJY1058" s="989"/>
      <c r="TJZ1058" s="989"/>
      <c r="TKA1058" s="989"/>
      <c r="TKB1058" s="989"/>
      <c r="TKC1058" s="989"/>
      <c r="TKD1058" s="989"/>
      <c r="TKE1058" s="989"/>
      <c r="TKF1058" s="989"/>
      <c r="TKG1058" s="989"/>
      <c r="TKH1058" s="989"/>
      <c r="TKI1058" s="989"/>
      <c r="TKJ1058" s="989"/>
      <c r="TKK1058" s="989"/>
      <c r="TKL1058" s="989"/>
      <c r="TKM1058" s="989"/>
      <c r="TKN1058" s="989"/>
      <c r="TKO1058" s="989"/>
      <c r="TKP1058" s="989"/>
      <c r="TKQ1058" s="989"/>
      <c r="TKR1058" s="989"/>
      <c r="TKS1058" s="989"/>
      <c r="TKT1058" s="989"/>
      <c r="TKU1058" s="989"/>
      <c r="TKV1058" s="989"/>
      <c r="TKW1058" s="989"/>
      <c r="TKX1058" s="989"/>
      <c r="TKY1058" s="989"/>
      <c r="TKZ1058" s="989"/>
      <c r="TLA1058" s="989"/>
      <c r="TLB1058" s="989"/>
      <c r="TLC1058" s="989"/>
      <c r="TLD1058" s="989"/>
      <c r="TLE1058" s="989"/>
      <c r="TLF1058" s="989"/>
      <c r="TLG1058" s="989"/>
      <c r="TLH1058" s="989"/>
      <c r="TLI1058" s="989"/>
      <c r="TLJ1058" s="989"/>
      <c r="TLK1058" s="989"/>
      <c r="TLL1058" s="989"/>
      <c r="TLM1058" s="989"/>
      <c r="TLN1058" s="989"/>
      <c r="TLO1058" s="989"/>
      <c r="TLP1058" s="989"/>
      <c r="TLQ1058" s="989"/>
      <c r="TLR1058" s="989"/>
      <c r="TLS1058" s="989"/>
      <c r="TLT1058" s="989"/>
      <c r="TLU1058" s="989"/>
      <c r="TLV1058" s="989"/>
      <c r="TLW1058" s="989"/>
      <c r="TLX1058" s="989"/>
      <c r="TLY1058" s="989"/>
      <c r="TLZ1058" s="989"/>
      <c r="TMA1058" s="989"/>
      <c r="TMB1058" s="989"/>
      <c r="TMC1058" s="989"/>
      <c r="TMD1058" s="989"/>
      <c r="TME1058" s="989"/>
      <c r="TMF1058" s="989"/>
      <c r="TMG1058" s="989"/>
      <c r="TMH1058" s="989"/>
      <c r="TMI1058" s="989"/>
      <c r="TMJ1058" s="989"/>
      <c r="TMK1058" s="989"/>
      <c r="TML1058" s="989"/>
      <c r="TMM1058" s="989"/>
      <c r="TMN1058" s="989"/>
      <c r="TMO1058" s="989"/>
      <c r="TMP1058" s="989"/>
      <c r="TMQ1058" s="989"/>
      <c r="TMR1058" s="989"/>
      <c r="TMS1058" s="989"/>
      <c r="TMT1058" s="989"/>
      <c r="TMU1058" s="989"/>
      <c r="TMV1058" s="989"/>
      <c r="TMW1058" s="989"/>
      <c r="TMX1058" s="989"/>
      <c r="TMY1058" s="989"/>
      <c r="TMZ1058" s="989"/>
      <c r="TNA1058" s="989"/>
      <c r="TNB1058" s="989"/>
      <c r="TNC1058" s="989"/>
      <c r="TND1058" s="989"/>
      <c r="TNE1058" s="989"/>
      <c r="TNF1058" s="989"/>
      <c r="TNG1058" s="989"/>
      <c r="TNH1058" s="989"/>
      <c r="TNI1058" s="989"/>
      <c r="TNJ1058" s="989"/>
      <c r="TNK1058" s="989"/>
      <c r="TNL1058" s="989"/>
      <c r="TNM1058" s="989"/>
      <c r="TNN1058" s="989"/>
      <c r="TNO1058" s="989"/>
      <c r="TNP1058" s="989"/>
      <c r="TNQ1058" s="989"/>
      <c r="TNR1058" s="989"/>
      <c r="TNS1058" s="989"/>
      <c r="TNT1058" s="989"/>
      <c r="TNU1058" s="989"/>
      <c r="TNV1058" s="989"/>
      <c r="TNW1058" s="989"/>
      <c r="TNX1058" s="989"/>
      <c r="TNY1058" s="989"/>
      <c r="TNZ1058" s="989"/>
      <c r="TOA1058" s="989"/>
      <c r="TOB1058" s="989"/>
      <c r="TOC1058" s="989"/>
      <c r="TOD1058" s="989"/>
      <c r="TOE1058" s="989"/>
      <c r="TOF1058" s="989"/>
      <c r="TOG1058" s="989"/>
      <c r="TOH1058" s="989"/>
      <c r="TOI1058" s="989"/>
      <c r="TOJ1058" s="989"/>
      <c r="TOK1058" s="989"/>
      <c r="TOL1058" s="989"/>
      <c r="TOM1058" s="989"/>
      <c r="TON1058" s="989"/>
      <c r="TOO1058" s="989"/>
      <c r="TOP1058" s="989"/>
      <c r="TOQ1058" s="989"/>
      <c r="TOR1058" s="989"/>
      <c r="TOS1058" s="989"/>
      <c r="TOT1058" s="989"/>
      <c r="TOU1058" s="989"/>
      <c r="TOV1058" s="989"/>
      <c r="TOW1058" s="989"/>
      <c r="TOX1058" s="989"/>
      <c r="TOY1058" s="989"/>
      <c r="TOZ1058" s="989"/>
      <c r="TPA1058" s="989"/>
      <c r="TPB1058" s="989"/>
      <c r="TPC1058" s="989"/>
      <c r="TPD1058" s="989"/>
      <c r="TPE1058" s="989"/>
      <c r="TPF1058" s="989"/>
      <c r="TPG1058" s="989"/>
      <c r="TPH1058" s="989"/>
      <c r="TPI1058" s="989"/>
      <c r="TPJ1058" s="989"/>
      <c r="TPK1058" s="989"/>
      <c r="TPL1058" s="989"/>
      <c r="TPM1058" s="989"/>
      <c r="TPN1058" s="989"/>
      <c r="TPO1058" s="989"/>
      <c r="TPP1058" s="989"/>
      <c r="TPQ1058" s="989"/>
      <c r="TPR1058" s="989"/>
      <c r="TPS1058" s="989"/>
      <c r="TPT1058" s="989"/>
      <c r="TPU1058" s="989"/>
      <c r="TPV1058" s="989"/>
      <c r="TPW1058" s="989"/>
      <c r="TPX1058" s="989"/>
      <c r="TPY1058" s="989"/>
      <c r="TPZ1058" s="989"/>
      <c r="TQA1058" s="989"/>
      <c r="TQB1058" s="989"/>
      <c r="TQC1058" s="989"/>
      <c r="TQD1058" s="989"/>
      <c r="TQE1058" s="989"/>
      <c r="TQF1058" s="989"/>
      <c r="TQG1058" s="989"/>
      <c r="TQH1058" s="989"/>
      <c r="TQI1058" s="989"/>
      <c r="TQJ1058" s="989"/>
      <c r="TQK1058" s="989"/>
      <c r="TQL1058" s="989"/>
      <c r="TQM1058" s="989"/>
      <c r="TQN1058" s="989"/>
      <c r="TQO1058" s="989"/>
      <c r="TQP1058" s="989"/>
      <c r="TQQ1058" s="989"/>
      <c r="TQR1058" s="989"/>
      <c r="TQS1058" s="989"/>
      <c r="TQT1058" s="989"/>
      <c r="TQU1058" s="989"/>
      <c r="TQV1058" s="989"/>
      <c r="TQW1058" s="989"/>
      <c r="TQX1058" s="989"/>
      <c r="TQY1058" s="989"/>
      <c r="TQZ1058" s="989"/>
      <c r="TRA1058" s="989"/>
      <c r="TRB1058" s="989"/>
      <c r="TRC1058" s="989"/>
      <c r="TRD1058" s="989"/>
      <c r="TRE1058" s="989"/>
      <c r="TRF1058" s="989"/>
      <c r="TRG1058" s="989"/>
      <c r="TRH1058" s="989"/>
      <c r="TRI1058" s="989"/>
      <c r="TRJ1058" s="989"/>
      <c r="TRK1058" s="989"/>
      <c r="TRL1058" s="989"/>
      <c r="TRM1058" s="989"/>
      <c r="TRN1058" s="989"/>
      <c r="TRO1058" s="989"/>
      <c r="TRP1058" s="989"/>
      <c r="TRQ1058" s="989"/>
      <c r="TRR1058" s="989"/>
      <c r="TRS1058" s="989"/>
      <c r="TRT1058" s="989"/>
      <c r="TRU1058" s="989"/>
      <c r="TRV1058" s="989"/>
      <c r="TRW1058" s="989"/>
      <c r="TRX1058" s="989"/>
      <c r="TRY1058" s="989"/>
      <c r="TRZ1058" s="989"/>
      <c r="TSA1058" s="989"/>
      <c r="TSB1058" s="989"/>
      <c r="TSC1058" s="989"/>
      <c r="TSD1058" s="989"/>
      <c r="TSE1058" s="989"/>
      <c r="TSF1058" s="989"/>
      <c r="TSG1058" s="989"/>
      <c r="TSH1058" s="989"/>
      <c r="TSI1058" s="989"/>
      <c r="TSJ1058" s="989"/>
      <c r="TSK1058" s="989"/>
      <c r="TSL1058" s="989"/>
      <c r="TSM1058" s="989"/>
      <c r="TSN1058" s="989"/>
      <c r="TSO1058" s="989"/>
      <c r="TSP1058" s="989"/>
      <c r="TSQ1058" s="989"/>
      <c r="TSR1058" s="989"/>
      <c r="TSS1058" s="989"/>
      <c r="TST1058" s="989"/>
      <c r="TSU1058" s="989"/>
      <c r="TSV1058" s="989"/>
      <c r="TSW1058" s="989"/>
      <c r="TSX1058" s="989"/>
      <c r="TSY1058" s="989"/>
      <c r="TSZ1058" s="989"/>
      <c r="TTA1058" s="989"/>
      <c r="TTB1058" s="989"/>
      <c r="TTC1058" s="989"/>
      <c r="TTD1058" s="989"/>
      <c r="TTE1058" s="989"/>
      <c r="TTF1058" s="989"/>
      <c r="TTG1058" s="989"/>
      <c r="TTH1058" s="989"/>
      <c r="TTI1058" s="989"/>
      <c r="TTJ1058" s="989"/>
      <c r="TTK1058" s="989"/>
      <c r="TTL1058" s="989"/>
      <c r="TTM1058" s="989"/>
      <c r="TTN1058" s="989"/>
      <c r="TTO1058" s="989"/>
      <c r="TTP1058" s="989"/>
      <c r="TTQ1058" s="989"/>
      <c r="TTR1058" s="989"/>
      <c r="TTS1058" s="989"/>
      <c r="TTT1058" s="989"/>
      <c r="TTU1058" s="989"/>
      <c r="TTV1058" s="989"/>
      <c r="TTW1058" s="989"/>
      <c r="TTX1058" s="989"/>
      <c r="TTY1058" s="989"/>
      <c r="TTZ1058" s="989"/>
      <c r="TUA1058" s="989"/>
      <c r="TUB1058" s="989"/>
      <c r="TUC1058" s="989"/>
      <c r="TUD1058" s="989"/>
      <c r="TUE1058" s="989"/>
      <c r="TUF1058" s="989"/>
      <c r="TUG1058" s="989"/>
      <c r="TUH1058" s="989"/>
      <c r="TUI1058" s="989"/>
      <c r="TUJ1058" s="989"/>
      <c r="TUK1058" s="989"/>
      <c r="TUL1058" s="989"/>
      <c r="TUM1058" s="989"/>
      <c r="TUN1058" s="989"/>
      <c r="TUO1058" s="989"/>
      <c r="TUP1058" s="989"/>
      <c r="TUQ1058" s="989"/>
      <c r="TUR1058" s="989"/>
      <c r="TUS1058" s="989"/>
      <c r="TUT1058" s="989"/>
      <c r="TUU1058" s="989"/>
      <c r="TUV1058" s="989"/>
      <c r="TUW1058" s="989"/>
      <c r="TUX1058" s="989"/>
      <c r="TUY1058" s="989"/>
      <c r="TUZ1058" s="989"/>
      <c r="TVA1058" s="989"/>
      <c r="TVB1058" s="989"/>
      <c r="TVC1058" s="989"/>
      <c r="TVD1058" s="989"/>
      <c r="TVE1058" s="989"/>
      <c r="TVF1058" s="989"/>
      <c r="TVG1058" s="989"/>
      <c r="TVH1058" s="989"/>
      <c r="TVI1058" s="989"/>
      <c r="TVJ1058" s="989"/>
      <c r="TVK1058" s="989"/>
      <c r="TVL1058" s="989"/>
      <c r="TVM1058" s="989"/>
      <c r="TVN1058" s="989"/>
      <c r="TVO1058" s="989"/>
      <c r="TVP1058" s="989"/>
      <c r="TVQ1058" s="989"/>
      <c r="TVR1058" s="989"/>
      <c r="TVS1058" s="989"/>
      <c r="TVT1058" s="989"/>
      <c r="TVU1058" s="989"/>
      <c r="TVV1058" s="989"/>
      <c r="TVW1058" s="989"/>
      <c r="TVX1058" s="989"/>
      <c r="TVY1058" s="989"/>
      <c r="TVZ1058" s="989"/>
      <c r="TWA1058" s="989"/>
      <c r="TWB1058" s="989"/>
      <c r="TWC1058" s="989"/>
      <c r="TWD1058" s="989"/>
      <c r="TWE1058" s="989"/>
      <c r="TWF1058" s="989"/>
      <c r="TWG1058" s="989"/>
      <c r="TWH1058" s="989"/>
      <c r="TWI1058" s="989"/>
      <c r="TWJ1058" s="989"/>
      <c r="TWK1058" s="989"/>
      <c r="TWL1058" s="989"/>
      <c r="TWM1058" s="989"/>
      <c r="TWN1058" s="989"/>
      <c r="TWO1058" s="989"/>
      <c r="TWP1058" s="989"/>
      <c r="TWQ1058" s="989"/>
      <c r="TWR1058" s="989"/>
      <c r="TWS1058" s="989"/>
      <c r="TWT1058" s="989"/>
      <c r="TWU1058" s="989"/>
      <c r="TWV1058" s="989"/>
      <c r="TWW1058" s="989"/>
      <c r="TWX1058" s="989"/>
      <c r="TWY1058" s="989"/>
      <c r="TWZ1058" s="989"/>
      <c r="TXA1058" s="989"/>
      <c r="TXB1058" s="989"/>
      <c r="TXC1058" s="989"/>
      <c r="TXD1058" s="989"/>
      <c r="TXE1058" s="989"/>
      <c r="TXF1058" s="989"/>
      <c r="TXG1058" s="989"/>
      <c r="TXH1058" s="989"/>
      <c r="TXI1058" s="989"/>
      <c r="TXJ1058" s="989"/>
      <c r="TXK1058" s="989"/>
      <c r="TXL1058" s="989"/>
      <c r="TXM1058" s="989"/>
      <c r="TXN1058" s="989"/>
      <c r="TXO1058" s="989"/>
      <c r="TXP1058" s="989"/>
      <c r="TXQ1058" s="989"/>
      <c r="TXR1058" s="989"/>
      <c r="TXS1058" s="989"/>
      <c r="TXT1058" s="989"/>
      <c r="TXU1058" s="989"/>
      <c r="TXV1058" s="989"/>
      <c r="TXW1058" s="989"/>
      <c r="TXX1058" s="989"/>
      <c r="TXY1058" s="989"/>
      <c r="TXZ1058" s="989"/>
      <c r="TYA1058" s="989"/>
      <c r="TYB1058" s="989"/>
      <c r="TYC1058" s="989"/>
      <c r="TYD1058" s="989"/>
      <c r="TYE1058" s="989"/>
      <c r="TYF1058" s="989"/>
      <c r="TYG1058" s="989"/>
      <c r="TYH1058" s="989"/>
      <c r="TYI1058" s="989"/>
      <c r="TYJ1058" s="989"/>
      <c r="TYK1058" s="989"/>
      <c r="TYL1058" s="989"/>
      <c r="TYM1058" s="989"/>
      <c r="TYN1058" s="989"/>
      <c r="TYO1058" s="989"/>
      <c r="TYP1058" s="989"/>
      <c r="TYQ1058" s="989"/>
      <c r="TYR1058" s="989"/>
      <c r="TYS1058" s="989"/>
      <c r="TYT1058" s="989"/>
      <c r="TYU1058" s="989"/>
      <c r="TYV1058" s="989"/>
      <c r="TYW1058" s="989"/>
      <c r="TYX1058" s="989"/>
      <c r="TYY1058" s="989"/>
      <c r="TYZ1058" s="989"/>
      <c r="TZA1058" s="989"/>
      <c r="TZB1058" s="989"/>
      <c r="TZC1058" s="989"/>
      <c r="TZD1058" s="989"/>
      <c r="TZE1058" s="989"/>
      <c r="TZF1058" s="989"/>
      <c r="TZG1058" s="989"/>
      <c r="TZH1058" s="989"/>
      <c r="TZI1058" s="989"/>
      <c r="TZJ1058" s="989"/>
      <c r="TZK1058" s="989"/>
      <c r="TZL1058" s="989"/>
      <c r="TZM1058" s="989"/>
      <c r="TZN1058" s="989"/>
      <c r="TZO1058" s="989"/>
      <c r="TZP1058" s="989"/>
      <c r="TZQ1058" s="989"/>
      <c r="TZR1058" s="989"/>
      <c r="TZS1058" s="989"/>
      <c r="TZT1058" s="989"/>
      <c r="TZU1058" s="989"/>
      <c r="TZV1058" s="989"/>
      <c r="TZW1058" s="989"/>
      <c r="TZX1058" s="989"/>
      <c r="TZY1058" s="989"/>
      <c r="TZZ1058" s="989"/>
      <c r="UAA1058" s="989"/>
      <c r="UAB1058" s="989"/>
      <c r="UAC1058" s="989"/>
      <c r="UAD1058" s="989"/>
      <c r="UAE1058" s="989"/>
      <c r="UAF1058" s="989"/>
      <c r="UAG1058" s="989"/>
      <c r="UAH1058" s="989"/>
      <c r="UAI1058" s="989"/>
      <c r="UAJ1058" s="989"/>
      <c r="UAK1058" s="989"/>
      <c r="UAL1058" s="989"/>
      <c r="UAM1058" s="989"/>
      <c r="UAN1058" s="989"/>
      <c r="UAO1058" s="989"/>
      <c r="UAP1058" s="989"/>
      <c r="UAQ1058" s="989"/>
      <c r="UAR1058" s="989"/>
      <c r="UAS1058" s="989"/>
      <c r="UAT1058" s="989"/>
      <c r="UAU1058" s="989"/>
      <c r="UAV1058" s="989"/>
      <c r="UAW1058" s="989"/>
      <c r="UAX1058" s="989"/>
      <c r="UAY1058" s="989"/>
      <c r="UAZ1058" s="989"/>
      <c r="UBA1058" s="989"/>
      <c r="UBB1058" s="989"/>
      <c r="UBC1058" s="989"/>
      <c r="UBD1058" s="989"/>
      <c r="UBE1058" s="989"/>
      <c r="UBF1058" s="989"/>
      <c r="UBG1058" s="989"/>
      <c r="UBH1058" s="989"/>
      <c r="UBI1058" s="989"/>
      <c r="UBJ1058" s="989"/>
      <c r="UBK1058" s="989"/>
      <c r="UBL1058" s="989"/>
      <c r="UBM1058" s="989"/>
      <c r="UBN1058" s="989"/>
      <c r="UBO1058" s="989"/>
      <c r="UBP1058" s="989"/>
      <c r="UBQ1058" s="989"/>
      <c r="UBR1058" s="989"/>
      <c r="UBS1058" s="989"/>
      <c r="UBT1058" s="989"/>
      <c r="UBU1058" s="989"/>
      <c r="UBV1058" s="989"/>
      <c r="UBW1058" s="989"/>
      <c r="UBX1058" s="989"/>
      <c r="UBY1058" s="989"/>
      <c r="UBZ1058" s="989"/>
      <c r="UCA1058" s="989"/>
      <c r="UCB1058" s="989"/>
      <c r="UCC1058" s="989"/>
      <c r="UCD1058" s="989"/>
      <c r="UCE1058" s="989"/>
      <c r="UCF1058" s="989"/>
      <c r="UCG1058" s="989"/>
      <c r="UCH1058" s="989"/>
      <c r="UCI1058" s="989"/>
      <c r="UCJ1058" s="989"/>
      <c r="UCK1058" s="989"/>
      <c r="UCL1058" s="989"/>
      <c r="UCM1058" s="989"/>
      <c r="UCN1058" s="989"/>
      <c r="UCO1058" s="989"/>
      <c r="UCP1058" s="989"/>
      <c r="UCQ1058" s="989"/>
      <c r="UCR1058" s="989"/>
      <c r="UCS1058" s="989"/>
      <c r="UCT1058" s="989"/>
      <c r="UCU1058" s="989"/>
      <c r="UCV1058" s="989"/>
      <c r="UCW1058" s="989"/>
      <c r="UCX1058" s="989"/>
      <c r="UCY1058" s="989"/>
      <c r="UCZ1058" s="989"/>
      <c r="UDA1058" s="989"/>
      <c r="UDB1058" s="989"/>
      <c r="UDC1058" s="989"/>
      <c r="UDD1058" s="989"/>
      <c r="UDE1058" s="989"/>
      <c r="UDF1058" s="989"/>
      <c r="UDG1058" s="989"/>
      <c r="UDH1058" s="989"/>
      <c r="UDI1058" s="989"/>
      <c r="UDJ1058" s="989"/>
      <c r="UDK1058" s="989"/>
      <c r="UDL1058" s="989"/>
      <c r="UDM1058" s="989"/>
      <c r="UDN1058" s="989"/>
      <c r="UDO1058" s="989"/>
      <c r="UDP1058" s="989"/>
      <c r="UDQ1058" s="989"/>
      <c r="UDR1058" s="989"/>
      <c r="UDS1058" s="989"/>
      <c r="UDT1058" s="989"/>
      <c r="UDU1058" s="989"/>
      <c r="UDV1058" s="989"/>
      <c r="UDW1058" s="989"/>
      <c r="UDX1058" s="989"/>
      <c r="UDY1058" s="989"/>
      <c r="UDZ1058" s="989"/>
      <c r="UEA1058" s="989"/>
      <c r="UEB1058" s="989"/>
      <c r="UEC1058" s="989"/>
      <c r="UED1058" s="989"/>
      <c r="UEE1058" s="989"/>
      <c r="UEF1058" s="989"/>
      <c r="UEG1058" s="989"/>
      <c r="UEH1058" s="989"/>
      <c r="UEI1058" s="989"/>
      <c r="UEJ1058" s="989"/>
      <c r="UEK1058" s="989"/>
      <c r="UEL1058" s="989"/>
      <c r="UEM1058" s="989"/>
      <c r="UEN1058" s="989"/>
      <c r="UEO1058" s="989"/>
      <c r="UEP1058" s="989"/>
      <c r="UEQ1058" s="989"/>
      <c r="UER1058" s="989"/>
      <c r="UES1058" s="989"/>
      <c r="UET1058" s="989"/>
      <c r="UEU1058" s="989"/>
      <c r="UEV1058" s="989"/>
      <c r="UEW1058" s="989"/>
      <c r="UEX1058" s="989"/>
      <c r="UEY1058" s="989"/>
      <c r="UEZ1058" s="989"/>
      <c r="UFA1058" s="989"/>
      <c r="UFB1058" s="989"/>
      <c r="UFC1058" s="989"/>
      <c r="UFD1058" s="989"/>
      <c r="UFE1058" s="989"/>
      <c r="UFF1058" s="989"/>
      <c r="UFG1058" s="989"/>
      <c r="UFH1058" s="989"/>
      <c r="UFI1058" s="989"/>
      <c r="UFJ1058" s="989"/>
      <c r="UFK1058" s="989"/>
      <c r="UFL1058" s="989"/>
      <c r="UFM1058" s="989"/>
      <c r="UFN1058" s="989"/>
      <c r="UFO1058" s="989"/>
      <c r="UFP1058" s="989"/>
      <c r="UFQ1058" s="989"/>
      <c r="UFR1058" s="989"/>
      <c r="UFS1058" s="989"/>
      <c r="UFT1058" s="989"/>
      <c r="UFU1058" s="989"/>
      <c r="UFV1058" s="989"/>
      <c r="UFW1058" s="989"/>
      <c r="UFX1058" s="989"/>
      <c r="UFY1058" s="989"/>
      <c r="UFZ1058" s="989"/>
      <c r="UGA1058" s="989"/>
      <c r="UGB1058" s="989"/>
      <c r="UGC1058" s="989"/>
      <c r="UGD1058" s="989"/>
      <c r="UGE1058" s="989"/>
      <c r="UGF1058" s="989"/>
      <c r="UGG1058" s="989"/>
      <c r="UGH1058" s="989"/>
      <c r="UGI1058" s="989"/>
      <c r="UGJ1058" s="989"/>
      <c r="UGK1058" s="989"/>
      <c r="UGL1058" s="989"/>
      <c r="UGM1058" s="989"/>
      <c r="UGN1058" s="989"/>
      <c r="UGO1058" s="989"/>
      <c r="UGP1058" s="989"/>
      <c r="UGQ1058" s="989"/>
      <c r="UGR1058" s="989"/>
      <c r="UGS1058" s="989"/>
      <c r="UGT1058" s="989"/>
      <c r="UGU1058" s="989"/>
      <c r="UGV1058" s="989"/>
      <c r="UGW1058" s="989"/>
      <c r="UGX1058" s="989"/>
      <c r="UGY1058" s="989"/>
      <c r="UGZ1058" s="989"/>
      <c r="UHA1058" s="989"/>
      <c r="UHB1058" s="989"/>
      <c r="UHC1058" s="989"/>
      <c r="UHD1058" s="989"/>
      <c r="UHE1058" s="989"/>
      <c r="UHF1058" s="989"/>
      <c r="UHG1058" s="989"/>
      <c r="UHH1058" s="989"/>
      <c r="UHI1058" s="989"/>
      <c r="UHJ1058" s="989"/>
      <c r="UHK1058" s="989"/>
      <c r="UHL1058" s="989"/>
      <c r="UHM1058" s="989"/>
      <c r="UHN1058" s="989"/>
      <c r="UHO1058" s="989"/>
      <c r="UHP1058" s="989"/>
      <c r="UHQ1058" s="989"/>
      <c r="UHR1058" s="989"/>
      <c r="UHS1058" s="989"/>
      <c r="UHT1058" s="989"/>
      <c r="UHU1058" s="989"/>
      <c r="UHV1058" s="989"/>
      <c r="UHW1058" s="989"/>
      <c r="UHX1058" s="989"/>
      <c r="UHY1058" s="989"/>
      <c r="UHZ1058" s="989"/>
      <c r="UIA1058" s="989"/>
      <c r="UIB1058" s="989"/>
      <c r="UIC1058" s="989"/>
      <c r="UID1058" s="989"/>
      <c r="UIE1058" s="989"/>
      <c r="UIF1058" s="989"/>
      <c r="UIG1058" s="989"/>
      <c r="UIH1058" s="989"/>
      <c r="UII1058" s="989"/>
      <c r="UIJ1058" s="989"/>
      <c r="UIK1058" s="989"/>
      <c r="UIL1058" s="989"/>
      <c r="UIM1058" s="989"/>
      <c r="UIN1058" s="989"/>
      <c r="UIO1058" s="989"/>
      <c r="UIP1058" s="989"/>
      <c r="UIQ1058" s="989"/>
      <c r="UIR1058" s="989"/>
      <c r="UIS1058" s="989"/>
      <c r="UIT1058" s="989"/>
      <c r="UIU1058" s="989"/>
      <c r="UIV1058" s="989"/>
      <c r="UIW1058" s="989"/>
      <c r="UIX1058" s="989"/>
      <c r="UIY1058" s="989"/>
      <c r="UIZ1058" s="989"/>
      <c r="UJA1058" s="989"/>
      <c r="UJB1058" s="989"/>
      <c r="UJC1058" s="989"/>
      <c r="UJD1058" s="989"/>
      <c r="UJE1058" s="989"/>
      <c r="UJF1058" s="989"/>
      <c r="UJG1058" s="989"/>
      <c r="UJH1058" s="989"/>
      <c r="UJI1058" s="989"/>
      <c r="UJJ1058" s="989"/>
      <c r="UJK1058" s="989"/>
      <c r="UJL1058" s="989"/>
      <c r="UJM1058" s="989"/>
      <c r="UJN1058" s="989"/>
      <c r="UJO1058" s="989"/>
      <c r="UJP1058" s="989"/>
      <c r="UJQ1058" s="989"/>
      <c r="UJR1058" s="989"/>
      <c r="UJS1058" s="989"/>
      <c r="UJT1058" s="989"/>
      <c r="UJU1058" s="989"/>
      <c r="UJV1058" s="989"/>
      <c r="UJW1058" s="989"/>
      <c r="UJX1058" s="989"/>
      <c r="UJY1058" s="989"/>
      <c r="UJZ1058" s="989"/>
      <c r="UKA1058" s="989"/>
      <c r="UKB1058" s="989"/>
      <c r="UKC1058" s="989"/>
      <c r="UKD1058" s="989"/>
      <c r="UKE1058" s="989"/>
      <c r="UKF1058" s="989"/>
      <c r="UKG1058" s="989"/>
      <c r="UKH1058" s="989"/>
      <c r="UKI1058" s="989"/>
      <c r="UKJ1058" s="989"/>
      <c r="UKK1058" s="989"/>
      <c r="UKL1058" s="989"/>
      <c r="UKM1058" s="989"/>
      <c r="UKN1058" s="989"/>
      <c r="UKO1058" s="989"/>
      <c r="UKP1058" s="989"/>
      <c r="UKQ1058" s="989"/>
      <c r="UKR1058" s="989"/>
      <c r="UKS1058" s="989"/>
      <c r="UKT1058" s="989"/>
      <c r="UKU1058" s="989"/>
      <c r="UKV1058" s="989"/>
      <c r="UKW1058" s="989"/>
      <c r="UKX1058" s="989"/>
      <c r="UKY1058" s="989"/>
      <c r="UKZ1058" s="989"/>
      <c r="ULA1058" s="989"/>
      <c r="ULB1058" s="989"/>
      <c r="ULC1058" s="989"/>
      <c r="ULD1058" s="989"/>
      <c r="ULE1058" s="989"/>
      <c r="ULF1058" s="989"/>
      <c r="ULG1058" s="989"/>
      <c r="ULH1058" s="989"/>
      <c r="ULI1058" s="989"/>
      <c r="ULJ1058" s="989"/>
      <c r="ULK1058" s="989"/>
      <c r="ULL1058" s="989"/>
      <c r="ULM1058" s="989"/>
      <c r="ULN1058" s="989"/>
      <c r="ULO1058" s="989"/>
      <c r="ULP1058" s="989"/>
      <c r="ULQ1058" s="989"/>
      <c r="ULR1058" s="989"/>
      <c r="ULS1058" s="989"/>
      <c r="ULT1058" s="989"/>
      <c r="ULU1058" s="989"/>
      <c r="ULV1058" s="989"/>
      <c r="ULW1058" s="989"/>
      <c r="ULX1058" s="989"/>
      <c r="ULY1058" s="989"/>
      <c r="ULZ1058" s="989"/>
      <c r="UMA1058" s="989"/>
      <c r="UMB1058" s="989"/>
      <c r="UMC1058" s="989"/>
      <c r="UMD1058" s="989"/>
      <c r="UME1058" s="989"/>
      <c r="UMF1058" s="989"/>
      <c r="UMG1058" s="989"/>
      <c r="UMH1058" s="989"/>
      <c r="UMI1058" s="989"/>
      <c r="UMJ1058" s="989"/>
      <c r="UMK1058" s="989"/>
      <c r="UML1058" s="989"/>
      <c r="UMM1058" s="989"/>
      <c r="UMN1058" s="989"/>
      <c r="UMO1058" s="989"/>
      <c r="UMP1058" s="989"/>
      <c r="UMQ1058" s="989"/>
      <c r="UMR1058" s="989"/>
      <c r="UMS1058" s="989"/>
      <c r="UMT1058" s="989"/>
      <c r="UMU1058" s="989"/>
      <c r="UMV1058" s="989"/>
      <c r="UMW1058" s="989"/>
      <c r="UMX1058" s="989"/>
      <c r="UMY1058" s="989"/>
      <c r="UMZ1058" s="989"/>
      <c r="UNA1058" s="989"/>
      <c r="UNB1058" s="989"/>
      <c r="UNC1058" s="989"/>
      <c r="UND1058" s="989"/>
      <c r="UNE1058" s="989"/>
      <c r="UNF1058" s="989"/>
      <c r="UNG1058" s="989"/>
      <c r="UNH1058" s="989"/>
      <c r="UNI1058" s="989"/>
      <c r="UNJ1058" s="989"/>
      <c r="UNK1058" s="989"/>
      <c r="UNL1058" s="989"/>
      <c r="UNM1058" s="989"/>
      <c r="UNN1058" s="989"/>
      <c r="UNO1058" s="989"/>
      <c r="UNP1058" s="989"/>
      <c r="UNQ1058" s="989"/>
      <c r="UNR1058" s="989"/>
      <c r="UNS1058" s="989"/>
      <c r="UNT1058" s="989"/>
      <c r="UNU1058" s="989"/>
      <c r="UNV1058" s="989"/>
      <c r="UNW1058" s="989"/>
      <c r="UNX1058" s="989"/>
      <c r="UNY1058" s="989"/>
      <c r="UNZ1058" s="989"/>
      <c r="UOA1058" s="989"/>
      <c r="UOB1058" s="989"/>
      <c r="UOC1058" s="989"/>
      <c r="UOD1058" s="989"/>
      <c r="UOE1058" s="989"/>
      <c r="UOF1058" s="989"/>
      <c r="UOG1058" s="989"/>
      <c r="UOH1058" s="989"/>
      <c r="UOI1058" s="989"/>
      <c r="UOJ1058" s="989"/>
      <c r="UOK1058" s="989"/>
      <c r="UOL1058" s="989"/>
      <c r="UOM1058" s="989"/>
      <c r="UON1058" s="989"/>
      <c r="UOO1058" s="989"/>
      <c r="UOP1058" s="989"/>
      <c r="UOQ1058" s="989"/>
      <c r="UOR1058" s="989"/>
      <c r="UOS1058" s="989"/>
      <c r="UOT1058" s="989"/>
      <c r="UOU1058" s="989"/>
      <c r="UOV1058" s="989"/>
      <c r="UOW1058" s="989"/>
      <c r="UOX1058" s="989"/>
      <c r="UOY1058" s="989"/>
      <c r="UOZ1058" s="989"/>
      <c r="UPA1058" s="989"/>
      <c r="UPB1058" s="989"/>
      <c r="UPC1058" s="989"/>
      <c r="UPD1058" s="989"/>
      <c r="UPE1058" s="989"/>
      <c r="UPF1058" s="989"/>
      <c r="UPG1058" s="989"/>
      <c r="UPH1058" s="989"/>
      <c r="UPI1058" s="989"/>
      <c r="UPJ1058" s="989"/>
      <c r="UPK1058" s="989"/>
      <c r="UPL1058" s="989"/>
      <c r="UPM1058" s="989"/>
      <c r="UPN1058" s="989"/>
      <c r="UPO1058" s="989"/>
      <c r="UPP1058" s="989"/>
      <c r="UPQ1058" s="989"/>
      <c r="UPR1058" s="989"/>
      <c r="UPS1058" s="989"/>
      <c r="UPT1058" s="989"/>
      <c r="UPU1058" s="989"/>
      <c r="UPV1058" s="989"/>
      <c r="UPW1058" s="989"/>
      <c r="UPX1058" s="989"/>
      <c r="UPY1058" s="989"/>
      <c r="UPZ1058" s="989"/>
      <c r="UQA1058" s="989"/>
      <c r="UQB1058" s="989"/>
      <c r="UQC1058" s="989"/>
      <c r="UQD1058" s="989"/>
      <c r="UQE1058" s="989"/>
      <c r="UQF1058" s="989"/>
      <c r="UQG1058" s="989"/>
      <c r="UQH1058" s="989"/>
      <c r="UQI1058" s="989"/>
      <c r="UQJ1058" s="989"/>
      <c r="UQK1058" s="989"/>
      <c r="UQL1058" s="989"/>
      <c r="UQM1058" s="989"/>
      <c r="UQN1058" s="989"/>
      <c r="UQO1058" s="989"/>
      <c r="UQP1058" s="989"/>
      <c r="UQQ1058" s="989"/>
      <c r="UQR1058" s="989"/>
      <c r="UQS1058" s="989"/>
      <c r="UQT1058" s="989"/>
      <c r="UQU1058" s="989"/>
      <c r="UQV1058" s="989"/>
      <c r="UQW1058" s="989"/>
      <c r="UQX1058" s="989"/>
      <c r="UQY1058" s="989"/>
      <c r="UQZ1058" s="989"/>
      <c r="URA1058" s="989"/>
      <c r="URB1058" s="989"/>
      <c r="URC1058" s="989"/>
      <c r="URD1058" s="989"/>
      <c r="URE1058" s="989"/>
      <c r="URF1058" s="989"/>
      <c r="URG1058" s="989"/>
      <c r="URH1058" s="989"/>
      <c r="URI1058" s="989"/>
      <c r="URJ1058" s="989"/>
      <c r="URK1058" s="989"/>
      <c r="URL1058" s="989"/>
      <c r="URM1058" s="989"/>
      <c r="URN1058" s="989"/>
      <c r="URO1058" s="989"/>
      <c r="URP1058" s="989"/>
      <c r="URQ1058" s="989"/>
      <c r="URR1058" s="989"/>
      <c r="URS1058" s="989"/>
      <c r="URT1058" s="989"/>
      <c r="URU1058" s="989"/>
      <c r="URV1058" s="989"/>
      <c r="URW1058" s="989"/>
      <c r="URX1058" s="989"/>
      <c r="URY1058" s="989"/>
      <c r="URZ1058" s="989"/>
      <c r="USA1058" s="989"/>
      <c r="USB1058" s="989"/>
      <c r="USC1058" s="989"/>
      <c r="USD1058" s="989"/>
      <c r="USE1058" s="989"/>
      <c r="USF1058" s="989"/>
      <c r="USG1058" s="989"/>
      <c r="USH1058" s="989"/>
      <c r="USI1058" s="989"/>
      <c r="USJ1058" s="989"/>
      <c r="USK1058" s="989"/>
      <c r="USL1058" s="989"/>
      <c r="USM1058" s="989"/>
      <c r="USN1058" s="989"/>
      <c r="USO1058" s="989"/>
      <c r="USP1058" s="989"/>
      <c r="USQ1058" s="989"/>
      <c r="USR1058" s="989"/>
      <c r="USS1058" s="989"/>
      <c r="UST1058" s="989"/>
      <c r="USU1058" s="989"/>
      <c r="USV1058" s="989"/>
      <c r="USW1058" s="989"/>
      <c r="USX1058" s="989"/>
      <c r="USY1058" s="989"/>
      <c r="USZ1058" s="989"/>
      <c r="UTA1058" s="989"/>
      <c r="UTB1058" s="989"/>
      <c r="UTC1058" s="989"/>
      <c r="UTD1058" s="989"/>
      <c r="UTE1058" s="989"/>
      <c r="UTF1058" s="989"/>
      <c r="UTG1058" s="989"/>
      <c r="UTH1058" s="989"/>
      <c r="UTI1058" s="989"/>
      <c r="UTJ1058" s="989"/>
      <c r="UTK1058" s="989"/>
      <c r="UTL1058" s="989"/>
      <c r="UTM1058" s="989"/>
      <c r="UTN1058" s="989"/>
      <c r="UTO1058" s="989"/>
      <c r="UTP1058" s="989"/>
      <c r="UTQ1058" s="989"/>
      <c r="UTR1058" s="989"/>
      <c r="UTS1058" s="989"/>
      <c r="UTT1058" s="989"/>
      <c r="UTU1058" s="989"/>
      <c r="UTV1058" s="989"/>
      <c r="UTW1058" s="989"/>
      <c r="UTX1058" s="989"/>
      <c r="UTY1058" s="989"/>
      <c r="UTZ1058" s="989"/>
      <c r="UUA1058" s="989"/>
      <c r="UUB1058" s="989"/>
      <c r="UUC1058" s="989"/>
      <c r="UUD1058" s="989"/>
      <c r="UUE1058" s="989"/>
      <c r="UUF1058" s="989"/>
      <c r="UUG1058" s="989"/>
      <c r="UUH1058" s="989"/>
      <c r="UUI1058" s="989"/>
      <c r="UUJ1058" s="989"/>
      <c r="UUK1058" s="989"/>
      <c r="UUL1058" s="989"/>
      <c r="UUM1058" s="989"/>
      <c r="UUN1058" s="989"/>
      <c r="UUO1058" s="989"/>
      <c r="UUP1058" s="989"/>
      <c r="UUQ1058" s="989"/>
      <c r="UUR1058" s="989"/>
      <c r="UUS1058" s="989"/>
      <c r="UUT1058" s="989"/>
      <c r="UUU1058" s="989"/>
      <c r="UUV1058" s="989"/>
      <c r="UUW1058" s="989"/>
      <c r="UUX1058" s="989"/>
      <c r="UUY1058" s="989"/>
      <c r="UUZ1058" s="989"/>
      <c r="UVA1058" s="989"/>
      <c r="UVB1058" s="989"/>
      <c r="UVC1058" s="989"/>
      <c r="UVD1058" s="989"/>
      <c r="UVE1058" s="989"/>
      <c r="UVF1058" s="989"/>
      <c r="UVG1058" s="989"/>
      <c r="UVH1058" s="989"/>
      <c r="UVI1058" s="989"/>
      <c r="UVJ1058" s="989"/>
      <c r="UVK1058" s="989"/>
      <c r="UVL1058" s="989"/>
      <c r="UVM1058" s="989"/>
      <c r="UVN1058" s="989"/>
      <c r="UVO1058" s="989"/>
      <c r="UVP1058" s="989"/>
      <c r="UVQ1058" s="989"/>
      <c r="UVR1058" s="989"/>
      <c r="UVS1058" s="989"/>
      <c r="UVT1058" s="989"/>
      <c r="UVU1058" s="989"/>
      <c r="UVV1058" s="989"/>
      <c r="UVW1058" s="989"/>
      <c r="UVX1058" s="989"/>
      <c r="UVY1058" s="989"/>
      <c r="UVZ1058" s="989"/>
      <c r="UWA1058" s="989"/>
      <c r="UWB1058" s="989"/>
      <c r="UWC1058" s="989"/>
      <c r="UWD1058" s="989"/>
      <c r="UWE1058" s="989"/>
      <c r="UWF1058" s="989"/>
      <c r="UWG1058" s="989"/>
      <c r="UWH1058" s="989"/>
      <c r="UWI1058" s="989"/>
      <c r="UWJ1058" s="989"/>
      <c r="UWK1058" s="989"/>
      <c r="UWL1058" s="989"/>
      <c r="UWM1058" s="989"/>
      <c r="UWN1058" s="989"/>
      <c r="UWO1058" s="989"/>
      <c r="UWP1058" s="989"/>
      <c r="UWQ1058" s="989"/>
      <c r="UWR1058" s="989"/>
      <c r="UWS1058" s="989"/>
      <c r="UWT1058" s="989"/>
      <c r="UWU1058" s="989"/>
      <c r="UWV1058" s="989"/>
      <c r="UWW1058" s="989"/>
      <c r="UWX1058" s="989"/>
      <c r="UWY1058" s="989"/>
      <c r="UWZ1058" s="989"/>
      <c r="UXA1058" s="989"/>
      <c r="UXB1058" s="989"/>
      <c r="UXC1058" s="989"/>
      <c r="UXD1058" s="989"/>
      <c r="UXE1058" s="989"/>
      <c r="UXF1058" s="989"/>
      <c r="UXG1058" s="989"/>
      <c r="UXH1058" s="989"/>
      <c r="UXI1058" s="989"/>
      <c r="UXJ1058" s="989"/>
      <c r="UXK1058" s="989"/>
      <c r="UXL1058" s="989"/>
      <c r="UXM1058" s="989"/>
      <c r="UXN1058" s="989"/>
      <c r="UXO1058" s="989"/>
      <c r="UXP1058" s="989"/>
      <c r="UXQ1058" s="989"/>
      <c r="UXR1058" s="989"/>
      <c r="UXS1058" s="989"/>
      <c r="UXT1058" s="989"/>
      <c r="UXU1058" s="989"/>
      <c r="UXV1058" s="989"/>
      <c r="UXW1058" s="989"/>
      <c r="UXX1058" s="989"/>
      <c r="UXY1058" s="989"/>
      <c r="UXZ1058" s="989"/>
      <c r="UYA1058" s="989"/>
      <c r="UYB1058" s="989"/>
      <c r="UYC1058" s="989"/>
      <c r="UYD1058" s="989"/>
      <c r="UYE1058" s="989"/>
      <c r="UYF1058" s="989"/>
      <c r="UYG1058" s="989"/>
      <c r="UYH1058" s="989"/>
      <c r="UYI1058" s="989"/>
      <c r="UYJ1058" s="989"/>
      <c r="UYK1058" s="989"/>
      <c r="UYL1058" s="989"/>
      <c r="UYM1058" s="989"/>
      <c r="UYN1058" s="989"/>
      <c r="UYO1058" s="989"/>
      <c r="UYP1058" s="989"/>
      <c r="UYQ1058" s="989"/>
      <c r="UYR1058" s="989"/>
      <c r="UYS1058" s="989"/>
      <c r="UYT1058" s="989"/>
      <c r="UYU1058" s="989"/>
      <c r="UYV1058" s="989"/>
      <c r="UYW1058" s="989"/>
      <c r="UYX1058" s="989"/>
      <c r="UYY1058" s="989"/>
      <c r="UYZ1058" s="989"/>
      <c r="UZA1058" s="989"/>
      <c r="UZB1058" s="989"/>
      <c r="UZC1058" s="989"/>
      <c r="UZD1058" s="989"/>
      <c r="UZE1058" s="989"/>
      <c r="UZF1058" s="989"/>
      <c r="UZG1058" s="989"/>
      <c r="UZH1058" s="989"/>
      <c r="UZI1058" s="989"/>
      <c r="UZJ1058" s="989"/>
      <c r="UZK1058" s="989"/>
      <c r="UZL1058" s="989"/>
      <c r="UZM1058" s="989"/>
      <c r="UZN1058" s="989"/>
      <c r="UZO1058" s="989"/>
      <c r="UZP1058" s="989"/>
      <c r="UZQ1058" s="989"/>
      <c r="UZR1058" s="989"/>
      <c r="UZS1058" s="989"/>
      <c r="UZT1058" s="989"/>
      <c r="UZU1058" s="989"/>
      <c r="UZV1058" s="989"/>
      <c r="UZW1058" s="989"/>
      <c r="UZX1058" s="989"/>
      <c r="UZY1058" s="989"/>
      <c r="UZZ1058" s="989"/>
      <c r="VAA1058" s="989"/>
      <c r="VAB1058" s="989"/>
      <c r="VAC1058" s="989"/>
      <c r="VAD1058" s="989"/>
      <c r="VAE1058" s="989"/>
      <c r="VAF1058" s="989"/>
      <c r="VAG1058" s="989"/>
      <c r="VAH1058" s="989"/>
      <c r="VAI1058" s="989"/>
      <c r="VAJ1058" s="989"/>
      <c r="VAK1058" s="989"/>
      <c r="VAL1058" s="989"/>
      <c r="VAM1058" s="989"/>
      <c r="VAN1058" s="989"/>
      <c r="VAO1058" s="989"/>
      <c r="VAP1058" s="989"/>
      <c r="VAQ1058" s="989"/>
      <c r="VAR1058" s="989"/>
      <c r="VAS1058" s="989"/>
      <c r="VAT1058" s="989"/>
      <c r="VAU1058" s="989"/>
      <c r="VAV1058" s="989"/>
      <c r="VAW1058" s="989"/>
      <c r="VAX1058" s="989"/>
      <c r="VAY1058" s="989"/>
      <c r="VAZ1058" s="989"/>
      <c r="VBA1058" s="989"/>
      <c r="VBB1058" s="989"/>
      <c r="VBC1058" s="989"/>
      <c r="VBD1058" s="989"/>
      <c r="VBE1058" s="989"/>
      <c r="VBF1058" s="989"/>
      <c r="VBG1058" s="989"/>
      <c r="VBH1058" s="989"/>
      <c r="VBI1058" s="989"/>
      <c r="VBJ1058" s="989"/>
      <c r="VBK1058" s="989"/>
      <c r="VBL1058" s="989"/>
      <c r="VBM1058" s="989"/>
      <c r="VBN1058" s="989"/>
      <c r="VBO1058" s="989"/>
      <c r="VBP1058" s="989"/>
      <c r="VBQ1058" s="989"/>
      <c r="VBR1058" s="989"/>
      <c r="VBS1058" s="989"/>
      <c r="VBT1058" s="989"/>
      <c r="VBU1058" s="989"/>
      <c r="VBV1058" s="989"/>
      <c r="VBW1058" s="989"/>
      <c r="VBX1058" s="989"/>
      <c r="VBY1058" s="989"/>
      <c r="VBZ1058" s="989"/>
      <c r="VCA1058" s="989"/>
      <c r="VCB1058" s="989"/>
      <c r="VCC1058" s="989"/>
      <c r="VCD1058" s="989"/>
      <c r="VCE1058" s="989"/>
      <c r="VCF1058" s="989"/>
      <c r="VCG1058" s="989"/>
      <c r="VCH1058" s="989"/>
      <c r="VCI1058" s="989"/>
      <c r="VCJ1058" s="989"/>
      <c r="VCK1058" s="989"/>
      <c r="VCL1058" s="989"/>
      <c r="VCM1058" s="989"/>
      <c r="VCN1058" s="989"/>
      <c r="VCO1058" s="989"/>
      <c r="VCP1058" s="989"/>
      <c r="VCQ1058" s="989"/>
      <c r="VCR1058" s="989"/>
      <c r="VCS1058" s="989"/>
      <c r="VCT1058" s="989"/>
      <c r="VCU1058" s="989"/>
      <c r="VCV1058" s="989"/>
      <c r="VCW1058" s="989"/>
      <c r="VCX1058" s="989"/>
      <c r="VCY1058" s="989"/>
      <c r="VCZ1058" s="989"/>
      <c r="VDA1058" s="989"/>
      <c r="VDB1058" s="989"/>
      <c r="VDC1058" s="989"/>
      <c r="VDD1058" s="989"/>
      <c r="VDE1058" s="989"/>
      <c r="VDF1058" s="989"/>
      <c r="VDG1058" s="989"/>
      <c r="VDH1058" s="989"/>
      <c r="VDI1058" s="989"/>
      <c r="VDJ1058" s="989"/>
      <c r="VDK1058" s="989"/>
      <c r="VDL1058" s="989"/>
      <c r="VDM1058" s="989"/>
      <c r="VDN1058" s="989"/>
      <c r="VDO1058" s="989"/>
      <c r="VDP1058" s="989"/>
      <c r="VDQ1058" s="989"/>
      <c r="VDR1058" s="989"/>
      <c r="VDS1058" s="989"/>
      <c r="VDT1058" s="989"/>
      <c r="VDU1058" s="989"/>
      <c r="VDV1058" s="989"/>
      <c r="VDW1058" s="989"/>
      <c r="VDX1058" s="989"/>
      <c r="VDY1058" s="989"/>
      <c r="VDZ1058" s="989"/>
      <c r="VEA1058" s="989"/>
      <c r="VEB1058" s="989"/>
      <c r="VEC1058" s="989"/>
      <c r="VED1058" s="989"/>
      <c r="VEE1058" s="989"/>
      <c r="VEF1058" s="989"/>
      <c r="VEG1058" s="989"/>
      <c r="VEH1058" s="989"/>
      <c r="VEI1058" s="989"/>
      <c r="VEJ1058" s="989"/>
      <c r="VEK1058" s="989"/>
      <c r="VEL1058" s="989"/>
      <c r="VEM1058" s="989"/>
      <c r="VEN1058" s="989"/>
      <c r="VEO1058" s="989"/>
      <c r="VEP1058" s="989"/>
      <c r="VEQ1058" s="989"/>
      <c r="VER1058" s="989"/>
      <c r="VES1058" s="989"/>
      <c r="VET1058" s="989"/>
      <c r="VEU1058" s="989"/>
      <c r="VEV1058" s="989"/>
      <c r="VEW1058" s="989"/>
      <c r="VEX1058" s="989"/>
      <c r="VEY1058" s="989"/>
      <c r="VEZ1058" s="989"/>
      <c r="VFA1058" s="989"/>
      <c r="VFB1058" s="989"/>
      <c r="VFC1058" s="989"/>
      <c r="VFD1058" s="989"/>
      <c r="VFE1058" s="989"/>
      <c r="VFF1058" s="989"/>
      <c r="VFG1058" s="989"/>
      <c r="VFH1058" s="989"/>
      <c r="VFI1058" s="989"/>
      <c r="VFJ1058" s="989"/>
      <c r="VFK1058" s="989"/>
      <c r="VFL1058" s="989"/>
      <c r="VFM1058" s="989"/>
      <c r="VFN1058" s="989"/>
      <c r="VFO1058" s="989"/>
      <c r="VFP1058" s="989"/>
      <c r="VFQ1058" s="989"/>
      <c r="VFR1058" s="989"/>
      <c r="VFS1058" s="989"/>
      <c r="VFT1058" s="989"/>
      <c r="VFU1058" s="989"/>
      <c r="VFV1058" s="989"/>
      <c r="VFW1058" s="989"/>
      <c r="VFX1058" s="989"/>
      <c r="VFY1058" s="989"/>
      <c r="VFZ1058" s="989"/>
      <c r="VGA1058" s="989"/>
      <c r="VGB1058" s="989"/>
      <c r="VGC1058" s="989"/>
      <c r="VGD1058" s="989"/>
      <c r="VGE1058" s="989"/>
      <c r="VGF1058" s="989"/>
      <c r="VGG1058" s="989"/>
      <c r="VGH1058" s="989"/>
      <c r="VGI1058" s="989"/>
      <c r="VGJ1058" s="989"/>
      <c r="VGK1058" s="989"/>
      <c r="VGL1058" s="989"/>
      <c r="VGM1058" s="989"/>
      <c r="VGN1058" s="989"/>
      <c r="VGO1058" s="989"/>
      <c r="VGP1058" s="989"/>
      <c r="VGQ1058" s="989"/>
      <c r="VGR1058" s="989"/>
      <c r="VGS1058" s="989"/>
      <c r="VGT1058" s="989"/>
      <c r="VGU1058" s="989"/>
      <c r="VGV1058" s="989"/>
      <c r="VGW1058" s="989"/>
      <c r="VGX1058" s="989"/>
      <c r="VGY1058" s="989"/>
      <c r="VGZ1058" s="989"/>
      <c r="VHA1058" s="989"/>
      <c r="VHB1058" s="989"/>
      <c r="VHC1058" s="989"/>
      <c r="VHD1058" s="989"/>
      <c r="VHE1058" s="989"/>
      <c r="VHF1058" s="989"/>
      <c r="VHG1058" s="989"/>
      <c r="VHH1058" s="989"/>
      <c r="VHI1058" s="989"/>
      <c r="VHJ1058" s="989"/>
      <c r="VHK1058" s="989"/>
      <c r="VHL1058" s="989"/>
      <c r="VHM1058" s="989"/>
      <c r="VHN1058" s="989"/>
      <c r="VHO1058" s="989"/>
      <c r="VHP1058" s="989"/>
      <c r="VHQ1058" s="989"/>
      <c r="VHR1058" s="989"/>
      <c r="VHS1058" s="989"/>
      <c r="VHT1058" s="989"/>
      <c r="VHU1058" s="989"/>
      <c r="VHV1058" s="989"/>
      <c r="VHW1058" s="989"/>
      <c r="VHX1058" s="989"/>
      <c r="VHY1058" s="989"/>
      <c r="VHZ1058" s="989"/>
      <c r="VIA1058" s="989"/>
      <c r="VIB1058" s="989"/>
      <c r="VIC1058" s="989"/>
      <c r="VID1058" s="989"/>
      <c r="VIE1058" s="989"/>
      <c r="VIF1058" s="989"/>
      <c r="VIG1058" s="989"/>
      <c r="VIH1058" s="989"/>
      <c r="VII1058" s="989"/>
      <c r="VIJ1058" s="989"/>
      <c r="VIK1058" s="989"/>
      <c r="VIL1058" s="989"/>
      <c r="VIM1058" s="989"/>
      <c r="VIN1058" s="989"/>
      <c r="VIO1058" s="989"/>
      <c r="VIP1058" s="989"/>
      <c r="VIQ1058" s="989"/>
      <c r="VIR1058" s="989"/>
      <c r="VIS1058" s="989"/>
      <c r="VIT1058" s="989"/>
      <c r="VIU1058" s="989"/>
      <c r="VIV1058" s="989"/>
      <c r="VIW1058" s="989"/>
      <c r="VIX1058" s="989"/>
      <c r="VIY1058" s="989"/>
      <c r="VIZ1058" s="989"/>
      <c r="VJA1058" s="989"/>
      <c r="VJB1058" s="989"/>
      <c r="VJC1058" s="989"/>
      <c r="VJD1058" s="989"/>
      <c r="VJE1058" s="989"/>
      <c r="VJF1058" s="989"/>
      <c r="VJG1058" s="989"/>
      <c r="VJH1058" s="989"/>
      <c r="VJI1058" s="989"/>
      <c r="VJJ1058" s="989"/>
      <c r="VJK1058" s="989"/>
      <c r="VJL1058" s="989"/>
      <c r="VJM1058" s="989"/>
      <c r="VJN1058" s="989"/>
      <c r="VJO1058" s="989"/>
      <c r="VJP1058" s="989"/>
      <c r="VJQ1058" s="989"/>
      <c r="VJR1058" s="989"/>
      <c r="VJS1058" s="989"/>
      <c r="VJT1058" s="989"/>
      <c r="VJU1058" s="989"/>
      <c r="VJV1058" s="989"/>
      <c r="VJW1058" s="989"/>
      <c r="VJX1058" s="989"/>
      <c r="VJY1058" s="989"/>
      <c r="VJZ1058" s="989"/>
      <c r="VKA1058" s="989"/>
      <c r="VKB1058" s="989"/>
      <c r="VKC1058" s="989"/>
      <c r="VKD1058" s="989"/>
      <c r="VKE1058" s="989"/>
      <c r="VKF1058" s="989"/>
      <c r="VKG1058" s="989"/>
      <c r="VKH1058" s="989"/>
      <c r="VKI1058" s="989"/>
      <c r="VKJ1058" s="989"/>
      <c r="VKK1058" s="989"/>
      <c r="VKL1058" s="989"/>
      <c r="VKM1058" s="989"/>
      <c r="VKN1058" s="989"/>
      <c r="VKO1058" s="989"/>
      <c r="VKP1058" s="989"/>
      <c r="VKQ1058" s="989"/>
      <c r="VKR1058" s="989"/>
      <c r="VKS1058" s="989"/>
      <c r="VKT1058" s="989"/>
      <c r="VKU1058" s="989"/>
      <c r="VKV1058" s="989"/>
      <c r="VKW1058" s="989"/>
      <c r="VKX1058" s="989"/>
      <c r="VKY1058" s="989"/>
      <c r="VKZ1058" s="989"/>
      <c r="VLA1058" s="989"/>
      <c r="VLB1058" s="989"/>
      <c r="VLC1058" s="989"/>
      <c r="VLD1058" s="989"/>
      <c r="VLE1058" s="989"/>
      <c r="VLF1058" s="989"/>
      <c r="VLG1058" s="989"/>
      <c r="VLH1058" s="989"/>
      <c r="VLI1058" s="989"/>
      <c r="VLJ1058" s="989"/>
      <c r="VLK1058" s="989"/>
      <c r="VLL1058" s="989"/>
      <c r="VLM1058" s="989"/>
      <c r="VLN1058" s="989"/>
      <c r="VLO1058" s="989"/>
      <c r="VLP1058" s="989"/>
      <c r="VLQ1058" s="989"/>
      <c r="VLR1058" s="989"/>
      <c r="VLS1058" s="989"/>
      <c r="VLT1058" s="989"/>
      <c r="VLU1058" s="989"/>
      <c r="VLV1058" s="989"/>
      <c r="VLW1058" s="989"/>
      <c r="VLX1058" s="989"/>
      <c r="VLY1058" s="989"/>
      <c r="VLZ1058" s="989"/>
      <c r="VMA1058" s="989"/>
      <c r="VMB1058" s="989"/>
      <c r="VMC1058" s="989"/>
      <c r="VMD1058" s="989"/>
      <c r="VME1058" s="989"/>
      <c r="VMF1058" s="989"/>
      <c r="VMG1058" s="989"/>
      <c r="VMH1058" s="989"/>
      <c r="VMI1058" s="989"/>
      <c r="VMJ1058" s="989"/>
      <c r="VMK1058" s="989"/>
      <c r="VML1058" s="989"/>
      <c r="VMM1058" s="989"/>
      <c r="VMN1058" s="989"/>
      <c r="VMO1058" s="989"/>
      <c r="VMP1058" s="989"/>
      <c r="VMQ1058" s="989"/>
      <c r="VMR1058" s="989"/>
      <c r="VMS1058" s="989"/>
      <c r="VMT1058" s="989"/>
      <c r="VMU1058" s="989"/>
      <c r="VMV1058" s="989"/>
      <c r="VMW1058" s="989"/>
      <c r="VMX1058" s="989"/>
      <c r="VMY1058" s="989"/>
      <c r="VMZ1058" s="989"/>
      <c r="VNA1058" s="989"/>
      <c r="VNB1058" s="989"/>
      <c r="VNC1058" s="989"/>
      <c r="VND1058" s="989"/>
      <c r="VNE1058" s="989"/>
      <c r="VNF1058" s="989"/>
      <c r="VNG1058" s="989"/>
      <c r="VNH1058" s="989"/>
      <c r="VNI1058" s="989"/>
      <c r="VNJ1058" s="989"/>
      <c r="VNK1058" s="989"/>
      <c r="VNL1058" s="989"/>
      <c r="VNM1058" s="989"/>
      <c r="VNN1058" s="989"/>
      <c r="VNO1058" s="989"/>
      <c r="VNP1058" s="989"/>
      <c r="VNQ1058" s="989"/>
      <c r="VNR1058" s="989"/>
      <c r="VNS1058" s="989"/>
      <c r="VNT1058" s="989"/>
      <c r="VNU1058" s="989"/>
      <c r="VNV1058" s="989"/>
      <c r="VNW1058" s="989"/>
      <c r="VNX1058" s="989"/>
      <c r="VNY1058" s="989"/>
      <c r="VNZ1058" s="989"/>
      <c r="VOA1058" s="989"/>
      <c r="VOB1058" s="989"/>
      <c r="VOC1058" s="989"/>
      <c r="VOD1058" s="989"/>
      <c r="VOE1058" s="989"/>
      <c r="VOF1058" s="989"/>
      <c r="VOG1058" s="989"/>
      <c r="VOH1058" s="989"/>
      <c r="VOI1058" s="989"/>
      <c r="VOJ1058" s="989"/>
      <c r="VOK1058" s="989"/>
      <c r="VOL1058" s="989"/>
      <c r="VOM1058" s="989"/>
      <c r="VON1058" s="989"/>
      <c r="VOO1058" s="989"/>
      <c r="VOP1058" s="989"/>
      <c r="VOQ1058" s="989"/>
      <c r="VOR1058" s="989"/>
      <c r="VOS1058" s="989"/>
      <c r="VOT1058" s="989"/>
      <c r="VOU1058" s="989"/>
      <c r="VOV1058" s="989"/>
      <c r="VOW1058" s="989"/>
      <c r="VOX1058" s="989"/>
      <c r="VOY1058" s="989"/>
      <c r="VOZ1058" s="989"/>
      <c r="VPA1058" s="989"/>
      <c r="VPB1058" s="989"/>
      <c r="VPC1058" s="989"/>
      <c r="VPD1058" s="989"/>
      <c r="VPE1058" s="989"/>
      <c r="VPF1058" s="989"/>
      <c r="VPG1058" s="989"/>
      <c r="VPH1058" s="989"/>
      <c r="VPI1058" s="989"/>
      <c r="VPJ1058" s="989"/>
      <c r="VPK1058" s="989"/>
      <c r="VPL1058" s="989"/>
      <c r="VPM1058" s="989"/>
      <c r="VPN1058" s="989"/>
      <c r="VPO1058" s="989"/>
      <c r="VPP1058" s="989"/>
      <c r="VPQ1058" s="989"/>
      <c r="VPR1058" s="989"/>
      <c r="VPS1058" s="989"/>
      <c r="VPT1058" s="989"/>
      <c r="VPU1058" s="989"/>
      <c r="VPV1058" s="989"/>
      <c r="VPW1058" s="989"/>
      <c r="VPX1058" s="989"/>
      <c r="VPY1058" s="989"/>
      <c r="VPZ1058" s="989"/>
      <c r="VQA1058" s="989"/>
      <c r="VQB1058" s="989"/>
      <c r="VQC1058" s="989"/>
      <c r="VQD1058" s="989"/>
      <c r="VQE1058" s="989"/>
      <c r="VQF1058" s="989"/>
      <c r="VQG1058" s="989"/>
      <c r="VQH1058" s="989"/>
      <c r="VQI1058" s="989"/>
      <c r="VQJ1058" s="989"/>
      <c r="VQK1058" s="989"/>
      <c r="VQL1058" s="989"/>
      <c r="VQM1058" s="989"/>
      <c r="VQN1058" s="989"/>
      <c r="VQO1058" s="989"/>
      <c r="VQP1058" s="989"/>
      <c r="VQQ1058" s="989"/>
      <c r="VQR1058" s="989"/>
      <c r="VQS1058" s="989"/>
      <c r="VQT1058" s="989"/>
      <c r="VQU1058" s="989"/>
      <c r="VQV1058" s="989"/>
      <c r="VQW1058" s="989"/>
      <c r="VQX1058" s="989"/>
      <c r="VQY1058" s="989"/>
      <c r="VQZ1058" s="989"/>
      <c r="VRA1058" s="989"/>
      <c r="VRB1058" s="989"/>
      <c r="VRC1058" s="989"/>
      <c r="VRD1058" s="989"/>
      <c r="VRE1058" s="989"/>
      <c r="VRF1058" s="989"/>
      <c r="VRG1058" s="989"/>
      <c r="VRH1058" s="989"/>
      <c r="VRI1058" s="989"/>
      <c r="VRJ1058" s="989"/>
      <c r="VRK1058" s="989"/>
      <c r="VRL1058" s="989"/>
      <c r="VRM1058" s="989"/>
      <c r="VRN1058" s="989"/>
      <c r="VRO1058" s="989"/>
      <c r="VRP1058" s="989"/>
      <c r="VRQ1058" s="989"/>
      <c r="VRR1058" s="989"/>
      <c r="VRS1058" s="989"/>
      <c r="VRT1058" s="989"/>
      <c r="VRU1058" s="989"/>
      <c r="VRV1058" s="989"/>
      <c r="VRW1058" s="989"/>
      <c r="VRX1058" s="989"/>
      <c r="VRY1058" s="989"/>
      <c r="VRZ1058" s="989"/>
      <c r="VSA1058" s="989"/>
      <c r="VSB1058" s="989"/>
      <c r="VSC1058" s="989"/>
      <c r="VSD1058" s="989"/>
      <c r="VSE1058" s="989"/>
      <c r="VSF1058" s="989"/>
      <c r="VSG1058" s="989"/>
      <c r="VSH1058" s="989"/>
      <c r="VSI1058" s="989"/>
      <c r="VSJ1058" s="989"/>
      <c r="VSK1058" s="989"/>
      <c r="VSL1058" s="989"/>
      <c r="VSM1058" s="989"/>
      <c r="VSN1058" s="989"/>
      <c r="VSO1058" s="989"/>
      <c r="VSP1058" s="989"/>
      <c r="VSQ1058" s="989"/>
      <c r="VSR1058" s="989"/>
      <c r="VSS1058" s="989"/>
      <c r="VST1058" s="989"/>
      <c r="VSU1058" s="989"/>
      <c r="VSV1058" s="989"/>
      <c r="VSW1058" s="989"/>
      <c r="VSX1058" s="989"/>
      <c r="VSY1058" s="989"/>
      <c r="VSZ1058" s="989"/>
      <c r="VTA1058" s="989"/>
      <c r="VTB1058" s="989"/>
      <c r="VTC1058" s="989"/>
      <c r="VTD1058" s="989"/>
      <c r="VTE1058" s="989"/>
      <c r="VTF1058" s="989"/>
      <c r="VTG1058" s="989"/>
      <c r="VTH1058" s="989"/>
      <c r="VTI1058" s="989"/>
      <c r="VTJ1058" s="989"/>
      <c r="VTK1058" s="989"/>
      <c r="VTL1058" s="989"/>
      <c r="VTM1058" s="989"/>
      <c r="VTN1058" s="989"/>
      <c r="VTO1058" s="989"/>
      <c r="VTP1058" s="989"/>
      <c r="VTQ1058" s="989"/>
      <c r="VTR1058" s="989"/>
      <c r="VTS1058" s="989"/>
      <c r="VTT1058" s="989"/>
      <c r="VTU1058" s="989"/>
      <c r="VTV1058" s="989"/>
      <c r="VTW1058" s="989"/>
      <c r="VTX1058" s="989"/>
      <c r="VTY1058" s="989"/>
      <c r="VTZ1058" s="989"/>
      <c r="VUA1058" s="989"/>
      <c r="VUB1058" s="989"/>
      <c r="VUC1058" s="989"/>
      <c r="VUD1058" s="989"/>
      <c r="VUE1058" s="989"/>
      <c r="VUF1058" s="989"/>
      <c r="VUG1058" s="989"/>
      <c r="VUH1058" s="989"/>
      <c r="VUI1058" s="989"/>
      <c r="VUJ1058" s="989"/>
      <c r="VUK1058" s="989"/>
      <c r="VUL1058" s="989"/>
      <c r="VUM1058" s="989"/>
      <c r="VUN1058" s="989"/>
      <c r="VUO1058" s="989"/>
      <c r="VUP1058" s="989"/>
      <c r="VUQ1058" s="989"/>
      <c r="VUR1058" s="989"/>
      <c r="VUS1058" s="989"/>
      <c r="VUT1058" s="989"/>
      <c r="VUU1058" s="989"/>
      <c r="VUV1058" s="989"/>
      <c r="VUW1058" s="989"/>
      <c r="VUX1058" s="989"/>
      <c r="VUY1058" s="989"/>
      <c r="VUZ1058" s="989"/>
      <c r="VVA1058" s="989"/>
      <c r="VVB1058" s="989"/>
      <c r="VVC1058" s="989"/>
      <c r="VVD1058" s="989"/>
      <c r="VVE1058" s="989"/>
      <c r="VVF1058" s="989"/>
      <c r="VVG1058" s="989"/>
      <c r="VVH1058" s="989"/>
      <c r="VVI1058" s="989"/>
      <c r="VVJ1058" s="989"/>
      <c r="VVK1058" s="989"/>
      <c r="VVL1058" s="989"/>
      <c r="VVM1058" s="989"/>
      <c r="VVN1058" s="989"/>
      <c r="VVO1058" s="989"/>
      <c r="VVP1058" s="989"/>
      <c r="VVQ1058" s="989"/>
      <c r="VVR1058" s="989"/>
      <c r="VVS1058" s="989"/>
      <c r="VVT1058" s="989"/>
      <c r="VVU1058" s="989"/>
      <c r="VVV1058" s="989"/>
      <c r="VVW1058" s="989"/>
      <c r="VVX1058" s="989"/>
      <c r="VVY1058" s="989"/>
      <c r="VVZ1058" s="989"/>
      <c r="VWA1058" s="989"/>
      <c r="VWB1058" s="989"/>
      <c r="VWC1058" s="989"/>
      <c r="VWD1058" s="989"/>
      <c r="VWE1058" s="989"/>
      <c r="VWF1058" s="989"/>
      <c r="VWG1058" s="989"/>
      <c r="VWH1058" s="989"/>
      <c r="VWI1058" s="989"/>
      <c r="VWJ1058" s="989"/>
      <c r="VWK1058" s="989"/>
      <c r="VWL1058" s="989"/>
      <c r="VWM1058" s="989"/>
      <c r="VWN1058" s="989"/>
      <c r="VWO1058" s="989"/>
      <c r="VWP1058" s="989"/>
      <c r="VWQ1058" s="989"/>
      <c r="VWR1058" s="989"/>
      <c r="VWS1058" s="989"/>
      <c r="VWT1058" s="989"/>
      <c r="VWU1058" s="989"/>
      <c r="VWV1058" s="989"/>
      <c r="VWW1058" s="989"/>
      <c r="VWX1058" s="989"/>
      <c r="VWY1058" s="989"/>
      <c r="VWZ1058" s="989"/>
      <c r="VXA1058" s="989"/>
      <c r="VXB1058" s="989"/>
      <c r="VXC1058" s="989"/>
      <c r="VXD1058" s="989"/>
      <c r="VXE1058" s="989"/>
      <c r="VXF1058" s="989"/>
      <c r="VXG1058" s="989"/>
      <c r="VXH1058" s="989"/>
      <c r="VXI1058" s="989"/>
      <c r="VXJ1058" s="989"/>
      <c r="VXK1058" s="989"/>
      <c r="VXL1058" s="989"/>
      <c r="VXM1058" s="989"/>
      <c r="VXN1058" s="989"/>
      <c r="VXO1058" s="989"/>
      <c r="VXP1058" s="989"/>
      <c r="VXQ1058" s="989"/>
      <c r="VXR1058" s="989"/>
      <c r="VXS1058" s="989"/>
      <c r="VXT1058" s="989"/>
      <c r="VXU1058" s="989"/>
      <c r="VXV1058" s="989"/>
      <c r="VXW1058" s="989"/>
      <c r="VXX1058" s="989"/>
      <c r="VXY1058" s="989"/>
      <c r="VXZ1058" s="989"/>
      <c r="VYA1058" s="989"/>
      <c r="VYB1058" s="989"/>
      <c r="VYC1058" s="989"/>
      <c r="VYD1058" s="989"/>
      <c r="VYE1058" s="989"/>
      <c r="VYF1058" s="989"/>
      <c r="VYG1058" s="989"/>
      <c r="VYH1058" s="989"/>
      <c r="VYI1058" s="989"/>
      <c r="VYJ1058" s="989"/>
      <c r="VYK1058" s="989"/>
      <c r="VYL1058" s="989"/>
      <c r="VYM1058" s="989"/>
      <c r="VYN1058" s="989"/>
      <c r="VYO1058" s="989"/>
      <c r="VYP1058" s="989"/>
      <c r="VYQ1058" s="989"/>
      <c r="VYR1058" s="989"/>
      <c r="VYS1058" s="989"/>
      <c r="VYT1058" s="989"/>
      <c r="VYU1058" s="989"/>
      <c r="VYV1058" s="989"/>
      <c r="VYW1058" s="989"/>
      <c r="VYX1058" s="989"/>
      <c r="VYY1058" s="989"/>
      <c r="VYZ1058" s="989"/>
      <c r="VZA1058" s="989"/>
      <c r="VZB1058" s="989"/>
      <c r="VZC1058" s="989"/>
      <c r="VZD1058" s="989"/>
      <c r="VZE1058" s="989"/>
      <c r="VZF1058" s="989"/>
      <c r="VZG1058" s="989"/>
      <c r="VZH1058" s="989"/>
      <c r="VZI1058" s="989"/>
      <c r="VZJ1058" s="989"/>
      <c r="VZK1058" s="989"/>
      <c r="VZL1058" s="989"/>
      <c r="VZM1058" s="989"/>
      <c r="VZN1058" s="989"/>
      <c r="VZO1058" s="989"/>
      <c r="VZP1058" s="989"/>
      <c r="VZQ1058" s="989"/>
      <c r="VZR1058" s="989"/>
      <c r="VZS1058" s="989"/>
      <c r="VZT1058" s="989"/>
      <c r="VZU1058" s="989"/>
      <c r="VZV1058" s="989"/>
      <c r="VZW1058" s="989"/>
      <c r="VZX1058" s="989"/>
      <c r="VZY1058" s="989"/>
      <c r="VZZ1058" s="989"/>
      <c r="WAA1058" s="989"/>
      <c r="WAB1058" s="989"/>
      <c r="WAC1058" s="989"/>
      <c r="WAD1058" s="989"/>
      <c r="WAE1058" s="989"/>
      <c r="WAF1058" s="989"/>
      <c r="WAG1058" s="989"/>
      <c r="WAH1058" s="989"/>
      <c r="WAI1058" s="989"/>
      <c r="WAJ1058" s="989"/>
      <c r="WAK1058" s="989"/>
      <c r="WAL1058" s="989"/>
      <c r="WAM1058" s="989"/>
      <c r="WAN1058" s="989"/>
      <c r="WAO1058" s="989"/>
      <c r="WAP1058" s="989"/>
      <c r="WAQ1058" s="989"/>
      <c r="WAR1058" s="989"/>
      <c r="WAS1058" s="989"/>
      <c r="WAT1058" s="989"/>
      <c r="WAU1058" s="989"/>
      <c r="WAV1058" s="989"/>
      <c r="WAW1058" s="989"/>
      <c r="WAX1058" s="989"/>
      <c r="WAY1058" s="989"/>
      <c r="WAZ1058" s="989"/>
      <c r="WBA1058" s="989"/>
      <c r="WBB1058" s="989"/>
      <c r="WBC1058" s="989"/>
      <c r="WBD1058" s="989"/>
      <c r="WBE1058" s="989"/>
      <c r="WBF1058" s="989"/>
      <c r="WBG1058" s="989"/>
      <c r="WBH1058" s="989"/>
      <c r="WBI1058" s="989"/>
      <c r="WBJ1058" s="989"/>
      <c r="WBK1058" s="989"/>
      <c r="WBL1058" s="989"/>
      <c r="WBM1058" s="989"/>
      <c r="WBN1058" s="989"/>
      <c r="WBO1058" s="989"/>
      <c r="WBP1058" s="989"/>
      <c r="WBQ1058" s="989"/>
      <c r="WBR1058" s="989"/>
      <c r="WBS1058" s="989"/>
      <c r="WBT1058" s="989"/>
      <c r="WBU1058" s="989"/>
      <c r="WBV1058" s="989"/>
      <c r="WBW1058" s="989"/>
      <c r="WBX1058" s="989"/>
      <c r="WBY1058" s="989"/>
      <c r="WBZ1058" s="989"/>
      <c r="WCA1058" s="989"/>
      <c r="WCB1058" s="989"/>
      <c r="WCC1058" s="989"/>
      <c r="WCD1058" s="989"/>
      <c r="WCE1058" s="989"/>
      <c r="WCF1058" s="989"/>
      <c r="WCG1058" s="989"/>
      <c r="WCH1058" s="989"/>
      <c r="WCI1058" s="989"/>
      <c r="WCJ1058" s="989"/>
      <c r="WCK1058" s="989"/>
      <c r="WCL1058" s="989"/>
      <c r="WCM1058" s="989"/>
      <c r="WCN1058" s="989"/>
      <c r="WCO1058" s="989"/>
      <c r="WCP1058" s="989"/>
      <c r="WCQ1058" s="989"/>
      <c r="WCR1058" s="989"/>
      <c r="WCS1058" s="989"/>
      <c r="WCT1058" s="989"/>
      <c r="WCU1058" s="989"/>
      <c r="WCV1058" s="989"/>
      <c r="WCW1058" s="989"/>
      <c r="WCX1058" s="989"/>
      <c r="WCY1058" s="989"/>
      <c r="WCZ1058" s="989"/>
      <c r="WDA1058" s="989"/>
      <c r="WDB1058" s="989"/>
      <c r="WDC1058" s="989"/>
      <c r="WDD1058" s="989"/>
      <c r="WDE1058" s="989"/>
      <c r="WDF1058" s="989"/>
      <c r="WDG1058" s="989"/>
      <c r="WDH1058" s="989"/>
      <c r="WDI1058" s="989"/>
      <c r="WDJ1058" s="989"/>
      <c r="WDK1058" s="989"/>
      <c r="WDL1058" s="989"/>
      <c r="WDM1058" s="989"/>
      <c r="WDN1058" s="989"/>
      <c r="WDO1058" s="989"/>
      <c r="WDP1058" s="989"/>
      <c r="WDQ1058" s="989"/>
      <c r="WDR1058" s="989"/>
      <c r="WDS1058" s="989"/>
      <c r="WDT1058" s="989"/>
      <c r="WDU1058" s="989"/>
      <c r="WDV1058" s="989"/>
      <c r="WDW1058" s="989"/>
      <c r="WDX1058" s="989"/>
      <c r="WDY1058" s="989"/>
      <c r="WDZ1058" s="989"/>
      <c r="WEA1058" s="989"/>
      <c r="WEB1058" s="989"/>
      <c r="WEC1058" s="989"/>
      <c r="WED1058" s="989"/>
      <c r="WEE1058" s="989"/>
      <c r="WEF1058" s="989"/>
      <c r="WEG1058" s="989"/>
      <c r="WEH1058" s="989"/>
      <c r="WEI1058" s="989"/>
      <c r="WEJ1058" s="989"/>
      <c r="WEK1058" s="989"/>
      <c r="WEL1058" s="989"/>
      <c r="WEM1058" s="989"/>
      <c r="WEN1058" s="989"/>
      <c r="WEO1058" s="989"/>
      <c r="WEP1058" s="989"/>
      <c r="WEQ1058" s="989"/>
      <c r="WER1058" s="989"/>
      <c r="WES1058" s="989"/>
      <c r="WET1058" s="989"/>
      <c r="WEU1058" s="989"/>
      <c r="WEV1058" s="989"/>
      <c r="WEW1058" s="989"/>
      <c r="WEX1058" s="989"/>
      <c r="WEY1058" s="989"/>
      <c r="WEZ1058" s="989"/>
      <c r="WFA1058" s="989"/>
      <c r="WFB1058" s="989"/>
      <c r="WFC1058" s="989"/>
      <c r="WFD1058" s="989"/>
      <c r="WFE1058" s="989"/>
      <c r="WFF1058" s="989"/>
      <c r="WFG1058" s="989"/>
      <c r="WFH1058" s="989"/>
      <c r="WFI1058" s="989"/>
      <c r="WFJ1058" s="989"/>
      <c r="WFK1058" s="989"/>
      <c r="WFL1058" s="989"/>
      <c r="WFM1058" s="989"/>
      <c r="WFN1058" s="989"/>
      <c r="WFO1058" s="989"/>
      <c r="WFP1058" s="989"/>
      <c r="WFQ1058" s="989"/>
      <c r="WFR1058" s="989"/>
      <c r="WFS1058" s="989"/>
      <c r="WFT1058" s="989"/>
      <c r="WFU1058" s="989"/>
      <c r="WFV1058" s="989"/>
      <c r="WFW1058" s="989"/>
      <c r="WFX1058" s="989"/>
      <c r="WFY1058" s="989"/>
      <c r="WFZ1058" s="989"/>
      <c r="WGA1058" s="989"/>
      <c r="WGB1058" s="989"/>
      <c r="WGC1058" s="989"/>
      <c r="WGD1058" s="989"/>
      <c r="WGE1058" s="989"/>
      <c r="WGF1058" s="989"/>
      <c r="WGG1058" s="989"/>
      <c r="WGH1058" s="989"/>
      <c r="WGI1058" s="989"/>
      <c r="WGJ1058" s="989"/>
      <c r="WGK1058" s="989"/>
      <c r="WGL1058" s="989"/>
      <c r="WGM1058" s="989"/>
      <c r="WGN1058" s="989"/>
      <c r="WGO1058" s="989"/>
      <c r="WGP1058" s="989"/>
      <c r="WGQ1058" s="989"/>
      <c r="WGR1058" s="989"/>
      <c r="WGS1058" s="989"/>
      <c r="WGT1058" s="989"/>
      <c r="WGU1058" s="989"/>
      <c r="WGV1058" s="989"/>
      <c r="WGW1058" s="989"/>
      <c r="WGX1058" s="989"/>
      <c r="WGY1058" s="989"/>
      <c r="WGZ1058" s="989"/>
      <c r="WHA1058" s="989"/>
      <c r="WHB1058" s="989"/>
      <c r="WHC1058" s="989"/>
      <c r="WHD1058" s="989"/>
      <c r="WHE1058" s="989"/>
      <c r="WHF1058" s="989"/>
      <c r="WHG1058" s="989"/>
      <c r="WHH1058" s="989"/>
      <c r="WHI1058" s="989"/>
      <c r="WHJ1058" s="989"/>
      <c r="WHK1058" s="989"/>
      <c r="WHL1058" s="989"/>
      <c r="WHM1058" s="989"/>
      <c r="WHN1058" s="989"/>
      <c r="WHO1058" s="989"/>
      <c r="WHP1058" s="989"/>
      <c r="WHQ1058" s="989"/>
      <c r="WHR1058" s="989"/>
      <c r="WHS1058" s="989"/>
      <c r="WHT1058" s="989"/>
      <c r="WHU1058" s="989"/>
      <c r="WHV1058" s="989"/>
      <c r="WHW1058" s="989"/>
      <c r="WHX1058" s="989"/>
      <c r="WHY1058" s="989"/>
      <c r="WHZ1058" s="989"/>
      <c r="WIA1058" s="989"/>
      <c r="WIB1058" s="989"/>
      <c r="WIC1058" s="989"/>
      <c r="WID1058" s="989"/>
      <c r="WIE1058" s="989"/>
      <c r="WIF1058" s="989"/>
      <c r="WIG1058" s="989"/>
      <c r="WIH1058" s="989"/>
      <c r="WII1058" s="989"/>
      <c r="WIJ1058" s="989"/>
      <c r="WIK1058" s="989"/>
      <c r="WIL1058" s="989"/>
      <c r="WIM1058" s="989"/>
      <c r="WIN1058" s="989"/>
      <c r="WIO1058" s="989"/>
      <c r="WIP1058" s="989"/>
      <c r="WIQ1058" s="989"/>
      <c r="WIR1058" s="989"/>
      <c r="WIS1058" s="989"/>
      <c r="WIT1058" s="989"/>
      <c r="WIU1058" s="989"/>
      <c r="WIV1058" s="989"/>
      <c r="WIW1058" s="989"/>
      <c r="WIX1058" s="989"/>
      <c r="WIY1058" s="989"/>
      <c r="WIZ1058" s="989"/>
      <c r="WJA1058" s="989"/>
      <c r="WJB1058" s="989"/>
      <c r="WJC1058" s="989"/>
      <c r="WJD1058" s="989"/>
      <c r="WJE1058" s="989"/>
      <c r="WJF1058" s="989"/>
      <c r="WJG1058" s="989"/>
      <c r="WJH1058" s="989"/>
      <c r="WJI1058" s="989"/>
      <c r="WJJ1058" s="989"/>
      <c r="WJK1058" s="989"/>
      <c r="WJL1058" s="989"/>
      <c r="WJM1058" s="989"/>
      <c r="WJN1058" s="989"/>
      <c r="WJO1058" s="989"/>
      <c r="WJP1058" s="989"/>
      <c r="WJQ1058" s="989"/>
      <c r="WJR1058" s="989"/>
      <c r="WJS1058" s="989"/>
      <c r="WJT1058" s="989"/>
      <c r="WJU1058" s="989"/>
      <c r="WJV1058" s="989"/>
      <c r="WJW1058" s="989"/>
      <c r="WJX1058" s="989"/>
      <c r="WJY1058" s="989"/>
      <c r="WJZ1058" s="989"/>
      <c r="WKA1058" s="989"/>
      <c r="WKB1058" s="989"/>
      <c r="WKC1058" s="989"/>
      <c r="WKD1058" s="989"/>
      <c r="WKE1058" s="989"/>
      <c r="WKF1058" s="989"/>
      <c r="WKG1058" s="989"/>
      <c r="WKH1058" s="989"/>
      <c r="WKI1058" s="989"/>
      <c r="WKJ1058" s="989"/>
      <c r="WKK1058" s="989"/>
      <c r="WKL1058" s="989"/>
      <c r="WKM1058" s="989"/>
      <c r="WKN1058" s="989"/>
      <c r="WKO1058" s="989"/>
      <c r="WKP1058" s="989"/>
      <c r="WKQ1058" s="989"/>
      <c r="WKR1058" s="989"/>
      <c r="WKS1058" s="989"/>
      <c r="WKT1058" s="989"/>
      <c r="WKU1058" s="989"/>
      <c r="WKV1058" s="989"/>
      <c r="WKW1058" s="989"/>
      <c r="WKX1058" s="989"/>
      <c r="WKY1058" s="989"/>
      <c r="WKZ1058" s="989"/>
      <c r="WLA1058" s="989"/>
      <c r="WLB1058" s="989"/>
      <c r="WLC1058" s="989"/>
      <c r="WLD1058" s="989"/>
      <c r="WLE1058" s="989"/>
      <c r="WLF1058" s="989"/>
      <c r="WLG1058" s="989"/>
      <c r="WLH1058" s="989"/>
      <c r="WLI1058" s="989"/>
      <c r="WLJ1058" s="989"/>
      <c r="WLK1058" s="989"/>
      <c r="WLL1058" s="989"/>
      <c r="WLM1058" s="989"/>
      <c r="WLN1058" s="989"/>
      <c r="WLO1058" s="989"/>
      <c r="WLP1058" s="989"/>
      <c r="WLQ1058" s="989"/>
      <c r="WLR1058" s="989"/>
      <c r="WLS1058" s="989"/>
      <c r="WLT1058" s="989"/>
      <c r="WLU1058" s="989"/>
      <c r="WLV1058" s="989"/>
      <c r="WLW1058" s="989"/>
      <c r="WLX1058" s="989"/>
      <c r="WLY1058" s="989"/>
      <c r="WLZ1058" s="989"/>
      <c r="WMA1058" s="989"/>
      <c r="WMB1058" s="989"/>
      <c r="WMC1058" s="989"/>
      <c r="WMD1058" s="989"/>
      <c r="WME1058" s="989"/>
      <c r="WMF1058" s="989"/>
      <c r="WMG1058" s="989"/>
      <c r="WMH1058" s="989"/>
      <c r="WMI1058" s="989"/>
      <c r="WMJ1058" s="989"/>
      <c r="WMK1058" s="989"/>
      <c r="WML1058" s="989"/>
      <c r="WMM1058" s="989"/>
      <c r="WMN1058" s="989"/>
      <c r="WMO1058" s="989"/>
      <c r="WMP1058" s="989"/>
      <c r="WMQ1058" s="989"/>
      <c r="WMR1058" s="989"/>
      <c r="WMS1058" s="989"/>
      <c r="WMT1058" s="989"/>
      <c r="WMU1058" s="989"/>
      <c r="WMV1058" s="989"/>
      <c r="WMW1058" s="989"/>
      <c r="WMX1058" s="989"/>
      <c r="WMY1058" s="989"/>
      <c r="WMZ1058" s="989"/>
      <c r="WNA1058" s="989"/>
      <c r="WNB1058" s="989"/>
      <c r="WNC1058" s="989"/>
      <c r="WND1058" s="989"/>
      <c r="WNE1058" s="989"/>
      <c r="WNF1058" s="989"/>
      <c r="WNG1058" s="989"/>
      <c r="WNH1058" s="989"/>
      <c r="WNI1058" s="989"/>
      <c r="WNJ1058" s="989"/>
      <c r="WNK1058" s="989"/>
      <c r="WNL1058" s="989"/>
      <c r="WNM1058" s="989"/>
      <c r="WNN1058" s="989"/>
      <c r="WNO1058" s="989"/>
      <c r="WNP1058" s="989"/>
      <c r="WNQ1058" s="989"/>
      <c r="WNR1058" s="989"/>
      <c r="WNS1058" s="989"/>
      <c r="WNT1058" s="989"/>
      <c r="WNU1058" s="989"/>
      <c r="WNV1058" s="989"/>
      <c r="WNW1058" s="989"/>
      <c r="WNX1058" s="989"/>
      <c r="WNY1058" s="989"/>
      <c r="WNZ1058" s="989"/>
      <c r="WOA1058" s="989"/>
      <c r="WOB1058" s="989"/>
      <c r="WOC1058" s="989"/>
      <c r="WOD1058" s="989"/>
      <c r="WOE1058" s="989"/>
      <c r="WOF1058" s="989"/>
      <c r="WOG1058" s="989"/>
      <c r="WOH1058" s="989"/>
      <c r="WOI1058" s="989"/>
      <c r="WOJ1058" s="989"/>
      <c r="WOK1058" s="989"/>
      <c r="WOL1058" s="989"/>
      <c r="WOM1058" s="989"/>
      <c r="WON1058" s="989"/>
      <c r="WOO1058" s="989"/>
      <c r="WOP1058" s="989"/>
      <c r="WOQ1058" s="989"/>
      <c r="WOR1058" s="989"/>
      <c r="WOS1058" s="989"/>
      <c r="WOT1058" s="989"/>
      <c r="WOU1058" s="989"/>
      <c r="WOV1058" s="989"/>
      <c r="WOW1058" s="989"/>
      <c r="WOX1058" s="989"/>
      <c r="WOY1058" s="989"/>
      <c r="WOZ1058" s="989"/>
      <c r="WPA1058" s="989"/>
      <c r="WPB1058" s="989"/>
      <c r="WPC1058" s="989"/>
      <c r="WPD1058" s="989"/>
      <c r="WPE1058" s="989"/>
      <c r="WPF1058" s="989"/>
      <c r="WPG1058" s="989"/>
      <c r="WPH1058" s="989"/>
      <c r="WPI1058" s="989"/>
      <c r="WPJ1058" s="989"/>
      <c r="WPK1058" s="989"/>
      <c r="WPL1058" s="989"/>
      <c r="WPM1058" s="989"/>
      <c r="WPN1058" s="989"/>
      <c r="WPO1058" s="989"/>
      <c r="WPP1058" s="989"/>
      <c r="WPQ1058" s="989"/>
      <c r="WPR1058" s="989"/>
      <c r="WPS1058" s="989"/>
      <c r="WPT1058" s="989"/>
      <c r="WPU1058" s="989"/>
      <c r="WPV1058" s="989"/>
      <c r="WPW1058" s="989"/>
      <c r="WPX1058" s="989"/>
      <c r="WPY1058" s="989"/>
      <c r="WPZ1058" s="989"/>
      <c r="WQA1058" s="989"/>
      <c r="WQB1058" s="989"/>
      <c r="WQC1058" s="989"/>
      <c r="WQD1058" s="989"/>
      <c r="WQE1058" s="989"/>
      <c r="WQF1058" s="989"/>
      <c r="WQG1058" s="989"/>
      <c r="WQH1058" s="989"/>
      <c r="WQI1058" s="989"/>
      <c r="WQJ1058" s="989"/>
      <c r="WQK1058" s="989"/>
      <c r="WQL1058" s="989"/>
      <c r="WQM1058" s="989"/>
      <c r="WQN1058" s="989"/>
      <c r="WQO1058" s="989"/>
      <c r="WQP1058" s="989"/>
      <c r="WQQ1058" s="989"/>
      <c r="WQR1058" s="989"/>
      <c r="WQS1058" s="989"/>
      <c r="WQT1058" s="989"/>
      <c r="WQU1058" s="989"/>
      <c r="WQV1058" s="989"/>
      <c r="WQW1058" s="989"/>
      <c r="WQX1058" s="989"/>
      <c r="WQY1058" s="989"/>
      <c r="WQZ1058" s="989"/>
      <c r="WRA1058" s="989"/>
      <c r="WRB1058" s="989"/>
      <c r="WRC1058" s="989"/>
      <c r="WRD1058" s="989"/>
      <c r="WRE1058" s="989"/>
      <c r="WRF1058" s="989"/>
      <c r="WRG1058" s="989"/>
      <c r="WRH1058" s="989"/>
      <c r="WRI1058" s="989"/>
      <c r="WRJ1058" s="989"/>
      <c r="WRK1058" s="989"/>
      <c r="WRL1058" s="989"/>
      <c r="WRM1058" s="989"/>
      <c r="WRN1058" s="989"/>
      <c r="WRO1058" s="989"/>
      <c r="WRP1058" s="989"/>
      <c r="WRQ1058" s="989"/>
      <c r="WRR1058" s="989"/>
      <c r="WRS1058" s="989"/>
      <c r="WRT1058" s="989"/>
      <c r="WRU1058" s="989"/>
      <c r="WRV1058" s="989"/>
      <c r="WRW1058" s="989"/>
      <c r="WRX1058" s="989"/>
      <c r="WRY1058" s="989"/>
      <c r="WRZ1058" s="989"/>
      <c r="WSA1058" s="989"/>
      <c r="WSB1058" s="989"/>
      <c r="WSC1058" s="989"/>
      <c r="WSD1058" s="989"/>
      <c r="WSE1058" s="989"/>
      <c r="WSF1058" s="989"/>
      <c r="WSG1058" s="989"/>
      <c r="WSH1058" s="989"/>
      <c r="WSI1058" s="989"/>
      <c r="WSJ1058" s="989"/>
      <c r="WSK1058" s="989"/>
      <c r="WSL1058" s="989"/>
      <c r="WSM1058" s="989"/>
      <c r="WSN1058" s="989"/>
      <c r="WSO1058" s="989"/>
      <c r="WSP1058" s="989"/>
      <c r="WSQ1058" s="989"/>
      <c r="WSR1058" s="989"/>
      <c r="WSS1058" s="989"/>
      <c r="WST1058" s="989"/>
      <c r="WSU1058" s="989"/>
      <c r="WSV1058" s="989"/>
      <c r="WSW1058" s="989"/>
      <c r="WSX1058" s="989"/>
      <c r="WSY1058" s="989"/>
      <c r="WSZ1058" s="989"/>
      <c r="WTA1058" s="989"/>
      <c r="WTB1058" s="989"/>
      <c r="WTC1058" s="989"/>
      <c r="WTD1058" s="989"/>
      <c r="WTE1058" s="989"/>
      <c r="WTF1058" s="989"/>
      <c r="WTG1058" s="989"/>
      <c r="WTH1058" s="989"/>
      <c r="WTI1058" s="989"/>
      <c r="WTJ1058" s="989"/>
      <c r="WTK1058" s="989"/>
      <c r="WTL1058" s="989"/>
      <c r="WTM1058" s="989"/>
      <c r="WTN1058" s="989"/>
      <c r="WTO1058" s="989"/>
      <c r="WTP1058" s="989"/>
      <c r="WTQ1058" s="989"/>
      <c r="WTR1058" s="989"/>
      <c r="WTS1058" s="989"/>
      <c r="WTT1058" s="989"/>
      <c r="WTU1058" s="989"/>
      <c r="WTV1058" s="989"/>
      <c r="WTW1058" s="989"/>
      <c r="WTX1058" s="989"/>
      <c r="WTY1058" s="989"/>
      <c r="WTZ1058" s="989"/>
      <c r="WUA1058" s="989"/>
      <c r="WUB1058" s="989"/>
      <c r="WUC1058" s="989"/>
      <c r="WUD1058" s="989"/>
      <c r="WUE1058" s="989"/>
      <c r="WUF1058" s="989"/>
      <c r="WUG1058" s="989"/>
      <c r="WUH1058" s="989"/>
      <c r="WUI1058" s="989"/>
      <c r="WUJ1058" s="989"/>
      <c r="WUK1058" s="989"/>
      <c r="WUL1058" s="989"/>
      <c r="WUM1058" s="989"/>
      <c r="WUN1058" s="989"/>
      <c r="WUO1058" s="989"/>
      <c r="WUP1058" s="989"/>
      <c r="WUQ1058" s="989"/>
      <c r="WUR1058" s="989"/>
      <c r="WUS1058" s="989"/>
      <c r="WUT1058" s="989"/>
      <c r="WUU1058" s="989"/>
      <c r="WUV1058" s="989"/>
      <c r="WUW1058" s="989"/>
      <c r="WUX1058" s="989"/>
      <c r="WUY1058" s="989"/>
      <c r="WUZ1058" s="989"/>
      <c r="WVA1058" s="989"/>
      <c r="WVB1058" s="989"/>
      <c r="WVC1058" s="989"/>
      <c r="WVD1058" s="989"/>
      <c r="WVE1058" s="989"/>
      <c r="WVF1058" s="989"/>
      <c r="WVG1058" s="989"/>
      <c r="WVH1058" s="989"/>
      <c r="WVI1058" s="989"/>
      <c r="WVJ1058" s="989"/>
      <c r="WVK1058" s="989"/>
      <c r="WVL1058" s="989"/>
      <c r="WVM1058" s="989"/>
      <c r="WVN1058" s="989"/>
      <c r="WVO1058" s="989"/>
      <c r="WVP1058" s="989"/>
      <c r="WVQ1058" s="989"/>
      <c r="WVR1058" s="989"/>
      <c r="WVS1058" s="989"/>
      <c r="WVT1058" s="989"/>
      <c r="WVU1058" s="989"/>
      <c r="WVV1058" s="989"/>
      <c r="WVW1058" s="989"/>
      <c r="WVX1058" s="989"/>
      <c r="WVY1058" s="989"/>
      <c r="WVZ1058" s="989"/>
      <c r="WWA1058" s="989"/>
      <c r="WWB1058" s="989"/>
      <c r="WWC1058" s="989"/>
      <c r="WWD1058" s="989"/>
      <c r="WWE1058" s="989"/>
      <c r="WWF1058" s="989"/>
      <c r="WWG1058" s="989"/>
      <c r="WWH1058" s="989"/>
      <c r="WWI1058" s="989"/>
      <c r="WWJ1058" s="989"/>
      <c r="WWK1058" s="989"/>
      <c r="WWL1058" s="989"/>
      <c r="WWM1058" s="989"/>
      <c r="WWN1058" s="989"/>
      <c r="WWO1058" s="989"/>
      <c r="WWP1058" s="989"/>
      <c r="WWQ1058" s="989"/>
      <c r="WWR1058" s="989"/>
      <c r="WWS1058" s="989"/>
      <c r="WWT1058" s="989"/>
      <c r="WWU1058" s="989"/>
      <c r="WWV1058" s="989"/>
      <c r="WWW1058" s="989"/>
      <c r="WWX1058" s="989"/>
      <c r="WWY1058" s="989"/>
      <c r="WWZ1058" s="989"/>
      <c r="WXA1058" s="989"/>
      <c r="WXB1058" s="989"/>
      <c r="WXC1058" s="989"/>
      <c r="WXD1058" s="989"/>
      <c r="WXE1058" s="989"/>
      <c r="WXF1058" s="989"/>
      <c r="WXG1058" s="989"/>
      <c r="WXH1058" s="989"/>
      <c r="WXI1058" s="989"/>
      <c r="WXJ1058" s="989"/>
      <c r="WXK1058" s="989"/>
      <c r="WXL1058" s="989"/>
      <c r="WXM1058" s="989"/>
      <c r="WXN1058" s="989"/>
      <c r="WXO1058" s="989"/>
      <c r="WXP1058" s="989"/>
      <c r="WXQ1058" s="989"/>
      <c r="WXR1058" s="989"/>
      <c r="WXS1058" s="989"/>
      <c r="WXT1058" s="989"/>
      <c r="WXU1058" s="989"/>
      <c r="WXV1058" s="989"/>
      <c r="WXW1058" s="989"/>
      <c r="WXX1058" s="989"/>
      <c r="WXY1058" s="989"/>
      <c r="WXZ1058" s="989"/>
      <c r="WYA1058" s="989"/>
      <c r="WYB1058" s="989"/>
      <c r="WYC1058" s="989"/>
      <c r="WYD1058" s="989"/>
      <c r="WYE1058" s="989"/>
      <c r="WYF1058" s="989"/>
      <c r="WYG1058" s="989"/>
      <c r="WYH1058" s="989"/>
      <c r="WYI1058" s="989"/>
      <c r="WYJ1058" s="989"/>
      <c r="WYK1058" s="989"/>
      <c r="WYL1058" s="989"/>
      <c r="WYM1058" s="989"/>
      <c r="WYN1058" s="989"/>
      <c r="WYO1058" s="989"/>
      <c r="WYP1058" s="989"/>
      <c r="WYQ1058" s="989"/>
      <c r="WYR1058" s="989"/>
      <c r="WYS1058" s="989"/>
      <c r="WYT1058" s="989"/>
      <c r="WYU1058" s="989"/>
      <c r="WYV1058" s="989"/>
      <c r="WYW1058" s="989"/>
      <c r="WYX1058" s="989"/>
      <c r="WYY1058" s="989"/>
      <c r="WYZ1058" s="989"/>
      <c r="WZA1058" s="989"/>
      <c r="WZB1058" s="989"/>
      <c r="WZC1058" s="989"/>
      <c r="WZD1058" s="989"/>
      <c r="WZE1058" s="989"/>
      <c r="WZF1058" s="989"/>
      <c r="WZG1058" s="989"/>
      <c r="WZH1058" s="989"/>
      <c r="WZI1058" s="989"/>
      <c r="WZJ1058" s="989"/>
      <c r="WZK1058" s="989"/>
      <c r="WZL1058" s="989"/>
      <c r="WZM1058" s="989"/>
      <c r="WZN1058" s="989"/>
      <c r="WZO1058" s="989"/>
      <c r="WZP1058" s="989"/>
      <c r="WZQ1058" s="989"/>
      <c r="WZR1058" s="989"/>
      <c r="WZS1058" s="989"/>
      <c r="WZT1058" s="989"/>
      <c r="WZU1058" s="989"/>
      <c r="WZV1058" s="989"/>
      <c r="WZW1058" s="989"/>
      <c r="WZX1058" s="989"/>
      <c r="WZY1058" s="989"/>
      <c r="WZZ1058" s="989"/>
      <c r="XAA1058" s="989"/>
      <c r="XAB1058" s="989"/>
      <c r="XAC1058" s="989"/>
      <c r="XAD1058" s="989"/>
      <c r="XAE1058" s="989"/>
      <c r="XAF1058" s="989"/>
      <c r="XAG1058" s="989"/>
      <c r="XAH1058" s="989"/>
      <c r="XAI1058" s="989"/>
      <c r="XAJ1058" s="989"/>
      <c r="XAK1058" s="989"/>
      <c r="XAL1058" s="989"/>
      <c r="XAM1058" s="989"/>
      <c r="XAN1058" s="989"/>
      <c r="XAO1058" s="989"/>
      <c r="XAP1058" s="989"/>
      <c r="XAQ1058" s="989"/>
      <c r="XAR1058" s="989"/>
      <c r="XAS1058" s="989"/>
      <c r="XAT1058" s="989"/>
      <c r="XAU1058" s="989"/>
      <c r="XAV1058" s="989"/>
      <c r="XAW1058" s="989"/>
      <c r="XAX1058" s="989"/>
      <c r="XAY1058" s="989"/>
      <c r="XAZ1058" s="989"/>
      <c r="XBA1058" s="989"/>
      <c r="XBB1058" s="989"/>
      <c r="XBC1058" s="989"/>
      <c r="XBD1058" s="989"/>
      <c r="XBE1058" s="989"/>
      <c r="XBF1058" s="989"/>
      <c r="XBG1058" s="989"/>
      <c r="XBH1058" s="989"/>
      <c r="XBI1058" s="989"/>
      <c r="XBJ1058" s="989"/>
      <c r="XBK1058" s="989"/>
      <c r="XBL1058" s="989"/>
      <c r="XBM1058" s="989"/>
      <c r="XBN1058" s="989"/>
      <c r="XBO1058" s="989"/>
      <c r="XBP1058" s="989"/>
      <c r="XBQ1058" s="989"/>
      <c r="XBR1058" s="989"/>
      <c r="XBS1058" s="989"/>
      <c r="XBT1058" s="989"/>
      <c r="XBU1058" s="989"/>
      <c r="XBV1058" s="989"/>
      <c r="XBW1058" s="989"/>
      <c r="XBX1058" s="989"/>
      <c r="XBY1058" s="989"/>
      <c r="XBZ1058" s="989"/>
      <c r="XCA1058" s="989"/>
      <c r="XCB1058" s="989"/>
      <c r="XCC1058" s="989"/>
      <c r="XCD1058" s="989"/>
      <c r="XCE1058" s="989"/>
      <c r="XCF1058" s="989"/>
      <c r="XCG1058" s="989"/>
      <c r="XCH1058" s="989"/>
      <c r="XCI1058" s="989"/>
      <c r="XCJ1058" s="989"/>
      <c r="XCK1058" s="989"/>
      <c r="XCL1058" s="989"/>
      <c r="XCM1058" s="989"/>
      <c r="XCN1058" s="989"/>
      <c r="XCO1058" s="989"/>
      <c r="XCP1058" s="989"/>
      <c r="XCQ1058" s="989"/>
      <c r="XCR1058" s="989"/>
      <c r="XCS1058" s="989"/>
      <c r="XCT1058" s="989"/>
      <c r="XCU1058" s="989"/>
      <c r="XCV1058" s="989"/>
      <c r="XCW1058" s="989"/>
      <c r="XCX1058" s="989"/>
      <c r="XCY1058" s="989"/>
      <c r="XCZ1058" s="989"/>
      <c r="XDA1058" s="989"/>
      <c r="XDB1058" s="989"/>
      <c r="XDC1058" s="989"/>
      <c r="XDD1058" s="989"/>
      <c r="XDE1058" s="989"/>
      <c r="XDF1058" s="989"/>
      <c r="XDG1058" s="989"/>
      <c r="XDH1058" s="989"/>
      <c r="XDI1058" s="989"/>
      <c r="XDJ1058" s="989"/>
      <c r="XDK1058" s="989"/>
      <c r="XDL1058" s="989"/>
      <c r="XDM1058" s="989"/>
      <c r="XDN1058" s="989"/>
      <c r="XDO1058" s="989"/>
      <c r="XDP1058" s="989"/>
      <c r="XDQ1058" s="989"/>
      <c r="XDR1058" s="989"/>
      <c r="XDS1058" s="989"/>
      <c r="XDT1058" s="989"/>
      <c r="XDU1058" s="989"/>
      <c r="XDV1058" s="989"/>
      <c r="XDW1058" s="989"/>
      <c r="XDX1058" s="989"/>
      <c r="XDY1058" s="989"/>
      <c r="XDZ1058" s="989"/>
      <c r="XEA1058" s="989"/>
      <c r="XEB1058" s="989"/>
      <c r="XEC1058" s="989"/>
      <c r="XED1058" s="989"/>
      <c r="XEE1058" s="989"/>
      <c r="XEF1058" s="989"/>
      <c r="XEG1058" s="989"/>
      <c r="XEH1058" s="989"/>
      <c r="XEI1058" s="989"/>
      <c r="XEJ1058" s="989"/>
      <c r="XEK1058" s="989"/>
      <c r="XEL1058" s="42"/>
      <c r="XEM1058" s="42"/>
      <c r="XEN1058" s="42"/>
      <c r="XEO1058" s="42"/>
      <c r="XEP1058" s="42"/>
      <c r="XEQ1058" s="42"/>
      <c r="XER1058" s="42"/>
      <c r="XES1058" s="2431"/>
      <c r="XET1058" s="2431"/>
      <c r="XEU1058" s="2431"/>
      <c r="XEV1058" s="2431"/>
      <c r="XEW1058" s="2431"/>
      <c r="XEX1058" s="2431"/>
      <c r="XEY1058" s="2431"/>
      <c r="XEZ1058" s="2431"/>
      <c r="XFA1058" s="2431"/>
      <c r="XFB1058" s="2431"/>
      <c r="XFC1058" s="2431"/>
    </row>
    <row r="1059" ht="25" customHeight="1" spans="1:1024 1025:16384">
      <c r="A1059" s="989"/>
      <c r="B1059" s="990"/>
      <c r="D1059" s="2445">
        <v>1</v>
      </c>
      <c r="E1059" s="2445" t="s">
        <v>3316</v>
      </c>
      <c r="F1059" s="2440"/>
      <c r="G1059" s="2441"/>
      <c r="H1059" s="2441"/>
      <c r="I1059" s="1658"/>
      <c r="J1059" s="1658"/>
      <c r="K1059" s="2446" t="s">
        <v>3317</v>
      </c>
      <c r="L1059" s="2447">
        <v>1</v>
      </c>
      <c r="M1059" s="2448">
        <f>36.95+1.71</f>
        <v>38.66</v>
      </c>
      <c r="N1059" s="2448">
        <f>53+2.4</f>
        <v>55.4</v>
      </c>
      <c r="O1059" s="2448">
        <f>N1059-M1059</f>
        <v>16.74</v>
      </c>
      <c r="P1059" s="2449">
        <f>O1059/M1059</f>
        <v>0.433005690636316</v>
      </c>
      <c r="Q1059" s="2450"/>
      <c r="R1059" s="989"/>
      <c r="S1059" s="989"/>
      <c r="T1059" s="42"/>
      <c r="U1059" s="42"/>
      <c r="V1059" s="42"/>
      <c r="W1059" s="2163"/>
      <c r="X1059" s="42"/>
      <c r="Y1059" s="989"/>
      <c r="Z1059" s="42"/>
      <c r="AA1059" s="42"/>
      <c r="AB1059" s="2163"/>
      <c r="AC1059" s="989"/>
      <c r="AD1059" s="989"/>
      <c r="AE1059" s="989"/>
      <c r="AF1059" s="989"/>
      <c r="AG1059" s="989"/>
      <c r="AH1059" s="989"/>
      <c r="AI1059" s="989"/>
      <c r="AJ1059" s="989"/>
      <c r="AK1059" s="989"/>
      <c r="AL1059" s="989"/>
      <c r="AM1059" s="989"/>
      <c r="AN1059" s="989"/>
      <c r="AO1059" s="989"/>
      <c r="AP1059" s="989"/>
      <c r="AQ1059" s="989"/>
      <c r="AR1059" s="989"/>
      <c r="AS1059" s="989"/>
      <c r="AT1059" s="989"/>
      <c r="AU1059" s="989"/>
      <c r="AV1059" s="989"/>
      <c r="AW1059" s="989"/>
      <c r="AX1059" s="989"/>
      <c r="AY1059" s="989"/>
      <c r="AZ1059" s="989"/>
      <c r="BA1059" s="989"/>
      <c r="BB1059" s="989"/>
      <c r="BC1059" s="989"/>
      <c r="BD1059" s="989"/>
      <c r="BE1059" s="989"/>
      <c r="BF1059" s="989"/>
      <c r="BG1059" s="989"/>
      <c r="BH1059" s="989"/>
      <c r="BI1059" s="989"/>
      <c r="BJ1059" s="989"/>
      <c r="BK1059" s="989"/>
      <c r="BL1059" s="989"/>
      <c r="BM1059" s="989"/>
      <c r="BN1059" s="989"/>
      <c r="BO1059" s="989"/>
      <c r="BP1059" s="989"/>
      <c r="BQ1059" s="989"/>
      <c r="BR1059" s="989"/>
      <c r="BS1059" s="989"/>
      <c r="BT1059" s="989"/>
      <c r="BU1059" s="989"/>
      <c r="BV1059" s="989"/>
      <c r="BW1059" s="989"/>
      <c r="BX1059" s="989"/>
      <c r="BY1059" s="989"/>
      <c r="BZ1059" s="989"/>
      <c r="CA1059" s="989"/>
      <c r="CB1059" s="989"/>
      <c r="CC1059" s="989"/>
      <c r="CD1059" s="989"/>
      <c r="CE1059" s="989"/>
      <c r="CF1059" s="989"/>
      <c r="CG1059" s="989"/>
      <c r="CH1059" s="989"/>
      <c r="CI1059" s="989"/>
      <c r="CJ1059" s="989"/>
      <c r="CK1059" s="989"/>
      <c r="CL1059" s="989"/>
      <c r="CM1059" s="989"/>
      <c r="CN1059" s="989"/>
      <c r="CO1059" s="989"/>
      <c r="CP1059" s="989"/>
      <c r="CQ1059" s="989"/>
      <c r="CR1059" s="989"/>
      <c r="CS1059" s="989"/>
      <c r="CT1059" s="989"/>
      <c r="CU1059" s="989"/>
      <c r="CV1059" s="989"/>
      <c r="CW1059" s="989"/>
      <c r="CX1059" s="989"/>
      <c r="CY1059" s="989"/>
      <c r="CZ1059" s="989"/>
      <c r="DA1059" s="989"/>
      <c r="DB1059" s="989"/>
      <c r="DC1059" s="989"/>
      <c r="DD1059" s="989"/>
      <c r="DE1059" s="989"/>
      <c r="DF1059" s="989"/>
      <c r="DG1059" s="989"/>
      <c r="DH1059" s="989"/>
      <c r="DI1059" s="989"/>
      <c r="DJ1059" s="989"/>
      <c r="DK1059" s="989"/>
      <c r="DL1059" s="989"/>
      <c r="DM1059" s="989"/>
      <c r="DN1059" s="989"/>
      <c r="DO1059" s="989"/>
      <c r="DP1059" s="989"/>
      <c r="DQ1059" s="989"/>
      <c r="DR1059" s="989"/>
      <c r="DS1059" s="989"/>
      <c r="DT1059" s="989"/>
      <c r="DU1059" s="989"/>
      <c r="DV1059" s="989"/>
      <c r="DW1059" s="989"/>
      <c r="DX1059" s="989"/>
      <c r="DY1059" s="989"/>
      <c r="DZ1059" s="989"/>
      <c r="EA1059" s="989"/>
      <c r="EB1059" s="989"/>
      <c r="EC1059" s="989"/>
      <c r="ED1059" s="989"/>
      <c r="EE1059" s="989"/>
      <c r="EF1059" s="989"/>
      <c r="EG1059" s="989"/>
      <c r="EH1059" s="989"/>
      <c r="EI1059" s="989"/>
      <c r="EJ1059" s="989"/>
      <c r="EK1059" s="989"/>
      <c r="EL1059" s="989"/>
      <c r="EM1059" s="989"/>
      <c r="EN1059" s="989"/>
      <c r="EO1059" s="989"/>
      <c r="EP1059" s="989"/>
      <c r="EQ1059" s="989"/>
      <c r="ER1059" s="989"/>
      <c r="ES1059" s="989"/>
      <c r="ET1059" s="989"/>
      <c r="EU1059" s="989"/>
      <c r="EV1059" s="989"/>
      <c r="EW1059" s="989"/>
      <c r="EX1059" s="989"/>
      <c r="EY1059" s="989"/>
      <c r="EZ1059" s="989"/>
      <c r="FA1059" s="989"/>
      <c r="FB1059" s="989"/>
      <c r="FC1059" s="989"/>
      <c r="FD1059" s="989"/>
      <c r="FE1059" s="989"/>
      <c r="FF1059" s="989"/>
      <c r="FG1059" s="989"/>
      <c r="FH1059" s="989"/>
      <c r="FI1059" s="989"/>
      <c r="FJ1059" s="989"/>
      <c r="FK1059" s="989"/>
      <c r="FL1059" s="989"/>
      <c r="FM1059" s="989"/>
      <c r="FN1059" s="989"/>
      <c r="FO1059" s="989"/>
      <c r="FP1059" s="989"/>
      <c r="FQ1059" s="989"/>
      <c r="FR1059" s="989"/>
      <c r="FS1059" s="989"/>
      <c r="FT1059" s="989"/>
      <c r="FU1059" s="989"/>
      <c r="FV1059" s="989"/>
      <c r="FW1059" s="989"/>
      <c r="FX1059" s="989"/>
      <c r="FY1059" s="989"/>
      <c r="FZ1059" s="989"/>
      <c r="GA1059" s="989"/>
      <c r="GB1059" s="989"/>
      <c r="GC1059" s="989"/>
      <c r="GD1059" s="989"/>
      <c r="GE1059" s="989"/>
      <c r="GF1059" s="989"/>
      <c r="GG1059" s="989"/>
      <c r="GH1059" s="989"/>
      <c r="GI1059" s="989"/>
      <c r="GJ1059" s="989"/>
      <c r="GK1059" s="989"/>
      <c r="GL1059" s="989"/>
      <c r="GM1059" s="989"/>
      <c r="GN1059" s="989"/>
      <c r="GO1059" s="989"/>
      <c r="GP1059" s="989"/>
      <c r="GQ1059" s="989"/>
      <c r="GR1059" s="989"/>
      <c r="GS1059" s="989"/>
      <c r="GT1059" s="989"/>
      <c r="GU1059" s="989"/>
      <c r="GV1059" s="989"/>
      <c r="GW1059" s="989"/>
      <c r="GX1059" s="989"/>
      <c r="GY1059" s="989"/>
      <c r="GZ1059" s="989"/>
      <c r="HA1059" s="989"/>
      <c r="HB1059" s="989"/>
      <c r="HC1059" s="989"/>
      <c r="HD1059" s="989"/>
      <c r="HE1059" s="989"/>
      <c r="HF1059" s="989"/>
      <c r="HG1059" s="989"/>
      <c r="HH1059" s="989"/>
      <c r="HI1059" s="989"/>
      <c r="HJ1059" s="989"/>
      <c r="HK1059" s="989"/>
      <c r="HL1059" s="989"/>
      <c r="HM1059" s="989"/>
      <c r="HN1059" s="989"/>
      <c r="HO1059" s="989"/>
      <c r="HP1059" s="989"/>
      <c r="HQ1059" s="989"/>
      <c r="HR1059" s="989"/>
      <c r="HS1059" s="989"/>
      <c r="HT1059" s="989"/>
      <c r="HU1059" s="989"/>
      <c r="HV1059" s="989"/>
      <c r="HW1059" s="989"/>
      <c r="HX1059" s="989"/>
      <c r="HY1059" s="989"/>
      <c r="HZ1059" s="989"/>
      <c r="IA1059" s="989"/>
      <c r="IB1059" s="989"/>
      <c r="IC1059" s="989"/>
      <c r="ID1059" s="989"/>
      <c r="IE1059" s="989"/>
      <c r="IF1059" s="989"/>
      <c r="IG1059" s="989"/>
      <c r="IH1059" s="989"/>
      <c r="II1059" s="989"/>
      <c r="IJ1059" s="989"/>
      <c r="IK1059" s="989"/>
      <c r="IL1059" s="989"/>
      <c r="IM1059" s="989"/>
      <c r="IN1059" s="989"/>
      <c r="IO1059" s="989"/>
      <c r="IP1059" s="989"/>
      <c r="IQ1059" s="989"/>
      <c r="IR1059" s="989"/>
      <c r="IS1059" s="989"/>
      <c r="IT1059" s="989"/>
      <c r="IU1059" s="989"/>
      <c r="IV1059" s="989"/>
      <c r="IW1059" s="989"/>
      <c r="IX1059" s="989"/>
      <c r="IY1059" s="989"/>
      <c r="IZ1059" s="989"/>
      <c r="JA1059" s="989"/>
      <c r="JB1059" s="989"/>
      <c r="JC1059" s="989"/>
      <c r="JD1059" s="989"/>
      <c r="JE1059" s="989"/>
      <c r="JF1059" s="989"/>
      <c r="JG1059" s="989"/>
      <c r="JH1059" s="989"/>
      <c r="JI1059" s="989"/>
      <c r="JJ1059" s="989"/>
      <c r="JK1059" s="989"/>
      <c r="JL1059" s="989"/>
      <c r="JM1059" s="989"/>
      <c r="JN1059" s="989"/>
      <c r="JO1059" s="989"/>
      <c r="JP1059" s="989"/>
      <c r="JQ1059" s="989"/>
      <c r="JR1059" s="989"/>
      <c r="JS1059" s="989"/>
      <c r="JT1059" s="989"/>
      <c r="JU1059" s="989"/>
      <c r="JV1059" s="989"/>
      <c r="JW1059" s="989"/>
      <c r="JX1059" s="989"/>
      <c r="JY1059" s="989"/>
      <c r="JZ1059" s="989"/>
      <c r="KA1059" s="989"/>
      <c r="KB1059" s="989"/>
      <c r="KC1059" s="989"/>
      <c r="KD1059" s="989"/>
      <c r="KE1059" s="989"/>
      <c r="KF1059" s="989"/>
      <c r="KG1059" s="989"/>
      <c r="KH1059" s="989"/>
      <c r="KI1059" s="989"/>
      <c r="KJ1059" s="989"/>
      <c r="KK1059" s="989"/>
      <c r="KL1059" s="989"/>
      <c r="KM1059" s="989"/>
      <c r="KN1059" s="989"/>
      <c r="KO1059" s="989"/>
      <c r="KP1059" s="989"/>
      <c r="KQ1059" s="989"/>
      <c r="KR1059" s="989"/>
      <c r="KS1059" s="989"/>
      <c r="KT1059" s="989"/>
      <c r="KU1059" s="989"/>
      <c r="KV1059" s="989"/>
      <c r="KW1059" s="989"/>
      <c r="KX1059" s="989"/>
      <c r="KY1059" s="989"/>
      <c r="KZ1059" s="989"/>
      <c r="LA1059" s="989"/>
      <c r="LB1059" s="989"/>
      <c r="LC1059" s="989"/>
      <c r="LD1059" s="989"/>
      <c r="LE1059" s="989"/>
      <c r="LF1059" s="989"/>
      <c r="LG1059" s="989"/>
      <c r="LH1059" s="989"/>
      <c r="LI1059" s="989"/>
      <c r="LJ1059" s="989"/>
      <c r="LK1059" s="989"/>
      <c r="LL1059" s="989"/>
      <c r="LM1059" s="989"/>
      <c r="LN1059" s="989"/>
      <c r="LO1059" s="989"/>
      <c r="LP1059" s="989"/>
      <c r="LQ1059" s="989"/>
      <c r="LR1059" s="989"/>
      <c r="LS1059" s="989"/>
      <c r="LT1059" s="989"/>
      <c r="LU1059" s="989"/>
      <c r="LV1059" s="989"/>
      <c r="LW1059" s="989"/>
      <c r="LX1059" s="989"/>
      <c r="LY1059" s="989"/>
      <c r="LZ1059" s="989"/>
      <c r="MA1059" s="989"/>
      <c r="MB1059" s="989"/>
      <c r="MC1059" s="989"/>
      <c r="MD1059" s="989"/>
      <c r="ME1059" s="989"/>
      <c r="MF1059" s="989"/>
      <c r="MG1059" s="989"/>
      <c r="MH1059" s="989"/>
      <c r="MI1059" s="989"/>
      <c r="MJ1059" s="989"/>
      <c r="MK1059" s="989"/>
      <c r="ML1059" s="989"/>
      <c r="MM1059" s="989"/>
      <c r="MN1059" s="989"/>
      <c r="MO1059" s="989"/>
      <c r="MP1059" s="989"/>
      <c r="MQ1059" s="989"/>
      <c r="MR1059" s="989"/>
      <c r="MS1059" s="989"/>
      <c r="MT1059" s="989"/>
      <c r="MU1059" s="989"/>
      <c r="MV1059" s="989"/>
      <c r="MW1059" s="989"/>
      <c r="MX1059" s="989"/>
      <c r="MY1059" s="989"/>
      <c r="MZ1059" s="989"/>
      <c r="NA1059" s="989"/>
      <c r="NB1059" s="989"/>
      <c r="NC1059" s="989"/>
      <c r="ND1059" s="989"/>
      <c r="NE1059" s="989"/>
      <c r="NF1059" s="989"/>
      <c r="NG1059" s="989"/>
      <c r="NH1059" s="989"/>
      <c r="NI1059" s="989"/>
      <c r="NJ1059" s="989"/>
      <c r="NK1059" s="989"/>
      <c r="NL1059" s="989"/>
      <c r="NM1059" s="989"/>
      <c r="NN1059" s="989"/>
      <c r="NO1059" s="989"/>
      <c r="NP1059" s="989"/>
      <c r="NQ1059" s="989"/>
      <c r="NR1059" s="989"/>
      <c r="NS1059" s="989"/>
      <c r="NT1059" s="989"/>
      <c r="NU1059" s="989"/>
      <c r="NV1059" s="989"/>
      <c r="NW1059" s="989"/>
      <c r="NX1059" s="989"/>
      <c r="NY1059" s="989"/>
      <c r="NZ1059" s="989"/>
      <c r="OA1059" s="989"/>
      <c r="OB1059" s="989"/>
      <c r="OC1059" s="989"/>
      <c r="OD1059" s="989"/>
      <c r="OE1059" s="989"/>
      <c r="OF1059" s="989"/>
      <c r="OG1059" s="989"/>
      <c r="OH1059" s="989"/>
      <c r="OI1059" s="989"/>
      <c r="OJ1059" s="989"/>
      <c r="OK1059" s="989"/>
      <c r="OL1059" s="989"/>
      <c r="OM1059" s="989"/>
      <c r="ON1059" s="989"/>
      <c r="OO1059" s="989"/>
      <c r="OP1059" s="989"/>
      <c r="OQ1059" s="989"/>
      <c r="OR1059" s="989"/>
      <c r="OS1059" s="989"/>
      <c r="OT1059" s="989"/>
      <c r="OU1059" s="989"/>
      <c r="OV1059" s="989"/>
      <c r="OW1059" s="989"/>
      <c r="OX1059" s="989"/>
      <c r="OY1059" s="989"/>
      <c r="OZ1059" s="989"/>
      <c r="PA1059" s="989"/>
      <c r="PB1059" s="989"/>
      <c r="PC1059" s="989"/>
      <c r="PD1059" s="989"/>
      <c r="PE1059" s="989"/>
      <c r="PF1059" s="989"/>
      <c r="PG1059" s="989"/>
      <c r="PH1059" s="989"/>
      <c r="PI1059" s="989"/>
      <c r="PJ1059" s="989"/>
      <c r="PK1059" s="989"/>
      <c r="PL1059" s="989"/>
      <c r="PM1059" s="989"/>
      <c r="PN1059" s="989"/>
      <c r="PO1059" s="989"/>
      <c r="PP1059" s="989"/>
      <c r="PQ1059" s="989"/>
      <c r="PR1059" s="989"/>
      <c r="PS1059" s="989"/>
      <c r="PT1059" s="989"/>
      <c r="PU1059" s="989"/>
      <c r="PV1059" s="989"/>
      <c r="PW1059" s="989"/>
      <c r="PX1059" s="989"/>
      <c r="PY1059" s="989"/>
      <c r="PZ1059" s="989"/>
      <c r="QA1059" s="989"/>
      <c r="QB1059" s="989"/>
      <c r="QC1059" s="989"/>
      <c r="QD1059" s="989"/>
      <c r="QE1059" s="989"/>
      <c r="QF1059" s="989"/>
      <c r="QG1059" s="989"/>
      <c r="QH1059" s="989"/>
      <c r="QI1059" s="989"/>
      <c r="QJ1059" s="989"/>
      <c r="QK1059" s="989"/>
      <c r="QL1059" s="989"/>
      <c r="QM1059" s="989"/>
      <c r="QN1059" s="989"/>
      <c r="QO1059" s="989"/>
      <c r="QP1059" s="989"/>
      <c r="QQ1059" s="989"/>
      <c r="QR1059" s="989"/>
      <c r="QS1059" s="989"/>
      <c r="QT1059" s="989"/>
      <c r="QU1059" s="989"/>
      <c r="QV1059" s="989"/>
      <c r="QW1059" s="989"/>
      <c r="QX1059" s="989"/>
      <c r="QY1059" s="989"/>
      <c r="QZ1059" s="989"/>
      <c r="RA1059" s="989"/>
      <c r="RB1059" s="989"/>
      <c r="RC1059" s="989"/>
      <c r="RD1059" s="989"/>
      <c r="RE1059" s="989"/>
      <c r="RF1059" s="989"/>
      <c r="RG1059" s="989"/>
      <c r="RH1059" s="989"/>
      <c r="RI1059" s="989"/>
      <c r="RJ1059" s="989"/>
      <c r="RK1059" s="989"/>
      <c r="RL1059" s="989"/>
      <c r="RM1059" s="989"/>
      <c r="RN1059" s="989"/>
      <c r="RO1059" s="989"/>
      <c r="RP1059" s="989"/>
      <c r="RQ1059" s="989"/>
      <c r="RR1059" s="989"/>
      <c r="RS1059" s="989"/>
      <c r="RT1059" s="989"/>
      <c r="RU1059" s="989"/>
      <c r="RV1059" s="989"/>
      <c r="RW1059" s="989"/>
      <c r="RX1059" s="989"/>
      <c r="RY1059" s="989"/>
      <c r="RZ1059" s="989"/>
      <c r="SA1059" s="989"/>
      <c r="SB1059" s="989"/>
      <c r="SC1059" s="989"/>
      <c r="SD1059" s="989"/>
      <c r="SE1059" s="989"/>
      <c r="SF1059" s="989"/>
      <c r="SG1059" s="989"/>
      <c r="SH1059" s="989"/>
      <c r="SI1059" s="989"/>
      <c r="SJ1059" s="989"/>
      <c r="SK1059" s="989"/>
      <c r="SL1059" s="989"/>
      <c r="SM1059" s="989"/>
      <c r="SN1059" s="989"/>
      <c r="SO1059" s="989"/>
      <c r="SP1059" s="989"/>
      <c r="SQ1059" s="989"/>
      <c r="SR1059" s="989"/>
      <c r="SS1059" s="989"/>
      <c r="ST1059" s="989"/>
      <c r="SU1059" s="989"/>
      <c r="SV1059" s="989"/>
      <c r="SW1059" s="989"/>
      <c r="SX1059" s="989"/>
      <c r="SY1059" s="989"/>
      <c r="SZ1059" s="989"/>
      <c r="TA1059" s="989"/>
      <c r="TB1059" s="989"/>
      <c r="TC1059" s="989"/>
      <c r="TD1059" s="989"/>
      <c r="TE1059" s="989"/>
      <c r="TF1059" s="989"/>
      <c r="TG1059" s="989"/>
      <c r="TH1059" s="989"/>
      <c r="TI1059" s="989"/>
      <c r="TJ1059" s="989"/>
      <c r="TK1059" s="989"/>
      <c r="TL1059" s="989"/>
      <c r="TM1059" s="989"/>
      <c r="TN1059" s="989"/>
      <c r="TO1059" s="989"/>
      <c r="TP1059" s="989"/>
      <c r="TQ1059" s="989"/>
      <c r="TR1059" s="989"/>
      <c r="TS1059" s="989"/>
      <c r="TT1059" s="989"/>
      <c r="TU1059" s="989"/>
      <c r="TV1059" s="989"/>
      <c r="TW1059" s="989"/>
      <c r="TX1059" s="989"/>
      <c r="TY1059" s="989"/>
      <c r="TZ1059" s="989"/>
      <c r="UA1059" s="989"/>
      <c r="UB1059" s="989"/>
      <c r="UC1059" s="989"/>
      <c r="UD1059" s="989"/>
      <c r="UE1059" s="989"/>
      <c r="UF1059" s="989"/>
      <c r="UG1059" s="989"/>
      <c r="UH1059" s="989"/>
      <c r="UI1059" s="989"/>
      <c r="UJ1059" s="989"/>
      <c r="UK1059" s="989"/>
      <c r="UL1059" s="989"/>
      <c r="UM1059" s="989"/>
      <c r="UN1059" s="989"/>
      <c r="UO1059" s="989"/>
      <c r="UP1059" s="989"/>
      <c r="UQ1059" s="989"/>
      <c r="UR1059" s="989"/>
      <c r="US1059" s="989"/>
      <c r="UT1059" s="989"/>
      <c r="UU1059" s="989"/>
      <c r="UV1059" s="989"/>
      <c r="UW1059" s="989"/>
      <c r="UX1059" s="989"/>
      <c r="UY1059" s="989"/>
      <c r="UZ1059" s="989"/>
      <c r="VA1059" s="989"/>
      <c r="VB1059" s="989"/>
      <c r="VC1059" s="989"/>
      <c r="VD1059" s="989"/>
      <c r="VE1059" s="989"/>
      <c r="VF1059" s="989"/>
      <c r="VG1059" s="989"/>
      <c r="VH1059" s="989"/>
      <c r="VI1059" s="989"/>
      <c r="VJ1059" s="989"/>
      <c r="VK1059" s="989"/>
      <c r="VL1059" s="989"/>
      <c r="VM1059" s="989"/>
      <c r="VN1059" s="989"/>
      <c r="VO1059" s="989"/>
      <c r="VP1059" s="989"/>
      <c r="VQ1059" s="989"/>
      <c r="VR1059" s="989"/>
      <c r="VS1059" s="989"/>
      <c r="VT1059" s="989"/>
      <c r="VU1059" s="989"/>
      <c r="VV1059" s="989"/>
      <c r="VW1059" s="989"/>
      <c r="VX1059" s="989"/>
      <c r="VY1059" s="989"/>
      <c r="VZ1059" s="989"/>
      <c r="WA1059" s="989"/>
      <c r="WB1059" s="989"/>
      <c r="WC1059" s="989"/>
      <c r="WD1059" s="989"/>
      <c r="WE1059" s="989"/>
      <c r="WF1059" s="989"/>
      <c r="WG1059" s="989"/>
      <c r="WH1059" s="989"/>
      <c r="WI1059" s="989"/>
      <c r="WJ1059" s="989"/>
      <c r="WK1059" s="989"/>
      <c r="WL1059" s="989"/>
      <c r="WM1059" s="989"/>
      <c r="WN1059" s="989"/>
      <c r="WO1059" s="989"/>
      <c r="WP1059" s="989"/>
      <c r="WQ1059" s="989"/>
      <c r="WR1059" s="989"/>
      <c r="WS1059" s="989"/>
      <c r="WT1059" s="989"/>
      <c r="WU1059" s="989"/>
      <c r="WV1059" s="989"/>
      <c r="WW1059" s="989"/>
      <c r="WX1059" s="989"/>
      <c r="WY1059" s="989"/>
      <c r="WZ1059" s="989"/>
      <c r="XA1059" s="989"/>
      <c r="XB1059" s="989"/>
      <c r="XC1059" s="989"/>
      <c r="XD1059" s="989"/>
      <c r="XE1059" s="989"/>
      <c r="XF1059" s="989"/>
      <c r="XG1059" s="989"/>
      <c r="XH1059" s="989"/>
      <c r="XI1059" s="989"/>
      <c r="XJ1059" s="989"/>
      <c r="XK1059" s="989"/>
      <c r="XL1059" s="989"/>
      <c r="XM1059" s="989"/>
      <c r="XN1059" s="989"/>
      <c r="XO1059" s="989"/>
      <c r="XP1059" s="989"/>
      <c r="XQ1059" s="989"/>
      <c r="XR1059" s="989"/>
      <c r="XS1059" s="989"/>
      <c r="XT1059" s="989"/>
      <c r="XU1059" s="989"/>
      <c r="XV1059" s="989"/>
      <c r="XW1059" s="989"/>
      <c r="XX1059" s="989"/>
      <c r="XY1059" s="989"/>
      <c r="XZ1059" s="989"/>
      <c r="YA1059" s="989"/>
      <c r="YB1059" s="989"/>
      <c r="YC1059" s="989"/>
      <c r="YD1059" s="989"/>
      <c r="YE1059" s="989"/>
      <c r="YF1059" s="989"/>
      <c r="YG1059" s="989"/>
      <c r="YH1059" s="989"/>
      <c r="YI1059" s="989"/>
      <c r="YJ1059" s="989"/>
      <c r="YK1059" s="989"/>
      <c r="YL1059" s="989"/>
      <c r="YM1059" s="989"/>
      <c r="YN1059" s="989"/>
      <c r="YO1059" s="989"/>
      <c r="YP1059" s="989"/>
      <c r="YQ1059" s="989"/>
      <c r="YR1059" s="989"/>
      <c r="YS1059" s="989"/>
      <c r="YT1059" s="989"/>
      <c r="YU1059" s="989"/>
      <c r="YV1059" s="989"/>
      <c r="YW1059" s="989"/>
      <c r="YX1059" s="989"/>
      <c r="YY1059" s="989"/>
      <c r="YZ1059" s="989"/>
      <c r="ZA1059" s="989"/>
      <c r="ZB1059" s="989"/>
      <c r="ZC1059" s="989"/>
      <c r="ZD1059" s="989"/>
      <c r="ZE1059" s="989"/>
      <c r="ZF1059" s="989"/>
      <c r="ZG1059" s="989"/>
      <c r="ZH1059" s="989"/>
      <c r="ZI1059" s="989"/>
      <c r="ZJ1059" s="989"/>
      <c r="ZK1059" s="989"/>
      <c r="ZL1059" s="989"/>
      <c r="ZM1059" s="989"/>
      <c r="ZN1059" s="989"/>
      <c r="ZO1059" s="989"/>
      <c r="ZP1059" s="989"/>
      <c r="ZQ1059" s="989"/>
      <c r="ZR1059" s="989"/>
      <c r="ZS1059" s="989"/>
      <c r="ZT1059" s="989"/>
      <c r="ZU1059" s="989"/>
      <c r="ZV1059" s="989"/>
      <c r="ZW1059" s="989"/>
      <c r="ZX1059" s="989"/>
      <c r="ZY1059" s="989"/>
      <c r="ZZ1059" s="989"/>
      <c r="AAA1059" s="989"/>
      <c r="AAB1059" s="989"/>
      <c r="AAC1059" s="989"/>
      <c r="AAD1059" s="989"/>
      <c r="AAE1059" s="989"/>
      <c r="AAF1059" s="989"/>
      <c r="AAG1059" s="989"/>
      <c r="AAH1059" s="989"/>
      <c r="AAI1059" s="989"/>
      <c r="AAJ1059" s="989"/>
      <c r="AAK1059" s="989"/>
      <c r="AAL1059" s="989"/>
      <c r="AAM1059" s="989"/>
      <c r="AAN1059" s="989"/>
      <c r="AAO1059" s="989"/>
      <c r="AAP1059" s="989"/>
      <c r="AAQ1059" s="989"/>
      <c r="AAR1059" s="989"/>
      <c r="AAS1059" s="989"/>
      <c r="AAT1059" s="989"/>
      <c r="AAU1059" s="989"/>
      <c r="AAV1059" s="989"/>
      <c r="AAW1059" s="989"/>
      <c r="AAX1059" s="989"/>
      <c r="AAY1059" s="989"/>
      <c r="AAZ1059" s="989"/>
      <c r="ABA1059" s="989"/>
      <c r="ABB1059" s="989"/>
      <c r="ABC1059" s="989"/>
      <c r="ABD1059" s="989"/>
      <c r="ABE1059" s="989"/>
      <c r="ABF1059" s="989"/>
      <c r="ABG1059" s="989"/>
      <c r="ABH1059" s="989"/>
      <c r="ABI1059" s="989"/>
      <c r="ABJ1059" s="989"/>
      <c r="ABK1059" s="989"/>
      <c r="ABL1059" s="989"/>
      <c r="ABM1059" s="989"/>
      <c r="ABN1059" s="989"/>
      <c r="ABO1059" s="989"/>
      <c r="ABP1059" s="989"/>
      <c r="ABQ1059" s="989"/>
      <c r="ABR1059" s="989"/>
      <c r="ABS1059" s="989"/>
      <c r="ABT1059" s="989"/>
      <c r="ABU1059" s="989"/>
      <c r="ABV1059" s="989"/>
      <c r="ABW1059" s="989"/>
      <c r="ABX1059" s="989"/>
      <c r="ABY1059" s="989"/>
      <c r="ABZ1059" s="989"/>
      <c r="ACA1059" s="989"/>
      <c r="ACB1059" s="989"/>
      <c r="ACC1059" s="989"/>
      <c r="ACD1059" s="989"/>
      <c r="ACE1059" s="989"/>
      <c r="ACF1059" s="989"/>
      <c r="ACG1059" s="989"/>
      <c r="ACH1059" s="989"/>
      <c r="ACI1059" s="989"/>
      <c r="ACJ1059" s="989"/>
      <c r="ACK1059" s="989"/>
      <c r="ACL1059" s="989"/>
      <c r="ACM1059" s="989"/>
      <c r="ACN1059" s="989"/>
      <c r="ACO1059" s="989"/>
      <c r="ACP1059" s="989"/>
      <c r="ACQ1059" s="989"/>
      <c r="ACR1059" s="989"/>
      <c r="ACS1059" s="989"/>
      <c r="ACT1059" s="989"/>
      <c r="ACU1059" s="989"/>
      <c r="ACV1059" s="989"/>
      <c r="ACW1059" s="989"/>
      <c r="ACX1059" s="989"/>
      <c r="ACY1059" s="989"/>
      <c r="ACZ1059" s="989"/>
      <c r="ADA1059" s="989"/>
      <c r="ADB1059" s="989"/>
      <c r="ADC1059" s="989"/>
      <c r="ADD1059" s="989"/>
      <c r="ADE1059" s="989"/>
      <c r="ADF1059" s="989"/>
      <c r="ADG1059" s="989"/>
      <c r="ADH1059" s="989"/>
      <c r="ADI1059" s="989"/>
      <c r="ADJ1059" s="989"/>
      <c r="ADK1059" s="989"/>
      <c r="ADL1059" s="989"/>
      <c r="ADM1059" s="989"/>
      <c r="ADN1059" s="989"/>
      <c r="ADO1059" s="989"/>
      <c r="ADP1059" s="989"/>
      <c r="ADQ1059" s="989"/>
      <c r="ADR1059" s="989"/>
      <c r="ADS1059" s="989"/>
      <c r="ADT1059" s="989"/>
      <c r="ADU1059" s="989"/>
      <c r="ADV1059" s="989"/>
      <c r="ADW1059" s="989"/>
      <c r="ADX1059" s="989"/>
      <c r="ADY1059" s="989"/>
      <c r="ADZ1059" s="989"/>
      <c r="AEA1059" s="989"/>
      <c r="AEB1059" s="989"/>
      <c r="AEC1059" s="989"/>
      <c r="AED1059" s="989"/>
      <c r="AEE1059" s="989"/>
      <c r="AEF1059" s="989"/>
      <c r="AEG1059" s="989"/>
      <c r="AEH1059" s="989"/>
      <c r="AEI1059" s="989"/>
      <c r="AEJ1059" s="989"/>
      <c r="AEK1059" s="989"/>
      <c r="AEL1059" s="989"/>
      <c r="AEM1059" s="989"/>
      <c r="AEN1059" s="989"/>
      <c r="AEO1059" s="989"/>
      <c r="AEP1059" s="989"/>
      <c r="AEQ1059" s="989"/>
      <c r="AER1059" s="989"/>
      <c r="AES1059" s="989"/>
      <c r="AET1059" s="989"/>
      <c r="AEU1059" s="989"/>
      <c r="AEV1059" s="989"/>
      <c r="AEW1059" s="989"/>
      <c r="AEX1059" s="989"/>
      <c r="AEY1059" s="989"/>
      <c r="AEZ1059" s="989"/>
      <c r="AFA1059" s="989"/>
      <c r="AFB1059" s="989"/>
      <c r="AFC1059" s="989"/>
      <c r="AFD1059" s="989"/>
      <c r="AFE1059" s="989"/>
      <c r="AFF1059" s="989"/>
      <c r="AFG1059" s="989"/>
      <c r="AFH1059" s="989"/>
      <c r="AFI1059" s="989"/>
      <c r="AFJ1059" s="989"/>
      <c r="AFK1059" s="989"/>
      <c r="AFL1059" s="989"/>
      <c r="AFM1059" s="989"/>
      <c r="AFN1059" s="989"/>
      <c r="AFO1059" s="989"/>
      <c r="AFP1059" s="989"/>
      <c r="AFQ1059" s="989"/>
      <c r="AFR1059" s="989"/>
      <c r="AFS1059" s="989"/>
      <c r="AFT1059" s="989"/>
      <c r="AFU1059" s="989"/>
      <c r="AFV1059" s="989"/>
      <c r="AFW1059" s="989"/>
      <c r="AFX1059" s="989"/>
      <c r="AFY1059" s="989"/>
      <c r="AFZ1059" s="989"/>
      <c r="AGA1059" s="989"/>
      <c r="AGB1059" s="989"/>
      <c r="AGC1059" s="989"/>
      <c r="AGD1059" s="989"/>
      <c r="AGE1059" s="989"/>
      <c r="AGF1059" s="989"/>
      <c r="AGG1059" s="989"/>
      <c r="AGH1059" s="989"/>
      <c r="AGI1059" s="989"/>
      <c r="AGJ1059" s="989"/>
      <c r="AGK1059" s="989"/>
      <c r="AGL1059" s="989"/>
      <c r="AGM1059" s="989"/>
      <c r="AGN1059" s="989"/>
      <c r="AGO1059" s="989"/>
      <c r="AGP1059" s="989"/>
      <c r="AGQ1059" s="989"/>
      <c r="AGR1059" s="989"/>
      <c r="AGS1059" s="989"/>
      <c r="AGT1059" s="989"/>
      <c r="AGU1059" s="989"/>
      <c r="AGV1059" s="989"/>
      <c r="AGW1059" s="989"/>
      <c r="AGX1059" s="989"/>
      <c r="AGY1059" s="989"/>
      <c r="AGZ1059" s="989"/>
      <c r="AHA1059" s="989"/>
      <c r="AHB1059" s="989"/>
      <c r="AHC1059" s="989"/>
      <c r="AHD1059" s="989"/>
      <c r="AHE1059" s="989"/>
      <c r="AHF1059" s="989"/>
      <c r="AHG1059" s="989"/>
      <c r="AHH1059" s="989"/>
      <c r="AHI1059" s="989"/>
      <c r="AHJ1059" s="989"/>
      <c r="AHK1059" s="989"/>
      <c r="AHL1059" s="989"/>
      <c r="AHM1059" s="989"/>
      <c r="AHN1059" s="989"/>
      <c r="AHO1059" s="989"/>
      <c r="AHP1059" s="989"/>
      <c r="AHQ1059" s="989"/>
      <c r="AHR1059" s="989"/>
      <c r="AHS1059" s="989"/>
      <c r="AHT1059" s="989"/>
      <c r="AHU1059" s="989"/>
      <c r="AHV1059" s="989"/>
      <c r="AHW1059" s="989"/>
      <c r="AHX1059" s="989"/>
      <c r="AHY1059" s="989"/>
      <c r="AHZ1059" s="989"/>
      <c r="AIA1059" s="989"/>
      <c r="AIB1059" s="989"/>
      <c r="AIC1059" s="989"/>
      <c r="AID1059" s="989"/>
      <c r="AIE1059" s="989"/>
      <c r="AIF1059" s="989"/>
      <c r="AIG1059" s="989"/>
      <c r="AIH1059" s="989"/>
      <c r="AII1059" s="989"/>
      <c r="AIJ1059" s="989"/>
      <c r="AIK1059" s="989"/>
      <c r="AIL1059" s="989"/>
      <c r="AIM1059" s="989"/>
      <c r="AIN1059" s="989"/>
      <c r="AIO1059" s="989"/>
      <c r="AIP1059" s="989"/>
      <c r="AIQ1059" s="989"/>
      <c r="AIR1059" s="989"/>
      <c r="AIS1059" s="989"/>
      <c r="AIT1059" s="989"/>
      <c r="AIU1059" s="989"/>
      <c r="AIV1059" s="989"/>
      <c r="AIW1059" s="989"/>
      <c r="AIX1059" s="989"/>
      <c r="AIY1059" s="989"/>
      <c r="AIZ1059" s="989"/>
      <c r="AJA1059" s="989"/>
      <c r="AJB1059" s="989"/>
      <c r="AJC1059" s="989"/>
      <c r="AJD1059" s="989"/>
      <c r="AJE1059" s="989"/>
      <c r="AJF1059" s="989"/>
      <c r="AJG1059" s="989"/>
      <c r="AJH1059" s="989"/>
      <c r="AJI1059" s="989"/>
      <c r="AJJ1059" s="989"/>
      <c r="AJK1059" s="989"/>
      <c r="AJL1059" s="989"/>
      <c r="AJM1059" s="989"/>
      <c r="AJN1059" s="989"/>
      <c r="AJO1059" s="989"/>
      <c r="AJP1059" s="989"/>
      <c r="AJQ1059" s="989"/>
      <c r="AJR1059" s="989"/>
      <c r="AJS1059" s="989"/>
      <c r="AJT1059" s="989"/>
      <c r="AJU1059" s="989"/>
      <c r="AJV1059" s="989"/>
      <c r="AJW1059" s="989"/>
      <c r="AJX1059" s="989"/>
      <c r="AJY1059" s="989"/>
      <c r="AJZ1059" s="989"/>
      <c r="AKA1059" s="989"/>
      <c r="AKB1059" s="989"/>
      <c r="AKC1059" s="989"/>
      <c r="AKD1059" s="989"/>
      <c r="AKE1059" s="989"/>
      <c r="AKF1059" s="989"/>
      <c r="AKG1059" s="989"/>
      <c r="AKH1059" s="989"/>
      <c r="AKI1059" s="989"/>
      <c r="AKJ1059" s="989"/>
      <c r="AKK1059" s="989"/>
      <c r="AKL1059" s="989"/>
      <c r="AKM1059" s="989"/>
      <c r="AKN1059" s="989"/>
      <c r="AKO1059" s="989"/>
      <c r="AKP1059" s="989"/>
      <c r="AKQ1059" s="989"/>
      <c r="AKR1059" s="989"/>
      <c r="AKS1059" s="989"/>
      <c r="AKT1059" s="989"/>
      <c r="AKU1059" s="989"/>
      <c r="AKV1059" s="989"/>
      <c r="AKW1059" s="989"/>
      <c r="AKX1059" s="989"/>
      <c r="AKY1059" s="989"/>
      <c r="AKZ1059" s="989"/>
      <c r="ALA1059" s="989"/>
      <c r="ALB1059" s="989"/>
      <c r="ALC1059" s="989"/>
      <c r="ALD1059" s="989"/>
      <c r="ALE1059" s="989"/>
      <c r="ALF1059" s="989"/>
      <c r="ALG1059" s="989"/>
      <c r="ALH1059" s="989"/>
      <c r="ALI1059" s="989"/>
      <c r="ALJ1059" s="989"/>
      <c r="ALK1059" s="989"/>
      <c r="ALL1059" s="989"/>
      <c r="ALM1059" s="989"/>
      <c r="ALN1059" s="989"/>
      <c r="ALO1059" s="989"/>
      <c r="ALP1059" s="989"/>
      <c r="ALQ1059" s="989"/>
      <c r="ALR1059" s="989"/>
      <c r="ALS1059" s="989"/>
      <c r="ALT1059" s="989"/>
      <c r="ALU1059" s="989"/>
      <c r="ALV1059" s="989"/>
      <c r="ALW1059" s="989"/>
      <c r="ALX1059" s="989"/>
      <c r="ALY1059" s="989"/>
      <c r="ALZ1059" s="989"/>
      <c r="AMA1059" s="989"/>
      <c r="AMB1059" s="989"/>
      <c r="AMC1059" s="989"/>
      <c r="AMD1059" s="989"/>
      <c r="AME1059" s="989"/>
      <c r="AMF1059" s="989"/>
      <c r="AMG1059" s="989"/>
      <c r="AMH1059" s="989"/>
      <c r="AMI1059" s="989"/>
      <c r="AMJ1059" s="989"/>
      <c r="AMK1059" s="989"/>
      <c r="AML1059" s="989"/>
      <c r="AMM1059" s="989"/>
      <c r="AMN1059" s="989"/>
      <c r="AMO1059" s="989"/>
      <c r="AMP1059" s="989"/>
      <c r="AMQ1059" s="989"/>
      <c r="AMR1059" s="989"/>
      <c r="AMS1059" s="989"/>
      <c r="AMT1059" s="989"/>
      <c r="AMU1059" s="989"/>
      <c r="AMV1059" s="989"/>
      <c r="AMW1059" s="989"/>
      <c r="AMX1059" s="989"/>
      <c r="AMY1059" s="989"/>
      <c r="AMZ1059" s="989"/>
      <c r="ANA1059" s="989"/>
      <c r="ANB1059" s="989"/>
      <c r="ANC1059" s="989"/>
      <c r="AND1059" s="989"/>
      <c r="ANE1059" s="989"/>
      <c r="ANF1059" s="989"/>
      <c r="ANG1059" s="989"/>
      <c r="ANH1059" s="989"/>
      <c r="ANI1059" s="989"/>
      <c r="ANJ1059" s="989"/>
      <c r="ANK1059" s="989"/>
      <c r="ANL1059" s="989"/>
      <c r="ANM1059" s="989"/>
      <c r="ANN1059" s="989"/>
      <c r="ANO1059" s="989"/>
      <c r="ANP1059" s="989"/>
      <c r="ANQ1059" s="989"/>
      <c r="ANR1059" s="989"/>
      <c r="ANS1059" s="989"/>
      <c r="ANT1059" s="989"/>
      <c r="ANU1059" s="989"/>
      <c r="ANV1059" s="989"/>
      <c r="ANW1059" s="989"/>
      <c r="ANX1059" s="989"/>
      <c r="ANY1059" s="989"/>
      <c r="ANZ1059" s="989"/>
      <c r="AOA1059" s="989"/>
      <c r="AOB1059" s="989"/>
      <c r="AOC1059" s="989"/>
      <c r="AOD1059" s="989"/>
      <c r="AOE1059" s="989"/>
      <c r="AOF1059" s="989"/>
      <c r="AOG1059" s="989"/>
      <c r="AOH1059" s="989"/>
      <c r="AOI1059" s="989"/>
      <c r="AOJ1059" s="989"/>
      <c r="AOK1059" s="989"/>
      <c r="AOL1059" s="989"/>
      <c r="AOM1059" s="989"/>
      <c r="AON1059" s="989"/>
      <c r="AOO1059" s="989"/>
      <c r="AOP1059" s="989"/>
      <c r="AOQ1059" s="989"/>
      <c r="AOR1059" s="989"/>
      <c r="AOS1059" s="989"/>
      <c r="AOT1059" s="989"/>
      <c r="AOU1059" s="989"/>
      <c r="AOV1059" s="989"/>
      <c r="AOW1059" s="989"/>
      <c r="AOX1059" s="989"/>
      <c r="AOY1059" s="989"/>
      <c r="AOZ1059" s="989"/>
      <c r="APA1059" s="989"/>
      <c r="APB1059" s="989"/>
      <c r="APC1059" s="989"/>
      <c r="APD1059" s="989"/>
      <c r="APE1059" s="989"/>
      <c r="APF1059" s="989"/>
      <c r="APG1059" s="989"/>
      <c r="APH1059" s="989"/>
      <c r="API1059" s="989"/>
      <c r="APJ1059" s="989"/>
      <c r="APK1059" s="989"/>
      <c r="APL1059" s="989"/>
      <c r="APM1059" s="989"/>
      <c r="APN1059" s="989"/>
      <c r="APO1059" s="989"/>
      <c r="APP1059" s="989"/>
      <c r="APQ1059" s="989"/>
      <c r="APR1059" s="989"/>
      <c r="APS1059" s="989"/>
      <c r="APT1059" s="989"/>
      <c r="APU1059" s="989"/>
      <c r="APV1059" s="989"/>
      <c r="APW1059" s="989"/>
      <c r="APX1059" s="989"/>
      <c r="APY1059" s="989"/>
      <c r="APZ1059" s="989"/>
      <c r="AQA1059" s="989"/>
      <c r="AQB1059" s="989"/>
      <c r="AQC1059" s="989"/>
      <c r="AQD1059" s="989"/>
      <c r="AQE1059" s="989"/>
      <c r="AQF1059" s="989"/>
      <c r="AQG1059" s="989"/>
      <c r="AQH1059" s="989"/>
      <c r="AQI1059" s="989"/>
      <c r="AQJ1059" s="989"/>
      <c r="AQK1059" s="989"/>
      <c r="AQL1059" s="989"/>
      <c r="AQM1059" s="989"/>
      <c r="AQN1059" s="989"/>
      <c r="AQO1059" s="989"/>
      <c r="AQP1059" s="989"/>
      <c r="AQQ1059" s="989"/>
      <c r="AQR1059" s="989"/>
      <c r="AQS1059" s="989"/>
      <c r="AQT1059" s="989"/>
      <c r="AQU1059" s="989"/>
      <c r="AQV1059" s="989"/>
      <c r="AQW1059" s="989"/>
      <c r="AQX1059" s="989"/>
      <c r="AQY1059" s="989"/>
      <c r="AQZ1059" s="989"/>
      <c r="ARA1059" s="989"/>
      <c r="ARB1059" s="989"/>
      <c r="ARC1059" s="989"/>
      <c r="ARD1059" s="989"/>
      <c r="ARE1059" s="989"/>
      <c r="ARF1059" s="989"/>
      <c r="ARG1059" s="989"/>
      <c r="ARH1059" s="989"/>
      <c r="ARI1059" s="989"/>
      <c r="ARJ1059" s="989"/>
      <c r="ARK1059" s="989"/>
      <c r="ARL1059" s="989"/>
      <c r="ARM1059" s="989"/>
      <c r="ARN1059" s="989"/>
      <c r="ARO1059" s="989"/>
      <c r="ARP1059" s="989"/>
      <c r="ARQ1059" s="989"/>
      <c r="ARR1059" s="989"/>
      <c r="ARS1059" s="989"/>
      <c r="ART1059" s="989"/>
      <c r="ARU1059" s="989"/>
      <c r="ARV1059" s="989"/>
      <c r="ARW1059" s="989"/>
      <c r="ARX1059" s="989"/>
      <c r="ARY1059" s="989"/>
      <c r="ARZ1059" s="989"/>
      <c r="ASA1059" s="989"/>
      <c r="ASB1059" s="989"/>
      <c r="ASC1059" s="989"/>
      <c r="ASD1059" s="989"/>
      <c r="ASE1059" s="989"/>
      <c r="ASF1059" s="989"/>
      <c r="ASG1059" s="989"/>
      <c r="ASH1059" s="989"/>
      <c r="ASI1059" s="989"/>
      <c r="ASJ1059" s="989"/>
      <c r="ASK1059" s="989"/>
      <c r="ASL1059" s="989"/>
      <c r="ASM1059" s="989"/>
      <c r="ASN1059" s="989"/>
      <c r="ASO1059" s="989"/>
      <c r="ASP1059" s="989"/>
      <c r="ASQ1059" s="989"/>
      <c r="ASR1059" s="989"/>
      <c r="ASS1059" s="989"/>
      <c r="AST1059" s="989"/>
      <c r="ASU1059" s="989"/>
      <c r="ASV1059" s="989"/>
      <c r="ASW1059" s="989"/>
      <c r="ASX1059" s="989"/>
      <c r="ASY1059" s="989"/>
      <c r="ASZ1059" s="989"/>
      <c r="ATA1059" s="989"/>
      <c r="ATB1059" s="989"/>
      <c r="ATC1059" s="989"/>
      <c r="ATD1059" s="989"/>
      <c r="ATE1059" s="989"/>
      <c r="ATF1059" s="989"/>
      <c r="ATG1059" s="989"/>
      <c r="ATH1059" s="989"/>
      <c r="ATI1059" s="989"/>
      <c r="ATJ1059" s="989"/>
      <c r="ATK1059" s="989"/>
      <c r="ATL1059" s="989"/>
      <c r="ATM1059" s="989"/>
      <c r="ATN1059" s="989"/>
      <c r="ATO1059" s="989"/>
      <c r="ATP1059" s="989"/>
      <c r="ATQ1059" s="989"/>
      <c r="ATR1059" s="989"/>
      <c r="ATS1059" s="989"/>
      <c r="ATT1059" s="989"/>
      <c r="ATU1059" s="989"/>
      <c r="ATV1059" s="989"/>
      <c r="ATW1059" s="989"/>
      <c r="ATX1059" s="989"/>
      <c r="ATY1059" s="989"/>
      <c r="ATZ1059" s="989"/>
      <c r="AUA1059" s="989"/>
      <c r="AUB1059" s="989"/>
      <c r="AUC1059" s="989"/>
      <c r="AUD1059" s="989"/>
      <c r="AUE1059" s="989"/>
      <c r="AUF1059" s="989"/>
      <c r="AUG1059" s="989"/>
      <c r="AUH1059" s="989"/>
      <c r="AUI1059" s="989"/>
      <c r="AUJ1059" s="989"/>
      <c r="AUK1059" s="989"/>
      <c r="AUL1059" s="989"/>
      <c r="AUM1059" s="989"/>
      <c r="AUN1059" s="989"/>
      <c r="AUO1059" s="989"/>
      <c r="AUP1059" s="989"/>
      <c r="AUQ1059" s="989"/>
      <c r="AUR1059" s="989"/>
      <c r="AUS1059" s="989"/>
      <c r="AUT1059" s="989"/>
      <c r="AUU1059" s="989"/>
      <c r="AUV1059" s="989"/>
      <c r="AUW1059" s="989"/>
      <c r="AUX1059" s="989"/>
      <c r="AUY1059" s="989"/>
      <c r="AUZ1059" s="989"/>
      <c r="AVA1059" s="989"/>
      <c r="AVB1059" s="989"/>
      <c r="AVC1059" s="989"/>
      <c r="AVD1059" s="989"/>
      <c r="AVE1059" s="989"/>
      <c r="AVF1059" s="989"/>
      <c r="AVG1059" s="989"/>
      <c r="AVH1059" s="989"/>
      <c r="AVI1059" s="989"/>
      <c r="AVJ1059" s="989"/>
      <c r="AVK1059" s="989"/>
      <c r="AVL1059" s="989"/>
      <c r="AVM1059" s="989"/>
      <c r="AVN1059" s="989"/>
      <c r="AVO1059" s="989"/>
      <c r="AVP1059" s="989"/>
      <c r="AVQ1059" s="989"/>
      <c r="AVR1059" s="989"/>
      <c r="AVS1059" s="989"/>
      <c r="AVT1059" s="989"/>
      <c r="AVU1059" s="989"/>
      <c r="AVV1059" s="989"/>
      <c r="AVW1059" s="989"/>
      <c r="AVX1059" s="989"/>
      <c r="AVY1059" s="989"/>
      <c r="AVZ1059" s="989"/>
      <c r="AWA1059" s="989"/>
      <c r="AWB1059" s="989"/>
      <c r="AWC1059" s="989"/>
      <c r="AWD1059" s="989"/>
      <c r="AWE1059" s="989"/>
      <c r="AWF1059" s="989"/>
      <c r="AWG1059" s="989"/>
      <c r="AWH1059" s="989"/>
      <c r="AWI1059" s="989"/>
      <c r="AWJ1059" s="989"/>
      <c r="AWK1059" s="989"/>
      <c r="AWL1059" s="989"/>
      <c r="AWM1059" s="989"/>
      <c r="AWN1059" s="989"/>
      <c r="AWO1059" s="989"/>
      <c r="AWP1059" s="989"/>
      <c r="AWQ1059" s="989"/>
      <c r="AWR1059" s="989"/>
      <c r="AWS1059" s="989"/>
      <c r="AWT1059" s="989"/>
      <c r="AWU1059" s="989"/>
      <c r="AWV1059" s="989"/>
      <c r="AWW1059" s="989"/>
      <c r="AWX1059" s="989"/>
      <c r="AWY1059" s="989"/>
      <c r="AWZ1059" s="989"/>
      <c r="AXA1059" s="989"/>
      <c r="AXB1059" s="989"/>
      <c r="AXC1059" s="989"/>
      <c r="AXD1059" s="989"/>
      <c r="AXE1059" s="989"/>
      <c r="AXF1059" s="989"/>
      <c r="AXG1059" s="989"/>
      <c r="AXH1059" s="989"/>
      <c r="AXI1059" s="989"/>
      <c r="AXJ1059" s="989"/>
      <c r="AXK1059" s="989"/>
      <c r="AXL1059" s="989"/>
      <c r="AXM1059" s="989"/>
      <c r="AXN1059" s="989"/>
      <c r="AXO1059" s="989"/>
      <c r="AXP1059" s="989"/>
      <c r="AXQ1059" s="989"/>
      <c r="AXR1059" s="989"/>
      <c r="AXS1059" s="989"/>
      <c r="AXT1059" s="989"/>
      <c r="AXU1059" s="989"/>
      <c r="AXV1059" s="989"/>
      <c r="AXW1059" s="989"/>
      <c r="AXX1059" s="989"/>
      <c r="AXY1059" s="989"/>
      <c r="AXZ1059" s="989"/>
      <c r="AYA1059" s="989"/>
      <c r="AYB1059" s="989"/>
      <c r="AYC1059" s="989"/>
      <c r="AYD1059" s="989"/>
      <c r="AYE1059" s="989"/>
      <c r="AYF1059" s="989"/>
      <c r="AYG1059" s="989"/>
      <c r="AYH1059" s="989"/>
      <c r="AYI1059" s="989"/>
      <c r="AYJ1059" s="989"/>
      <c r="AYK1059" s="989"/>
      <c r="AYL1059" s="989"/>
      <c r="AYM1059" s="989"/>
      <c r="AYN1059" s="989"/>
      <c r="AYO1059" s="989"/>
      <c r="AYP1059" s="989"/>
      <c r="AYQ1059" s="989"/>
      <c r="AYR1059" s="989"/>
      <c r="AYS1059" s="989"/>
      <c r="AYT1059" s="989"/>
      <c r="AYU1059" s="989"/>
      <c r="AYV1059" s="989"/>
      <c r="AYW1059" s="989"/>
      <c r="AYX1059" s="989"/>
      <c r="AYY1059" s="989"/>
      <c r="AYZ1059" s="989"/>
      <c r="AZA1059" s="989"/>
      <c r="AZB1059" s="989"/>
      <c r="AZC1059" s="989"/>
      <c r="AZD1059" s="989"/>
      <c r="AZE1059" s="989"/>
      <c r="AZF1059" s="989"/>
      <c r="AZG1059" s="989"/>
      <c r="AZH1059" s="989"/>
      <c r="AZI1059" s="989"/>
      <c r="AZJ1059" s="989"/>
      <c r="AZK1059" s="989"/>
      <c r="AZL1059" s="989"/>
      <c r="AZM1059" s="989"/>
      <c r="AZN1059" s="989"/>
      <c r="AZO1059" s="989"/>
      <c r="AZP1059" s="989"/>
      <c r="AZQ1059" s="989"/>
      <c r="AZR1059" s="989"/>
      <c r="AZS1059" s="989"/>
      <c r="AZT1059" s="989"/>
      <c r="AZU1059" s="989"/>
      <c r="AZV1059" s="989"/>
      <c r="AZW1059" s="989"/>
      <c r="AZX1059" s="989"/>
      <c r="AZY1059" s="989"/>
      <c r="AZZ1059" s="989"/>
      <c r="BAA1059" s="989"/>
      <c r="BAB1059" s="989"/>
      <c r="BAC1059" s="989"/>
      <c r="BAD1059" s="989"/>
      <c r="BAE1059" s="989"/>
      <c r="BAF1059" s="989"/>
      <c r="BAG1059" s="989"/>
      <c r="BAH1059" s="989"/>
      <c r="BAI1059" s="989"/>
      <c r="BAJ1059" s="989"/>
      <c r="BAK1059" s="989"/>
      <c r="BAL1059" s="989"/>
      <c r="BAM1059" s="989"/>
      <c r="BAN1059" s="989"/>
      <c r="BAO1059" s="989"/>
      <c r="BAP1059" s="989"/>
      <c r="BAQ1059" s="989"/>
      <c r="BAR1059" s="989"/>
      <c r="BAS1059" s="989"/>
      <c r="BAT1059" s="989"/>
      <c r="BAU1059" s="989"/>
      <c r="BAV1059" s="989"/>
      <c r="BAW1059" s="989"/>
      <c r="BAX1059" s="989"/>
      <c r="BAY1059" s="989"/>
      <c r="BAZ1059" s="989"/>
      <c r="BBA1059" s="989"/>
      <c r="BBB1059" s="989"/>
      <c r="BBC1059" s="989"/>
      <c r="BBD1059" s="989"/>
      <c r="BBE1059" s="989"/>
      <c r="BBF1059" s="989"/>
      <c r="BBG1059" s="989"/>
      <c r="BBH1059" s="989"/>
      <c r="BBI1059" s="989"/>
      <c r="BBJ1059" s="989"/>
      <c r="BBK1059" s="989"/>
      <c r="BBL1059" s="989"/>
      <c r="BBM1059" s="989"/>
      <c r="BBN1059" s="989"/>
      <c r="BBO1059" s="989"/>
      <c r="BBP1059" s="989"/>
      <c r="BBQ1059" s="989"/>
      <c r="BBR1059" s="989"/>
      <c r="BBS1059" s="989"/>
      <c r="BBT1059" s="989"/>
      <c r="BBU1059" s="989"/>
      <c r="BBV1059" s="989"/>
      <c r="BBW1059" s="989"/>
      <c r="BBX1059" s="989"/>
      <c r="BBY1059" s="989"/>
      <c r="BBZ1059" s="989"/>
      <c r="BCA1059" s="989"/>
      <c r="BCB1059" s="989"/>
      <c r="BCC1059" s="989"/>
      <c r="BCD1059" s="989"/>
      <c r="BCE1059" s="989"/>
      <c r="BCF1059" s="989"/>
      <c r="BCG1059" s="989"/>
      <c r="BCH1059" s="989"/>
      <c r="BCI1059" s="989"/>
      <c r="BCJ1059" s="989"/>
      <c r="BCK1059" s="989"/>
      <c r="BCL1059" s="989"/>
      <c r="BCM1059" s="989"/>
      <c r="BCN1059" s="989"/>
      <c r="BCO1059" s="989"/>
      <c r="BCP1059" s="989"/>
      <c r="BCQ1059" s="989"/>
      <c r="BCR1059" s="989"/>
      <c r="BCS1059" s="989"/>
      <c r="BCT1059" s="989"/>
      <c r="BCU1059" s="989"/>
      <c r="BCV1059" s="989"/>
      <c r="BCW1059" s="989"/>
      <c r="BCX1059" s="989"/>
      <c r="BCY1059" s="989"/>
      <c r="BCZ1059" s="989"/>
      <c r="BDA1059" s="989"/>
      <c r="BDB1059" s="989"/>
      <c r="BDC1059" s="989"/>
      <c r="BDD1059" s="989"/>
      <c r="BDE1059" s="989"/>
      <c r="BDF1059" s="989"/>
      <c r="BDG1059" s="989"/>
      <c r="BDH1059" s="989"/>
      <c r="BDI1059" s="989"/>
      <c r="BDJ1059" s="989"/>
      <c r="BDK1059" s="989"/>
      <c r="BDL1059" s="989"/>
      <c r="BDM1059" s="989"/>
      <c r="BDN1059" s="989"/>
      <c r="BDO1059" s="989"/>
      <c r="BDP1059" s="989"/>
      <c r="BDQ1059" s="989"/>
      <c r="BDR1059" s="989"/>
      <c r="BDS1059" s="989"/>
      <c r="BDT1059" s="989"/>
      <c r="BDU1059" s="989"/>
      <c r="BDV1059" s="989"/>
      <c r="BDW1059" s="989"/>
      <c r="BDX1059" s="989"/>
      <c r="BDY1059" s="989"/>
      <c r="BDZ1059" s="989"/>
      <c r="BEA1059" s="989"/>
      <c r="BEB1059" s="989"/>
      <c r="BEC1059" s="989"/>
      <c r="BED1059" s="989"/>
      <c r="BEE1059" s="989"/>
      <c r="BEF1059" s="989"/>
      <c r="BEG1059" s="989"/>
      <c r="BEH1059" s="989"/>
      <c r="BEI1059" s="989"/>
      <c r="BEJ1059" s="989"/>
      <c r="BEK1059" s="989"/>
      <c r="BEL1059" s="989"/>
      <c r="BEM1059" s="989"/>
      <c r="BEN1059" s="989"/>
      <c r="BEO1059" s="989"/>
      <c r="BEP1059" s="989"/>
      <c r="BEQ1059" s="989"/>
      <c r="BER1059" s="989"/>
      <c r="BES1059" s="989"/>
      <c r="BET1059" s="989"/>
      <c r="BEU1059" s="989"/>
      <c r="BEV1059" s="989"/>
      <c r="BEW1059" s="989"/>
      <c r="BEX1059" s="989"/>
      <c r="BEY1059" s="989"/>
      <c r="BEZ1059" s="989"/>
      <c r="BFA1059" s="989"/>
      <c r="BFB1059" s="989"/>
      <c r="BFC1059" s="989"/>
      <c r="BFD1059" s="989"/>
      <c r="BFE1059" s="989"/>
      <c r="BFF1059" s="989"/>
      <c r="BFG1059" s="989"/>
      <c r="BFH1059" s="989"/>
      <c r="BFI1059" s="989"/>
      <c r="BFJ1059" s="989"/>
      <c r="BFK1059" s="989"/>
      <c r="BFL1059" s="989"/>
      <c r="BFM1059" s="989"/>
      <c r="BFN1059" s="989"/>
      <c r="BFO1059" s="989"/>
      <c r="BFP1059" s="989"/>
      <c r="BFQ1059" s="989"/>
      <c r="BFR1059" s="989"/>
      <c r="BFS1059" s="989"/>
      <c r="BFT1059" s="989"/>
      <c r="BFU1059" s="989"/>
      <c r="BFV1059" s="989"/>
      <c r="BFW1059" s="989"/>
      <c r="BFX1059" s="989"/>
      <c r="BFY1059" s="989"/>
      <c r="BFZ1059" s="989"/>
      <c r="BGA1059" s="989"/>
      <c r="BGB1059" s="989"/>
      <c r="BGC1059" s="989"/>
      <c r="BGD1059" s="989"/>
      <c r="BGE1059" s="989"/>
      <c r="BGF1059" s="989"/>
      <c r="BGG1059" s="989"/>
      <c r="BGH1059" s="989"/>
      <c r="BGI1059" s="989"/>
      <c r="BGJ1059" s="989"/>
      <c r="BGK1059" s="989"/>
      <c r="BGL1059" s="989"/>
      <c r="BGM1059" s="989"/>
      <c r="BGN1059" s="989"/>
      <c r="BGO1059" s="989"/>
      <c r="BGP1059" s="989"/>
      <c r="BGQ1059" s="989"/>
      <c r="BGR1059" s="989"/>
      <c r="BGS1059" s="989"/>
      <c r="BGT1059" s="989"/>
      <c r="BGU1059" s="989"/>
      <c r="BGV1059" s="989"/>
      <c r="BGW1059" s="989"/>
      <c r="BGX1059" s="989"/>
      <c r="BGY1059" s="989"/>
      <c r="BGZ1059" s="989"/>
      <c r="BHA1059" s="989"/>
      <c r="BHB1059" s="989"/>
      <c r="BHC1059" s="989"/>
      <c r="BHD1059" s="989"/>
      <c r="BHE1059" s="989"/>
      <c r="BHF1059" s="989"/>
      <c r="BHG1059" s="989"/>
      <c r="BHH1059" s="989"/>
      <c r="BHI1059" s="989"/>
      <c r="BHJ1059" s="989"/>
      <c r="BHK1059" s="989"/>
      <c r="BHL1059" s="989"/>
      <c r="BHM1059" s="989"/>
      <c r="BHN1059" s="989"/>
      <c r="BHO1059" s="989"/>
      <c r="BHP1059" s="989"/>
      <c r="BHQ1059" s="989"/>
      <c r="BHR1059" s="989"/>
      <c r="BHS1059" s="989"/>
      <c r="BHT1059" s="989"/>
      <c r="BHU1059" s="989"/>
      <c r="BHV1059" s="989"/>
      <c r="BHW1059" s="989"/>
      <c r="BHX1059" s="989"/>
      <c r="BHY1059" s="989"/>
      <c r="BHZ1059" s="989"/>
      <c r="BIA1059" s="989"/>
      <c r="BIB1059" s="989"/>
      <c r="BIC1059" s="989"/>
      <c r="BID1059" s="989"/>
      <c r="BIE1059" s="989"/>
      <c r="BIF1059" s="989"/>
      <c r="BIG1059" s="989"/>
      <c r="BIH1059" s="989"/>
      <c r="BII1059" s="989"/>
      <c r="BIJ1059" s="989"/>
      <c r="BIK1059" s="989"/>
      <c r="BIL1059" s="989"/>
      <c r="BIM1059" s="989"/>
      <c r="BIN1059" s="989"/>
      <c r="BIO1059" s="989"/>
      <c r="BIP1059" s="989"/>
      <c r="BIQ1059" s="989"/>
      <c r="BIR1059" s="989"/>
      <c r="BIS1059" s="989"/>
      <c r="BIT1059" s="989"/>
      <c r="BIU1059" s="989"/>
      <c r="BIV1059" s="989"/>
      <c r="BIW1059" s="989"/>
      <c r="BIX1059" s="989"/>
      <c r="BIY1059" s="989"/>
      <c r="BIZ1059" s="989"/>
      <c r="BJA1059" s="989"/>
      <c r="BJB1059" s="989"/>
      <c r="BJC1059" s="989"/>
      <c r="BJD1059" s="989"/>
      <c r="BJE1059" s="989"/>
      <c r="BJF1059" s="989"/>
      <c r="BJG1059" s="989"/>
      <c r="BJH1059" s="989"/>
      <c r="BJI1059" s="989"/>
      <c r="BJJ1059" s="989"/>
      <c r="BJK1059" s="989"/>
      <c r="BJL1059" s="989"/>
      <c r="BJM1059" s="989"/>
      <c r="BJN1059" s="989"/>
      <c r="BJO1059" s="989"/>
      <c r="BJP1059" s="989"/>
      <c r="BJQ1059" s="989"/>
      <c r="BJR1059" s="989"/>
      <c r="BJS1059" s="989"/>
      <c r="BJT1059" s="989"/>
      <c r="BJU1059" s="989"/>
      <c r="BJV1059" s="989"/>
      <c r="BJW1059" s="989"/>
      <c r="BJX1059" s="989"/>
      <c r="BJY1059" s="989"/>
      <c r="BJZ1059" s="989"/>
      <c r="BKA1059" s="989"/>
      <c r="BKB1059" s="989"/>
      <c r="BKC1059" s="989"/>
      <c r="BKD1059" s="989"/>
      <c r="BKE1059" s="989"/>
      <c r="BKF1059" s="989"/>
      <c r="BKG1059" s="989"/>
      <c r="BKH1059" s="989"/>
      <c r="BKI1059" s="989"/>
      <c r="BKJ1059" s="989"/>
      <c r="BKK1059" s="989"/>
      <c r="BKL1059" s="989"/>
      <c r="BKM1059" s="989"/>
      <c r="BKN1059" s="989"/>
      <c r="BKO1059" s="989"/>
      <c r="BKP1059" s="989"/>
      <c r="BKQ1059" s="989"/>
      <c r="BKR1059" s="989"/>
      <c r="BKS1059" s="989"/>
      <c r="BKT1059" s="989"/>
      <c r="BKU1059" s="989"/>
      <c r="BKV1059" s="989"/>
      <c r="BKW1059" s="989"/>
      <c r="BKX1059" s="989"/>
      <c r="BKY1059" s="989"/>
      <c r="BKZ1059" s="989"/>
      <c r="BLA1059" s="989"/>
      <c r="BLB1059" s="989"/>
      <c r="BLC1059" s="989"/>
      <c r="BLD1059" s="989"/>
      <c r="BLE1059" s="989"/>
      <c r="BLF1059" s="989"/>
      <c r="BLG1059" s="989"/>
      <c r="BLH1059" s="989"/>
      <c r="BLI1059" s="989"/>
      <c r="BLJ1059" s="989"/>
      <c r="BLK1059" s="989"/>
      <c r="BLL1059" s="989"/>
      <c r="BLM1059" s="989"/>
      <c r="BLN1059" s="989"/>
      <c r="BLO1059" s="989"/>
      <c r="BLP1059" s="989"/>
      <c r="BLQ1059" s="989"/>
      <c r="BLR1059" s="989"/>
      <c r="BLS1059" s="989"/>
      <c r="BLT1059" s="989"/>
      <c r="BLU1059" s="989"/>
      <c r="BLV1059" s="989"/>
      <c r="BLW1059" s="989"/>
      <c r="BLX1059" s="989"/>
      <c r="BLY1059" s="989"/>
      <c r="BLZ1059" s="989"/>
      <c r="BMA1059" s="989"/>
      <c r="BMB1059" s="989"/>
      <c r="BMC1059" s="989"/>
      <c r="BMD1059" s="989"/>
      <c r="BME1059" s="989"/>
      <c r="BMF1059" s="989"/>
      <c r="BMG1059" s="989"/>
      <c r="BMH1059" s="989"/>
      <c r="BMI1059" s="989"/>
      <c r="BMJ1059" s="989"/>
      <c r="BMK1059" s="989"/>
      <c r="BML1059" s="989"/>
      <c r="BMM1059" s="989"/>
      <c r="BMN1059" s="989"/>
      <c r="BMO1059" s="989"/>
      <c r="BMP1059" s="989"/>
      <c r="BMQ1059" s="989"/>
      <c r="BMR1059" s="989"/>
      <c r="BMS1059" s="989"/>
      <c r="BMT1059" s="989"/>
      <c r="BMU1059" s="989"/>
      <c r="BMV1059" s="989"/>
      <c r="BMW1059" s="989"/>
      <c r="BMX1059" s="989"/>
      <c r="BMY1059" s="989"/>
      <c r="BMZ1059" s="989"/>
      <c r="BNA1059" s="989"/>
      <c r="BNB1059" s="989"/>
      <c r="BNC1059" s="989"/>
      <c r="BND1059" s="989"/>
      <c r="BNE1059" s="989"/>
      <c r="BNF1059" s="989"/>
      <c r="BNG1059" s="989"/>
      <c r="BNH1059" s="989"/>
      <c r="BNI1059" s="989"/>
      <c r="BNJ1059" s="989"/>
      <c r="BNK1059" s="989"/>
      <c r="BNL1059" s="989"/>
      <c r="BNM1059" s="989"/>
      <c r="BNN1059" s="989"/>
      <c r="BNO1059" s="989"/>
      <c r="BNP1059" s="989"/>
      <c r="BNQ1059" s="989"/>
      <c r="BNR1059" s="989"/>
      <c r="BNS1059" s="989"/>
      <c r="BNT1059" s="989"/>
      <c r="BNU1059" s="989"/>
      <c r="BNV1059" s="989"/>
      <c r="BNW1059" s="989"/>
      <c r="BNX1059" s="989"/>
      <c r="BNY1059" s="989"/>
      <c r="BNZ1059" s="989"/>
      <c r="BOA1059" s="989"/>
      <c r="BOB1059" s="989"/>
      <c r="BOC1059" s="989"/>
      <c r="BOD1059" s="989"/>
      <c r="BOE1059" s="989"/>
      <c r="BOF1059" s="989"/>
      <c r="BOG1059" s="989"/>
      <c r="BOH1059" s="989"/>
      <c r="BOI1059" s="989"/>
      <c r="BOJ1059" s="989"/>
      <c r="BOK1059" s="989"/>
      <c r="BOL1059" s="989"/>
      <c r="BOM1059" s="989"/>
      <c r="BON1059" s="989"/>
      <c r="BOO1059" s="989"/>
      <c r="BOP1059" s="989"/>
      <c r="BOQ1059" s="989"/>
      <c r="BOR1059" s="989"/>
      <c r="BOS1059" s="989"/>
      <c r="BOT1059" s="989"/>
      <c r="BOU1059" s="989"/>
      <c r="BOV1059" s="989"/>
      <c r="BOW1059" s="989"/>
      <c r="BOX1059" s="989"/>
      <c r="BOY1059" s="989"/>
      <c r="BOZ1059" s="989"/>
      <c r="BPA1059" s="989"/>
      <c r="BPB1059" s="989"/>
      <c r="BPC1059" s="989"/>
      <c r="BPD1059" s="989"/>
      <c r="BPE1059" s="989"/>
      <c r="BPF1059" s="989"/>
      <c r="BPG1059" s="989"/>
      <c r="BPH1059" s="989"/>
      <c r="BPI1059" s="989"/>
      <c r="BPJ1059" s="989"/>
      <c r="BPK1059" s="989"/>
      <c r="BPL1059" s="989"/>
      <c r="BPM1059" s="989"/>
      <c r="BPN1059" s="989"/>
      <c r="BPO1059" s="989"/>
      <c r="BPP1059" s="989"/>
      <c r="BPQ1059" s="989"/>
      <c r="BPR1059" s="989"/>
      <c r="BPS1059" s="989"/>
      <c r="BPT1059" s="989"/>
      <c r="BPU1059" s="989"/>
      <c r="BPV1059" s="989"/>
      <c r="BPW1059" s="989"/>
      <c r="BPX1059" s="989"/>
      <c r="BPY1059" s="989"/>
      <c r="BPZ1059" s="989"/>
      <c r="BQA1059" s="989"/>
      <c r="BQB1059" s="989"/>
      <c r="BQC1059" s="989"/>
      <c r="BQD1059" s="989"/>
      <c r="BQE1059" s="989"/>
      <c r="BQF1059" s="989"/>
      <c r="BQG1059" s="989"/>
      <c r="BQH1059" s="989"/>
      <c r="BQI1059" s="989"/>
      <c r="BQJ1059" s="989"/>
      <c r="BQK1059" s="989"/>
      <c r="BQL1059" s="989"/>
      <c r="BQM1059" s="989"/>
      <c r="BQN1059" s="989"/>
      <c r="BQO1059" s="989"/>
      <c r="BQP1059" s="989"/>
      <c r="BQQ1059" s="989"/>
      <c r="BQR1059" s="989"/>
      <c r="BQS1059" s="989"/>
      <c r="BQT1059" s="989"/>
      <c r="BQU1059" s="989"/>
      <c r="BQV1059" s="989"/>
      <c r="BQW1059" s="989"/>
      <c r="BQX1059" s="989"/>
      <c r="BQY1059" s="989"/>
      <c r="BQZ1059" s="989"/>
      <c r="BRA1059" s="989"/>
      <c r="BRB1059" s="989"/>
      <c r="BRC1059" s="989"/>
      <c r="BRD1059" s="989"/>
      <c r="BRE1059" s="989"/>
      <c r="BRF1059" s="989"/>
      <c r="BRG1059" s="989"/>
      <c r="BRH1059" s="989"/>
      <c r="BRI1059" s="989"/>
      <c r="BRJ1059" s="989"/>
      <c r="BRK1059" s="989"/>
      <c r="BRL1059" s="989"/>
      <c r="BRM1059" s="989"/>
      <c r="BRN1059" s="989"/>
      <c r="BRO1059" s="989"/>
      <c r="BRP1059" s="989"/>
      <c r="BRQ1059" s="989"/>
      <c r="BRR1059" s="989"/>
      <c r="BRS1059" s="989"/>
      <c r="BRT1059" s="989"/>
      <c r="BRU1059" s="989"/>
      <c r="BRV1059" s="989"/>
      <c r="BRW1059" s="989"/>
      <c r="BRX1059" s="989"/>
      <c r="BRY1059" s="989"/>
      <c r="BRZ1059" s="989"/>
      <c r="BSA1059" s="989"/>
      <c r="BSB1059" s="989"/>
      <c r="BSC1059" s="989"/>
      <c r="BSD1059" s="989"/>
      <c r="BSE1059" s="989"/>
      <c r="BSF1059" s="989"/>
      <c r="BSG1059" s="989"/>
      <c r="BSH1059" s="989"/>
      <c r="BSI1059" s="989"/>
      <c r="BSJ1059" s="989"/>
      <c r="BSK1059" s="989"/>
      <c r="BSL1059" s="989"/>
      <c r="BSM1059" s="989"/>
      <c r="BSN1059" s="989"/>
      <c r="BSO1059" s="989"/>
      <c r="BSP1059" s="989"/>
      <c r="BSQ1059" s="989"/>
      <c r="BSR1059" s="989"/>
      <c r="BSS1059" s="989"/>
      <c r="BST1059" s="989"/>
      <c r="BSU1059" s="989"/>
      <c r="BSV1059" s="989"/>
      <c r="BSW1059" s="989"/>
      <c r="BSX1059" s="989"/>
      <c r="BSY1059" s="989"/>
      <c r="BSZ1059" s="989"/>
      <c r="BTA1059" s="989"/>
      <c r="BTB1059" s="989"/>
      <c r="BTC1059" s="989"/>
      <c r="BTD1059" s="989"/>
      <c r="BTE1059" s="989"/>
      <c r="BTF1059" s="989"/>
      <c r="BTG1059" s="989"/>
      <c r="BTH1059" s="989"/>
      <c r="BTI1059" s="989"/>
      <c r="BTJ1059" s="989"/>
      <c r="BTK1059" s="989"/>
      <c r="BTL1059" s="989"/>
      <c r="BTM1059" s="989"/>
      <c r="BTN1059" s="989"/>
      <c r="BTO1059" s="989"/>
      <c r="BTP1059" s="989"/>
      <c r="BTQ1059" s="989"/>
      <c r="BTR1059" s="989"/>
      <c r="BTS1059" s="989"/>
      <c r="BTT1059" s="989"/>
      <c r="BTU1059" s="989"/>
      <c r="BTV1059" s="989"/>
      <c r="BTW1059" s="989"/>
      <c r="BTX1059" s="989"/>
      <c r="BTY1059" s="989"/>
      <c r="BTZ1059" s="989"/>
      <c r="BUA1059" s="989"/>
      <c r="BUB1059" s="989"/>
      <c r="BUC1059" s="989"/>
      <c r="BUD1059" s="989"/>
      <c r="BUE1059" s="989"/>
      <c r="BUF1059" s="989"/>
      <c r="BUG1059" s="989"/>
      <c r="BUH1059" s="989"/>
      <c r="BUI1059" s="989"/>
      <c r="BUJ1059" s="989"/>
      <c r="BUK1059" s="989"/>
      <c r="BUL1059" s="989"/>
      <c r="BUM1059" s="989"/>
      <c r="BUN1059" s="989"/>
      <c r="BUO1059" s="989"/>
      <c r="BUP1059" s="989"/>
      <c r="BUQ1059" s="989"/>
      <c r="BUR1059" s="989"/>
      <c r="BUS1059" s="989"/>
      <c r="BUT1059" s="989"/>
      <c r="BUU1059" s="989"/>
      <c r="BUV1059" s="989"/>
      <c r="BUW1059" s="989"/>
      <c r="BUX1059" s="989"/>
      <c r="BUY1059" s="989"/>
      <c r="BUZ1059" s="989"/>
      <c r="BVA1059" s="989"/>
      <c r="BVB1059" s="989"/>
      <c r="BVC1059" s="989"/>
      <c r="BVD1059" s="989"/>
      <c r="BVE1059" s="989"/>
      <c r="BVF1059" s="989"/>
      <c r="BVG1059" s="989"/>
      <c r="BVH1059" s="989"/>
      <c r="BVI1059" s="989"/>
      <c r="BVJ1059" s="989"/>
      <c r="BVK1059" s="989"/>
      <c r="BVL1059" s="989"/>
      <c r="BVM1059" s="989"/>
      <c r="BVN1059" s="989"/>
      <c r="BVO1059" s="989"/>
      <c r="BVP1059" s="989"/>
      <c r="BVQ1059" s="989"/>
      <c r="BVR1059" s="989"/>
      <c r="BVS1059" s="989"/>
      <c r="BVT1059" s="989"/>
      <c r="BVU1059" s="989"/>
      <c r="BVV1059" s="989"/>
      <c r="BVW1059" s="989"/>
      <c r="BVX1059" s="989"/>
      <c r="BVY1059" s="989"/>
      <c r="BVZ1059" s="989"/>
      <c r="BWA1059" s="989"/>
      <c r="BWB1059" s="989"/>
      <c r="BWC1059" s="989"/>
      <c r="BWD1059" s="989"/>
      <c r="BWE1059" s="989"/>
      <c r="BWF1059" s="989"/>
      <c r="BWG1059" s="989"/>
      <c r="BWH1059" s="989"/>
      <c r="BWI1059" s="989"/>
      <c r="BWJ1059" s="989"/>
      <c r="BWK1059" s="989"/>
      <c r="BWL1059" s="989"/>
      <c r="BWM1059" s="989"/>
      <c r="BWN1059" s="989"/>
      <c r="BWO1059" s="989"/>
      <c r="BWP1059" s="989"/>
      <c r="BWQ1059" s="989"/>
      <c r="BWR1059" s="989"/>
      <c r="BWS1059" s="989"/>
      <c r="BWT1059" s="989"/>
      <c r="BWU1059" s="989"/>
      <c r="BWV1059" s="989"/>
      <c r="BWW1059" s="989"/>
      <c r="BWX1059" s="989"/>
      <c r="BWY1059" s="989"/>
      <c r="BWZ1059" s="989"/>
      <c r="BXA1059" s="989"/>
      <c r="BXB1059" s="989"/>
      <c r="BXC1059" s="989"/>
      <c r="BXD1059" s="989"/>
      <c r="BXE1059" s="989"/>
      <c r="BXF1059" s="989"/>
      <c r="BXG1059" s="989"/>
      <c r="BXH1059" s="989"/>
      <c r="BXI1059" s="989"/>
      <c r="BXJ1059" s="989"/>
      <c r="BXK1059" s="989"/>
      <c r="BXL1059" s="989"/>
      <c r="BXM1059" s="989"/>
      <c r="BXN1059" s="989"/>
      <c r="BXO1059" s="989"/>
      <c r="BXP1059" s="989"/>
      <c r="BXQ1059" s="989"/>
      <c r="BXR1059" s="989"/>
      <c r="BXS1059" s="989"/>
      <c r="BXT1059" s="989"/>
      <c r="BXU1059" s="989"/>
      <c r="BXV1059" s="989"/>
      <c r="BXW1059" s="989"/>
      <c r="BXX1059" s="989"/>
      <c r="BXY1059" s="989"/>
      <c r="BXZ1059" s="989"/>
      <c r="BYA1059" s="989"/>
      <c r="BYB1059" s="989"/>
      <c r="BYC1059" s="989"/>
      <c r="BYD1059" s="989"/>
      <c r="BYE1059" s="989"/>
      <c r="BYF1059" s="989"/>
      <c r="BYG1059" s="989"/>
      <c r="BYH1059" s="989"/>
      <c r="BYI1059" s="989"/>
      <c r="BYJ1059" s="989"/>
      <c r="BYK1059" s="989"/>
      <c r="BYL1059" s="989"/>
      <c r="BYM1059" s="989"/>
      <c r="BYN1059" s="989"/>
      <c r="BYO1059" s="989"/>
      <c r="BYP1059" s="989"/>
      <c r="BYQ1059" s="989"/>
      <c r="BYR1059" s="989"/>
      <c r="BYS1059" s="989"/>
      <c r="BYT1059" s="989"/>
      <c r="BYU1059" s="989"/>
      <c r="BYV1059" s="989"/>
      <c r="BYW1059" s="989"/>
      <c r="BYX1059" s="989"/>
      <c r="BYY1059" s="989"/>
      <c r="BYZ1059" s="989"/>
      <c r="BZA1059" s="989"/>
      <c r="BZB1059" s="989"/>
      <c r="BZC1059" s="989"/>
      <c r="BZD1059" s="989"/>
      <c r="BZE1059" s="989"/>
      <c r="BZF1059" s="989"/>
      <c r="BZG1059" s="989"/>
      <c r="BZH1059" s="989"/>
      <c r="BZI1059" s="989"/>
      <c r="BZJ1059" s="989"/>
      <c r="BZK1059" s="989"/>
      <c r="BZL1059" s="989"/>
      <c r="BZM1059" s="989"/>
      <c r="BZN1059" s="989"/>
      <c r="BZO1059" s="989"/>
      <c r="BZP1059" s="989"/>
      <c r="BZQ1059" s="989"/>
      <c r="BZR1059" s="989"/>
      <c r="BZS1059" s="989"/>
      <c r="BZT1059" s="989"/>
      <c r="BZU1059" s="989"/>
      <c r="BZV1059" s="989"/>
      <c r="BZW1059" s="989"/>
      <c r="BZX1059" s="989"/>
      <c r="BZY1059" s="989"/>
      <c r="BZZ1059" s="989"/>
      <c r="CAA1059" s="989"/>
      <c r="CAB1059" s="989"/>
      <c r="CAC1059" s="989"/>
      <c r="CAD1059" s="989"/>
      <c r="CAE1059" s="989"/>
      <c r="CAF1059" s="989"/>
      <c r="CAG1059" s="989"/>
      <c r="CAH1059" s="989"/>
      <c r="CAI1059" s="989"/>
      <c r="CAJ1059" s="989"/>
      <c r="CAK1059" s="989"/>
      <c r="CAL1059" s="989"/>
      <c r="CAM1059" s="989"/>
      <c r="CAN1059" s="989"/>
      <c r="CAO1059" s="989"/>
      <c r="CAP1059" s="989"/>
      <c r="CAQ1059" s="989"/>
      <c r="CAR1059" s="989"/>
      <c r="CAS1059" s="989"/>
      <c r="CAT1059" s="989"/>
      <c r="CAU1059" s="989"/>
      <c r="CAV1059" s="989"/>
      <c r="CAW1059" s="989"/>
      <c r="CAX1059" s="989"/>
      <c r="CAY1059" s="989"/>
      <c r="CAZ1059" s="989"/>
      <c r="CBA1059" s="989"/>
      <c r="CBB1059" s="989"/>
      <c r="CBC1059" s="989"/>
      <c r="CBD1059" s="989"/>
      <c r="CBE1059" s="989"/>
      <c r="CBF1059" s="989"/>
      <c r="CBG1059" s="989"/>
      <c r="CBH1059" s="989"/>
      <c r="CBI1059" s="989"/>
      <c r="CBJ1059" s="989"/>
      <c r="CBK1059" s="989"/>
      <c r="CBL1059" s="989"/>
      <c r="CBM1059" s="989"/>
      <c r="CBN1059" s="989"/>
      <c r="CBO1059" s="989"/>
      <c r="CBP1059" s="989"/>
      <c r="CBQ1059" s="989"/>
      <c r="CBR1059" s="989"/>
      <c r="CBS1059" s="989"/>
      <c r="CBT1059" s="989"/>
      <c r="CBU1059" s="989"/>
      <c r="CBV1059" s="989"/>
      <c r="CBW1059" s="989"/>
      <c r="CBX1059" s="989"/>
      <c r="CBY1059" s="989"/>
      <c r="CBZ1059" s="989"/>
      <c r="CCA1059" s="989"/>
      <c r="CCB1059" s="989"/>
      <c r="CCC1059" s="989"/>
      <c r="CCD1059" s="989"/>
      <c r="CCE1059" s="989"/>
      <c r="CCF1059" s="989"/>
      <c r="CCG1059" s="989"/>
      <c r="CCH1059" s="989"/>
      <c r="CCI1059" s="989"/>
      <c r="CCJ1059" s="989"/>
      <c r="CCK1059" s="989"/>
      <c r="CCL1059" s="989"/>
      <c r="CCM1059" s="989"/>
      <c r="CCN1059" s="989"/>
      <c r="CCO1059" s="989"/>
      <c r="CCP1059" s="989"/>
      <c r="CCQ1059" s="989"/>
      <c r="CCR1059" s="989"/>
      <c r="CCS1059" s="989"/>
      <c r="CCT1059" s="989"/>
      <c r="CCU1059" s="989"/>
      <c r="CCV1059" s="989"/>
      <c r="CCW1059" s="989"/>
      <c r="CCX1059" s="989"/>
      <c r="CCY1059" s="989"/>
      <c r="CCZ1059" s="989"/>
      <c r="CDA1059" s="989"/>
      <c r="CDB1059" s="989"/>
      <c r="CDC1059" s="989"/>
      <c r="CDD1059" s="989"/>
      <c r="CDE1059" s="989"/>
      <c r="CDF1059" s="989"/>
      <c r="CDG1059" s="989"/>
      <c r="CDH1059" s="989"/>
      <c r="CDI1059" s="989"/>
      <c r="CDJ1059" s="989"/>
      <c r="CDK1059" s="989"/>
      <c r="CDL1059" s="989"/>
      <c r="CDM1059" s="989"/>
      <c r="CDN1059" s="989"/>
      <c r="CDO1059" s="989"/>
      <c r="CDP1059" s="989"/>
      <c r="CDQ1059" s="989"/>
      <c r="CDR1059" s="989"/>
      <c r="CDS1059" s="989"/>
      <c r="CDT1059" s="989"/>
      <c r="CDU1059" s="989"/>
      <c r="CDV1059" s="989"/>
      <c r="CDW1059" s="989"/>
      <c r="CDX1059" s="989"/>
      <c r="CDY1059" s="989"/>
      <c r="CDZ1059" s="989"/>
      <c r="CEA1059" s="989"/>
      <c r="CEB1059" s="989"/>
      <c r="CEC1059" s="989"/>
      <c r="CED1059" s="989"/>
      <c r="CEE1059" s="989"/>
      <c r="CEF1059" s="989"/>
      <c r="CEG1059" s="989"/>
      <c r="CEH1059" s="989"/>
      <c r="CEI1059" s="989"/>
      <c r="CEJ1059" s="989"/>
      <c r="CEK1059" s="989"/>
      <c r="CEL1059" s="989"/>
      <c r="CEM1059" s="989"/>
      <c r="CEN1059" s="989"/>
      <c r="CEO1059" s="989"/>
      <c r="CEP1059" s="989"/>
      <c r="CEQ1059" s="989"/>
      <c r="CER1059" s="989"/>
      <c r="CES1059" s="989"/>
      <c r="CET1059" s="989"/>
      <c r="CEU1059" s="989"/>
      <c r="CEV1059" s="989"/>
      <c r="CEW1059" s="989"/>
      <c r="CEX1059" s="989"/>
      <c r="CEY1059" s="989"/>
      <c r="CEZ1059" s="989"/>
      <c r="CFA1059" s="989"/>
      <c r="CFB1059" s="989"/>
      <c r="CFC1059" s="989"/>
      <c r="CFD1059" s="989"/>
      <c r="CFE1059" s="989"/>
      <c r="CFF1059" s="989"/>
      <c r="CFG1059" s="989"/>
      <c r="CFH1059" s="989"/>
      <c r="CFI1059" s="989"/>
      <c r="CFJ1059" s="989"/>
      <c r="CFK1059" s="989"/>
      <c r="CFL1059" s="989"/>
      <c r="CFM1059" s="989"/>
      <c r="CFN1059" s="989"/>
      <c r="CFO1059" s="989"/>
      <c r="CFP1059" s="989"/>
      <c r="CFQ1059" s="989"/>
      <c r="CFR1059" s="989"/>
      <c r="CFS1059" s="989"/>
      <c r="CFT1059" s="989"/>
      <c r="CFU1059" s="989"/>
      <c r="CFV1059" s="989"/>
      <c r="CFW1059" s="989"/>
      <c r="CFX1059" s="989"/>
      <c r="CFY1059" s="989"/>
      <c r="CFZ1059" s="989"/>
      <c r="CGA1059" s="989"/>
      <c r="CGB1059" s="989"/>
      <c r="CGC1059" s="989"/>
      <c r="CGD1059" s="989"/>
      <c r="CGE1059" s="989"/>
      <c r="CGF1059" s="989"/>
      <c r="CGG1059" s="989"/>
      <c r="CGH1059" s="989"/>
      <c r="CGI1059" s="989"/>
      <c r="CGJ1059" s="989"/>
      <c r="CGK1059" s="989"/>
      <c r="CGL1059" s="989"/>
      <c r="CGM1059" s="989"/>
      <c r="CGN1059" s="989"/>
      <c r="CGO1059" s="989"/>
      <c r="CGP1059" s="989"/>
      <c r="CGQ1059" s="989"/>
      <c r="CGR1059" s="989"/>
      <c r="CGS1059" s="989"/>
      <c r="CGT1059" s="989"/>
      <c r="CGU1059" s="989"/>
      <c r="CGV1059" s="989"/>
      <c r="CGW1059" s="989"/>
      <c r="CGX1059" s="989"/>
      <c r="CGY1059" s="989"/>
      <c r="CGZ1059" s="989"/>
      <c r="CHA1059" s="989"/>
      <c r="CHB1059" s="989"/>
      <c r="CHC1059" s="989"/>
      <c r="CHD1059" s="989"/>
      <c r="CHE1059" s="989"/>
      <c r="CHF1059" s="989"/>
      <c r="CHG1059" s="989"/>
      <c r="CHH1059" s="989"/>
      <c r="CHI1059" s="989"/>
      <c r="CHJ1059" s="989"/>
      <c r="CHK1059" s="989"/>
      <c r="CHL1059" s="989"/>
      <c r="CHM1059" s="989"/>
      <c r="CHN1059" s="989"/>
      <c r="CHO1059" s="989"/>
      <c r="CHP1059" s="989"/>
      <c r="CHQ1059" s="989"/>
      <c r="CHR1059" s="989"/>
      <c r="CHS1059" s="989"/>
      <c r="CHT1059" s="989"/>
      <c r="CHU1059" s="989"/>
      <c r="CHV1059" s="989"/>
      <c r="CHW1059" s="989"/>
      <c r="CHX1059" s="989"/>
      <c r="CHY1059" s="989"/>
      <c r="CHZ1059" s="989"/>
      <c r="CIA1059" s="989"/>
      <c r="CIB1059" s="989"/>
      <c r="CIC1059" s="989"/>
      <c r="CID1059" s="989"/>
      <c r="CIE1059" s="989"/>
      <c r="CIF1059" s="989"/>
      <c r="CIG1059" s="989"/>
      <c r="CIH1059" s="989"/>
      <c r="CII1059" s="989"/>
      <c r="CIJ1059" s="989"/>
      <c r="CIK1059" s="989"/>
      <c r="CIL1059" s="989"/>
      <c r="CIM1059" s="989"/>
      <c r="CIN1059" s="989"/>
      <c r="CIO1059" s="989"/>
      <c r="CIP1059" s="989"/>
      <c r="CIQ1059" s="989"/>
      <c r="CIR1059" s="989"/>
      <c r="CIS1059" s="989"/>
      <c r="CIT1059" s="989"/>
      <c r="CIU1059" s="989"/>
      <c r="CIV1059" s="989"/>
      <c r="CIW1059" s="989"/>
      <c r="CIX1059" s="989"/>
      <c r="CIY1059" s="989"/>
      <c r="CIZ1059" s="989"/>
      <c r="CJA1059" s="989"/>
      <c r="CJB1059" s="989"/>
      <c r="CJC1059" s="989"/>
      <c r="CJD1059" s="989"/>
      <c r="CJE1059" s="989"/>
      <c r="CJF1059" s="989"/>
      <c r="CJG1059" s="989"/>
      <c r="CJH1059" s="989"/>
      <c r="CJI1059" s="989"/>
      <c r="CJJ1059" s="989"/>
      <c r="CJK1059" s="989"/>
      <c r="CJL1059" s="989"/>
      <c r="CJM1059" s="989"/>
      <c r="CJN1059" s="989"/>
      <c r="CJO1059" s="989"/>
      <c r="CJP1059" s="989"/>
      <c r="CJQ1059" s="989"/>
      <c r="CJR1059" s="989"/>
      <c r="CJS1059" s="989"/>
      <c r="CJT1059" s="989"/>
      <c r="CJU1059" s="989"/>
      <c r="CJV1059" s="989"/>
      <c r="CJW1059" s="989"/>
      <c r="CJX1059" s="989"/>
      <c r="CJY1059" s="989"/>
      <c r="CJZ1059" s="989"/>
      <c r="CKA1059" s="989"/>
      <c r="CKB1059" s="989"/>
      <c r="CKC1059" s="989"/>
      <c r="CKD1059" s="989"/>
      <c r="CKE1059" s="989"/>
      <c r="CKF1059" s="989"/>
      <c r="CKG1059" s="989"/>
      <c r="CKH1059" s="989"/>
      <c r="CKI1059" s="989"/>
      <c r="CKJ1059" s="989"/>
      <c r="CKK1059" s="989"/>
      <c r="CKL1059" s="989"/>
      <c r="CKM1059" s="989"/>
      <c r="CKN1059" s="989"/>
      <c r="CKO1059" s="989"/>
      <c r="CKP1059" s="989"/>
      <c r="CKQ1059" s="989"/>
      <c r="CKR1059" s="989"/>
      <c r="CKS1059" s="989"/>
      <c r="CKT1059" s="989"/>
      <c r="CKU1059" s="989"/>
      <c r="CKV1059" s="989"/>
      <c r="CKW1059" s="989"/>
      <c r="CKX1059" s="989"/>
      <c r="CKY1059" s="989"/>
      <c r="CKZ1059" s="989"/>
      <c r="CLA1059" s="989"/>
      <c r="CLB1059" s="989"/>
      <c r="CLC1059" s="989"/>
      <c r="CLD1059" s="989"/>
      <c r="CLE1059" s="989"/>
      <c r="CLF1059" s="989"/>
      <c r="CLG1059" s="989"/>
      <c r="CLH1059" s="989"/>
      <c r="CLI1059" s="989"/>
      <c r="CLJ1059" s="989"/>
      <c r="CLK1059" s="989"/>
      <c r="CLL1059" s="989"/>
      <c r="CLM1059" s="989"/>
      <c r="CLN1059" s="989"/>
      <c r="CLO1059" s="989"/>
      <c r="CLP1059" s="989"/>
      <c r="CLQ1059" s="989"/>
      <c r="CLR1059" s="989"/>
      <c r="CLS1059" s="989"/>
      <c r="CLT1059" s="989"/>
      <c r="CLU1059" s="989"/>
      <c r="CLV1059" s="989"/>
      <c r="CLW1059" s="989"/>
      <c r="CLX1059" s="989"/>
      <c r="CLY1059" s="989"/>
      <c r="CLZ1059" s="989"/>
      <c r="CMA1059" s="989"/>
      <c r="CMB1059" s="989"/>
      <c r="CMC1059" s="989"/>
      <c r="CMD1059" s="989"/>
      <c r="CME1059" s="989"/>
      <c r="CMF1059" s="989"/>
      <c r="CMG1059" s="989"/>
      <c r="CMH1059" s="989"/>
      <c r="CMI1059" s="989"/>
      <c r="CMJ1059" s="989"/>
      <c r="CMK1059" s="989"/>
      <c r="CML1059" s="989"/>
      <c r="CMM1059" s="989"/>
      <c r="CMN1059" s="989"/>
      <c r="CMO1059" s="989"/>
      <c r="CMP1059" s="989"/>
      <c r="CMQ1059" s="989"/>
      <c r="CMR1059" s="989"/>
      <c r="CMS1059" s="989"/>
      <c r="CMT1059" s="989"/>
      <c r="CMU1059" s="989"/>
      <c r="CMV1059" s="989"/>
      <c r="CMW1059" s="989"/>
      <c r="CMX1059" s="989"/>
      <c r="CMY1059" s="989"/>
      <c r="CMZ1059" s="989"/>
      <c r="CNA1059" s="989"/>
      <c r="CNB1059" s="989"/>
      <c r="CNC1059" s="989"/>
      <c r="CND1059" s="989"/>
      <c r="CNE1059" s="989"/>
      <c r="CNF1059" s="989"/>
      <c r="CNG1059" s="989"/>
      <c r="CNH1059" s="989"/>
      <c r="CNI1059" s="989"/>
      <c r="CNJ1059" s="989"/>
      <c r="CNK1059" s="989"/>
      <c r="CNL1059" s="989"/>
      <c r="CNM1059" s="989"/>
      <c r="CNN1059" s="989"/>
      <c r="CNO1059" s="989"/>
      <c r="CNP1059" s="989"/>
      <c r="CNQ1059" s="989"/>
      <c r="CNR1059" s="989"/>
      <c r="CNS1059" s="989"/>
      <c r="CNT1059" s="989"/>
      <c r="CNU1059" s="989"/>
      <c r="CNV1059" s="989"/>
      <c r="CNW1059" s="989"/>
      <c r="CNX1059" s="989"/>
      <c r="CNY1059" s="989"/>
      <c r="CNZ1059" s="989"/>
      <c r="COA1059" s="989"/>
      <c r="COB1059" s="989"/>
      <c r="COC1059" s="989"/>
      <c r="COD1059" s="989"/>
      <c r="COE1059" s="989"/>
      <c r="COF1059" s="989"/>
      <c r="COG1059" s="989"/>
      <c r="COH1059" s="989"/>
      <c r="COI1059" s="989"/>
      <c r="COJ1059" s="989"/>
      <c r="COK1059" s="989"/>
      <c r="COL1059" s="989"/>
      <c r="COM1059" s="989"/>
      <c r="CON1059" s="989"/>
      <c r="COO1059" s="989"/>
      <c r="COP1059" s="989"/>
      <c r="COQ1059" s="989"/>
      <c r="COR1059" s="989"/>
      <c r="COS1059" s="989"/>
      <c r="COT1059" s="989"/>
      <c r="COU1059" s="989"/>
      <c r="COV1059" s="989"/>
      <c r="COW1059" s="989"/>
      <c r="COX1059" s="989"/>
      <c r="COY1059" s="989"/>
      <c r="COZ1059" s="989"/>
      <c r="CPA1059" s="989"/>
      <c r="CPB1059" s="989"/>
      <c r="CPC1059" s="989"/>
      <c r="CPD1059" s="989"/>
      <c r="CPE1059" s="989"/>
      <c r="CPF1059" s="989"/>
      <c r="CPG1059" s="989"/>
      <c r="CPH1059" s="989"/>
      <c r="CPI1059" s="989"/>
      <c r="CPJ1059" s="989"/>
      <c r="CPK1059" s="989"/>
      <c r="CPL1059" s="989"/>
      <c r="CPM1059" s="989"/>
      <c r="CPN1059" s="989"/>
      <c r="CPO1059" s="989"/>
      <c r="CPP1059" s="989"/>
      <c r="CPQ1059" s="989"/>
      <c r="CPR1059" s="989"/>
      <c r="CPS1059" s="989"/>
      <c r="CPT1059" s="989"/>
      <c r="CPU1059" s="989"/>
      <c r="CPV1059" s="989"/>
      <c r="CPW1059" s="989"/>
      <c r="CPX1059" s="989"/>
      <c r="CPY1059" s="989"/>
      <c r="CPZ1059" s="989"/>
      <c r="CQA1059" s="989"/>
      <c r="CQB1059" s="989"/>
      <c r="CQC1059" s="989"/>
      <c r="CQD1059" s="989"/>
      <c r="CQE1059" s="989"/>
      <c r="CQF1059" s="989"/>
      <c r="CQG1059" s="989"/>
      <c r="CQH1059" s="989"/>
      <c r="CQI1059" s="989"/>
      <c r="CQJ1059" s="989"/>
      <c r="CQK1059" s="989"/>
      <c r="CQL1059" s="989"/>
      <c r="CQM1059" s="989"/>
      <c r="CQN1059" s="989"/>
      <c r="CQO1059" s="989"/>
      <c r="CQP1059" s="989"/>
      <c r="CQQ1059" s="989"/>
      <c r="CQR1059" s="989"/>
      <c r="CQS1059" s="989"/>
      <c r="CQT1059" s="989"/>
      <c r="CQU1059" s="989"/>
      <c r="CQV1059" s="989"/>
      <c r="CQW1059" s="989"/>
      <c r="CQX1059" s="989"/>
      <c r="CQY1059" s="989"/>
      <c r="CQZ1059" s="989"/>
      <c r="CRA1059" s="989"/>
      <c r="CRB1059" s="989"/>
      <c r="CRC1059" s="989"/>
      <c r="CRD1059" s="989"/>
      <c r="CRE1059" s="989"/>
      <c r="CRF1059" s="989"/>
      <c r="CRG1059" s="989"/>
      <c r="CRH1059" s="989"/>
      <c r="CRI1059" s="989"/>
      <c r="CRJ1059" s="989"/>
      <c r="CRK1059" s="989"/>
      <c r="CRL1059" s="989"/>
      <c r="CRM1059" s="989"/>
      <c r="CRN1059" s="989"/>
      <c r="CRO1059" s="989"/>
      <c r="CRP1059" s="989"/>
      <c r="CRQ1059" s="989"/>
      <c r="CRR1059" s="989"/>
      <c r="CRS1059" s="989"/>
      <c r="CRT1059" s="989"/>
      <c r="CRU1059" s="989"/>
      <c r="CRV1059" s="989"/>
      <c r="CRW1059" s="989"/>
      <c r="CRX1059" s="989"/>
      <c r="CRY1059" s="989"/>
      <c r="CRZ1059" s="989"/>
      <c r="CSA1059" s="989"/>
      <c r="CSB1059" s="989"/>
      <c r="CSC1059" s="989"/>
      <c r="CSD1059" s="989"/>
      <c r="CSE1059" s="989"/>
      <c r="CSF1059" s="989"/>
      <c r="CSG1059" s="989"/>
      <c r="CSH1059" s="989"/>
      <c r="CSI1059" s="989"/>
      <c r="CSJ1059" s="989"/>
      <c r="CSK1059" s="989"/>
      <c r="CSL1059" s="989"/>
      <c r="CSM1059" s="989"/>
      <c r="CSN1059" s="989"/>
      <c r="CSO1059" s="989"/>
      <c r="CSP1059" s="989"/>
      <c r="CSQ1059" s="989"/>
      <c r="CSR1059" s="989"/>
      <c r="CSS1059" s="989"/>
      <c r="CST1059" s="989"/>
      <c r="CSU1059" s="989"/>
      <c r="CSV1059" s="989"/>
      <c r="CSW1059" s="989"/>
      <c r="CSX1059" s="989"/>
      <c r="CSY1059" s="989"/>
      <c r="CSZ1059" s="989"/>
      <c r="CTA1059" s="989"/>
      <c r="CTB1059" s="989"/>
      <c r="CTC1059" s="989"/>
      <c r="CTD1059" s="989"/>
      <c r="CTE1059" s="989"/>
      <c r="CTF1059" s="989"/>
      <c r="CTG1059" s="989"/>
      <c r="CTH1059" s="989"/>
      <c r="CTI1059" s="989"/>
      <c r="CTJ1059" s="989"/>
      <c r="CTK1059" s="989"/>
      <c r="CTL1059" s="989"/>
      <c r="CTM1059" s="989"/>
      <c r="CTN1059" s="989"/>
      <c r="CTO1059" s="989"/>
      <c r="CTP1059" s="989"/>
      <c r="CTQ1059" s="989"/>
      <c r="CTR1059" s="989"/>
      <c r="CTS1059" s="989"/>
      <c r="CTT1059" s="989"/>
      <c r="CTU1059" s="989"/>
      <c r="CTV1059" s="989"/>
      <c r="CTW1059" s="989"/>
      <c r="CTX1059" s="989"/>
      <c r="CTY1059" s="989"/>
      <c r="CTZ1059" s="989"/>
      <c r="CUA1059" s="989"/>
      <c r="CUB1059" s="989"/>
      <c r="CUC1059" s="989"/>
      <c r="CUD1059" s="989"/>
      <c r="CUE1059" s="989"/>
      <c r="CUF1059" s="989"/>
      <c r="CUG1059" s="989"/>
      <c r="CUH1059" s="989"/>
      <c r="CUI1059" s="989"/>
      <c r="CUJ1059" s="989"/>
      <c r="CUK1059" s="989"/>
      <c r="CUL1059" s="989"/>
      <c r="CUM1059" s="989"/>
      <c r="CUN1059" s="989"/>
      <c r="CUO1059" s="989"/>
      <c r="CUP1059" s="989"/>
      <c r="CUQ1059" s="989"/>
      <c r="CUR1059" s="989"/>
      <c r="CUS1059" s="989"/>
      <c r="CUT1059" s="989"/>
      <c r="CUU1059" s="989"/>
      <c r="CUV1059" s="989"/>
      <c r="CUW1059" s="989"/>
      <c r="CUX1059" s="989"/>
      <c r="CUY1059" s="989"/>
      <c r="CUZ1059" s="989"/>
      <c r="CVA1059" s="989"/>
      <c r="CVB1059" s="989"/>
      <c r="CVC1059" s="989"/>
      <c r="CVD1059" s="989"/>
      <c r="CVE1059" s="989"/>
      <c r="CVF1059" s="989"/>
      <c r="CVG1059" s="989"/>
      <c r="CVH1059" s="989"/>
      <c r="CVI1059" s="989"/>
      <c r="CVJ1059" s="989"/>
      <c r="CVK1059" s="989"/>
      <c r="CVL1059" s="989"/>
      <c r="CVM1059" s="989"/>
      <c r="CVN1059" s="989"/>
      <c r="CVO1059" s="989"/>
      <c r="CVP1059" s="989"/>
      <c r="CVQ1059" s="989"/>
      <c r="CVR1059" s="989"/>
      <c r="CVS1059" s="989"/>
      <c r="CVT1059" s="989"/>
      <c r="CVU1059" s="989"/>
      <c r="CVV1059" s="989"/>
      <c r="CVW1059" s="989"/>
      <c r="CVX1059" s="989"/>
      <c r="CVY1059" s="989"/>
      <c r="CVZ1059" s="989"/>
      <c r="CWA1059" s="989"/>
      <c r="CWB1059" s="989"/>
      <c r="CWC1059" s="989"/>
      <c r="CWD1059" s="989"/>
      <c r="CWE1059" s="989"/>
      <c r="CWF1059" s="989"/>
      <c r="CWG1059" s="989"/>
      <c r="CWH1059" s="989"/>
      <c r="CWI1059" s="989"/>
      <c r="CWJ1059" s="989"/>
      <c r="CWK1059" s="989"/>
      <c r="CWL1059" s="989"/>
      <c r="CWM1059" s="989"/>
      <c r="CWN1059" s="989"/>
      <c r="CWO1059" s="989"/>
      <c r="CWP1059" s="989"/>
      <c r="CWQ1059" s="989"/>
      <c r="CWR1059" s="989"/>
      <c r="CWS1059" s="989"/>
      <c r="CWT1059" s="989"/>
      <c r="CWU1059" s="989"/>
      <c r="CWV1059" s="989"/>
      <c r="CWW1059" s="989"/>
      <c r="CWX1059" s="989"/>
      <c r="CWY1059" s="989"/>
      <c r="CWZ1059" s="989"/>
      <c r="CXA1059" s="989"/>
      <c r="CXB1059" s="989"/>
      <c r="CXC1059" s="989"/>
      <c r="CXD1059" s="989"/>
      <c r="CXE1059" s="989"/>
      <c r="CXF1059" s="989"/>
      <c r="CXG1059" s="989"/>
      <c r="CXH1059" s="989"/>
      <c r="CXI1059" s="989"/>
      <c r="CXJ1059" s="989"/>
      <c r="CXK1059" s="989"/>
      <c r="CXL1059" s="989"/>
      <c r="CXM1059" s="989"/>
      <c r="CXN1059" s="989"/>
      <c r="CXO1059" s="989"/>
      <c r="CXP1059" s="989"/>
      <c r="CXQ1059" s="989"/>
      <c r="CXR1059" s="989"/>
      <c r="CXS1059" s="989"/>
      <c r="CXT1059" s="989"/>
      <c r="CXU1059" s="989"/>
      <c r="CXV1059" s="989"/>
      <c r="CXW1059" s="989"/>
      <c r="CXX1059" s="989"/>
      <c r="CXY1059" s="989"/>
      <c r="CXZ1059" s="989"/>
      <c r="CYA1059" s="989"/>
      <c r="CYB1059" s="989"/>
      <c r="CYC1059" s="989"/>
      <c r="CYD1059" s="989"/>
      <c r="CYE1059" s="989"/>
      <c r="CYF1059" s="989"/>
      <c r="CYG1059" s="989"/>
      <c r="CYH1059" s="989"/>
      <c r="CYI1059" s="989"/>
      <c r="CYJ1059" s="989"/>
      <c r="CYK1059" s="989"/>
      <c r="CYL1059" s="989"/>
      <c r="CYM1059" s="989"/>
      <c r="CYN1059" s="989"/>
      <c r="CYO1059" s="989"/>
      <c r="CYP1059" s="989"/>
      <c r="CYQ1059" s="989"/>
      <c r="CYR1059" s="989"/>
      <c r="CYS1059" s="989"/>
      <c r="CYT1059" s="989"/>
      <c r="CYU1059" s="989"/>
      <c r="CYV1059" s="989"/>
      <c r="CYW1059" s="989"/>
      <c r="CYX1059" s="989"/>
      <c r="CYY1059" s="989"/>
      <c r="CYZ1059" s="989"/>
      <c r="CZA1059" s="989"/>
      <c r="CZB1059" s="989"/>
      <c r="CZC1059" s="989"/>
      <c r="CZD1059" s="989"/>
      <c r="CZE1059" s="989"/>
      <c r="CZF1059" s="989"/>
      <c r="CZG1059" s="989"/>
      <c r="CZH1059" s="989"/>
      <c r="CZI1059" s="989"/>
      <c r="CZJ1059" s="989"/>
      <c r="CZK1059" s="989"/>
      <c r="CZL1059" s="989"/>
      <c r="CZM1059" s="989"/>
      <c r="CZN1059" s="989"/>
      <c r="CZO1059" s="989"/>
      <c r="CZP1059" s="989"/>
      <c r="CZQ1059" s="989"/>
      <c r="CZR1059" s="989"/>
      <c r="CZS1059" s="989"/>
      <c r="CZT1059" s="989"/>
      <c r="CZU1059" s="989"/>
      <c r="CZV1059" s="989"/>
      <c r="CZW1059" s="989"/>
      <c r="CZX1059" s="989"/>
      <c r="CZY1059" s="989"/>
      <c r="CZZ1059" s="989"/>
      <c r="DAA1059" s="989"/>
      <c r="DAB1059" s="989"/>
      <c r="DAC1059" s="989"/>
      <c r="DAD1059" s="989"/>
      <c r="DAE1059" s="989"/>
      <c r="DAF1059" s="989"/>
      <c r="DAG1059" s="989"/>
      <c r="DAH1059" s="989"/>
      <c r="DAI1059" s="989"/>
      <c r="DAJ1059" s="989"/>
      <c r="DAK1059" s="989"/>
      <c r="DAL1059" s="989"/>
      <c r="DAM1059" s="989"/>
      <c r="DAN1059" s="989"/>
      <c r="DAO1059" s="989"/>
      <c r="DAP1059" s="989"/>
      <c r="DAQ1059" s="989"/>
      <c r="DAR1059" s="989"/>
      <c r="DAS1059" s="989"/>
      <c r="DAT1059" s="989"/>
      <c r="DAU1059" s="989"/>
      <c r="DAV1059" s="989"/>
      <c r="DAW1059" s="989"/>
      <c r="DAX1059" s="989"/>
      <c r="DAY1059" s="989"/>
      <c r="DAZ1059" s="989"/>
      <c r="DBA1059" s="989"/>
      <c r="DBB1059" s="989"/>
      <c r="DBC1059" s="989"/>
      <c r="DBD1059" s="989"/>
      <c r="DBE1059" s="989"/>
      <c r="DBF1059" s="989"/>
      <c r="DBG1059" s="989"/>
      <c r="DBH1059" s="989"/>
      <c r="DBI1059" s="989"/>
      <c r="DBJ1059" s="989"/>
      <c r="DBK1059" s="989"/>
      <c r="DBL1059" s="989"/>
      <c r="DBM1059" s="989"/>
      <c r="DBN1059" s="989"/>
      <c r="DBO1059" s="989"/>
      <c r="DBP1059" s="989"/>
      <c r="DBQ1059" s="989"/>
      <c r="DBR1059" s="989"/>
      <c r="DBS1059" s="989"/>
      <c r="DBT1059" s="989"/>
      <c r="DBU1059" s="989"/>
      <c r="DBV1059" s="989"/>
      <c r="DBW1059" s="989"/>
      <c r="DBX1059" s="989"/>
      <c r="DBY1059" s="989"/>
      <c r="DBZ1059" s="989"/>
      <c r="DCA1059" s="989"/>
      <c r="DCB1059" s="989"/>
      <c r="DCC1059" s="989"/>
      <c r="DCD1059" s="989"/>
      <c r="DCE1059" s="989"/>
      <c r="DCF1059" s="989"/>
      <c r="DCG1059" s="989"/>
      <c r="DCH1059" s="989"/>
      <c r="DCI1059" s="989"/>
      <c r="DCJ1059" s="989"/>
      <c r="DCK1059" s="989"/>
      <c r="DCL1059" s="989"/>
      <c r="DCM1059" s="989"/>
      <c r="DCN1059" s="989"/>
      <c r="DCO1059" s="989"/>
      <c r="DCP1059" s="989"/>
      <c r="DCQ1059" s="989"/>
      <c r="DCR1059" s="989"/>
      <c r="DCS1059" s="989"/>
      <c r="DCT1059" s="989"/>
      <c r="DCU1059" s="989"/>
      <c r="DCV1059" s="989"/>
      <c r="DCW1059" s="989"/>
      <c r="DCX1059" s="989"/>
      <c r="DCY1059" s="989"/>
      <c r="DCZ1059" s="989"/>
      <c r="DDA1059" s="989"/>
      <c r="DDB1059" s="989"/>
      <c r="DDC1059" s="989"/>
      <c r="DDD1059" s="989"/>
      <c r="DDE1059" s="989"/>
      <c r="DDF1059" s="989"/>
      <c r="DDG1059" s="989"/>
      <c r="DDH1059" s="989"/>
      <c r="DDI1059" s="989"/>
      <c r="DDJ1059" s="989"/>
      <c r="DDK1059" s="989"/>
      <c r="DDL1059" s="989"/>
      <c r="DDM1059" s="989"/>
      <c r="DDN1059" s="989"/>
      <c r="DDO1059" s="989"/>
      <c r="DDP1059" s="989"/>
      <c r="DDQ1059" s="989"/>
      <c r="DDR1059" s="989"/>
      <c r="DDS1059" s="989"/>
      <c r="DDT1059" s="989"/>
      <c r="DDU1059" s="989"/>
      <c r="DDV1059" s="989"/>
      <c r="DDW1059" s="989"/>
      <c r="DDX1059" s="989"/>
      <c r="DDY1059" s="989"/>
      <c r="DDZ1059" s="989"/>
      <c r="DEA1059" s="989"/>
      <c r="DEB1059" s="989"/>
      <c r="DEC1059" s="989"/>
      <c r="DED1059" s="989"/>
      <c r="DEE1059" s="989"/>
      <c r="DEF1059" s="989"/>
      <c r="DEG1059" s="989"/>
      <c r="DEH1059" s="989"/>
      <c r="DEI1059" s="989"/>
      <c r="DEJ1059" s="989"/>
      <c r="DEK1059" s="989"/>
      <c r="DEL1059" s="989"/>
      <c r="DEM1059" s="989"/>
      <c r="DEN1059" s="989"/>
      <c r="DEO1059" s="989"/>
      <c r="DEP1059" s="989"/>
      <c r="DEQ1059" s="989"/>
      <c r="DER1059" s="989"/>
      <c r="DES1059" s="989"/>
      <c r="DET1059" s="989"/>
      <c r="DEU1059" s="989"/>
      <c r="DEV1059" s="989"/>
      <c r="DEW1059" s="989"/>
      <c r="DEX1059" s="989"/>
      <c r="DEY1059" s="989"/>
      <c r="DEZ1059" s="989"/>
      <c r="DFA1059" s="989"/>
      <c r="DFB1059" s="989"/>
      <c r="DFC1059" s="989"/>
      <c r="DFD1059" s="989"/>
      <c r="DFE1059" s="989"/>
      <c r="DFF1059" s="989"/>
      <c r="DFG1059" s="989"/>
      <c r="DFH1059" s="989"/>
      <c r="DFI1059" s="989"/>
      <c r="DFJ1059" s="989"/>
      <c r="DFK1059" s="989"/>
      <c r="DFL1059" s="989"/>
      <c r="DFM1059" s="989"/>
      <c r="DFN1059" s="989"/>
      <c r="DFO1059" s="989"/>
      <c r="DFP1059" s="989"/>
      <c r="DFQ1059" s="989"/>
      <c r="DFR1059" s="989"/>
      <c r="DFS1059" s="989"/>
      <c r="DFT1059" s="989"/>
      <c r="DFU1059" s="989"/>
      <c r="DFV1059" s="989"/>
      <c r="DFW1059" s="989"/>
      <c r="DFX1059" s="989"/>
      <c r="DFY1059" s="989"/>
      <c r="DFZ1059" s="989"/>
      <c r="DGA1059" s="989"/>
      <c r="DGB1059" s="989"/>
      <c r="DGC1059" s="989"/>
      <c r="DGD1059" s="989"/>
      <c r="DGE1059" s="989"/>
      <c r="DGF1059" s="989"/>
      <c r="DGG1059" s="989"/>
      <c r="DGH1059" s="989"/>
      <c r="DGI1059" s="989"/>
      <c r="DGJ1059" s="989"/>
      <c r="DGK1059" s="989"/>
      <c r="DGL1059" s="989"/>
      <c r="DGM1059" s="989"/>
      <c r="DGN1059" s="989"/>
      <c r="DGO1059" s="989"/>
      <c r="DGP1059" s="989"/>
      <c r="DGQ1059" s="989"/>
      <c r="DGR1059" s="989"/>
      <c r="DGS1059" s="989"/>
      <c r="DGT1059" s="989"/>
      <c r="DGU1059" s="989"/>
      <c r="DGV1059" s="989"/>
      <c r="DGW1059" s="989"/>
      <c r="DGX1059" s="989"/>
      <c r="DGY1059" s="989"/>
      <c r="DGZ1059" s="989"/>
      <c r="DHA1059" s="989"/>
      <c r="DHB1059" s="989"/>
      <c r="DHC1059" s="989"/>
      <c r="DHD1059" s="989"/>
      <c r="DHE1059" s="989"/>
      <c r="DHF1059" s="989"/>
      <c r="DHG1059" s="989"/>
      <c r="DHH1059" s="989"/>
      <c r="DHI1059" s="989"/>
      <c r="DHJ1059" s="989"/>
      <c r="DHK1059" s="989"/>
      <c r="DHL1059" s="989"/>
      <c r="DHM1059" s="989"/>
      <c r="DHN1059" s="989"/>
      <c r="DHO1059" s="989"/>
      <c r="DHP1059" s="989"/>
      <c r="DHQ1059" s="989"/>
      <c r="DHR1059" s="989"/>
      <c r="DHS1059" s="989"/>
      <c r="DHT1059" s="989"/>
      <c r="DHU1059" s="989"/>
      <c r="DHV1059" s="989"/>
      <c r="DHW1059" s="989"/>
      <c r="DHX1059" s="989"/>
      <c r="DHY1059" s="989"/>
      <c r="DHZ1059" s="989"/>
      <c r="DIA1059" s="989"/>
      <c r="DIB1059" s="989"/>
      <c r="DIC1059" s="989"/>
      <c r="DID1059" s="989"/>
      <c r="DIE1059" s="989"/>
      <c r="DIF1059" s="989"/>
      <c r="DIG1059" s="989"/>
      <c r="DIH1059" s="989"/>
      <c r="DII1059" s="989"/>
      <c r="DIJ1059" s="989"/>
      <c r="DIK1059" s="989"/>
      <c r="DIL1059" s="989"/>
      <c r="DIM1059" s="989"/>
      <c r="DIN1059" s="989"/>
      <c r="DIO1059" s="989"/>
      <c r="DIP1059" s="989"/>
      <c r="DIQ1059" s="989"/>
      <c r="DIR1059" s="989"/>
      <c r="DIS1059" s="989"/>
      <c r="DIT1059" s="989"/>
      <c r="DIU1059" s="989"/>
      <c r="DIV1059" s="989"/>
      <c r="DIW1059" s="989"/>
      <c r="DIX1059" s="989"/>
      <c r="DIY1059" s="989"/>
      <c r="DIZ1059" s="989"/>
      <c r="DJA1059" s="989"/>
      <c r="DJB1059" s="989"/>
      <c r="DJC1059" s="989"/>
      <c r="DJD1059" s="989"/>
      <c r="DJE1059" s="989"/>
      <c r="DJF1059" s="989"/>
      <c r="DJG1059" s="989"/>
      <c r="DJH1059" s="989"/>
      <c r="DJI1059" s="989"/>
      <c r="DJJ1059" s="989"/>
      <c r="DJK1059" s="989"/>
      <c r="DJL1059" s="989"/>
      <c r="DJM1059" s="989"/>
      <c r="DJN1059" s="989"/>
      <c r="DJO1059" s="989"/>
      <c r="DJP1059" s="989"/>
      <c r="DJQ1059" s="989"/>
      <c r="DJR1059" s="989"/>
      <c r="DJS1059" s="989"/>
      <c r="DJT1059" s="989"/>
      <c r="DJU1059" s="989"/>
      <c r="DJV1059" s="989"/>
      <c r="DJW1059" s="989"/>
      <c r="DJX1059" s="989"/>
      <c r="DJY1059" s="989"/>
      <c r="DJZ1059" s="989"/>
      <c r="DKA1059" s="989"/>
      <c r="DKB1059" s="989"/>
      <c r="DKC1059" s="989"/>
      <c r="DKD1059" s="989"/>
      <c r="DKE1059" s="989"/>
      <c r="DKF1059" s="989"/>
      <c r="DKG1059" s="989"/>
      <c r="DKH1059" s="989"/>
      <c r="DKI1059" s="989"/>
      <c r="DKJ1059" s="989"/>
      <c r="DKK1059" s="989"/>
      <c r="DKL1059" s="989"/>
      <c r="DKM1059" s="989"/>
      <c r="DKN1059" s="989"/>
      <c r="DKO1059" s="989"/>
      <c r="DKP1059" s="989"/>
      <c r="DKQ1059" s="989"/>
      <c r="DKR1059" s="989"/>
      <c r="DKS1059" s="989"/>
      <c r="DKT1059" s="989"/>
      <c r="DKU1059" s="989"/>
      <c r="DKV1059" s="989"/>
      <c r="DKW1059" s="989"/>
      <c r="DKX1059" s="989"/>
      <c r="DKY1059" s="989"/>
      <c r="DKZ1059" s="989"/>
      <c r="DLA1059" s="989"/>
      <c r="DLB1059" s="989"/>
      <c r="DLC1059" s="989"/>
      <c r="DLD1059" s="989"/>
      <c r="DLE1059" s="989"/>
      <c r="DLF1059" s="989"/>
      <c r="DLG1059" s="989"/>
      <c r="DLH1059" s="989"/>
      <c r="DLI1059" s="989"/>
      <c r="DLJ1059" s="989"/>
      <c r="DLK1059" s="989"/>
      <c r="DLL1059" s="989"/>
      <c r="DLM1059" s="989"/>
      <c r="DLN1059" s="989"/>
      <c r="DLO1059" s="989"/>
      <c r="DLP1059" s="989"/>
      <c r="DLQ1059" s="989"/>
      <c r="DLR1059" s="989"/>
      <c r="DLS1059" s="989"/>
      <c r="DLT1059" s="989"/>
      <c r="DLU1059" s="989"/>
      <c r="DLV1059" s="989"/>
      <c r="DLW1059" s="989"/>
      <c r="DLX1059" s="989"/>
      <c r="DLY1059" s="989"/>
      <c r="DLZ1059" s="989"/>
      <c r="DMA1059" s="989"/>
      <c r="DMB1059" s="989"/>
      <c r="DMC1059" s="989"/>
      <c r="DMD1059" s="989"/>
      <c r="DME1059" s="989"/>
      <c r="DMF1059" s="989"/>
      <c r="DMG1059" s="989"/>
      <c r="DMH1059" s="989"/>
      <c r="DMI1059" s="989"/>
      <c r="DMJ1059" s="989"/>
      <c r="DMK1059" s="989"/>
      <c r="DML1059" s="989"/>
      <c r="DMM1059" s="989"/>
      <c r="DMN1059" s="989"/>
      <c r="DMO1059" s="989"/>
      <c r="DMP1059" s="989"/>
      <c r="DMQ1059" s="989"/>
      <c r="DMR1059" s="989"/>
      <c r="DMS1059" s="989"/>
      <c r="DMT1059" s="989"/>
      <c r="DMU1059" s="989"/>
      <c r="DMV1059" s="989"/>
      <c r="DMW1059" s="989"/>
      <c r="DMX1059" s="989"/>
      <c r="DMY1059" s="989"/>
      <c r="DMZ1059" s="989"/>
      <c r="DNA1059" s="989"/>
      <c r="DNB1059" s="989"/>
      <c r="DNC1059" s="989"/>
      <c r="DND1059" s="989"/>
      <c r="DNE1059" s="989"/>
      <c r="DNF1059" s="989"/>
      <c r="DNG1059" s="989"/>
      <c r="DNH1059" s="989"/>
      <c r="DNI1059" s="989"/>
      <c r="DNJ1059" s="989"/>
      <c r="DNK1059" s="989"/>
      <c r="DNL1059" s="989"/>
      <c r="DNM1059" s="989"/>
      <c r="DNN1059" s="989"/>
      <c r="DNO1059" s="989"/>
      <c r="DNP1059" s="989"/>
      <c r="DNQ1059" s="989"/>
      <c r="DNR1059" s="989"/>
      <c r="DNS1059" s="989"/>
      <c r="DNT1059" s="989"/>
      <c r="DNU1059" s="989"/>
      <c r="DNV1059" s="989"/>
      <c r="DNW1059" s="989"/>
      <c r="DNX1059" s="989"/>
      <c r="DNY1059" s="989"/>
      <c r="DNZ1059" s="989"/>
      <c r="DOA1059" s="989"/>
      <c r="DOB1059" s="989"/>
      <c r="DOC1059" s="989"/>
      <c r="DOD1059" s="989"/>
      <c r="DOE1059" s="989"/>
      <c r="DOF1059" s="989"/>
      <c r="DOG1059" s="989"/>
      <c r="DOH1059" s="989"/>
      <c r="DOI1059" s="989"/>
      <c r="DOJ1059" s="989"/>
      <c r="DOK1059" s="989"/>
      <c r="DOL1059" s="989"/>
      <c r="DOM1059" s="989"/>
      <c r="DON1059" s="989"/>
      <c r="DOO1059" s="989"/>
      <c r="DOP1059" s="989"/>
      <c r="DOQ1059" s="989"/>
      <c r="DOR1059" s="989"/>
      <c r="DOS1059" s="989"/>
      <c r="DOT1059" s="989"/>
      <c r="DOU1059" s="989"/>
      <c r="DOV1059" s="989"/>
      <c r="DOW1059" s="989"/>
      <c r="DOX1059" s="989"/>
      <c r="DOY1059" s="989"/>
      <c r="DOZ1059" s="989"/>
      <c r="DPA1059" s="989"/>
      <c r="DPB1059" s="989"/>
      <c r="DPC1059" s="989"/>
      <c r="DPD1059" s="989"/>
      <c r="DPE1059" s="989"/>
      <c r="DPF1059" s="989"/>
      <c r="DPG1059" s="989"/>
      <c r="DPH1059" s="989"/>
      <c r="DPI1059" s="989"/>
      <c r="DPJ1059" s="989"/>
      <c r="DPK1059" s="989"/>
      <c r="DPL1059" s="989"/>
      <c r="DPM1059" s="989"/>
      <c r="DPN1059" s="989"/>
      <c r="DPO1059" s="989"/>
      <c r="DPP1059" s="989"/>
      <c r="DPQ1059" s="989"/>
      <c r="DPR1059" s="989"/>
      <c r="DPS1059" s="989"/>
      <c r="DPT1059" s="989"/>
      <c r="DPU1059" s="989"/>
      <c r="DPV1059" s="989"/>
      <c r="DPW1059" s="989"/>
      <c r="DPX1059" s="989"/>
      <c r="DPY1059" s="989"/>
      <c r="DPZ1059" s="989"/>
      <c r="DQA1059" s="989"/>
      <c r="DQB1059" s="989"/>
      <c r="DQC1059" s="989"/>
      <c r="DQD1059" s="989"/>
      <c r="DQE1059" s="989"/>
      <c r="DQF1059" s="989"/>
      <c r="DQG1059" s="989"/>
      <c r="DQH1059" s="989"/>
      <c r="DQI1059" s="989"/>
      <c r="DQJ1059" s="989"/>
      <c r="DQK1059" s="989"/>
      <c r="DQL1059" s="989"/>
      <c r="DQM1059" s="989"/>
      <c r="DQN1059" s="989"/>
      <c r="DQO1059" s="989"/>
      <c r="DQP1059" s="989"/>
      <c r="DQQ1059" s="989"/>
      <c r="DQR1059" s="989"/>
      <c r="DQS1059" s="989"/>
      <c r="DQT1059" s="989"/>
      <c r="DQU1059" s="989"/>
      <c r="DQV1059" s="989"/>
      <c r="DQW1059" s="989"/>
      <c r="DQX1059" s="989"/>
      <c r="DQY1059" s="989"/>
      <c r="DQZ1059" s="989"/>
      <c r="DRA1059" s="989"/>
      <c r="DRB1059" s="989"/>
      <c r="DRC1059" s="989"/>
      <c r="DRD1059" s="989"/>
      <c r="DRE1059" s="989"/>
      <c r="DRF1059" s="989"/>
      <c r="DRG1059" s="989"/>
      <c r="DRH1059" s="989"/>
      <c r="DRI1059" s="989"/>
      <c r="DRJ1059" s="989"/>
      <c r="DRK1059" s="989"/>
      <c r="DRL1059" s="989"/>
      <c r="DRM1059" s="989"/>
      <c r="DRN1059" s="989"/>
      <c r="DRO1059" s="989"/>
      <c r="DRP1059" s="989"/>
      <c r="DRQ1059" s="989"/>
      <c r="DRR1059" s="989"/>
      <c r="DRS1059" s="989"/>
      <c r="DRT1059" s="989"/>
      <c r="DRU1059" s="989"/>
      <c r="DRV1059" s="989"/>
      <c r="DRW1059" s="989"/>
      <c r="DRX1059" s="989"/>
      <c r="DRY1059" s="989"/>
      <c r="DRZ1059" s="989"/>
      <c r="DSA1059" s="989"/>
      <c r="DSB1059" s="989"/>
      <c r="DSC1059" s="989"/>
      <c r="DSD1059" s="989"/>
      <c r="DSE1059" s="989"/>
      <c r="DSF1059" s="989"/>
      <c r="DSG1059" s="989"/>
      <c r="DSH1059" s="989"/>
      <c r="DSI1059" s="989"/>
      <c r="DSJ1059" s="989"/>
      <c r="DSK1059" s="989"/>
      <c r="DSL1059" s="989"/>
      <c r="DSM1059" s="989"/>
      <c r="DSN1059" s="989"/>
      <c r="DSO1059" s="989"/>
      <c r="DSP1059" s="989"/>
      <c r="DSQ1059" s="989"/>
      <c r="DSR1059" s="989"/>
      <c r="DSS1059" s="989"/>
      <c r="DST1059" s="989"/>
      <c r="DSU1059" s="989"/>
      <c r="DSV1059" s="989"/>
      <c r="DSW1059" s="989"/>
      <c r="DSX1059" s="989"/>
      <c r="DSY1059" s="989"/>
      <c r="DSZ1059" s="989"/>
      <c r="DTA1059" s="989"/>
      <c r="DTB1059" s="989"/>
      <c r="DTC1059" s="989"/>
      <c r="DTD1059" s="989"/>
      <c r="DTE1059" s="989"/>
      <c r="DTF1059" s="989"/>
      <c r="DTG1059" s="989"/>
      <c r="DTH1059" s="989"/>
      <c r="DTI1059" s="989"/>
      <c r="DTJ1059" s="989"/>
      <c r="DTK1059" s="989"/>
      <c r="DTL1059" s="989"/>
      <c r="DTM1059" s="989"/>
      <c r="DTN1059" s="989"/>
      <c r="DTO1059" s="989"/>
      <c r="DTP1059" s="989"/>
      <c r="DTQ1059" s="989"/>
      <c r="DTR1059" s="989"/>
      <c r="DTS1059" s="989"/>
      <c r="DTT1059" s="989"/>
      <c r="DTU1059" s="989"/>
      <c r="DTV1059" s="989"/>
      <c r="DTW1059" s="989"/>
      <c r="DTX1059" s="989"/>
      <c r="DTY1059" s="989"/>
      <c r="DTZ1059" s="989"/>
      <c r="DUA1059" s="989"/>
      <c r="DUB1059" s="989"/>
      <c r="DUC1059" s="989"/>
      <c r="DUD1059" s="989"/>
      <c r="DUE1059" s="989"/>
      <c r="DUF1059" s="989"/>
      <c r="DUG1059" s="989"/>
      <c r="DUH1059" s="989"/>
      <c r="DUI1059" s="989"/>
      <c r="DUJ1059" s="989"/>
      <c r="DUK1059" s="989"/>
      <c r="DUL1059" s="989"/>
      <c r="DUM1059" s="989"/>
      <c r="DUN1059" s="989"/>
      <c r="DUO1059" s="989"/>
      <c r="DUP1059" s="989"/>
      <c r="DUQ1059" s="989"/>
      <c r="DUR1059" s="989"/>
      <c r="DUS1059" s="989"/>
      <c r="DUT1059" s="989"/>
      <c r="DUU1059" s="989"/>
      <c r="DUV1059" s="989"/>
      <c r="DUW1059" s="989"/>
      <c r="DUX1059" s="989"/>
      <c r="DUY1059" s="989"/>
      <c r="DUZ1059" s="989"/>
      <c r="DVA1059" s="989"/>
      <c r="DVB1059" s="989"/>
      <c r="DVC1059" s="989"/>
      <c r="DVD1059" s="989"/>
      <c r="DVE1059" s="989"/>
      <c r="DVF1059" s="989"/>
      <c r="DVG1059" s="989"/>
      <c r="DVH1059" s="989"/>
      <c r="DVI1059" s="989"/>
      <c r="DVJ1059" s="989"/>
      <c r="DVK1059" s="989"/>
      <c r="DVL1059" s="989"/>
      <c r="DVM1059" s="989"/>
      <c r="DVN1059" s="989"/>
      <c r="DVO1059" s="989"/>
      <c r="DVP1059" s="989"/>
      <c r="DVQ1059" s="989"/>
      <c r="DVR1059" s="989"/>
      <c r="DVS1059" s="989"/>
      <c r="DVT1059" s="989"/>
      <c r="DVU1059" s="989"/>
      <c r="DVV1059" s="989"/>
      <c r="DVW1059" s="989"/>
      <c r="DVX1059" s="989"/>
      <c r="DVY1059" s="989"/>
      <c r="DVZ1059" s="989"/>
      <c r="DWA1059" s="989"/>
      <c r="DWB1059" s="989"/>
      <c r="DWC1059" s="989"/>
      <c r="DWD1059" s="989"/>
      <c r="DWE1059" s="989"/>
      <c r="DWF1059" s="989"/>
      <c r="DWG1059" s="989"/>
      <c r="DWH1059" s="989"/>
      <c r="DWI1059" s="989"/>
      <c r="DWJ1059" s="989"/>
      <c r="DWK1059" s="989"/>
      <c r="DWL1059" s="989"/>
      <c r="DWM1059" s="989"/>
      <c r="DWN1059" s="989"/>
      <c r="DWO1059" s="989"/>
      <c r="DWP1059" s="989"/>
      <c r="DWQ1059" s="989"/>
      <c r="DWR1059" s="989"/>
      <c r="DWS1059" s="989"/>
      <c r="DWT1059" s="989"/>
      <c r="DWU1059" s="989"/>
      <c r="DWV1059" s="989"/>
      <c r="DWW1059" s="989"/>
      <c r="DWX1059" s="989"/>
      <c r="DWY1059" s="989"/>
      <c r="DWZ1059" s="989"/>
      <c r="DXA1059" s="989"/>
      <c r="DXB1059" s="989"/>
      <c r="DXC1059" s="989"/>
      <c r="DXD1059" s="989"/>
      <c r="DXE1059" s="989"/>
      <c r="DXF1059" s="989"/>
      <c r="DXG1059" s="989"/>
      <c r="DXH1059" s="989"/>
      <c r="DXI1059" s="989"/>
      <c r="DXJ1059" s="989"/>
      <c r="DXK1059" s="989"/>
      <c r="DXL1059" s="989"/>
      <c r="DXM1059" s="989"/>
      <c r="DXN1059" s="989"/>
      <c r="DXO1059" s="989"/>
      <c r="DXP1059" s="989"/>
      <c r="DXQ1059" s="989"/>
      <c r="DXR1059" s="989"/>
      <c r="DXS1059" s="989"/>
      <c r="DXT1059" s="989"/>
      <c r="DXU1059" s="989"/>
      <c r="DXV1059" s="989"/>
      <c r="DXW1059" s="989"/>
      <c r="DXX1059" s="989"/>
      <c r="DXY1059" s="989"/>
      <c r="DXZ1059" s="989"/>
      <c r="DYA1059" s="989"/>
      <c r="DYB1059" s="989"/>
      <c r="DYC1059" s="989"/>
      <c r="DYD1059" s="989"/>
      <c r="DYE1059" s="989"/>
      <c r="DYF1059" s="989"/>
      <c r="DYG1059" s="989"/>
      <c r="DYH1059" s="989"/>
      <c r="DYI1059" s="989"/>
      <c r="DYJ1059" s="989"/>
      <c r="DYK1059" s="989"/>
      <c r="DYL1059" s="989"/>
      <c r="DYM1059" s="989"/>
      <c r="DYN1059" s="989"/>
      <c r="DYO1059" s="989"/>
      <c r="DYP1059" s="989"/>
      <c r="DYQ1059" s="989"/>
      <c r="DYR1059" s="989"/>
      <c r="DYS1059" s="989"/>
      <c r="DYT1059" s="989"/>
      <c r="DYU1059" s="989"/>
      <c r="DYV1059" s="989"/>
      <c r="DYW1059" s="989"/>
      <c r="DYX1059" s="989"/>
      <c r="DYY1059" s="989"/>
      <c r="DYZ1059" s="989"/>
      <c r="DZA1059" s="989"/>
      <c r="DZB1059" s="989"/>
      <c r="DZC1059" s="989"/>
      <c r="DZD1059" s="989"/>
      <c r="DZE1059" s="989"/>
      <c r="DZF1059" s="989"/>
      <c r="DZG1059" s="989"/>
      <c r="DZH1059" s="989"/>
      <c r="DZI1059" s="989"/>
      <c r="DZJ1059" s="989"/>
      <c r="DZK1059" s="989"/>
      <c r="DZL1059" s="989"/>
      <c r="DZM1059" s="989"/>
      <c r="DZN1059" s="989"/>
      <c r="DZO1059" s="989"/>
      <c r="DZP1059" s="989"/>
      <c r="DZQ1059" s="989"/>
      <c r="DZR1059" s="989"/>
      <c r="DZS1059" s="989"/>
      <c r="DZT1059" s="989"/>
      <c r="DZU1059" s="989"/>
      <c r="DZV1059" s="989"/>
      <c r="DZW1059" s="989"/>
      <c r="DZX1059" s="989"/>
      <c r="DZY1059" s="989"/>
      <c r="DZZ1059" s="989"/>
      <c r="EAA1059" s="989"/>
      <c r="EAB1059" s="989"/>
      <c r="EAC1059" s="989"/>
      <c r="EAD1059" s="989"/>
      <c r="EAE1059" s="989"/>
      <c r="EAF1059" s="989"/>
      <c r="EAG1059" s="989"/>
      <c r="EAH1059" s="989"/>
      <c r="EAI1059" s="989"/>
      <c r="EAJ1059" s="989"/>
      <c r="EAK1059" s="989"/>
      <c r="EAL1059" s="989"/>
      <c r="EAM1059" s="989"/>
      <c r="EAN1059" s="989"/>
      <c r="EAO1059" s="989"/>
      <c r="EAP1059" s="989"/>
      <c r="EAQ1059" s="989"/>
      <c r="EAR1059" s="989"/>
      <c r="EAS1059" s="989"/>
      <c r="EAT1059" s="989"/>
      <c r="EAU1059" s="989"/>
      <c r="EAV1059" s="989"/>
      <c r="EAW1059" s="989"/>
      <c r="EAX1059" s="989"/>
      <c r="EAY1059" s="989"/>
      <c r="EAZ1059" s="989"/>
      <c r="EBA1059" s="989"/>
      <c r="EBB1059" s="989"/>
      <c r="EBC1059" s="989"/>
      <c r="EBD1059" s="989"/>
      <c r="EBE1059" s="989"/>
      <c r="EBF1059" s="989"/>
      <c r="EBG1059" s="989"/>
      <c r="EBH1059" s="989"/>
      <c r="EBI1059" s="989"/>
      <c r="EBJ1059" s="989"/>
      <c r="EBK1059" s="989"/>
      <c r="EBL1059" s="989"/>
      <c r="EBM1059" s="989"/>
      <c r="EBN1059" s="989"/>
      <c r="EBO1059" s="989"/>
      <c r="EBP1059" s="989"/>
      <c r="EBQ1059" s="989"/>
      <c r="EBR1059" s="989"/>
      <c r="EBS1059" s="989"/>
      <c r="EBT1059" s="989"/>
      <c r="EBU1059" s="989"/>
      <c r="EBV1059" s="989"/>
      <c r="EBW1059" s="989"/>
      <c r="EBX1059" s="989"/>
      <c r="EBY1059" s="989"/>
      <c r="EBZ1059" s="989"/>
      <c r="ECA1059" s="989"/>
      <c r="ECB1059" s="989"/>
      <c r="ECC1059" s="989"/>
      <c r="ECD1059" s="989"/>
      <c r="ECE1059" s="989"/>
      <c r="ECF1059" s="989"/>
      <c r="ECG1059" s="989"/>
      <c r="ECH1059" s="989"/>
      <c r="ECI1059" s="989"/>
      <c r="ECJ1059" s="989"/>
      <c r="ECK1059" s="989"/>
      <c r="ECL1059" s="989"/>
      <c r="ECM1059" s="989"/>
      <c r="ECN1059" s="989"/>
      <c r="ECO1059" s="989"/>
      <c r="ECP1059" s="989"/>
      <c r="ECQ1059" s="989"/>
      <c r="ECR1059" s="989"/>
      <c r="ECS1059" s="989"/>
      <c r="ECT1059" s="989"/>
      <c r="ECU1059" s="989"/>
      <c r="ECV1059" s="989"/>
      <c r="ECW1059" s="989"/>
      <c r="ECX1059" s="989"/>
      <c r="ECY1059" s="989"/>
      <c r="ECZ1059" s="989"/>
      <c r="EDA1059" s="989"/>
      <c r="EDB1059" s="989"/>
      <c r="EDC1059" s="989"/>
      <c r="EDD1059" s="989"/>
      <c r="EDE1059" s="989"/>
      <c r="EDF1059" s="989"/>
      <c r="EDG1059" s="989"/>
      <c r="EDH1059" s="989"/>
      <c r="EDI1059" s="989"/>
      <c r="EDJ1059" s="989"/>
      <c r="EDK1059" s="989"/>
      <c r="EDL1059" s="989"/>
      <c r="EDM1059" s="989"/>
      <c r="EDN1059" s="989"/>
      <c r="EDO1059" s="989"/>
      <c r="EDP1059" s="989"/>
      <c r="EDQ1059" s="989"/>
      <c r="EDR1059" s="989"/>
      <c r="EDS1059" s="989"/>
      <c r="EDT1059" s="989"/>
      <c r="EDU1059" s="989"/>
      <c r="EDV1059" s="989"/>
      <c r="EDW1059" s="989"/>
      <c r="EDX1059" s="989"/>
      <c r="EDY1059" s="989"/>
      <c r="EDZ1059" s="989"/>
      <c r="EEA1059" s="989"/>
      <c r="EEB1059" s="989"/>
      <c r="EEC1059" s="989"/>
      <c r="EED1059" s="989"/>
      <c r="EEE1059" s="989"/>
      <c r="EEF1059" s="989"/>
      <c r="EEG1059" s="989"/>
      <c r="EEH1059" s="989"/>
      <c r="EEI1059" s="989"/>
      <c r="EEJ1059" s="989"/>
      <c r="EEK1059" s="989"/>
      <c r="EEL1059" s="989"/>
      <c r="EEM1059" s="989"/>
      <c r="EEN1059" s="989"/>
      <c r="EEO1059" s="989"/>
      <c r="EEP1059" s="989"/>
      <c r="EEQ1059" s="989"/>
      <c r="EER1059" s="989"/>
      <c r="EES1059" s="989"/>
      <c r="EET1059" s="989"/>
      <c r="EEU1059" s="989"/>
      <c r="EEV1059" s="989"/>
      <c r="EEW1059" s="989"/>
      <c r="EEX1059" s="989"/>
      <c r="EEY1059" s="989"/>
      <c r="EEZ1059" s="989"/>
      <c r="EFA1059" s="989"/>
      <c r="EFB1059" s="989"/>
      <c r="EFC1059" s="989"/>
      <c r="EFD1059" s="989"/>
      <c r="EFE1059" s="989"/>
      <c r="EFF1059" s="989"/>
      <c r="EFG1059" s="989"/>
      <c r="EFH1059" s="989"/>
      <c r="EFI1059" s="989"/>
      <c r="EFJ1059" s="989"/>
      <c r="EFK1059" s="989"/>
      <c r="EFL1059" s="989"/>
      <c r="EFM1059" s="989"/>
      <c r="EFN1059" s="989"/>
      <c r="EFO1059" s="989"/>
      <c r="EFP1059" s="989"/>
      <c r="EFQ1059" s="989"/>
      <c r="EFR1059" s="989"/>
      <c r="EFS1059" s="989"/>
      <c r="EFT1059" s="989"/>
      <c r="EFU1059" s="989"/>
      <c r="EFV1059" s="989"/>
      <c r="EFW1059" s="989"/>
      <c r="EFX1059" s="989"/>
      <c r="EFY1059" s="989"/>
      <c r="EFZ1059" s="989"/>
      <c r="EGA1059" s="989"/>
      <c r="EGB1059" s="989"/>
      <c r="EGC1059" s="989"/>
      <c r="EGD1059" s="989"/>
      <c r="EGE1059" s="989"/>
      <c r="EGF1059" s="989"/>
      <c r="EGG1059" s="989"/>
      <c r="EGH1059" s="989"/>
      <c r="EGI1059" s="989"/>
      <c r="EGJ1059" s="989"/>
      <c r="EGK1059" s="989"/>
      <c r="EGL1059" s="989"/>
      <c r="EGM1059" s="989"/>
      <c r="EGN1059" s="989"/>
      <c r="EGO1059" s="989"/>
      <c r="EGP1059" s="989"/>
      <c r="EGQ1059" s="989"/>
      <c r="EGR1059" s="989"/>
      <c r="EGS1059" s="989"/>
      <c r="EGT1059" s="989"/>
      <c r="EGU1059" s="989"/>
      <c r="EGV1059" s="989"/>
      <c r="EGW1059" s="989"/>
      <c r="EGX1059" s="989"/>
      <c r="EGY1059" s="989"/>
      <c r="EGZ1059" s="989"/>
      <c r="EHA1059" s="989"/>
      <c r="EHB1059" s="989"/>
      <c r="EHC1059" s="989"/>
      <c r="EHD1059" s="989"/>
      <c r="EHE1059" s="989"/>
      <c r="EHF1059" s="989"/>
      <c r="EHG1059" s="989"/>
      <c r="EHH1059" s="989"/>
      <c r="EHI1059" s="989"/>
      <c r="EHJ1059" s="989"/>
      <c r="EHK1059" s="989"/>
      <c r="EHL1059" s="989"/>
      <c r="EHM1059" s="989"/>
      <c r="EHN1059" s="989"/>
      <c r="EHO1059" s="989"/>
      <c r="EHP1059" s="989"/>
      <c r="EHQ1059" s="989"/>
      <c r="EHR1059" s="989"/>
      <c r="EHS1059" s="989"/>
      <c r="EHT1059" s="989"/>
      <c r="EHU1059" s="989"/>
      <c r="EHV1059" s="989"/>
      <c r="EHW1059" s="989"/>
      <c r="EHX1059" s="989"/>
      <c r="EHY1059" s="989"/>
      <c r="EHZ1059" s="989"/>
      <c r="EIA1059" s="989"/>
      <c r="EIB1059" s="989"/>
      <c r="EIC1059" s="989"/>
      <c r="EID1059" s="989"/>
      <c r="EIE1059" s="989"/>
      <c r="EIF1059" s="989"/>
      <c r="EIG1059" s="989"/>
      <c r="EIH1059" s="989"/>
      <c r="EII1059" s="989"/>
      <c r="EIJ1059" s="989"/>
      <c r="EIK1059" s="989"/>
      <c r="EIL1059" s="989"/>
      <c r="EIM1059" s="989"/>
      <c r="EIN1059" s="989"/>
      <c r="EIO1059" s="989"/>
      <c r="EIP1059" s="989"/>
      <c r="EIQ1059" s="989"/>
      <c r="EIR1059" s="989"/>
      <c r="EIS1059" s="989"/>
      <c r="EIT1059" s="989"/>
      <c r="EIU1059" s="989"/>
      <c r="EIV1059" s="989"/>
      <c r="EIW1059" s="989"/>
      <c r="EIX1059" s="989"/>
      <c r="EIY1059" s="989"/>
      <c r="EIZ1059" s="989"/>
      <c r="EJA1059" s="989"/>
      <c r="EJB1059" s="989"/>
      <c r="EJC1059" s="989"/>
      <c r="EJD1059" s="989"/>
      <c r="EJE1059" s="989"/>
      <c r="EJF1059" s="989"/>
      <c r="EJG1059" s="989"/>
      <c r="EJH1059" s="989"/>
      <c r="EJI1059" s="989"/>
      <c r="EJJ1059" s="989"/>
      <c r="EJK1059" s="989"/>
      <c r="EJL1059" s="989"/>
      <c r="EJM1059" s="989"/>
      <c r="EJN1059" s="989"/>
      <c r="EJO1059" s="989"/>
      <c r="EJP1059" s="989"/>
      <c r="EJQ1059" s="989"/>
      <c r="EJR1059" s="989"/>
      <c r="EJS1059" s="989"/>
      <c r="EJT1059" s="989"/>
      <c r="EJU1059" s="989"/>
      <c r="EJV1059" s="989"/>
      <c r="EJW1059" s="989"/>
      <c r="EJX1059" s="989"/>
      <c r="EJY1059" s="989"/>
      <c r="EJZ1059" s="989"/>
      <c r="EKA1059" s="989"/>
      <c r="EKB1059" s="989"/>
      <c r="EKC1059" s="989"/>
      <c r="EKD1059" s="989"/>
      <c r="EKE1059" s="989"/>
      <c r="EKF1059" s="989"/>
      <c r="EKG1059" s="989"/>
      <c r="EKH1059" s="989"/>
      <c r="EKI1059" s="989"/>
      <c r="EKJ1059" s="989"/>
      <c r="EKK1059" s="989"/>
      <c r="EKL1059" s="989"/>
      <c r="EKM1059" s="989"/>
      <c r="EKN1059" s="989"/>
      <c r="EKO1059" s="989"/>
      <c r="EKP1059" s="989"/>
      <c r="EKQ1059" s="989"/>
      <c r="EKR1059" s="989"/>
      <c r="EKS1059" s="989"/>
      <c r="EKT1059" s="989"/>
      <c r="EKU1059" s="989"/>
      <c r="EKV1059" s="989"/>
      <c r="EKW1059" s="989"/>
      <c r="EKX1059" s="989"/>
      <c r="EKY1059" s="989"/>
      <c r="EKZ1059" s="989"/>
      <c r="ELA1059" s="989"/>
      <c r="ELB1059" s="989"/>
      <c r="ELC1059" s="989"/>
      <c r="ELD1059" s="989"/>
      <c r="ELE1059" s="989"/>
      <c r="ELF1059" s="989"/>
      <c r="ELG1059" s="989"/>
      <c r="ELH1059" s="989"/>
      <c r="ELI1059" s="989"/>
      <c r="ELJ1059" s="989"/>
      <c r="ELK1059" s="989"/>
      <c r="ELL1059" s="989"/>
      <c r="ELM1059" s="989"/>
      <c r="ELN1059" s="989"/>
      <c r="ELO1059" s="989"/>
      <c r="ELP1059" s="989"/>
      <c r="ELQ1059" s="989"/>
      <c r="ELR1059" s="989"/>
      <c r="ELS1059" s="989"/>
      <c r="ELT1059" s="989"/>
      <c r="ELU1059" s="989"/>
      <c r="ELV1059" s="989"/>
      <c r="ELW1059" s="989"/>
      <c r="ELX1059" s="989"/>
      <c r="ELY1059" s="989"/>
      <c r="ELZ1059" s="989"/>
      <c r="EMA1059" s="989"/>
      <c r="EMB1059" s="989"/>
      <c r="EMC1059" s="989"/>
      <c r="EMD1059" s="989"/>
      <c r="EME1059" s="989"/>
      <c r="EMF1059" s="989"/>
      <c r="EMG1059" s="989"/>
      <c r="EMH1059" s="989"/>
      <c r="EMI1059" s="989"/>
      <c r="EMJ1059" s="989"/>
      <c r="EMK1059" s="989"/>
      <c r="EML1059" s="989"/>
      <c r="EMM1059" s="989"/>
      <c r="EMN1059" s="989"/>
      <c r="EMO1059" s="989"/>
      <c r="EMP1059" s="989"/>
      <c r="EMQ1059" s="989"/>
      <c r="EMR1059" s="989"/>
      <c r="EMS1059" s="989"/>
      <c r="EMT1059" s="989"/>
      <c r="EMU1059" s="989"/>
      <c r="EMV1059" s="989"/>
      <c r="EMW1059" s="989"/>
      <c r="EMX1059" s="989"/>
      <c r="EMY1059" s="989"/>
      <c r="EMZ1059" s="989"/>
      <c r="ENA1059" s="989"/>
      <c r="ENB1059" s="989"/>
      <c r="ENC1059" s="989"/>
      <c r="END1059" s="989"/>
      <c r="ENE1059" s="989"/>
      <c r="ENF1059" s="989"/>
      <c r="ENG1059" s="989"/>
      <c r="ENH1059" s="989"/>
      <c r="ENI1059" s="989"/>
      <c r="ENJ1059" s="989"/>
      <c r="ENK1059" s="989"/>
      <c r="ENL1059" s="989"/>
      <c r="ENM1059" s="989"/>
      <c r="ENN1059" s="989"/>
      <c r="ENO1059" s="989"/>
      <c r="ENP1059" s="989"/>
      <c r="ENQ1059" s="989"/>
      <c r="ENR1059" s="989"/>
      <c r="ENS1059" s="989"/>
      <c r="ENT1059" s="989"/>
      <c r="ENU1059" s="989"/>
      <c r="ENV1059" s="989"/>
      <c r="ENW1059" s="989"/>
      <c r="ENX1059" s="989"/>
      <c r="ENY1059" s="989"/>
      <c r="ENZ1059" s="989"/>
      <c r="EOA1059" s="989"/>
      <c r="EOB1059" s="989"/>
      <c r="EOC1059" s="989"/>
      <c r="EOD1059" s="989"/>
      <c r="EOE1059" s="989"/>
      <c r="EOF1059" s="989"/>
      <c r="EOG1059" s="989"/>
      <c r="EOH1059" s="989"/>
      <c r="EOI1059" s="989"/>
      <c r="EOJ1059" s="989"/>
      <c r="EOK1059" s="989"/>
      <c r="EOL1059" s="989"/>
      <c r="EOM1059" s="989"/>
      <c r="EON1059" s="989"/>
      <c r="EOO1059" s="989"/>
      <c r="EOP1059" s="989"/>
      <c r="EOQ1059" s="989"/>
      <c r="EOR1059" s="989"/>
      <c r="EOS1059" s="989"/>
      <c r="EOT1059" s="989"/>
      <c r="EOU1059" s="989"/>
      <c r="EOV1059" s="989"/>
      <c r="EOW1059" s="989"/>
      <c r="EOX1059" s="989"/>
      <c r="EOY1059" s="989"/>
      <c r="EOZ1059" s="989"/>
      <c r="EPA1059" s="989"/>
      <c r="EPB1059" s="989"/>
      <c r="EPC1059" s="989"/>
      <c r="EPD1059" s="989"/>
      <c r="EPE1059" s="989"/>
      <c r="EPF1059" s="989"/>
      <c r="EPG1059" s="989"/>
      <c r="EPH1059" s="989"/>
      <c r="EPI1059" s="989"/>
      <c r="EPJ1059" s="989"/>
      <c r="EPK1059" s="989"/>
      <c r="EPL1059" s="989"/>
      <c r="EPM1059" s="989"/>
      <c r="EPN1059" s="989"/>
      <c r="EPO1059" s="989"/>
      <c r="EPP1059" s="989"/>
      <c r="EPQ1059" s="989"/>
      <c r="EPR1059" s="989"/>
      <c r="EPS1059" s="989"/>
      <c r="EPT1059" s="989"/>
      <c r="EPU1059" s="989"/>
      <c r="EPV1059" s="989"/>
      <c r="EPW1059" s="989"/>
      <c r="EPX1059" s="989"/>
      <c r="EPY1059" s="989"/>
      <c r="EPZ1059" s="989"/>
      <c r="EQA1059" s="989"/>
      <c r="EQB1059" s="989"/>
      <c r="EQC1059" s="989"/>
      <c r="EQD1059" s="989"/>
      <c r="EQE1059" s="989"/>
      <c r="EQF1059" s="989"/>
      <c r="EQG1059" s="989"/>
      <c r="EQH1059" s="989"/>
      <c r="EQI1059" s="989"/>
      <c r="EQJ1059" s="989"/>
      <c r="EQK1059" s="989"/>
      <c r="EQL1059" s="989"/>
      <c r="EQM1059" s="989"/>
      <c r="EQN1059" s="989"/>
      <c r="EQO1059" s="989"/>
      <c r="EQP1059" s="989"/>
      <c r="EQQ1059" s="989"/>
      <c r="EQR1059" s="989"/>
      <c r="EQS1059" s="989"/>
      <c r="EQT1059" s="989"/>
      <c r="EQU1059" s="989"/>
      <c r="EQV1059" s="989"/>
      <c r="EQW1059" s="989"/>
      <c r="EQX1059" s="989"/>
      <c r="EQY1059" s="989"/>
      <c r="EQZ1059" s="989"/>
      <c r="ERA1059" s="989"/>
      <c r="ERB1059" s="989"/>
      <c r="ERC1059" s="989"/>
      <c r="ERD1059" s="989"/>
      <c r="ERE1059" s="989"/>
      <c r="ERF1059" s="989"/>
      <c r="ERG1059" s="989"/>
      <c r="ERH1059" s="989"/>
      <c r="ERI1059" s="989"/>
      <c r="ERJ1059" s="989"/>
      <c r="ERK1059" s="989"/>
      <c r="ERL1059" s="989"/>
      <c r="ERM1059" s="989"/>
      <c r="ERN1059" s="989"/>
      <c r="ERO1059" s="989"/>
      <c r="ERP1059" s="989"/>
      <c r="ERQ1059" s="989"/>
      <c r="ERR1059" s="989"/>
      <c r="ERS1059" s="989"/>
      <c r="ERT1059" s="989"/>
      <c r="ERU1059" s="989"/>
      <c r="ERV1059" s="989"/>
      <c r="ERW1059" s="989"/>
      <c r="ERX1059" s="989"/>
      <c r="ERY1059" s="989"/>
      <c r="ERZ1059" s="989"/>
      <c r="ESA1059" s="989"/>
      <c r="ESB1059" s="989"/>
      <c r="ESC1059" s="989"/>
      <c r="ESD1059" s="989"/>
      <c r="ESE1059" s="989"/>
      <c r="ESF1059" s="989"/>
      <c r="ESG1059" s="989"/>
      <c r="ESH1059" s="989"/>
      <c r="ESI1059" s="989"/>
      <c r="ESJ1059" s="989"/>
      <c r="ESK1059" s="989"/>
      <c r="ESL1059" s="989"/>
      <c r="ESM1059" s="989"/>
      <c r="ESN1059" s="989"/>
      <c r="ESO1059" s="989"/>
      <c r="ESP1059" s="989"/>
      <c r="ESQ1059" s="989"/>
      <c r="ESR1059" s="989"/>
      <c r="ESS1059" s="989"/>
      <c r="EST1059" s="989"/>
      <c r="ESU1059" s="989"/>
      <c r="ESV1059" s="989"/>
      <c r="ESW1059" s="989"/>
      <c r="ESX1059" s="989"/>
      <c r="ESY1059" s="989"/>
      <c r="ESZ1059" s="989"/>
      <c r="ETA1059" s="989"/>
      <c r="ETB1059" s="989"/>
      <c r="ETC1059" s="989"/>
      <c r="ETD1059" s="989"/>
      <c r="ETE1059" s="989"/>
      <c r="ETF1059" s="989"/>
      <c r="ETG1059" s="989"/>
      <c r="ETH1059" s="989"/>
      <c r="ETI1059" s="989"/>
      <c r="ETJ1059" s="989"/>
      <c r="ETK1059" s="989"/>
      <c r="ETL1059" s="989"/>
      <c r="ETM1059" s="989"/>
      <c r="ETN1059" s="989"/>
      <c r="ETO1059" s="989"/>
      <c r="ETP1059" s="989"/>
      <c r="ETQ1059" s="989"/>
      <c r="ETR1059" s="989"/>
      <c r="ETS1059" s="989"/>
      <c r="ETT1059" s="989"/>
      <c r="ETU1059" s="989"/>
      <c r="ETV1059" s="989"/>
      <c r="ETW1059" s="989"/>
      <c r="ETX1059" s="989"/>
      <c r="ETY1059" s="989"/>
      <c r="ETZ1059" s="989"/>
      <c r="EUA1059" s="989"/>
      <c r="EUB1059" s="989"/>
      <c r="EUC1059" s="989"/>
      <c r="EUD1059" s="989"/>
      <c r="EUE1059" s="989"/>
      <c r="EUF1059" s="989"/>
      <c r="EUG1059" s="989"/>
      <c r="EUH1059" s="989"/>
      <c r="EUI1059" s="989"/>
      <c r="EUJ1059" s="989"/>
      <c r="EUK1059" s="989"/>
      <c r="EUL1059" s="989"/>
      <c r="EUM1059" s="989"/>
      <c r="EUN1059" s="989"/>
      <c r="EUO1059" s="989"/>
      <c r="EUP1059" s="989"/>
      <c r="EUQ1059" s="989"/>
      <c r="EUR1059" s="989"/>
      <c r="EUS1059" s="989"/>
      <c r="EUT1059" s="989"/>
      <c r="EUU1059" s="989"/>
      <c r="EUV1059" s="989"/>
      <c r="EUW1059" s="989"/>
      <c r="EUX1059" s="989"/>
      <c r="EUY1059" s="989"/>
      <c r="EUZ1059" s="989"/>
      <c r="EVA1059" s="989"/>
      <c r="EVB1059" s="989"/>
      <c r="EVC1059" s="989"/>
      <c r="EVD1059" s="989"/>
      <c r="EVE1059" s="989"/>
      <c r="EVF1059" s="989"/>
      <c r="EVG1059" s="989"/>
      <c r="EVH1059" s="989"/>
      <c r="EVI1059" s="989"/>
      <c r="EVJ1059" s="989"/>
      <c r="EVK1059" s="989"/>
      <c r="EVL1059" s="989"/>
      <c r="EVM1059" s="989"/>
      <c r="EVN1059" s="989"/>
      <c r="EVO1059" s="989"/>
      <c r="EVP1059" s="989"/>
      <c r="EVQ1059" s="989"/>
      <c r="EVR1059" s="989"/>
      <c r="EVS1059" s="989"/>
      <c r="EVT1059" s="989"/>
      <c r="EVU1059" s="989"/>
      <c r="EVV1059" s="989"/>
      <c r="EVW1059" s="989"/>
      <c r="EVX1059" s="989"/>
      <c r="EVY1059" s="989"/>
      <c r="EVZ1059" s="989"/>
      <c r="EWA1059" s="989"/>
      <c r="EWB1059" s="989"/>
      <c r="EWC1059" s="989"/>
      <c r="EWD1059" s="989"/>
      <c r="EWE1059" s="989"/>
      <c r="EWF1059" s="989"/>
      <c r="EWG1059" s="989"/>
      <c r="EWH1059" s="989"/>
      <c r="EWI1059" s="989"/>
      <c r="EWJ1059" s="989"/>
      <c r="EWK1059" s="989"/>
      <c r="EWL1059" s="989"/>
      <c r="EWM1059" s="989"/>
      <c r="EWN1059" s="989"/>
      <c r="EWO1059" s="989"/>
      <c r="EWP1059" s="989"/>
      <c r="EWQ1059" s="989"/>
      <c r="EWR1059" s="989"/>
      <c r="EWS1059" s="989"/>
      <c r="EWT1059" s="989"/>
      <c r="EWU1059" s="989"/>
      <c r="EWV1059" s="989"/>
      <c r="EWW1059" s="989"/>
      <c r="EWX1059" s="989"/>
      <c r="EWY1059" s="989"/>
      <c r="EWZ1059" s="989"/>
      <c r="EXA1059" s="989"/>
      <c r="EXB1059" s="989"/>
      <c r="EXC1059" s="989"/>
      <c r="EXD1059" s="989"/>
      <c r="EXE1059" s="989"/>
      <c r="EXF1059" s="989"/>
      <c r="EXG1059" s="989"/>
      <c r="EXH1059" s="989"/>
      <c r="EXI1059" s="989"/>
      <c r="EXJ1059" s="989"/>
      <c r="EXK1059" s="989"/>
      <c r="EXL1059" s="989"/>
      <c r="EXM1059" s="989"/>
      <c r="EXN1059" s="989"/>
      <c r="EXO1059" s="989"/>
      <c r="EXP1059" s="989"/>
      <c r="EXQ1059" s="989"/>
      <c r="EXR1059" s="989"/>
      <c r="EXS1059" s="989"/>
      <c r="EXT1059" s="989"/>
      <c r="EXU1059" s="989"/>
      <c r="EXV1059" s="989"/>
      <c r="EXW1059" s="989"/>
      <c r="EXX1059" s="989"/>
      <c r="EXY1059" s="989"/>
      <c r="EXZ1059" s="989"/>
      <c r="EYA1059" s="989"/>
      <c r="EYB1059" s="989"/>
      <c r="EYC1059" s="989"/>
      <c r="EYD1059" s="989"/>
      <c r="EYE1059" s="989"/>
      <c r="EYF1059" s="989"/>
      <c r="EYG1059" s="989"/>
      <c r="EYH1059" s="989"/>
      <c r="EYI1059" s="989"/>
      <c r="EYJ1059" s="989"/>
      <c r="EYK1059" s="989"/>
      <c r="EYL1059" s="989"/>
      <c r="EYM1059" s="989"/>
      <c r="EYN1059" s="989"/>
      <c r="EYO1059" s="989"/>
      <c r="EYP1059" s="989"/>
      <c r="EYQ1059" s="989"/>
      <c r="EYR1059" s="989"/>
      <c r="EYS1059" s="989"/>
      <c r="EYT1059" s="989"/>
      <c r="EYU1059" s="989"/>
      <c r="EYV1059" s="989"/>
      <c r="EYW1059" s="989"/>
      <c r="EYX1059" s="989"/>
      <c r="EYY1059" s="989"/>
      <c r="EYZ1059" s="989"/>
      <c r="EZA1059" s="989"/>
      <c r="EZB1059" s="989"/>
      <c r="EZC1059" s="989"/>
      <c r="EZD1059" s="989"/>
      <c r="EZE1059" s="989"/>
      <c r="EZF1059" s="989"/>
      <c r="EZG1059" s="989"/>
      <c r="EZH1059" s="989"/>
      <c r="EZI1059" s="989"/>
      <c r="EZJ1059" s="989"/>
      <c r="EZK1059" s="989"/>
      <c r="EZL1059" s="989"/>
      <c r="EZM1059" s="989"/>
      <c r="EZN1059" s="989"/>
      <c r="EZO1059" s="989"/>
      <c r="EZP1059" s="989"/>
      <c r="EZQ1059" s="989"/>
      <c r="EZR1059" s="989"/>
      <c r="EZS1059" s="989"/>
      <c r="EZT1059" s="989"/>
      <c r="EZU1059" s="989"/>
      <c r="EZV1059" s="989"/>
      <c r="EZW1059" s="989"/>
      <c r="EZX1059" s="989"/>
      <c r="EZY1059" s="989"/>
      <c r="EZZ1059" s="989"/>
      <c r="FAA1059" s="989"/>
      <c r="FAB1059" s="989"/>
      <c r="FAC1059" s="989"/>
      <c r="FAD1059" s="989"/>
      <c r="FAE1059" s="989"/>
      <c r="FAF1059" s="989"/>
      <c r="FAG1059" s="989"/>
      <c r="FAH1059" s="989"/>
      <c r="FAI1059" s="989"/>
      <c r="FAJ1059" s="989"/>
      <c r="FAK1059" s="989"/>
      <c r="FAL1059" s="989"/>
      <c r="FAM1059" s="989"/>
      <c r="FAN1059" s="989"/>
      <c r="FAO1059" s="989"/>
      <c r="FAP1059" s="989"/>
      <c r="FAQ1059" s="989"/>
      <c r="FAR1059" s="989"/>
      <c r="FAS1059" s="989"/>
      <c r="FAT1059" s="989"/>
      <c r="FAU1059" s="989"/>
      <c r="FAV1059" s="989"/>
      <c r="FAW1059" s="989"/>
      <c r="FAX1059" s="989"/>
      <c r="FAY1059" s="989"/>
      <c r="FAZ1059" s="989"/>
      <c r="FBA1059" s="989"/>
      <c r="FBB1059" s="989"/>
      <c r="FBC1059" s="989"/>
      <c r="FBD1059" s="989"/>
      <c r="FBE1059" s="989"/>
      <c r="FBF1059" s="989"/>
      <c r="FBG1059" s="989"/>
      <c r="FBH1059" s="989"/>
      <c r="FBI1059" s="989"/>
      <c r="FBJ1059" s="989"/>
      <c r="FBK1059" s="989"/>
      <c r="FBL1059" s="989"/>
      <c r="FBM1059" s="989"/>
      <c r="FBN1059" s="989"/>
      <c r="FBO1059" s="989"/>
      <c r="FBP1059" s="989"/>
      <c r="FBQ1059" s="989"/>
      <c r="FBR1059" s="989"/>
      <c r="FBS1059" s="989"/>
      <c r="FBT1059" s="989"/>
      <c r="FBU1059" s="989"/>
      <c r="FBV1059" s="989"/>
      <c r="FBW1059" s="989"/>
      <c r="FBX1059" s="989"/>
      <c r="FBY1059" s="989"/>
      <c r="FBZ1059" s="989"/>
      <c r="FCA1059" s="989"/>
      <c r="FCB1059" s="989"/>
      <c r="FCC1059" s="989"/>
      <c r="FCD1059" s="989"/>
      <c r="FCE1059" s="989"/>
      <c r="FCF1059" s="989"/>
      <c r="FCG1059" s="989"/>
      <c r="FCH1059" s="989"/>
      <c r="FCI1059" s="989"/>
      <c r="FCJ1059" s="989"/>
      <c r="FCK1059" s="989"/>
      <c r="FCL1059" s="989"/>
      <c r="FCM1059" s="989"/>
      <c r="FCN1059" s="989"/>
      <c r="FCO1059" s="989"/>
      <c r="FCP1059" s="989"/>
      <c r="FCQ1059" s="989"/>
      <c r="FCR1059" s="989"/>
      <c r="FCS1059" s="989"/>
      <c r="FCT1059" s="989"/>
      <c r="FCU1059" s="989"/>
      <c r="FCV1059" s="989"/>
      <c r="FCW1059" s="989"/>
      <c r="FCX1059" s="989"/>
      <c r="FCY1059" s="989"/>
      <c r="FCZ1059" s="989"/>
      <c r="FDA1059" s="989"/>
      <c r="FDB1059" s="989"/>
      <c r="FDC1059" s="989"/>
      <c r="FDD1059" s="989"/>
      <c r="FDE1059" s="989"/>
      <c r="FDF1059" s="989"/>
      <c r="FDG1059" s="989"/>
      <c r="FDH1059" s="989"/>
      <c r="FDI1059" s="989"/>
      <c r="FDJ1059" s="989"/>
      <c r="FDK1059" s="989"/>
      <c r="FDL1059" s="989"/>
      <c r="FDM1059" s="989"/>
      <c r="FDN1059" s="989"/>
      <c r="FDO1059" s="989"/>
      <c r="FDP1059" s="989"/>
      <c r="FDQ1059" s="989"/>
      <c r="FDR1059" s="989"/>
      <c r="FDS1059" s="989"/>
      <c r="FDT1059" s="989"/>
      <c r="FDU1059" s="989"/>
      <c r="FDV1059" s="989"/>
      <c r="FDW1059" s="989"/>
      <c r="FDX1059" s="989"/>
      <c r="FDY1059" s="989"/>
      <c r="FDZ1059" s="989"/>
      <c r="FEA1059" s="989"/>
      <c r="FEB1059" s="989"/>
      <c r="FEC1059" s="989"/>
      <c r="FED1059" s="989"/>
      <c r="FEE1059" s="989"/>
      <c r="FEF1059" s="989"/>
      <c r="FEG1059" s="989"/>
      <c r="FEH1059" s="989"/>
      <c r="FEI1059" s="989"/>
      <c r="FEJ1059" s="989"/>
      <c r="FEK1059" s="989"/>
      <c r="FEL1059" s="989"/>
      <c r="FEM1059" s="989"/>
      <c r="FEN1059" s="989"/>
      <c r="FEO1059" s="989"/>
      <c r="FEP1059" s="989"/>
      <c r="FEQ1059" s="989"/>
      <c r="FER1059" s="989"/>
      <c r="FES1059" s="989"/>
      <c r="FET1059" s="989"/>
      <c r="FEU1059" s="989"/>
      <c r="FEV1059" s="989"/>
      <c r="FEW1059" s="989"/>
      <c r="FEX1059" s="989"/>
      <c r="FEY1059" s="989"/>
      <c r="FEZ1059" s="989"/>
      <c r="FFA1059" s="989"/>
      <c r="FFB1059" s="989"/>
      <c r="FFC1059" s="989"/>
      <c r="FFD1059" s="989"/>
      <c r="FFE1059" s="989"/>
      <c r="FFF1059" s="989"/>
      <c r="FFG1059" s="989"/>
      <c r="FFH1059" s="989"/>
      <c r="FFI1059" s="989"/>
      <c r="FFJ1059" s="989"/>
      <c r="FFK1059" s="989"/>
      <c r="FFL1059" s="989"/>
      <c r="FFM1059" s="989"/>
      <c r="FFN1059" s="989"/>
      <c r="FFO1059" s="989"/>
      <c r="FFP1059" s="989"/>
      <c r="FFQ1059" s="989"/>
      <c r="FFR1059" s="989"/>
      <c r="FFS1059" s="989"/>
      <c r="FFT1059" s="989"/>
      <c r="FFU1059" s="989"/>
      <c r="FFV1059" s="989"/>
      <c r="FFW1059" s="989"/>
      <c r="FFX1059" s="989"/>
      <c r="FFY1059" s="989"/>
      <c r="FFZ1059" s="989"/>
      <c r="FGA1059" s="989"/>
      <c r="FGB1059" s="989"/>
      <c r="FGC1059" s="989"/>
      <c r="FGD1059" s="989"/>
      <c r="FGE1059" s="989"/>
      <c r="FGF1059" s="989"/>
      <c r="FGG1059" s="989"/>
      <c r="FGH1059" s="989"/>
      <c r="FGI1059" s="989"/>
      <c r="FGJ1059" s="989"/>
      <c r="FGK1059" s="989"/>
      <c r="FGL1059" s="989"/>
      <c r="FGM1059" s="989"/>
      <c r="FGN1059" s="989"/>
      <c r="FGO1059" s="989"/>
      <c r="FGP1059" s="989"/>
      <c r="FGQ1059" s="989"/>
      <c r="FGR1059" s="989"/>
      <c r="FGS1059" s="989"/>
      <c r="FGT1059" s="989"/>
      <c r="FGU1059" s="989"/>
      <c r="FGV1059" s="989"/>
      <c r="FGW1059" s="989"/>
      <c r="FGX1059" s="989"/>
      <c r="FGY1059" s="989"/>
      <c r="FGZ1059" s="989"/>
      <c r="FHA1059" s="989"/>
      <c r="FHB1059" s="989"/>
      <c r="FHC1059" s="989"/>
      <c r="FHD1059" s="989"/>
      <c r="FHE1059" s="989"/>
      <c r="FHF1059" s="989"/>
      <c r="FHG1059" s="989"/>
      <c r="FHH1059" s="989"/>
      <c r="FHI1059" s="989"/>
      <c r="FHJ1059" s="989"/>
      <c r="FHK1059" s="989"/>
      <c r="FHL1059" s="989"/>
      <c r="FHM1059" s="989"/>
      <c r="FHN1059" s="989"/>
      <c r="FHO1059" s="989"/>
      <c r="FHP1059" s="989"/>
      <c r="FHQ1059" s="989"/>
      <c r="FHR1059" s="989"/>
      <c r="FHS1059" s="989"/>
      <c r="FHT1059" s="989"/>
      <c r="FHU1059" s="989"/>
      <c r="FHV1059" s="989"/>
      <c r="FHW1059" s="989"/>
      <c r="FHX1059" s="989"/>
      <c r="FHY1059" s="989"/>
      <c r="FHZ1059" s="989"/>
      <c r="FIA1059" s="989"/>
      <c r="FIB1059" s="989"/>
      <c r="FIC1059" s="989"/>
      <c r="FID1059" s="989"/>
      <c r="FIE1059" s="989"/>
      <c r="FIF1059" s="989"/>
      <c r="FIG1059" s="989"/>
      <c r="FIH1059" s="989"/>
      <c r="FII1059" s="989"/>
      <c r="FIJ1059" s="989"/>
      <c r="FIK1059" s="989"/>
      <c r="FIL1059" s="989"/>
      <c r="FIM1059" s="989"/>
      <c r="FIN1059" s="989"/>
      <c r="FIO1059" s="989"/>
      <c r="FIP1059" s="989"/>
      <c r="FIQ1059" s="989"/>
      <c r="FIR1059" s="989"/>
      <c r="FIS1059" s="989"/>
      <c r="FIT1059" s="989"/>
      <c r="FIU1059" s="989"/>
      <c r="FIV1059" s="989"/>
      <c r="FIW1059" s="989"/>
      <c r="FIX1059" s="989"/>
      <c r="FIY1059" s="989"/>
      <c r="FIZ1059" s="989"/>
      <c r="FJA1059" s="989"/>
      <c r="FJB1059" s="989"/>
      <c r="FJC1059" s="989"/>
      <c r="FJD1059" s="989"/>
      <c r="FJE1059" s="989"/>
      <c r="FJF1059" s="989"/>
      <c r="FJG1059" s="989"/>
      <c r="FJH1059" s="989"/>
      <c r="FJI1059" s="989"/>
      <c r="FJJ1059" s="989"/>
      <c r="FJK1059" s="989"/>
      <c r="FJL1059" s="989"/>
      <c r="FJM1059" s="989"/>
      <c r="FJN1059" s="989"/>
      <c r="FJO1059" s="989"/>
      <c r="FJP1059" s="989"/>
      <c r="FJQ1059" s="989"/>
      <c r="FJR1059" s="989"/>
      <c r="FJS1059" s="989"/>
      <c r="FJT1059" s="989"/>
      <c r="FJU1059" s="989"/>
      <c r="FJV1059" s="989"/>
      <c r="FJW1059" s="989"/>
      <c r="FJX1059" s="989"/>
      <c r="FJY1059" s="989"/>
      <c r="FJZ1059" s="989"/>
      <c r="FKA1059" s="989"/>
      <c r="FKB1059" s="989"/>
      <c r="FKC1059" s="989"/>
      <c r="FKD1059" s="989"/>
      <c r="FKE1059" s="989"/>
      <c r="FKF1059" s="989"/>
      <c r="FKG1059" s="989"/>
      <c r="FKH1059" s="989"/>
      <c r="FKI1059" s="989"/>
      <c r="FKJ1059" s="989"/>
      <c r="FKK1059" s="989"/>
      <c r="FKL1059" s="989"/>
      <c r="FKM1059" s="989"/>
      <c r="FKN1059" s="989"/>
      <c r="FKO1059" s="989"/>
      <c r="FKP1059" s="989"/>
      <c r="FKQ1059" s="989"/>
      <c r="FKR1059" s="989"/>
      <c r="FKS1059" s="989"/>
      <c r="FKT1059" s="989"/>
      <c r="FKU1059" s="989"/>
      <c r="FKV1059" s="989"/>
      <c r="FKW1059" s="989"/>
      <c r="FKX1059" s="989"/>
      <c r="FKY1059" s="989"/>
      <c r="FKZ1059" s="989"/>
      <c r="FLA1059" s="989"/>
      <c r="FLB1059" s="989"/>
      <c r="FLC1059" s="989"/>
      <c r="FLD1059" s="989"/>
      <c r="FLE1059" s="989"/>
      <c r="FLF1059" s="989"/>
      <c r="FLG1059" s="989"/>
      <c r="FLH1059" s="989"/>
      <c r="FLI1059" s="989"/>
      <c r="FLJ1059" s="989"/>
      <c r="FLK1059" s="989"/>
      <c r="FLL1059" s="989"/>
      <c r="FLM1059" s="989"/>
      <c r="FLN1059" s="989"/>
      <c r="FLO1059" s="989"/>
      <c r="FLP1059" s="989"/>
      <c r="FLQ1059" s="989"/>
      <c r="FLR1059" s="989"/>
      <c r="FLS1059" s="989"/>
      <c r="FLT1059" s="989"/>
      <c r="FLU1059" s="989"/>
      <c r="FLV1059" s="989"/>
      <c r="FLW1059" s="989"/>
      <c r="FLX1059" s="989"/>
      <c r="FLY1059" s="989"/>
      <c r="FLZ1059" s="989"/>
      <c r="FMA1059" s="989"/>
      <c r="FMB1059" s="989"/>
      <c r="FMC1059" s="989"/>
      <c r="FMD1059" s="989"/>
      <c r="FME1059" s="989"/>
      <c r="FMF1059" s="989"/>
      <c r="FMG1059" s="989"/>
      <c r="FMH1059" s="989"/>
      <c r="FMI1059" s="989"/>
      <c r="FMJ1059" s="989"/>
      <c r="FMK1059" s="989"/>
      <c r="FML1059" s="989"/>
      <c r="FMM1059" s="989"/>
      <c r="FMN1059" s="989"/>
      <c r="FMO1059" s="989"/>
      <c r="FMP1059" s="989"/>
      <c r="FMQ1059" s="989"/>
      <c r="FMR1059" s="989"/>
      <c r="FMS1059" s="989"/>
      <c r="FMT1059" s="989"/>
      <c r="FMU1059" s="989"/>
      <c r="FMV1059" s="989"/>
      <c r="FMW1059" s="989"/>
      <c r="FMX1059" s="989"/>
      <c r="FMY1059" s="989"/>
      <c r="FMZ1059" s="989"/>
      <c r="FNA1059" s="989"/>
      <c r="FNB1059" s="989"/>
      <c r="FNC1059" s="989"/>
      <c r="FND1059" s="989"/>
      <c r="FNE1059" s="989"/>
      <c r="FNF1059" s="989"/>
      <c r="FNG1059" s="989"/>
      <c r="FNH1059" s="989"/>
      <c r="FNI1059" s="989"/>
      <c r="FNJ1059" s="989"/>
      <c r="FNK1059" s="989"/>
      <c r="FNL1059" s="989"/>
      <c r="FNM1059" s="989"/>
      <c r="FNN1059" s="989"/>
      <c r="FNO1059" s="989"/>
      <c r="FNP1059" s="989"/>
      <c r="FNQ1059" s="989"/>
      <c r="FNR1059" s="989"/>
      <c r="FNS1059" s="989"/>
      <c r="FNT1059" s="989"/>
      <c r="FNU1059" s="989"/>
      <c r="FNV1059" s="989"/>
      <c r="FNW1059" s="989"/>
      <c r="FNX1059" s="989"/>
      <c r="FNY1059" s="989"/>
      <c r="FNZ1059" s="989"/>
      <c r="FOA1059" s="989"/>
      <c r="FOB1059" s="989"/>
      <c r="FOC1059" s="989"/>
      <c r="FOD1059" s="989"/>
      <c r="FOE1059" s="989"/>
      <c r="FOF1059" s="989"/>
      <c r="FOG1059" s="989"/>
      <c r="FOH1059" s="989"/>
      <c r="FOI1059" s="989"/>
      <c r="FOJ1059" s="989"/>
      <c r="FOK1059" s="989"/>
      <c r="FOL1059" s="989"/>
      <c r="FOM1059" s="989"/>
      <c r="FON1059" s="989"/>
      <c r="FOO1059" s="989"/>
      <c r="FOP1059" s="989"/>
      <c r="FOQ1059" s="989"/>
      <c r="FOR1059" s="989"/>
      <c r="FOS1059" s="989"/>
      <c r="FOT1059" s="989"/>
      <c r="FOU1059" s="989"/>
      <c r="FOV1059" s="989"/>
      <c r="FOW1059" s="989"/>
      <c r="FOX1059" s="989"/>
      <c r="FOY1059" s="989"/>
      <c r="FOZ1059" s="989"/>
      <c r="FPA1059" s="989"/>
      <c r="FPB1059" s="989"/>
      <c r="FPC1059" s="989"/>
      <c r="FPD1059" s="989"/>
      <c r="FPE1059" s="989"/>
      <c r="FPF1059" s="989"/>
      <c r="FPG1059" s="989"/>
      <c r="FPH1059" s="989"/>
      <c r="FPI1059" s="989"/>
      <c r="FPJ1059" s="989"/>
      <c r="FPK1059" s="989"/>
      <c r="FPL1059" s="989"/>
      <c r="FPM1059" s="989"/>
      <c r="FPN1059" s="989"/>
      <c r="FPO1059" s="989"/>
      <c r="FPP1059" s="989"/>
      <c r="FPQ1059" s="989"/>
      <c r="FPR1059" s="989"/>
      <c r="FPS1059" s="989"/>
      <c r="FPT1059" s="989"/>
      <c r="FPU1059" s="989"/>
      <c r="FPV1059" s="989"/>
      <c r="FPW1059" s="989"/>
      <c r="FPX1059" s="989"/>
      <c r="FPY1059" s="989"/>
      <c r="FPZ1059" s="989"/>
      <c r="FQA1059" s="989"/>
      <c r="FQB1059" s="989"/>
      <c r="FQC1059" s="989"/>
      <c r="FQD1059" s="989"/>
      <c r="FQE1059" s="989"/>
      <c r="FQF1059" s="989"/>
      <c r="FQG1059" s="989"/>
      <c r="FQH1059" s="989"/>
      <c r="FQI1059" s="989"/>
      <c r="FQJ1059" s="989"/>
      <c r="FQK1059" s="989"/>
      <c r="FQL1059" s="989"/>
      <c r="FQM1059" s="989"/>
      <c r="FQN1059" s="989"/>
      <c r="FQO1059" s="989"/>
      <c r="FQP1059" s="989"/>
      <c r="FQQ1059" s="989"/>
      <c r="FQR1059" s="989"/>
      <c r="FQS1059" s="989"/>
      <c r="FQT1059" s="989"/>
      <c r="FQU1059" s="989"/>
      <c r="FQV1059" s="989"/>
      <c r="FQW1059" s="989"/>
      <c r="FQX1059" s="989"/>
      <c r="FQY1059" s="989"/>
      <c r="FQZ1059" s="989"/>
      <c r="FRA1059" s="989"/>
      <c r="FRB1059" s="989"/>
      <c r="FRC1059" s="989"/>
      <c r="FRD1059" s="989"/>
      <c r="FRE1059" s="989"/>
      <c r="FRF1059" s="989"/>
      <c r="FRG1059" s="989"/>
      <c r="FRH1059" s="989"/>
      <c r="FRI1059" s="989"/>
      <c r="FRJ1059" s="989"/>
      <c r="FRK1059" s="989"/>
      <c r="FRL1059" s="989"/>
      <c r="FRM1059" s="989"/>
      <c r="FRN1059" s="989"/>
      <c r="FRO1059" s="989"/>
      <c r="FRP1059" s="989"/>
      <c r="FRQ1059" s="989"/>
      <c r="FRR1059" s="989"/>
      <c r="FRS1059" s="989"/>
      <c r="FRT1059" s="989"/>
      <c r="FRU1059" s="989"/>
      <c r="FRV1059" s="989"/>
      <c r="FRW1059" s="989"/>
      <c r="FRX1059" s="989"/>
      <c r="FRY1059" s="989"/>
      <c r="FRZ1059" s="989"/>
      <c r="FSA1059" s="989"/>
      <c r="FSB1059" s="989"/>
      <c r="FSC1059" s="989"/>
      <c r="FSD1059" s="989"/>
      <c r="FSE1059" s="989"/>
      <c r="FSF1059" s="989"/>
      <c r="FSG1059" s="989"/>
      <c r="FSH1059" s="989"/>
      <c r="FSI1059" s="989"/>
      <c r="FSJ1059" s="989"/>
      <c r="FSK1059" s="989"/>
      <c r="FSL1059" s="989"/>
      <c r="FSM1059" s="989"/>
      <c r="FSN1059" s="989"/>
      <c r="FSO1059" s="989"/>
      <c r="FSP1059" s="989"/>
      <c r="FSQ1059" s="989"/>
      <c r="FSR1059" s="989"/>
      <c r="FSS1059" s="989"/>
      <c r="FST1059" s="989"/>
      <c r="FSU1059" s="989"/>
      <c r="FSV1059" s="989"/>
      <c r="FSW1059" s="989"/>
      <c r="FSX1059" s="989"/>
      <c r="FSY1059" s="989"/>
      <c r="FSZ1059" s="989"/>
      <c r="FTA1059" s="989"/>
      <c r="FTB1059" s="989"/>
      <c r="FTC1059" s="989"/>
      <c r="FTD1059" s="989"/>
      <c r="FTE1059" s="989"/>
      <c r="FTF1059" s="989"/>
      <c r="FTG1059" s="989"/>
      <c r="FTH1059" s="989"/>
      <c r="FTI1059" s="989"/>
      <c r="FTJ1059" s="989"/>
      <c r="FTK1059" s="989"/>
      <c r="FTL1059" s="989"/>
      <c r="FTM1059" s="989"/>
      <c r="FTN1059" s="989"/>
      <c r="FTO1059" s="989"/>
      <c r="FTP1059" s="989"/>
      <c r="FTQ1059" s="989"/>
      <c r="FTR1059" s="989"/>
      <c r="FTS1059" s="989"/>
      <c r="FTT1059" s="989"/>
      <c r="FTU1059" s="989"/>
      <c r="FTV1059" s="989"/>
      <c r="FTW1059" s="989"/>
      <c r="FTX1059" s="989"/>
      <c r="FTY1059" s="989"/>
      <c r="FTZ1059" s="989"/>
      <c r="FUA1059" s="989"/>
      <c r="FUB1059" s="989"/>
      <c r="FUC1059" s="989"/>
      <c r="FUD1059" s="989"/>
      <c r="FUE1059" s="989"/>
      <c r="FUF1059" s="989"/>
      <c r="FUG1059" s="989"/>
      <c r="FUH1059" s="989"/>
      <c r="FUI1059" s="989"/>
      <c r="FUJ1059" s="989"/>
      <c r="FUK1059" s="989"/>
      <c r="FUL1059" s="989"/>
      <c r="FUM1059" s="989"/>
      <c r="FUN1059" s="989"/>
      <c r="FUO1059" s="989"/>
      <c r="FUP1059" s="989"/>
      <c r="FUQ1059" s="989"/>
      <c r="FUR1059" s="989"/>
      <c r="FUS1059" s="989"/>
      <c r="FUT1059" s="989"/>
      <c r="FUU1059" s="989"/>
      <c r="FUV1059" s="989"/>
      <c r="FUW1059" s="989"/>
      <c r="FUX1059" s="989"/>
      <c r="FUY1059" s="989"/>
      <c r="FUZ1059" s="989"/>
      <c r="FVA1059" s="989"/>
      <c r="FVB1059" s="989"/>
      <c r="FVC1059" s="989"/>
      <c r="FVD1059" s="989"/>
      <c r="FVE1059" s="989"/>
      <c r="FVF1059" s="989"/>
      <c r="FVG1059" s="989"/>
      <c r="FVH1059" s="989"/>
      <c r="FVI1059" s="989"/>
      <c r="FVJ1059" s="989"/>
      <c r="FVK1059" s="989"/>
      <c r="FVL1059" s="989"/>
      <c r="FVM1059" s="989"/>
      <c r="FVN1059" s="989"/>
      <c r="FVO1059" s="989"/>
      <c r="FVP1059" s="989"/>
      <c r="FVQ1059" s="989"/>
      <c r="FVR1059" s="989"/>
      <c r="FVS1059" s="989"/>
      <c r="FVT1059" s="989"/>
      <c r="FVU1059" s="989"/>
      <c r="FVV1059" s="989"/>
      <c r="FVW1059" s="989"/>
      <c r="FVX1059" s="989"/>
      <c r="FVY1059" s="989"/>
      <c r="FVZ1059" s="989"/>
      <c r="FWA1059" s="989"/>
      <c r="FWB1059" s="989"/>
      <c r="FWC1059" s="989"/>
      <c r="FWD1059" s="989"/>
      <c r="FWE1059" s="989"/>
      <c r="FWF1059" s="989"/>
      <c r="FWG1059" s="989"/>
      <c r="FWH1059" s="989"/>
      <c r="FWI1059" s="989"/>
      <c r="FWJ1059" s="989"/>
      <c r="FWK1059" s="989"/>
      <c r="FWL1059" s="989"/>
      <c r="FWM1059" s="989"/>
      <c r="FWN1059" s="989"/>
      <c r="FWO1059" s="989"/>
      <c r="FWP1059" s="989"/>
      <c r="FWQ1059" s="989"/>
      <c r="FWR1059" s="989"/>
      <c r="FWS1059" s="989"/>
      <c r="FWT1059" s="989"/>
      <c r="FWU1059" s="989"/>
      <c r="FWV1059" s="989"/>
      <c r="FWW1059" s="989"/>
      <c r="FWX1059" s="989"/>
      <c r="FWY1059" s="989"/>
      <c r="FWZ1059" s="989"/>
      <c r="FXA1059" s="989"/>
      <c r="FXB1059" s="989"/>
      <c r="FXC1059" s="989"/>
      <c r="FXD1059" s="989"/>
      <c r="FXE1059" s="989"/>
      <c r="FXF1059" s="989"/>
      <c r="FXG1059" s="989"/>
      <c r="FXH1059" s="989"/>
      <c r="FXI1059" s="989"/>
      <c r="FXJ1059" s="989"/>
      <c r="FXK1059" s="989"/>
      <c r="FXL1059" s="989"/>
      <c r="FXM1059" s="989"/>
      <c r="FXN1059" s="989"/>
      <c r="FXO1059" s="989"/>
      <c r="FXP1059" s="989"/>
      <c r="FXQ1059" s="989"/>
      <c r="FXR1059" s="989"/>
      <c r="FXS1059" s="989"/>
      <c r="FXT1059" s="989"/>
      <c r="FXU1059" s="989"/>
      <c r="FXV1059" s="989"/>
      <c r="FXW1059" s="989"/>
      <c r="FXX1059" s="989"/>
      <c r="FXY1059" s="989"/>
      <c r="FXZ1059" s="989"/>
      <c r="FYA1059" s="989"/>
      <c r="FYB1059" s="989"/>
      <c r="FYC1059" s="989"/>
      <c r="FYD1059" s="989"/>
      <c r="FYE1059" s="989"/>
      <c r="FYF1059" s="989"/>
      <c r="FYG1059" s="989"/>
      <c r="FYH1059" s="989"/>
      <c r="FYI1059" s="989"/>
      <c r="FYJ1059" s="989"/>
      <c r="FYK1059" s="989"/>
      <c r="FYL1059" s="989"/>
      <c r="FYM1059" s="989"/>
      <c r="FYN1059" s="989"/>
      <c r="FYO1059" s="989"/>
      <c r="FYP1059" s="989"/>
      <c r="FYQ1059" s="989"/>
      <c r="FYR1059" s="989"/>
      <c r="FYS1059" s="989"/>
      <c r="FYT1059" s="989"/>
      <c r="FYU1059" s="989"/>
      <c r="FYV1059" s="989"/>
      <c r="FYW1059" s="989"/>
      <c r="FYX1059" s="989"/>
      <c r="FYY1059" s="989"/>
      <c r="FYZ1059" s="989"/>
      <c r="FZA1059" s="989"/>
      <c r="FZB1059" s="989"/>
      <c r="FZC1059" s="989"/>
      <c r="FZD1059" s="989"/>
      <c r="FZE1059" s="989"/>
      <c r="FZF1059" s="989"/>
      <c r="FZG1059" s="989"/>
      <c r="FZH1059" s="989"/>
      <c r="FZI1059" s="989"/>
      <c r="FZJ1059" s="989"/>
      <c r="FZK1059" s="989"/>
      <c r="FZL1059" s="989"/>
      <c r="FZM1059" s="989"/>
      <c r="FZN1059" s="989"/>
      <c r="FZO1059" s="989"/>
      <c r="FZP1059" s="989"/>
      <c r="FZQ1059" s="989"/>
      <c r="FZR1059" s="989"/>
      <c r="FZS1059" s="989"/>
      <c r="FZT1059" s="989"/>
      <c r="FZU1059" s="989"/>
      <c r="FZV1059" s="989"/>
      <c r="FZW1059" s="989"/>
      <c r="FZX1059" s="989"/>
      <c r="FZY1059" s="989"/>
      <c r="FZZ1059" s="989"/>
      <c r="GAA1059" s="989"/>
      <c r="GAB1059" s="989"/>
      <c r="GAC1059" s="989"/>
      <c r="GAD1059" s="989"/>
      <c r="GAE1059" s="989"/>
      <c r="GAF1059" s="989"/>
      <c r="GAG1059" s="989"/>
      <c r="GAH1059" s="989"/>
      <c r="GAI1059" s="989"/>
      <c r="GAJ1059" s="989"/>
      <c r="GAK1059" s="989"/>
      <c r="GAL1059" s="989"/>
      <c r="GAM1059" s="989"/>
      <c r="GAN1059" s="989"/>
      <c r="GAO1059" s="989"/>
      <c r="GAP1059" s="989"/>
      <c r="GAQ1059" s="989"/>
      <c r="GAR1059" s="989"/>
      <c r="GAS1059" s="989"/>
      <c r="GAT1059" s="989"/>
      <c r="GAU1059" s="989"/>
      <c r="GAV1059" s="989"/>
      <c r="GAW1059" s="989"/>
      <c r="GAX1059" s="989"/>
      <c r="GAY1059" s="989"/>
      <c r="GAZ1059" s="989"/>
      <c r="GBA1059" s="989"/>
      <c r="GBB1059" s="989"/>
      <c r="GBC1059" s="989"/>
      <c r="GBD1059" s="989"/>
      <c r="GBE1059" s="989"/>
      <c r="GBF1059" s="989"/>
      <c r="GBG1059" s="989"/>
      <c r="GBH1059" s="989"/>
      <c r="GBI1059" s="989"/>
      <c r="GBJ1059" s="989"/>
      <c r="GBK1059" s="989"/>
      <c r="GBL1059" s="989"/>
      <c r="GBM1059" s="989"/>
      <c r="GBN1059" s="989"/>
      <c r="GBO1059" s="989"/>
      <c r="GBP1059" s="989"/>
      <c r="GBQ1059" s="989"/>
      <c r="GBR1059" s="989"/>
      <c r="GBS1059" s="989"/>
      <c r="GBT1059" s="989"/>
      <c r="GBU1059" s="989"/>
      <c r="GBV1059" s="989"/>
      <c r="GBW1059" s="989"/>
      <c r="GBX1059" s="989"/>
      <c r="GBY1059" s="989"/>
      <c r="GBZ1059" s="989"/>
      <c r="GCA1059" s="989"/>
      <c r="GCB1059" s="989"/>
      <c r="GCC1059" s="989"/>
      <c r="GCD1059" s="989"/>
      <c r="GCE1059" s="989"/>
      <c r="GCF1059" s="989"/>
      <c r="GCG1059" s="989"/>
      <c r="GCH1059" s="989"/>
      <c r="GCI1059" s="989"/>
      <c r="GCJ1059" s="989"/>
      <c r="GCK1059" s="989"/>
      <c r="GCL1059" s="989"/>
      <c r="GCM1059" s="989"/>
      <c r="GCN1059" s="989"/>
      <c r="GCO1059" s="989"/>
      <c r="GCP1059" s="989"/>
      <c r="GCQ1059" s="989"/>
      <c r="GCR1059" s="989"/>
      <c r="GCS1059" s="989"/>
      <c r="GCT1059" s="989"/>
      <c r="GCU1059" s="989"/>
      <c r="GCV1059" s="989"/>
      <c r="GCW1059" s="989"/>
      <c r="GCX1059" s="989"/>
      <c r="GCY1059" s="989"/>
      <c r="GCZ1059" s="989"/>
      <c r="GDA1059" s="989"/>
      <c r="GDB1059" s="989"/>
      <c r="GDC1059" s="989"/>
      <c r="GDD1059" s="989"/>
      <c r="GDE1059" s="989"/>
      <c r="GDF1059" s="989"/>
      <c r="GDG1059" s="989"/>
      <c r="GDH1059" s="989"/>
      <c r="GDI1059" s="989"/>
      <c r="GDJ1059" s="989"/>
      <c r="GDK1059" s="989"/>
      <c r="GDL1059" s="989"/>
      <c r="GDM1059" s="989"/>
      <c r="GDN1059" s="989"/>
      <c r="GDO1059" s="989"/>
      <c r="GDP1059" s="989"/>
      <c r="GDQ1059" s="989"/>
      <c r="GDR1059" s="989"/>
      <c r="GDS1059" s="989"/>
      <c r="GDT1059" s="989"/>
      <c r="GDU1059" s="989"/>
      <c r="GDV1059" s="989"/>
      <c r="GDW1059" s="989"/>
      <c r="GDX1059" s="989"/>
      <c r="GDY1059" s="989"/>
      <c r="GDZ1059" s="989"/>
      <c r="GEA1059" s="989"/>
      <c r="GEB1059" s="989"/>
      <c r="GEC1059" s="989"/>
      <c r="GED1059" s="989"/>
      <c r="GEE1059" s="989"/>
      <c r="GEF1059" s="989"/>
      <c r="GEG1059" s="989"/>
      <c r="GEH1059" s="989"/>
      <c r="GEI1059" s="989"/>
      <c r="GEJ1059" s="989"/>
      <c r="GEK1059" s="989"/>
      <c r="GEL1059" s="989"/>
      <c r="GEM1059" s="989"/>
      <c r="GEN1059" s="989"/>
      <c r="GEO1059" s="989"/>
      <c r="GEP1059" s="989"/>
      <c r="GEQ1059" s="989"/>
      <c r="GER1059" s="989"/>
      <c r="GES1059" s="989"/>
      <c r="GET1059" s="989"/>
      <c r="GEU1059" s="989"/>
      <c r="GEV1059" s="989"/>
      <c r="GEW1059" s="989"/>
      <c r="GEX1059" s="989"/>
      <c r="GEY1059" s="989"/>
      <c r="GEZ1059" s="989"/>
      <c r="GFA1059" s="989"/>
      <c r="GFB1059" s="989"/>
      <c r="GFC1059" s="989"/>
      <c r="GFD1059" s="989"/>
      <c r="GFE1059" s="989"/>
      <c r="GFF1059" s="989"/>
      <c r="GFG1059" s="989"/>
      <c r="GFH1059" s="989"/>
      <c r="GFI1059" s="989"/>
      <c r="GFJ1059" s="989"/>
      <c r="GFK1059" s="989"/>
      <c r="GFL1059" s="989"/>
      <c r="GFM1059" s="989"/>
      <c r="GFN1059" s="989"/>
      <c r="GFO1059" s="989"/>
      <c r="GFP1059" s="989"/>
      <c r="GFQ1059" s="989"/>
      <c r="GFR1059" s="989"/>
      <c r="GFS1059" s="989"/>
      <c r="GFT1059" s="989"/>
      <c r="GFU1059" s="989"/>
      <c r="GFV1059" s="989"/>
      <c r="GFW1059" s="989"/>
      <c r="GFX1059" s="989"/>
      <c r="GFY1059" s="989"/>
      <c r="GFZ1059" s="989"/>
      <c r="GGA1059" s="989"/>
      <c r="GGB1059" s="989"/>
      <c r="GGC1059" s="989"/>
      <c r="GGD1059" s="989"/>
      <c r="GGE1059" s="989"/>
      <c r="GGF1059" s="989"/>
      <c r="GGG1059" s="989"/>
      <c r="GGH1059" s="989"/>
      <c r="GGI1059" s="989"/>
      <c r="GGJ1059" s="989"/>
      <c r="GGK1059" s="989"/>
      <c r="GGL1059" s="989"/>
      <c r="GGM1059" s="989"/>
      <c r="GGN1059" s="989"/>
      <c r="GGO1059" s="989"/>
      <c r="GGP1059" s="989"/>
      <c r="GGQ1059" s="989"/>
      <c r="GGR1059" s="989"/>
      <c r="GGS1059" s="989"/>
      <c r="GGT1059" s="989"/>
      <c r="GGU1059" s="989"/>
      <c r="GGV1059" s="989"/>
      <c r="GGW1059" s="989"/>
      <c r="GGX1059" s="989"/>
      <c r="GGY1059" s="989"/>
      <c r="GGZ1059" s="989"/>
      <c r="GHA1059" s="989"/>
      <c r="GHB1059" s="989"/>
      <c r="GHC1059" s="989"/>
      <c r="GHD1059" s="989"/>
      <c r="GHE1059" s="989"/>
      <c r="GHF1059" s="989"/>
      <c r="GHG1059" s="989"/>
      <c r="GHH1059" s="989"/>
      <c r="GHI1059" s="989"/>
      <c r="GHJ1059" s="989"/>
      <c r="GHK1059" s="989"/>
      <c r="GHL1059" s="989"/>
      <c r="GHM1059" s="989"/>
      <c r="GHN1059" s="989"/>
      <c r="GHO1059" s="989"/>
      <c r="GHP1059" s="989"/>
      <c r="GHQ1059" s="989"/>
      <c r="GHR1059" s="989"/>
      <c r="GHS1059" s="989"/>
      <c r="GHT1059" s="989"/>
      <c r="GHU1059" s="989"/>
      <c r="GHV1059" s="989"/>
      <c r="GHW1059" s="989"/>
      <c r="GHX1059" s="989"/>
      <c r="GHY1059" s="989"/>
      <c r="GHZ1059" s="989"/>
      <c r="GIA1059" s="989"/>
      <c r="GIB1059" s="989"/>
      <c r="GIC1059" s="989"/>
      <c r="GID1059" s="989"/>
      <c r="GIE1059" s="989"/>
      <c r="GIF1059" s="989"/>
      <c r="GIG1059" s="989"/>
      <c r="GIH1059" s="989"/>
      <c r="GII1059" s="989"/>
      <c r="GIJ1059" s="989"/>
      <c r="GIK1059" s="989"/>
      <c r="GIL1059" s="989"/>
      <c r="GIM1059" s="989"/>
      <c r="GIN1059" s="989"/>
      <c r="GIO1059" s="989"/>
      <c r="GIP1059" s="989"/>
      <c r="GIQ1059" s="989"/>
      <c r="GIR1059" s="989"/>
      <c r="GIS1059" s="989"/>
      <c r="GIT1059" s="989"/>
      <c r="GIU1059" s="989"/>
      <c r="GIV1059" s="989"/>
      <c r="GIW1059" s="989"/>
      <c r="GIX1059" s="989"/>
      <c r="GIY1059" s="989"/>
      <c r="GIZ1059" s="989"/>
      <c r="GJA1059" s="989"/>
      <c r="GJB1059" s="989"/>
      <c r="GJC1059" s="989"/>
      <c r="GJD1059" s="989"/>
      <c r="GJE1059" s="989"/>
      <c r="GJF1059" s="989"/>
      <c r="GJG1059" s="989"/>
      <c r="GJH1059" s="989"/>
      <c r="GJI1059" s="989"/>
      <c r="GJJ1059" s="989"/>
      <c r="GJK1059" s="989"/>
      <c r="GJL1059" s="989"/>
      <c r="GJM1059" s="989"/>
      <c r="GJN1059" s="989"/>
      <c r="GJO1059" s="989"/>
      <c r="GJP1059" s="989"/>
      <c r="GJQ1059" s="989"/>
      <c r="GJR1059" s="989"/>
      <c r="GJS1059" s="989"/>
      <c r="GJT1059" s="989"/>
      <c r="GJU1059" s="989"/>
      <c r="GJV1059" s="989"/>
      <c r="GJW1059" s="989"/>
      <c r="GJX1059" s="989"/>
      <c r="GJY1059" s="989"/>
      <c r="GJZ1059" s="989"/>
      <c r="GKA1059" s="989"/>
      <c r="GKB1059" s="989"/>
      <c r="GKC1059" s="989"/>
      <c r="GKD1059" s="989"/>
      <c r="GKE1059" s="989"/>
      <c r="GKF1059" s="989"/>
      <c r="GKG1059" s="989"/>
      <c r="GKH1059" s="989"/>
      <c r="GKI1059" s="989"/>
      <c r="GKJ1059" s="989"/>
      <c r="GKK1059" s="989"/>
      <c r="GKL1059" s="989"/>
      <c r="GKM1059" s="989"/>
      <c r="GKN1059" s="989"/>
      <c r="GKO1059" s="989"/>
      <c r="GKP1059" s="989"/>
      <c r="GKQ1059" s="989"/>
      <c r="GKR1059" s="989"/>
      <c r="GKS1059" s="989"/>
      <c r="GKT1059" s="989"/>
      <c r="GKU1059" s="989"/>
      <c r="GKV1059" s="989"/>
      <c r="GKW1059" s="989"/>
      <c r="GKX1059" s="989"/>
      <c r="GKY1059" s="989"/>
      <c r="GKZ1059" s="989"/>
      <c r="GLA1059" s="989"/>
      <c r="GLB1059" s="989"/>
      <c r="GLC1059" s="989"/>
      <c r="GLD1059" s="989"/>
      <c r="GLE1059" s="989"/>
      <c r="GLF1059" s="989"/>
      <c r="GLG1059" s="989"/>
      <c r="GLH1059" s="989"/>
      <c r="GLI1059" s="989"/>
      <c r="GLJ1059" s="989"/>
      <c r="GLK1059" s="989"/>
      <c r="GLL1059" s="989"/>
      <c r="GLM1059" s="989"/>
      <c r="GLN1059" s="989"/>
      <c r="GLO1059" s="989"/>
      <c r="GLP1059" s="989"/>
      <c r="GLQ1059" s="989"/>
      <c r="GLR1059" s="989"/>
      <c r="GLS1059" s="989"/>
      <c r="GLT1059" s="989"/>
      <c r="GLU1059" s="989"/>
      <c r="GLV1059" s="989"/>
      <c r="GLW1059" s="989"/>
      <c r="GLX1059" s="989"/>
      <c r="GLY1059" s="989"/>
      <c r="GLZ1059" s="989"/>
      <c r="GMA1059" s="989"/>
      <c r="GMB1059" s="989"/>
      <c r="GMC1059" s="989"/>
      <c r="GMD1059" s="989"/>
      <c r="GME1059" s="989"/>
      <c r="GMF1059" s="989"/>
      <c r="GMG1059" s="989"/>
      <c r="GMH1059" s="989"/>
      <c r="GMI1059" s="989"/>
      <c r="GMJ1059" s="989"/>
      <c r="GMK1059" s="989"/>
      <c r="GML1059" s="989"/>
      <c r="GMM1059" s="989"/>
      <c r="GMN1059" s="989"/>
      <c r="GMO1059" s="989"/>
      <c r="GMP1059" s="989"/>
      <c r="GMQ1059" s="989"/>
      <c r="GMR1059" s="989"/>
      <c r="GMS1059" s="989"/>
      <c r="GMT1059" s="989"/>
      <c r="GMU1059" s="989"/>
      <c r="GMV1059" s="989"/>
      <c r="GMW1059" s="989"/>
      <c r="GMX1059" s="989"/>
      <c r="GMY1059" s="989"/>
      <c r="GMZ1059" s="989"/>
      <c r="GNA1059" s="989"/>
      <c r="GNB1059" s="989"/>
      <c r="GNC1059" s="989"/>
      <c r="GND1059" s="989"/>
      <c r="GNE1059" s="989"/>
      <c r="GNF1059" s="989"/>
      <c r="GNG1059" s="989"/>
      <c r="GNH1059" s="989"/>
      <c r="GNI1059" s="989"/>
      <c r="GNJ1059" s="989"/>
      <c r="GNK1059" s="989"/>
      <c r="GNL1059" s="989"/>
      <c r="GNM1059" s="989"/>
      <c r="GNN1059" s="989"/>
      <c r="GNO1059" s="989"/>
      <c r="GNP1059" s="989"/>
      <c r="GNQ1059" s="989"/>
      <c r="GNR1059" s="989"/>
      <c r="GNS1059" s="989"/>
      <c r="GNT1059" s="989"/>
      <c r="GNU1059" s="989"/>
      <c r="GNV1059" s="989"/>
      <c r="GNW1059" s="989"/>
      <c r="GNX1059" s="989"/>
      <c r="GNY1059" s="989"/>
      <c r="GNZ1059" s="989"/>
      <c r="GOA1059" s="989"/>
      <c r="GOB1059" s="989"/>
      <c r="GOC1059" s="989"/>
      <c r="GOD1059" s="989"/>
      <c r="GOE1059" s="989"/>
      <c r="GOF1059" s="989"/>
      <c r="GOG1059" s="989"/>
      <c r="GOH1059" s="989"/>
      <c r="GOI1059" s="989"/>
      <c r="GOJ1059" s="989"/>
      <c r="GOK1059" s="989"/>
      <c r="GOL1059" s="989"/>
      <c r="GOM1059" s="989"/>
      <c r="GON1059" s="989"/>
      <c r="GOO1059" s="989"/>
      <c r="GOP1059" s="989"/>
      <c r="GOQ1059" s="989"/>
      <c r="GOR1059" s="989"/>
      <c r="GOS1059" s="989"/>
      <c r="GOT1059" s="989"/>
      <c r="GOU1059" s="989"/>
      <c r="GOV1059" s="989"/>
      <c r="GOW1059" s="989"/>
      <c r="GOX1059" s="989"/>
      <c r="GOY1059" s="989"/>
      <c r="GOZ1059" s="989"/>
      <c r="GPA1059" s="989"/>
      <c r="GPB1059" s="989"/>
      <c r="GPC1059" s="989"/>
      <c r="GPD1059" s="989"/>
      <c r="GPE1059" s="989"/>
      <c r="GPF1059" s="989"/>
      <c r="GPG1059" s="989"/>
      <c r="GPH1059" s="989"/>
      <c r="GPI1059" s="989"/>
      <c r="GPJ1059" s="989"/>
      <c r="GPK1059" s="989"/>
      <c r="GPL1059" s="989"/>
      <c r="GPM1059" s="989"/>
      <c r="GPN1059" s="989"/>
      <c r="GPO1059" s="989"/>
      <c r="GPP1059" s="989"/>
      <c r="GPQ1059" s="989"/>
      <c r="GPR1059" s="989"/>
      <c r="GPS1059" s="989"/>
      <c r="GPT1059" s="989"/>
      <c r="GPU1059" s="989"/>
      <c r="GPV1059" s="989"/>
      <c r="GPW1059" s="989"/>
      <c r="GPX1059" s="989"/>
      <c r="GPY1059" s="989"/>
      <c r="GPZ1059" s="989"/>
      <c r="GQA1059" s="989"/>
      <c r="GQB1059" s="989"/>
      <c r="GQC1059" s="989"/>
      <c r="GQD1059" s="989"/>
      <c r="GQE1059" s="989"/>
      <c r="GQF1059" s="989"/>
      <c r="GQG1059" s="989"/>
      <c r="GQH1059" s="989"/>
      <c r="GQI1059" s="989"/>
      <c r="GQJ1059" s="989"/>
      <c r="GQK1059" s="989"/>
      <c r="GQL1059" s="989"/>
      <c r="GQM1059" s="989"/>
      <c r="GQN1059" s="989"/>
      <c r="GQO1059" s="989"/>
      <c r="GQP1059" s="989"/>
      <c r="GQQ1059" s="989"/>
      <c r="GQR1059" s="989"/>
      <c r="GQS1059" s="989"/>
      <c r="GQT1059" s="989"/>
      <c r="GQU1059" s="989"/>
      <c r="GQV1059" s="989"/>
      <c r="GQW1059" s="989"/>
      <c r="GQX1059" s="989"/>
      <c r="GQY1059" s="989"/>
      <c r="GQZ1059" s="989"/>
      <c r="GRA1059" s="989"/>
      <c r="GRB1059" s="989"/>
      <c r="GRC1059" s="989"/>
      <c r="GRD1059" s="989"/>
      <c r="GRE1059" s="989"/>
      <c r="GRF1059" s="989"/>
      <c r="GRG1059" s="989"/>
      <c r="GRH1059" s="989"/>
      <c r="GRI1059" s="989"/>
      <c r="GRJ1059" s="989"/>
      <c r="GRK1059" s="989"/>
      <c r="GRL1059" s="989"/>
      <c r="GRM1059" s="989"/>
      <c r="GRN1059" s="989"/>
      <c r="GRO1059" s="989"/>
      <c r="GRP1059" s="989"/>
      <c r="GRQ1059" s="989"/>
      <c r="GRR1059" s="989"/>
      <c r="GRS1059" s="989"/>
      <c r="GRT1059" s="989"/>
      <c r="GRU1059" s="989"/>
      <c r="GRV1059" s="989"/>
      <c r="GRW1059" s="989"/>
      <c r="GRX1059" s="989"/>
      <c r="GRY1059" s="989"/>
      <c r="GRZ1059" s="989"/>
      <c r="GSA1059" s="989"/>
      <c r="GSB1059" s="989"/>
      <c r="GSC1059" s="989"/>
      <c r="GSD1059" s="989"/>
      <c r="GSE1059" s="989"/>
      <c r="GSF1059" s="989"/>
      <c r="GSG1059" s="989"/>
      <c r="GSH1059" s="989"/>
      <c r="GSI1059" s="989"/>
      <c r="GSJ1059" s="989"/>
      <c r="GSK1059" s="989"/>
      <c r="GSL1059" s="989"/>
      <c r="GSM1059" s="989"/>
      <c r="GSN1059" s="989"/>
      <c r="GSO1059" s="989"/>
      <c r="GSP1059" s="989"/>
      <c r="GSQ1059" s="989"/>
      <c r="GSR1059" s="989"/>
      <c r="GSS1059" s="989"/>
      <c r="GST1059" s="989"/>
      <c r="GSU1059" s="989"/>
      <c r="GSV1059" s="989"/>
      <c r="GSW1059" s="989"/>
      <c r="GSX1059" s="989"/>
      <c r="GSY1059" s="989"/>
      <c r="GSZ1059" s="989"/>
      <c r="GTA1059" s="989"/>
      <c r="GTB1059" s="989"/>
      <c r="GTC1059" s="989"/>
      <c r="GTD1059" s="989"/>
      <c r="GTE1059" s="989"/>
      <c r="GTF1059" s="989"/>
      <c r="GTG1059" s="989"/>
      <c r="GTH1059" s="989"/>
      <c r="GTI1059" s="989"/>
      <c r="GTJ1059" s="989"/>
      <c r="GTK1059" s="989"/>
      <c r="GTL1059" s="989"/>
      <c r="GTM1059" s="989"/>
      <c r="GTN1059" s="989"/>
      <c r="GTO1059" s="989"/>
      <c r="GTP1059" s="989"/>
      <c r="GTQ1059" s="989"/>
      <c r="GTR1059" s="989"/>
      <c r="GTS1059" s="989"/>
      <c r="GTT1059" s="989"/>
      <c r="GTU1059" s="989"/>
      <c r="GTV1059" s="989"/>
      <c r="GTW1059" s="989"/>
      <c r="GTX1059" s="989"/>
      <c r="GTY1059" s="989"/>
      <c r="GTZ1059" s="989"/>
      <c r="GUA1059" s="989"/>
      <c r="GUB1059" s="989"/>
      <c r="GUC1059" s="989"/>
      <c r="GUD1059" s="989"/>
      <c r="GUE1059" s="989"/>
      <c r="GUF1059" s="989"/>
      <c r="GUG1059" s="989"/>
      <c r="GUH1059" s="989"/>
      <c r="GUI1059" s="989"/>
      <c r="GUJ1059" s="989"/>
      <c r="GUK1059" s="989"/>
      <c r="GUL1059" s="989"/>
      <c r="GUM1059" s="989"/>
      <c r="GUN1059" s="989"/>
      <c r="GUO1059" s="989"/>
      <c r="GUP1059" s="989"/>
      <c r="GUQ1059" s="989"/>
      <c r="GUR1059" s="989"/>
      <c r="GUS1059" s="989"/>
      <c r="GUT1059" s="989"/>
      <c r="GUU1059" s="989"/>
      <c r="GUV1059" s="989"/>
      <c r="GUW1059" s="989"/>
      <c r="GUX1059" s="989"/>
      <c r="GUY1059" s="989"/>
      <c r="GUZ1059" s="989"/>
      <c r="GVA1059" s="989"/>
      <c r="GVB1059" s="989"/>
      <c r="GVC1059" s="989"/>
      <c r="GVD1059" s="989"/>
      <c r="GVE1059" s="989"/>
      <c r="GVF1059" s="989"/>
      <c r="GVG1059" s="989"/>
      <c r="GVH1059" s="989"/>
      <c r="GVI1059" s="989"/>
      <c r="GVJ1059" s="989"/>
      <c r="GVK1059" s="989"/>
      <c r="GVL1059" s="989"/>
      <c r="GVM1059" s="989"/>
      <c r="GVN1059" s="989"/>
      <c r="GVO1059" s="989"/>
      <c r="GVP1059" s="989"/>
      <c r="GVQ1059" s="989"/>
      <c r="GVR1059" s="989"/>
      <c r="GVS1059" s="989"/>
      <c r="GVT1059" s="989"/>
      <c r="GVU1059" s="989"/>
      <c r="GVV1059" s="989"/>
      <c r="GVW1059" s="989"/>
      <c r="GVX1059" s="989"/>
      <c r="GVY1059" s="989"/>
      <c r="GVZ1059" s="989"/>
      <c r="GWA1059" s="989"/>
      <c r="GWB1059" s="989"/>
      <c r="GWC1059" s="989"/>
      <c r="GWD1059" s="989"/>
      <c r="GWE1059" s="989"/>
      <c r="GWF1059" s="989"/>
      <c r="GWG1059" s="989"/>
      <c r="GWH1059" s="989"/>
      <c r="GWI1059" s="989"/>
      <c r="GWJ1059" s="989"/>
      <c r="GWK1059" s="989"/>
      <c r="GWL1059" s="989"/>
      <c r="GWM1059" s="989"/>
      <c r="GWN1059" s="989"/>
      <c r="GWO1059" s="989"/>
      <c r="GWP1059" s="989"/>
      <c r="GWQ1059" s="989"/>
      <c r="GWR1059" s="989"/>
      <c r="GWS1059" s="989"/>
      <c r="GWT1059" s="989"/>
      <c r="GWU1059" s="989"/>
      <c r="GWV1059" s="989"/>
      <c r="GWW1059" s="989"/>
      <c r="GWX1059" s="989"/>
      <c r="GWY1059" s="989"/>
      <c r="GWZ1059" s="989"/>
      <c r="GXA1059" s="989"/>
      <c r="GXB1059" s="989"/>
      <c r="GXC1059" s="989"/>
      <c r="GXD1059" s="989"/>
      <c r="GXE1059" s="989"/>
      <c r="GXF1059" s="989"/>
      <c r="GXG1059" s="989"/>
      <c r="GXH1059" s="989"/>
      <c r="GXI1059" s="989"/>
      <c r="GXJ1059" s="989"/>
      <c r="GXK1059" s="989"/>
      <c r="GXL1059" s="989"/>
      <c r="GXM1059" s="989"/>
      <c r="GXN1059" s="989"/>
      <c r="GXO1059" s="989"/>
      <c r="GXP1059" s="989"/>
      <c r="GXQ1059" s="989"/>
      <c r="GXR1059" s="989"/>
      <c r="GXS1059" s="989"/>
      <c r="GXT1059" s="989"/>
      <c r="GXU1059" s="989"/>
      <c r="GXV1059" s="989"/>
      <c r="GXW1059" s="989"/>
      <c r="GXX1059" s="989"/>
      <c r="GXY1059" s="989"/>
      <c r="GXZ1059" s="989"/>
      <c r="GYA1059" s="989"/>
      <c r="GYB1059" s="989"/>
      <c r="GYC1059" s="989"/>
      <c r="GYD1059" s="989"/>
      <c r="GYE1059" s="989"/>
      <c r="GYF1059" s="989"/>
      <c r="GYG1059" s="989"/>
      <c r="GYH1059" s="989"/>
      <c r="GYI1059" s="989"/>
      <c r="GYJ1059" s="989"/>
      <c r="GYK1059" s="989"/>
      <c r="GYL1059" s="989"/>
      <c r="GYM1059" s="989"/>
      <c r="GYN1059" s="989"/>
      <c r="GYO1059" s="989"/>
      <c r="GYP1059" s="989"/>
      <c r="GYQ1059" s="989"/>
      <c r="GYR1059" s="989"/>
      <c r="GYS1059" s="989"/>
      <c r="GYT1059" s="989"/>
      <c r="GYU1059" s="989"/>
      <c r="GYV1059" s="989"/>
      <c r="GYW1059" s="989"/>
      <c r="GYX1059" s="989"/>
      <c r="GYY1059" s="989"/>
      <c r="GYZ1059" s="989"/>
      <c r="GZA1059" s="989"/>
      <c r="GZB1059" s="989"/>
      <c r="GZC1059" s="989"/>
      <c r="GZD1059" s="989"/>
      <c r="GZE1059" s="989"/>
      <c r="GZF1059" s="989"/>
      <c r="GZG1059" s="989"/>
      <c r="GZH1059" s="989"/>
      <c r="GZI1059" s="989"/>
      <c r="GZJ1059" s="989"/>
      <c r="GZK1059" s="989"/>
      <c r="GZL1059" s="989"/>
      <c r="GZM1059" s="989"/>
      <c r="GZN1059" s="989"/>
      <c r="GZO1059" s="989"/>
      <c r="GZP1059" s="989"/>
      <c r="GZQ1059" s="989"/>
      <c r="GZR1059" s="989"/>
      <c r="GZS1059" s="989"/>
      <c r="GZT1059" s="989"/>
      <c r="GZU1059" s="989"/>
      <c r="GZV1059" s="989"/>
      <c r="GZW1059" s="989"/>
      <c r="GZX1059" s="989"/>
      <c r="GZY1059" s="989"/>
      <c r="GZZ1059" s="989"/>
      <c r="HAA1059" s="989"/>
      <c r="HAB1059" s="989"/>
      <c r="HAC1059" s="989"/>
      <c r="HAD1059" s="989"/>
      <c r="HAE1059" s="989"/>
      <c r="HAF1059" s="989"/>
      <c r="HAG1059" s="989"/>
      <c r="HAH1059" s="989"/>
      <c r="HAI1059" s="989"/>
      <c r="HAJ1059" s="989"/>
      <c r="HAK1059" s="989"/>
      <c r="HAL1059" s="989"/>
      <c r="HAM1059" s="989"/>
      <c r="HAN1059" s="989"/>
      <c r="HAO1059" s="989"/>
      <c r="HAP1059" s="989"/>
      <c r="HAQ1059" s="989"/>
      <c r="HAR1059" s="989"/>
      <c r="HAS1059" s="989"/>
      <c r="HAT1059" s="989"/>
      <c r="HAU1059" s="989"/>
      <c r="HAV1059" s="989"/>
      <c r="HAW1059" s="989"/>
      <c r="HAX1059" s="989"/>
      <c r="HAY1059" s="989"/>
      <c r="HAZ1059" s="989"/>
      <c r="HBA1059" s="989"/>
      <c r="HBB1059" s="989"/>
      <c r="HBC1059" s="989"/>
      <c r="HBD1059" s="989"/>
      <c r="HBE1059" s="989"/>
      <c r="HBF1059" s="989"/>
      <c r="HBG1059" s="989"/>
      <c r="HBH1059" s="989"/>
      <c r="HBI1059" s="989"/>
      <c r="HBJ1059" s="989"/>
      <c r="HBK1059" s="989"/>
      <c r="HBL1059" s="989"/>
      <c r="HBM1059" s="989"/>
      <c r="HBN1059" s="989"/>
      <c r="HBO1059" s="989"/>
      <c r="HBP1059" s="989"/>
      <c r="HBQ1059" s="989"/>
      <c r="HBR1059" s="989"/>
      <c r="HBS1059" s="989"/>
      <c r="HBT1059" s="989"/>
      <c r="HBU1059" s="989"/>
      <c r="HBV1059" s="989"/>
      <c r="HBW1059" s="989"/>
      <c r="HBX1059" s="989"/>
      <c r="HBY1059" s="989"/>
      <c r="HBZ1059" s="989"/>
      <c r="HCA1059" s="989"/>
      <c r="HCB1059" s="989"/>
      <c r="HCC1059" s="989"/>
      <c r="HCD1059" s="989"/>
      <c r="HCE1059" s="989"/>
      <c r="HCF1059" s="989"/>
      <c r="HCG1059" s="989"/>
      <c r="HCH1059" s="989"/>
      <c r="HCI1059" s="989"/>
      <c r="HCJ1059" s="989"/>
      <c r="HCK1059" s="989"/>
      <c r="HCL1059" s="989"/>
      <c r="HCM1059" s="989"/>
      <c r="HCN1059" s="989"/>
      <c r="HCO1059" s="989"/>
      <c r="HCP1059" s="989"/>
      <c r="HCQ1059" s="989"/>
      <c r="HCR1059" s="989"/>
      <c r="HCS1059" s="989"/>
      <c r="HCT1059" s="989"/>
      <c r="HCU1059" s="989"/>
      <c r="HCV1059" s="989"/>
      <c r="HCW1059" s="989"/>
      <c r="HCX1059" s="989"/>
      <c r="HCY1059" s="989"/>
      <c r="HCZ1059" s="989"/>
      <c r="HDA1059" s="989"/>
      <c r="HDB1059" s="989"/>
      <c r="HDC1059" s="989"/>
      <c r="HDD1059" s="989"/>
      <c r="HDE1059" s="989"/>
      <c r="HDF1059" s="989"/>
      <c r="HDG1059" s="989"/>
      <c r="HDH1059" s="989"/>
      <c r="HDI1059" s="989"/>
      <c r="HDJ1059" s="989"/>
      <c r="HDK1059" s="989"/>
      <c r="HDL1059" s="989"/>
      <c r="HDM1059" s="989"/>
      <c r="HDN1059" s="989"/>
      <c r="HDO1059" s="989"/>
      <c r="HDP1059" s="989"/>
      <c r="HDQ1059" s="989"/>
      <c r="HDR1059" s="989"/>
      <c r="HDS1059" s="989"/>
      <c r="HDT1059" s="989"/>
      <c r="HDU1059" s="989"/>
      <c r="HDV1059" s="989"/>
      <c r="HDW1059" s="989"/>
      <c r="HDX1059" s="989"/>
      <c r="HDY1059" s="989"/>
      <c r="HDZ1059" s="989"/>
      <c r="HEA1059" s="989"/>
      <c r="HEB1059" s="989"/>
      <c r="HEC1059" s="989"/>
      <c r="HED1059" s="989"/>
      <c r="HEE1059" s="989"/>
      <c r="HEF1059" s="989"/>
      <c r="HEG1059" s="989"/>
      <c r="HEH1059" s="989"/>
      <c r="HEI1059" s="989"/>
      <c r="HEJ1059" s="989"/>
      <c r="HEK1059" s="989"/>
      <c r="HEL1059" s="989"/>
      <c r="HEM1059" s="989"/>
      <c r="HEN1059" s="989"/>
      <c r="HEO1059" s="989"/>
      <c r="HEP1059" s="989"/>
      <c r="HEQ1059" s="989"/>
      <c r="HER1059" s="989"/>
      <c r="HES1059" s="989"/>
      <c r="HET1059" s="989"/>
      <c r="HEU1059" s="989"/>
      <c r="HEV1059" s="989"/>
      <c r="HEW1059" s="989"/>
      <c r="HEX1059" s="989"/>
      <c r="HEY1059" s="989"/>
      <c r="HEZ1059" s="989"/>
      <c r="HFA1059" s="989"/>
      <c r="HFB1059" s="989"/>
      <c r="HFC1059" s="989"/>
      <c r="HFD1059" s="989"/>
      <c r="HFE1059" s="989"/>
      <c r="HFF1059" s="989"/>
      <c r="HFG1059" s="989"/>
      <c r="HFH1059" s="989"/>
      <c r="HFI1059" s="989"/>
      <c r="HFJ1059" s="989"/>
      <c r="HFK1059" s="989"/>
      <c r="HFL1059" s="989"/>
      <c r="HFM1059" s="989"/>
      <c r="HFN1059" s="989"/>
      <c r="HFO1059" s="989"/>
      <c r="HFP1059" s="989"/>
      <c r="HFQ1059" s="989"/>
      <c r="HFR1059" s="989"/>
      <c r="HFS1059" s="989"/>
      <c r="HFT1059" s="989"/>
      <c r="HFU1059" s="989"/>
      <c r="HFV1059" s="989"/>
      <c r="HFW1059" s="989"/>
      <c r="HFX1059" s="989"/>
      <c r="HFY1059" s="989"/>
      <c r="HFZ1059" s="989"/>
      <c r="HGA1059" s="989"/>
      <c r="HGB1059" s="989"/>
      <c r="HGC1059" s="989"/>
      <c r="HGD1059" s="989"/>
      <c r="HGE1059" s="989"/>
      <c r="HGF1059" s="989"/>
      <c r="HGG1059" s="989"/>
      <c r="HGH1059" s="989"/>
      <c r="HGI1059" s="989"/>
      <c r="HGJ1059" s="989"/>
      <c r="HGK1059" s="989"/>
      <c r="HGL1059" s="989"/>
      <c r="HGM1059" s="989"/>
      <c r="HGN1059" s="989"/>
      <c r="HGO1059" s="989"/>
      <c r="HGP1059" s="989"/>
      <c r="HGQ1059" s="989"/>
      <c r="HGR1059" s="989"/>
      <c r="HGS1059" s="989"/>
      <c r="HGT1059" s="989"/>
      <c r="HGU1059" s="989"/>
      <c r="HGV1059" s="989"/>
      <c r="HGW1059" s="989"/>
      <c r="HGX1059" s="989"/>
      <c r="HGY1059" s="989"/>
      <c r="HGZ1059" s="989"/>
      <c r="HHA1059" s="989"/>
      <c r="HHB1059" s="989"/>
      <c r="HHC1059" s="989"/>
      <c r="HHD1059" s="989"/>
      <c r="HHE1059" s="989"/>
      <c r="HHF1059" s="989"/>
      <c r="HHG1059" s="989"/>
      <c r="HHH1059" s="989"/>
      <c r="HHI1059" s="989"/>
      <c r="HHJ1059" s="989"/>
      <c r="HHK1059" s="989"/>
      <c r="HHL1059" s="989"/>
      <c r="HHM1059" s="989"/>
      <c r="HHN1059" s="989"/>
      <c r="HHO1059" s="989"/>
      <c r="HHP1059" s="989"/>
      <c r="HHQ1059" s="989"/>
      <c r="HHR1059" s="989"/>
      <c r="HHS1059" s="989"/>
      <c r="HHT1059" s="989"/>
      <c r="HHU1059" s="989"/>
      <c r="HHV1059" s="989"/>
      <c r="HHW1059" s="989"/>
      <c r="HHX1059" s="989"/>
      <c r="HHY1059" s="989"/>
      <c r="HHZ1059" s="989"/>
      <c r="HIA1059" s="989"/>
      <c r="HIB1059" s="989"/>
      <c r="HIC1059" s="989"/>
      <c r="HID1059" s="989"/>
      <c r="HIE1059" s="989"/>
      <c r="HIF1059" s="989"/>
      <c r="HIG1059" s="989"/>
      <c r="HIH1059" s="989"/>
      <c r="HII1059" s="989"/>
      <c r="HIJ1059" s="989"/>
      <c r="HIK1059" s="989"/>
      <c r="HIL1059" s="989"/>
      <c r="HIM1059" s="989"/>
      <c r="HIN1059" s="989"/>
      <c r="HIO1059" s="989"/>
      <c r="HIP1059" s="989"/>
      <c r="HIQ1059" s="989"/>
      <c r="HIR1059" s="989"/>
      <c r="HIS1059" s="989"/>
      <c r="HIT1059" s="989"/>
      <c r="HIU1059" s="989"/>
      <c r="HIV1059" s="989"/>
      <c r="HIW1059" s="989"/>
      <c r="HIX1059" s="989"/>
      <c r="HIY1059" s="989"/>
      <c r="HIZ1059" s="989"/>
      <c r="HJA1059" s="989"/>
      <c r="HJB1059" s="989"/>
      <c r="HJC1059" s="989"/>
      <c r="HJD1059" s="989"/>
      <c r="HJE1059" s="989"/>
      <c r="HJF1059" s="989"/>
      <c r="HJG1059" s="989"/>
      <c r="HJH1059" s="989"/>
      <c r="HJI1059" s="989"/>
      <c r="HJJ1059" s="989"/>
      <c r="HJK1059" s="989"/>
      <c r="HJL1059" s="989"/>
      <c r="HJM1059" s="989"/>
      <c r="HJN1059" s="989"/>
      <c r="HJO1059" s="989"/>
      <c r="HJP1059" s="989"/>
      <c r="HJQ1059" s="989"/>
      <c r="HJR1059" s="989"/>
      <c r="HJS1059" s="989"/>
      <c r="HJT1059" s="989"/>
      <c r="HJU1059" s="989"/>
      <c r="HJV1059" s="989"/>
      <c r="HJW1059" s="989"/>
      <c r="HJX1059" s="989"/>
      <c r="HJY1059" s="989"/>
      <c r="HJZ1059" s="989"/>
      <c r="HKA1059" s="989"/>
      <c r="HKB1059" s="989"/>
      <c r="HKC1059" s="989"/>
      <c r="HKD1059" s="989"/>
      <c r="HKE1059" s="989"/>
      <c r="HKF1059" s="989"/>
      <c r="HKG1059" s="989"/>
      <c r="HKH1059" s="989"/>
      <c r="HKI1059" s="989"/>
      <c r="HKJ1059" s="989"/>
      <c r="HKK1059" s="989"/>
      <c r="HKL1059" s="989"/>
      <c r="HKM1059" s="989"/>
      <c r="HKN1059" s="989"/>
      <c r="HKO1059" s="989"/>
      <c r="HKP1059" s="989"/>
      <c r="HKQ1059" s="989"/>
      <c r="HKR1059" s="989"/>
      <c r="HKS1059" s="989"/>
      <c r="HKT1059" s="989"/>
      <c r="HKU1059" s="989"/>
      <c r="HKV1059" s="989"/>
      <c r="HKW1059" s="989"/>
      <c r="HKX1059" s="989"/>
      <c r="HKY1059" s="989"/>
      <c r="HKZ1059" s="989"/>
      <c r="HLA1059" s="989"/>
      <c r="HLB1059" s="989"/>
      <c r="HLC1059" s="989"/>
      <c r="HLD1059" s="989"/>
      <c r="HLE1059" s="989"/>
      <c r="HLF1059" s="989"/>
      <c r="HLG1059" s="989"/>
      <c r="HLH1059" s="989"/>
      <c r="HLI1059" s="989"/>
      <c r="HLJ1059" s="989"/>
      <c r="HLK1059" s="989"/>
      <c r="HLL1059" s="989"/>
      <c r="HLM1059" s="989"/>
      <c r="HLN1059" s="989"/>
      <c r="HLO1059" s="989"/>
      <c r="HLP1059" s="989"/>
      <c r="HLQ1059" s="989"/>
      <c r="HLR1059" s="989"/>
      <c r="HLS1059" s="989"/>
      <c r="HLT1059" s="989"/>
      <c r="HLU1059" s="989"/>
      <c r="HLV1059" s="989"/>
      <c r="HLW1059" s="989"/>
      <c r="HLX1059" s="989"/>
      <c r="HLY1059" s="989"/>
      <c r="HLZ1059" s="989"/>
      <c r="HMA1059" s="989"/>
      <c r="HMB1059" s="989"/>
      <c r="HMC1059" s="989"/>
      <c r="HMD1059" s="989"/>
      <c r="HME1059" s="989"/>
      <c r="HMF1059" s="989"/>
      <c r="HMG1059" s="989"/>
      <c r="HMH1059" s="989"/>
      <c r="HMI1059" s="989"/>
      <c r="HMJ1059" s="989"/>
      <c r="HMK1059" s="989"/>
      <c r="HML1059" s="989"/>
      <c r="HMM1059" s="989"/>
      <c r="HMN1059" s="989"/>
      <c r="HMO1059" s="989"/>
      <c r="HMP1059" s="989"/>
      <c r="HMQ1059" s="989"/>
      <c r="HMR1059" s="989"/>
      <c r="HMS1059" s="989"/>
      <c r="HMT1059" s="989"/>
      <c r="HMU1059" s="989"/>
      <c r="HMV1059" s="989"/>
      <c r="HMW1059" s="989"/>
      <c r="HMX1059" s="989"/>
      <c r="HMY1059" s="989"/>
      <c r="HMZ1059" s="989"/>
      <c r="HNA1059" s="989"/>
      <c r="HNB1059" s="989"/>
      <c r="HNC1059" s="989"/>
      <c r="HND1059" s="989"/>
      <c r="HNE1059" s="989"/>
      <c r="HNF1059" s="989"/>
      <c r="HNG1059" s="989"/>
      <c r="HNH1059" s="989"/>
      <c r="HNI1059" s="989"/>
      <c r="HNJ1059" s="989"/>
      <c r="HNK1059" s="989"/>
      <c r="HNL1059" s="989"/>
      <c r="HNM1059" s="989"/>
      <c r="HNN1059" s="989"/>
      <c r="HNO1059" s="989"/>
      <c r="HNP1059" s="989"/>
      <c r="HNQ1059" s="989"/>
      <c r="HNR1059" s="989"/>
      <c r="HNS1059" s="989"/>
      <c r="HNT1059" s="989"/>
      <c r="HNU1059" s="989"/>
      <c r="HNV1059" s="989"/>
      <c r="HNW1059" s="989"/>
      <c r="HNX1059" s="989"/>
      <c r="HNY1059" s="989"/>
      <c r="HNZ1059" s="989"/>
      <c r="HOA1059" s="989"/>
      <c r="HOB1059" s="989"/>
      <c r="HOC1059" s="989"/>
      <c r="HOD1059" s="989"/>
      <c r="HOE1059" s="989"/>
      <c r="HOF1059" s="989"/>
      <c r="HOG1059" s="989"/>
      <c r="HOH1059" s="989"/>
      <c r="HOI1059" s="989"/>
      <c r="HOJ1059" s="989"/>
      <c r="HOK1059" s="989"/>
      <c r="HOL1059" s="989"/>
      <c r="HOM1059" s="989"/>
      <c r="HON1059" s="989"/>
      <c r="HOO1059" s="989"/>
      <c r="HOP1059" s="989"/>
      <c r="HOQ1059" s="989"/>
      <c r="HOR1059" s="989"/>
      <c r="HOS1059" s="989"/>
      <c r="HOT1059" s="989"/>
      <c r="HOU1059" s="989"/>
      <c r="HOV1059" s="989"/>
      <c r="HOW1059" s="989"/>
      <c r="HOX1059" s="989"/>
      <c r="HOY1059" s="989"/>
      <c r="HOZ1059" s="989"/>
      <c r="HPA1059" s="989"/>
      <c r="HPB1059" s="989"/>
      <c r="HPC1059" s="989"/>
      <c r="HPD1059" s="989"/>
      <c r="HPE1059" s="989"/>
      <c r="HPF1059" s="989"/>
      <c r="HPG1059" s="989"/>
      <c r="HPH1059" s="989"/>
      <c r="HPI1059" s="989"/>
      <c r="HPJ1059" s="989"/>
      <c r="HPK1059" s="989"/>
      <c r="HPL1059" s="989"/>
      <c r="HPM1059" s="989"/>
      <c r="HPN1059" s="989"/>
      <c r="HPO1059" s="989"/>
      <c r="HPP1059" s="989"/>
      <c r="HPQ1059" s="989"/>
      <c r="HPR1059" s="989"/>
      <c r="HPS1059" s="989"/>
      <c r="HPT1059" s="989"/>
      <c r="HPU1059" s="989"/>
      <c r="HPV1059" s="989"/>
      <c r="HPW1059" s="989"/>
      <c r="HPX1059" s="989"/>
      <c r="HPY1059" s="989"/>
      <c r="HPZ1059" s="989"/>
      <c r="HQA1059" s="989"/>
      <c r="HQB1059" s="989"/>
      <c r="HQC1059" s="989"/>
      <c r="HQD1059" s="989"/>
      <c r="HQE1059" s="989"/>
      <c r="HQF1059" s="989"/>
      <c r="HQG1059" s="989"/>
      <c r="HQH1059" s="989"/>
      <c r="HQI1059" s="989"/>
      <c r="HQJ1059" s="989"/>
      <c r="HQK1059" s="989"/>
      <c r="HQL1059" s="989"/>
      <c r="HQM1059" s="989"/>
      <c r="HQN1059" s="989"/>
      <c r="HQO1059" s="989"/>
      <c r="HQP1059" s="989"/>
      <c r="HQQ1059" s="989"/>
      <c r="HQR1059" s="989"/>
      <c r="HQS1059" s="989"/>
      <c r="HQT1059" s="989"/>
      <c r="HQU1059" s="989"/>
      <c r="HQV1059" s="989"/>
      <c r="HQW1059" s="989"/>
      <c r="HQX1059" s="989"/>
      <c r="HQY1059" s="989"/>
      <c r="HQZ1059" s="989"/>
      <c r="HRA1059" s="989"/>
      <c r="HRB1059" s="989"/>
      <c r="HRC1059" s="989"/>
      <c r="HRD1059" s="989"/>
      <c r="HRE1059" s="989"/>
      <c r="HRF1059" s="989"/>
      <c r="HRG1059" s="989"/>
      <c r="HRH1059" s="989"/>
      <c r="HRI1059" s="989"/>
      <c r="HRJ1059" s="989"/>
      <c r="HRK1059" s="989"/>
      <c r="HRL1059" s="989"/>
      <c r="HRM1059" s="989"/>
      <c r="HRN1059" s="989"/>
      <c r="HRO1059" s="989"/>
      <c r="HRP1059" s="989"/>
      <c r="HRQ1059" s="989"/>
      <c r="HRR1059" s="989"/>
      <c r="HRS1059" s="989"/>
      <c r="HRT1059" s="989"/>
      <c r="HRU1059" s="989"/>
      <c r="HRV1059" s="989"/>
      <c r="HRW1059" s="989"/>
      <c r="HRX1059" s="989"/>
      <c r="HRY1059" s="989"/>
      <c r="HRZ1059" s="989"/>
      <c r="HSA1059" s="989"/>
      <c r="HSB1059" s="989"/>
      <c r="HSC1059" s="989"/>
      <c r="HSD1059" s="989"/>
      <c r="HSE1059" s="989"/>
      <c r="HSF1059" s="989"/>
      <c r="HSG1059" s="989"/>
      <c r="HSH1059" s="989"/>
      <c r="HSI1059" s="989"/>
      <c r="HSJ1059" s="989"/>
      <c r="HSK1059" s="989"/>
      <c r="HSL1059" s="989"/>
      <c r="HSM1059" s="989"/>
      <c r="HSN1059" s="989"/>
      <c r="HSO1059" s="989"/>
      <c r="HSP1059" s="989"/>
      <c r="HSQ1059" s="989"/>
      <c r="HSR1059" s="989"/>
      <c r="HSS1059" s="989"/>
      <c r="HST1059" s="989"/>
      <c r="HSU1059" s="989"/>
      <c r="HSV1059" s="989"/>
      <c r="HSW1059" s="989"/>
      <c r="HSX1059" s="989"/>
      <c r="HSY1059" s="989"/>
      <c r="HSZ1059" s="989"/>
      <c r="HTA1059" s="989"/>
      <c r="HTB1059" s="989"/>
      <c r="HTC1059" s="989"/>
      <c r="HTD1059" s="989"/>
      <c r="HTE1059" s="989"/>
      <c r="HTF1059" s="989"/>
      <c r="HTG1059" s="989"/>
      <c r="HTH1059" s="989"/>
      <c r="HTI1059" s="989"/>
      <c r="HTJ1059" s="989"/>
      <c r="HTK1059" s="989"/>
      <c r="HTL1059" s="989"/>
      <c r="HTM1059" s="989"/>
      <c r="HTN1059" s="989"/>
      <c r="HTO1059" s="989"/>
      <c r="HTP1059" s="989"/>
      <c r="HTQ1059" s="989"/>
      <c r="HTR1059" s="989"/>
      <c r="HTS1059" s="989"/>
      <c r="HTT1059" s="989"/>
      <c r="HTU1059" s="989"/>
      <c r="HTV1059" s="989"/>
      <c r="HTW1059" s="989"/>
      <c r="HTX1059" s="989"/>
      <c r="HTY1059" s="989"/>
      <c r="HTZ1059" s="989"/>
      <c r="HUA1059" s="989"/>
      <c r="HUB1059" s="989"/>
      <c r="HUC1059" s="989"/>
      <c r="HUD1059" s="989"/>
      <c r="HUE1059" s="989"/>
      <c r="HUF1059" s="989"/>
      <c r="HUG1059" s="989"/>
      <c r="HUH1059" s="989"/>
      <c r="HUI1059" s="989"/>
      <c r="HUJ1059" s="989"/>
      <c r="HUK1059" s="989"/>
      <c r="HUL1059" s="989"/>
      <c r="HUM1059" s="989"/>
      <c r="HUN1059" s="989"/>
      <c r="HUO1059" s="989"/>
      <c r="HUP1059" s="989"/>
      <c r="HUQ1059" s="989"/>
      <c r="HUR1059" s="989"/>
      <c r="HUS1059" s="989"/>
      <c r="HUT1059" s="989"/>
      <c r="HUU1059" s="989"/>
      <c r="HUV1059" s="989"/>
      <c r="HUW1059" s="989"/>
      <c r="HUX1059" s="989"/>
      <c r="HUY1059" s="989"/>
      <c r="HUZ1059" s="989"/>
      <c r="HVA1059" s="989"/>
      <c r="HVB1059" s="989"/>
      <c r="HVC1059" s="989"/>
      <c r="HVD1059" s="989"/>
      <c r="HVE1059" s="989"/>
      <c r="HVF1059" s="989"/>
      <c r="HVG1059" s="989"/>
      <c r="HVH1059" s="989"/>
      <c r="HVI1059" s="989"/>
      <c r="HVJ1059" s="989"/>
      <c r="HVK1059" s="989"/>
      <c r="HVL1059" s="989"/>
      <c r="HVM1059" s="989"/>
      <c r="HVN1059" s="989"/>
      <c r="HVO1059" s="989"/>
      <c r="HVP1059" s="989"/>
      <c r="HVQ1059" s="989"/>
      <c r="HVR1059" s="989"/>
      <c r="HVS1059" s="989"/>
      <c r="HVT1059" s="989"/>
      <c r="HVU1059" s="989"/>
      <c r="HVV1059" s="989"/>
      <c r="HVW1059" s="989"/>
      <c r="HVX1059" s="989"/>
      <c r="HVY1059" s="989"/>
      <c r="HVZ1059" s="989"/>
      <c r="HWA1059" s="989"/>
      <c r="HWB1059" s="989"/>
      <c r="HWC1059" s="989"/>
      <c r="HWD1059" s="989"/>
      <c r="HWE1059" s="989"/>
      <c r="HWF1059" s="989"/>
      <c r="HWG1059" s="989"/>
      <c r="HWH1059" s="989"/>
      <c r="HWI1059" s="989"/>
      <c r="HWJ1059" s="989"/>
      <c r="HWK1059" s="989"/>
      <c r="HWL1059" s="989"/>
      <c r="HWM1059" s="989"/>
      <c r="HWN1059" s="989"/>
      <c r="HWO1059" s="989"/>
      <c r="HWP1059" s="989"/>
      <c r="HWQ1059" s="989"/>
      <c r="HWR1059" s="989"/>
      <c r="HWS1059" s="989"/>
      <c r="HWT1059" s="989"/>
      <c r="HWU1059" s="989"/>
      <c r="HWV1059" s="989"/>
      <c r="HWW1059" s="989"/>
      <c r="HWX1059" s="989"/>
      <c r="HWY1059" s="989"/>
      <c r="HWZ1059" s="989"/>
      <c r="HXA1059" s="989"/>
      <c r="HXB1059" s="989"/>
      <c r="HXC1059" s="989"/>
      <c r="HXD1059" s="989"/>
      <c r="HXE1059" s="989"/>
      <c r="HXF1059" s="989"/>
      <c r="HXG1059" s="989"/>
      <c r="HXH1059" s="989"/>
      <c r="HXI1059" s="989"/>
      <c r="HXJ1059" s="989"/>
      <c r="HXK1059" s="989"/>
      <c r="HXL1059" s="989"/>
      <c r="HXM1059" s="989"/>
      <c r="HXN1059" s="989"/>
      <c r="HXO1059" s="989"/>
      <c r="HXP1059" s="989"/>
      <c r="HXQ1059" s="989"/>
      <c r="HXR1059" s="989"/>
      <c r="HXS1059" s="989"/>
      <c r="HXT1059" s="989"/>
      <c r="HXU1059" s="989"/>
      <c r="HXV1059" s="989"/>
      <c r="HXW1059" s="989"/>
      <c r="HXX1059" s="989"/>
      <c r="HXY1059" s="989"/>
      <c r="HXZ1059" s="989"/>
      <c r="HYA1059" s="989"/>
      <c r="HYB1059" s="989"/>
      <c r="HYC1059" s="989"/>
      <c r="HYD1059" s="989"/>
      <c r="HYE1059" s="989"/>
      <c r="HYF1059" s="989"/>
      <c r="HYG1059" s="989"/>
      <c r="HYH1059" s="989"/>
      <c r="HYI1059" s="989"/>
      <c r="HYJ1059" s="989"/>
      <c r="HYK1059" s="989"/>
      <c r="HYL1059" s="989"/>
      <c r="HYM1059" s="989"/>
      <c r="HYN1059" s="989"/>
      <c r="HYO1059" s="989"/>
      <c r="HYP1059" s="989"/>
      <c r="HYQ1059" s="989"/>
      <c r="HYR1059" s="989"/>
      <c r="HYS1059" s="989"/>
      <c r="HYT1059" s="989"/>
      <c r="HYU1059" s="989"/>
      <c r="HYV1059" s="989"/>
      <c r="HYW1059" s="989"/>
      <c r="HYX1059" s="989"/>
      <c r="HYY1059" s="989"/>
      <c r="HYZ1059" s="989"/>
      <c r="HZA1059" s="989"/>
      <c r="HZB1059" s="989"/>
      <c r="HZC1059" s="989"/>
      <c r="HZD1059" s="989"/>
      <c r="HZE1059" s="989"/>
      <c r="HZF1059" s="989"/>
      <c r="HZG1059" s="989"/>
      <c r="HZH1059" s="989"/>
      <c r="HZI1059" s="989"/>
      <c r="HZJ1059" s="989"/>
      <c r="HZK1059" s="989"/>
      <c r="HZL1059" s="989"/>
      <c r="HZM1059" s="989"/>
      <c r="HZN1059" s="989"/>
      <c r="HZO1059" s="989"/>
      <c r="HZP1059" s="989"/>
      <c r="HZQ1059" s="989"/>
      <c r="HZR1059" s="989"/>
      <c r="HZS1059" s="989"/>
      <c r="HZT1059" s="989"/>
      <c r="HZU1059" s="989"/>
      <c r="HZV1059" s="989"/>
      <c r="HZW1059" s="989"/>
      <c r="HZX1059" s="989"/>
      <c r="HZY1059" s="989"/>
      <c r="HZZ1059" s="989"/>
      <c r="IAA1059" s="989"/>
      <c r="IAB1059" s="989"/>
      <c r="IAC1059" s="989"/>
      <c r="IAD1059" s="989"/>
      <c r="IAE1059" s="989"/>
      <c r="IAF1059" s="989"/>
      <c r="IAG1059" s="989"/>
      <c r="IAH1059" s="989"/>
      <c r="IAI1059" s="989"/>
      <c r="IAJ1059" s="989"/>
      <c r="IAK1059" s="989"/>
      <c r="IAL1059" s="989"/>
      <c r="IAM1059" s="989"/>
      <c r="IAN1059" s="989"/>
      <c r="IAO1059" s="989"/>
      <c r="IAP1059" s="989"/>
      <c r="IAQ1059" s="989"/>
      <c r="IAR1059" s="989"/>
      <c r="IAS1059" s="989"/>
      <c r="IAT1059" s="989"/>
      <c r="IAU1059" s="989"/>
      <c r="IAV1059" s="989"/>
      <c r="IAW1059" s="989"/>
      <c r="IAX1059" s="989"/>
      <c r="IAY1059" s="989"/>
      <c r="IAZ1059" s="989"/>
      <c r="IBA1059" s="989"/>
      <c r="IBB1059" s="989"/>
      <c r="IBC1059" s="989"/>
      <c r="IBD1059" s="989"/>
      <c r="IBE1059" s="989"/>
      <c r="IBF1059" s="989"/>
      <c r="IBG1059" s="989"/>
      <c r="IBH1059" s="989"/>
      <c r="IBI1059" s="989"/>
      <c r="IBJ1059" s="989"/>
      <c r="IBK1059" s="989"/>
      <c r="IBL1059" s="989"/>
      <c r="IBM1059" s="989"/>
      <c r="IBN1059" s="989"/>
      <c r="IBO1059" s="989"/>
      <c r="IBP1059" s="989"/>
      <c r="IBQ1059" s="989"/>
      <c r="IBR1059" s="989"/>
      <c r="IBS1059" s="989"/>
      <c r="IBT1059" s="989"/>
      <c r="IBU1059" s="989"/>
      <c r="IBV1059" s="989"/>
      <c r="IBW1059" s="989"/>
      <c r="IBX1059" s="989"/>
      <c r="IBY1059" s="989"/>
      <c r="IBZ1059" s="989"/>
      <c r="ICA1059" s="989"/>
      <c r="ICB1059" s="989"/>
      <c r="ICC1059" s="989"/>
      <c r="ICD1059" s="989"/>
      <c r="ICE1059" s="989"/>
      <c r="ICF1059" s="989"/>
      <c r="ICG1059" s="989"/>
      <c r="ICH1059" s="989"/>
      <c r="ICI1059" s="989"/>
      <c r="ICJ1059" s="989"/>
      <c r="ICK1059" s="989"/>
      <c r="ICL1059" s="989"/>
      <c r="ICM1059" s="989"/>
      <c r="ICN1059" s="989"/>
      <c r="ICO1059" s="989"/>
      <c r="ICP1059" s="989"/>
      <c r="ICQ1059" s="989"/>
      <c r="ICR1059" s="989"/>
      <c r="ICS1059" s="989"/>
      <c r="ICT1059" s="989"/>
      <c r="ICU1059" s="989"/>
      <c r="ICV1059" s="989"/>
      <c r="ICW1059" s="989"/>
      <c r="ICX1059" s="989"/>
      <c r="ICY1059" s="989"/>
      <c r="ICZ1059" s="989"/>
      <c r="IDA1059" s="989"/>
      <c r="IDB1059" s="989"/>
      <c r="IDC1059" s="989"/>
      <c r="IDD1059" s="989"/>
      <c r="IDE1059" s="989"/>
      <c r="IDF1059" s="989"/>
      <c r="IDG1059" s="989"/>
      <c r="IDH1059" s="989"/>
      <c r="IDI1059" s="989"/>
      <c r="IDJ1059" s="989"/>
      <c r="IDK1059" s="989"/>
      <c r="IDL1059" s="989"/>
      <c r="IDM1059" s="989"/>
      <c r="IDN1059" s="989"/>
      <c r="IDO1059" s="989"/>
      <c r="IDP1059" s="989"/>
      <c r="IDQ1059" s="989"/>
      <c r="IDR1059" s="989"/>
      <c r="IDS1059" s="989"/>
      <c r="IDT1059" s="989"/>
      <c r="IDU1059" s="989"/>
      <c r="IDV1059" s="989"/>
      <c r="IDW1059" s="989"/>
      <c r="IDX1059" s="989"/>
      <c r="IDY1059" s="989"/>
      <c r="IDZ1059" s="989"/>
      <c r="IEA1059" s="989"/>
      <c r="IEB1059" s="989"/>
      <c r="IEC1059" s="989"/>
      <c r="IED1059" s="989"/>
      <c r="IEE1059" s="989"/>
      <c r="IEF1059" s="989"/>
      <c r="IEG1059" s="989"/>
      <c r="IEH1059" s="989"/>
      <c r="IEI1059" s="989"/>
      <c r="IEJ1059" s="989"/>
      <c r="IEK1059" s="989"/>
      <c r="IEL1059" s="989"/>
      <c r="IEM1059" s="989"/>
      <c r="IEN1059" s="989"/>
      <c r="IEO1059" s="989"/>
      <c r="IEP1059" s="989"/>
      <c r="IEQ1059" s="989"/>
      <c r="IER1059" s="989"/>
      <c r="IES1059" s="989"/>
      <c r="IET1059" s="989"/>
      <c r="IEU1059" s="989"/>
      <c r="IEV1059" s="989"/>
      <c r="IEW1059" s="989"/>
      <c r="IEX1059" s="989"/>
      <c r="IEY1059" s="989"/>
      <c r="IEZ1059" s="989"/>
      <c r="IFA1059" s="989"/>
      <c r="IFB1059" s="989"/>
      <c r="IFC1059" s="989"/>
      <c r="IFD1059" s="989"/>
      <c r="IFE1059" s="989"/>
      <c r="IFF1059" s="989"/>
      <c r="IFG1059" s="989"/>
      <c r="IFH1059" s="989"/>
      <c r="IFI1059" s="989"/>
      <c r="IFJ1059" s="989"/>
      <c r="IFK1059" s="989"/>
      <c r="IFL1059" s="989"/>
      <c r="IFM1059" s="989"/>
      <c r="IFN1059" s="989"/>
      <c r="IFO1059" s="989"/>
      <c r="IFP1059" s="989"/>
      <c r="IFQ1059" s="989"/>
      <c r="IFR1059" s="989"/>
      <c r="IFS1059" s="989"/>
      <c r="IFT1059" s="989"/>
      <c r="IFU1059" s="989"/>
      <c r="IFV1059" s="989"/>
      <c r="IFW1059" s="989"/>
      <c r="IFX1059" s="989"/>
      <c r="IFY1059" s="989"/>
      <c r="IFZ1059" s="989"/>
      <c r="IGA1059" s="989"/>
      <c r="IGB1059" s="989"/>
      <c r="IGC1059" s="989"/>
      <c r="IGD1059" s="989"/>
      <c r="IGE1059" s="989"/>
      <c r="IGF1059" s="989"/>
      <c r="IGG1059" s="989"/>
      <c r="IGH1059" s="989"/>
      <c r="IGI1059" s="989"/>
      <c r="IGJ1059" s="989"/>
      <c r="IGK1059" s="989"/>
      <c r="IGL1059" s="989"/>
      <c r="IGM1059" s="989"/>
      <c r="IGN1059" s="989"/>
      <c r="IGO1059" s="989"/>
      <c r="IGP1059" s="989"/>
      <c r="IGQ1059" s="989"/>
      <c r="IGR1059" s="989"/>
      <c r="IGS1059" s="989"/>
      <c r="IGT1059" s="989"/>
      <c r="IGU1059" s="989"/>
      <c r="IGV1059" s="989"/>
      <c r="IGW1059" s="989"/>
      <c r="IGX1059" s="989"/>
      <c r="IGY1059" s="989"/>
      <c r="IGZ1059" s="989"/>
      <c r="IHA1059" s="989"/>
      <c r="IHB1059" s="989"/>
      <c r="IHC1059" s="989"/>
      <c r="IHD1059" s="989"/>
      <c r="IHE1059" s="989"/>
      <c r="IHF1059" s="989"/>
      <c r="IHG1059" s="989"/>
      <c r="IHH1059" s="989"/>
      <c r="IHI1059" s="989"/>
      <c r="IHJ1059" s="989"/>
      <c r="IHK1059" s="989"/>
      <c r="IHL1059" s="989"/>
      <c r="IHM1059" s="989"/>
      <c r="IHN1059" s="989"/>
      <c r="IHO1059" s="989"/>
      <c r="IHP1059" s="989"/>
      <c r="IHQ1059" s="989"/>
      <c r="IHR1059" s="989"/>
      <c r="IHS1059" s="989"/>
      <c r="IHT1059" s="989"/>
      <c r="IHU1059" s="989"/>
      <c r="IHV1059" s="989"/>
      <c r="IHW1059" s="989"/>
      <c r="IHX1059" s="989"/>
      <c r="IHY1059" s="989"/>
      <c r="IHZ1059" s="989"/>
      <c r="IIA1059" s="989"/>
      <c r="IIB1059" s="989"/>
      <c r="IIC1059" s="989"/>
      <c r="IID1059" s="989"/>
      <c r="IIE1059" s="989"/>
      <c r="IIF1059" s="989"/>
      <c r="IIG1059" s="989"/>
      <c r="IIH1059" s="989"/>
      <c r="III1059" s="989"/>
      <c r="IIJ1059" s="989"/>
      <c r="IIK1059" s="989"/>
      <c r="IIL1059" s="989"/>
      <c r="IIM1059" s="989"/>
      <c r="IIN1059" s="989"/>
      <c r="IIO1059" s="989"/>
      <c r="IIP1059" s="989"/>
      <c r="IIQ1059" s="989"/>
      <c r="IIR1059" s="989"/>
      <c r="IIS1059" s="989"/>
      <c r="IIT1059" s="989"/>
      <c r="IIU1059" s="989"/>
      <c r="IIV1059" s="989"/>
      <c r="IIW1059" s="989"/>
      <c r="IIX1059" s="989"/>
      <c r="IIY1059" s="989"/>
      <c r="IIZ1059" s="989"/>
      <c r="IJA1059" s="989"/>
      <c r="IJB1059" s="989"/>
      <c r="IJC1059" s="989"/>
      <c r="IJD1059" s="989"/>
      <c r="IJE1059" s="989"/>
      <c r="IJF1059" s="989"/>
      <c r="IJG1059" s="989"/>
      <c r="IJH1059" s="989"/>
      <c r="IJI1059" s="989"/>
      <c r="IJJ1059" s="989"/>
      <c r="IJK1059" s="989"/>
      <c r="IJL1059" s="989"/>
      <c r="IJM1059" s="989"/>
      <c r="IJN1059" s="989"/>
      <c r="IJO1059" s="989"/>
      <c r="IJP1059" s="989"/>
      <c r="IJQ1059" s="989"/>
      <c r="IJR1059" s="989"/>
      <c r="IJS1059" s="989"/>
      <c r="IJT1059" s="989"/>
      <c r="IJU1059" s="989"/>
      <c r="IJV1059" s="989"/>
      <c r="IJW1059" s="989"/>
      <c r="IJX1059" s="989"/>
      <c r="IJY1059" s="989"/>
      <c r="IJZ1059" s="989"/>
      <c r="IKA1059" s="989"/>
      <c r="IKB1059" s="989"/>
      <c r="IKC1059" s="989"/>
      <c r="IKD1059" s="989"/>
      <c r="IKE1059" s="989"/>
      <c r="IKF1059" s="989"/>
      <c r="IKG1059" s="989"/>
      <c r="IKH1059" s="989"/>
      <c r="IKI1059" s="989"/>
      <c r="IKJ1059" s="989"/>
      <c r="IKK1059" s="989"/>
      <c r="IKL1059" s="989"/>
      <c r="IKM1059" s="989"/>
      <c r="IKN1059" s="989"/>
      <c r="IKO1059" s="989"/>
      <c r="IKP1059" s="989"/>
      <c r="IKQ1059" s="989"/>
      <c r="IKR1059" s="989"/>
      <c r="IKS1059" s="989"/>
      <c r="IKT1059" s="989"/>
      <c r="IKU1059" s="989"/>
      <c r="IKV1059" s="989"/>
      <c r="IKW1059" s="989"/>
      <c r="IKX1059" s="989"/>
      <c r="IKY1059" s="989"/>
      <c r="IKZ1059" s="989"/>
      <c r="ILA1059" s="989"/>
      <c r="ILB1059" s="989"/>
      <c r="ILC1059" s="989"/>
      <c r="ILD1059" s="989"/>
      <c r="ILE1059" s="989"/>
      <c r="ILF1059" s="989"/>
      <c r="ILG1059" s="989"/>
      <c r="ILH1059" s="989"/>
      <c r="ILI1059" s="989"/>
      <c r="ILJ1059" s="989"/>
      <c r="ILK1059" s="989"/>
      <c r="ILL1059" s="989"/>
      <c r="ILM1059" s="989"/>
      <c r="ILN1059" s="989"/>
      <c r="ILO1059" s="989"/>
      <c r="ILP1059" s="989"/>
      <c r="ILQ1059" s="989"/>
      <c r="ILR1059" s="989"/>
      <c r="ILS1059" s="989"/>
      <c r="ILT1059" s="989"/>
      <c r="ILU1059" s="989"/>
      <c r="ILV1059" s="989"/>
      <c r="ILW1059" s="989"/>
      <c r="ILX1059" s="989"/>
      <c r="ILY1059" s="989"/>
      <c r="ILZ1059" s="989"/>
      <c r="IMA1059" s="989"/>
      <c r="IMB1059" s="989"/>
      <c r="IMC1059" s="989"/>
      <c r="IMD1059" s="989"/>
      <c r="IME1059" s="989"/>
      <c r="IMF1059" s="989"/>
      <c r="IMG1059" s="989"/>
      <c r="IMH1059" s="989"/>
      <c r="IMI1059" s="989"/>
      <c r="IMJ1059" s="989"/>
      <c r="IMK1059" s="989"/>
      <c r="IML1059" s="989"/>
      <c r="IMM1059" s="989"/>
      <c r="IMN1059" s="989"/>
      <c r="IMO1059" s="989"/>
      <c r="IMP1059" s="989"/>
      <c r="IMQ1059" s="989"/>
      <c r="IMR1059" s="989"/>
      <c r="IMS1059" s="989"/>
      <c r="IMT1059" s="989"/>
      <c r="IMU1059" s="989"/>
      <c r="IMV1059" s="989"/>
      <c r="IMW1059" s="989"/>
      <c r="IMX1059" s="989"/>
      <c r="IMY1059" s="989"/>
      <c r="IMZ1059" s="989"/>
      <c r="INA1059" s="989"/>
      <c r="INB1059" s="989"/>
      <c r="INC1059" s="989"/>
      <c r="IND1059" s="989"/>
      <c r="INE1059" s="989"/>
      <c r="INF1059" s="989"/>
      <c r="ING1059" s="989"/>
      <c r="INH1059" s="989"/>
      <c r="INI1059" s="989"/>
      <c r="INJ1059" s="989"/>
      <c r="INK1059" s="989"/>
      <c r="INL1059" s="989"/>
      <c r="INM1059" s="989"/>
      <c r="INN1059" s="989"/>
      <c r="INO1059" s="989"/>
      <c r="INP1059" s="989"/>
      <c r="INQ1059" s="989"/>
      <c r="INR1059" s="989"/>
      <c r="INS1059" s="989"/>
      <c r="INT1059" s="989"/>
      <c r="INU1059" s="989"/>
      <c r="INV1059" s="989"/>
      <c r="INW1059" s="989"/>
      <c r="INX1059" s="989"/>
      <c r="INY1059" s="989"/>
      <c r="INZ1059" s="989"/>
      <c r="IOA1059" s="989"/>
      <c r="IOB1059" s="989"/>
      <c r="IOC1059" s="989"/>
      <c r="IOD1059" s="989"/>
      <c r="IOE1059" s="989"/>
      <c r="IOF1059" s="989"/>
      <c r="IOG1059" s="989"/>
      <c r="IOH1059" s="989"/>
      <c r="IOI1059" s="989"/>
      <c r="IOJ1059" s="989"/>
      <c r="IOK1059" s="989"/>
      <c r="IOL1059" s="989"/>
      <c r="IOM1059" s="989"/>
      <c r="ION1059" s="989"/>
      <c r="IOO1059" s="989"/>
      <c r="IOP1059" s="989"/>
      <c r="IOQ1059" s="989"/>
      <c r="IOR1059" s="989"/>
      <c r="IOS1059" s="989"/>
      <c r="IOT1059" s="989"/>
      <c r="IOU1059" s="989"/>
      <c r="IOV1059" s="989"/>
      <c r="IOW1059" s="989"/>
      <c r="IOX1059" s="989"/>
      <c r="IOY1059" s="989"/>
      <c r="IOZ1059" s="989"/>
      <c r="IPA1059" s="989"/>
      <c r="IPB1059" s="989"/>
      <c r="IPC1059" s="989"/>
      <c r="IPD1059" s="989"/>
      <c r="IPE1059" s="989"/>
      <c r="IPF1059" s="989"/>
      <c r="IPG1059" s="989"/>
      <c r="IPH1059" s="989"/>
      <c r="IPI1059" s="989"/>
      <c r="IPJ1059" s="989"/>
      <c r="IPK1059" s="989"/>
      <c r="IPL1059" s="989"/>
      <c r="IPM1059" s="989"/>
      <c r="IPN1059" s="989"/>
      <c r="IPO1059" s="989"/>
      <c r="IPP1059" s="989"/>
      <c r="IPQ1059" s="989"/>
      <c r="IPR1059" s="989"/>
      <c r="IPS1059" s="989"/>
      <c r="IPT1059" s="989"/>
      <c r="IPU1059" s="989"/>
      <c r="IPV1059" s="989"/>
      <c r="IPW1059" s="989"/>
      <c r="IPX1059" s="989"/>
      <c r="IPY1059" s="989"/>
      <c r="IPZ1059" s="989"/>
      <c r="IQA1059" s="989"/>
      <c r="IQB1059" s="989"/>
      <c r="IQC1059" s="989"/>
      <c r="IQD1059" s="989"/>
      <c r="IQE1059" s="989"/>
      <c r="IQF1059" s="989"/>
      <c r="IQG1059" s="989"/>
      <c r="IQH1059" s="989"/>
      <c r="IQI1059" s="989"/>
      <c r="IQJ1059" s="989"/>
      <c r="IQK1059" s="989"/>
      <c r="IQL1059" s="989"/>
      <c r="IQM1059" s="989"/>
      <c r="IQN1059" s="989"/>
      <c r="IQO1059" s="989"/>
      <c r="IQP1059" s="989"/>
      <c r="IQQ1059" s="989"/>
      <c r="IQR1059" s="989"/>
      <c r="IQS1059" s="989"/>
      <c r="IQT1059" s="989"/>
      <c r="IQU1059" s="989"/>
      <c r="IQV1059" s="989"/>
      <c r="IQW1059" s="989"/>
      <c r="IQX1059" s="989"/>
      <c r="IQY1059" s="989"/>
      <c r="IQZ1059" s="989"/>
      <c r="IRA1059" s="989"/>
      <c r="IRB1059" s="989"/>
      <c r="IRC1059" s="989"/>
      <c r="IRD1059" s="989"/>
      <c r="IRE1059" s="989"/>
      <c r="IRF1059" s="989"/>
      <c r="IRG1059" s="989"/>
      <c r="IRH1059" s="989"/>
      <c r="IRI1059" s="989"/>
      <c r="IRJ1059" s="989"/>
      <c r="IRK1059" s="989"/>
      <c r="IRL1059" s="989"/>
      <c r="IRM1059" s="989"/>
      <c r="IRN1059" s="989"/>
      <c r="IRO1059" s="989"/>
      <c r="IRP1059" s="989"/>
      <c r="IRQ1059" s="989"/>
      <c r="IRR1059" s="989"/>
      <c r="IRS1059" s="989"/>
      <c r="IRT1059" s="989"/>
      <c r="IRU1059" s="989"/>
      <c r="IRV1059" s="989"/>
      <c r="IRW1059" s="989"/>
      <c r="IRX1059" s="989"/>
      <c r="IRY1059" s="989"/>
      <c r="IRZ1059" s="989"/>
      <c r="ISA1059" s="989"/>
      <c r="ISB1059" s="989"/>
      <c r="ISC1059" s="989"/>
      <c r="ISD1059" s="989"/>
      <c r="ISE1059" s="989"/>
      <c r="ISF1059" s="989"/>
      <c r="ISG1059" s="989"/>
      <c r="ISH1059" s="989"/>
      <c r="ISI1059" s="989"/>
      <c r="ISJ1059" s="989"/>
      <c r="ISK1059" s="989"/>
      <c r="ISL1059" s="989"/>
      <c r="ISM1059" s="989"/>
      <c r="ISN1059" s="989"/>
      <c r="ISO1059" s="989"/>
      <c r="ISP1059" s="989"/>
      <c r="ISQ1059" s="989"/>
      <c r="ISR1059" s="989"/>
      <c r="ISS1059" s="989"/>
      <c r="IST1059" s="989"/>
      <c r="ISU1059" s="989"/>
      <c r="ISV1059" s="989"/>
      <c r="ISW1059" s="989"/>
      <c r="ISX1059" s="989"/>
      <c r="ISY1059" s="989"/>
      <c r="ISZ1059" s="989"/>
      <c r="ITA1059" s="989"/>
      <c r="ITB1059" s="989"/>
      <c r="ITC1059" s="989"/>
      <c r="ITD1059" s="989"/>
      <c r="ITE1059" s="989"/>
      <c r="ITF1059" s="989"/>
      <c r="ITG1059" s="989"/>
      <c r="ITH1059" s="989"/>
      <c r="ITI1059" s="989"/>
      <c r="ITJ1059" s="989"/>
      <c r="ITK1059" s="989"/>
      <c r="ITL1059" s="989"/>
      <c r="ITM1059" s="989"/>
      <c r="ITN1059" s="989"/>
      <c r="ITO1059" s="989"/>
      <c r="ITP1059" s="989"/>
      <c r="ITQ1059" s="989"/>
      <c r="ITR1059" s="989"/>
      <c r="ITS1059" s="989"/>
      <c r="ITT1059" s="989"/>
      <c r="ITU1059" s="989"/>
      <c r="ITV1059" s="989"/>
      <c r="ITW1059" s="989"/>
      <c r="ITX1059" s="989"/>
      <c r="ITY1059" s="989"/>
      <c r="ITZ1059" s="989"/>
      <c r="IUA1059" s="989"/>
      <c r="IUB1059" s="989"/>
      <c r="IUC1059" s="989"/>
      <c r="IUD1059" s="989"/>
      <c r="IUE1059" s="989"/>
      <c r="IUF1059" s="989"/>
      <c r="IUG1059" s="989"/>
      <c r="IUH1059" s="989"/>
      <c r="IUI1059" s="989"/>
      <c r="IUJ1059" s="989"/>
      <c r="IUK1059" s="989"/>
      <c r="IUL1059" s="989"/>
      <c r="IUM1059" s="989"/>
      <c r="IUN1059" s="989"/>
      <c r="IUO1059" s="989"/>
      <c r="IUP1059" s="989"/>
      <c r="IUQ1059" s="989"/>
      <c r="IUR1059" s="989"/>
      <c r="IUS1059" s="989"/>
      <c r="IUT1059" s="989"/>
      <c r="IUU1059" s="989"/>
      <c r="IUV1059" s="989"/>
      <c r="IUW1059" s="989"/>
      <c r="IUX1059" s="989"/>
      <c r="IUY1059" s="989"/>
      <c r="IUZ1059" s="989"/>
      <c r="IVA1059" s="989"/>
      <c r="IVB1059" s="989"/>
      <c r="IVC1059" s="989"/>
      <c r="IVD1059" s="989"/>
      <c r="IVE1059" s="989"/>
      <c r="IVF1059" s="989"/>
      <c r="IVG1059" s="989"/>
      <c r="IVH1059" s="989"/>
      <c r="IVI1059" s="989"/>
      <c r="IVJ1059" s="989"/>
      <c r="IVK1059" s="989"/>
      <c r="IVL1059" s="989"/>
      <c r="IVM1059" s="989"/>
      <c r="IVN1059" s="989"/>
      <c r="IVO1059" s="989"/>
      <c r="IVP1059" s="989"/>
      <c r="IVQ1059" s="989"/>
      <c r="IVR1059" s="989"/>
      <c r="IVS1059" s="989"/>
      <c r="IVT1059" s="989"/>
      <c r="IVU1059" s="989"/>
      <c r="IVV1059" s="989"/>
      <c r="IVW1059" s="989"/>
      <c r="IVX1059" s="989"/>
      <c r="IVY1059" s="989"/>
      <c r="IVZ1059" s="989"/>
      <c r="IWA1059" s="989"/>
      <c r="IWB1059" s="989"/>
      <c r="IWC1059" s="989"/>
      <c r="IWD1059" s="989"/>
      <c r="IWE1059" s="989"/>
      <c r="IWF1059" s="989"/>
      <c r="IWG1059" s="989"/>
      <c r="IWH1059" s="989"/>
      <c r="IWI1059" s="989"/>
      <c r="IWJ1059" s="989"/>
      <c r="IWK1059" s="989"/>
      <c r="IWL1059" s="989"/>
      <c r="IWM1059" s="989"/>
      <c r="IWN1059" s="989"/>
      <c r="IWO1059" s="989"/>
      <c r="IWP1059" s="989"/>
      <c r="IWQ1059" s="989"/>
      <c r="IWR1059" s="989"/>
      <c r="IWS1059" s="989"/>
      <c r="IWT1059" s="989"/>
      <c r="IWU1059" s="989"/>
      <c r="IWV1059" s="989"/>
      <c r="IWW1059" s="989"/>
      <c r="IWX1059" s="989"/>
      <c r="IWY1059" s="989"/>
      <c r="IWZ1059" s="989"/>
      <c r="IXA1059" s="989"/>
      <c r="IXB1059" s="989"/>
      <c r="IXC1059" s="989"/>
      <c r="IXD1059" s="989"/>
      <c r="IXE1059" s="989"/>
      <c r="IXF1059" s="989"/>
      <c r="IXG1059" s="989"/>
      <c r="IXH1059" s="989"/>
      <c r="IXI1059" s="989"/>
      <c r="IXJ1059" s="989"/>
      <c r="IXK1059" s="989"/>
      <c r="IXL1059" s="989"/>
      <c r="IXM1059" s="989"/>
      <c r="IXN1059" s="989"/>
      <c r="IXO1059" s="989"/>
      <c r="IXP1059" s="989"/>
      <c r="IXQ1059" s="989"/>
      <c r="IXR1059" s="989"/>
      <c r="IXS1059" s="989"/>
      <c r="IXT1059" s="989"/>
      <c r="IXU1059" s="989"/>
      <c r="IXV1059" s="989"/>
      <c r="IXW1059" s="989"/>
      <c r="IXX1059" s="989"/>
      <c r="IXY1059" s="989"/>
      <c r="IXZ1059" s="989"/>
      <c r="IYA1059" s="989"/>
      <c r="IYB1059" s="989"/>
      <c r="IYC1059" s="989"/>
      <c r="IYD1059" s="989"/>
      <c r="IYE1059" s="989"/>
      <c r="IYF1059" s="989"/>
      <c r="IYG1059" s="989"/>
      <c r="IYH1059" s="989"/>
      <c r="IYI1059" s="989"/>
      <c r="IYJ1059" s="989"/>
      <c r="IYK1059" s="989"/>
      <c r="IYL1059" s="989"/>
      <c r="IYM1059" s="989"/>
      <c r="IYN1059" s="989"/>
      <c r="IYO1059" s="989"/>
      <c r="IYP1059" s="989"/>
      <c r="IYQ1059" s="989"/>
      <c r="IYR1059" s="989"/>
      <c r="IYS1059" s="989"/>
      <c r="IYT1059" s="989"/>
      <c r="IYU1059" s="989"/>
      <c r="IYV1059" s="989"/>
      <c r="IYW1059" s="989"/>
      <c r="IYX1059" s="989"/>
      <c r="IYY1059" s="989"/>
      <c r="IYZ1059" s="989"/>
      <c r="IZA1059" s="989"/>
      <c r="IZB1059" s="989"/>
      <c r="IZC1059" s="989"/>
      <c r="IZD1059" s="989"/>
      <c r="IZE1059" s="989"/>
      <c r="IZF1059" s="989"/>
      <c r="IZG1059" s="989"/>
      <c r="IZH1059" s="989"/>
      <c r="IZI1059" s="989"/>
      <c r="IZJ1059" s="989"/>
      <c r="IZK1059" s="989"/>
      <c r="IZL1059" s="989"/>
      <c r="IZM1059" s="989"/>
      <c r="IZN1059" s="989"/>
      <c r="IZO1059" s="989"/>
      <c r="IZP1059" s="989"/>
      <c r="IZQ1059" s="989"/>
      <c r="IZR1059" s="989"/>
      <c r="IZS1059" s="989"/>
      <c r="IZT1059" s="989"/>
      <c r="IZU1059" s="989"/>
      <c r="IZV1059" s="989"/>
      <c r="IZW1059" s="989"/>
      <c r="IZX1059" s="989"/>
      <c r="IZY1059" s="989"/>
      <c r="IZZ1059" s="989"/>
      <c r="JAA1059" s="989"/>
      <c r="JAB1059" s="989"/>
      <c r="JAC1059" s="989"/>
      <c r="JAD1059" s="989"/>
      <c r="JAE1059" s="989"/>
      <c r="JAF1059" s="989"/>
      <c r="JAG1059" s="989"/>
      <c r="JAH1059" s="989"/>
      <c r="JAI1059" s="989"/>
      <c r="JAJ1059" s="989"/>
      <c r="JAK1059" s="989"/>
      <c r="JAL1059" s="989"/>
      <c r="JAM1059" s="989"/>
      <c r="JAN1059" s="989"/>
      <c r="JAO1059" s="989"/>
      <c r="JAP1059" s="989"/>
      <c r="JAQ1059" s="989"/>
      <c r="JAR1059" s="989"/>
      <c r="JAS1059" s="989"/>
      <c r="JAT1059" s="989"/>
      <c r="JAU1059" s="989"/>
      <c r="JAV1059" s="989"/>
      <c r="JAW1059" s="989"/>
      <c r="JAX1059" s="989"/>
      <c r="JAY1059" s="989"/>
      <c r="JAZ1059" s="989"/>
      <c r="JBA1059" s="989"/>
      <c r="JBB1059" s="989"/>
      <c r="JBC1059" s="989"/>
      <c r="JBD1059" s="989"/>
      <c r="JBE1059" s="989"/>
      <c r="JBF1059" s="989"/>
      <c r="JBG1059" s="989"/>
      <c r="JBH1059" s="989"/>
      <c r="JBI1059" s="989"/>
      <c r="JBJ1059" s="989"/>
      <c r="JBK1059" s="989"/>
      <c r="JBL1059" s="989"/>
      <c r="JBM1059" s="989"/>
      <c r="JBN1059" s="989"/>
      <c r="JBO1059" s="989"/>
      <c r="JBP1059" s="989"/>
      <c r="JBQ1059" s="989"/>
      <c r="JBR1059" s="989"/>
      <c r="JBS1059" s="989"/>
      <c r="JBT1059" s="989"/>
      <c r="JBU1059" s="989"/>
      <c r="JBV1059" s="989"/>
      <c r="JBW1059" s="989"/>
      <c r="JBX1059" s="989"/>
      <c r="JBY1059" s="989"/>
      <c r="JBZ1059" s="989"/>
      <c r="JCA1059" s="989"/>
      <c r="JCB1059" s="989"/>
      <c r="JCC1059" s="989"/>
      <c r="JCD1059" s="989"/>
      <c r="JCE1059" s="989"/>
      <c r="JCF1059" s="989"/>
      <c r="JCG1059" s="989"/>
      <c r="JCH1059" s="989"/>
      <c r="JCI1059" s="989"/>
      <c r="JCJ1059" s="989"/>
      <c r="JCK1059" s="989"/>
      <c r="JCL1059" s="989"/>
      <c r="JCM1059" s="989"/>
      <c r="JCN1059" s="989"/>
      <c r="JCO1059" s="989"/>
      <c r="JCP1059" s="989"/>
      <c r="JCQ1059" s="989"/>
      <c r="JCR1059" s="989"/>
      <c r="JCS1059" s="989"/>
      <c r="JCT1059" s="989"/>
      <c r="JCU1059" s="989"/>
      <c r="JCV1059" s="989"/>
      <c r="JCW1059" s="989"/>
      <c r="JCX1059" s="989"/>
      <c r="JCY1059" s="989"/>
      <c r="JCZ1059" s="989"/>
      <c r="JDA1059" s="989"/>
      <c r="JDB1059" s="989"/>
      <c r="JDC1059" s="989"/>
      <c r="JDD1059" s="989"/>
      <c r="JDE1059" s="989"/>
      <c r="JDF1059" s="989"/>
      <c r="JDG1059" s="989"/>
      <c r="JDH1059" s="989"/>
      <c r="JDI1059" s="989"/>
      <c r="JDJ1059" s="989"/>
      <c r="JDK1059" s="989"/>
      <c r="JDL1059" s="989"/>
      <c r="JDM1059" s="989"/>
      <c r="JDN1059" s="989"/>
      <c r="JDO1059" s="989"/>
      <c r="JDP1059" s="989"/>
      <c r="JDQ1059" s="989"/>
      <c r="JDR1059" s="989"/>
      <c r="JDS1059" s="989"/>
      <c r="JDT1059" s="989"/>
      <c r="JDU1059" s="989"/>
      <c r="JDV1059" s="989"/>
      <c r="JDW1059" s="989"/>
      <c r="JDX1059" s="989"/>
      <c r="JDY1059" s="989"/>
      <c r="JDZ1059" s="989"/>
      <c r="JEA1059" s="989"/>
      <c r="JEB1059" s="989"/>
      <c r="JEC1059" s="989"/>
      <c r="JED1059" s="989"/>
      <c r="JEE1059" s="989"/>
      <c r="JEF1059" s="989"/>
      <c r="JEG1059" s="989"/>
      <c r="JEH1059" s="989"/>
      <c r="JEI1059" s="989"/>
      <c r="JEJ1059" s="989"/>
      <c r="JEK1059" s="989"/>
      <c r="JEL1059" s="989"/>
      <c r="JEM1059" s="989"/>
      <c r="JEN1059" s="989"/>
      <c r="JEO1059" s="989"/>
      <c r="JEP1059" s="989"/>
      <c r="JEQ1059" s="989"/>
      <c r="JER1059" s="989"/>
      <c r="JES1059" s="989"/>
      <c r="JET1059" s="989"/>
      <c r="JEU1059" s="989"/>
      <c r="JEV1059" s="989"/>
      <c r="JEW1059" s="989"/>
      <c r="JEX1059" s="989"/>
      <c r="JEY1059" s="989"/>
      <c r="JEZ1059" s="989"/>
      <c r="JFA1059" s="989"/>
      <c r="JFB1059" s="989"/>
      <c r="JFC1059" s="989"/>
      <c r="JFD1059" s="989"/>
      <c r="JFE1059" s="989"/>
      <c r="JFF1059" s="989"/>
      <c r="JFG1059" s="989"/>
      <c r="JFH1059" s="989"/>
      <c r="JFI1059" s="989"/>
      <c r="JFJ1059" s="989"/>
      <c r="JFK1059" s="989"/>
      <c r="JFL1059" s="989"/>
      <c r="JFM1059" s="989"/>
      <c r="JFN1059" s="989"/>
      <c r="JFO1059" s="989"/>
      <c r="JFP1059" s="989"/>
      <c r="JFQ1059" s="989"/>
      <c r="JFR1059" s="989"/>
      <c r="JFS1059" s="989"/>
      <c r="JFT1059" s="989"/>
      <c r="JFU1059" s="989"/>
      <c r="JFV1059" s="989"/>
      <c r="JFW1059" s="989"/>
      <c r="JFX1059" s="989"/>
      <c r="JFY1059" s="989"/>
      <c r="JFZ1059" s="989"/>
      <c r="JGA1059" s="989"/>
      <c r="JGB1059" s="989"/>
      <c r="JGC1059" s="989"/>
      <c r="JGD1059" s="989"/>
      <c r="JGE1059" s="989"/>
      <c r="JGF1059" s="989"/>
      <c r="JGG1059" s="989"/>
      <c r="JGH1059" s="989"/>
      <c r="JGI1059" s="989"/>
      <c r="JGJ1059" s="989"/>
      <c r="JGK1059" s="989"/>
      <c r="JGL1059" s="989"/>
      <c r="JGM1059" s="989"/>
      <c r="JGN1059" s="989"/>
      <c r="JGO1059" s="989"/>
      <c r="JGP1059" s="989"/>
      <c r="JGQ1059" s="989"/>
      <c r="JGR1059" s="989"/>
      <c r="JGS1059" s="989"/>
      <c r="JGT1059" s="989"/>
      <c r="JGU1059" s="989"/>
      <c r="JGV1059" s="989"/>
      <c r="JGW1059" s="989"/>
      <c r="JGX1059" s="989"/>
      <c r="JGY1059" s="989"/>
      <c r="JGZ1059" s="989"/>
      <c r="JHA1059" s="989"/>
      <c r="JHB1059" s="989"/>
      <c r="JHC1059" s="989"/>
      <c r="JHD1059" s="989"/>
      <c r="JHE1059" s="989"/>
      <c r="JHF1059" s="989"/>
      <c r="JHG1059" s="989"/>
      <c r="JHH1059" s="989"/>
      <c r="JHI1059" s="989"/>
      <c r="JHJ1059" s="989"/>
      <c r="JHK1059" s="989"/>
      <c r="JHL1059" s="989"/>
      <c r="JHM1059" s="989"/>
      <c r="JHN1059" s="989"/>
      <c r="JHO1059" s="989"/>
      <c r="JHP1059" s="989"/>
      <c r="JHQ1059" s="989"/>
      <c r="JHR1059" s="989"/>
      <c r="JHS1059" s="989"/>
      <c r="JHT1059" s="989"/>
      <c r="JHU1059" s="989"/>
      <c r="JHV1059" s="989"/>
      <c r="JHW1059" s="989"/>
      <c r="JHX1059" s="989"/>
      <c r="JHY1059" s="989"/>
      <c r="JHZ1059" s="989"/>
      <c r="JIA1059" s="989"/>
      <c r="JIB1059" s="989"/>
      <c r="JIC1059" s="989"/>
      <c r="JID1059" s="989"/>
      <c r="JIE1059" s="989"/>
      <c r="JIF1059" s="989"/>
      <c r="JIG1059" s="989"/>
      <c r="JIH1059" s="989"/>
      <c r="JII1059" s="989"/>
      <c r="JIJ1059" s="989"/>
      <c r="JIK1059" s="989"/>
      <c r="JIL1059" s="989"/>
      <c r="JIM1059" s="989"/>
      <c r="JIN1059" s="989"/>
      <c r="JIO1059" s="989"/>
      <c r="JIP1059" s="989"/>
      <c r="JIQ1059" s="989"/>
      <c r="JIR1059" s="989"/>
      <c r="JIS1059" s="989"/>
      <c r="JIT1059" s="989"/>
      <c r="JIU1059" s="989"/>
      <c r="JIV1059" s="989"/>
      <c r="JIW1059" s="989"/>
      <c r="JIX1059" s="989"/>
      <c r="JIY1059" s="989"/>
      <c r="JIZ1059" s="989"/>
      <c r="JJA1059" s="989"/>
      <c r="JJB1059" s="989"/>
      <c r="JJC1059" s="989"/>
      <c r="JJD1059" s="989"/>
      <c r="JJE1059" s="989"/>
      <c r="JJF1059" s="989"/>
      <c r="JJG1059" s="989"/>
      <c r="JJH1059" s="989"/>
      <c r="JJI1059" s="989"/>
      <c r="JJJ1059" s="989"/>
      <c r="JJK1059" s="989"/>
      <c r="JJL1059" s="989"/>
      <c r="JJM1059" s="989"/>
      <c r="JJN1059" s="989"/>
      <c r="JJO1059" s="989"/>
      <c r="JJP1059" s="989"/>
      <c r="JJQ1059" s="989"/>
      <c r="JJR1059" s="989"/>
      <c r="JJS1059" s="989"/>
      <c r="JJT1059" s="989"/>
      <c r="JJU1059" s="989"/>
      <c r="JJV1059" s="989"/>
      <c r="JJW1059" s="989"/>
      <c r="JJX1059" s="989"/>
      <c r="JJY1059" s="989"/>
      <c r="JJZ1059" s="989"/>
      <c r="JKA1059" s="989"/>
      <c r="JKB1059" s="989"/>
      <c r="JKC1059" s="989"/>
      <c r="JKD1059" s="989"/>
      <c r="JKE1059" s="989"/>
      <c r="JKF1059" s="989"/>
      <c r="JKG1059" s="989"/>
      <c r="JKH1059" s="989"/>
      <c r="JKI1059" s="989"/>
      <c r="JKJ1059" s="989"/>
      <c r="JKK1059" s="989"/>
      <c r="JKL1059" s="989"/>
      <c r="JKM1059" s="989"/>
      <c r="JKN1059" s="989"/>
      <c r="JKO1059" s="989"/>
      <c r="JKP1059" s="989"/>
      <c r="JKQ1059" s="989"/>
      <c r="JKR1059" s="989"/>
      <c r="JKS1059" s="989"/>
      <c r="JKT1059" s="989"/>
      <c r="JKU1059" s="989"/>
      <c r="JKV1059" s="989"/>
      <c r="JKW1059" s="989"/>
      <c r="JKX1059" s="989"/>
      <c r="JKY1059" s="989"/>
      <c r="JKZ1059" s="989"/>
      <c r="JLA1059" s="989"/>
      <c r="JLB1059" s="989"/>
      <c r="JLC1059" s="989"/>
      <c r="JLD1059" s="989"/>
      <c r="JLE1059" s="989"/>
      <c r="JLF1059" s="989"/>
      <c r="JLG1059" s="989"/>
      <c r="JLH1059" s="989"/>
      <c r="JLI1059" s="989"/>
      <c r="JLJ1059" s="989"/>
      <c r="JLK1059" s="989"/>
      <c r="JLL1059" s="989"/>
      <c r="JLM1059" s="989"/>
      <c r="JLN1059" s="989"/>
      <c r="JLO1059" s="989"/>
      <c r="JLP1059" s="989"/>
      <c r="JLQ1059" s="989"/>
      <c r="JLR1059" s="989"/>
      <c r="JLS1059" s="989"/>
      <c r="JLT1059" s="989"/>
      <c r="JLU1059" s="989"/>
      <c r="JLV1059" s="989"/>
      <c r="JLW1059" s="989"/>
      <c r="JLX1059" s="989"/>
      <c r="JLY1059" s="989"/>
      <c r="JLZ1059" s="989"/>
      <c r="JMA1059" s="989"/>
      <c r="JMB1059" s="989"/>
      <c r="JMC1059" s="989"/>
      <c r="JMD1059" s="989"/>
      <c r="JME1059" s="989"/>
      <c r="JMF1059" s="989"/>
      <c r="JMG1059" s="989"/>
      <c r="JMH1059" s="989"/>
      <c r="JMI1059" s="989"/>
      <c r="JMJ1059" s="989"/>
      <c r="JMK1059" s="989"/>
      <c r="JML1059" s="989"/>
      <c r="JMM1059" s="989"/>
      <c r="JMN1059" s="989"/>
      <c r="JMO1059" s="989"/>
      <c r="JMP1059" s="989"/>
      <c r="JMQ1059" s="989"/>
      <c r="JMR1059" s="989"/>
      <c r="JMS1059" s="989"/>
      <c r="JMT1059" s="989"/>
      <c r="JMU1059" s="989"/>
      <c r="JMV1059" s="989"/>
      <c r="JMW1059" s="989"/>
      <c r="JMX1059" s="989"/>
      <c r="JMY1059" s="989"/>
      <c r="JMZ1059" s="989"/>
      <c r="JNA1059" s="989"/>
      <c r="JNB1059" s="989"/>
      <c r="JNC1059" s="989"/>
      <c r="JND1059" s="989"/>
      <c r="JNE1059" s="989"/>
      <c r="JNF1059" s="989"/>
      <c r="JNG1059" s="989"/>
      <c r="JNH1059" s="989"/>
      <c r="JNI1059" s="989"/>
      <c r="JNJ1059" s="989"/>
      <c r="JNK1059" s="989"/>
      <c r="JNL1059" s="989"/>
      <c r="JNM1059" s="989"/>
      <c r="JNN1059" s="989"/>
      <c r="JNO1059" s="989"/>
      <c r="JNP1059" s="989"/>
      <c r="JNQ1059" s="989"/>
      <c r="JNR1059" s="989"/>
      <c r="JNS1059" s="989"/>
      <c r="JNT1059" s="989"/>
      <c r="JNU1059" s="989"/>
      <c r="JNV1059" s="989"/>
      <c r="JNW1059" s="989"/>
      <c r="JNX1059" s="989"/>
      <c r="JNY1059" s="989"/>
      <c r="JNZ1059" s="989"/>
      <c r="JOA1059" s="989"/>
      <c r="JOB1059" s="989"/>
      <c r="JOC1059" s="989"/>
      <c r="JOD1059" s="989"/>
      <c r="JOE1059" s="989"/>
      <c r="JOF1059" s="989"/>
      <c r="JOG1059" s="989"/>
      <c r="JOH1059" s="989"/>
      <c r="JOI1059" s="989"/>
      <c r="JOJ1059" s="989"/>
      <c r="JOK1059" s="989"/>
      <c r="JOL1059" s="989"/>
      <c r="JOM1059" s="989"/>
      <c r="JON1059" s="989"/>
      <c r="JOO1059" s="989"/>
      <c r="JOP1059" s="989"/>
      <c r="JOQ1059" s="989"/>
      <c r="JOR1059" s="989"/>
      <c r="JOS1059" s="989"/>
      <c r="JOT1059" s="989"/>
      <c r="JOU1059" s="989"/>
      <c r="JOV1059" s="989"/>
      <c r="JOW1059" s="989"/>
      <c r="JOX1059" s="989"/>
      <c r="JOY1059" s="989"/>
      <c r="JOZ1059" s="989"/>
      <c r="JPA1059" s="989"/>
      <c r="JPB1059" s="989"/>
      <c r="JPC1059" s="989"/>
      <c r="JPD1059" s="989"/>
      <c r="JPE1059" s="989"/>
      <c r="JPF1059" s="989"/>
      <c r="JPG1059" s="989"/>
      <c r="JPH1059" s="989"/>
      <c r="JPI1059" s="989"/>
      <c r="JPJ1059" s="989"/>
      <c r="JPK1059" s="989"/>
      <c r="JPL1059" s="989"/>
      <c r="JPM1059" s="989"/>
      <c r="JPN1059" s="989"/>
      <c r="JPO1059" s="989"/>
      <c r="JPP1059" s="989"/>
      <c r="JPQ1059" s="989"/>
      <c r="JPR1059" s="989"/>
      <c r="JPS1059" s="989"/>
      <c r="JPT1059" s="989"/>
      <c r="JPU1059" s="989"/>
      <c r="JPV1059" s="989"/>
      <c r="JPW1059" s="989"/>
      <c r="JPX1059" s="989"/>
      <c r="JPY1059" s="989"/>
      <c r="JPZ1059" s="989"/>
      <c r="JQA1059" s="989"/>
      <c r="JQB1059" s="989"/>
      <c r="JQC1059" s="989"/>
      <c r="JQD1059" s="989"/>
      <c r="JQE1059" s="989"/>
      <c r="JQF1059" s="989"/>
      <c r="JQG1059" s="989"/>
      <c r="JQH1059" s="989"/>
      <c r="JQI1059" s="989"/>
      <c r="JQJ1059" s="989"/>
      <c r="JQK1059" s="989"/>
      <c r="JQL1059" s="989"/>
      <c r="JQM1059" s="989"/>
      <c r="JQN1059" s="989"/>
      <c r="JQO1059" s="989"/>
      <c r="JQP1059" s="989"/>
      <c r="JQQ1059" s="989"/>
      <c r="JQR1059" s="989"/>
      <c r="JQS1059" s="989"/>
      <c r="JQT1059" s="989"/>
      <c r="JQU1059" s="989"/>
      <c r="JQV1059" s="989"/>
      <c r="JQW1059" s="989"/>
      <c r="JQX1059" s="989"/>
      <c r="JQY1059" s="989"/>
      <c r="JQZ1059" s="989"/>
      <c r="JRA1059" s="989"/>
      <c r="JRB1059" s="989"/>
      <c r="JRC1059" s="989"/>
      <c r="JRD1059" s="989"/>
      <c r="JRE1059" s="989"/>
      <c r="JRF1059" s="989"/>
      <c r="JRG1059" s="989"/>
      <c r="JRH1059" s="989"/>
      <c r="JRI1059" s="989"/>
      <c r="JRJ1059" s="989"/>
      <c r="JRK1059" s="989"/>
      <c r="JRL1059" s="989"/>
      <c r="JRM1059" s="989"/>
      <c r="JRN1059" s="989"/>
      <c r="JRO1059" s="989"/>
      <c r="JRP1059" s="989"/>
      <c r="JRQ1059" s="989"/>
      <c r="JRR1059" s="989"/>
      <c r="JRS1059" s="989"/>
      <c r="JRT1059" s="989"/>
      <c r="JRU1059" s="989"/>
      <c r="JRV1059" s="989"/>
      <c r="JRW1059" s="989"/>
      <c r="JRX1059" s="989"/>
      <c r="JRY1059" s="989"/>
      <c r="JRZ1059" s="989"/>
      <c r="JSA1059" s="989"/>
      <c r="JSB1059" s="989"/>
      <c r="JSC1059" s="989"/>
      <c r="JSD1059" s="989"/>
      <c r="JSE1059" s="989"/>
      <c r="JSF1059" s="989"/>
      <c r="JSG1059" s="989"/>
      <c r="JSH1059" s="989"/>
      <c r="JSI1059" s="989"/>
      <c r="JSJ1059" s="989"/>
      <c r="JSK1059" s="989"/>
      <c r="JSL1059" s="989"/>
      <c r="JSM1059" s="989"/>
      <c r="JSN1059" s="989"/>
      <c r="JSO1059" s="989"/>
      <c r="JSP1059" s="989"/>
      <c r="JSQ1059" s="989"/>
      <c r="JSR1059" s="989"/>
      <c r="JSS1059" s="989"/>
      <c r="JST1059" s="989"/>
      <c r="JSU1059" s="989"/>
      <c r="JSV1059" s="989"/>
      <c r="JSW1059" s="989"/>
      <c r="JSX1059" s="989"/>
      <c r="JSY1059" s="989"/>
      <c r="JSZ1059" s="989"/>
      <c r="JTA1059" s="989"/>
      <c r="JTB1059" s="989"/>
      <c r="JTC1059" s="989"/>
      <c r="JTD1059" s="989"/>
      <c r="JTE1059" s="989"/>
      <c r="JTF1059" s="989"/>
      <c r="JTG1059" s="989"/>
      <c r="JTH1059" s="989"/>
      <c r="JTI1059" s="989"/>
      <c r="JTJ1059" s="989"/>
      <c r="JTK1059" s="989"/>
      <c r="JTL1059" s="989"/>
      <c r="JTM1059" s="989"/>
      <c r="JTN1059" s="989"/>
      <c r="JTO1059" s="989"/>
      <c r="JTP1059" s="989"/>
      <c r="JTQ1059" s="989"/>
      <c r="JTR1059" s="989"/>
      <c r="JTS1059" s="989"/>
      <c r="JTT1059" s="989"/>
      <c r="JTU1059" s="989"/>
      <c r="JTV1059" s="989"/>
      <c r="JTW1059" s="989"/>
      <c r="JTX1059" s="989"/>
      <c r="JTY1059" s="989"/>
      <c r="JTZ1059" s="989"/>
      <c r="JUA1059" s="989"/>
      <c r="JUB1059" s="989"/>
      <c r="JUC1059" s="989"/>
      <c r="JUD1059" s="989"/>
      <c r="JUE1059" s="989"/>
      <c r="JUF1059" s="989"/>
      <c r="JUG1059" s="989"/>
      <c r="JUH1059" s="989"/>
      <c r="JUI1059" s="989"/>
      <c r="JUJ1059" s="989"/>
      <c r="JUK1059" s="989"/>
      <c r="JUL1059" s="989"/>
      <c r="JUM1059" s="989"/>
      <c r="JUN1059" s="989"/>
      <c r="JUO1059" s="989"/>
      <c r="JUP1059" s="989"/>
      <c r="JUQ1059" s="989"/>
      <c r="JUR1059" s="989"/>
      <c r="JUS1059" s="989"/>
      <c r="JUT1059" s="989"/>
      <c r="JUU1059" s="989"/>
      <c r="JUV1059" s="989"/>
      <c r="JUW1059" s="989"/>
      <c r="JUX1059" s="989"/>
      <c r="JUY1059" s="989"/>
      <c r="JUZ1059" s="989"/>
      <c r="JVA1059" s="989"/>
      <c r="JVB1059" s="989"/>
      <c r="JVC1059" s="989"/>
      <c r="JVD1059" s="989"/>
      <c r="JVE1059" s="989"/>
      <c r="JVF1059" s="989"/>
      <c r="JVG1059" s="989"/>
      <c r="JVH1059" s="989"/>
      <c r="JVI1059" s="989"/>
      <c r="JVJ1059" s="989"/>
      <c r="JVK1059" s="989"/>
      <c r="JVL1059" s="989"/>
      <c r="JVM1059" s="989"/>
      <c r="JVN1059" s="989"/>
      <c r="JVO1059" s="989"/>
      <c r="JVP1059" s="989"/>
      <c r="JVQ1059" s="989"/>
      <c r="JVR1059" s="989"/>
      <c r="JVS1059" s="989"/>
      <c r="JVT1059" s="989"/>
      <c r="JVU1059" s="989"/>
      <c r="JVV1059" s="989"/>
      <c r="JVW1059" s="989"/>
      <c r="JVX1059" s="989"/>
      <c r="JVY1059" s="989"/>
      <c r="JVZ1059" s="989"/>
      <c r="JWA1059" s="989"/>
      <c r="JWB1059" s="989"/>
      <c r="JWC1059" s="989"/>
      <c r="JWD1059" s="989"/>
      <c r="JWE1059" s="989"/>
      <c r="JWF1059" s="989"/>
      <c r="JWG1059" s="989"/>
      <c r="JWH1059" s="989"/>
      <c r="JWI1059" s="989"/>
      <c r="JWJ1059" s="989"/>
      <c r="JWK1059" s="989"/>
      <c r="JWL1059" s="989"/>
      <c r="JWM1059" s="989"/>
      <c r="JWN1059" s="989"/>
      <c r="JWO1059" s="989"/>
      <c r="JWP1059" s="989"/>
      <c r="JWQ1059" s="989"/>
      <c r="JWR1059" s="989"/>
      <c r="JWS1059" s="989"/>
      <c r="JWT1059" s="989"/>
      <c r="JWU1059" s="989"/>
      <c r="JWV1059" s="989"/>
      <c r="JWW1059" s="989"/>
      <c r="JWX1059" s="989"/>
      <c r="JWY1059" s="989"/>
      <c r="JWZ1059" s="989"/>
      <c r="JXA1059" s="989"/>
      <c r="JXB1059" s="989"/>
      <c r="JXC1059" s="989"/>
      <c r="JXD1059" s="989"/>
      <c r="JXE1059" s="989"/>
      <c r="JXF1059" s="989"/>
      <c r="JXG1059" s="989"/>
      <c r="JXH1059" s="989"/>
      <c r="JXI1059" s="989"/>
      <c r="JXJ1059" s="989"/>
      <c r="JXK1059" s="989"/>
      <c r="JXL1059" s="989"/>
      <c r="JXM1059" s="989"/>
      <c r="JXN1059" s="989"/>
      <c r="JXO1059" s="989"/>
      <c r="JXP1059" s="989"/>
      <c r="JXQ1059" s="989"/>
      <c r="JXR1059" s="989"/>
      <c r="JXS1059" s="989"/>
      <c r="JXT1059" s="989"/>
      <c r="JXU1059" s="989"/>
      <c r="JXV1059" s="989"/>
      <c r="JXW1059" s="989"/>
      <c r="JXX1059" s="989"/>
      <c r="JXY1059" s="989"/>
      <c r="JXZ1059" s="989"/>
      <c r="JYA1059" s="989"/>
      <c r="JYB1059" s="989"/>
      <c r="JYC1059" s="989"/>
      <c r="JYD1059" s="989"/>
      <c r="JYE1059" s="989"/>
      <c r="JYF1059" s="989"/>
      <c r="JYG1059" s="989"/>
      <c r="JYH1059" s="989"/>
      <c r="JYI1059" s="989"/>
      <c r="JYJ1059" s="989"/>
      <c r="JYK1059" s="989"/>
      <c r="JYL1059" s="989"/>
      <c r="JYM1059" s="989"/>
      <c r="JYN1059" s="989"/>
      <c r="JYO1059" s="989"/>
      <c r="JYP1059" s="989"/>
      <c r="JYQ1059" s="989"/>
      <c r="JYR1059" s="989"/>
      <c r="JYS1059" s="989"/>
      <c r="JYT1059" s="989"/>
      <c r="JYU1059" s="989"/>
      <c r="JYV1059" s="989"/>
      <c r="JYW1059" s="989"/>
      <c r="JYX1059" s="989"/>
      <c r="JYY1059" s="989"/>
      <c r="JYZ1059" s="989"/>
      <c r="JZA1059" s="989"/>
      <c r="JZB1059" s="989"/>
      <c r="JZC1059" s="989"/>
      <c r="JZD1059" s="989"/>
      <c r="JZE1059" s="989"/>
      <c r="JZF1059" s="989"/>
      <c r="JZG1059" s="989"/>
      <c r="JZH1059" s="989"/>
      <c r="JZI1059" s="989"/>
      <c r="JZJ1059" s="989"/>
      <c r="JZK1059" s="989"/>
      <c r="JZL1059" s="989"/>
      <c r="JZM1059" s="989"/>
      <c r="JZN1059" s="989"/>
      <c r="JZO1059" s="989"/>
      <c r="JZP1059" s="989"/>
      <c r="JZQ1059" s="989"/>
      <c r="JZR1059" s="989"/>
      <c r="JZS1059" s="989"/>
      <c r="JZT1059" s="989"/>
      <c r="JZU1059" s="989"/>
      <c r="JZV1059" s="989"/>
      <c r="JZW1059" s="989"/>
      <c r="JZX1059" s="989"/>
      <c r="JZY1059" s="989"/>
      <c r="JZZ1059" s="989"/>
      <c r="KAA1059" s="989"/>
      <c r="KAB1059" s="989"/>
      <c r="KAC1059" s="989"/>
      <c r="KAD1059" s="989"/>
      <c r="KAE1059" s="989"/>
      <c r="KAF1059" s="989"/>
      <c r="KAG1059" s="989"/>
      <c r="KAH1059" s="989"/>
      <c r="KAI1059" s="989"/>
      <c r="KAJ1059" s="989"/>
      <c r="KAK1059" s="989"/>
      <c r="KAL1059" s="989"/>
      <c r="KAM1059" s="989"/>
      <c r="KAN1059" s="989"/>
      <c r="KAO1059" s="989"/>
      <c r="KAP1059" s="989"/>
      <c r="KAQ1059" s="989"/>
      <c r="KAR1059" s="989"/>
      <c r="KAS1059" s="989"/>
      <c r="KAT1059" s="989"/>
      <c r="KAU1059" s="989"/>
      <c r="KAV1059" s="989"/>
      <c r="KAW1059" s="989"/>
      <c r="KAX1059" s="989"/>
      <c r="KAY1059" s="989"/>
      <c r="KAZ1059" s="989"/>
      <c r="KBA1059" s="989"/>
      <c r="KBB1059" s="989"/>
      <c r="KBC1059" s="989"/>
      <c r="KBD1059" s="989"/>
      <c r="KBE1059" s="989"/>
      <c r="KBF1059" s="989"/>
      <c r="KBG1059" s="989"/>
      <c r="KBH1059" s="989"/>
      <c r="KBI1059" s="989"/>
      <c r="KBJ1059" s="989"/>
      <c r="KBK1059" s="989"/>
      <c r="KBL1059" s="989"/>
      <c r="KBM1059" s="989"/>
      <c r="KBN1059" s="989"/>
      <c r="KBO1059" s="989"/>
      <c r="KBP1059" s="989"/>
      <c r="KBQ1059" s="989"/>
      <c r="KBR1059" s="989"/>
      <c r="KBS1059" s="989"/>
      <c r="KBT1059" s="989"/>
      <c r="KBU1059" s="989"/>
      <c r="KBV1059" s="989"/>
      <c r="KBW1059" s="989"/>
      <c r="KBX1059" s="989"/>
      <c r="KBY1059" s="989"/>
      <c r="KBZ1059" s="989"/>
      <c r="KCA1059" s="989"/>
      <c r="KCB1059" s="989"/>
      <c r="KCC1059" s="989"/>
      <c r="KCD1059" s="989"/>
      <c r="KCE1059" s="989"/>
      <c r="KCF1059" s="989"/>
      <c r="KCG1059" s="989"/>
      <c r="KCH1059" s="989"/>
      <c r="KCI1059" s="989"/>
      <c r="KCJ1059" s="989"/>
      <c r="KCK1059" s="989"/>
      <c r="KCL1059" s="989"/>
      <c r="KCM1059" s="989"/>
      <c r="KCN1059" s="989"/>
      <c r="KCO1059" s="989"/>
      <c r="KCP1059" s="989"/>
      <c r="KCQ1059" s="989"/>
      <c r="KCR1059" s="989"/>
      <c r="KCS1059" s="989"/>
      <c r="KCT1059" s="989"/>
      <c r="KCU1059" s="989"/>
      <c r="KCV1059" s="989"/>
      <c r="KCW1059" s="989"/>
      <c r="KCX1059" s="989"/>
      <c r="KCY1059" s="989"/>
      <c r="KCZ1059" s="989"/>
      <c r="KDA1059" s="989"/>
      <c r="KDB1059" s="989"/>
      <c r="KDC1059" s="989"/>
      <c r="KDD1059" s="989"/>
      <c r="KDE1059" s="989"/>
      <c r="KDF1059" s="989"/>
      <c r="KDG1059" s="989"/>
      <c r="KDH1059" s="989"/>
      <c r="KDI1059" s="989"/>
      <c r="KDJ1059" s="989"/>
      <c r="KDK1059" s="989"/>
      <c r="KDL1059" s="989"/>
      <c r="KDM1059" s="989"/>
      <c r="KDN1059" s="989"/>
      <c r="KDO1059" s="989"/>
      <c r="KDP1059" s="989"/>
      <c r="KDQ1059" s="989"/>
      <c r="KDR1059" s="989"/>
      <c r="KDS1059" s="989"/>
      <c r="KDT1059" s="989"/>
      <c r="KDU1059" s="989"/>
      <c r="KDV1059" s="989"/>
      <c r="KDW1059" s="989"/>
      <c r="KDX1059" s="989"/>
      <c r="KDY1059" s="989"/>
      <c r="KDZ1059" s="989"/>
      <c r="KEA1059" s="989"/>
      <c r="KEB1059" s="989"/>
      <c r="KEC1059" s="989"/>
      <c r="KED1059" s="989"/>
      <c r="KEE1059" s="989"/>
      <c r="KEF1059" s="989"/>
      <c r="KEG1059" s="989"/>
      <c r="KEH1059" s="989"/>
      <c r="KEI1059" s="989"/>
      <c r="KEJ1059" s="989"/>
      <c r="KEK1059" s="989"/>
      <c r="KEL1059" s="989"/>
      <c r="KEM1059" s="989"/>
      <c r="KEN1059" s="989"/>
      <c r="KEO1059" s="989"/>
      <c r="KEP1059" s="989"/>
      <c r="KEQ1059" s="989"/>
      <c r="KER1059" s="989"/>
      <c r="KES1059" s="989"/>
      <c r="KET1059" s="989"/>
      <c r="KEU1059" s="989"/>
      <c r="KEV1059" s="989"/>
      <c r="KEW1059" s="989"/>
      <c r="KEX1059" s="989"/>
      <c r="KEY1059" s="989"/>
      <c r="KEZ1059" s="989"/>
      <c r="KFA1059" s="989"/>
      <c r="KFB1059" s="989"/>
      <c r="KFC1059" s="989"/>
      <c r="KFD1059" s="989"/>
      <c r="KFE1059" s="989"/>
      <c r="KFF1059" s="989"/>
      <c r="KFG1059" s="989"/>
      <c r="KFH1059" s="989"/>
      <c r="KFI1059" s="989"/>
      <c r="KFJ1059" s="989"/>
      <c r="KFK1059" s="989"/>
      <c r="KFL1059" s="989"/>
      <c r="KFM1059" s="989"/>
      <c r="KFN1059" s="989"/>
      <c r="KFO1059" s="989"/>
      <c r="KFP1059" s="989"/>
      <c r="KFQ1059" s="989"/>
      <c r="KFR1059" s="989"/>
      <c r="KFS1059" s="989"/>
      <c r="KFT1059" s="989"/>
      <c r="KFU1059" s="989"/>
      <c r="KFV1059" s="989"/>
      <c r="KFW1059" s="989"/>
      <c r="KFX1059" s="989"/>
      <c r="KFY1059" s="989"/>
      <c r="KFZ1059" s="989"/>
      <c r="KGA1059" s="989"/>
      <c r="KGB1059" s="989"/>
      <c r="KGC1059" s="989"/>
      <c r="KGD1059" s="989"/>
      <c r="KGE1059" s="989"/>
      <c r="KGF1059" s="989"/>
      <c r="KGG1059" s="989"/>
      <c r="KGH1059" s="989"/>
      <c r="KGI1059" s="989"/>
      <c r="KGJ1059" s="989"/>
      <c r="KGK1059" s="989"/>
      <c r="KGL1059" s="989"/>
      <c r="KGM1059" s="989"/>
      <c r="KGN1059" s="989"/>
      <c r="KGO1059" s="989"/>
      <c r="KGP1059" s="989"/>
      <c r="KGQ1059" s="989"/>
      <c r="KGR1059" s="989"/>
      <c r="KGS1059" s="989"/>
      <c r="KGT1059" s="989"/>
      <c r="KGU1059" s="989"/>
      <c r="KGV1059" s="989"/>
      <c r="KGW1059" s="989"/>
      <c r="KGX1059" s="989"/>
      <c r="KGY1059" s="989"/>
      <c r="KGZ1059" s="989"/>
      <c r="KHA1059" s="989"/>
      <c r="KHB1059" s="989"/>
      <c r="KHC1059" s="989"/>
      <c r="KHD1059" s="989"/>
      <c r="KHE1059" s="989"/>
      <c r="KHF1059" s="989"/>
      <c r="KHG1059" s="989"/>
      <c r="KHH1059" s="989"/>
      <c r="KHI1059" s="989"/>
      <c r="KHJ1059" s="989"/>
      <c r="KHK1059" s="989"/>
      <c r="KHL1059" s="989"/>
      <c r="KHM1059" s="989"/>
      <c r="KHN1059" s="989"/>
      <c r="KHO1059" s="989"/>
      <c r="KHP1059" s="989"/>
      <c r="KHQ1059" s="989"/>
      <c r="KHR1059" s="989"/>
      <c r="KHS1059" s="989"/>
      <c r="KHT1059" s="989"/>
      <c r="KHU1059" s="989"/>
      <c r="KHV1059" s="989"/>
      <c r="KHW1059" s="989"/>
      <c r="KHX1059" s="989"/>
      <c r="KHY1059" s="989"/>
      <c r="KHZ1059" s="989"/>
      <c r="KIA1059" s="989"/>
      <c r="KIB1059" s="989"/>
      <c r="KIC1059" s="989"/>
      <c r="KID1059" s="989"/>
      <c r="KIE1059" s="989"/>
      <c r="KIF1059" s="989"/>
      <c r="KIG1059" s="989"/>
      <c r="KIH1059" s="989"/>
      <c r="KII1059" s="989"/>
      <c r="KIJ1059" s="989"/>
      <c r="KIK1059" s="989"/>
      <c r="KIL1059" s="989"/>
      <c r="KIM1059" s="989"/>
      <c r="KIN1059" s="989"/>
      <c r="KIO1059" s="989"/>
      <c r="KIP1059" s="989"/>
      <c r="KIQ1059" s="989"/>
      <c r="KIR1059" s="989"/>
      <c r="KIS1059" s="989"/>
      <c r="KIT1059" s="989"/>
      <c r="KIU1059" s="989"/>
      <c r="KIV1059" s="989"/>
      <c r="KIW1059" s="989"/>
      <c r="KIX1059" s="989"/>
      <c r="KIY1059" s="989"/>
      <c r="KIZ1059" s="989"/>
      <c r="KJA1059" s="989"/>
      <c r="KJB1059" s="989"/>
      <c r="KJC1059" s="989"/>
      <c r="KJD1059" s="989"/>
      <c r="KJE1059" s="989"/>
      <c r="KJF1059" s="989"/>
      <c r="KJG1059" s="989"/>
      <c r="KJH1059" s="989"/>
      <c r="KJI1059" s="989"/>
      <c r="KJJ1059" s="989"/>
      <c r="KJK1059" s="989"/>
      <c r="KJL1059" s="989"/>
      <c r="KJM1059" s="989"/>
      <c r="KJN1059" s="989"/>
      <c r="KJO1059" s="989"/>
      <c r="KJP1059" s="989"/>
      <c r="KJQ1059" s="989"/>
      <c r="KJR1059" s="989"/>
      <c r="KJS1059" s="989"/>
      <c r="KJT1059" s="989"/>
      <c r="KJU1059" s="989"/>
      <c r="KJV1059" s="989"/>
      <c r="KJW1059" s="989"/>
      <c r="KJX1059" s="989"/>
      <c r="KJY1059" s="989"/>
      <c r="KJZ1059" s="989"/>
      <c r="KKA1059" s="989"/>
      <c r="KKB1059" s="989"/>
      <c r="KKC1059" s="989"/>
      <c r="KKD1059" s="989"/>
      <c r="KKE1059" s="989"/>
      <c r="KKF1059" s="989"/>
      <c r="KKG1059" s="989"/>
      <c r="KKH1059" s="989"/>
      <c r="KKI1059" s="989"/>
      <c r="KKJ1059" s="989"/>
      <c r="KKK1059" s="989"/>
      <c r="KKL1059" s="989"/>
      <c r="KKM1059" s="989"/>
      <c r="KKN1059" s="989"/>
      <c r="KKO1059" s="989"/>
      <c r="KKP1059" s="989"/>
      <c r="KKQ1059" s="989"/>
      <c r="KKR1059" s="989"/>
      <c r="KKS1059" s="989"/>
      <c r="KKT1059" s="989"/>
      <c r="KKU1059" s="989"/>
      <c r="KKV1059" s="989"/>
      <c r="KKW1059" s="989"/>
      <c r="KKX1059" s="989"/>
      <c r="KKY1059" s="989"/>
      <c r="KKZ1059" s="989"/>
      <c r="KLA1059" s="989"/>
      <c r="KLB1059" s="989"/>
      <c r="KLC1059" s="989"/>
      <c r="KLD1059" s="989"/>
      <c r="KLE1059" s="989"/>
      <c r="KLF1059" s="989"/>
      <c r="KLG1059" s="989"/>
      <c r="KLH1059" s="989"/>
      <c r="KLI1059" s="989"/>
      <c r="KLJ1059" s="989"/>
      <c r="KLK1059" s="989"/>
      <c r="KLL1059" s="989"/>
      <c r="KLM1059" s="989"/>
      <c r="KLN1059" s="989"/>
      <c r="KLO1059" s="989"/>
      <c r="KLP1059" s="989"/>
      <c r="KLQ1059" s="989"/>
      <c r="KLR1059" s="989"/>
      <c r="KLS1059" s="989"/>
      <c r="KLT1059" s="989"/>
      <c r="KLU1059" s="989"/>
      <c r="KLV1059" s="989"/>
      <c r="KLW1059" s="989"/>
      <c r="KLX1059" s="989"/>
      <c r="KLY1059" s="989"/>
      <c r="KLZ1059" s="989"/>
      <c r="KMA1059" s="989"/>
      <c r="KMB1059" s="989"/>
      <c r="KMC1059" s="989"/>
      <c r="KMD1059" s="989"/>
      <c r="KME1059" s="989"/>
      <c r="KMF1059" s="989"/>
      <c r="KMG1059" s="989"/>
      <c r="KMH1059" s="989"/>
      <c r="KMI1059" s="989"/>
      <c r="KMJ1059" s="989"/>
      <c r="KMK1059" s="989"/>
      <c r="KML1059" s="989"/>
      <c r="KMM1059" s="989"/>
      <c r="KMN1059" s="989"/>
      <c r="KMO1059" s="989"/>
      <c r="KMP1059" s="989"/>
      <c r="KMQ1059" s="989"/>
      <c r="KMR1059" s="989"/>
      <c r="KMS1059" s="989"/>
      <c r="KMT1059" s="989"/>
      <c r="KMU1059" s="989"/>
      <c r="KMV1059" s="989"/>
      <c r="KMW1059" s="989"/>
      <c r="KMX1059" s="989"/>
      <c r="KMY1059" s="989"/>
      <c r="KMZ1059" s="989"/>
      <c r="KNA1059" s="989"/>
      <c r="KNB1059" s="989"/>
      <c r="KNC1059" s="989"/>
      <c r="KND1059" s="989"/>
      <c r="KNE1059" s="989"/>
      <c r="KNF1059" s="989"/>
      <c r="KNG1059" s="989"/>
      <c r="KNH1059" s="989"/>
      <c r="KNI1059" s="989"/>
      <c r="KNJ1059" s="989"/>
      <c r="KNK1059" s="989"/>
      <c r="KNL1059" s="989"/>
      <c r="KNM1059" s="989"/>
      <c r="KNN1059" s="989"/>
      <c r="KNO1059" s="989"/>
      <c r="KNP1059" s="989"/>
      <c r="KNQ1059" s="989"/>
      <c r="KNR1059" s="989"/>
      <c r="KNS1059" s="989"/>
      <c r="KNT1059" s="989"/>
      <c r="KNU1059" s="989"/>
      <c r="KNV1059" s="989"/>
      <c r="KNW1059" s="989"/>
      <c r="KNX1059" s="989"/>
      <c r="KNY1059" s="989"/>
      <c r="KNZ1059" s="989"/>
      <c r="KOA1059" s="989"/>
      <c r="KOB1059" s="989"/>
      <c r="KOC1059" s="989"/>
      <c r="KOD1059" s="989"/>
      <c r="KOE1059" s="989"/>
      <c r="KOF1059" s="989"/>
      <c r="KOG1059" s="989"/>
      <c r="KOH1059" s="989"/>
      <c r="KOI1059" s="989"/>
      <c r="KOJ1059" s="989"/>
      <c r="KOK1059" s="989"/>
      <c r="KOL1059" s="989"/>
      <c r="KOM1059" s="989"/>
      <c r="KON1059" s="989"/>
      <c r="KOO1059" s="989"/>
      <c r="KOP1059" s="989"/>
      <c r="KOQ1059" s="989"/>
      <c r="KOR1059" s="989"/>
      <c r="KOS1059" s="989"/>
      <c r="KOT1059" s="989"/>
      <c r="KOU1059" s="989"/>
      <c r="KOV1059" s="989"/>
      <c r="KOW1059" s="989"/>
      <c r="KOX1059" s="989"/>
      <c r="KOY1059" s="989"/>
      <c r="KOZ1059" s="989"/>
      <c r="KPA1059" s="989"/>
      <c r="KPB1059" s="989"/>
      <c r="KPC1059" s="989"/>
      <c r="KPD1059" s="989"/>
      <c r="KPE1059" s="989"/>
      <c r="KPF1059" s="989"/>
      <c r="KPG1059" s="989"/>
      <c r="KPH1059" s="989"/>
      <c r="KPI1059" s="989"/>
      <c r="KPJ1059" s="989"/>
      <c r="KPK1059" s="989"/>
      <c r="KPL1059" s="989"/>
      <c r="KPM1059" s="989"/>
      <c r="KPN1059" s="989"/>
      <c r="KPO1059" s="989"/>
      <c r="KPP1059" s="989"/>
      <c r="KPQ1059" s="989"/>
      <c r="KPR1059" s="989"/>
      <c r="KPS1059" s="989"/>
      <c r="KPT1059" s="989"/>
      <c r="KPU1059" s="989"/>
      <c r="KPV1059" s="989"/>
      <c r="KPW1059" s="989"/>
      <c r="KPX1059" s="989"/>
      <c r="KPY1059" s="989"/>
      <c r="KPZ1059" s="989"/>
      <c r="KQA1059" s="989"/>
      <c r="KQB1059" s="989"/>
      <c r="KQC1059" s="989"/>
      <c r="KQD1059" s="989"/>
      <c r="KQE1059" s="989"/>
      <c r="KQF1059" s="989"/>
      <c r="KQG1059" s="989"/>
      <c r="KQH1059" s="989"/>
      <c r="KQI1059" s="989"/>
      <c r="KQJ1059" s="989"/>
      <c r="KQK1059" s="989"/>
      <c r="KQL1059" s="989"/>
      <c r="KQM1059" s="989"/>
      <c r="KQN1059" s="989"/>
      <c r="KQO1059" s="989"/>
      <c r="KQP1059" s="989"/>
      <c r="KQQ1059" s="989"/>
      <c r="KQR1059" s="989"/>
      <c r="KQS1059" s="989"/>
      <c r="KQT1059" s="989"/>
      <c r="KQU1059" s="989"/>
      <c r="KQV1059" s="989"/>
      <c r="KQW1059" s="989"/>
      <c r="KQX1059" s="989"/>
      <c r="KQY1059" s="989"/>
      <c r="KQZ1059" s="989"/>
      <c r="KRA1059" s="989"/>
      <c r="KRB1059" s="989"/>
      <c r="KRC1059" s="989"/>
      <c r="KRD1059" s="989"/>
      <c r="KRE1059" s="989"/>
      <c r="KRF1059" s="989"/>
      <c r="KRG1059" s="989"/>
      <c r="KRH1059" s="989"/>
      <c r="KRI1059" s="989"/>
      <c r="KRJ1059" s="989"/>
      <c r="KRK1059" s="989"/>
      <c r="KRL1059" s="989"/>
      <c r="KRM1059" s="989"/>
      <c r="KRN1059" s="989"/>
      <c r="KRO1059" s="989"/>
      <c r="KRP1059" s="989"/>
      <c r="KRQ1059" s="989"/>
      <c r="KRR1059" s="989"/>
      <c r="KRS1059" s="989"/>
      <c r="KRT1059" s="989"/>
      <c r="KRU1059" s="989"/>
      <c r="KRV1059" s="989"/>
      <c r="KRW1059" s="989"/>
      <c r="KRX1059" s="989"/>
      <c r="KRY1059" s="989"/>
      <c r="KRZ1059" s="989"/>
      <c r="KSA1059" s="989"/>
      <c r="KSB1059" s="989"/>
      <c r="KSC1059" s="989"/>
      <c r="KSD1059" s="989"/>
      <c r="KSE1059" s="989"/>
      <c r="KSF1059" s="989"/>
      <c r="KSG1059" s="989"/>
      <c r="KSH1059" s="989"/>
      <c r="KSI1059" s="989"/>
      <c r="KSJ1059" s="989"/>
      <c r="KSK1059" s="989"/>
      <c r="KSL1059" s="989"/>
      <c r="KSM1059" s="989"/>
      <c r="KSN1059" s="989"/>
      <c r="KSO1059" s="989"/>
      <c r="KSP1059" s="989"/>
      <c r="KSQ1059" s="989"/>
      <c r="KSR1059" s="989"/>
      <c r="KSS1059" s="989"/>
      <c r="KST1059" s="989"/>
      <c r="KSU1059" s="989"/>
      <c r="KSV1059" s="989"/>
      <c r="KSW1059" s="989"/>
      <c r="KSX1059" s="989"/>
      <c r="KSY1059" s="989"/>
      <c r="KSZ1059" s="989"/>
      <c r="KTA1059" s="989"/>
      <c r="KTB1059" s="989"/>
      <c r="KTC1059" s="989"/>
      <c r="KTD1059" s="989"/>
      <c r="KTE1059" s="989"/>
      <c r="KTF1059" s="989"/>
      <c r="KTG1059" s="989"/>
      <c r="KTH1059" s="989"/>
      <c r="KTI1059" s="989"/>
      <c r="KTJ1059" s="989"/>
      <c r="KTK1059" s="989"/>
      <c r="KTL1059" s="989"/>
      <c r="KTM1059" s="989"/>
      <c r="KTN1059" s="989"/>
      <c r="KTO1059" s="989"/>
      <c r="KTP1059" s="989"/>
      <c r="KTQ1059" s="989"/>
      <c r="KTR1059" s="989"/>
      <c r="KTS1059" s="989"/>
      <c r="KTT1059" s="989"/>
      <c r="KTU1059" s="989"/>
      <c r="KTV1059" s="989"/>
      <c r="KTW1059" s="989"/>
      <c r="KTX1059" s="989"/>
      <c r="KTY1059" s="989"/>
      <c r="KTZ1059" s="989"/>
      <c r="KUA1059" s="989"/>
      <c r="KUB1059" s="989"/>
      <c r="KUC1059" s="989"/>
      <c r="KUD1059" s="989"/>
      <c r="KUE1059" s="989"/>
      <c r="KUF1059" s="989"/>
      <c r="KUG1059" s="989"/>
      <c r="KUH1059" s="989"/>
      <c r="KUI1059" s="989"/>
      <c r="KUJ1059" s="989"/>
      <c r="KUK1059" s="989"/>
      <c r="KUL1059" s="989"/>
      <c r="KUM1059" s="989"/>
      <c r="KUN1059" s="989"/>
      <c r="KUO1059" s="989"/>
      <c r="KUP1059" s="989"/>
      <c r="KUQ1059" s="989"/>
      <c r="KUR1059" s="989"/>
      <c r="KUS1059" s="989"/>
      <c r="KUT1059" s="989"/>
      <c r="KUU1059" s="989"/>
      <c r="KUV1059" s="989"/>
      <c r="KUW1059" s="989"/>
      <c r="KUX1059" s="989"/>
      <c r="KUY1059" s="989"/>
      <c r="KUZ1059" s="989"/>
      <c r="KVA1059" s="989"/>
      <c r="KVB1059" s="989"/>
      <c r="KVC1059" s="989"/>
      <c r="KVD1059" s="989"/>
      <c r="KVE1059" s="989"/>
      <c r="KVF1059" s="989"/>
      <c r="KVG1059" s="989"/>
      <c r="KVH1059" s="989"/>
      <c r="KVI1059" s="989"/>
      <c r="KVJ1059" s="989"/>
      <c r="KVK1059" s="989"/>
      <c r="KVL1059" s="989"/>
      <c r="KVM1059" s="989"/>
      <c r="KVN1059" s="989"/>
      <c r="KVO1059" s="989"/>
      <c r="KVP1059" s="989"/>
      <c r="KVQ1059" s="989"/>
      <c r="KVR1059" s="989"/>
      <c r="KVS1059" s="989"/>
      <c r="KVT1059" s="989"/>
      <c r="KVU1059" s="989"/>
      <c r="KVV1059" s="989"/>
      <c r="KVW1059" s="989"/>
      <c r="KVX1059" s="989"/>
      <c r="KVY1059" s="989"/>
      <c r="KVZ1059" s="989"/>
      <c r="KWA1059" s="989"/>
      <c r="KWB1059" s="989"/>
      <c r="KWC1059" s="989"/>
      <c r="KWD1059" s="989"/>
      <c r="KWE1059" s="989"/>
      <c r="KWF1059" s="989"/>
      <c r="KWG1059" s="989"/>
      <c r="KWH1059" s="989"/>
      <c r="KWI1059" s="989"/>
      <c r="KWJ1059" s="989"/>
      <c r="KWK1059" s="989"/>
      <c r="KWL1059" s="989"/>
      <c r="KWM1059" s="989"/>
      <c r="KWN1059" s="989"/>
      <c r="KWO1059" s="989"/>
      <c r="KWP1059" s="989"/>
      <c r="KWQ1059" s="989"/>
      <c r="KWR1059" s="989"/>
      <c r="KWS1059" s="989"/>
      <c r="KWT1059" s="989"/>
      <c r="KWU1059" s="989"/>
      <c r="KWV1059" s="989"/>
      <c r="KWW1059" s="989"/>
      <c r="KWX1059" s="989"/>
      <c r="KWY1059" s="989"/>
      <c r="KWZ1059" s="989"/>
      <c r="KXA1059" s="989"/>
      <c r="KXB1059" s="989"/>
      <c r="KXC1059" s="989"/>
      <c r="KXD1059" s="989"/>
      <c r="KXE1059" s="989"/>
      <c r="KXF1059" s="989"/>
      <c r="KXG1059" s="989"/>
      <c r="KXH1059" s="989"/>
      <c r="KXI1059" s="989"/>
      <c r="KXJ1059" s="989"/>
      <c r="KXK1059" s="989"/>
      <c r="KXL1059" s="989"/>
      <c r="KXM1059" s="989"/>
      <c r="KXN1059" s="989"/>
      <c r="KXO1059" s="989"/>
      <c r="KXP1059" s="989"/>
      <c r="KXQ1059" s="989"/>
      <c r="KXR1059" s="989"/>
      <c r="KXS1059" s="989"/>
      <c r="KXT1059" s="989"/>
      <c r="KXU1059" s="989"/>
      <c r="KXV1059" s="989"/>
      <c r="KXW1059" s="989"/>
      <c r="KXX1059" s="989"/>
      <c r="KXY1059" s="989"/>
      <c r="KXZ1059" s="989"/>
      <c r="KYA1059" s="989"/>
      <c r="KYB1059" s="989"/>
      <c r="KYC1059" s="989"/>
      <c r="KYD1059" s="989"/>
      <c r="KYE1059" s="989"/>
      <c r="KYF1059" s="989"/>
      <c r="KYG1059" s="989"/>
      <c r="KYH1059" s="989"/>
      <c r="KYI1059" s="989"/>
      <c r="KYJ1059" s="989"/>
      <c r="KYK1059" s="989"/>
      <c r="KYL1059" s="989"/>
      <c r="KYM1059" s="989"/>
      <c r="KYN1059" s="989"/>
      <c r="KYO1059" s="989"/>
      <c r="KYP1059" s="989"/>
      <c r="KYQ1059" s="989"/>
      <c r="KYR1059" s="989"/>
      <c r="KYS1059" s="989"/>
      <c r="KYT1059" s="989"/>
      <c r="KYU1059" s="989"/>
      <c r="KYV1059" s="989"/>
      <c r="KYW1059" s="989"/>
      <c r="KYX1059" s="989"/>
      <c r="KYY1059" s="989"/>
      <c r="KYZ1059" s="989"/>
      <c r="KZA1059" s="989"/>
      <c r="KZB1059" s="989"/>
      <c r="KZC1059" s="989"/>
      <c r="KZD1059" s="989"/>
      <c r="KZE1059" s="989"/>
      <c r="KZF1059" s="989"/>
      <c r="KZG1059" s="989"/>
      <c r="KZH1059" s="989"/>
      <c r="KZI1059" s="989"/>
      <c r="KZJ1059" s="989"/>
      <c r="KZK1059" s="989"/>
      <c r="KZL1059" s="989"/>
      <c r="KZM1059" s="989"/>
      <c r="KZN1059" s="989"/>
      <c r="KZO1059" s="989"/>
      <c r="KZP1059" s="989"/>
      <c r="KZQ1059" s="989"/>
      <c r="KZR1059" s="989"/>
      <c r="KZS1059" s="989"/>
      <c r="KZT1059" s="989"/>
      <c r="KZU1059" s="989"/>
      <c r="KZV1059" s="989"/>
      <c r="KZW1059" s="989"/>
      <c r="KZX1059" s="989"/>
      <c r="KZY1059" s="989"/>
      <c r="KZZ1059" s="989"/>
      <c r="LAA1059" s="989"/>
      <c r="LAB1059" s="989"/>
      <c r="LAC1059" s="989"/>
      <c r="LAD1059" s="989"/>
      <c r="LAE1059" s="989"/>
      <c r="LAF1059" s="989"/>
      <c r="LAG1059" s="989"/>
      <c r="LAH1059" s="989"/>
      <c r="LAI1059" s="989"/>
      <c r="LAJ1059" s="989"/>
      <c r="LAK1059" s="989"/>
      <c r="LAL1059" s="989"/>
      <c r="LAM1059" s="989"/>
      <c r="LAN1059" s="989"/>
      <c r="LAO1059" s="989"/>
      <c r="LAP1059" s="989"/>
      <c r="LAQ1059" s="989"/>
      <c r="LAR1059" s="989"/>
      <c r="LAS1059" s="989"/>
      <c r="LAT1059" s="989"/>
      <c r="LAU1059" s="989"/>
      <c r="LAV1059" s="989"/>
      <c r="LAW1059" s="989"/>
      <c r="LAX1059" s="989"/>
      <c r="LAY1059" s="989"/>
      <c r="LAZ1059" s="989"/>
      <c r="LBA1059" s="989"/>
      <c r="LBB1059" s="989"/>
      <c r="LBC1059" s="989"/>
      <c r="LBD1059" s="989"/>
      <c r="LBE1059" s="989"/>
      <c r="LBF1059" s="989"/>
      <c r="LBG1059" s="989"/>
      <c r="LBH1059" s="989"/>
      <c r="LBI1059" s="989"/>
      <c r="LBJ1059" s="989"/>
      <c r="LBK1059" s="989"/>
      <c r="LBL1059" s="989"/>
      <c r="LBM1059" s="989"/>
      <c r="LBN1059" s="989"/>
      <c r="LBO1059" s="989"/>
      <c r="LBP1059" s="989"/>
      <c r="LBQ1059" s="989"/>
      <c r="LBR1059" s="989"/>
      <c r="LBS1059" s="989"/>
      <c r="LBT1059" s="989"/>
      <c r="LBU1059" s="989"/>
      <c r="LBV1059" s="989"/>
      <c r="LBW1059" s="989"/>
      <c r="LBX1059" s="989"/>
      <c r="LBY1059" s="989"/>
      <c r="LBZ1059" s="989"/>
      <c r="LCA1059" s="989"/>
      <c r="LCB1059" s="989"/>
      <c r="LCC1059" s="989"/>
      <c r="LCD1059" s="989"/>
      <c r="LCE1059" s="989"/>
      <c r="LCF1059" s="989"/>
      <c r="LCG1059" s="989"/>
      <c r="LCH1059" s="989"/>
      <c r="LCI1059" s="989"/>
      <c r="LCJ1059" s="989"/>
      <c r="LCK1059" s="989"/>
      <c r="LCL1059" s="989"/>
      <c r="LCM1059" s="989"/>
      <c r="LCN1059" s="989"/>
      <c r="LCO1059" s="989"/>
      <c r="LCP1059" s="989"/>
      <c r="LCQ1059" s="989"/>
      <c r="LCR1059" s="989"/>
      <c r="LCS1059" s="989"/>
      <c r="LCT1059" s="989"/>
      <c r="LCU1059" s="989"/>
      <c r="LCV1059" s="989"/>
      <c r="LCW1059" s="989"/>
      <c r="LCX1059" s="989"/>
      <c r="LCY1059" s="989"/>
      <c r="LCZ1059" s="989"/>
      <c r="LDA1059" s="989"/>
      <c r="LDB1059" s="989"/>
      <c r="LDC1059" s="989"/>
      <c r="LDD1059" s="989"/>
      <c r="LDE1059" s="989"/>
      <c r="LDF1059" s="989"/>
      <c r="LDG1059" s="989"/>
      <c r="LDH1059" s="989"/>
      <c r="LDI1059" s="989"/>
      <c r="LDJ1059" s="989"/>
      <c r="LDK1059" s="989"/>
      <c r="LDL1059" s="989"/>
      <c r="LDM1059" s="989"/>
      <c r="LDN1059" s="989"/>
      <c r="LDO1059" s="989"/>
      <c r="LDP1059" s="989"/>
      <c r="LDQ1059" s="989"/>
      <c r="LDR1059" s="989"/>
      <c r="LDS1059" s="989"/>
      <c r="LDT1059" s="989"/>
      <c r="LDU1059" s="989"/>
      <c r="LDV1059" s="989"/>
      <c r="LDW1059" s="989"/>
      <c r="LDX1059" s="989"/>
      <c r="LDY1059" s="989"/>
      <c r="LDZ1059" s="989"/>
      <c r="LEA1059" s="989"/>
      <c r="LEB1059" s="989"/>
      <c r="LEC1059" s="989"/>
      <c r="LED1059" s="989"/>
      <c r="LEE1059" s="989"/>
      <c r="LEF1059" s="989"/>
      <c r="LEG1059" s="989"/>
      <c r="LEH1059" s="989"/>
      <c r="LEI1059" s="989"/>
      <c r="LEJ1059" s="989"/>
      <c r="LEK1059" s="989"/>
      <c r="LEL1059" s="989"/>
      <c r="LEM1059" s="989"/>
      <c r="LEN1059" s="989"/>
      <c r="LEO1059" s="989"/>
      <c r="LEP1059" s="989"/>
      <c r="LEQ1059" s="989"/>
      <c r="LER1059" s="989"/>
      <c r="LES1059" s="989"/>
      <c r="LET1059" s="989"/>
      <c r="LEU1059" s="989"/>
      <c r="LEV1059" s="989"/>
      <c r="LEW1059" s="989"/>
      <c r="LEX1059" s="989"/>
      <c r="LEY1059" s="989"/>
      <c r="LEZ1059" s="989"/>
      <c r="LFA1059" s="989"/>
      <c r="LFB1059" s="989"/>
      <c r="LFC1059" s="989"/>
      <c r="LFD1059" s="989"/>
      <c r="LFE1059" s="989"/>
      <c r="LFF1059" s="989"/>
      <c r="LFG1059" s="989"/>
      <c r="LFH1059" s="989"/>
      <c r="LFI1059" s="989"/>
      <c r="LFJ1059" s="989"/>
      <c r="LFK1059" s="989"/>
      <c r="LFL1059" s="989"/>
      <c r="LFM1059" s="989"/>
      <c r="LFN1059" s="989"/>
      <c r="LFO1059" s="989"/>
      <c r="LFP1059" s="989"/>
      <c r="LFQ1059" s="989"/>
      <c r="LFR1059" s="989"/>
      <c r="LFS1059" s="989"/>
      <c r="LFT1059" s="989"/>
      <c r="LFU1059" s="989"/>
      <c r="LFV1059" s="989"/>
      <c r="LFW1059" s="989"/>
      <c r="LFX1059" s="989"/>
      <c r="LFY1059" s="989"/>
      <c r="LFZ1059" s="989"/>
      <c r="LGA1059" s="989"/>
      <c r="LGB1059" s="989"/>
      <c r="LGC1059" s="989"/>
      <c r="LGD1059" s="989"/>
      <c r="LGE1059" s="989"/>
      <c r="LGF1059" s="989"/>
      <c r="LGG1059" s="989"/>
      <c r="LGH1059" s="989"/>
      <c r="LGI1059" s="989"/>
      <c r="LGJ1059" s="989"/>
      <c r="LGK1059" s="989"/>
      <c r="LGL1059" s="989"/>
      <c r="LGM1059" s="989"/>
      <c r="LGN1059" s="989"/>
      <c r="LGO1059" s="989"/>
      <c r="LGP1059" s="989"/>
      <c r="LGQ1059" s="989"/>
      <c r="LGR1059" s="989"/>
      <c r="LGS1059" s="989"/>
      <c r="LGT1059" s="989"/>
      <c r="LGU1059" s="989"/>
      <c r="LGV1059" s="989"/>
      <c r="LGW1059" s="989"/>
      <c r="LGX1059" s="989"/>
      <c r="LGY1059" s="989"/>
      <c r="LGZ1059" s="989"/>
      <c r="LHA1059" s="989"/>
      <c r="LHB1059" s="989"/>
      <c r="LHC1059" s="989"/>
      <c r="LHD1059" s="989"/>
      <c r="LHE1059" s="989"/>
      <c r="LHF1059" s="989"/>
      <c r="LHG1059" s="989"/>
      <c r="LHH1059" s="989"/>
      <c r="LHI1059" s="989"/>
      <c r="LHJ1059" s="989"/>
      <c r="LHK1059" s="989"/>
      <c r="LHL1059" s="989"/>
      <c r="LHM1059" s="989"/>
      <c r="LHN1059" s="989"/>
      <c r="LHO1059" s="989"/>
      <c r="LHP1059" s="989"/>
      <c r="LHQ1059" s="989"/>
      <c r="LHR1059" s="989"/>
      <c r="LHS1059" s="989"/>
      <c r="LHT1059" s="989"/>
      <c r="LHU1059" s="989"/>
      <c r="LHV1059" s="989"/>
      <c r="LHW1059" s="989"/>
      <c r="LHX1059" s="989"/>
      <c r="LHY1059" s="989"/>
      <c r="LHZ1059" s="989"/>
      <c r="LIA1059" s="989"/>
      <c r="LIB1059" s="989"/>
      <c r="LIC1059" s="989"/>
      <c r="LID1059" s="989"/>
      <c r="LIE1059" s="989"/>
      <c r="LIF1059" s="989"/>
      <c r="LIG1059" s="989"/>
      <c r="LIH1059" s="989"/>
      <c r="LII1059" s="989"/>
      <c r="LIJ1059" s="989"/>
      <c r="LIK1059" s="989"/>
      <c r="LIL1059" s="989"/>
      <c r="LIM1059" s="989"/>
      <c r="LIN1059" s="989"/>
      <c r="LIO1059" s="989"/>
      <c r="LIP1059" s="989"/>
      <c r="LIQ1059" s="989"/>
      <c r="LIR1059" s="989"/>
      <c r="LIS1059" s="989"/>
      <c r="LIT1059" s="989"/>
      <c r="LIU1059" s="989"/>
      <c r="LIV1059" s="989"/>
      <c r="LIW1059" s="989"/>
      <c r="LIX1059" s="989"/>
      <c r="LIY1059" s="989"/>
      <c r="LIZ1059" s="989"/>
      <c r="LJA1059" s="989"/>
      <c r="LJB1059" s="989"/>
      <c r="LJC1059" s="989"/>
      <c r="LJD1059" s="989"/>
      <c r="LJE1059" s="989"/>
      <c r="LJF1059" s="989"/>
      <c r="LJG1059" s="989"/>
      <c r="LJH1059" s="989"/>
      <c r="LJI1059" s="989"/>
      <c r="LJJ1059" s="989"/>
      <c r="LJK1059" s="989"/>
      <c r="LJL1059" s="989"/>
      <c r="LJM1059" s="989"/>
      <c r="LJN1059" s="989"/>
      <c r="LJO1059" s="989"/>
      <c r="LJP1059" s="989"/>
      <c r="LJQ1059" s="989"/>
      <c r="LJR1059" s="989"/>
      <c r="LJS1059" s="989"/>
      <c r="LJT1059" s="989"/>
      <c r="LJU1059" s="989"/>
      <c r="LJV1059" s="989"/>
      <c r="LJW1059" s="989"/>
      <c r="LJX1059" s="989"/>
      <c r="LJY1059" s="989"/>
      <c r="LJZ1059" s="989"/>
      <c r="LKA1059" s="989"/>
      <c r="LKB1059" s="989"/>
      <c r="LKC1059" s="989"/>
      <c r="LKD1059" s="989"/>
      <c r="LKE1059" s="989"/>
      <c r="LKF1059" s="989"/>
      <c r="LKG1059" s="989"/>
      <c r="LKH1059" s="989"/>
      <c r="LKI1059" s="989"/>
      <c r="LKJ1059" s="989"/>
      <c r="LKK1059" s="989"/>
      <c r="LKL1059" s="989"/>
      <c r="LKM1059" s="989"/>
      <c r="LKN1059" s="989"/>
      <c r="LKO1059" s="989"/>
      <c r="LKP1059" s="989"/>
      <c r="LKQ1059" s="989"/>
      <c r="LKR1059" s="989"/>
      <c r="LKS1059" s="989"/>
      <c r="LKT1059" s="989"/>
      <c r="LKU1059" s="989"/>
      <c r="LKV1059" s="989"/>
      <c r="LKW1059" s="989"/>
      <c r="LKX1059" s="989"/>
      <c r="LKY1059" s="989"/>
      <c r="LKZ1059" s="989"/>
      <c r="LLA1059" s="989"/>
      <c r="LLB1059" s="989"/>
      <c r="LLC1059" s="989"/>
      <c r="LLD1059" s="989"/>
      <c r="LLE1059" s="989"/>
      <c r="LLF1059" s="989"/>
      <c r="LLG1059" s="989"/>
      <c r="LLH1059" s="989"/>
      <c r="LLI1059" s="989"/>
      <c r="LLJ1059" s="989"/>
      <c r="LLK1059" s="989"/>
      <c r="LLL1059" s="989"/>
      <c r="LLM1059" s="989"/>
      <c r="LLN1059" s="989"/>
      <c r="LLO1059" s="989"/>
      <c r="LLP1059" s="989"/>
      <c r="LLQ1059" s="989"/>
      <c r="LLR1059" s="989"/>
      <c r="LLS1059" s="989"/>
      <c r="LLT1059" s="989"/>
      <c r="LLU1059" s="989"/>
      <c r="LLV1059" s="989"/>
      <c r="LLW1059" s="989"/>
      <c r="LLX1059" s="989"/>
      <c r="LLY1059" s="989"/>
      <c r="LLZ1059" s="989"/>
      <c r="LMA1059" s="989"/>
      <c r="LMB1059" s="989"/>
      <c r="LMC1059" s="989"/>
      <c r="LMD1059" s="989"/>
      <c r="LME1059" s="989"/>
      <c r="LMF1059" s="989"/>
      <c r="LMG1059" s="989"/>
      <c r="LMH1059" s="989"/>
      <c r="LMI1059" s="989"/>
      <c r="LMJ1059" s="989"/>
      <c r="LMK1059" s="989"/>
      <c r="LML1059" s="989"/>
      <c r="LMM1059" s="989"/>
      <c r="LMN1059" s="989"/>
      <c r="LMO1059" s="989"/>
      <c r="LMP1059" s="989"/>
      <c r="LMQ1059" s="989"/>
      <c r="LMR1059" s="989"/>
      <c r="LMS1059" s="989"/>
      <c r="LMT1059" s="989"/>
      <c r="LMU1059" s="989"/>
      <c r="LMV1059" s="989"/>
      <c r="LMW1059" s="989"/>
      <c r="LMX1059" s="989"/>
      <c r="LMY1059" s="989"/>
      <c r="LMZ1059" s="989"/>
      <c r="LNA1059" s="989"/>
      <c r="LNB1059" s="989"/>
      <c r="LNC1059" s="989"/>
      <c r="LND1059" s="989"/>
      <c r="LNE1059" s="989"/>
      <c r="LNF1059" s="989"/>
      <c r="LNG1059" s="989"/>
      <c r="LNH1059" s="989"/>
      <c r="LNI1059" s="989"/>
      <c r="LNJ1059" s="989"/>
      <c r="LNK1059" s="989"/>
      <c r="LNL1059" s="989"/>
      <c r="LNM1059" s="989"/>
      <c r="LNN1059" s="989"/>
      <c r="LNO1059" s="989"/>
      <c r="LNP1059" s="989"/>
      <c r="LNQ1059" s="989"/>
      <c r="LNR1059" s="989"/>
      <c r="LNS1059" s="989"/>
      <c r="LNT1059" s="989"/>
      <c r="LNU1059" s="989"/>
      <c r="LNV1059" s="989"/>
      <c r="LNW1059" s="989"/>
      <c r="LNX1059" s="989"/>
      <c r="LNY1059" s="989"/>
      <c r="LNZ1059" s="989"/>
      <c r="LOA1059" s="989"/>
      <c r="LOB1059" s="989"/>
      <c r="LOC1059" s="989"/>
      <c r="LOD1059" s="989"/>
      <c r="LOE1059" s="989"/>
      <c r="LOF1059" s="989"/>
      <c r="LOG1059" s="989"/>
      <c r="LOH1059" s="989"/>
      <c r="LOI1059" s="989"/>
      <c r="LOJ1059" s="989"/>
      <c r="LOK1059" s="989"/>
      <c r="LOL1059" s="989"/>
      <c r="LOM1059" s="989"/>
      <c r="LON1059" s="989"/>
      <c r="LOO1059" s="989"/>
      <c r="LOP1059" s="989"/>
      <c r="LOQ1059" s="989"/>
      <c r="LOR1059" s="989"/>
      <c r="LOS1059" s="989"/>
      <c r="LOT1059" s="989"/>
      <c r="LOU1059" s="989"/>
      <c r="LOV1059" s="989"/>
      <c r="LOW1059" s="989"/>
      <c r="LOX1059" s="989"/>
      <c r="LOY1059" s="989"/>
      <c r="LOZ1059" s="989"/>
      <c r="LPA1059" s="989"/>
      <c r="LPB1059" s="989"/>
      <c r="LPC1059" s="989"/>
      <c r="LPD1059" s="989"/>
      <c r="LPE1059" s="989"/>
      <c r="LPF1059" s="989"/>
      <c r="LPG1059" s="989"/>
      <c r="LPH1059" s="989"/>
      <c r="LPI1059" s="989"/>
      <c r="LPJ1059" s="989"/>
      <c r="LPK1059" s="989"/>
      <c r="LPL1059" s="989"/>
      <c r="LPM1059" s="989"/>
      <c r="LPN1059" s="989"/>
      <c r="LPO1059" s="989"/>
      <c r="LPP1059" s="989"/>
      <c r="LPQ1059" s="989"/>
      <c r="LPR1059" s="989"/>
      <c r="LPS1059" s="989"/>
      <c r="LPT1059" s="989"/>
      <c r="LPU1059" s="989"/>
      <c r="LPV1059" s="989"/>
      <c r="LPW1059" s="989"/>
      <c r="LPX1059" s="989"/>
      <c r="LPY1059" s="989"/>
      <c r="LPZ1059" s="989"/>
      <c r="LQA1059" s="989"/>
      <c r="LQB1059" s="989"/>
      <c r="LQC1059" s="989"/>
      <c r="LQD1059" s="989"/>
      <c r="LQE1059" s="989"/>
      <c r="LQF1059" s="989"/>
      <c r="LQG1059" s="989"/>
      <c r="LQH1059" s="989"/>
      <c r="LQI1059" s="989"/>
      <c r="LQJ1059" s="989"/>
      <c r="LQK1059" s="989"/>
      <c r="LQL1059" s="989"/>
      <c r="LQM1059" s="989"/>
      <c r="LQN1059" s="989"/>
      <c r="LQO1059" s="989"/>
      <c r="LQP1059" s="989"/>
      <c r="LQQ1059" s="989"/>
      <c r="LQR1059" s="989"/>
      <c r="LQS1059" s="989"/>
      <c r="LQT1059" s="989"/>
      <c r="LQU1059" s="989"/>
      <c r="LQV1059" s="989"/>
      <c r="LQW1059" s="989"/>
      <c r="LQX1059" s="989"/>
      <c r="LQY1059" s="989"/>
      <c r="LQZ1059" s="989"/>
      <c r="LRA1059" s="989"/>
      <c r="LRB1059" s="989"/>
      <c r="LRC1059" s="989"/>
      <c r="LRD1059" s="989"/>
      <c r="LRE1059" s="989"/>
      <c r="LRF1059" s="989"/>
      <c r="LRG1059" s="989"/>
      <c r="LRH1059" s="989"/>
      <c r="LRI1059" s="989"/>
      <c r="LRJ1059" s="989"/>
      <c r="LRK1059" s="989"/>
      <c r="LRL1059" s="989"/>
      <c r="LRM1059" s="989"/>
      <c r="LRN1059" s="989"/>
      <c r="LRO1059" s="989"/>
      <c r="LRP1059" s="989"/>
      <c r="LRQ1059" s="989"/>
      <c r="LRR1059" s="989"/>
      <c r="LRS1059" s="989"/>
      <c r="LRT1059" s="989"/>
      <c r="LRU1059" s="989"/>
      <c r="LRV1059" s="989"/>
      <c r="LRW1059" s="989"/>
      <c r="LRX1059" s="989"/>
      <c r="LRY1059" s="989"/>
      <c r="LRZ1059" s="989"/>
      <c r="LSA1059" s="989"/>
      <c r="LSB1059" s="989"/>
      <c r="LSC1059" s="989"/>
      <c r="LSD1059" s="989"/>
      <c r="LSE1059" s="989"/>
      <c r="LSF1059" s="989"/>
      <c r="LSG1059" s="989"/>
      <c r="LSH1059" s="989"/>
      <c r="LSI1059" s="989"/>
      <c r="LSJ1059" s="989"/>
      <c r="LSK1059" s="989"/>
      <c r="LSL1059" s="989"/>
      <c r="LSM1059" s="989"/>
      <c r="LSN1059" s="989"/>
      <c r="LSO1059" s="989"/>
      <c r="LSP1059" s="989"/>
      <c r="LSQ1059" s="989"/>
      <c r="LSR1059" s="989"/>
      <c r="LSS1059" s="989"/>
      <c r="LST1059" s="989"/>
      <c r="LSU1059" s="989"/>
      <c r="LSV1059" s="989"/>
      <c r="LSW1059" s="989"/>
      <c r="LSX1059" s="989"/>
      <c r="LSY1059" s="989"/>
      <c r="LSZ1059" s="989"/>
      <c r="LTA1059" s="989"/>
      <c r="LTB1059" s="989"/>
      <c r="LTC1059" s="989"/>
      <c r="LTD1059" s="989"/>
      <c r="LTE1059" s="989"/>
      <c r="LTF1059" s="989"/>
      <c r="LTG1059" s="989"/>
      <c r="LTH1059" s="989"/>
      <c r="LTI1059" s="989"/>
      <c r="LTJ1059" s="989"/>
      <c r="LTK1059" s="989"/>
      <c r="LTL1059" s="989"/>
      <c r="LTM1059" s="989"/>
      <c r="LTN1059" s="989"/>
      <c r="LTO1059" s="989"/>
      <c r="LTP1059" s="989"/>
      <c r="LTQ1059" s="989"/>
      <c r="LTR1059" s="989"/>
      <c r="LTS1059" s="989"/>
      <c r="LTT1059" s="989"/>
      <c r="LTU1059" s="989"/>
      <c r="LTV1059" s="989"/>
      <c r="LTW1059" s="989"/>
      <c r="LTX1059" s="989"/>
      <c r="LTY1059" s="989"/>
      <c r="LTZ1059" s="989"/>
      <c r="LUA1059" s="989"/>
      <c r="LUB1059" s="989"/>
      <c r="LUC1059" s="989"/>
      <c r="LUD1059" s="989"/>
      <c r="LUE1059" s="989"/>
      <c r="LUF1059" s="989"/>
      <c r="LUG1059" s="989"/>
      <c r="LUH1059" s="989"/>
      <c r="LUI1059" s="989"/>
      <c r="LUJ1059" s="989"/>
      <c r="LUK1059" s="989"/>
      <c r="LUL1059" s="989"/>
      <c r="LUM1059" s="989"/>
      <c r="LUN1059" s="989"/>
      <c r="LUO1059" s="989"/>
      <c r="LUP1059" s="989"/>
      <c r="LUQ1059" s="989"/>
      <c r="LUR1059" s="989"/>
      <c r="LUS1059" s="989"/>
      <c r="LUT1059" s="989"/>
      <c r="LUU1059" s="989"/>
      <c r="LUV1059" s="989"/>
      <c r="LUW1059" s="989"/>
      <c r="LUX1059" s="989"/>
      <c r="LUY1059" s="989"/>
      <c r="LUZ1059" s="989"/>
      <c r="LVA1059" s="989"/>
      <c r="LVB1059" s="989"/>
      <c r="LVC1059" s="989"/>
      <c r="LVD1059" s="989"/>
      <c r="LVE1059" s="989"/>
      <c r="LVF1059" s="989"/>
      <c r="LVG1059" s="989"/>
      <c r="LVH1059" s="989"/>
      <c r="LVI1059" s="989"/>
      <c r="LVJ1059" s="989"/>
      <c r="LVK1059" s="989"/>
      <c r="LVL1059" s="989"/>
      <c r="LVM1059" s="989"/>
      <c r="LVN1059" s="989"/>
      <c r="LVO1059" s="989"/>
      <c r="LVP1059" s="989"/>
      <c r="LVQ1059" s="989"/>
      <c r="LVR1059" s="989"/>
      <c r="LVS1059" s="989"/>
      <c r="LVT1059" s="989"/>
      <c r="LVU1059" s="989"/>
      <c r="LVV1059" s="989"/>
      <c r="LVW1059" s="989"/>
      <c r="LVX1059" s="989"/>
      <c r="LVY1059" s="989"/>
      <c r="LVZ1059" s="989"/>
      <c r="LWA1059" s="989"/>
      <c r="LWB1059" s="989"/>
      <c r="LWC1059" s="989"/>
      <c r="LWD1059" s="989"/>
      <c r="LWE1059" s="989"/>
      <c r="LWF1059" s="989"/>
      <c r="LWG1059" s="989"/>
      <c r="LWH1059" s="989"/>
      <c r="LWI1059" s="989"/>
      <c r="LWJ1059" s="989"/>
      <c r="LWK1059" s="989"/>
      <c r="LWL1059" s="989"/>
      <c r="LWM1059" s="989"/>
      <c r="LWN1059" s="989"/>
      <c r="LWO1059" s="989"/>
      <c r="LWP1059" s="989"/>
      <c r="LWQ1059" s="989"/>
      <c r="LWR1059" s="989"/>
      <c r="LWS1059" s="989"/>
      <c r="LWT1059" s="989"/>
      <c r="LWU1059" s="989"/>
      <c r="LWV1059" s="989"/>
      <c r="LWW1059" s="989"/>
      <c r="LWX1059" s="989"/>
      <c r="LWY1059" s="989"/>
      <c r="LWZ1059" s="989"/>
      <c r="LXA1059" s="989"/>
      <c r="LXB1059" s="989"/>
      <c r="LXC1059" s="989"/>
      <c r="LXD1059" s="989"/>
      <c r="LXE1059" s="989"/>
      <c r="LXF1059" s="989"/>
      <c r="LXG1059" s="989"/>
      <c r="LXH1059" s="989"/>
      <c r="LXI1059" s="989"/>
      <c r="LXJ1059" s="989"/>
      <c r="LXK1059" s="989"/>
      <c r="LXL1059" s="989"/>
      <c r="LXM1059" s="989"/>
      <c r="LXN1059" s="989"/>
      <c r="LXO1059" s="989"/>
      <c r="LXP1059" s="989"/>
      <c r="LXQ1059" s="989"/>
      <c r="LXR1059" s="989"/>
      <c r="LXS1059" s="989"/>
      <c r="LXT1059" s="989"/>
      <c r="LXU1059" s="989"/>
      <c r="LXV1059" s="989"/>
      <c r="LXW1059" s="989"/>
      <c r="LXX1059" s="989"/>
      <c r="LXY1059" s="989"/>
      <c r="LXZ1059" s="989"/>
      <c r="LYA1059" s="989"/>
      <c r="LYB1059" s="989"/>
      <c r="LYC1059" s="989"/>
      <c r="LYD1059" s="989"/>
      <c r="LYE1059" s="989"/>
      <c r="LYF1059" s="989"/>
      <c r="LYG1059" s="989"/>
      <c r="LYH1059" s="989"/>
      <c r="LYI1059" s="989"/>
      <c r="LYJ1059" s="989"/>
      <c r="LYK1059" s="989"/>
      <c r="LYL1059" s="989"/>
      <c r="LYM1059" s="989"/>
      <c r="LYN1059" s="989"/>
      <c r="LYO1059" s="989"/>
      <c r="LYP1059" s="989"/>
      <c r="LYQ1059" s="989"/>
      <c r="LYR1059" s="989"/>
      <c r="LYS1059" s="989"/>
      <c r="LYT1059" s="989"/>
      <c r="LYU1059" s="989"/>
      <c r="LYV1059" s="989"/>
      <c r="LYW1059" s="989"/>
      <c r="LYX1059" s="989"/>
      <c r="LYY1059" s="989"/>
      <c r="LYZ1059" s="989"/>
      <c r="LZA1059" s="989"/>
      <c r="LZB1059" s="989"/>
      <c r="LZC1059" s="989"/>
      <c r="LZD1059" s="989"/>
      <c r="LZE1059" s="989"/>
      <c r="LZF1059" s="989"/>
      <c r="LZG1059" s="989"/>
      <c r="LZH1059" s="989"/>
      <c r="LZI1059" s="989"/>
      <c r="LZJ1059" s="989"/>
      <c r="LZK1059" s="989"/>
      <c r="LZL1059" s="989"/>
      <c r="LZM1059" s="989"/>
      <c r="LZN1059" s="989"/>
      <c r="LZO1059" s="989"/>
      <c r="LZP1059" s="989"/>
      <c r="LZQ1059" s="989"/>
      <c r="LZR1059" s="989"/>
      <c r="LZS1059" s="989"/>
      <c r="LZT1059" s="989"/>
      <c r="LZU1059" s="989"/>
      <c r="LZV1059" s="989"/>
      <c r="LZW1059" s="989"/>
      <c r="LZX1059" s="989"/>
      <c r="LZY1059" s="989"/>
      <c r="LZZ1059" s="989"/>
      <c r="MAA1059" s="989"/>
      <c r="MAB1059" s="989"/>
      <c r="MAC1059" s="989"/>
      <c r="MAD1059" s="989"/>
      <c r="MAE1059" s="989"/>
      <c r="MAF1059" s="989"/>
      <c r="MAG1059" s="989"/>
      <c r="MAH1059" s="989"/>
      <c r="MAI1059" s="989"/>
      <c r="MAJ1059" s="989"/>
      <c r="MAK1059" s="989"/>
      <c r="MAL1059" s="989"/>
      <c r="MAM1059" s="989"/>
      <c r="MAN1059" s="989"/>
      <c r="MAO1059" s="989"/>
      <c r="MAP1059" s="989"/>
      <c r="MAQ1059" s="989"/>
      <c r="MAR1059" s="989"/>
      <c r="MAS1059" s="989"/>
      <c r="MAT1059" s="989"/>
      <c r="MAU1059" s="989"/>
      <c r="MAV1059" s="989"/>
      <c r="MAW1059" s="989"/>
      <c r="MAX1059" s="989"/>
      <c r="MAY1059" s="989"/>
      <c r="MAZ1059" s="989"/>
      <c r="MBA1059" s="989"/>
      <c r="MBB1059" s="989"/>
      <c r="MBC1059" s="989"/>
      <c r="MBD1059" s="989"/>
      <c r="MBE1059" s="989"/>
      <c r="MBF1059" s="989"/>
      <c r="MBG1059" s="989"/>
      <c r="MBH1059" s="989"/>
      <c r="MBI1059" s="989"/>
      <c r="MBJ1059" s="989"/>
      <c r="MBK1059" s="989"/>
      <c r="MBL1059" s="989"/>
      <c r="MBM1059" s="989"/>
      <c r="MBN1059" s="989"/>
      <c r="MBO1059" s="989"/>
      <c r="MBP1059" s="989"/>
      <c r="MBQ1059" s="989"/>
      <c r="MBR1059" s="989"/>
      <c r="MBS1059" s="989"/>
      <c r="MBT1059" s="989"/>
      <c r="MBU1059" s="989"/>
      <c r="MBV1059" s="989"/>
      <c r="MBW1059" s="989"/>
      <c r="MBX1059" s="989"/>
      <c r="MBY1059" s="989"/>
      <c r="MBZ1059" s="989"/>
      <c r="MCA1059" s="989"/>
      <c r="MCB1059" s="989"/>
      <c r="MCC1059" s="989"/>
      <c r="MCD1059" s="989"/>
      <c r="MCE1059" s="989"/>
      <c r="MCF1059" s="989"/>
      <c r="MCG1059" s="989"/>
      <c r="MCH1059" s="989"/>
      <c r="MCI1059" s="989"/>
      <c r="MCJ1059" s="989"/>
      <c r="MCK1059" s="989"/>
      <c r="MCL1059" s="989"/>
      <c r="MCM1059" s="989"/>
      <c r="MCN1059" s="989"/>
      <c r="MCO1059" s="989"/>
      <c r="MCP1059" s="989"/>
      <c r="MCQ1059" s="989"/>
      <c r="MCR1059" s="989"/>
      <c r="MCS1059" s="989"/>
      <c r="MCT1059" s="989"/>
      <c r="MCU1059" s="989"/>
      <c r="MCV1059" s="989"/>
      <c r="MCW1059" s="989"/>
      <c r="MCX1059" s="989"/>
      <c r="MCY1059" s="989"/>
      <c r="MCZ1059" s="989"/>
      <c r="MDA1059" s="989"/>
      <c r="MDB1059" s="989"/>
      <c r="MDC1059" s="989"/>
      <c r="MDD1059" s="989"/>
      <c r="MDE1059" s="989"/>
      <c r="MDF1059" s="989"/>
      <c r="MDG1059" s="989"/>
      <c r="MDH1059" s="989"/>
      <c r="MDI1059" s="989"/>
      <c r="MDJ1059" s="989"/>
      <c r="MDK1059" s="989"/>
      <c r="MDL1059" s="989"/>
      <c r="MDM1059" s="989"/>
      <c r="MDN1059" s="989"/>
      <c r="MDO1059" s="989"/>
      <c r="MDP1059" s="989"/>
      <c r="MDQ1059" s="989"/>
      <c r="MDR1059" s="989"/>
      <c r="MDS1059" s="989"/>
      <c r="MDT1059" s="989"/>
      <c r="MDU1059" s="989"/>
      <c r="MDV1059" s="989"/>
      <c r="MDW1059" s="989"/>
      <c r="MDX1059" s="989"/>
      <c r="MDY1059" s="989"/>
      <c r="MDZ1059" s="989"/>
      <c r="MEA1059" s="989"/>
      <c r="MEB1059" s="989"/>
      <c r="MEC1059" s="989"/>
      <c r="MED1059" s="989"/>
      <c r="MEE1059" s="989"/>
      <c r="MEF1059" s="989"/>
      <c r="MEG1059" s="989"/>
      <c r="MEH1059" s="989"/>
      <c r="MEI1059" s="989"/>
      <c r="MEJ1059" s="989"/>
      <c r="MEK1059" s="989"/>
      <c r="MEL1059" s="989"/>
      <c r="MEM1059" s="989"/>
      <c r="MEN1059" s="989"/>
      <c r="MEO1059" s="989"/>
      <c r="MEP1059" s="989"/>
      <c r="MEQ1059" s="989"/>
      <c r="MER1059" s="989"/>
      <c r="MES1059" s="989"/>
      <c r="MET1059" s="989"/>
      <c r="MEU1059" s="989"/>
      <c r="MEV1059" s="989"/>
      <c r="MEW1059" s="989"/>
      <c r="MEX1059" s="989"/>
      <c r="MEY1059" s="989"/>
      <c r="MEZ1059" s="989"/>
      <c r="MFA1059" s="989"/>
      <c r="MFB1059" s="989"/>
      <c r="MFC1059" s="989"/>
      <c r="MFD1059" s="989"/>
      <c r="MFE1059" s="989"/>
      <c r="MFF1059" s="989"/>
      <c r="MFG1059" s="989"/>
      <c r="MFH1059" s="989"/>
      <c r="MFI1059" s="989"/>
      <c r="MFJ1059" s="989"/>
      <c r="MFK1059" s="989"/>
      <c r="MFL1059" s="989"/>
      <c r="MFM1059" s="989"/>
      <c r="MFN1059" s="989"/>
      <c r="MFO1059" s="989"/>
      <c r="MFP1059" s="989"/>
      <c r="MFQ1059" s="989"/>
      <c r="MFR1059" s="989"/>
      <c r="MFS1059" s="989"/>
      <c r="MFT1059" s="989"/>
      <c r="MFU1059" s="989"/>
      <c r="MFV1059" s="989"/>
      <c r="MFW1059" s="989"/>
      <c r="MFX1059" s="989"/>
      <c r="MFY1059" s="989"/>
      <c r="MFZ1059" s="989"/>
      <c r="MGA1059" s="989"/>
      <c r="MGB1059" s="989"/>
      <c r="MGC1059" s="989"/>
      <c r="MGD1059" s="989"/>
      <c r="MGE1059" s="989"/>
      <c r="MGF1059" s="989"/>
      <c r="MGG1059" s="989"/>
      <c r="MGH1059" s="989"/>
      <c r="MGI1059" s="989"/>
      <c r="MGJ1059" s="989"/>
      <c r="MGK1059" s="989"/>
      <c r="MGL1059" s="989"/>
      <c r="MGM1059" s="989"/>
      <c r="MGN1059" s="989"/>
      <c r="MGO1059" s="989"/>
      <c r="MGP1059" s="989"/>
      <c r="MGQ1059" s="989"/>
      <c r="MGR1059" s="989"/>
      <c r="MGS1059" s="989"/>
      <c r="MGT1059" s="989"/>
      <c r="MGU1059" s="989"/>
      <c r="MGV1059" s="989"/>
      <c r="MGW1059" s="989"/>
      <c r="MGX1059" s="989"/>
      <c r="MGY1059" s="989"/>
      <c r="MGZ1059" s="989"/>
      <c r="MHA1059" s="989"/>
      <c r="MHB1059" s="989"/>
      <c r="MHC1059" s="989"/>
      <c r="MHD1059" s="989"/>
      <c r="MHE1059" s="989"/>
      <c r="MHF1059" s="989"/>
      <c r="MHG1059" s="989"/>
      <c r="MHH1059" s="989"/>
      <c r="MHI1059" s="989"/>
      <c r="MHJ1059" s="989"/>
      <c r="MHK1059" s="989"/>
      <c r="MHL1059" s="989"/>
      <c r="MHM1059" s="989"/>
      <c r="MHN1059" s="989"/>
      <c r="MHO1059" s="989"/>
      <c r="MHP1059" s="989"/>
      <c r="MHQ1059" s="989"/>
      <c r="MHR1059" s="989"/>
      <c r="MHS1059" s="989"/>
      <c r="MHT1059" s="989"/>
      <c r="MHU1059" s="989"/>
      <c r="MHV1059" s="989"/>
      <c r="MHW1059" s="989"/>
      <c r="MHX1059" s="989"/>
      <c r="MHY1059" s="989"/>
      <c r="MHZ1059" s="989"/>
      <c r="MIA1059" s="989"/>
      <c r="MIB1059" s="989"/>
      <c r="MIC1059" s="989"/>
      <c r="MID1059" s="989"/>
      <c r="MIE1059" s="989"/>
      <c r="MIF1059" s="989"/>
      <c r="MIG1059" s="989"/>
      <c r="MIH1059" s="989"/>
      <c r="MII1059" s="989"/>
      <c r="MIJ1059" s="989"/>
      <c r="MIK1059" s="989"/>
      <c r="MIL1059" s="989"/>
      <c r="MIM1059" s="989"/>
      <c r="MIN1059" s="989"/>
      <c r="MIO1059" s="989"/>
      <c r="MIP1059" s="989"/>
      <c r="MIQ1059" s="989"/>
      <c r="MIR1059" s="989"/>
      <c r="MIS1059" s="989"/>
      <c r="MIT1059" s="989"/>
      <c r="MIU1059" s="989"/>
      <c r="MIV1059" s="989"/>
      <c r="MIW1059" s="989"/>
      <c r="MIX1059" s="989"/>
      <c r="MIY1059" s="989"/>
      <c r="MIZ1059" s="989"/>
      <c r="MJA1059" s="989"/>
      <c r="MJB1059" s="989"/>
      <c r="MJC1059" s="989"/>
      <c r="MJD1059" s="989"/>
      <c r="MJE1059" s="989"/>
      <c r="MJF1059" s="989"/>
      <c r="MJG1059" s="989"/>
      <c r="MJH1059" s="989"/>
      <c r="MJI1059" s="989"/>
      <c r="MJJ1059" s="989"/>
      <c r="MJK1059" s="989"/>
      <c r="MJL1059" s="989"/>
      <c r="MJM1059" s="989"/>
      <c r="MJN1059" s="989"/>
      <c r="MJO1059" s="989"/>
      <c r="MJP1059" s="989"/>
      <c r="MJQ1059" s="989"/>
      <c r="MJR1059" s="989"/>
      <c r="MJS1059" s="989"/>
      <c r="MJT1059" s="989"/>
      <c r="MJU1059" s="989"/>
      <c r="MJV1059" s="989"/>
      <c r="MJW1059" s="989"/>
      <c r="MJX1059" s="989"/>
      <c r="MJY1059" s="989"/>
      <c r="MJZ1059" s="989"/>
      <c r="MKA1059" s="989"/>
      <c r="MKB1059" s="989"/>
      <c r="MKC1059" s="989"/>
      <c r="MKD1059" s="989"/>
      <c r="MKE1059" s="989"/>
      <c r="MKF1059" s="989"/>
      <c r="MKG1059" s="989"/>
      <c r="MKH1059" s="989"/>
      <c r="MKI1059" s="989"/>
      <c r="MKJ1059" s="989"/>
      <c r="MKK1059" s="989"/>
      <c r="MKL1059" s="989"/>
      <c r="MKM1059" s="989"/>
      <c r="MKN1059" s="989"/>
      <c r="MKO1059" s="989"/>
      <c r="MKP1059" s="989"/>
      <c r="MKQ1059" s="989"/>
      <c r="MKR1059" s="989"/>
      <c r="MKS1059" s="989"/>
      <c r="MKT1059" s="989"/>
      <c r="MKU1059" s="989"/>
      <c r="MKV1059" s="989"/>
      <c r="MKW1059" s="989"/>
      <c r="MKX1059" s="989"/>
      <c r="MKY1059" s="989"/>
      <c r="MKZ1059" s="989"/>
      <c r="MLA1059" s="989"/>
      <c r="MLB1059" s="989"/>
      <c r="MLC1059" s="989"/>
      <c r="MLD1059" s="989"/>
      <c r="MLE1059" s="989"/>
      <c r="MLF1059" s="989"/>
      <c r="MLG1059" s="989"/>
      <c r="MLH1059" s="989"/>
      <c r="MLI1059" s="989"/>
      <c r="MLJ1059" s="989"/>
      <c r="MLK1059" s="989"/>
      <c r="MLL1059" s="989"/>
      <c r="MLM1059" s="989"/>
      <c r="MLN1059" s="989"/>
      <c r="MLO1059" s="989"/>
      <c r="MLP1059" s="989"/>
      <c r="MLQ1059" s="989"/>
      <c r="MLR1059" s="989"/>
      <c r="MLS1059" s="989"/>
      <c r="MLT1059" s="989"/>
      <c r="MLU1059" s="989"/>
      <c r="MLV1059" s="989"/>
      <c r="MLW1059" s="989"/>
      <c r="MLX1059" s="989"/>
      <c r="MLY1059" s="989"/>
      <c r="MLZ1059" s="989"/>
      <c r="MMA1059" s="989"/>
      <c r="MMB1059" s="989"/>
      <c r="MMC1059" s="989"/>
      <c r="MMD1059" s="989"/>
      <c r="MME1059" s="989"/>
      <c r="MMF1059" s="989"/>
      <c r="MMG1059" s="989"/>
      <c r="MMH1059" s="989"/>
      <c r="MMI1059" s="989"/>
      <c r="MMJ1059" s="989"/>
      <c r="MMK1059" s="989"/>
      <c r="MML1059" s="989"/>
      <c r="MMM1059" s="989"/>
      <c r="MMN1059" s="989"/>
      <c r="MMO1059" s="989"/>
      <c r="MMP1059" s="989"/>
      <c r="MMQ1059" s="989"/>
      <c r="MMR1059" s="989"/>
      <c r="MMS1059" s="989"/>
      <c r="MMT1059" s="989"/>
      <c r="MMU1059" s="989"/>
      <c r="MMV1059" s="989"/>
      <c r="MMW1059" s="989"/>
      <c r="MMX1059" s="989"/>
      <c r="MMY1059" s="989"/>
      <c r="MMZ1059" s="989"/>
      <c r="MNA1059" s="989"/>
      <c r="MNB1059" s="989"/>
      <c r="MNC1059" s="989"/>
      <c r="MND1059" s="989"/>
      <c r="MNE1059" s="989"/>
      <c r="MNF1059" s="989"/>
      <c r="MNG1059" s="989"/>
      <c r="MNH1059" s="989"/>
      <c r="MNI1059" s="989"/>
      <c r="MNJ1059" s="989"/>
      <c r="MNK1059" s="989"/>
      <c r="MNL1059" s="989"/>
      <c r="MNM1059" s="989"/>
      <c r="MNN1059" s="989"/>
      <c r="MNO1059" s="989"/>
      <c r="MNP1059" s="989"/>
      <c r="MNQ1059" s="989"/>
      <c r="MNR1059" s="989"/>
      <c r="MNS1059" s="989"/>
      <c r="MNT1059" s="989"/>
      <c r="MNU1059" s="989"/>
      <c r="MNV1059" s="989"/>
      <c r="MNW1059" s="989"/>
      <c r="MNX1059" s="989"/>
      <c r="MNY1059" s="989"/>
      <c r="MNZ1059" s="989"/>
      <c r="MOA1059" s="989"/>
      <c r="MOB1059" s="989"/>
      <c r="MOC1059" s="989"/>
      <c r="MOD1059" s="989"/>
      <c r="MOE1059" s="989"/>
      <c r="MOF1059" s="989"/>
      <c r="MOG1059" s="989"/>
      <c r="MOH1059" s="989"/>
      <c r="MOI1059" s="989"/>
      <c r="MOJ1059" s="989"/>
      <c r="MOK1059" s="989"/>
      <c r="MOL1059" s="989"/>
      <c r="MOM1059" s="989"/>
      <c r="MON1059" s="989"/>
      <c r="MOO1059" s="989"/>
      <c r="MOP1059" s="989"/>
      <c r="MOQ1059" s="989"/>
      <c r="MOR1059" s="989"/>
      <c r="MOS1059" s="989"/>
      <c r="MOT1059" s="989"/>
      <c r="MOU1059" s="989"/>
      <c r="MOV1059" s="989"/>
      <c r="MOW1059" s="989"/>
      <c r="MOX1059" s="989"/>
      <c r="MOY1059" s="989"/>
      <c r="MOZ1059" s="989"/>
      <c r="MPA1059" s="989"/>
      <c r="MPB1059" s="989"/>
      <c r="MPC1059" s="989"/>
      <c r="MPD1059" s="989"/>
      <c r="MPE1059" s="989"/>
      <c r="MPF1059" s="989"/>
      <c r="MPG1059" s="989"/>
      <c r="MPH1059" s="989"/>
      <c r="MPI1059" s="989"/>
      <c r="MPJ1059" s="989"/>
      <c r="MPK1059" s="989"/>
      <c r="MPL1059" s="989"/>
      <c r="MPM1059" s="989"/>
      <c r="MPN1059" s="989"/>
      <c r="MPO1059" s="989"/>
      <c r="MPP1059" s="989"/>
      <c r="MPQ1059" s="989"/>
      <c r="MPR1059" s="989"/>
      <c r="MPS1059" s="989"/>
      <c r="MPT1059" s="989"/>
      <c r="MPU1059" s="989"/>
      <c r="MPV1059" s="989"/>
      <c r="MPW1059" s="989"/>
      <c r="MPX1059" s="989"/>
      <c r="MPY1059" s="989"/>
      <c r="MPZ1059" s="989"/>
      <c r="MQA1059" s="989"/>
      <c r="MQB1059" s="989"/>
      <c r="MQC1059" s="989"/>
      <c r="MQD1059" s="989"/>
      <c r="MQE1059" s="989"/>
      <c r="MQF1059" s="989"/>
      <c r="MQG1059" s="989"/>
      <c r="MQH1059" s="989"/>
      <c r="MQI1059" s="989"/>
      <c r="MQJ1059" s="989"/>
      <c r="MQK1059" s="989"/>
      <c r="MQL1059" s="989"/>
      <c r="MQM1059" s="989"/>
      <c r="MQN1059" s="989"/>
      <c r="MQO1059" s="989"/>
      <c r="MQP1059" s="989"/>
      <c r="MQQ1059" s="989"/>
      <c r="MQR1059" s="989"/>
      <c r="MQS1059" s="989"/>
      <c r="MQT1059" s="989"/>
      <c r="MQU1059" s="989"/>
      <c r="MQV1059" s="989"/>
      <c r="MQW1059" s="989"/>
      <c r="MQX1059" s="989"/>
      <c r="MQY1059" s="989"/>
      <c r="MQZ1059" s="989"/>
      <c r="MRA1059" s="989"/>
      <c r="MRB1059" s="989"/>
      <c r="MRC1059" s="989"/>
      <c r="MRD1059" s="989"/>
      <c r="MRE1059" s="989"/>
      <c r="MRF1059" s="989"/>
      <c r="MRG1059" s="989"/>
      <c r="MRH1059" s="989"/>
      <c r="MRI1059" s="989"/>
      <c r="MRJ1059" s="989"/>
      <c r="MRK1059" s="989"/>
      <c r="MRL1059" s="989"/>
      <c r="MRM1059" s="989"/>
      <c r="MRN1059" s="989"/>
      <c r="MRO1059" s="989"/>
      <c r="MRP1059" s="989"/>
      <c r="MRQ1059" s="989"/>
      <c r="MRR1059" s="989"/>
      <c r="MRS1059" s="989"/>
      <c r="MRT1059" s="989"/>
      <c r="MRU1059" s="989"/>
      <c r="MRV1059" s="989"/>
      <c r="MRW1059" s="989"/>
      <c r="MRX1059" s="989"/>
      <c r="MRY1059" s="989"/>
      <c r="MRZ1059" s="989"/>
      <c r="MSA1059" s="989"/>
      <c r="MSB1059" s="989"/>
      <c r="MSC1059" s="989"/>
      <c r="MSD1059" s="989"/>
      <c r="MSE1059" s="989"/>
      <c r="MSF1059" s="989"/>
      <c r="MSG1059" s="989"/>
      <c r="MSH1059" s="989"/>
      <c r="MSI1059" s="989"/>
      <c r="MSJ1059" s="989"/>
      <c r="MSK1059" s="989"/>
      <c r="MSL1059" s="989"/>
      <c r="MSM1059" s="989"/>
      <c r="MSN1059" s="989"/>
      <c r="MSO1059" s="989"/>
      <c r="MSP1059" s="989"/>
      <c r="MSQ1059" s="989"/>
      <c r="MSR1059" s="989"/>
      <c r="MSS1059" s="989"/>
      <c r="MST1059" s="989"/>
      <c r="MSU1059" s="989"/>
      <c r="MSV1059" s="989"/>
      <c r="MSW1059" s="989"/>
      <c r="MSX1059" s="989"/>
      <c r="MSY1059" s="989"/>
      <c r="MSZ1059" s="989"/>
      <c r="MTA1059" s="989"/>
      <c r="MTB1059" s="989"/>
      <c r="MTC1059" s="989"/>
      <c r="MTD1059" s="989"/>
      <c r="MTE1059" s="989"/>
      <c r="MTF1059" s="989"/>
      <c r="MTG1059" s="989"/>
      <c r="MTH1059" s="989"/>
      <c r="MTI1059" s="989"/>
      <c r="MTJ1059" s="989"/>
      <c r="MTK1059" s="989"/>
      <c r="MTL1059" s="989"/>
      <c r="MTM1059" s="989"/>
      <c r="MTN1059" s="989"/>
      <c r="MTO1059" s="989"/>
      <c r="MTP1059" s="989"/>
      <c r="MTQ1059" s="989"/>
      <c r="MTR1059" s="989"/>
      <c r="MTS1059" s="989"/>
      <c r="MTT1059" s="989"/>
      <c r="MTU1059" s="989"/>
      <c r="MTV1059" s="989"/>
      <c r="MTW1059" s="989"/>
      <c r="MTX1059" s="989"/>
      <c r="MTY1059" s="989"/>
      <c r="MTZ1059" s="989"/>
      <c r="MUA1059" s="989"/>
      <c r="MUB1059" s="989"/>
      <c r="MUC1059" s="989"/>
      <c r="MUD1059" s="989"/>
      <c r="MUE1059" s="989"/>
      <c r="MUF1059" s="989"/>
      <c r="MUG1059" s="989"/>
      <c r="MUH1059" s="989"/>
      <c r="MUI1059" s="989"/>
      <c r="MUJ1059" s="989"/>
      <c r="MUK1059" s="989"/>
      <c r="MUL1059" s="989"/>
      <c r="MUM1059" s="989"/>
      <c r="MUN1059" s="989"/>
      <c r="MUO1059" s="989"/>
      <c r="MUP1059" s="989"/>
      <c r="MUQ1059" s="989"/>
      <c r="MUR1059" s="989"/>
      <c r="MUS1059" s="989"/>
      <c r="MUT1059" s="989"/>
      <c r="MUU1059" s="989"/>
      <c r="MUV1059" s="989"/>
      <c r="MUW1059" s="989"/>
      <c r="MUX1059" s="989"/>
      <c r="MUY1059" s="989"/>
      <c r="MUZ1059" s="989"/>
      <c r="MVA1059" s="989"/>
      <c r="MVB1059" s="989"/>
      <c r="MVC1059" s="989"/>
      <c r="MVD1059" s="989"/>
      <c r="MVE1059" s="989"/>
      <c r="MVF1059" s="989"/>
      <c r="MVG1059" s="989"/>
      <c r="MVH1059" s="989"/>
      <c r="MVI1059" s="989"/>
      <c r="MVJ1059" s="989"/>
      <c r="MVK1059" s="989"/>
      <c r="MVL1059" s="989"/>
      <c r="MVM1059" s="989"/>
      <c r="MVN1059" s="989"/>
      <c r="MVO1059" s="989"/>
      <c r="MVP1059" s="989"/>
      <c r="MVQ1059" s="989"/>
      <c r="MVR1059" s="989"/>
      <c r="MVS1059" s="989"/>
      <c r="MVT1059" s="989"/>
      <c r="MVU1059" s="989"/>
      <c r="MVV1059" s="989"/>
      <c r="MVW1059" s="989"/>
      <c r="MVX1059" s="989"/>
      <c r="MVY1059" s="989"/>
      <c r="MVZ1059" s="989"/>
      <c r="MWA1059" s="989"/>
      <c r="MWB1059" s="989"/>
      <c r="MWC1059" s="989"/>
      <c r="MWD1059" s="989"/>
      <c r="MWE1059" s="989"/>
      <c r="MWF1059" s="989"/>
      <c r="MWG1059" s="989"/>
      <c r="MWH1059" s="989"/>
      <c r="MWI1059" s="989"/>
      <c r="MWJ1059" s="989"/>
      <c r="MWK1059" s="989"/>
      <c r="MWL1059" s="989"/>
      <c r="MWM1059" s="989"/>
      <c r="MWN1059" s="989"/>
      <c r="MWO1059" s="989"/>
      <c r="MWP1059" s="989"/>
      <c r="MWQ1059" s="989"/>
      <c r="MWR1059" s="989"/>
      <c r="MWS1059" s="989"/>
      <c r="MWT1059" s="989"/>
      <c r="MWU1059" s="989"/>
      <c r="MWV1059" s="989"/>
      <c r="MWW1059" s="989"/>
      <c r="MWX1059" s="989"/>
      <c r="MWY1059" s="989"/>
      <c r="MWZ1059" s="989"/>
      <c r="MXA1059" s="989"/>
      <c r="MXB1059" s="989"/>
      <c r="MXC1059" s="989"/>
      <c r="MXD1059" s="989"/>
      <c r="MXE1059" s="989"/>
      <c r="MXF1059" s="989"/>
      <c r="MXG1059" s="989"/>
      <c r="MXH1059" s="989"/>
      <c r="MXI1059" s="989"/>
      <c r="MXJ1059" s="989"/>
      <c r="MXK1059" s="989"/>
      <c r="MXL1059" s="989"/>
      <c r="MXM1059" s="989"/>
      <c r="MXN1059" s="989"/>
      <c r="MXO1059" s="989"/>
      <c r="MXP1059" s="989"/>
      <c r="MXQ1059" s="989"/>
      <c r="MXR1059" s="989"/>
      <c r="MXS1059" s="989"/>
      <c r="MXT1059" s="989"/>
      <c r="MXU1059" s="989"/>
      <c r="MXV1059" s="989"/>
      <c r="MXW1059" s="989"/>
      <c r="MXX1059" s="989"/>
      <c r="MXY1059" s="989"/>
      <c r="MXZ1059" s="989"/>
      <c r="MYA1059" s="989"/>
      <c r="MYB1059" s="989"/>
      <c r="MYC1059" s="989"/>
      <c r="MYD1059" s="989"/>
      <c r="MYE1059" s="989"/>
      <c r="MYF1059" s="989"/>
      <c r="MYG1059" s="989"/>
      <c r="MYH1059" s="989"/>
      <c r="MYI1059" s="989"/>
      <c r="MYJ1059" s="989"/>
      <c r="MYK1059" s="989"/>
      <c r="MYL1059" s="989"/>
      <c r="MYM1059" s="989"/>
      <c r="MYN1059" s="989"/>
      <c r="MYO1059" s="989"/>
      <c r="MYP1059" s="989"/>
      <c r="MYQ1059" s="989"/>
      <c r="MYR1059" s="989"/>
      <c r="MYS1059" s="989"/>
      <c r="MYT1059" s="989"/>
      <c r="MYU1059" s="989"/>
      <c r="MYV1059" s="989"/>
      <c r="MYW1059" s="989"/>
      <c r="MYX1059" s="989"/>
      <c r="MYY1059" s="989"/>
      <c r="MYZ1059" s="989"/>
      <c r="MZA1059" s="989"/>
      <c r="MZB1059" s="989"/>
      <c r="MZC1059" s="989"/>
      <c r="MZD1059" s="989"/>
      <c r="MZE1059" s="989"/>
      <c r="MZF1059" s="989"/>
      <c r="MZG1059" s="989"/>
      <c r="MZH1059" s="989"/>
      <c r="MZI1059" s="989"/>
      <c r="MZJ1059" s="989"/>
      <c r="MZK1059" s="989"/>
      <c r="MZL1059" s="989"/>
      <c r="MZM1059" s="989"/>
      <c r="MZN1059" s="989"/>
      <c r="MZO1059" s="989"/>
      <c r="MZP1059" s="989"/>
      <c r="MZQ1059" s="989"/>
      <c r="MZR1059" s="989"/>
      <c r="MZS1059" s="989"/>
      <c r="MZT1059" s="989"/>
      <c r="MZU1059" s="989"/>
      <c r="MZV1059" s="989"/>
      <c r="MZW1059" s="989"/>
      <c r="MZX1059" s="989"/>
      <c r="MZY1059" s="989"/>
      <c r="MZZ1059" s="989"/>
      <c r="NAA1059" s="989"/>
      <c r="NAB1059" s="989"/>
      <c r="NAC1059" s="989"/>
      <c r="NAD1059" s="989"/>
      <c r="NAE1059" s="989"/>
      <c r="NAF1059" s="989"/>
      <c r="NAG1059" s="989"/>
      <c r="NAH1059" s="989"/>
      <c r="NAI1059" s="989"/>
      <c r="NAJ1059" s="989"/>
      <c r="NAK1059" s="989"/>
      <c r="NAL1059" s="989"/>
      <c r="NAM1059" s="989"/>
      <c r="NAN1059" s="989"/>
      <c r="NAO1059" s="989"/>
      <c r="NAP1059" s="989"/>
      <c r="NAQ1059" s="989"/>
      <c r="NAR1059" s="989"/>
      <c r="NAS1059" s="989"/>
      <c r="NAT1059" s="989"/>
      <c r="NAU1059" s="989"/>
      <c r="NAV1059" s="989"/>
      <c r="NAW1059" s="989"/>
      <c r="NAX1059" s="989"/>
      <c r="NAY1059" s="989"/>
      <c r="NAZ1059" s="989"/>
      <c r="NBA1059" s="989"/>
      <c r="NBB1059" s="989"/>
      <c r="NBC1059" s="989"/>
      <c r="NBD1059" s="989"/>
      <c r="NBE1059" s="989"/>
      <c r="NBF1059" s="989"/>
      <c r="NBG1059" s="989"/>
      <c r="NBH1059" s="989"/>
      <c r="NBI1059" s="989"/>
      <c r="NBJ1059" s="989"/>
      <c r="NBK1059" s="989"/>
      <c r="NBL1059" s="989"/>
      <c r="NBM1059" s="989"/>
      <c r="NBN1059" s="989"/>
      <c r="NBO1059" s="989"/>
      <c r="NBP1059" s="989"/>
      <c r="NBQ1059" s="989"/>
      <c r="NBR1059" s="989"/>
      <c r="NBS1059" s="989"/>
      <c r="NBT1059" s="989"/>
      <c r="NBU1059" s="989"/>
      <c r="NBV1059" s="989"/>
      <c r="NBW1059" s="989"/>
      <c r="NBX1059" s="989"/>
      <c r="NBY1059" s="989"/>
      <c r="NBZ1059" s="989"/>
      <c r="NCA1059" s="989"/>
      <c r="NCB1059" s="989"/>
      <c r="NCC1059" s="989"/>
      <c r="NCD1059" s="989"/>
      <c r="NCE1059" s="989"/>
      <c r="NCF1059" s="989"/>
      <c r="NCG1059" s="989"/>
      <c r="NCH1059" s="989"/>
      <c r="NCI1059" s="989"/>
      <c r="NCJ1059" s="989"/>
      <c r="NCK1059" s="989"/>
      <c r="NCL1059" s="989"/>
      <c r="NCM1059" s="989"/>
      <c r="NCN1059" s="989"/>
      <c r="NCO1059" s="989"/>
      <c r="NCP1059" s="989"/>
      <c r="NCQ1059" s="989"/>
      <c r="NCR1059" s="989"/>
      <c r="NCS1059" s="989"/>
      <c r="NCT1059" s="989"/>
      <c r="NCU1059" s="989"/>
      <c r="NCV1059" s="989"/>
      <c r="NCW1059" s="989"/>
      <c r="NCX1059" s="989"/>
      <c r="NCY1059" s="989"/>
      <c r="NCZ1059" s="989"/>
      <c r="NDA1059" s="989"/>
      <c r="NDB1059" s="989"/>
      <c r="NDC1059" s="989"/>
      <c r="NDD1059" s="989"/>
      <c r="NDE1059" s="989"/>
      <c r="NDF1059" s="989"/>
      <c r="NDG1059" s="989"/>
      <c r="NDH1059" s="989"/>
      <c r="NDI1059" s="989"/>
      <c r="NDJ1059" s="989"/>
      <c r="NDK1059" s="989"/>
      <c r="NDL1059" s="989"/>
      <c r="NDM1059" s="989"/>
      <c r="NDN1059" s="989"/>
      <c r="NDO1059" s="989"/>
      <c r="NDP1059" s="989"/>
      <c r="NDQ1059" s="989"/>
      <c r="NDR1059" s="989"/>
      <c r="NDS1059" s="989"/>
      <c r="NDT1059" s="989"/>
      <c r="NDU1059" s="989"/>
      <c r="NDV1059" s="989"/>
      <c r="NDW1059" s="989"/>
      <c r="NDX1059" s="989"/>
      <c r="NDY1059" s="989"/>
      <c r="NDZ1059" s="989"/>
      <c r="NEA1059" s="989"/>
      <c r="NEB1059" s="989"/>
      <c r="NEC1059" s="989"/>
      <c r="NED1059" s="989"/>
      <c r="NEE1059" s="989"/>
      <c r="NEF1059" s="989"/>
      <c r="NEG1059" s="989"/>
      <c r="NEH1059" s="989"/>
      <c r="NEI1059" s="989"/>
      <c r="NEJ1059" s="989"/>
      <c r="NEK1059" s="989"/>
      <c r="NEL1059" s="989"/>
      <c r="NEM1059" s="989"/>
      <c r="NEN1059" s="989"/>
      <c r="NEO1059" s="989"/>
      <c r="NEP1059" s="989"/>
      <c r="NEQ1059" s="989"/>
      <c r="NER1059" s="989"/>
      <c r="NES1059" s="989"/>
      <c r="NET1059" s="989"/>
      <c r="NEU1059" s="989"/>
      <c r="NEV1059" s="989"/>
      <c r="NEW1059" s="989"/>
      <c r="NEX1059" s="989"/>
      <c r="NEY1059" s="989"/>
      <c r="NEZ1059" s="989"/>
      <c r="NFA1059" s="989"/>
      <c r="NFB1059" s="989"/>
      <c r="NFC1059" s="989"/>
      <c r="NFD1059" s="989"/>
      <c r="NFE1059" s="989"/>
      <c r="NFF1059" s="989"/>
      <c r="NFG1059" s="989"/>
      <c r="NFH1059" s="989"/>
      <c r="NFI1059" s="989"/>
      <c r="NFJ1059" s="989"/>
      <c r="NFK1059" s="989"/>
      <c r="NFL1059" s="989"/>
      <c r="NFM1059" s="989"/>
      <c r="NFN1059" s="989"/>
      <c r="NFO1059" s="989"/>
      <c r="NFP1059" s="989"/>
      <c r="NFQ1059" s="989"/>
      <c r="NFR1059" s="989"/>
      <c r="NFS1059" s="989"/>
      <c r="NFT1059" s="989"/>
      <c r="NFU1059" s="989"/>
      <c r="NFV1059" s="989"/>
      <c r="NFW1059" s="989"/>
      <c r="NFX1059" s="989"/>
      <c r="NFY1059" s="989"/>
      <c r="NFZ1059" s="989"/>
      <c r="NGA1059" s="989"/>
      <c r="NGB1059" s="989"/>
      <c r="NGC1059" s="989"/>
      <c r="NGD1059" s="989"/>
      <c r="NGE1059" s="989"/>
      <c r="NGF1059" s="989"/>
      <c r="NGG1059" s="989"/>
      <c r="NGH1059" s="989"/>
      <c r="NGI1059" s="989"/>
      <c r="NGJ1059" s="989"/>
      <c r="NGK1059" s="989"/>
      <c r="NGL1059" s="989"/>
      <c r="NGM1059" s="989"/>
      <c r="NGN1059" s="989"/>
      <c r="NGO1059" s="989"/>
      <c r="NGP1059" s="989"/>
      <c r="NGQ1059" s="989"/>
      <c r="NGR1059" s="989"/>
      <c r="NGS1059" s="989"/>
      <c r="NGT1059" s="989"/>
      <c r="NGU1059" s="989"/>
      <c r="NGV1059" s="989"/>
      <c r="NGW1059" s="989"/>
      <c r="NGX1059" s="989"/>
      <c r="NGY1059" s="989"/>
      <c r="NGZ1059" s="989"/>
      <c r="NHA1059" s="989"/>
      <c r="NHB1059" s="989"/>
      <c r="NHC1059" s="989"/>
      <c r="NHD1059" s="989"/>
      <c r="NHE1059" s="989"/>
      <c r="NHF1059" s="989"/>
      <c r="NHG1059" s="989"/>
      <c r="NHH1059" s="989"/>
      <c r="NHI1059" s="989"/>
      <c r="NHJ1059" s="989"/>
      <c r="NHK1059" s="989"/>
      <c r="NHL1059" s="989"/>
      <c r="NHM1059" s="989"/>
      <c r="NHN1059" s="989"/>
      <c r="NHO1059" s="989"/>
      <c r="NHP1059" s="989"/>
      <c r="NHQ1059" s="989"/>
      <c r="NHR1059" s="989"/>
      <c r="NHS1059" s="989"/>
      <c r="NHT1059" s="989"/>
      <c r="NHU1059" s="989"/>
      <c r="NHV1059" s="989"/>
      <c r="NHW1059" s="989"/>
      <c r="NHX1059" s="989"/>
      <c r="NHY1059" s="989"/>
      <c r="NHZ1059" s="989"/>
      <c r="NIA1059" s="989"/>
      <c r="NIB1059" s="989"/>
      <c r="NIC1059" s="989"/>
      <c r="NID1059" s="989"/>
      <c r="NIE1059" s="989"/>
      <c r="NIF1059" s="989"/>
      <c r="NIG1059" s="989"/>
      <c r="NIH1059" s="989"/>
      <c r="NII1059" s="989"/>
      <c r="NIJ1059" s="989"/>
      <c r="NIK1059" s="989"/>
      <c r="NIL1059" s="989"/>
      <c r="NIM1059" s="989"/>
      <c r="NIN1059" s="989"/>
      <c r="NIO1059" s="989"/>
      <c r="NIP1059" s="989"/>
      <c r="NIQ1059" s="989"/>
      <c r="NIR1059" s="989"/>
      <c r="NIS1059" s="989"/>
      <c r="NIT1059" s="989"/>
      <c r="NIU1059" s="989"/>
      <c r="NIV1059" s="989"/>
      <c r="NIW1059" s="989"/>
      <c r="NIX1059" s="989"/>
      <c r="NIY1059" s="989"/>
      <c r="NIZ1059" s="989"/>
      <c r="NJA1059" s="989"/>
      <c r="NJB1059" s="989"/>
      <c r="NJC1059" s="989"/>
      <c r="NJD1059" s="989"/>
      <c r="NJE1059" s="989"/>
      <c r="NJF1059" s="989"/>
      <c r="NJG1059" s="989"/>
      <c r="NJH1059" s="989"/>
      <c r="NJI1059" s="989"/>
      <c r="NJJ1059" s="989"/>
      <c r="NJK1059" s="989"/>
      <c r="NJL1059" s="989"/>
      <c r="NJM1059" s="989"/>
      <c r="NJN1059" s="989"/>
      <c r="NJO1059" s="989"/>
      <c r="NJP1059" s="989"/>
      <c r="NJQ1059" s="989"/>
      <c r="NJR1059" s="989"/>
      <c r="NJS1059" s="989"/>
      <c r="NJT1059" s="989"/>
      <c r="NJU1059" s="989"/>
      <c r="NJV1059" s="989"/>
      <c r="NJW1059" s="989"/>
      <c r="NJX1059" s="989"/>
      <c r="NJY1059" s="989"/>
      <c r="NJZ1059" s="989"/>
      <c r="NKA1059" s="989"/>
      <c r="NKB1059" s="989"/>
      <c r="NKC1059" s="989"/>
      <c r="NKD1059" s="989"/>
      <c r="NKE1059" s="989"/>
      <c r="NKF1059" s="989"/>
      <c r="NKG1059" s="989"/>
      <c r="NKH1059" s="989"/>
      <c r="NKI1059" s="989"/>
      <c r="NKJ1059" s="989"/>
      <c r="NKK1059" s="989"/>
      <c r="NKL1059" s="989"/>
      <c r="NKM1059" s="989"/>
      <c r="NKN1059" s="989"/>
      <c r="NKO1059" s="989"/>
      <c r="NKP1059" s="989"/>
      <c r="NKQ1059" s="989"/>
      <c r="NKR1059" s="989"/>
      <c r="NKS1059" s="989"/>
      <c r="NKT1059" s="989"/>
      <c r="NKU1059" s="989"/>
      <c r="NKV1059" s="989"/>
      <c r="NKW1059" s="989"/>
      <c r="NKX1059" s="989"/>
      <c r="NKY1059" s="989"/>
      <c r="NKZ1059" s="989"/>
      <c r="NLA1059" s="989"/>
      <c r="NLB1059" s="989"/>
      <c r="NLC1059" s="989"/>
      <c r="NLD1059" s="989"/>
      <c r="NLE1059" s="989"/>
      <c r="NLF1059" s="989"/>
      <c r="NLG1059" s="989"/>
      <c r="NLH1059" s="989"/>
      <c r="NLI1059" s="989"/>
      <c r="NLJ1059" s="989"/>
      <c r="NLK1059" s="989"/>
      <c r="NLL1059" s="989"/>
      <c r="NLM1059" s="989"/>
      <c r="NLN1059" s="989"/>
      <c r="NLO1059" s="989"/>
      <c r="NLP1059" s="989"/>
      <c r="NLQ1059" s="989"/>
      <c r="NLR1059" s="989"/>
      <c r="NLS1059" s="989"/>
      <c r="NLT1059" s="989"/>
      <c r="NLU1059" s="989"/>
      <c r="NLV1059" s="989"/>
      <c r="NLW1059" s="989"/>
      <c r="NLX1059" s="989"/>
      <c r="NLY1059" s="989"/>
      <c r="NLZ1059" s="989"/>
      <c r="NMA1059" s="989"/>
      <c r="NMB1059" s="989"/>
      <c r="NMC1059" s="989"/>
      <c r="NMD1059" s="989"/>
      <c r="NME1059" s="989"/>
      <c r="NMF1059" s="989"/>
      <c r="NMG1059" s="989"/>
      <c r="NMH1059" s="989"/>
      <c r="NMI1059" s="989"/>
      <c r="NMJ1059" s="989"/>
      <c r="NMK1059" s="989"/>
      <c r="NML1059" s="989"/>
      <c r="NMM1059" s="989"/>
      <c r="NMN1059" s="989"/>
      <c r="NMO1059" s="989"/>
      <c r="NMP1059" s="989"/>
      <c r="NMQ1059" s="989"/>
      <c r="NMR1059" s="989"/>
      <c r="NMS1059" s="989"/>
      <c r="NMT1059" s="989"/>
      <c r="NMU1059" s="989"/>
      <c r="NMV1059" s="989"/>
      <c r="NMW1059" s="989"/>
      <c r="NMX1059" s="989"/>
      <c r="NMY1059" s="989"/>
      <c r="NMZ1059" s="989"/>
      <c r="NNA1059" s="989"/>
      <c r="NNB1059" s="989"/>
      <c r="NNC1059" s="989"/>
      <c r="NND1059" s="989"/>
      <c r="NNE1059" s="989"/>
      <c r="NNF1059" s="989"/>
      <c r="NNG1059" s="989"/>
      <c r="NNH1059" s="989"/>
      <c r="NNI1059" s="989"/>
      <c r="NNJ1059" s="989"/>
      <c r="NNK1059" s="989"/>
      <c r="NNL1059" s="989"/>
      <c r="NNM1059" s="989"/>
      <c r="NNN1059" s="989"/>
      <c r="NNO1059" s="989"/>
      <c r="NNP1059" s="989"/>
      <c r="NNQ1059" s="989"/>
      <c r="NNR1059" s="989"/>
      <c r="NNS1059" s="989"/>
      <c r="NNT1059" s="989"/>
      <c r="NNU1059" s="989"/>
      <c r="NNV1059" s="989"/>
      <c r="NNW1059" s="989"/>
      <c r="NNX1059" s="989"/>
      <c r="NNY1059" s="989"/>
      <c r="NNZ1059" s="989"/>
      <c r="NOA1059" s="989"/>
      <c r="NOB1059" s="989"/>
      <c r="NOC1059" s="989"/>
      <c r="NOD1059" s="989"/>
      <c r="NOE1059" s="989"/>
      <c r="NOF1059" s="989"/>
      <c r="NOG1059" s="989"/>
      <c r="NOH1059" s="989"/>
      <c r="NOI1059" s="989"/>
      <c r="NOJ1059" s="989"/>
      <c r="NOK1059" s="989"/>
      <c r="NOL1059" s="989"/>
      <c r="NOM1059" s="989"/>
      <c r="NON1059" s="989"/>
      <c r="NOO1059" s="989"/>
      <c r="NOP1059" s="989"/>
      <c r="NOQ1059" s="989"/>
      <c r="NOR1059" s="989"/>
      <c r="NOS1059" s="989"/>
      <c r="NOT1059" s="989"/>
      <c r="NOU1059" s="989"/>
      <c r="NOV1059" s="989"/>
      <c r="NOW1059" s="989"/>
      <c r="NOX1059" s="989"/>
      <c r="NOY1059" s="989"/>
      <c r="NOZ1059" s="989"/>
      <c r="NPA1059" s="989"/>
      <c r="NPB1059" s="989"/>
      <c r="NPC1059" s="989"/>
      <c r="NPD1059" s="989"/>
      <c r="NPE1059" s="989"/>
      <c r="NPF1059" s="989"/>
      <c r="NPG1059" s="989"/>
      <c r="NPH1059" s="989"/>
      <c r="NPI1059" s="989"/>
      <c r="NPJ1059" s="989"/>
      <c r="NPK1059" s="989"/>
      <c r="NPL1059" s="989"/>
      <c r="NPM1059" s="989"/>
      <c r="NPN1059" s="989"/>
      <c r="NPO1059" s="989"/>
      <c r="NPP1059" s="989"/>
      <c r="NPQ1059" s="989"/>
      <c r="NPR1059" s="989"/>
      <c r="NPS1059" s="989"/>
      <c r="NPT1059" s="989"/>
      <c r="NPU1059" s="989"/>
      <c r="NPV1059" s="989"/>
      <c r="NPW1059" s="989"/>
      <c r="NPX1059" s="989"/>
      <c r="NPY1059" s="989"/>
      <c r="NPZ1059" s="989"/>
      <c r="NQA1059" s="989"/>
      <c r="NQB1059" s="989"/>
      <c r="NQC1059" s="989"/>
      <c r="NQD1059" s="989"/>
      <c r="NQE1059" s="989"/>
      <c r="NQF1059" s="989"/>
      <c r="NQG1059" s="989"/>
      <c r="NQH1059" s="989"/>
      <c r="NQI1059" s="989"/>
      <c r="NQJ1059" s="989"/>
      <c r="NQK1059" s="989"/>
      <c r="NQL1059" s="989"/>
      <c r="NQM1059" s="989"/>
      <c r="NQN1059" s="989"/>
      <c r="NQO1059" s="989"/>
      <c r="NQP1059" s="989"/>
      <c r="NQQ1059" s="989"/>
      <c r="NQR1059" s="989"/>
      <c r="NQS1059" s="989"/>
      <c r="NQT1059" s="989"/>
      <c r="NQU1059" s="989"/>
      <c r="NQV1059" s="989"/>
      <c r="NQW1059" s="989"/>
      <c r="NQX1059" s="989"/>
      <c r="NQY1059" s="989"/>
      <c r="NQZ1059" s="989"/>
      <c r="NRA1059" s="989"/>
      <c r="NRB1059" s="989"/>
      <c r="NRC1059" s="989"/>
      <c r="NRD1059" s="989"/>
      <c r="NRE1059" s="989"/>
      <c r="NRF1059" s="989"/>
      <c r="NRG1059" s="989"/>
      <c r="NRH1059" s="989"/>
      <c r="NRI1059" s="989"/>
      <c r="NRJ1059" s="989"/>
      <c r="NRK1059" s="989"/>
      <c r="NRL1059" s="989"/>
      <c r="NRM1059" s="989"/>
      <c r="NRN1059" s="989"/>
      <c r="NRO1059" s="989"/>
      <c r="NRP1059" s="989"/>
      <c r="NRQ1059" s="989"/>
      <c r="NRR1059" s="989"/>
      <c r="NRS1059" s="989"/>
      <c r="NRT1059" s="989"/>
      <c r="NRU1059" s="989"/>
      <c r="NRV1059" s="989"/>
      <c r="NRW1059" s="989"/>
      <c r="NRX1059" s="989"/>
      <c r="NRY1059" s="989"/>
      <c r="NRZ1059" s="989"/>
      <c r="NSA1059" s="989"/>
      <c r="NSB1059" s="989"/>
      <c r="NSC1059" s="989"/>
      <c r="NSD1059" s="989"/>
      <c r="NSE1059" s="989"/>
      <c r="NSF1059" s="989"/>
      <c r="NSG1059" s="989"/>
      <c r="NSH1059" s="989"/>
      <c r="NSI1059" s="989"/>
      <c r="NSJ1059" s="989"/>
      <c r="NSK1059" s="989"/>
      <c r="NSL1059" s="989"/>
      <c r="NSM1059" s="989"/>
      <c r="NSN1059" s="989"/>
      <c r="NSO1059" s="989"/>
      <c r="NSP1059" s="989"/>
      <c r="NSQ1059" s="989"/>
      <c r="NSR1059" s="989"/>
      <c r="NSS1059" s="989"/>
      <c r="NST1059" s="989"/>
      <c r="NSU1059" s="989"/>
      <c r="NSV1059" s="989"/>
      <c r="NSW1059" s="989"/>
      <c r="NSX1059" s="989"/>
      <c r="NSY1059" s="989"/>
      <c r="NSZ1059" s="989"/>
      <c r="NTA1059" s="989"/>
      <c r="NTB1059" s="989"/>
      <c r="NTC1059" s="989"/>
      <c r="NTD1059" s="989"/>
      <c r="NTE1059" s="989"/>
      <c r="NTF1059" s="989"/>
      <c r="NTG1059" s="989"/>
      <c r="NTH1059" s="989"/>
      <c r="NTI1059" s="989"/>
      <c r="NTJ1059" s="989"/>
      <c r="NTK1059" s="989"/>
      <c r="NTL1059" s="989"/>
      <c r="NTM1059" s="989"/>
      <c r="NTN1059" s="989"/>
      <c r="NTO1059" s="989"/>
      <c r="NTP1059" s="989"/>
      <c r="NTQ1059" s="989"/>
      <c r="NTR1059" s="989"/>
      <c r="NTS1059" s="989"/>
      <c r="NTT1059" s="989"/>
      <c r="NTU1059" s="989"/>
      <c r="NTV1059" s="989"/>
      <c r="NTW1059" s="989"/>
      <c r="NTX1059" s="989"/>
      <c r="NTY1059" s="989"/>
      <c r="NTZ1059" s="989"/>
      <c r="NUA1059" s="989"/>
      <c r="NUB1059" s="989"/>
      <c r="NUC1059" s="989"/>
      <c r="NUD1059" s="989"/>
      <c r="NUE1059" s="989"/>
      <c r="NUF1059" s="989"/>
      <c r="NUG1059" s="989"/>
      <c r="NUH1059" s="989"/>
      <c r="NUI1059" s="989"/>
      <c r="NUJ1059" s="989"/>
      <c r="NUK1059" s="989"/>
      <c r="NUL1059" s="989"/>
      <c r="NUM1059" s="989"/>
      <c r="NUN1059" s="989"/>
      <c r="NUO1059" s="989"/>
      <c r="NUP1059" s="989"/>
      <c r="NUQ1059" s="989"/>
      <c r="NUR1059" s="989"/>
      <c r="NUS1059" s="989"/>
      <c r="NUT1059" s="989"/>
      <c r="NUU1059" s="989"/>
      <c r="NUV1059" s="989"/>
      <c r="NUW1059" s="989"/>
      <c r="NUX1059" s="989"/>
      <c r="NUY1059" s="989"/>
      <c r="NUZ1059" s="989"/>
      <c r="NVA1059" s="989"/>
      <c r="NVB1059" s="989"/>
      <c r="NVC1059" s="989"/>
      <c r="NVD1059" s="989"/>
      <c r="NVE1059" s="989"/>
      <c r="NVF1059" s="989"/>
      <c r="NVG1059" s="989"/>
      <c r="NVH1059" s="989"/>
      <c r="NVI1059" s="989"/>
      <c r="NVJ1059" s="989"/>
      <c r="NVK1059" s="989"/>
      <c r="NVL1059" s="989"/>
      <c r="NVM1059" s="989"/>
      <c r="NVN1059" s="989"/>
      <c r="NVO1059" s="989"/>
      <c r="NVP1059" s="989"/>
      <c r="NVQ1059" s="989"/>
      <c r="NVR1059" s="989"/>
      <c r="NVS1059" s="989"/>
      <c r="NVT1059" s="989"/>
      <c r="NVU1059" s="989"/>
      <c r="NVV1059" s="989"/>
      <c r="NVW1059" s="989"/>
      <c r="NVX1059" s="989"/>
      <c r="NVY1059" s="989"/>
      <c r="NVZ1059" s="989"/>
      <c r="NWA1059" s="989"/>
      <c r="NWB1059" s="989"/>
      <c r="NWC1059" s="989"/>
      <c r="NWD1059" s="989"/>
      <c r="NWE1059" s="989"/>
      <c r="NWF1059" s="989"/>
      <c r="NWG1059" s="989"/>
      <c r="NWH1059" s="989"/>
      <c r="NWI1059" s="989"/>
      <c r="NWJ1059" s="989"/>
      <c r="NWK1059" s="989"/>
      <c r="NWL1059" s="989"/>
      <c r="NWM1059" s="989"/>
      <c r="NWN1059" s="989"/>
      <c r="NWO1059" s="989"/>
      <c r="NWP1059" s="989"/>
      <c r="NWQ1059" s="989"/>
      <c r="NWR1059" s="989"/>
      <c r="NWS1059" s="989"/>
      <c r="NWT1059" s="989"/>
      <c r="NWU1059" s="989"/>
      <c r="NWV1059" s="989"/>
      <c r="NWW1059" s="989"/>
      <c r="NWX1059" s="989"/>
      <c r="NWY1059" s="989"/>
      <c r="NWZ1059" s="989"/>
      <c r="NXA1059" s="989"/>
      <c r="NXB1059" s="989"/>
      <c r="NXC1059" s="989"/>
      <c r="NXD1059" s="989"/>
      <c r="NXE1059" s="989"/>
      <c r="NXF1059" s="989"/>
      <c r="NXG1059" s="989"/>
      <c r="NXH1059" s="989"/>
      <c r="NXI1059" s="989"/>
      <c r="NXJ1059" s="989"/>
      <c r="NXK1059" s="989"/>
      <c r="NXL1059" s="989"/>
      <c r="NXM1059" s="989"/>
      <c r="NXN1059" s="989"/>
      <c r="NXO1059" s="989"/>
      <c r="NXP1059" s="989"/>
      <c r="NXQ1059" s="989"/>
      <c r="NXR1059" s="989"/>
      <c r="NXS1059" s="989"/>
      <c r="NXT1059" s="989"/>
      <c r="NXU1059" s="989"/>
      <c r="NXV1059" s="989"/>
      <c r="NXW1059" s="989"/>
      <c r="NXX1059" s="989"/>
      <c r="NXY1059" s="989"/>
      <c r="NXZ1059" s="989"/>
      <c r="NYA1059" s="989"/>
      <c r="NYB1059" s="989"/>
      <c r="NYC1059" s="989"/>
      <c r="NYD1059" s="989"/>
      <c r="NYE1059" s="989"/>
      <c r="NYF1059" s="989"/>
      <c r="NYG1059" s="989"/>
      <c r="NYH1059" s="989"/>
      <c r="NYI1059" s="989"/>
      <c r="NYJ1059" s="989"/>
      <c r="NYK1059" s="989"/>
      <c r="NYL1059" s="989"/>
      <c r="NYM1059" s="989"/>
      <c r="NYN1059" s="989"/>
      <c r="NYO1059" s="989"/>
      <c r="NYP1059" s="989"/>
      <c r="NYQ1059" s="989"/>
      <c r="NYR1059" s="989"/>
      <c r="NYS1059" s="989"/>
      <c r="NYT1059" s="989"/>
      <c r="NYU1059" s="989"/>
      <c r="NYV1059" s="989"/>
      <c r="NYW1059" s="989"/>
      <c r="NYX1059" s="989"/>
      <c r="NYY1059" s="989"/>
      <c r="NYZ1059" s="989"/>
      <c r="NZA1059" s="989"/>
      <c r="NZB1059" s="989"/>
      <c r="NZC1059" s="989"/>
      <c r="NZD1059" s="989"/>
      <c r="NZE1059" s="989"/>
      <c r="NZF1059" s="989"/>
      <c r="NZG1059" s="989"/>
      <c r="NZH1059" s="989"/>
      <c r="NZI1059" s="989"/>
      <c r="NZJ1059" s="989"/>
      <c r="NZK1059" s="989"/>
      <c r="NZL1059" s="989"/>
      <c r="NZM1059" s="989"/>
      <c r="NZN1059" s="989"/>
      <c r="NZO1059" s="989"/>
      <c r="NZP1059" s="989"/>
      <c r="NZQ1059" s="989"/>
      <c r="NZR1059" s="989"/>
      <c r="NZS1059" s="989"/>
      <c r="NZT1059" s="989"/>
      <c r="NZU1059" s="989"/>
      <c r="NZV1059" s="989"/>
      <c r="NZW1059" s="989"/>
      <c r="NZX1059" s="989"/>
      <c r="NZY1059" s="989"/>
      <c r="NZZ1059" s="989"/>
      <c r="OAA1059" s="989"/>
      <c r="OAB1059" s="989"/>
      <c r="OAC1059" s="989"/>
      <c r="OAD1059" s="989"/>
      <c r="OAE1059" s="989"/>
      <c r="OAF1059" s="989"/>
      <c r="OAG1059" s="989"/>
      <c r="OAH1059" s="989"/>
      <c r="OAI1059" s="989"/>
      <c r="OAJ1059" s="989"/>
      <c r="OAK1059" s="989"/>
      <c r="OAL1059" s="989"/>
      <c r="OAM1059" s="989"/>
      <c r="OAN1059" s="989"/>
      <c r="OAO1059" s="989"/>
      <c r="OAP1059" s="989"/>
      <c r="OAQ1059" s="989"/>
      <c r="OAR1059" s="989"/>
      <c r="OAS1059" s="989"/>
      <c r="OAT1059" s="989"/>
      <c r="OAU1059" s="989"/>
      <c r="OAV1059" s="989"/>
      <c r="OAW1059" s="989"/>
      <c r="OAX1059" s="989"/>
      <c r="OAY1059" s="989"/>
      <c r="OAZ1059" s="989"/>
      <c r="OBA1059" s="989"/>
      <c r="OBB1059" s="989"/>
      <c r="OBC1059" s="989"/>
      <c r="OBD1059" s="989"/>
      <c r="OBE1059" s="989"/>
      <c r="OBF1059" s="989"/>
      <c r="OBG1059" s="989"/>
      <c r="OBH1059" s="989"/>
      <c r="OBI1059" s="989"/>
      <c r="OBJ1059" s="989"/>
      <c r="OBK1059" s="989"/>
      <c r="OBL1059" s="989"/>
      <c r="OBM1059" s="989"/>
      <c r="OBN1059" s="989"/>
      <c r="OBO1059" s="989"/>
      <c r="OBP1059" s="989"/>
      <c r="OBQ1059" s="989"/>
      <c r="OBR1059" s="989"/>
      <c r="OBS1059" s="989"/>
      <c r="OBT1059" s="989"/>
      <c r="OBU1059" s="989"/>
      <c r="OBV1059" s="989"/>
      <c r="OBW1059" s="989"/>
      <c r="OBX1059" s="989"/>
      <c r="OBY1059" s="989"/>
      <c r="OBZ1059" s="989"/>
      <c r="OCA1059" s="989"/>
      <c r="OCB1059" s="989"/>
      <c r="OCC1059" s="989"/>
      <c r="OCD1059" s="989"/>
      <c r="OCE1059" s="989"/>
      <c r="OCF1059" s="989"/>
      <c r="OCG1059" s="989"/>
      <c r="OCH1059" s="989"/>
      <c r="OCI1059" s="989"/>
      <c r="OCJ1059" s="989"/>
      <c r="OCK1059" s="989"/>
      <c r="OCL1059" s="989"/>
      <c r="OCM1059" s="989"/>
      <c r="OCN1059" s="989"/>
      <c r="OCO1059" s="989"/>
      <c r="OCP1059" s="989"/>
      <c r="OCQ1059" s="989"/>
      <c r="OCR1059" s="989"/>
      <c r="OCS1059" s="989"/>
      <c r="OCT1059" s="989"/>
      <c r="OCU1059" s="989"/>
      <c r="OCV1059" s="989"/>
      <c r="OCW1059" s="989"/>
      <c r="OCX1059" s="989"/>
      <c r="OCY1059" s="989"/>
      <c r="OCZ1059" s="989"/>
      <c r="ODA1059" s="989"/>
      <c r="ODB1059" s="989"/>
      <c r="ODC1059" s="989"/>
      <c r="ODD1059" s="989"/>
      <c r="ODE1059" s="989"/>
      <c r="ODF1059" s="989"/>
      <c r="ODG1059" s="989"/>
      <c r="ODH1059" s="989"/>
      <c r="ODI1059" s="989"/>
      <c r="ODJ1059" s="989"/>
      <c r="ODK1059" s="989"/>
      <c r="ODL1059" s="989"/>
      <c r="ODM1059" s="989"/>
      <c r="ODN1059" s="989"/>
      <c r="ODO1059" s="989"/>
      <c r="ODP1059" s="989"/>
      <c r="ODQ1059" s="989"/>
      <c r="ODR1059" s="989"/>
      <c r="ODS1059" s="989"/>
      <c r="ODT1059" s="989"/>
      <c r="ODU1059" s="989"/>
      <c r="ODV1059" s="989"/>
      <c r="ODW1059" s="989"/>
      <c r="ODX1059" s="989"/>
      <c r="ODY1059" s="989"/>
      <c r="ODZ1059" s="989"/>
      <c r="OEA1059" s="989"/>
      <c r="OEB1059" s="989"/>
      <c r="OEC1059" s="989"/>
      <c r="OED1059" s="989"/>
      <c r="OEE1059" s="989"/>
      <c r="OEF1059" s="989"/>
      <c r="OEG1059" s="989"/>
      <c r="OEH1059" s="989"/>
      <c r="OEI1059" s="989"/>
      <c r="OEJ1059" s="989"/>
      <c r="OEK1059" s="989"/>
      <c r="OEL1059" s="989"/>
      <c r="OEM1059" s="989"/>
      <c r="OEN1059" s="989"/>
      <c r="OEO1059" s="989"/>
      <c r="OEP1059" s="989"/>
      <c r="OEQ1059" s="989"/>
      <c r="OER1059" s="989"/>
      <c r="OES1059" s="989"/>
      <c r="OET1059" s="989"/>
      <c r="OEU1059" s="989"/>
      <c r="OEV1059" s="989"/>
      <c r="OEW1059" s="989"/>
      <c r="OEX1059" s="989"/>
      <c r="OEY1059" s="989"/>
      <c r="OEZ1059" s="989"/>
      <c r="OFA1059" s="989"/>
      <c r="OFB1059" s="989"/>
      <c r="OFC1059" s="989"/>
      <c r="OFD1059" s="989"/>
      <c r="OFE1059" s="989"/>
      <c r="OFF1059" s="989"/>
      <c r="OFG1059" s="989"/>
      <c r="OFH1059" s="989"/>
      <c r="OFI1059" s="989"/>
      <c r="OFJ1059" s="989"/>
      <c r="OFK1059" s="989"/>
      <c r="OFL1059" s="989"/>
      <c r="OFM1059" s="989"/>
      <c r="OFN1059" s="989"/>
      <c r="OFO1059" s="989"/>
      <c r="OFP1059" s="989"/>
      <c r="OFQ1059" s="989"/>
      <c r="OFR1059" s="989"/>
      <c r="OFS1059" s="989"/>
      <c r="OFT1059" s="989"/>
      <c r="OFU1059" s="989"/>
      <c r="OFV1059" s="989"/>
      <c r="OFW1059" s="989"/>
      <c r="OFX1059" s="989"/>
      <c r="OFY1059" s="989"/>
      <c r="OFZ1059" s="989"/>
      <c r="OGA1059" s="989"/>
      <c r="OGB1059" s="989"/>
      <c r="OGC1059" s="989"/>
      <c r="OGD1059" s="989"/>
      <c r="OGE1059" s="989"/>
      <c r="OGF1059" s="989"/>
      <c r="OGG1059" s="989"/>
      <c r="OGH1059" s="989"/>
      <c r="OGI1059" s="989"/>
      <c r="OGJ1059" s="989"/>
      <c r="OGK1059" s="989"/>
      <c r="OGL1059" s="989"/>
      <c r="OGM1059" s="989"/>
      <c r="OGN1059" s="989"/>
      <c r="OGO1059" s="989"/>
      <c r="OGP1059" s="989"/>
      <c r="OGQ1059" s="989"/>
      <c r="OGR1059" s="989"/>
      <c r="OGS1059" s="989"/>
      <c r="OGT1059" s="989"/>
      <c r="OGU1059" s="989"/>
      <c r="OGV1059" s="989"/>
      <c r="OGW1059" s="989"/>
      <c r="OGX1059" s="989"/>
      <c r="OGY1059" s="989"/>
      <c r="OGZ1059" s="989"/>
      <c r="OHA1059" s="989"/>
      <c r="OHB1059" s="989"/>
      <c r="OHC1059" s="989"/>
      <c r="OHD1059" s="989"/>
      <c r="OHE1059" s="989"/>
      <c r="OHF1059" s="989"/>
      <c r="OHG1059" s="989"/>
      <c r="OHH1059" s="989"/>
      <c r="OHI1059" s="989"/>
      <c r="OHJ1059" s="989"/>
      <c r="OHK1059" s="989"/>
      <c r="OHL1059" s="989"/>
      <c r="OHM1059" s="989"/>
      <c r="OHN1059" s="989"/>
      <c r="OHO1059" s="989"/>
      <c r="OHP1059" s="989"/>
      <c r="OHQ1059" s="989"/>
      <c r="OHR1059" s="989"/>
      <c r="OHS1059" s="989"/>
      <c r="OHT1059" s="989"/>
      <c r="OHU1059" s="989"/>
      <c r="OHV1059" s="989"/>
      <c r="OHW1059" s="989"/>
      <c r="OHX1059" s="989"/>
      <c r="OHY1059" s="989"/>
      <c r="OHZ1059" s="989"/>
      <c r="OIA1059" s="989"/>
      <c r="OIB1059" s="989"/>
      <c r="OIC1059" s="989"/>
      <c r="OID1059" s="989"/>
      <c r="OIE1059" s="989"/>
      <c r="OIF1059" s="989"/>
      <c r="OIG1059" s="989"/>
      <c r="OIH1059" s="989"/>
      <c r="OII1059" s="989"/>
      <c r="OIJ1059" s="989"/>
      <c r="OIK1059" s="989"/>
      <c r="OIL1059" s="989"/>
      <c r="OIM1059" s="989"/>
      <c r="OIN1059" s="989"/>
      <c r="OIO1059" s="989"/>
      <c r="OIP1059" s="989"/>
      <c r="OIQ1059" s="989"/>
      <c r="OIR1059" s="989"/>
      <c r="OIS1059" s="989"/>
      <c r="OIT1059" s="989"/>
      <c r="OIU1059" s="989"/>
      <c r="OIV1059" s="989"/>
      <c r="OIW1059" s="989"/>
      <c r="OIX1059" s="989"/>
      <c r="OIY1059" s="989"/>
      <c r="OIZ1059" s="989"/>
      <c r="OJA1059" s="989"/>
      <c r="OJB1059" s="989"/>
      <c r="OJC1059" s="989"/>
      <c r="OJD1059" s="989"/>
      <c r="OJE1059" s="989"/>
      <c r="OJF1059" s="989"/>
      <c r="OJG1059" s="989"/>
      <c r="OJH1059" s="989"/>
      <c r="OJI1059" s="989"/>
      <c r="OJJ1059" s="989"/>
      <c r="OJK1059" s="989"/>
      <c r="OJL1059" s="989"/>
      <c r="OJM1059" s="989"/>
      <c r="OJN1059" s="989"/>
      <c r="OJO1059" s="989"/>
      <c r="OJP1059" s="989"/>
      <c r="OJQ1059" s="989"/>
      <c r="OJR1059" s="989"/>
      <c r="OJS1059" s="989"/>
      <c r="OJT1059" s="989"/>
      <c r="OJU1059" s="989"/>
      <c r="OJV1059" s="989"/>
      <c r="OJW1059" s="989"/>
      <c r="OJX1059" s="989"/>
      <c r="OJY1059" s="989"/>
      <c r="OJZ1059" s="989"/>
      <c r="OKA1059" s="989"/>
      <c r="OKB1059" s="989"/>
      <c r="OKC1059" s="989"/>
      <c r="OKD1059" s="989"/>
      <c r="OKE1059" s="989"/>
      <c r="OKF1059" s="989"/>
      <c r="OKG1059" s="989"/>
      <c r="OKH1059" s="989"/>
      <c r="OKI1059" s="989"/>
      <c r="OKJ1059" s="989"/>
      <c r="OKK1059" s="989"/>
      <c r="OKL1059" s="989"/>
      <c r="OKM1059" s="989"/>
      <c r="OKN1059" s="989"/>
      <c r="OKO1059" s="989"/>
      <c r="OKP1059" s="989"/>
      <c r="OKQ1059" s="989"/>
      <c r="OKR1059" s="989"/>
      <c r="OKS1059" s="989"/>
      <c r="OKT1059" s="989"/>
      <c r="OKU1059" s="989"/>
      <c r="OKV1059" s="989"/>
      <c r="OKW1059" s="989"/>
      <c r="OKX1059" s="989"/>
      <c r="OKY1059" s="989"/>
      <c r="OKZ1059" s="989"/>
      <c r="OLA1059" s="989"/>
      <c r="OLB1059" s="989"/>
      <c r="OLC1059" s="989"/>
      <c r="OLD1059" s="989"/>
      <c r="OLE1059" s="989"/>
      <c r="OLF1059" s="989"/>
      <c r="OLG1059" s="989"/>
      <c r="OLH1059" s="989"/>
      <c r="OLI1059" s="989"/>
      <c r="OLJ1059" s="989"/>
      <c r="OLK1059" s="989"/>
      <c r="OLL1059" s="989"/>
      <c r="OLM1059" s="989"/>
      <c r="OLN1059" s="989"/>
      <c r="OLO1059" s="989"/>
      <c r="OLP1059" s="989"/>
      <c r="OLQ1059" s="989"/>
      <c r="OLR1059" s="989"/>
      <c r="OLS1059" s="989"/>
      <c r="OLT1059" s="989"/>
      <c r="OLU1059" s="989"/>
      <c r="OLV1059" s="989"/>
      <c r="OLW1059" s="989"/>
      <c r="OLX1059" s="989"/>
      <c r="OLY1059" s="989"/>
      <c r="OLZ1059" s="989"/>
      <c r="OMA1059" s="989"/>
      <c r="OMB1059" s="989"/>
      <c r="OMC1059" s="989"/>
      <c r="OMD1059" s="989"/>
      <c r="OME1059" s="989"/>
      <c r="OMF1059" s="989"/>
      <c r="OMG1059" s="989"/>
      <c r="OMH1059" s="989"/>
      <c r="OMI1059" s="989"/>
      <c r="OMJ1059" s="989"/>
      <c r="OMK1059" s="989"/>
      <c r="OML1059" s="989"/>
      <c r="OMM1059" s="989"/>
      <c r="OMN1059" s="989"/>
      <c r="OMO1059" s="989"/>
      <c r="OMP1059" s="989"/>
      <c r="OMQ1059" s="989"/>
      <c r="OMR1059" s="989"/>
      <c r="OMS1059" s="989"/>
      <c r="OMT1059" s="989"/>
      <c r="OMU1059" s="989"/>
      <c r="OMV1059" s="989"/>
      <c r="OMW1059" s="989"/>
      <c r="OMX1059" s="989"/>
      <c r="OMY1059" s="989"/>
      <c r="OMZ1059" s="989"/>
      <c r="ONA1059" s="989"/>
      <c r="ONB1059" s="989"/>
      <c r="ONC1059" s="989"/>
      <c r="OND1059" s="989"/>
      <c r="ONE1059" s="989"/>
      <c r="ONF1059" s="989"/>
      <c r="ONG1059" s="989"/>
      <c r="ONH1059" s="989"/>
      <c r="ONI1059" s="989"/>
      <c r="ONJ1059" s="989"/>
      <c r="ONK1059" s="989"/>
      <c r="ONL1059" s="989"/>
      <c r="ONM1059" s="989"/>
      <c r="ONN1059" s="989"/>
      <c r="ONO1059" s="989"/>
      <c r="ONP1059" s="989"/>
      <c r="ONQ1059" s="989"/>
      <c r="ONR1059" s="989"/>
      <c r="ONS1059" s="989"/>
      <c r="ONT1059" s="989"/>
      <c r="ONU1059" s="989"/>
      <c r="ONV1059" s="989"/>
      <c r="ONW1059" s="989"/>
      <c r="ONX1059" s="989"/>
      <c r="ONY1059" s="989"/>
      <c r="ONZ1059" s="989"/>
      <c r="OOA1059" s="989"/>
      <c r="OOB1059" s="989"/>
      <c r="OOC1059" s="989"/>
      <c r="OOD1059" s="989"/>
      <c r="OOE1059" s="989"/>
      <c r="OOF1059" s="989"/>
      <c r="OOG1059" s="989"/>
      <c r="OOH1059" s="989"/>
      <c r="OOI1059" s="989"/>
      <c r="OOJ1059" s="989"/>
      <c r="OOK1059" s="989"/>
      <c r="OOL1059" s="989"/>
      <c r="OOM1059" s="989"/>
      <c r="OON1059" s="989"/>
      <c r="OOO1059" s="989"/>
      <c r="OOP1059" s="989"/>
      <c r="OOQ1059" s="989"/>
      <c r="OOR1059" s="989"/>
      <c r="OOS1059" s="989"/>
      <c r="OOT1059" s="989"/>
      <c r="OOU1059" s="989"/>
      <c r="OOV1059" s="989"/>
      <c r="OOW1059" s="989"/>
      <c r="OOX1059" s="989"/>
      <c r="OOY1059" s="989"/>
      <c r="OOZ1059" s="989"/>
      <c r="OPA1059" s="989"/>
      <c r="OPB1059" s="989"/>
      <c r="OPC1059" s="989"/>
      <c r="OPD1059" s="989"/>
      <c r="OPE1059" s="989"/>
      <c r="OPF1059" s="989"/>
      <c r="OPG1059" s="989"/>
      <c r="OPH1059" s="989"/>
      <c r="OPI1059" s="989"/>
      <c r="OPJ1059" s="989"/>
      <c r="OPK1059" s="989"/>
      <c r="OPL1059" s="989"/>
      <c r="OPM1059" s="989"/>
      <c r="OPN1059" s="989"/>
      <c r="OPO1059" s="989"/>
      <c r="OPP1059" s="989"/>
      <c r="OPQ1059" s="989"/>
      <c r="OPR1059" s="989"/>
      <c r="OPS1059" s="989"/>
      <c r="OPT1059" s="989"/>
      <c r="OPU1059" s="989"/>
      <c r="OPV1059" s="989"/>
      <c r="OPW1059" s="989"/>
      <c r="OPX1059" s="989"/>
      <c r="OPY1059" s="989"/>
      <c r="OPZ1059" s="989"/>
      <c r="OQA1059" s="989"/>
      <c r="OQB1059" s="989"/>
      <c r="OQC1059" s="989"/>
      <c r="OQD1059" s="989"/>
      <c r="OQE1059" s="989"/>
      <c r="OQF1059" s="989"/>
      <c r="OQG1059" s="989"/>
      <c r="OQH1059" s="989"/>
      <c r="OQI1059" s="989"/>
      <c r="OQJ1059" s="989"/>
      <c r="OQK1059" s="989"/>
      <c r="OQL1059" s="989"/>
      <c r="OQM1059" s="989"/>
      <c r="OQN1059" s="989"/>
      <c r="OQO1059" s="989"/>
      <c r="OQP1059" s="989"/>
      <c r="OQQ1059" s="989"/>
      <c r="OQR1059" s="989"/>
      <c r="OQS1059" s="989"/>
      <c r="OQT1059" s="989"/>
      <c r="OQU1059" s="989"/>
      <c r="OQV1059" s="989"/>
      <c r="OQW1059" s="989"/>
      <c r="OQX1059" s="989"/>
      <c r="OQY1059" s="989"/>
      <c r="OQZ1059" s="989"/>
      <c r="ORA1059" s="989"/>
      <c r="ORB1059" s="989"/>
      <c r="ORC1059" s="989"/>
      <c r="ORD1059" s="989"/>
      <c r="ORE1059" s="989"/>
      <c r="ORF1059" s="989"/>
      <c r="ORG1059" s="989"/>
      <c r="ORH1059" s="989"/>
      <c r="ORI1059" s="989"/>
      <c r="ORJ1059" s="989"/>
      <c r="ORK1059" s="989"/>
      <c r="ORL1059" s="989"/>
      <c r="ORM1059" s="989"/>
      <c r="ORN1059" s="989"/>
      <c r="ORO1059" s="989"/>
      <c r="ORP1059" s="989"/>
      <c r="ORQ1059" s="989"/>
      <c r="ORR1059" s="989"/>
      <c r="ORS1059" s="989"/>
      <c r="ORT1059" s="989"/>
      <c r="ORU1059" s="989"/>
      <c r="ORV1059" s="989"/>
      <c r="ORW1059" s="989"/>
      <c r="ORX1059" s="989"/>
      <c r="ORY1059" s="989"/>
      <c r="ORZ1059" s="989"/>
      <c r="OSA1059" s="989"/>
      <c r="OSB1059" s="989"/>
      <c r="OSC1059" s="989"/>
      <c r="OSD1059" s="989"/>
      <c r="OSE1059" s="989"/>
      <c r="OSF1059" s="989"/>
      <c r="OSG1059" s="989"/>
      <c r="OSH1059" s="989"/>
      <c r="OSI1059" s="989"/>
      <c r="OSJ1059" s="989"/>
      <c r="OSK1059" s="989"/>
      <c r="OSL1059" s="989"/>
      <c r="OSM1059" s="989"/>
      <c r="OSN1059" s="989"/>
      <c r="OSO1059" s="989"/>
      <c r="OSP1059" s="989"/>
      <c r="OSQ1059" s="989"/>
      <c r="OSR1059" s="989"/>
      <c r="OSS1059" s="989"/>
      <c r="OST1059" s="989"/>
      <c r="OSU1059" s="989"/>
      <c r="OSV1059" s="989"/>
      <c r="OSW1059" s="989"/>
      <c r="OSX1059" s="989"/>
      <c r="OSY1059" s="989"/>
      <c r="OSZ1059" s="989"/>
      <c r="OTA1059" s="989"/>
      <c r="OTB1059" s="989"/>
      <c r="OTC1059" s="989"/>
      <c r="OTD1059" s="989"/>
      <c r="OTE1059" s="989"/>
      <c r="OTF1059" s="989"/>
      <c r="OTG1059" s="989"/>
      <c r="OTH1059" s="989"/>
      <c r="OTI1059" s="989"/>
      <c r="OTJ1059" s="989"/>
      <c r="OTK1059" s="989"/>
      <c r="OTL1059" s="989"/>
      <c r="OTM1059" s="989"/>
      <c r="OTN1059" s="989"/>
      <c r="OTO1059" s="989"/>
      <c r="OTP1059" s="989"/>
      <c r="OTQ1059" s="989"/>
      <c r="OTR1059" s="989"/>
      <c r="OTS1059" s="989"/>
      <c r="OTT1059" s="989"/>
      <c r="OTU1059" s="989"/>
      <c r="OTV1059" s="989"/>
      <c r="OTW1059" s="989"/>
      <c r="OTX1059" s="989"/>
      <c r="OTY1059" s="989"/>
      <c r="OTZ1059" s="989"/>
      <c r="OUA1059" s="989"/>
      <c r="OUB1059" s="989"/>
      <c r="OUC1059" s="989"/>
      <c r="OUD1059" s="989"/>
      <c r="OUE1059" s="989"/>
      <c r="OUF1059" s="989"/>
      <c r="OUG1059" s="989"/>
      <c r="OUH1059" s="989"/>
      <c r="OUI1059" s="989"/>
      <c r="OUJ1059" s="989"/>
      <c r="OUK1059" s="989"/>
      <c r="OUL1059" s="989"/>
      <c r="OUM1059" s="989"/>
      <c r="OUN1059" s="989"/>
      <c r="OUO1059" s="989"/>
      <c r="OUP1059" s="989"/>
      <c r="OUQ1059" s="989"/>
      <c r="OUR1059" s="989"/>
      <c r="OUS1059" s="989"/>
      <c r="OUT1059" s="989"/>
      <c r="OUU1059" s="989"/>
      <c r="OUV1059" s="989"/>
      <c r="OUW1059" s="989"/>
      <c r="OUX1059" s="989"/>
      <c r="OUY1059" s="989"/>
      <c r="OUZ1059" s="989"/>
      <c r="OVA1059" s="989"/>
      <c r="OVB1059" s="989"/>
      <c r="OVC1059" s="989"/>
      <c r="OVD1059" s="989"/>
      <c r="OVE1059" s="989"/>
      <c r="OVF1059" s="989"/>
      <c r="OVG1059" s="989"/>
      <c r="OVH1059" s="989"/>
      <c r="OVI1059" s="989"/>
      <c r="OVJ1059" s="989"/>
      <c r="OVK1059" s="989"/>
      <c r="OVL1059" s="989"/>
      <c r="OVM1059" s="989"/>
      <c r="OVN1059" s="989"/>
      <c r="OVO1059" s="989"/>
      <c r="OVP1059" s="989"/>
      <c r="OVQ1059" s="989"/>
      <c r="OVR1059" s="989"/>
      <c r="OVS1059" s="989"/>
      <c r="OVT1059" s="989"/>
      <c r="OVU1059" s="989"/>
      <c r="OVV1059" s="989"/>
      <c r="OVW1059" s="989"/>
      <c r="OVX1059" s="989"/>
      <c r="OVY1059" s="989"/>
      <c r="OVZ1059" s="989"/>
      <c r="OWA1059" s="989"/>
      <c r="OWB1059" s="989"/>
      <c r="OWC1059" s="989"/>
      <c r="OWD1059" s="989"/>
      <c r="OWE1059" s="989"/>
      <c r="OWF1059" s="989"/>
      <c r="OWG1059" s="989"/>
      <c r="OWH1059" s="989"/>
      <c r="OWI1059" s="989"/>
      <c r="OWJ1059" s="989"/>
      <c r="OWK1059" s="989"/>
      <c r="OWL1059" s="989"/>
      <c r="OWM1059" s="989"/>
      <c r="OWN1059" s="989"/>
      <c r="OWO1059" s="989"/>
      <c r="OWP1059" s="989"/>
      <c r="OWQ1059" s="989"/>
      <c r="OWR1059" s="989"/>
      <c r="OWS1059" s="989"/>
      <c r="OWT1059" s="989"/>
      <c r="OWU1059" s="989"/>
      <c r="OWV1059" s="989"/>
      <c r="OWW1059" s="989"/>
      <c r="OWX1059" s="989"/>
      <c r="OWY1059" s="989"/>
      <c r="OWZ1059" s="989"/>
      <c r="OXA1059" s="989"/>
      <c r="OXB1059" s="989"/>
      <c r="OXC1059" s="989"/>
      <c r="OXD1059" s="989"/>
      <c r="OXE1059" s="989"/>
      <c r="OXF1059" s="989"/>
      <c r="OXG1059" s="989"/>
      <c r="OXH1059" s="989"/>
      <c r="OXI1059" s="989"/>
      <c r="OXJ1059" s="989"/>
      <c r="OXK1059" s="989"/>
      <c r="OXL1059" s="989"/>
      <c r="OXM1059" s="989"/>
      <c r="OXN1059" s="989"/>
      <c r="OXO1059" s="989"/>
      <c r="OXP1059" s="989"/>
      <c r="OXQ1059" s="989"/>
      <c r="OXR1059" s="989"/>
      <c r="OXS1059" s="989"/>
      <c r="OXT1059" s="989"/>
      <c r="OXU1059" s="989"/>
      <c r="OXV1059" s="989"/>
      <c r="OXW1059" s="989"/>
      <c r="OXX1059" s="989"/>
      <c r="OXY1059" s="989"/>
      <c r="OXZ1059" s="989"/>
      <c r="OYA1059" s="989"/>
      <c r="OYB1059" s="989"/>
      <c r="OYC1059" s="989"/>
      <c r="OYD1059" s="989"/>
      <c r="OYE1059" s="989"/>
      <c r="OYF1059" s="989"/>
      <c r="OYG1059" s="989"/>
      <c r="OYH1059" s="989"/>
      <c r="OYI1059" s="989"/>
      <c r="OYJ1059" s="989"/>
      <c r="OYK1059" s="989"/>
      <c r="OYL1059" s="989"/>
      <c r="OYM1059" s="989"/>
      <c r="OYN1059" s="989"/>
      <c r="OYO1059" s="989"/>
      <c r="OYP1059" s="989"/>
      <c r="OYQ1059" s="989"/>
      <c r="OYR1059" s="989"/>
      <c r="OYS1059" s="989"/>
      <c r="OYT1059" s="989"/>
      <c r="OYU1059" s="989"/>
      <c r="OYV1059" s="989"/>
      <c r="OYW1059" s="989"/>
      <c r="OYX1059" s="989"/>
      <c r="OYY1059" s="989"/>
      <c r="OYZ1059" s="989"/>
      <c r="OZA1059" s="989"/>
      <c r="OZB1059" s="989"/>
      <c r="OZC1059" s="989"/>
      <c r="OZD1059" s="989"/>
      <c r="OZE1059" s="989"/>
      <c r="OZF1059" s="989"/>
      <c r="OZG1059" s="989"/>
      <c r="OZH1059" s="989"/>
      <c r="OZI1059" s="989"/>
      <c r="OZJ1059" s="989"/>
      <c r="OZK1059" s="989"/>
      <c r="OZL1059" s="989"/>
      <c r="OZM1059" s="989"/>
      <c r="OZN1059" s="989"/>
      <c r="OZO1059" s="989"/>
      <c r="OZP1059" s="989"/>
      <c r="OZQ1059" s="989"/>
      <c r="OZR1059" s="989"/>
      <c r="OZS1059" s="989"/>
      <c r="OZT1059" s="989"/>
      <c r="OZU1059" s="989"/>
      <c r="OZV1059" s="989"/>
      <c r="OZW1059" s="989"/>
      <c r="OZX1059" s="989"/>
      <c r="OZY1059" s="989"/>
      <c r="OZZ1059" s="989"/>
      <c r="PAA1059" s="989"/>
      <c r="PAB1059" s="989"/>
      <c r="PAC1059" s="989"/>
      <c r="PAD1059" s="989"/>
      <c r="PAE1059" s="989"/>
      <c r="PAF1059" s="989"/>
      <c r="PAG1059" s="989"/>
      <c r="PAH1059" s="989"/>
      <c r="PAI1059" s="989"/>
      <c r="PAJ1059" s="989"/>
      <c r="PAK1059" s="989"/>
      <c r="PAL1059" s="989"/>
      <c r="PAM1059" s="989"/>
      <c r="PAN1059" s="989"/>
      <c r="PAO1059" s="989"/>
      <c r="PAP1059" s="989"/>
      <c r="PAQ1059" s="989"/>
      <c r="PAR1059" s="989"/>
      <c r="PAS1059" s="989"/>
      <c r="PAT1059" s="989"/>
      <c r="PAU1059" s="989"/>
      <c r="PAV1059" s="989"/>
      <c r="PAW1059" s="989"/>
      <c r="PAX1059" s="989"/>
      <c r="PAY1059" s="989"/>
      <c r="PAZ1059" s="989"/>
      <c r="PBA1059" s="989"/>
      <c r="PBB1059" s="989"/>
      <c r="PBC1059" s="989"/>
      <c r="PBD1059" s="989"/>
      <c r="PBE1059" s="989"/>
      <c r="PBF1059" s="989"/>
      <c r="PBG1059" s="989"/>
      <c r="PBH1059" s="989"/>
      <c r="PBI1059" s="989"/>
      <c r="PBJ1059" s="989"/>
      <c r="PBK1059" s="989"/>
      <c r="PBL1059" s="989"/>
      <c r="PBM1059" s="989"/>
      <c r="PBN1059" s="989"/>
      <c r="PBO1059" s="989"/>
      <c r="PBP1059" s="989"/>
      <c r="PBQ1059" s="989"/>
      <c r="PBR1059" s="989"/>
      <c r="PBS1059" s="989"/>
      <c r="PBT1059" s="989"/>
      <c r="PBU1059" s="989"/>
      <c r="PBV1059" s="989"/>
      <c r="PBW1059" s="989"/>
      <c r="PBX1059" s="989"/>
      <c r="PBY1059" s="989"/>
      <c r="PBZ1059" s="989"/>
      <c r="PCA1059" s="989"/>
      <c r="PCB1059" s="989"/>
      <c r="PCC1059" s="989"/>
      <c r="PCD1059" s="989"/>
      <c r="PCE1059" s="989"/>
      <c r="PCF1059" s="989"/>
      <c r="PCG1059" s="989"/>
      <c r="PCH1059" s="989"/>
      <c r="PCI1059" s="989"/>
      <c r="PCJ1059" s="989"/>
      <c r="PCK1059" s="989"/>
      <c r="PCL1059" s="989"/>
      <c r="PCM1059" s="989"/>
      <c r="PCN1059" s="989"/>
      <c r="PCO1059" s="989"/>
      <c r="PCP1059" s="989"/>
      <c r="PCQ1059" s="989"/>
      <c r="PCR1059" s="989"/>
      <c r="PCS1059" s="989"/>
      <c r="PCT1059" s="989"/>
      <c r="PCU1059" s="989"/>
      <c r="PCV1059" s="989"/>
      <c r="PCW1059" s="989"/>
      <c r="PCX1059" s="989"/>
      <c r="PCY1059" s="989"/>
      <c r="PCZ1059" s="989"/>
      <c r="PDA1059" s="989"/>
      <c r="PDB1059" s="989"/>
      <c r="PDC1059" s="989"/>
      <c r="PDD1059" s="989"/>
      <c r="PDE1059" s="989"/>
      <c r="PDF1059" s="989"/>
      <c r="PDG1059" s="989"/>
      <c r="PDH1059" s="989"/>
      <c r="PDI1059" s="989"/>
      <c r="PDJ1059" s="989"/>
      <c r="PDK1059" s="989"/>
      <c r="PDL1059" s="989"/>
      <c r="PDM1059" s="989"/>
      <c r="PDN1059" s="989"/>
      <c r="PDO1059" s="989"/>
      <c r="PDP1059" s="989"/>
      <c r="PDQ1059" s="989"/>
      <c r="PDR1059" s="989"/>
      <c r="PDS1059" s="989"/>
      <c r="PDT1059" s="989"/>
      <c r="PDU1059" s="989"/>
      <c r="PDV1059" s="989"/>
      <c r="PDW1059" s="989"/>
      <c r="PDX1059" s="989"/>
      <c r="PDY1059" s="989"/>
      <c r="PDZ1059" s="989"/>
      <c r="PEA1059" s="989"/>
      <c r="PEB1059" s="989"/>
      <c r="PEC1059" s="989"/>
      <c r="PED1059" s="989"/>
      <c r="PEE1059" s="989"/>
      <c r="PEF1059" s="989"/>
      <c r="PEG1059" s="989"/>
      <c r="PEH1059" s="989"/>
      <c r="PEI1059" s="989"/>
      <c r="PEJ1059" s="989"/>
      <c r="PEK1059" s="989"/>
      <c r="PEL1059" s="989"/>
      <c r="PEM1059" s="989"/>
      <c r="PEN1059" s="989"/>
      <c r="PEO1059" s="989"/>
      <c r="PEP1059" s="989"/>
      <c r="PEQ1059" s="989"/>
      <c r="PER1059" s="989"/>
      <c r="PES1059" s="989"/>
      <c r="PET1059" s="989"/>
      <c r="PEU1059" s="989"/>
      <c r="PEV1059" s="989"/>
      <c r="PEW1059" s="989"/>
      <c r="PEX1059" s="989"/>
      <c r="PEY1059" s="989"/>
      <c r="PEZ1059" s="989"/>
      <c r="PFA1059" s="989"/>
      <c r="PFB1059" s="989"/>
      <c r="PFC1059" s="989"/>
      <c r="PFD1059" s="989"/>
      <c r="PFE1059" s="989"/>
      <c r="PFF1059" s="989"/>
      <c r="PFG1059" s="989"/>
      <c r="PFH1059" s="989"/>
      <c r="PFI1059" s="989"/>
      <c r="PFJ1059" s="989"/>
      <c r="PFK1059" s="989"/>
      <c r="PFL1059" s="989"/>
      <c r="PFM1059" s="989"/>
      <c r="PFN1059" s="989"/>
      <c r="PFO1059" s="989"/>
      <c r="PFP1059" s="989"/>
      <c r="PFQ1059" s="989"/>
      <c r="PFR1059" s="989"/>
      <c r="PFS1059" s="989"/>
      <c r="PFT1059" s="989"/>
      <c r="PFU1059" s="989"/>
      <c r="PFV1059" s="989"/>
      <c r="PFW1059" s="989"/>
      <c r="PFX1059" s="989"/>
      <c r="PFY1059" s="989"/>
      <c r="PFZ1059" s="989"/>
      <c r="PGA1059" s="989"/>
      <c r="PGB1059" s="989"/>
      <c r="PGC1059" s="989"/>
      <c r="PGD1059" s="989"/>
      <c r="PGE1059" s="989"/>
      <c r="PGF1059" s="989"/>
      <c r="PGG1059" s="989"/>
      <c r="PGH1059" s="989"/>
      <c r="PGI1059" s="989"/>
      <c r="PGJ1059" s="989"/>
      <c r="PGK1059" s="989"/>
      <c r="PGL1059" s="989"/>
      <c r="PGM1059" s="989"/>
      <c r="PGN1059" s="989"/>
      <c r="PGO1059" s="989"/>
      <c r="PGP1059" s="989"/>
      <c r="PGQ1059" s="989"/>
      <c r="PGR1059" s="989"/>
      <c r="PGS1059" s="989"/>
      <c r="PGT1059" s="989"/>
      <c r="PGU1059" s="989"/>
      <c r="PGV1059" s="989"/>
      <c r="PGW1059" s="989"/>
      <c r="PGX1059" s="989"/>
      <c r="PGY1059" s="989"/>
      <c r="PGZ1059" s="989"/>
      <c r="PHA1059" s="989"/>
      <c r="PHB1059" s="989"/>
      <c r="PHC1059" s="989"/>
      <c r="PHD1059" s="989"/>
      <c r="PHE1059" s="989"/>
      <c r="PHF1059" s="989"/>
      <c r="PHG1059" s="989"/>
      <c r="PHH1059" s="989"/>
      <c r="PHI1059" s="989"/>
      <c r="PHJ1059" s="989"/>
      <c r="PHK1059" s="989"/>
      <c r="PHL1059" s="989"/>
      <c r="PHM1059" s="989"/>
      <c r="PHN1059" s="989"/>
      <c r="PHO1059" s="989"/>
      <c r="PHP1059" s="989"/>
      <c r="PHQ1059" s="989"/>
      <c r="PHR1059" s="989"/>
      <c r="PHS1059" s="989"/>
      <c r="PHT1059" s="989"/>
      <c r="PHU1059" s="989"/>
      <c r="PHV1059" s="989"/>
      <c r="PHW1059" s="989"/>
      <c r="PHX1059" s="989"/>
      <c r="PHY1059" s="989"/>
      <c r="PHZ1059" s="989"/>
      <c r="PIA1059" s="989"/>
      <c r="PIB1059" s="989"/>
      <c r="PIC1059" s="989"/>
      <c r="PID1059" s="989"/>
      <c r="PIE1059" s="989"/>
      <c r="PIF1059" s="989"/>
      <c r="PIG1059" s="989"/>
      <c r="PIH1059" s="989"/>
      <c r="PII1059" s="989"/>
      <c r="PIJ1059" s="989"/>
      <c r="PIK1059" s="989"/>
      <c r="PIL1059" s="989"/>
      <c r="PIM1059" s="989"/>
      <c r="PIN1059" s="989"/>
      <c r="PIO1059" s="989"/>
      <c r="PIP1059" s="989"/>
      <c r="PIQ1059" s="989"/>
      <c r="PIR1059" s="989"/>
      <c r="PIS1059" s="989"/>
      <c r="PIT1059" s="989"/>
      <c r="PIU1059" s="989"/>
      <c r="PIV1059" s="989"/>
      <c r="PIW1059" s="989"/>
      <c r="PIX1059" s="989"/>
      <c r="PIY1059" s="989"/>
      <c r="PIZ1059" s="989"/>
      <c r="PJA1059" s="989"/>
      <c r="PJB1059" s="989"/>
      <c r="PJC1059" s="989"/>
      <c r="PJD1059" s="989"/>
      <c r="PJE1059" s="989"/>
      <c r="PJF1059" s="989"/>
      <c r="PJG1059" s="989"/>
      <c r="PJH1059" s="989"/>
      <c r="PJI1059" s="989"/>
      <c r="PJJ1059" s="989"/>
      <c r="PJK1059" s="989"/>
      <c r="PJL1059" s="989"/>
      <c r="PJM1059" s="989"/>
      <c r="PJN1059" s="989"/>
      <c r="PJO1059" s="989"/>
      <c r="PJP1059" s="989"/>
      <c r="PJQ1059" s="989"/>
      <c r="PJR1059" s="989"/>
      <c r="PJS1059" s="989"/>
      <c r="PJT1059" s="989"/>
      <c r="PJU1059" s="989"/>
      <c r="PJV1059" s="989"/>
      <c r="PJW1059" s="989"/>
      <c r="PJX1059" s="989"/>
      <c r="PJY1059" s="989"/>
      <c r="PJZ1059" s="989"/>
      <c r="PKA1059" s="989"/>
      <c r="PKB1059" s="989"/>
      <c r="PKC1059" s="989"/>
      <c r="PKD1059" s="989"/>
      <c r="PKE1059" s="989"/>
      <c r="PKF1059" s="989"/>
      <c r="PKG1059" s="989"/>
      <c r="PKH1059" s="989"/>
      <c r="PKI1059" s="989"/>
      <c r="PKJ1059" s="989"/>
      <c r="PKK1059" s="989"/>
      <c r="PKL1059" s="989"/>
      <c r="PKM1059" s="989"/>
      <c r="PKN1059" s="989"/>
      <c r="PKO1059" s="989"/>
      <c r="PKP1059" s="989"/>
      <c r="PKQ1059" s="989"/>
      <c r="PKR1059" s="989"/>
      <c r="PKS1059" s="989"/>
      <c r="PKT1059" s="989"/>
      <c r="PKU1059" s="989"/>
      <c r="PKV1059" s="989"/>
      <c r="PKW1059" s="989"/>
      <c r="PKX1059" s="989"/>
      <c r="PKY1059" s="989"/>
      <c r="PKZ1059" s="989"/>
      <c r="PLA1059" s="989"/>
      <c r="PLB1059" s="989"/>
      <c r="PLC1059" s="989"/>
      <c r="PLD1059" s="989"/>
      <c r="PLE1059" s="989"/>
      <c r="PLF1059" s="989"/>
      <c r="PLG1059" s="989"/>
      <c r="PLH1059" s="989"/>
      <c r="PLI1059" s="989"/>
      <c r="PLJ1059" s="989"/>
      <c r="PLK1059" s="989"/>
      <c r="PLL1059" s="989"/>
      <c r="PLM1059" s="989"/>
      <c r="PLN1059" s="989"/>
      <c r="PLO1059" s="989"/>
      <c r="PLP1059" s="989"/>
      <c r="PLQ1059" s="989"/>
      <c r="PLR1059" s="989"/>
      <c r="PLS1059" s="989"/>
      <c r="PLT1059" s="989"/>
      <c r="PLU1059" s="989"/>
      <c r="PLV1059" s="989"/>
      <c r="PLW1059" s="989"/>
      <c r="PLX1059" s="989"/>
      <c r="PLY1059" s="989"/>
      <c r="PLZ1059" s="989"/>
      <c r="PMA1059" s="989"/>
      <c r="PMB1059" s="989"/>
      <c r="PMC1059" s="989"/>
      <c r="PMD1059" s="989"/>
      <c r="PME1059" s="989"/>
      <c r="PMF1059" s="989"/>
      <c r="PMG1059" s="989"/>
      <c r="PMH1059" s="989"/>
      <c r="PMI1059" s="989"/>
      <c r="PMJ1059" s="989"/>
      <c r="PMK1059" s="989"/>
      <c r="PML1059" s="989"/>
      <c r="PMM1059" s="989"/>
      <c r="PMN1059" s="989"/>
      <c r="PMO1059" s="989"/>
      <c r="PMP1059" s="989"/>
      <c r="PMQ1059" s="989"/>
      <c r="PMR1059" s="989"/>
      <c r="PMS1059" s="989"/>
      <c r="PMT1059" s="989"/>
      <c r="PMU1059" s="989"/>
      <c r="PMV1059" s="989"/>
      <c r="PMW1059" s="989"/>
      <c r="PMX1059" s="989"/>
      <c r="PMY1059" s="989"/>
      <c r="PMZ1059" s="989"/>
      <c r="PNA1059" s="989"/>
      <c r="PNB1059" s="989"/>
      <c r="PNC1059" s="989"/>
      <c r="PND1059" s="989"/>
      <c r="PNE1059" s="989"/>
      <c r="PNF1059" s="989"/>
      <c r="PNG1059" s="989"/>
      <c r="PNH1059" s="989"/>
      <c r="PNI1059" s="989"/>
      <c r="PNJ1059" s="989"/>
      <c r="PNK1059" s="989"/>
      <c r="PNL1059" s="989"/>
      <c r="PNM1059" s="989"/>
      <c r="PNN1059" s="989"/>
      <c r="PNO1059" s="989"/>
      <c r="PNP1059" s="989"/>
      <c r="PNQ1059" s="989"/>
      <c r="PNR1059" s="989"/>
      <c r="PNS1059" s="989"/>
      <c r="PNT1059" s="989"/>
      <c r="PNU1059" s="989"/>
      <c r="PNV1059" s="989"/>
      <c r="PNW1059" s="989"/>
      <c r="PNX1059" s="989"/>
      <c r="PNY1059" s="989"/>
      <c r="PNZ1059" s="989"/>
      <c r="POA1059" s="989"/>
      <c r="POB1059" s="989"/>
      <c r="POC1059" s="989"/>
      <c r="POD1059" s="989"/>
      <c r="POE1059" s="989"/>
      <c r="POF1059" s="989"/>
      <c r="POG1059" s="989"/>
      <c r="POH1059" s="989"/>
      <c r="POI1059" s="989"/>
      <c r="POJ1059" s="989"/>
      <c r="POK1059" s="989"/>
      <c r="POL1059" s="989"/>
      <c r="POM1059" s="989"/>
      <c r="PON1059" s="989"/>
      <c r="POO1059" s="989"/>
      <c r="POP1059" s="989"/>
      <c r="POQ1059" s="989"/>
      <c r="POR1059" s="989"/>
      <c r="POS1059" s="989"/>
      <c r="POT1059" s="989"/>
      <c r="POU1059" s="989"/>
      <c r="POV1059" s="989"/>
      <c r="POW1059" s="989"/>
      <c r="POX1059" s="989"/>
      <c r="POY1059" s="989"/>
      <c r="POZ1059" s="989"/>
      <c r="PPA1059" s="989"/>
      <c r="PPB1059" s="989"/>
      <c r="PPC1059" s="989"/>
      <c r="PPD1059" s="989"/>
      <c r="PPE1059" s="989"/>
      <c r="PPF1059" s="989"/>
      <c r="PPG1059" s="989"/>
      <c r="PPH1059" s="989"/>
      <c r="PPI1059" s="989"/>
      <c r="PPJ1059" s="989"/>
      <c r="PPK1059" s="989"/>
      <c r="PPL1059" s="989"/>
      <c r="PPM1059" s="989"/>
      <c r="PPN1059" s="989"/>
      <c r="PPO1059" s="989"/>
      <c r="PPP1059" s="989"/>
      <c r="PPQ1059" s="989"/>
      <c r="PPR1059" s="989"/>
      <c r="PPS1059" s="989"/>
      <c r="PPT1059" s="989"/>
      <c r="PPU1059" s="989"/>
      <c r="PPV1059" s="989"/>
      <c r="PPW1059" s="989"/>
      <c r="PPX1059" s="989"/>
      <c r="PPY1059" s="989"/>
      <c r="PPZ1059" s="989"/>
      <c r="PQA1059" s="989"/>
      <c r="PQB1059" s="989"/>
      <c r="PQC1059" s="989"/>
      <c r="PQD1059" s="989"/>
      <c r="PQE1059" s="989"/>
      <c r="PQF1059" s="989"/>
      <c r="PQG1059" s="989"/>
      <c r="PQH1059" s="989"/>
      <c r="PQI1059" s="989"/>
      <c r="PQJ1059" s="989"/>
      <c r="PQK1059" s="989"/>
      <c r="PQL1059" s="989"/>
      <c r="PQM1059" s="989"/>
      <c r="PQN1059" s="989"/>
      <c r="PQO1059" s="989"/>
      <c r="PQP1059" s="989"/>
      <c r="PQQ1059" s="989"/>
      <c r="PQR1059" s="989"/>
      <c r="PQS1059" s="989"/>
      <c r="PQT1059" s="989"/>
      <c r="PQU1059" s="989"/>
      <c r="PQV1059" s="989"/>
      <c r="PQW1059" s="989"/>
      <c r="PQX1059" s="989"/>
      <c r="PQY1059" s="989"/>
      <c r="PQZ1059" s="989"/>
      <c r="PRA1059" s="989"/>
      <c r="PRB1059" s="989"/>
      <c r="PRC1059" s="989"/>
      <c r="PRD1059" s="989"/>
      <c r="PRE1059" s="989"/>
      <c r="PRF1059" s="989"/>
      <c r="PRG1059" s="989"/>
      <c r="PRH1059" s="989"/>
      <c r="PRI1059" s="989"/>
      <c r="PRJ1059" s="989"/>
      <c r="PRK1059" s="989"/>
      <c r="PRL1059" s="989"/>
      <c r="PRM1059" s="989"/>
      <c r="PRN1059" s="989"/>
      <c r="PRO1059" s="989"/>
      <c r="PRP1059" s="989"/>
      <c r="PRQ1059" s="989"/>
      <c r="PRR1059" s="989"/>
      <c r="PRS1059" s="989"/>
      <c r="PRT1059" s="989"/>
      <c r="PRU1059" s="989"/>
      <c r="PRV1059" s="989"/>
      <c r="PRW1059" s="989"/>
      <c r="PRX1059" s="989"/>
      <c r="PRY1059" s="989"/>
      <c r="PRZ1059" s="989"/>
      <c r="PSA1059" s="989"/>
      <c r="PSB1059" s="989"/>
      <c r="PSC1059" s="989"/>
      <c r="PSD1059" s="989"/>
      <c r="PSE1059" s="989"/>
      <c r="PSF1059" s="989"/>
      <c r="PSG1059" s="989"/>
      <c r="PSH1059" s="989"/>
      <c r="PSI1059" s="989"/>
      <c r="PSJ1059" s="989"/>
      <c r="PSK1059" s="989"/>
      <c r="PSL1059" s="989"/>
      <c r="PSM1059" s="989"/>
      <c r="PSN1059" s="989"/>
      <c r="PSO1059" s="989"/>
      <c r="PSP1059" s="989"/>
      <c r="PSQ1059" s="989"/>
      <c r="PSR1059" s="989"/>
      <c r="PSS1059" s="989"/>
      <c r="PST1059" s="989"/>
      <c r="PSU1059" s="989"/>
      <c r="PSV1059" s="989"/>
      <c r="PSW1059" s="989"/>
      <c r="PSX1059" s="989"/>
      <c r="PSY1059" s="989"/>
      <c r="PSZ1059" s="989"/>
      <c r="PTA1059" s="989"/>
      <c r="PTB1059" s="989"/>
      <c r="PTC1059" s="989"/>
      <c r="PTD1059" s="989"/>
      <c r="PTE1059" s="989"/>
      <c r="PTF1059" s="989"/>
      <c r="PTG1059" s="989"/>
      <c r="PTH1059" s="989"/>
      <c r="PTI1059" s="989"/>
      <c r="PTJ1059" s="989"/>
      <c r="PTK1059" s="989"/>
      <c r="PTL1059" s="989"/>
      <c r="PTM1059" s="989"/>
      <c r="PTN1059" s="989"/>
      <c r="PTO1059" s="989"/>
      <c r="PTP1059" s="989"/>
      <c r="PTQ1059" s="989"/>
      <c r="PTR1059" s="989"/>
      <c r="PTS1059" s="989"/>
      <c r="PTT1059" s="989"/>
      <c r="PTU1059" s="989"/>
      <c r="PTV1059" s="989"/>
      <c r="PTW1059" s="989"/>
      <c r="PTX1059" s="989"/>
      <c r="PTY1059" s="989"/>
      <c r="PTZ1059" s="989"/>
      <c r="PUA1059" s="989"/>
      <c r="PUB1059" s="989"/>
      <c r="PUC1059" s="989"/>
      <c r="PUD1059" s="989"/>
      <c r="PUE1059" s="989"/>
      <c r="PUF1059" s="989"/>
      <c r="PUG1059" s="989"/>
      <c r="PUH1059" s="989"/>
      <c r="PUI1059" s="989"/>
      <c r="PUJ1059" s="989"/>
      <c r="PUK1059" s="989"/>
      <c r="PUL1059" s="989"/>
      <c r="PUM1059" s="989"/>
      <c r="PUN1059" s="989"/>
      <c r="PUO1059" s="989"/>
      <c r="PUP1059" s="989"/>
      <c r="PUQ1059" s="989"/>
      <c r="PUR1059" s="989"/>
      <c r="PUS1059" s="989"/>
      <c r="PUT1059" s="989"/>
      <c r="PUU1059" s="989"/>
      <c r="PUV1059" s="989"/>
      <c r="PUW1059" s="989"/>
      <c r="PUX1059" s="989"/>
      <c r="PUY1059" s="989"/>
      <c r="PUZ1059" s="989"/>
      <c r="PVA1059" s="989"/>
      <c r="PVB1059" s="989"/>
      <c r="PVC1059" s="989"/>
      <c r="PVD1059" s="989"/>
      <c r="PVE1059" s="989"/>
      <c r="PVF1059" s="989"/>
      <c r="PVG1059" s="989"/>
      <c r="PVH1059" s="989"/>
      <c r="PVI1059" s="989"/>
      <c r="PVJ1059" s="989"/>
      <c r="PVK1059" s="989"/>
      <c r="PVL1059" s="989"/>
      <c r="PVM1059" s="989"/>
      <c r="PVN1059" s="989"/>
      <c r="PVO1059" s="989"/>
      <c r="PVP1059" s="989"/>
      <c r="PVQ1059" s="989"/>
      <c r="PVR1059" s="989"/>
      <c r="PVS1059" s="989"/>
      <c r="PVT1059" s="989"/>
      <c r="PVU1059" s="989"/>
      <c r="PVV1059" s="989"/>
      <c r="PVW1059" s="989"/>
      <c r="PVX1059" s="989"/>
      <c r="PVY1059" s="989"/>
      <c r="PVZ1059" s="989"/>
      <c r="PWA1059" s="989"/>
      <c r="PWB1059" s="989"/>
      <c r="PWC1059" s="989"/>
      <c r="PWD1059" s="989"/>
      <c r="PWE1059" s="989"/>
      <c r="PWF1059" s="989"/>
      <c r="PWG1059" s="989"/>
      <c r="PWH1059" s="989"/>
      <c r="PWI1059" s="989"/>
      <c r="PWJ1059" s="989"/>
      <c r="PWK1059" s="989"/>
      <c r="PWL1059" s="989"/>
      <c r="PWM1059" s="989"/>
      <c r="PWN1059" s="989"/>
      <c r="PWO1059" s="989"/>
      <c r="PWP1059" s="989"/>
      <c r="PWQ1059" s="989"/>
      <c r="PWR1059" s="989"/>
      <c r="PWS1059" s="989"/>
      <c r="PWT1059" s="989"/>
      <c r="PWU1059" s="989"/>
      <c r="PWV1059" s="989"/>
      <c r="PWW1059" s="989"/>
      <c r="PWX1059" s="989"/>
      <c r="PWY1059" s="989"/>
      <c r="PWZ1059" s="989"/>
      <c r="PXA1059" s="989"/>
      <c r="PXB1059" s="989"/>
      <c r="PXC1059" s="989"/>
      <c r="PXD1059" s="989"/>
      <c r="PXE1059" s="989"/>
      <c r="PXF1059" s="989"/>
      <c r="PXG1059" s="989"/>
      <c r="PXH1059" s="989"/>
      <c r="PXI1059" s="989"/>
      <c r="PXJ1059" s="989"/>
      <c r="PXK1059" s="989"/>
      <c r="PXL1059" s="989"/>
      <c r="PXM1059" s="989"/>
      <c r="PXN1059" s="989"/>
      <c r="PXO1059" s="989"/>
      <c r="PXP1059" s="989"/>
      <c r="PXQ1059" s="989"/>
      <c r="PXR1059" s="989"/>
      <c r="PXS1059" s="989"/>
      <c r="PXT1059" s="989"/>
      <c r="PXU1059" s="989"/>
      <c r="PXV1059" s="989"/>
      <c r="PXW1059" s="989"/>
      <c r="PXX1059" s="989"/>
      <c r="PXY1059" s="989"/>
      <c r="PXZ1059" s="989"/>
      <c r="PYA1059" s="989"/>
      <c r="PYB1059" s="989"/>
      <c r="PYC1059" s="989"/>
      <c r="PYD1059" s="989"/>
      <c r="PYE1059" s="989"/>
      <c r="PYF1059" s="989"/>
      <c r="PYG1059" s="989"/>
      <c r="PYH1059" s="989"/>
      <c r="PYI1059" s="989"/>
      <c r="PYJ1059" s="989"/>
      <c r="PYK1059" s="989"/>
      <c r="PYL1059" s="989"/>
      <c r="PYM1059" s="989"/>
      <c r="PYN1059" s="989"/>
      <c r="PYO1059" s="989"/>
      <c r="PYP1059" s="989"/>
      <c r="PYQ1059" s="989"/>
      <c r="PYR1059" s="989"/>
      <c r="PYS1059" s="989"/>
      <c r="PYT1059" s="989"/>
      <c r="PYU1059" s="989"/>
      <c r="PYV1059" s="989"/>
      <c r="PYW1059" s="989"/>
      <c r="PYX1059" s="989"/>
      <c r="PYY1059" s="989"/>
      <c r="PYZ1059" s="989"/>
      <c r="PZA1059" s="989"/>
      <c r="PZB1059" s="989"/>
      <c r="PZC1059" s="989"/>
      <c r="PZD1059" s="989"/>
      <c r="PZE1059" s="989"/>
      <c r="PZF1059" s="989"/>
      <c r="PZG1059" s="989"/>
      <c r="PZH1059" s="989"/>
      <c r="PZI1059" s="989"/>
      <c r="PZJ1059" s="989"/>
      <c r="PZK1059" s="989"/>
      <c r="PZL1059" s="989"/>
      <c r="PZM1059" s="989"/>
      <c r="PZN1059" s="989"/>
      <c r="PZO1059" s="989"/>
      <c r="PZP1059" s="989"/>
      <c r="PZQ1059" s="989"/>
      <c r="PZR1059" s="989"/>
      <c r="PZS1059" s="989"/>
      <c r="PZT1059" s="989"/>
      <c r="PZU1059" s="989"/>
      <c r="PZV1059" s="989"/>
      <c r="PZW1059" s="989"/>
      <c r="PZX1059" s="989"/>
      <c r="PZY1059" s="989"/>
      <c r="PZZ1059" s="989"/>
      <c r="QAA1059" s="989"/>
      <c r="QAB1059" s="989"/>
      <c r="QAC1059" s="989"/>
      <c r="QAD1059" s="989"/>
      <c r="QAE1059" s="989"/>
      <c r="QAF1059" s="989"/>
      <c r="QAG1059" s="989"/>
      <c r="QAH1059" s="989"/>
      <c r="QAI1059" s="989"/>
      <c r="QAJ1059" s="989"/>
      <c r="QAK1059" s="989"/>
      <c r="QAL1059" s="989"/>
      <c r="QAM1059" s="989"/>
      <c r="QAN1059" s="989"/>
      <c r="QAO1059" s="989"/>
      <c r="QAP1059" s="989"/>
      <c r="QAQ1059" s="989"/>
      <c r="QAR1059" s="989"/>
      <c r="QAS1059" s="989"/>
      <c r="QAT1059" s="989"/>
      <c r="QAU1059" s="989"/>
      <c r="QAV1059" s="989"/>
      <c r="QAW1059" s="989"/>
      <c r="QAX1059" s="989"/>
      <c r="QAY1059" s="989"/>
      <c r="QAZ1059" s="989"/>
      <c r="QBA1059" s="989"/>
      <c r="QBB1059" s="989"/>
      <c r="QBC1059" s="989"/>
      <c r="QBD1059" s="989"/>
      <c r="QBE1059" s="989"/>
      <c r="QBF1059" s="989"/>
      <c r="QBG1059" s="989"/>
      <c r="QBH1059" s="989"/>
      <c r="QBI1059" s="989"/>
      <c r="QBJ1059" s="989"/>
      <c r="QBK1059" s="989"/>
      <c r="QBL1059" s="989"/>
      <c r="QBM1059" s="989"/>
      <c r="QBN1059" s="989"/>
      <c r="QBO1059" s="989"/>
      <c r="QBP1059" s="989"/>
      <c r="QBQ1059" s="989"/>
      <c r="QBR1059" s="989"/>
      <c r="QBS1059" s="989"/>
      <c r="QBT1059" s="989"/>
      <c r="QBU1059" s="989"/>
      <c r="QBV1059" s="989"/>
      <c r="QBW1059" s="989"/>
      <c r="QBX1059" s="989"/>
      <c r="QBY1059" s="989"/>
      <c r="QBZ1059" s="989"/>
      <c r="QCA1059" s="989"/>
      <c r="QCB1059" s="989"/>
      <c r="QCC1059" s="989"/>
      <c r="QCD1059" s="989"/>
      <c r="QCE1059" s="989"/>
      <c r="QCF1059" s="989"/>
      <c r="QCG1059" s="989"/>
      <c r="QCH1059" s="989"/>
      <c r="QCI1059" s="989"/>
      <c r="QCJ1059" s="989"/>
      <c r="QCK1059" s="989"/>
      <c r="QCL1059" s="989"/>
      <c r="QCM1059" s="989"/>
      <c r="QCN1059" s="989"/>
      <c r="QCO1059" s="989"/>
      <c r="QCP1059" s="989"/>
      <c r="QCQ1059" s="989"/>
      <c r="QCR1059" s="989"/>
      <c r="QCS1059" s="989"/>
      <c r="QCT1059" s="989"/>
      <c r="QCU1059" s="989"/>
      <c r="QCV1059" s="989"/>
      <c r="QCW1059" s="989"/>
      <c r="QCX1059" s="989"/>
      <c r="QCY1059" s="989"/>
      <c r="QCZ1059" s="989"/>
      <c r="QDA1059" s="989"/>
      <c r="QDB1059" s="989"/>
      <c r="QDC1059" s="989"/>
      <c r="QDD1059" s="989"/>
      <c r="QDE1059" s="989"/>
      <c r="QDF1059" s="989"/>
      <c r="QDG1059" s="989"/>
      <c r="QDH1059" s="989"/>
      <c r="QDI1059" s="989"/>
      <c r="QDJ1059" s="989"/>
      <c r="QDK1059" s="989"/>
      <c r="QDL1059" s="989"/>
      <c r="QDM1059" s="989"/>
      <c r="QDN1059" s="989"/>
      <c r="QDO1059" s="989"/>
      <c r="QDP1059" s="989"/>
      <c r="QDQ1059" s="989"/>
      <c r="QDR1059" s="989"/>
      <c r="QDS1059" s="989"/>
      <c r="QDT1059" s="989"/>
      <c r="QDU1059" s="989"/>
      <c r="QDV1059" s="989"/>
      <c r="QDW1059" s="989"/>
      <c r="QDX1059" s="989"/>
      <c r="QDY1059" s="989"/>
      <c r="QDZ1059" s="989"/>
      <c r="QEA1059" s="989"/>
      <c r="QEB1059" s="989"/>
      <c r="QEC1059" s="989"/>
      <c r="QED1059" s="989"/>
      <c r="QEE1059" s="989"/>
      <c r="QEF1059" s="989"/>
      <c r="QEG1059" s="989"/>
      <c r="QEH1059" s="989"/>
      <c r="QEI1059" s="989"/>
      <c r="QEJ1059" s="989"/>
      <c r="QEK1059" s="989"/>
      <c r="QEL1059" s="989"/>
      <c r="QEM1059" s="989"/>
      <c r="QEN1059" s="989"/>
      <c r="QEO1059" s="989"/>
      <c r="QEP1059" s="989"/>
      <c r="QEQ1059" s="989"/>
      <c r="QER1059" s="989"/>
      <c r="QES1059" s="989"/>
      <c r="QET1059" s="989"/>
      <c r="QEU1059" s="989"/>
      <c r="QEV1059" s="989"/>
      <c r="QEW1059" s="989"/>
      <c r="QEX1059" s="989"/>
      <c r="QEY1059" s="989"/>
      <c r="QEZ1059" s="989"/>
      <c r="QFA1059" s="989"/>
      <c r="QFB1059" s="989"/>
      <c r="QFC1059" s="989"/>
      <c r="QFD1059" s="989"/>
      <c r="QFE1059" s="989"/>
      <c r="QFF1059" s="989"/>
      <c r="QFG1059" s="989"/>
      <c r="QFH1059" s="989"/>
      <c r="QFI1059" s="989"/>
      <c r="QFJ1059" s="989"/>
      <c r="QFK1059" s="989"/>
      <c r="QFL1059" s="989"/>
      <c r="QFM1059" s="989"/>
      <c r="QFN1059" s="989"/>
      <c r="QFO1059" s="989"/>
      <c r="QFP1059" s="989"/>
      <c r="QFQ1059" s="989"/>
      <c r="QFR1059" s="989"/>
      <c r="QFS1059" s="989"/>
      <c r="QFT1059" s="989"/>
      <c r="QFU1059" s="989"/>
      <c r="QFV1059" s="989"/>
      <c r="QFW1059" s="989"/>
      <c r="QFX1059" s="989"/>
      <c r="QFY1059" s="989"/>
      <c r="QFZ1059" s="989"/>
      <c r="QGA1059" s="989"/>
      <c r="QGB1059" s="989"/>
      <c r="QGC1059" s="989"/>
      <c r="QGD1059" s="989"/>
      <c r="QGE1059" s="989"/>
      <c r="QGF1059" s="989"/>
      <c r="QGG1059" s="989"/>
      <c r="QGH1059" s="989"/>
      <c r="QGI1059" s="989"/>
      <c r="QGJ1059" s="989"/>
      <c r="QGK1059" s="989"/>
      <c r="QGL1059" s="989"/>
      <c r="QGM1059" s="989"/>
      <c r="QGN1059" s="989"/>
      <c r="QGO1059" s="989"/>
      <c r="QGP1059" s="989"/>
      <c r="QGQ1059" s="989"/>
      <c r="QGR1059" s="989"/>
      <c r="QGS1059" s="989"/>
      <c r="QGT1059" s="989"/>
      <c r="QGU1059" s="989"/>
      <c r="QGV1059" s="989"/>
      <c r="QGW1059" s="989"/>
      <c r="QGX1059" s="989"/>
      <c r="QGY1059" s="989"/>
      <c r="QGZ1059" s="989"/>
      <c r="QHA1059" s="989"/>
      <c r="QHB1059" s="989"/>
      <c r="QHC1059" s="989"/>
      <c r="QHD1059" s="989"/>
      <c r="QHE1059" s="989"/>
      <c r="QHF1059" s="989"/>
      <c r="QHG1059" s="989"/>
      <c r="QHH1059" s="989"/>
      <c r="QHI1059" s="989"/>
      <c r="QHJ1059" s="989"/>
      <c r="QHK1059" s="989"/>
      <c r="QHL1059" s="989"/>
      <c r="QHM1059" s="989"/>
      <c r="QHN1059" s="989"/>
      <c r="QHO1059" s="989"/>
      <c r="QHP1059" s="989"/>
      <c r="QHQ1059" s="989"/>
      <c r="QHR1059" s="989"/>
      <c r="QHS1059" s="989"/>
      <c r="QHT1059" s="989"/>
      <c r="QHU1059" s="989"/>
      <c r="QHV1059" s="989"/>
      <c r="QHW1059" s="989"/>
      <c r="QHX1059" s="989"/>
      <c r="QHY1059" s="989"/>
      <c r="QHZ1059" s="989"/>
      <c r="QIA1059" s="989"/>
      <c r="QIB1059" s="989"/>
      <c r="QIC1059" s="989"/>
      <c r="QID1059" s="989"/>
      <c r="QIE1059" s="989"/>
      <c r="QIF1059" s="989"/>
      <c r="QIG1059" s="989"/>
      <c r="QIH1059" s="989"/>
      <c r="QII1059" s="989"/>
      <c r="QIJ1059" s="989"/>
      <c r="QIK1059" s="989"/>
      <c r="QIL1059" s="989"/>
      <c r="QIM1059" s="989"/>
      <c r="QIN1059" s="989"/>
      <c r="QIO1059" s="989"/>
      <c r="QIP1059" s="989"/>
      <c r="QIQ1059" s="989"/>
      <c r="QIR1059" s="989"/>
      <c r="QIS1059" s="989"/>
      <c r="QIT1059" s="989"/>
      <c r="QIU1059" s="989"/>
      <c r="QIV1059" s="989"/>
      <c r="QIW1059" s="989"/>
      <c r="QIX1059" s="989"/>
      <c r="QIY1059" s="989"/>
      <c r="QIZ1059" s="989"/>
      <c r="QJA1059" s="989"/>
      <c r="QJB1059" s="989"/>
      <c r="QJC1059" s="989"/>
      <c r="QJD1059" s="989"/>
      <c r="QJE1059" s="989"/>
      <c r="QJF1059" s="989"/>
      <c r="QJG1059" s="989"/>
      <c r="QJH1059" s="989"/>
      <c r="QJI1059" s="989"/>
      <c r="QJJ1059" s="989"/>
      <c r="QJK1059" s="989"/>
      <c r="QJL1059" s="989"/>
      <c r="QJM1059" s="989"/>
      <c r="QJN1059" s="989"/>
      <c r="QJO1059" s="989"/>
      <c r="QJP1059" s="989"/>
      <c r="QJQ1059" s="989"/>
      <c r="QJR1059" s="989"/>
      <c r="QJS1059" s="989"/>
      <c r="QJT1059" s="989"/>
      <c r="QJU1059" s="989"/>
      <c r="QJV1059" s="989"/>
      <c r="QJW1059" s="989"/>
      <c r="QJX1059" s="989"/>
      <c r="QJY1059" s="989"/>
      <c r="QJZ1059" s="989"/>
      <c r="QKA1059" s="989"/>
      <c r="QKB1059" s="989"/>
      <c r="QKC1059" s="989"/>
      <c r="QKD1059" s="989"/>
      <c r="QKE1059" s="989"/>
      <c r="QKF1059" s="989"/>
      <c r="QKG1059" s="989"/>
      <c r="QKH1059" s="989"/>
      <c r="QKI1059" s="989"/>
      <c r="QKJ1059" s="989"/>
      <c r="QKK1059" s="989"/>
      <c r="QKL1059" s="989"/>
      <c r="QKM1059" s="989"/>
      <c r="QKN1059" s="989"/>
      <c r="QKO1059" s="989"/>
      <c r="QKP1059" s="989"/>
      <c r="QKQ1059" s="989"/>
      <c r="QKR1059" s="989"/>
      <c r="QKS1059" s="989"/>
      <c r="QKT1059" s="989"/>
      <c r="QKU1059" s="989"/>
      <c r="QKV1059" s="989"/>
      <c r="QKW1059" s="989"/>
      <c r="QKX1059" s="989"/>
      <c r="QKY1059" s="989"/>
      <c r="QKZ1059" s="989"/>
      <c r="QLA1059" s="989"/>
      <c r="QLB1059" s="989"/>
      <c r="QLC1059" s="989"/>
      <c r="QLD1059" s="989"/>
      <c r="QLE1059" s="989"/>
      <c r="QLF1059" s="989"/>
      <c r="QLG1059" s="989"/>
      <c r="QLH1059" s="989"/>
      <c r="QLI1059" s="989"/>
      <c r="QLJ1059" s="989"/>
      <c r="QLK1059" s="989"/>
      <c r="QLL1059" s="989"/>
      <c r="QLM1059" s="989"/>
      <c r="QLN1059" s="989"/>
      <c r="QLO1059" s="989"/>
      <c r="QLP1059" s="989"/>
      <c r="QLQ1059" s="989"/>
      <c r="QLR1059" s="989"/>
      <c r="QLS1059" s="989"/>
      <c r="QLT1059" s="989"/>
      <c r="QLU1059" s="989"/>
      <c r="QLV1059" s="989"/>
      <c r="QLW1059" s="989"/>
      <c r="QLX1059" s="989"/>
      <c r="QLY1059" s="989"/>
      <c r="QLZ1059" s="989"/>
      <c r="QMA1059" s="989"/>
      <c r="QMB1059" s="989"/>
      <c r="QMC1059" s="989"/>
      <c r="QMD1059" s="989"/>
      <c r="QME1059" s="989"/>
      <c r="QMF1059" s="989"/>
      <c r="QMG1059" s="989"/>
      <c r="QMH1059" s="989"/>
      <c r="QMI1059" s="989"/>
      <c r="QMJ1059" s="989"/>
      <c r="QMK1059" s="989"/>
      <c r="QML1059" s="989"/>
      <c r="QMM1059" s="989"/>
      <c r="QMN1059" s="989"/>
      <c r="QMO1059" s="989"/>
      <c r="QMP1059" s="989"/>
      <c r="QMQ1059" s="989"/>
      <c r="QMR1059" s="989"/>
      <c r="QMS1059" s="989"/>
      <c r="QMT1059" s="989"/>
      <c r="QMU1059" s="989"/>
      <c r="QMV1059" s="989"/>
      <c r="QMW1059" s="989"/>
      <c r="QMX1059" s="989"/>
      <c r="QMY1059" s="989"/>
      <c r="QMZ1059" s="989"/>
      <c r="QNA1059" s="989"/>
      <c r="QNB1059" s="989"/>
      <c r="QNC1059" s="989"/>
      <c r="QND1059" s="989"/>
      <c r="QNE1059" s="989"/>
      <c r="QNF1059" s="989"/>
      <c r="QNG1059" s="989"/>
      <c r="QNH1059" s="989"/>
      <c r="QNI1059" s="989"/>
      <c r="QNJ1059" s="989"/>
      <c r="QNK1059" s="989"/>
      <c r="QNL1059" s="989"/>
      <c r="QNM1059" s="989"/>
      <c r="QNN1059" s="989"/>
      <c r="QNO1059" s="989"/>
      <c r="QNP1059" s="989"/>
      <c r="QNQ1059" s="989"/>
      <c r="QNR1059" s="989"/>
      <c r="QNS1059" s="989"/>
      <c r="QNT1059" s="989"/>
      <c r="QNU1059" s="989"/>
      <c r="QNV1059" s="989"/>
      <c r="QNW1059" s="989"/>
      <c r="QNX1059" s="989"/>
      <c r="QNY1059" s="989"/>
      <c r="QNZ1059" s="989"/>
      <c r="QOA1059" s="989"/>
      <c r="QOB1059" s="989"/>
      <c r="QOC1059" s="989"/>
      <c r="QOD1059" s="989"/>
      <c r="QOE1059" s="989"/>
      <c r="QOF1059" s="989"/>
      <c r="QOG1059" s="989"/>
      <c r="QOH1059" s="989"/>
      <c r="QOI1059" s="989"/>
      <c r="QOJ1059" s="989"/>
      <c r="QOK1059" s="989"/>
      <c r="QOL1059" s="989"/>
      <c r="QOM1059" s="989"/>
      <c r="QON1059" s="989"/>
      <c r="QOO1059" s="989"/>
      <c r="QOP1059" s="989"/>
      <c r="QOQ1059" s="989"/>
      <c r="QOR1059" s="989"/>
      <c r="QOS1059" s="989"/>
      <c r="QOT1059" s="989"/>
      <c r="QOU1059" s="989"/>
      <c r="QOV1059" s="989"/>
      <c r="QOW1059" s="989"/>
      <c r="QOX1059" s="989"/>
      <c r="QOY1059" s="989"/>
      <c r="QOZ1059" s="989"/>
      <c r="QPA1059" s="989"/>
      <c r="QPB1059" s="989"/>
      <c r="QPC1059" s="989"/>
      <c r="QPD1059" s="989"/>
      <c r="QPE1059" s="989"/>
      <c r="QPF1059" s="989"/>
      <c r="QPG1059" s="989"/>
      <c r="QPH1059" s="989"/>
      <c r="QPI1059" s="989"/>
      <c r="QPJ1059" s="989"/>
      <c r="QPK1059" s="989"/>
      <c r="QPL1059" s="989"/>
      <c r="QPM1059" s="989"/>
      <c r="QPN1059" s="989"/>
      <c r="QPO1059" s="989"/>
      <c r="QPP1059" s="989"/>
      <c r="QPQ1059" s="989"/>
      <c r="QPR1059" s="989"/>
      <c r="QPS1059" s="989"/>
      <c r="QPT1059" s="989"/>
      <c r="QPU1059" s="989"/>
      <c r="QPV1059" s="989"/>
      <c r="QPW1059" s="989"/>
      <c r="QPX1059" s="989"/>
      <c r="QPY1059" s="989"/>
      <c r="QPZ1059" s="989"/>
      <c r="QQA1059" s="989"/>
      <c r="QQB1059" s="989"/>
      <c r="QQC1059" s="989"/>
      <c r="QQD1059" s="989"/>
      <c r="QQE1059" s="989"/>
      <c r="QQF1059" s="989"/>
      <c r="QQG1059" s="989"/>
      <c r="QQH1059" s="989"/>
      <c r="QQI1059" s="989"/>
      <c r="QQJ1059" s="989"/>
      <c r="QQK1059" s="989"/>
      <c r="QQL1059" s="989"/>
      <c r="QQM1059" s="989"/>
      <c r="QQN1059" s="989"/>
      <c r="QQO1059" s="989"/>
      <c r="QQP1059" s="989"/>
      <c r="QQQ1059" s="989"/>
      <c r="QQR1059" s="989"/>
      <c r="QQS1059" s="989"/>
      <c r="QQT1059" s="989"/>
      <c r="QQU1059" s="989"/>
      <c r="QQV1059" s="989"/>
      <c r="QQW1059" s="989"/>
      <c r="QQX1059" s="989"/>
      <c r="QQY1059" s="989"/>
      <c r="QQZ1059" s="989"/>
      <c r="QRA1059" s="989"/>
      <c r="QRB1059" s="989"/>
      <c r="QRC1059" s="989"/>
      <c r="QRD1059" s="989"/>
      <c r="QRE1059" s="989"/>
      <c r="QRF1059" s="989"/>
      <c r="QRG1059" s="989"/>
      <c r="QRH1059" s="989"/>
      <c r="QRI1059" s="989"/>
      <c r="QRJ1059" s="989"/>
      <c r="QRK1059" s="989"/>
      <c r="QRL1059" s="989"/>
      <c r="QRM1059" s="989"/>
      <c r="QRN1059" s="989"/>
      <c r="QRO1059" s="989"/>
      <c r="QRP1059" s="989"/>
      <c r="QRQ1059" s="989"/>
      <c r="QRR1059" s="989"/>
      <c r="QRS1059" s="989"/>
      <c r="QRT1059" s="989"/>
      <c r="QRU1059" s="989"/>
      <c r="QRV1059" s="989"/>
      <c r="QRW1059" s="989"/>
      <c r="QRX1059" s="989"/>
      <c r="QRY1059" s="989"/>
      <c r="QRZ1059" s="989"/>
      <c r="QSA1059" s="989"/>
      <c r="QSB1059" s="989"/>
      <c r="QSC1059" s="989"/>
      <c r="QSD1059" s="989"/>
      <c r="QSE1059" s="989"/>
      <c r="QSF1059" s="989"/>
      <c r="QSG1059" s="989"/>
      <c r="QSH1059" s="989"/>
      <c r="QSI1059" s="989"/>
      <c r="QSJ1059" s="989"/>
      <c r="QSK1059" s="989"/>
      <c r="QSL1059" s="989"/>
      <c r="QSM1059" s="989"/>
      <c r="QSN1059" s="989"/>
      <c r="QSO1059" s="989"/>
      <c r="QSP1059" s="989"/>
      <c r="QSQ1059" s="989"/>
      <c r="QSR1059" s="989"/>
      <c r="QSS1059" s="989"/>
      <c r="QST1059" s="989"/>
      <c r="QSU1059" s="989"/>
      <c r="QSV1059" s="989"/>
      <c r="QSW1059" s="989"/>
      <c r="QSX1059" s="989"/>
      <c r="QSY1059" s="989"/>
      <c r="QSZ1059" s="989"/>
      <c r="QTA1059" s="989"/>
      <c r="QTB1059" s="989"/>
      <c r="QTC1059" s="989"/>
      <c r="QTD1059" s="989"/>
      <c r="QTE1059" s="989"/>
      <c r="QTF1059" s="989"/>
      <c r="QTG1059" s="989"/>
      <c r="QTH1059" s="989"/>
      <c r="QTI1059" s="989"/>
      <c r="QTJ1059" s="989"/>
      <c r="QTK1059" s="989"/>
      <c r="QTL1059" s="989"/>
      <c r="QTM1059" s="989"/>
      <c r="QTN1059" s="989"/>
      <c r="QTO1059" s="989"/>
      <c r="QTP1059" s="989"/>
      <c r="QTQ1059" s="989"/>
      <c r="QTR1059" s="989"/>
      <c r="QTS1059" s="989"/>
      <c r="QTT1059" s="989"/>
      <c r="QTU1059" s="989"/>
      <c r="QTV1059" s="989"/>
      <c r="QTW1059" s="989"/>
      <c r="QTX1059" s="989"/>
      <c r="QTY1059" s="989"/>
      <c r="QTZ1059" s="989"/>
      <c r="QUA1059" s="989"/>
      <c r="QUB1059" s="989"/>
      <c r="QUC1059" s="989"/>
      <c r="QUD1059" s="989"/>
      <c r="QUE1059" s="989"/>
      <c r="QUF1059" s="989"/>
      <c r="QUG1059" s="989"/>
      <c r="QUH1059" s="989"/>
      <c r="QUI1059" s="989"/>
      <c r="QUJ1059" s="989"/>
      <c r="QUK1059" s="989"/>
      <c r="QUL1059" s="989"/>
      <c r="QUM1059" s="989"/>
      <c r="QUN1059" s="989"/>
      <c r="QUO1059" s="989"/>
      <c r="QUP1059" s="989"/>
      <c r="QUQ1059" s="989"/>
      <c r="QUR1059" s="989"/>
      <c r="QUS1059" s="989"/>
      <c r="QUT1059" s="989"/>
      <c r="QUU1059" s="989"/>
      <c r="QUV1059" s="989"/>
      <c r="QUW1059" s="989"/>
      <c r="QUX1059" s="989"/>
      <c r="QUY1059" s="989"/>
      <c r="QUZ1059" s="989"/>
      <c r="QVA1059" s="989"/>
      <c r="QVB1059" s="989"/>
      <c r="QVC1059" s="989"/>
      <c r="QVD1059" s="989"/>
      <c r="QVE1059" s="989"/>
      <c r="QVF1059" s="989"/>
      <c r="QVG1059" s="989"/>
      <c r="QVH1059" s="989"/>
      <c r="QVI1059" s="989"/>
      <c r="QVJ1059" s="989"/>
      <c r="QVK1059" s="989"/>
      <c r="QVL1059" s="989"/>
      <c r="QVM1059" s="989"/>
      <c r="QVN1059" s="989"/>
      <c r="QVO1059" s="989"/>
      <c r="QVP1059" s="989"/>
      <c r="QVQ1059" s="989"/>
      <c r="QVR1059" s="989"/>
      <c r="QVS1059" s="989"/>
      <c r="QVT1059" s="989"/>
      <c r="QVU1059" s="989"/>
      <c r="QVV1059" s="989"/>
      <c r="QVW1059" s="989"/>
      <c r="QVX1059" s="989"/>
      <c r="QVY1059" s="989"/>
      <c r="QVZ1059" s="989"/>
      <c r="QWA1059" s="989"/>
      <c r="QWB1059" s="989"/>
      <c r="QWC1059" s="989"/>
      <c r="QWD1059" s="989"/>
      <c r="QWE1059" s="989"/>
      <c r="QWF1059" s="989"/>
      <c r="QWG1059" s="989"/>
      <c r="QWH1059" s="989"/>
      <c r="QWI1059" s="989"/>
      <c r="QWJ1059" s="989"/>
      <c r="QWK1059" s="989"/>
      <c r="QWL1059" s="989"/>
      <c r="QWM1059" s="989"/>
      <c r="QWN1059" s="989"/>
      <c r="QWO1059" s="989"/>
      <c r="QWP1059" s="989"/>
      <c r="QWQ1059" s="989"/>
      <c r="QWR1059" s="989"/>
      <c r="QWS1059" s="989"/>
      <c r="QWT1059" s="989"/>
      <c r="QWU1059" s="989"/>
      <c r="QWV1059" s="989"/>
      <c r="QWW1059" s="989"/>
      <c r="QWX1059" s="989"/>
      <c r="QWY1059" s="989"/>
      <c r="QWZ1059" s="989"/>
      <c r="QXA1059" s="989"/>
      <c r="QXB1059" s="989"/>
      <c r="QXC1059" s="989"/>
      <c r="QXD1059" s="989"/>
      <c r="QXE1059" s="989"/>
      <c r="QXF1059" s="989"/>
      <c r="QXG1059" s="989"/>
      <c r="QXH1059" s="989"/>
      <c r="QXI1059" s="989"/>
      <c r="QXJ1059" s="989"/>
      <c r="QXK1059" s="989"/>
      <c r="QXL1059" s="989"/>
      <c r="QXM1059" s="989"/>
      <c r="QXN1059" s="989"/>
      <c r="QXO1059" s="989"/>
      <c r="QXP1059" s="989"/>
      <c r="QXQ1059" s="989"/>
      <c r="QXR1059" s="989"/>
      <c r="QXS1059" s="989"/>
      <c r="QXT1059" s="989"/>
      <c r="QXU1059" s="989"/>
      <c r="QXV1059" s="989"/>
      <c r="QXW1059" s="989"/>
      <c r="QXX1059" s="989"/>
      <c r="QXY1059" s="989"/>
      <c r="QXZ1059" s="989"/>
      <c r="QYA1059" s="989"/>
      <c r="QYB1059" s="989"/>
      <c r="QYC1059" s="989"/>
      <c r="QYD1059" s="989"/>
      <c r="QYE1059" s="989"/>
      <c r="QYF1059" s="989"/>
      <c r="QYG1059" s="989"/>
      <c r="QYH1059" s="989"/>
      <c r="QYI1059" s="989"/>
      <c r="QYJ1059" s="989"/>
      <c r="QYK1059" s="989"/>
      <c r="QYL1059" s="989"/>
      <c r="QYM1059" s="989"/>
      <c r="QYN1059" s="989"/>
      <c r="QYO1059" s="989"/>
      <c r="QYP1059" s="989"/>
      <c r="QYQ1059" s="989"/>
      <c r="QYR1059" s="989"/>
      <c r="QYS1059" s="989"/>
      <c r="QYT1059" s="989"/>
      <c r="QYU1059" s="989"/>
      <c r="QYV1059" s="989"/>
      <c r="QYW1059" s="989"/>
      <c r="QYX1059" s="989"/>
      <c r="QYY1059" s="989"/>
      <c r="QYZ1059" s="989"/>
      <c r="QZA1059" s="989"/>
      <c r="QZB1059" s="989"/>
      <c r="QZC1059" s="989"/>
      <c r="QZD1059" s="989"/>
      <c r="QZE1059" s="989"/>
      <c r="QZF1059" s="989"/>
      <c r="QZG1059" s="989"/>
      <c r="QZH1059" s="989"/>
      <c r="QZI1059" s="989"/>
      <c r="QZJ1059" s="989"/>
      <c r="QZK1059" s="989"/>
      <c r="QZL1059" s="989"/>
      <c r="QZM1059" s="989"/>
      <c r="QZN1059" s="989"/>
      <c r="QZO1059" s="989"/>
      <c r="QZP1059" s="989"/>
      <c r="QZQ1059" s="989"/>
      <c r="QZR1059" s="989"/>
      <c r="QZS1059" s="989"/>
      <c r="QZT1059" s="989"/>
      <c r="QZU1059" s="989"/>
      <c r="QZV1059" s="989"/>
      <c r="QZW1059" s="989"/>
      <c r="QZX1059" s="989"/>
      <c r="QZY1059" s="989"/>
      <c r="QZZ1059" s="989"/>
      <c r="RAA1059" s="989"/>
      <c r="RAB1059" s="989"/>
      <c r="RAC1059" s="989"/>
      <c r="RAD1059" s="989"/>
      <c r="RAE1059" s="989"/>
      <c r="RAF1059" s="989"/>
      <c r="RAG1059" s="989"/>
      <c r="RAH1059" s="989"/>
      <c r="RAI1059" s="989"/>
      <c r="RAJ1059" s="989"/>
      <c r="RAK1059" s="989"/>
      <c r="RAL1059" s="989"/>
      <c r="RAM1059" s="989"/>
      <c r="RAN1059" s="989"/>
      <c r="RAO1059" s="989"/>
      <c r="RAP1059" s="989"/>
      <c r="RAQ1059" s="989"/>
      <c r="RAR1059" s="989"/>
      <c r="RAS1059" s="989"/>
      <c r="RAT1059" s="989"/>
      <c r="RAU1059" s="989"/>
      <c r="RAV1059" s="989"/>
      <c r="RAW1059" s="989"/>
      <c r="RAX1059" s="989"/>
      <c r="RAY1059" s="989"/>
      <c r="RAZ1059" s="989"/>
      <c r="RBA1059" s="989"/>
      <c r="RBB1059" s="989"/>
      <c r="RBC1059" s="989"/>
      <c r="RBD1059" s="989"/>
      <c r="RBE1059" s="989"/>
      <c r="RBF1059" s="989"/>
      <c r="RBG1059" s="989"/>
      <c r="RBH1059" s="989"/>
      <c r="RBI1059" s="989"/>
      <c r="RBJ1059" s="989"/>
      <c r="RBK1059" s="989"/>
      <c r="RBL1059" s="989"/>
      <c r="RBM1059" s="989"/>
      <c r="RBN1059" s="989"/>
      <c r="RBO1059" s="989"/>
      <c r="RBP1059" s="989"/>
      <c r="RBQ1059" s="989"/>
      <c r="RBR1059" s="989"/>
      <c r="RBS1059" s="989"/>
      <c r="RBT1059" s="989"/>
      <c r="RBU1059" s="989"/>
      <c r="RBV1059" s="989"/>
      <c r="RBW1059" s="989"/>
      <c r="RBX1059" s="989"/>
      <c r="RBY1059" s="989"/>
      <c r="RBZ1059" s="989"/>
      <c r="RCA1059" s="989"/>
      <c r="RCB1059" s="989"/>
      <c r="RCC1059" s="989"/>
      <c r="RCD1059" s="989"/>
      <c r="RCE1059" s="989"/>
      <c r="RCF1059" s="989"/>
      <c r="RCG1059" s="989"/>
      <c r="RCH1059" s="989"/>
      <c r="RCI1059" s="989"/>
      <c r="RCJ1059" s="989"/>
      <c r="RCK1059" s="989"/>
      <c r="RCL1059" s="989"/>
      <c r="RCM1059" s="989"/>
      <c r="RCN1059" s="989"/>
      <c r="RCO1059" s="989"/>
      <c r="RCP1059" s="989"/>
      <c r="RCQ1059" s="989"/>
      <c r="RCR1059" s="989"/>
      <c r="RCS1059" s="989"/>
      <c r="RCT1059" s="989"/>
      <c r="RCU1059" s="989"/>
      <c r="RCV1059" s="989"/>
      <c r="RCW1059" s="989"/>
      <c r="RCX1059" s="989"/>
      <c r="RCY1059" s="989"/>
      <c r="RCZ1059" s="989"/>
      <c r="RDA1059" s="989"/>
      <c r="RDB1059" s="989"/>
      <c r="RDC1059" s="989"/>
      <c r="RDD1059" s="989"/>
      <c r="RDE1059" s="989"/>
      <c r="RDF1059" s="989"/>
      <c r="RDG1059" s="989"/>
      <c r="RDH1059" s="989"/>
      <c r="RDI1059" s="989"/>
      <c r="RDJ1059" s="989"/>
      <c r="RDK1059" s="989"/>
      <c r="RDL1059" s="989"/>
      <c r="RDM1059" s="989"/>
      <c r="RDN1059" s="989"/>
      <c r="RDO1059" s="989"/>
      <c r="RDP1059" s="989"/>
      <c r="RDQ1059" s="989"/>
      <c r="RDR1059" s="989"/>
      <c r="RDS1059" s="989"/>
      <c r="RDT1059" s="989"/>
      <c r="RDU1059" s="989"/>
      <c r="RDV1059" s="989"/>
      <c r="RDW1059" s="989"/>
      <c r="RDX1059" s="989"/>
      <c r="RDY1059" s="989"/>
      <c r="RDZ1059" s="989"/>
      <c r="REA1059" s="989"/>
      <c r="REB1059" s="989"/>
      <c r="REC1059" s="989"/>
      <c r="RED1059" s="989"/>
      <c r="REE1059" s="989"/>
      <c r="REF1059" s="989"/>
      <c r="REG1059" s="989"/>
      <c r="REH1059" s="989"/>
      <c r="REI1059" s="989"/>
      <c r="REJ1059" s="989"/>
      <c r="REK1059" s="989"/>
      <c r="REL1059" s="989"/>
      <c r="REM1059" s="989"/>
      <c r="REN1059" s="989"/>
      <c r="REO1059" s="989"/>
      <c r="REP1059" s="989"/>
      <c r="REQ1059" s="989"/>
      <c r="RER1059" s="989"/>
      <c r="RES1059" s="989"/>
      <c r="RET1059" s="989"/>
      <c r="REU1059" s="989"/>
      <c r="REV1059" s="989"/>
      <c r="REW1059" s="989"/>
      <c r="REX1059" s="989"/>
      <c r="REY1059" s="989"/>
      <c r="REZ1059" s="989"/>
      <c r="RFA1059" s="989"/>
      <c r="RFB1059" s="989"/>
      <c r="RFC1059" s="989"/>
      <c r="RFD1059" s="989"/>
      <c r="RFE1059" s="989"/>
      <c r="RFF1059" s="989"/>
      <c r="RFG1059" s="989"/>
      <c r="RFH1059" s="989"/>
      <c r="RFI1059" s="989"/>
      <c r="RFJ1059" s="989"/>
      <c r="RFK1059" s="989"/>
      <c r="RFL1059" s="989"/>
      <c r="RFM1059" s="989"/>
      <c r="RFN1059" s="989"/>
      <c r="RFO1059" s="989"/>
      <c r="RFP1059" s="989"/>
      <c r="RFQ1059" s="989"/>
      <c r="RFR1059" s="989"/>
      <c r="RFS1059" s="989"/>
      <c r="RFT1059" s="989"/>
      <c r="RFU1059" s="989"/>
      <c r="RFV1059" s="989"/>
      <c r="RFW1059" s="989"/>
      <c r="RFX1059" s="989"/>
      <c r="RFY1059" s="989"/>
      <c r="RFZ1059" s="989"/>
      <c r="RGA1059" s="989"/>
      <c r="RGB1059" s="989"/>
      <c r="RGC1059" s="989"/>
      <c r="RGD1059" s="989"/>
      <c r="RGE1059" s="989"/>
      <c r="RGF1059" s="989"/>
      <c r="RGG1059" s="989"/>
      <c r="RGH1059" s="989"/>
      <c r="RGI1059" s="989"/>
      <c r="RGJ1059" s="989"/>
      <c r="RGK1059" s="989"/>
      <c r="RGL1059" s="989"/>
      <c r="RGM1059" s="989"/>
      <c r="RGN1059" s="989"/>
      <c r="RGO1059" s="989"/>
      <c r="RGP1059" s="989"/>
      <c r="RGQ1059" s="989"/>
      <c r="RGR1059" s="989"/>
      <c r="RGS1059" s="989"/>
      <c r="RGT1059" s="989"/>
      <c r="RGU1059" s="989"/>
      <c r="RGV1059" s="989"/>
      <c r="RGW1059" s="989"/>
      <c r="RGX1059" s="989"/>
      <c r="RGY1059" s="989"/>
      <c r="RGZ1059" s="989"/>
      <c r="RHA1059" s="989"/>
      <c r="RHB1059" s="989"/>
      <c r="RHC1059" s="989"/>
      <c r="RHD1059" s="989"/>
      <c r="RHE1059" s="989"/>
      <c r="RHF1059" s="989"/>
      <c r="RHG1059" s="989"/>
      <c r="RHH1059" s="989"/>
      <c r="RHI1059" s="989"/>
      <c r="RHJ1059" s="989"/>
      <c r="RHK1059" s="989"/>
      <c r="RHL1059" s="989"/>
      <c r="RHM1059" s="989"/>
      <c r="RHN1059" s="989"/>
      <c r="RHO1059" s="989"/>
      <c r="RHP1059" s="989"/>
      <c r="RHQ1059" s="989"/>
      <c r="RHR1059" s="989"/>
      <c r="RHS1059" s="989"/>
      <c r="RHT1059" s="989"/>
      <c r="RHU1059" s="989"/>
      <c r="RHV1059" s="989"/>
      <c r="RHW1059" s="989"/>
      <c r="RHX1059" s="989"/>
      <c r="RHY1059" s="989"/>
      <c r="RHZ1059" s="989"/>
      <c r="RIA1059" s="989"/>
      <c r="RIB1059" s="989"/>
      <c r="RIC1059" s="989"/>
      <c r="RID1059" s="989"/>
      <c r="RIE1059" s="989"/>
      <c r="RIF1059" s="989"/>
      <c r="RIG1059" s="989"/>
      <c r="RIH1059" s="989"/>
      <c r="RII1059" s="989"/>
      <c r="RIJ1059" s="989"/>
      <c r="RIK1059" s="989"/>
      <c r="RIL1059" s="989"/>
      <c r="RIM1059" s="989"/>
      <c r="RIN1059" s="989"/>
      <c r="RIO1059" s="989"/>
      <c r="RIP1059" s="989"/>
      <c r="RIQ1059" s="989"/>
      <c r="RIR1059" s="989"/>
      <c r="RIS1059" s="989"/>
      <c r="RIT1059" s="989"/>
      <c r="RIU1059" s="989"/>
      <c r="RIV1059" s="989"/>
      <c r="RIW1059" s="989"/>
      <c r="RIX1059" s="989"/>
      <c r="RIY1059" s="989"/>
      <c r="RIZ1059" s="989"/>
      <c r="RJA1059" s="989"/>
      <c r="RJB1059" s="989"/>
      <c r="RJC1059" s="989"/>
      <c r="RJD1059" s="989"/>
      <c r="RJE1059" s="989"/>
      <c r="RJF1059" s="989"/>
      <c r="RJG1059" s="989"/>
      <c r="RJH1059" s="989"/>
      <c r="RJI1059" s="989"/>
      <c r="RJJ1059" s="989"/>
      <c r="RJK1059" s="989"/>
      <c r="RJL1059" s="989"/>
      <c r="RJM1059" s="989"/>
      <c r="RJN1059" s="989"/>
      <c r="RJO1059" s="989"/>
      <c r="RJP1059" s="989"/>
      <c r="RJQ1059" s="989"/>
      <c r="RJR1059" s="989"/>
      <c r="RJS1059" s="989"/>
      <c r="RJT1059" s="989"/>
      <c r="RJU1059" s="989"/>
      <c r="RJV1059" s="989"/>
      <c r="RJW1059" s="989"/>
      <c r="RJX1059" s="989"/>
      <c r="RJY1059" s="989"/>
      <c r="RJZ1059" s="989"/>
      <c r="RKA1059" s="989"/>
      <c r="RKB1059" s="989"/>
      <c r="RKC1059" s="989"/>
      <c r="RKD1059" s="989"/>
      <c r="RKE1059" s="989"/>
      <c r="RKF1059" s="989"/>
      <c r="RKG1059" s="989"/>
      <c r="RKH1059" s="989"/>
      <c r="RKI1059" s="989"/>
      <c r="RKJ1059" s="989"/>
      <c r="RKK1059" s="989"/>
      <c r="RKL1059" s="989"/>
      <c r="RKM1059" s="989"/>
      <c r="RKN1059" s="989"/>
      <c r="RKO1059" s="989"/>
      <c r="RKP1059" s="989"/>
      <c r="RKQ1059" s="989"/>
      <c r="RKR1059" s="989"/>
      <c r="RKS1059" s="989"/>
      <c r="RKT1059" s="989"/>
      <c r="RKU1059" s="989"/>
      <c r="RKV1059" s="989"/>
      <c r="RKW1059" s="989"/>
      <c r="RKX1059" s="989"/>
      <c r="RKY1059" s="989"/>
      <c r="RKZ1059" s="989"/>
      <c r="RLA1059" s="989"/>
      <c r="RLB1059" s="989"/>
      <c r="RLC1059" s="989"/>
      <c r="RLD1059" s="989"/>
      <c r="RLE1059" s="989"/>
      <c r="RLF1059" s="989"/>
      <c r="RLG1059" s="989"/>
      <c r="RLH1059" s="989"/>
      <c r="RLI1059" s="989"/>
      <c r="RLJ1059" s="989"/>
      <c r="RLK1059" s="989"/>
      <c r="RLL1059" s="989"/>
      <c r="RLM1059" s="989"/>
      <c r="RLN1059" s="989"/>
      <c r="RLO1059" s="989"/>
      <c r="RLP1059" s="989"/>
      <c r="RLQ1059" s="989"/>
      <c r="RLR1059" s="989"/>
      <c r="RLS1059" s="989"/>
      <c r="RLT1059" s="989"/>
      <c r="RLU1059" s="989"/>
      <c r="RLV1059" s="989"/>
      <c r="RLW1059" s="989"/>
      <c r="RLX1059" s="989"/>
      <c r="RLY1059" s="989"/>
      <c r="RLZ1059" s="989"/>
      <c r="RMA1059" s="989"/>
      <c r="RMB1059" s="989"/>
      <c r="RMC1059" s="989"/>
      <c r="RMD1059" s="989"/>
      <c r="RME1059" s="989"/>
      <c r="RMF1059" s="989"/>
      <c r="RMG1059" s="989"/>
      <c r="RMH1059" s="989"/>
      <c r="RMI1059" s="989"/>
      <c r="RMJ1059" s="989"/>
      <c r="RMK1059" s="989"/>
      <c r="RML1059" s="989"/>
      <c r="RMM1059" s="989"/>
      <c r="RMN1059" s="989"/>
      <c r="RMO1059" s="989"/>
      <c r="RMP1059" s="989"/>
      <c r="RMQ1059" s="989"/>
      <c r="RMR1059" s="989"/>
      <c r="RMS1059" s="989"/>
      <c r="RMT1059" s="989"/>
      <c r="RMU1059" s="989"/>
      <c r="RMV1059" s="989"/>
      <c r="RMW1059" s="989"/>
      <c r="RMX1059" s="989"/>
      <c r="RMY1059" s="989"/>
      <c r="RMZ1059" s="989"/>
      <c r="RNA1059" s="989"/>
      <c r="RNB1059" s="989"/>
      <c r="RNC1059" s="989"/>
      <c r="RND1059" s="989"/>
      <c r="RNE1059" s="989"/>
      <c r="RNF1059" s="989"/>
      <c r="RNG1059" s="989"/>
      <c r="RNH1059" s="989"/>
      <c r="RNI1059" s="989"/>
      <c r="RNJ1059" s="989"/>
      <c r="RNK1059" s="989"/>
      <c r="RNL1059" s="989"/>
      <c r="RNM1059" s="989"/>
      <c r="RNN1059" s="989"/>
      <c r="RNO1059" s="989"/>
      <c r="RNP1059" s="989"/>
      <c r="RNQ1059" s="989"/>
      <c r="RNR1059" s="989"/>
      <c r="RNS1059" s="989"/>
      <c r="RNT1059" s="989"/>
      <c r="RNU1059" s="989"/>
      <c r="RNV1059" s="989"/>
      <c r="RNW1059" s="989"/>
      <c r="RNX1059" s="989"/>
      <c r="RNY1059" s="989"/>
      <c r="RNZ1059" s="989"/>
      <c r="ROA1059" s="989"/>
      <c r="ROB1059" s="989"/>
      <c r="ROC1059" s="989"/>
      <c r="ROD1059" s="989"/>
      <c r="ROE1059" s="989"/>
      <c r="ROF1059" s="989"/>
      <c r="ROG1059" s="989"/>
      <c r="ROH1059" s="989"/>
      <c r="ROI1059" s="989"/>
      <c r="ROJ1059" s="989"/>
      <c r="ROK1059" s="989"/>
      <c r="ROL1059" s="989"/>
      <c r="ROM1059" s="989"/>
      <c r="RON1059" s="989"/>
      <c r="ROO1059" s="989"/>
      <c r="ROP1059" s="989"/>
      <c r="ROQ1059" s="989"/>
      <c r="ROR1059" s="989"/>
      <c r="ROS1059" s="989"/>
      <c r="ROT1059" s="989"/>
      <c r="ROU1059" s="989"/>
      <c r="ROV1059" s="989"/>
      <c r="ROW1059" s="989"/>
      <c r="ROX1059" s="989"/>
      <c r="ROY1059" s="989"/>
      <c r="ROZ1059" s="989"/>
      <c r="RPA1059" s="989"/>
      <c r="RPB1059" s="989"/>
      <c r="RPC1059" s="989"/>
      <c r="RPD1059" s="989"/>
      <c r="RPE1059" s="989"/>
      <c r="RPF1059" s="989"/>
      <c r="RPG1059" s="989"/>
      <c r="RPH1059" s="989"/>
      <c r="RPI1059" s="989"/>
      <c r="RPJ1059" s="989"/>
      <c r="RPK1059" s="989"/>
      <c r="RPL1059" s="989"/>
      <c r="RPM1059" s="989"/>
      <c r="RPN1059" s="989"/>
      <c r="RPO1059" s="989"/>
      <c r="RPP1059" s="989"/>
      <c r="RPQ1059" s="989"/>
      <c r="RPR1059" s="989"/>
      <c r="RPS1059" s="989"/>
      <c r="RPT1059" s="989"/>
      <c r="RPU1059" s="989"/>
      <c r="RPV1059" s="989"/>
      <c r="RPW1059" s="989"/>
      <c r="RPX1059" s="989"/>
      <c r="RPY1059" s="989"/>
      <c r="RPZ1059" s="989"/>
      <c r="RQA1059" s="989"/>
      <c r="RQB1059" s="989"/>
      <c r="RQC1059" s="989"/>
      <c r="RQD1059" s="989"/>
      <c r="RQE1059" s="989"/>
      <c r="RQF1059" s="989"/>
      <c r="RQG1059" s="989"/>
      <c r="RQH1059" s="989"/>
      <c r="RQI1059" s="989"/>
      <c r="RQJ1059" s="989"/>
      <c r="RQK1059" s="989"/>
      <c r="RQL1059" s="989"/>
      <c r="RQM1059" s="989"/>
      <c r="RQN1059" s="989"/>
      <c r="RQO1059" s="989"/>
      <c r="RQP1059" s="989"/>
      <c r="RQQ1059" s="989"/>
      <c r="RQR1059" s="989"/>
      <c r="RQS1059" s="989"/>
      <c r="RQT1059" s="989"/>
      <c r="RQU1059" s="989"/>
      <c r="RQV1059" s="989"/>
      <c r="RQW1059" s="989"/>
      <c r="RQX1059" s="989"/>
      <c r="RQY1059" s="989"/>
      <c r="RQZ1059" s="989"/>
      <c r="RRA1059" s="989"/>
      <c r="RRB1059" s="989"/>
      <c r="RRC1059" s="989"/>
      <c r="RRD1059" s="989"/>
      <c r="RRE1059" s="989"/>
      <c r="RRF1059" s="989"/>
      <c r="RRG1059" s="989"/>
      <c r="RRH1059" s="989"/>
      <c r="RRI1059" s="989"/>
      <c r="RRJ1059" s="989"/>
      <c r="RRK1059" s="989"/>
      <c r="RRL1059" s="989"/>
      <c r="RRM1059" s="989"/>
      <c r="RRN1059" s="989"/>
      <c r="RRO1059" s="989"/>
      <c r="RRP1059" s="989"/>
      <c r="RRQ1059" s="989"/>
      <c r="RRR1059" s="989"/>
      <c r="RRS1059" s="989"/>
      <c r="RRT1059" s="989"/>
      <c r="RRU1059" s="989"/>
      <c r="RRV1059" s="989"/>
      <c r="RRW1059" s="989"/>
      <c r="RRX1059" s="989"/>
      <c r="RRY1059" s="989"/>
      <c r="RRZ1059" s="989"/>
      <c r="RSA1059" s="989"/>
      <c r="RSB1059" s="989"/>
      <c r="RSC1059" s="989"/>
      <c r="RSD1059" s="989"/>
      <c r="RSE1059" s="989"/>
      <c r="RSF1059" s="989"/>
      <c r="RSG1059" s="989"/>
      <c r="RSH1059" s="989"/>
      <c r="RSI1059" s="989"/>
      <c r="RSJ1059" s="989"/>
      <c r="RSK1059" s="989"/>
      <c r="RSL1059" s="989"/>
      <c r="RSM1059" s="989"/>
      <c r="RSN1059" s="989"/>
      <c r="RSO1059" s="989"/>
      <c r="RSP1059" s="989"/>
      <c r="RSQ1059" s="989"/>
      <c r="RSR1059" s="989"/>
      <c r="RSS1059" s="989"/>
      <c r="RST1059" s="989"/>
      <c r="RSU1059" s="989"/>
      <c r="RSV1059" s="989"/>
      <c r="RSW1059" s="989"/>
      <c r="RSX1059" s="989"/>
      <c r="RSY1059" s="989"/>
      <c r="RSZ1059" s="989"/>
      <c r="RTA1059" s="989"/>
      <c r="RTB1059" s="989"/>
      <c r="RTC1059" s="989"/>
      <c r="RTD1059" s="989"/>
      <c r="RTE1059" s="989"/>
      <c r="RTF1059" s="989"/>
      <c r="RTG1059" s="989"/>
      <c r="RTH1059" s="989"/>
      <c r="RTI1059" s="989"/>
      <c r="RTJ1059" s="989"/>
      <c r="RTK1059" s="989"/>
      <c r="RTL1059" s="989"/>
      <c r="RTM1059" s="989"/>
      <c r="RTN1059" s="989"/>
      <c r="RTO1059" s="989"/>
      <c r="RTP1059" s="989"/>
      <c r="RTQ1059" s="989"/>
      <c r="RTR1059" s="989"/>
      <c r="RTS1059" s="989"/>
      <c r="RTT1059" s="989"/>
      <c r="RTU1059" s="989"/>
      <c r="RTV1059" s="989"/>
      <c r="RTW1059" s="989"/>
      <c r="RTX1059" s="989"/>
      <c r="RTY1059" s="989"/>
      <c r="RTZ1059" s="989"/>
      <c r="RUA1059" s="989"/>
      <c r="RUB1059" s="989"/>
      <c r="RUC1059" s="989"/>
      <c r="RUD1059" s="989"/>
      <c r="RUE1059" s="989"/>
      <c r="RUF1059" s="989"/>
      <c r="RUG1059" s="989"/>
      <c r="RUH1059" s="989"/>
      <c r="RUI1059" s="989"/>
      <c r="RUJ1059" s="989"/>
      <c r="RUK1059" s="989"/>
      <c r="RUL1059" s="989"/>
      <c r="RUM1059" s="989"/>
      <c r="RUN1059" s="989"/>
      <c r="RUO1059" s="989"/>
      <c r="RUP1059" s="989"/>
      <c r="RUQ1059" s="989"/>
      <c r="RUR1059" s="989"/>
      <c r="RUS1059" s="989"/>
      <c r="RUT1059" s="989"/>
      <c r="RUU1059" s="989"/>
      <c r="RUV1059" s="989"/>
      <c r="RUW1059" s="989"/>
      <c r="RUX1059" s="989"/>
      <c r="RUY1059" s="989"/>
      <c r="RUZ1059" s="989"/>
      <c r="RVA1059" s="989"/>
      <c r="RVB1059" s="989"/>
      <c r="RVC1059" s="989"/>
      <c r="RVD1059" s="989"/>
      <c r="RVE1059" s="989"/>
      <c r="RVF1059" s="989"/>
      <c r="RVG1059" s="989"/>
      <c r="RVH1059" s="989"/>
      <c r="RVI1059" s="989"/>
      <c r="RVJ1059" s="989"/>
      <c r="RVK1059" s="989"/>
      <c r="RVL1059" s="989"/>
      <c r="RVM1059" s="989"/>
      <c r="RVN1059" s="989"/>
      <c r="RVO1059" s="989"/>
      <c r="RVP1059" s="989"/>
      <c r="RVQ1059" s="989"/>
      <c r="RVR1059" s="989"/>
      <c r="RVS1059" s="989"/>
      <c r="RVT1059" s="989"/>
      <c r="RVU1059" s="989"/>
      <c r="RVV1059" s="989"/>
      <c r="RVW1059" s="989"/>
      <c r="RVX1059" s="989"/>
      <c r="RVY1059" s="989"/>
      <c r="RVZ1059" s="989"/>
      <c r="RWA1059" s="989"/>
      <c r="RWB1059" s="989"/>
      <c r="RWC1059" s="989"/>
      <c r="RWD1059" s="989"/>
      <c r="RWE1059" s="989"/>
      <c r="RWF1059" s="989"/>
      <c r="RWG1059" s="989"/>
      <c r="RWH1059" s="989"/>
      <c r="RWI1059" s="989"/>
      <c r="RWJ1059" s="989"/>
      <c r="RWK1059" s="989"/>
      <c r="RWL1059" s="989"/>
      <c r="RWM1059" s="989"/>
      <c r="RWN1059" s="989"/>
      <c r="RWO1059" s="989"/>
      <c r="RWP1059" s="989"/>
      <c r="RWQ1059" s="989"/>
      <c r="RWR1059" s="989"/>
      <c r="RWS1059" s="989"/>
      <c r="RWT1059" s="989"/>
      <c r="RWU1059" s="989"/>
      <c r="RWV1059" s="989"/>
      <c r="RWW1059" s="989"/>
      <c r="RWX1059" s="989"/>
      <c r="RWY1059" s="989"/>
      <c r="RWZ1059" s="989"/>
      <c r="RXA1059" s="989"/>
      <c r="RXB1059" s="989"/>
      <c r="RXC1059" s="989"/>
      <c r="RXD1059" s="989"/>
      <c r="RXE1059" s="989"/>
      <c r="RXF1059" s="989"/>
      <c r="RXG1059" s="989"/>
      <c r="RXH1059" s="989"/>
      <c r="RXI1059" s="989"/>
      <c r="RXJ1059" s="989"/>
      <c r="RXK1059" s="989"/>
      <c r="RXL1059" s="989"/>
      <c r="RXM1059" s="989"/>
      <c r="RXN1059" s="989"/>
      <c r="RXO1059" s="989"/>
      <c r="RXP1059" s="989"/>
      <c r="RXQ1059" s="989"/>
      <c r="RXR1059" s="989"/>
      <c r="RXS1059" s="989"/>
      <c r="RXT1059" s="989"/>
      <c r="RXU1059" s="989"/>
      <c r="RXV1059" s="989"/>
      <c r="RXW1059" s="989"/>
      <c r="RXX1059" s="989"/>
      <c r="RXY1059" s="989"/>
      <c r="RXZ1059" s="989"/>
      <c r="RYA1059" s="989"/>
      <c r="RYB1059" s="989"/>
      <c r="RYC1059" s="989"/>
      <c r="RYD1059" s="989"/>
      <c r="RYE1059" s="989"/>
      <c r="RYF1059" s="989"/>
      <c r="RYG1059" s="989"/>
      <c r="RYH1059" s="989"/>
      <c r="RYI1059" s="989"/>
      <c r="RYJ1059" s="989"/>
      <c r="RYK1059" s="989"/>
      <c r="RYL1059" s="989"/>
      <c r="RYM1059" s="989"/>
      <c r="RYN1059" s="989"/>
      <c r="RYO1059" s="989"/>
      <c r="RYP1059" s="989"/>
      <c r="RYQ1059" s="989"/>
      <c r="RYR1059" s="989"/>
      <c r="RYS1059" s="989"/>
      <c r="RYT1059" s="989"/>
      <c r="RYU1059" s="989"/>
      <c r="RYV1059" s="989"/>
      <c r="RYW1059" s="989"/>
      <c r="RYX1059" s="989"/>
      <c r="RYY1059" s="989"/>
      <c r="RYZ1059" s="989"/>
      <c r="RZA1059" s="989"/>
      <c r="RZB1059" s="989"/>
      <c r="RZC1059" s="989"/>
      <c r="RZD1059" s="989"/>
      <c r="RZE1059" s="989"/>
      <c r="RZF1059" s="989"/>
      <c r="RZG1059" s="989"/>
      <c r="RZH1059" s="989"/>
      <c r="RZI1059" s="989"/>
      <c r="RZJ1059" s="989"/>
      <c r="RZK1059" s="989"/>
      <c r="RZL1059" s="989"/>
      <c r="RZM1059" s="989"/>
      <c r="RZN1059" s="989"/>
      <c r="RZO1059" s="989"/>
      <c r="RZP1059" s="989"/>
      <c r="RZQ1059" s="989"/>
      <c r="RZR1059" s="989"/>
      <c r="RZS1059" s="989"/>
      <c r="RZT1059" s="989"/>
      <c r="RZU1059" s="989"/>
      <c r="RZV1059" s="989"/>
      <c r="RZW1059" s="989"/>
      <c r="RZX1059" s="989"/>
      <c r="RZY1059" s="989"/>
      <c r="RZZ1059" s="989"/>
      <c r="SAA1059" s="989"/>
      <c r="SAB1059" s="989"/>
      <c r="SAC1059" s="989"/>
      <c r="SAD1059" s="989"/>
      <c r="SAE1059" s="989"/>
      <c r="SAF1059" s="989"/>
      <c r="SAG1059" s="989"/>
      <c r="SAH1059" s="989"/>
      <c r="SAI1059" s="989"/>
      <c r="SAJ1059" s="989"/>
      <c r="SAK1059" s="989"/>
      <c r="SAL1059" s="989"/>
      <c r="SAM1059" s="989"/>
      <c r="SAN1059" s="989"/>
      <c r="SAO1059" s="989"/>
      <c r="SAP1059" s="989"/>
      <c r="SAQ1059" s="989"/>
      <c r="SAR1059" s="989"/>
      <c r="SAS1059" s="989"/>
      <c r="SAT1059" s="989"/>
      <c r="SAU1059" s="989"/>
      <c r="SAV1059" s="989"/>
      <c r="SAW1059" s="989"/>
      <c r="SAX1059" s="989"/>
      <c r="SAY1059" s="989"/>
      <c r="SAZ1059" s="989"/>
      <c r="SBA1059" s="989"/>
      <c r="SBB1059" s="989"/>
      <c r="SBC1059" s="989"/>
      <c r="SBD1059" s="989"/>
      <c r="SBE1059" s="989"/>
      <c r="SBF1059" s="989"/>
      <c r="SBG1059" s="989"/>
      <c r="SBH1059" s="989"/>
      <c r="SBI1059" s="989"/>
      <c r="SBJ1059" s="989"/>
      <c r="SBK1059" s="989"/>
      <c r="SBL1059" s="989"/>
      <c r="SBM1059" s="989"/>
      <c r="SBN1059" s="989"/>
      <c r="SBO1059" s="989"/>
      <c r="SBP1059" s="989"/>
      <c r="SBQ1059" s="989"/>
      <c r="SBR1059" s="989"/>
      <c r="SBS1059" s="989"/>
      <c r="SBT1059" s="989"/>
      <c r="SBU1059" s="989"/>
      <c r="SBV1059" s="989"/>
      <c r="SBW1059" s="989"/>
      <c r="SBX1059" s="989"/>
      <c r="SBY1059" s="989"/>
      <c r="SBZ1059" s="989"/>
      <c r="SCA1059" s="989"/>
      <c r="SCB1059" s="989"/>
      <c r="SCC1059" s="989"/>
      <c r="SCD1059" s="989"/>
      <c r="SCE1059" s="989"/>
      <c r="SCF1059" s="989"/>
      <c r="SCG1059" s="989"/>
      <c r="SCH1059" s="989"/>
      <c r="SCI1059" s="989"/>
      <c r="SCJ1059" s="989"/>
      <c r="SCK1059" s="989"/>
      <c r="SCL1059" s="989"/>
      <c r="SCM1059" s="989"/>
      <c r="SCN1059" s="989"/>
      <c r="SCO1059" s="989"/>
      <c r="SCP1059" s="989"/>
      <c r="SCQ1059" s="989"/>
      <c r="SCR1059" s="989"/>
      <c r="SCS1059" s="989"/>
      <c r="SCT1059" s="989"/>
      <c r="SCU1059" s="989"/>
      <c r="SCV1059" s="989"/>
      <c r="SCW1059" s="989"/>
      <c r="SCX1059" s="989"/>
      <c r="SCY1059" s="989"/>
      <c r="SCZ1059" s="989"/>
      <c r="SDA1059" s="989"/>
      <c r="SDB1059" s="989"/>
      <c r="SDC1059" s="989"/>
      <c r="SDD1059" s="989"/>
      <c r="SDE1059" s="989"/>
      <c r="SDF1059" s="989"/>
      <c r="SDG1059" s="989"/>
      <c r="SDH1059" s="989"/>
      <c r="SDI1059" s="989"/>
      <c r="SDJ1059" s="989"/>
      <c r="SDK1059" s="989"/>
      <c r="SDL1059" s="989"/>
      <c r="SDM1059" s="989"/>
      <c r="SDN1059" s="989"/>
      <c r="SDO1059" s="989"/>
      <c r="SDP1059" s="989"/>
      <c r="SDQ1059" s="989"/>
      <c r="SDR1059" s="989"/>
      <c r="SDS1059" s="989"/>
      <c r="SDT1059" s="989"/>
      <c r="SDU1059" s="989"/>
      <c r="SDV1059" s="989"/>
      <c r="SDW1059" s="989"/>
      <c r="SDX1059" s="989"/>
      <c r="SDY1059" s="989"/>
      <c r="SDZ1059" s="989"/>
      <c r="SEA1059" s="989"/>
      <c r="SEB1059" s="989"/>
      <c r="SEC1059" s="989"/>
      <c r="SED1059" s="989"/>
      <c r="SEE1059" s="989"/>
      <c r="SEF1059" s="989"/>
      <c r="SEG1059" s="989"/>
      <c r="SEH1059" s="989"/>
      <c r="SEI1059" s="989"/>
      <c r="SEJ1059" s="989"/>
      <c r="SEK1059" s="989"/>
      <c r="SEL1059" s="989"/>
      <c r="SEM1059" s="989"/>
      <c r="SEN1059" s="989"/>
      <c r="SEO1059" s="989"/>
      <c r="SEP1059" s="989"/>
      <c r="SEQ1059" s="989"/>
      <c r="SER1059" s="989"/>
      <c r="SES1059" s="989"/>
      <c r="SET1059" s="989"/>
      <c r="SEU1059" s="989"/>
      <c r="SEV1059" s="989"/>
      <c r="SEW1059" s="989"/>
      <c r="SEX1059" s="989"/>
      <c r="SEY1059" s="989"/>
      <c r="SEZ1059" s="989"/>
      <c r="SFA1059" s="989"/>
      <c r="SFB1059" s="989"/>
      <c r="SFC1059" s="989"/>
      <c r="SFD1059" s="989"/>
      <c r="SFE1059" s="989"/>
      <c r="SFF1059" s="989"/>
      <c r="SFG1059" s="989"/>
      <c r="SFH1059" s="989"/>
      <c r="SFI1059" s="989"/>
      <c r="SFJ1059" s="989"/>
      <c r="SFK1059" s="989"/>
      <c r="SFL1059" s="989"/>
      <c r="SFM1059" s="989"/>
      <c r="SFN1059" s="989"/>
      <c r="SFO1059" s="989"/>
      <c r="SFP1059" s="989"/>
      <c r="SFQ1059" s="989"/>
      <c r="SFR1059" s="989"/>
      <c r="SFS1059" s="989"/>
      <c r="SFT1059" s="989"/>
      <c r="SFU1059" s="989"/>
      <c r="SFV1059" s="989"/>
      <c r="SFW1059" s="989"/>
      <c r="SFX1059" s="989"/>
      <c r="SFY1059" s="989"/>
      <c r="SFZ1059" s="989"/>
      <c r="SGA1059" s="989"/>
      <c r="SGB1059" s="989"/>
      <c r="SGC1059" s="989"/>
      <c r="SGD1059" s="989"/>
      <c r="SGE1059" s="989"/>
      <c r="SGF1059" s="989"/>
      <c r="SGG1059" s="989"/>
      <c r="SGH1059" s="989"/>
      <c r="SGI1059" s="989"/>
      <c r="SGJ1059" s="989"/>
      <c r="SGK1059" s="989"/>
      <c r="SGL1059" s="989"/>
      <c r="SGM1059" s="989"/>
      <c r="SGN1059" s="989"/>
      <c r="SGO1059" s="989"/>
      <c r="SGP1059" s="989"/>
      <c r="SGQ1059" s="989"/>
      <c r="SGR1059" s="989"/>
      <c r="SGS1059" s="989"/>
      <c r="SGT1059" s="989"/>
      <c r="SGU1059" s="989"/>
      <c r="SGV1059" s="989"/>
      <c r="SGW1059" s="989"/>
      <c r="SGX1059" s="989"/>
      <c r="SGY1059" s="989"/>
      <c r="SGZ1059" s="989"/>
      <c r="SHA1059" s="989"/>
      <c r="SHB1059" s="989"/>
      <c r="SHC1059" s="989"/>
      <c r="SHD1059" s="989"/>
      <c r="SHE1059" s="989"/>
      <c r="SHF1059" s="989"/>
      <c r="SHG1059" s="989"/>
      <c r="SHH1059" s="989"/>
      <c r="SHI1059" s="989"/>
      <c r="SHJ1059" s="989"/>
      <c r="SHK1059" s="989"/>
      <c r="SHL1059" s="989"/>
      <c r="SHM1059" s="989"/>
      <c r="SHN1059" s="989"/>
      <c r="SHO1059" s="989"/>
      <c r="SHP1059" s="989"/>
      <c r="SHQ1059" s="989"/>
      <c r="SHR1059" s="989"/>
      <c r="SHS1059" s="989"/>
      <c r="SHT1059" s="989"/>
      <c r="SHU1059" s="989"/>
      <c r="SHV1059" s="989"/>
      <c r="SHW1059" s="989"/>
      <c r="SHX1059" s="989"/>
      <c r="SHY1059" s="989"/>
      <c r="SHZ1059" s="989"/>
      <c r="SIA1059" s="989"/>
      <c r="SIB1059" s="989"/>
      <c r="SIC1059" s="989"/>
      <c r="SID1059" s="989"/>
      <c r="SIE1059" s="989"/>
      <c r="SIF1059" s="989"/>
      <c r="SIG1059" s="989"/>
      <c r="SIH1059" s="989"/>
      <c r="SII1059" s="989"/>
      <c r="SIJ1059" s="989"/>
      <c r="SIK1059" s="989"/>
      <c r="SIL1059" s="989"/>
      <c r="SIM1059" s="989"/>
      <c r="SIN1059" s="989"/>
      <c r="SIO1059" s="989"/>
      <c r="SIP1059" s="989"/>
      <c r="SIQ1059" s="989"/>
      <c r="SIR1059" s="989"/>
      <c r="SIS1059" s="989"/>
      <c r="SIT1059" s="989"/>
      <c r="SIU1059" s="989"/>
      <c r="SIV1059" s="989"/>
      <c r="SIW1059" s="989"/>
      <c r="SIX1059" s="989"/>
      <c r="SIY1059" s="989"/>
      <c r="SIZ1059" s="989"/>
      <c r="SJA1059" s="989"/>
      <c r="SJB1059" s="989"/>
      <c r="SJC1059" s="989"/>
      <c r="SJD1059" s="989"/>
      <c r="SJE1059" s="989"/>
      <c r="SJF1059" s="989"/>
      <c r="SJG1059" s="989"/>
      <c r="SJH1059" s="989"/>
      <c r="SJI1059" s="989"/>
      <c r="SJJ1059" s="989"/>
      <c r="SJK1059" s="989"/>
      <c r="SJL1059" s="989"/>
      <c r="SJM1059" s="989"/>
      <c r="SJN1059" s="989"/>
      <c r="SJO1059" s="989"/>
      <c r="SJP1059" s="989"/>
      <c r="SJQ1059" s="989"/>
      <c r="SJR1059" s="989"/>
      <c r="SJS1059" s="989"/>
      <c r="SJT1059" s="989"/>
      <c r="SJU1059" s="989"/>
      <c r="SJV1059" s="989"/>
      <c r="SJW1059" s="989"/>
      <c r="SJX1059" s="989"/>
      <c r="SJY1059" s="989"/>
      <c r="SJZ1059" s="989"/>
      <c r="SKA1059" s="989"/>
      <c r="SKB1059" s="989"/>
      <c r="SKC1059" s="989"/>
      <c r="SKD1059" s="989"/>
      <c r="SKE1059" s="989"/>
      <c r="SKF1059" s="989"/>
      <c r="SKG1059" s="989"/>
      <c r="SKH1059" s="989"/>
      <c r="SKI1059" s="989"/>
      <c r="SKJ1059" s="989"/>
      <c r="SKK1059" s="989"/>
      <c r="SKL1059" s="989"/>
      <c r="SKM1059" s="989"/>
      <c r="SKN1059" s="989"/>
      <c r="SKO1059" s="989"/>
      <c r="SKP1059" s="989"/>
      <c r="SKQ1059" s="989"/>
      <c r="SKR1059" s="989"/>
      <c r="SKS1059" s="989"/>
      <c r="SKT1059" s="989"/>
      <c r="SKU1059" s="989"/>
      <c r="SKV1059" s="989"/>
      <c r="SKW1059" s="989"/>
      <c r="SKX1059" s="989"/>
      <c r="SKY1059" s="989"/>
      <c r="SKZ1059" s="989"/>
      <c r="SLA1059" s="989"/>
      <c r="SLB1059" s="989"/>
      <c r="SLC1059" s="989"/>
      <c r="SLD1059" s="989"/>
      <c r="SLE1059" s="989"/>
      <c r="SLF1059" s="989"/>
      <c r="SLG1059" s="989"/>
      <c r="SLH1059" s="989"/>
      <c r="SLI1059" s="989"/>
      <c r="SLJ1059" s="989"/>
      <c r="SLK1059" s="989"/>
      <c r="SLL1059" s="989"/>
      <c r="SLM1059" s="989"/>
      <c r="SLN1059" s="989"/>
      <c r="SLO1059" s="989"/>
      <c r="SLP1059" s="989"/>
      <c r="SLQ1059" s="989"/>
      <c r="SLR1059" s="989"/>
      <c r="SLS1059" s="989"/>
      <c r="SLT1059" s="989"/>
      <c r="SLU1059" s="989"/>
      <c r="SLV1059" s="989"/>
      <c r="SLW1059" s="989"/>
      <c r="SLX1059" s="989"/>
      <c r="SLY1059" s="989"/>
      <c r="SLZ1059" s="989"/>
      <c r="SMA1059" s="989"/>
      <c r="SMB1059" s="989"/>
      <c r="SMC1059" s="989"/>
      <c r="SMD1059" s="989"/>
      <c r="SME1059" s="989"/>
      <c r="SMF1059" s="989"/>
      <c r="SMG1059" s="989"/>
      <c r="SMH1059" s="989"/>
      <c r="SMI1059" s="989"/>
      <c r="SMJ1059" s="989"/>
      <c r="SMK1059" s="989"/>
      <c r="SML1059" s="989"/>
      <c r="SMM1059" s="989"/>
      <c r="SMN1059" s="989"/>
      <c r="SMO1059" s="989"/>
      <c r="SMP1059" s="989"/>
      <c r="SMQ1059" s="989"/>
      <c r="SMR1059" s="989"/>
      <c r="SMS1059" s="989"/>
      <c r="SMT1059" s="989"/>
      <c r="SMU1059" s="989"/>
      <c r="SMV1059" s="989"/>
      <c r="SMW1059" s="989"/>
      <c r="SMX1059" s="989"/>
      <c r="SMY1059" s="989"/>
      <c r="SMZ1059" s="989"/>
      <c r="SNA1059" s="989"/>
      <c r="SNB1059" s="989"/>
      <c r="SNC1059" s="989"/>
      <c r="SND1059" s="989"/>
      <c r="SNE1059" s="989"/>
      <c r="SNF1059" s="989"/>
      <c r="SNG1059" s="989"/>
      <c r="SNH1059" s="989"/>
      <c r="SNI1059" s="989"/>
      <c r="SNJ1059" s="989"/>
      <c r="SNK1059" s="989"/>
      <c r="SNL1059" s="989"/>
      <c r="SNM1059" s="989"/>
      <c r="SNN1059" s="989"/>
      <c r="SNO1059" s="989"/>
      <c r="SNP1059" s="989"/>
      <c r="SNQ1059" s="989"/>
      <c r="SNR1059" s="989"/>
      <c r="SNS1059" s="989"/>
      <c r="SNT1059" s="989"/>
      <c r="SNU1059" s="989"/>
      <c r="SNV1059" s="989"/>
      <c r="SNW1059" s="989"/>
      <c r="SNX1059" s="989"/>
      <c r="SNY1059" s="989"/>
      <c r="SNZ1059" s="989"/>
      <c r="SOA1059" s="989"/>
      <c r="SOB1059" s="989"/>
      <c r="SOC1059" s="989"/>
      <c r="SOD1059" s="989"/>
      <c r="SOE1059" s="989"/>
      <c r="SOF1059" s="989"/>
      <c r="SOG1059" s="989"/>
      <c r="SOH1059" s="989"/>
      <c r="SOI1059" s="989"/>
      <c r="SOJ1059" s="989"/>
      <c r="SOK1059" s="989"/>
      <c r="SOL1059" s="989"/>
      <c r="SOM1059" s="989"/>
      <c r="SON1059" s="989"/>
      <c r="SOO1059" s="989"/>
      <c r="SOP1059" s="989"/>
      <c r="SOQ1059" s="989"/>
      <c r="SOR1059" s="989"/>
      <c r="SOS1059" s="989"/>
      <c r="SOT1059" s="989"/>
      <c r="SOU1059" s="989"/>
      <c r="SOV1059" s="989"/>
      <c r="SOW1059" s="989"/>
      <c r="SOX1059" s="989"/>
      <c r="SOY1059" s="989"/>
      <c r="SOZ1059" s="989"/>
      <c r="SPA1059" s="989"/>
      <c r="SPB1059" s="989"/>
      <c r="SPC1059" s="989"/>
      <c r="SPD1059" s="989"/>
      <c r="SPE1059" s="989"/>
      <c r="SPF1059" s="989"/>
      <c r="SPG1059" s="989"/>
      <c r="SPH1059" s="989"/>
      <c r="SPI1059" s="989"/>
      <c r="SPJ1059" s="989"/>
      <c r="SPK1059" s="989"/>
      <c r="SPL1059" s="989"/>
      <c r="SPM1059" s="989"/>
      <c r="SPN1059" s="989"/>
      <c r="SPO1059" s="989"/>
      <c r="SPP1059" s="989"/>
      <c r="SPQ1059" s="989"/>
      <c r="SPR1059" s="989"/>
      <c r="SPS1059" s="989"/>
      <c r="SPT1059" s="989"/>
      <c r="SPU1059" s="989"/>
      <c r="SPV1059" s="989"/>
      <c r="SPW1059" s="989"/>
      <c r="SPX1059" s="989"/>
      <c r="SPY1059" s="989"/>
      <c r="SPZ1059" s="989"/>
      <c r="SQA1059" s="989"/>
      <c r="SQB1059" s="989"/>
      <c r="SQC1059" s="989"/>
      <c r="SQD1059" s="989"/>
      <c r="SQE1059" s="989"/>
      <c r="SQF1059" s="989"/>
      <c r="SQG1059" s="989"/>
      <c r="SQH1059" s="989"/>
      <c r="SQI1059" s="989"/>
      <c r="SQJ1059" s="989"/>
      <c r="SQK1059" s="989"/>
      <c r="SQL1059" s="989"/>
      <c r="SQM1059" s="989"/>
      <c r="SQN1059" s="989"/>
      <c r="SQO1059" s="989"/>
      <c r="SQP1059" s="989"/>
      <c r="SQQ1059" s="989"/>
      <c r="SQR1059" s="989"/>
      <c r="SQS1059" s="989"/>
      <c r="SQT1059" s="989"/>
      <c r="SQU1059" s="989"/>
      <c r="SQV1059" s="989"/>
      <c r="SQW1059" s="989"/>
      <c r="SQX1059" s="989"/>
      <c r="SQY1059" s="989"/>
      <c r="SQZ1059" s="989"/>
      <c r="SRA1059" s="989"/>
      <c r="SRB1059" s="989"/>
      <c r="SRC1059" s="989"/>
      <c r="SRD1059" s="989"/>
      <c r="SRE1059" s="989"/>
      <c r="SRF1059" s="989"/>
      <c r="SRG1059" s="989"/>
      <c r="SRH1059" s="989"/>
      <c r="SRI1059" s="989"/>
      <c r="SRJ1059" s="989"/>
      <c r="SRK1059" s="989"/>
      <c r="SRL1059" s="989"/>
      <c r="SRM1059" s="989"/>
      <c r="SRN1059" s="989"/>
      <c r="SRO1059" s="989"/>
      <c r="SRP1059" s="989"/>
      <c r="SRQ1059" s="989"/>
      <c r="SRR1059" s="989"/>
      <c r="SRS1059" s="989"/>
      <c r="SRT1059" s="989"/>
      <c r="SRU1059" s="989"/>
      <c r="SRV1059" s="989"/>
      <c r="SRW1059" s="989"/>
      <c r="SRX1059" s="989"/>
      <c r="SRY1059" s="989"/>
      <c r="SRZ1059" s="989"/>
      <c r="SSA1059" s="989"/>
      <c r="SSB1059" s="989"/>
      <c r="SSC1059" s="989"/>
      <c r="SSD1059" s="989"/>
      <c r="SSE1059" s="989"/>
      <c r="SSF1059" s="989"/>
      <c r="SSG1059" s="989"/>
      <c r="SSH1059" s="989"/>
      <c r="SSI1059" s="989"/>
      <c r="SSJ1059" s="989"/>
      <c r="SSK1059" s="989"/>
      <c r="SSL1059" s="989"/>
      <c r="SSM1059" s="989"/>
      <c r="SSN1059" s="989"/>
      <c r="SSO1059" s="989"/>
      <c r="SSP1059" s="989"/>
      <c r="SSQ1059" s="989"/>
      <c r="SSR1059" s="989"/>
      <c r="SSS1059" s="989"/>
      <c r="SST1059" s="989"/>
      <c r="SSU1059" s="989"/>
      <c r="SSV1059" s="989"/>
      <c r="SSW1059" s="989"/>
      <c r="SSX1059" s="989"/>
      <c r="SSY1059" s="989"/>
      <c r="SSZ1059" s="989"/>
      <c r="STA1059" s="989"/>
      <c r="STB1059" s="989"/>
      <c r="STC1059" s="989"/>
      <c r="STD1059" s="989"/>
      <c r="STE1059" s="989"/>
      <c r="STF1059" s="989"/>
      <c r="STG1059" s="989"/>
      <c r="STH1059" s="989"/>
      <c r="STI1059" s="989"/>
      <c r="STJ1059" s="989"/>
      <c r="STK1059" s="989"/>
      <c r="STL1059" s="989"/>
      <c r="STM1059" s="989"/>
      <c r="STN1059" s="989"/>
      <c r="STO1059" s="989"/>
      <c r="STP1059" s="989"/>
      <c r="STQ1059" s="989"/>
      <c r="STR1059" s="989"/>
      <c r="STS1059" s="989"/>
      <c r="STT1059" s="989"/>
      <c r="STU1059" s="989"/>
      <c r="STV1059" s="989"/>
      <c r="STW1059" s="989"/>
      <c r="STX1059" s="989"/>
      <c r="STY1059" s="989"/>
      <c r="STZ1059" s="989"/>
      <c r="SUA1059" s="989"/>
      <c r="SUB1059" s="989"/>
      <c r="SUC1059" s="989"/>
      <c r="SUD1059" s="989"/>
      <c r="SUE1059" s="989"/>
      <c r="SUF1059" s="989"/>
      <c r="SUG1059" s="989"/>
      <c r="SUH1059" s="989"/>
      <c r="SUI1059" s="989"/>
      <c r="SUJ1059" s="989"/>
      <c r="SUK1059" s="989"/>
      <c r="SUL1059" s="989"/>
      <c r="SUM1059" s="989"/>
      <c r="SUN1059" s="989"/>
      <c r="SUO1059" s="989"/>
      <c r="SUP1059" s="989"/>
      <c r="SUQ1059" s="989"/>
      <c r="SUR1059" s="989"/>
      <c r="SUS1059" s="989"/>
      <c r="SUT1059" s="989"/>
      <c r="SUU1059" s="989"/>
      <c r="SUV1059" s="989"/>
      <c r="SUW1059" s="989"/>
      <c r="SUX1059" s="989"/>
      <c r="SUY1059" s="989"/>
      <c r="SUZ1059" s="989"/>
      <c r="SVA1059" s="989"/>
      <c r="SVB1059" s="989"/>
      <c r="SVC1059" s="989"/>
      <c r="SVD1059" s="989"/>
      <c r="SVE1059" s="989"/>
      <c r="SVF1059" s="989"/>
      <c r="SVG1059" s="989"/>
      <c r="SVH1059" s="989"/>
      <c r="SVI1059" s="989"/>
      <c r="SVJ1059" s="989"/>
      <c r="SVK1059" s="989"/>
      <c r="SVL1059" s="989"/>
      <c r="SVM1059" s="989"/>
      <c r="SVN1059" s="989"/>
      <c r="SVO1059" s="989"/>
      <c r="SVP1059" s="989"/>
      <c r="SVQ1059" s="989"/>
      <c r="SVR1059" s="989"/>
      <c r="SVS1059" s="989"/>
      <c r="SVT1059" s="989"/>
      <c r="SVU1059" s="989"/>
      <c r="SVV1059" s="989"/>
      <c r="SVW1059" s="989"/>
      <c r="SVX1059" s="989"/>
      <c r="SVY1059" s="989"/>
      <c r="SVZ1059" s="989"/>
      <c r="SWA1059" s="989"/>
      <c r="SWB1059" s="989"/>
      <c r="SWC1059" s="989"/>
      <c r="SWD1059" s="989"/>
      <c r="SWE1059" s="989"/>
      <c r="SWF1059" s="989"/>
      <c r="SWG1059" s="989"/>
      <c r="SWH1059" s="989"/>
      <c r="SWI1059" s="989"/>
      <c r="SWJ1059" s="989"/>
      <c r="SWK1059" s="989"/>
      <c r="SWL1059" s="989"/>
      <c r="SWM1059" s="989"/>
      <c r="SWN1059" s="989"/>
      <c r="SWO1059" s="989"/>
      <c r="SWP1059" s="989"/>
      <c r="SWQ1059" s="989"/>
      <c r="SWR1059" s="989"/>
      <c r="SWS1059" s="989"/>
      <c r="SWT1059" s="989"/>
      <c r="SWU1059" s="989"/>
      <c r="SWV1059" s="989"/>
      <c r="SWW1059" s="989"/>
      <c r="SWX1059" s="989"/>
      <c r="SWY1059" s="989"/>
      <c r="SWZ1059" s="989"/>
      <c r="SXA1059" s="989"/>
      <c r="SXB1059" s="989"/>
      <c r="SXC1059" s="989"/>
      <c r="SXD1059" s="989"/>
      <c r="SXE1059" s="989"/>
      <c r="SXF1059" s="989"/>
      <c r="SXG1059" s="989"/>
      <c r="SXH1059" s="989"/>
      <c r="SXI1059" s="989"/>
      <c r="SXJ1059" s="989"/>
      <c r="SXK1059" s="989"/>
      <c r="SXL1059" s="989"/>
      <c r="SXM1059" s="989"/>
      <c r="SXN1059" s="989"/>
      <c r="SXO1059" s="989"/>
      <c r="SXP1059" s="989"/>
      <c r="SXQ1059" s="989"/>
      <c r="SXR1059" s="989"/>
      <c r="SXS1059" s="989"/>
      <c r="SXT1059" s="989"/>
      <c r="SXU1059" s="989"/>
      <c r="SXV1059" s="989"/>
      <c r="SXW1059" s="989"/>
      <c r="SXX1059" s="989"/>
      <c r="SXY1059" s="989"/>
      <c r="SXZ1059" s="989"/>
      <c r="SYA1059" s="989"/>
      <c r="SYB1059" s="989"/>
      <c r="SYC1059" s="989"/>
      <c r="SYD1059" s="989"/>
      <c r="SYE1059" s="989"/>
      <c r="SYF1059" s="989"/>
      <c r="SYG1059" s="989"/>
      <c r="SYH1059" s="989"/>
      <c r="SYI1059" s="989"/>
      <c r="SYJ1059" s="989"/>
      <c r="SYK1059" s="989"/>
      <c r="SYL1059" s="989"/>
      <c r="SYM1059" s="989"/>
      <c r="SYN1059" s="989"/>
      <c r="SYO1059" s="989"/>
      <c r="SYP1059" s="989"/>
      <c r="SYQ1059" s="989"/>
      <c r="SYR1059" s="989"/>
      <c r="SYS1059" s="989"/>
      <c r="SYT1059" s="989"/>
      <c r="SYU1059" s="989"/>
      <c r="SYV1059" s="989"/>
      <c r="SYW1059" s="989"/>
      <c r="SYX1059" s="989"/>
      <c r="SYY1059" s="989"/>
      <c r="SYZ1059" s="989"/>
      <c r="SZA1059" s="989"/>
      <c r="SZB1059" s="989"/>
      <c r="SZC1059" s="989"/>
      <c r="SZD1059" s="989"/>
      <c r="SZE1059" s="989"/>
      <c r="SZF1059" s="989"/>
      <c r="SZG1059" s="989"/>
      <c r="SZH1059" s="989"/>
      <c r="SZI1059" s="989"/>
      <c r="SZJ1059" s="989"/>
      <c r="SZK1059" s="989"/>
      <c r="SZL1059" s="989"/>
      <c r="SZM1059" s="989"/>
      <c r="SZN1059" s="989"/>
      <c r="SZO1059" s="989"/>
      <c r="SZP1059" s="989"/>
      <c r="SZQ1059" s="989"/>
      <c r="SZR1059" s="989"/>
      <c r="SZS1059" s="989"/>
      <c r="SZT1059" s="989"/>
      <c r="SZU1059" s="989"/>
      <c r="SZV1059" s="989"/>
      <c r="SZW1059" s="989"/>
      <c r="SZX1059" s="989"/>
      <c r="SZY1059" s="989"/>
      <c r="SZZ1059" s="989"/>
      <c r="TAA1059" s="989"/>
      <c r="TAB1059" s="989"/>
      <c r="TAC1059" s="989"/>
      <c r="TAD1059" s="989"/>
      <c r="TAE1059" s="989"/>
      <c r="TAF1059" s="989"/>
      <c r="TAG1059" s="989"/>
      <c r="TAH1059" s="989"/>
      <c r="TAI1059" s="989"/>
      <c r="TAJ1059" s="989"/>
      <c r="TAK1059" s="989"/>
      <c r="TAL1059" s="989"/>
      <c r="TAM1059" s="989"/>
      <c r="TAN1059" s="989"/>
      <c r="TAO1059" s="989"/>
      <c r="TAP1059" s="989"/>
      <c r="TAQ1059" s="989"/>
      <c r="TAR1059" s="989"/>
      <c r="TAS1059" s="989"/>
      <c r="TAT1059" s="989"/>
      <c r="TAU1059" s="989"/>
      <c r="TAV1059" s="989"/>
      <c r="TAW1059" s="989"/>
      <c r="TAX1059" s="989"/>
      <c r="TAY1059" s="989"/>
      <c r="TAZ1059" s="989"/>
      <c r="TBA1059" s="989"/>
      <c r="TBB1059" s="989"/>
      <c r="TBC1059" s="989"/>
      <c r="TBD1059" s="989"/>
      <c r="TBE1059" s="989"/>
      <c r="TBF1059" s="989"/>
      <c r="TBG1059" s="989"/>
      <c r="TBH1059" s="989"/>
      <c r="TBI1059" s="989"/>
      <c r="TBJ1059" s="989"/>
      <c r="TBK1059" s="989"/>
      <c r="TBL1059" s="989"/>
      <c r="TBM1059" s="989"/>
      <c r="TBN1059" s="989"/>
      <c r="TBO1059" s="989"/>
      <c r="TBP1059" s="989"/>
      <c r="TBQ1059" s="989"/>
      <c r="TBR1059" s="989"/>
      <c r="TBS1059" s="989"/>
      <c r="TBT1059" s="989"/>
      <c r="TBU1059" s="989"/>
      <c r="TBV1059" s="989"/>
      <c r="TBW1059" s="989"/>
      <c r="TBX1059" s="989"/>
      <c r="TBY1059" s="989"/>
      <c r="TBZ1059" s="989"/>
      <c r="TCA1059" s="989"/>
      <c r="TCB1059" s="989"/>
      <c r="TCC1059" s="989"/>
      <c r="TCD1059" s="989"/>
      <c r="TCE1059" s="989"/>
      <c r="TCF1059" s="989"/>
      <c r="TCG1059" s="989"/>
      <c r="TCH1059" s="989"/>
      <c r="TCI1059" s="989"/>
      <c r="TCJ1059" s="989"/>
      <c r="TCK1059" s="989"/>
      <c r="TCL1059" s="989"/>
      <c r="TCM1059" s="989"/>
      <c r="TCN1059" s="989"/>
      <c r="TCO1059" s="989"/>
      <c r="TCP1059" s="989"/>
      <c r="TCQ1059" s="989"/>
      <c r="TCR1059" s="989"/>
      <c r="TCS1059" s="989"/>
      <c r="TCT1059" s="989"/>
      <c r="TCU1059" s="989"/>
      <c r="TCV1059" s="989"/>
      <c r="TCW1059" s="989"/>
      <c r="TCX1059" s="989"/>
      <c r="TCY1059" s="989"/>
      <c r="TCZ1059" s="989"/>
      <c r="TDA1059" s="989"/>
      <c r="TDB1059" s="989"/>
      <c r="TDC1059" s="989"/>
      <c r="TDD1059" s="989"/>
      <c r="TDE1059" s="989"/>
      <c r="TDF1059" s="989"/>
      <c r="TDG1059" s="989"/>
      <c r="TDH1059" s="989"/>
      <c r="TDI1059" s="989"/>
      <c r="TDJ1059" s="989"/>
      <c r="TDK1059" s="989"/>
      <c r="TDL1059" s="989"/>
      <c r="TDM1059" s="989"/>
      <c r="TDN1059" s="989"/>
      <c r="TDO1059" s="989"/>
      <c r="TDP1059" s="989"/>
      <c r="TDQ1059" s="989"/>
      <c r="TDR1059" s="989"/>
      <c r="TDS1059" s="989"/>
      <c r="TDT1059" s="989"/>
      <c r="TDU1059" s="989"/>
      <c r="TDV1059" s="989"/>
      <c r="TDW1059" s="989"/>
      <c r="TDX1059" s="989"/>
      <c r="TDY1059" s="989"/>
      <c r="TDZ1059" s="989"/>
      <c r="TEA1059" s="989"/>
      <c r="TEB1059" s="989"/>
      <c r="TEC1059" s="989"/>
      <c r="TED1059" s="989"/>
      <c r="TEE1059" s="989"/>
      <c r="TEF1059" s="989"/>
      <c r="TEG1059" s="989"/>
      <c r="TEH1059" s="989"/>
      <c r="TEI1059" s="989"/>
      <c r="TEJ1059" s="989"/>
      <c r="TEK1059" s="989"/>
      <c r="TEL1059" s="989"/>
      <c r="TEM1059" s="989"/>
      <c r="TEN1059" s="989"/>
      <c r="TEO1059" s="989"/>
      <c r="TEP1059" s="989"/>
      <c r="TEQ1059" s="989"/>
      <c r="TER1059" s="989"/>
      <c r="TES1059" s="989"/>
      <c r="TET1059" s="989"/>
      <c r="TEU1059" s="989"/>
      <c r="TEV1059" s="989"/>
      <c r="TEW1059" s="989"/>
      <c r="TEX1059" s="989"/>
      <c r="TEY1059" s="989"/>
      <c r="TEZ1059" s="989"/>
      <c r="TFA1059" s="989"/>
      <c r="TFB1059" s="989"/>
      <c r="TFC1059" s="989"/>
      <c r="TFD1059" s="989"/>
      <c r="TFE1059" s="989"/>
      <c r="TFF1059" s="989"/>
      <c r="TFG1059" s="989"/>
      <c r="TFH1059" s="989"/>
      <c r="TFI1059" s="989"/>
      <c r="TFJ1059" s="989"/>
      <c r="TFK1059" s="989"/>
      <c r="TFL1059" s="989"/>
      <c r="TFM1059" s="989"/>
      <c r="TFN1059" s="989"/>
      <c r="TFO1059" s="989"/>
      <c r="TFP1059" s="989"/>
      <c r="TFQ1059" s="989"/>
      <c r="TFR1059" s="989"/>
      <c r="TFS1059" s="989"/>
      <c r="TFT1059" s="989"/>
      <c r="TFU1059" s="989"/>
      <c r="TFV1059" s="989"/>
      <c r="TFW1059" s="989"/>
      <c r="TFX1059" s="989"/>
      <c r="TFY1059" s="989"/>
      <c r="TFZ1059" s="989"/>
      <c r="TGA1059" s="989"/>
      <c r="TGB1059" s="989"/>
      <c r="TGC1059" s="989"/>
      <c r="TGD1059" s="989"/>
      <c r="TGE1059" s="989"/>
      <c r="TGF1059" s="989"/>
      <c r="TGG1059" s="989"/>
      <c r="TGH1059" s="989"/>
      <c r="TGI1059" s="989"/>
      <c r="TGJ1059" s="989"/>
      <c r="TGK1059" s="989"/>
      <c r="TGL1059" s="989"/>
      <c r="TGM1059" s="989"/>
      <c r="TGN1059" s="989"/>
      <c r="TGO1059" s="989"/>
      <c r="TGP1059" s="989"/>
      <c r="TGQ1059" s="989"/>
      <c r="TGR1059" s="989"/>
      <c r="TGS1059" s="989"/>
      <c r="TGT1059" s="989"/>
      <c r="TGU1059" s="989"/>
      <c r="TGV1059" s="989"/>
      <c r="TGW1059" s="989"/>
      <c r="TGX1059" s="989"/>
      <c r="TGY1059" s="989"/>
      <c r="TGZ1059" s="989"/>
      <c r="THA1059" s="989"/>
      <c r="THB1059" s="989"/>
      <c r="THC1059" s="989"/>
      <c r="THD1059" s="989"/>
      <c r="THE1059" s="989"/>
      <c r="THF1059" s="989"/>
      <c r="THG1059" s="989"/>
      <c r="THH1059" s="989"/>
      <c r="THI1059" s="989"/>
      <c r="THJ1059" s="989"/>
      <c r="THK1059" s="989"/>
      <c r="THL1059" s="989"/>
      <c r="THM1059" s="989"/>
      <c r="THN1059" s="989"/>
      <c r="THO1059" s="989"/>
      <c r="THP1059" s="989"/>
      <c r="THQ1059" s="989"/>
      <c r="THR1059" s="989"/>
      <c r="THS1059" s="989"/>
      <c r="THT1059" s="989"/>
      <c r="THU1059" s="989"/>
      <c r="THV1059" s="989"/>
      <c r="THW1059" s="989"/>
      <c r="THX1059" s="989"/>
      <c r="THY1059" s="989"/>
      <c r="THZ1059" s="989"/>
      <c r="TIA1059" s="989"/>
      <c r="TIB1059" s="989"/>
      <c r="TIC1059" s="989"/>
      <c r="TID1059" s="989"/>
      <c r="TIE1059" s="989"/>
      <c r="TIF1059" s="989"/>
      <c r="TIG1059" s="989"/>
      <c r="TIH1059" s="989"/>
      <c r="TII1059" s="989"/>
      <c r="TIJ1059" s="989"/>
      <c r="TIK1059" s="989"/>
      <c r="TIL1059" s="989"/>
      <c r="TIM1059" s="989"/>
      <c r="TIN1059" s="989"/>
      <c r="TIO1059" s="989"/>
      <c r="TIP1059" s="989"/>
      <c r="TIQ1059" s="989"/>
      <c r="TIR1059" s="989"/>
      <c r="TIS1059" s="989"/>
      <c r="TIT1059" s="989"/>
      <c r="TIU1059" s="989"/>
      <c r="TIV1059" s="989"/>
      <c r="TIW1059" s="989"/>
      <c r="TIX1059" s="989"/>
      <c r="TIY1059" s="989"/>
      <c r="TIZ1059" s="989"/>
      <c r="TJA1059" s="989"/>
      <c r="TJB1059" s="989"/>
      <c r="TJC1059" s="989"/>
      <c r="TJD1059" s="989"/>
      <c r="TJE1059" s="989"/>
      <c r="TJF1059" s="989"/>
      <c r="TJG1059" s="989"/>
      <c r="TJH1059" s="989"/>
      <c r="TJI1059" s="989"/>
      <c r="TJJ1059" s="989"/>
      <c r="TJK1059" s="989"/>
      <c r="TJL1059" s="989"/>
      <c r="TJM1059" s="989"/>
      <c r="TJN1059" s="989"/>
      <c r="TJO1059" s="989"/>
      <c r="TJP1059" s="989"/>
      <c r="TJQ1059" s="989"/>
      <c r="TJR1059" s="989"/>
      <c r="TJS1059" s="989"/>
      <c r="TJT1059" s="989"/>
      <c r="TJU1059" s="989"/>
      <c r="TJV1059" s="989"/>
      <c r="TJW1059" s="989"/>
      <c r="TJX1059" s="989"/>
      <c r="TJY1059" s="989"/>
      <c r="TJZ1059" s="989"/>
      <c r="TKA1059" s="989"/>
      <c r="TKB1059" s="989"/>
      <c r="TKC1059" s="989"/>
      <c r="TKD1059" s="989"/>
      <c r="TKE1059" s="989"/>
      <c r="TKF1059" s="989"/>
      <c r="TKG1059" s="989"/>
      <c r="TKH1059" s="989"/>
      <c r="TKI1059" s="989"/>
      <c r="TKJ1059" s="989"/>
      <c r="TKK1059" s="989"/>
      <c r="TKL1059" s="989"/>
      <c r="TKM1059" s="989"/>
      <c r="TKN1059" s="989"/>
      <c r="TKO1059" s="989"/>
      <c r="TKP1059" s="989"/>
      <c r="TKQ1059" s="989"/>
      <c r="TKR1059" s="989"/>
      <c r="TKS1059" s="989"/>
      <c r="TKT1059" s="989"/>
      <c r="TKU1059" s="989"/>
      <c r="TKV1059" s="989"/>
      <c r="TKW1059" s="989"/>
      <c r="TKX1059" s="989"/>
      <c r="TKY1059" s="989"/>
      <c r="TKZ1059" s="989"/>
      <c r="TLA1059" s="989"/>
      <c r="TLB1059" s="989"/>
      <c r="TLC1059" s="989"/>
      <c r="TLD1059" s="989"/>
      <c r="TLE1059" s="989"/>
      <c r="TLF1059" s="989"/>
      <c r="TLG1059" s="989"/>
      <c r="TLH1059" s="989"/>
      <c r="TLI1059" s="989"/>
      <c r="TLJ1059" s="989"/>
      <c r="TLK1059" s="989"/>
      <c r="TLL1059" s="989"/>
      <c r="TLM1059" s="989"/>
      <c r="TLN1059" s="989"/>
      <c r="TLO1059" s="989"/>
      <c r="TLP1059" s="989"/>
      <c r="TLQ1059" s="989"/>
      <c r="TLR1059" s="989"/>
      <c r="TLS1059" s="989"/>
      <c r="TLT1059" s="989"/>
      <c r="TLU1059" s="989"/>
      <c r="TLV1059" s="989"/>
      <c r="TLW1059" s="989"/>
      <c r="TLX1059" s="989"/>
      <c r="TLY1059" s="989"/>
      <c r="TLZ1059" s="989"/>
      <c r="TMA1059" s="989"/>
      <c r="TMB1059" s="989"/>
      <c r="TMC1059" s="989"/>
      <c r="TMD1059" s="989"/>
      <c r="TME1059" s="989"/>
      <c r="TMF1059" s="989"/>
      <c r="TMG1059" s="989"/>
      <c r="TMH1059" s="989"/>
      <c r="TMI1059" s="989"/>
      <c r="TMJ1059" s="989"/>
      <c r="TMK1059" s="989"/>
      <c r="TML1059" s="989"/>
      <c r="TMM1059" s="989"/>
      <c r="TMN1059" s="989"/>
      <c r="TMO1059" s="989"/>
      <c r="TMP1059" s="989"/>
      <c r="TMQ1059" s="989"/>
      <c r="TMR1059" s="989"/>
      <c r="TMS1059" s="989"/>
      <c r="TMT1059" s="989"/>
      <c r="TMU1059" s="989"/>
      <c r="TMV1059" s="989"/>
      <c r="TMW1059" s="989"/>
      <c r="TMX1059" s="989"/>
      <c r="TMY1059" s="989"/>
      <c r="TMZ1059" s="989"/>
      <c r="TNA1059" s="989"/>
      <c r="TNB1059" s="989"/>
      <c r="TNC1059" s="989"/>
      <c r="TND1059" s="989"/>
      <c r="TNE1059" s="989"/>
      <c r="TNF1059" s="989"/>
      <c r="TNG1059" s="989"/>
      <c r="TNH1059" s="989"/>
      <c r="TNI1059" s="989"/>
      <c r="TNJ1059" s="989"/>
      <c r="TNK1059" s="989"/>
      <c r="TNL1059" s="989"/>
      <c r="TNM1059" s="989"/>
      <c r="TNN1059" s="989"/>
      <c r="TNO1059" s="989"/>
      <c r="TNP1059" s="989"/>
      <c r="TNQ1059" s="989"/>
      <c r="TNR1059" s="989"/>
      <c r="TNS1059" s="989"/>
      <c r="TNT1059" s="989"/>
      <c r="TNU1059" s="989"/>
      <c r="TNV1059" s="989"/>
      <c r="TNW1059" s="989"/>
      <c r="TNX1059" s="989"/>
      <c r="TNY1059" s="989"/>
      <c r="TNZ1059" s="989"/>
      <c r="TOA1059" s="989"/>
      <c r="TOB1059" s="989"/>
      <c r="TOC1059" s="989"/>
      <c r="TOD1059" s="989"/>
      <c r="TOE1059" s="989"/>
      <c r="TOF1059" s="989"/>
      <c r="TOG1059" s="989"/>
      <c r="TOH1059" s="989"/>
      <c r="TOI1059" s="989"/>
      <c r="TOJ1059" s="989"/>
      <c r="TOK1059" s="989"/>
      <c r="TOL1059" s="989"/>
      <c r="TOM1059" s="989"/>
      <c r="TON1059" s="989"/>
      <c r="TOO1059" s="989"/>
      <c r="TOP1059" s="989"/>
      <c r="TOQ1059" s="989"/>
      <c r="TOR1059" s="989"/>
      <c r="TOS1059" s="989"/>
      <c r="TOT1059" s="989"/>
      <c r="TOU1059" s="989"/>
      <c r="TOV1059" s="989"/>
      <c r="TOW1059" s="989"/>
      <c r="TOX1059" s="989"/>
      <c r="TOY1059" s="989"/>
      <c r="TOZ1059" s="989"/>
      <c r="TPA1059" s="989"/>
      <c r="TPB1059" s="989"/>
      <c r="TPC1059" s="989"/>
      <c r="TPD1059" s="989"/>
      <c r="TPE1059" s="989"/>
      <c r="TPF1059" s="989"/>
      <c r="TPG1059" s="989"/>
      <c r="TPH1059" s="989"/>
      <c r="TPI1059" s="989"/>
      <c r="TPJ1059" s="989"/>
      <c r="TPK1059" s="989"/>
      <c r="TPL1059" s="989"/>
      <c r="TPM1059" s="989"/>
      <c r="TPN1059" s="989"/>
      <c r="TPO1059" s="989"/>
      <c r="TPP1059" s="989"/>
      <c r="TPQ1059" s="989"/>
      <c r="TPR1059" s="989"/>
      <c r="TPS1059" s="989"/>
      <c r="TPT1059" s="989"/>
      <c r="TPU1059" s="989"/>
      <c r="TPV1059" s="989"/>
      <c r="TPW1059" s="989"/>
      <c r="TPX1059" s="989"/>
      <c r="TPY1059" s="989"/>
      <c r="TPZ1059" s="989"/>
      <c r="TQA1059" s="989"/>
      <c r="TQB1059" s="989"/>
      <c r="TQC1059" s="989"/>
      <c r="TQD1059" s="989"/>
      <c r="TQE1059" s="989"/>
      <c r="TQF1059" s="989"/>
      <c r="TQG1059" s="989"/>
      <c r="TQH1059" s="989"/>
      <c r="TQI1059" s="989"/>
      <c r="TQJ1059" s="989"/>
      <c r="TQK1059" s="989"/>
      <c r="TQL1059" s="989"/>
      <c r="TQM1059" s="989"/>
      <c r="TQN1059" s="989"/>
      <c r="TQO1059" s="989"/>
      <c r="TQP1059" s="989"/>
      <c r="TQQ1059" s="989"/>
      <c r="TQR1059" s="989"/>
      <c r="TQS1059" s="989"/>
      <c r="TQT1059" s="989"/>
      <c r="TQU1059" s="989"/>
      <c r="TQV1059" s="989"/>
      <c r="TQW1059" s="989"/>
      <c r="TQX1059" s="989"/>
      <c r="TQY1059" s="989"/>
      <c r="TQZ1059" s="989"/>
      <c r="TRA1059" s="989"/>
      <c r="TRB1059" s="989"/>
      <c r="TRC1059" s="989"/>
      <c r="TRD1059" s="989"/>
      <c r="TRE1059" s="989"/>
      <c r="TRF1059" s="989"/>
      <c r="TRG1059" s="989"/>
      <c r="TRH1059" s="989"/>
      <c r="TRI1059" s="989"/>
      <c r="TRJ1059" s="989"/>
      <c r="TRK1059" s="989"/>
      <c r="TRL1059" s="989"/>
      <c r="TRM1059" s="989"/>
      <c r="TRN1059" s="989"/>
      <c r="TRO1059" s="989"/>
      <c r="TRP1059" s="989"/>
      <c r="TRQ1059" s="989"/>
      <c r="TRR1059" s="989"/>
      <c r="TRS1059" s="989"/>
      <c r="TRT1059" s="989"/>
      <c r="TRU1059" s="989"/>
      <c r="TRV1059" s="989"/>
      <c r="TRW1059" s="989"/>
      <c r="TRX1059" s="989"/>
      <c r="TRY1059" s="989"/>
      <c r="TRZ1059" s="989"/>
      <c r="TSA1059" s="989"/>
      <c r="TSB1059" s="989"/>
      <c r="TSC1059" s="989"/>
      <c r="TSD1059" s="989"/>
      <c r="TSE1059" s="989"/>
      <c r="TSF1059" s="989"/>
      <c r="TSG1059" s="989"/>
      <c r="TSH1059" s="989"/>
      <c r="TSI1059" s="989"/>
      <c r="TSJ1059" s="989"/>
      <c r="TSK1059" s="989"/>
      <c r="TSL1059" s="989"/>
      <c r="TSM1059" s="989"/>
      <c r="TSN1059" s="989"/>
      <c r="TSO1059" s="989"/>
      <c r="TSP1059" s="989"/>
      <c r="TSQ1059" s="989"/>
      <c r="TSR1059" s="989"/>
      <c r="TSS1059" s="989"/>
      <c r="TST1059" s="989"/>
      <c r="TSU1059" s="989"/>
      <c r="TSV1059" s="989"/>
      <c r="TSW1059" s="989"/>
      <c r="TSX1059" s="989"/>
      <c r="TSY1059" s="989"/>
      <c r="TSZ1059" s="989"/>
      <c r="TTA1059" s="989"/>
      <c r="TTB1059" s="989"/>
      <c r="TTC1059" s="989"/>
      <c r="TTD1059" s="989"/>
      <c r="TTE1059" s="989"/>
      <c r="TTF1059" s="989"/>
      <c r="TTG1059" s="989"/>
      <c r="TTH1059" s="989"/>
      <c r="TTI1059" s="989"/>
      <c r="TTJ1059" s="989"/>
      <c r="TTK1059" s="989"/>
      <c r="TTL1059" s="989"/>
      <c r="TTM1059" s="989"/>
      <c r="TTN1059" s="989"/>
      <c r="TTO1059" s="989"/>
      <c r="TTP1059" s="989"/>
      <c r="TTQ1059" s="989"/>
      <c r="TTR1059" s="989"/>
      <c r="TTS1059" s="989"/>
      <c r="TTT1059" s="989"/>
      <c r="TTU1059" s="989"/>
      <c r="TTV1059" s="989"/>
      <c r="TTW1059" s="989"/>
      <c r="TTX1059" s="989"/>
      <c r="TTY1059" s="989"/>
      <c r="TTZ1059" s="989"/>
      <c r="TUA1059" s="989"/>
      <c r="TUB1059" s="989"/>
      <c r="TUC1059" s="989"/>
      <c r="TUD1059" s="989"/>
      <c r="TUE1059" s="989"/>
      <c r="TUF1059" s="989"/>
      <c r="TUG1059" s="989"/>
      <c r="TUH1059" s="989"/>
      <c r="TUI1059" s="989"/>
      <c r="TUJ1059" s="989"/>
      <c r="TUK1059" s="989"/>
      <c r="TUL1059" s="989"/>
      <c r="TUM1059" s="989"/>
      <c r="TUN1059" s="989"/>
      <c r="TUO1059" s="989"/>
      <c r="TUP1059" s="989"/>
      <c r="TUQ1059" s="989"/>
      <c r="TUR1059" s="989"/>
      <c r="TUS1059" s="989"/>
      <c r="TUT1059" s="989"/>
      <c r="TUU1059" s="989"/>
      <c r="TUV1059" s="989"/>
      <c r="TUW1059" s="989"/>
      <c r="TUX1059" s="989"/>
      <c r="TUY1059" s="989"/>
      <c r="TUZ1059" s="989"/>
      <c r="TVA1059" s="989"/>
      <c r="TVB1059" s="989"/>
      <c r="TVC1059" s="989"/>
      <c r="TVD1059" s="989"/>
      <c r="TVE1059" s="989"/>
      <c r="TVF1059" s="989"/>
      <c r="TVG1059" s="989"/>
      <c r="TVH1059" s="989"/>
      <c r="TVI1059" s="989"/>
      <c r="TVJ1059" s="989"/>
      <c r="TVK1059" s="989"/>
      <c r="TVL1059" s="989"/>
      <c r="TVM1059" s="989"/>
      <c r="TVN1059" s="989"/>
      <c r="TVO1059" s="989"/>
      <c r="TVP1059" s="989"/>
      <c r="TVQ1059" s="989"/>
      <c r="TVR1059" s="989"/>
      <c r="TVS1059" s="989"/>
      <c r="TVT1059" s="989"/>
      <c r="TVU1059" s="989"/>
      <c r="TVV1059" s="989"/>
      <c r="TVW1059" s="989"/>
      <c r="TVX1059" s="989"/>
      <c r="TVY1059" s="989"/>
      <c r="TVZ1059" s="989"/>
      <c r="TWA1059" s="989"/>
      <c r="TWB1059" s="989"/>
      <c r="TWC1059" s="989"/>
      <c r="TWD1059" s="989"/>
      <c r="TWE1059" s="989"/>
      <c r="TWF1059" s="989"/>
      <c r="TWG1059" s="989"/>
      <c r="TWH1059" s="989"/>
      <c r="TWI1059" s="989"/>
      <c r="TWJ1059" s="989"/>
      <c r="TWK1059" s="989"/>
      <c r="TWL1059" s="989"/>
      <c r="TWM1059" s="989"/>
      <c r="TWN1059" s="989"/>
      <c r="TWO1059" s="989"/>
      <c r="TWP1059" s="989"/>
      <c r="TWQ1059" s="989"/>
      <c r="TWR1059" s="989"/>
      <c r="TWS1059" s="989"/>
      <c r="TWT1059" s="989"/>
      <c r="TWU1059" s="989"/>
      <c r="TWV1059" s="989"/>
      <c r="TWW1059" s="989"/>
      <c r="TWX1059" s="989"/>
      <c r="TWY1059" s="989"/>
      <c r="TWZ1059" s="989"/>
      <c r="TXA1059" s="989"/>
      <c r="TXB1059" s="989"/>
      <c r="TXC1059" s="989"/>
      <c r="TXD1059" s="989"/>
      <c r="TXE1059" s="989"/>
      <c r="TXF1059" s="989"/>
      <c r="TXG1059" s="989"/>
      <c r="TXH1059" s="989"/>
      <c r="TXI1059" s="989"/>
      <c r="TXJ1059" s="989"/>
      <c r="TXK1059" s="989"/>
      <c r="TXL1059" s="989"/>
      <c r="TXM1059" s="989"/>
      <c r="TXN1059" s="989"/>
      <c r="TXO1059" s="989"/>
      <c r="TXP1059" s="989"/>
      <c r="TXQ1059" s="989"/>
      <c r="TXR1059" s="989"/>
      <c r="TXS1059" s="989"/>
      <c r="TXT1059" s="989"/>
      <c r="TXU1059" s="989"/>
      <c r="TXV1059" s="989"/>
      <c r="TXW1059" s="989"/>
      <c r="TXX1059" s="989"/>
      <c r="TXY1059" s="989"/>
      <c r="TXZ1059" s="989"/>
      <c r="TYA1059" s="989"/>
      <c r="TYB1059" s="989"/>
      <c r="TYC1059" s="989"/>
      <c r="TYD1059" s="989"/>
      <c r="TYE1059" s="989"/>
      <c r="TYF1059" s="989"/>
      <c r="TYG1059" s="989"/>
      <c r="TYH1059" s="989"/>
      <c r="TYI1059" s="989"/>
      <c r="TYJ1059" s="989"/>
      <c r="TYK1059" s="989"/>
      <c r="TYL1059" s="989"/>
      <c r="TYM1059" s="989"/>
      <c r="TYN1059" s="989"/>
      <c r="TYO1059" s="989"/>
      <c r="TYP1059" s="989"/>
      <c r="TYQ1059" s="989"/>
      <c r="TYR1059" s="989"/>
      <c r="TYS1059" s="989"/>
      <c r="TYT1059" s="989"/>
      <c r="TYU1059" s="989"/>
      <c r="TYV1059" s="989"/>
      <c r="TYW1059" s="989"/>
      <c r="TYX1059" s="989"/>
      <c r="TYY1059" s="989"/>
      <c r="TYZ1059" s="989"/>
      <c r="TZA1059" s="989"/>
      <c r="TZB1059" s="989"/>
      <c r="TZC1059" s="989"/>
      <c r="TZD1059" s="989"/>
      <c r="TZE1059" s="989"/>
      <c r="TZF1059" s="989"/>
      <c r="TZG1059" s="989"/>
      <c r="TZH1059" s="989"/>
      <c r="TZI1059" s="989"/>
      <c r="TZJ1059" s="989"/>
      <c r="TZK1059" s="989"/>
      <c r="TZL1059" s="989"/>
      <c r="TZM1059" s="989"/>
      <c r="TZN1059" s="989"/>
      <c r="TZO1059" s="989"/>
      <c r="TZP1059" s="989"/>
      <c r="TZQ1059" s="989"/>
      <c r="TZR1059" s="989"/>
      <c r="TZS1059" s="989"/>
      <c r="TZT1059" s="989"/>
      <c r="TZU1059" s="989"/>
      <c r="TZV1059" s="989"/>
      <c r="TZW1059" s="989"/>
      <c r="TZX1059" s="989"/>
      <c r="TZY1059" s="989"/>
      <c r="TZZ1059" s="989"/>
      <c r="UAA1059" s="989"/>
      <c r="UAB1059" s="989"/>
      <c r="UAC1059" s="989"/>
      <c r="UAD1059" s="989"/>
      <c r="UAE1059" s="989"/>
      <c r="UAF1059" s="989"/>
      <c r="UAG1059" s="989"/>
      <c r="UAH1059" s="989"/>
      <c r="UAI1059" s="989"/>
      <c r="UAJ1059" s="989"/>
      <c r="UAK1059" s="989"/>
      <c r="UAL1059" s="989"/>
      <c r="UAM1059" s="989"/>
      <c r="UAN1059" s="989"/>
      <c r="UAO1059" s="989"/>
      <c r="UAP1059" s="989"/>
      <c r="UAQ1059" s="989"/>
      <c r="UAR1059" s="989"/>
      <c r="UAS1059" s="989"/>
      <c r="UAT1059" s="989"/>
      <c r="UAU1059" s="989"/>
      <c r="UAV1059" s="989"/>
      <c r="UAW1059" s="989"/>
      <c r="UAX1059" s="989"/>
      <c r="UAY1059" s="989"/>
      <c r="UAZ1059" s="989"/>
      <c r="UBA1059" s="989"/>
      <c r="UBB1059" s="989"/>
      <c r="UBC1059" s="989"/>
      <c r="UBD1059" s="989"/>
      <c r="UBE1059" s="989"/>
      <c r="UBF1059" s="989"/>
      <c r="UBG1059" s="989"/>
      <c r="UBH1059" s="989"/>
      <c r="UBI1059" s="989"/>
      <c r="UBJ1059" s="989"/>
      <c r="UBK1059" s="989"/>
      <c r="UBL1059" s="989"/>
      <c r="UBM1059" s="989"/>
      <c r="UBN1059" s="989"/>
      <c r="UBO1059" s="989"/>
      <c r="UBP1059" s="989"/>
      <c r="UBQ1059" s="989"/>
      <c r="UBR1059" s="989"/>
      <c r="UBS1059" s="989"/>
      <c r="UBT1059" s="989"/>
      <c r="UBU1059" s="989"/>
      <c r="UBV1059" s="989"/>
      <c r="UBW1059" s="989"/>
      <c r="UBX1059" s="989"/>
      <c r="UBY1059" s="989"/>
      <c r="UBZ1059" s="989"/>
      <c r="UCA1059" s="989"/>
      <c r="UCB1059" s="989"/>
      <c r="UCC1059" s="989"/>
      <c r="UCD1059" s="989"/>
      <c r="UCE1059" s="989"/>
      <c r="UCF1059" s="989"/>
      <c r="UCG1059" s="989"/>
      <c r="UCH1059" s="989"/>
      <c r="UCI1059" s="989"/>
      <c r="UCJ1059" s="989"/>
      <c r="UCK1059" s="989"/>
      <c r="UCL1059" s="989"/>
      <c r="UCM1059" s="989"/>
      <c r="UCN1059" s="989"/>
      <c r="UCO1059" s="989"/>
      <c r="UCP1059" s="989"/>
      <c r="UCQ1059" s="989"/>
      <c r="UCR1059" s="989"/>
      <c r="UCS1059" s="989"/>
      <c r="UCT1059" s="989"/>
      <c r="UCU1059" s="989"/>
      <c r="UCV1059" s="989"/>
      <c r="UCW1059" s="989"/>
      <c r="UCX1059" s="989"/>
      <c r="UCY1059" s="989"/>
      <c r="UCZ1059" s="989"/>
      <c r="UDA1059" s="989"/>
      <c r="UDB1059" s="989"/>
      <c r="UDC1059" s="989"/>
      <c r="UDD1059" s="989"/>
      <c r="UDE1059" s="989"/>
      <c r="UDF1059" s="989"/>
      <c r="UDG1059" s="989"/>
      <c r="UDH1059" s="989"/>
      <c r="UDI1059" s="989"/>
      <c r="UDJ1059" s="989"/>
      <c r="UDK1059" s="989"/>
      <c r="UDL1059" s="989"/>
      <c r="UDM1059" s="989"/>
      <c r="UDN1059" s="989"/>
      <c r="UDO1059" s="989"/>
      <c r="UDP1059" s="989"/>
      <c r="UDQ1059" s="989"/>
      <c r="UDR1059" s="989"/>
      <c r="UDS1059" s="989"/>
      <c r="UDT1059" s="989"/>
      <c r="UDU1059" s="989"/>
      <c r="UDV1059" s="989"/>
      <c r="UDW1059" s="989"/>
      <c r="UDX1059" s="989"/>
      <c r="UDY1059" s="989"/>
      <c r="UDZ1059" s="989"/>
      <c r="UEA1059" s="989"/>
      <c r="UEB1059" s="989"/>
      <c r="UEC1059" s="989"/>
      <c r="UED1059" s="989"/>
      <c r="UEE1059" s="989"/>
      <c r="UEF1059" s="989"/>
      <c r="UEG1059" s="989"/>
      <c r="UEH1059" s="989"/>
      <c r="UEI1059" s="989"/>
      <c r="UEJ1059" s="989"/>
      <c r="UEK1059" s="989"/>
      <c r="UEL1059" s="989"/>
      <c r="UEM1059" s="989"/>
      <c r="UEN1059" s="989"/>
      <c r="UEO1059" s="989"/>
      <c r="UEP1059" s="989"/>
      <c r="UEQ1059" s="989"/>
      <c r="UER1059" s="989"/>
      <c r="UES1059" s="989"/>
      <c r="UET1059" s="989"/>
      <c r="UEU1059" s="989"/>
      <c r="UEV1059" s="989"/>
      <c r="UEW1059" s="989"/>
      <c r="UEX1059" s="989"/>
      <c r="UEY1059" s="989"/>
      <c r="UEZ1059" s="989"/>
      <c r="UFA1059" s="989"/>
      <c r="UFB1059" s="989"/>
      <c r="UFC1059" s="989"/>
      <c r="UFD1059" s="989"/>
      <c r="UFE1059" s="989"/>
      <c r="UFF1059" s="989"/>
      <c r="UFG1059" s="989"/>
      <c r="UFH1059" s="989"/>
      <c r="UFI1059" s="989"/>
      <c r="UFJ1059" s="989"/>
      <c r="UFK1059" s="989"/>
      <c r="UFL1059" s="989"/>
      <c r="UFM1059" s="989"/>
      <c r="UFN1059" s="989"/>
      <c r="UFO1059" s="989"/>
      <c r="UFP1059" s="989"/>
      <c r="UFQ1059" s="989"/>
      <c r="UFR1059" s="989"/>
      <c r="UFS1059" s="989"/>
      <c r="UFT1059" s="989"/>
      <c r="UFU1059" s="989"/>
      <c r="UFV1059" s="989"/>
      <c r="UFW1059" s="989"/>
      <c r="UFX1059" s="989"/>
      <c r="UFY1059" s="989"/>
      <c r="UFZ1059" s="989"/>
      <c r="UGA1059" s="989"/>
      <c r="UGB1059" s="989"/>
      <c r="UGC1059" s="989"/>
      <c r="UGD1059" s="989"/>
      <c r="UGE1059" s="989"/>
      <c r="UGF1059" s="989"/>
      <c r="UGG1059" s="989"/>
      <c r="UGH1059" s="989"/>
      <c r="UGI1059" s="989"/>
      <c r="UGJ1059" s="989"/>
      <c r="UGK1059" s="989"/>
      <c r="UGL1059" s="989"/>
      <c r="UGM1059" s="989"/>
      <c r="UGN1059" s="989"/>
      <c r="UGO1059" s="989"/>
      <c r="UGP1059" s="989"/>
      <c r="UGQ1059" s="989"/>
      <c r="UGR1059" s="989"/>
      <c r="UGS1059" s="989"/>
      <c r="UGT1059" s="989"/>
      <c r="UGU1059" s="989"/>
      <c r="UGV1059" s="989"/>
      <c r="UGW1059" s="989"/>
      <c r="UGX1059" s="989"/>
      <c r="UGY1059" s="989"/>
      <c r="UGZ1059" s="989"/>
      <c r="UHA1059" s="989"/>
      <c r="UHB1059" s="989"/>
      <c r="UHC1059" s="989"/>
      <c r="UHD1059" s="989"/>
      <c r="UHE1059" s="989"/>
      <c r="UHF1059" s="989"/>
      <c r="UHG1059" s="989"/>
      <c r="UHH1059" s="989"/>
      <c r="UHI1059" s="989"/>
      <c r="UHJ1059" s="989"/>
      <c r="UHK1059" s="989"/>
      <c r="UHL1059" s="989"/>
      <c r="UHM1059" s="989"/>
      <c r="UHN1059" s="989"/>
      <c r="UHO1059" s="989"/>
      <c r="UHP1059" s="989"/>
      <c r="UHQ1059" s="989"/>
      <c r="UHR1059" s="989"/>
      <c r="UHS1059" s="989"/>
      <c r="UHT1059" s="989"/>
      <c r="UHU1059" s="989"/>
      <c r="UHV1059" s="989"/>
      <c r="UHW1059" s="989"/>
      <c r="UHX1059" s="989"/>
      <c r="UHY1059" s="989"/>
      <c r="UHZ1059" s="989"/>
      <c r="UIA1059" s="989"/>
      <c r="UIB1059" s="989"/>
      <c r="UIC1059" s="989"/>
      <c r="UID1059" s="989"/>
      <c r="UIE1059" s="989"/>
      <c r="UIF1059" s="989"/>
      <c r="UIG1059" s="989"/>
      <c r="UIH1059" s="989"/>
      <c r="UII1059" s="989"/>
      <c r="UIJ1059" s="989"/>
      <c r="UIK1059" s="989"/>
      <c r="UIL1059" s="989"/>
      <c r="UIM1059" s="989"/>
      <c r="UIN1059" s="989"/>
      <c r="UIO1059" s="989"/>
      <c r="UIP1059" s="989"/>
      <c r="UIQ1059" s="989"/>
      <c r="UIR1059" s="989"/>
      <c r="UIS1059" s="989"/>
      <c r="UIT1059" s="989"/>
      <c r="UIU1059" s="989"/>
      <c r="UIV1059" s="989"/>
      <c r="UIW1059" s="989"/>
      <c r="UIX1059" s="989"/>
      <c r="UIY1059" s="989"/>
      <c r="UIZ1059" s="989"/>
      <c r="UJA1059" s="989"/>
      <c r="UJB1059" s="989"/>
      <c r="UJC1059" s="989"/>
      <c r="UJD1059" s="989"/>
      <c r="UJE1059" s="989"/>
      <c r="UJF1059" s="989"/>
      <c r="UJG1059" s="989"/>
      <c r="UJH1059" s="989"/>
      <c r="UJI1059" s="989"/>
      <c r="UJJ1059" s="989"/>
      <c r="UJK1059" s="989"/>
      <c r="UJL1059" s="989"/>
      <c r="UJM1059" s="989"/>
      <c r="UJN1059" s="989"/>
      <c r="UJO1059" s="989"/>
      <c r="UJP1059" s="989"/>
      <c r="UJQ1059" s="989"/>
      <c r="UJR1059" s="989"/>
      <c r="UJS1059" s="989"/>
      <c r="UJT1059" s="989"/>
      <c r="UJU1059" s="989"/>
      <c r="UJV1059" s="989"/>
      <c r="UJW1059" s="989"/>
      <c r="UJX1059" s="989"/>
      <c r="UJY1059" s="989"/>
      <c r="UJZ1059" s="989"/>
      <c r="UKA1059" s="989"/>
      <c r="UKB1059" s="989"/>
      <c r="UKC1059" s="989"/>
      <c r="UKD1059" s="989"/>
      <c r="UKE1059" s="989"/>
      <c r="UKF1059" s="989"/>
      <c r="UKG1059" s="989"/>
      <c r="UKH1059" s="989"/>
      <c r="UKI1059" s="989"/>
      <c r="UKJ1059" s="989"/>
      <c r="UKK1059" s="989"/>
      <c r="UKL1059" s="989"/>
      <c r="UKM1059" s="989"/>
      <c r="UKN1059" s="989"/>
      <c r="UKO1059" s="989"/>
      <c r="UKP1059" s="989"/>
      <c r="UKQ1059" s="989"/>
      <c r="UKR1059" s="989"/>
      <c r="UKS1059" s="989"/>
      <c r="UKT1059" s="989"/>
      <c r="UKU1059" s="989"/>
      <c r="UKV1059" s="989"/>
      <c r="UKW1059" s="989"/>
      <c r="UKX1059" s="989"/>
      <c r="UKY1059" s="989"/>
      <c r="UKZ1059" s="989"/>
      <c r="ULA1059" s="989"/>
      <c r="ULB1059" s="989"/>
      <c r="ULC1059" s="989"/>
      <c r="ULD1059" s="989"/>
      <c r="ULE1059" s="989"/>
      <c r="ULF1059" s="989"/>
      <c r="ULG1059" s="989"/>
      <c r="ULH1059" s="989"/>
      <c r="ULI1059" s="989"/>
      <c r="ULJ1059" s="989"/>
      <c r="ULK1059" s="989"/>
      <c r="ULL1059" s="989"/>
      <c r="ULM1059" s="989"/>
      <c r="ULN1059" s="989"/>
      <c r="ULO1059" s="989"/>
      <c r="ULP1059" s="989"/>
      <c r="ULQ1059" s="989"/>
      <c r="ULR1059" s="989"/>
      <c r="ULS1059" s="989"/>
      <c r="ULT1059" s="989"/>
      <c r="ULU1059" s="989"/>
      <c r="ULV1059" s="989"/>
      <c r="ULW1059" s="989"/>
      <c r="ULX1059" s="989"/>
      <c r="ULY1059" s="989"/>
      <c r="ULZ1059" s="989"/>
      <c r="UMA1059" s="989"/>
      <c r="UMB1059" s="989"/>
      <c r="UMC1059" s="989"/>
      <c r="UMD1059" s="989"/>
      <c r="UME1059" s="989"/>
      <c r="UMF1059" s="989"/>
      <c r="UMG1059" s="989"/>
      <c r="UMH1059" s="989"/>
      <c r="UMI1059" s="989"/>
      <c r="UMJ1059" s="989"/>
      <c r="UMK1059" s="989"/>
      <c r="UML1059" s="989"/>
      <c r="UMM1059" s="989"/>
      <c r="UMN1059" s="989"/>
      <c r="UMO1059" s="989"/>
      <c r="UMP1059" s="989"/>
      <c r="UMQ1059" s="989"/>
      <c r="UMR1059" s="989"/>
      <c r="UMS1059" s="989"/>
      <c r="UMT1059" s="989"/>
      <c r="UMU1059" s="989"/>
      <c r="UMV1059" s="989"/>
      <c r="UMW1059" s="989"/>
      <c r="UMX1059" s="989"/>
      <c r="UMY1059" s="989"/>
      <c r="UMZ1059" s="989"/>
      <c r="UNA1059" s="989"/>
      <c r="UNB1059" s="989"/>
      <c r="UNC1059" s="989"/>
      <c r="UND1059" s="989"/>
      <c r="UNE1059" s="989"/>
      <c r="UNF1059" s="989"/>
      <c r="UNG1059" s="989"/>
      <c r="UNH1059" s="989"/>
      <c r="UNI1059" s="989"/>
      <c r="UNJ1059" s="989"/>
      <c r="UNK1059" s="989"/>
      <c r="UNL1059" s="989"/>
      <c r="UNM1059" s="989"/>
      <c r="UNN1059" s="989"/>
      <c r="UNO1059" s="989"/>
      <c r="UNP1059" s="989"/>
      <c r="UNQ1059" s="989"/>
      <c r="UNR1059" s="989"/>
      <c r="UNS1059" s="989"/>
      <c r="UNT1059" s="989"/>
      <c r="UNU1059" s="989"/>
      <c r="UNV1059" s="989"/>
      <c r="UNW1059" s="989"/>
      <c r="UNX1059" s="989"/>
      <c r="UNY1059" s="989"/>
      <c r="UNZ1059" s="989"/>
      <c r="UOA1059" s="989"/>
      <c r="UOB1059" s="989"/>
      <c r="UOC1059" s="989"/>
      <c r="UOD1059" s="989"/>
      <c r="UOE1059" s="989"/>
      <c r="UOF1059" s="989"/>
      <c r="UOG1059" s="989"/>
      <c r="UOH1059" s="989"/>
      <c r="UOI1059" s="989"/>
      <c r="UOJ1059" s="989"/>
      <c r="UOK1059" s="989"/>
      <c r="UOL1059" s="989"/>
      <c r="UOM1059" s="989"/>
      <c r="UON1059" s="989"/>
      <c r="UOO1059" s="989"/>
      <c r="UOP1059" s="989"/>
      <c r="UOQ1059" s="989"/>
      <c r="UOR1059" s="989"/>
      <c r="UOS1059" s="989"/>
      <c r="UOT1059" s="989"/>
      <c r="UOU1059" s="989"/>
      <c r="UOV1059" s="989"/>
      <c r="UOW1059" s="989"/>
      <c r="UOX1059" s="989"/>
      <c r="UOY1059" s="989"/>
      <c r="UOZ1059" s="989"/>
      <c r="UPA1059" s="989"/>
      <c r="UPB1059" s="989"/>
      <c r="UPC1059" s="989"/>
      <c r="UPD1059" s="989"/>
      <c r="UPE1059" s="989"/>
      <c r="UPF1059" s="989"/>
      <c r="UPG1059" s="989"/>
      <c r="UPH1059" s="989"/>
      <c r="UPI1059" s="989"/>
      <c r="UPJ1059" s="989"/>
      <c r="UPK1059" s="989"/>
      <c r="UPL1059" s="989"/>
      <c r="UPM1059" s="989"/>
      <c r="UPN1059" s="989"/>
      <c r="UPO1059" s="989"/>
      <c r="UPP1059" s="989"/>
      <c r="UPQ1059" s="989"/>
      <c r="UPR1059" s="989"/>
      <c r="UPS1059" s="989"/>
      <c r="UPT1059" s="989"/>
      <c r="UPU1059" s="989"/>
      <c r="UPV1059" s="989"/>
      <c r="UPW1059" s="989"/>
      <c r="UPX1059" s="989"/>
      <c r="UPY1059" s="989"/>
      <c r="UPZ1059" s="989"/>
      <c r="UQA1059" s="989"/>
      <c r="UQB1059" s="989"/>
      <c r="UQC1059" s="989"/>
      <c r="UQD1059" s="989"/>
      <c r="UQE1059" s="989"/>
      <c r="UQF1059" s="989"/>
      <c r="UQG1059" s="989"/>
      <c r="UQH1059" s="989"/>
      <c r="UQI1059" s="989"/>
      <c r="UQJ1059" s="989"/>
      <c r="UQK1059" s="989"/>
      <c r="UQL1059" s="989"/>
      <c r="UQM1059" s="989"/>
      <c r="UQN1059" s="989"/>
      <c r="UQO1059" s="989"/>
      <c r="UQP1059" s="989"/>
      <c r="UQQ1059" s="989"/>
      <c r="UQR1059" s="989"/>
      <c r="UQS1059" s="989"/>
      <c r="UQT1059" s="989"/>
      <c r="UQU1059" s="989"/>
      <c r="UQV1059" s="989"/>
      <c r="UQW1059" s="989"/>
      <c r="UQX1059" s="989"/>
      <c r="UQY1059" s="989"/>
      <c r="UQZ1059" s="989"/>
      <c r="URA1059" s="989"/>
      <c r="URB1059" s="989"/>
      <c r="URC1059" s="989"/>
      <c r="URD1059" s="989"/>
      <c r="URE1059" s="989"/>
      <c r="URF1059" s="989"/>
      <c r="URG1059" s="989"/>
      <c r="URH1059" s="989"/>
      <c r="URI1059" s="989"/>
      <c r="URJ1059" s="989"/>
      <c r="URK1059" s="989"/>
      <c r="URL1059" s="989"/>
      <c r="URM1059" s="989"/>
      <c r="URN1059" s="989"/>
      <c r="URO1059" s="989"/>
      <c r="URP1059" s="989"/>
      <c r="URQ1059" s="989"/>
      <c r="URR1059" s="989"/>
      <c r="URS1059" s="989"/>
      <c r="URT1059" s="989"/>
      <c r="URU1059" s="989"/>
      <c r="URV1059" s="989"/>
      <c r="URW1059" s="989"/>
      <c r="URX1059" s="989"/>
      <c r="URY1059" s="989"/>
      <c r="URZ1059" s="989"/>
      <c r="USA1059" s="989"/>
      <c r="USB1059" s="989"/>
      <c r="USC1059" s="989"/>
      <c r="USD1059" s="989"/>
      <c r="USE1059" s="989"/>
      <c r="USF1059" s="989"/>
      <c r="USG1059" s="989"/>
      <c r="USH1059" s="989"/>
      <c r="USI1059" s="989"/>
      <c r="USJ1059" s="989"/>
      <c r="USK1059" s="989"/>
      <c r="USL1059" s="989"/>
      <c r="USM1059" s="989"/>
      <c r="USN1059" s="989"/>
      <c r="USO1059" s="989"/>
      <c r="USP1059" s="989"/>
      <c r="USQ1059" s="989"/>
      <c r="USR1059" s="989"/>
      <c r="USS1059" s="989"/>
      <c r="UST1059" s="989"/>
      <c r="USU1059" s="989"/>
      <c r="USV1059" s="989"/>
      <c r="USW1059" s="989"/>
      <c r="USX1059" s="989"/>
      <c r="USY1059" s="989"/>
      <c r="USZ1059" s="989"/>
      <c r="UTA1059" s="989"/>
      <c r="UTB1059" s="989"/>
      <c r="UTC1059" s="989"/>
      <c r="UTD1059" s="989"/>
      <c r="UTE1059" s="989"/>
      <c r="UTF1059" s="989"/>
      <c r="UTG1059" s="989"/>
      <c r="UTH1059" s="989"/>
      <c r="UTI1059" s="989"/>
      <c r="UTJ1059" s="989"/>
      <c r="UTK1059" s="989"/>
      <c r="UTL1059" s="989"/>
      <c r="UTM1059" s="989"/>
      <c r="UTN1059" s="989"/>
      <c r="UTO1059" s="989"/>
      <c r="UTP1059" s="989"/>
      <c r="UTQ1059" s="989"/>
      <c r="UTR1059" s="989"/>
      <c r="UTS1059" s="989"/>
      <c r="UTT1059" s="989"/>
      <c r="UTU1059" s="989"/>
      <c r="UTV1059" s="989"/>
      <c r="UTW1059" s="989"/>
      <c r="UTX1059" s="989"/>
      <c r="UTY1059" s="989"/>
      <c r="UTZ1059" s="989"/>
      <c r="UUA1059" s="989"/>
      <c r="UUB1059" s="989"/>
      <c r="UUC1059" s="989"/>
      <c r="UUD1059" s="989"/>
      <c r="UUE1059" s="989"/>
      <c r="UUF1059" s="989"/>
      <c r="UUG1059" s="989"/>
      <c r="UUH1059" s="989"/>
      <c r="UUI1059" s="989"/>
      <c r="UUJ1059" s="989"/>
      <c r="UUK1059" s="989"/>
      <c r="UUL1059" s="989"/>
      <c r="UUM1059" s="989"/>
      <c r="UUN1059" s="989"/>
      <c r="UUO1059" s="989"/>
      <c r="UUP1059" s="989"/>
      <c r="UUQ1059" s="989"/>
      <c r="UUR1059" s="989"/>
      <c r="UUS1059" s="989"/>
      <c r="UUT1059" s="989"/>
      <c r="UUU1059" s="989"/>
      <c r="UUV1059" s="989"/>
      <c r="UUW1059" s="989"/>
      <c r="UUX1059" s="989"/>
      <c r="UUY1059" s="989"/>
      <c r="UUZ1059" s="989"/>
      <c r="UVA1059" s="989"/>
      <c r="UVB1059" s="989"/>
      <c r="UVC1059" s="989"/>
      <c r="UVD1059" s="989"/>
      <c r="UVE1059" s="989"/>
      <c r="UVF1059" s="989"/>
      <c r="UVG1059" s="989"/>
      <c r="UVH1059" s="989"/>
      <c r="UVI1059" s="989"/>
      <c r="UVJ1059" s="989"/>
      <c r="UVK1059" s="989"/>
      <c r="UVL1059" s="989"/>
      <c r="UVM1059" s="989"/>
      <c r="UVN1059" s="989"/>
      <c r="UVO1059" s="989"/>
      <c r="UVP1059" s="989"/>
      <c r="UVQ1059" s="989"/>
      <c r="UVR1059" s="989"/>
      <c r="UVS1059" s="989"/>
      <c r="UVT1059" s="989"/>
      <c r="UVU1059" s="989"/>
      <c r="UVV1059" s="989"/>
      <c r="UVW1059" s="989"/>
      <c r="UVX1059" s="989"/>
      <c r="UVY1059" s="989"/>
      <c r="UVZ1059" s="989"/>
      <c r="UWA1059" s="989"/>
      <c r="UWB1059" s="989"/>
      <c r="UWC1059" s="989"/>
      <c r="UWD1059" s="989"/>
      <c r="UWE1059" s="989"/>
      <c r="UWF1059" s="989"/>
      <c r="UWG1059" s="989"/>
      <c r="UWH1059" s="989"/>
      <c r="UWI1059" s="989"/>
      <c r="UWJ1059" s="989"/>
      <c r="UWK1059" s="989"/>
      <c r="UWL1059" s="989"/>
      <c r="UWM1059" s="989"/>
      <c r="UWN1059" s="989"/>
      <c r="UWO1059" s="989"/>
      <c r="UWP1059" s="989"/>
      <c r="UWQ1059" s="989"/>
      <c r="UWR1059" s="989"/>
      <c r="UWS1059" s="989"/>
      <c r="UWT1059" s="989"/>
      <c r="UWU1059" s="989"/>
      <c r="UWV1059" s="989"/>
      <c r="UWW1059" s="989"/>
      <c r="UWX1059" s="989"/>
      <c r="UWY1059" s="989"/>
      <c r="UWZ1059" s="989"/>
      <c r="UXA1059" s="989"/>
      <c r="UXB1059" s="989"/>
      <c r="UXC1059" s="989"/>
      <c r="UXD1059" s="989"/>
      <c r="UXE1059" s="989"/>
      <c r="UXF1059" s="989"/>
      <c r="UXG1059" s="989"/>
      <c r="UXH1059" s="989"/>
      <c r="UXI1059" s="989"/>
      <c r="UXJ1059" s="989"/>
      <c r="UXK1059" s="989"/>
      <c r="UXL1059" s="989"/>
      <c r="UXM1059" s="989"/>
      <c r="UXN1059" s="989"/>
      <c r="UXO1059" s="989"/>
      <c r="UXP1059" s="989"/>
      <c r="UXQ1059" s="989"/>
      <c r="UXR1059" s="989"/>
      <c r="UXS1059" s="989"/>
      <c r="UXT1059" s="989"/>
      <c r="UXU1059" s="989"/>
      <c r="UXV1059" s="989"/>
      <c r="UXW1059" s="989"/>
      <c r="UXX1059" s="989"/>
      <c r="UXY1059" s="989"/>
      <c r="UXZ1059" s="989"/>
      <c r="UYA1059" s="989"/>
      <c r="UYB1059" s="989"/>
      <c r="UYC1059" s="989"/>
      <c r="UYD1059" s="989"/>
      <c r="UYE1059" s="989"/>
      <c r="UYF1059" s="989"/>
      <c r="UYG1059" s="989"/>
      <c r="UYH1059" s="989"/>
      <c r="UYI1059" s="989"/>
      <c r="UYJ1059" s="989"/>
      <c r="UYK1059" s="989"/>
      <c r="UYL1059" s="989"/>
      <c r="UYM1059" s="989"/>
      <c r="UYN1059" s="989"/>
      <c r="UYO1059" s="989"/>
      <c r="UYP1059" s="989"/>
      <c r="UYQ1059" s="989"/>
      <c r="UYR1059" s="989"/>
      <c r="UYS1059" s="989"/>
      <c r="UYT1059" s="989"/>
      <c r="UYU1059" s="989"/>
      <c r="UYV1059" s="989"/>
      <c r="UYW1059" s="989"/>
      <c r="UYX1059" s="989"/>
      <c r="UYY1059" s="989"/>
      <c r="UYZ1059" s="989"/>
      <c r="UZA1059" s="989"/>
      <c r="UZB1059" s="989"/>
      <c r="UZC1059" s="989"/>
      <c r="UZD1059" s="989"/>
      <c r="UZE1059" s="989"/>
      <c r="UZF1059" s="989"/>
      <c r="UZG1059" s="989"/>
      <c r="UZH1059" s="989"/>
      <c r="UZI1059" s="989"/>
      <c r="UZJ1059" s="989"/>
      <c r="UZK1059" s="989"/>
      <c r="UZL1059" s="989"/>
      <c r="UZM1059" s="989"/>
      <c r="UZN1059" s="989"/>
      <c r="UZO1059" s="989"/>
      <c r="UZP1059" s="989"/>
      <c r="UZQ1059" s="989"/>
      <c r="UZR1059" s="989"/>
      <c r="UZS1059" s="989"/>
      <c r="UZT1059" s="989"/>
      <c r="UZU1059" s="989"/>
      <c r="UZV1059" s="989"/>
      <c r="UZW1059" s="989"/>
      <c r="UZX1059" s="989"/>
      <c r="UZY1059" s="989"/>
      <c r="UZZ1059" s="989"/>
      <c r="VAA1059" s="989"/>
      <c r="VAB1059" s="989"/>
      <c r="VAC1059" s="989"/>
      <c r="VAD1059" s="989"/>
      <c r="VAE1059" s="989"/>
      <c r="VAF1059" s="989"/>
      <c r="VAG1059" s="989"/>
      <c r="VAH1059" s="989"/>
      <c r="VAI1059" s="989"/>
      <c r="VAJ1059" s="989"/>
      <c r="VAK1059" s="989"/>
      <c r="VAL1059" s="989"/>
      <c r="VAM1059" s="989"/>
      <c r="VAN1059" s="989"/>
      <c r="VAO1059" s="989"/>
      <c r="VAP1059" s="989"/>
      <c r="VAQ1059" s="989"/>
      <c r="VAR1059" s="989"/>
      <c r="VAS1059" s="989"/>
      <c r="VAT1059" s="989"/>
      <c r="VAU1059" s="989"/>
      <c r="VAV1059" s="989"/>
      <c r="VAW1059" s="989"/>
      <c r="VAX1059" s="989"/>
      <c r="VAY1059" s="989"/>
      <c r="VAZ1059" s="989"/>
      <c r="VBA1059" s="989"/>
      <c r="VBB1059" s="989"/>
      <c r="VBC1059" s="989"/>
      <c r="VBD1059" s="989"/>
      <c r="VBE1059" s="989"/>
      <c r="VBF1059" s="989"/>
      <c r="VBG1059" s="989"/>
      <c r="VBH1059" s="989"/>
      <c r="VBI1059" s="989"/>
      <c r="VBJ1059" s="989"/>
      <c r="VBK1059" s="989"/>
      <c r="VBL1059" s="989"/>
      <c r="VBM1059" s="989"/>
      <c r="VBN1059" s="989"/>
      <c r="VBO1059" s="989"/>
      <c r="VBP1059" s="989"/>
      <c r="VBQ1059" s="989"/>
      <c r="VBR1059" s="989"/>
      <c r="VBS1059" s="989"/>
      <c r="VBT1059" s="989"/>
      <c r="VBU1059" s="989"/>
      <c r="VBV1059" s="989"/>
      <c r="VBW1059" s="989"/>
      <c r="VBX1059" s="989"/>
      <c r="VBY1059" s="989"/>
      <c r="VBZ1059" s="989"/>
      <c r="VCA1059" s="989"/>
      <c r="VCB1059" s="989"/>
      <c r="VCC1059" s="989"/>
      <c r="VCD1059" s="989"/>
      <c r="VCE1059" s="989"/>
      <c r="VCF1059" s="989"/>
      <c r="VCG1059" s="989"/>
      <c r="VCH1059" s="989"/>
      <c r="VCI1059" s="989"/>
      <c r="VCJ1059" s="989"/>
      <c r="VCK1059" s="989"/>
      <c r="VCL1059" s="989"/>
      <c r="VCM1059" s="989"/>
      <c r="VCN1059" s="989"/>
      <c r="VCO1059" s="989"/>
      <c r="VCP1059" s="989"/>
      <c r="VCQ1059" s="989"/>
      <c r="VCR1059" s="989"/>
      <c r="VCS1059" s="989"/>
      <c r="VCT1059" s="989"/>
      <c r="VCU1059" s="989"/>
      <c r="VCV1059" s="989"/>
      <c r="VCW1059" s="989"/>
      <c r="VCX1059" s="989"/>
      <c r="VCY1059" s="989"/>
      <c r="VCZ1059" s="989"/>
      <c r="VDA1059" s="989"/>
      <c r="VDB1059" s="989"/>
      <c r="VDC1059" s="989"/>
      <c r="VDD1059" s="989"/>
      <c r="VDE1059" s="989"/>
      <c r="VDF1059" s="989"/>
      <c r="VDG1059" s="989"/>
      <c r="VDH1059" s="989"/>
      <c r="VDI1059" s="989"/>
      <c r="VDJ1059" s="989"/>
      <c r="VDK1059" s="989"/>
      <c r="VDL1059" s="989"/>
      <c r="VDM1059" s="989"/>
      <c r="VDN1059" s="989"/>
      <c r="VDO1059" s="989"/>
      <c r="VDP1059" s="989"/>
      <c r="VDQ1059" s="989"/>
      <c r="VDR1059" s="989"/>
      <c r="VDS1059" s="989"/>
      <c r="VDT1059" s="989"/>
      <c r="VDU1059" s="989"/>
      <c r="VDV1059" s="989"/>
      <c r="VDW1059" s="989"/>
      <c r="VDX1059" s="989"/>
      <c r="VDY1059" s="989"/>
      <c r="VDZ1059" s="989"/>
      <c r="VEA1059" s="989"/>
      <c r="VEB1059" s="989"/>
      <c r="VEC1059" s="989"/>
      <c r="VED1059" s="989"/>
      <c r="VEE1059" s="989"/>
      <c r="VEF1059" s="989"/>
      <c r="VEG1059" s="989"/>
      <c r="VEH1059" s="989"/>
      <c r="VEI1059" s="989"/>
      <c r="VEJ1059" s="989"/>
      <c r="VEK1059" s="989"/>
      <c r="VEL1059" s="989"/>
      <c r="VEM1059" s="989"/>
      <c r="VEN1059" s="989"/>
      <c r="VEO1059" s="989"/>
      <c r="VEP1059" s="989"/>
      <c r="VEQ1059" s="989"/>
      <c r="VER1059" s="989"/>
      <c r="VES1059" s="989"/>
      <c r="VET1059" s="989"/>
      <c r="VEU1059" s="989"/>
      <c r="VEV1059" s="989"/>
      <c r="VEW1059" s="989"/>
      <c r="VEX1059" s="989"/>
      <c r="VEY1059" s="989"/>
      <c r="VEZ1059" s="989"/>
      <c r="VFA1059" s="989"/>
      <c r="VFB1059" s="989"/>
      <c r="VFC1059" s="989"/>
      <c r="VFD1059" s="989"/>
      <c r="VFE1059" s="989"/>
      <c r="VFF1059" s="989"/>
      <c r="VFG1059" s="989"/>
      <c r="VFH1059" s="989"/>
      <c r="VFI1059" s="989"/>
      <c r="VFJ1059" s="989"/>
      <c r="VFK1059" s="989"/>
      <c r="VFL1059" s="989"/>
      <c r="VFM1059" s="989"/>
      <c r="VFN1059" s="989"/>
      <c r="VFO1059" s="989"/>
      <c r="VFP1059" s="989"/>
      <c r="VFQ1059" s="989"/>
      <c r="VFR1059" s="989"/>
      <c r="VFS1059" s="989"/>
      <c r="VFT1059" s="989"/>
      <c r="VFU1059" s="989"/>
      <c r="VFV1059" s="989"/>
      <c r="VFW1059" s="989"/>
      <c r="VFX1059" s="989"/>
      <c r="VFY1059" s="989"/>
      <c r="VFZ1059" s="989"/>
      <c r="VGA1059" s="989"/>
      <c r="VGB1059" s="989"/>
      <c r="VGC1059" s="989"/>
      <c r="VGD1059" s="989"/>
      <c r="VGE1059" s="989"/>
      <c r="VGF1059" s="989"/>
      <c r="VGG1059" s="989"/>
      <c r="VGH1059" s="989"/>
      <c r="VGI1059" s="989"/>
      <c r="VGJ1059" s="989"/>
      <c r="VGK1059" s="989"/>
      <c r="VGL1059" s="989"/>
      <c r="VGM1059" s="989"/>
      <c r="VGN1059" s="989"/>
      <c r="VGO1059" s="989"/>
      <c r="VGP1059" s="989"/>
      <c r="VGQ1059" s="989"/>
      <c r="VGR1059" s="989"/>
      <c r="VGS1059" s="989"/>
      <c r="VGT1059" s="989"/>
      <c r="VGU1059" s="989"/>
      <c r="VGV1059" s="989"/>
      <c r="VGW1059" s="989"/>
      <c r="VGX1059" s="989"/>
      <c r="VGY1059" s="989"/>
      <c r="VGZ1059" s="989"/>
      <c r="VHA1059" s="989"/>
      <c r="VHB1059" s="989"/>
      <c r="VHC1059" s="989"/>
      <c r="VHD1059" s="989"/>
      <c r="VHE1059" s="989"/>
      <c r="VHF1059" s="989"/>
      <c r="VHG1059" s="989"/>
      <c r="VHH1059" s="989"/>
      <c r="VHI1059" s="989"/>
      <c r="VHJ1059" s="989"/>
      <c r="VHK1059" s="989"/>
      <c r="VHL1059" s="989"/>
      <c r="VHM1059" s="989"/>
      <c r="VHN1059" s="989"/>
      <c r="VHO1059" s="989"/>
      <c r="VHP1059" s="989"/>
      <c r="VHQ1059" s="989"/>
      <c r="VHR1059" s="989"/>
      <c r="VHS1059" s="989"/>
      <c r="VHT1059" s="989"/>
      <c r="VHU1059" s="989"/>
      <c r="VHV1059" s="989"/>
      <c r="VHW1059" s="989"/>
      <c r="VHX1059" s="989"/>
      <c r="VHY1059" s="989"/>
      <c r="VHZ1059" s="989"/>
      <c r="VIA1059" s="989"/>
      <c r="VIB1059" s="989"/>
      <c r="VIC1059" s="989"/>
      <c r="VID1059" s="989"/>
      <c r="VIE1059" s="989"/>
      <c r="VIF1059" s="989"/>
      <c r="VIG1059" s="989"/>
      <c r="VIH1059" s="989"/>
      <c r="VII1059" s="989"/>
      <c r="VIJ1059" s="989"/>
      <c r="VIK1059" s="989"/>
      <c r="VIL1059" s="989"/>
      <c r="VIM1059" s="989"/>
      <c r="VIN1059" s="989"/>
      <c r="VIO1059" s="989"/>
      <c r="VIP1059" s="989"/>
      <c r="VIQ1059" s="989"/>
      <c r="VIR1059" s="989"/>
      <c r="VIS1059" s="989"/>
      <c r="VIT1059" s="989"/>
      <c r="VIU1059" s="989"/>
      <c r="VIV1059" s="989"/>
      <c r="VIW1059" s="989"/>
      <c r="VIX1059" s="989"/>
      <c r="VIY1059" s="989"/>
      <c r="VIZ1059" s="989"/>
      <c r="VJA1059" s="989"/>
      <c r="VJB1059" s="989"/>
      <c r="VJC1059" s="989"/>
      <c r="VJD1059" s="989"/>
      <c r="VJE1059" s="989"/>
      <c r="VJF1059" s="989"/>
      <c r="VJG1059" s="989"/>
      <c r="VJH1059" s="989"/>
      <c r="VJI1059" s="989"/>
      <c r="VJJ1059" s="989"/>
      <c r="VJK1059" s="989"/>
      <c r="VJL1059" s="989"/>
      <c r="VJM1059" s="989"/>
      <c r="VJN1059" s="989"/>
      <c r="VJO1059" s="989"/>
      <c r="VJP1059" s="989"/>
      <c r="VJQ1059" s="989"/>
      <c r="VJR1059" s="989"/>
      <c r="VJS1059" s="989"/>
      <c r="VJT1059" s="989"/>
      <c r="VJU1059" s="989"/>
      <c r="VJV1059" s="989"/>
      <c r="VJW1059" s="989"/>
      <c r="VJX1059" s="989"/>
      <c r="VJY1059" s="989"/>
      <c r="VJZ1059" s="989"/>
      <c r="VKA1059" s="989"/>
      <c r="VKB1059" s="989"/>
      <c r="VKC1059" s="989"/>
      <c r="VKD1059" s="989"/>
      <c r="VKE1059" s="989"/>
      <c r="VKF1059" s="989"/>
      <c r="VKG1059" s="989"/>
      <c r="VKH1059" s="989"/>
      <c r="VKI1059" s="989"/>
      <c r="VKJ1059" s="989"/>
      <c r="VKK1059" s="989"/>
      <c r="VKL1059" s="989"/>
      <c r="VKM1059" s="989"/>
      <c r="VKN1059" s="989"/>
      <c r="VKO1059" s="989"/>
      <c r="VKP1059" s="989"/>
      <c r="VKQ1059" s="989"/>
      <c r="VKR1059" s="989"/>
      <c r="VKS1059" s="989"/>
      <c r="VKT1059" s="989"/>
      <c r="VKU1059" s="989"/>
      <c r="VKV1059" s="989"/>
      <c r="VKW1059" s="989"/>
      <c r="VKX1059" s="989"/>
      <c r="VKY1059" s="989"/>
      <c r="VKZ1059" s="989"/>
      <c r="VLA1059" s="989"/>
      <c r="VLB1059" s="989"/>
      <c r="VLC1059" s="989"/>
      <c r="VLD1059" s="989"/>
      <c r="VLE1059" s="989"/>
      <c r="VLF1059" s="989"/>
      <c r="VLG1059" s="989"/>
      <c r="VLH1059" s="989"/>
      <c r="VLI1059" s="989"/>
      <c r="VLJ1059" s="989"/>
      <c r="VLK1059" s="989"/>
      <c r="VLL1059" s="989"/>
      <c r="VLM1059" s="989"/>
      <c r="VLN1059" s="989"/>
      <c r="VLO1059" s="989"/>
      <c r="VLP1059" s="989"/>
      <c r="VLQ1059" s="989"/>
      <c r="VLR1059" s="989"/>
      <c r="VLS1059" s="989"/>
      <c r="VLT1059" s="989"/>
      <c r="VLU1059" s="989"/>
      <c r="VLV1059" s="989"/>
      <c r="VLW1059" s="989"/>
      <c r="VLX1059" s="989"/>
      <c r="VLY1059" s="989"/>
      <c r="VLZ1059" s="989"/>
      <c r="VMA1059" s="989"/>
      <c r="VMB1059" s="989"/>
      <c r="VMC1059" s="989"/>
      <c r="VMD1059" s="989"/>
      <c r="VME1059" s="989"/>
      <c r="VMF1059" s="989"/>
      <c r="VMG1059" s="989"/>
      <c r="VMH1059" s="989"/>
      <c r="VMI1059" s="989"/>
      <c r="VMJ1059" s="989"/>
      <c r="VMK1059" s="989"/>
      <c r="VML1059" s="989"/>
      <c r="VMM1059" s="989"/>
      <c r="VMN1059" s="989"/>
      <c r="VMO1059" s="989"/>
      <c r="VMP1059" s="989"/>
      <c r="VMQ1059" s="989"/>
      <c r="VMR1059" s="989"/>
      <c r="VMS1059" s="989"/>
      <c r="VMT1059" s="989"/>
      <c r="VMU1059" s="989"/>
      <c r="VMV1059" s="989"/>
      <c r="VMW1059" s="989"/>
      <c r="VMX1059" s="989"/>
      <c r="VMY1059" s="989"/>
      <c r="VMZ1059" s="989"/>
      <c r="VNA1059" s="989"/>
      <c r="VNB1059" s="989"/>
      <c r="VNC1059" s="989"/>
      <c r="VND1059" s="989"/>
      <c r="VNE1059" s="989"/>
      <c r="VNF1059" s="989"/>
      <c r="VNG1059" s="989"/>
      <c r="VNH1059" s="989"/>
      <c r="VNI1059" s="989"/>
      <c r="VNJ1059" s="989"/>
      <c r="VNK1059" s="989"/>
      <c r="VNL1059" s="989"/>
      <c r="VNM1059" s="989"/>
      <c r="VNN1059" s="989"/>
      <c r="VNO1059" s="989"/>
      <c r="VNP1059" s="989"/>
      <c r="VNQ1059" s="989"/>
      <c r="VNR1059" s="989"/>
      <c r="VNS1059" s="989"/>
      <c r="VNT1059" s="989"/>
      <c r="VNU1059" s="989"/>
      <c r="VNV1059" s="989"/>
      <c r="VNW1059" s="989"/>
      <c r="VNX1059" s="989"/>
      <c r="VNY1059" s="989"/>
      <c r="VNZ1059" s="989"/>
      <c r="VOA1059" s="989"/>
      <c r="VOB1059" s="989"/>
      <c r="VOC1059" s="989"/>
      <c r="VOD1059" s="989"/>
      <c r="VOE1059" s="989"/>
      <c r="VOF1059" s="989"/>
      <c r="VOG1059" s="989"/>
      <c r="VOH1059" s="989"/>
      <c r="VOI1059" s="989"/>
      <c r="VOJ1059" s="989"/>
      <c r="VOK1059" s="989"/>
      <c r="VOL1059" s="989"/>
      <c r="VOM1059" s="989"/>
      <c r="VON1059" s="989"/>
      <c r="VOO1059" s="989"/>
      <c r="VOP1059" s="989"/>
      <c r="VOQ1059" s="989"/>
      <c r="VOR1059" s="989"/>
      <c r="VOS1059" s="989"/>
      <c r="VOT1059" s="989"/>
      <c r="VOU1059" s="989"/>
      <c r="VOV1059" s="989"/>
      <c r="VOW1059" s="989"/>
      <c r="VOX1059" s="989"/>
      <c r="VOY1059" s="989"/>
      <c r="VOZ1059" s="989"/>
      <c r="VPA1059" s="989"/>
      <c r="VPB1059" s="989"/>
      <c r="VPC1059" s="989"/>
      <c r="VPD1059" s="989"/>
      <c r="VPE1059" s="989"/>
      <c r="VPF1059" s="989"/>
      <c r="VPG1059" s="989"/>
      <c r="VPH1059" s="989"/>
      <c r="VPI1059" s="989"/>
      <c r="VPJ1059" s="989"/>
      <c r="VPK1059" s="989"/>
      <c r="VPL1059" s="989"/>
      <c r="VPM1059" s="989"/>
      <c r="VPN1059" s="989"/>
      <c r="VPO1059" s="989"/>
      <c r="VPP1059" s="989"/>
      <c r="VPQ1059" s="989"/>
      <c r="VPR1059" s="989"/>
      <c r="VPS1059" s="989"/>
      <c r="VPT1059" s="989"/>
      <c r="VPU1059" s="989"/>
      <c r="VPV1059" s="989"/>
      <c r="VPW1059" s="989"/>
      <c r="VPX1059" s="989"/>
      <c r="VPY1059" s="989"/>
      <c r="VPZ1059" s="989"/>
      <c r="VQA1059" s="989"/>
      <c r="VQB1059" s="989"/>
      <c r="VQC1059" s="989"/>
      <c r="VQD1059" s="989"/>
      <c r="VQE1059" s="989"/>
      <c r="VQF1059" s="989"/>
      <c r="VQG1059" s="989"/>
      <c r="VQH1059" s="989"/>
      <c r="VQI1059" s="989"/>
      <c r="VQJ1059" s="989"/>
      <c r="VQK1059" s="989"/>
      <c r="VQL1059" s="989"/>
      <c r="VQM1059" s="989"/>
      <c r="VQN1059" s="989"/>
      <c r="VQO1059" s="989"/>
      <c r="VQP1059" s="989"/>
      <c r="VQQ1059" s="989"/>
      <c r="VQR1059" s="989"/>
      <c r="VQS1059" s="989"/>
      <c r="VQT1059" s="989"/>
      <c r="VQU1059" s="989"/>
      <c r="VQV1059" s="989"/>
      <c r="VQW1059" s="989"/>
      <c r="VQX1059" s="989"/>
      <c r="VQY1059" s="989"/>
      <c r="VQZ1059" s="989"/>
      <c r="VRA1059" s="989"/>
      <c r="VRB1059" s="989"/>
      <c r="VRC1059" s="989"/>
      <c r="VRD1059" s="989"/>
      <c r="VRE1059" s="989"/>
      <c r="VRF1059" s="989"/>
      <c r="VRG1059" s="989"/>
      <c r="VRH1059" s="989"/>
      <c r="VRI1059" s="989"/>
      <c r="VRJ1059" s="989"/>
      <c r="VRK1059" s="989"/>
      <c r="VRL1059" s="989"/>
      <c r="VRM1059" s="989"/>
      <c r="VRN1059" s="989"/>
      <c r="VRO1059" s="989"/>
      <c r="VRP1059" s="989"/>
      <c r="VRQ1059" s="989"/>
      <c r="VRR1059" s="989"/>
      <c r="VRS1059" s="989"/>
      <c r="VRT1059" s="989"/>
      <c r="VRU1059" s="989"/>
      <c r="VRV1059" s="989"/>
      <c r="VRW1059" s="989"/>
      <c r="VRX1059" s="989"/>
      <c r="VRY1059" s="989"/>
      <c r="VRZ1059" s="989"/>
      <c r="VSA1059" s="989"/>
      <c r="VSB1059" s="989"/>
      <c r="VSC1059" s="989"/>
      <c r="VSD1059" s="989"/>
      <c r="VSE1059" s="989"/>
      <c r="VSF1059" s="989"/>
      <c r="VSG1059" s="989"/>
      <c r="VSH1059" s="989"/>
      <c r="VSI1059" s="989"/>
      <c r="VSJ1059" s="989"/>
      <c r="VSK1059" s="989"/>
      <c r="VSL1059" s="989"/>
      <c r="VSM1059" s="989"/>
      <c r="VSN1059" s="989"/>
      <c r="VSO1059" s="989"/>
      <c r="VSP1059" s="989"/>
      <c r="VSQ1059" s="989"/>
      <c r="VSR1059" s="989"/>
      <c r="VSS1059" s="989"/>
      <c r="VST1059" s="989"/>
      <c r="VSU1059" s="989"/>
      <c r="VSV1059" s="989"/>
      <c r="VSW1059" s="989"/>
      <c r="VSX1059" s="989"/>
      <c r="VSY1059" s="989"/>
      <c r="VSZ1059" s="989"/>
      <c r="VTA1059" s="989"/>
      <c r="VTB1059" s="989"/>
      <c r="VTC1059" s="989"/>
      <c r="VTD1059" s="989"/>
      <c r="VTE1059" s="989"/>
      <c r="VTF1059" s="989"/>
      <c r="VTG1059" s="989"/>
      <c r="VTH1059" s="989"/>
      <c r="VTI1059" s="989"/>
      <c r="VTJ1059" s="989"/>
      <c r="VTK1059" s="989"/>
      <c r="VTL1059" s="989"/>
      <c r="VTM1059" s="989"/>
      <c r="VTN1059" s="989"/>
      <c r="VTO1059" s="989"/>
      <c r="VTP1059" s="989"/>
      <c r="VTQ1059" s="989"/>
      <c r="VTR1059" s="989"/>
      <c r="VTS1059" s="989"/>
      <c r="VTT1059" s="989"/>
      <c r="VTU1059" s="989"/>
      <c r="VTV1059" s="989"/>
      <c r="VTW1059" s="989"/>
      <c r="VTX1059" s="989"/>
      <c r="VTY1059" s="989"/>
      <c r="VTZ1059" s="989"/>
      <c r="VUA1059" s="989"/>
      <c r="VUB1059" s="989"/>
      <c r="VUC1059" s="989"/>
      <c r="VUD1059" s="989"/>
      <c r="VUE1059" s="989"/>
      <c r="VUF1059" s="989"/>
      <c r="VUG1059" s="989"/>
      <c r="VUH1059" s="989"/>
      <c r="VUI1059" s="989"/>
      <c r="VUJ1059" s="989"/>
      <c r="VUK1059" s="989"/>
      <c r="VUL1059" s="989"/>
      <c r="VUM1059" s="989"/>
      <c r="VUN1059" s="989"/>
      <c r="VUO1059" s="989"/>
      <c r="VUP1059" s="989"/>
      <c r="VUQ1059" s="989"/>
      <c r="VUR1059" s="989"/>
      <c r="VUS1059" s="989"/>
      <c r="VUT1059" s="989"/>
      <c r="VUU1059" s="989"/>
      <c r="VUV1059" s="989"/>
      <c r="VUW1059" s="989"/>
      <c r="VUX1059" s="989"/>
      <c r="VUY1059" s="989"/>
      <c r="VUZ1059" s="989"/>
      <c r="VVA1059" s="989"/>
      <c r="VVB1059" s="989"/>
      <c r="VVC1059" s="989"/>
      <c r="VVD1059" s="989"/>
      <c r="VVE1059" s="989"/>
      <c r="VVF1059" s="989"/>
      <c r="VVG1059" s="989"/>
      <c r="VVH1059" s="989"/>
      <c r="VVI1059" s="989"/>
      <c r="VVJ1059" s="989"/>
      <c r="VVK1059" s="989"/>
      <c r="VVL1059" s="989"/>
      <c r="VVM1059" s="989"/>
      <c r="VVN1059" s="989"/>
      <c r="VVO1059" s="989"/>
      <c r="VVP1059" s="989"/>
      <c r="VVQ1059" s="989"/>
      <c r="VVR1059" s="989"/>
      <c r="VVS1059" s="989"/>
      <c r="VVT1059" s="989"/>
      <c r="VVU1059" s="989"/>
      <c r="VVV1059" s="989"/>
      <c r="VVW1059" s="989"/>
      <c r="VVX1059" s="989"/>
      <c r="VVY1059" s="989"/>
      <c r="VVZ1059" s="989"/>
      <c r="VWA1059" s="989"/>
      <c r="VWB1059" s="989"/>
      <c r="VWC1059" s="989"/>
      <c r="VWD1059" s="989"/>
      <c r="VWE1059" s="989"/>
      <c r="VWF1059" s="989"/>
      <c r="VWG1059" s="989"/>
      <c r="VWH1059" s="989"/>
      <c r="VWI1059" s="989"/>
      <c r="VWJ1059" s="989"/>
      <c r="VWK1059" s="989"/>
      <c r="VWL1059" s="989"/>
      <c r="VWM1059" s="989"/>
      <c r="VWN1059" s="989"/>
      <c r="VWO1059" s="989"/>
      <c r="VWP1059" s="989"/>
      <c r="VWQ1059" s="989"/>
      <c r="VWR1059" s="989"/>
      <c r="VWS1059" s="989"/>
      <c r="VWT1059" s="989"/>
      <c r="VWU1059" s="989"/>
      <c r="VWV1059" s="989"/>
      <c r="VWW1059" s="989"/>
      <c r="VWX1059" s="989"/>
      <c r="VWY1059" s="989"/>
      <c r="VWZ1059" s="989"/>
      <c r="VXA1059" s="989"/>
      <c r="VXB1059" s="989"/>
      <c r="VXC1059" s="989"/>
      <c r="VXD1059" s="989"/>
      <c r="VXE1059" s="989"/>
      <c r="VXF1059" s="989"/>
      <c r="VXG1059" s="989"/>
      <c r="VXH1059" s="989"/>
      <c r="VXI1059" s="989"/>
      <c r="VXJ1059" s="989"/>
      <c r="VXK1059" s="989"/>
      <c r="VXL1059" s="989"/>
      <c r="VXM1059" s="989"/>
      <c r="VXN1059" s="989"/>
      <c r="VXO1059" s="989"/>
      <c r="VXP1059" s="989"/>
      <c r="VXQ1059" s="989"/>
      <c r="VXR1059" s="989"/>
      <c r="VXS1059" s="989"/>
      <c r="VXT1059" s="989"/>
      <c r="VXU1059" s="989"/>
      <c r="VXV1059" s="989"/>
      <c r="VXW1059" s="989"/>
      <c r="VXX1059" s="989"/>
      <c r="VXY1059" s="989"/>
      <c r="VXZ1059" s="989"/>
      <c r="VYA1059" s="989"/>
      <c r="VYB1059" s="989"/>
      <c r="VYC1059" s="989"/>
      <c r="VYD1059" s="989"/>
      <c r="VYE1059" s="989"/>
      <c r="VYF1059" s="989"/>
      <c r="VYG1059" s="989"/>
      <c r="VYH1059" s="989"/>
      <c r="VYI1059" s="989"/>
      <c r="VYJ1059" s="989"/>
      <c r="VYK1059" s="989"/>
      <c r="VYL1059" s="989"/>
      <c r="VYM1059" s="989"/>
      <c r="VYN1059" s="989"/>
      <c r="VYO1059" s="989"/>
      <c r="VYP1059" s="989"/>
      <c r="VYQ1059" s="989"/>
      <c r="VYR1059" s="989"/>
      <c r="VYS1059" s="989"/>
      <c r="VYT1059" s="989"/>
      <c r="VYU1059" s="989"/>
      <c r="VYV1059" s="989"/>
      <c r="VYW1059" s="989"/>
      <c r="VYX1059" s="989"/>
      <c r="VYY1059" s="989"/>
      <c r="VYZ1059" s="989"/>
      <c r="VZA1059" s="989"/>
      <c r="VZB1059" s="989"/>
      <c r="VZC1059" s="989"/>
      <c r="VZD1059" s="989"/>
      <c r="VZE1059" s="989"/>
      <c r="VZF1059" s="989"/>
      <c r="VZG1059" s="989"/>
      <c r="VZH1059" s="989"/>
      <c r="VZI1059" s="989"/>
      <c r="VZJ1059" s="989"/>
      <c r="VZK1059" s="989"/>
      <c r="VZL1059" s="989"/>
      <c r="VZM1059" s="989"/>
      <c r="VZN1059" s="989"/>
      <c r="VZO1059" s="989"/>
      <c r="VZP1059" s="989"/>
      <c r="VZQ1059" s="989"/>
      <c r="VZR1059" s="989"/>
      <c r="VZS1059" s="989"/>
      <c r="VZT1059" s="989"/>
      <c r="VZU1059" s="989"/>
      <c r="VZV1059" s="989"/>
      <c r="VZW1059" s="989"/>
      <c r="VZX1059" s="989"/>
      <c r="VZY1059" s="989"/>
      <c r="VZZ1059" s="989"/>
      <c r="WAA1059" s="989"/>
      <c r="WAB1059" s="989"/>
      <c r="WAC1059" s="989"/>
      <c r="WAD1059" s="989"/>
      <c r="WAE1059" s="989"/>
      <c r="WAF1059" s="989"/>
      <c r="WAG1059" s="989"/>
      <c r="WAH1059" s="989"/>
      <c r="WAI1059" s="989"/>
      <c r="WAJ1059" s="989"/>
      <c r="WAK1059" s="989"/>
      <c r="WAL1059" s="989"/>
      <c r="WAM1059" s="989"/>
      <c r="WAN1059" s="989"/>
      <c r="WAO1059" s="989"/>
      <c r="WAP1059" s="989"/>
      <c r="WAQ1059" s="989"/>
      <c r="WAR1059" s="989"/>
      <c r="WAS1059" s="989"/>
      <c r="WAT1059" s="989"/>
      <c r="WAU1059" s="989"/>
      <c r="WAV1059" s="989"/>
      <c r="WAW1059" s="989"/>
      <c r="WAX1059" s="989"/>
      <c r="WAY1059" s="989"/>
      <c r="WAZ1059" s="989"/>
      <c r="WBA1059" s="989"/>
      <c r="WBB1059" s="989"/>
      <c r="WBC1059" s="989"/>
      <c r="WBD1059" s="989"/>
      <c r="WBE1059" s="989"/>
      <c r="WBF1059" s="989"/>
      <c r="WBG1059" s="989"/>
      <c r="WBH1059" s="989"/>
      <c r="WBI1059" s="989"/>
      <c r="WBJ1059" s="989"/>
      <c r="WBK1059" s="989"/>
      <c r="WBL1059" s="989"/>
      <c r="WBM1059" s="989"/>
      <c r="WBN1059" s="989"/>
      <c r="WBO1059" s="989"/>
      <c r="WBP1059" s="989"/>
      <c r="WBQ1059" s="989"/>
      <c r="WBR1059" s="989"/>
      <c r="WBS1059" s="989"/>
      <c r="WBT1059" s="989"/>
      <c r="WBU1059" s="989"/>
      <c r="WBV1059" s="989"/>
      <c r="WBW1059" s="989"/>
      <c r="WBX1059" s="989"/>
      <c r="WBY1059" s="989"/>
      <c r="WBZ1059" s="989"/>
      <c r="WCA1059" s="989"/>
      <c r="WCB1059" s="989"/>
      <c r="WCC1059" s="989"/>
      <c r="WCD1059" s="989"/>
      <c r="WCE1059" s="989"/>
      <c r="WCF1059" s="989"/>
      <c r="WCG1059" s="989"/>
      <c r="WCH1059" s="989"/>
      <c r="WCI1059" s="989"/>
      <c r="WCJ1059" s="989"/>
      <c r="WCK1059" s="989"/>
      <c r="WCL1059" s="989"/>
      <c r="WCM1059" s="989"/>
      <c r="WCN1059" s="989"/>
      <c r="WCO1059" s="989"/>
      <c r="WCP1059" s="989"/>
      <c r="WCQ1059" s="989"/>
      <c r="WCR1059" s="989"/>
      <c r="WCS1059" s="989"/>
      <c r="WCT1059" s="989"/>
      <c r="WCU1059" s="989"/>
      <c r="WCV1059" s="989"/>
      <c r="WCW1059" s="989"/>
      <c r="WCX1059" s="989"/>
      <c r="WCY1059" s="989"/>
      <c r="WCZ1059" s="989"/>
      <c r="WDA1059" s="989"/>
      <c r="WDB1059" s="989"/>
      <c r="WDC1059" s="989"/>
      <c r="WDD1059" s="989"/>
      <c r="WDE1059" s="989"/>
      <c r="WDF1059" s="989"/>
      <c r="WDG1059" s="989"/>
      <c r="WDH1059" s="989"/>
      <c r="WDI1059" s="989"/>
      <c r="WDJ1059" s="989"/>
      <c r="WDK1059" s="989"/>
      <c r="WDL1059" s="989"/>
      <c r="WDM1059" s="989"/>
      <c r="WDN1059" s="989"/>
      <c r="WDO1059" s="989"/>
      <c r="WDP1059" s="989"/>
      <c r="WDQ1059" s="989"/>
      <c r="WDR1059" s="989"/>
      <c r="WDS1059" s="989"/>
      <c r="WDT1059" s="989"/>
      <c r="WDU1059" s="989"/>
      <c r="WDV1059" s="989"/>
      <c r="WDW1059" s="989"/>
      <c r="WDX1059" s="989"/>
      <c r="WDY1059" s="989"/>
      <c r="WDZ1059" s="989"/>
      <c r="WEA1059" s="989"/>
      <c r="WEB1059" s="989"/>
      <c r="WEC1059" s="989"/>
      <c r="WED1059" s="989"/>
      <c r="WEE1059" s="989"/>
      <c r="WEF1059" s="989"/>
      <c r="WEG1059" s="989"/>
      <c r="WEH1059" s="989"/>
      <c r="WEI1059" s="989"/>
      <c r="WEJ1059" s="989"/>
      <c r="WEK1059" s="989"/>
      <c r="WEL1059" s="989"/>
      <c r="WEM1059" s="989"/>
      <c r="WEN1059" s="989"/>
      <c r="WEO1059" s="989"/>
      <c r="WEP1059" s="989"/>
      <c r="WEQ1059" s="989"/>
      <c r="WER1059" s="989"/>
      <c r="WES1059" s="989"/>
      <c r="WET1059" s="989"/>
      <c r="WEU1059" s="989"/>
      <c r="WEV1059" s="989"/>
      <c r="WEW1059" s="989"/>
      <c r="WEX1059" s="989"/>
      <c r="WEY1059" s="989"/>
      <c r="WEZ1059" s="989"/>
      <c r="WFA1059" s="989"/>
      <c r="WFB1059" s="989"/>
      <c r="WFC1059" s="989"/>
      <c r="WFD1059" s="989"/>
      <c r="WFE1059" s="989"/>
      <c r="WFF1059" s="989"/>
      <c r="WFG1059" s="989"/>
      <c r="WFH1059" s="989"/>
      <c r="WFI1059" s="989"/>
      <c r="WFJ1059" s="989"/>
      <c r="WFK1059" s="989"/>
      <c r="WFL1059" s="989"/>
      <c r="WFM1059" s="989"/>
      <c r="WFN1059" s="989"/>
      <c r="WFO1059" s="989"/>
      <c r="WFP1059" s="989"/>
      <c r="WFQ1059" s="989"/>
      <c r="WFR1059" s="989"/>
      <c r="WFS1059" s="989"/>
      <c r="WFT1059" s="989"/>
      <c r="WFU1059" s="989"/>
      <c r="WFV1059" s="989"/>
      <c r="WFW1059" s="989"/>
      <c r="WFX1059" s="989"/>
      <c r="WFY1059" s="989"/>
      <c r="WFZ1059" s="989"/>
      <c r="WGA1059" s="989"/>
      <c r="WGB1059" s="989"/>
      <c r="WGC1059" s="989"/>
      <c r="WGD1059" s="989"/>
      <c r="WGE1059" s="989"/>
      <c r="WGF1059" s="989"/>
      <c r="WGG1059" s="989"/>
      <c r="WGH1059" s="989"/>
      <c r="WGI1059" s="989"/>
      <c r="WGJ1059" s="989"/>
      <c r="WGK1059" s="989"/>
      <c r="WGL1059" s="989"/>
      <c r="WGM1059" s="989"/>
      <c r="WGN1059" s="989"/>
      <c r="WGO1059" s="989"/>
      <c r="WGP1059" s="989"/>
      <c r="WGQ1059" s="989"/>
      <c r="WGR1059" s="989"/>
      <c r="WGS1059" s="989"/>
      <c r="WGT1059" s="989"/>
      <c r="WGU1059" s="989"/>
      <c r="WGV1059" s="989"/>
      <c r="WGW1059" s="989"/>
      <c r="WGX1059" s="989"/>
      <c r="WGY1059" s="989"/>
      <c r="WGZ1059" s="989"/>
      <c r="WHA1059" s="989"/>
      <c r="WHB1059" s="989"/>
      <c r="WHC1059" s="989"/>
      <c r="WHD1059" s="989"/>
      <c r="WHE1059" s="989"/>
      <c r="WHF1059" s="989"/>
      <c r="WHG1059" s="989"/>
      <c r="WHH1059" s="989"/>
      <c r="WHI1059" s="989"/>
      <c r="WHJ1059" s="989"/>
      <c r="WHK1059" s="989"/>
      <c r="WHL1059" s="989"/>
      <c r="WHM1059" s="989"/>
      <c r="WHN1059" s="989"/>
      <c r="WHO1059" s="989"/>
      <c r="WHP1059" s="989"/>
      <c r="WHQ1059" s="989"/>
      <c r="WHR1059" s="989"/>
      <c r="WHS1059" s="989"/>
      <c r="WHT1059" s="989"/>
      <c r="WHU1059" s="989"/>
      <c r="WHV1059" s="989"/>
      <c r="WHW1059" s="989"/>
      <c r="WHX1059" s="989"/>
      <c r="WHY1059" s="989"/>
      <c r="WHZ1059" s="989"/>
      <c r="WIA1059" s="989"/>
      <c r="WIB1059" s="989"/>
      <c r="WIC1059" s="989"/>
      <c r="WID1059" s="989"/>
      <c r="WIE1059" s="989"/>
      <c r="WIF1059" s="989"/>
      <c r="WIG1059" s="989"/>
      <c r="WIH1059" s="989"/>
      <c r="WII1059" s="989"/>
      <c r="WIJ1059" s="989"/>
      <c r="WIK1059" s="989"/>
      <c r="WIL1059" s="989"/>
      <c r="WIM1059" s="989"/>
      <c r="WIN1059" s="989"/>
      <c r="WIO1059" s="989"/>
      <c r="WIP1059" s="989"/>
      <c r="WIQ1059" s="989"/>
      <c r="WIR1059" s="989"/>
      <c r="WIS1059" s="989"/>
      <c r="WIT1059" s="989"/>
      <c r="WIU1059" s="989"/>
      <c r="WIV1059" s="989"/>
      <c r="WIW1059" s="989"/>
      <c r="WIX1059" s="989"/>
      <c r="WIY1059" s="989"/>
      <c r="WIZ1059" s="989"/>
      <c r="WJA1059" s="989"/>
      <c r="WJB1059" s="989"/>
      <c r="WJC1059" s="989"/>
      <c r="WJD1059" s="989"/>
      <c r="WJE1059" s="989"/>
      <c r="WJF1059" s="989"/>
      <c r="WJG1059" s="989"/>
      <c r="WJH1059" s="989"/>
      <c r="WJI1059" s="989"/>
      <c r="WJJ1059" s="989"/>
      <c r="WJK1059" s="989"/>
      <c r="WJL1059" s="989"/>
      <c r="WJM1059" s="989"/>
      <c r="WJN1059" s="989"/>
      <c r="WJO1059" s="989"/>
      <c r="WJP1059" s="989"/>
      <c r="WJQ1059" s="989"/>
      <c r="WJR1059" s="989"/>
      <c r="WJS1059" s="989"/>
      <c r="WJT1059" s="989"/>
      <c r="WJU1059" s="989"/>
      <c r="WJV1059" s="989"/>
      <c r="WJW1059" s="989"/>
      <c r="WJX1059" s="989"/>
      <c r="WJY1059" s="989"/>
      <c r="WJZ1059" s="989"/>
      <c r="WKA1059" s="989"/>
      <c r="WKB1059" s="989"/>
      <c r="WKC1059" s="989"/>
      <c r="WKD1059" s="989"/>
      <c r="WKE1059" s="989"/>
      <c r="WKF1059" s="989"/>
      <c r="WKG1059" s="989"/>
      <c r="WKH1059" s="989"/>
      <c r="WKI1059" s="989"/>
      <c r="WKJ1059" s="989"/>
      <c r="WKK1059" s="989"/>
      <c r="WKL1059" s="989"/>
      <c r="WKM1059" s="989"/>
      <c r="WKN1059" s="989"/>
      <c r="WKO1059" s="989"/>
      <c r="WKP1059" s="989"/>
      <c r="WKQ1059" s="989"/>
      <c r="WKR1059" s="989"/>
      <c r="WKS1059" s="989"/>
      <c r="WKT1059" s="989"/>
      <c r="WKU1059" s="989"/>
      <c r="WKV1059" s="989"/>
      <c r="WKW1059" s="989"/>
      <c r="WKX1059" s="989"/>
      <c r="WKY1059" s="989"/>
      <c r="WKZ1059" s="989"/>
      <c r="WLA1059" s="989"/>
      <c r="WLB1059" s="989"/>
      <c r="WLC1059" s="989"/>
      <c r="WLD1059" s="989"/>
      <c r="WLE1059" s="989"/>
      <c r="WLF1059" s="989"/>
      <c r="WLG1059" s="989"/>
      <c r="WLH1059" s="989"/>
      <c r="WLI1059" s="989"/>
      <c r="WLJ1059" s="989"/>
      <c r="WLK1059" s="989"/>
      <c r="WLL1059" s="989"/>
      <c r="WLM1059" s="989"/>
      <c r="WLN1059" s="989"/>
      <c r="WLO1059" s="989"/>
      <c r="WLP1059" s="989"/>
      <c r="WLQ1059" s="989"/>
      <c r="WLR1059" s="989"/>
      <c r="WLS1059" s="989"/>
      <c r="WLT1059" s="989"/>
      <c r="WLU1059" s="989"/>
      <c r="WLV1059" s="989"/>
      <c r="WLW1059" s="989"/>
      <c r="WLX1059" s="989"/>
      <c r="WLY1059" s="989"/>
      <c r="WLZ1059" s="989"/>
      <c r="WMA1059" s="989"/>
      <c r="WMB1059" s="989"/>
      <c r="WMC1059" s="989"/>
      <c r="WMD1059" s="989"/>
      <c r="WME1059" s="989"/>
      <c r="WMF1059" s="989"/>
      <c r="WMG1059" s="989"/>
      <c r="WMH1059" s="989"/>
      <c r="WMI1059" s="989"/>
      <c r="WMJ1059" s="989"/>
      <c r="WMK1059" s="989"/>
      <c r="WML1059" s="989"/>
      <c r="WMM1059" s="989"/>
      <c r="WMN1059" s="989"/>
      <c r="WMO1059" s="989"/>
      <c r="WMP1059" s="989"/>
      <c r="WMQ1059" s="989"/>
      <c r="WMR1059" s="989"/>
      <c r="WMS1059" s="989"/>
      <c r="WMT1059" s="989"/>
      <c r="WMU1059" s="989"/>
      <c r="WMV1059" s="989"/>
      <c r="WMW1059" s="989"/>
      <c r="WMX1059" s="989"/>
      <c r="WMY1059" s="989"/>
      <c r="WMZ1059" s="989"/>
      <c r="WNA1059" s="989"/>
      <c r="WNB1059" s="989"/>
      <c r="WNC1059" s="989"/>
      <c r="WND1059" s="989"/>
      <c r="WNE1059" s="989"/>
      <c r="WNF1059" s="989"/>
      <c r="WNG1059" s="989"/>
      <c r="WNH1059" s="989"/>
      <c r="WNI1059" s="989"/>
      <c r="WNJ1059" s="989"/>
      <c r="WNK1059" s="989"/>
      <c r="WNL1059" s="989"/>
      <c r="WNM1059" s="989"/>
      <c r="WNN1059" s="989"/>
      <c r="WNO1059" s="989"/>
      <c r="WNP1059" s="989"/>
      <c r="WNQ1059" s="989"/>
      <c r="WNR1059" s="989"/>
      <c r="WNS1059" s="989"/>
      <c r="WNT1059" s="989"/>
      <c r="WNU1059" s="989"/>
      <c r="WNV1059" s="989"/>
      <c r="WNW1059" s="989"/>
      <c r="WNX1059" s="989"/>
      <c r="WNY1059" s="989"/>
      <c r="WNZ1059" s="989"/>
      <c r="WOA1059" s="989"/>
      <c r="WOB1059" s="989"/>
      <c r="WOC1059" s="989"/>
      <c r="WOD1059" s="989"/>
      <c r="WOE1059" s="989"/>
      <c r="WOF1059" s="989"/>
      <c r="WOG1059" s="989"/>
      <c r="WOH1059" s="989"/>
      <c r="WOI1059" s="989"/>
      <c r="WOJ1059" s="989"/>
      <c r="WOK1059" s="989"/>
      <c r="WOL1059" s="989"/>
      <c r="WOM1059" s="989"/>
      <c r="WON1059" s="989"/>
      <c r="WOO1059" s="989"/>
      <c r="WOP1059" s="989"/>
      <c r="WOQ1059" s="989"/>
      <c r="WOR1059" s="989"/>
      <c r="WOS1059" s="989"/>
      <c r="WOT1059" s="989"/>
      <c r="WOU1059" s="989"/>
      <c r="WOV1059" s="989"/>
      <c r="WOW1059" s="989"/>
      <c r="WOX1059" s="989"/>
      <c r="WOY1059" s="989"/>
      <c r="WOZ1059" s="989"/>
      <c r="WPA1059" s="989"/>
      <c r="WPB1059" s="989"/>
      <c r="WPC1059" s="989"/>
      <c r="WPD1059" s="989"/>
      <c r="WPE1059" s="989"/>
      <c r="WPF1059" s="989"/>
      <c r="WPG1059" s="989"/>
      <c r="WPH1059" s="989"/>
      <c r="WPI1059" s="989"/>
      <c r="WPJ1059" s="989"/>
      <c r="WPK1059" s="989"/>
      <c r="WPL1059" s="989"/>
      <c r="WPM1059" s="989"/>
      <c r="WPN1059" s="989"/>
      <c r="WPO1059" s="989"/>
      <c r="WPP1059" s="989"/>
      <c r="WPQ1059" s="989"/>
      <c r="WPR1059" s="989"/>
      <c r="WPS1059" s="989"/>
      <c r="WPT1059" s="989"/>
      <c r="WPU1059" s="989"/>
      <c r="WPV1059" s="989"/>
      <c r="WPW1059" s="989"/>
      <c r="WPX1059" s="989"/>
      <c r="WPY1059" s="989"/>
      <c r="WPZ1059" s="989"/>
      <c r="WQA1059" s="989"/>
      <c r="WQB1059" s="989"/>
      <c r="WQC1059" s="989"/>
      <c r="WQD1059" s="989"/>
      <c r="WQE1059" s="989"/>
      <c r="WQF1059" s="989"/>
      <c r="WQG1059" s="989"/>
      <c r="WQH1059" s="989"/>
      <c r="WQI1059" s="989"/>
      <c r="WQJ1059" s="989"/>
      <c r="WQK1059" s="989"/>
      <c r="WQL1059" s="989"/>
      <c r="WQM1059" s="989"/>
      <c r="WQN1059" s="989"/>
      <c r="WQO1059" s="989"/>
      <c r="WQP1059" s="989"/>
      <c r="WQQ1059" s="989"/>
      <c r="WQR1059" s="989"/>
      <c r="WQS1059" s="989"/>
      <c r="WQT1059" s="989"/>
      <c r="WQU1059" s="989"/>
      <c r="WQV1059" s="989"/>
      <c r="WQW1059" s="989"/>
      <c r="WQX1059" s="989"/>
      <c r="WQY1059" s="989"/>
      <c r="WQZ1059" s="989"/>
      <c r="WRA1059" s="989"/>
      <c r="WRB1059" s="989"/>
      <c r="WRC1059" s="989"/>
      <c r="WRD1059" s="989"/>
      <c r="WRE1059" s="989"/>
      <c r="WRF1059" s="989"/>
      <c r="WRG1059" s="989"/>
      <c r="WRH1059" s="989"/>
      <c r="WRI1059" s="989"/>
      <c r="WRJ1059" s="989"/>
      <c r="WRK1059" s="989"/>
      <c r="WRL1059" s="989"/>
      <c r="WRM1059" s="989"/>
      <c r="WRN1059" s="989"/>
      <c r="WRO1059" s="989"/>
      <c r="WRP1059" s="989"/>
      <c r="WRQ1059" s="989"/>
      <c r="WRR1059" s="989"/>
      <c r="WRS1059" s="989"/>
      <c r="WRT1059" s="989"/>
      <c r="WRU1059" s="989"/>
      <c r="WRV1059" s="989"/>
      <c r="WRW1059" s="989"/>
      <c r="WRX1059" s="989"/>
      <c r="WRY1059" s="989"/>
      <c r="WRZ1059" s="989"/>
      <c r="WSA1059" s="989"/>
      <c r="WSB1059" s="989"/>
      <c r="WSC1059" s="989"/>
      <c r="WSD1059" s="989"/>
      <c r="WSE1059" s="989"/>
      <c r="WSF1059" s="989"/>
      <c r="WSG1059" s="989"/>
      <c r="WSH1059" s="989"/>
      <c r="WSI1059" s="989"/>
      <c r="WSJ1059" s="989"/>
      <c r="WSK1059" s="989"/>
      <c r="WSL1059" s="989"/>
      <c r="WSM1059" s="989"/>
      <c r="WSN1059" s="989"/>
      <c r="WSO1059" s="989"/>
      <c r="WSP1059" s="989"/>
      <c r="WSQ1059" s="989"/>
      <c r="WSR1059" s="989"/>
      <c r="WSS1059" s="989"/>
      <c r="WST1059" s="989"/>
      <c r="WSU1059" s="989"/>
      <c r="WSV1059" s="989"/>
      <c r="WSW1059" s="989"/>
      <c r="WSX1059" s="989"/>
      <c r="WSY1059" s="989"/>
      <c r="WSZ1059" s="989"/>
      <c r="WTA1059" s="989"/>
      <c r="WTB1059" s="989"/>
      <c r="WTC1059" s="989"/>
      <c r="WTD1059" s="989"/>
      <c r="WTE1059" s="989"/>
      <c r="WTF1059" s="989"/>
      <c r="WTG1059" s="989"/>
      <c r="WTH1059" s="989"/>
      <c r="WTI1059" s="989"/>
      <c r="WTJ1059" s="989"/>
      <c r="WTK1059" s="989"/>
      <c r="WTL1059" s="989"/>
      <c r="WTM1059" s="989"/>
      <c r="WTN1059" s="989"/>
      <c r="WTO1059" s="989"/>
      <c r="WTP1059" s="989"/>
      <c r="WTQ1059" s="989"/>
      <c r="WTR1059" s="989"/>
      <c r="WTS1059" s="989"/>
      <c r="WTT1059" s="989"/>
      <c r="WTU1059" s="989"/>
      <c r="WTV1059" s="989"/>
      <c r="WTW1059" s="989"/>
      <c r="WTX1059" s="989"/>
      <c r="WTY1059" s="989"/>
      <c r="WTZ1059" s="989"/>
      <c r="WUA1059" s="989"/>
      <c r="WUB1059" s="989"/>
      <c r="WUC1059" s="989"/>
      <c r="WUD1059" s="989"/>
      <c r="WUE1059" s="989"/>
      <c r="WUF1059" s="989"/>
      <c r="WUG1059" s="989"/>
      <c r="WUH1059" s="989"/>
      <c r="WUI1059" s="989"/>
      <c r="WUJ1059" s="989"/>
      <c r="WUK1059" s="989"/>
      <c r="WUL1059" s="989"/>
      <c r="WUM1059" s="989"/>
      <c r="WUN1059" s="989"/>
      <c r="WUO1059" s="989"/>
      <c r="WUP1059" s="989"/>
      <c r="WUQ1059" s="989"/>
      <c r="WUR1059" s="989"/>
      <c r="WUS1059" s="989"/>
      <c r="WUT1059" s="989"/>
      <c r="WUU1059" s="989"/>
      <c r="WUV1059" s="989"/>
      <c r="WUW1059" s="989"/>
      <c r="WUX1059" s="989"/>
      <c r="WUY1059" s="989"/>
      <c r="WUZ1059" s="989"/>
      <c r="WVA1059" s="989"/>
      <c r="WVB1059" s="989"/>
      <c r="WVC1059" s="989"/>
      <c r="WVD1059" s="989"/>
      <c r="WVE1059" s="989"/>
      <c r="WVF1059" s="989"/>
      <c r="WVG1059" s="989"/>
      <c r="WVH1059" s="989"/>
      <c r="WVI1059" s="989"/>
      <c r="WVJ1059" s="989"/>
      <c r="WVK1059" s="989"/>
      <c r="WVL1059" s="989"/>
      <c r="WVM1059" s="989"/>
      <c r="WVN1059" s="989"/>
      <c r="WVO1059" s="989"/>
      <c r="WVP1059" s="989"/>
      <c r="WVQ1059" s="989"/>
      <c r="WVR1059" s="989"/>
      <c r="WVS1059" s="989"/>
      <c r="WVT1059" s="989"/>
      <c r="WVU1059" s="989"/>
      <c r="WVV1059" s="989"/>
      <c r="WVW1059" s="989"/>
      <c r="WVX1059" s="989"/>
      <c r="WVY1059" s="989"/>
      <c r="WVZ1059" s="989"/>
      <c r="WWA1059" s="989"/>
      <c r="WWB1059" s="989"/>
      <c r="WWC1059" s="989"/>
      <c r="WWD1059" s="989"/>
      <c r="WWE1059" s="989"/>
      <c r="WWF1059" s="989"/>
      <c r="WWG1059" s="989"/>
      <c r="WWH1059" s="989"/>
      <c r="WWI1059" s="989"/>
      <c r="WWJ1059" s="989"/>
      <c r="WWK1059" s="989"/>
      <c r="WWL1059" s="989"/>
      <c r="WWM1059" s="989"/>
      <c r="WWN1059" s="989"/>
      <c r="WWO1059" s="989"/>
      <c r="WWP1059" s="989"/>
      <c r="WWQ1059" s="989"/>
      <c r="WWR1059" s="989"/>
      <c r="WWS1059" s="989"/>
      <c r="WWT1059" s="989"/>
      <c r="WWU1059" s="989"/>
      <c r="WWV1059" s="989"/>
      <c r="WWW1059" s="989"/>
      <c r="WWX1059" s="989"/>
      <c r="WWY1059" s="989"/>
      <c r="WWZ1059" s="989"/>
      <c r="WXA1059" s="989"/>
      <c r="WXB1059" s="989"/>
      <c r="WXC1059" s="989"/>
      <c r="WXD1059" s="989"/>
      <c r="WXE1059" s="989"/>
      <c r="WXF1059" s="989"/>
      <c r="WXG1059" s="989"/>
      <c r="WXH1059" s="989"/>
      <c r="WXI1059" s="989"/>
      <c r="WXJ1059" s="989"/>
      <c r="WXK1059" s="989"/>
      <c r="WXL1059" s="989"/>
      <c r="WXM1059" s="989"/>
      <c r="WXN1059" s="989"/>
      <c r="WXO1059" s="989"/>
      <c r="WXP1059" s="989"/>
      <c r="WXQ1059" s="989"/>
      <c r="WXR1059" s="989"/>
      <c r="WXS1059" s="989"/>
      <c r="WXT1059" s="989"/>
      <c r="WXU1059" s="989"/>
      <c r="WXV1059" s="989"/>
      <c r="WXW1059" s="989"/>
      <c r="WXX1059" s="989"/>
      <c r="WXY1059" s="989"/>
      <c r="WXZ1059" s="989"/>
      <c r="WYA1059" s="989"/>
      <c r="WYB1059" s="989"/>
      <c r="WYC1059" s="989"/>
      <c r="WYD1059" s="989"/>
      <c r="WYE1059" s="989"/>
      <c r="WYF1059" s="989"/>
      <c r="WYG1059" s="989"/>
      <c r="WYH1059" s="989"/>
      <c r="WYI1059" s="989"/>
      <c r="WYJ1059" s="989"/>
      <c r="WYK1059" s="989"/>
      <c r="WYL1059" s="989"/>
      <c r="WYM1059" s="989"/>
      <c r="WYN1059" s="989"/>
      <c r="WYO1059" s="989"/>
      <c r="WYP1059" s="989"/>
      <c r="WYQ1059" s="989"/>
      <c r="WYR1059" s="989"/>
      <c r="WYS1059" s="989"/>
      <c r="WYT1059" s="989"/>
      <c r="WYU1059" s="989"/>
      <c r="WYV1059" s="989"/>
      <c r="WYW1059" s="989"/>
      <c r="WYX1059" s="989"/>
      <c r="WYY1059" s="989"/>
      <c r="WYZ1059" s="989"/>
      <c r="WZA1059" s="989"/>
      <c r="WZB1059" s="989"/>
      <c r="WZC1059" s="989"/>
      <c r="WZD1059" s="989"/>
      <c r="WZE1059" s="989"/>
      <c r="WZF1059" s="989"/>
      <c r="WZG1059" s="989"/>
      <c r="WZH1059" s="989"/>
      <c r="WZI1059" s="989"/>
      <c r="WZJ1059" s="989"/>
      <c r="WZK1059" s="989"/>
      <c r="WZL1059" s="989"/>
      <c r="WZM1059" s="989"/>
      <c r="WZN1059" s="989"/>
      <c r="WZO1059" s="989"/>
      <c r="WZP1059" s="989"/>
      <c r="WZQ1059" s="989"/>
      <c r="WZR1059" s="989"/>
      <c r="WZS1059" s="989"/>
      <c r="WZT1059" s="989"/>
      <c r="WZU1059" s="989"/>
      <c r="WZV1059" s="989"/>
      <c r="WZW1059" s="989"/>
      <c r="WZX1059" s="989"/>
      <c r="WZY1059" s="989"/>
      <c r="WZZ1059" s="989"/>
      <c r="XAA1059" s="989"/>
      <c r="XAB1059" s="989"/>
      <c r="XAC1059" s="989"/>
      <c r="XAD1059" s="989"/>
      <c r="XAE1059" s="989"/>
      <c r="XAF1059" s="989"/>
      <c r="XAG1059" s="989"/>
      <c r="XAH1059" s="989"/>
      <c r="XAI1059" s="989"/>
      <c r="XAJ1059" s="989"/>
      <c r="XAK1059" s="989"/>
      <c r="XAL1059" s="989"/>
      <c r="XAM1059" s="989"/>
      <c r="XAN1059" s="989"/>
      <c r="XAO1059" s="989"/>
      <c r="XAP1059" s="989"/>
      <c r="XAQ1059" s="989"/>
      <c r="XAR1059" s="989"/>
      <c r="XAS1059" s="989"/>
      <c r="XAT1059" s="989"/>
      <c r="XAU1059" s="989"/>
      <c r="XAV1059" s="989"/>
      <c r="XAW1059" s="989"/>
      <c r="XAX1059" s="989"/>
      <c r="XAY1059" s="989"/>
      <c r="XAZ1059" s="989"/>
      <c r="XBA1059" s="989"/>
      <c r="XBB1059" s="989"/>
      <c r="XBC1059" s="989"/>
      <c r="XBD1059" s="989"/>
      <c r="XBE1059" s="989"/>
      <c r="XBF1059" s="989"/>
      <c r="XBG1059" s="989"/>
      <c r="XBH1059" s="989"/>
      <c r="XBI1059" s="989"/>
      <c r="XBJ1059" s="989"/>
      <c r="XBK1059" s="989"/>
      <c r="XBL1059" s="989"/>
      <c r="XBM1059" s="989"/>
      <c r="XBN1059" s="989"/>
      <c r="XBO1059" s="989"/>
      <c r="XBP1059" s="989"/>
      <c r="XBQ1059" s="989"/>
      <c r="XBR1059" s="989"/>
      <c r="XBS1059" s="989"/>
      <c r="XBT1059" s="989"/>
      <c r="XBU1059" s="989"/>
      <c r="XBV1059" s="989"/>
      <c r="XBW1059" s="989"/>
      <c r="XBX1059" s="989"/>
      <c r="XBY1059" s="989"/>
      <c r="XBZ1059" s="989"/>
      <c r="XCA1059" s="989"/>
      <c r="XCB1059" s="989"/>
      <c r="XCC1059" s="989"/>
      <c r="XCD1059" s="989"/>
      <c r="XCE1059" s="989"/>
      <c r="XCF1059" s="989"/>
      <c r="XCG1059" s="989"/>
      <c r="XCH1059" s="989"/>
      <c r="XCI1059" s="989"/>
      <c r="XCJ1059" s="989"/>
      <c r="XCK1059" s="989"/>
      <c r="XCL1059" s="989"/>
      <c r="XCM1059" s="989"/>
      <c r="XCN1059" s="989"/>
      <c r="XCO1059" s="989"/>
      <c r="XCP1059" s="989"/>
      <c r="XCQ1059" s="989"/>
      <c r="XCR1059" s="989"/>
      <c r="XCS1059" s="989"/>
      <c r="XCT1059" s="989"/>
      <c r="XCU1059" s="989"/>
      <c r="XCV1059" s="989"/>
      <c r="XCW1059" s="989"/>
      <c r="XCX1059" s="989"/>
      <c r="XCY1059" s="989"/>
      <c r="XCZ1059" s="989"/>
      <c r="XDA1059" s="989"/>
      <c r="XDB1059" s="989"/>
      <c r="XDC1059" s="989"/>
      <c r="XDD1059" s="989"/>
      <c r="XDE1059" s="989"/>
      <c r="XDF1059" s="989"/>
      <c r="XDG1059" s="989"/>
      <c r="XDH1059" s="989"/>
      <c r="XDI1059" s="989"/>
      <c r="XDJ1059" s="989"/>
      <c r="XDK1059" s="989"/>
      <c r="XDL1059" s="989"/>
      <c r="XDM1059" s="989"/>
      <c r="XDN1059" s="989"/>
      <c r="XDO1059" s="989"/>
      <c r="XDP1059" s="989"/>
      <c r="XDQ1059" s="989"/>
      <c r="XDR1059" s="989"/>
      <c r="XDS1059" s="989"/>
      <c r="XDT1059" s="989"/>
      <c r="XDU1059" s="989"/>
      <c r="XDV1059" s="989"/>
      <c r="XDW1059" s="989"/>
      <c r="XDX1059" s="989"/>
      <c r="XDY1059" s="989"/>
      <c r="XDZ1059" s="989"/>
      <c r="XEA1059" s="989"/>
      <c r="XEB1059" s="989"/>
      <c r="XEC1059" s="989"/>
      <c r="XED1059" s="989"/>
      <c r="XEE1059" s="989"/>
      <c r="XEF1059" s="989"/>
      <c r="XEG1059" s="989"/>
      <c r="XEH1059" s="989"/>
      <c r="XEI1059" s="989"/>
      <c r="XEJ1059" s="989"/>
      <c r="XEK1059" s="989"/>
      <c r="XEL1059" s="42"/>
      <c r="XEM1059" s="42"/>
      <c r="XEN1059" s="42"/>
      <c r="XEO1059" s="42"/>
      <c r="XEP1059" s="42"/>
      <c r="XEQ1059" s="42"/>
      <c r="XER1059" s="42"/>
      <c r="XES1059" s="2431"/>
      <c r="XET1059" s="2431"/>
      <c r="XEU1059" s="2431"/>
      <c r="XEV1059" s="2431"/>
      <c r="XEW1059" s="2431"/>
      <c r="XEX1059" s="2431"/>
      <c r="XEY1059" s="2431"/>
      <c r="XEZ1059" s="2431"/>
      <c r="XFA1059" s="2431"/>
      <c r="XFB1059" s="2431"/>
      <c r="XFC1059" s="2431"/>
    </row>
    <row r="1060" ht="25" customHeight="1" spans="1:1024 1025:16384">
      <c r="A1060" s="989"/>
      <c r="B1060" s="990"/>
      <c r="D1060" s="2445">
        <v>2</v>
      </c>
      <c r="E1060" s="2445" t="s">
        <v>3318</v>
      </c>
      <c r="F1060" s="2440"/>
      <c r="G1060" s="2441"/>
      <c r="H1060" s="2441"/>
      <c r="I1060" s="1658"/>
      <c r="J1060" s="1658"/>
      <c r="K1060" s="2446" t="s">
        <v>3319</v>
      </c>
      <c r="L1060" s="2447">
        <v>1</v>
      </c>
      <c r="M1060" s="2448">
        <v>27.5</v>
      </c>
      <c r="N1060" s="2448">
        <v>30.6</v>
      </c>
      <c r="O1060" s="2448">
        <f>N1060-M1060</f>
        <v>3.1</v>
      </c>
      <c r="P1060" s="2449">
        <f>O1060/M1060</f>
        <v>0.112727272727273</v>
      </c>
      <c r="Q1060" s="2450"/>
      <c r="R1060" s="989"/>
      <c r="S1060" s="989"/>
      <c r="T1060" s="42"/>
      <c r="U1060" s="42"/>
      <c r="V1060" s="42"/>
      <c r="W1060" s="2163"/>
      <c r="X1060" s="42"/>
      <c r="Y1060" s="989"/>
      <c r="Z1060" s="42"/>
      <c r="AA1060" s="42"/>
      <c r="AB1060" s="2163"/>
      <c r="AC1060" s="989"/>
      <c r="AD1060" s="989"/>
      <c r="AE1060" s="989"/>
      <c r="AF1060" s="989"/>
      <c r="AG1060" s="989"/>
      <c r="AH1060" s="989"/>
      <c r="AI1060" s="989"/>
      <c r="AJ1060" s="989"/>
      <c r="AK1060" s="989"/>
      <c r="AL1060" s="989"/>
      <c r="AM1060" s="989"/>
      <c r="AN1060" s="989"/>
      <c r="AO1060" s="989"/>
      <c r="AP1060" s="989"/>
      <c r="AQ1060" s="989"/>
      <c r="AR1060" s="989"/>
      <c r="AS1060" s="989"/>
      <c r="AT1060" s="989"/>
      <c r="AU1060" s="989"/>
      <c r="AV1060" s="989"/>
      <c r="AW1060" s="989"/>
      <c r="AX1060" s="989"/>
      <c r="AY1060" s="989"/>
      <c r="AZ1060" s="989"/>
      <c r="BA1060" s="989"/>
      <c r="BB1060" s="989"/>
      <c r="BC1060" s="989"/>
      <c r="BD1060" s="989"/>
      <c r="BE1060" s="989"/>
      <c r="BF1060" s="989"/>
      <c r="BG1060" s="989"/>
      <c r="BH1060" s="989"/>
      <c r="BI1060" s="989"/>
      <c r="BJ1060" s="989"/>
      <c r="BK1060" s="989"/>
      <c r="BL1060" s="989"/>
      <c r="BM1060" s="989"/>
      <c r="BN1060" s="989"/>
      <c r="BO1060" s="989"/>
      <c r="BP1060" s="989"/>
      <c r="BQ1060" s="989"/>
      <c r="BR1060" s="989"/>
      <c r="BS1060" s="989"/>
      <c r="BT1060" s="989"/>
      <c r="BU1060" s="989"/>
      <c r="BV1060" s="989"/>
      <c r="BW1060" s="989"/>
      <c r="BX1060" s="989"/>
      <c r="BY1060" s="989"/>
      <c r="BZ1060" s="989"/>
      <c r="CA1060" s="989"/>
      <c r="CB1060" s="989"/>
      <c r="CC1060" s="989"/>
      <c r="CD1060" s="989"/>
      <c r="CE1060" s="989"/>
      <c r="CF1060" s="989"/>
      <c r="CG1060" s="989"/>
      <c r="CH1060" s="989"/>
      <c r="CI1060" s="989"/>
      <c r="CJ1060" s="989"/>
      <c r="CK1060" s="989"/>
      <c r="CL1060" s="989"/>
      <c r="CM1060" s="989"/>
      <c r="CN1060" s="989"/>
      <c r="CO1060" s="989"/>
      <c r="CP1060" s="989"/>
      <c r="CQ1060" s="989"/>
      <c r="CR1060" s="989"/>
      <c r="CS1060" s="989"/>
      <c r="CT1060" s="989"/>
      <c r="CU1060" s="989"/>
      <c r="CV1060" s="989"/>
      <c r="CW1060" s="989"/>
      <c r="CX1060" s="989"/>
      <c r="CY1060" s="989"/>
      <c r="CZ1060" s="989"/>
      <c r="DA1060" s="989"/>
      <c r="DB1060" s="989"/>
      <c r="DC1060" s="989"/>
      <c r="DD1060" s="989"/>
      <c r="DE1060" s="989"/>
      <c r="DF1060" s="989"/>
      <c r="DG1060" s="989"/>
      <c r="DH1060" s="989"/>
      <c r="DI1060" s="989"/>
      <c r="DJ1060" s="989"/>
      <c r="DK1060" s="989"/>
      <c r="DL1060" s="989"/>
      <c r="DM1060" s="989"/>
      <c r="DN1060" s="989"/>
      <c r="DO1060" s="989"/>
      <c r="DP1060" s="989"/>
      <c r="DQ1060" s="989"/>
      <c r="DR1060" s="989"/>
      <c r="DS1060" s="989"/>
      <c r="DT1060" s="989"/>
      <c r="DU1060" s="989"/>
      <c r="DV1060" s="989"/>
      <c r="DW1060" s="989"/>
      <c r="DX1060" s="989"/>
      <c r="DY1060" s="989"/>
      <c r="DZ1060" s="989"/>
      <c r="EA1060" s="989"/>
      <c r="EB1060" s="989"/>
      <c r="EC1060" s="989"/>
      <c r="ED1060" s="989"/>
      <c r="EE1060" s="989"/>
      <c r="EF1060" s="989"/>
      <c r="EG1060" s="989"/>
      <c r="EH1060" s="989"/>
      <c r="EI1060" s="989"/>
      <c r="EJ1060" s="989"/>
      <c r="EK1060" s="989"/>
      <c r="EL1060" s="989"/>
      <c r="EM1060" s="989"/>
      <c r="EN1060" s="989"/>
      <c r="EO1060" s="989"/>
      <c r="EP1060" s="989"/>
      <c r="EQ1060" s="989"/>
      <c r="ER1060" s="989"/>
      <c r="ES1060" s="989"/>
      <c r="ET1060" s="989"/>
      <c r="EU1060" s="989"/>
      <c r="EV1060" s="989"/>
      <c r="EW1060" s="989"/>
      <c r="EX1060" s="989"/>
      <c r="EY1060" s="989"/>
      <c r="EZ1060" s="989"/>
      <c r="FA1060" s="989"/>
      <c r="FB1060" s="989"/>
      <c r="FC1060" s="989"/>
      <c r="FD1060" s="989"/>
      <c r="FE1060" s="989"/>
      <c r="FF1060" s="989"/>
      <c r="FG1060" s="989"/>
      <c r="FH1060" s="989"/>
      <c r="FI1060" s="989"/>
      <c r="FJ1060" s="989"/>
      <c r="FK1060" s="989"/>
      <c r="FL1060" s="989"/>
      <c r="FM1060" s="989"/>
      <c r="FN1060" s="989"/>
      <c r="FO1060" s="989"/>
      <c r="FP1060" s="989"/>
      <c r="FQ1060" s="989"/>
      <c r="FR1060" s="989"/>
      <c r="FS1060" s="989"/>
      <c r="FT1060" s="989"/>
      <c r="FU1060" s="989"/>
      <c r="FV1060" s="989"/>
      <c r="FW1060" s="989"/>
      <c r="FX1060" s="989"/>
      <c r="FY1060" s="989"/>
      <c r="FZ1060" s="989"/>
      <c r="GA1060" s="989"/>
      <c r="GB1060" s="989"/>
      <c r="GC1060" s="989"/>
      <c r="GD1060" s="989"/>
      <c r="GE1060" s="989"/>
      <c r="GF1060" s="989"/>
      <c r="GG1060" s="989"/>
      <c r="GH1060" s="989"/>
      <c r="GI1060" s="989"/>
      <c r="GJ1060" s="989"/>
      <c r="GK1060" s="989"/>
      <c r="GL1060" s="989"/>
      <c r="GM1060" s="989"/>
      <c r="GN1060" s="989"/>
      <c r="GO1060" s="989"/>
      <c r="GP1060" s="989"/>
      <c r="GQ1060" s="989"/>
      <c r="GR1060" s="989"/>
      <c r="GS1060" s="989"/>
      <c r="GT1060" s="989"/>
      <c r="GU1060" s="989"/>
      <c r="GV1060" s="989"/>
      <c r="GW1060" s="989"/>
      <c r="GX1060" s="989"/>
      <c r="GY1060" s="989"/>
      <c r="GZ1060" s="989"/>
      <c r="HA1060" s="989"/>
      <c r="HB1060" s="989"/>
      <c r="HC1060" s="989"/>
      <c r="HD1060" s="989"/>
      <c r="HE1060" s="989"/>
      <c r="HF1060" s="989"/>
      <c r="HG1060" s="989"/>
      <c r="HH1060" s="989"/>
      <c r="HI1060" s="989"/>
      <c r="HJ1060" s="989"/>
      <c r="HK1060" s="989"/>
      <c r="HL1060" s="989"/>
      <c r="HM1060" s="989"/>
      <c r="HN1060" s="989"/>
      <c r="HO1060" s="989"/>
      <c r="HP1060" s="989"/>
      <c r="HQ1060" s="989"/>
      <c r="HR1060" s="989"/>
      <c r="HS1060" s="989"/>
      <c r="HT1060" s="989"/>
      <c r="HU1060" s="989"/>
      <c r="HV1060" s="989"/>
      <c r="HW1060" s="989"/>
      <c r="HX1060" s="989"/>
      <c r="HY1060" s="989"/>
      <c r="HZ1060" s="989"/>
      <c r="IA1060" s="989"/>
      <c r="IB1060" s="989"/>
      <c r="IC1060" s="989"/>
      <c r="ID1060" s="989"/>
      <c r="IE1060" s="989"/>
      <c r="IF1060" s="989"/>
      <c r="IG1060" s="989"/>
      <c r="IH1060" s="989"/>
      <c r="II1060" s="989"/>
      <c r="IJ1060" s="989"/>
      <c r="IK1060" s="989"/>
      <c r="IL1060" s="989"/>
      <c r="IM1060" s="989"/>
      <c r="IN1060" s="989"/>
      <c r="IO1060" s="989"/>
      <c r="IP1060" s="989"/>
      <c r="IQ1060" s="989"/>
      <c r="IR1060" s="989"/>
      <c r="IS1060" s="989"/>
      <c r="IT1060" s="989"/>
      <c r="IU1060" s="989"/>
      <c r="IV1060" s="989"/>
      <c r="IW1060" s="989"/>
      <c r="IX1060" s="989"/>
      <c r="IY1060" s="989"/>
      <c r="IZ1060" s="989"/>
      <c r="JA1060" s="989"/>
      <c r="JB1060" s="989"/>
      <c r="JC1060" s="989"/>
      <c r="JD1060" s="989"/>
      <c r="JE1060" s="989"/>
      <c r="JF1060" s="989"/>
      <c r="JG1060" s="989"/>
      <c r="JH1060" s="989"/>
      <c r="JI1060" s="989"/>
      <c r="JJ1060" s="989"/>
      <c r="JK1060" s="989"/>
      <c r="JL1060" s="989"/>
      <c r="JM1060" s="989"/>
      <c r="JN1060" s="989"/>
      <c r="JO1060" s="989"/>
      <c r="JP1060" s="989"/>
      <c r="JQ1060" s="989"/>
      <c r="JR1060" s="989"/>
      <c r="JS1060" s="989"/>
      <c r="JT1060" s="989"/>
      <c r="JU1060" s="989"/>
      <c r="JV1060" s="989"/>
      <c r="JW1060" s="989"/>
      <c r="JX1060" s="989"/>
      <c r="JY1060" s="989"/>
      <c r="JZ1060" s="989"/>
      <c r="KA1060" s="989"/>
      <c r="KB1060" s="989"/>
      <c r="KC1060" s="989"/>
      <c r="KD1060" s="989"/>
      <c r="KE1060" s="989"/>
      <c r="KF1060" s="989"/>
      <c r="KG1060" s="989"/>
      <c r="KH1060" s="989"/>
      <c r="KI1060" s="989"/>
      <c r="KJ1060" s="989"/>
      <c r="KK1060" s="989"/>
      <c r="KL1060" s="989"/>
      <c r="KM1060" s="989"/>
      <c r="KN1060" s="989"/>
      <c r="KO1060" s="989"/>
      <c r="KP1060" s="989"/>
      <c r="KQ1060" s="989"/>
      <c r="KR1060" s="989"/>
      <c r="KS1060" s="989"/>
      <c r="KT1060" s="989"/>
      <c r="KU1060" s="989"/>
      <c r="KV1060" s="989"/>
      <c r="KW1060" s="989"/>
      <c r="KX1060" s="989"/>
      <c r="KY1060" s="989"/>
      <c r="KZ1060" s="989"/>
      <c r="LA1060" s="989"/>
      <c r="LB1060" s="989"/>
      <c r="LC1060" s="989"/>
      <c r="LD1060" s="989"/>
      <c r="LE1060" s="989"/>
      <c r="LF1060" s="989"/>
      <c r="LG1060" s="989"/>
      <c r="LH1060" s="989"/>
      <c r="LI1060" s="989"/>
      <c r="LJ1060" s="989"/>
      <c r="LK1060" s="989"/>
      <c r="LL1060" s="989"/>
      <c r="LM1060" s="989"/>
      <c r="LN1060" s="989"/>
      <c r="LO1060" s="989"/>
      <c r="LP1060" s="989"/>
      <c r="LQ1060" s="989"/>
      <c r="LR1060" s="989"/>
      <c r="LS1060" s="989"/>
      <c r="LT1060" s="989"/>
      <c r="LU1060" s="989"/>
      <c r="LV1060" s="989"/>
      <c r="LW1060" s="989"/>
      <c r="LX1060" s="989"/>
      <c r="LY1060" s="989"/>
      <c r="LZ1060" s="989"/>
      <c r="MA1060" s="989"/>
      <c r="MB1060" s="989"/>
      <c r="MC1060" s="989"/>
      <c r="MD1060" s="989"/>
      <c r="ME1060" s="989"/>
      <c r="MF1060" s="989"/>
      <c r="MG1060" s="989"/>
      <c r="MH1060" s="989"/>
      <c r="MI1060" s="989"/>
      <c r="MJ1060" s="989"/>
      <c r="MK1060" s="989"/>
      <c r="ML1060" s="989"/>
      <c r="MM1060" s="989"/>
      <c r="MN1060" s="989"/>
      <c r="MO1060" s="989"/>
      <c r="MP1060" s="989"/>
      <c r="MQ1060" s="989"/>
      <c r="MR1060" s="989"/>
      <c r="MS1060" s="989"/>
      <c r="MT1060" s="989"/>
      <c r="MU1060" s="989"/>
      <c r="MV1060" s="989"/>
      <c r="MW1060" s="989"/>
      <c r="MX1060" s="989"/>
      <c r="MY1060" s="989"/>
      <c r="MZ1060" s="989"/>
      <c r="NA1060" s="989"/>
      <c r="NB1060" s="989"/>
      <c r="NC1060" s="989"/>
      <c r="ND1060" s="989"/>
      <c r="NE1060" s="989"/>
      <c r="NF1060" s="989"/>
      <c r="NG1060" s="989"/>
      <c r="NH1060" s="989"/>
      <c r="NI1060" s="989"/>
      <c r="NJ1060" s="989"/>
      <c r="NK1060" s="989"/>
      <c r="NL1060" s="989"/>
      <c r="NM1060" s="989"/>
      <c r="NN1060" s="989"/>
      <c r="NO1060" s="989"/>
      <c r="NP1060" s="989"/>
      <c r="NQ1060" s="989"/>
      <c r="NR1060" s="989"/>
      <c r="NS1060" s="989"/>
      <c r="NT1060" s="989"/>
      <c r="NU1060" s="989"/>
      <c r="NV1060" s="989"/>
      <c r="NW1060" s="989"/>
      <c r="NX1060" s="989"/>
      <c r="NY1060" s="989"/>
      <c r="NZ1060" s="989"/>
      <c r="OA1060" s="989"/>
      <c r="OB1060" s="989"/>
      <c r="OC1060" s="989"/>
      <c r="OD1060" s="989"/>
      <c r="OE1060" s="989"/>
      <c r="OF1060" s="989"/>
      <c r="OG1060" s="989"/>
      <c r="OH1060" s="989"/>
      <c r="OI1060" s="989"/>
      <c r="OJ1060" s="989"/>
      <c r="OK1060" s="989"/>
      <c r="OL1060" s="989"/>
      <c r="OM1060" s="989"/>
      <c r="ON1060" s="989"/>
      <c r="OO1060" s="989"/>
      <c r="OP1060" s="989"/>
      <c r="OQ1060" s="989"/>
      <c r="OR1060" s="989"/>
      <c r="OS1060" s="989"/>
      <c r="OT1060" s="989"/>
      <c r="OU1060" s="989"/>
      <c r="OV1060" s="989"/>
      <c r="OW1060" s="989"/>
      <c r="OX1060" s="989"/>
      <c r="OY1060" s="989"/>
      <c r="OZ1060" s="989"/>
      <c r="PA1060" s="989"/>
      <c r="PB1060" s="989"/>
      <c r="PC1060" s="989"/>
      <c r="PD1060" s="989"/>
      <c r="PE1060" s="989"/>
      <c r="PF1060" s="989"/>
      <c r="PG1060" s="989"/>
      <c r="PH1060" s="989"/>
      <c r="PI1060" s="989"/>
      <c r="PJ1060" s="989"/>
      <c r="PK1060" s="989"/>
      <c r="PL1060" s="989"/>
      <c r="PM1060" s="989"/>
      <c r="PN1060" s="989"/>
      <c r="PO1060" s="989"/>
      <c r="PP1060" s="989"/>
      <c r="PQ1060" s="989"/>
      <c r="PR1060" s="989"/>
      <c r="PS1060" s="989"/>
      <c r="PT1060" s="989"/>
      <c r="PU1060" s="989"/>
      <c r="PV1060" s="989"/>
      <c r="PW1060" s="989"/>
      <c r="PX1060" s="989"/>
      <c r="PY1060" s="989"/>
      <c r="PZ1060" s="989"/>
      <c r="QA1060" s="989"/>
      <c r="QB1060" s="989"/>
      <c r="QC1060" s="989"/>
      <c r="QD1060" s="989"/>
      <c r="QE1060" s="989"/>
      <c r="QF1060" s="989"/>
      <c r="QG1060" s="989"/>
      <c r="QH1060" s="989"/>
      <c r="QI1060" s="989"/>
      <c r="QJ1060" s="989"/>
      <c r="QK1060" s="989"/>
      <c r="QL1060" s="989"/>
      <c r="QM1060" s="989"/>
      <c r="QN1060" s="989"/>
      <c r="QO1060" s="989"/>
      <c r="QP1060" s="989"/>
      <c r="QQ1060" s="989"/>
      <c r="QR1060" s="989"/>
      <c r="QS1060" s="989"/>
      <c r="QT1060" s="989"/>
      <c r="QU1060" s="989"/>
      <c r="QV1060" s="989"/>
      <c r="QW1060" s="989"/>
      <c r="QX1060" s="989"/>
      <c r="QY1060" s="989"/>
      <c r="QZ1060" s="989"/>
      <c r="RA1060" s="989"/>
      <c r="RB1060" s="989"/>
      <c r="RC1060" s="989"/>
      <c r="RD1060" s="989"/>
      <c r="RE1060" s="989"/>
      <c r="RF1060" s="989"/>
      <c r="RG1060" s="989"/>
      <c r="RH1060" s="989"/>
      <c r="RI1060" s="989"/>
      <c r="RJ1060" s="989"/>
      <c r="RK1060" s="989"/>
      <c r="RL1060" s="989"/>
      <c r="RM1060" s="989"/>
      <c r="RN1060" s="989"/>
      <c r="RO1060" s="989"/>
      <c r="RP1060" s="989"/>
      <c r="RQ1060" s="989"/>
      <c r="RR1060" s="989"/>
      <c r="RS1060" s="989"/>
      <c r="RT1060" s="989"/>
      <c r="RU1060" s="989"/>
      <c r="RV1060" s="989"/>
      <c r="RW1060" s="989"/>
      <c r="RX1060" s="989"/>
      <c r="RY1060" s="989"/>
      <c r="RZ1060" s="989"/>
      <c r="SA1060" s="989"/>
      <c r="SB1060" s="989"/>
      <c r="SC1060" s="989"/>
      <c r="SD1060" s="989"/>
      <c r="SE1060" s="989"/>
      <c r="SF1060" s="989"/>
      <c r="SG1060" s="989"/>
      <c r="SH1060" s="989"/>
      <c r="SI1060" s="989"/>
      <c r="SJ1060" s="989"/>
      <c r="SK1060" s="989"/>
      <c r="SL1060" s="989"/>
      <c r="SM1060" s="989"/>
      <c r="SN1060" s="989"/>
      <c r="SO1060" s="989"/>
      <c r="SP1060" s="989"/>
      <c r="SQ1060" s="989"/>
      <c r="SR1060" s="989"/>
      <c r="SS1060" s="989"/>
      <c r="ST1060" s="989"/>
      <c r="SU1060" s="989"/>
      <c r="SV1060" s="989"/>
      <c r="SW1060" s="989"/>
      <c r="SX1060" s="989"/>
      <c r="SY1060" s="989"/>
      <c r="SZ1060" s="989"/>
      <c r="TA1060" s="989"/>
      <c r="TB1060" s="989"/>
      <c r="TC1060" s="989"/>
      <c r="TD1060" s="989"/>
      <c r="TE1060" s="989"/>
      <c r="TF1060" s="989"/>
      <c r="TG1060" s="989"/>
      <c r="TH1060" s="989"/>
      <c r="TI1060" s="989"/>
      <c r="TJ1060" s="989"/>
      <c r="TK1060" s="989"/>
      <c r="TL1060" s="989"/>
      <c r="TM1060" s="989"/>
      <c r="TN1060" s="989"/>
      <c r="TO1060" s="989"/>
      <c r="TP1060" s="989"/>
      <c r="TQ1060" s="989"/>
      <c r="TR1060" s="989"/>
      <c r="TS1060" s="989"/>
      <c r="TT1060" s="989"/>
      <c r="TU1060" s="989"/>
      <c r="TV1060" s="989"/>
      <c r="TW1060" s="989"/>
      <c r="TX1060" s="989"/>
      <c r="TY1060" s="989"/>
      <c r="TZ1060" s="989"/>
      <c r="UA1060" s="989"/>
      <c r="UB1060" s="989"/>
      <c r="UC1060" s="989"/>
      <c r="UD1060" s="989"/>
      <c r="UE1060" s="989"/>
      <c r="UF1060" s="989"/>
      <c r="UG1060" s="989"/>
      <c r="UH1060" s="989"/>
      <c r="UI1060" s="989"/>
      <c r="UJ1060" s="989"/>
      <c r="UK1060" s="989"/>
      <c r="UL1060" s="989"/>
      <c r="UM1060" s="989"/>
      <c r="UN1060" s="989"/>
      <c r="UO1060" s="989"/>
      <c r="UP1060" s="989"/>
      <c r="UQ1060" s="989"/>
      <c r="UR1060" s="989"/>
      <c r="US1060" s="989"/>
      <c r="UT1060" s="989"/>
      <c r="UU1060" s="989"/>
      <c r="UV1060" s="989"/>
      <c r="UW1060" s="989"/>
      <c r="UX1060" s="989"/>
      <c r="UY1060" s="989"/>
      <c r="UZ1060" s="989"/>
      <c r="VA1060" s="989"/>
      <c r="VB1060" s="989"/>
      <c r="VC1060" s="989"/>
      <c r="VD1060" s="989"/>
      <c r="VE1060" s="989"/>
      <c r="VF1060" s="989"/>
      <c r="VG1060" s="989"/>
      <c r="VH1060" s="989"/>
      <c r="VI1060" s="989"/>
      <c r="VJ1060" s="989"/>
      <c r="VK1060" s="989"/>
      <c r="VL1060" s="989"/>
      <c r="VM1060" s="989"/>
      <c r="VN1060" s="989"/>
      <c r="VO1060" s="989"/>
      <c r="VP1060" s="989"/>
      <c r="VQ1060" s="989"/>
      <c r="VR1060" s="989"/>
      <c r="VS1060" s="989"/>
      <c r="VT1060" s="989"/>
      <c r="VU1060" s="989"/>
      <c r="VV1060" s="989"/>
      <c r="VW1060" s="989"/>
      <c r="VX1060" s="989"/>
      <c r="VY1060" s="989"/>
      <c r="VZ1060" s="989"/>
      <c r="WA1060" s="989"/>
      <c r="WB1060" s="989"/>
      <c r="WC1060" s="989"/>
      <c r="WD1060" s="989"/>
      <c r="WE1060" s="989"/>
      <c r="WF1060" s="989"/>
      <c r="WG1060" s="989"/>
      <c r="WH1060" s="989"/>
      <c r="WI1060" s="989"/>
      <c r="WJ1060" s="989"/>
      <c r="WK1060" s="989"/>
      <c r="WL1060" s="989"/>
      <c r="WM1060" s="989"/>
      <c r="WN1060" s="989"/>
      <c r="WO1060" s="989"/>
      <c r="WP1060" s="989"/>
      <c r="WQ1060" s="989"/>
      <c r="WR1060" s="989"/>
      <c r="WS1060" s="989"/>
      <c r="WT1060" s="989"/>
      <c r="WU1060" s="989"/>
      <c r="WV1060" s="989"/>
      <c r="WW1060" s="989"/>
      <c r="WX1060" s="989"/>
      <c r="WY1060" s="989"/>
      <c r="WZ1060" s="989"/>
      <c r="XA1060" s="989"/>
      <c r="XB1060" s="989"/>
      <c r="XC1060" s="989"/>
      <c r="XD1060" s="989"/>
      <c r="XE1060" s="989"/>
      <c r="XF1060" s="989"/>
      <c r="XG1060" s="989"/>
      <c r="XH1060" s="989"/>
      <c r="XI1060" s="989"/>
      <c r="XJ1060" s="989"/>
      <c r="XK1060" s="989"/>
      <c r="XL1060" s="989"/>
      <c r="XM1060" s="989"/>
      <c r="XN1060" s="989"/>
      <c r="XO1060" s="989"/>
      <c r="XP1060" s="989"/>
      <c r="XQ1060" s="989"/>
      <c r="XR1060" s="989"/>
      <c r="XS1060" s="989"/>
      <c r="XT1060" s="989"/>
      <c r="XU1060" s="989"/>
      <c r="XV1060" s="989"/>
      <c r="XW1060" s="989"/>
      <c r="XX1060" s="989"/>
      <c r="XY1060" s="989"/>
      <c r="XZ1060" s="989"/>
      <c r="YA1060" s="989"/>
      <c r="YB1060" s="989"/>
      <c r="YC1060" s="989"/>
      <c r="YD1060" s="989"/>
      <c r="YE1060" s="989"/>
      <c r="YF1060" s="989"/>
      <c r="YG1060" s="989"/>
      <c r="YH1060" s="989"/>
      <c r="YI1060" s="989"/>
      <c r="YJ1060" s="989"/>
      <c r="YK1060" s="989"/>
      <c r="YL1060" s="989"/>
      <c r="YM1060" s="989"/>
      <c r="YN1060" s="989"/>
      <c r="YO1060" s="989"/>
      <c r="YP1060" s="989"/>
      <c r="YQ1060" s="989"/>
      <c r="YR1060" s="989"/>
      <c r="YS1060" s="989"/>
      <c r="YT1060" s="989"/>
      <c r="YU1060" s="989"/>
      <c r="YV1060" s="989"/>
      <c r="YW1060" s="989"/>
      <c r="YX1060" s="989"/>
      <c r="YY1060" s="989"/>
      <c r="YZ1060" s="989"/>
      <c r="ZA1060" s="989"/>
      <c r="ZB1060" s="989"/>
      <c r="ZC1060" s="989"/>
      <c r="ZD1060" s="989"/>
      <c r="ZE1060" s="989"/>
      <c r="ZF1060" s="989"/>
      <c r="ZG1060" s="989"/>
      <c r="ZH1060" s="989"/>
      <c r="ZI1060" s="989"/>
      <c r="ZJ1060" s="989"/>
      <c r="ZK1060" s="989"/>
      <c r="ZL1060" s="989"/>
      <c r="ZM1060" s="989"/>
      <c r="ZN1060" s="989"/>
      <c r="ZO1060" s="989"/>
      <c r="ZP1060" s="989"/>
      <c r="ZQ1060" s="989"/>
      <c r="ZR1060" s="989"/>
      <c r="ZS1060" s="989"/>
      <c r="ZT1060" s="989"/>
      <c r="ZU1060" s="989"/>
      <c r="ZV1060" s="989"/>
      <c r="ZW1060" s="989"/>
      <c r="ZX1060" s="989"/>
      <c r="ZY1060" s="989"/>
      <c r="ZZ1060" s="989"/>
      <c r="AAA1060" s="989"/>
      <c r="AAB1060" s="989"/>
      <c r="AAC1060" s="989"/>
      <c r="AAD1060" s="989"/>
      <c r="AAE1060" s="989"/>
      <c r="AAF1060" s="989"/>
      <c r="AAG1060" s="989"/>
      <c r="AAH1060" s="989"/>
      <c r="AAI1060" s="989"/>
      <c r="AAJ1060" s="989"/>
      <c r="AAK1060" s="989"/>
      <c r="AAL1060" s="989"/>
      <c r="AAM1060" s="989"/>
      <c r="AAN1060" s="989"/>
      <c r="AAO1060" s="989"/>
      <c r="AAP1060" s="989"/>
      <c r="AAQ1060" s="989"/>
      <c r="AAR1060" s="989"/>
      <c r="AAS1060" s="989"/>
      <c r="AAT1060" s="989"/>
      <c r="AAU1060" s="989"/>
      <c r="AAV1060" s="989"/>
      <c r="AAW1060" s="989"/>
      <c r="AAX1060" s="989"/>
      <c r="AAY1060" s="989"/>
      <c r="AAZ1060" s="989"/>
      <c r="ABA1060" s="989"/>
      <c r="ABB1060" s="989"/>
      <c r="ABC1060" s="989"/>
      <c r="ABD1060" s="989"/>
      <c r="ABE1060" s="989"/>
      <c r="ABF1060" s="989"/>
      <c r="ABG1060" s="989"/>
      <c r="ABH1060" s="989"/>
      <c r="ABI1060" s="989"/>
      <c r="ABJ1060" s="989"/>
      <c r="ABK1060" s="989"/>
      <c r="ABL1060" s="989"/>
      <c r="ABM1060" s="989"/>
      <c r="ABN1060" s="989"/>
      <c r="ABO1060" s="989"/>
      <c r="ABP1060" s="989"/>
      <c r="ABQ1060" s="989"/>
      <c r="ABR1060" s="989"/>
      <c r="ABS1060" s="989"/>
      <c r="ABT1060" s="989"/>
      <c r="ABU1060" s="989"/>
      <c r="ABV1060" s="989"/>
      <c r="ABW1060" s="989"/>
      <c r="ABX1060" s="989"/>
      <c r="ABY1060" s="989"/>
      <c r="ABZ1060" s="989"/>
      <c r="ACA1060" s="989"/>
      <c r="ACB1060" s="989"/>
      <c r="ACC1060" s="989"/>
      <c r="ACD1060" s="989"/>
      <c r="ACE1060" s="989"/>
      <c r="ACF1060" s="989"/>
      <c r="ACG1060" s="989"/>
      <c r="ACH1060" s="989"/>
      <c r="ACI1060" s="989"/>
      <c r="ACJ1060" s="989"/>
      <c r="ACK1060" s="989"/>
      <c r="ACL1060" s="989"/>
      <c r="ACM1060" s="989"/>
      <c r="ACN1060" s="989"/>
      <c r="ACO1060" s="989"/>
      <c r="ACP1060" s="989"/>
      <c r="ACQ1060" s="989"/>
      <c r="ACR1060" s="989"/>
      <c r="ACS1060" s="989"/>
      <c r="ACT1060" s="989"/>
      <c r="ACU1060" s="989"/>
      <c r="ACV1060" s="989"/>
      <c r="ACW1060" s="989"/>
      <c r="ACX1060" s="989"/>
      <c r="ACY1060" s="989"/>
      <c r="ACZ1060" s="989"/>
      <c r="ADA1060" s="989"/>
      <c r="ADB1060" s="989"/>
      <c r="ADC1060" s="989"/>
      <c r="ADD1060" s="989"/>
      <c r="ADE1060" s="989"/>
      <c r="ADF1060" s="989"/>
      <c r="ADG1060" s="989"/>
      <c r="ADH1060" s="989"/>
      <c r="ADI1060" s="989"/>
      <c r="ADJ1060" s="989"/>
      <c r="ADK1060" s="989"/>
      <c r="ADL1060" s="989"/>
      <c r="ADM1060" s="989"/>
      <c r="ADN1060" s="989"/>
      <c r="ADO1060" s="989"/>
      <c r="ADP1060" s="989"/>
      <c r="ADQ1060" s="989"/>
      <c r="ADR1060" s="989"/>
      <c r="ADS1060" s="989"/>
      <c r="ADT1060" s="989"/>
      <c r="ADU1060" s="989"/>
      <c r="ADV1060" s="989"/>
      <c r="ADW1060" s="989"/>
      <c r="ADX1060" s="989"/>
      <c r="ADY1060" s="989"/>
      <c r="ADZ1060" s="989"/>
      <c r="AEA1060" s="989"/>
      <c r="AEB1060" s="989"/>
      <c r="AEC1060" s="989"/>
      <c r="AED1060" s="989"/>
      <c r="AEE1060" s="989"/>
      <c r="AEF1060" s="989"/>
      <c r="AEG1060" s="989"/>
      <c r="AEH1060" s="989"/>
      <c r="AEI1060" s="989"/>
      <c r="AEJ1060" s="989"/>
      <c r="AEK1060" s="989"/>
      <c r="AEL1060" s="989"/>
      <c r="AEM1060" s="989"/>
      <c r="AEN1060" s="989"/>
      <c r="AEO1060" s="989"/>
      <c r="AEP1060" s="989"/>
      <c r="AEQ1060" s="989"/>
      <c r="AER1060" s="989"/>
      <c r="AES1060" s="989"/>
      <c r="AET1060" s="989"/>
      <c r="AEU1060" s="989"/>
      <c r="AEV1060" s="989"/>
      <c r="AEW1060" s="989"/>
      <c r="AEX1060" s="989"/>
      <c r="AEY1060" s="989"/>
      <c r="AEZ1060" s="989"/>
      <c r="AFA1060" s="989"/>
      <c r="AFB1060" s="989"/>
      <c r="AFC1060" s="989"/>
      <c r="AFD1060" s="989"/>
      <c r="AFE1060" s="989"/>
      <c r="AFF1060" s="989"/>
      <c r="AFG1060" s="989"/>
      <c r="AFH1060" s="989"/>
      <c r="AFI1060" s="989"/>
      <c r="AFJ1060" s="989"/>
      <c r="AFK1060" s="989"/>
      <c r="AFL1060" s="989"/>
      <c r="AFM1060" s="989"/>
      <c r="AFN1060" s="989"/>
      <c r="AFO1060" s="989"/>
      <c r="AFP1060" s="989"/>
      <c r="AFQ1060" s="989"/>
      <c r="AFR1060" s="989"/>
      <c r="AFS1060" s="989"/>
      <c r="AFT1060" s="989"/>
      <c r="AFU1060" s="989"/>
      <c r="AFV1060" s="989"/>
      <c r="AFW1060" s="989"/>
      <c r="AFX1060" s="989"/>
      <c r="AFY1060" s="989"/>
      <c r="AFZ1060" s="989"/>
      <c r="AGA1060" s="989"/>
      <c r="AGB1060" s="989"/>
      <c r="AGC1060" s="989"/>
      <c r="AGD1060" s="989"/>
      <c r="AGE1060" s="989"/>
      <c r="AGF1060" s="989"/>
      <c r="AGG1060" s="989"/>
      <c r="AGH1060" s="989"/>
      <c r="AGI1060" s="989"/>
      <c r="AGJ1060" s="989"/>
      <c r="AGK1060" s="989"/>
      <c r="AGL1060" s="989"/>
      <c r="AGM1060" s="989"/>
      <c r="AGN1060" s="989"/>
      <c r="AGO1060" s="989"/>
      <c r="AGP1060" s="989"/>
      <c r="AGQ1060" s="989"/>
      <c r="AGR1060" s="989"/>
      <c r="AGS1060" s="989"/>
      <c r="AGT1060" s="989"/>
      <c r="AGU1060" s="989"/>
      <c r="AGV1060" s="989"/>
      <c r="AGW1060" s="989"/>
      <c r="AGX1060" s="989"/>
      <c r="AGY1060" s="989"/>
      <c r="AGZ1060" s="989"/>
      <c r="AHA1060" s="989"/>
      <c r="AHB1060" s="989"/>
      <c r="AHC1060" s="989"/>
      <c r="AHD1060" s="989"/>
      <c r="AHE1060" s="989"/>
      <c r="AHF1060" s="989"/>
      <c r="AHG1060" s="989"/>
      <c r="AHH1060" s="989"/>
      <c r="AHI1060" s="989"/>
      <c r="AHJ1060" s="989"/>
      <c r="AHK1060" s="989"/>
      <c r="AHL1060" s="989"/>
      <c r="AHM1060" s="989"/>
      <c r="AHN1060" s="989"/>
      <c r="AHO1060" s="989"/>
      <c r="AHP1060" s="989"/>
      <c r="AHQ1060" s="989"/>
      <c r="AHR1060" s="989"/>
      <c r="AHS1060" s="989"/>
      <c r="AHT1060" s="989"/>
      <c r="AHU1060" s="989"/>
      <c r="AHV1060" s="989"/>
      <c r="AHW1060" s="989"/>
      <c r="AHX1060" s="989"/>
      <c r="AHY1060" s="989"/>
      <c r="AHZ1060" s="989"/>
      <c r="AIA1060" s="989"/>
      <c r="AIB1060" s="989"/>
      <c r="AIC1060" s="989"/>
      <c r="AID1060" s="989"/>
      <c r="AIE1060" s="989"/>
      <c r="AIF1060" s="989"/>
      <c r="AIG1060" s="989"/>
      <c r="AIH1060" s="989"/>
      <c r="AII1060" s="989"/>
      <c r="AIJ1060" s="989"/>
      <c r="AIK1060" s="989"/>
      <c r="AIL1060" s="989"/>
      <c r="AIM1060" s="989"/>
      <c r="AIN1060" s="989"/>
      <c r="AIO1060" s="989"/>
      <c r="AIP1060" s="989"/>
      <c r="AIQ1060" s="989"/>
      <c r="AIR1060" s="989"/>
      <c r="AIS1060" s="989"/>
      <c r="AIT1060" s="989"/>
      <c r="AIU1060" s="989"/>
      <c r="AIV1060" s="989"/>
      <c r="AIW1060" s="989"/>
      <c r="AIX1060" s="989"/>
      <c r="AIY1060" s="989"/>
      <c r="AIZ1060" s="989"/>
      <c r="AJA1060" s="989"/>
      <c r="AJB1060" s="989"/>
      <c r="AJC1060" s="989"/>
      <c r="AJD1060" s="989"/>
      <c r="AJE1060" s="989"/>
      <c r="AJF1060" s="989"/>
      <c r="AJG1060" s="989"/>
      <c r="AJH1060" s="989"/>
      <c r="AJI1060" s="989"/>
      <c r="AJJ1060" s="989"/>
      <c r="AJK1060" s="989"/>
      <c r="AJL1060" s="989"/>
      <c r="AJM1060" s="989"/>
      <c r="AJN1060" s="989"/>
      <c r="AJO1060" s="989"/>
      <c r="AJP1060" s="989"/>
      <c r="AJQ1060" s="989"/>
      <c r="AJR1060" s="989"/>
      <c r="AJS1060" s="989"/>
      <c r="AJT1060" s="989"/>
      <c r="AJU1060" s="989"/>
      <c r="AJV1060" s="989"/>
      <c r="AJW1060" s="989"/>
      <c r="AJX1060" s="989"/>
      <c r="AJY1060" s="989"/>
      <c r="AJZ1060" s="989"/>
      <c r="AKA1060" s="989"/>
      <c r="AKB1060" s="989"/>
      <c r="AKC1060" s="989"/>
      <c r="AKD1060" s="989"/>
      <c r="AKE1060" s="989"/>
      <c r="AKF1060" s="989"/>
      <c r="AKG1060" s="989"/>
      <c r="AKH1060" s="989"/>
      <c r="AKI1060" s="989"/>
      <c r="AKJ1060" s="989"/>
      <c r="AKK1060" s="989"/>
      <c r="AKL1060" s="989"/>
      <c r="AKM1060" s="989"/>
      <c r="AKN1060" s="989"/>
      <c r="AKO1060" s="989"/>
      <c r="AKP1060" s="989"/>
      <c r="AKQ1060" s="989"/>
      <c r="AKR1060" s="989"/>
      <c r="AKS1060" s="989"/>
      <c r="AKT1060" s="989"/>
      <c r="AKU1060" s="989"/>
      <c r="AKV1060" s="989"/>
      <c r="AKW1060" s="989"/>
      <c r="AKX1060" s="989"/>
      <c r="AKY1060" s="989"/>
      <c r="AKZ1060" s="989"/>
      <c r="ALA1060" s="989"/>
      <c r="ALB1060" s="989"/>
      <c r="ALC1060" s="989"/>
      <c r="ALD1060" s="989"/>
      <c r="ALE1060" s="989"/>
      <c r="ALF1060" s="989"/>
      <c r="ALG1060" s="989"/>
      <c r="ALH1060" s="989"/>
      <c r="ALI1060" s="989"/>
      <c r="ALJ1060" s="989"/>
      <c r="ALK1060" s="989"/>
      <c r="ALL1060" s="989"/>
      <c r="ALM1060" s="989"/>
      <c r="ALN1060" s="989"/>
      <c r="ALO1060" s="989"/>
      <c r="ALP1060" s="989"/>
      <c r="ALQ1060" s="989"/>
      <c r="ALR1060" s="989"/>
      <c r="ALS1060" s="989"/>
      <c r="ALT1060" s="989"/>
      <c r="ALU1060" s="989"/>
      <c r="ALV1060" s="989"/>
      <c r="ALW1060" s="989"/>
      <c r="ALX1060" s="989"/>
      <c r="ALY1060" s="989"/>
      <c r="ALZ1060" s="989"/>
      <c r="AMA1060" s="989"/>
      <c r="AMB1060" s="989"/>
      <c r="AMC1060" s="989"/>
      <c r="AMD1060" s="989"/>
      <c r="AME1060" s="989"/>
      <c r="AMF1060" s="989"/>
      <c r="AMG1060" s="989"/>
      <c r="AMH1060" s="989"/>
      <c r="AMI1060" s="989"/>
      <c r="AMJ1060" s="989"/>
      <c r="AMK1060" s="989"/>
      <c r="AML1060" s="989"/>
      <c r="AMM1060" s="989"/>
      <c r="AMN1060" s="989"/>
      <c r="AMO1060" s="989"/>
      <c r="AMP1060" s="989"/>
      <c r="AMQ1060" s="989"/>
      <c r="AMR1060" s="989"/>
      <c r="AMS1060" s="989"/>
      <c r="AMT1060" s="989"/>
      <c r="AMU1060" s="989"/>
      <c r="AMV1060" s="989"/>
      <c r="AMW1060" s="989"/>
      <c r="AMX1060" s="989"/>
      <c r="AMY1060" s="989"/>
      <c r="AMZ1060" s="989"/>
      <c r="ANA1060" s="989"/>
      <c r="ANB1060" s="989"/>
      <c r="ANC1060" s="989"/>
      <c r="AND1060" s="989"/>
      <c r="ANE1060" s="989"/>
      <c r="ANF1060" s="989"/>
      <c r="ANG1060" s="989"/>
      <c r="ANH1060" s="989"/>
      <c r="ANI1060" s="989"/>
      <c r="ANJ1060" s="989"/>
      <c r="ANK1060" s="989"/>
      <c r="ANL1060" s="989"/>
      <c r="ANM1060" s="989"/>
      <c r="ANN1060" s="989"/>
      <c r="ANO1060" s="989"/>
      <c r="ANP1060" s="989"/>
      <c r="ANQ1060" s="989"/>
      <c r="ANR1060" s="989"/>
      <c r="ANS1060" s="989"/>
      <c r="ANT1060" s="989"/>
      <c r="ANU1060" s="989"/>
      <c r="ANV1060" s="989"/>
      <c r="ANW1060" s="989"/>
      <c r="ANX1060" s="989"/>
      <c r="ANY1060" s="989"/>
      <c r="ANZ1060" s="989"/>
      <c r="AOA1060" s="989"/>
      <c r="AOB1060" s="989"/>
      <c r="AOC1060" s="989"/>
      <c r="AOD1060" s="989"/>
      <c r="AOE1060" s="989"/>
      <c r="AOF1060" s="989"/>
      <c r="AOG1060" s="989"/>
      <c r="AOH1060" s="989"/>
      <c r="AOI1060" s="989"/>
      <c r="AOJ1060" s="989"/>
      <c r="AOK1060" s="989"/>
      <c r="AOL1060" s="989"/>
      <c r="AOM1060" s="989"/>
      <c r="AON1060" s="989"/>
      <c r="AOO1060" s="989"/>
      <c r="AOP1060" s="989"/>
      <c r="AOQ1060" s="989"/>
      <c r="AOR1060" s="989"/>
      <c r="AOS1060" s="989"/>
      <c r="AOT1060" s="989"/>
      <c r="AOU1060" s="989"/>
      <c r="AOV1060" s="989"/>
      <c r="AOW1060" s="989"/>
      <c r="AOX1060" s="989"/>
      <c r="AOY1060" s="989"/>
      <c r="AOZ1060" s="989"/>
      <c r="APA1060" s="989"/>
      <c r="APB1060" s="989"/>
      <c r="APC1060" s="989"/>
      <c r="APD1060" s="989"/>
      <c r="APE1060" s="989"/>
      <c r="APF1060" s="989"/>
      <c r="APG1060" s="989"/>
      <c r="APH1060" s="989"/>
      <c r="API1060" s="989"/>
      <c r="APJ1060" s="989"/>
      <c r="APK1060" s="989"/>
      <c r="APL1060" s="989"/>
      <c r="APM1060" s="989"/>
      <c r="APN1060" s="989"/>
      <c r="APO1060" s="989"/>
      <c r="APP1060" s="989"/>
      <c r="APQ1060" s="989"/>
      <c r="APR1060" s="989"/>
      <c r="APS1060" s="989"/>
      <c r="APT1060" s="989"/>
      <c r="APU1060" s="989"/>
      <c r="APV1060" s="989"/>
      <c r="APW1060" s="989"/>
      <c r="APX1060" s="989"/>
      <c r="APY1060" s="989"/>
      <c r="APZ1060" s="989"/>
      <c r="AQA1060" s="989"/>
      <c r="AQB1060" s="989"/>
      <c r="AQC1060" s="989"/>
      <c r="AQD1060" s="989"/>
      <c r="AQE1060" s="989"/>
      <c r="AQF1060" s="989"/>
      <c r="AQG1060" s="989"/>
      <c r="AQH1060" s="989"/>
      <c r="AQI1060" s="989"/>
      <c r="AQJ1060" s="989"/>
      <c r="AQK1060" s="989"/>
      <c r="AQL1060" s="989"/>
      <c r="AQM1060" s="989"/>
      <c r="AQN1060" s="989"/>
      <c r="AQO1060" s="989"/>
      <c r="AQP1060" s="989"/>
      <c r="AQQ1060" s="989"/>
      <c r="AQR1060" s="989"/>
      <c r="AQS1060" s="989"/>
      <c r="AQT1060" s="989"/>
      <c r="AQU1060" s="989"/>
      <c r="AQV1060" s="989"/>
      <c r="AQW1060" s="989"/>
      <c r="AQX1060" s="989"/>
      <c r="AQY1060" s="989"/>
      <c r="AQZ1060" s="989"/>
      <c r="ARA1060" s="989"/>
      <c r="ARB1060" s="989"/>
      <c r="ARC1060" s="989"/>
      <c r="ARD1060" s="989"/>
      <c r="ARE1060" s="989"/>
      <c r="ARF1060" s="989"/>
      <c r="ARG1060" s="989"/>
      <c r="ARH1060" s="989"/>
      <c r="ARI1060" s="989"/>
      <c r="ARJ1060" s="989"/>
      <c r="ARK1060" s="989"/>
      <c r="ARL1060" s="989"/>
      <c r="ARM1060" s="989"/>
      <c r="ARN1060" s="989"/>
      <c r="ARO1060" s="989"/>
      <c r="ARP1060" s="989"/>
      <c r="ARQ1060" s="989"/>
      <c r="ARR1060" s="989"/>
      <c r="ARS1060" s="989"/>
      <c r="ART1060" s="989"/>
      <c r="ARU1060" s="989"/>
      <c r="ARV1060" s="989"/>
      <c r="ARW1060" s="989"/>
      <c r="ARX1060" s="989"/>
      <c r="ARY1060" s="989"/>
      <c r="ARZ1060" s="989"/>
      <c r="ASA1060" s="989"/>
      <c r="ASB1060" s="989"/>
      <c r="ASC1060" s="989"/>
      <c r="ASD1060" s="989"/>
      <c r="ASE1060" s="989"/>
      <c r="ASF1060" s="989"/>
      <c r="ASG1060" s="989"/>
      <c r="ASH1060" s="989"/>
      <c r="ASI1060" s="989"/>
      <c r="ASJ1060" s="989"/>
      <c r="ASK1060" s="989"/>
      <c r="ASL1060" s="989"/>
      <c r="ASM1060" s="989"/>
      <c r="ASN1060" s="989"/>
      <c r="ASO1060" s="989"/>
      <c r="ASP1060" s="989"/>
      <c r="ASQ1060" s="989"/>
      <c r="ASR1060" s="989"/>
      <c r="ASS1060" s="989"/>
      <c r="AST1060" s="989"/>
      <c r="ASU1060" s="989"/>
      <c r="ASV1060" s="989"/>
      <c r="ASW1060" s="989"/>
      <c r="ASX1060" s="989"/>
      <c r="ASY1060" s="989"/>
      <c r="ASZ1060" s="989"/>
      <c r="ATA1060" s="989"/>
      <c r="ATB1060" s="989"/>
      <c r="ATC1060" s="989"/>
      <c r="ATD1060" s="989"/>
      <c r="ATE1060" s="989"/>
      <c r="ATF1060" s="989"/>
      <c r="ATG1060" s="989"/>
      <c r="ATH1060" s="989"/>
      <c r="ATI1060" s="989"/>
      <c r="ATJ1060" s="989"/>
      <c r="ATK1060" s="989"/>
      <c r="ATL1060" s="989"/>
      <c r="ATM1060" s="989"/>
      <c r="ATN1060" s="989"/>
      <c r="ATO1060" s="989"/>
      <c r="ATP1060" s="989"/>
      <c r="ATQ1060" s="989"/>
      <c r="ATR1060" s="989"/>
      <c r="ATS1060" s="989"/>
      <c r="ATT1060" s="989"/>
      <c r="ATU1060" s="989"/>
      <c r="ATV1060" s="989"/>
      <c r="ATW1060" s="989"/>
      <c r="ATX1060" s="989"/>
      <c r="ATY1060" s="989"/>
      <c r="ATZ1060" s="989"/>
      <c r="AUA1060" s="989"/>
      <c r="AUB1060" s="989"/>
      <c r="AUC1060" s="989"/>
      <c r="AUD1060" s="989"/>
      <c r="AUE1060" s="989"/>
      <c r="AUF1060" s="989"/>
      <c r="AUG1060" s="989"/>
      <c r="AUH1060" s="989"/>
      <c r="AUI1060" s="989"/>
      <c r="AUJ1060" s="989"/>
      <c r="AUK1060" s="989"/>
      <c r="AUL1060" s="989"/>
      <c r="AUM1060" s="989"/>
      <c r="AUN1060" s="989"/>
      <c r="AUO1060" s="989"/>
      <c r="AUP1060" s="989"/>
      <c r="AUQ1060" s="989"/>
      <c r="AUR1060" s="989"/>
      <c r="AUS1060" s="989"/>
      <c r="AUT1060" s="989"/>
      <c r="AUU1060" s="989"/>
      <c r="AUV1060" s="989"/>
      <c r="AUW1060" s="989"/>
      <c r="AUX1060" s="989"/>
      <c r="AUY1060" s="989"/>
      <c r="AUZ1060" s="989"/>
      <c r="AVA1060" s="989"/>
      <c r="AVB1060" s="989"/>
      <c r="AVC1060" s="989"/>
      <c r="AVD1060" s="989"/>
      <c r="AVE1060" s="989"/>
      <c r="AVF1060" s="989"/>
      <c r="AVG1060" s="989"/>
      <c r="AVH1060" s="989"/>
      <c r="AVI1060" s="989"/>
      <c r="AVJ1060" s="989"/>
      <c r="AVK1060" s="989"/>
      <c r="AVL1060" s="989"/>
      <c r="AVM1060" s="989"/>
      <c r="AVN1060" s="989"/>
      <c r="AVO1060" s="989"/>
      <c r="AVP1060" s="989"/>
      <c r="AVQ1060" s="989"/>
      <c r="AVR1060" s="989"/>
      <c r="AVS1060" s="989"/>
      <c r="AVT1060" s="989"/>
      <c r="AVU1060" s="989"/>
      <c r="AVV1060" s="989"/>
      <c r="AVW1060" s="989"/>
      <c r="AVX1060" s="989"/>
      <c r="AVY1060" s="989"/>
      <c r="AVZ1060" s="989"/>
      <c r="AWA1060" s="989"/>
      <c r="AWB1060" s="989"/>
      <c r="AWC1060" s="989"/>
      <c r="AWD1060" s="989"/>
      <c r="AWE1060" s="989"/>
      <c r="AWF1060" s="989"/>
      <c r="AWG1060" s="989"/>
      <c r="AWH1060" s="989"/>
      <c r="AWI1060" s="989"/>
      <c r="AWJ1060" s="989"/>
      <c r="AWK1060" s="989"/>
      <c r="AWL1060" s="989"/>
      <c r="AWM1060" s="989"/>
      <c r="AWN1060" s="989"/>
      <c r="AWO1060" s="989"/>
      <c r="AWP1060" s="989"/>
      <c r="AWQ1060" s="989"/>
      <c r="AWR1060" s="989"/>
      <c r="AWS1060" s="989"/>
      <c r="AWT1060" s="989"/>
      <c r="AWU1060" s="989"/>
      <c r="AWV1060" s="989"/>
      <c r="AWW1060" s="989"/>
      <c r="AWX1060" s="989"/>
      <c r="AWY1060" s="989"/>
      <c r="AWZ1060" s="989"/>
      <c r="AXA1060" s="989"/>
      <c r="AXB1060" s="989"/>
      <c r="AXC1060" s="989"/>
      <c r="AXD1060" s="989"/>
      <c r="AXE1060" s="989"/>
      <c r="AXF1060" s="989"/>
      <c r="AXG1060" s="989"/>
      <c r="AXH1060" s="989"/>
      <c r="AXI1060" s="989"/>
      <c r="AXJ1060" s="989"/>
      <c r="AXK1060" s="989"/>
      <c r="AXL1060" s="989"/>
      <c r="AXM1060" s="989"/>
      <c r="AXN1060" s="989"/>
      <c r="AXO1060" s="989"/>
      <c r="AXP1060" s="989"/>
      <c r="AXQ1060" s="989"/>
      <c r="AXR1060" s="989"/>
      <c r="AXS1060" s="989"/>
      <c r="AXT1060" s="989"/>
      <c r="AXU1060" s="989"/>
      <c r="AXV1060" s="989"/>
      <c r="AXW1060" s="989"/>
      <c r="AXX1060" s="989"/>
      <c r="AXY1060" s="989"/>
      <c r="AXZ1060" s="989"/>
      <c r="AYA1060" s="989"/>
      <c r="AYB1060" s="989"/>
      <c r="AYC1060" s="989"/>
      <c r="AYD1060" s="989"/>
      <c r="AYE1060" s="989"/>
      <c r="AYF1060" s="989"/>
      <c r="AYG1060" s="989"/>
      <c r="AYH1060" s="989"/>
      <c r="AYI1060" s="989"/>
      <c r="AYJ1060" s="989"/>
      <c r="AYK1060" s="989"/>
      <c r="AYL1060" s="989"/>
      <c r="AYM1060" s="989"/>
      <c r="AYN1060" s="989"/>
      <c r="AYO1060" s="989"/>
      <c r="AYP1060" s="989"/>
      <c r="AYQ1060" s="989"/>
      <c r="AYR1060" s="989"/>
      <c r="AYS1060" s="989"/>
      <c r="AYT1060" s="989"/>
      <c r="AYU1060" s="989"/>
      <c r="AYV1060" s="989"/>
      <c r="AYW1060" s="989"/>
      <c r="AYX1060" s="989"/>
      <c r="AYY1060" s="989"/>
      <c r="AYZ1060" s="989"/>
      <c r="AZA1060" s="989"/>
      <c r="AZB1060" s="989"/>
      <c r="AZC1060" s="989"/>
      <c r="AZD1060" s="989"/>
      <c r="AZE1060" s="989"/>
      <c r="AZF1060" s="989"/>
      <c r="AZG1060" s="989"/>
      <c r="AZH1060" s="989"/>
      <c r="AZI1060" s="989"/>
      <c r="AZJ1060" s="989"/>
      <c r="AZK1060" s="989"/>
      <c r="AZL1060" s="989"/>
      <c r="AZM1060" s="989"/>
      <c r="AZN1060" s="989"/>
      <c r="AZO1060" s="989"/>
      <c r="AZP1060" s="989"/>
      <c r="AZQ1060" s="989"/>
      <c r="AZR1060" s="989"/>
      <c r="AZS1060" s="989"/>
      <c r="AZT1060" s="989"/>
      <c r="AZU1060" s="989"/>
      <c r="AZV1060" s="989"/>
      <c r="AZW1060" s="989"/>
      <c r="AZX1060" s="989"/>
      <c r="AZY1060" s="989"/>
      <c r="AZZ1060" s="989"/>
      <c r="BAA1060" s="989"/>
      <c r="BAB1060" s="989"/>
      <c r="BAC1060" s="989"/>
      <c r="BAD1060" s="989"/>
      <c r="BAE1060" s="989"/>
      <c r="BAF1060" s="989"/>
      <c r="BAG1060" s="989"/>
      <c r="BAH1060" s="989"/>
      <c r="BAI1060" s="989"/>
      <c r="BAJ1060" s="989"/>
      <c r="BAK1060" s="989"/>
      <c r="BAL1060" s="989"/>
      <c r="BAM1060" s="989"/>
      <c r="BAN1060" s="989"/>
      <c r="BAO1060" s="989"/>
      <c r="BAP1060" s="989"/>
      <c r="BAQ1060" s="989"/>
      <c r="BAR1060" s="989"/>
      <c r="BAS1060" s="989"/>
      <c r="BAT1060" s="989"/>
      <c r="BAU1060" s="989"/>
      <c r="BAV1060" s="989"/>
      <c r="BAW1060" s="989"/>
      <c r="BAX1060" s="989"/>
      <c r="BAY1060" s="989"/>
      <c r="BAZ1060" s="989"/>
      <c r="BBA1060" s="989"/>
      <c r="BBB1060" s="989"/>
      <c r="BBC1060" s="989"/>
      <c r="BBD1060" s="989"/>
      <c r="BBE1060" s="989"/>
      <c r="BBF1060" s="989"/>
      <c r="BBG1060" s="989"/>
      <c r="BBH1060" s="989"/>
      <c r="BBI1060" s="989"/>
      <c r="BBJ1060" s="989"/>
      <c r="BBK1060" s="989"/>
      <c r="BBL1060" s="989"/>
      <c r="BBM1060" s="989"/>
      <c r="BBN1060" s="989"/>
      <c r="BBO1060" s="989"/>
      <c r="BBP1060" s="989"/>
      <c r="BBQ1060" s="989"/>
      <c r="BBR1060" s="989"/>
      <c r="BBS1060" s="989"/>
      <c r="BBT1060" s="989"/>
      <c r="BBU1060" s="989"/>
      <c r="BBV1060" s="989"/>
      <c r="BBW1060" s="989"/>
      <c r="BBX1060" s="989"/>
      <c r="BBY1060" s="989"/>
      <c r="BBZ1060" s="989"/>
      <c r="BCA1060" s="989"/>
      <c r="BCB1060" s="989"/>
      <c r="BCC1060" s="989"/>
      <c r="BCD1060" s="989"/>
      <c r="BCE1060" s="989"/>
      <c r="BCF1060" s="989"/>
      <c r="BCG1060" s="989"/>
      <c r="BCH1060" s="989"/>
      <c r="BCI1060" s="989"/>
      <c r="BCJ1060" s="989"/>
      <c r="BCK1060" s="989"/>
      <c r="BCL1060" s="989"/>
      <c r="BCM1060" s="989"/>
      <c r="BCN1060" s="989"/>
      <c r="BCO1060" s="989"/>
      <c r="BCP1060" s="989"/>
      <c r="BCQ1060" s="989"/>
      <c r="BCR1060" s="989"/>
      <c r="BCS1060" s="989"/>
      <c r="BCT1060" s="989"/>
      <c r="BCU1060" s="989"/>
      <c r="BCV1060" s="989"/>
      <c r="BCW1060" s="989"/>
      <c r="BCX1060" s="989"/>
      <c r="BCY1060" s="989"/>
      <c r="BCZ1060" s="989"/>
      <c r="BDA1060" s="989"/>
      <c r="BDB1060" s="989"/>
      <c r="BDC1060" s="989"/>
      <c r="BDD1060" s="989"/>
      <c r="BDE1060" s="989"/>
      <c r="BDF1060" s="989"/>
      <c r="BDG1060" s="989"/>
      <c r="BDH1060" s="989"/>
      <c r="BDI1060" s="989"/>
      <c r="BDJ1060" s="989"/>
      <c r="BDK1060" s="989"/>
      <c r="BDL1060" s="989"/>
      <c r="BDM1060" s="989"/>
      <c r="BDN1060" s="989"/>
      <c r="BDO1060" s="989"/>
      <c r="BDP1060" s="989"/>
      <c r="BDQ1060" s="989"/>
      <c r="BDR1060" s="989"/>
      <c r="BDS1060" s="989"/>
      <c r="BDT1060" s="989"/>
      <c r="BDU1060" s="989"/>
      <c r="BDV1060" s="989"/>
      <c r="BDW1060" s="989"/>
      <c r="BDX1060" s="989"/>
      <c r="BDY1060" s="989"/>
      <c r="BDZ1060" s="989"/>
      <c r="BEA1060" s="989"/>
      <c r="BEB1060" s="989"/>
      <c r="BEC1060" s="989"/>
      <c r="BED1060" s="989"/>
      <c r="BEE1060" s="989"/>
      <c r="BEF1060" s="989"/>
      <c r="BEG1060" s="989"/>
      <c r="BEH1060" s="989"/>
      <c r="BEI1060" s="989"/>
      <c r="BEJ1060" s="989"/>
      <c r="BEK1060" s="989"/>
      <c r="BEL1060" s="989"/>
      <c r="BEM1060" s="989"/>
      <c r="BEN1060" s="989"/>
      <c r="BEO1060" s="989"/>
      <c r="BEP1060" s="989"/>
      <c r="BEQ1060" s="989"/>
      <c r="BER1060" s="989"/>
      <c r="BES1060" s="989"/>
      <c r="BET1060" s="989"/>
      <c r="BEU1060" s="989"/>
      <c r="BEV1060" s="989"/>
      <c r="BEW1060" s="989"/>
      <c r="BEX1060" s="989"/>
      <c r="BEY1060" s="989"/>
      <c r="BEZ1060" s="989"/>
      <c r="BFA1060" s="989"/>
      <c r="BFB1060" s="989"/>
      <c r="BFC1060" s="989"/>
      <c r="BFD1060" s="989"/>
      <c r="BFE1060" s="989"/>
      <c r="BFF1060" s="989"/>
      <c r="BFG1060" s="989"/>
      <c r="BFH1060" s="989"/>
      <c r="BFI1060" s="989"/>
      <c r="BFJ1060" s="989"/>
      <c r="BFK1060" s="989"/>
      <c r="BFL1060" s="989"/>
      <c r="BFM1060" s="989"/>
      <c r="BFN1060" s="989"/>
      <c r="BFO1060" s="989"/>
      <c r="BFP1060" s="989"/>
      <c r="BFQ1060" s="989"/>
      <c r="BFR1060" s="989"/>
      <c r="BFS1060" s="989"/>
      <c r="BFT1060" s="989"/>
      <c r="BFU1060" s="989"/>
      <c r="BFV1060" s="989"/>
      <c r="BFW1060" s="989"/>
      <c r="BFX1060" s="989"/>
      <c r="BFY1060" s="989"/>
      <c r="BFZ1060" s="989"/>
      <c r="BGA1060" s="989"/>
      <c r="BGB1060" s="989"/>
      <c r="BGC1060" s="989"/>
      <c r="BGD1060" s="989"/>
      <c r="BGE1060" s="989"/>
      <c r="BGF1060" s="989"/>
      <c r="BGG1060" s="989"/>
      <c r="BGH1060" s="989"/>
      <c r="BGI1060" s="989"/>
      <c r="BGJ1060" s="989"/>
      <c r="BGK1060" s="989"/>
      <c r="BGL1060" s="989"/>
      <c r="BGM1060" s="989"/>
      <c r="BGN1060" s="989"/>
      <c r="BGO1060" s="989"/>
      <c r="BGP1060" s="989"/>
      <c r="BGQ1060" s="989"/>
      <c r="BGR1060" s="989"/>
      <c r="BGS1060" s="989"/>
      <c r="BGT1060" s="989"/>
      <c r="BGU1060" s="989"/>
      <c r="BGV1060" s="989"/>
      <c r="BGW1060" s="989"/>
      <c r="BGX1060" s="989"/>
      <c r="BGY1060" s="989"/>
      <c r="BGZ1060" s="989"/>
      <c r="BHA1060" s="989"/>
      <c r="BHB1060" s="989"/>
      <c r="BHC1060" s="989"/>
      <c r="BHD1060" s="989"/>
      <c r="BHE1060" s="989"/>
      <c r="BHF1060" s="989"/>
      <c r="BHG1060" s="989"/>
      <c r="BHH1060" s="989"/>
      <c r="BHI1060" s="989"/>
      <c r="BHJ1060" s="989"/>
      <c r="BHK1060" s="989"/>
      <c r="BHL1060" s="989"/>
      <c r="BHM1060" s="989"/>
      <c r="BHN1060" s="989"/>
      <c r="BHO1060" s="989"/>
      <c r="BHP1060" s="989"/>
      <c r="BHQ1060" s="989"/>
      <c r="BHR1060" s="989"/>
      <c r="BHS1060" s="989"/>
      <c r="BHT1060" s="989"/>
      <c r="BHU1060" s="989"/>
      <c r="BHV1060" s="989"/>
      <c r="BHW1060" s="989"/>
      <c r="BHX1060" s="989"/>
      <c r="BHY1060" s="989"/>
      <c r="BHZ1060" s="989"/>
      <c r="BIA1060" s="989"/>
      <c r="BIB1060" s="989"/>
      <c r="BIC1060" s="989"/>
      <c r="BID1060" s="989"/>
      <c r="BIE1060" s="989"/>
      <c r="BIF1060" s="989"/>
      <c r="BIG1060" s="989"/>
      <c r="BIH1060" s="989"/>
      <c r="BII1060" s="989"/>
      <c r="BIJ1060" s="989"/>
      <c r="BIK1060" s="989"/>
      <c r="BIL1060" s="989"/>
      <c r="BIM1060" s="989"/>
      <c r="BIN1060" s="989"/>
      <c r="BIO1060" s="989"/>
      <c r="BIP1060" s="989"/>
      <c r="BIQ1060" s="989"/>
      <c r="BIR1060" s="989"/>
      <c r="BIS1060" s="989"/>
      <c r="BIT1060" s="989"/>
      <c r="BIU1060" s="989"/>
      <c r="BIV1060" s="989"/>
      <c r="BIW1060" s="989"/>
      <c r="BIX1060" s="989"/>
      <c r="BIY1060" s="989"/>
      <c r="BIZ1060" s="989"/>
      <c r="BJA1060" s="989"/>
      <c r="BJB1060" s="989"/>
      <c r="BJC1060" s="989"/>
      <c r="BJD1060" s="989"/>
      <c r="BJE1060" s="989"/>
      <c r="BJF1060" s="989"/>
      <c r="BJG1060" s="989"/>
      <c r="BJH1060" s="989"/>
      <c r="BJI1060" s="989"/>
      <c r="BJJ1060" s="989"/>
      <c r="BJK1060" s="989"/>
      <c r="BJL1060" s="989"/>
      <c r="BJM1060" s="989"/>
      <c r="BJN1060" s="989"/>
      <c r="BJO1060" s="989"/>
      <c r="BJP1060" s="989"/>
      <c r="BJQ1060" s="989"/>
      <c r="BJR1060" s="989"/>
      <c r="BJS1060" s="989"/>
      <c r="BJT1060" s="989"/>
      <c r="BJU1060" s="989"/>
      <c r="BJV1060" s="989"/>
      <c r="BJW1060" s="989"/>
      <c r="BJX1060" s="989"/>
      <c r="BJY1060" s="989"/>
      <c r="BJZ1060" s="989"/>
      <c r="BKA1060" s="989"/>
      <c r="BKB1060" s="989"/>
      <c r="BKC1060" s="989"/>
      <c r="BKD1060" s="989"/>
      <c r="BKE1060" s="989"/>
      <c r="BKF1060" s="989"/>
      <c r="BKG1060" s="989"/>
      <c r="BKH1060" s="989"/>
      <c r="BKI1060" s="989"/>
      <c r="BKJ1060" s="989"/>
      <c r="BKK1060" s="989"/>
      <c r="BKL1060" s="989"/>
      <c r="BKM1060" s="989"/>
      <c r="BKN1060" s="989"/>
      <c r="BKO1060" s="989"/>
      <c r="BKP1060" s="989"/>
      <c r="BKQ1060" s="989"/>
      <c r="BKR1060" s="989"/>
      <c r="BKS1060" s="989"/>
      <c r="BKT1060" s="989"/>
      <c r="BKU1060" s="989"/>
      <c r="BKV1060" s="989"/>
      <c r="BKW1060" s="989"/>
      <c r="BKX1060" s="989"/>
      <c r="BKY1060" s="989"/>
      <c r="BKZ1060" s="989"/>
      <c r="BLA1060" s="989"/>
      <c r="BLB1060" s="989"/>
      <c r="BLC1060" s="989"/>
      <c r="BLD1060" s="989"/>
      <c r="BLE1060" s="989"/>
      <c r="BLF1060" s="989"/>
      <c r="BLG1060" s="989"/>
      <c r="BLH1060" s="989"/>
      <c r="BLI1060" s="989"/>
      <c r="BLJ1060" s="989"/>
      <c r="BLK1060" s="989"/>
      <c r="BLL1060" s="989"/>
      <c r="BLM1060" s="989"/>
      <c r="BLN1060" s="989"/>
      <c r="BLO1060" s="989"/>
      <c r="BLP1060" s="989"/>
      <c r="BLQ1060" s="989"/>
      <c r="BLR1060" s="989"/>
      <c r="BLS1060" s="989"/>
      <c r="BLT1060" s="989"/>
      <c r="BLU1060" s="989"/>
      <c r="BLV1060" s="989"/>
      <c r="BLW1060" s="989"/>
      <c r="BLX1060" s="989"/>
      <c r="BLY1060" s="989"/>
      <c r="BLZ1060" s="989"/>
      <c r="BMA1060" s="989"/>
      <c r="BMB1060" s="989"/>
      <c r="BMC1060" s="989"/>
      <c r="BMD1060" s="989"/>
      <c r="BME1060" s="989"/>
      <c r="BMF1060" s="989"/>
      <c r="BMG1060" s="989"/>
      <c r="BMH1060" s="989"/>
      <c r="BMI1060" s="989"/>
      <c r="BMJ1060" s="989"/>
      <c r="BMK1060" s="989"/>
      <c r="BML1060" s="989"/>
      <c r="BMM1060" s="989"/>
      <c r="BMN1060" s="989"/>
      <c r="BMO1060" s="989"/>
      <c r="BMP1060" s="989"/>
      <c r="BMQ1060" s="989"/>
      <c r="BMR1060" s="989"/>
      <c r="BMS1060" s="989"/>
      <c r="BMT1060" s="989"/>
      <c r="BMU1060" s="989"/>
      <c r="BMV1060" s="989"/>
      <c r="BMW1060" s="989"/>
      <c r="BMX1060" s="989"/>
      <c r="BMY1060" s="989"/>
      <c r="BMZ1060" s="989"/>
      <c r="BNA1060" s="989"/>
      <c r="BNB1060" s="989"/>
      <c r="BNC1060" s="989"/>
      <c r="BND1060" s="989"/>
      <c r="BNE1060" s="989"/>
      <c r="BNF1060" s="989"/>
      <c r="BNG1060" s="989"/>
      <c r="BNH1060" s="989"/>
      <c r="BNI1060" s="989"/>
      <c r="BNJ1060" s="989"/>
      <c r="BNK1060" s="989"/>
      <c r="BNL1060" s="989"/>
      <c r="BNM1060" s="989"/>
      <c r="BNN1060" s="989"/>
      <c r="BNO1060" s="989"/>
      <c r="BNP1060" s="989"/>
      <c r="BNQ1060" s="989"/>
      <c r="BNR1060" s="989"/>
      <c r="BNS1060" s="989"/>
      <c r="BNT1060" s="989"/>
      <c r="BNU1060" s="989"/>
      <c r="BNV1060" s="989"/>
      <c r="BNW1060" s="989"/>
      <c r="BNX1060" s="989"/>
      <c r="BNY1060" s="989"/>
      <c r="BNZ1060" s="989"/>
      <c r="BOA1060" s="989"/>
      <c r="BOB1060" s="989"/>
      <c r="BOC1060" s="989"/>
      <c r="BOD1060" s="989"/>
      <c r="BOE1060" s="989"/>
      <c r="BOF1060" s="989"/>
      <c r="BOG1060" s="989"/>
      <c r="BOH1060" s="989"/>
      <c r="BOI1060" s="989"/>
      <c r="BOJ1060" s="989"/>
      <c r="BOK1060" s="989"/>
      <c r="BOL1060" s="989"/>
      <c r="BOM1060" s="989"/>
      <c r="BON1060" s="989"/>
      <c r="BOO1060" s="989"/>
      <c r="BOP1060" s="989"/>
      <c r="BOQ1060" s="989"/>
      <c r="BOR1060" s="989"/>
      <c r="BOS1060" s="989"/>
      <c r="BOT1060" s="989"/>
      <c r="BOU1060" s="989"/>
      <c r="BOV1060" s="989"/>
      <c r="BOW1060" s="989"/>
      <c r="BOX1060" s="989"/>
      <c r="BOY1060" s="989"/>
      <c r="BOZ1060" s="989"/>
      <c r="BPA1060" s="989"/>
      <c r="BPB1060" s="989"/>
      <c r="BPC1060" s="989"/>
      <c r="BPD1060" s="989"/>
      <c r="BPE1060" s="989"/>
      <c r="BPF1060" s="989"/>
      <c r="BPG1060" s="989"/>
      <c r="BPH1060" s="989"/>
      <c r="BPI1060" s="989"/>
      <c r="BPJ1060" s="989"/>
      <c r="BPK1060" s="989"/>
      <c r="BPL1060" s="989"/>
      <c r="BPM1060" s="989"/>
      <c r="BPN1060" s="989"/>
      <c r="BPO1060" s="989"/>
      <c r="BPP1060" s="989"/>
      <c r="BPQ1060" s="989"/>
      <c r="BPR1060" s="989"/>
      <c r="BPS1060" s="989"/>
      <c r="BPT1060" s="989"/>
      <c r="BPU1060" s="989"/>
      <c r="BPV1060" s="989"/>
      <c r="BPW1060" s="989"/>
      <c r="BPX1060" s="989"/>
      <c r="BPY1060" s="989"/>
      <c r="BPZ1060" s="989"/>
      <c r="BQA1060" s="989"/>
      <c r="BQB1060" s="989"/>
      <c r="BQC1060" s="989"/>
      <c r="BQD1060" s="989"/>
      <c r="BQE1060" s="989"/>
      <c r="BQF1060" s="989"/>
      <c r="BQG1060" s="989"/>
      <c r="BQH1060" s="989"/>
      <c r="BQI1060" s="989"/>
      <c r="BQJ1060" s="989"/>
      <c r="BQK1060" s="989"/>
      <c r="BQL1060" s="989"/>
      <c r="BQM1060" s="989"/>
      <c r="BQN1060" s="989"/>
      <c r="BQO1060" s="989"/>
      <c r="BQP1060" s="989"/>
      <c r="BQQ1060" s="989"/>
      <c r="BQR1060" s="989"/>
      <c r="BQS1060" s="989"/>
      <c r="BQT1060" s="989"/>
      <c r="BQU1060" s="989"/>
      <c r="BQV1060" s="989"/>
      <c r="BQW1060" s="989"/>
      <c r="BQX1060" s="989"/>
      <c r="BQY1060" s="989"/>
      <c r="BQZ1060" s="989"/>
      <c r="BRA1060" s="989"/>
      <c r="BRB1060" s="989"/>
      <c r="BRC1060" s="989"/>
      <c r="BRD1060" s="989"/>
      <c r="BRE1060" s="989"/>
      <c r="BRF1060" s="989"/>
      <c r="BRG1060" s="989"/>
      <c r="BRH1060" s="989"/>
      <c r="BRI1060" s="989"/>
      <c r="BRJ1060" s="989"/>
      <c r="BRK1060" s="989"/>
      <c r="BRL1060" s="989"/>
      <c r="BRM1060" s="989"/>
      <c r="BRN1060" s="989"/>
      <c r="BRO1060" s="989"/>
      <c r="BRP1060" s="989"/>
      <c r="BRQ1060" s="989"/>
      <c r="BRR1060" s="989"/>
      <c r="BRS1060" s="989"/>
      <c r="BRT1060" s="989"/>
      <c r="BRU1060" s="989"/>
      <c r="BRV1060" s="989"/>
      <c r="BRW1060" s="989"/>
      <c r="BRX1060" s="989"/>
      <c r="BRY1060" s="989"/>
      <c r="BRZ1060" s="989"/>
      <c r="BSA1060" s="989"/>
      <c r="BSB1060" s="989"/>
      <c r="BSC1060" s="989"/>
      <c r="BSD1060" s="989"/>
      <c r="BSE1060" s="989"/>
      <c r="BSF1060" s="989"/>
      <c r="BSG1060" s="989"/>
      <c r="BSH1060" s="989"/>
      <c r="BSI1060" s="989"/>
      <c r="BSJ1060" s="989"/>
      <c r="BSK1060" s="989"/>
      <c r="BSL1060" s="989"/>
      <c r="BSM1060" s="989"/>
      <c r="BSN1060" s="989"/>
      <c r="BSO1060" s="989"/>
      <c r="BSP1060" s="989"/>
      <c r="BSQ1060" s="989"/>
      <c r="BSR1060" s="989"/>
      <c r="BSS1060" s="989"/>
      <c r="BST1060" s="989"/>
      <c r="BSU1060" s="989"/>
      <c r="BSV1060" s="989"/>
      <c r="BSW1060" s="989"/>
      <c r="BSX1060" s="989"/>
      <c r="BSY1060" s="989"/>
      <c r="BSZ1060" s="989"/>
      <c r="BTA1060" s="989"/>
      <c r="BTB1060" s="989"/>
      <c r="BTC1060" s="989"/>
      <c r="BTD1060" s="989"/>
      <c r="BTE1060" s="989"/>
      <c r="BTF1060" s="989"/>
      <c r="BTG1060" s="989"/>
      <c r="BTH1060" s="989"/>
      <c r="BTI1060" s="989"/>
      <c r="BTJ1060" s="989"/>
      <c r="BTK1060" s="989"/>
      <c r="BTL1060" s="989"/>
      <c r="BTM1060" s="989"/>
      <c r="BTN1060" s="989"/>
      <c r="BTO1060" s="989"/>
      <c r="BTP1060" s="989"/>
      <c r="BTQ1060" s="989"/>
      <c r="BTR1060" s="989"/>
      <c r="BTS1060" s="989"/>
      <c r="BTT1060" s="989"/>
      <c r="BTU1060" s="989"/>
      <c r="BTV1060" s="989"/>
      <c r="BTW1060" s="989"/>
      <c r="BTX1060" s="989"/>
      <c r="BTY1060" s="989"/>
      <c r="BTZ1060" s="989"/>
      <c r="BUA1060" s="989"/>
      <c r="BUB1060" s="989"/>
      <c r="BUC1060" s="989"/>
      <c r="BUD1060" s="989"/>
      <c r="BUE1060" s="989"/>
      <c r="BUF1060" s="989"/>
      <c r="BUG1060" s="989"/>
      <c r="BUH1060" s="989"/>
      <c r="BUI1060" s="989"/>
      <c r="BUJ1060" s="989"/>
      <c r="BUK1060" s="989"/>
      <c r="BUL1060" s="989"/>
      <c r="BUM1060" s="989"/>
      <c r="BUN1060" s="989"/>
      <c r="BUO1060" s="989"/>
      <c r="BUP1060" s="989"/>
      <c r="BUQ1060" s="989"/>
      <c r="BUR1060" s="989"/>
      <c r="BUS1060" s="989"/>
      <c r="BUT1060" s="989"/>
      <c r="BUU1060" s="989"/>
      <c r="BUV1060" s="989"/>
      <c r="BUW1060" s="989"/>
      <c r="BUX1060" s="989"/>
      <c r="BUY1060" s="989"/>
      <c r="BUZ1060" s="989"/>
      <c r="BVA1060" s="989"/>
      <c r="BVB1060" s="989"/>
      <c r="BVC1060" s="989"/>
      <c r="BVD1060" s="989"/>
      <c r="BVE1060" s="989"/>
      <c r="BVF1060" s="989"/>
      <c r="BVG1060" s="989"/>
      <c r="BVH1060" s="989"/>
      <c r="BVI1060" s="989"/>
      <c r="BVJ1060" s="989"/>
      <c r="BVK1060" s="989"/>
      <c r="BVL1060" s="989"/>
      <c r="BVM1060" s="989"/>
      <c r="BVN1060" s="989"/>
      <c r="BVO1060" s="989"/>
      <c r="BVP1060" s="989"/>
      <c r="BVQ1060" s="989"/>
      <c r="BVR1060" s="989"/>
      <c r="BVS1060" s="989"/>
      <c r="BVT1060" s="989"/>
      <c r="BVU1060" s="989"/>
      <c r="BVV1060" s="989"/>
      <c r="BVW1060" s="989"/>
      <c r="BVX1060" s="989"/>
      <c r="BVY1060" s="989"/>
      <c r="BVZ1060" s="989"/>
      <c r="BWA1060" s="989"/>
      <c r="BWB1060" s="989"/>
      <c r="BWC1060" s="989"/>
      <c r="BWD1060" s="989"/>
      <c r="BWE1060" s="989"/>
      <c r="BWF1060" s="989"/>
      <c r="BWG1060" s="989"/>
      <c r="BWH1060" s="989"/>
      <c r="BWI1060" s="989"/>
      <c r="BWJ1060" s="989"/>
      <c r="BWK1060" s="989"/>
      <c r="BWL1060" s="989"/>
      <c r="BWM1060" s="989"/>
      <c r="BWN1060" s="989"/>
      <c r="BWO1060" s="989"/>
      <c r="BWP1060" s="989"/>
      <c r="BWQ1060" s="989"/>
      <c r="BWR1060" s="989"/>
      <c r="BWS1060" s="989"/>
      <c r="BWT1060" s="989"/>
      <c r="BWU1060" s="989"/>
      <c r="BWV1060" s="989"/>
      <c r="BWW1060" s="989"/>
      <c r="BWX1060" s="989"/>
      <c r="BWY1060" s="989"/>
      <c r="BWZ1060" s="989"/>
      <c r="BXA1060" s="989"/>
      <c r="BXB1060" s="989"/>
      <c r="BXC1060" s="989"/>
      <c r="BXD1060" s="989"/>
      <c r="BXE1060" s="989"/>
      <c r="BXF1060" s="989"/>
      <c r="BXG1060" s="989"/>
      <c r="BXH1060" s="989"/>
      <c r="BXI1060" s="989"/>
      <c r="BXJ1060" s="989"/>
      <c r="BXK1060" s="989"/>
      <c r="BXL1060" s="989"/>
      <c r="BXM1060" s="989"/>
      <c r="BXN1060" s="989"/>
      <c r="BXO1060" s="989"/>
      <c r="BXP1060" s="989"/>
      <c r="BXQ1060" s="989"/>
      <c r="BXR1060" s="989"/>
      <c r="BXS1060" s="989"/>
      <c r="BXT1060" s="989"/>
      <c r="BXU1060" s="989"/>
      <c r="BXV1060" s="989"/>
      <c r="BXW1060" s="989"/>
      <c r="BXX1060" s="989"/>
      <c r="BXY1060" s="989"/>
      <c r="BXZ1060" s="989"/>
      <c r="BYA1060" s="989"/>
      <c r="BYB1060" s="989"/>
      <c r="BYC1060" s="989"/>
      <c r="BYD1060" s="989"/>
      <c r="BYE1060" s="989"/>
      <c r="BYF1060" s="989"/>
      <c r="BYG1060" s="989"/>
      <c r="BYH1060" s="989"/>
      <c r="BYI1060" s="989"/>
      <c r="BYJ1060" s="989"/>
      <c r="BYK1060" s="989"/>
      <c r="BYL1060" s="989"/>
      <c r="BYM1060" s="989"/>
      <c r="BYN1060" s="989"/>
      <c r="BYO1060" s="989"/>
      <c r="BYP1060" s="989"/>
      <c r="BYQ1060" s="989"/>
      <c r="BYR1060" s="989"/>
      <c r="BYS1060" s="989"/>
      <c r="BYT1060" s="989"/>
      <c r="BYU1060" s="989"/>
      <c r="BYV1060" s="989"/>
      <c r="BYW1060" s="989"/>
      <c r="BYX1060" s="989"/>
      <c r="BYY1060" s="989"/>
      <c r="BYZ1060" s="989"/>
      <c r="BZA1060" s="989"/>
      <c r="BZB1060" s="989"/>
      <c r="BZC1060" s="989"/>
      <c r="BZD1060" s="989"/>
      <c r="BZE1060" s="989"/>
      <c r="BZF1060" s="989"/>
      <c r="BZG1060" s="989"/>
      <c r="BZH1060" s="989"/>
      <c r="BZI1060" s="989"/>
      <c r="BZJ1060" s="989"/>
      <c r="BZK1060" s="989"/>
      <c r="BZL1060" s="989"/>
      <c r="BZM1060" s="989"/>
      <c r="BZN1060" s="989"/>
      <c r="BZO1060" s="989"/>
      <c r="BZP1060" s="989"/>
      <c r="BZQ1060" s="989"/>
      <c r="BZR1060" s="989"/>
      <c r="BZS1060" s="989"/>
      <c r="BZT1060" s="989"/>
      <c r="BZU1060" s="989"/>
      <c r="BZV1060" s="989"/>
      <c r="BZW1060" s="989"/>
      <c r="BZX1060" s="989"/>
      <c r="BZY1060" s="989"/>
      <c r="BZZ1060" s="989"/>
      <c r="CAA1060" s="989"/>
      <c r="CAB1060" s="989"/>
      <c r="CAC1060" s="989"/>
      <c r="CAD1060" s="989"/>
      <c r="CAE1060" s="989"/>
      <c r="CAF1060" s="989"/>
      <c r="CAG1060" s="989"/>
      <c r="CAH1060" s="989"/>
      <c r="CAI1060" s="989"/>
      <c r="CAJ1060" s="989"/>
      <c r="CAK1060" s="989"/>
      <c r="CAL1060" s="989"/>
      <c r="CAM1060" s="989"/>
      <c r="CAN1060" s="989"/>
      <c r="CAO1060" s="989"/>
      <c r="CAP1060" s="989"/>
      <c r="CAQ1060" s="989"/>
      <c r="CAR1060" s="989"/>
      <c r="CAS1060" s="989"/>
      <c r="CAT1060" s="989"/>
      <c r="CAU1060" s="989"/>
      <c r="CAV1060" s="989"/>
      <c r="CAW1060" s="989"/>
      <c r="CAX1060" s="989"/>
      <c r="CAY1060" s="989"/>
      <c r="CAZ1060" s="989"/>
      <c r="CBA1060" s="989"/>
      <c r="CBB1060" s="989"/>
      <c r="CBC1060" s="989"/>
      <c r="CBD1060" s="989"/>
      <c r="CBE1060" s="989"/>
      <c r="CBF1060" s="989"/>
      <c r="CBG1060" s="989"/>
      <c r="CBH1060" s="989"/>
      <c r="CBI1060" s="989"/>
      <c r="CBJ1060" s="989"/>
      <c r="CBK1060" s="989"/>
      <c r="CBL1060" s="989"/>
      <c r="CBM1060" s="989"/>
      <c r="CBN1060" s="989"/>
      <c r="CBO1060" s="989"/>
      <c r="CBP1060" s="989"/>
      <c r="CBQ1060" s="989"/>
      <c r="CBR1060" s="989"/>
      <c r="CBS1060" s="989"/>
      <c r="CBT1060" s="989"/>
      <c r="CBU1060" s="989"/>
      <c r="CBV1060" s="989"/>
      <c r="CBW1060" s="989"/>
      <c r="CBX1060" s="989"/>
      <c r="CBY1060" s="989"/>
      <c r="CBZ1060" s="989"/>
      <c r="CCA1060" s="989"/>
      <c r="CCB1060" s="989"/>
      <c r="CCC1060" s="989"/>
      <c r="CCD1060" s="989"/>
      <c r="CCE1060" s="989"/>
      <c r="CCF1060" s="989"/>
      <c r="CCG1060" s="989"/>
      <c r="CCH1060" s="989"/>
      <c r="CCI1060" s="989"/>
      <c r="CCJ1060" s="989"/>
      <c r="CCK1060" s="989"/>
      <c r="CCL1060" s="989"/>
      <c r="CCM1060" s="989"/>
      <c r="CCN1060" s="989"/>
      <c r="CCO1060" s="989"/>
      <c r="CCP1060" s="989"/>
      <c r="CCQ1060" s="989"/>
      <c r="CCR1060" s="989"/>
      <c r="CCS1060" s="989"/>
      <c r="CCT1060" s="989"/>
      <c r="CCU1060" s="989"/>
      <c r="CCV1060" s="989"/>
      <c r="CCW1060" s="989"/>
      <c r="CCX1060" s="989"/>
      <c r="CCY1060" s="989"/>
      <c r="CCZ1060" s="989"/>
      <c r="CDA1060" s="989"/>
      <c r="CDB1060" s="989"/>
      <c r="CDC1060" s="989"/>
      <c r="CDD1060" s="989"/>
      <c r="CDE1060" s="989"/>
      <c r="CDF1060" s="989"/>
      <c r="CDG1060" s="989"/>
      <c r="CDH1060" s="989"/>
      <c r="CDI1060" s="989"/>
      <c r="CDJ1060" s="989"/>
      <c r="CDK1060" s="989"/>
      <c r="CDL1060" s="989"/>
      <c r="CDM1060" s="989"/>
      <c r="CDN1060" s="989"/>
      <c r="CDO1060" s="989"/>
      <c r="CDP1060" s="989"/>
      <c r="CDQ1060" s="989"/>
      <c r="CDR1060" s="989"/>
      <c r="CDS1060" s="989"/>
      <c r="CDT1060" s="989"/>
      <c r="CDU1060" s="989"/>
      <c r="CDV1060" s="989"/>
      <c r="CDW1060" s="989"/>
      <c r="CDX1060" s="989"/>
      <c r="CDY1060" s="989"/>
      <c r="CDZ1060" s="989"/>
      <c r="CEA1060" s="989"/>
      <c r="CEB1060" s="989"/>
      <c r="CEC1060" s="989"/>
      <c r="CED1060" s="989"/>
      <c r="CEE1060" s="989"/>
      <c r="CEF1060" s="989"/>
      <c r="CEG1060" s="989"/>
      <c r="CEH1060" s="989"/>
      <c r="CEI1060" s="989"/>
      <c r="CEJ1060" s="989"/>
      <c r="CEK1060" s="989"/>
      <c r="CEL1060" s="989"/>
      <c r="CEM1060" s="989"/>
      <c r="CEN1060" s="989"/>
      <c r="CEO1060" s="989"/>
      <c r="CEP1060" s="989"/>
      <c r="CEQ1060" s="989"/>
      <c r="CER1060" s="989"/>
      <c r="CES1060" s="989"/>
      <c r="CET1060" s="989"/>
      <c r="CEU1060" s="989"/>
      <c r="CEV1060" s="989"/>
      <c r="CEW1060" s="989"/>
      <c r="CEX1060" s="989"/>
      <c r="CEY1060" s="989"/>
      <c r="CEZ1060" s="989"/>
      <c r="CFA1060" s="989"/>
      <c r="CFB1060" s="989"/>
      <c r="CFC1060" s="989"/>
      <c r="CFD1060" s="989"/>
      <c r="CFE1060" s="989"/>
      <c r="CFF1060" s="989"/>
      <c r="CFG1060" s="989"/>
      <c r="CFH1060" s="989"/>
      <c r="CFI1060" s="989"/>
      <c r="CFJ1060" s="989"/>
      <c r="CFK1060" s="989"/>
      <c r="CFL1060" s="989"/>
      <c r="CFM1060" s="989"/>
      <c r="CFN1060" s="989"/>
      <c r="CFO1060" s="989"/>
      <c r="CFP1060" s="989"/>
      <c r="CFQ1060" s="989"/>
      <c r="CFR1060" s="989"/>
      <c r="CFS1060" s="989"/>
      <c r="CFT1060" s="989"/>
      <c r="CFU1060" s="989"/>
      <c r="CFV1060" s="989"/>
      <c r="CFW1060" s="989"/>
      <c r="CFX1060" s="989"/>
      <c r="CFY1060" s="989"/>
      <c r="CFZ1060" s="989"/>
      <c r="CGA1060" s="989"/>
      <c r="CGB1060" s="989"/>
      <c r="CGC1060" s="989"/>
      <c r="CGD1060" s="989"/>
      <c r="CGE1060" s="989"/>
      <c r="CGF1060" s="989"/>
      <c r="CGG1060" s="989"/>
      <c r="CGH1060" s="989"/>
      <c r="CGI1060" s="989"/>
      <c r="CGJ1060" s="989"/>
      <c r="CGK1060" s="989"/>
      <c r="CGL1060" s="989"/>
      <c r="CGM1060" s="989"/>
      <c r="CGN1060" s="989"/>
      <c r="CGO1060" s="989"/>
      <c r="CGP1060" s="989"/>
      <c r="CGQ1060" s="989"/>
      <c r="CGR1060" s="989"/>
      <c r="CGS1060" s="989"/>
      <c r="CGT1060" s="989"/>
      <c r="CGU1060" s="989"/>
      <c r="CGV1060" s="989"/>
      <c r="CGW1060" s="989"/>
      <c r="CGX1060" s="989"/>
      <c r="CGY1060" s="989"/>
      <c r="CGZ1060" s="989"/>
      <c r="CHA1060" s="989"/>
      <c r="CHB1060" s="989"/>
      <c r="CHC1060" s="989"/>
      <c r="CHD1060" s="989"/>
      <c r="CHE1060" s="989"/>
      <c r="CHF1060" s="989"/>
      <c r="CHG1060" s="989"/>
      <c r="CHH1060" s="989"/>
      <c r="CHI1060" s="989"/>
      <c r="CHJ1060" s="989"/>
      <c r="CHK1060" s="989"/>
      <c r="CHL1060" s="989"/>
      <c r="CHM1060" s="989"/>
      <c r="CHN1060" s="989"/>
      <c r="CHO1060" s="989"/>
      <c r="CHP1060" s="989"/>
      <c r="CHQ1060" s="989"/>
      <c r="CHR1060" s="989"/>
      <c r="CHS1060" s="989"/>
      <c r="CHT1060" s="989"/>
      <c r="CHU1060" s="989"/>
      <c r="CHV1060" s="989"/>
      <c r="CHW1060" s="989"/>
      <c r="CHX1060" s="989"/>
      <c r="CHY1060" s="989"/>
      <c r="CHZ1060" s="989"/>
      <c r="CIA1060" s="989"/>
      <c r="CIB1060" s="989"/>
      <c r="CIC1060" s="989"/>
      <c r="CID1060" s="989"/>
      <c r="CIE1060" s="989"/>
      <c r="CIF1060" s="989"/>
      <c r="CIG1060" s="989"/>
      <c r="CIH1060" s="989"/>
      <c r="CII1060" s="989"/>
      <c r="CIJ1060" s="989"/>
      <c r="CIK1060" s="989"/>
      <c r="CIL1060" s="989"/>
      <c r="CIM1060" s="989"/>
      <c r="CIN1060" s="989"/>
      <c r="CIO1060" s="989"/>
      <c r="CIP1060" s="989"/>
      <c r="CIQ1060" s="989"/>
      <c r="CIR1060" s="989"/>
      <c r="CIS1060" s="989"/>
      <c r="CIT1060" s="989"/>
      <c r="CIU1060" s="989"/>
      <c r="CIV1060" s="989"/>
      <c r="CIW1060" s="989"/>
      <c r="CIX1060" s="989"/>
      <c r="CIY1060" s="989"/>
      <c r="CIZ1060" s="989"/>
      <c r="CJA1060" s="989"/>
      <c r="CJB1060" s="989"/>
      <c r="CJC1060" s="989"/>
      <c r="CJD1060" s="989"/>
      <c r="CJE1060" s="989"/>
      <c r="CJF1060" s="989"/>
      <c r="CJG1060" s="989"/>
      <c r="CJH1060" s="989"/>
      <c r="CJI1060" s="989"/>
      <c r="CJJ1060" s="989"/>
      <c r="CJK1060" s="989"/>
      <c r="CJL1060" s="989"/>
      <c r="CJM1060" s="989"/>
      <c r="CJN1060" s="989"/>
      <c r="CJO1060" s="989"/>
      <c r="CJP1060" s="989"/>
      <c r="CJQ1060" s="989"/>
      <c r="CJR1060" s="989"/>
      <c r="CJS1060" s="989"/>
      <c r="CJT1060" s="989"/>
      <c r="CJU1060" s="989"/>
      <c r="CJV1060" s="989"/>
      <c r="CJW1060" s="989"/>
      <c r="CJX1060" s="989"/>
      <c r="CJY1060" s="989"/>
      <c r="CJZ1060" s="989"/>
      <c r="CKA1060" s="989"/>
      <c r="CKB1060" s="989"/>
      <c r="CKC1060" s="989"/>
      <c r="CKD1060" s="989"/>
      <c r="CKE1060" s="989"/>
      <c r="CKF1060" s="989"/>
      <c r="CKG1060" s="989"/>
      <c r="CKH1060" s="989"/>
      <c r="CKI1060" s="989"/>
      <c r="CKJ1060" s="989"/>
      <c r="CKK1060" s="989"/>
      <c r="CKL1060" s="989"/>
      <c r="CKM1060" s="989"/>
      <c r="CKN1060" s="989"/>
      <c r="CKO1060" s="989"/>
      <c r="CKP1060" s="989"/>
      <c r="CKQ1060" s="989"/>
      <c r="CKR1060" s="989"/>
      <c r="CKS1060" s="989"/>
      <c r="CKT1060" s="989"/>
      <c r="CKU1060" s="989"/>
      <c r="CKV1060" s="989"/>
      <c r="CKW1060" s="989"/>
      <c r="CKX1060" s="989"/>
      <c r="CKY1060" s="989"/>
      <c r="CKZ1060" s="989"/>
      <c r="CLA1060" s="989"/>
      <c r="CLB1060" s="989"/>
      <c r="CLC1060" s="989"/>
      <c r="CLD1060" s="989"/>
      <c r="CLE1060" s="989"/>
      <c r="CLF1060" s="989"/>
      <c r="CLG1060" s="989"/>
      <c r="CLH1060" s="989"/>
      <c r="CLI1060" s="989"/>
      <c r="CLJ1060" s="989"/>
      <c r="CLK1060" s="989"/>
      <c r="CLL1060" s="989"/>
      <c r="CLM1060" s="989"/>
      <c r="CLN1060" s="989"/>
      <c r="CLO1060" s="989"/>
      <c r="CLP1060" s="989"/>
      <c r="CLQ1060" s="989"/>
      <c r="CLR1060" s="989"/>
      <c r="CLS1060" s="989"/>
      <c r="CLT1060" s="989"/>
      <c r="CLU1060" s="989"/>
      <c r="CLV1060" s="989"/>
      <c r="CLW1060" s="989"/>
      <c r="CLX1060" s="989"/>
      <c r="CLY1060" s="989"/>
      <c r="CLZ1060" s="989"/>
      <c r="CMA1060" s="989"/>
      <c r="CMB1060" s="989"/>
      <c r="CMC1060" s="989"/>
      <c r="CMD1060" s="989"/>
      <c r="CME1060" s="989"/>
      <c r="CMF1060" s="989"/>
      <c r="CMG1060" s="989"/>
      <c r="CMH1060" s="989"/>
      <c r="CMI1060" s="989"/>
      <c r="CMJ1060" s="989"/>
      <c r="CMK1060" s="989"/>
      <c r="CML1060" s="989"/>
      <c r="CMM1060" s="989"/>
      <c r="CMN1060" s="989"/>
      <c r="CMO1060" s="989"/>
      <c r="CMP1060" s="989"/>
      <c r="CMQ1060" s="989"/>
      <c r="CMR1060" s="989"/>
      <c r="CMS1060" s="989"/>
      <c r="CMT1060" s="989"/>
      <c r="CMU1060" s="989"/>
      <c r="CMV1060" s="989"/>
      <c r="CMW1060" s="989"/>
      <c r="CMX1060" s="989"/>
      <c r="CMY1060" s="989"/>
      <c r="CMZ1060" s="989"/>
      <c r="CNA1060" s="989"/>
      <c r="CNB1060" s="989"/>
      <c r="CNC1060" s="989"/>
      <c r="CND1060" s="989"/>
      <c r="CNE1060" s="989"/>
      <c r="CNF1060" s="989"/>
      <c r="CNG1060" s="989"/>
      <c r="CNH1060" s="989"/>
      <c r="CNI1060" s="989"/>
      <c r="CNJ1060" s="989"/>
      <c r="CNK1060" s="989"/>
      <c r="CNL1060" s="989"/>
      <c r="CNM1060" s="989"/>
      <c r="CNN1060" s="989"/>
      <c r="CNO1060" s="989"/>
      <c r="CNP1060" s="989"/>
      <c r="CNQ1060" s="989"/>
      <c r="CNR1060" s="989"/>
      <c r="CNS1060" s="989"/>
      <c r="CNT1060" s="989"/>
      <c r="CNU1060" s="989"/>
      <c r="CNV1060" s="989"/>
      <c r="CNW1060" s="989"/>
      <c r="CNX1060" s="989"/>
      <c r="CNY1060" s="989"/>
      <c r="CNZ1060" s="989"/>
      <c r="COA1060" s="989"/>
      <c r="COB1060" s="989"/>
      <c r="COC1060" s="989"/>
      <c r="COD1060" s="989"/>
      <c r="COE1060" s="989"/>
      <c r="COF1060" s="989"/>
      <c r="COG1060" s="989"/>
      <c r="COH1060" s="989"/>
      <c r="COI1060" s="989"/>
      <c r="COJ1060" s="989"/>
      <c r="COK1060" s="989"/>
      <c r="COL1060" s="989"/>
      <c r="COM1060" s="989"/>
      <c r="CON1060" s="989"/>
      <c r="COO1060" s="989"/>
      <c r="COP1060" s="989"/>
      <c r="COQ1060" s="989"/>
      <c r="COR1060" s="989"/>
      <c r="COS1060" s="989"/>
      <c r="COT1060" s="989"/>
      <c r="COU1060" s="989"/>
      <c r="COV1060" s="989"/>
      <c r="COW1060" s="989"/>
      <c r="COX1060" s="989"/>
      <c r="COY1060" s="989"/>
      <c r="COZ1060" s="989"/>
      <c r="CPA1060" s="989"/>
      <c r="CPB1060" s="989"/>
      <c r="CPC1060" s="989"/>
      <c r="CPD1060" s="989"/>
      <c r="CPE1060" s="989"/>
      <c r="CPF1060" s="989"/>
      <c r="CPG1060" s="989"/>
      <c r="CPH1060" s="989"/>
      <c r="CPI1060" s="989"/>
      <c r="CPJ1060" s="989"/>
      <c r="CPK1060" s="989"/>
      <c r="CPL1060" s="989"/>
      <c r="CPM1060" s="989"/>
      <c r="CPN1060" s="989"/>
      <c r="CPO1060" s="989"/>
      <c r="CPP1060" s="989"/>
      <c r="CPQ1060" s="989"/>
      <c r="CPR1060" s="989"/>
      <c r="CPS1060" s="989"/>
      <c r="CPT1060" s="989"/>
      <c r="CPU1060" s="989"/>
      <c r="CPV1060" s="989"/>
      <c r="CPW1060" s="989"/>
      <c r="CPX1060" s="989"/>
      <c r="CPY1060" s="989"/>
      <c r="CPZ1060" s="989"/>
      <c r="CQA1060" s="989"/>
      <c r="CQB1060" s="989"/>
      <c r="CQC1060" s="989"/>
      <c r="CQD1060" s="989"/>
      <c r="CQE1060" s="989"/>
      <c r="CQF1060" s="989"/>
      <c r="CQG1060" s="989"/>
      <c r="CQH1060" s="989"/>
      <c r="CQI1060" s="989"/>
      <c r="CQJ1060" s="989"/>
      <c r="CQK1060" s="989"/>
      <c r="CQL1060" s="989"/>
      <c r="CQM1060" s="989"/>
      <c r="CQN1060" s="989"/>
      <c r="CQO1060" s="989"/>
      <c r="CQP1060" s="989"/>
      <c r="CQQ1060" s="989"/>
      <c r="CQR1060" s="989"/>
      <c r="CQS1060" s="989"/>
      <c r="CQT1060" s="989"/>
      <c r="CQU1060" s="989"/>
      <c r="CQV1060" s="989"/>
      <c r="CQW1060" s="989"/>
      <c r="CQX1060" s="989"/>
      <c r="CQY1060" s="989"/>
      <c r="CQZ1060" s="989"/>
      <c r="CRA1060" s="989"/>
      <c r="CRB1060" s="989"/>
      <c r="CRC1060" s="989"/>
      <c r="CRD1060" s="989"/>
      <c r="CRE1060" s="989"/>
      <c r="CRF1060" s="989"/>
      <c r="CRG1060" s="989"/>
      <c r="CRH1060" s="989"/>
      <c r="CRI1060" s="989"/>
      <c r="CRJ1060" s="989"/>
      <c r="CRK1060" s="989"/>
      <c r="CRL1060" s="989"/>
      <c r="CRM1060" s="989"/>
      <c r="CRN1060" s="989"/>
      <c r="CRO1060" s="989"/>
      <c r="CRP1060" s="989"/>
      <c r="CRQ1060" s="989"/>
      <c r="CRR1060" s="989"/>
      <c r="CRS1060" s="989"/>
      <c r="CRT1060" s="989"/>
      <c r="CRU1060" s="989"/>
      <c r="CRV1060" s="989"/>
      <c r="CRW1060" s="989"/>
      <c r="CRX1060" s="989"/>
      <c r="CRY1060" s="989"/>
      <c r="CRZ1060" s="989"/>
      <c r="CSA1060" s="989"/>
      <c r="CSB1060" s="989"/>
      <c r="CSC1060" s="989"/>
      <c r="CSD1060" s="989"/>
      <c r="CSE1060" s="989"/>
      <c r="CSF1060" s="989"/>
      <c r="CSG1060" s="989"/>
      <c r="CSH1060" s="989"/>
      <c r="CSI1060" s="989"/>
      <c r="CSJ1060" s="989"/>
      <c r="CSK1060" s="989"/>
      <c r="CSL1060" s="989"/>
      <c r="CSM1060" s="989"/>
      <c r="CSN1060" s="989"/>
      <c r="CSO1060" s="989"/>
      <c r="CSP1060" s="989"/>
      <c r="CSQ1060" s="989"/>
      <c r="CSR1060" s="989"/>
      <c r="CSS1060" s="989"/>
      <c r="CST1060" s="989"/>
      <c r="CSU1060" s="989"/>
      <c r="CSV1060" s="989"/>
      <c r="CSW1060" s="989"/>
      <c r="CSX1060" s="989"/>
      <c r="CSY1060" s="989"/>
      <c r="CSZ1060" s="989"/>
      <c r="CTA1060" s="989"/>
      <c r="CTB1060" s="989"/>
      <c r="CTC1060" s="989"/>
      <c r="CTD1060" s="989"/>
      <c r="CTE1060" s="989"/>
      <c r="CTF1060" s="989"/>
      <c r="CTG1060" s="989"/>
      <c r="CTH1060" s="989"/>
      <c r="CTI1060" s="989"/>
      <c r="CTJ1060" s="989"/>
      <c r="CTK1060" s="989"/>
      <c r="CTL1060" s="989"/>
      <c r="CTM1060" s="989"/>
      <c r="CTN1060" s="989"/>
      <c r="CTO1060" s="989"/>
      <c r="CTP1060" s="989"/>
      <c r="CTQ1060" s="989"/>
      <c r="CTR1060" s="989"/>
      <c r="CTS1060" s="989"/>
      <c r="CTT1060" s="989"/>
      <c r="CTU1060" s="989"/>
      <c r="CTV1060" s="989"/>
      <c r="CTW1060" s="989"/>
      <c r="CTX1060" s="989"/>
      <c r="CTY1060" s="989"/>
      <c r="CTZ1060" s="989"/>
      <c r="CUA1060" s="989"/>
      <c r="CUB1060" s="989"/>
      <c r="CUC1060" s="989"/>
      <c r="CUD1060" s="989"/>
      <c r="CUE1060" s="989"/>
      <c r="CUF1060" s="989"/>
      <c r="CUG1060" s="989"/>
      <c r="CUH1060" s="989"/>
      <c r="CUI1060" s="989"/>
      <c r="CUJ1060" s="989"/>
      <c r="CUK1060" s="989"/>
      <c r="CUL1060" s="989"/>
      <c r="CUM1060" s="989"/>
      <c r="CUN1060" s="989"/>
      <c r="CUO1060" s="989"/>
      <c r="CUP1060" s="989"/>
      <c r="CUQ1060" s="989"/>
      <c r="CUR1060" s="989"/>
      <c r="CUS1060" s="989"/>
      <c r="CUT1060" s="989"/>
      <c r="CUU1060" s="989"/>
      <c r="CUV1060" s="989"/>
      <c r="CUW1060" s="989"/>
      <c r="CUX1060" s="989"/>
      <c r="CUY1060" s="989"/>
      <c r="CUZ1060" s="989"/>
      <c r="CVA1060" s="989"/>
      <c r="CVB1060" s="989"/>
      <c r="CVC1060" s="989"/>
      <c r="CVD1060" s="989"/>
      <c r="CVE1060" s="989"/>
      <c r="CVF1060" s="989"/>
      <c r="CVG1060" s="989"/>
      <c r="CVH1060" s="989"/>
      <c r="CVI1060" s="989"/>
      <c r="CVJ1060" s="989"/>
      <c r="CVK1060" s="989"/>
      <c r="CVL1060" s="989"/>
      <c r="CVM1060" s="989"/>
      <c r="CVN1060" s="989"/>
      <c r="CVO1060" s="989"/>
      <c r="CVP1060" s="989"/>
      <c r="CVQ1060" s="989"/>
      <c r="CVR1060" s="989"/>
      <c r="CVS1060" s="989"/>
      <c r="CVT1060" s="989"/>
      <c r="CVU1060" s="989"/>
      <c r="CVV1060" s="989"/>
      <c r="CVW1060" s="989"/>
      <c r="CVX1060" s="989"/>
      <c r="CVY1060" s="989"/>
      <c r="CVZ1060" s="989"/>
      <c r="CWA1060" s="989"/>
      <c r="CWB1060" s="989"/>
      <c r="CWC1060" s="989"/>
      <c r="CWD1060" s="989"/>
      <c r="CWE1060" s="989"/>
      <c r="CWF1060" s="989"/>
      <c r="CWG1060" s="989"/>
      <c r="CWH1060" s="989"/>
      <c r="CWI1060" s="989"/>
      <c r="CWJ1060" s="989"/>
      <c r="CWK1060" s="989"/>
      <c r="CWL1060" s="989"/>
      <c r="CWM1060" s="989"/>
      <c r="CWN1060" s="989"/>
      <c r="CWO1060" s="989"/>
      <c r="CWP1060" s="989"/>
      <c r="CWQ1060" s="989"/>
      <c r="CWR1060" s="989"/>
      <c r="CWS1060" s="989"/>
      <c r="CWT1060" s="989"/>
      <c r="CWU1060" s="989"/>
      <c r="CWV1060" s="989"/>
      <c r="CWW1060" s="989"/>
      <c r="CWX1060" s="989"/>
      <c r="CWY1060" s="989"/>
      <c r="CWZ1060" s="989"/>
      <c r="CXA1060" s="989"/>
      <c r="CXB1060" s="989"/>
      <c r="CXC1060" s="989"/>
      <c r="CXD1060" s="989"/>
      <c r="CXE1060" s="989"/>
      <c r="CXF1060" s="989"/>
      <c r="CXG1060" s="989"/>
      <c r="CXH1060" s="989"/>
      <c r="CXI1060" s="989"/>
      <c r="CXJ1060" s="989"/>
      <c r="CXK1060" s="989"/>
      <c r="CXL1060" s="989"/>
      <c r="CXM1060" s="989"/>
      <c r="CXN1060" s="989"/>
      <c r="CXO1060" s="989"/>
      <c r="CXP1060" s="989"/>
      <c r="CXQ1060" s="989"/>
      <c r="CXR1060" s="989"/>
      <c r="CXS1060" s="989"/>
      <c r="CXT1060" s="989"/>
      <c r="CXU1060" s="989"/>
      <c r="CXV1060" s="989"/>
      <c r="CXW1060" s="989"/>
      <c r="CXX1060" s="989"/>
      <c r="CXY1060" s="989"/>
      <c r="CXZ1060" s="989"/>
      <c r="CYA1060" s="989"/>
      <c r="CYB1060" s="989"/>
      <c r="CYC1060" s="989"/>
      <c r="CYD1060" s="989"/>
      <c r="CYE1060" s="989"/>
      <c r="CYF1060" s="989"/>
      <c r="CYG1060" s="989"/>
      <c r="CYH1060" s="989"/>
      <c r="CYI1060" s="989"/>
      <c r="CYJ1060" s="989"/>
      <c r="CYK1060" s="989"/>
      <c r="CYL1060" s="989"/>
      <c r="CYM1060" s="989"/>
      <c r="CYN1060" s="989"/>
      <c r="CYO1060" s="989"/>
      <c r="CYP1060" s="989"/>
      <c r="CYQ1060" s="989"/>
      <c r="CYR1060" s="989"/>
      <c r="CYS1060" s="989"/>
      <c r="CYT1060" s="989"/>
      <c r="CYU1060" s="989"/>
      <c r="CYV1060" s="989"/>
      <c r="CYW1060" s="989"/>
      <c r="CYX1060" s="989"/>
      <c r="CYY1060" s="989"/>
      <c r="CYZ1060" s="989"/>
      <c r="CZA1060" s="989"/>
      <c r="CZB1060" s="989"/>
      <c r="CZC1060" s="989"/>
      <c r="CZD1060" s="989"/>
      <c r="CZE1060" s="989"/>
      <c r="CZF1060" s="989"/>
      <c r="CZG1060" s="989"/>
      <c r="CZH1060" s="989"/>
      <c r="CZI1060" s="989"/>
      <c r="CZJ1060" s="989"/>
      <c r="CZK1060" s="989"/>
      <c r="CZL1060" s="989"/>
      <c r="CZM1060" s="989"/>
      <c r="CZN1060" s="989"/>
      <c r="CZO1060" s="989"/>
      <c r="CZP1060" s="989"/>
      <c r="CZQ1060" s="989"/>
      <c r="CZR1060" s="989"/>
      <c r="CZS1060" s="989"/>
      <c r="CZT1060" s="989"/>
      <c r="CZU1060" s="989"/>
      <c r="CZV1060" s="989"/>
      <c r="CZW1060" s="989"/>
      <c r="CZX1060" s="989"/>
      <c r="CZY1060" s="989"/>
      <c r="CZZ1060" s="989"/>
      <c r="DAA1060" s="989"/>
      <c r="DAB1060" s="989"/>
      <c r="DAC1060" s="989"/>
      <c r="DAD1060" s="989"/>
      <c r="DAE1060" s="989"/>
      <c r="DAF1060" s="989"/>
      <c r="DAG1060" s="989"/>
      <c r="DAH1060" s="989"/>
      <c r="DAI1060" s="989"/>
      <c r="DAJ1060" s="989"/>
      <c r="DAK1060" s="989"/>
      <c r="DAL1060" s="989"/>
      <c r="DAM1060" s="989"/>
      <c r="DAN1060" s="989"/>
      <c r="DAO1060" s="989"/>
      <c r="DAP1060" s="989"/>
      <c r="DAQ1060" s="989"/>
      <c r="DAR1060" s="989"/>
      <c r="DAS1060" s="989"/>
      <c r="DAT1060" s="989"/>
      <c r="DAU1060" s="989"/>
      <c r="DAV1060" s="989"/>
      <c r="DAW1060" s="989"/>
      <c r="DAX1060" s="989"/>
      <c r="DAY1060" s="989"/>
      <c r="DAZ1060" s="989"/>
      <c r="DBA1060" s="989"/>
      <c r="DBB1060" s="989"/>
      <c r="DBC1060" s="989"/>
      <c r="DBD1060" s="989"/>
      <c r="DBE1060" s="989"/>
      <c r="DBF1060" s="989"/>
      <c r="DBG1060" s="989"/>
      <c r="DBH1060" s="989"/>
      <c r="DBI1060" s="989"/>
      <c r="DBJ1060" s="989"/>
      <c r="DBK1060" s="989"/>
      <c r="DBL1060" s="989"/>
      <c r="DBM1060" s="989"/>
      <c r="DBN1060" s="989"/>
      <c r="DBO1060" s="989"/>
      <c r="DBP1060" s="989"/>
      <c r="DBQ1060" s="989"/>
      <c r="DBR1060" s="989"/>
      <c r="DBS1060" s="989"/>
      <c r="DBT1060" s="989"/>
      <c r="DBU1060" s="989"/>
      <c r="DBV1060" s="989"/>
      <c r="DBW1060" s="989"/>
      <c r="DBX1060" s="989"/>
      <c r="DBY1060" s="989"/>
      <c r="DBZ1060" s="989"/>
      <c r="DCA1060" s="989"/>
      <c r="DCB1060" s="989"/>
      <c r="DCC1060" s="989"/>
      <c r="DCD1060" s="989"/>
      <c r="DCE1060" s="989"/>
      <c r="DCF1060" s="989"/>
      <c r="DCG1060" s="989"/>
      <c r="DCH1060" s="989"/>
      <c r="DCI1060" s="989"/>
      <c r="DCJ1060" s="989"/>
      <c r="DCK1060" s="989"/>
      <c r="DCL1060" s="989"/>
      <c r="DCM1060" s="989"/>
      <c r="DCN1060" s="989"/>
      <c r="DCO1060" s="989"/>
      <c r="DCP1060" s="989"/>
      <c r="DCQ1060" s="989"/>
      <c r="DCR1060" s="989"/>
      <c r="DCS1060" s="989"/>
      <c r="DCT1060" s="989"/>
      <c r="DCU1060" s="989"/>
      <c r="DCV1060" s="989"/>
      <c r="DCW1060" s="989"/>
      <c r="DCX1060" s="989"/>
      <c r="DCY1060" s="989"/>
      <c r="DCZ1060" s="989"/>
      <c r="DDA1060" s="989"/>
      <c r="DDB1060" s="989"/>
      <c r="DDC1060" s="989"/>
      <c r="DDD1060" s="989"/>
      <c r="DDE1060" s="989"/>
      <c r="DDF1060" s="989"/>
      <c r="DDG1060" s="989"/>
      <c r="DDH1060" s="989"/>
      <c r="DDI1060" s="989"/>
      <c r="DDJ1060" s="989"/>
      <c r="DDK1060" s="989"/>
      <c r="DDL1060" s="989"/>
      <c r="DDM1060" s="989"/>
      <c r="DDN1060" s="989"/>
      <c r="DDO1060" s="989"/>
      <c r="DDP1060" s="989"/>
      <c r="DDQ1060" s="989"/>
      <c r="DDR1060" s="989"/>
      <c r="DDS1060" s="989"/>
      <c r="DDT1060" s="989"/>
      <c r="DDU1060" s="989"/>
      <c r="DDV1060" s="989"/>
      <c r="DDW1060" s="989"/>
      <c r="DDX1060" s="989"/>
      <c r="DDY1060" s="989"/>
      <c r="DDZ1060" s="989"/>
      <c r="DEA1060" s="989"/>
      <c r="DEB1060" s="989"/>
      <c r="DEC1060" s="989"/>
      <c r="DED1060" s="989"/>
      <c r="DEE1060" s="989"/>
      <c r="DEF1060" s="989"/>
      <c r="DEG1060" s="989"/>
      <c r="DEH1060" s="989"/>
      <c r="DEI1060" s="989"/>
      <c r="DEJ1060" s="989"/>
      <c r="DEK1060" s="989"/>
      <c r="DEL1060" s="989"/>
      <c r="DEM1060" s="989"/>
      <c r="DEN1060" s="989"/>
      <c r="DEO1060" s="989"/>
      <c r="DEP1060" s="989"/>
      <c r="DEQ1060" s="989"/>
      <c r="DER1060" s="989"/>
      <c r="DES1060" s="989"/>
      <c r="DET1060" s="989"/>
      <c r="DEU1060" s="989"/>
      <c r="DEV1060" s="989"/>
      <c r="DEW1060" s="989"/>
      <c r="DEX1060" s="989"/>
      <c r="DEY1060" s="989"/>
      <c r="DEZ1060" s="989"/>
      <c r="DFA1060" s="989"/>
      <c r="DFB1060" s="989"/>
      <c r="DFC1060" s="989"/>
      <c r="DFD1060" s="989"/>
      <c r="DFE1060" s="989"/>
      <c r="DFF1060" s="989"/>
      <c r="DFG1060" s="989"/>
      <c r="DFH1060" s="989"/>
      <c r="DFI1060" s="989"/>
      <c r="DFJ1060" s="989"/>
      <c r="DFK1060" s="989"/>
      <c r="DFL1060" s="989"/>
      <c r="DFM1060" s="989"/>
      <c r="DFN1060" s="989"/>
      <c r="DFO1060" s="989"/>
      <c r="DFP1060" s="989"/>
      <c r="DFQ1060" s="989"/>
      <c r="DFR1060" s="989"/>
      <c r="DFS1060" s="989"/>
      <c r="DFT1060" s="989"/>
      <c r="DFU1060" s="989"/>
      <c r="DFV1060" s="989"/>
      <c r="DFW1060" s="989"/>
      <c r="DFX1060" s="989"/>
      <c r="DFY1060" s="989"/>
      <c r="DFZ1060" s="989"/>
      <c r="DGA1060" s="989"/>
      <c r="DGB1060" s="989"/>
      <c r="DGC1060" s="989"/>
      <c r="DGD1060" s="989"/>
      <c r="DGE1060" s="989"/>
      <c r="DGF1060" s="989"/>
      <c r="DGG1060" s="989"/>
      <c r="DGH1060" s="989"/>
      <c r="DGI1060" s="989"/>
      <c r="DGJ1060" s="989"/>
      <c r="DGK1060" s="989"/>
      <c r="DGL1060" s="989"/>
      <c r="DGM1060" s="989"/>
      <c r="DGN1060" s="989"/>
      <c r="DGO1060" s="989"/>
      <c r="DGP1060" s="989"/>
      <c r="DGQ1060" s="989"/>
      <c r="DGR1060" s="989"/>
      <c r="DGS1060" s="989"/>
      <c r="DGT1060" s="989"/>
      <c r="DGU1060" s="989"/>
      <c r="DGV1060" s="989"/>
      <c r="DGW1060" s="989"/>
      <c r="DGX1060" s="989"/>
      <c r="DGY1060" s="989"/>
      <c r="DGZ1060" s="989"/>
      <c r="DHA1060" s="989"/>
      <c r="DHB1060" s="989"/>
      <c r="DHC1060" s="989"/>
      <c r="DHD1060" s="989"/>
      <c r="DHE1060" s="989"/>
      <c r="DHF1060" s="989"/>
      <c r="DHG1060" s="989"/>
      <c r="DHH1060" s="989"/>
      <c r="DHI1060" s="989"/>
      <c r="DHJ1060" s="989"/>
      <c r="DHK1060" s="989"/>
      <c r="DHL1060" s="989"/>
      <c r="DHM1060" s="989"/>
      <c r="DHN1060" s="989"/>
      <c r="DHO1060" s="989"/>
      <c r="DHP1060" s="989"/>
      <c r="DHQ1060" s="989"/>
      <c r="DHR1060" s="989"/>
      <c r="DHS1060" s="989"/>
      <c r="DHT1060" s="989"/>
      <c r="DHU1060" s="989"/>
      <c r="DHV1060" s="989"/>
      <c r="DHW1060" s="989"/>
      <c r="DHX1060" s="989"/>
      <c r="DHY1060" s="989"/>
      <c r="DHZ1060" s="989"/>
      <c r="DIA1060" s="989"/>
      <c r="DIB1060" s="989"/>
      <c r="DIC1060" s="989"/>
      <c r="DID1060" s="989"/>
      <c r="DIE1060" s="989"/>
      <c r="DIF1060" s="989"/>
      <c r="DIG1060" s="989"/>
      <c r="DIH1060" s="989"/>
      <c r="DII1060" s="989"/>
      <c r="DIJ1060" s="989"/>
      <c r="DIK1060" s="989"/>
      <c r="DIL1060" s="989"/>
      <c r="DIM1060" s="989"/>
      <c r="DIN1060" s="989"/>
      <c r="DIO1060" s="989"/>
      <c r="DIP1060" s="989"/>
      <c r="DIQ1060" s="989"/>
      <c r="DIR1060" s="989"/>
      <c r="DIS1060" s="989"/>
      <c r="DIT1060" s="989"/>
      <c r="DIU1060" s="989"/>
      <c r="DIV1060" s="989"/>
      <c r="DIW1060" s="989"/>
      <c r="DIX1060" s="989"/>
      <c r="DIY1060" s="989"/>
      <c r="DIZ1060" s="989"/>
      <c r="DJA1060" s="989"/>
      <c r="DJB1060" s="989"/>
      <c r="DJC1060" s="989"/>
      <c r="DJD1060" s="989"/>
      <c r="DJE1060" s="989"/>
      <c r="DJF1060" s="989"/>
      <c r="DJG1060" s="989"/>
      <c r="DJH1060" s="989"/>
      <c r="DJI1060" s="989"/>
      <c r="DJJ1060" s="989"/>
      <c r="DJK1060" s="989"/>
      <c r="DJL1060" s="989"/>
      <c r="DJM1060" s="989"/>
      <c r="DJN1060" s="989"/>
      <c r="DJO1060" s="989"/>
      <c r="DJP1060" s="989"/>
      <c r="DJQ1060" s="989"/>
      <c r="DJR1060" s="989"/>
      <c r="DJS1060" s="989"/>
      <c r="DJT1060" s="989"/>
      <c r="DJU1060" s="989"/>
      <c r="DJV1060" s="989"/>
      <c r="DJW1060" s="989"/>
      <c r="DJX1060" s="989"/>
      <c r="DJY1060" s="989"/>
      <c r="DJZ1060" s="989"/>
      <c r="DKA1060" s="989"/>
      <c r="DKB1060" s="989"/>
      <c r="DKC1060" s="989"/>
      <c r="DKD1060" s="989"/>
      <c r="DKE1060" s="989"/>
      <c r="DKF1060" s="989"/>
      <c r="DKG1060" s="989"/>
      <c r="DKH1060" s="989"/>
      <c r="DKI1060" s="989"/>
      <c r="DKJ1060" s="989"/>
      <c r="DKK1060" s="989"/>
      <c r="DKL1060" s="989"/>
      <c r="DKM1060" s="989"/>
      <c r="DKN1060" s="989"/>
      <c r="DKO1060" s="989"/>
      <c r="DKP1060" s="989"/>
      <c r="DKQ1060" s="989"/>
      <c r="DKR1060" s="989"/>
      <c r="DKS1060" s="989"/>
      <c r="DKT1060" s="989"/>
      <c r="DKU1060" s="989"/>
      <c r="DKV1060" s="989"/>
      <c r="DKW1060" s="989"/>
      <c r="DKX1060" s="989"/>
      <c r="DKY1060" s="989"/>
      <c r="DKZ1060" s="989"/>
      <c r="DLA1060" s="989"/>
      <c r="DLB1060" s="989"/>
      <c r="DLC1060" s="989"/>
      <c r="DLD1060" s="989"/>
      <c r="DLE1060" s="989"/>
      <c r="DLF1060" s="989"/>
      <c r="DLG1060" s="989"/>
      <c r="DLH1060" s="989"/>
      <c r="DLI1060" s="989"/>
      <c r="DLJ1060" s="989"/>
      <c r="DLK1060" s="989"/>
      <c r="DLL1060" s="989"/>
      <c r="DLM1060" s="989"/>
      <c r="DLN1060" s="989"/>
      <c r="DLO1060" s="989"/>
      <c r="DLP1060" s="989"/>
      <c r="DLQ1060" s="989"/>
      <c r="DLR1060" s="989"/>
      <c r="DLS1060" s="989"/>
      <c r="DLT1060" s="989"/>
      <c r="DLU1060" s="989"/>
      <c r="DLV1060" s="989"/>
      <c r="DLW1060" s="989"/>
      <c r="DLX1060" s="989"/>
      <c r="DLY1060" s="989"/>
      <c r="DLZ1060" s="989"/>
      <c r="DMA1060" s="989"/>
      <c r="DMB1060" s="989"/>
      <c r="DMC1060" s="989"/>
      <c r="DMD1060" s="989"/>
      <c r="DME1060" s="989"/>
      <c r="DMF1060" s="989"/>
      <c r="DMG1060" s="989"/>
      <c r="DMH1060" s="989"/>
      <c r="DMI1060" s="989"/>
      <c r="DMJ1060" s="989"/>
      <c r="DMK1060" s="989"/>
      <c r="DML1060" s="989"/>
      <c r="DMM1060" s="989"/>
      <c r="DMN1060" s="989"/>
      <c r="DMO1060" s="989"/>
      <c r="DMP1060" s="989"/>
      <c r="DMQ1060" s="989"/>
      <c r="DMR1060" s="989"/>
      <c r="DMS1060" s="989"/>
      <c r="DMT1060" s="989"/>
      <c r="DMU1060" s="989"/>
      <c r="DMV1060" s="989"/>
      <c r="DMW1060" s="989"/>
      <c r="DMX1060" s="989"/>
      <c r="DMY1060" s="989"/>
      <c r="DMZ1060" s="989"/>
      <c r="DNA1060" s="989"/>
      <c r="DNB1060" s="989"/>
      <c r="DNC1060" s="989"/>
      <c r="DND1060" s="989"/>
      <c r="DNE1060" s="989"/>
      <c r="DNF1060" s="989"/>
      <c r="DNG1060" s="989"/>
      <c r="DNH1060" s="989"/>
      <c r="DNI1060" s="989"/>
      <c r="DNJ1060" s="989"/>
      <c r="DNK1060" s="989"/>
      <c r="DNL1060" s="989"/>
      <c r="DNM1060" s="989"/>
      <c r="DNN1060" s="989"/>
      <c r="DNO1060" s="989"/>
      <c r="DNP1060" s="989"/>
      <c r="DNQ1060" s="989"/>
      <c r="DNR1060" s="989"/>
      <c r="DNS1060" s="989"/>
      <c r="DNT1060" s="989"/>
      <c r="DNU1060" s="989"/>
      <c r="DNV1060" s="989"/>
      <c r="DNW1060" s="989"/>
      <c r="DNX1060" s="989"/>
      <c r="DNY1060" s="989"/>
      <c r="DNZ1060" s="989"/>
      <c r="DOA1060" s="989"/>
      <c r="DOB1060" s="989"/>
      <c r="DOC1060" s="989"/>
      <c r="DOD1060" s="989"/>
      <c r="DOE1060" s="989"/>
      <c r="DOF1060" s="989"/>
      <c r="DOG1060" s="989"/>
      <c r="DOH1060" s="989"/>
      <c r="DOI1060" s="989"/>
      <c r="DOJ1060" s="989"/>
      <c r="DOK1060" s="989"/>
      <c r="DOL1060" s="989"/>
      <c r="DOM1060" s="989"/>
      <c r="DON1060" s="989"/>
      <c r="DOO1060" s="989"/>
      <c r="DOP1060" s="989"/>
      <c r="DOQ1060" s="989"/>
      <c r="DOR1060" s="989"/>
      <c r="DOS1060" s="989"/>
      <c r="DOT1060" s="989"/>
      <c r="DOU1060" s="989"/>
      <c r="DOV1060" s="989"/>
      <c r="DOW1060" s="989"/>
      <c r="DOX1060" s="989"/>
      <c r="DOY1060" s="989"/>
      <c r="DOZ1060" s="989"/>
      <c r="DPA1060" s="989"/>
      <c r="DPB1060" s="989"/>
      <c r="DPC1060" s="989"/>
      <c r="DPD1060" s="989"/>
      <c r="DPE1060" s="989"/>
      <c r="DPF1060" s="989"/>
      <c r="DPG1060" s="989"/>
      <c r="DPH1060" s="989"/>
      <c r="DPI1060" s="989"/>
      <c r="DPJ1060" s="989"/>
      <c r="DPK1060" s="989"/>
      <c r="DPL1060" s="989"/>
      <c r="DPM1060" s="989"/>
      <c r="DPN1060" s="989"/>
      <c r="DPO1060" s="989"/>
      <c r="DPP1060" s="989"/>
      <c r="DPQ1060" s="989"/>
      <c r="DPR1060" s="989"/>
      <c r="DPS1060" s="989"/>
      <c r="DPT1060" s="989"/>
      <c r="DPU1060" s="989"/>
      <c r="DPV1060" s="989"/>
      <c r="DPW1060" s="989"/>
      <c r="DPX1060" s="989"/>
      <c r="DPY1060" s="989"/>
      <c r="DPZ1060" s="989"/>
      <c r="DQA1060" s="989"/>
      <c r="DQB1060" s="989"/>
      <c r="DQC1060" s="989"/>
      <c r="DQD1060" s="989"/>
      <c r="DQE1060" s="989"/>
      <c r="DQF1060" s="989"/>
      <c r="DQG1060" s="989"/>
      <c r="DQH1060" s="989"/>
      <c r="DQI1060" s="989"/>
      <c r="DQJ1060" s="989"/>
      <c r="DQK1060" s="989"/>
      <c r="DQL1060" s="989"/>
      <c r="DQM1060" s="989"/>
      <c r="DQN1060" s="989"/>
      <c r="DQO1060" s="989"/>
      <c r="DQP1060" s="989"/>
      <c r="DQQ1060" s="989"/>
      <c r="DQR1060" s="989"/>
      <c r="DQS1060" s="989"/>
      <c r="DQT1060" s="989"/>
      <c r="DQU1060" s="989"/>
      <c r="DQV1060" s="989"/>
      <c r="DQW1060" s="989"/>
      <c r="DQX1060" s="989"/>
      <c r="DQY1060" s="989"/>
      <c r="DQZ1060" s="989"/>
      <c r="DRA1060" s="989"/>
      <c r="DRB1060" s="989"/>
      <c r="DRC1060" s="989"/>
      <c r="DRD1060" s="989"/>
      <c r="DRE1060" s="989"/>
      <c r="DRF1060" s="989"/>
      <c r="DRG1060" s="989"/>
      <c r="DRH1060" s="989"/>
      <c r="DRI1060" s="989"/>
      <c r="DRJ1060" s="989"/>
      <c r="DRK1060" s="989"/>
      <c r="DRL1060" s="989"/>
      <c r="DRM1060" s="989"/>
      <c r="DRN1060" s="989"/>
      <c r="DRO1060" s="989"/>
      <c r="DRP1060" s="989"/>
      <c r="DRQ1060" s="989"/>
      <c r="DRR1060" s="989"/>
      <c r="DRS1060" s="989"/>
      <c r="DRT1060" s="989"/>
      <c r="DRU1060" s="989"/>
      <c r="DRV1060" s="989"/>
      <c r="DRW1060" s="989"/>
      <c r="DRX1060" s="989"/>
      <c r="DRY1060" s="989"/>
      <c r="DRZ1060" s="989"/>
      <c r="DSA1060" s="989"/>
      <c r="DSB1060" s="989"/>
      <c r="DSC1060" s="989"/>
      <c r="DSD1060" s="989"/>
      <c r="DSE1060" s="989"/>
      <c r="DSF1060" s="989"/>
      <c r="DSG1060" s="989"/>
      <c r="DSH1060" s="989"/>
      <c r="DSI1060" s="989"/>
      <c r="DSJ1060" s="989"/>
      <c r="DSK1060" s="989"/>
      <c r="DSL1060" s="989"/>
      <c r="DSM1060" s="989"/>
      <c r="DSN1060" s="989"/>
      <c r="DSO1060" s="989"/>
      <c r="DSP1060" s="989"/>
      <c r="DSQ1060" s="989"/>
      <c r="DSR1060" s="989"/>
      <c r="DSS1060" s="989"/>
      <c r="DST1060" s="989"/>
      <c r="DSU1060" s="989"/>
      <c r="DSV1060" s="989"/>
      <c r="DSW1060" s="989"/>
      <c r="DSX1060" s="989"/>
      <c r="DSY1060" s="989"/>
      <c r="DSZ1060" s="989"/>
      <c r="DTA1060" s="989"/>
      <c r="DTB1060" s="989"/>
      <c r="DTC1060" s="989"/>
      <c r="DTD1060" s="989"/>
      <c r="DTE1060" s="989"/>
      <c r="DTF1060" s="989"/>
      <c r="DTG1060" s="989"/>
      <c r="DTH1060" s="989"/>
      <c r="DTI1060" s="989"/>
      <c r="DTJ1060" s="989"/>
      <c r="DTK1060" s="989"/>
      <c r="DTL1060" s="989"/>
      <c r="DTM1060" s="989"/>
      <c r="DTN1060" s="989"/>
      <c r="DTO1060" s="989"/>
      <c r="DTP1060" s="989"/>
      <c r="DTQ1060" s="989"/>
      <c r="DTR1060" s="989"/>
      <c r="DTS1060" s="989"/>
      <c r="DTT1060" s="989"/>
      <c r="DTU1060" s="989"/>
      <c r="DTV1060" s="989"/>
      <c r="DTW1060" s="989"/>
      <c r="DTX1060" s="989"/>
      <c r="DTY1060" s="989"/>
      <c r="DTZ1060" s="989"/>
      <c r="DUA1060" s="989"/>
      <c r="DUB1060" s="989"/>
      <c r="DUC1060" s="989"/>
      <c r="DUD1060" s="989"/>
      <c r="DUE1060" s="989"/>
      <c r="DUF1060" s="989"/>
      <c r="DUG1060" s="989"/>
      <c r="DUH1060" s="989"/>
      <c r="DUI1060" s="989"/>
      <c r="DUJ1060" s="989"/>
      <c r="DUK1060" s="989"/>
      <c r="DUL1060" s="989"/>
      <c r="DUM1060" s="989"/>
      <c r="DUN1060" s="989"/>
      <c r="DUO1060" s="989"/>
      <c r="DUP1060" s="989"/>
      <c r="DUQ1060" s="989"/>
      <c r="DUR1060" s="989"/>
      <c r="DUS1060" s="989"/>
      <c r="DUT1060" s="989"/>
      <c r="DUU1060" s="989"/>
      <c r="DUV1060" s="989"/>
      <c r="DUW1060" s="989"/>
      <c r="DUX1060" s="989"/>
      <c r="DUY1060" s="989"/>
      <c r="DUZ1060" s="989"/>
      <c r="DVA1060" s="989"/>
      <c r="DVB1060" s="989"/>
      <c r="DVC1060" s="989"/>
      <c r="DVD1060" s="989"/>
      <c r="DVE1060" s="989"/>
      <c r="DVF1060" s="989"/>
      <c r="DVG1060" s="989"/>
      <c r="DVH1060" s="989"/>
      <c r="DVI1060" s="989"/>
      <c r="DVJ1060" s="989"/>
      <c r="DVK1060" s="989"/>
      <c r="DVL1060" s="989"/>
      <c r="DVM1060" s="989"/>
      <c r="DVN1060" s="989"/>
      <c r="DVO1060" s="989"/>
      <c r="DVP1060" s="989"/>
      <c r="DVQ1060" s="989"/>
      <c r="DVR1060" s="989"/>
      <c r="DVS1060" s="989"/>
      <c r="DVT1060" s="989"/>
      <c r="DVU1060" s="989"/>
      <c r="DVV1060" s="989"/>
      <c r="DVW1060" s="989"/>
      <c r="DVX1060" s="989"/>
      <c r="DVY1060" s="989"/>
      <c r="DVZ1060" s="989"/>
      <c r="DWA1060" s="989"/>
      <c r="DWB1060" s="989"/>
      <c r="DWC1060" s="989"/>
      <c r="DWD1060" s="989"/>
      <c r="DWE1060" s="989"/>
      <c r="DWF1060" s="989"/>
      <c r="DWG1060" s="989"/>
      <c r="DWH1060" s="989"/>
      <c r="DWI1060" s="989"/>
      <c r="DWJ1060" s="989"/>
      <c r="DWK1060" s="989"/>
      <c r="DWL1060" s="989"/>
      <c r="DWM1060" s="989"/>
      <c r="DWN1060" s="989"/>
      <c r="DWO1060" s="989"/>
      <c r="DWP1060" s="989"/>
      <c r="DWQ1060" s="989"/>
      <c r="DWR1060" s="989"/>
      <c r="DWS1060" s="989"/>
      <c r="DWT1060" s="989"/>
      <c r="DWU1060" s="989"/>
      <c r="DWV1060" s="989"/>
      <c r="DWW1060" s="989"/>
      <c r="DWX1060" s="989"/>
      <c r="DWY1060" s="989"/>
      <c r="DWZ1060" s="989"/>
      <c r="DXA1060" s="989"/>
      <c r="DXB1060" s="989"/>
      <c r="DXC1060" s="989"/>
      <c r="DXD1060" s="989"/>
      <c r="DXE1060" s="989"/>
      <c r="DXF1060" s="989"/>
      <c r="DXG1060" s="989"/>
      <c r="DXH1060" s="989"/>
      <c r="DXI1060" s="989"/>
      <c r="DXJ1060" s="989"/>
      <c r="DXK1060" s="989"/>
      <c r="DXL1060" s="989"/>
      <c r="DXM1060" s="989"/>
      <c r="DXN1060" s="989"/>
      <c r="DXO1060" s="989"/>
      <c r="DXP1060" s="989"/>
      <c r="DXQ1060" s="989"/>
      <c r="DXR1060" s="989"/>
      <c r="DXS1060" s="989"/>
      <c r="DXT1060" s="989"/>
      <c r="DXU1060" s="989"/>
      <c r="DXV1060" s="989"/>
      <c r="DXW1060" s="989"/>
      <c r="DXX1060" s="989"/>
      <c r="DXY1060" s="989"/>
      <c r="DXZ1060" s="989"/>
      <c r="DYA1060" s="989"/>
      <c r="DYB1060" s="989"/>
      <c r="DYC1060" s="989"/>
      <c r="DYD1060" s="989"/>
      <c r="DYE1060" s="989"/>
      <c r="DYF1060" s="989"/>
      <c r="DYG1060" s="989"/>
      <c r="DYH1060" s="989"/>
      <c r="DYI1060" s="989"/>
      <c r="DYJ1060" s="989"/>
      <c r="DYK1060" s="989"/>
      <c r="DYL1060" s="989"/>
      <c r="DYM1060" s="989"/>
      <c r="DYN1060" s="989"/>
      <c r="DYO1060" s="989"/>
      <c r="DYP1060" s="989"/>
      <c r="DYQ1060" s="989"/>
      <c r="DYR1060" s="989"/>
      <c r="DYS1060" s="989"/>
      <c r="DYT1060" s="989"/>
      <c r="DYU1060" s="989"/>
      <c r="DYV1060" s="989"/>
      <c r="DYW1060" s="989"/>
      <c r="DYX1060" s="989"/>
      <c r="DYY1060" s="989"/>
      <c r="DYZ1060" s="989"/>
      <c r="DZA1060" s="989"/>
      <c r="DZB1060" s="989"/>
      <c r="DZC1060" s="989"/>
      <c r="DZD1060" s="989"/>
      <c r="DZE1060" s="989"/>
      <c r="DZF1060" s="989"/>
      <c r="DZG1060" s="989"/>
      <c r="DZH1060" s="989"/>
      <c r="DZI1060" s="989"/>
      <c r="DZJ1060" s="989"/>
      <c r="DZK1060" s="989"/>
      <c r="DZL1060" s="989"/>
      <c r="DZM1060" s="989"/>
      <c r="DZN1060" s="989"/>
      <c r="DZO1060" s="989"/>
      <c r="DZP1060" s="989"/>
      <c r="DZQ1060" s="989"/>
      <c r="DZR1060" s="989"/>
      <c r="DZS1060" s="989"/>
      <c r="DZT1060" s="989"/>
      <c r="DZU1060" s="989"/>
      <c r="DZV1060" s="989"/>
      <c r="DZW1060" s="989"/>
      <c r="DZX1060" s="989"/>
      <c r="DZY1060" s="989"/>
      <c r="DZZ1060" s="989"/>
      <c r="EAA1060" s="989"/>
      <c r="EAB1060" s="989"/>
      <c r="EAC1060" s="989"/>
      <c r="EAD1060" s="989"/>
      <c r="EAE1060" s="989"/>
      <c r="EAF1060" s="989"/>
      <c r="EAG1060" s="989"/>
      <c r="EAH1060" s="989"/>
      <c r="EAI1060" s="989"/>
      <c r="EAJ1060" s="989"/>
      <c r="EAK1060" s="989"/>
      <c r="EAL1060" s="989"/>
      <c r="EAM1060" s="989"/>
      <c r="EAN1060" s="989"/>
      <c r="EAO1060" s="989"/>
      <c r="EAP1060" s="989"/>
      <c r="EAQ1060" s="989"/>
      <c r="EAR1060" s="989"/>
      <c r="EAS1060" s="989"/>
      <c r="EAT1060" s="989"/>
      <c r="EAU1060" s="989"/>
      <c r="EAV1060" s="989"/>
      <c r="EAW1060" s="989"/>
      <c r="EAX1060" s="989"/>
      <c r="EAY1060" s="989"/>
      <c r="EAZ1060" s="989"/>
      <c r="EBA1060" s="989"/>
      <c r="EBB1060" s="989"/>
      <c r="EBC1060" s="989"/>
      <c r="EBD1060" s="989"/>
      <c r="EBE1060" s="989"/>
      <c r="EBF1060" s="989"/>
      <c r="EBG1060" s="989"/>
      <c r="EBH1060" s="989"/>
      <c r="EBI1060" s="989"/>
      <c r="EBJ1060" s="989"/>
      <c r="EBK1060" s="989"/>
      <c r="EBL1060" s="989"/>
      <c r="EBM1060" s="989"/>
      <c r="EBN1060" s="989"/>
      <c r="EBO1060" s="989"/>
      <c r="EBP1060" s="989"/>
      <c r="EBQ1060" s="989"/>
      <c r="EBR1060" s="989"/>
      <c r="EBS1060" s="989"/>
      <c r="EBT1060" s="989"/>
      <c r="EBU1060" s="989"/>
      <c r="EBV1060" s="989"/>
      <c r="EBW1060" s="989"/>
      <c r="EBX1060" s="989"/>
      <c r="EBY1060" s="989"/>
      <c r="EBZ1060" s="989"/>
      <c r="ECA1060" s="989"/>
      <c r="ECB1060" s="989"/>
      <c r="ECC1060" s="989"/>
      <c r="ECD1060" s="989"/>
      <c r="ECE1060" s="989"/>
      <c r="ECF1060" s="989"/>
      <c r="ECG1060" s="989"/>
      <c r="ECH1060" s="989"/>
      <c r="ECI1060" s="989"/>
      <c r="ECJ1060" s="989"/>
      <c r="ECK1060" s="989"/>
      <c r="ECL1060" s="989"/>
      <c r="ECM1060" s="989"/>
      <c r="ECN1060" s="989"/>
      <c r="ECO1060" s="989"/>
      <c r="ECP1060" s="989"/>
      <c r="ECQ1060" s="989"/>
      <c r="ECR1060" s="989"/>
      <c r="ECS1060" s="989"/>
      <c r="ECT1060" s="989"/>
      <c r="ECU1060" s="989"/>
      <c r="ECV1060" s="989"/>
      <c r="ECW1060" s="989"/>
      <c r="ECX1060" s="989"/>
      <c r="ECY1060" s="989"/>
      <c r="ECZ1060" s="989"/>
      <c r="EDA1060" s="989"/>
      <c r="EDB1060" s="989"/>
      <c r="EDC1060" s="989"/>
      <c r="EDD1060" s="989"/>
      <c r="EDE1060" s="989"/>
      <c r="EDF1060" s="989"/>
      <c r="EDG1060" s="989"/>
      <c r="EDH1060" s="989"/>
      <c r="EDI1060" s="989"/>
      <c r="EDJ1060" s="989"/>
      <c r="EDK1060" s="989"/>
      <c r="EDL1060" s="989"/>
      <c r="EDM1060" s="989"/>
      <c r="EDN1060" s="989"/>
      <c r="EDO1060" s="989"/>
      <c r="EDP1060" s="989"/>
      <c r="EDQ1060" s="989"/>
      <c r="EDR1060" s="989"/>
      <c r="EDS1060" s="989"/>
      <c r="EDT1060" s="989"/>
      <c r="EDU1060" s="989"/>
      <c r="EDV1060" s="989"/>
      <c r="EDW1060" s="989"/>
      <c r="EDX1060" s="989"/>
      <c r="EDY1060" s="989"/>
      <c r="EDZ1060" s="989"/>
      <c r="EEA1060" s="989"/>
      <c r="EEB1060" s="989"/>
      <c r="EEC1060" s="989"/>
      <c r="EED1060" s="989"/>
      <c r="EEE1060" s="989"/>
      <c r="EEF1060" s="989"/>
      <c r="EEG1060" s="989"/>
      <c r="EEH1060" s="989"/>
      <c r="EEI1060" s="989"/>
      <c r="EEJ1060" s="989"/>
      <c r="EEK1060" s="989"/>
      <c r="EEL1060" s="989"/>
      <c r="EEM1060" s="989"/>
      <c r="EEN1060" s="989"/>
      <c r="EEO1060" s="989"/>
      <c r="EEP1060" s="989"/>
      <c r="EEQ1060" s="989"/>
      <c r="EER1060" s="989"/>
      <c r="EES1060" s="989"/>
      <c r="EET1060" s="989"/>
      <c r="EEU1060" s="989"/>
      <c r="EEV1060" s="989"/>
      <c r="EEW1060" s="989"/>
      <c r="EEX1060" s="989"/>
      <c r="EEY1060" s="989"/>
      <c r="EEZ1060" s="989"/>
      <c r="EFA1060" s="989"/>
      <c r="EFB1060" s="989"/>
      <c r="EFC1060" s="989"/>
      <c r="EFD1060" s="989"/>
      <c r="EFE1060" s="989"/>
      <c r="EFF1060" s="989"/>
      <c r="EFG1060" s="989"/>
      <c r="EFH1060" s="989"/>
      <c r="EFI1060" s="989"/>
      <c r="EFJ1060" s="989"/>
      <c r="EFK1060" s="989"/>
      <c r="EFL1060" s="989"/>
      <c r="EFM1060" s="989"/>
      <c r="EFN1060" s="989"/>
      <c r="EFO1060" s="989"/>
      <c r="EFP1060" s="989"/>
      <c r="EFQ1060" s="989"/>
      <c r="EFR1060" s="989"/>
      <c r="EFS1060" s="989"/>
      <c r="EFT1060" s="989"/>
      <c r="EFU1060" s="989"/>
      <c r="EFV1060" s="989"/>
      <c r="EFW1060" s="989"/>
      <c r="EFX1060" s="989"/>
      <c r="EFY1060" s="989"/>
      <c r="EFZ1060" s="989"/>
      <c r="EGA1060" s="989"/>
      <c r="EGB1060" s="989"/>
      <c r="EGC1060" s="989"/>
      <c r="EGD1060" s="989"/>
      <c r="EGE1060" s="989"/>
      <c r="EGF1060" s="989"/>
      <c r="EGG1060" s="989"/>
      <c r="EGH1060" s="989"/>
      <c r="EGI1060" s="989"/>
      <c r="EGJ1060" s="989"/>
      <c r="EGK1060" s="989"/>
      <c r="EGL1060" s="989"/>
      <c r="EGM1060" s="989"/>
      <c r="EGN1060" s="989"/>
      <c r="EGO1060" s="989"/>
      <c r="EGP1060" s="989"/>
      <c r="EGQ1060" s="989"/>
      <c r="EGR1060" s="989"/>
      <c r="EGS1060" s="989"/>
      <c r="EGT1060" s="989"/>
      <c r="EGU1060" s="989"/>
      <c r="EGV1060" s="989"/>
      <c r="EGW1060" s="989"/>
      <c r="EGX1060" s="989"/>
      <c r="EGY1060" s="989"/>
      <c r="EGZ1060" s="989"/>
      <c r="EHA1060" s="989"/>
      <c r="EHB1060" s="989"/>
      <c r="EHC1060" s="989"/>
      <c r="EHD1060" s="989"/>
      <c r="EHE1060" s="989"/>
      <c r="EHF1060" s="989"/>
      <c r="EHG1060" s="989"/>
      <c r="EHH1060" s="989"/>
      <c r="EHI1060" s="989"/>
      <c r="EHJ1060" s="989"/>
      <c r="EHK1060" s="989"/>
      <c r="EHL1060" s="989"/>
      <c r="EHM1060" s="989"/>
      <c r="EHN1060" s="989"/>
      <c r="EHO1060" s="989"/>
      <c r="EHP1060" s="989"/>
      <c r="EHQ1060" s="989"/>
      <c r="EHR1060" s="989"/>
      <c r="EHS1060" s="989"/>
      <c r="EHT1060" s="989"/>
      <c r="EHU1060" s="989"/>
      <c r="EHV1060" s="989"/>
      <c r="EHW1060" s="989"/>
      <c r="EHX1060" s="989"/>
      <c r="EHY1060" s="989"/>
      <c r="EHZ1060" s="989"/>
      <c r="EIA1060" s="989"/>
      <c r="EIB1060" s="989"/>
      <c r="EIC1060" s="989"/>
      <c r="EID1060" s="989"/>
      <c r="EIE1060" s="989"/>
      <c r="EIF1060" s="989"/>
      <c r="EIG1060" s="989"/>
      <c r="EIH1060" s="989"/>
      <c r="EII1060" s="989"/>
      <c r="EIJ1060" s="989"/>
      <c r="EIK1060" s="989"/>
      <c r="EIL1060" s="989"/>
      <c r="EIM1060" s="989"/>
      <c r="EIN1060" s="989"/>
      <c r="EIO1060" s="989"/>
      <c r="EIP1060" s="989"/>
      <c r="EIQ1060" s="989"/>
      <c r="EIR1060" s="989"/>
      <c r="EIS1060" s="989"/>
      <c r="EIT1060" s="989"/>
      <c r="EIU1060" s="989"/>
      <c r="EIV1060" s="989"/>
      <c r="EIW1060" s="989"/>
      <c r="EIX1060" s="989"/>
      <c r="EIY1060" s="989"/>
      <c r="EIZ1060" s="989"/>
      <c r="EJA1060" s="989"/>
      <c r="EJB1060" s="989"/>
      <c r="EJC1060" s="989"/>
      <c r="EJD1060" s="989"/>
      <c r="EJE1060" s="989"/>
      <c r="EJF1060" s="989"/>
      <c r="EJG1060" s="989"/>
      <c r="EJH1060" s="989"/>
      <c r="EJI1060" s="989"/>
      <c r="EJJ1060" s="989"/>
      <c r="EJK1060" s="989"/>
      <c r="EJL1060" s="989"/>
      <c r="EJM1060" s="989"/>
      <c r="EJN1060" s="989"/>
      <c r="EJO1060" s="989"/>
      <c r="EJP1060" s="989"/>
      <c r="EJQ1060" s="989"/>
      <c r="EJR1060" s="989"/>
      <c r="EJS1060" s="989"/>
      <c r="EJT1060" s="989"/>
      <c r="EJU1060" s="989"/>
      <c r="EJV1060" s="989"/>
      <c r="EJW1060" s="989"/>
      <c r="EJX1060" s="989"/>
      <c r="EJY1060" s="989"/>
      <c r="EJZ1060" s="989"/>
      <c r="EKA1060" s="989"/>
      <c r="EKB1060" s="989"/>
      <c r="EKC1060" s="989"/>
      <c r="EKD1060" s="989"/>
      <c r="EKE1060" s="989"/>
      <c r="EKF1060" s="989"/>
      <c r="EKG1060" s="989"/>
      <c r="EKH1060" s="989"/>
      <c r="EKI1060" s="989"/>
      <c r="EKJ1060" s="989"/>
      <c r="EKK1060" s="989"/>
      <c r="EKL1060" s="989"/>
      <c r="EKM1060" s="989"/>
      <c r="EKN1060" s="989"/>
      <c r="EKO1060" s="989"/>
      <c r="EKP1060" s="989"/>
      <c r="EKQ1060" s="989"/>
      <c r="EKR1060" s="989"/>
      <c r="EKS1060" s="989"/>
      <c r="EKT1060" s="989"/>
      <c r="EKU1060" s="989"/>
      <c r="EKV1060" s="989"/>
      <c r="EKW1060" s="989"/>
      <c r="EKX1060" s="989"/>
      <c r="EKY1060" s="989"/>
      <c r="EKZ1060" s="989"/>
      <c r="ELA1060" s="989"/>
      <c r="ELB1060" s="989"/>
      <c r="ELC1060" s="989"/>
      <c r="ELD1060" s="989"/>
      <c r="ELE1060" s="989"/>
      <c r="ELF1060" s="989"/>
      <c r="ELG1060" s="989"/>
      <c r="ELH1060" s="989"/>
      <c r="ELI1060" s="989"/>
      <c r="ELJ1060" s="989"/>
      <c r="ELK1060" s="989"/>
      <c r="ELL1060" s="989"/>
      <c r="ELM1060" s="989"/>
      <c r="ELN1060" s="989"/>
      <c r="ELO1060" s="989"/>
      <c r="ELP1060" s="989"/>
      <c r="ELQ1060" s="989"/>
      <c r="ELR1060" s="989"/>
      <c r="ELS1060" s="989"/>
      <c r="ELT1060" s="989"/>
      <c r="ELU1060" s="989"/>
      <c r="ELV1060" s="989"/>
      <c r="ELW1060" s="989"/>
      <c r="ELX1060" s="989"/>
      <c r="ELY1060" s="989"/>
      <c r="ELZ1060" s="989"/>
      <c r="EMA1060" s="989"/>
      <c r="EMB1060" s="989"/>
      <c r="EMC1060" s="989"/>
      <c r="EMD1060" s="989"/>
      <c r="EME1060" s="989"/>
      <c r="EMF1060" s="989"/>
      <c r="EMG1060" s="989"/>
      <c r="EMH1060" s="989"/>
      <c r="EMI1060" s="989"/>
      <c r="EMJ1060" s="989"/>
      <c r="EMK1060" s="989"/>
      <c r="EML1060" s="989"/>
      <c r="EMM1060" s="989"/>
      <c r="EMN1060" s="989"/>
      <c r="EMO1060" s="989"/>
      <c r="EMP1060" s="989"/>
      <c r="EMQ1060" s="989"/>
      <c r="EMR1060" s="989"/>
      <c r="EMS1060" s="989"/>
      <c r="EMT1060" s="989"/>
      <c r="EMU1060" s="989"/>
      <c r="EMV1060" s="989"/>
      <c r="EMW1060" s="989"/>
      <c r="EMX1060" s="989"/>
      <c r="EMY1060" s="989"/>
      <c r="EMZ1060" s="989"/>
      <c r="ENA1060" s="989"/>
      <c r="ENB1060" s="989"/>
      <c r="ENC1060" s="989"/>
      <c r="END1060" s="989"/>
      <c r="ENE1060" s="989"/>
      <c r="ENF1060" s="989"/>
      <c r="ENG1060" s="989"/>
      <c r="ENH1060" s="989"/>
      <c r="ENI1060" s="989"/>
      <c r="ENJ1060" s="989"/>
      <c r="ENK1060" s="989"/>
      <c r="ENL1060" s="989"/>
      <c r="ENM1060" s="989"/>
      <c r="ENN1060" s="989"/>
      <c r="ENO1060" s="989"/>
      <c r="ENP1060" s="989"/>
      <c r="ENQ1060" s="989"/>
      <c r="ENR1060" s="989"/>
      <c r="ENS1060" s="989"/>
      <c r="ENT1060" s="989"/>
      <c r="ENU1060" s="989"/>
      <c r="ENV1060" s="989"/>
      <c r="ENW1060" s="989"/>
      <c r="ENX1060" s="989"/>
      <c r="ENY1060" s="989"/>
      <c r="ENZ1060" s="989"/>
      <c r="EOA1060" s="989"/>
      <c r="EOB1060" s="989"/>
      <c r="EOC1060" s="989"/>
      <c r="EOD1060" s="989"/>
      <c r="EOE1060" s="989"/>
      <c r="EOF1060" s="989"/>
      <c r="EOG1060" s="989"/>
      <c r="EOH1060" s="989"/>
      <c r="EOI1060" s="989"/>
      <c r="EOJ1060" s="989"/>
      <c r="EOK1060" s="989"/>
      <c r="EOL1060" s="989"/>
      <c r="EOM1060" s="989"/>
      <c r="EON1060" s="989"/>
      <c r="EOO1060" s="989"/>
      <c r="EOP1060" s="989"/>
      <c r="EOQ1060" s="989"/>
      <c r="EOR1060" s="989"/>
      <c r="EOS1060" s="989"/>
      <c r="EOT1060" s="989"/>
      <c r="EOU1060" s="989"/>
      <c r="EOV1060" s="989"/>
      <c r="EOW1060" s="989"/>
      <c r="EOX1060" s="989"/>
      <c r="EOY1060" s="989"/>
      <c r="EOZ1060" s="989"/>
      <c r="EPA1060" s="989"/>
      <c r="EPB1060" s="989"/>
      <c r="EPC1060" s="989"/>
      <c r="EPD1060" s="989"/>
      <c r="EPE1060" s="989"/>
      <c r="EPF1060" s="989"/>
      <c r="EPG1060" s="989"/>
      <c r="EPH1060" s="989"/>
      <c r="EPI1060" s="989"/>
      <c r="EPJ1060" s="989"/>
      <c r="EPK1060" s="989"/>
      <c r="EPL1060" s="989"/>
      <c r="EPM1060" s="989"/>
      <c r="EPN1060" s="989"/>
      <c r="EPO1060" s="989"/>
      <c r="EPP1060" s="989"/>
      <c r="EPQ1060" s="989"/>
      <c r="EPR1060" s="989"/>
      <c r="EPS1060" s="989"/>
      <c r="EPT1060" s="989"/>
      <c r="EPU1060" s="989"/>
      <c r="EPV1060" s="989"/>
      <c r="EPW1060" s="989"/>
      <c r="EPX1060" s="989"/>
      <c r="EPY1060" s="989"/>
      <c r="EPZ1060" s="989"/>
      <c r="EQA1060" s="989"/>
      <c r="EQB1060" s="989"/>
      <c r="EQC1060" s="989"/>
      <c r="EQD1060" s="989"/>
      <c r="EQE1060" s="989"/>
      <c r="EQF1060" s="989"/>
      <c r="EQG1060" s="989"/>
      <c r="EQH1060" s="989"/>
      <c r="EQI1060" s="989"/>
      <c r="EQJ1060" s="989"/>
      <c r="EQK1060" s="989"/>
      <c r="EQL1060" s="989"/>
      <c r="EQM1060" s="989"/>
      <c r="EQN1060" s="989"/>
      <c r="EQO1060" s="989"/>
      <c r="EQP1060" s="989"/>
      <c r="EQQ1060" s="989"/>
      <c r="EQR1060" s="989"/>
      <c r="EQS1060" s="989"/>
      <c r="EQT1060" s="989"/>
      <c r="EQU1060" s="989"/>
      <c r="EQV1060" s="989"/>
      <c r="EQW1060" s="989"/>
      <c r="EQX1060" s="989"/>
      <c r="EQY1060" s="989"/>
      <c r="EQZ1060" s="989"/>
      <c r="ERA1060" s="989"/>
      <c r="ERB1060" s="989"/>
      <c r="ERC1060" s="989"/>
      <c r="ERD1060" s="989"/>
      <c r="ERE1060" s="989"/>
      <c r="ERF1060" s="989"/>
      <c r="ERG1060" s="989"/>
      <c r="ERH1060" s="989"/>
      <c r="ERI1060" s="989"/>
      <c r="ERJ1060" s="989"/>
      <c r="ERK1060" s="989"/>
      <c r="ERL1060" s="989"/>
      <c r="ERM1060" s="989"/>
      <c r="ERN1060" s="989"/>
      <c r="ERO1060" s="989"/>
      <c r="ERP1060" s="989"/>
      <c r="ERQ1060" s="989"/>
      <c r="ERR1060" s="989"/>
      <c r="ERS1060" s="989"/>
      <c r="ERT1060" s="989"/>
      <c r="ERU1060" s="989"/>
      <c r="ERV1060" s="989"/>
      <c r="ERW1060" s="989"/>
      <c r="ERX1060" s="989"/>
      <c r="ERY1060" s="989"/>
      <c r="ERZ1060" s="989"/>
      <c r="ESA1060" s="989"/>
      <c r="ESB1060" s="989"/>
      <c r="ESC1060" s="989"/>
      <c r="ESD1060" s="989"/>
      <c r="ESE1060" s="989"/>
      <c r="ESF1060" s="989"/>
      <c r="ESG1060" s="989"/>
      <c r="ESH1060" s="989"/>
      <c r="ESI1060" s="989"/>
      <c r="ESJ1060" s="989"/>
      <c r="ESK1060" s="989"/>
      <c r="ESL1060" s="989"/>
      <c r="ESM1060" s="989"/>
      <c r="ESN1060" s="989"/>
      <c r="ESO1060" s="989"/>
      <c r="ESP1060" s="989"/>
      <c r="ESQ1060" s="989"/>
      <c r="ESR1060" s="989"/>
      <c r="ESS1060" s="989"/>
      <c r="EST1060" s="989"/>
      <c r="ESU1060" s="989"/>
      <c r="ESV1060" s="989"/>
      <c r="ESW1060" s="989"/>
      <c r="ESX1060" s="989"/>
      <c r="ESY1060" s="989"/>
      <c r="ESZ1060" s="989"/>
      <c r="ETA1060" s="989"/>
      <c r="ETB1060" s="989"/>
      <c r="ETC1060" s="989"/>
      <c r="ETD1060" s="989"/>
      <c r="ETE1060" s="989"/>
      <c r="ETF1060" s="989"/>
      <c r="ETG1060" s="989"/>
      <c r="ETH1060" s="989"/>
      <c r="ETI1060" s="989"/>
      <c r="ETJ1060" s="989"/>
      <c r="ETK1060" s="989"/>
      <c r="ETL1060" s="989"/>
      <c r="ETM1060" s="989"/>
      <c r="ETN1060" s="989"/>
      <c r="ETO1060" s="989"/>
      <c r="ETP1060" s="989"/>
      <c r="ETQ1060" s="989"/>
      <c r="ETR1060" s="989"/>
      <c r="ETS1060" s="989"/>
      <c r="ETT1060" s="989"/>
      <c r="ETU1060" s="989"/>
      <c r="ETV1060" s="989"/>
      <c r="ETW1060" s="989"/>
      <c r="ETX1060" s="989"/>
      <c r="ETY1060" s="989"/>
      <c r="ETZ1060" s="989"/>
      <c r="EUA1060" s="989"/>
      <c r="EUB1060" s="989"/>
      <c r="EUC1060" s="989"/>
      <c r="EUD1060" s="989"/>
      <c r="EUE1060" s="989"/>
      <c r="EUF1060" s="989"/>
      <c r="EUG1060" s="989"/>
      <c r="EUH1060" s="989"/>
      <c r="EUI1060" s="989"/>
      <c r="EUJ1060" s="989"/>
      <c r="EUK1060" s="989"/>
      <c r="EUL1060" s="989"/>
      <c r="EUM1060" s="989"/>
      <c r="EUN1060" s="989"/>
      <c r="EUO1060" s="989"/>
      <c r="EUP1060" s="989"/>
      <c r="EUQ1060" s="989"/>
      <c r="EUR1060" s="989"/>
      <c r="EUS1060" s="989"/>
      <c r="EUT1060" s="989"/>
      <c r="EUU1060" s="989"/>
      <c r="EUV1060" s="989"/>
      <c r="EUW1060" s="989"/>
      <c r="EUX1060" s="989"/>
      <c r="EUY1060" s="989"/>
      <c r="EUZ1060" s="989"/>
      <c r="EVA1060" s="989"/>
      <c r="EVB1060" s="989"/>
      <c r="EVC1060" s="989"/>
      <c r="EVD1060" s="989"/>
      <c r="EVE1060" s="989"/>
      <c r="EVF1060" s="989"/>
      <c r="EVG1060" s="989"/>
      <c r="EVH1060" s="989"/>
      <c r="EVI1060" s="989"/>
      <c r="EVJ1060" s="989"/>
      <c r="EVK1060" s="989"/>
      <c r="EVL1060" s="989"/>
      <c r="EVM1060" s="989"/>
      <c r="EVN1060" s="989"/>
      <c r="EVO1060" s="989"/>
      <c r="EVP1060" s="989"/>
      <c r="EVQ1060" s="989"/>
      <c r="EVR1060" s="989"/>
      <c r="EVS1060" s="989"/>
      <c r="EVT1060" s="989"/>
      <c r="EVU1060" s="989"/>
      <c r="EVV1060" s="989"/>
      <c r="EVW1060" s="989"/>
      <c r="EVX1060" s="989"/>
      <c r="EVY1060" s="989"/>
      <c r="EVZ1060" s="989"/>
      <c r="EWA1060" s="989"/>
      <c r="EWB1060" s="989"/>
      <c r="EWC1060" s="989"/>
      <c r="EWD1060" s="989"/>
      <c r="EWE1060" s="989"/>
      <c r="EWF1060" s="989"/>
      <c r="EWG1060" s="989"/>
      <c r="EWH1060" s="989"/>
      <c r="EWI1060" s="989"/>
      <c r="EWJ1060" s="989"/>
      <c r="EWK1060" s="989"/>
      <c r="EWL1060" s="989"/>
      <c r="EWM1060" s="989"/>
      <c r="EWN1060" s="989"/>
      <c r="EWO1060" s="989"/>
      <c r="EWP1060" s="989"/>
      <c r="EWQ1060" s="989"/>
      <c r="EWR1060" s="989"/>
      <c r="EWS1060" s="989"/>
      <c r="EWT1060" s="989"/>
      <c r="EWU1060" s="989"/>
      <c r="EWV1060" s="989"/>
      <c r="EWW1060" s="989"/>
      <c r="EWX1060" s="989"/>
      <c r="EWY1060" s="989"/>
      <c r="EWZ1060" s="989"/>
      <c r="EXA1060" s="989"/>
      <c r="EXB1060" s="989"/>
      <c r="EXC1060" s="989"/>
      <c r="EXD1060" s="989"/>
      <c r="EXE1060" s="989"/>
      <c r="EXF1060" s="989"/>
      <c r="EXG1060" s="989"/>
      <c r="EXH1060" s="989"/>
      <c r="EXI1060" s="989"/>
      <c r="EXJ1060" s="989"/>
      <c r="EXK1060" s="989"/>
      <c r="EXL1060" s="989"/>
      <c r="EXM1060" s="989"/>
      <c r="EXN1060" s="989"/>
      <c r="EXO1060" s="989"/>
      <c r="EXP1060" s="989"/>
      <c r="EXQ1060" s="989"/>
      <c r="EXR1060" s="989"/>
      <c r="EXS1060" s="989"/>
      <c r="EXT1060" s="989"/>
      <c r="EXU1060" s="989"/>
      <c r="EXV1060" s="989"/>
      <c r="EXW1060" s="989"/>
      <c r="EXX1060" s="989"/>
      <c r="EXY1060" s="989"/>
      <c r="EXZ1060" s="989"/>
      <c r="EYA1060" s="989"/>
      <c r="EYB1060" s="989"/>
      <c r="EYC1060" s="989"/>
      <c r="EYD1060" s="989"/>
      <c r="EYE1060" s="989"/>
      <c r="EYF1060" s="989"/>
      <c r="EYG1060" s="989"/>
      <c r="EYH1060" s="989"/>
      <c r="EYI1060" s="989"/>
      <c r="EYJ1060" s="989"/>
      <c r="EYK1060" s="989"/>
      <c r="EYL1060" s="989"/>
      <c r="EYM1060" s="989"/>
      <c r="EYN1060" s="989"/>
      <c r="EYO1060" s="989"/>
      <c r="EYP1060" s="989"/>
      <c r="EYQ1060" s="989"/>
      <c r="EYR1060" s="989"/>
      <c r="EYS1060" s="989"/>
      <c r="EYT1060" s="989"/>
      <c r="EYU1060" s="989"/>
      <c r="EYV1060" s="989"/>
      <c r="EYW1060" s="989"/>
      <c r="EYX1060" s="989"/>
      <c r="EYY1060" s="989"/>
      <c r="EYZ1060" s="989"/>
      <c r="EZA1060" s="989"/>
      <c r="EZB1060" s="989"/>
      <c r="EZC1060" s="989"/>
      <c r="EZD1060" s="989"/>
      <c r="EZE1060" s="989"/>
      <c r="EZF1060" s="989"/>
      <c r="EZG1060" s="989"/>
      <c r="EZH1060" s="989"/>
      <c r="EZI1060" s="989"/>
      <c r="EZJ1060" s="989"/>
      <c r="EZK1060" s="989"/>
      <c r="EZL1060" s="989"/>
      <c r="EZM1060" s="989"/>
      <c r="EZN1060" s="989"/>
      <c r="EZO1060" s="989"/>
      <c r="EZP1060" s="989"/>
      <c r="EZQ1060" s="989"/>
      <c r="EZR1060" s="989"/>
      <c r="EZS1060" s="989"/>
      <c r="EZT1060" s="989"/>
      <c r="EZU1060" s="989"/>
      <c r="EZV1060" s="989"/>
      <c r="EZW1060" s="989"/>
      <c r="EZX1060" s="989"/>
      <c r="EZY1060" s="989"/>
      <c r="EZZ1060" s="989"/>
      <c r="FAA1060" s="989"/>
      <c r="FAB1060" s="989"/>
      <c r="FAC1060" s="989"/>
      <c r="FAD1060" s="989"/>
      <c r="FAE1060" s="989"/>
      <c r="FAF1060" s="989"/>
      <c r="FAG1060" s="989"/>
      <c r="FAH1060" s="989"/>
      <c r="FAI1060" s="989"/>
      <c r="FAJ1060" s="989"/>
      <c r="FAK1060" s="989"/>
      <c r="FAL1060" s="989"/>
      <c r="FAM1060" s="989"/>
      <c r="FAN1060" s="989"/>
      <c r="FAO1060" s="989"/>
      <c r="FAP1060" s="989"/>
      <c r="FAQ1060" s="989"/>
      <c r="FAR1060" s="989"/>
      <c r="FAS1060" s="989"/>
      <c r="FAT1060" s="989"/>
      <c r="FAU1060" s="989"/>
      <c r="FAV1060" s="989"/>
      <c r="FAW1060" s="989"/>
      <c r="FAX1060" s="989"/>
      <c r="FAY1060" s="989"/>
      <c r="FAZ1060" s="989"/>
      <c r="FBA1060" s="989"/>
      <c r="FBB1060" s="989"/>
      <c r="FBC1060" s="989"/>
      <c r="FBD1060" s="989"/>
      <c r="FBE1060" s="989"/>
      <c r="FBF1060" s="989"/>
      <c r="FBG1060" s="989"/>
      <c r="FBH1060" s="989"/>
      <c r="FBI1060" s="989"/>
      <c r="FBJ1060" s="989"/>
      <c r="FBK1060" s="989"/>
      <c r="FBL1060" s="989"/>
      <c r="FBM1060" s="989"/>
      <c r="FBN1060" s="989"/>
      <c r="FBO1060" s="989"/>
      <c r="FBP1060" s="989"/>
      <c r="FBQ1060" s="989"/>
      <c r="FBR1060" s="989"/>
      <c r="FBS1060" s="989"/>
      <c r="FBT1060" s="989"/>
      <c r="FBU1060" s="989"/>
      <c r="FBV1060" s="989"/>
      <c r="FBW1060" s="989"/>
      <c r="FBX1060" s="989"/>
      <c r="FBY1060" s="989"/>
      <c r="FBZ1060" s="989"/>
      <c r="FCA1060" s="989"/>
      <c r="FCB1060" s="989"/>
      <c r="FCC1060" s="989"/>
      <c r="FCD1060" s="989"/>
      <c r="FCE1060" s="989"/>
      <c r="FCF1060" s="989"/>
      <c r="FCG1060" s="989"/>
      <c r="FCH1060" s="989"/>
      <c r="FCI1060" s="989"/>
      <c r="FCJ1060" s="989"/>
      <c r="FCK1060" s="989"/>
      <c r="FCL1060" s="989"/>
      <c r="FCM1060" s="989"/>
      <c r="FCN1060" s="989"/>
      <c r="FCO1060" s="989"/>
      <c r="FCP1060" s="989"/>
      <c r="FCQ1060" s="989"/>
      <c r="FCR1060" s="989"/>
      <c r="FCS1060" s="989"/>
      <c r="FCT1060" s="989"/>
      <c r="FCU1060" s="989"/>
      <c r="FCV1060" s="989"/>
      <c r="FCW1060" s="989"/>
      <c r="FCX1060" s="989"/>
      <c r="FCY1060" s="989"/>
      <c r="FCZ1060" s="989"/>
      <c r="FDA1060" s="989"/>
      <c r="FDB1060" s="989"/>
      <c r="FDC1060" s="989"/>
      <c r="FDD1060" s="989"/>
      <c r="FDE1060" s="989"/>
      <c r="FDF1060" s="989"/>
      <c r="FDG1060" s="989"/>
      <c r="FDH1060" s="989"/>
      <c r="FDI1060" s="989"/>
      <c r="FDJ1060" s="989"/>
      <c r="FDK1060" s="989"/>
      <c r="FDL1060" s="989"/>
      <c r="FDM1060" s="989"/>
      <c r="FDN1060" s="989"/>
      <c r="FDO1060" s="989"/>
      <c r="FDP1060" s="989"/>
      <c r="FDQ1060" s="989"/>
      <c r="FDR1060" s="989"/>
      <c r="FDS1060" s="989"/>
      <c r="FDT1060" s="989"/>
      <c r="FDU1060" s="989"/>
      <c r="FDV1060" s="989"/>
      <c r="FDW1060" s="989"/>
      <c r="FDX1060" s="989"/>
      <c r="FDY1060" s="989"/>
      <c r="FDZ1060" s="989"/>
      <c r="FEA1060" s="989"/>
      <c r="FEB1060" s="989"/>
      <c r="FEC1060" s="989"/>
      <c r="FED1060" s="989"/>
      <c r="FEE1060" s="989"/>
      <c r="FEF1060" s="989"/>
      <c r="FEG1060" s="989"/>
      <c r="FEH1060" s="989"/>
      <c r="FEI1060" s="989"/>
      <c r="FEJ1060" s="989"/>
      <c r="FEK1060" s="989"/>
      <c r="FEL1060" s="989"/>
      <c r="FEM1060" s="989"/>
      <c r="FEN1060" s="989"/>
      <c r="FEO1060" s="989"/>
      <c r="FEP1060" s="989"/>
      <c r="FEQ1060" s="989"/>
      <c r="FER1060" s="989"/>
      <c r="FES1060" s="989"/>
      <c r="FET1060" s="989"/>
      <c r="FEU1060" s="989"/>
      <c r="FEV1060" s="989"/>
      <c r="FEW1060" s="989"/>
      <c r="FEX1060" s="989"/>
      <c r="FEY1060" s="989"/>
      <c r="FEZ1060" s="989"/>
      <c r="FFA1060" s="989"/>
      <c r="FFB1060" s="989"/>
      <c r="FFC1060" s="989"/>
      <c r="FFD1060" s="989"/>
      <c r="FFE1060" s="989"/>
      <c r="FFF1060" s="989"/>
      <c r="FFG1060" s="989"/>
      <c r="FFH1060" s="989"/>
      <c r="FFI1060" s="989"/>
      <c r="FFJ1060" s="989"/>
      <c r="FFK1060" s="989"/>
      <c r="FFL1060" s="989"/>
      <c r="FFM1060" s="989"/>
      <c r="FFN1060" s="989"/>
      <c r="FFO1060" s="989"/>
      <c r="FFP1060" s="989"/>
      <c r="FFQ1060" s="989"/>
      <c r="FFR1060" s="989"/>
      <c r="FFS1060" s="989"/>
      <c r="FFT1060" s="989"/>
      <c r="FFU1060" s="989"/>
      <c r="FFV1060" s="989"/>
      <c r="FFW1060" s="989"/>
      <c r="FFX1060" s="989"/>
      <c r="FFY1060" s="989"/>
      <c r="FFZ1060" s="989"/>
      <c r="FGA1060" s="989"/>
      <c r="FGB1060" s="989"/>
      <c r="FGC1060" s="989"/>
      <c r="FGD1060" s="989"/>
      <c r="FGE1060" s="989"/>
      <c r="FGF1060" s="989"/>
      <c r="FGG1060" s="989"/>
      <c r="FGH1060" s="989"/>
      <c r="FGI1060" s="989"/>
      <c r="FGJ1060" s="989"/>
      <c r="FGK1060" s="989"/>
      <c r="FGL1060" s="989"/>
      <c r="FGM1060" s="989"/>
      <c r="FGN1060" s="989"/>
      <c r="FGO1060" s="989"/>
      <c r="FGP1060" s="989"/>
      <c r="FGQ1060" s="989"/>
      <c r="FGR1060" s="989"/>
      <c r="FGS1060" s="989"/>
      <c r="FGT1060" s="989"/>
      <c r="FGU1060" s="989"/>
      <c r="FGV1060" s="989"/>
      <c r="FGW1060" s="989"/>
      <c r="FGX1060" s="989"/>
      <c r="FGY1060" s="989"/>
      <c r="FGZ1060" s="989"/>
      <c r="FHA1060" s="989"/>
      <c r="FHB1060" s="989"/>
      <c r="FHC1060" s="989"/>
      <c r="FHD1060" s="989"/>
      <c r="FHE1060" s="989"/>
      <c r="FHF1060" s="989"/>
      <c r="FHG1060" s="989"/>
      <c r="FHH1060" s="989"/>
      <c r="FHI1060" s="989"/>
      <c r="FHJ1060" s="989"/>
      <c r="FHK1060" s="989"/>
      <c r="FHL1060" s="989"/>
      <c r="FHM1060" s="989"/>
      <c r="FHN1060" s="989"/>
      <c r="FHO1060" s="989"/>
      <c r="FHP1060" s="989"/>
      <c r="FHQ1060" s="989"/>
      <c r="FHR1060" s="989"/>
      <c r="FHS1060" s="989"/>
      <c r="FHT1060" s="989"/>
      <c r="FHU1060" s="989"/>
      <c r="FHV1060" s="989"/>
      <c r="FHW1060" s="989"/>
      <c r="FHX1060" s="989"/>
      <c r="FHY1060" s="989"/>
      <c r="FHZ1060" s="989"/>
      <c r="FIA1060" s="989"/>
      <c r="FIB1060" s="989"/>
      <c r="FIC1060" s="989"/>
      <c r="FID1060" s="989"/>
      <c r="FIE1060" s="989"/>
      <c r="FIF1060" s="989"/>
      <c r="FIG1060" s="989"/>
      <c r="FIH1060" s="989"/>
      <c r="FII1060" s="989"/>
      <c r="FIJ1060" s="989"/>
      <c r="FIK1060" s="989"/>
      <c r="FIL1060" s="989"/>
      <c r="FIM1060" s="989"/>
      <c r="FIN1060" s="989"/>
      <c r="FIO1060" s="989"/>
      <c r="FIP1060" s="989"/>
      <c r="FIQ1060" s="989"/>
      <c r="FIR1060" s="989"/>
      <c r="FIS1060" s="989"/>
      <c r="FIT1060" s="989"/>
      <c r="FIU1060" s="989"/>
      <c r="FIV1060" s="989"/>
      <c r="FIW1060" s="989"/>
      <c r="FIX1060" s="989"/>
      <c r="FIY1060" s="989"/>
      <c r="FIZ1060" s="989"/>
      <c r="FJA1060" s="989"/>
      <c r="FJB1060" s="989"/>
      <c r="FJC1060" s="989"/>
      <c r="FJD1060" s="989"/>
      <c r="FJE1060" s="989"/>
      <c r="FJF1060" s="989"/>
      <c r="FJG1060" s="989"/>
      <c r="FJH1060" s="989"/>
      <c r="FJI1060" s="989"/>
      <c r="FJJ1060" s="989"/>
      <c r="FJK1060" s="989"/>
      <c r="FJL1060" s="989"/>
      <c r="FJM1060" s="989"/>
      <c r="FJN1060" s="989"/>
      <c r="FJO1060" s="989"/>
      <c r="FJP1060" s="989"/>
      <c r="FJQ1060" s="989"/>
      <c r="FJR1060" s="989"/>
      <c r="FJS1060" s="989"/>
      <c r="FJT1060" s="989"/>
      <c r="FJU1060" s="989"/>
      <c r="FJV1060" s="989"/>
      <c r="FJW1060" s="989"/>
      <c r="FJX1060" s="989"/>
      <c r="FJY1060" s="989"/>
      <c r="FJZ1060" s="989"/>
      <c r="FKA1060" s="989"/>
      <c r="FKB1060" s="989"/>
      <c r="FKC1060" s="989"/>
      <c r="FKD1060" s="989"/>
      <c r="FKE1060" s="989"/>
      <c r="FKF1060" s="989"/>
      <c r="FKG1060" s="989"/>
      <c r="FKH1060" s="989"/>
      <c r="FKI1060" s="989"/>
      <c r="FKJ1060" s="989"/>
      <c r="FKK1060" s="989"/>
      <c r="FKL1060" s="989"/>
      <c r="FKM1060" s="989"/>
      <c r="FKN1060" s="989"/>
      <c r="FKO1060" s="989"/>
      <c r="FKP1060" s="989"/>
      <c r="FKQ1060" s="989"/>
      <c r="FKR1060" s="989"/>
      <c r="FKS1060" s="989"/>
      <c r="FKT1060" s="989"/>
      <c r="FKU1060" s="989"/>
      <c r="FKV1060" s="989"/>
      <c r="FKW1060" s="989"/>
      <c r="FKX1060" s="989"/>
      <c r="FKY1060" s="989"/>
      <c r="FKZ1060" s="989"/>
      <c r="FLA1060" s="989"/>
      <c r="FLB1060" s="989"/>
      <c r="FLC1060" s="989"/>
      <c r="FLD1060" s="989"/>
      <c r="FLE1060" s="989"/>
      <c r="FLF1060" s="989"/>
      <c r="FLG1060" s="989"/>
      <c r="FLH1060" s="989"/>
      <c r="FLI1060" s="989"/>
      <c r="FLJ1060" s="989"/>
      <c r="FLK1060" s="989"/>
      <c r="FLL1060" s="989"/>
      <c r="FLM1060" s="989"/>
      <c r="FLN1060" s="989"/>
      <c r="FLO1060" s="989"/>
      <c r="FLP1060" s="989"/>
      <c r="FLQ1060" s="989"/>
      <c r="FLR1060" s="989"/>
      <c r="FLS1060" s="989"/>
      <c r="FLT1060" s="989"/>
      <c r="FLU1060" s="989"/>
      <c r="FLV1060" s="989"/>
      <c r="FLW1060" s="989"/>
      <c r="FLX1060" s="989"/>
      <c r="FLY1060" s="989"/>
      <c r="FLZ1060" s="989"/>
      <c r="FMA1060" s="989"/>
      <c r="FMB1060" s="989"/>
      <c r="FMC1060" s="989"/>
      <c r="FMD1060" s="989"/>
      <c r="FME1060" s="989"/>
      <c r="FMF1060" s="989"/>
      <c r="FMG1060" s="989"/>
      <c r="FMH1060" s="989"/>
      <c r="FMI1060" s="989"/>
      <c r="FMJ1060" s="989"/>
      <c r="FMK1060" s="989"/>
      <c r="FML1060" s="989"/>
      <c r="FMM1060" s="989"/>
      <c r="FMN1060" s="989"/>
      <c r="FMO1060" s="989"/>
      <c r="FMP1060" s="989"/>
      <c r="FMQ1060" s="989"/>
      <c r="FMR1060" s="989"/>
      <c r="FMS1060" s="989"/>
      <c r="FMT1060" s="989"/>
      <c r="FMU1060" s="989"/>
      <c r="FMV1060" s="989"/>
      <c r="FMW1060" s="989"/>
      <c r="FMX1060" s="989"/>
      <c r="FMY1060" s="989"/>
      <c r="FMZ1060" s="989"/>
      <c r="FNA1060" s="989"/>
      <c r="FNB1060" s="989"/>
      <c r="FNC1060" s="989"/>
      <c r="FND1060" s="989"/>
      <c r="FNE1060" s="989"/>
      <c r="FNF1060" s="989"/>
      <c r="FNG1060" s="989"/>
      <c r="FNH1060" s="989"/>
      <c r="FNI1060" s="989"/>
      <c r="FNJ1060" s="989"/>
      <c r="FNK1060" s="989"/>
      <c r="FNL1060" s="989"/>
      <c r="FNM1060" s="989"/>
      <c r="FNN1060" s="989"/>
      <c r="FNO1060" s="989"/>
      <c r="FNP1060" s="989"/>
      <c r="FNQ1060" s="989"/>
      <c r="FNR1060" s="989"/>
      <c r="FNS1060" s="989"/>
      <c r="FNT1060" s="989"/>
      <c r="FNU1060" s="989"/>
      <c r="FNV1060" s="989"/>
      <c r="FNW1060" s="989"/>
      <c r="FNX1060" s="989"/>
      <c r="FNY1060" s="989"/>
      <c r="FNZ1060" s="989"/>
      <c r="FOA1060" s="989"/>
      <c r="FOB1060" s="989"/>
      <c r="FOC1060" s="989"/>
      <c r="FOD1060" s="989"/>
      <c r="FOE1060" s="989"/>
      <c r="FOF1060" s="989"/>
      <c r="FOG1060" s="989"/>
      <c r="FOH1060" s="989"/>
      <c r="FOI1060" s="989"/>
      <c r="FOJ1060" s="989"/>
      <c r="FOK1060" s="989"/>
      <c r="FOL1060" s="989"/>
      <c r="FOM1060" s="989"/>
      <c r="FON1060" s="989"/>
      <c r="FOO1060" s="989"/>
      <c r="FOP1060" s="989"/>
      <c r="FOQ1060" s="989"/>
      <c r="FOR1060" s="989"/>
      <c r="FOS1060" s="989"/>
      <c r="FOT1060" s="989"/>
      <c r="FOU1060" s="989"/>
      <c r="FOV1060" s="989"/>
      <c r="FOW1060" s="989"/>
      <c r="FOX1060" s="989"/>
      <c r="FOY1060" s="989"/>
      <c r="FOZ1060" s="989"/>
      <c r="FPA1060" s="989"/>
      <c r="FPB1060" s="989"/>
      <c r="FPC1060" s="989"/>
      <c r="FPD1060" s="989"/>
      <c r="FPE1060" s="989"/>
      <c r="FPF1060" s="989"/>
      <c r="FPG1060" s="989"/>
      <c r="FPH1060" s="989"/>
      <c r="FPI1060" s="989"/>
      <c r="FPJ1060" s="989"/>
      <c r="FPK1060" s="989"/>
      <c r="FPL1060" s="989"/>
      <c r="FPM1060" s="989"/>
      <c r="FPN1060" s="989"/>
      <c r="FPO1060" s="989"/>
      <c r="FPP1060" s="989"/>
      <c r="FPQ1060" s="989"/>
      <c r="FPR1060" s="989"/>
      <c r="FPS1060" s="989"/>
      <c r="FPT1060" s="989"/>
      <c r="FPU1060" s="989"/>
      <c r="FPV1060" s="989"/>
      <c r="FPW1060" s="989"/>
      <c r="FPX1060" s="989"/>
      <c r="FPY1060" s="989"/>
      <c r="FPZ1060" s="989"/>
      <c r="FQA1060" s="989"/>
      <c r="FQB1060" s="989"/>
      <c r="FQC1060" s="989"/>
      <c r="FQD1060" s="989"/>
      <c r="FQE1060" s="989"/>
      <c r="FQF1060" s="989"/>
      <c r="FQG1060" s="989"/>
      <c r="FQH1060" s="989"/>
      <c r="FQI1060" s="989"/>
      <c r="FQJ1060" s="989"/>
      <c r="FQK1060" s="989"/>
      <c r="FQL1060" s="989"/>
      <c r="FQM1060" s="989"/>
      <c r="FQN1060" s="989"/>
      <c r="FQO1060" s="989"/>
      <c r="FQP1060" s="989"/>
      <c r="FQQ1060" s="989"/>
      <c r="FQR1060" s="989"/>
      <c r="FQS1060" s="989"/>
      <c r="FQT1060" s="989"/>
      <c r="FQU1060" s="989"/>
      <c r="FQV1060" s="989"/>
      <c r="FQW1060" s="989"/>
      <c r="FQX1060" s="989"/>
      <c r="FQY1060" s="989"/>
      <c r="FQZ1060" s="989"/>
      <c r="FRA1060" s="989"/>
      <c r="FRB1060" s="989"/>
      <c r="FRC1060" s="989"/>
      <c r="FRD1060" s="989"/>
      <c r="FRE1060" s="989"/>
      <c r="FRF1060" s="989"/>
      <c r="FRG1060" s="989"/>
      <c r="FRH1060" s="989"/>
      <c r="FRI1060" s="989"/>
      <c r="FRJ1060" s="989"/>
      <c r="FRK1060" s="989"/>
      <c r="FRL1060" s="989"/>
      <c r="FRM1060" s="989"/>
      <c r="FRN1060" s="989"/>
      <c r="FRO1060" s="989"/>
      <c r="FRP1060" s="989"/>
      <c r="FRQ1060" s="989"/>
      <c r="FRR1060" s="989"/>
      <c r="FRS1060" s="989"/>
      <c r="FRT1060" s="989"/>
      <c r="FRU1060" s="989"/>
      <c r="FRV1060" s="989"/>
      <c r="FRW1060" s="989"/>
      <c r="FRX1060" s="989"/>
      <c r="FRY1060" s="989"/>
      <c r="FRZ1060" s="989"/>
      <c r="FSA1060" s="989"/>
      <c r="FSB1060" s="989"/>
      <c r="FSC1060" s="989"/>
      <c r="FSD1060" s="989"/>
      <c r="FSE1060" s="989"/>
      <c r="FSF1060" s="989"/>
      <c r="FSG1060" s="989"/>
      <c r="FSH1060" s="989"/>
      <c r="FSI1060" s="989"/>
      <c r="FSJ1060" s="989"/>
      <c r="FSK1060" s="989"/>
      <c r="FSL1060" s="989"/>
      <c r="FSM1060" s="989"/>
      <c r="FSN1060" s="989"/>
      <c r="FSO1060" s="989"/>
      <c r="FSP1060" s="989"/>
      <c r="FSQ1060" s="989"/>
      <c r="FSR1060" s="989"/>
      <c r="FSS1060" s="989"/>
      <c r="FST1060" s="989"/>
      <c r="FSU1060" s="989"/>
      <c r="FSV1060" s="989"/>
      <c r="FSW1060" s="989"/>
      <c r="FSX1060" s="989"/>
      <c r="FSY1060" s="989"/>
      <c r="FSZ1060" s="989"/>
      <c r="FTA1060" s="989"/>
      <c r="FTB1060" s="989"/>
      <c r="FTC1060" s="989"/>
      <c r="FTD1060" s="989"/>
      <c r="FTE1060" s="989"/>
      <c r="FTF1060" s="989"/>
      <c r="FTG1060" s="989"/>
      <c r="FTH1060" s="989"/>
      <c r="FTI1060" s="989"/>
      <c r="FTJ1060" s="989"/>
      <c r="FTK1060" s="989"/>
      <c r="FTL1060" s="989"/>
      <c r="FTM1060" s="989"/>
      <c r="FTN1060" s="989"/>
      <c r="FTO1060" s="989"/>
      <c r="FTP1060" s="989"/>
      <c r="FTQ1060" s="989"/>
      <c r="FTR1060" s="989"/>
      <c r="FTS1060" s="989"/>
      <c r="FTT1060" s="989"/>
      <c r="FTU1060" s="989"/>
      <c r="FTV1060" s="989"/>
      <c r="FTW1060" s="989"/>
      <c r="FTX1060" s="989"/>
      <c r="FTY1060" s="989"/>
      <c r="FTZ1060" s="989"/>
      <c r="FUA1060" s="989"/>
      <c r="FUB1060" s="989"/>
      <c r="FUC1060" s="989"/>
      <c r="FUD1060" s="989"/>
      <c r="FUE1060" s="989"/>
      <c r="FUF1060" s="989"/>
      <c r="FUG1060" s="989"/>
      <c r="FUH1060" s="989"/>
      <c r="FUI1060" s="989"/>
      <c r="FUJ1060" s="989"/>
      <c r="FUK1060" s="989"/>
      <c r="FUL1060" s="989"/>
      <c r="FUM1060" s="989"/>
      <c r="FUN1060" s="989"/>
      <c r="FUO1060" s="989"/>
      <c r="FUP1060" s="989"/>
      <c r="FUQ1060" s="989"/>
      <c r="FUR1060" s="989"/>
      <c r="FUS1060" s="989"/>
      <c r="FUT1060" s="989"/>
      <c r="FUU1060" s="989"/>
      <c r="FUV1060" s="989"/>
      <c r="FUW1060" s="989"/>
      <c r="FUX1060" s="989"/>
      <c r="FUY1060" s="989"/>
      <c r="FUZ1060" s="989"/>
      <c r="FVA1060" s="989"/>
      <c r="FVB1060" s="989"/>
      <c r="FVC1060" s="989"/>
      <c r="FVD1060" s="989"/>
      <c r="FVE1060" s="989"/>
      <c r="FVF1060" s="989"/>
      <c r="FVG1060" s="989"/>
      <c r="FVH1060" s="989"/>
      <c r="FVI1060" s="989"/>
      <c r="FVJ1060" s="989"/>
      <c r="FVK1060" s="989"/>
      <c r="FVL1060" s="989"/>
      <c r="FVM1060" s="989"/>
      <c r="FVN1060" s="989"/>
      <c r="FVO1060" s="989"/>
      <c r="FVP1060" s="989"/>
      <c r="FVQ1060" s="989"/>
      <c r="FVR1060" s="989"/>
      <c r="FVS1060" s="989"/>
      <c r="FVT1060" s="989"/>
      <c r="FVU1060" s="989"/>
      <c r="FVV1060" s="989"/>
      <c r="FVW1060" s="989"/>
      <c r="FVX1060" s="989"/>
      <c r="FVY1060" s="989"/>
      <c r="FVZ1060" s="989"/>
      <c r="FWA1060" s="989"/>
      <c r="FWB1060" s="989"/>
      <c r="FWC1060" s="989"/>
      <c r="FWD1060" s="989"/>
      <c r="FWE1060" s="989"/>
      <c r="FWF1060" s="989"/>
      <c r="FWG1060" s="989"/>
      <c r="FWH1060" s="989"/>
      <c r="FWI1060" s="989"/>
      <c r="FWJ1060" s="989"/>
      <c r="FWK1060" s="989"/>
      <c r="FWL1060" s="989"/>
      <c r="FWM1060" s="989"/>
      <c r="FWN1060" s="989"/>
      <c r="FWO1060" s="989"/>
      <c r="FWP1060" s="989"/>
      <c r="FWQ1060" s="989"/>
      <c r="FWR1060" s="989"/>
      <c r="FWS1060" s="989"/>
      <c r="FWT1060" s="989"/>
      <c r="FWU1060" s="989"/>
      <c r="FWV1060" s="989"/>
      <c r="FWW1060" s="989"/>
      <c r="FWX1060" s="989"/>
      <c r="FWY1060" s="989"/>
      <c r="FWZ1060" s="989"/>
      <c r="FXA1060" s="989"/>
      <c r="FXB1060" s="989"/>
      <c r="FXC1060" s="989"/>
      <c r="FXD1060" s="989"/>
      <c r="FXE1060" s="989"/>
      <c r="FXF1060" s="989"/>
      <c r="FXG1060" s="989"/>
      <c r="FXH1060" s="989"/>
      <c r="FXI1060" s="989"/>
      <c r="FXJ1060" s="989"/>
      <c r="FXK1060" s="989"/>
      <c r="FXL1060" s="989"/>
      <c r="FXM1060" s="989"/>
      <c r="FXN1060" s="989"/>
      <c r="FXO1060" s="989"/>
      <c r="FXP1060" s="989"/>
      <c r="FXQ1060" s="989"/>
      <c r="FXR1060" s="989"/>
      <c r="FXS1060" s="989"/>
      <c r="FXT1060" s="989"/>
      <c r="FXU1060" s="989"/>
      <c r="FXV1060" s="989"/>
      <c r="FXW1060" s="989"/>
      <c r="FXX1060" s="989"/>
      <c r="FXY1060" s="989"/>
      <c r="FXZ1060" s="989"/>
      <c r="FYA1060" s="989"/>
      <c r="FYB1060" s="989"/>
      <c r="FYC1060" s="989"/>
      <c r="FYD1060" s="989"/>
      <c r="FYE1060" s="989"/>
      <c r="FYF1060" s="989"/>
      <c r="FYG1060" s="989"/>
      <c r="FYH1060" s="989"/>
      <c r="FYI1060" s="989"/>
      <c r="FYJ1060" s="989"/>
      <c r="FYK1060" s="989"/>
      <c r="FYL1060" s="989"/>
      <c r="FYM1060" s="989"/>
      <c r="FYN1060" s="989"/>
      <c r="FYO1060" s="989"/>
      <c r="FYP1060" s="989"/>
      <c r="FYQ1060" s="989"/>
      <c r="FYR1060" s="989"/>
      <c r="FYS1060" s="989"/>
      <c r="FYT1060" s="989"/>
      <c r="FYU1060" s="989"/>
      <c r="FYV1060" s="989"/>
      <c r="FYW1060" s="989"/>
      <c r="FYX1060" s="989"/>
      <c r="FYY1060" s="989"/>
      <c r="FYZ1060" s="989"/>
      <c r="FZA1060" s="989"/>
      <c r="FZB1060" s="989"/>
      <c r="FZC1060" s="989"/>
      <c r="FZD1060" s="989"/>
      <c r="FZE1060" s="989"/>
      <c r="FZF1060" s="989"/>
      <c r="FZG1060" s="989"/>
      <c r="FZH1060" s="989"/>
      <c r="FZI1060" s="989"/>
      <c r="FZJ1060" s="989"/>
      <c r="FZK1060" s="989"/>
      <c r="FZL1060" s="989"/>
      <c r="FZM1060" s="989"/>
      <c r="FZN1060" s="989"/>
      <c r="FZO1060" s="989"/>
      <c r="FZP1060" s="989"/>
      <c r="FZQ1060" s="989"/>
      <c r="FZR1060" s="989"/>
      <c r="FZS1060" s="989"/>
      <c r="FZT1060" s="989"/>
      <c r="FZU1060" s="989"/>
      <c r="FZV1060" s="989"/>
      <c r="FZW1060" s="989"/>
      <c r="FZX1060" s="989"/>
      <c r="FZY1060" s="989"/>
      <c r="FZZ1060" s="989"/>
      <c r="GAA1060" s="989"/>
      <c r="GAB1060" s="989"/>
      <c r="GAC1060" s="989"/>
      <c r="GAD1060" s="989"/>
      <c r="GAE1060" s="989"/>
      <c r="GAF1060" s="989"/>
      <c r="GAG1060" s="989"/>
      <c r="GAH1060" s="989"/>
      <c r="GAI1060" s="989"/>
      <c r="GAJ1060" s="989"/>
      <c r="GAK1060" s="989"/>
      <c r="GAL1060" s="989"/>
      <c r="GAM1060" s="989"/>
      <c r="GAN1060" s="989"/>
      <c r="GAO1060" s="989"/>
      <c r="GAP1060" s="989"/>
      <c r="GAQ1060" s="989"/>
      <c r="GAR1060" s="989"/>
      <c r="GAS1060" s="989"/>
      <c r="GAT1060" s="989"/>
      <c r="GAU1060" s="989"/>
      <c r="GAV1060" s="989"/>
      <c r="GAW1060" s="989"/>
      <c r="GAX1060" s="989"/>
      <c r="GAY1060" s="989"/>
      <c r="GAZ1060" s="989"/>
      <c r="GBA1060" s="989"/>
      <c r="GBB1060" s="989"/>
      <c r="GBC1060" s="989"/>
      <c r="GBD1060" s="989"/>
      <c r="GBE1060" s="989"/>
      <c r="GBF1060" s="989"/>
      <c r="GBG1060" s="989"/>
      <c r="GBH1060" s="989"/>
      <c r="GBI1060" s="989"/>
      <c r="GBJ1060" s="989"/>
      <c r="GBK1060" s="989"/>
      <c r="GBL1060" s="989"/>
      <c r="GBM1060" s="989"/>
      <c r="GBN1060" s="989"/>
      <c r="GBO1060" s="989"/>
      <c r="GBP1060" s="989"/>
      <c r="GBQ1060" s="989"/>
      <c r="GBR1060" s="989"/>
      <c r="GBS1060" s="989"/>
      <c r="GBT1060" s="989"/>
      <c r="GBU1060" s="989"/>
      <c r="GBV1060" s="989"/>
      <c r="GBW1060" s="989"/>
      <c r="GBX1060" s="989"/>
      <c r="GBY1060" s="989"/>
      <c r="GBZ1060" s="989"/>
      <c r="GCA1060" s="989"/>
      <c r="GCB1060" s="989"/>
      <c r="GCC1060" s="989"/>
      <c r="GCD1060" s="989"/>
      <c r="GCE1060" s="989"/>
      <c r="GCF1060" s="989"/>
      <c r="GCG1060" s="989"/>
      <c r="GCH1060" s="989"/>
      <c r="GCI1060" s="989"/>
      <c r="GCJ1060" s="989"/>
      <c r="GCK1060" s="989"/>
      <c r="GCL1060" s="989"/>
      <c r="GCM1060" s="989"/>
      <c r="GCN1060" s="989"/>
      <c r="GCO1060" s="989"/>
      <c r="GCP1060" s="989"/>
      <c r="GCQ1060" s="989"/>
      <c r="GCR1060" s="989"/>
      <c r="GCS1060" s="989"/>
      <c r="GCT1060" s="989"/>
      <c r="GCU1060" s="989"/>
      <c r="GCV1060" s="989"/>
      <c r="GCW1060" s="989"/>
      <c r="GCX1060" s="989"/>
      <c r="GCY1060" s="989"/>
      <c r="GCZ1060" s="989"/>
      <c r="GDA1060" s="989"/>
      <c r="GDB1060" s="989"/>
      <c r="GDC1060" s="989"/>
      <c r="GDD1060" s="989"/>
      <c r="GDE1060" s="989"/>
      <c r="GDF1060" s="989"/>
      <c r="GDG1060" s="989"/>
      <c r="GDH1060" s="989"/>
      <c r="GDI1060" s="989"/>
      <c r="GDJ1060" s="989"/>
      <c r="GDK1060" s="989"/>
      <c r="GDL1060" s="989"/>
      <c r="GDM1060" s="989"/>
      <c r="GDN1060" s="989"/>
      <c r="GDO1060" s="989"/>
      <c r="GDP1060" s="989"/>
      <c r="GDQ1060" s="989"/>
      <c r="GDR1060" s="989"/>
      <c r="GDS1060" s="989"/>
      <c r="GDT1060" s="989"/>
      <c r="GDU1060" s="989"/>
      <c r="GDV1060" s="989"/>
      <c r="GDW1060" s="989"/>
      <c r="GDX1060" s="989"/>
      <c r="GDY1060" s="989"/>
      <c r="GDZ1060" s="989"/>
      <c r="GEA1060" s="989"/>
      <c r="GEB1060" s="989"/>
      <c r="GEC1060" s="989"/>
      <c r="GED1060" s="989"/>
      <c r="GEE1060" s="989"/>
      <c r="GEF1060" s="989"/>
      <c r="GEG1060" s="989"/>
      <c r="GEH1060" s="989"/>
      <c r="GEI1060" s="989"/>
      <c r="GEJ1060" s="989"/>
      <c r="GEK1060" s="989"/>
      <c r="GEL1060" s="989"/>
      <c r="GEM1060" s="989"/>
      <c r="GEN1060" s="989"/>
      <c r="GEO1060" s="989"/>
      <c r="GEP1060" s="989"/>
      <c r="GEQ1060" s="989"/>
      <c r="GER1060" s="989"/>
      <c r="GES1060" s="989"/>
      <c r="GET1060" s="989"/>
      <c r="GEU1060" s="989"/>
      <c r="GEV1060" s="989"/>
      <c r="GEW1060" s="989"/>
      <c r="GEX1060" s="989"/>
      <c r="GEY1060" s="989"/>
      <c r="GEZ1060" s="989"/>
      <c r="GFA1060" s="989"/>
      <c r="GFB1060" s="989"/>
      <c r="GFC1060" s="989"/>
      <c r="GFD1060" s="989"/>
      <c r="GFE1060" s="989"/>
      <c r="GFF1060" s="989"/>
      <c r="GFG1060" s="989"/>
      <c r="GFH1060" s="989"/>
      <c r="GFI1060" s="989"/>
      <c r="GFJ1060" s="989"/>
      <c r="GFK1060" s="989"/>
      <c r="GFL1060" s="989"/>
      <c r="GFM1060" s="989"/>
      <c r="GFN1060" s="989"/>
      <c r="GFO1060" s="989"/>
      <c r="GFP1060" s="989"/>
      <c r="GFQ1060" s="989"/>
      <c r="GFR1060" s="989"/>
      <c r="GFS1060" s="989"/>
      <c r="GFT1060" s="989"/>
      <c r="GFU1060" s="989"/>
      <c r="GFV1060" s="989"/>
      <c r="GFW1060" s="989"/>
      <c r="GFX1060" s="989"/>
      <c r="GFY1060" s="989"/>
      <c r="GFZ1060" s="989"/>
      <c r="GGA1060" s="989"/>
      <c r="GGB1060" s="989"/>
      <c r="GGC1060" s="989"/>
      <c r="GGD1060" s="989"/>
      <c r="GGE1060" s="989"/>
      <c r="GGF1060" s="989"/>
      <c r="GGG1060" s="989"/>
      <c r="GGH1060" s="989"/>
      <c r="GGI1060" s="989"/>
      <c r="GGJ1060" s="989"/>
      <c r="GGK1060" s="989"/>
      <c r="GGL1060" s="989"/>
      <c r="GGM1060" s="989"/>
      <c r="GGN1060" s="989"/>
      <c r="GGO1060" s="989"/>
      <c r="GGP1060" s="989"/>
      <c r="GGQ1060" s="989"/>
      <c r="GGR1060" s="989"/>
      <c r="GGS1060" s="989"/>
      <c r="GGT1060" s="989"/>
      <c r="GGU1060" s="989"/>
      <c r="GGV1060" s="989"/>
      <c r="GGW1060" s="989"/>
      <c r="GGX1060" s="989"/>
      <c r="GGY1060" s="989"/>
      <c r="GGZ1060" s="989"/>
      <c r="GHA1060" s="989"/>
      <c r="GHB1060" s="989"/>
      <c r="GHC1060" s="989"/>
      <c r="GHD1060" s="989"/>
      <c r="GHE1060" s="989"/>
      <c r="GHF1060" s="989"/>
      <c r="GHG1060" s="989"/>
      <c r="GHH1060" s="989"/>
      <c r="GHI1060" s="989"/>
      <c r="GHJ1060" s="989"/>
      <c r="GHK1060" s="989"/>
      <c r="GHL1060" s="989"/>
      <c r="GHM1060" s="989"/>
      <c r="GHN1060" s="989"/>
      <c r="GHO1060" s="989"/>
      <c r="GHP1060" s="989"/>
      <c r="GHQ1060" s="989"/>
      <c r="GHR1060" s="989"/>
      <c r="GHS1060" s="989"/>
      <c r="GHT1060" s="989"/>
      <c r="GHU1060" s="989"/>
      <c r="GHV1060" s="989"/>
      <c r="GHW1060" s="989"/>
      <c r="GHX1060" s="989"/>
      <c r="GHY1060" s="989"/>
      <c r="GHZ1060" s="989"/>
      <c r="GIA1060" s="989"/>
      <c r="GIB1060" s="989"/>
      <c r="GIC1060" s="989"/>
      <c r="GID1060" s="989"/>
      <c r="GIE1060" s="989"/>
      <c r="GIF1060" s="989"/>
      <c r="GIG1060" s="989"/>
      <c r="GIH1060" s="989"/>
      <c r="GII1060" s="989"/>
      <c r="GIJ1060" s="989"/>
      <c r="GIK1060" s="989"/>
      <c r="GIL1060" s="989"/>
      <c r="GIM1060" s="989"/>
      <c r="GIN1060" s="989"/>
      <c r="GIO1060" s="989"/>
      <c r="GIP1060" s="989"/>
      <c r="GIQ1060" s="989"/>
      <c r="GIR1060" s="989"/>
      <c r="GIS1060" s="989"/>
      <c r="GIT1060" s="989"/>
      <c r="GIU1060" s="989"/>
      <c r="GIV1060" s="989"/>
      <c r="GIW1060" s="989"/>
      <c r="GIX1060" s="989"/>
      <c r="GIY1060" s="989"/>
      <c r="GIZ1060" s="989"/>
      <c r="GJA1060" s="989"/>
      <c r="GJB1060" s="989"/>
      <c r="GJC1060" s="989"/>
      <c r="GJD1060" s="989"/>
      <c r="GJE1060" s="989"/>
      <c r="GJF1060" s="989"/>
      <c r="GJG1060" s="989"/>
      <c r="GJH1060" s="989"/>
      <c r="GJI1060" s="989"/>
      <c r="GJJ1060" s="989"/>
      <c r="GJK1060" s="989"/>
      <c r="GJL1060" s="989"/>
      <c r="GJM1060" s="989"/>
      <c r="GJN1060" s="989"/>
      <c r="GJO1060" s="989"/>
      <c r="GJP1060" s="989"/>
      <c r="GJQ1060" s="989"/>
      <c r="GJR1060" s="989"/>
      <c r="GJS1060" s="989"/>
      <c r="GJT1060" s="989"/>
      <c r="GJU1060" s="989"/>
      <c r="GJV1060" s="989"/>
      <c r="GJW1060" s="989"/>
      <c r="GJX1060" s="989"/>
      <c r="GJY1060" s="989"/>
      <c r="GJZ1060" s="989"/>
      <c r="GKA1060" s="989"/>
      <c r="GKB1060" s="989"/>
      <c r="GKC1060" s="989"/>
      <c r="GKD1060" s="989"/>
      <c r="GKE1060" s="989"/>
      <c r="GKF1060" s="989"/>
      <c r="GKG1060" s="989"/>
      <c r="GKH1060" s="989"/>
      <c r="GKI1060" s="989"/>
      <c r="GKJ1060" s="989"/>
      <c r="GKK1060" s="989"/>
      <c r="GKL1060" s="989"/>
      <c r="GKM1060" s="989"/>
      <c r="GKN1060" s="989"/>
      <c r="GKO1060" s="989"/>
      <c r="GKP1060" s="989"/>
      <c r="GKQ1060" s="989"/>
      <c r="GKR1060" s="989"/>
      <c r="GKS1060" s="989"/>
      <c r="GKT1060" s="989"/>
      <c r="GKU1060" s="989"/>
      <c r="GKV1060" s="989"/>
      <c r="GKW1060" s="989"/>
      <c r="GKX1060" s="989"/>
      <c r="GKY1060" s="989"/>
      <c r="GKZ1060" s="989"/>
      <c r="GLA1060" s="989"/>
      <c r="GLB1060" s="989"/>
      <c r="GLC1060" s="989"/>
      <c r="GLD1060" s="989"/>
      <c r="GLE1060" s="989"/>
      <c r="GLF1060" s="989"/>
      <c r="GLG1060" s="989"/>
      <c r="GLH1060" s="989"/>
      <c r="GLI1060" s="989"/>
      <c r="GLJ1060" s="989"/>
      <c r="GLK1060" s="989"/>
      <c r="GLL1060" s="989"/>
      <c r="GLM1060" s="989"/>
      <c r="GLN1060" s="989"/>
      <c r="GLO1060" s="989"/>
      <c r="GLP1060" s="989"/>
      <c r="GLQ1060" s="989"/>
      <c r="GLR1060" s="989"/>
      <c r="GLS1060" s="989"/>
      <c r="GLT1060" s="989"/>
      <c r="GLU1060" s="989"/>
      <c r="GLV1060" s="989"/>
      <c r="GLW1060" s="989"/>
      <c r="GLX1060" s="989"/>
      <c r="GLY1060" s="989"/>
      <c r="GLZ1060" s="989"/>
      <c r="GMA1060" s="989"/>
      <c r="GMB1060" s="989"/>
      <c r="GMC1060" s="989"/>
      <c r="GMD1060" s="989"/>
      <c r="GME1060" s="989"/>
      <c r="GMF1060" s="989"/>
      <c r="GMG1060" s="989"/>
      <c r="GMH1060" s="989"/>
      <c r="GMI1060" s="989"/>
      <c r="GMJ1060" s="989"/>
      <c r="GMK1060" s="989"/>
      <c r="GML1060" s="989"/>
      <c r="GMM1060" s="989"/>
      <c r="GMN1060" s="989"/>
      <c r="GMO1060" s="989"/>
      <c r="GMP1060" s="989"/>
      <c r="GMQ1060" s="989"/>
      <c r="GMR1060" s="989"/>
      <c r="GMS1060" s="989"/>
      <c r="GMT1060" s="989"/>
      <c r="GMU1060" s="989"/>
      <c r="GMV1060" s="989"/>
      <c r="GMW1060" s="989"/>
      <c r="GMX1060" s="989"/>
      <c r="GMY1060" s="989"/>
      <c r="GMZ1060" s="989"/>
      <c r="GNA1060" s="989"/>
      <c r="GNB1060" s="989"/>
      <c r="GNC1060" s="989"/>
      <c r="GND1060" s="989"/>
      <c r="GNE1060" s="989"/>
      <c r="GNF1060" s="989"/>
      <c r="GNG1060" s="989"/>
      <c r="GNH1060" s="989"/>
      <c r="GNI1060" s="989"/>
      <c r="GNJ1060" s="989"/>
      <c r="GNK1060" s="989"/>
      <c r="GNL1060" s="989"/>
      <c r="GNM1060" s="989"/>
      <c r="GNN1060" s="989"/>
      <c r="GNO1060" s="989"/>
      <c r="GNP1060" s="989"/>
      <c r="GNQ1060" s="989"/>
      <c r="GNR1060" s="989"/>
      <c r="GNS1060" s="989"/>
      <c r="GNT1060" s="989"/>
      <c r="GNU1060" s="989"/>
      <c r="GNV1060" s="989"/>
      <c r="GNW1060" s="989"/>
      <c r="GNX1060" s="989"/>
      <c r="GNY1060" s="989"/>
      <c r="GNZ1060" s="989"/>
      <c r="GOA1060" s="989"/>
      <c r="GOB1060" s="989"/>
      <c r="GOC1060" s="989"/>
      <c r="GOD1060" s="989"/>
      <c r="GOE1060" s="989"/>
      <c r="GOF1060" s="989"/>
      <c r="GOG1060" s="989"/>
      <c r="GOH1060" s="989"/>
      <c r="GOI1060" s="989"/>
      <c r="GOJ1060" s="989"/>
      <c r="GOK1060" s="989"/>
      <c r="GOL1060" s="989"/>
      <c r="GOM1060" s="989"/>
      <c r="GON1060" s="989"/>
      <c r="GOO1060" s="989"/>
      <c r="GOP1060" s="989"/>
      <c r="GOQ1060" s="989"/>
      <c r="GOR1060" s="989"/>
      <c r="GOS1060" s="989"/>
      <c r="GOT1060" s="989"/>
      <c r="GOU1060" s="989"/>
      <c r="GOV1060" s="989"/>
      <c r="GOW1060" s="989"/>
      <c r="GOX1060" s="989"/>
      <c r="GOY1060" s="989"/>
      <c r="GOZ1060" s="989"/>
      <c r="GPA1060" s="989"/>
      <c r="GPB1060" s="989"/>
      <c r="GPC1060" s="989"/>
      <c r="GPD1060" s="989"/>
      <c r="GPE1060" s="989"/>
      <c r="GPF1060" s="989"/>
      <c r="GPG1060" s="989"/>
      <c r="GPH1060" s="989"/>
      <c r="GPI1060" s="989"/>
      <c r="GPJ1060" s="989"/>
      <c r="GPK1060" s="989"/>
      <c r="GPL1060" s="989"/>
      <c r="GPM1060" s="989"/>
      <c r="GPN1060" s="989"/>
      <c r="GPO1060" s="989"/>
      <c r="GPP1060" s="989"/>
      <c r="GPQ1060" s="989"/>
      <c r="GPR1060" s="989"/>
      <c r="GPS1060" s="989"/>
      <c r="GPT1060" s="989"/>
      <c r="GPU1060" s="989"/>
      <c r="GPV1060" s="989"/>
      <c r="GPW1060" s="989"/>
      <c r="GPX1060" s="989"/>
      <c r="GPY1060" s="989"/>
      <c r="GPZ1060" s="989"/>
      <c r="GQA1060" s="989"/>
      <c r="GQB1060" s="989"/>
      <c r="GQC1060" s="989"/>
      <c r="GQD1060" s="989"/>
      <c r="GQE1060" s="989"/>
      <c r="GQF1060" s="989"/>
      <c r="GQG1060" s="989"/>
      <c r="GQH1060" s="989"/>
      <c r="GQI1060" s="989"/>
      <c r="GQJ1060" s="989"/>
      <c r="GQK1060" s="989"/>
      <c r="GQL1060" s="989"/>
      <c r="GQM1060" s="989"/>
      <c r="GQN1060" s="989"/>
      <c r="GQO1060" s="989"/>
      <c r="GQP1060" s="989"/>
      <c r="GQQ1060" s="989"/>
      <c r="GQR1060" s="989"/>
      <c r="GQS1060" s="989"/>
      <c r="GQT1060" s="989"/>
      <c r="GQU1060" s="989"/>
      <c r="GQV1060" s="989"/>
      <c r="GQW1060" s="989"/>
      <c r="GQX1060" s="989"/>
      <c r="GQY1060" s="989"/>
      <c r="GQZ1060" s="989"/>
      <c r="GRA1060" s="989"/>
      <c r="GRB1060" s="989"/>
      <c r="GRC1060" s="989"/>
      <c r="GRD1060" s="989"/>
      <c r="GRE1060" s="989"/>
      <c r="GRF1060" s="989"/>
      <c r="GRG1060" s="989"/>
      <c r="GRH1060" s="989"/>
      <c r="GRI1060" s="989"/>
      <c r="GRJ1060" s="989"/>
      <c r="GRK1060" s="989"/>
      <c r="GRL1060" s="989"/>
      <c r="GRM1060" s="989"/>
      <c r="GRN1060" s="989"/>
      <c r="GRO1060" s="989"/>
      <c r="GRP1060" s="989"/>
      <c r="GRQ1060" s="989"/>
      <c r="GRR1060" s="989"/>
      <c r="GRS1060" s="989"/>
      <c r="GRT1060" s="989"/>
      <c r="GRU1060" s="989"/>
      <c r="GRV1060" s="989"/>
      <c r="GRW1060" s="989"/>
      <c r="GRX1060" s="989"/>
      <c r="GRY1060" s="989"/>
      <c r="GRZ1060" s="989"/>
      <c r="GSA1060" s="989"/>
      <c r="GSB1060" s="989"/>
      <c r="GSC1060" s="989"/>
      <c r="GSD1060" s="989"/>
      <c r="GSE1060" s="989"/>
      <c r="GSF1060" s="989"/>
      <c r="GSG1060" s="989"/>
      <c r="GSH1060" s="989"/>
      <c r="GSI1060" s="989"/>
      <c r="GSJ1060" s="989"/>
      <c r="GSK1060" s="989"/>
      <c r="GSL1060" s="989"/>
      <c r="GSM1060" s="989"/>
      <c r="GSN1060" s="989"/>
      <c r="GSO1060" s="989"/>
      <c r="GSP1060" s="989"/>
      <c r="GSQ1060" s="989"/>
      <c r="GSR1060" s="989"/>
      <c r="GSS1060" s="989"/>
      <c r="GST1060" s="989"/>
      <c r="GSU1060" s="989"/>
      <c r="GSV1060" s="989"/>
      <c r="GSW1060" s="989"/>
      <c r="GSX1060" s="989"/>
      <c r="GSY1060" s="989"/>
      <c r="GSZ1060" s="989"/>
      <c r="GTA1060" s="989"/>
      <c r="GTB1060" s="989"/>
      <c r="GTC1060" s="989"/>
      <c r="GTD1060" s="989"/>
      <c r="GTE1060" s="989"/>
      <c r="GTF1060" s="989"/>
      <c r="GTG1060" s="989"/>
      <c r="GTH1060" s="989"/>
      <c r="GTI1060" s="989"/>
      <c r="GTJ1060" s="989"/>
      <c r="GTK1060" s="989"/>
      <c r="GTL1060" s="989"/>
      <c r="GTM1060" s="989"/>
      <c r="GTN1060" s="989"/>
      <c r="GTO1060" s="989"/>
      <c r="GTP1060" s="989"/>
      <c r="GTQ1060" s="989"/>
      <c r="GTR1060" s="989"/>
      <c r="GTS1060" s="989"/>
      <c r="GTT1060" s="989"/>
      <c r="GTU1060" s="989"/>
      <c r="GTV1060" s="989"/>
      <c r="GTW1060" s="989"/>
      <c r="GTX1060" s="989"/>
      <c r="GTY1060" s="989"/>
      <c r="GTZ1060" s="989"/>
      <c r="GUA1060" s="989"/>
      <c r="GUB1060" s="989"/>
      <c r="GUC1060" s="989"/>
      <c r="GUD1060" s="989"/>
      <c r="GUE1060" s="989"/>
      <c r="GUF1060" s="989"/>
      <c r="GUG1060" s="989"/>
      <c r="GUH1060" s="989"/>
      <c r="GUI1060" s="989"/>
      <c r="GUJ1060" s="989"/>
      <c r="GUK1060" s="989"/>
      <c r="GUL1060" s="989"/>
      <c r="GUM1060" s="989"/>
      <c r="GUN1060" s="989"/>
      <c r="GUO1060" s="989"/>
      <c r="GUP1060" s="989"/>
      <c r="GUQ1060" s="989"/>
      <c r="GUR1060" s="989"/>
      <c r="GUS1060" s="989"/>
      <c r="GUT1060" s="989"/>
      <c r="GUU1060" s="989"/>
      <c r="GUV1060" s="989"/>
      <c r="GUW1060" s="989"/>
      <c r="GUX1060" s="989"/>
      <c r="GUY1060" s="989"/>
      <c r="GUZ1060" s="989"/>
      <c r="GVA1060" s="989"/>
      <c r="GVB1060" s="989"/>
      <c r="GVC1060" s="989"/>
      <c r="GVD1060" s="989"/>
      <c r="GVE1060" s="989"/>
      <c r="GVF1060" s="989"/>
      <c r="GVG1060" s="989"/>
      <c r="GVH1060" s="989"/>
      <c r="GVI1060" s="989"/>
      <c r="GVJ1060" s="989"/>
      <c r="GVK1060" s="989"/>
      <c r="GVL1060" s="989"/>
      <c r="GVM1060" s="989"/>
      <c r="GVN1060" s="989"/>
      <c r="GVO1060" s="989"/>
      <c r="GVP1060" s="989"/>
      <c r="GVQ1060" s="989"/>
      <c r="GVR1060" s="989"/>
      <c r="GVS1060" s="989"/>
      <c r="GVT1060" s="989"/>
      <c r="GVU1060" s="989"/>
      <c r="GVV1060" s="989"/>
      <c r="GVW1060" s="989"/>
      <c r="GVX1060" s="989"/>
      <c r="GVY1060" s="989"/>
      <c r="GVZ1060" s="989"/>
      <c r="GWA1060" s="989"/>
      <c r="GWB1060" s="989"/>
      <c r="GWC1060" s="989"/>
      <c r="GWD1060" s="989"/>
      <c r="GWE1060" s="989"/>
      <c r="GWF1060" s="989"/>
      <c r="GWG1060" s="989"/>
      <c r="GWH1060" s="989"/>
      <c r="GWI1060" s="989"/>
      <c r="GWJ1060" s="989"/>
      <c r="GWK1060" s="989"/>
      <c r="GWL1060" s="989"/>
      <c r="GWM1060" s="989"/>
      <c r="GWN1060" s="989"/>
      <c r="GWO1060" s="989"/>
      <c r="GWP1060" s="989"/>
      <c r="GWQ1060" s="989"/>
      <c r="GWR1060" s="989"/>
      <c r="GWS1060" s="989"/>
      <c r="GWT1060" s="989"/>
      <c r="GWU1060" s="989"/>
      <c r="GWV1060" s="989"/>
      <c r="GWW1060" s="989"/>
      <c r="GWX1060" s="989"/>
      <c r="GWY1060" s="989"/>
      <c r="GWZ1060" s="989"/>
      <c r="GXA1060" s="989"/>
      <c r="GXB1060" s="989"/>
      <c r="GXC1060" s="989"/>
      <c r="GXD1060" s="989"/>
      <c r="GXE1060" s="989"/>
      <c r="GXF1060" s="989"/>
      <c r="GXG1060" s="989"/>
      <c r="GXH1060" s="989"/>
      <c r="GXI1060" s="989"/>
      <c r="GXJ1060" s="989"/>
      <c r="GXK1060" s="989"/>
      <c r="GXL1060" s="989"/>
      <c r="GXM1060" s="989"/>
      <c r="GXN1060" s="989"/>
      <c r="GXO1060" s="989"/>
      <c r="GXP1060" s="989"/>
      <c r="GXQ1060" s="989"/>
      <c r="GXR1060" s="989"/>
      <c r="GXS1060" s="989"/>
      <c r="GXT1060" s="989"/>
      <c r="GXU1060" s="989"/>
      <c r="GXV1060" s="989"/>
      <c r="GXW1060" s="989"/>
      <c r="GXX1060" s="989"/>
      <c r="GXY1060" s="989"/>
      <c r="GXZ1060" s="989"/>
      <c r="GYA1060" s="989"/>
      <c r="GYB1060" s="989"/>
      <c r="GYC1060" s="989"/>
      <c r="GYD1060" s="989"/>
      <c r="GYE1060" s="989"/>
      <c r="GYF1060" s="989"/>
      <c r="GYG1060" s="989"/>
      <c r="GYH1060" s="989"/>
      <c r="GYI1060" s="989"/>
      <c r="GYJ1060" s="989"/>
      <c r="GYK1060" s="989"/>
      <c r="GYL1060" s="989"/>
      <c r="GYM1060" s="989"/>
      <c r="GYN1060" s="989"/>
      <c r="GYO1060" s="989"/>
      <c r="GYP1060" s="989"/>
      <c r="GYQ1060" s="989"/>
      <c r="GYR1060" s="989"/>
      <c r="GYS1060" s="989"/>
      <c r="GYT1060" s="989"/>
      <c r="GYU1060" s="989"/>
      <c r="GYV1060" s="989"/>
      <c r="GYW1060" s="989"/>
      <c r="GYX1060" s="989"/>
      <c r="GYY1060" s="989"/>
      <c r="GYZ1060" s="989"/>
      <c r="GZA1060" s="989"/>
      <c r="GZB1060" s="989"/>
      <c r="GZC1060" s="989"/>
      <c r="GZD1060" s="989"/>
      <c r="GZE1060" s="989"/>
      <c r="GZF1060" s="989"/>
      <c r="GZG1060" s="989"/>
      <c r="GZH1060" s="989"/>
      <c r="GZI1060" s="989"/>
      <c r="GZJ1060" s="989"/>
      <c r="GZK1060" s="989"/>
      <c r="GZL1060" s="989"/>
      <c r="GZM1060" s="989"/>
      <c r="GZN1060" s="989"/>
      <c r="GZO1060" s="989"/>
      <c r="GZP1060" s="989"/>
      <c r="GZQ1060" s="989"/>
      <c r="GZR1060" s="989"/>
      <c r="GZS1060" s="989"/>
      <c r="GZT1060" s="989"/>
      <c r="GZU1060" s="989"/>
      <c r="GZV1060" s="989"/>
      <c r="GZW1060" s="989"/>
      <c r="GZX1060" s="989"/>
      <c r="GZY1060" s="989"/>
      <c r="GZZ1060" s="989"/>
      <c r="HAA1060" s="989"/>
      <c r="HAB1060" s="989"/>
      <c r="HAC1060" s="989"/>
      <c r="HAD1060" s="989"/>
      <c r="HAE1060" s="989"/>
      <c r="HAF1060" s="989"/>
      <c r="HAG1060" s="989"/>
      <c r="HAH1060" s="989"/>
      <c r="HAI1060" s="989"/>
      <c r="HAJ1060" s="989"/>
      <c r="HAK1060" s="989"/>
      <c r="HAL1060" s="989"/>
      <c r="HAM1060" s="989"/>
      <c r="HAN1060" s="989"/>
      <c r="HAO1060" s="989"/>
      <c r="HAP1060" s="989"/>
      <c r="HAQ1060" s="989"/>
      <c r="HAR1060" s="989"/>
      <c r="HAS1060" s="989"/>
      <c r="HAT1060" s="989"/>
      <c r="HAU1060" s="989"/>
      <c r="HAV1060" s="989"/>
      <c r="HAW1060" s="989"/>
      <c r="HAX1060" s="989"/>
      <c r="HAY1060" s="989"/>
      <c r="HAZ1060" s="989"/>
      <c r="HBA1060" s="989"/>
      <c r="HBB1060" s="989"/>
      <c r="HBC1060" s="989"/>
      <c r="HBD1060" s="989"/>
      <c r="HBE1060" s="989"/>
      <c r="HBF1060" s="989"/>
      <c r="HBG1060" s="989"/>
      <c r="HBH1060" s="989"/>
      <c r="HBI1060" s="989"/>
      <c r="HBJ1060" s="989"/>
      <c r="HBK1060" s="989"/>
      <c r="HBL1060" s="989"/>
      <c r="HBM1060" s="989"/>
      <c r="HBN1060" s="989"/>
      <c r="HBO1060" s="989"/>
      <c r="HBP1060" s="989"/>
      <c r="HBQ1060" s="989"/>
      <c r="HBR1060" s="989"/>
      <c r="HBS1060" s="989"/>
      <c r="HBT1060" s="989"/>
      <c r="HBU1060" s="989"/>
      <c r="HBV1060" s="989"/>
      <c r="HBW1060" s="989"/>
      <c r="HBX1060" s="989"/>
      <c r="HBY1060" s="989"/>
      <c r="HBZ1060" s="989"/>
      <c r="HCA1060" s="989"/>
      <c r="HCB1060" s="989"/>
      <c r="HCC1060" s="989"/>
      <c r="HCD1060" s="989"/>
      <c r="HCE1060" s="989"/>
      <c r="HCF1060" s="989"/>
      <c r="HCG1060" s="989"/>
      <c r="HCH1060" s="989"/>
      <c r="HCI1060" s="989"/>
      <c r="HCJ1060" s="989"/>
      <c r="HCK1060" s="989"/>
      <c r="HCL1060" s="989"/>
      <c r="HCM1060" s="989"/>
      <c r="HCN1060" s="989"/>
      <c r="HCO1060" s="989"/>
      <c r="HCP1060" s="989"/>
      <c r="HCQ1060" s="989"/>
      <c r="HCR1060" s="989"/>
      <c r="HCS1060" s="989"/>
      <c r="HCT1060" s="989"/>
      <c r="HCU1060" s="989"/>
      <c r="HCV1060" s="989"/>
      <c r="HCW1060" s="989"/>
      <c r="HCX1060" s="989"/>
      <c r="HCY1060" s="989"/>
      <c r="HCZ1060" s="989"/>
      <c r="HDA1060" s="989"/>
      <c r="HDB1060" s="989"/>
      <c r="HDC1060" s="989"/>
      <c r="HDD1060" s="989"/>
      <c r="HDE1060" s="989"/>
      <c r="HDF1060" s="989"/>
      <c r="HDG1060" s="989"/>
      <c r="HDH1060" s="989"/>
      <c r="HDI1060" s="989"/>
      <c r="HDJ1060" s="989"/>
      <c r="HDK1060" s="989"/>
      <c r="HDL1060" s="989"/>
      <c r="HDM1060" s="989"/>
      <c r="HDN1060" s="989"/>
      <c r="HDO1060" s="989"/>
      <c r="HDP1060" s="989"/>
      <c r="HDQ1060" s="989"/>
      <c r="HDR1060" s="989"/>
      <c r="HDS1060" s="989"/>
      <c r="HDT1060" s="989"/>
      <c r="HDU1060" s="989"/>
      <c r="HDV1060" s="989"/>
      <c r="HDW1060" s="989"/>
      <c r="HDX1060" s="989"/>
      <c r="HDY1060" s="989"/>
      <c r="HDZ1060" s="989"/>
      <c r="HEA1060" s="989"/>
      <c r="HEB1060" s="989"/>
      <c r="HEC1060" s="989"/>
      <c r="HED1060" s="989"/>
      <c r="HEE1060" s="989"/>
      <c r="HEF1060" s="989"/>
      <c r="HEG1060" s="989"/>
      <c r="HEH1060" s="989"/>
      <c r="HEI1060" s="989"/>
      <c r="HEJ1060" s="989"/>
      <c r="HEK1060" s="989"/>
      <c r="HEL1060" s="989"/>
      <c r="HEM1060" s="989"/>
      <c r="HEN1060" s="989"/>
      <c r="HEO1060" s="989"/>
      <c r="HEP1060" s="989"/>
      <c r="HEQ1060" s="989"/>
      <c r="HER1060" s="989"/>
      <c r="HES1060" s="989"/>
      <c r="HET1060" s="989"/>
      <c r="HEU1060" s="989"/>
      <c r="HEV1060" s="989"/>
      <c r="HEW1060" s="989"/>
      <c r="HEX1060" s="989"/>
      <c r="HEY1060" s="989"/>
      <c r="HEZ1060" s="989"/>
      <c r="HFA1060" s="989"/>
      <c r="HFB1060" s="989"/>
      <c r="HFC1060" s="989"/>
      <c r="HFD1060" s="989"/>
      <c r="HFE1060" s="989"/>
      <c r="HFF1060" s="989"/>
      <c r="HFG1060" s="989"/>
      <c r="HFH1060" s="989"/>
      <c r="HFI1060" s="989"/>
      <c r="HFJ1060" s="989"/>
      <c r="HFK1060" s="989"/>
      <c r="HFL1060" s="989"/>
      <c r="HFM1060" s="989"/>
      <c r="HFN1060" s="989"/>
      <c r="HFO1060" s="989"/>
      <c r="HFP1060" s="989"/>
      <c r="HFQ1060" s="989"/>
      <c r="HFR1060" s="989"/>
      <c r="HFS1060" s="989"/>
      <c r="HFT1060" s="989"/>
      <c r="HFU1060" s="989"/>
      <c r="HFV1060" s="989"/>
      <c r="HFW1060" s="989"/>
      <c r="HFX1060" s="989"/>
      <c r="HFY1060" s="989"/>
      <c r="HFZ1060" s="989"/>
      <c r="HGA1060" s="989"/>
      <c r="HGB1060" s="989"/>
      <c r="HGC1060" s="989"/>
      <c r="HGD1060" s="989"/>
      <c r="HGE1060" s="989"/>
      <c r="HGF1060" s="989"/>
      <c r="HGG1060" s="989"/>
      <c r="HGH1060" s="989"/>
      <c r="HGI1060" s="989"/>
      <c r="HGJ1060" s="989"/>
      <c r="HGK1060" s="989"/>
      <c r="HGL1060" s="989"/>
      <c r="HGM1060" s="989"/>
      <c r="HGN1060" s="989"/>
      <c r="HGO1060" s="989"/>
      <c r="HGP1060" s="989"/>
      <c r="HGQ1060" s="989"/>
      <c r="HGR1060" s="989"/>
      <c r="HGS1060" s="989"/>
      <c r="HGT1060" s="989"/>
      <c r="HGU1060" s="989"/>
      <c r="HGV1060" s="989"/>
      <c r="HGW1060" s="989"/>
      <c r="HGX1060" s="989"/>
      <c r="HGY1060" s="989"/>
      <c r="HGZ1060" s="989"/>
      <c r="HHA1060" s="989"/>
      <c r="HHB1060" s="989"/>
      <c r="HHC1060" s="989"/>
      <c r="HHD1060" s="989"/>
      <c r="HHE1060" s="989"/>
      <c r="HHF1060" s="989"/>
      <c r="HHG1060" s="989"/>
      <c r="HHH1060" s="989"/>
      <c r="HHI1060" s="989"/>
      <c r="HHJ1060" s="989"/>
      <c r="HHK1060" s="989"/>
      <c r="HHL1060" s="989"/>
      <c r="HHM1060" s="989"/>
      <c r="HHN1060" s="989"/>
      <c r="HHO1060" s="989"/>
      <c r="HHP1060" s="989"/>
      <c r="HHQ1060" s="989"/>
      <c r="HHR1060" s="989"/>
      <c r="HHS1060" s="989"/>
      <c r="HHT1060" s="989"/>
      <c r="HHU1060" s="989"/>
      <c r="HHV1060" s="989"/>
      <c r="HHW1060" s="989"/>
      <c r="HHX1060" s="989"/>
      <c r="HHY1060" s="989"/>
      <c r="HHZ1060" s="989"/>
      <c r="HIA1060" s="989"/>
      <c r="HIB1060" s="989"/>
      <c r="HIC1060" s="989"/>
      <c r="HID1060" s="989"/>
      <c r="HIE1060" s="989"/>
      <c r="HIF1060" s="989"/>
      <c r="HIG1060" s="989"/>
      <c r="HIH1060" s="989"/>
      <c r="HII1060" s="989"/>
      <c r="HIJ1060" s="989"/>
      <c r="HIK1060" s="989"/>
      <c r="HIL1060" s="989"/>
      <c r="HIM1060" s="989"/>
      <c r="HIN1060" s="989"/>
      <c r="HIO1060" s="989"/>
      <c r="HIP1060" s="989"/>
      <c r="HIQ1060" s="989"/>
      <c r="HIR1060" s="989"/>
      <c r="HIS1060" s="989"/>
      <c r="HIT1060" s="989"/>
      <c r="HIU1060" s="989"/>
      <c r="HIV1060" s="989"/>
      <c r="HIW1060" s="989"/>
      <c r="HIX1060" s="989"/>
      <c r="HIY1060" s="989"/>
      <c r="HIZ1060" s="989"/>
      <c r="HJA1060" s="989"/>
      <c r="HJB1060" s="989"/>
      <c r="HJC1060" s="989"/>
      <c r="HJD1060" s="989"/>
      <c r="HJE1060" s="989"/>
      <c r="HJF1060" s="989"/>
      <c r="HJG1060" s="989"/>
      <c r="HJH1060" s="989"/>
      <c r="HJI1060" s="989"/>
      <c r="HJJ1060" s="989"/>
      <c r="HJK1060" s="989"/>
      <c r="HJL1060" s="989"/>
      <c r="HJM1060" s="989"/>
      <c r="HJN1060" s="989"/>
      <c r="HJO1060" s="989"/>
      <c r="HJP1060" s="989"/>
      <c r="HJQ1060" s="989"/>
      <c r="HJR1060" s="989"/>
      <c r="HJS1060" s="989"/>
      <c r="HJT1060" s="989"/>
      <c r="HJU1060" s="989"/>
      <c r="HJV1060" s="989"/>
      <c r="HJW1060" s="989"/>
      <c r="HJX1060" s="989"/>
      <c r="HJY1060" s="989"/>
      <c r="HJZ1060" s="989"/>
      <c r="HKA1060" s="989"/>
      <c r="HKB1060" s="989"/>
      <c r="HKC1060" s="989"/>
      <c r="HKD1060" s="989"/>
      <c r="HKE1060" s="989"/>
      <c r="HKF1060" s="989"/>
      <c r="HKG1060" s="989"/>
      <c r="HKH1060" s="989"/>
      <c r="HKI1060" s="989"/>
      <c r="HKJ1060" s="989"/>
      <c r="HKK1060" s="989"/>
      <c r="HKL1060" s="989"/>
      <c r="HKM1060" s="989"/>
      <c r="HKN1060" s="989"/>
      <c r="HKO1060" s="989"/>
      <c r="HKP1060" s="989"/>
      <c r="HKQ1060" s="989"/>
      <c r="HKR1060" s="989"/>
      <c r="HKS1060" s="989"/>
      <c r="HKT1060" s="989"/>
      <c r="HKU1060" s="989"/>
      <c r="HKV1060" s="989"/>
      <c r="HKW1060" s="989"/>
      <c r="HKX1060" s="989"/>
      <c r="HKY1060" s="989"/>
      <c r="HKZ1060" s="989"/>
      <c r="HLA1060" s="989"/>
      <c r="HLB1060" s="989"/>
      <c r="HLC1060" s="989"/>
      <c r="HLD1060" s="989"/>
      <c r="HLE1060" s="989"/>
      <c r="HLF1060" s="989"/>
      <c r="HLG1060" s="989"/>
      <c r="HLH1060" s="989"/>
      <c r="HLI1060" s="989"/>
      <c r="HLJ1060" s="989"/>
      <c r="HLK1060" s="989"/>
      <c r="HLL1060" s="989"/>
      <c r="HLM1060" s="989"/>
      <c r="HLN1060" s="989"/>
      <c r="HLO1060" s="989"/>
      <c r="HLP1060" s="989"/>
      <c r="HLQ1060" s="989"/>
      <c r="HLR1060" s="989"/>
      <c r="HLS1060" s="989"/>
      <c r="HLT1060" s="989"/>
      <c r="HLU1060" s="989"/>
      <c r="HLV1060" s="989"/>
      <c r="HLW1060" s="989"/>
      <c r="HLX1060" s="989"/>
      <c r="HLY1060" s="989"/>
      <c r="HLZ1060" s="989"/>
      <c r="HMA1060" s="989"/>
      <c r="HMB1060" s="989"/>
      <c r="HMC1060" s="989"/>
      <c r="HMD1060" s="989"/>
      <c r="HME1060" s="989"/>
      <c r="HMF1060" s="989"/>
      <c r="HMG1060" s="989"/>
      <c r="HMH1060" s="989"/>
      <c r="HMI1060" s="989"/>
      <c r="HMJ1060" s="989"/>
      <c r="HMK1060" s="989"/>
      <c r="HML1060" s="989"/>
      <c r="HMM1060" s="989"/>
      <c r="HMN1060" s="989"/>
      <c r="HMO1060" s="989"/>
      <c r="HMP1060" s="989"/>
      <c r="HMQ1060" s="989"/>
      <c r="HMR1060" s="989"/>
      <c r="HMS1060" s="989"/>
      <c r="HMT1060" s="989"/>
      <c r="HMU1060" s="989"/>
      <c r="HMV1060" s="989"/>
      <c r="HMW1060" s="989"/>
      <c r="HMX1060" s="989"/>
      <c r="HMY1060" s="989"/>
      <c r="HMZ1060" s="989"/>
      <c r="HNA1060" s="989"/>
      <c r="HNB1060" s="989"/>
      <c r="HNC1060" s="989"/>
      <c r="HND1060" s="989"/>
      <c r="HNE1060" s="989"/>
      <c r="HNF1060" s="989"/>
      <c r="HNG1060" s="989"/>
      <c r="HNH1060" s="989"/>
      <c r="HNI1060" s="989"/>
      <c r="HNJ1060" s="989"/>
      <c r="HNK1060" s="989"/>
      <c r="HNL1060" s="989"/>
      <c r="HNM1060" s="989"/>
      <c r="HNN1060" s="989"/>
      <c r="HNO1060" s="989"/>
      <c r="HNP1060" s="989"/>
      <c r="HNQ1060" s="989"/>
      <c r="HNR1060" s="989"/>
      <c r="HNS1060" s="989"/>
      <c r="HNT1060" s="989"/>
      <c r="HNU1060" s="989"/>
      <c r="HNV1060" s="989"/>
      <c r="HNW1060" s="989"/>
      <c r="HNX1060" s="989"/>
      <c r="HNY1060" s="989"/>
      <c r="HNZ1060" s="989"/>
      <c r="HOA1060" s="989"/>
      <c r="HOB1060" s="989"/>
      <c r="HOC1060" s="989"/>
      <c r="HOD1060" s="989"/>
      <c r="HOE1060" s="989"/>
      <c r="HOF1060" s="989"/>
      <c r="HOG1060" s="989"/>
      <c r="HOH1060" s="989"/>
      <c r="HOI1060" s="989"/>
      <c r="HOJ1060" s="989"/>
      <c r="HOK1060" s="989"/>
      <c r="HOL1060" s="989"/>
      <c r="HOM1060" s="989"/>
      <c r="HON1060" s="989"/>
      <c r="HOO1060" s="989"/>
      <c r="HOP1060" s="989"/>
      <c r="HOQ1060" s="989"/>
      <c r="HOR1060" s="989"/>
      <c r="HOS1060" s="989"/>
      <c r="HOT1060" s="989"/>
      <c r="HOU1060" s="989"/>
      <c r="HOV1060" s="989"/>
      <c r="HOW1060" s="989"/>
      <c r="HOX1060" s="989"/>
      <c r="HOY1060" s="989"/>
      <c r="HOZ1060" s="989"/>
      <c r="HPA1060" s="989"/>
      <c r="HPB1060" s="989"/>
      <c r="HPC1060" s="989"/>
      <c r="HPD1060" s="989"/>
      <c r="HPE1060" s="989"/>
      <c r="HPF1060" s="989"/>
      <c r="HPG1060" s="989"/>
      <c r="HPH1060" s="989"/>
      <c r="HPI1060" s="989"/>
      <c r="HPJ1060" s="989"/>
      <c r="HPK1060" s="989"/>
      <c r="HPL1060" s="989"/>
      <c r="HPM1060" s="989"/>
      <c r="HPN1060" s="989"/>
      <c r="HPO1060" s="989"/>
      <c r="HPP1060" s="989"/>
      <c r="HPQ1060" s="989"/>
      <c r="HPR1060" s="989"/>
      <c r="HPS1060" s="989"/>
      <c r="HPT1060" s="989"/>
      <c r="HPU1060" s="989"/>
      <c r="HPV1060" s="989"/>
      <c r="HPW1060" s="989"/>
      <c r="HPX1060" s="989"/>
      <c r="HPY1060" s="989"/>
      <c r="HPZ1060" s="989"/>
      <c r="HQA1060" s="989"/>
      <c r="HQB1060" s="989"/>
      <c r="HQC1060" s="989"/>
      <c r="HQD1060" s="989"/>
      <c r="HQE1060" s="989"/>
      <c r="HQF1060" s="989"/>
      <c r="HQG1060" s="989"/>
      <c r="HQH1060" s="989"/>
      <c r="HQI1060" s="989"/>
      <c r="HQJ1060" s="989"/>
      <c r="HQK1060" s="989"/>
      <c r="HQL1060" s="989"/>
      <c r="HQM1060" s="989"/>
      <c r="HQN1060" s="989"/>
      <c r="HQO1060" s="989"/>
      <c r="HQP1060" s="989"/>
      <c r="HQQ1060" s="989"/>
      <c r="HQR1060" s="989"/>
      <c r="HQS1060" s="989"/>
      <c r="HQT1060" s="989"/>
      <c r="HQU1060" s="989"/>
      <c r="HQV1060" s="989"/>
      <c r="HQW1060" s="989"/>
      <c r="HQX1060" s="989"/>
      <c r="HQY1060" s="989"/>
      <c r="HQZ1060" s="989"/>
      <c r="HRA1060" s="989"/>
      <c r="HRB1060" s="989"/>
      <c r="HRC1060" s="989"/>
      <c r="HRD1060" s="989"/>
      <c r="HRE1060" s="989"/>
      <c r="HRF1060" s="989"/>
      <c r="HRG1060" s="989"/>
      <c r="HRH1060" s="989"/>
      <c r="HRI1060" s="989"/>
      <c r="HRJ1060" s="989"/>
      <c r="HRK1060" s="989"/>
      <c r="HRL1060" s="989"/>
      <c r="HRM1060" s="989"/>
      <c r="HRN1060" s="989"/>
      <c r="HRO1060" s="989"/>
      <c r="HRP1060" s="989"/>
      <c r="HRQ1060" s="989"/>
      <c r="HRR1060" s="989"/>
      <c r="HRS1060" s="989"/>
      <c r="HRT1060" s="989"/>
      <c r="HRU1060" s="989"/>
      <c r="HRV1060" s="989"/>
      <c r="HRW1060" s="989"/>
      <c r="HRX1060" s="989"/>
      <c r="HRY1060" s="989"/>
      <c r="HRZ1060" s="989"/>
      <c r="HSA1060" s="989"/>
      <c r="HSB1060" s="989"/>
      <c r="HSC1060" s="989"/>
      <c r="HSD1060" s="989"/>
      <c r="HSE1060" s="989"/>
      <c r="HSF1060" s="989"/>
      <c r="HSG1060" s="989"/>
      <c r="HSH1060" s="989"/>
      <c r="HSI1060" s="989"/>
      <c r="HSJ1060" s="989"/>
      <c r="HSK1060" s="989"/>
      <c r="HSL1060" s="989"/>
      <c r="HSM1060" s="989"/>
      <c r="HSN1060" s="989"/>
      <c r="HSO1060" s="989"/>
      <c r="HSP1060" s="989"/>
      <c r="HSQ1060" s="989"/>
      <c r="HSR1060" s="989"/>
      <c r="HSS1060" s="989"/>
      <c r="HST1060" s="989"/>
      <c r="HSU1060" s="989"/>
      <c r="HSV1060" s="989"/>
      <c r="HSW1060" s="989"/>
      <c r="HSX1060" s="989"/>
      <c r="HSY1060" s="989"/>
      <c r="HSZ1060" s="989"/>
      <c r="HTA1060" s="989"/>
      <c r="HTB1060" s="989"/>
      <c r="HTC1060" s="989"/>
      <c r="HTD1060" s="989"/>
      <c r="HTE1060" s="989"/>
      <c r="HTF1060" s="989"/>
      <c r="HTG1060" s="989"/>
      <c r="HTH1060" s="989"/>
      <c r="HTI1060" s="989"/>
      <c r="HTJ1060" s="989"/>
      <c r="HTK1060" s="989"/>
      <c r="HTL1060" s="989"/>
      <c r="HTM1060" s="989"/>
      <c r="HTN1060" s="989"/>
      <c r="HTO1060" s="989"/>
      <c r="HTP1060" s="989"/>
      <c r="HTQ1060" s="989"/>
      <c r="HTR1060" s="989"/>
      <c r="HTS1060" s="989"/>
      <c r="HTT1060" s="989"/>
      <c r="HTU1060" s="989"/>
      <c r="HTV1060" s="989"/>
      <c r="HTW1060" s="989"/>
      <c r="HTX1060" s="989"/>
      <c r="HTY1060" s="989"/>
      <c r="HTZ1060" s="989"/>
      <c r="HUA1060" s="989"/>
      <c r="HUB1060" s="989"/>
      <c r="HUC1060" s="989"/>
      <c r="HUD1060" s="989"/>
      <c r="HUE1060" s="989"/>
      <c r="HUF1060" s="989"/>
      <c r="HUG1060" s="989"/>
      <c r="HUH1060" s="989"/>
      <c r="HUI1060" s="989"/>
      <c r="HUJ1060" s="989"/>
      <c r="HUK1060" s="989"/>
      <c r="HUL1060" s="989"/>
      <c r="HUM1060" s="989"/>
      <c r="HUN1060" s="989"/>
      <c r="HUO1060" s="989"/>
      <c r="HUP1060" s="989"/>
      <c r="HUQ1060" s="989"/>
      <c r="HUR1060" s="989"/>
      <c r="HUS1060" s="989"/>
      <c r="HUT1060" s="989"/>
      <c r="HUU1060" s="989"/>
      <c r="HUV1060" s="989"/>
      <c r="HUW1060" s="989"/>
      <c r="HUX1060" s="989"/>
      <c r="HUY1060" s="989"/>
      <c r="HUZ1060" s="989"/>
      <c r="HVA1060" s="989"/>
      <c r="HVB1060" s="989"/>
      <c r="HVC1060" s="989"/>
      <c r="HVD1060" s="989"/>
      <c r="HVE1060" s="989"/>
      <c r="HVF1060" s="989"/>
      <c r="HVG1060" s="989"/>
      <c r="HVH1060" s="989"/>
      <c r="HVI1060" s="989"/>
      <c r="HVJ1060" s="989"/>
      <c r="HVK1060" s="989"/>
      <c r="HVL1060" s="989"/>
      <c r="HVM1060" s="989"/>
      <c r="HVN1060" s="989"/>
      <c r="HVO1060" s="989"/>
      <c r="HVP1060" s="989"/>
      <c r="HVQ1060" s="989"/>
      <c r="HVR1060" s="989"/>
      <c r="HVS1060" s="989"/>
      <c r="HVT1060" s="989"/>
      <c r="HVU1060" s="989"/>
      <c r="HVV1060" s="989"/>
      <c r="HVW1060" s="989"/>
      <c r="HVX1060" s="989"/>
      <c r="HVY1060" s="989"/>
      <c r="HVZ1060" s="989"/>
      <c r="HWA1060" s="989"/>
      <c r="HWB1060" s="989"/>
      <c r="HWC1060" s="989"/>
      <c r="HWD1060" s="989"/>
      <c r="HWE1060" s="989"/>
      <c r="HWF1060" s="989"/>
      <c r="HWG1060" s="989"/>
      <c r="HWH1060" s="989"/>
      <c r="HWI1060" s="989"/>
      <c r="HWJ1060" s="989"/>
      <c r="HWK1060" s="989"/>
      <c r="HWL1060" s="989"/>
      <c r="HWM1060" s="989"/>
      <c r="HWN1060" s="989"/>
      <c r="HWO1060" s="989"/>
      <c r="HWP1060" s="989"/>
      <c r="HWQ1060" s="989"/>
      <c r="HWR1060" s="989"/>
      <c r="HWS1060" s="989"/>
      <c r="HWT1060" s="989"/>
      <c r="HWU1060" s="989"/>
      <c r="HWV1060" s="989"/>
      <c r="HWW1060" s="989"/>
      <c r="HWX1060" s="989"/>
      <c r="HWY1060" s="989"/>
      <c r="HWZ1060" s="989"/>
      <c r="HXA1060" s="989"/>
      <c r="HXB1060" s="989"/>
      <c r="HXC1060" s="989"/>
      <c r="HXD1060" s="989"/>
      <c r="HXE1060" s="989"/>
      <c r="HXF1060" s="989"/>
      <c r="HXG1060" s="989"/>
      <c r="HXH1060" s="989"/>
      <c r="HXI1060" s="989"/>
      <c r="HXJ1060" s="989"/>
      <c r="HXK1060" s="989"/>
      <c r="HXL1060" s="989"/>
      <c r="HXM1060" s="989"/>
      <c r="HXN1060" s="989"/>
      <c r="HXO1060" s="989"/>
      <c r="HXP1060" s="989"/>
      <c r="HXQ1060" s="989"/>
      <c r="HXR1060" s="989"/>
      <c r="HXS1060" s="989"/>
      <c r="HXT1060" s="989"/>
      <c r="HXU1060" s="989"/>
      <c r="HXV1060" s="989"/>
      <c r="HXW1060" s="989"/>
      <c r="HXX1060" s="989"/>
      <c r="HXY1060" s="989"/>
      <c r="HXZ1060" s="989"/>
      <c r="HYA1060" s="989"/>
      <c r="HYB1060" s="989"/>
      <c r="HYC1060" s="989"/>
      <c r="HYD1060" s="989"/>
      <c r="HYE1060" s="989"/>
      <c r="HYF1060" s="989"/>
      <c r="HYG1060" s="989"/>
      <c r="HYH1060" s="989"/>
      <c r="HYI1060" s="989"/>
      <c r="HYJ1060" s="989"/>
      <c r="HYK1060" s="989"/>
      <c r="HYL1060" s="989"/>
      <c r="HYM1060" s="989"/>
      <c r="HYN1060" s="989"/>
      <c r="HYO1060" s="989"/>
      <c r="HYP1060" s="989"/>
      <c r="HYQ1060" s="989"/>
      <c r="HYR1060" s="989"/>
      <c r="HYS1060" s="989"/>
      <c r="HYT1060" s="989"/>
      <c r="HYU1060" s="989"/>
      <c r="HYV1060" s="989"/>
      <c r="HYW1060" s="989"/>
      <c r="HYX1060" s="989"/>
      <c r="HYY1060" s="989"/>
      <c r="HYZ1060" s="989"/>
      <c r="HZA1060" s="989"/>
      <c r="HZB1060" s="989"/>
      <c r="HZC1060" s="989"/>
      <c r="HZD1060" s="989"/>
      <c r="HZE1060" s="989"/>
      <c r="HZF1060" s="989"/>
      <c r="HZG1060" s="989"/>
      <c r="HZH1060" s="989"/>
      <c r="HZI1060" s="989"/>
      <c r="HZJ1060" s="989"/>
      <c r="HZK1060" s="989"/>
      <c r="HZL1060" s="989"/>
      <c r="HZM1060" s="989"/>
      <c r="HZN1060" s="989"/>
      <c r="HZO1060" s="989"/>
      <c r="HZP1060" s="989"/>
      <c r="HZQ1060" s="989"/>
      <c r="HZR1060" s="989"/>
      <c r="HZS1060" s="989"/>
      <c r="HZT1060" s="989"/>
      <c r="HZU1060" s="989"/>
      <c r="HZV1060" s="989"/>
      <c r="HZW1060" s="989"/>
      <c r="HZX1060" s="989"/>
      <c r="HZY1060" s="989"/>
      <c r="HZZ1060" s="989"/>
      <c r="IAA1060" s="989"/>
      <c r="IAB1060" s="989"/>
      <c r="IAC1060" s="989"/>
      <c r="IAD1060" s="989"/>
      <c r="IAE1060" s="989"/>
      <c r="IAF1060" s="989"/>
      <c r="IAG1060" s="989"/>
      <c r="IAH1060" s="989"/>
      <c r="IAI1060" s="989"/>
      <c r="IAJ1060" s="989"/>
      <c r="IAK1060" s="989"/>
      <c r="IAL1060" s="989"/>
      <c r="IAM1060" s="989"/>
      <c r="IAN1060" s="989"/>
      <c r="IAO1060" s="989"/>
      <c r="IAP1060" s="989"/>
      <c r="IAQ1060" s="989"/>
      <c r="IAR1060" s="989"/>
      <c r="IAS1060" s="989"/>
      <c r="IAT1060" s="989"/>
      <c r="IAU1060" s="989"/>
      <c r="IAV1060" s="989"/>
      <c r="IAW1060" s="989"/>
      <c r="IAX1060" s="989"/>
      <c r="IAY1060" s="989"/>
      <c r="IAZ1060" s="989"/>
      <c r="IBA1060" s="989"/>
      <c r="IBB1060" s="989"/>
      <c r="IBC1060" s="989"/>
      <c r="IBD1060" s="989"/>
      <c r="IBE1060" s="989"/>
      <c r="IBF1060" s="989"/>
      <c r="IBG1060" s="989"/>
      <c r="IBH1060" s="989"/>
      <c r="IBI1060" s="989"/>
      <c r="IBJ1060" s="989"/>
      <c r="IBK1060" s="989"/>
      <c r="IBL1060" s="989"/>
      <c r="IBM1060" s="989"/>
      <c r="IBN1060" s="989"/>
      <c r="IBO1060" s="989"/>
      <c r="IBP1060" s="989"/>
      <c r="IBQ1060" s="989"/>
      <c r="IBR1060" s="989"/>
      <c r="IBS1060" s="989"/>
      <c r="IBT1060" s="989"/>
      <c r="IBU1060" s="989"/>
      <c r="IBV1060" s="989"/>
      <c r="IBW1060" s="989"/>
      <c r="IBX1060" s="989"/>
      <c r="IBY1060" s="989"/>
      <c r="IBZ1060" s="989"/>
      <c r="ICA1060" s="989"/>
      <c r="ICB1060" s="989"/>
      <c r="ICC1060" s="989"/>
      <c r="ICD1060" s="989"/>
      <c r="ICE1060" s="989"/>
      <c r="ICF1060" s="989"/>
      <c r="ICG1060" s="989"/>
      <c r="ICH1060" s="989"/>
      <c r="ICI1060" s="989"/>
      <c r="ICJ1060" s="989"/>
      <c r="ICK1060" s="989"/>
      <c r="ICL1060" s="989"/>
      <c r="ICM1060" s="989"/>
      <c r="ICN1060" s="989"/>
      <c r="ICO1060" s="989"/>
      <c r="ICP1060" s="989"/>
      <c r="ICQ1060" s="989"/>
      <c r="ICR1060" s="989"/>
      <c r="ICS1060" s="989"/>
      <c r="ICT1060" s="989"/>
      <c r="ICU1060" s="989"/>
      <c r="ICV1060" s="989"/>
      <c r="ICW1060" s="989"/>
      <c r="ICX1060" s="989"/>
      <c r="ICY1060" s="989"/>
      <c r="ICZ1060" s="989"/>
      <c r="IDA1060" s="989"/>
      <c r="IDB1060" s="989"/>
      <c r="IDC1060" s="989"/>
      <c r="IDD1060" s="989"/>
      <c r="IDE1060" s="989"/>
      <c r="IDF1060" s="989"/>
      <c r="IDG1060" s="989"/>
      <c r="IDH1060" s="989"/>
      <c r="IDI1060" s="989"/>
      <c r="IDJ1060" s="989"/>
      <c r="IDK1060" s="989"/>
      <c r="IDL1060" s="989"/>
      <c r="IDM1060" s="989"/>
      <c r="IDN1060" s="989"/>
      <c r="IDO1060" s="989"/>
      <c r="IDP1060" s="989"/>
      <c r="IDQ1060" s="989"/>
      <c r="IDR1060" s="989"/>
      <c r="IDS1060" s="989"/>
      <c r="IDT1060" s="989"/>
      <c r="IDU1060" s="989"/>
      <c r="IDV1060" s="989"/>
      <c r="IDW1060" s="989"/>
      <c r="IDX1060" s="989"/>
      <c r="IDY1060" s="989"/>
      <c r="IDZ1060" s="989"/>
      <c r="IEA1060" s="989"/>
      <c r="IEB1060" s="989"/>
      <c r="IEC1060" s="989"/>
      <c r="IED1060" s="989"/>
      <c r="IEE1060" s="989"/>
      <c r="IEF1060" s="989"/>
      <c r="IEG1060" s="989"/>
      <c r="IEH1060" s="989"/>
      <c r="IEI1060" s="989"/>
      <c r="IEJ1060" s="989"/>
      <c r="IEK1060" s="989"/>
      <c r="IEL1060" s="989"/>
      <c r="IEM1060" s="989"/>
      <c r="IEN1060" s="989"/>
      <c r="IEO1060" s="989"/>
      <c r="IEP1060" s="989"/>
      <c r="IEQ1060" s="989"/>
      <c r="IER1060" s="989"/>
      <c r="IES1060" s="989"/>
      <c r="IET1060" s="989"/>
      <c r="IEU1060" s="989"/>
      <c r="IEV1060" s="989"/>
      <c r="IEW1060" s="989"/>
      <c r="IEX1060" s="989"/>
      <c r="IEY1060" s="989"/>
      <c r="IEZ1060" s="989"/>
      <c r="IFA1060" s="989"/>
      <c r="IFB1060" s="989"/>
      <c r="IFC1060" s="989"/>
      <c r="IFD1060" s="989"/>
      <c r="IFE1060" s="989"/>
      <c r="IFF1060" s="989"/>
      <c r="IFG1060" s="989"/>
      <c r="IFH1060" s="989"/>
      <c r="IFI1060" s="989"/>
      <c r="IFJ1060" s="989"/>
      <c r="IFK1060" s="989"/>
      <c r="IFL1060" s="989"/>
      <c r="IFM1060" s="989"/>
      <c r="IFN1060" s="989"/>
      <c r="IFO1060" s="989"/>
      <c r="IFP1060" s="989"/>
      <c r="IFQ1060" s="989"/>
      <c r="IFR1060" s="989"/>
      <c r="IFS1060" s="989"/>
      <c r="IFT1060" s="989"/>
      <c r="IFU1060" s="989"/>
      <c r="IFV1060" s="989"/>
      <c r="IFW1060" s="989"/>
      <c r="IFX1060" s="989"/>
      <c r="IFY1060" s="989"/>
      <c r="IFZ1060" s="989"/>
      <c r="IGA1060" s="989"/>
      <c r="IGB1060" s="989"/>
      <c r="IGC1060" s="989"/>
      <c r="IGD1060" s="989"/>
      <c r="IGE1060" s="989"/>
      <c r="IGF1060" s="989"/>
      <c r="IGG1060" s="989"/>
      <c r="IGH1060" s="989"/>
      <c r="IGI1060" s="989"/>
      <c r="IGJ1060" s="989"/>
      <c r="IGK1060" s="989"/>
      <c r="IGL1060" s="989"/>
      <c r="IGM1060" s="989"/>
      <c r="IGN1060" s="989"/>
      <c r="IGO1060" s="989"/>
      <c r="IGP1060" s="989"/>
      <c r="IGQ1060" s="989"/>
      <c r="IGR1060" s="989"/>
      <c r="IGS1060" s="989"/>
      <c r="IGT1060" s="989"/>
      <c r="IGU1060" s="989"/>
      <c r="IGV1060" s="989"/>
      <c r="IGW1060" s="989"/>
      <c r="IGX1060" s="989"/>
      <c r="IGY1060" s="989"/>
      <c r="IGZ1060" s="989"/>
      <c r="IHA1060" s="989"/>
      <c r="IHB1060" s="989"/>
      <c r="IHC1060" s="989"/>
      <c r="IHD1060" s="989"/>
      <c r="IHE1060" s="989"/>
      <c r="IHF1060" s="989"/>
      <c r="IHG1060" s="989"/>
      <c r="IHH1060" s="989"/>
      <c r="IHI1060" s="989"/>
      <c r="IHJ1060" s="989"/>
      <c r="IHK1060" s="989"/>
      <c r="IHL1060" s="989"/>
      <c r="IHM1060" s="989"/>
      <c r="IHN1060" s="989"/>
      <c r="IHO1060" s="989"/>
      <c r="IHP1060" s="989"/>
      <c r="IHQ1060" s="989"/>
      <c r="IHR1060" s="989"/>
      <c r="IHS1060" s="989"/>
      <c r="IHT1060" s="989"/>
      <c r="IHU1060" s="989"/>
      <c r="IHV1060" s="989"/>
      <c r="IHW1060" s="989"/>
      <c r="IHX1060" s="989"/>
      <c r="IHY1060" s="989"/>
      <c r="IHZ1060" s="989"/>
      <c r="IIA1060" s="989"/>
      <c r="IIB1060" s="989"/>
      <c r="IIC1060" s="989"/>
      <c r="IID1060" s="989"/>
      <c r="IIE1060" s="989"/>
      <c r="IIF1060" s="989"/>
      <c r="IIG1060" s="989"/>
      <c r="IIH1060" s="989"/>
      <c r="III1060" s="989"/>
      <c r="IIJ1060" s="989"/>
      <c r="IIK1060" s="989"/>
      <c r="IIL1060" s="989"/>
      <c r="IIM1060" s="989"/>
      <c r="IIN1060" s="989"/>
      <c r="IIO1060" s="989"/>
      <c r="IIP1060" s="989"/>
      <c r="IIQ1060" s="989"/>
      <c r="IIR1060" s="989"/>
      <c r="IIS1060" s="989"/>
      <c r="IIT1060" s="989"/>
      <c r="IIU1060" s="989"/>
      <c r="IIV1060" s="989"/>
      <c r="IIW1060" s="989"/>
      <c r="IIX1060" s="989"/>
      <c r="IIY1060" s="989"/>
      <c r="IIZ1060" s="989"/>
      <c r="IJA1060" s="989"/>
      <c r="IJB1060" s="989"/>
      <c r="IJC1060" s="989"/>
      <c r="IJD1060" s="989"/>
      <c r="IJE1060" s="989"/>
      <c r="IJF1060" s="989"/>
      <c r="IJG1060" s="989"/>
      <c r="IJH1060" s="989"/>
      <c r="IJI1060" s="989"/>
      <c r="IJJ1060" s="989"/>
      <c r="IJK1060" s="989"/>
      <c r="IJL1060" s="989"/>
      <c r="IJM1060" s="989"/>
      <c r="IJN1060" s="989"/>
      <c r="IJO1060" s="989"/>
      <c r="IJP1060" s="989"/>
      <c r="IJQ1060" s="989"/>
      <c r="IJR1060" s="989"/>
      <c r="IJS1060" s="989"/>
      <c r="IJT1060" s="989"/>
      <c r="IJU1060" s="989"/>
      <c r="IJV1060" s="989"/>
      <c r="IJW1060" s="989"/>
      <c r="IJX1060" s="989"/>
      <c r="IJY1060" s="989"/>
      <c r="IJZ1060" s="989"/>
      <c r="IKA1060" s="989"/>
      <c r="IKB1060" s="989"/>
      <c r="IKC1060" s="989"/>
      <c r="IKD1060" s="989"/>
      <c r="IKE1060" s="989"/>
      <c r="IKF1060" s="989"/>
      <c r="IKG1060" s="989"/>
      <c r="IKH1060" s="989"/>
      <c r="IKI1060" s="989"/>
      <c r="IKJ1060" s="989"/>
      <c r="IKK1060" s="989"/>
      <c r="IKL1060" s="989"/>
      <c r="IKM1060" s="989"/>
      <c r="IKN1060" s="989"/>
      <c r="IKO1060" s="989"/>
      <c r="IKP1060" s="989"/>
      <c r="IKQ1060" s="989"/>
      <c r="IKR1060" s="989"/>
      <c r="IKS1060" s="989"/>
      <c r="IKT1060" s="989"/>
      <c r="IKU1060" s="989"/>
      <c r="IKV1060" s="989"/>
      <c r="IKW1060" s="989"/>
      <c r="IKX1060" s="989"/>
      <c r="IKY1060" s="989"/>
      <c r="IKZ1060" s="989"/>
      <c r="ILA1060" s="989"/>
      <c r="ILB1060" s="989"/>
      <c r="ILC1060" s="989"/>
      <c r="ILD1060" s="989"/>
      <c r="ILE1060" s="989"/>
      <c r="ILF1060" s="989"/>
      <c r="ILG1060" s="989"/>
      <c r="ILH1060" s="989"/>
      <c r="ILI1060" s="989"/>
      <c r="ILJ1060" s="989"/>
      <c r="ILK1060" s="989"/>
      <c r="ILL1060" s="989"/>
      <c r="ILM1060" s="989"/>
      <c r="ILN1060" s="989"/>
      <c r="ILO1060" s="989"/>
      <c r="ILP1060" s="989"/>
      <c r="ILQ1060" s="989"/>
      <c r="ILR1060" s="989"/>
      <c r="ILS1060" s="989"/>
      <c r="ILT1060" s="989"/>
      <c r="ILU1060" s="989"/>
      <c r="ILV1060" s="989"/>
      <c r="ILW1060" s="989"/>
      <c r="ILX1060" s="989"/>
      <c r="ILY1060" s="989"/>
      <c r="ILZ1060" s="989"/>
      <c r="IMA1060" s="989"/>
      <c r="IMB1060" s="989"/>
      <c r="IMC1060" s="989"/>
      <c r="IMD1060" s="989"/>
      <c r="IME1060" s="989"/>
      <c r="IMF1060" s="989"/>
      <c r="IMG1060" s="989"/>
      <c r="IMH1060" s="989"/>
      <c r="IMI1060" s="989"/>
      <c r="IMJ1060" s="989"/>
      <c r="IMK1060" s="989"/>
      <c r="IML1060" s="989"/>
      <c r="IMM1060" s="989"/>
      <c r="IMN1060" s="989"/>
      <c r="IMO1060" s="989"/>
      <c r="IMP1060" s="989"/>
      <c r="IMQ1060" s="989"/>
      <c r="IMR1060" s="989"/>
      <c r="IMS1060" s="989"/>
      <c r="IMT1060" s="989"/>
      <c r="IMU1060" s="989"/>
      <c r="IMV1060" s="989"/>
      <c r="IMW1060" s="989"/>
      <c r="IMX1060" s="989"/>
      <c r="IMY1060" s="989"/>
      <c r="IMZ1060" s="989"/>
      <c r="INA1060" s="989"/>
      <c r="INB1060" s="989"/>
      <c r="INC1060" s="989"/>
      <c r="IND1060" s="989"/>
      <c r="INE1060" s="989"/>
      <c r="INF1060" s="989"/>
      <c r="ING1060" s="989"/>
      <c r="INH1060" s="989"/>
      <c r="INI1060" s="989"/>
      <c r="INJ1060" s="989"/>
      <c r="INK1060" s="989"/>
      <c r="INL1060" s="989"/>
      <c r="INM1060" s="989"/>
      <c r="INN1060" s="989"/>
      <c r="INO1060" s="989"/>
      <c r="INP1060" s="989"/>
      <c r="INQ1060" s="989"/>
      <c r="INR1060" s="989"/>
      <c r="INS1060" s="989"/>
      <c r="INT1060" s="989"/>
      <c r="INU1060" s="989"/>
      <c r="INV1060" s="989"/>
      <c r="INW1060" s="989"/>
      <c r="INX1060" s="989"/>
      <c r="INY1060" s="989"/>
      <c r="INZ1060" s="989"/>
      <c r="IOA1060" s="989"/>
      <c r="IOB1060" s="989"/>
      <c r="IOC1060" s="989"/>
      <c r="IOD1060" s="989"/>
      <c r="IOE1060" s="989"/>
      <c r="IOF1060" s="989"/>
      <c r="IOG1060" s="989"/>
      <c r="IOH1060" s="989"/>
      <c r="IOI1060" s="989"/>
      <c r="IOJ1060" s="989"/>
      <c r="IOK1060" s="989"/>
      <c r="IOL1060" s="989"/>
      <c r="IOM1060" s="989"/>
      <c r="ION1060" s="989"/>
      <c r="IOO1060" s="989"/>
      <c r="IOP1060" s="989"/>
      <c r="IOQ1060" s="989"/>
      <c r="IOR1060" s="989"/>
      <c r="IOS1060" s="989"/>
      <c r="IOT1060" s="989"/>
      <c r="IOU1060" s="989"/>
      <c r="IOV1060" s="989"/>
      <c r="IOW1060" s="989"/>
      <c r="IOX1060" s="989"/>
      <c r="IOY1060" s="989"/>
      <c r="IOZ1060" s="989"/>
      <c r="IPA1060" s="989"/>
      <c r="IPB1060" s="989"/>
      <c r="IPC1060" s="989"/>
      <c r="IPD1060" s="989"/>
      <c r="IPE1060" s="989"/>
      <c r="IPF1060" s="989"/>
      <c r="IPG1060" s="989"/>
      <c r="IPH1060" s="989"/>
      <c r="IPI1060" s="989"/>
      <c r="IPJ1060" s="989"/>
      <c r="IPK1060" s="989"/>
      <c r="IPL1060" s="989"/>
      <c r="IPM1060" s="989"/>
      <c r="IPN1060" s="989"/>
      <c r="IPO1060" s="989"/>
      <c r="IPP1060" s="989"/>
      <c r="IPQ1060" s="989"/>
      <c r="IPR1060" s="989"/>
      <c r="IPS1060" s="989"/>
      <c r="IPT1060" s="989"/>
      <c r="IPU1060" s="989"/>
      <c r="IPV1060" s="989"/>
      <c r="IPW1060" s="989"/>
      <c r="IPX1060" s="989"/>
      <c r="IPY1060" s="989"/>
      <c r="IPZ1060" s="989"/>
      <c r="IQA1060" s="989"/>
      <c r="IQB1060" s="989"/>
      <c r="IQC1060" s="989"/>
      <c r="IQD1060" s="989"/>
      <c r="IQE1060" s="989"/>
      <c r="IQF1060" s="989"/>
      <c r="IQG1060" s="989"/>
      <c r="IQH1060" s="989"/>
      <c r="IQI1060" s="989"/>
      <c r="IQJ1060" s="989"/>
      <c r="IQK1060" s="989"/>
      <c r="IQL1060" s="989"/>
      <c r="IQM1060" s="989"/>
      <c r="IQN1060" s="989"/>
      <c r="IQO1060" s="989"/>
      <c r="IQP1060" s="989"/>
      <c r="IQQ1060" s="989"/>
      <c r="IQR1060" s="989"/>
      <c r="IQS1060" s="989"/>
      <c r="IQT1060" s="989"/>
      <c r="IQU1060" s="989"/>
      <c r="IQV1060" s="989"/>
      <c r="IQW1060" s="989"/>
      <c r="IQX1060" s="989"/>
      <c r="IQY1060" s="989"/>
      <c r="IQZ1060" s="989"/>
      <c r="IRA1060" s="989"/>
      <c r="IRB1060" s="989"/>
      <c r="IRC1060" s="989"/>
      <c r="IRD1060" s="989"/>
      <c r="IRE1060" s="989"/>
      <c r="IRF1060" s="989"/>
      <c r="IRG1060" s="989"/>
      <c r="IRH1060" s="989"/>
      <c r="IRI1060" s="989"/>
      <c r="IRJ1060" s="989"/>
      <c r="IRK1060" s="989"/>
      <c r="IRL1060" s="989"/>
      <c r="IRM1060" s="989"/>
      <c r="IRN1060" s="989"/>
      <c r="IRO1060" s="989"/>
      <c r="IRP1060" s="989"/>
      <c r="IRQ1060" s="989"/>
      <c r="IRR1060" s="989"/>
      <c r="IRS1060" s="989"/>
      <c r="IRT1060" s="989"/>
      <c r="IRU1060" s="989"/>
      <c r="IRV1060" s="989"/>
      <c r="IRW1060" s="989"/>
      <c r="IRX1060" s="989"/>
      <c r="IRY1060" s="989"/>
      <c r="IRZ1060" s="989"/>
      <c r="ISA1060" s="989"/>
      <c r="ISB1060" s="989"/>
      <c r="ISC1060" s="989"/>
      <c r="ISD1060" s="989"/>
      <c r="ISE1060" s="989"/>
      <c r="ISF1060" s="989"/>
      <c r="ISG1060" s="989"/>
      <c r="ISH1060" s="989"/>
      <c r="ISI1060" s="989"/>
      <c r="ISJ1060" s="989"/>
      <c r="ISK1060" s="989"/>
      <c r="ISL1060" s="989"/>
      <c r="ISM1060" s="989"/>
      <c r="ISN1060" s="989"/>
      <c r="ISO1060" s="989"/>
      <c r="ISP1060" s="989"/>
      <c r="ISQ1060" s="989"/>
      <c r="ISR1060" s="989"/>
      <c r="ISS1060" s="989"/>
      <c r="IST1060" s="989"/>
      <c r="ISU1060" s="989"/>
      <c r="ISV1060" s="989"/>
      <c r="ISW1060" s="989"/>
      <c r="ISX1060" s="989"/>
      <c r="ISY1060" s="989"/>
      <c r="ISZ1060" s="989"/>
      <c r="ITA1060" s="989"/>
      <c r="ITB1060" s="989"/>
      <c r="ITC1060" s="989"/>
      <c r="ITD1060" s="989"/>
      <c r="ITE1060" s="989"/>
      <c r="ITF1060" s="989"/>
      <c r="ITG1060" s="989"/>
      <c r="ITH1060" s="989"/>
      <c r="ITI1060" s="989"/>
      <c r="ITJ1060" s="989"/>
      <c r="ITK1060" s="989"/>
      <c r="ITL1060" s="989"/>
      <c r="ITM1060" s="989"/>
      <c r="ITN1060" s="989"/>
      <c r="ITO1060" s="989"/>
      <c r="ITP1060" s="989"/>
      <c r="ITQ1060" s="989"/>
      <c r="ITR1060" s="989"/>
      <c r="ITS1060" s="989"/>
      <c r="ITT1060" s="989"/>
      <c r="ITU1060" s="989"/>
      <c r="ITV1060" s="989"/>
      <c r="ITW1060" s="989"/>
      <c r="ITX1060" s="989"/>
      <c r="ITY1060" s="989"/>
      <c r="ITZ1060" s="989"/>
      <c r="IUA1060" s="989"/>
      <c r="IUB1060" s="989"/>
      <c r="IUC1060" s="989"/>
      <c r="IUD1060" s="989"/>
      <c r="IUE1060" s="989"/>
      <c r="IUF1060" s="989"/>
      <c r="IUG1060" s="989"/>
      <c r="IUH1060" s="989"/>
      <c r="IUI1060" s="989"/>
      <c r="IUJ1060" s="989"/>
      <c r="IUK1060" s="989"/>
      <c r="IUL1060" s="989"/>
      <c r="IUM1060" s="989"/>
      <c r="IUN1060" s="989"/>
      <c r="IUO1060" s="989"/>
      <c r="IUP1060" s="989"/>
      <c r="IUQ1060" s="989"/>
      <c r="IUR1060" s="989"/>
      <c r="IUS1060" s="989"/>
      <c r="IUT1060" s="989"/>
      <c r="IUU1060" s="989"/>
      <c r="IUV1060" s="989"/>
      <c r="IUW1060" s="989"/>
      <c r="IUX1060" s="989"/>
      <c r="IUY1060" s="989"/>
      <c r="IUZ1060" s="989"/>
      <c r="IVA1060" s="989"/>
      <c r="IVB1060" s="989"/>
      <c r="IVC1060" s="989"/>
      <c r="IVD1060" s="989"/>
      <c r="IVE1060" s="989"/>
      <c r="IVF1060" s="989"/>
      <c r="IVG1060" s="989"/>
      <c r="IVH1060" s="989"/>
      <c r="IVI1060" s="989"/>
      <c r="IVJ1060" s="989"/>
      <c r="IVK1060" s="989"/>
      <c r="IVL1060" s="989"/>
      <c r="IVM1060" s="989"/>
      <c r="IVN1060" s="989"/>
      <c r="IVO1060" s="989"/>
      <c r="IVP1060" s="989"/>
      <c r="IVQ1060" s="989"/>
      <c r="IVR1060" s="989"/>
      <c r="IVS1060" s="989"/>
      <c r="IVT1060" s="989"/>
      <c r="IVU1060" s="989"/>
      <c r="IVV1060" s="989"/>
      <c r="IVW1060" s="989"/>
      <c r="IVX1060" s="989"/>
      <c r="IVY1060" s="989"/>
      <c r="IVZ1060" s="989"/>
      <c r="IWA1060" s="989"/>
      <c r="IWB1060" s="989"/>
      <c r="IWC1060" s="989"/>
      <c r="IWD1060" s="989"/>
      <c r="IWE1060" s="989"/>
      <c r="IWF1060" s="989"/>
      <c r="IWG1060" s="989"/>
      <c r="IWH1060" s="989"/>
      <c r="IWI1060" s="989"/>
      <c r="IWJ1060" s="989"/>
      <c r="IWK1060" s="989"/>
      <c r="IWL1060" s="989"/>
      <c r="IWM1060" s="989"/>
      <c r="IWN1060" s="989"/>
      <c r="IWO1060" s="989"/>
      <c r="IWP1060" s="989"/>
      <c r="IWQ1060" s="989"/>
      <c r="IWR1060" s="989"/>
      <c r="IWS1060" s="989"/>
      <c r="IWT1060" s="989"/>
      <c r="IWU1060" s="989"/>
      <c r="IWV1060" s="989"/>
      <c r="IWW1060" s="989"/>
      <c r="IWX1060" s="989"/>
      <c r="IWY1060" s="989"/>
      <c r="IWZ1060" s="989"/>
      <c r="IXA1060" s="989"/>
      <c r="IXB1060" s="989"/>
      <c r="IXC1060" s="989"/>
      <c r="IXD1060" s="989"/>
      <c r="IXE1060" s="989"/>
      <c r="IXF1060" s="989"/>
      <c r="IXG1060" s="989"/>
      <c r="IXH1060" s="989"/>
      <c r="IXI1060" s="989"/>
      <c r="IXJ1060" s="989"/>
      <c r="IXK1060" s="989"/>
      <c r="IXL1060" s="989"/>
      <c r="IXM1060" s="989"/>
      <c r="IXN1060" s="989"/>
      <c r="IXO1060" s="989"/>
      <c r="IXP1060" s="989"/>
      <c r="IXQ1060" s="989"/>
      <c r="IXR1060" s="989"/>
      <c r="IXS1060" s="989"/>
      <c r="IXT1060" s="989"/>
      <c r="IXU1060" s="989"/>
      <c r="IXV1060" s="989"/>
      <c r="IXW1060" s="989"/>
      <c r="IXX1060" s="989"/>
      <c r="IXY1060" s="989"/>
      <c r="IXZ1060" s="989"/>
      <c r="IYA1060" s="989"/>
      <c r="IYB1060" s="989"/>
      <c r="IYC1060" s="989"/>
      <c r="IYD1060" s="989"/>
      <c r="IYE1060" s="989"/>
      <c r="IYF1060" s="989"/>
      <c r="IYG1060" s="989"/>
      <c r="IYH1060" s="989"/>
      <c r="IYI1060" s="989"/>
      <c r="IYJ1060" s="989"/>
      <c r="IYK1060" s="989"/>
      <c r="IYL1060" s="989"/>
      <c r="IYM1060" s="989"/>
      <c r="IYN1060" s="989"/>
      <c r="IYO1060" s="989"/>
      <c r="IYP1060" s="989"/>
      <c r="IYQ1060" s="989"/>
      <c r="IYR1060" s="989"/>
      <c r="IYS1060" s="989"/>
      <c r="IYT1060" s="989"/>
      <c r="IYU1060" s="989"/>
      <c r="IYV1060" s="989"/>
      <c r="IYW1060" s="989"/>
      <c r="IYX1060" s="989"/>
      <c r="IYY1060" s="989"/>
      <c r="IYZ1060" s="989"/>
      <c r="IZA1060" s="989"/>
      <c r="IZB1060" s="989"/>
      <c r="IZC1060" s="989"/>
      <c r="IZD1060" s="989"/>
      <c r="IZE1060" s="989"/>
      <c r="IZF1060" s="989"/>
      <c r="IZG1060" s="989"/>
      <c r="IZH1060" s="989"/>
      <c r="IZI1060" s="989"/>
      <c r="IZJ1060" s="989"/>
      <c r="IZK1060" s="989"/>
      <c r="IZL1060" s="989"/>
      <c r="IZM1060" s="989"/>
      <c r="IZN1060" s="989"/>
      <c r="IZO1060" s="989"/>
      <c r="IZP1060" s="989"/>
      <c r="IZQ1060" s="989"/>
      <c r="IZR1060" s="989"/>
      <c r="IZS1060" s="989"/>
      <c r="IZT1060" s="989"/>
      <c r="IZU1060" s="989"/>
      <c r="IZV1060" s="989"/>
      <c r="IZW1060" s="989"/>
      <c r="IZX1060" s="989"/>
      <c r="IZY1060" s="989"/>
      <c r="IZZ1060" s="989"/>
      <c r="JAA1060" s="989"/>
      <c r="JAB1060" s="989"/>
      <c r="JAC1060" s="989"/>
      <c r="JAD1060" s="989"/>
      <c r="JAE1060" s="989"/>
      <c r="JAF1060" s="989"/>
      <c r="JAG1060" s="989"/>
      <c r="JAH1060" s="989"/>
      <c r="JAI1060" s="989"/>
      <c r="JAJ1060" s="989"/>
      <c r="JAK1060" s="989"/>
      <c r="JAL1060" s="989"/>
      <c r="JAM1060" s="989"/>
      <c r="JAN1060" s="989"/>
      <c r="JAO1060" s="989"/>
      <c r="JAP1060" s="989"/>
      <c r="JAQ1060" s="989"/>
      <c r="JAR1060" s="989"/>
      <c r="JAS1060" s="989"/>
      <c r="JAT1060" s="989"/>
      <c r="JAU1060" s="989"/>
      <c r="JAV1060" s="989"/>
      <c r="JAW1060" s="989"/>
      <c r="JAX1060" s="989"/>
      <c r="JAY1060" s="989"/>
      <c r="JAZ1060" s="989"/>
      <c r="JBA1060" s="989"/>
      <c r="JBB1060" s="989"/>
      <c r="JBC1060" s="989"/>
      <c r="JBD1060" s="989"/>
      <c r="JBE1060" s="989"/>
      <c r="JBF1060" s="989"/>
      <c r="JBG1060" s="989"/>
      <c r="JBH1060" s="989"/>
      <c r="JBI1060" s="989"/>
      <c r="JBJ1060" s="989"/>
      <c r="JBK1060" s="989"/>
      <c r="JBL1060" s="989"/>
      <c r="JBM1060" s="989"/>
      <c r="JBN1060" s="989"/>
      <c r="JBO1060" s="989"/>
      <c r="JBP1060" s="989"/>
      <c r="JBQ1060" s="989"/>
      <c r="JBR1060" s="989"/>
      <c r="JBS1060" s="989"/>
      <c r="JBT1060" s="989"/>
      <c r="JBU1060" s="989"/>
      <c r="JBV1060" s="989"/>
      <c r="JBW1060" s="989"/>
      <c r="JBX1060" s="989"/>
      <c r="JBY1060" s="989"/>
      <c r="JBZ1060" s="989"/>
      <c r="JCA1060" s="989"/>
      <c r="JCB1060" s="989"/>
      <c r="JCC1060" s="989"/>
      <c r="JCD1060" s="989"/>
      <c r="JCE1060" s="989"/>
      <c r="JCF1060" s="989"/>
      <c r="JCG1060" s="989"/>
      <c r="JCH1060" s="989"/>
      <c r="JCI1060" s="989"/>
      <c r="JCJ1060" s="989"/>
      <c r="JCK1060" s="989"/>
      <c r="JCL1060" s="989"/>
      <c r="JCM1060" s="989"/>
      <c r="JCN1060" s="989"/>
      <c r="JCO1060" s="989"/>
      <c r="JCP1060" s="989"/>
      <c r="JCQ1060" s="989"/>
      <c r="JCR1060" s="989"/>
      <c r="JCS1060" s="989"/>
      <c r="JCT1060" s="989"/>
      <c r="JCU1060" s="989"/>
      <c r="JCV1060" s="989"/>
      <c r="JCW1060" s="989"/>
      <c r="JCX1060" s="989"/>
      <c r="JCY1060" s="989"/>
      <c r="JCZ1060" s="989"/>
      <c r="JDA1060" s="989"/>
      <c r="JDB1060" s="989"/>
      <c r="JDC1060" s="989"/>
      <c r="JDD1060" s="989"/>
      <c r="JDE1060" s="989"/>
      <c r="JDF1060" s="989"/>
      <c r="JDG1060" s="989"/>
      <c r="JDH1060" s="989"/>
      <c r="JDI1060" s="989"/>
      <c r="JDJ1060" s="989"/>
      <c r="JDK1060" s="989"/>
      <c r="JDL1060" s="989"/>
      <c r="JDM1060" s="989"/>
      <c r="JDN1060" s="989"/>
      <c r="JDO1060" s="989"/>
      <c r="JDP1060" s="989"/>
      <c r="JDQ1060" s="989"/>
      <c r="JDR1060" s="989"/>
      <c r="JDS1060" s="989"/>
      <c r="JDT1060" s="989"/>
      <c r="JDU1060" s="989"/>
      <c r="JDV1060" s="989"/>
      <c r="JDW1060" s="989"/>
      <c r="JDX1060" s="989"/>
      <c r="JDY1060" s="989"/>
      <c r="JDZ1060" s="989"/>
      <c r="JEA1060" s="989"/>
      <c r="JEB1060" s="989"/>
      <c r="JEC1060" s="989"/>
      <c r="JED1060" s="989"/>
      <c r="JEE1060" s="989"/>
      <c r="JEF1060" s="989"/>
      <c r="JEG1060" s="989"/>
      <c r="JEH1060" s="989"/>
      <c r="JEI1060" s="989"/>
      <c r="JEJ1060" s="989"/>
      <c r="JEK1060" s="989"/>
      <c r="JEL1060" s="989"/>
      <c r="JEM1060" s="989"/>
      <c r="JEN1060" s="989"/>
      <c r="JEO1060" s="989"/>
      <c r="JEP1060" s="989"/>
      <c r="JEQ1060" s="989"/>
      <c r="JER1060" s="989"/>
      <c r="JES1060" s="989"/>
      <c r="JET1060" s="989"/>
      <c r="JEU1060" s="989"/>
      <c r="JEV1060" s="989"/>
      <c r="JEW1060" s="989"/>
      <c r="JEX1060" s="989"/>
      <c r="JEY1060" s="989"/>
      <c r="JEZ1060" s="989"/>
      <c r="JFA1060" s="989"/>
      <c r="JFB1060" s="989"/>
      <c r="JFC1060" s="989"/>
      <c r="JFD1060" s="989"/>
      <c r="JFE1060" s="989"/>
      <c r="JFF1060" s="989"/>
      <c r="JFG1060" s="989"/>
      <c r="JFH1060" s="989"/>
      <c r="JFI1060" s="989"/>
      <c r="JFJ1060" s="989"/>
      <c r="JFK1060" s="989"/>
      <c r="JFL1060" s="989"/>
      <c r="JFM1060" s="989"/>
      <c r="JFN1060" s="989"/>
      <c r="JFO1060" s="989"/>
      <c r="JFP1060" s="989"/>
      <c r="JFQ1060" s="989"/>
      <c r="JFR1060" s="989"/>
      <c r="JFS1060" s="989"/>
      <c r="JFT1060" s="989"/>
      <c r="JFU1060" s="989"/>
      <c r="JFV1060" s="989"/>
      <c r="JFW1060" s="989"/>
      <c r="JFX1060" s="989"/>
      <c r="JFY1060" s="989"/>
      <c r="JFZ1060" s="989"/>
      <c r="JGA1060" s="989"/>
      <c r="JGB1060" s="989"/>
      <c r="JGC1060" s="989"/>
      <c r="JGD1060" s="989"/>
      <c r="JGE1060" s="989"/>
      <c r="JGF1060" s="989"/>
      <c r="JGG1060" s="989"/>
      <c r="JGH1060" s="989"/>
      <c r="JGI1060" s="989"/>
      <c r="JGJ1060" s="989"/>
      <c r="JGK1060" s="989"/>
      <c r="JGL1060" s="989"/>
      <c r="JGM1060" s="989"/>
      <c r="JGN1060" s="989"/>
      <c r="JGO1060" s="989"/>
      <c r="JGP1060" s="989"/>
      <c r="JGQ1060" s="989"/>
      <c r="JGR1060" s="989"/>
      <c r="JGS1060" s="989"/>
      <c r="JGT1060" s="989"/>
      <c r="JGU1060" s="989"/>
      <c r="JGV1060" s="989"/>
      <c r="JGW1060" s="989"/>
      <c r="JGX1060" s="989"/>
      <c r="JGY1060" s="989"/>
      <c r="JGZ1060" s="989"/>
      <c r="JHA1060" s="989"/>
      <c r="JHB1060" s="989"/>
      <c r="JHC1060" s="989"/>
      <c r="JHD1060" s="989"/>
      <c r="JHE1060" s="989"/>
      <c r="JHF1060" s="989"/>
      <c r="JHG1060" s="989"/>
      <c r="JHH1060" s="989"/>
      <c r="JHI1060" s="989"/>
      <c r="JHJ1060" s="989"/>
      <c r="JHK1060" s="989"/>
      <c r="JHL1060" s="989"/>
      <c r="JHM1060" s="989"/>
      <c r="JHN1060" s="989"/>
      <c r="JHO1060" s="989"/>
      <c r="JHP1060" s="989"/>
      <c r="JHQ1060" s="989"/>
      <c r="JHR1060" s="989"/>
      <c r="JHS1060" s="989"/>
      <c r="JHT1060" s="989"/>
      <c r="JHU1060" s="989"/>
      <c r="JHV1060" s="989"/>
      <c r="JHW1060" s="989"/>
      <c r="JHX1060" s="989"/>
      <c r="JHY1060" s="989"/>
      <c r="JHZ1060" s="989"/>
      <c r="JIA1060" s="989"/>
      <c r="JIB1060" s="989"/>
      <c r="JIC1060" s="989"/>
      <c r="JID1060" s="989"/>
      <c r="JIE1060" s="989"/>
      <c r="JIF1060" s="989"/>
      <c r="JIG1060" s="989"/>
      <c r="JIH1060" s="989"/>
      <c r="JII1060" s="989"/>
      <c r="JIJ1060" s="989"/>
      <c r="JIK1060" s="989"/>
      <c r="JIL1060" s="989"/>
      <c r="JIM1060" s="989"/>
      <c r="JIN1060" s="989"/>
      <c r="JIO1060" s="989"/>
      <c r="JIP1060" s="989"/>
      <c r="JIQ1060" s="989"/>
      <c r="JIR1060" s="989"/>
      <c r="JIS1060" s="989"/>
      <c r="JIT1060" s="989"/>
      <c r="JIU1060" s="989"/>
      <c r="JIV1060" s="989"/>
      <c r="JIW1060" s="989"/>
      <c r="JIX1060" s="989"/>
      <c r="JIY1060" s="989"/>
      <c r="JIZ1060" s="989"/>
      <c r="JJA1060" s="989"/>
      <c r="JJB1060" s="989"/>
      <c r="JJC1060" s="989"/>
      <c r="JJD1060" s="989"/>
      <c r="JJE1060" s="989"/>
      <c r="JJF1060" s="989"/>
      <c r="JJG1060" s="989"/>
      <c r="JJH1060" s="989"/>
      <c r="JJI1060" s="989"/>
      <c r="JJJ1060" s="989"/>
      <c r="JJK1060" s="989"/>
      <c r="JJL1060" s="989"/>
      <c r="JJM1060" s="989"/>
      <c r="JJN1060" s="989"/>
      <c r="JJO1060" s="989"/>
      <c r="JJP1060" s="989"/>
      <c r="JJQ1060" s="989"/>
      <c r="JJR1060" s="989"/>
      <c r="JJS1060" s="989"/>
      <c r="JJT1060" s="989"/>
      <c r="JJU1060" s="989"/>
      <c r="JJV1060" s="989"/>
      <c r="JJW1060" s="989"/>
      <c r="JJX1060" s="989"/>
      <c r="JJY1060" s="989"/>
      <c r="JJZ1060" s="989"/>
      <c r="JKA1060" s="989"/>
      <c r="JKB1060" s="989"/>
      <c r="JKC1060" s="989"/>
      <c r="JKD1060" s="989"/>
      <c r="JKE1060" s="989"/>
      <c r="JKF1060" s="989"/>
      <c r="JKG1060" s="989"/>
      <c r="JKH1060" s="989"/>
      <c r="JKI1060" s="989"/>
      <c r="JKJ1060" s="989"/>
      <c r="JKK1060" s="989"/>
      <c r="JKL1060" s="989"/>
      <c r="JKM1060" s="989"/>
      <c r="JKN1060" s="989"/>
      <c r="JKO1060" s="989"/>
      <c r="JKP1060" s="989"/>
      <c r="JKQ1060" s="989"/>
      <c r="JKR1060" s="989"/>
      <c r="JKS1060" s="989"/>
      <c r="JKT1060" s="989"/>
      <c r="JKU1060" s="989"/>
      <c r="JKV1060" s="989"/>
      <c r="JKW1060" s="989"/>
      <c r="JKX1060" s="989"/>
      <c r="JKY1060" s="989"/>
      <c r="JKZ1060" s="989"/>
      <c r="JLA1060" s="989"/>
      <c r="JLB1060" s="989"/>
      <c r="JLC1060" s="989"/>
      <c r="JLD1060" s="989"/>
      <c r="JLE1060" s="989"/>
      <c r="JLF1060" s="989"/>
      <c r="JLG1060" s="989"/>
      <c r="JLH1060" s="989"/>
      <c r="JLI1060" s="989"/>
      <c r="JLJ1060" s="989"/>
      <c r="JLK1060" s="989"/>
      <c r="JLL1060" s="989"/>
      <c r="JLM1060" s="989"/>
      <c r="JLN1060" s="989"/>
      <c r="JLO1060" s="989"/>
      <c r="JLP1060" s="989"/>
      <c r="JLQ1060" s="989"/>
      <c r="JLR1060" s="989"/>
      <c r="JLS1060" s="989"/>
      <c r="JLT1060" s="989"/>
      <c r="JLU1060" s="989"/>
      <c r="JLV1060" s="989"/>
      <c r="JLW1060" s="989"/>
      <c r="JLX1060" s="989"/>
      <c r="JLY1060" s="989"/>
      <c r="JLZ1060" s="989"/>
      <c r="JMA1060" s="989"/>
      <c r="JMB1060" s="989"/>
      <c r="JMC1060" s="989"/>
      <c r="JMD1060" s="989"/>
      <c r="JME1060" s="989"/>
      <c r="JMF1060" s="989"/>
      <c r="JMG1060" s="989"/>
      <c r="JMH1060" s="989"/>
      <c r="JMI1060" s="989"/>
      <c r="JMJ1060" s="989"/>
      <c r="JMK1060" s="989"/>
      <c r="JML1060" s="989"/>
      <c r="JMM1060" s="989"/>
      <c r="JMN1060" s="989"/>
      <c r="JMO1060" s="989"/>
      <c r="JMP1060" s="989"/>
      <c r="JMQ1060" s="989"/>
      <c r="JMR1060" s="989"/>
      <c r="JMS1060" s="989"/>
      <c r="JMT1060" s="989"/>
      <c r="JMU1060" s="989"/>
      <c r="JMV1060" s="989"/>
      <c r="JMW1060" s="989"/>
      <c r="JMX1060" s="989"/>
      <c r="JMY1060" s="989"/>
      <c r="JMZ1060" s="989"/>
      <c r="JNA1060" s="989"/>
      <c r="JNB1060" s="989"/>
      <c r="JNC1060" s="989"/>
      <c r="JND1060" s="989"/>
      <c r="JNE1060" s="989"/>
      <c r="JNF1060" s="989"/>
      <c r="JNG1060" s="989"/>
      <c r="JNH1060" s="989"/>
      <c r="JNI1060" s="989"/>
      <c r="JNJ1060" s="989"/>
      <c r="JNK1060" s="989"/>
      <c r="JNL1060" s="989"/>
      <c r="JNM1060" s="989"/>
      <c r="JNN1060" s="989"/>
      <c r="JNO1060" s="989"/>
      <c r="JNP1060" s="989"/>
      <c r="JNQ1060" s="989"/>
      <c r="JNR1060" s="989"/>
      <c r="JNS1060" s="989"/>
      <c r="JNT1060" s="989"/>
      <c r="JNU1060" s="989"/>
      <c r="JNV1060" s="989"/>
      <c r="JNW1060" s="989"/>
      <c r="JNX1060" s="989"/>
      <c r="JNY1060" s="989"/>
      <c r="JNZ1060" s="989"/>
      <c r="JOA1060" s="989"/>
      <c r="JOB1060" s="989"/>
      <c r="JOC1060" s="989"/>
      <c r="JOD1060" s="989"/>
      <c r="JOE1060" s="989"/>
      <c r="JOF1060" s="989"/>
      <c r="JOG1060" s="989"/>
      <c r="JOH1060" s="989"/>
      <c r="JOI1060" s="989"/>
      <c r="JOJ1060" s="989"/>
      <c r="JOK1060" s="989"/>
      <c r="JOL1060" s="989"/>
      <c r="JOM1060" s="989"/>
      <c r="JON1060" s="989"/>
      <c r="JOO1060" s="989"/>
      <c r="JOP1060" s="989"/>
      <c r="JOQ1060" s="989"/>
      <c r="JOR1060" s="989"/>
      <c r="JOS1060" s="989"/>
      <c r="JOT1060" s="989"/>
      <c r="JOU1060" s="989"/>
      <c r="JOV1060" s="989"/>
      <c r="JOW1060" s="989"/>
      <c r="JOX1060" s="989"/>
      <c r="JOY1060" s="989"/>
      <c r="JOZ1060" s="989"/>
      <c r="JPA1060" s="989"/>
      <c r="JPB1060" s="989"/>
      <c r="JPC1060" s="989"/>
      <c r="JPD1060" s="989"/>
      <c r="JPE1060" s="989"/>
      <c r="JPF1060" s="989"/>
      <c r="JPG1060" s="989"/>
      <c r="JPH1060" s="989"/>
      <c r="JPI1060" s="989"/>
      <c r="JPJ1060" s="989"/>
      <c r="JPK1060" s="989"/>
      <c r="JPL1060" s="989"/>
      <c r="JPM1060" s="989"/>
      <c r="JPN1060" s="989"/>
      <c r="JPO1060" s="989"/>
      <c r="JPP1060" s="989"/>
      <c r="JPQ1060" s="989"/>
      <c r="JPR1060" s="989"/>
      <c r="JPS1060" s="989"/>
      <c r="JPT1060" s="989"/>
      <c r="JPU1060" s="989"/>
      <c r="JPV1060" s="989"/>
      <c r="JPW1060" s="989"/>
      <c r="JPX1060" s="989"/>
      <c r="JPY1060" s="989"/>
      <c r="JPZ1060" s="989"/>
      <c r="JQA1060" s="989"/>
      <c r="JQB1060" s="989"/>
      <c r="JQC1060" s="989"/>
      <c r="JQD1060" s="989"/>
      <c r="JQE1060" s="989"/>
      <c r="JQF1060" s="989"/>
      <c r="JQG1060" s="989"/>
      <c r="JQH1060" s="989"/>
      <c r="JQI1060" s="989"/>
      <c r="JQJ1060" s="989"/>
      <c r="JQK1060" s="989"/>
      <c r="JQL1060" s="989"/>
      <c r="JQM1060" s="989"/>
      <c r="JQN1060" s="989"/>
      <c r="JQO1060" s="989"/>
      <c r="JQP1060" s="989"/>
      <c r="JQQ1060" s="989"/>
      <c r="JQR1060" s="989"/>
      <c r="JQS1060" s="989"/>
      <c r="JQT1060" s="989"/>
      <c r="JQU1060" s="989"/>
      <c r="JQV1060" s="989"/>
      <c r="JQW1060" s="989"/>
      <c r="JQX1060" s="989"/>
      <c r="JQY1060" s="989"/>
      <c r="JQZ1060" s="989"/>
      <c r="JRA1060" s="989"/>
      <c r="JRB1060" s="989"/>
      <c r="JRC1060" s="989"/>
      <c r="JRD1060" s="989"/>
      <c r="JRE1060" s="989"/>
      <c r="JRF1060" s="989"/>
      <c r="JRG1060" s="989"/>
      <c r="JRH1060" s="989"/>
      <c r="JRI1060" s="989"/>
      <c r="JRJ1060" s="989"/>
      <c r="JRK1060" s="989"/>
      <c r="JRL1060" s="989"/>
      <c r="JRM1060" s="989"/>
      <c r="JRN1060" s="989"/>
      <c r="JRO1060" s="989"/>
      <c r="JRP1060" s="989"/>
      <c r="JRQ1060" s="989"/>
      <c r="JRR1060" s="989"/>
      <c r="JRS1060" s="989"/>
      <c r="JRT1060" s="989"/>
      <c r="JRU1060" s="989"/>
      <c r="JRV1060" s="989"/>
      <c r="JRW1060" s="989"/>
      <c r="JRX1060" s="989"/>
      <c r="JRY1060" s="989"/>
      <c r="JRZ1060" s="989"/>
      <c r="JSA1060" s="989"/>
      <c r="JSB1060" s="989"/>
      <c r="JSC1060" s="989"/>
      <c r="JSD1060" s="989"/>
      <c r="JSE1060" s="989"/>
      <c r="JSF1060" s="989"/>
      <c r="JSG1060" s="989"/>
      <c r="JSH1060" s="989"/>
      <c r="JSI1060" s="989"/>
      <c r="JSJ1060" s="989"/>
      <c r="JSK1060" s="989"/>
      <c r="JSL1060" s="989"/>
      <c r="JSM1060" s="989"/>
      <c r="JSN1060" s="989"/>
      <c r="JSO1060" s="989"/>
      <c r="JSP1060" s="989"/>
      <c r="JSQ1060" s="989"/>
      <c r="JSR1060" s="989"/>
      <c r="JSS1060" s="989"/>
      <c r="JST1060" s="989"/>
      <c r="JSU1060" s="989"/>
      <c r="JSV1060" s="989"/>
      <c r="JSW1060" s="989"/>
      <c r="JSX1060" s="989"/>
      <c r="JSY1060" s="989"/>
      <c r="JSZ1060" s="989"/>
      <c r="JTA1060" s="989"/>
      <c r="JTB1060" s="989"/>
      <c r="JTC1060" s="989"/>
      <c r="JTD1060" s="989"/>
      <c r="JTE1060" s="989"/>
      <c r="JTF1060" s="989"/>
      <c r="JTG1060" s="989"/>
      <c r="JTH1060" s="989"/>
      <c r="JTI1060" s="989"/>
      <c r="JTJ1060" s="989"/>
      <c r="JTK1060" s="989"/>
      <c r="JTL1060" s="989"/>
      <c r="JTM1060" s="989"/>
      <c r="JTN1060" s="989"/>
      <c r="JTO1060" s="989"/>
      <c r="JTP1060" s="989"/>
      <c r="JTQ1060" s="989"/>
      <c r="JTR1060" s="989"/>
      <c r="JTS1060" s="989"/>
      <c r="JTT1060" s="989"/>
      <c r="JTU1060" s="989"/>
      <c r="JTV1060" s="989"/>
      <c r="JTW1060" s="989"/>
      <c r="JTX1060" s="989"/>
      <c r="JTY1060" s="989"/>
      <c r="JTZ1060" s="989"/>
      <c r="JUA1060" s="989"/>
      <c r="JUB1060" s="989"/>
      <c r="JUC1060" s="989"/>
      <c r="JUD1060" s="989"/>
      <c r="JUE1060" s="989"/>
      <c r="JUF1060" s="989"/>
      <c r="JUG1060" s="989"/>
      <c r="JUH1060" s="989"/>
      <c r="JUI1060" s="989"/>
      <c r="JUJ1060" s="989"/>
      <c r="JUK1060" s="989"/>
      <c r="JUL1060" s="989"/>
      <c r="JUM1060" s="989"/>
      <c r="JUN1060" s="989"/>
      <c r="JUO1060" s="989"/>
      <c r="JUP1060" s="989"/>
      <c r="JUQ1060" s="989"/>
      <c r="JUR1060" s="989"/>
      <c r="JUS1060" s="989"/>
      <c r="JUT1060" s="989"/>
      <c r="JUU1060" s="989"/>
      <c r="JUV1060" s="989"/>
      <c r="JUW1060" s="989"/>
      <c r="JUX1060" s="989"/>
      <c r="JUY1060" s="989"/>
      <c r="JUZ1060" s="989"/>
      <c r="JVA1060" s="989"/>
      <c r="JVB1060" s="989"/>
      <c r="JVC1060" s="989"/>
      <c r="JVD1060" s="989"/>
      <c r="JVE1060" s="989"/>
      <c r="JVF1060" s="989"/>
      <c r="JVG1060" s="989"/>
      <c r="JVH1060" s="989"/>
      <c r="JVI1060" s="989"/>
      <c r="JVJ1060" s="989"/>
      <c r="JVK1060" s="989"/>
      <c r="JVL1060" s="989"/>
      <c r="JVM1060" s="989"/>
      <c r="JVN1060" s="989"/>
      <c r="JVO1060" s="989"/>
      <c r="JVP1060" s="989"/>
      <c r="JVQ1060" s="989"/>
      <c r="JVR1060" s="989"/>
      <c r="JVS1060" s="989"/>
      <c r="JVT1060" s="989"/>
      <c r="JVU1060" s="989"/>
      <c r="JVV1060" s="989"/>
      <c r="JVW1060" s="989"/>
      <c r="JVX1060" s="989"/>
      <c r="JVY1060" s="989"/>
      <c r="JVZ1060" s="989"/>
      <c r="JWA1060" s="989"/>
      <c r="JWB1060" s="989"/>
      <c r="JWC1060" s="989"/>
      <c r="JWD1060" s="989"/>
      <c r="JWE1060" s="989"/>
      <c r="JWF1060" s="989"/>
      <c r="JWG1060" s="989"/>
      <c r="JWH1060" s="989"/>
      <c r="JWI1060" s="989"/>
      <c r="JWJ1060" s="989"/>
      <c r="JWK1060" s="989"/>
      <c r="JWL1060" s="989"/>
      <c r="JWM1060" s="989"/>
      <c r="JWN1060" s="989"/>
      <c r="JWO1060" s="989"/>
      <c r="JWP1060" s="989"/>
      <c r="JWQ1060" s="989"/>
      <c r="JWR1060" s="989"/>
      <c r="JWS1060" s="989"/>
      <c r="JWT1060" s="989"/>
      <c r="JWU1060" s="989"/>
      <c r="JWV1060" s="989"/>
      <c r="JWW1060" s="989"/>
      <c r="JWX1060" s="989"/>
      <c r="JWY1060" s="989"/>
      <c r="JWZ1060" s="989"/>
      <c r="JXA1060" s="989"/>
      <c r="JXB1060" s="989"/>
      <c r="JXC1060" s="989"/>
      <c r="JXD1060" s="989"/>
      <c r="JXE1060" s="989"/>
      <c r="JXF1060" s="989"/>
      <c r="JXG1060" s="989"/>
      <c r="JXH1060" s="989"/>
      <c r="JXI1060" s="989"/>
      <c r="JXJ1060" s="989"/>
      <c r="JXK1060" s="989"/>
      <c r="JXL1060" s="989"/>
      <c r="JXM1060" s="989"/>
      <c r="JXN1060" s="989"/>
      <c r="JXO1060" s="989"/>
      <c r="JXP1060" s="989"/>
      <c r="JXQ1060" s="989"/>
      <c r="JXR1060" s="989"/>
      <c r="JXS1060" s="989"/>
      <c r="JXT1060" s="989"/>
      <c r="JXU1060" s="989"/>
      <c r="JXV1060" s="989"/>
      <c r="JXW1060" s="989"/>
      <c r="JXX1060" s="989"/>
      <c r="JXY1060" s="989"/>
      <c r="JXZ1060" s="989"/>
      <c r="JYA1060" s="989"/>
      <c r="JYB1060" s="989"/>
      <c r="JYC1060" s="989"/>
      <c r="JYD1060" s="989"/>
      <c r="JYE1060" s="989"/>
      <c r="JYF1060" s="989"/>
      <c r="JYG1060" s="989"/>
      <c r="JYH1060" s="989"/>
      <c r="JYI1060" s="989"/>
      <c r="JYJ1060" s="989"/>
      <c r="JYK1060" s="989"/>
      <c r="JYL1060" s="989"/>
      <c r="JYM1060" s="989"/>
      <c r="JYN1060" s="989"/>
      <c r="JYO1060" s="989"/>
      <c r="JYP1060" s="989"/>
      <c r="JYQ1060" s="989"/>
      <c r="JYR1060" s="989"/>
      <c r="JYS1060" s="989"/>
      <c r="JYT1060" s="989"/>
      <c r="JYU1060" s="989"/>
      <c r="JYV1060" s="989"/>
      <c r="JYW1060" s="989"/>
      <c r="JYX1060" s="989"/>
      <c r="JYY1060" s="989"/>
      <c r="JYZ1060" s="989"/>
      <c r="JZA1060" s="989"/>
      <c r="JZB1060" s="989"/>
      <c r="JZC1060" s="989"/>
      <c r="JZD1060" s="989"/>
      <c r="JZE1060" s="989"/>
      <c r="JZF1060" s="989"/>
      <c r="JZG1060" s="989"/>
      <c r="JZH1060" s="989"/>
      <c r="JZI1060" s="989"/>
      <c r="JZJ1060" s="989"/>
      <c r="JZK1060" s="989"/>
      <c r="JZL1060" s="989"/>
      <c r="JZM1060" s="989"/>
      <c r="JZN1060" s="989"/>
      <c r="JZO1060" s="989"/>
      <c r="JZP1060" s="989"/>
      <c r="JZQ1060" s="989"/>
      <c r="JZR1060" s="989"/>
      <c r="JZS1060" s="989"/>
      <c r="JZT1060" s="989"/>
      <c r="JZU1060" s="989"/>
      <c r="JZV1060" s="989"/>
      <c r="JZW1060" s="989"/>
      <c r="JZX1060" s="989"/>
      <c r="JZY1060" s="989"/>
      <c r="JZZ1060" s="989"/>
      <c r="KAA1060" s="989"/>
      <c r="KAB1060" s="989"/>
      <c r="KAC1060" s="989"/>
      <c r="KAD1060" s="989"/>
      <c r="KAE1060" s="989"/>
      <c r="KAF1060" s="989"/>
      <c r="KAG1060" s="989"/>
      <c r="KAH1060" s="989"/>
      <c r="KAI1060" s="989"/>
      <c r="KAJ1060" s="989"/>
      <c r="KAK1060" s="989"/>
      <c r="KAL1060" s="989"/>
      <c r="KAM1060" s="989"/>
      <c r="KAN1060" s="989"/>
      <c r="KAO1060" s="989"/>
      <c r="KAP1060" s="989"/>
      <c r="KAQ1060" s="989"/>
      <c r="KAR1060" s="989"/>
      <c r="KAS1060" s="989"/>
      <c r="KAT1060" s="989"/>
      <c r="KAU1060" s="989"/>
      <c r="KAV1060" s="989"/>
      <c r="KAW1060" s="989"/>
      <c r="KAX1060" s="989"/>
      <c r="KAY1060" s="989"/>
      <c r="KAZ1060" s="989"/>
      <c r="KBA1060" s="989"/>
      <c r="KBB1060" s="989"/>
      <c r="KBC1060" s="989"/>
      <c r="KBD1060" s="989"/>
      <c r="KBE1060" s="989"/>
      <c r="KBF1060" s="989"/>
      <c r="KBG1060" s="989"/>
      <c r="KBH1060" s="989"/>
      <c r="KBI1060" s="989"/>
      <c r="KBJ1060" s="989"/>
      <c r="KBK1060" s="989"/>
      <c r="KBL1060" s="989"/>
      <c r="KBM1060" s="989"/>
      <c r="KBN1060" s="989"/>
      <c r="KBO1060" s="989"/>
      <c r="KBP1060" s="989"/>
      <c r="KBQ1060" s="989"/>
      <c r="KBR1060" s="989"/>
      <c r="KBS1060" s="989"/>
      <c r="KBT1060" s="989"/>
      <c r="KBU1060" s="989"/>
      <c r="KBV1060" s="989"/>
      <c r="KBW1060" s="989"/>
      <c r="KBX1060" s="989"/>
      <c r="KBY1060" s="989"/>
      <c r="KBZ1060" s="989"/>
      <c r="KCA1060" s="989"/>
      <c r="KCB1060" s="989"/>
      <c r="KCC1060" s="989"/>
      <c r="KCD1060" s="989"/>
      <c r="KCE1060" s="989"/>
      <c r="KCF1060" s="989"/>
      <c r="KCG1060" s="989"/>
      <c r="KCH1060" s="989"/>
      <c r="KCI1060" s="989"/>
      <c r="KCJ1060" s="989"/>
      <c r="KCK1060" s="989"/>
      <c r="KCL1060" s="989"/>
      <c r="KCM1060" s="989"/>
      <c r="KCN1060" s="989"/>
      <c r="KCO1060" s="989"/>
      <c r="KCP1060" s="989"/>
      <c r="KCQ1060" s="989"/>
      <c r="KCR1060" s="989"/>
      <c r="KCS1060" s="989"/>
      <c r="KCT1060" s="989"/>
      <c r="KCU1060" s="989"/>
      <c r="KCV1060" s="989"/>
      <c r="KCW1060" s="989"/>
      <c r="KCX1060" s="989"/>
      <c r="KCY1060" s="989"/>
      <c r="KCZ1060" s="989"/>
      <c r="KDA1060" s="989"/>
      <c r="KDB1060" s="989"/>
      <c r="KDC1060" s="989"/>
      <c r="KDD1060" s="989"/>
      <c r="KDE1060" s="989"/>
      <c r="KDF1060" s="989"/>
      <c r="KDG1060" s="989"/>
      <c r="KDH1060" s="989"/>
      <c r="KDI1060" s="989"/>
      <c r="KDJ1060" s="989"/>
      <c r="KDK1060" s="989"/>
      <c r="KDL1060" s="989"/>
      <c r="KDM1060" s="989"/>
      <c r="KDN1060" s="989"/>
      <c r="KDO1060" s="989"/>
      <c r="KDP1060" s="989"/>
      <c r="KDQ1060" s="989"/>
      <c r="KDR1060" s="989"/>
      <c r="KDS1060" s="989"/>
      <c r="KDT1060" s="989"/>
      <c r="KDU1060" s="989"/>
      <c r="KDV1060" s="989"/>
      <c r="KDW1060" s="989"/>
      <c r="KDX1060" s="989"/>
      <c r="KDY1060" s="989"/>
      <c r="KDZ1060" s="989"/>
      <c r="KEA1060" s="989"/>
      <c r="KEB1060" s="989"/>
      <c r="KEC1060" s="989"/>
      <c r="KED1060" s="989"/>
      <c r="KEE1060" s="989"/>
      <c r="KEF1060" s="989"/>
      <c r="KEG1060" s="989"/>
      <c r="KEH1060" s="989"/>
      <c r="KEI1060" s="989"/>
      <c r="KEJ1060" s="989"/>
      <c r="KEK1060" s="989"/>
      <c r="KEL1060" s="989"/>
      <c r="KEM1060" s="989"/>
      <c r="KEN1060" s="989"/>
      <c r="KEO1060" s="989"/>
      <c r="KEP1060" s="989"/>
      <c r="KEQ1060" s="989"/>
      <c r="KER1060" s="989"/>
      <c r="KES1060" s="989"/>
      <c r="KET1060" s="989"/>
      <c r="KEU1060" s="989"/>
      <c r="KEV1060" s="989"/>
      <c r="KEW1060" s="989"/>
      <c r="KEX1060" s="989"/>
      <c r="KEY1060" s="989"/>
      <c r="KEZ1060" s="989"/>
      <c r="KFA1060" s="989"/>
      <c r="KFB1060" s="989"/>
      <c r="KFC1060" s="989"/>
      <c r="KFD1060" s="989"/>
      <c r="KFE1060" s="989"/>
      <c r="KFF1060" s="989"/>
      <c r="KFG1060" s="989"/>
      <c r="KFH1060" s="989"/>
      <c r="KFI1060" s="989"/>
      <c r="KFJ1060" s="989"/>
      <c r="KFK1060" s="989"/>
      <c r="KFL1060" s="989"/>
      <c r="KFM1060" s="989"/>
      <c r="KFN1060" s="989"/>
      <c r="KFO1060" s="989"/>
      <c r="KFP1060" s="989"/>
      <c r="KFQ1060" s="989"/>
      <c r="KFR1060" s="989"/>
      <c r="KFS1060" s="989"/>
      <c r="KFT1060" s="989"/>
      <c r="KFU1060" s="989"/>
      <c r="KFV1060" s="989"/>
      <c r="KFW1060" s="989"/>
      <c r="KFX1060" s="989"/>
      <c r="KFY1060" s="989"/>
      <c r="KFZ1060" s="989"/>
      <c r="KGA1060" s="989"/>
      <c r="KGB1060" s="989"/>
      <c r="KGC1060" s="989"/>
      <c r="KGD1060" s="989"/>
      <c r="KGE1060" s="989"/>
      <c r="KGF1060" s="989"/>
      <c r="KGG1060" s="989"/>
      <c r="KGH1060" s="989"/>
      <c r="KGI1060" s="989"/>
      <c r="KGJ1060" s="989"/>
      <c r="KGK1060" s="989"/>
      <c r="KGL1060" s="989"/>
      <c r="KGM1060" s="989"/>
      <c r="KGN1060" s="989"/>
      <c r="KGO1060" s="989"/>
      <c r="KGP1060" s="989"/>
      <c r="KGQ1060" s="989"/>
      <c r="KGR1060" s="989"/>
      <c r="KGS1060" s="989"/>
      <c r="KGT1060" s="989"/>
      <c r="KGU1060" s="989"/>
      <c r="KGV1060" s="989"/>
      <c r="KGW1060" s="989"/>
      <c r="KGX1060" s="989"/>
      <c r="KGY1060" s="989"/>
      <c r="KGZ1060" s="989"/>
      <c r="KHA1060" s="989"/>
      <c r="KHB1060" s="989"/>
      <c r="KHC1060" s="989"/>
      <c r="KHD1060" s="989"/>
      <c r="KHE1060" s="989"/>
      <c r="KHF1060" s="989"/>
      <c r="KHG1060" s="989"/>
      <c r="KHH1060" s="989"/>
      <c r="KHI1060" s="989"/>
      <c r="KHJ1060" s="989"/>
      <c r="KHK1060" s="989"/>
      <c r="KHL1060" s="989"/>
      <c r="KHM1060" s="989"/>
      <c r="KHN1060" s="989"/>
      <c r="KHO1060" s="989"/>
      <c r="KHP1060" s="989"/>
      <c r="KHQ1060" s="989"/>
      <c r="KHR1060" s="989"/>
      <c r="KHS1060" s="989"/>
      <c r="KHT1060" s="989"/>
      <c r="KHU1060" s="989"/>
      <c r="KHV1060" s="989"/>
      <c r="KHW1060" s="989"/>
      <c r="KHX1060" s="989"/>
      <c r="KHY1060" s="989"/>
      <c r="KHZ1060" s="989"/>
      <c r="KIA1060" s="989"/>
      <c r="KIB1060" s="989"/>
      <c r="KIC1060" s="989"/>
      <c r="KID1060" s="989"/>
      <c r="KIE1060" s="989"/>
      <c r="KIF1060" s="989"/>
      <c r="KIG1060" s="989"/>
      <c r="KIH1060" s="989"/>
      <c r="KII1060" s="989"/>
      <c r="KIJ1060" s="989"/>
      <c r="KIK1060" s="989"/>
      <c r="KIL1060" s="989"/>
      <c r="KIM1060" s="989"/>
      <c r="KIN1060" s="989"/>
      <c r="KIO1060" s="989"/>
      <c r="KIP1060" s="989"/>
      <c r="KIQ1060" s="989"/>
      <c r="KIR1060" s="989"/>
      <c r="KIS1060" s="989"/>
      <c r="KIT1060" s="989"/>
      <c r="KIU1060" s="989"/>
      <c r="KIV1060" s="989"/>
      <c r="KIW1060" s="989"/>
      <c r="KIX1060" s="989"/>
      <c r="KIY1060" s="989"/>
      <c r="KIZ1060" s="989"/>
      <c r="KJA1060" s="989"/>
      <c r="KJB1060" s="989"/>
      <c r="KJC1060" s="989"/>
      <c r="KJD1060" s="989"/>
      <c r="KJE1060" s="989"/>
      <c r="KJF1060" s="989"/>
      <c r="KJG1060" s="989"/>
      <c r="KJH1060" s="989"/>
      <c r="KJI1060" s="989"/>
      <c r="KJJ1060" s="989"/>
      <c r="KJK1060" s="989"/>
      <c r="KJL1060" s="989"/>
      <c r="KJM1060" s="989"/>
      <c r="KJN1060" s="989"/>
      <c r="KJO1060" s="989"/>
      <c r="KJP1060" s="989"/>
      <c r="KJQ1060" s="989"/>
      <c r="KJR1060" s="989"/>
      <c r="KJS1060" s="989"/>
      <c r="KJT1060" s="989"/>
      <c r="KJU1060" s="989"/>
      <c r="KJV1060" s="989"/>
      <c r="KJW1060" s="989"/>
      <c r="KJX1060" s="989"/>
      <c r="KJY1060" s="989"/>
      <c r="KJZ1060" s="989"/>
      <c r="KKA1060" s="989"/>
      <c r="KKB1060" s="989"/>
      <c r="KKC1060" s="989"/>
      <c r="KKD1060" s="989"/>
      <c r="KKE1060" s="989"/>
      <c r="KKF1060" s="989"/>
      <c r="KKG1060" s="989"/>
      <c r="KKH1060" s="989"/>
      <c r="KKI1060" s="989"/>
      <c r="KKJ1060" s="989"/>
      <c r="KKK1060" s="989"/>
      <c r="KKL1060" s="989"/>
      <c r="KKM1060" s="989"/>
      <c r="KKN1060" s="989"/>
      <c r="KKO1060" s="989"/>
      <c r="KKP1060" s="989"/>
      <c r="KKQ1060" s="989"/>
      <c r="KKR1060" s="989"/>
      <c r="KKS1060" s="989"/>
      <c r="KKT1060" s="989"/>
      <c r="KKU1060" s="989"/>
      <c r="KKV1060" s="989"/>
      <c r="KKW1060" s="989"/>
      <c r="KKX1060" s="989"/>
      <c r="KKY1060" s="989"/>
      <c r="KKZ1060" s="989"/>
      <c r="KLA1060" s="989"/>
      <c r="KLB1060" s="989"/>
      <c r="KLC1060" s="989"/>
      <c r="KLD1060" s="989"/>
      <c r="KLE1060" s="989"/>
      <c r="KLF1060" s="989"/>
      <c r="KLG1060" s="989"/>
      <c r="KLH1060" s="989"/>
      <c r="KLI1060" s="989"/>
      <c r="KLJ1060" s="989"/>
      <c r="KLK1060" s="989"/>
      <c r="KLL1060" s="989"/>
      <c r="KLM1060" s="989"/>
      <c r="KLN1060" s="989"/>
      <c r="KLO1060" s="989"/>
      <c r="KLP1060" s="989"/>
      <c r="KLQ1060" s="989"/>
      <c r="KLR1060" s="989"/>
      <c r="KLS1060" s="989"/>
      <c r="KLT1060" s="989"/>
      <c r="KLU1060" s="989"/>
      <c r="KLV1060" s="989"/>
      <c r="KLW1060" s="989"/>
      <c r="KLX1060" s="989"/>
      <c r="KLY1060" s="989"/>
      <c r="KLZ1060" s="989"/>
      <c r="KMA1060" s="989"/>
      <c r="KMB1060" s="989"/>
      <c r="KMC1060" s="989"/>
      <c r="KMD1060" s="989"/>
      <c r="KME1060" s="989"/>
      <c r="KMF1060" s="989"/>
      <c r="KMG1060" s="989"/>
      <c r="KMH1060" s="989"/>
      <c r="KMI1060" s="989"/>
      <c r="KMJ1060" s="989"/>
      <c r="KMK1060" s="989"/>
      <c r="KML1060" s="989"/>
      <c r="KMM1060" s="989"/>
      <c r="KMN1060" s="989"/>
      <c r="KMO1060" s="989"/>
      <c r="KMP1060" s="989"/>
      <c r="KMQ1060" s="989"/>
      <c r="KMR1060" s="989"/>
      <c r="KMS1060" s="989"/>
      <c r="KMT1060" s="989"/>
      <c r="KMU1060" s="989"/>
      <c r="KMV1060" s="989"/>
      <c r="KMW1060" s="989"/>
      <c r="KMX1060" s="989"/>
      <c r="KMY1060" s="989"/>
      <c r="KMZ1060" s="989"/>
      <c r="KNA1060" s="989"/>
      <c r="KNB1060" s="989"/>
      <c r="KNC1060" s="989"/>
      <c r="KND1060" s="989"/>
      <c r="KNE1060" s="989"/>
      <c r="KNF1060" s="989"/>
      <c r="KNG1060" s="989"/>
      <c r="KNH1060" s="989"/>
      <c r="KNI1060" s="989"/>
      <c r="KNJ1060" s="989"/>
      <c r="KNK1060" s="989"/>
      <c r="KNL1060" s="989"/>
      <c r="KNM1060" s="989"/>
      <c r="KNN1060" s="989"/>
      <c r="KNO1060" s="989"/>
      <c r="KNP1060" s="989"/>
      <c r="KNQ1060" s="989"/>
      <c r="KNR1060" s="989"/>
      <c r="KNS1060" s="989"/>
      <c r="KNT1060" s="989"/>
      <c r="KNU1060" s="989"/>
      <c r="KNV1060" s="989"/>
      <c r="KNW1060" s="989"/>
      <c r="KNX1060" s="989"/>
      <c r="KNY1060" s="989"/>
      <c r="KNZ1060" s="989"/>
      <c r="KOA1060" s="989"/>
      <c r="KOB1060" s="989"/>
      <c r="KOC1060" s="989"/>
      <c r="KOD1060" s="989"/>
      <c r="KOE1060" s="989"/>
      <c r="KOF1060" s="989"/>
      <c r="KOG1060" s="989"/>
      <c r="KOH1060" s="989"/>
      <c r="KOI1060" s="989"/>
      <c r="KOJ1060" s="989"/>
      <c r="KOK1060" s="989"/>
      <c r="KOL1060" s="989"/>
      <c r="KOM1060" s="989"/>
      <c r="KON1060" s="989"/>
      <c r="KOO1060" s="989"/>
      <c r="KOP1060" s="989"/>
      <c r="KOQ1060" s="989"/>
      <c r="KOR1060" s="989"/>
      <c r="KOS1060" s="989"/>
      <c r="KOT1060" s="989"/>
      <c r="KOU1060" s="989"/>
      <c r="KOV1060" s="989"/>
      <c r="KOW1060" s="989"/>
      <c r="KOX1060" s="989"/>
      <c r="KOY1060" s="989"/>
      <c r="KOZ1060" s="989"/>
      <c r="KPA1060" s="989"/>
      <c r="KPB1060" s="989"/>
      <c r="KPC1060" s="989"/>
      <c r="KPD1060" s="989"/>
      <c r="KPE1060" s="989"/>
      <c r="KPF1060" s="989"/>
      <c r="KPG1060" s="989"/>
      <c r="KPH1060" s="989"/>
      <c r="KPI1060" s="989"/>
      <c r="KPJ1060" s="989"/>
      <c r="KPK1060" s="989"/>
      <c r="KPL1060" s="989"/>
      <c r="KPM1060" s="989"/>
      <c r="KPN1060" s="989"/>
      <c r="KPO1060" s="989"/>
      <c r="KPP1060" s="989"/>
      <c r="KPQ1060" s="989"/>
      <c r="KPR1060" s="989"/>
      <c r="KPS1060" s="989"/>
      <c r="KPT1060" s="989"/>
      <c r="KPU1060" s="989"/>
      <c r="KPV1060" s="989"/>
      <c r="KPW1060" s="989"/>
      <c r="KPX1060" s="989"/>
      <c r="KPY1060" s="989"/>
      <c r="KPZ1060" s="989"/>
      <c r="KQA1060" s="989"/>
      <c r="KQB1060" s="989"/>
      <c r="KQC1060" s="989"/>
      <c r="KQD1060" s="989"/>
      <c r="KQE1060" s="989"/>
      <c r="KQF1060" s="989"/>
      <c r="KQG1060" s="989"/>
      <c r="KQH1060" s="989"/>
      <c r="KQI1060" s="989"/>
      <c r="KQJ1060" s="989"/>
      <c r="KQK1060" s="989"/>
      <c r="KQL1060" s="989"/>
      <c r="KQM1060" s="989"/>
      <c r="KQN1060" s="989"/>
      <c r="KQO1060" s="989"/>
      <c r="KQP1060" s="989"/>
      <c r="KQQ1060" s="989"/>
      <c r="KQR1060" s="989"/>
      <c r="KQS1060" s="989"/>
      <c r="KQT1060" s="989"/>
      <c r="KQU1060" s="989"/>
      <c r="KQV1060" s="989"/>
      <c r="KQW1060" s="989"/>
      <c r="KQX1060" s="989"/>
      <c r="KQY1060" s="989"/>
      <c r="KQZ1060" s="989"/>
      <c r="KRA1060" s="989"/>
      <c r="KRB1060" s="989"/>
      <c r="KRC1060" s="989"/>
      <c r="KRD1060" s="989"/>
      <c r="KRE1060" s="989"/>
      <c r="KRF1060" s="989"/>
      <c r="KRG1060" s="989"/>
      <c r="KRH1060" s="989"/>
      <c r="KRI1060" s="989"/>
      <c r="KRJ1060" s="989"/>
      <c r="KRK1060" s="989"/>
      <c r="KRL1060" s="989"/>
      <c r="KRM1060" s="989"/>
      <c r="KRN1060" s="989"/>
      <c r="KRO1060" s="989"/>
      <c r="KRP1060" s="989"/>
      <c r="KRQ1060" s="989"/>
      <c r="KRR1060" s="989"/>
      <c r="KRS1060" s="989"/>
      <c r="KRT1060" s="989"/>
      <c r="KRU1060" s="989"/>
      <c r="KRV1060" s="989"/>
      <c r="KRW1060" s="989"/>
      <c r="KRX1060" s="989"/>
      <c r="KRY1060" s="989"/>
      <c r="KRZ1060" s="989"/>
      <c r="KSA1060" s="989"/>
      <c r="KSB1060" s="989"/>
      <c r="KSC1060" s="989"/>
      <c r="KSD1060" s="989"/>
      <c r="KSE1060" s="989"/>
      <c r="KSF1060" s="989"/>
      <c r="KSG1060" s="989"/>
      <c r="KSH1060" s="989"/>
      <c r="KSI1060" s="989"/>
      <c r="KSJ1060" s="989"/>
      <c r="KSK1060" s="989"/>
      <c r="KSL1060" s="989"/>
      <c r="KSM1060" s="989"/>
      <c r="KSN1060" s="989"/>
      <c r="KSO1060" s="989"/>
      <c r="KSP1060" s="989"/>
      <c r="KSQ1060" s="989"/>
      <c r="KSR1060" s="989"/>
      <c r="KSS1060" s="989"/>
      <c r="KST1060" s="989"/>
      <c r="KSU1060" s="989"/>
      <c r="KSV1060" s="989"/>
      <c r="KSW1060" s="989"/>
      <c r="KSX1060" s="989"/>
      <c r="KSY1060" s="989"/>
      <c r="KSZ1060" s="989"/>
      <c r="KTA1060" s="989"/>
      <c r="KTB1060" s="989"/>
      <c r="KTC1060" s="989"/>
      <c r="KTD1060" s="989"/>
      <c r="KTE1060" s="989"/>
      <c r="KTF1060" s="989"/>
      <c r="KTG1060" s="989"/>
      <c r="KTH1060" s="989"/>
      <c r="KTI1060" s="989"/>
      <c r="KTJ1060" s="989"/>
      <c r="KTK1060" s="989"/>
      <c r="KTL1060" s="989"/>
      <c r="KTM1060" s="989"/>
      <c r="KTN1060" s="989"/>
      <c r="KTO1060" s="989"/>
      <c r="KTP1060" s="989"/>
      <c r="KTQ1060" s="989"/>
      <c r="KTR1060" s="989"/>
      <c r="KTS1060" s="989"/>
      <c r="KTT1060" s="989"/>
      <c r="KTU1060" s="989"/>
      <c r="KTV1060" s="989"/>
      <c r="KTW1060" s="989"/>
      <c r="KTX1060" s="989"/>
      <c r="KTY1060" s="989"/>
      <c r="KTZ1060" s="989"/>
      <c r="KUA1060" s="989"/>
      <c r="KUB1060" s="989"/>
      <c r="KUC1060" s="989"/>
      <c r="KUD1060" s="989"/>
      <c r="KUE1060" s="989"/>
      <c r="KUF1060" s="989"/>
      <c r="KUG1060" s="989"/>
      <c r="KUH1060" s="989"/>
      <c r="KUI1060" s="989"/>
      <c r="KUJ1060" s="989"/>
      <c r="KUK1060" s="989"/>
      <c r="KUL1060" s="989"/>
      <c r="KUM1060" s="989"/>
      <c r="KUN1060" s="989"/>
      <c r="KUO1060" s="989"/>
      <c r="KUP1060" s="989"/>
      <c r="KUQ1060" s="989"/>
      <c r="KUR1060" s="989"/>
      <c r="KUS1060" s="989"/>
      <c r="KUT1060" s="989"/>
      <c r="KUU1060" s="989"/>
      <c r="KUV1060" s="989"/>
      <c r="KUW1060" s="989"/>
      <c r="KUX1060" s="989"/>
      <c r="KUY1060" s="989"/>
      <c r="KUZ1060" s="989"/>
      <c r="KVA1060" s="989"/>
      <c r="KVB1060" s="989"/>
      <c r="KVC1060" s="989"/>
      <c r="KVD1060" s="989"/>
      <c r="KVE1060" s="989"/>
      <c r="KVF1060" s="989"/>
      <c r="KVG1060" s="989"/>
      <c r="KVH1060" s="989"/>
      <c r="KVI1060" s="989"/>
      <c r="KVJ1060" s="989"/>
      <c r="KVK1060" s="989"/>
      <c r="KVL1060" s="989"/>
      <c r="KVM1060" s="989"/>
      <c r="KVN1060" s="989"/>
      <c r="KVO1060" s="989"/>
      <c r="KVP1060" s="989"/>
      <c r="KVQ1060" s="989"/>
      <c r="KVR1060" s="989"/>
      <c r="KVS1060" s="989"/>
      <c r="KVT1060" s="989"/>
      <c r="KVU1060" s="989"/>
      <c r="KVV1060" s="989"/>
      <c r="KVW1060" s="989"/>
      <c r="KVX1060" s="989"/>
      <c r="KVY1060" s="989"/>
      <c r="KVZ1060" s="989"/>
      <c r="KWA1060" s="989"/>
      <c r="KWB1060" s="989"/>
      <c r="KWC1060" s="989"/>
      <c r="KWD1060" s="989"/>
      <c r="KWE1060" s="989"/>
      <c r="KWF1060" s="989"/>
      <c r="KWG1060" s="989"/>
      <c r="KWH1060" s="989"/>
      <c r="KWI1060" s="989"/>
      <c r="KWJ1060" s="989"/>
      <c r="KWK1060" s="989"/>
      <c r="KWL1060" s="989"/>
      <c r="KWM1060" s="989"/>
      <c r="KWN1060" s="989"/>
      <c r="KWO1060" s="989"/>
      <c r="KWP1060" s="989"/>
      <c r="KWQ1060" s="989"/>
      <c r="KWR1060" s="989"/>
      <c r="KWS1060" s="989"/>
      <c r="KWT1060" s="989"/>
      <c r="KWU1060" s="989"/>
      <c r="KWV1060" s="989"/>
      <c r="KWW1060" s="989"/>
      <c r="KWX1060" s="989"/>
      <c r="KWY1060" s="989"/>
      <c r="KWZ1060" s="989"/>
      <c r="KXA1060" s="989"/>
      <c r="KXB1060" s="989"/>
      <c r="KXC1060" s="989"/>
      <c r="KXD1060" s="989"/>
      <c r="KXE1060" s="989"/>
      <c r="KXF1060" s="989"/>
      <c r="KXG1060" s="989"/>
      <c r="KXH1060" s="989"/>
      <c r="KXI1060" s="989"/>
      <c r="KXJ1060" s="989"/>
      <c r="KXK1060" s="989"/>
      <c r="KXL1060" s="989"/>
      <c r="KXM1060" s="989"/>
      <c r="KXN1060" s="989"/>
      <c r="KXO1060" s="989"/>
      <c r="KXP1060" s="989"/>
      <c r="KXQ1060" s="989"/>
      <c r="KXR1060" s="989"/>
      <c r="KXS1060" s="989"/>
      <c r="KXT1060" s="989"/>
      <c r="KXU1060" s="989"/>
      <c r="KXV1060" s="989"/>
      <c r="KXW1060" s="989"/>
      <c r="KXX1060" s="989"/>
      <c r="KXY1060" s="989"/>
      <c r="KXZ1060" s="989"/>
      <c r="KYA1060" s="989"/>
      <c r="KYB1060" s="989"/>
      <c r="KYC1060" s="989"/>
      <c r="KYD1060" s="989"/>
      <c r="KYE1060" s="989"/>
      <c r="KYF1060" s="989"/>
      <c r="KYG1060" s="989"/>
      <c r="KYH1060" s="989"/>
      <c r="KYI1060" s="989"/>
      <c r="KYJ1060" s="989"/>
      <c r="KYK1060" s="989"/>
      <c r="KYL1060" s="989"/>
      <c r="KYM1060" s="989"/>
      <c r="KYN1060" s="989"/>
      <c r="KYO1060" s="989"/>
      <c r="KYP1060" s="989"/>
      <c r="KYQ1060" s="989"/>
      <c r="KYR1060" s="989"/>
      <c r="KYS1060" s="989"/>
      <c r="KYT1060" s="989"/>
      <c r="KYU1060" s="989"/>
      <c r="KYV1060" s="989"/>
      <c r="KYW1060" s="989"/>
      <c r="KYX1060" s="989"/>
      <c r="KYY1060" s="989"/>
      <c r="KYZ1060" s="989"/>
      <c r="KZA1060" s="989"/>
      <c r="KZB1060" s="989"/>
      <c r="KZC1060" s="989"/>
      <c r="KZD1060" s="989"/>
      <c r="KZE1060" s="989"/>
      <c r="KZF1060" s="989"/>
      <c r="KZG1060" s="989"/>
      <c r="KZH1060" s="989"/>
      <c r="KZI1060" s="989"/>
      <c r="KZJ1060" s="989"/>
      <c r="KZK1060" s="989"/>
      <c r="KZL1060" s="989"/>
      <c r="KZM1060" s="989"/>
      <c r="KZN1060" s="989"/>
      <c r="KZO1060" s="989"/>
      <c r="KZP1060" s="989"/>
      <c r="KZQ1060" s="989"/>
      <c r="KZR1060" s="989"/>
      <c r="KZS1060" s="989"/>
      <c r="KZT1060" s="989"/>
      <c r="KZU1060" s="989"/>
      <c r="KZV1060" s="989"/>
      <c r="KZW1060" s="989"/>
      <c r="KZX1060" s="989"/>
      <c r="KZY1060" s="989"/>
      <c r="KZZ1060" s="989"/>
      <c r="LAA1060" s="989"/>
      <c r="LAB1060" s="989"/>
      <c r="LAC1060" s="989"/>
      <c r="LAD1060" s="989"/>
      <c r="LAE1060" s="989"/>
      <c r="LAF1060" s="989"/>
      <c r="LAG1060" s="989"/>
      <c r="LAH1060" s="989"/>
      <c r="LAI1060" s="989"/>
      <c r="LAJ1060" s="989"/>
      <c r="LAK1060" s="989"/>
      <c r="LAL1060" s="989"/>
      <c r="LAM1060" s="989"/>
      <c r="LAN1060" s="989"/>
      <c r="LAO1060" s="989"/>
      <c r="LAP1060" s="989"/>
      <c r="LAQ1060" s="989"/>
      <c r="LAR1060" s="989"/>
      <c r="LAS1060" s="989"/>
      <c r="LAT1060" s="989"/>
      <c r="LAU1060" s="989"/>
      <c r="LAV1060" s="989"/>
      <c r="LAW1060" s="989"/>
      <c r="LAX1060" s="989"/>
      <c r="LAY1060" s="989"/>
      <c r="LAZ1060" s="989"/>
      <c r="LBA1060" s="989"/>
      <c r="LBB1060" s="989"/>
      <c r="LBC1060" s="989"/>
      <c r="LBD1060" s="989"/>
      <c r="LBE1060" s="989"/>
      <c r="LBF1060" s="989"/>
      <c r="LBG1060" s="989"/>
      <c r="LBH1060" s="989"/>
      <c r="LBI1060" s="989"/>
      <c r="LBJ1060" s="989"/>
      <c r="LBK1060" s="989"/>
      <c r="LBL1060" s="989"/>
      <c r="LBM1060" s="989"/>
      <c r="LBN1060" s="989"/>
      <c r="LBO1060" s="989"/>
      <c r="LBP1060" s="989"/>
      <c r="LBQ1060" s="989"/>
      <c r="LBR1060" s="989"/>
      <c r="LBS1060" s="989"/>
      <c r="LBT1060" s="989"/>
      <c r="LBU1060" s="989"/>
      <c r="LBV1060" s="989"/>
      <c r="LBW1060" s="989"/>
      <c r="LBX1060" s="989"/>
      <c r="LBY1060" s="989"/>
      <c r="LBZ1060" s="989"/>
      <c r="LCA1060" s="989"/>
      <c r="LCB1060" s="989"/>
      <c r="LCC1060" s="989"/>
      <c r="LCD1060" s="989"/>
      <c r="LCE1060" s="989"/>
      <c r="LCF1060" s="989"/>
      <c r="LCG1060" s="989"/>
      <c r="LCH1060" s="989"/>
      <c r="LCI1060" s="989"/>
      <c r="LCJ1060" s="989"/>
      <c r="LCK1060" s="989"/>
      <c r="LCL1060" s="989"/>
      <c r="LCM1060" s="989"/>
      <c r="LCN1060" s="989"/>
      <c r="LCO1060" s="989"/>
      <c r="LCP1060" s="989"/>
      <c r="LCQ1060" s="989"/>
      <c r="LCR1060" s="989"/>
      <c r="LCS1060" s="989"/>
      <c r="LCT1060" s="989"/>
      <c r="LCU1060" s="989"/>
      <c r="LCV1060" s="989"/>
      <c r="LCW1060" s="989"/>
      <c r="LCX1060" s="989"/>
      <c r="LCY1060" s="989"/>
      <c r="LCZ1060" s="989"/>
      <c r="LDA1060" s="989"/>
      <c r="LDB1060" s="989"/>
      <c r="LDC1060" s="989"/>
      <c r="LDD1060" s="989"/>
      <c r="LDE1060" s="989"/>
      <c r="LDF1060" s="989"/>
      <c r="LDG1060" s="989"/>
      <c r="LDH1060" s="989"/>
      <c r="LDI1060" s="989"/>
      <c r="LDJ1060" s="989"/>
      <c r="LDK1060" s="989"/>
      <c r="LDL1060" s="989"/>
      <c r="LDM1060" s="989"/>
      <c r="LDN1060" s="989"/>
      <c r="LDO1060" s="989"/>
      <c r="LDP1060" s="989"/>
      <c r="LDQ1060" s="989"/>
      <c r="LDR1060" s="989"/>
      <c r="LDS1060" s="989"/>
      <c r="LDT1060" s="989"/>
      <c r="LDU1060" s="989"/>
      <c r="LDV1060" s="989"/>
      <c r="LDW1060" s="989"/>
      <c r="LDX1060" s="989"/>
      <c r="LDY1060" s="989"/>
      <c r="LDZ1060" s="989"/>
      <c r="LEA1060" s="989"/>
      <c r="LEB1060" s="989"/>
      <c r="LEC1060" s="989"/>
      <c r="LED1060" s="989"/>
      <c r="LEE1060" s="989"/>
      <c r="LEF1060" s="989"/>
      <c r="LEG1060" s="989"/>
      <c r="LEH1060" s="989"/>
      <c r="LEI1060" s="989"/>
      <c r="LEJ1060" s="989"/>
      <c r="LEK1060" s="989"/>
      <c r="LEL1060" s="989"/>
      <c r="LEM1060" s="989"/>
      <c r="LEN1060" s="989"/>
      <c r="LEO1060" s="989"/>
      <c r="LEP1060" s="989"/>
      <c r="LEQ1060" s="989"/>
      <c r="LER1060" s="989"/>
      <c r="LES1060" s="989"/>
      <c r="LET1060" s="989"/>
      <c r="LEU1060" s="989"/>
      <c r="LEV1060" s="989"/>
      <c r="LEW1060" s="989"/>
      <c r="LEX1060" s="989"/>
      <c r="LEY1060" s="989"/>
      <c r="LEZ1060" s="989"/>
      <c r="LFA1060" s="989"/>
      <c r="LFB1060" s="989"/>
      <c r="LFC1060" s="989"/>
      <c r="LFD1060" s="989"/>
      <c r="LFE1060" s="989"/>
      <c r="LFF1060" s="989"/>
      <c r="LFG1060" s="989"/>
      <c r="LFH1060" s="989"/>
      <c r="LFI1060" s="989"/>
      <c r="LFJ1060" s="989"/>
      <c r="LFK1060" s="989"/>
      <c r="LFL1060" s="989"/>
      <c r="LFM1060" s="989"/>
      <c r="LFN1060" s="989"/>
      <c r="LFO1060" s="989"/>
      <c r="LFP1060" s="989"/>
      <c r="LFQ1060" s="989"/>
      <c r="LFR1060" s="989"/>
      <c r="LFS1060" s="989"/>
      <c r="LFT1060" s="989"/>
      <c r="LFU1060" s="989"/>
      <c r="LFV1060" s="989"/>
      <c r="LFW1060" s="989"/>
      <c r="LFX1060" s="989"/>
      <c r="LFY1060" s="989"/>
      <c r="LFZ1060" s="989"/>
      <c r="LGA1060" s="989"/>
      <c r="LGB1060" s="989"/>
      <c r="LGC1060" s="989"/>
      <c r="LGD1060" s="989"/>
      <c r="LGE1060" s="989"/>
      <c r="LGF1060" s="989"/>
      <c r="LGG1060" s="989"/>
      <c r="LGH1060" s="989"/>
      <c r="LGI1060" s="989"/>
      <c r="LGJ1060" s="989"/>
      <c r="LGK1060" s="989"/>
      <c r="LGL1060" s="989"/>
      <c r="LGM1060" s="989"/>
      <c r="LGN1060" s="989"/>
      <c r="LGO1060" s="989"/>
      <c r="LGP1060" s="989"/>
      <c r="LGQ1060" s="989"/>
      <c r="LGR1060" s="989"/>
      <c r="LGS1060" s="989"/>
      <c r="LGT1060" s="989"/>
      <c r="LGU1060" s="989"/>
      <c r="LGV1060" s="989"/>
      <c r="LGW1060" s="989"/>
      <c r="LGX1060" s="989"/>
      <c r="LGY1060" s="989"/>
      <c r="LGZ1060" s="989"/>
      <c r="LHA1060" s="989"/>
      <c r="LHB1060" s="989"/>
      <c r="LHC1060" s="989"/>
      <c r="LHD1060" s="989"/>
      <c r="LHE1060" s="989"/>
      <c r="LHF1060" s="989"/>
      <c r="LHG1060" s="989"/>
      <c r="LHH1060" s="989"/>
      <c r="LHI1060" s="989"/>
      <c r="LHJ1060" s="989"/>
      <c r="LHK1060" s="989"/>
      <c r="LHL1060" s="989"/>
      <c r="LHM1060" s="989"/>
      <c r="LHN1060" s="989"/>
      <c r="LHO1060" s="989"/>
      <c r="LHP1060" s="989"/>
      <c r="LHQ1060" s="989"/>
      <c r="LHR1060" s="989"/>
      <c r="LHS1060" s="989"/>
      <c r="LHT1060" s="989"/>
      <c r="LHU1060" s="989"/>
      <c r="LHV1060" s="989"/>
      <c r="LHW1060" s="989"/>
      <c r="LHX1060" s="989"/>
      <c r="LHY1060" s="989"/>
      <c r="LHZ1060" s="989"/>
      <c r="LIA1060" s="989"/>
      <c r="LIB1060" s="989"/>
      <c r="LIC1060" s="989"/>
      <c r="LID1060" s="989"/>
      <c r="LIE1060" s="989"/>
      <c r="LIF1060" s="989"/>
      <c r="LIG1060" s="989"/>
      <c r="LIH1060" s="989"/>
      <c r="LII1060" s="989"/>
      <c r="LIJ1060" s="989"/>
      <c r="LIK1060" s="989"/>
      <c r="LIL1060" s="989"/>
      <c r="LIM1060" s="989"/>
      <c r="LIN1060" s="989"/>
      <c r="LIO1060" s="989"/>
      <c r="LIP1060" s="989"/>
      <c r="LIQ1060" s="989"/>
      <c r="LIR1060" s="989"/>
      <c r="LIS1060" s="989"/>
      <c r="LIT1060" s="989"/>
      <c r="LIU1060" s="989"/>
      <c r="LIV1060" s="989"/>
      <c r="LIW1060" s="989"/>
      <c r="LIX1060" s="989"/>
      <c r="LIY1060" s="989"/>
      <c r="LIZ1060" s="989"/>
      <c r="LJA1060" s="989"/>
      <c r="LJB1060" s="989"/>
      <c r="LJC1060" s="989"/>
      <c r="LJD1060" s="989"/>
      <c r="LJE1060" s="989"/>
      <c r="LJF1060" s="989"/>
      <c r="LJG1060" s="989"/>
      <c r="LJH1060" s="989"/>
      <c r="LJI1060" s="989"/>
      <c r="LJJ1060" s="989"/>
      <c r="LJK1060" s="989"/>
      <c r="LJL1060" s="989"/>
      <c r="LJM1060" s="989"/>
      <c r="LJN1060" s="989"/>
      <c r="LJO1060" s="989"/>
      <c r="LJP1060" s="989"/>
      <c r="LJQ1060" s="989"/>
      <c r="LJR1060" s="989"/>
      <c r="LJS1060" s="989"/>
      <c r="LJT1060" s="989"/>
      <c r="LJU1060" s="989"/>
      <c r="LJV1060" s="989"/>
      <c r="LJW1060" s="989"/>
      <c r="LJX1060" s="989"/>
      <c r="LJY1060" s="989"/>
      <c r="LJZ1060" s="989"/>
      <c r="LKA1060" s="989"/>
      <c r="LKB1060" s="989"/>
      <c r="LKC1060" s="989"/>
      <c r="LKD1060" s="989"/>
      <c r="LKE1060" s="989"/>
      <c r="LKF1060" s="989"/>
      <c r="LKG1060" s="989"/>
      <c r="LKH1060" s="989"/>
      <c r="LKI1060" s="989"/>
      <c r="LKJ1060" s="989"/>
      <c r="LKK1060" s="989"/>
      <c r="LKL1060" s="989"/>
      <c r="LKM1060" s="989"/>
      <c r="LKN1060" s="989"/>
      <c r="LKO1060" s="989"/>
      <c r="LKP1060" s="989"/>
      <c r="LKQ1060" s="989"/>
      <c r="LKR1060" s="989"/>
      <c r="LKS1060" s="989"/>
      <c r="LKT1060" s="989"/>
      <c r="LKU1060" s="989"/>
      <c r="LKV1060" s="989"/>
      <c r="LKW1060" s="989"/>
      <c r="LKX1060" s="989"/>
      <c r="LKY1060" s="989"/>
      <c r="LKZ1060" s="989"/>
      <c r="LLA1060" s="989"/>
      <c r="LLB1060" s="989"/>
      <c r="LLC1060" s="989"/>
      <c r="LLD1060" s="989"/>
      <c r="LLE1060" s="989"/>
      <c r="LLF1060" s="989"/>
      <c r="LLG1060" s="989"/>
      <c r="LLH1060" s="989"/>
      <c r="LLI1060" s="989"/>
      <c r="LLJ1060" s="989"/>
      <c r="LLK1060" s="989"/>
      <c r="LLL1060" s="989"/>
      <c r="LLM1060" s="989"/>
      <c r="LLN1060" s="989"/>
      <c r="LLO1060" s="989"/>
      <c r="LLP1060" s="989"/>
      <c r="LLQ1060" s="989"/>
      <c r="LLR1060" s="989"/>
      <c r="LLS1060" s="989"/>
      <c r="LLT1060" s="989"/>
      <c r="LLU1060" s="989"/>
      <c r="LLV1060" s="989"/>
      <c r="LLW1060" s="989"/>
      <c r="LLX1060" s="989"/>
      <c r="LLY1060" s="989"/>
      <c r="LLZ1060" s="989"/>
      <c r="LMA1060" s="989"/>
      <c r="LMB1060" s="989"/>
      <c r="LMC1060" s="989"/>
      <c r="LMD1060" s="989"/>
      <c r="LME1060" s="989"/>
      <c r="LMF1060" s="989"/>
      <c r="LMG1060" s="989"/>
      <c r="LMH1060" s="989"/>
      <c r="LMI1060" s="989"/>
      <c r="LMJ1060" s="989"/>
      <c r="LMK1060" s="989"/>
      <c r="LML1060" s="989"/>
      <c r="LMM1060" s="989"/>
      <c r="LMN1060" s="989"/>
      <c r="LMO1060" s="989"/>
      <c r="LMP1060" s="989"/>
      <c r="LMQ1060" s="989"/>
      <c r="LMR1060" s="989"/>
      <c r="LMS1060" s="989"/>
      <c r="LMT1060" s="989"/>
      <c r="LMU1060" s="989"/>
      <c r="LMV1060" s="989"/>
      <c r="LMW1060" s="989"/>
      <c r="LMX1060" s="989"/>
      <c r="LMY1060" s="989"/>
      <c r="LMZ1060" s="989"/>
      <c r="LNA1060" s="989"/>
      <c r="LNB1060" s="989"/>
      <c r="LNC1060" s="989"/>
      <c r="LND1060" s="989"/>
      <c r="LNE1060" s="989"/>
      <c r="LNF1060" s="989"/>
      <c r="LNG1060" s="989"/>
      <c r="LNH1060" s="989"/>
      <c r="LNI1060" s="989"/>
      <c r="LNJ1060" s="989"/>
      <c r="LNK1060" s="989"/>
      <c r="LNL1060" s="989"/>
      <c r="LNM1060" s="989"/>
      <c r="LNN1060" s="989"/>
      <c r="LNO1060" s="989"/>
      <c r="LNP1060" s="989"/>
      <c r="LNQ1060" s="989"/>
      <c r="LNR1060" s="989"/>
      <c r="LNS1060" s="989"/>
      <c r="LNT1060" s="989"/>
      <c r="LNU1060" s="989"/>
      <c r="LNV1060" s="989"/>
      <c r="LNW1060" s="989"/>
      <c r="LNX1060" s="989"/>
      <c r="LNY1060" s="989"/>
      <c r="LNZ1060" s="989"/>
      <c r="LOA1060" s="989"/>
      <c r="LOB1060" s="989"/>
      <c r="LOC1060" s="989"/>
      <c r="LOD1060" s="989"/>
      <c r="LOE1060" s="989"/>
      <c r="LOF1060" s="989"/>
      <c r="LOG1060" s="989"/>
      <c r="LOH1060" s="989"/>
      <c r="LOI1060" s="989"/>
      <c r="LOJ1060" s="989"/>
      <c r="LOK1060" s="989"/>
      <c r="LOL1060" s="989"/>
      <c r="LOM1060" s="989"/>
      <c r="LON1060" s="989"/>
      <c r="LOO1060" s="989"/>
      <c r="LOP1060" s="989"/>
      <c r="LOQ1060" s="989"/>
      <c r="LOR1060" s="989"/>
      <c r="LOS1060" s="989"/>
      <c r="LOT1060" s="989"/>
      <c r="LOU1060" s="989"/>
      <c r="LOV1060" s="989"/>
      <c r="LOW1060" s="989"/>
      <c r="LOX1060" s="989"/>
      <c r="LOY1060" s="989"/>
      <c r="LOZ1060" s="989"/>
      <c r="LPA1060" s="989"/>
      <c r="LPB1060" s="989"/>
      <c r="LPC1060" s="989"/>
      <c r="LPD1060" s="989"/>
      <c r="LPE1060" s="989"/>
      <c r="LPF1060" s="989"/>
      <c r="LPG1060" s="989"/>
      <c r="LPH1060" s="989"/>
      <c r="LPI1060" s="989"/>
      <c r="LPJ1060" s="989"/>
      <c r="LPK1060" s="989"/>
      <c r="LPL1060" s="989"/>
      <c r="LPM1060" s="989"/>
      <c r="LPN1060" s="989"/>
      <c r="LPO1060" s="989"/>
      <c r="LPP1060" s="989"/>
      <c r="LPQ1060" s="989"/>
      <c r="LPR1060" s="989"/>
      <c r="LPS1060" s="989"/>
      <c r="LPT1060" s="989"/>
      <c r="LPU1060" s="989"/>
      <c r="LPV1060" s="989"/>
      <c r="LPW1060" s="989"/>
      <c r="LPX1060" s="989"/>
      <c r="LPY1060" s="989"/>
      <c r="LPZ1060" s="989"/>
      <c r="LQA1060" s="989"/>
      <c r="LQB1060" s="989"/>
      <c r="LQC1060" s="989"/>
      <c r="LQD1060" s="989"/>
      <c r="LQE1060" s="989"/>
      <c r="LQF1060" s="989"/>
      <c r="LQG1060" s="989"/>
      <c r="LQH1060" s="989"/>
      <c r="LQI1060" s="989"/>
      <c r="LQJ1060" s="989"/>
      <c r="LQK1060" s="989"/>
      <c r="LQL1060" s="989"/>
      <c r="LQM1060" s="989"/>
      <c r="LQN1060" s="989"/>
      <c r="LQO1060" s="989"/>
      <c r="LQP1060" s="989"/>
      <c r="LQQ1060" s="989"/>
      <c r="LQR1060" s="989"/>
      <c r="LQS1060" s="989"/>
      <c r="LQT1060" s="989"/>
      <c r="LQU1060" s="989"/>
      <c r="LQV1060" s="989"/>
      <c r="LQW1060" s="989"/>
      <c r="LQX1060" s="989"/>
      <c r="LQY1060" s="989"/>
      <c r="LQZ1060" s="989"/>
      <c r="LRA1060" s="989"/>
      <c r="LRB1060" s="989"/>
      <c r="LRC1060" s="989"/>
      <c r="LRD1060" s="989"/>
      <c r="LRE1060" s="989"/>
      <c r="LRF1060" s="989"/>
      <c r="LRG1060" s="989"/>
      <c r="LRH1060" s="989"/>
      <c r="LRI1060" s="989"/>
      <c r="LRJ1060" s="989"/>
      <c r="LRK1060" s="989"/>
      <c r="LRL1060" s="989"/>
      <c r="LRM1060" s="989"/>
      <c r="LRN1060" s="989"/>
      <c r="LRO1060" s="989"/>
      <c r="LRP1060" s="989"/>
      <c r="LRQ1060" s="989"/>
      <c r="LRR1060" s="989"/>
      <c r="LRS1060" s="989"/>
      <c r="LRT1060" s="989"/>
      <c r="LRU1060" s="989"/>
      <c r="LRV1060" s="989"/>
      <c r="LRW1060" s="989"/>
      <c r="LRX1060" s="989"/>
      <c r="LRY1060" s="989"/>
      <c r="LRZ1060" s="989"/>
      <c r="LSA1060" s="989"/>
      <c r="LSB1060" s="989"/>
      <c r="LSC1060" s="989"/>
      <c r="LSD1060" s="989"/>
      <c r="LSE1060" s="989"/>
      <c r="LSF1060" s="989"/>
      <c r="LSG1060" s="989"/>
      <c r="LSH1060" s="989"/>
      <c r="LSI1060" s="989"/>
      <c r="LSJ1060" s="989"/>
      <c r="LSK1060" s="989"/>
      <c r="LSL1060" s="989"/>
      <c r="LSM1060" s="989"/>
      <c r="LSN1060" s="989"/>
      <c r="LSO1060" s="989"/>
      <c r="LSP1060" s="989"/>
      <c r="LSQ1060" s="989"/>
      <c r="LSR1060" s="989"/>
      <c r="LSS1060" s="989"/>
      <c r="LST1060" s="989"/>
      <c r="LSU1060" s="989"/>
      <c r="LSV1060" s="989"/>
      <c r="LSW1060" s="989"/>
      <c r="LSX1060" s="989"/>
      <c r="LSY1060" s="989"/>
      <c r="LSZ1060" s="989"/>
      <c r="LTA1060" s="989"/>
      <c r="LTB1060" s="989"/>
      <c r="LTC1060" s="989"/>
      <c r="LTD1060" s="989"/>
      <c r="LTE1060" s="989"/>
      <c r="LTF1060" s="989"/>
      <c r="LTG1060" s="989"/>
      <c r="LTH1060" s="989"/>
      <c r="LTI1060" s="989"/>
      <c r="LTJ1060" s="989"/>
      <c r="LTK1060" s="989"/>
      <c r="LTL1060" s="989"/>
      <c r="LTM1060" s="989"/>
      <c r="LTN1060" s="989"/>
      <c r="LTO1060" s="989"/>
      <c r="LTP1060" s="989"/>
      <c r="LTQ1060" s="989"/>
      <c r="LTR1060" s="989"/>
      <c r="LTS1060" s="989"/>
      <c r="LTT1060" s="989"/>
      <c r="LTU1060" s="989"/>
      <c r="LTV1060" s="989"/>
      <c r="LTW1060" s="989"/>
      <c r="LTX1060" s="989"/>
      <c r="LTY1060" s="989"/>
      <c r="LTZ1060" s="989"/>
      <c r="LUA1060" s="989"/>
      <c r="LUB1060" s="989"/>
      <c r="LUC1060" s="989"/>
      <c r="LUD1060" s="989"/>
      <c r="LUE1060" s="989"/>
      <c r="LUF1060" s="989"/>
      <c r="LUG1060" s="989"/>
      <c r="LUH1060" s="989"/>
      <c r="LUI1060" s="989"/>
      <c r="LUJ1060" s="989"/>
      <c r="LUK1060" s="989"/>
      <c r="LUL1060" s="989"/>
      <c r="LUM1060" s="989"/>
      <c r="LUN1060" s="989"/>
      <c r="LUO1060" s="989"/>
      <c r="LUP1060" s="989"/>
      <c r="LUQ1060" s="989"/>
      <c r="LUR1060" s="989"/>
      <c r="LUS1060" s="989"/>
      <c r="LUT1060" s="989"/>
      <c r="LUU1060" s="989"/>
      <c r="LUV1060" s="989"/>
      <c r="LUW1060" s="989"/>
      <c r="LUX1060" s="989"/>
      <c r="LUY1060" s="989"/>
      <c r="LUZ1060" s="989"/>
      <c r="LVA1060" s="989"/>
      <c r="LVB1060" s="989"/>
      <c r="LVC1060" s="989"/>
      <c r="LVD1060" s="989"/>
      <c r="LVE1060" s="989"/>
      <c r="LVF1060" s="989"/>
      <c r="LVG1060" s="989"/>
      <c r="LVH1060" s="989"/>
      <c r="LVI1060" s="989"/>
      <c r="LVJ1060" s="989"/>
      <c r="LVK1060" s="989"/>
      <c r="LVL1060" s="989"/>
      <c r="LVM1060" s="989"/>
      <c r="LVN1060" s="989"/>
      <c r="LVO1060" s="989"/>
      <c r="LVP1060" s="989"/>
      <c r="LVQ1060" s="989"/>
      <c r="LVR1060" s="989"/>
      <c r="LVS1060" s="989"/>
      <c r="LVT1060" s="989"/>
      <c r="LVU1060" s="989"/>
      <c r="LVV1060" s="989"/>
      <c r="LVW1060" s="989"/>
      <c r="LVX1060" s="989"/>
      <c r="LVY1060" s="989"/>
      <c r="LVZ1060" s="989"/>
      <c r="LWA1060" s="989"/>
      <c r="LWB1060" s="989"/>
      <c r="LWC1060" s="989"/>
      <c r="LWD1060" s="989"/>
      <c r="LWE1060" s="989"/>
      <c r="LWF1060" s="989"/>
      <c r="LWG1060" s="989"/>
      <c r="LWH1060" s="989"/>
      <c r="LWI1060" s="989"/>
      <c r="LWJ1060" s="989"/>
      <c r="LWK1060" s="989"/>
      <c r="LWL1060" s="989"/>
      <c r="LWM1060" s="989"/>
      <c r="LWN1060" s="989"/>
      <c r="LWO1060" s="989"/>
      <c r="LWP1060" s="989"/>
      <c r="LWQ1060" s="989"/>
      <c r="LWR1060" s="989"/>
      <c r="LWS1060" s="989"/>
      <c r="LWT1060" s="989"/>
      <c r="LWU1060" s="989"/>
      <c r="LWV1060" s="989"/>
      <c r="LWW1060" s="989"/>
      <c r="LWX1060" s="989"/>
      <c r="LWY1060" s="989"/>
      <c r="LWZ1060" s="989"/>
      <c r="LXA1060" s="989"/>
      <c r="LXB1060" s="989"/>
      <c r="LXC1060" s="989"/>
      <c r="LXD1060" s="989"/>
      <c r="LXE1060" s="989"/>
      <c r="LXF1060" s="989"/>
      <c r="LXG1060" s="989"/>
      <c r="LXH1060" s="989"/>
      <c r="LXI1060" s="989"/>
      <c r="LXJ1060" s="989"/>
      <c r="LXK1060" s="989"/>
      <c r="LXL1060" s="989"/>
      <c r="LXM1060" s="989"/>
      <c r="LXN1060" s="989"/>
      <c r="LXO1060" s="989"/>
      <c r="LXP1060" s="989"/>
      <c r="LXQ1060" s="989"/>
      <c r="LXR1060" s="989"/>
      <c r="LXS1060" s="989"/>
      <c r="LXT1060" s="989"/>
      <c r="LXU1060" s="989"/>
      <c r="LXV1060" s="989"/>
      <c r="LXW1060" s="989"/>
      <c r="LXX1060" s="989"/>
      <c r="LXY1060" s="989"/>
      <c r="LXZ1060" s="989"/>
      <c r="LYA1060" s="989"/>
      <c r="LYB1060" s="989"/>
      <c r="LYC1060" s="989"/>
      <c r="LYD1060" s="989"/>
      <c r="LYE1060" s="989"/>
      <c r="LYF1060" s="989"/>
      <c r="LYG1060" s="989"/>
      <c r="LYH1060" s="989"/>
      <c r="LYI1060" s="989"/>
      <c r="LYJ1060" s="989"/>
      <c r="LYK1060" s="989"/>
      <c r="LYL1060" s="989"/>
      <c r="LYM1060" s="989"/>
      <c r="LYN1060" s="989"/>
      <c r="LYO1060" s="989"/>
      <c r="LYP1060" s="989"/>
      <c r="LYQ1060" s="989"/>
      <c r="LYR1060" s="989"/>
      <c r="LYS1060" s="989"/>
      <c r="LYT1060" s="989"/>
      <c r="LYU1060" s="989"/>
      <c r="LYV1060" s="989"/>
      <c r="LYW1060" s="989"/>
      <c r="LYX1060" s="989"/>
      <c r="LYY1060" s="989"/>
      <c r="LYZ1060" s="989"/>
      <c r="LZA1060" s="989"/>
      <c r="LZB1060" s="989"/>
      <c r="LZC1060" s="989"/>
      <c r="LZD1060" s="989"/>
      <c r="LZE1060" s="989"/>
      <c r="LZF1060" s="989"/>
      <c r="LZG1060" s="989"/>
      <c r="LZH1060" s="989"/>
      <c r="LZI1060" s="989"/>
      <c r="LZJ1060" s="989"/>
      <c r="LZK1060" s="989"/>
      <c r="LZL1060" s="989"/>
      <c r="LZM1060" s="989"/>
      <c r="LZN1060" s="989"/>
      <c r="LZO1060" s="989"/>
      <c r="LZP1060" s="989"/>
      <c r="LZQ1060" s="989"/>
      <c r="LZR1060" s="989"/>
      <c r="LZS1060" s="989"/>
      <c r="LZT1060" s="989"/>
      <c r="LZU1060" s="989"/>
      <c r="LZV1060" s="989"/>
      <c r="LZW1060" s="989"/>
      <c r="LZX1060" s="989"/>
      <c r="LZY1060" s="989"/>
      <c r="LZZ1060" s="989"/>
      <c r="MAA1060" s="989"/>
      <c r="MAB1060" s="989"/>
      <c r="MAC1060" s="989"/>
      <c r="MAD1060" s="989"/>
      <c r="MAE1060" s="989"/>
      <c r="MAF1060" s="989"/>
      <c r="MAG1060" s="989"/>
      <c r="MAH1060" s="989"/>
      <c r="MAI1060" s="989"/>
      <c r="MAJ1060" s="989"/>
      <c r="MAK1060" s="989"/>
      <c r="MAL1060" s="989"/>
      <c r="MAM1060" s="989"/>
      <c r="MAN1060" s="989"/>
      <c r="MAO1060" s="989"/>
      <c r="MAP1060" s="989"/>
      <c r="MAQ1060" s="989"/>
      <c r="MAR1060" s="989"/>
      <c r="MAS1060" s="989"/>
      <c r="MAT1060" s="989"/>
      <c r="MAU1060" s="989"/>
      <c r="MAV1060" s="989"/>
      <c r="MAW1060" s="989"/>
      <c r="MAX1060" s="989"/>
      <c r="MAY1060" s="989"/>
      <c r="MAZ1060" s="989"/>
      <c r="MBA1060" s="989"/>
      <c r="MBB1060" s="989"/>
      <c r="MBC1060" s="989"/>
      <c r="MBD1060" s="989"/>
      <c r="MBE1060" s="989"/>
      <c r="MBF1060" s="989"/>
      <c r="MBG1060" s="989"/>
      <c r="MBH1060" s="989"/>
      <c r="MBI1060" s="989"/>
      <c r="MBJ1060" s="989"/>
      <c r="MBK1060" s="989"/>
      <c r="MBL1060" s="989"/>
      <c r="MBM1060" s="989"/>
      <c r="MBN1060" s="989"/>
      <c r="MBO1060" s="989"/>
      <c r="MBP1060" s="989"/>
      <c r="MBQ1060" s="989"/>
      <c r="MBR1060" s="989"/>
      <c r="MBS1060" s="989"/>
      <c r="MBT1060" s="989"/>
      <c r="MBU1060" s="989"/>
      <c r="MBV1060" s="989"/>
      <c r="MBW1060" s="989"/>
      <c r="MBX1060" s="989"/>
      <c r="MBY1060" s="989"/>
      <c r="MBZ1060" s="989"/>
      <c r="MCA1060" s="989"/>
      <c r="MCB1060" s="989"/>
      <c r="MCC1060" s="989"/>
      <c r="MCD1060" s="989"/>
      <c r="MCE1060" s="989"/>
      <c r="MCF1060" s="989"/>
      <c r="MCG1060" s="989"/>
      <c r="MCH1060" s="989"/>
      <c r="MCI1060" s="989"/>
      <c r="MCJ1060" s="989"/>
      <c r="MCK1060" s="989"/>
      <c r="MCL1060" s="989"/>
      <c r="MCM1060" s="989"/>
      <c r="MCN1060" s="989"/>
      <c r="MCO1060" s="989"/>
      <c r="MCP1060" s="989"/>
      <c r="MCQ1060" s="989"/>
      <c r="MCR1060" s="989"/>
      <c r="MCS1060" s="989"/>
      <c r="MCT1060" s="989"/>
      <c r="MCU1060" s="989"/>
      <c r="MCV1060" s="989"/>
      <c r="MCW1060" s="989"/>
      <c r="MCX1060" s="989"/>
      <c r="MCY1060" s="989"/>
      <c r="MCZ1060" s="989"/>
      <c r="MDA1060" s="989"/>
      <c r="MDB1060" s="989"/>
      <c r="MDC1060" s="989"/>
      <c r="MDD1060" s="989"/>
      <c r="MDE1060" s="989"/>
      <c r="MDF1060" s="989"/>
      <c r="MDG1060" s="989"/>
      <c r="MDH1060" s="989"/>
      <c r="MDI1060" s="989"/>
      <c r="MDJ1060" s="989"/>
      <c r="MDK1060" s="989"/>
      <c r="MDL1060" s="989"/>
      <c r="MDM1060" s="989"/>
      <c r="MDN1060" s="989"/>
      <c r="MDO1060" s="989"/>
      <c r="MDP1060" s="989"/>
      <c r="MDQ1060" s="989"/>
      <c r="MDR1060" s="989"/>
      <c r="MDS1060" s="989"/>
      <c r="MDT1060" s="989"/>
      <c r="MDU1060" s="989"/>
      <c r="MDV1060" s="989"/>
      <c r="MDW1060" s="989"/>
      <c r="MDX1060" s="989"/>
      <c r="MDY1060" s="989"/>
      <c r="MDZ1060" s="989"/>
      <c r="MEA1060" s="989"/>
      <c r="MEB1060" s="989"/>
      <c r="MEC1060" s="989"/>
      <c r="MED1060" s="989"/>
      <c r="MEE1060" s="989"/>
      <c r="MEF1060" s="989"/>
      <c r="MEG1060" s="989"/>
      <c r="MEH1060" s="989"/>
      <c r="MEI1060" s="989"/>
      <c r="MEJ1060" s="989"/>
      <c r="MEK1060" s="989"/>
      <c r="MEL1060" s="989"/>
      <c r="MEM1060" s="989"/>
      <c r="MEN1060" s="989"/>
      <c r="MEO1060" s="989"/>
      <c r="MEP1060" s="989"/>
      <c r="MEQ1060" s="989"/>
      <c r="MER1060" s="989"/>
      <c r="MES1060" s="989"/>
      <c r="MET1060" s="989"/>
      <c r="MEU1060" s="989"/>
      <c r="MEV1060" s="989"/>
      <c r="MEW1060" s="989"/>
      <c r="MEX1060" s="989"/>
      <c r="MEY1060" s="989"/>
      <c r="MEZ1060" s="989"/>
      <c r="MFA1060" s="989"/>
      <c r="MFB1060" s="989"/>
      <c r="MFC1060" s="989"/>
      <c r="MFD1060" s="989"/>
      <c r="MFE1060" s="989"/>
      <c r="MFF1060" s="989"/>
      <c r="MFG1060" s="989"/>
      <c r="MFH1060" s="989"/>
      <c r="MFI1060" s="989"/>
      <c r="MFJ1060" s="989"/>
      <c r="MFK1060" s="989"/>
      <c r="MFL1060" s="989"/>
      <c r="MFM1060" s="989"/>
      <c r="MFN1060" s="989"/>
      <c r="MFO1060" s="989"/>
      <c r="MFP1060" s="989"/>
      <c r="MFQ1060" s="989"/>
      <c r="MFR1060" s="989"/>
      <c r="MFS1060" s="989"/>
      <c r="MFT1060" s="989"/>
      <c r="MFU1060" s="989"/>
      <c r="MFV1060" s="989"/>
      <c r="MFW1060" s="989"/>
      <c r="MFX1060" s="989"/>
      <c r="MFY1060" s="989"/>
      <c r="MFZ1060" s="989"/>
      <c r="MGA1060" s="989"/>
      <c r="MGB1060" s="989"/>
      <c r="MGC1060" s="989"/>
      <c r="MGD1060" s="989"/>
      <c r="MGE1060" s="989"/>
      <c r="MGF1060" s="989"/>
      <c r="MGG1060" s="989"/>
      <c r="MGH1060" s="989"/>
      <c r="MGI1060" s="989"/>
      <c r="MGJ1060" s="989"/>
      <c r="MGK1060" s="989"/>
      <c r="MGL1060" s="989"/>
      <c r="MGM1060" s="989"/>
      <c r="MGN1060" s="989"/>
      <c r="MGO1060" s="989"/>
      <c r="MGP1060" s="989"/>
      <c r="MGQ1060" s="989"/>
      <c r="MGR1060" s="989"/>
      <c r="MGS1060" s="989"/>
      <c r="MGT1060" s="989"/>
      <c r="MGU1060" s="989"/>
      <c r="MGV1060" s="989"/>
      <c r="MGW1060" s="989"/>
      <c r="MGX1060" s="989"/>
      <c r="MGY1060" s="989"/>
      <c r="MGZ1060" s="989"/>
      <c r="MHA1060" s="989"/>
      <c r="MHB1060" s="989"/>
      <c r="MHC1060" s="989"/>
      <c r="MHD1060" s="989"/>
      <c r="MHE1060" s="989"/>
      <c r="MHF1060" s="989"/>
      <c r="MHG1060" s="989"/>
      <c r="MHH1060" s="989"/>
      <c r="MHI1060" s="989"/>
      <c r="MHJ1060" s="989"/>
      <c r="MHK1060" s="989"/>
      <c r="MHL1060" s="989"/>
      <c r="MHM1060" s="989"/>
      <c r="MHN1060" s="989"/>
      <c r="MHO1060" s="989"/>
      <c r="MHP1060" s="989"/>
      <c r="MHQ1060" s="989"/>
      <c r="MHR1060" s="989"/>
      <c r="MHS1060" s="989"/>
      <c r="MHT1060" s="989"/>
      <c r="MHU1060" s="989"/>
      <c r="MHV1060" s="989"/>
      <c r="MHW1060" s="989"/>
      <c r="MHX1060" s="989"/>
      <c r="MHY1060" s="989"/>
      <c r="MHZ1060" s="989"/>
      <c r="MIA1060" s="989"/>
      <c r="MIB1060" s="989"/>
      <c r="MIC1060" s="989"/>
      <c r="MID1060" s="989"/>
      <c r="MIE1060" s="989"/>
      <c r="MIF1060" s="989"/>
      <c r="MIG1060" s="989"/>
      <c r="MIH1060" s="989"/>
      <c r="MII1060" s="989"/>
      <c r="MIJ1060" s="989"/>
      <c r="MIK1060" s="989"/>
      <c r="MIL1060" s="989"/>
      <c r="MIM1060" s="989"/>
      <c r="MIN1060" s="989"/>
      <c r="MIO1060" s="989"/>
      <c r="MIP1060" s="989"/>
      <c r="MIQ1060" s="989"/>
      <c r="MIR1060" s="989"/>
      <c r="MIS1060" s="989"/>
      <c r="MIT1060" s="989"/>
      <c r="MIU1060" s="989"/>
      <c r="MIV1060" s="989"/>
      <c r="MIW1060" s="989"/>
      <c r="MIX1060" s="989"/>
      <c r="MIY1060" s="989"/>
      <c r="MIZ1060" s="989"/>
      <c r="MJA1060" s="989"/>
      <c r="MJB1060" s="989"/>
      <c r="MJC1060" s="989"/>
      <c r="MJD1060" s="989"/>
      <c r="MJE1060" s="989"/>
      <c r="MJF1060" s="989"/>
      <c r="MJG1060" s="989"/>
      <c r="MJH1060" s="989"/>
      <c r="MJI1060" s="989"/>
      <c r="MJJ1060" s="989"/>
      <c r="MJK1060" s="989"/>
      <c r="MJL1060" s="989"/>
      <c r="MJM1060" s="989"/>
      <c r="MJN1060" s="989"/>
      <c r="MJO1060" s="989"/>
      <c r="MJP1060" s="989"/>
      <c r="MJQ1060" s="989"/>
      <c r="MJR1060" s="989"/>
      <c r="MJS1060" s="989"/>
      <c r="MJT1060" s="989"/>
      <c r="MJU1060" s="989"/>
      <c r="MJV1060" s="989"/>
      <c r="MJW1060" s="989"/>
      <c r="MJX1060" s="989"/>
      <c r="MJY1060" s="989"/>
      <c r="MJZ1060" s="989"/>
      <c r="MKA1060" s="989"/>
      <c r="MKB1060" s="989"/>
      <c r="MKC1060" s="989"/>
      <c r="MKD1060" s="989"/>
      <c r="MKE1060" s="989"/>
      <c r="MKF1060" s="989"/>
      <c r="MKG1060" s="989"/>
      <c r="MKH1060" s="989"/>
      <c r="MKI1060" s="989"/>
      <c r="MKJ1060" s="989"/>
      <c r="MKK1060" s="989"/>
      <c r="MKL1060" s="989"/>
      <c r="MKM1060" s="989"/>
      <c r="MKN1060" s="989"/>
      <c r="MKO1060" s="989"/>
      <c r="MKP1060" s="989"/>
      <c r="MKQ1060" s="989"/>
      <c r="MKR1060" s="989"/>
      <c r="MKS1060" s="989"/>
      <c r="MKT1060" s="989"/>
      <c r="MKU1060" s="989"/>
      <c r="MKV1060" s="989"/>
      <c r="MKW1060" s="989"/>
      <c r="MKX1060" s="989"/>
      <c r="MKY1060" s="989"/>
      <c r="MKZ1060" s="989"/>
      <c r="MLA1060" s="989"/>
      <c r="MLB1060" s="989"/>
      <c r="MLC1060" s="989"/>
      <c r="MLD1060" s="989"/>
      <c r="MLE1060" s="989"/>
      <c r="MLF1060" s="989"/>
      <c r="MLG1060" s="989"/>
      <c r="MLH1060" s="989"/>
      <c r="MLI1060" s="989"/>
      <c r="MLJ1060" s="989"/>
      <c r="MLK1060" s="989"/>
      <c r="MLL1060" s="989"/>
      <c r="MLM1060" s="989"/>
      <c r="MLN1060" s="989"/>
      <c r="MLO1060" s="989"/>
      <c r="MLP1060" s="989"/>
      <c r="MLQ1060" s="989"/>
      <c r="MLR1060" s="989"/>
      <c r="MLS1060" s="989"/>
      <c r="MLT1060" s="989"/>
      <c r="MLU1060" s="989"/>
      <c r="MLV1060" s="989"/>
      <c r="MLW1060" s="989"/>
      <c r="MLX1060" s="989"/>
      <c r="MLY1060" s="989"/>
      <c r="MLZ1060" s="989"/>
      <c r="MMA1060" s="989"/>
      <c r="MMB1060" s="989"/>
      <c r="MMC1060" s="989"/>
      <c r="MMD1060" s="989"/>
      <c r="MME1060" s="989"/>
      <c r="MMF1060" s="989"/>
      <c r="MMG1060" s="989"/>
      <c r="MMH1060" s="989"/>
      <c r="MMI1060" s="989"/>
      <c r="MMJ1060" s="989"/>
      <c r="MMK1060" s="989"/>
      <c r="MML1060" s="989"/>
      <c r="MMM1060" s="989"/>
      <c r="MMN1060" s="989"/>
      <c r="MMO1060" s="989"/>
      <c r="MMP1060" s="989"/>
      <c r="MMQ1060" s="989"/>
      <c r="MMR1060" s="989"/>
      <c r="MMS1060" s="989"/>
      <c r="MMT1060" s="989"/>
      <c r="MMU1060" s="989"/>
      <c r="MMV1060" s="989"/>
      <c r="MMW1060" s="989"/>
      <c r="MMX1060" s="989"/>
      <c r="MMY1060" s="989"/>
      <c r="MMZ1060" s="989"/>
      <c r="MNA1060" s="989"/>
      <c r="MNB1060" s="989"/>
      <c r="MNC1060" s="989"/>
      <c r="MND1060" s="989"/>
      <c r="MNE1060" s="989"/>
      <c r="MNF1060" s="989"/>
      <c r="MNG1060" s="989"/>
      <c r="MNH1060" s="989"/>
      <c r="MNI1060" s="989"/>
      <c r="MNJ1060" s="989"/>
      <c r="MNK1060" s="989"/>
      <c r="MNL1060" s="989"/>
      <c r="MNM1060" s="989"/>
      <c r="MNN1060" s="989"/>
      <c r="MNO1060" s="989"/>
      <c r="MNP1060" s="989"/>
      <c r="MNQ1060" s="989"/>
      <c r="MNR1060" s="989"/>
      <c r="MNS1060" s="989"/>
      <c r="MNT1060" s="989"/>
      <c r="MNU1060" s="989"/>
      <c r="MNV1060" s="989"/>
      <c r="MNW1060" s="989"/>
      <c r="MNX1060" s="989"/>
      <c r="MNY1060" s="989"/>
      <c r="MNZ1060" s="989"/>
      <c r="MOA1060" s="989"/>
      <c r="MOB1060" s="989"/>
      <c r="MOC1060" s="989"/>
      <c r="MOD1060" s="989"/>
      <c r="MOE1060" s="989"/>
      <c r="MOF1060" s="989"/>
      <c r="MOG1060" s="989"/>
      <c r="MOH1060" s="989"/>
      <c r="MOI1060" s="989"/>
      <c r="MOJ1060" s="989"/>
      <c r="MOK1060" s="989"/>
      <c r="MOL1060" s="989"/>
      <c r="MOM1060" s="989"/>
      <c r="MON1060" s="989"/>
      <c r="MOO1060" s="989"/>
      <c r="MOP1060" s="989"/>
      <c r="MOQ1060" s="989"/>
      <c r="MOR1060" s="989"/>
      <c r="MOS1060" s="989"/>
      <c r="MOT1060" s="989"/>
      <c r="MOU1060" s="989"/>
      <c r="MOV1060" s="989"/>
      <c r="MOW1060" s="989"/>
      <c r="MOX1060" s="989"/>
      <c r="MOY1060" s="989"/>
      <c r="MOZ1060" s="989"/>
      <c r="MPA1060" s="989"/>
      <c r="MPB1060" s="989"/>
      <c r="MPC1060" s="989"/>
      <c r="MPD1060" s="989"/>
      <c r="MPE1060" s="989"/>
      <c r="MPF1060" s="989"/>
      <c r="MPG1060" s="989"/>
      <c r="MPH1060" s="989"/>
      <c r="MPI1060" s="989"/>
      <c r="MPJ1060" s="989"/>
      <c r="MPK1060" s="989"/>
      <c r="MPL1060" s="989"/>
      <c r="MPM1060" s="989"/>
      <c r="MPN1060" s="989"/>
      <c r="MPO1060" s="989"/>
      <c r="MPP1060" s="989"/>
      <c r="MPQ1060" s="989"/>
      <c r="MPR1060" s="989"/>
      <c r="MPS1060" s="989"/>
      <c r="MPT1060" s="989"/>
      <c r="MPU1060" s="989"/>
      <c r="MPV1060" s="989"/>
      <c r="MPW1060" s="989"/>
      <c r="MPX1060" s="989"/>
      <c r="MPY1060" s="989"/>
      <c r="MPZ1060" s="989"/>
      <c r="MQA1060" s="989"/>
      <c r="MQB1060" s="989"/>
      <c r="MQC1060" s="989"/>
      <c r="MQD1060" s="989"/>
      <c r="MQE1060" s="989"/>
      <c r="MQF1060" s="989"/>
      <c r="MQG1060" s="989"/>
      <c r="MQH1060" s="989"/>
      <c r="MQI1060" s="989"/>
      <c r="MQJ1060" s="989"/>
      <c r="MQK1060" s="989"/>
      <c r="MQL1060" s="989"/>
      <c r="MQM1060" s="989"/>
      <c r="MQN1060" s="989"/>
      <c r="MQO1060" s="989"/>
      <c r="MQP1060" s="989"/>
      <c r="MQQ1060" s="989"/>
      <c r="MQR1060" s="989"/>
      <c r="MQS1060" s="989"/>
      <c r="MQT1060" s="989"/>
      <c r="MQU1060" s="989"/>
      <c r="MQV1060" s="989"/>
      <c r="MQW1060" s="989"/>
      <c r="MQX1060" s="989"/>
      <c r="MQY1060" s="989"/>
      <c r="MQZ1060" s="989"/>
      <c r="MRA1060" s="989"/>
      <c r="MRB1060" s="989"/>
      <c r="MRC1060" s="989"/>
      <c r="MRD1060" s="989"/>
      <c r="MRE1060" s="989"/>
      <c r="MRF1060" s="989"/>
      <c r="MRG1060" s="989"/>
      <c r="MRH1060" s="989"/>
      <c r="MRI1060" s="989"/>
      <c r="MRJ1060" s="989"/>
      <c r="MRK1060" s="989"/>
      <c r="MRL1060" s="989"/>
      <c r="MRM1060" s="989"/>
      <c r="MRN1060" s="989"/>
      <c r="MRO1060" s="989"/>
      <c r="MRP1060" s="989"/>
      <c r="MRQ1060" s="989"/>
      <c r="MRR1060" s="989"/>
      <c r="MRS1060" s="989"/>
      <c r="MRT1060" s="989"/>
      <c r="MRU1060" s="989"/>
      <c r="MRV1060" s="989"/>
      <c r="MRW1060" s="989"/>
      <c r="MRX1060" s="989"/>
      <c r="MRY1060" s="989"/>
      <c r="MRZ1060" s="989"/>
      <c r="MSA1060" s="989"/>
      <c r="MSB1060" s="989"/>
      <c r="MSC1060" s="989"/>
      <c r="MSD1060" s="989"/>
      <c r="MSE1060" s="989"/>
      <c r="MSF1060" s="989"/>
      <c r="MSG1060" s="989"/>
      <c r="MSH1060" s="989"/>
      <c r="MSI1060" s="989"/>
      <c r="MSJ1060" s="989"/>
      <c r="MSK1060" s="989"/>
      <c r="MSL1060" s="989"/>
      <c r="MSM1060" s="989"/>
      <c r="MSN1060" s="989"/>
      <c r="MSO1060" s="989"/>
      <c r="MSP1060" s="989"/>
      <c r="MSQ1060" s="989"/>
      <c r="MSR1060" s="989"/>
      <c r="MSS1060" s="989"/>
      <c r="MST1060" s="989"/>
      <c r="MSU1060" s="989"/>
      <c r="MSV1060" s="989"/>
      <c r="MSW1060" s="989"/>
      <c r="MSX1060" s="989"/>
      <c r="MSY1060" s="989"/>
      <c r="MSZ1060" s="989"/>
      <c r="MTA1060" s="989"/>
      <c r="MTB1060" s="989"/>
      <c r="MTC1060" s="989"/>
      <c r="MTD1060" s="989"/>
      <c r="MTE1060" s="989"/>
      <c r="MTF1060" s="989"/>
      <c r="MTG1060" s="989"/>
      <c r="MTH1060" s="989"/>
      <c r="MTI1060" s="989"/>
      <c r="MTJ1060" s="989"/>
      <c r="MTK1060" s="989"/>
      <c r="MTL1060" s="989"/>
      <c r="MTM1060" s="989"/>
      <c r="MTN1060" s="989"/>
      <c r="MTO1060" s="989"/>
      <c r="MTP1060" s="989"/>
      <c r="MTQ1060" s="989"/>
      <c r="MTR1060" s="989"/>
      <c r="MTS1060" s="989"/>
      <c r="MTT1060" s="989"/>
      <c r="MTU1060" s="989"/>
      <c r="MTV1060" s="989"/>
      <c r="MTW1060" s="989"/>
      <c r="MTX1060" s="989"/>
      <c r="MTY1060" s="989"/>
      <c r="MTZ1060" s="989"/>
      <c r="MUA1060" s="989"/>
      <c r="MUB1060" s="989"/>
      <c r="MUC1060" s="989"/>
      <c r="MUD1060" s="989"/>
      <c r="MUE1060" s="989"/>
      <c r="MUF1060" s="989"/>
      <c r="MUG1060" s="989"/>
      <c r="MUH1060" s="989"/>
      <c r="MUI1060" s="989"/>
      <c r="MUJ1060" s="989"/>
      <c r="MUK1060" s="989"/>
      <c r="MUL1060" s="989"/>
      <c r="MUM1060" s="989"/>
      <c r="MUN1060" s="989"/>
      <c r="MUO1060" s="989"/>
      <c r="MUP1060" s="989"/>
      <c r="MUQ1060" s="989"/>
      <c r="MUR1060" s="989"/>
      <c r="MUS1060" s="989"/>
      <c r="MUT1060" s="989"/>
      <c r="MUU1060" s="989"/>
      <c r="MUV1060" s="989"/>
      <c r="MUW1060" s="989"/>
      <c r="MUX1060" s="989"/>
      <c r="MUY1060" s="989"/>
      <c r="MUZ1060" s="989"/>
      <c r="MVA1060" s="989"/>
      <c r="MVB1060" s="989"/>
      <c r="MVC1060" s="989"/>
      <c r="MVD1060" s="989"/>
      <c r="MVE1060" s="989"/>
      <c r="MVF1060" s="989"/>
      <c r="MVG1060" s="989"/>
      <c r="MVH1060" s="989"/>
      <c r="MVI1060" s="989"/>
      <c r="MVJ1060" s="989"/>
      <c r="MVK1060" s="989"/>
      <c r="MVL1060" s="989"/>
      <c r="MVM1060" s="989"/>
      <c r="MVN1060" s="989"/>
      <c r="MVO1060" s="989"/>
      <c r="MVP1060" s="989"/>
      <c r="MVQ1060" s="989"/>
      <c r="MVR1060" s="989"/>
      <c r="MVS1060" s="989"/>
      <c r="MVT1060" s="989"/>
      <c r="MVU1060" s="989"/>
      <c r="MVV1060" s="989"/>
      <c r="MVW1060" s="989"/>
      <c r="MVX1060" s="989"/>
      <c r="MVY1060" s="989"/>
      <c r="MVZ1060" s="989"/>
      <c r="MWA1060" s="989"/>
      <c r="MWB1060" s="989"/>
      <c r="MWC1060" s="989"/>
      <c r="MWD1060" s="989"/>
      <c r="MWE1060" s="989"/>
      <c r="MWF1060" s="989"/>
      <c r="MWG1060" s="989"/>
      <c r="MWH1060" s="989"/>
      <c r="MWI1060" s="989"/>
      <c r="MWJ1060" s="989"/>
      <c r="MWK1060" s="989"/>
      <c r="MWL1060" s="989"/>
      <c r="MWM1060" s="989"/>
      <c r="MWN1060" s="989"/>
      <c r="MWO1060" s="989"/>
      <c r="MWP1060" s="989"/>
      <c r="MWQ1060" s="989"/>
      <c r="MWR1060" s="989"/>
      <c r="MWS1060" s="989"/>
      <c r="MWT1060" s="989"/>
      <c r="MWU1060" s="989"/>
      <c r="MWV1060" s="989"/>
      <c r="MWW1060" s="989"/>
      <c r="MWX1060" s="989"/>
      <c r="MWY1060" s="989"/>
      <c r="MWZ1060" s="989"/>
      <c r="MXA1060" s="989"/>
      <c r="MXB1060" s="989"/>
      <c r="MXC1060" s="989"/>
      <c r="MXD1060" s="989"/>
      <c r="MXE1060" s="989"/>
      <c r="MXF1060" s="989"/>
      <c r="MXG1060" s="989"/>
      <c r="MXH1060" s="989"/>
      <c r="MXI1060" s="989"/>
      <c r="MXJ1060" s="989"/>
      <c r="MXK1060" s="989"/>
      <c r="MXL1060" s="989"/>
      <c r="MXM1060" s="989"/>
      <c r="MXN1060" s="989"/>
      <c r="MXO1060" s="989"/>
      <c r="MXP1060" s="989"/>
      <c r="MXQ1060" s="989"/>
      <c r="MXR1060" s="989"/>
      <c r="MXS1060" s="989"/>
      <c r="MXT1060" s="989"/>
      <c r="MXU1060" s="989"/>
      <c r="MXV1060" s="989"/>
      <c r="MXW1060" s="989"/>
      <c r="MXX1060" s="989"/>
      <c r="MXY1060" s="989"/>
      <c r="MXZ1060" s="989"/>
      <c r="MYA1060" s="989"/>
      <c r="MYB1060" s="989"/>
      <c r="MYC1060" s="989"/>
      <c r="MYD1060" s="989"/>
      <c r="MYE1060" s="989"/>
      <c r="MYF1060" s="989"/>
      <c r="MYG1060" s="989"/>
      <c r="MYH1060" s="989"/>
      <c r="MYI1060" s="989"/>
      <c r="MYJ1060" s="989"/>
      <c r="MYK1060" s="989"/>
      <c r="MYL1060" s="989"/>
      <c r="MYM1060" s="989"/>
      <c r="MYN1060" s="989"/>
      <c r="MYO1060" s="989"/>
      <c r="MYP1060" s="989"/>
      <c r="MYQ1060" s="989"/>
      <c r="MYR1060" s="989"/>
      <c r="MYS1060" s="989"/>
      <c r="MYT1060" s="989"/>
      <c r="MYU1060" s="989"/>
      <c r="MYV1060" s="989"/>
      <c r="MYW1060" s="989"/>
      <c r="MYX1060" s="989"/>
      <c r="MYY1060" s="989"/>
      <c r="MYZ1060" s="989"/>
      <c r="MZA1060" s="989"/>
      <c r="MZB1060" s="989"/>
      <c r="MZC1060" s="989"/>
      <c r="MZD1060" s="989"/>
      <c r="MZE1060" s="989"/>
      <c r="MZF1060" s="989"/>
      <c r="MZG1060" s="989"/>
      <c r="MZH1060" s="989"/>
      <c r="MZI1060" s="989"/>
      <c r="MZJ1060" s="989"/>
      <c r="MZK1060" s="989"/>
      <c r="MZL1060" s="989"/>
      <c r="MZM1060" s="989"/>
      <c r="MZN1060" s="989"/>
      <c r="MZO1060" s="989"/>
      <c r="MZP1060" s="989"/>
      <c r="MZQ1060" s="989"/>
      <c r="MZR1060" s="989"/>
      <c r="MZS1060" s="989"/>
      <c r="MZT1060" s="989"/>
      <c r="MZU1060" s="989"/>
      <c r="MZV1060" s="989"/>
      <c r="MZW1060" s="989"/>
      <c r="MZX1060" s="989"/>
      <c r="MZY1060" s="989"/>
      <c r="MZZ1060" s="989"/>
      <c r="NAA1060" s="989"/>
      <c r="NAB1060" s="989"/>
      <c r="NAC1060" s="989"/>
      <c r="NAD1060" s="989"/>
      <c r="NAE1060" s="989"/>
      <c r="NAF1060" s="989"/>
      <c r="NAG1060" s="989"/>
      <c r="NAH1060" s="989"/>
      <c r="NAI1060" s="989"/>
      <c r="NAJ1060" s="989"/>
      <c r="NAK1060" s="989"/>
      <c r="NAL1060" s="989"/>
      <c r="NAM1060" s="989"/>
      <c r="NAN1060" s="989"/>
      <c r="NAO1060" s="989"/>
      <c r="NAP1060" s="989"/>
      <c r="NAQ1060" s="989"/>
      <c r="NAR1060" s="989"/>
      <c r="NAS1060" s="989"/>
      <c r="NAT1060" s="989"/>
      <c r="NAU1060" s="989"/>
      <c r="NAV1060" s="989"/>
      <c r="NAW1060" s="989"/>
      <c r="NAX1060" s="989"/>
      <c r="NAY1060" s="989"/>
      <c r="NAZ1060" s="989"/>
      <c r="NBA1060" s="989"/>
      <c r="NBB1060" s="989"/>
      <c r="NBC1060" s="989"/>
      <c r="NBD1060" s="989"/>
      <c r="NBE1060" s="989"/>
      <c r="NBF1060" s="989"/>
      <c r="NBG1060" s="989"/>
      <c r="NBH1060" s="989"/>
      <c r="NBI1060" s="989"/>
      <c r="NBJ1060" s="989"/>
      <c r="NBK1060" s="989"/>
      <c r="NBL1060" s="989"/>
      <c r="NBM1060" s="989"/>
      <c r="NBN1060" s="989"/>
      <c r="NBO1060" s="989"/>
      <c r="NBP1060" s="989"/>
      <c r="NBQ1060" s="989"/>
      <c r="NBR1060" s="989"/>
      <c r="NBS1060" s="989"/>
      <c r="NBT1060" s="989"/>
      <c r="NBU1060" s="989"/>
      <c r="NBV1060" s="989"/>
      <c r="NBW1060" s="989"/>
      <c r="NBX1060" s="989"/>
      <c r="NBY1060" s="989"/>
      <c r="NBZ1060" s="989"/>
      <c r="NCA1060" s="989"/>
      <c r="NCB1060" s="989"/>
      <c r="NCC1060" s="989"/>
      <c r="NCD1060" s="989"/>
      <c r="NCE1060" s="989"/>
      <c r="NCF1060" s="989"/>
      <c r="NCG1060" s="989"/>
      <c r="NCH1060" s="989"/>
      <c r="NCI1060" s="989"/>
      <c r="NCJ1060" s="989"/>
      <c r="NCK1060" s="989"/>
      <c r="NCL1060" s="989"/>
      <c r="NCM1060" s="989"/>
      <c r="NCN1060" s="989"/>
      <c r="NCO1060" s="989"/>
      <c r="NCP1060" s="989"/>
      <c r="NCQ1060" s="989"/>
      <c r="NCR1060" s="989"/>
      <c r="NCS1060" s="989"/>
      <c r="NCT1060" s="989"/>
      <c r="NCU1060" s="989"/>
      <c r="NCV1060" s="989"/>
      <c r="NCW1060" s="989"/>
      <c r="NCX1060" s="989"/>
      <c r="NCY1060" s="989"/>
      <c r="NCZ1060" s="989"/>
      <c r="NDA1060" s="989"/>
      <c r="NDB1060" s="989"/>
      <c r="NDC1060" s="989"/>
      <c r="NDD1060" s="989"/>
      <c r="NDE1060" s="989"/>
      <c r="NDF1060" s="989"/>
      <c r="NDG1060" s="989"/>
      <c r="NDH1060" s="989"/>
      <c r="NDI1060" s="989"/>
      <c r="NDJ1060" s="989"/>
      <c r="NDK1060" s="989"/>
      <c r="NDL1060" s="989"/>
      <c r="NDM1060" s="989"/>
      <c r="NDN1060" s="989"/>
      <c r="NDO1060" s="989"/>
      <c r="NDP1060" s="989"/>
      <c r="NDQ1060" s="989"/>
      <c r="NDR1060" s="989"/>
      <c r="NDS1060" s="989"/>
      <c r="NDT1060" s="989"/>
      <c r="NDU1060" s="989"/>
      <c r="NDV1060" s="989"/>
      <c r="NDW1060" s="989"/>
      <c r="NDX1060" s="989"/>
      <c r="NDY1060" s="989"/>
      <c r="NDZ1060" s="989"/>
      <c r="NEA1060" s="989"/>
      <c r="NEB1060" s="989"/>
      <c r="NEC1060" s="989"/>
      <c r="NED1060" s="989"/>
      <c r="NEE1060" s="989"/>
      <c r="NEF1060" s="989"/>
      <c r="NEG1060" s="989"/>
      <c r="NEH1060" s="989"/>
      <c r="NEI1060" s="989"/>
      <c r="NEJ1060" s="989"/>
      <c r="NEK1060" s="989"/>
      <c r="NEL1060" s="989"/>
      <c r="NEM1060" s="989"/>
      <c r="NEN1060" s="989"/>
      <c r="NEO1060" s="989"/>
      <c r="NEP1060" s="989"/>
      <c r="NEQ1060" s="989"/>
      <c r="NER1060" s="989"/>
      <c r="NES1060" s="989"/>
      <c r="NET1060" s="989"/>
      <c r="NEU1060" s="989"/>
      <c r="NEV1060" s="989"/>
      <c r="NEW1060" s="989"/>
      <c r="NEX1060" s="989"/>
      <c r="NEY1060" s="989"/>
      <c r="NEZ1060" s="989"/>
      <c r="NFA1060" s="989"/>
      <c r="NFB1060" s="989"/>
      <c r="NFC1060" s="989"/>
      <c r="NFD1060" s="989"/>
      <c r="NFE1060" s="989"/>
      <c r="NFF1060" s="989"/>
      <c r="NFG1060" s="989"/>
      <c r="NFH1060" s="989"/>
      <c r="NFI1060" s="989"/>
      <c r="NFJ1060" s="989"/>
      <c r="NFK1060" s="989"/>
      <c r="NFL1060" s="989"/>
      <c r="NFM1060" s="989"/>
      <c r="NFN1060" s="989"/>
      <c r="NFO1060" s="989"/>
      <c r="NFP1060" s="989"/>
      <c r="NFQ1060" s="989"/>
      <c r="NFR1060" s="989"/>
      <c r="NFS1060" s="989"/>
      <c r="NFT1060" s="989"/>
      <c r="NFU1060" s="989"/>
      <c r="NFV1060" s="989"/>
      <c r="NFW1060" s="989"/>
      <c r="NFX1060" s="989"/>
      <c r="NFY1060" s="989"/>
      <c r="NFZ1060" s="989"/>
      <c r="NGA1060" s="989"/>
      <c r="NGB1060" s="989"/>
      <c r="NGC1060" s="989"/>
      <c r="NGD1060" s="989"/>
      <c r="NGE1060" s="989"/>
      <c r="NGF1060" s="989"/>
      <c r="NGG1060" s="989"/>
      <c r="NGH1060" s="989"/>
      <c r="NGI1060" s="989"/>
      <c r="NGJ1060" s="989"/>
      <c r="NGK1060" s="989"/>
      <c r="NGL1060" s="989"/>
      <c r="NGM1060" s="989"/>
      <c r="NGN1060" s="989"/>
      <c r="NGO1060" s="989"/>
      <c r="NGP1060" s="989"/>
      <c r="NGQ1060" s="989"/>
      <c r="NGR1060" s="989"/>
      <c r="NGS1060" s="989"/>
      <c r="NGT1060" s="989"/>
      <c r="NGU1060" s="989"/>
      <c r="NGV1060" s="989"/>
      <c r="NGW1060" s="989"/>
      <c r="NGX1060" s="989"/>
      <c r="NGY1060" s="989"/>
      <c r="NGZ1060" s="989"/>
      <c r="NHA1060" s="989"/>
      <c r="NHB1060" s="989"/>
      <c r="NHC1060" s="989"/>
      <c r="NHD1060" s="989"/>
      <c r="NHE1060" s="989"/>
      <c r="NHF1060" s="989"/>
      <c r="NHG1060" s="989"/>
      <c r="NHH1060" s="989"/>
      <c r="NHI1060" s="989"/>
      <c r="NHJ1060" s="989"/>
      <c r="NHK1060" s="989"/>
      <c r="NHL1060" s="989"/>
      <c r="NHM1060" s="989"/>
      <c r="NHN1060" s="989"/>
      <c r="NHO1060" s="989"/>
      <c r="NHP1060" s="989"/>
      <c r="NHQ1060" s="989"/>
      <c r="NHR1060" s="989"/>
      <c r="NHS1060" s="989"/>
      <c r="NHT1060" s="989"/>
      <c r="NHU1060" s="989"/>
      <c r="NHV1060" s="989"/>
      <c r="NHW1060" s="989"/>
      <c r="NHX1060" s="989"/>
      <c r="NHY1060" s="989"/>
      <c r="NHZ1060" s="989"/>
      <c r="NIA1060" s="989"/>
      <c r="NIB1060" s="989"/>
      <c r="NIC1060" s="989"/>
      <c r="NID1060" s="989"/>
      <c r="NIE1060" s="989"/>
      <c r="NIF1060" s="989"/>
      <c r="NIG1060" s="989"/>
      <c r="NIH1060" s="989"/>
      <c r="NII1060" s="989"/>
      <c r="NIJ1060" s="989"/>
      <c r="NIK1060" s="989"/>
      <c r="NIL1060" s="989"/>
      <c r="NIM1060" s="989"/>
      <c r="NIN1060" s="989"/>
      <c r="NIO1060" s="989"/>
      <c r="NIP1060" s="989"/>
      <c r="NIQ1060" s="989"/>
      <c r="NIR1060" s="989"/>
      <c r="NIS1060" s="989"/>
      <c r="NIT1060" s="989"/>
      <c r="NIU1060" s="989"/>
      <c r="NIV1060" s="989"/>
      <c r="NIW1060" s="989"/>
      <c r="NIX1060" s="989"/>
      <c r="NIY1060" s="989"/>
      <c r="NIZ1060" s="989"/>
      <c r="NJA1060" s="989"/>
      <c r="NJB1060" s="989"/>
      <c r="NJC1060" s="989"/>
      <c r="NJD1060" s="989"/>
      <c r="NJE1060" s="989"/>
      <c r="NJF1060" s="989"/>
      <c r="NJG1060" s="989"/>
      <c r="NJH1060" s="989"/>
      <c r="NJI1060" s="989"/>
      <c r="NJJ1060" s="989"/>
      <c r="NJK1060" s="989"/>
      <c r="NJL1060" s="989"/>
      <c r="NJM1060" s="989"/>
      <c r="NJN1060" s="989"/>
      <c r="NJO1060" s="989"/>
      <c r="NJP1060" s="989"/>
      <c r="NJQ1060" s="989"/>
      <c r="NJR1060" s="989"/>
      <c r="NJS1060" s="989"/>
      <c r="NJT1060" s="989"/>
      <c r="NJU1060" s="989"/>
      <c r="NJV1060" s="989"/>
      <c r="NJW1060" s="989"/>
      <c r="NJX1060" s="989"/>
      <c r="NJY1060" s="989"/>
      <c r="NJZ1060" s="989"/>
      <c r="NKA1060" s="989"/>
      <c r="NKB1060" s="989"/>
      <c r="NKC1060" s="989"/>
      <c r="NKD1060" s="989"/>
      <c r="NKE1060" s="989"/>
      <c r="NKF1060" s="989"/>
      <c r="NKG1060" s="989"/>
      <c r="NKH1060" s="989"/>
      <c r="NKI1060" s="989"/>
      <c r="NKJ1060" s="989"/>
      <c r="NKK1060" s="989"/>
      <c r="NKL1060" s="989"/>
      <c r="NKM1060" s="989"/>
      <c r="NKN1060" s="989"/>
      <c r="NKO1060" s="989"/>
      <c r="NKP1060" s="989"/>
      <c r="NKQ1060" s="989"/>
      <c r="NKR1060" s="989"/>
      <c r="NKS1060" s="989"/>
      <c r="NKT1060" s="989"/>
      <c r="NKU1060" s="989"/>
      <c r="NKV1060" s="989"/>
      <c r="NKW1060" s="989"/>
      <c r="NKX1060" s="989"/>
      <c r="NKY1060" s="989"/>
      <c r="NKZ1060" s="989"/>
      <c r="NLA1060" s="989"/>
      <c r="NLB1060" s="989"/>
      <c r="NLC1060" s="989"/>
      <c r="NLD1060" s="989"/>
      <c r="NLE1060" s="989"/>
      <c r="NLF1060" s="989"/>
      <c r="NLG1060" s="989"/>
      <c r="NLH1060" s="989"/>
      <c r="NLI1060" s="989"/>
      <c r="NLJ1060" s="989"/>
      <c r="NLK1060" s="989"/>
      <c r="NLL1060" s="989"/>
      <c r="NLM1060" s="989"/>
      <c r="NLN1060" s="989"/>
      <c r="NLO1060" s="989"/>
      <c r="NLP1060" s="989"/>
      <c r="NLQ1060" s="989"/>
      <c r="NLR1060" s="989"/>
      <c r="NLS1060" s="989"/>
      <c r="NLT1060" s="989"/>
      <c r="NLU1060" s="989"/>
      <c r="NLV1060" s="989"/>
      <c r="NLW1060" s="989"/>
      <c r="NLX1060" s="989"/>
      <c r="NLY1060" s="989"/>
      <c r="NLZ1060" s="989"/>
      <c r="NMA1060" s="989"/>
      <c r="NMB1060" s="989"/>
      <c r="NMC1060" s="989"/>
      <c r="NMD1060" s="989"/>
      <c r="NME1060" s="989"/>
      <c r="NMF1060" s="989"/>
      <c r="NMG1060" s="989"/>
      <c r="NMH1060" s="989"/>
      <c r="NMI1060" s="989"/>
      <c r="NMJ1060" s="989"/>
      <c r="NMK1060" s="989"/>
      <c r="NML1060" s="989"/>
      <c r="NMM1060" s="989"/>
      <c r="NMN1060" s="989"/>
      <c r="NMO1060" s="989"/>
      <c r="NMP1060" s="989"/>
      <c r="NMQ1060" s="989"/>
      <c r="NMR1060" s="989"/>
      <c r="NMS1060" s="989"/>
      <c r="NMT1060" s="989"/>
      <c r="NMU1060" s="989"/>
      <c r="NMV1060" s="989"/>
      <c r="NMW1060" s="989"/>
      <c r="NMX1060" s="989"/>
      <c r="NMY1060" s="989"/>
      <c r="NMZ1060" s="989"/>
      <c r="NNA1060" s="989"/>
      <c r="NNB1060" s="989"/>
      <c r="NNC1060" s="989"/>
      <c r="NND1060" s="989"/>
      <c r="NNE1060" s="989"/>
      <c r="NNF1060" s="989"/>
      <c r="NNG1060" s="989"/>
      <c r="NNH1060" s="989"/>
      <c r="NNI1060" s="989"/>
      <c r="NNJ1060" s="989"/>
      <c r="NNK1060" s="989"/>
      <c r="NNL1060" s="989"/>
      <c r="NNM1060" s="989"/>
      <c r="NNN1060" s="989"/>
      <c r="NNO1060" s="989"/>
      <c r="NNP1060" s="989"/>
      <c r="NNQ1060" s="989"/>
      <c r="NNR1060" s="989"/>
      <c r="NNS1060" s="989"/>
      <c r="NNT1060" s="989"/>
      <c r="NNU1060" s="989"/>
      <c r="NNV1060" s="989"/>
      <c r="NNW1060" s="989"/>
      <c r="NNX1060" s="989"/>
      <c r="NNY1060" s="989"/>
      <c r="NNZ1060" s="989"/>
      <c r="NOA1060" s="989"/>
      <c r="NOB1060" s="989"/>
      <c r="NOC1060" s="989"/>
      <c r="NOD1060" s="989"/>
      <c r="NOE1060" s="989"/>
      <c r="NOF1060" s="989"/>
      <c r="NOG1060" s="989"/>
      <c r="NOH1060" s="989"/>
      <c r="NOI1060" s="989"/>
      <c r="NOJ1060" s="989"/>
      <c r="NOK1060" s="989"/>
      <c r="NOL1060" s="989"/>
      <c r="NOM1060" s="989"/>
      <c r="NON1060" s="989"/>
      <c r="NOO1060" s="989"/>
      <c r="NOP1060" s="989"/>
      <c r="NOQ1060" s="989"/>
      <c r="NOR1060" s="989"/>
      <c r="NOS1060" s="989"/>
      <c r="NOT1060" s="989"/>
      <c r="NOU1060" s="989"/>
      <c r="NOV1060" s="989"/>
      <c r="NOW1060" s="989"/>
      <c r="NOX1060" s="989"/>
      <c r="NOY1060" s="989"/>
      <c r="NOZ1060" s="989"/>
      <c r="NPA1060" s="989"/>
      <c r="NPB1060" s="989"/>
      <c r="NPC1060" s="989"/>
      <c r="NPD1060" s="989"/>
      <c r="NPE1060" s="989"/>
      <c r="NPF1060" s="989"/>
      <c r="NPG1060" s="989"/>
      <c r="NPH1060" s="989"/>
      <c r="NPI1060" s="989"/>
      <c r="NPJ1060" s="989"/>
      <c r="NPK1060" s="989"/>
      <c r="NPL1060" s="989"/>
      <c r="NPM1060" s="989"/>
      <c r="NPN1060" s="989"/>
      <c r="NPO1060" s="989"/>
      <c r="NPP1060" s="989"/>
      <c r="NPQ1060" s="989"/>
      <c r="NPR1060" s="989"/>
      <c r="NPS1060" s="989"/>
      <c r="NPT1060" s="989"/>
      <c r="NPU1060" s="989"/>
      <c r="NPV1060" s="989"/>
      <c r="NPW1060" s="989"/>
      <c r="NPX1060" s="989"/>
      <c r="NPY1060" s="989"/>
      <c r="NPZ1060" s="989"/>
      <c r="NQA1060" s="989"/>
      <c r="NQB1060" s="989"/>
      <c r="NQC1060" s="989"/>
      <c r="NQD1060" s="989"/>
      <c r="NQE1060" s="989"/>
      <c r="NQF1060" s="989"/>
      <c r="NQG1060" s="989"/>
      <c r="NQH1060" s="989"/>
      <c r="NQI1060" s="989"/>
      <c r="NQJ1060" s="989"/>
      <c r="NQK1060" s="989"/>
      <c r="NQL1060" s="989"/>
      <c r="NQM1060" s="989"/>
      <c r="NQN1060" s="989"/>
      <c r="NQO1060" s="989"/>
      <c r="NQP1060" s="989"/>
      <c r="NQQ1060" s="989"/>
      <c r="NQR1060" s="989"/>
      <c r="NQS1060" s="989"/>
      <c r="NQT1060" s="989"/>
      <c r="NQU1060" s="989"/>
      <c r="NQV1060" s="989"/>
      <c r="NQW1060" s="989"/>
      <c r="NQX1060" s="989"/>
      <c r="NQY1060" s="989"/>
      <c r="NQZ1060" s="989"/>
      <c r="NRA1060" s="989"/>
      <c r="NRB1060" s="989"/>
      <c r="NRC1060" s="989"/>
      <c r="NRD1060" s="989"/>
      <c r="NRE1060" s="989"/>
      <c r="NRF1060" s="989"/>
      <c r="NRG1060" s="989"/>
      <c r="NRH1060" s="989"/>
      <c r="NRI1060" s="989"/>
      <c r="NRJ1060" s="989"/>
      <c r="NRK1060" s="989"/>
      <c r="NRL1060" s="989"/>
      <c r="NRM1060" s="989"/>
      <c r="NRN1060" s="989"/>
      <c r="NRO1060" s="989"/>
      <c r="NRP1060" s="989"/>
      <c r="NRQ1060" s="989"/>
      <c r="NRR1060" s="989"/>
      <c r="NRS1060" s="989"/>
      <c r="NRT1060" s="989"/>
      <c r="NRU1060" s="989"/>
      <c r="NRV1060" s="989"/>
      <c r="NRW1060" s="989"/>
      <c r="NRX1060" s="989"/>
      <c r="NRY1060" s="989"/>
      <c r="NRZ1060" s="989"/>
      <c r="NSA1060" s="989"/>
      <c r="NSB1060" s="989"/>
      <c r="NSC1060" s="989"/>
      <c r="NSD1060" s="989"/>
      <c r="NSE1060" s="989"/>
      <c r="NSF1060" s="989"/>
      <c r="NSG1060" s="989"/>
      <c r="NSH1060" s="989"/>
      <c r="NSI1060" s="989"/>
      <c r="NSJ1060" s="989"/>
      <c r="NSK1060" s="989"/>
      <c r="NSL1060" s="989"/>
      <c r="NSM1060" s="989"/>
      <c r="NSN1060" s="989"/>
      <c r="NSO1060" s="989"/>
      <c r="NSP1060" s="989"/>
      <c r="NSQ1060" s="989"/>
      <c r="NSR1060" s="989"/>
      <c r="NSS1060" s="989"/>
      <c r="NST1060" s="989"/>
      <c r="NSU1060" s="989"/>
      <c r="NSV1060" s="989"/>
      <c r="NSW1060" s="989"/>
      <c r="NSX1060" s="989"/>
      <c r="NSY1060" s="989"/>
      <c r="NSZ1060" s="989"/>
      <c r="NTA1060" s="989"/>
      <c r="NTB1060" s="989"/>
      <c r="NTC1060" s="989"/>
      <c r="NTD1060" s="989"/>
      <c r="NTE1060" s="989"/>
      <c r="NTF1060" s="989"/>
      <c r="NTG1060" s="989"/>
      <c r="NTH1060" s="989"/>
      <c r="NTI1060" s="989"/>
      <c r="NTJ1060" s="989"/>
      <c r="NTK1060" s="989"/>
      <c r="NTL1060" s="989"/>
      <c r="NTM1060" s="989"/>
      <c r="NTN1060" s="989"/>
      <c r="NTO1060" s="989"/>
      <c r="NTP1060" s="989"/>
      <c r="NTQ1060" s="989"/>
      <c r="NTR1060" s="989"/>
      <c r="NTS1060" s="989"/>
      <c r="NTT1060" s="989"/>
      <c r="NTU1060" s="989"/>
      <c r="NTV1060" s="989"/>
      <c r="NTW1060" s="989"/>
      <c r="NTX1060" s="989"/>
      <c r="NTY1060" s="989"/>
      <c r="NTZ1060" s="989"/>
      <c r="NUA1060" s="989"/>
      <c r="NUB1060" s="989"/>
      <c r="NUC1060" s="989"/>
      <c r="NUD1060" s="989"/>
      <c r="NUE1060" s="989"/>
      <c r="NUF1060" s="989"/>
      <c r="NUG1060" s="989"/>
      <c r="NUH1060" s="989"/>
      <c r="NUI1060" s="989"/>
      <c r="NUJ1060" s="989"/>
      <c r="NUK1060" s="989"/>
      <c r="NUL1060" s="989"/>
      <c r="NUM1060" s="989"/>
      <c r="NUN1060" s="989"/>
      <c r="NUO1060" s="989"/>
      <c r="NUP1060" s="989"/>
      <c r="NUQ1060" s="989"/>
      <c r="NUR1060" s="989"/>
      <c r="NUS1060" s="989"/>
      <c r="NUT1060" s="989"/>
      <c r="NUU1060" s="989"/>
      <c r="NUV1060" s="989"/>
      <c r="NUW1060" s="989"/>
      <c r="NUX1060" s="989"/>
      <c r="NUY1060" s="989"/>
      <c r="NUZ1060" s="989"/>
      <c r="NVA1060" s="989"/>
      <c r="NVB1060" s="989"/>
      <c r="NVC1060" s="989"/>
      <c r="NVD1060" s="989"/>
      <c r="NVE1060" s="989"/>
      <c r="NVF1060" s="989"/>
      <c r="NVG1060" s="989"/>
      <c r="NVH1060" s="989"/>
      <c r="NVI1060" s="989"/>
      <c r="NVJ1060" s="989"/>
      <c r="NVK1060" s="989"/>
      <c r="NVL1060" s="989"/>
      <c r="NVM1060" s="989"/>
      <c r="NVN1060" s="989"/>
      <c r="NVO1060" s="989"/>
      <c r="NVP1060" s="989"/>
      <c r="NVQ1060" s="989"/>
      <c r="NVR1060" s="989"/>
      <c r="NVS1060" s="989"/>
      <c r="NVT1060" s="989"/>
      <c r="NVU1060" s="989"/>
      <c r="NVV1060" s="989"/>
      <c r="NVW1060" s="989"/>
      <c r="NVX1060" s="989"/>
      <c r="NVY1060" s="989"/>
      <c r="NVZ1060" s="989"/>
      <c r="NWA1060" s="989"/>
      <c r="NWB1060" s="989"/>
      <c r="NWC1060" s="989"/>
      <c r="NWD1060" s="989"/>
      <c r="NWE1060" s="989"/>
      <c r="NWF1060" s="989"/>
      <c r="NWG1060" s="989"/>
      <c r="NWH1060" s="989"/>
      <c r="NWI1060" s="989"/>
      <c r="NWJ1060" s="989"/>
      <c r="NWK1060" s="989"/>
      <c r="NWL1060" s="989"/>
      <c r="NWM1060" s="989"/>
      <c r="NWN1060" s="989"/>
      <c r="NWO1060" s="989"/>
      <c r="NWP1060" s="989"/>
      <c r="NWQ1060" s="989"/>
      <c r="NWR1060" s="989"/>
      <c r="NWS1060" s="989"/>
      <c r="NWT1060" s="989"/>
      <c r="NWU1060" s="989"/>
      <c r="NWV1060" s="989"/>
      <c r="NWW1060" s="989"/>
      <c r="NWX1060" s="989"/>
      <c r="NWY1060" s="989"/>
      <c r="NWZ1060" s="989"/>
      <c r="NXA1060" s="989"/>
      <c r="NXB1060" s="989"/>
      <c r="NXC1060" s="989"/>
      <c r="NXD1060" s="989"/>
      <c r="NXE1060" s="989"/>
      <c r="NXF1060" s="989"/>
      <c r="NXG1060" s="989"/>
      <c r="NXH1060" s="989"/>
      <c r="NXI1060" s="989"/>
      <c r="NXJ1060" s="989"/>
      <c r="NXK1060" s="989"/>
      <c r="NXL1060" s="989"/>
      <c r="NXM1060" s="989"/>
      <c r="NXN1060" s="989"/>
      <c r="NXO1060" s="989"/>
      <c r="NXP1060" s="989"/>
      <c r="NXQ1060" s="989"/>
      <c r="NXR1060" s="989"/>
      <c r="NXS1060" s="989"/>
      <c r="NXT1060" s="989"/>
      <c r="NXU1060" s="989"/>
      <c r="NXV1060" s="989"/>
      <c r="NXW1060" s="989"/>
      <c r="NXX1060" s="989"/>
      <c r="NXY1060" s="989"/>
      <c r="NXZ1060" s="989"/>
      <c r="NYA1060" s="989"/>
      <c r="NYB1060" s="989"/>
      <c r="NYC1060" s="989"/>
      <c r="NYD1060" s="989"/>
      <c r="NYE1060" s="989"/>
      <c r="NYF1060" s="989"/>
      <c r="NYG1060" s="989"/>
      <c r="NYH1060" s="989"/>
      <c r="NYI1060" s="989"/>
      <c r="NYJ1060" s="989"/>
      <c r="NYK1060" s="989"/>
      <c r="NYL1060" s="989"/>
      <c r="NYM1060" s="989"/>
      <c r="NYN1060" s="989"/>
      <c r="NYO1060" s="989"/>
      <c r="NYP1060" s="989"/>
      <c r="NYQ1060" s="989"/>
      <c r="NYR1060" s="989"/>
      <c r="NYS1060" s="989"/>
      <c r="NYT1060" s="989"/>
      <c r="NYU1060" s="989"/>
      <c r="NYV1060" s="989"/>
      <c r="NYW1060" s="989"/>
      <c r="NYX1060" s="989"/>
      <c r="NYY1060" s="989"/>
      <c r="NYZ1060" s="989"/>
      <c r="NZA1060" s="989"/>
      <c r="NZB1060" s="989"/>
      <c r="NZC1060" s="989"/>
      <c r="NZD1060" s="989"/>
      <c r="NZE1060" s="989"/>
      <c r="NZF1060" s="989"/>
      <c r="NZG1060" s="989"/>
      <c r="NZH1060" s="989"/>
      <c r="NZI1060" s="989"/>
      <c r="NZJ1060" s="989"/>
      <c r="NZK1060" s="989"/>
      <c r="NZL1060" s="989"/>
      <c r="NZM1060" s="989"/>
      <c r="NZN1060" s="989"/>
      <c r="NZO1060" s="989"/>
      <c r="NZP1060" s="989"/>
      <c r="NZQ1060" s="989"/>
      <c r="NZR1060" s="989"/>
      <c r="NZS1060" s="989"/>
      <c r="NZT1060" s="989"/>
      <c r="NZU1060" s="989"/>
      <c r="NZV1060" s="989"/>
      <c r="NZW1060" s="989"/>
      <c r="NZX1060" s="989"/>
      <c r="NZY1060" s="989"/>
      <c r="NZZ1060" s="989"/>
      <c r="OAA1060" s="989"/>
      <c r="OAB1060" s="989"/>
      <c r="OAC1060" s="989"/>
      <c r="OAD1060" s="989"/>
      <c r="OAE1060" s="989"/>
      <c r="OAF1060" s="989"/>
      <c r="OAG1060" s="989"/>
      <c r="OAH1060" s="989"/>
      <c r="OAI1060" s="989"/>
      <c r="OAJ1060" s="989"/>
      <c r="OAK1060" s="989"/>
      <c r="OAL1060" s="989"/>
      <c r="OAM1060" s="989"/>
      <c r="OAN1060" s="989"/>
      <c r="OAO1060" s="989"/>
      <c r="OAP1060" s="989"/>
      <c r="OAQ1060" s="989"/>
      <c r="OAR1060" s="989"/>
      <c r="OAS1060" s="989"/>
      <c r="OAT1060" s="989"/>
      <c r="OAU1060" s="989"/>
      <c r="OAV1060" s="989"/>
      <c r="OAW1060" s="989"/>
      <c r="OAX1060" s="989"/>
      <c r="OAY1060" s="989"/>
      <c r="OAZ1060" s="989"/>
      <c r="OBA1060" s="989"/>
      <c r="OBB1060" s="989"/>
      <c r="OBC1060" s="989"/>
      <c r="OBD1060" s="989"/>
      <c r="OBE1060" s="989"/>
      <c r="OBF1060" s="989"/>
      <c r="OBG1060" s="989"/>
      <c r="OBH1060" s="989"/>
      <c r="OBI1060" s="989"/>
      <c r="OBJ1060" s="989"/>
      <c r="OBK1060" s="989"/>
      <c r="OBL1060" s="989"/>
      <c r="OBM1060" s="989"/>
      <c r="OBN1060" s="989"/>
      <c r="OBO1060" s="989"/>
      <c r="OBP1060" s="989"/>
      <c r="OBQ1060" s="989"/>
      <c r="OBR1060" s="989"/>
      <c r="OBS1060" s="989"/>
      <c r="OBT1060" s="989"/>
      <c r="OBU1060" s="989"/>
      <c r="OBV1060" s="989"/>
      <c r="OBW1060" s="989"/>
      <c r="OBX1060" s="989"/>
      <c r="OBY1060" s="989"/>
      <c r="OBZ1060" s="989"/>
      <c r="OCA1060" s="989"/>
      <c r="OCB1060" s="989"/>
      <c r="OCC1060" s="989"/>
      <c r="OCD1060" s="989"/>
      <c r="OCE1060" s="989"/>
      <c r="OCF1060" s="989"/>
      <c r="OCG1060" s="989"/>
      <c r="OCH1060" s="989"/>
      <c r="OCI1060" s="989"/>
      <c r="OCJ1060" s="989"/>
      <c r="OCK1060" s="989"/>
      <c r="OCL1060" s="989"/>
      <c r="OCM1060" s="989"/>
      <c r="OCN1060" s="989"/>
      <c r="OCO1060" s="989"/>
      <c r="OCP1060" s="989"/>
      <c r="OCQ1060" s="989"/>
      <c r="OCR1060" s="989"/>
      <c r="OCS1060" s="989"/>
      <c r="OCT1060" s="989"/>
      <c r="OCU1060" s="989"/>
      <c r="OCV1060" s="989"/>
      <c r="OCW1060" s="989"/>
      <c r="OCX1060" s="989"/>
      <c r="OCY1060" s="989"/>
      <c r="OCZ1060" s="989"/>
      <c r="ODA1060" s="989"/>
      <c r="ODB1060" s="989"/>
      <c r="ODC1060" s="989"/>
      <c r="ODD1060" s="989"/>
      <c r="ODE1060" s="989"/>
      <c r="ODF1060" s="989"/>
      <c r="ODG1060" s="989"/>
      <c r="ODH1060" s="989"/>
      <c r="ODI1060" s="989"/>
      <c r="ODJ1060" s="989"/>
      <c r="ODK1060" s="989"/>
      <c r="ODL1060" s="989"/>
      <c r="ODM1060" s="989"/>
      <c r="ODN1060" s="989"/>
      <c r="ODO1060" s="989"/>
      <c r="ODP1060" s="989"/>
      <c r="ODQ1060" s="989"/>
      <c r="ODR1060" s="989"/>
      <c r="ODS1060" s="989"/>
      <c r="ODT1060" s="989"/>
      <c r="ODU1060" s="989"/>
      <c r="ODV1060" s="989"/>
      <c r="ODW1060" s="989"/>
      <c r="ODX1060" s="989"/>
      <c r="ODY1060" s="989"/>
      <c r="ODZ1060" s="989"/>
      <c r="OEA1060" s="989"/>
      <c r="OEB1060" s="989"/>
      <c r="OEC1060" s="989"/>
      <c r="OED1060" s="989"/>
      <c r="OEE1060" s="989"/>
      <c r="OEF1060" s="989"/>
      <c r="OEG1060" s="989"/>
      <c r="OEH1060" s="989"/>
      <c r="OEI1060" s="989"/>
      <c r="OEJ1060" s="989"/>
      <c r="OEK1060" s="989"/>
      <c r="OEL1060" s="989"/>
      <c r="OEM1060" s="989"/>
      <c r="OEN1060" s="989"/>
      <c r="OEO1060" s="989"/>
      <c r="OEP1060" s="989"/>
      <c r="OEQ1060" s="989"/>
      <c r="OER1060" s="989"/>
      <c r="OES1060" s="989"/>
      <c r="OET1060" s="989"/>
      <c r="OEU1060" s="989"/>
      <c r="OEV1060" s="989"/>
      <c r="OEW1060" s="989"/>
      <c r="OEX1060" s="989"/>
      <c r="OEY1060" s="989"/>
      <c r="OEZ1060" s="989"/>
      <c r="OFA1060" s="989"/>
      <c r="OFB1060" s="989"/>
      <c r="OFC1060" s="989"/>
      <c r="OFD1060" s="989"/>
      <c r="OFE1060" s="989"/>
      <c r="OFF1060" s="989"/>
      <c r="OFG1060" s="989"/>
      <c r="OFH1060" s="989"/>
      <c r="OFI1060" s="989"/>
      <c r="OFJ1060" s="989"/>
      <c r="OFK1060" s="989"/>
      <c r="OFL1060" s="989"/>
      <c r="OFM1060" s="989"/>
      <c r="OFN1060" s="989"/>
      <c r="OFO1060" s="989"/>
      <c r="OFP1060" s="989"/>
      <c r="OFQ1060" s="989"/>
      <c r="OFR1060" s="989"/>
      <c r="OFS1060" s="989"/>
      <c r="OFT1060" s="989"/>
      <c r="OFU1060" s="989"/>
      <c r="OFV1060" s="989"/>
      <c r="OFW1060" s="989"/>
      <c r="OFX1060" s="989"/>
      <c r="OFY1060" s="989"/>
      <c r="OFZ1060" s="989"/>
      <c r="OGA1060" s="989"/>
      <c r="OGB1060" s="989"/>
      <c r="OGC1060" s="989"/>
      <c r="OGD1060" s="989"/>
      <c r="OGE1060" s="989"/>
      <c r="OGF1060" s="989"/>
      <c r="OGG1060" s="989"/>
      <c r="OGH1060" s="989"/>
      <c r="OGI1060" s="989"/>
      <c r="OGJ1060" s="989"/>
      <c r="OGK1060" s="989"/>
      <c r="OGL1060" s="989"/>
      <c r="OGM1060" s="989"/>
      <c r="OGN1060" s="989"/>
      <c r="OGO1060" s="989"/>
      <c r="OGP1060" s="989"/>
      <c r="OGQ1060" s="989"/>
      <c r="OGR1060" s="989"/>
      <c r="OGS1060" s="989"/>
      <c r="OGT1060" s="989"/>
      <c r="OGU1060" s="989"/>
      <c r="OGV1060" s="989"/>
      <c r="OGW1060" s="989"/>
      <c r="OGX1060" s="989"/>
      <c r="OGY1060" s="989"/>
      <c r="OGZ1060" s="989"/>
      <c r="OHA1060" s="989"/>
      <c r="OHB1060" s="989"/>
      <c r="OHC1060" s="989"/>
      <c r="OHD1060" s="989"/>
      <c r="OHE1060" s="989"/>
      <c r="OHF1060" s="989"/>
      <c r="OHG1060" s="989"/>
      <c r="OHH1060" s="989"/>
      <c r="OHI1060" s="989"/>
      <c r="OHJ1060" s="989"/>
      <c r="OHK1060" s="989"/>
      <c r="OHL1060" s="989"/>
      <c r="OHM1060" s="989"/>
      <c r="OHN1060" s="989"/>
      <c r="OHO1060" s="989"/>
      <c r="OHP1060" s="989"/>
      <c r="OHQ1060" s="989"/>
      <c r="OHR1060" s="989"/>
      <c r="OHS1060" s="989"/>
      <c r="OHT1060" s="989"/>
      <c r="OHU1060" s="989"/>
      <c r="OHV1060" s="989"/>
      <c r="OHW1060" s="989"/>
      <c r="OHX1060" s="989"/>
      <c r="OHY1060" s="989"/>
      <c r="OHZ1060" s="989"/>
      <c r="OIA1060" s="989"/>
      <c r="OIB1060" s="989"/>
      <c r="OIC1060" s="989"/>
      <c r="OID1060" s="989"/>
      <c r="OIE1060" s="989"/>
      <c r="OIF1060" s="989"/>
      <c r="OIG1060" s="989"/>
      <c r="OIH1060" s="989"/>
      <c r="OII1060" s="989"/>
      <c r="OIJ1060" s="989"/>
      <c r="OIK1060" s="989"/>
      <c r="OIL1060" s="989"/>
      <c r="OIM1060" s="989"/>
      <c r="OIN1060" s="989"/>
      <c r="OIO1060" s="989"/>
      <c r="OIP1060" s="989"/>
      <c r="OIQ1060" s="989"/>
      <c r="OIR1060" s="989"/>
      <c r="OIS1060" s="989"/>
      <c r="OIT1060" s="989"/>
      <c r="OIU1060" s="989"/>
      <c r="OIV1060" s="989"/>
      <c r="OIW1060" s="989"/>
      <c r="OIX1060" s="989"/>
      <c r="OIY1060" s="989"/>
      <c r="OIZ1060" s="989"/>
      <c r="OJA1060" s="989"/>
      <c r="OJB1060" s="989"/>
      <c r="OJC1060" s="989"/>
      <c r="OJD1060" s="989"/>
      <c r="OJE1060" s="989"/>
      <c r="OJF1060" s="989"/>
      <c r="OJG1060" s="989"/>
      <c r="OJH1060" s="989"/>
      <c r="OJI1060" s="989"/>
      <c r="OJJ1060" s="989"/>
      <c r="OJK1060" s="989"/>
      <c r="OJL1060" s="989"/>
      <c r="OJM1060" s="989"/>
      <c r="OJN1060" s="989"/>
      <c r="OJO1060" s="989"/>
      <c r="OJP1060" s="989"/>
      <c r="OJQ1060" s="989"/>
      <c r="OJR1060" s="989"/>
      <c r="OJS1060" s="989"/>
      <c r="OJT1060" s="989"/>
      <c r="OJU1060" s="989"/>
      <c r="OJV1060" s="989"/>
      <c r="OJW1060" s="989"/>
      <c r="OJX1060" s="989"/>
      <c r="OJY1060" s="989"/>
      <c r="OJZ1060" s="989"/>
      <c r="OKA1060" s="989"/>
      <c r="OKB1060" s="989"/>
      <c r="OKC1060" s="989"/>
      <c r="OKD1060" s="989"/>
      <c r="OKE1060" s="989"/>
      <c r="OKF1060" s="989"/>
      <c r="OKG1060" s="989"/>
      <c r="OKH1060" s="989"/>
      <c r="OKI1060" s="989"/>
      <c r="OKJ1060" s="989"/>
      <c r="OKK1060" s="989"/>
      <c r="OKL1060" s="989"/>
      <c r="OKM1060" s="989"/>
      <c r="OKN1060" s="989"/>
      <c r="OKO1060" s="989"/>
      <c r="OKP1060" s="989"/>
      <c r="OKQ1060" s="989"/>
      <c r="OKR1060" s="989"/>
      <c r="OKS1060" s="989"/>
      <c r="OKT1060" s="989"/>
      <c r="OKU1060" s="989"/>
      <c r="OKV1060" s="989"/>
      <c r="OKW1060" s="989"/>
      <c r="OKX1060" s="989"/>
      <c r="OKY1060" s="989"/>
      <c r="OKZ1060" s="989"/>
      <c r="OLA1060" s="989"/>
      <c r="OLB1060" s="989"/>
      <c r="OLC1060" s="989"/>
      <c r="OLD1060" s="989"/>
      <c r="OLE1060" s="989"/>
      <c r="OLF1060" s="989"/>
      <c r="OLG1060" s="989"/>
      <c r="OLH1060" s="989"/>
      <c r="OLI1060" s="989"/>
      <c r="OLJ1060" s="989"/>
      <c r="OLK1060" s="989"/>
      <c r="OLL1060" s="989"/>
      <c r="OLM1060" s="989"/>
      <c r="OLN1060" s="989"/>
      <c r="OLO1060" s="989"/>
      <c r="OLP1060" s="989"/>
      <c r="OLQ1060" s="989"/>
      <c r="OLR1060" s="989"/>
      <c r="OLS1060" s="989"/>
      <c r="OLT1060" s="989"/>
      <c r="OLU1060" s="989"/>
      <c r="OLV1060" s="989"/>
      <c r="OLW1060" s="989"/>
      <c r="OLX1060" s="989"/>
      <c r="OLY1060" s="989"/>
      <c r="OLZ1060" s="989"/>
      <c r="OMA1060" s="989"/>
      <c r="OMB1060" s="989"/>
      <c r="OMC1060" s="989"/>
      <c r="OMD1060" s="989"/>
      <c r="OME1060" s="989"/>
      <c r="OMF1060" s="989"/>
      <c r="OMG1060" s="989"/>
      <c r="OMH1060" s="989"/>
      <c r="OMI1060" s="989"/>
      <c r="OMJ1060" s="989"/>
      <c r="OMK1060" s="989"/>
      <c r="OML1060" s="989"/>
      <c r="OMM1060" s="989"/>
      <c r="OMN1060" s="989"/>
      <c r="OMO1060" s="989"/>
      <c r="OMP1060" s="989"/>
      <c r="OMQ1060" s="989"/>
      <c r="OMR1060" s="989"/>
      <c r="OMS1060" s="989"/>
      <c r="OMT1060" s="989"/>
      <c r="OMU1060" s="989"/>
      <c r="OMV1060" s="989"/>
      <c r="OMW1060" s="989"/>
      <c r="OMX1060" s="989"/>
      <c r="OMY1060" s="989"/>
      <c r="OMZ1060" s="989"/>
      <c r="ONA1060" s="989"/>
      <c r="ONB1060" s="989"/>
      <c r="ONC1060" s="989"/>
      <c r="OND1060" s="989"/>
      <c r="ONE1060" s="989"/>
      <c r="ONF1060" s="989"/>
      <c r="ONG1060" s="989"/>
      <c r="ONH1060" s="989"/>
      <c r="ONI1060" s="989"/>
      <c r="ONJ1060" s="989"/>
      <c r="ONK1060" s="989"/>
      <c r="ONL1060" s="989"/>
      <c r="ONM1060" s="989"/>
      <c r="ONN1060" s="989"/>
      <c r="ONO1060" s="989"/>
      <c r="ONP1060" s="989"/>
      <c r="ONQ1060" s="989"/>
      <c r="ONR1060" s="989"/>
      <c r="ONS1060" s="989"/>
      <c r="ONT1060" s="989"/>
      <c r="ONU1060" s="989"/>
      <c r="ONV1060" s="989"/>
      <c r="ONW1060" s="989"/>
      <c r="ONX1060" s="989"/>
      <c r="ONY1060" s="989"/>
      <c r="ONZ1060" s="989"/>
      <c r="OOA1060" s="989"/>
      <c r="OOB1060" s="989"/>
      <c r="OOC1060" s="989"/>
      <c r="OOD1060" s="989"/>
      <c r="OOE1060" s="989"/>
      <c r="OOF1060" s="989"/>
      <c r="OOG1060" s="989"/>
      <c r="OOH1060" s="989"/>
      <c r="OOI1060" s="989"/>
      <c r="OOJ1060" s="989"/>
      <c r="OOK1060" s="989"/>
      <c r="OOL1060" s="989"/>
      <c r="OOM1060" s="989"/>
      <c r="OON1060" s="989"/>
      <c r="OOO1060" s="989"/>
      <c r="OOP1060" s="989"/>
      <c r="OOQ1060" s="989"/>
      <c r="OOR1060" s="989"/>
      <c r="OOS1060" s="989"/>
      <c r="OOT1060" s="989"/>
      <c r="OOU1060" s="989"/>
      <c r="OOV1060" s="989"/>
      <c r="OOW1060" s="989"/>
      <c r="OOX1060" s="989"/>
      <c r="OOY1060" s="989"/>
      <c r="OOZ1060" s="989"/>
      <c r="OPA1060" s="989"/>
      <c r="OPB1060" s="989"/>
      <c r="OPC1060" s="989"/>
      <c r="OPD1060" s="989"/>
      <c r="OPE1060" s="989"/>
      <c r="OPF1060" s="989"/>
      <c r="OPG1060" s="989"/>
      <c r="OPH1060" s="989"/>
      <c r="OPI1060" s="989"/>
      <c r="OPJ1060" s="989"/>
      <c r="OPK1060" s="989"/>
      <c r="OPL1060" s="989"/>
      <c r="OPM1060" s="989"/>
      <c r="OPN1060" s="989"/>
      <c r="OPO1060" s="989"/>
      <c r="OPP1060" s="989"/>
      <c r="OPQ1060" s="989"/>
      <c r="OPR1060" s="989"/>
      <c r="OPS1060" s="989"/>
      <c r="OPT1060" s="989"/>
      <c r="OPU1060" s="989"/>
      <c r="OPV1060" s="989"/>
      <c r="OPW1060" s="989"/>
      <c r="OPX1060" s="989"/>
      <c r="OPY1060" s="989"/>
      <c r="OPZ1060" s="989"/>
      <c r="OQA1060" s="989"/>
      <c r="OQB1060" s="989"/>
      <c r="OQC1060" s="989"/>
      <c r="OQD1060" s="989"/>
      <c r="OQE1060" s="989"/>
      <c r="OQF1060" s="989"/>
      <c r="OQG1060" s="989"/>
      <c r="OQH1060" s="989"/>
      <c r="OQI1060" s="989"/>
      <c r="OQJ1060" s="989"/>
      <c r="OQK1060" s="989"/>
      <c r="OQL1060" s="989"/>
      <c r="OQM1060" s="989"/>
      <c r="OQN1060" s="989"/>
      <c r="OQO1060" s="989"/>
      <c r="OQP1060" s="989"/>
      <c r="OQQ1060" s="989"/>
      <c r="OQR1060" s="989"/>
      <c r="OQS1060" s="989"/>
      <c r="OQT1060" s="989"/>
      <c r="OQU1060" s="989"/>
      <c r="OQV1060" s="989"/>
      <c r="OQW1060" s="989"/>
      <c r="OQX1060" s="989"/>
      <c r="OQY1060" s="989"/>
      <c r="OQZ1060" s="989"/>
      <c r="ORA1060" s="989"/>
      <c r="ORB1060" s="989"/>
      <c r="ORC1060" s="989"/>
      <c r="ORD1060" s="989"/>
      <c r="ORE1060" s="989"/>
      <c r="ORF1060" s="989"/>
      <c r="ORG1060" s="989"/>
      <c r="ORH1060" s="989"/>
      <c r="ORI1060" s="989"/>
      <c r="ORJ1060" s="989"/>
      <c r="ORK1060" s="989"/>
      <c r="ORL1060" s="989"/>
      <c r="ORM1060" s="989"/>
      <c r="ORN1060" s="989"/>
      <c r="ORO1060" s="989"/>
      <c r="ORP1060" s="989"/>
      <c r="ORQ1060" s="989"/>
      <c r="ORR1060" s="989"/>
      <c r="ORS1060" s="989"/>
      <c r="ORT1060" s="989"/>
      <c r="ORU1060" s="989"/>
      <c r="ORV1060" s="989"/>
      <c r="ORW1060" s="989"/>
      <c r="ORX1060" s="989"/>
      <c r="ORY1060" s="989"/>
      <c r="ORZ1060" s="989"/>
      <c r="OSA1060" s="989"/>
      <c r="OSB1060" s="989"/>
      <c r="OSC1060" s="989"/>
      <c r="OSD1060" s="989"/>
      <c r="OSE1060" s="989"/>
      <c r="OSF1060" s="989"/>
      <c r="OSG1060" s="989"/>
      <c r="OSH1060" s="989"/>
      <c r="OSI1060" s="989"/>
      <c r="OSJ1060" s="989"/>
      <c r="OSK1060" s="989"/>
      <c r="OSL1060" s="989"/>
      <c r="OSM1060" s="989"/>
      <c r="OSN1060" s="989"/>
      <c r="OSO1060" s="989"/>
      <c r="OSP1060" s="989"/>
      <c r="OSQ1060" s="989"/>
      <c r="OSR1060" s="989"/>
      <c r="OSS1060" s="989"/>
      <c r="OST1060" s="989"/>
      <c r="OSU1060" s="989"/>
      <c r="OSV1060" s="989"/>
      <c r="OSW1060" s="989"/>
      <c r="OSX1060" s="989"/>
      <c r="OSY1060" s="989"/>
      <c r="OSZ1060" s="989"/>
      <c r="OTA1060" s="989"/>
      <c r="OTB1060" s="989"/>
      <c r="OTC1060" s="989"/>
      <c r="OTD1060" s="989"/>
      <c r="OTE1060" s="989"/>
      <c r="OTF1060" s="989"/>
      <c r="OTG1060" s="989"/>
      <c r="OTH1060" s="989"/>
      <c r="OTI1060" s="989"/>
      <c r="OTJ1060" s="989"/>
      <c r="OTK1060" s="989"/>
      <c r="OTL1060" s="989"/>
      <c r="OTM1060" s="989"/>
      <c r="OTN1060" s="989"/>
      <c r="OTO1060" s="989"/>
      <c r="OTP1060" s="989"/>
      <c r="OTQ1060" s="989"/>
      <c r="OTR1060" s="989"/>
      <c r="OTS1060" s="989"/>
      <c r="OTT1060" s="989"/>
      <c r="OTU1060" s="989"/>
      <c r="OTV1060" s="989"/>
      <c r="OTW1060" s="989"/>
      <c r="OTX1060" s="989"/>
      <c r="OTY1060" s="989"/>
      <c r="OTZ1060" s="989"/>
      <c r="OUA1060" s="989"/>
      <c r="OUB1060" s="989"/>
      <c r="OUC1060" s="989"/>
      <c r="OUD1060" s="989"/>
      <c r="OUE1060" s="989"/>
      <c r="OUF1060" s="989"/>
      <c r="OUG1060" s="989"/>
      <c r="OUH1060" s="989"/>
      <c r="OUI1060" s="989"/>
      <c r="OUJ1060" s="989"/>
      <c r="OUK1060" s="989"/>
      <c r="OUL1060" s="989"/>
      <c r="OUM1060" s="989"/>
      <c r="OUN1060" s="989"/>
      <c r="OUO1060" s="989"/>
      <c r="OUP1060" s="989"/>
      <c r="OUQ1060" s="989"/>
      <c r="OUR1060" s="989"/>
      <c r="OUS1060" s="989"/>
      <c r="OUT1060" s="989"/>
      <c r="OUU1060" s="989"/>
      <c r="OUV1060" s="989"/>
      <c r="OUW1060" s="989"/>
      <c r="OUX1060" s="989"/>
      <c r="OUY1060" s="989"/>
      <c r="OUZ1060" s="989"/>
      <c r="OVA1060" s="989"/>
      <c r="OVB1060" s="989"/>
      <c r="OVC1060" s="989"/>
      <c r="OVD1060" s="989"/>
      <c r="OVE1060" s="989"/>
      <c r="OVF1060" s="989"/>
      <c r="OVG1060" s="989"/>
      <c r="OVH1060" s="989"/>
      <c r="OVI1060" s="989"/>
      <c r="OVJ1060" s="989"/>
      <c r="OVK1060" s="989"/>
      <c r="OVL1060" s="989"/>
      <c r="OVM1060" s="989"/>
      <c r="OVN1060" s="989"/>
      <c r="OVO1060" s="989"/>
      <c r="OVP1060" s="989"/>
      <c r="OVQ1060" s="989"/>
      <c r="OVR1060" s="989"/>
      <c r="OVS1060" s="989"/>
      <c r="OVT1060" s="989"/>
      <c r="OVU1060" s="989"/>
      <c r="OVV1060" s="989"/>
      <c r="OVW1060" s="989"/>
      <c r="OVX1060" s="989"/>
      <c r="OVY1060" s="989"/>
      <c r="OVZ1060" s="989"/>
      <c r="OWA1060" s="989"/>
      <c r="OWB1060" s="989"/>
      <c r="OWC1060" s="989"/>
      <c r="OWD1060" s="989"/>
      <c r="OWE1060" s="989"/>
      <c r="OWF1060" s="989"/>
      <c r="OWG1060" s="989"/>
      <c r="OWH1060" s="989"/>
      <c r="OWI1060" s="989"/>
      <c r="OWJ1060" s="989"/>
      <c r="OWK1060" s="989"/>
      <c r="OWL1060" s="989"/>
      <c r="OWM1060" s="989"/>
      <c r="OWN1060" s="989"/>
      <c r="OWO1060" s="989"/>
      <c r="OWP1060" s="989"/>
      <c r="OWQ1060" s="989"/>
      <c r="OWR1060" s="989"/>
      <c r="OWS1060" s="989"/>
      <c r="OWT1060" s="989"/>
      <c r="OWU1060" s="989"/>
      <c r="OWV1060" s="989"/>
      <c r="OWW1060" s="989"/>
      <c r="OWX1060" s="989"/>
      <c r="OWY1060" s="989"/>
      <c r="OWZ1060" s="989"/>
      <c r="OXA1060" s="989"/>
      <c r="OXB1060" s="989"/>
      <c r="OXC1060" s="989"/>
      <c r="OXD1060" s="989"/>
      <c r="OXE1060" s="989"/>
      <c r="OXF1060" s="989"/>
      <c r="OXG1060" s="989"/>
      <c r="OXH1060" s="989"/>
      <c r="OXI1060" s="989"/>
      <c r="OXJ1060" s="989"/>
      <c r="OXK1060" s="989"/>
      <c r="OXL1060" s="989"/>
      <c r="OXM1060" s="989"/>
      <c r="OXN1060" s="989"/>
      <c r="OXO1060" s="989"/>
      <c r="OXP1060" s="989"/>
      <c r="OXQ1060" s="989"/>
      <c r="OXR1060" s="989"/>
      <c r="OXS1060" s="989"/>
      <c r="OXT1060" s="989"/>
      <c r="OXU1060" s="989"/>
      <c r="OXV1060" s="989"/>
      <c r="OXW1060" s="989"/>
      <c r="OXX1060" s="989"/>
      <c r="OXY1060" s="989"/>
      <c r="OXZ1060" s="989"/>
      <c r="OYA1060" s="989"/>
      <c r="OYB1060" s="989"/>
      <c r="OYC1060" s="989"/>
      <c r="OYD1060" s="989"/>
      <c r="OYE1060" s="989"/>
      <c r="OYF1060" s="989"/>
      <c r="OYG1060" s="989"/>
      <c r="OYH1060" s="989"/>
      <c r="OYI1060" s="989"/>
      <c r="OYJ1060" s="989"/>
      <c r="OYK1060" s="989"/>
      <c r="OYL1060" s="989"/>
      <c r="OYM1060" s="989"/>
      <c r="OYN1060" s="989"/>
      <c r="OYO1060" s="989"/>
      <c r="OYP1060" s="989"/>
      <c r="OYQ1060" s="989"/>
      <c r="OYR1060" s="989"/>
      <c r="OYS1060" s="989"/>
      <c r="OYT1060" s="989"/>
      <c r="OYU1060" s="989"/>
      <c r="OYV1060" s="989"/>
      <c r="OYW1060" s="989"/>
      <c r="OYX1060" s="989"/>
      <c r="OYY1060" s="989"/>
      <c r="OYZ1060" s="989"/>
      <c r="OZA1060" s="989"/>
      <c r="OZB1060" s="989"/>
      <c r="OZC1060" s="989"/>
      <c r="OZD1060" s="989"/>
      <c r="OZE1060" s="989"/>
      <c r="OZF1060" s="989"/>
      <c r="OZG1060" s="989"/>
      <c r="OZH1060" s="989"/>
      <c r="OZI1060" s="989"/>
      <c r="OZJ1060" s="989"/>
      <c r="OZK1060" s="989"/>
      <c r="OZL1060" s="989"/>
      <c r="OZM1060" s="989"/>
      <c r="OZN1060" s="989"/>
      <c r="OZO1060" s="989"/>
      <c r="OZP1060" s="989"/>
      <c r="OZQ1060" s="989"/>
      <c r="OZR1060" s="989"/>
      <c r="OZS1060" s="989"/>
      <c r="OZT1060" s="989"/>
      <c r="OZU1060" s="989"/>
      <c r="OZV1060" s="989"/>
      <c r="OZW1060" s="989"/>
      <c r="OZX1060" s="989"/>
      <c r="OZY1060" s="989"/>
      <c r="OZZ1060" s="989"/>
      <c r="PAA1060" s="989"/>
      <c r="PAB1060" s="989"/>
      <c r="PAC1060" s="989"/>
      <c r="PAD1060" s="989"/>
      <c r="PAE1060" s="989"/>
      <c r="PAF1060" s="989"/>
      <c r="PAG1060" s="989"/>
      <c r="PAH1060" s="989"/>
      <c r="PAI1060" s="989"/>
      <c r="PAJ1060" s="989"/>
      <c r="PAK1060" s="989"/>
      <c r="PAL1060" s="989"/>
      <c r="PAM1060" s="989"/>
      <c r="PAN1060" s="989"/>
      <c r="PAO1060" s="989"/>
      <c r="PAP1060" s="989"/>
      <c r="PAQ1060" s="989"/>
      <c r="PAR1060" s="989"/>
      <c r="PAS1060" s="989"/>
      <c r="PAT1060" s="989"/>
      <c r="PAU1060" s="989"/>
      <c r="PAV1060" s="989"/>
      <c r="PAW1060" s="989"/>
      <c r="PAX1060" s="989"/>
      <c r="PAY1060" s="989"/>
      <c r="PAZ1060" s="989"/>
      <c r="PBA1060" s="989"/>
      <c r="PBB1060" s="989"/>
      <c r="PBC1060" s="989"/>
      <c r="PBD1060" s="989"/>
      <c r="PBE1060" s="989"/>
      <c r="PBF1060" s="989"/>
      <c r="PBG1060" s="989"/>
      <c r="PBH1060" s="989"/>
      <c r="PBI1060" s="989"/>
      <c r="PBJ1060" s="989"/>
      <c r="PBK1060" s="989"/>
      <c r="PBL1060" s="989"/>
      <c r="PBM1060" s="989"/>
      <c r="PBN1060" s="989"/>
      <c r="PBO1060" s="989"/>
      <c r="PBP1060" s="989"/>
      <c r="PBQ1060" s="989"/>
      <c r="PBR1060" s="989"/>
      <c r="PBS1060" s="989"/>
      <c r="PBT1060" s="989"/>
      <c r="PBU1060" s="989"/>
      <c r="PBV1060" s="989"/>
      <c r="PBW1060" s="989"/>
      <c r="PBX1060" s="989"/>
      <c r="PBY1060" s="989"/>
      <c r="PBZ1060" s="989"/>
      <c r="PCA1060" s="989"/>
      <c r="PCB1060" s="989"/>
      <c r="PCC1060" s="989"/>
      <c r="PCD1060" s="989"/>
      <c r="PCE1060" s="989"/>
      <c r="PCF1060" s="989"/>
      <c r="PCG1060" s="989"/>
      <c r="PCH1060" s="989"/>
      <c r="PCI1060" s="989"/>
      <c r="PCJ1060" s="989"/>
      <c r="PCK1060" s="989"/>
      <c r="PCL1060" s="989"/>
      <c r="PCM1060" s="989"/>
      <c r="PCN1060" s="989"/>
      <c r="PCO1060" s="989"/>
      <c r="PCP1060" s="989"/>
      <c r="PCQ1060" s="989"/>
      <c r="PCR1060" s="989"/>
      <c r="PCS1060" s="989"/>
      <c r="PCT1060" s="989"/>
      <c r="PCU1060" s="989"/>
      <c r="PCV1060" s="989"/>
      <c r="PCW1060" s="989"/>
      <c r="PCX1060" s="989"/>
      <c r="PCY1060" s="989"/>
      <c r="PCZ1060" s="989"/>
      <c r="PDA1060" s="989"/>
      <c r="PDB1060" s="989"/>
      <c r="PDC1060" s="989"/>
      <c r="PDD1060" s="989"/>
      <c r="PDE1060" s="989"/>
      <c r="PDF1060" s="989"/>
      <c r="PDG1060" s="989"/>
      <c r="PDH1060" s="989"/>
      <c r="PDI1060" s="989"/>
      <c r="PDJ1060" s="989"/>
      <c r="PDK1060" s="989"/>
      <c r="PDL1060" s="989"/>
      <c r="PDM1060" s="989"/>
      <c r="PDN1060" s="989"/>
      <c r="PDO1060" s="989"/>
      <c r="PDP1060" s="989"/>
      <c r="PDQ1060" s="989"/>
      <c r="PDR1060" s="989"/>
      <c r="PDS1060" s="989"/>
      <c r="PDT1060" s="989"/>
      <c r="PDU1060" s="989"/>
      <c r="PDV1060" s="989"/>
      <c r="PDW1060" s="989"/>
      <c r="PDX1060" s="989"/>
      <c r="PDY1060" s="989"/>
      <c r="PDZ1060" s="989"/>
      <c r="PEA1060" s="989"/>
      <c r="PEB1060" s="989"/>
      <c r="PEC1060" s="989"/>
      <c r="PED1060" s="989"/>
      <c r="PEE1060" s="989"/>
      <c r="PEF1060" s="989"/>
      <c r="PEG1060" s="989"/>
      <c r="PEH1060" s="989"/>
      <c r="PEI1060" s="989"/>
      <c r="PEJ1060" s="989"/>
      <c r="PEK1060" s="989"/>
      <c r="PEL1060" s="989"/>
      <c r="PEM1060" s="989"/>
      <c r="PEN1060" s="989"/>
      <c r="PEO1060" s="989"/>
      <c r="PEP1060" s="989"/>
      <c r="PEQ1060" s="989"/>
      <c r="PER1060" s="989"/>
      <c r="PES1060" s="989"/>
      <c r="PET1060" s="989"/>
      <c r="PEU1060" s="989"/>
      <c r="PEV1060" s="989"/>
      <c r="PEW1060" s="989"/>
      <c r="PEX1060" s="989"/>
      <c r="PEY1060" s="989"/>
      <c r="PEZ1060" s="989"/>
      <c r="PFA1060" s="989"/>
      <c r="PFB1060" s="989"/>
      <c r="PFC1060" s="989"/>
      <c r="PFD1060" s="989"/>
      <c r="PFE1060" s="989"/>
      <c r="PFF1060" s="989"/>
      <c r="PFG1060" s="989"/>
      <c r="PFH1060" s="989"/>
      <c r="PFI1060" s="989"/>
      <c r="PFJ1060" s="989"/>
      <c r="PFK1060" s="989"/>
      <c r="PFL1060" s="989"/>
      <c r="PFM1060" s="989"/>
      <c r="PFN1060" s="989"/>
      <c r="PFO1060" s="989"/>
      <c r="PFP1060" s="989"/>
      <c r="PFQ1060" s="989"/>
      <c r="PFR1060" s="989"/>
      <c r="PFS1060" s="989"/>
      <c r="PFT1060" s="989"/>
      <c r="PFU1060" s="989"/>
      <c r="PFV1060" s="989"/>
      <c r="PFW1060" s="989"/>
      <c r="PFX1060" s="989"/>
      <c r="PFY1060" s="989"/>
      <c r="PFZ1060" s="989"/>
      <c r="PGA1060" s="989"/>
      <c r="PGB1060" s="989"/>
      <c r="PGC1060" s="989"/>
      <c r="PGD1060" s="989"/>
      <c r="PGE1060" s="989"/>
      <c r="PGF1060" s="989"/>
      <c r="PGG1060" s="989"/>
      <c r="PGH1060" s="989"/>
      <c r="PGI1060" s="989"/>
      <c r="PGJ1060" s="989"/>
      <c r="PGK1060" s="989"/>
      <c r="PGL1060" s="989"/>
      <c r="PGM1060" s="989"/>
      <c r="PGN1060" s="989"/>
      <c r="PGO1060" s="989"/>
      <c r="PGP1060" s="989"/>
      <c r="PGQ1060" s="989"/>
      <c r="PGR1060" s="989"/>
      <c r="PGS1060" s="989"/>
      <c r="PGT1060" s="989"/>
      <c r="PGU1060" s="989"/>
      <c r="PGV1060" s="989"/>
      <c r="PGW1060" s="989"/>
      <c r="PGX1060" s="989"/>
      <c r="PGY1060" s="989"/>
      <c r="PGZ1060" s="989"/>
      <c r="PHA1060" s="989"/>
      <c r="PHB1060" s="989"/>
      <c r="PHC1060" s="989"/>
      <c r="PHD1060" s="989"/>
      <c r="PHE1060" s="989"/>
      <c r="PHF1060" s="989"/>
      <c r="PHG1060" s="989"/>
      <c r="PHH1060" s="989"/>
      <c r="PHI1060" s="989"/>
      <c r="PHJ1060" s="989"/>
      <c r="PHK1060" s="989"/>
      <c r="PHL1060" s="989"/>
      <c r="PHM1060" s="989"/>
      <c r="PHN1060" s="989"/>
      <c r="PHO1060" s="989"/>
      <c r="PHP1060" s="989"/>
      <c r="PHQ1060" s="989"/>
      <c r="PHR1060" s="989"/>
      <c r="PHS1060" s="989"/>
      <c r="PHT1060" s="989"/>
      <c r="PHU1060" s="989"/>
      <c r="PHV1060" s="989"/>
      <c r="PHW1060" s="989"/>
      <c r="PHX1060" s="989"/>
      <c r="PHY1060" s="989"/>
      <c r="PHZ1060" s="989"/>
      <c r="PIA1060" s="989"/>
      <c r="PIB1060" s="989"/>
      <c r="PIC1060" s="989"/>
      <c r="PID1060" s="989"/>
      <c r="PIE1060" s="989"/>
      <c r="PIF1060" s="989"/>
      <c r="PIG1060" s="989"/>
      <c r="PIH1060" s="989"/>
      <c r="PII1060" s="989"/>
      <c r="PIJ1060" s="989"/>
      <c r="PIK1060" s="989"/>
      <c r="PIL1060" s="989"/>
      <c r="PIM1060" s="989"/>
      <c r="PIN1060" s="989"/>
      <c r="PIO1060" s="989"/>
      <c r="PIP1060" s="989"/>
      <c r="PIQ1060" s="989"/>
      <c r="PIR1060" s="989"/>
      <c r="PIS1060" s="989"/>
      <c r="PIT1060" s="989"/>
      <c r="PIU1060" s="989"/>
      <c r="PIV1060" s="989"/>
      <c r="PIW1060" s="989"/>
      <c r="PIX1060" s="989"/>
      <c r="PIY1060" s="989"/>
      <c r="PIZ1060" s="989"/>
      <c r="PJA1060" s="989"/>
      <c r="PJB1060" s="989"/>
      <c r="PJC1060" s="989"/>
      <c r="PJD1060" s="989"/>
      <c r="PJE1060" s="989"/>
      <c r="PJF1060" s="989"/>
      <c r="PJG1060" s="989"/>
      <c r="PJH1060" s="989"/>
      <c r="PJI1060" s="989"/>
      <c r="PJJ1060" s="989"/>
      <c r="PJK1060" s="989"/>
      <c r="PJL1060" s="989"/>
      <c r="PJM1060" s="989"/>
      <c r="PJN1060" s="989"/>
      <c r="PJO1060" s="989"/>
      <c r="PJP1060" s="989"/>
      <c r="PJQ1060" s="989"/>
      <c r="PJR1060" s="989"/>
      <c r="PJS1060" s="989"/>
      <c r="PJT1060" s="989"/>
      <c r="PJU1060" s="989"/>
      <c r="PJV1060" s="989"/>
      <c r="PJW1060" s="989"/>
      <c r="PJX1060" s="989"/>
      <c r="PJY1060" s="989"/>
      <c r="PJZ1060" s="989"/>
      <c r="PKA1060" s="989"/>
      <c r="PKB1060" s="989"/>
      <c r="PKC1060" s="989"/>
      <c r="PKD1060" s="989"/>
      <c r="PKE1060" s="989"/>
      <c r="PKF1060" s="989"/>
      <c r="PKG1060" s="989"/>
      <c r="PKH1060" s="989"/>
      <c r="PKI1060" s="989"/>
      <c r="PKJ1060" s="989"/>
      <c r="PKK1060" s="989"/>
      <c r="PKL1060" s="989"/>
      <c r="PKM1060" s="989"/>
      <c r="PKN1060" s="989"/>
      <c r="PKO1060" s="989"/>
      <c r="PKP1060" s="989"/>
      <c r="PKQ1060" s="989"/>
      <c r="PKR1060" s="989"/>
      <c r="PKS1060" s="989"/>
      <c r="PKT1060" s="989"/>
      <c r="PKU1060" s="989"/>
      <c r="PKV1060" s="989"/>
      <c r="PKW1060" s="989"/>
      <c r="PKX1060" s="989"/>
      <c r="PKY1060" s="989"/>
      <c r="PKZ1060" s="989"/>
      <c r="PLA1060" s="989"/>
      <c r="PLB1060" s="989"/>
      <c r="PLC1060" s="989"/>
      <c r="PLD1060" s="989"/>
      <c r="PLE1060" s="989"/>
      <c r="PLF1060" s="989"/>
      <c r="PLG1060" s="989"/>
      <c r="PLH1060" s="989"/>
      <c r="PLI1060" s="989"/>
      <c r="PLJ1060" s="989"/>
      <c r="PLK1060" s="989"/>
      <c r="PLL1060" s="989"/>
      <c r="PLM1060" s="989"/>
      <c r="PLN1060" s="989"/>
      <c r="PLO1060" s="989"/>
      <c r="PLP1060" s="989"/>
      <c r="PLQ1060" s="989"/>
      <c r="PLR1060" s="989"/>
      <c r="PLS1060" s="989"/>
      <c r="PLT1060" s="989"/>
      <c r="PLU1060" s="989"/>
      <c r="PLV1060" s="989"/>
      <c r="PLW1060" s="989"/>
      <c r="PLX1060" s="989"/>
      <c r="PLY1060" s="989"/>
      <c r="PLZ1060" s="989"/>
      <c r="PMA1060" s="989"/>
      <c r="PMB1060" s="989"/>
      <c r="PMC1060" s="989"/>
      <c r="PMD1060" s="989"/>
      <c r="PME1060" s="989"/>
      <c r="PMF1060" s="989"/>
      <c r="PMG1060" s="989"/>
      <c r="PMH1060" s="989"/>
      <c r="PMI1060" s="989"/>
      <c r="PMJ1060" s="989"/>
      <c r="PMK1060" s="989"/>
      <c r="PML1060" s="989"/>
      <c r="PMM1060" s="989"/>
      <c r="PMN1060" s="989"/>
      <c r="PMO1060" s="989"/>
      <c r="PMP1060" s="989"/>
      <c r="PMQ1060" s="989"/>
      <c r="PMR1060" s="989"/>
      <c r="PMS1060" s="989"/>
      <c r="PMT1060" s="989"/>
      <c r="PMU1060" s="989"/>
      <c r="PMV1060" s="989"/>
      <c r="PMW1060" s="989"/>
      <c r="PMX1060" s="989"/>
      <c r="PMY1060" s="989"/>
      <c r="PMZ1060" s="989"/>
      <c r="PNA1060" s="989"/>
      <c r="PNB1060" s="989"/>
      <c r="PNC1060" s="989"/>
      <c r="PND1060" s="989"/>
      <c r="PNE1060" s="989"/>
      <c r="PNF1060" s="989"/>
      <c r="PNG1060" s="989"/>
      <c r="PNH1060" s="989"/>
      <c r="PNI1060" s="989"/>
      <c r="PNJ1060" s="989"/>
      <c r="PNK1060" s="989"/>
      <c r="PNL1060" s="989"/>
      <c r="PNM1060" s="989"/>
      <c r="PNN1060" s="989"/>
      <c r="PNO1060" s="989"/>
      <c r="PNP1060" s="989"/>
      <c r="PNQ1060" s="989"/>
      <c r="PNR1060" s="989"/>
      <c r="PNS1060" s="989"/>
      <c r="PNT1060" s="989"/>
      <c r="PNU1060" s="989"/>
      <c r="PNV1060" s="989"/>
      <c r="PNW1060" s="989"/>
      <c r="PNX1060" s="989"/>
      <c r="PNY1060" s="989"/>
      <c r="PNZ1060" s="989"/>
      <c r="POA1060" s="989"/>
      <c r="POB1060" s="989"/>
      <c r="POC1060" s="989"/>
      <c r="POD1060" s="989"/>
      <c r="POE1060" s="989"/>
      <c r="POF1060" s="989"/>
      <c r="POG1060" s="989"/>
      <c r="POH1060" s="989"/>
      <c r="POI1060" s="989"/>
      <c r="POJ1060" s="989"/>
      <c r="POK1060" s="989"/>
      <c r="POL1060" s="989"/>
      <c r="POM1060" s="989"/>
      <c r="PON1060" s="989"/>
      <c r="POO1060" s="989"/>
      <c r="POP1060" s="989"/>
      <c r="POQ1060" s="989"/>
      <c r="POR1060" s="989"/>
      <c r="POS1060" s="989"/>
      <c r="POT1060" s="989"/>
      <c r="POU1060" s="989"/>
      <c r="POV1060" s="989"/>
      <c r="POW1060" s="989"/>
      <c r="POX1060" s="989"/>
      <c r="POY1060" s="989"/>
      <c r="POZ1060" s="989"/>
      <c r="PPA1060" s="989"/>
      <c r="PPB1060" s="989"/>
      <c r="PPC1060" s="989"/>
      <c r="PPD1060" s="989"/>
      <c r="PPE1060" s="989"/>
      <c r="PPF1060" s="989"/>
      <c r="PPG1060" s="989"/>
      <c r="PPH1060" s="989"/>
      <c r="PPI1060" s="989"/>
      <c r="PPJ1060" s="989"/>
      <c r="PPK1060" s="989"/>
      <c r="PPL1060" s="989"/>
      <c r="PPM1060" s="989"/>
      <c r="PPN1060" s="989"/>
      <c r="PPO1060" s="989"/>
      <c r="PPP1060" s="989"/>
      <c r="PPQ1060" s="989"/>
      <c r="PPR1060" s="989"/>
      <c r="PPS1060" s="989"/>
      <c r="PPT1060" s="989"/>
      <c r="PPU1060" s="989"/>
      <c r="PPV1060" s="989"/>
      <c r="PPW1060" s="989"/>
      <c r="PPX1060" s="989"/>
      <c r="PPY1060" s="989"/>
      <c r="PPZ1060" s="989"/>
      <c r="PQA1060" s="989"/>
      <c r="PQB1060" s="989"/>
      <c r="PQC1060" s="989"/>
      <c r="PQD1060" s="989"/>
      <c r="PQE1060" s="989"/>
      <c r="PQF1060" s="989"/>
      <c r="PQG1060" s="989"/>
      <c r="PQH1060" s="989"/>
      <c r="PQI1060" s="989"/>
      <c r="PQJ1060" s="989"/>
      <c r="PQK1060" s="989"/>
      <c r="PQL1060" s="989"/>
      <c r="PQM1060" s="989"/>
      <c r="PQN1060" s="989"/>
      <c r="PQO1060" s="989"/>
      <c r="PQP1060" s="989"/>
      <c r="PQQ1060" s="989"/>
      <c r="PQR1060" s="989"/>
      <c r="PQS1060" s="989"/>
      <c r="PQT1060" s="989"/>
      <c r="PQU1060" s="989"/>
      <c r="PQV1060" s="989"/>
      <c r="PQW1060" s="989"/>
      <c r="PQX1060" s="989"/>
      <c r="PQY1060" s="989"/>
      <c r="PQZ1060" s="989"/>
      <c r="PRA1060" s="989"/>
      <c r="PRB1060" s="989"/>
      <c r="PRC1060" s="989"/>
      <c r="PRD1060" s="989"/>
      <c r="PRE1060" s="989"/>
      <c r="PRF1060" s="989"/>
      <c r="PRG1060" s="989"/>
      <c r="PRH1060" s="989"/>
      <c r="PRI1060" s="989"/>
      <c r="PRJ1060" s="989"/>
      <c r="PRK1060" s="989"/>
      <c r="PRL1060" s="989"/>
      <c r="PRM1060" s="989"/>
      <c r="PRN1060" s="989"/>
      <c r="PRO1060" s="989"/>
      <c r="PRP1060" s="989"/>
      <c r="PRQ1060" s="989"/>
      <c r="PRR1060" s="989"/>
      <c r="PRS1060" s="989"/>
      <c r="PRT1060" s="989"/>
      <c r="PRU1060" s="989"/>
      <c r="PRV1060" s="989"/>
      <c r="PRW1060" s="989"/>
      <c r="PRX1060" s="989"/>
      <c r="PRY1060" s="989"/>
      <c r="PRZ1060" s="989"/>
      <c r="PSA1060" s="989"/>
      <c r="PSB1060" s="989"/>
      <c r="PSC1060" s="989"/>
      <c r="PSD1060" s="989"/>
      <c r="PSE1060" s="989"/>
      <c r="PSF1060" s="989"/>
      <c r="PSG1060" s="989"/>
      <c r="PSH1060" s="989"/>
      <c r="PSI1060" s="989"/>
      <c r="PSJ1060" s="989"/>
      <c r="PSK1060" s="989"/>
      <c r="PSL1060" s="989"/>
      <c r="PSM1060" s="989"/>
      <c r="PSN1060" s="989"/>
      <c r="PSO1060" s="989"/>
      <c r="PSP1060" s="989"/>
      <c r="PSQ1060" s="989"/>
      <c r="PSR1060" s="989"/>
      <c r="PSS1060" s="989"/>
      <c r="PST1060" s="989"/>
      <c r="PSU1060" s="989"/>
      <c r="PSV1060" s="989"/>
      <c r="PSW1060" s="989"/>
      <c r="PSX1060" s="989"/>
      <c r="PSY1060" s="989"/>
      <c r="PSZ1060" s="989"/>
      <c r="PTA1060" s="989"/>
      <c r="PTB1060" s="989"/>
      <c r="PTC1060" s="989"/>
      <c r="PTD1060" s="989"/>
      <c r="PTE1060" s="989"/>
      <c r="PTF1060" s="989"/>
      <c r="PTG1060" s="989"/>
      <c r="PTH1060" s="989"/>
      <c r="PTI1060" s="989"/>
      <c r="PTJ1060" s="989"/>
      <c r="PTK1060" s="989"/>
      <c r="PTL1060" s="989"/>
      <c r="PTM1060" s="989"/>
      <c r="PTN1060" s="989"/>
      <c r="PTO1060" s="989"/>
      <c r="PTP1060" s="989"/>
      <c r="PTQ1060" s="989"/>
      <c r="PTR1060" s="989"/>
      <c r="PTS1060" s="989"/>
      <c r="PTT1060" s="989"/>
      <c r="PTU1060" s="989"/>
      <c r="PTV1060" s="989"/>
      <c r="PTW1060" s="989"/>
      <c r="PTX1060" s="989"/>
      <c r="PTY1060" s="989"/>
      <c r="PTZ1060" s="989"/>
      <c r="PUA1060" s="989"/>
      <c r="PUB1060" s="989"/>
      <c r="PUC1060" s="989"/>
      <c r="PUD1060" s="989"/>
      <c r="PUE1060" s="989"/>
      <c r="PUF1060" s="989"/>
      <c r="PUG1060" s="989"/>
      <c r="PUH1060" s="989"/>
      <c r="PUI1060" s="989"/>
      <c r="PUJ1060" s="989"/>
      <c r="PUK1060" s="989"/>
      <c r="PUL1060" s="989"/>
      <c r="PUM1060" s="989"/>
      <c r="PUN1060" s="989"/>
      <c r="PUO1060" s="989"/>
      <c r="PUP1060" s="989"/>
      <c r="PUQ1060" s="989"/>
      <c r="PUR1060" s="989"/>
      <c r="PUS1060" s="989"/>
      <c r="PUT1060" s="989"/>
      <c r="PUU1060" s="989"/>
      <c r="PUV1060" s="989"/>
      <c r="PUW1060" s="989"/>
      <c r="PUX1060" s="989"/>
      <c r="PUY1060" s="989"/>
      <c r="PUZ1060" s="989"/>
      <c r="PVA1060" s="989"/>
      <c r="PVB1060" s="989"/>
      <c r="PVC1060" s="989"/>
      <c r="PVD1060" s="989"/>
      <c r="PVE1060" s="989"/>
      <c r="PVF1060" s="989"/>
      <c r="PVG1060" s="989"/>
      <c r="PVH1060" s="989"/>
      <c r="PVI1060" s="989"/>
      <c r="PVJ1060" s="989"/>
      <c r="PVK1060" s="989"/>
      <c r="PVL1060" s="989"/>
      <c r="PVM1060" s="989"/>
      <c r="PVN1060" s="989"/>
      <c r="PVO1060" s="989"/>
      <c r="PVP1060" s="989"/>
      <c r="PVQ1060" s="989"/>
      <c r="PVR1060" s="989"/>
      <c r="PVS1060" s="989"/>
      <c r="PVT1060" s="989"/>
      <c r="PVU1060" s="989"/>
      <c r="PVV1060" s="989"/>
      <c r="PVW1060" s="989"/>
      <c r="PVX1060" s="989"/>
      <c r="PVY1060" s="989"/>
      <c r="PVZ1060" s="989"/>
      <c r="PWA1060" s="989"/>
      <c r="PWB1060" s="989"/>
      <c r="PWC1060" s="989"/>
      <c r="PWD1060" s="989"/>
      <c r="PWE1060" s="989"/>
      <c r="PWF1060" s="989"/>
      <c r="PWG1060" s="989"/>
      <c r="PWH1060" s="989"/>
      <c r="PWI1060" s="989"/>
      <c r="PWJ1060" s="989"/>
      <c r="PWK1060" s="989"/>
      <c r="PWL1060" s="989"/>
      <c r="PWM1060" s="989"/>
      <c r="PWN1060" s="989"/>
      <c r="PWO1060" s="989"/>
      <c r="PWP1060" s="989"/>
      <c r="PWQ1060" s="989"/>
      <c r="PWR1060" s="989"/>
      <c r="PWS1060" s="989"/>
      <c r="PWT1060" s="989"/>
      <c r="PWU1060" s="989"/>
      <c r="PWV1060" s="989"/>
      <c r="PWW1060" s="989"/>
      <c r="PWX1060" s="989"/>
      <c r="PWY1060" s="989"/>
      <c r="PWZ1060" s="989"/>
      <c r="PXA1060" s="989"/>
      <c r="PXB1060" s="989"/>
      <c r="PXC1060" s="989"/>
      <c r="PXD1060" s="989"/>
      <c r="PXE1060" s="989"/>
      <c r="PXF1060" s="989"/>
      <c r="PXG1060" s="989"/>
      <c r="PXH1060" s="989"/>
      <c r="PXI1060" s="989"/>
      <c r="PXJ1060" s="989"/>
      <c r="PXK1060" s="989"/>
      <c r="PXL1060" s="989"/>
      <c r="PXM1060" s="989"/>
      <c r="PXN1060" s="989"/>
      <c r="PXO1060" s="989"/>
      <c r="PXP1060" s="989"/>
      <c r="PXQ1060" s="989"/>
      <c r="PXR1060" s="989"/>
      <c r="PXS1060" s="989"/>
      <c r="PXT1060" s="989"/>
      <c r="PXU1060" s="989"/>
      <c r="PXV1060" s="989"/>
      <c r="PXW1060" s="989"/>
      <c r="PXX1060" s="989"/>
      <c r="PXY1060" s="989"/>
      <c r="PXZ1060" s="989"/>
      <c r="PYA1060" s="989"/>
      <c r="PYB1060" s="989"/>
      <c r="PYC1060" s="989"/>
      <c r="PYD1060" s="989"/>
      <c r="PYE1060" s="989"/>
      <c r="PYF1060" s="989"/>
      <c r="PYG1060" s="989"/>
      <c r="PYH1060" s="989"/>
      <c r="PYI1060" s="989"/>
      <c r="PYJ1060" s="989"/>
      <c r="PYK1060" s="989"/>
      <c r="PYL1060" s="989"/>
      <c r="PYM1060" s="989"/>
      <c r="PYN1060" s="989"/>
      <c r="PYO1060" s="989"/>
      <c r="PYP1060" s="989"/>
      <c r="PYQ1060" s="989"/>
      <c r="PYR1060" s="989"/>
      <c r="PYS1060" s="989"/>
      <c r="PYT1060" s="989"/>
      <c r="PYU1060" s="989"/>
      <c r="PYV1060" s="989"/>
      <c r="PYW1060" s="989"/>
      <c r="PYX1060" s="989"/>
      <c r="PYY1060" s="989"/>
      <c r="PYZ1060" s="989"/>
      <c r="PZA1060" s="989"/>
      <c r="PZB1060" s="989"/>
      <c r="PZC1060" s="989"/>
      <c r="PZD1060" s="989"/>
      <c r="PZE1060" s="989"/>
      <c r="PZF1060" s="989"/>
      <c r="PZG1060" s="989"/>
      <c r="PZH1060" s="989"/>
      <c r="PZI1060" s="989"/>
      <c r="PZJ1060" s="989"/>
      <c r="PZK1060" s="989"/>
      <c r="PZL1060" s="989"/>
      <c r="PZM1060" s="989"/>
      <c r="PZN1060" s="989"/>
      <c r="PZO1060" s="989"/>
      <c r="PZP1060" s="989"/>
      <c r="PZQ1060" s="989"/>
      <c r="PZR1060" s="989"/>
      <c r="PZS1060" s="989"/>
      <c r="PZT1060" s="989"/>
      <c r="PZU1060" s="989"/>
      <c r="PZV1060" s="989"/>
      <c r="PZW1060" s="989"/>
      <c r="PZX1060" s="989"/>
      <c r="PZY1060" s="989"/>
      <c r="PZZ1060" s="989"/>
      <c r="QAA1060" s="989"/>
      <c r="QAB1060" s="989"/>
      <c r="QAC1060" s="989"/>
      <c r="QAD1060" s="989"/>
      <c r="QAE1060" s="989"/>
      <c r="QAF1060" s="989"/>
      <c r="QAG1060" s="989"/>
      <c r="QAH1060" s="989"/>
      <c r="QAI1060" s="989"/>
      <c r="QAJ1060" s="989"/>
      <c r="QAK1060" s="989"/>
      <c r="QAL1060" s="989"/>
      <c r="QAM1060" s="989"/>
      <c r="QAN1060" s="989"/>
      <c r="QAO1060" s="989"/>
      <c r="QAP1060" s="989"/>
      <c r="QAQ1060" s="989"/>
      <c r="QAR1060" s="989"/>
      <c r="QAS1060" s="989"/>
      <c r="QAT1060" s="989"/>
      <c r="QAU1060" s="989"/>
      <c r="QAV1060" s="989"/>
      <c r="QAW1060" s="989"/>
      <c r="QAX1060" s="989"/>
      <c r="QAY1060" s="989"/>
      <c r="QAZ1060" s="989"/>
      <c r="QBA1060" s="989"/>
      <c r="QBB1060" s="989"/>
      <c r="QBC1060" s="989"/>
      <c r="QBD1060" s="989"/>
      <c r="QBE1060" s="989"/>
      <c r="QBF1060" s="989"/>
      <c r="QBG1060" s="989"/>
      <c r="QBH1060" s="989"/>
      <c r="QBI1060" s="989"/>
      <c r="QBJ1060" s="989"/>
      <c r="QBK1060" s="989"/>
      <c r="QBL1060" s="989"/>
      <c r="QBM1060" s="989"/>
      <c r="QBN1060" s="989"/>
      <c r="QBO1060" s="989"/>
      <c r="QBP1060" s="989"/>
      <c r="QBQ1060" s="989"/>
      <c r="QBR1060" s="989"/>
      <c r="QBS1060" s="989"/>
      <c r="QBT1060" s="989"/>
      <c r="QBU1060" s="989"/>
      <c r="QBV1060" s="989"/>
      <c r="QBW1060" s="989"/>
      <c r="QBX1060" s="989"/>
      <c r="QBY1060" s="989"/>
      <c r="QBZ1060" s="989"/>
      <c r="QCA1060" s="989"/>
      <c r="QCB1060" s="989"/>
      <c r="QCC1060" s="989"/>
      <c r="QCD1060" s="989"/>
      <c r="QCE1060" s="989"/>
      <c r="QCF1060" s="989"/>
      <c r="QCG1060" s="989"/>
      <c r="QCH1060" s="989"/>
      <c r="QCI1060" s="989"/>
      <c r="QCJ1060" s="989"/>
      <c r="QCK1060" s="989"/>
      <c r="QCL1060" s="989"/>
      <c r="QCM1060" s="989"/>
      <c r="QCN1060" s="989"/>
      <c r="QCO1060" s="989"/>
      <c r="QCP1060" s="989"/>
      <c r="QCQ1060" s="989"/>
      <c r="QCR1060" s="989"/>
      <c r="QCS1060" s="989"/>
      <c r="QCT1060" s="989"/>
      <c r="QCU1060" s="989"/>
      <c r="QCV1060" s="989"/>
      <c r="QCW1060" s="989"/>
      <c r="QCX1060" s="989"/>
      <c r="QCY1060" s="989"/>
      <c r="QCZ1060" s="989"/>
      <c r="QDA1060" s="989"/>
      <c r="QDB1060" s="989"/>
      <c r="QDC1060" s="989"/>
      <c r="QDD1060" s="989"/>
      <c r="QDE1060" s="989"/>
      <c r="QDF1060" s="989"/>
      <c r="QDG1060" s="989"/>
      <c r="QDH1060" s="989"/>
      <c r="QDI1060" s="989"/>
      <c r="QDJ1060" s="989"/>
      <c r="QDK1060" s="989"/>
      <c r="QDL1060" s="989"/>
      <c r="QDM1060" s="989"/>
      <c r="QDN1060" s="989"/>
      <c r="QDO1060" s="989"/>
      <c r="QDP1060" s="989"/>
      <c r="QDQ1060" s="989"/>
      <c r="QDR1060" s="989"/>
      <c r="QDS1060" s="989"/>
      <c r="QDT1060" s="989"/>
      <c r="QDU1060" s="989"/>
      <c r="QDV1060" s="989"/>
      <c r="QDW1060" s="989"/>
      <c r="QDX1060" s="989"/>
      <c r="QDY1060" s="989"/>
      <c r="QDZ1060" s="989"/>
      <c r="QEA1060" s="989"/>
      <c r="QEB1060" s="989"/>
      <c r="QEC1060" s="989"/>
      <c r="QED1060" s="989"/>
      <c r="QEE1060" s="989"/>
      <c r="QEF1060" s="989"/>
      <c r="QEG1060" s="989"/>
      <c r="QEH1060" s="989"/>
      <c r="QEI1060" s="989"/>
      <c r="QEJ1060" s="989"/>
      <c r="QEK1060" s="989"/>
      <c r="QEL1060" s="989"/>
      <c r="QEM1060" s="989"/>
      <c r="QEN1060" s="989"/>
      <c r="QEO1060" s="989"/>
      <c r="QEP1060" s="989"/>
      <c r="QEQ1060" s="989"/>
      <c r="QER1060" s="989"/>
      <c r="QES1060" s="989"/>
      <c r="QET1060" s="989"/>
      <c r="QEU1060" s="989"/>
      <c r="QEV1060" s="989"/>
      <c r="QEW1060" s="989"/>
      <c r="QEX1060" s="989"/>
      <c r="QEY1060" s="989"/>
      <c r="QEZ1060" s="989"/>
      <c r="QFA1060" s="989"/>
      <c r="QFB1060" s="989"/>
      <c r="QFC1060" s="989"/>
      <c r="QFD1060" s="989"/>
      <c r="QFE1060" s="989"/>
      <c r="QFF1060" s="989"/>
      <c r="QFG1060" s="989"/>
      <c r="QFH1060" s="989"/>
      <c r="QFI1060" s="989"/>
      <c r="QFJ1060" s="989"/>
      <c r="QFK1060" s="989"/>
      <c r="QFL1060" s="989"/>
      <c r="QFM1060" s="989"/>
      <c r="QFN1060" s="989"/>
      <c r="QFO1060" s="989"/>
      <c r="QFP1060" s="989"/>
      <c r="QFQ1060" s="989"/>
      <c r="QFR1060" s="989"/>
      <c r="QFS1060" s="989"/>
      <c r="QFT1060" s="989"/>
      <c r="QFU1060" s="989"/>
      <c r="QFV1060" s="989"/>
      <c r="QFW1060" s="989"/>
      <c r="QFX1060" s="989"/>
      <c r="QFY1060" s="989"/>
      <c r="QFZ1060" s="989"/>
      <c r="QGA1060" s="989"/>
      <c r="QGB1060" s="989"/>
      <c r="QGC1060" s="989"/>
      <c r="QGD1060" s="989"/>
      <c r="QGE1060" s="989"/>
      <c r="QGF1060" s="989"/>
      <c r="QGG1060" s="989"/>
      <c r="QGH1060" s="989"/>
      <c r="QGI1060" s="989"/>
      <c r="QGJ1060" s="989"/>
      <c r="QGK1060" s="989"/>
      <c r="QGL1060" s="989"/>
      <c r="QGM1060" s="989"/>
      <c r="QGN1060" s="989"/>
      <c r="QGO1060" s="989"/>
      <c r="QGP1060" s="989"/>
      <c r="QGQ1060" s="989"/>
      <c r="QGR1060" s="989"/>
      <c r="QGS1060" s="989"/>
      <c r="QGT1060" s="989"/>
      <c r="QGU1060" s="989"/>
      <c r="QGV1060" s="989"/>
      <c r="QGW1060" s="989"/>
      <c r="QGX1060" s="989"/>
      <c r="QGY1060" s="989"/>
      <c r="QGZ1060" s="989"/>
      <c r="QHA1060" s="989"/>
      <c r="QHB1060" s="989"/>
      <c r="QHC1060" s="989"/>
      <c r="QHD1060" s="989"/>
      <c r="QHE1060" s="989"/>
      <c r="QHF1060" s="989"/>
      <c r="QHG1060" s="989"/>
      <c r="QHH1060" s="989"/>
      <c r="QHI1060" s="989"/>
      <c r="QHJ1060" s="989"/>
      <c r="QHK1060" s="989"/>
      <c r="QHL1060" s="989"/>
      <c r="QHM1060" s="989"/>
      <c r="QHN1060" s="989"/>
      <c r="QHO1060" s="989"/>
      <c r="QHP1060" s="989"/>
      <c r="QHQ1060" s="989"/>
      <c r="QHR1060" s="989"/>
      <c r="QHS1060" s="989"/>
      <c r="QHT1060" s="989"/>
      <c r="QHU1060" s="989"/>
      <c r="QHV1060" s="989"/>
      <c r="QHW1060" s="989"/>
      <c r="QHX1060" s="989"/>
      <c r="QHY1060" s="989"/>
      <c r="QHZ1060" s="989"/>
      <c r="QIA1060" s="989"/>
      <c r="QIB1060" s="989"/>
      <c r="QIC1060" s="989"/>
      <c r="QID1060" s="989"/>
      <c r="QIE1060" s="989"/>
      <c r="QIF1060" s="989"/>
      <c r="QIG1060" s="989"/>
      <c r="QIH1060" s="989"/>
      <c r="QII1060" s="989"/>
      <c r="QIJ1060" s="989"/>
      <c r="QIK1060" s="989"/>
      <c r="QIL1060" s="989"/>
      <c r="QIM1060" s="989"/>
      <c r="QIN1060" s="989"/>
      <c r="QIO1060" s="989"/>
      <c r="QIP1060" s="989"/>
      <c r="QIQ1060" s="989"/>
      <c r="QIR1060" s="989"/>
      <c r="QIS1060" s="989"/>
      <c r="QIT1060" s="989"/>
      <c r="QIU1060" s="989"/>
      <c r="QIV1060" s="989"/>
      <c r="QIW1060" s="989"/>
      <c r="QIX1060" s="989"/>
      <c r="QIY1060" s="989"/>
      <c r="QIZ1060" s="989"/>
      <c r="QJA1060" s="989"/>
      <c r="QJB1060" s="989"/>
      <c r="QJC1060" s="989"/>
      <c r="QJD1060" s="989"/>
      <c r="QJE1060" s="989"/>
      <c r="QJF1060" s="989"/>
      <c r="QJG1060" s="989"/>
      <c r="QJH1060" s="989"/>
      <c r="QJI1060" s="989"/>
      <c r="QJJ1060" s="989"/>
      <c r="QJK1060" s="989"/>
      <c r="QJL1060" s="989"/>
      <c r="QJM1060" s="989"/>
      <c r="QJN1060" s="989"/>
      <c r="QJO1060" s="989"/>
      <c r="QJP1060" s="989"/>
      <c r="QJQ1060" s="989"/>
      <c r="QJR1060" s="989"/>
      <c r="QJS1060" s="989"/>
      <c r="QJT1060" s="989"/>
      <c r="QJU1060" s="989"/>
      <c r="QJV1060" s="989"/>
      <c r="QJW1060" s="989"/>
      <c r="QJX1060" s="989"/>
      <c r="QJY1060" s="989"/>
      <c r="QJZ1060" s="989"/>
      <c r="QKA1060" s="989"/>
      <c r="QKB1060" s="989"/>
      <c r="QKC1060" s="989"/>
      <c r="QKD1060" s="989"/>
      <c r="QKE1060" s="989"/>
      <c r="QKF1060" s="989"/>
      <c r="QKG1060" s="989"/>
      <c r="QKH1060" s="989"/>
      <c r="QKI1060" s="989"/>
      <c r="QKJ1060" s="989"/>
      <c r="QKK1060" s="989"/>
      <c r="QKL1060" s="989"/>
      <c r="QKM1060" s="989"/>
      <c r="QKN1060" s="989"/>
      <c r="QKO1060" s="989"/>
      <c r="QKP1060" s="989"/>
      <c r="QKQ1060" s="989"/>
      <c r="QKR1060" s="989"/>
      <c r="QKS1060" s="989"/>
      <c r="QKT1060" s="989"/>
      <c r="QKU1060" s="989"/>
      <c r="QKV1060" s="989"/>
      <c r="QKW1060" s="989"/>
      <c r="QKX1060" s="989"/>
      <c r="QKY1060" s="989"/>
      <c r="QKZ1060" s="989"/>
      <c r="QLA1060" s="989"/>
      <c r="QLB1060" s="989"/>
      <c r="QLC1060" s="989"/>
      <c r="QLD1060" s="989"/>
      <c r="QLE1060" s="989"/>
      <c r="QLF1060" s="989"/>
      <c r="QLG1060" s="989"/>
      <c r="QLH1060" s="989"/>
      <c r="QLI1060" s="989"/>
      <c r="QLJ1060" s="989"/>
      <c r="QLK1060" s="989"/>
      <c r="QLL1060" s="989"/>
      <c r="QLM1060" s="989"/>
      <c r="QLN1060" s="989"/>
      <c r="QLO1060" s="989"/>
      <c r="QLP1060" s="989"/>
      <c r="QLQ1060" s="989"/>
      <c r="QLR1060" s="989"/>
      <c r="QLS1060" s="989"/>
      <c r="QLT1060" s="989"/>
      <c r="QLU1060" s="989"/>
      <c r="QLV1060" s="989"/>
      <c r="QLW1060" s="989"/>
      <c r="QLX1060" s="989"/>
      <c r="QLY1060" s="989"/>
      <c r="QLZ1060" s="989"/>
      <c r="QMA1060" s="989"/>
      <c r="QMB1060" s="989"/>
      <c r="QMC1060" s="989"/>
      <c r="QMD1060" s="989"/>
      <c r="QME1060" s="989"/>
      <c r="QMF1060" s="989"/>
      <c r="QMG1060" s="989"/>
      <c r="QMH1060" s="989"/>
      <c r="QMI1060" s="989"/>
      <c r="QMJ1060" s="989"/>
      <c r="QMK1060" s="989"/>
      <c r="QML1060" s="989"/>
      <c r="QMM1060" s="989"/>
      <c r="QMN1060" s="989"/>
      <c r="QMO1060" s="989"/>
      <c r="QMP1060" s="989"/>
      <c r="QMQ1060" s="989"/>
      <c r="QMR1060" s="989"/>
      <c r="QMS1060" s="989"/>
      <c r="QMT1060" s="989"/>
      <c r="QMU1060" s="989"/>
      <c r="QMV1060" s="989"/>
      <c r="QMW1060" s="989"/>
      <c r="QMX1060" s="989"/>
      <c r="QMY1060" s="989"/>
      <c r="QMZ1060" s="989"/>
      <c r="QNA1060" s="989"/>
      <c r="QNB1060" s="989"/>
      <c r="QNC1060" s="989"/>
      <c r="QND1060" s="989"/>
      <c r="QNE1060" s="989"/>
      <c r="QNF1060" s="989"/>
      <c r="QNG1060" s="989"/>
      <c r="QNH1060" s="989"/>
      <c r="QNI1060" s="989"/>
      <c r="QNJ1060" s="989"/>
      <c r="QNK1060" s="989"/>
      <c r="QNL1060" s="989"/>
      <c r="QNM1060" s="989"/>
      <c r="QNN1060" s="989"/>
      <c r="QNO1060" s="989"/>
      <c r="QNP1060" s="989"/>
      <c r="QNQ1060" s="989"/>
      <c r="QNR1060" s="989"/>
      <c r="QNS1060" s="989"/>
      <c r="QNT1060" s="989"/>
      <c r="QNU1060" s="989"/>
      <c r="QNV1060" s="989"/>
      <c r="QNW1060" s="989"/>
      <c r="QNX1060" s="989"/>
      <c r="QNY1060" s="989"/>
      <c r="QNZ1060" s="989"/>
      <c r="QOA1060" s="989"/>
      <c r="QOB1060" s="989"/>
      <c r="QOC1060" s="989"/>
      <c r="QOD1060" s="989"/>
      <c r="QOE1060" s="989"/>
      <c r="QOF1060" s="989"/>
      <c r="QOG1060" s="989"/>
      <c r="QOH1060" s="989"/>
      <c r="QOI1060" s="989"/>
      <c r="QOJ1060" s="989"/>
      <c r="QOK1060" s="989"/>
      <c r="QOL1060" s="989"/>
      <c r="QOM1060" s="989"/>
      <c r="QON1060" s="989"/>
      <c r="QOO1060" s="989"/>
      <c r="QOP1060" s="989"/>
      <c r="QOQ1060" s="989"/>
      <c r="QOR1060" s="989"/>
      <c r="QOS1060" s="989"/>
      <c r="QOT1060" s="989"/>
      <c r="QOU1060" s="989"/>
      <c r="QOV1060" s="989"/>
      <c r="QOW1060" s="989"/>
      <c r="QOX1060" s="989"/>
      <c r="QOY1060" s="989"/>
      <c r="QOZ1060" s="989"/>
      <c r="QPA1060" s="989"/>
      <c r="QPB1060" s="989"/>
      <c r="QPC1060" s="989"/>
      <c r="QPD1060" s="989"/>
      <c r="QPE1060" s="989"/>
      <c r="QPF1060" s="989"/>
      <c r="QPG1060" s="989"/>
      <c r="QPH1060" s="989"/>
      <c r="QPI1060" s="989"/>
      <c r="QPJ1060" s="989"/>
      <c r="QPK1060" s="989"/>
      <c r="QPL1060" s="989"/>
      <c r="QPM1060" s="989"/>
      <c r="QPN1060" s="989"/>
      <c r="QPO1060" s="989"/>
      <c r="QPP1060" s="989"/>
      <c r="QPQ1060" s="989"/>
      <c r="QPR1060" s="989"/>
      <c r="QPS1060" s="989"/>
      <c r="QPT1060" s="989"/>
      <c r="QPU1060" s="989"/>
      <c r="QPV1060" s="989"/>
      <c r="QPW1060" s="989"/>
      <c r="QPX1060" s="989"/>
      <c r="QPY1060" s="989"/>
      <c r="QPZ1060" s="989"/>
      <c r="QQA1060" s="989"/>
      <c r="QQB1060" s="989"/>
      <c r="QQC1060" s="989"/>
      <c r="QQD1060" s="989"/>
      <c r="QQE1060" s="989"/>
      <c r="QQF1060" s="989"/>
      <c r="QQG1060" s="989"/>
      <c r="QQH1060" s="989"/>
      <c r="QQI1060" s="989"/>
      <c r="QQJ1060" s="989"/>
      <c r="QQK1060" s="989"/>
      <c r="QQL1060" s="989"/>
      <c r="QQM1060" s="989"/>
      <c r="QQN1060" s="989"/>
      <c r="QQO1060" s="989"/>
      <c r="QQP1060" s="989"/>
      <c r="QQQ1060" s="989"/>
      <c r="QQR1060" s="989"/>
      <c r="QQS1060" s="989"/>
      <c r="QQT1060" s="989"/>
      <c r="QQU1060" s="989"/>
      <c r="QQV1060" s="989"/>
      <c r="QQW1060" s="989"/>
      <c r="QQX1060" s="989"/>
      <c r="QQY1060" s="989"/>
      <c r="QQZ1060" s="989"/>
      <c r="QRA1060" s="989"/>
      <c r="QRB1060" s="989"/>
      <c r="QRC1060" s="989"/>
      <c r="QRD1060" s="989"/>
      <c r="QRE1060" s="989"/>
      <c r="QRF1060" s="989"/>
      <c r="QRG1060" s="989"/>
      <c r="QRH1060" s="989"/>
      <c r="QRI1060" s="989"/>
      <c r="QRJ1060" s="989"/>
      <c r="QRK1060" s="989"/>
      <c r="QRL1060" s="989"/>
      <c r="QRM1060" s="989"/>
      <c r="QRN1060" s="989"/>
      <c r="QRO1060" s="989"/>
      <c r="QRP1060" s="989"/>
      <c r="QRQ1060" s="989"/>
      <c r="QRR1060" s="989"/>
      <c r="QRS1060" s="989"/>
      <c r="QRT1060" s="989"/>
      <c r="QRU1060" s="989"/>
      <c r="QRV1060" s="989"/>
      <c r="QRW1060" s="989"/>
      <c r="QRX1060" s="989"/>
      <c r="QRY1060" s="989"/>
      <c r="QRZ1060" s="989"/>
      <c r="QSA1060" s="989"/>
      <c r="QSB1060" s="989"/>
      <c r="QSC1060" s="989"/>
      <c r="QSD1060" s="989"/>
      <c r="QSE1060" s="989"/>
      <c r="QSF1060" s="989"/>
      <c r="QSG1060" s="989"/>
      <c r="QSH1060" s="989"/>
      <c r="QSI1060" s="989"/>
      <c r="QSJ1060" s="989"/>
      <c r="QSK1060" s="989"/>
      <c r="QSL1060" s="989"/>
      <c r="QSM1060" s="989"/>
      <c r="QSN1060" s="989"/>
      <c r="QSO1060" s="989"/>
      <c r="QSP1060" s="989"/>
      <c r="QSQ1060" s="989"/>
      <c r="QSR1060" s="989"/>
      <c r="QSS1060" s="989"/>
      <c r="QST1060" s="989"/>
      <c r="QSU1060" s="989"/>
      <c r="QSV1060" s="989"/>
      <c r="QSW1060" s="989"/>
      <c r="QSX1060" s="989"/>
      <c r="QSY1060" s="989"/>
      <c r="QSZ1060" s="989"/>
      <c r="QTA1060" s="989"/>
      <c r="QTB1060" s="989"/>
      <c r="QTC1060" s="989"/>
      <c r="QTD1060" s="989"/>
      <c r="QTE1060" s="989"/>
      <c r="QTF1060" s="989"/>
      <c r="QTG1060" s="989"/>
      <c r="QTH1060" s="989"/>
      <c r="QTI1060" s="989"/>
      <c r="QTJ1060" s="989"/>
      <c r="QTK1060" s="989"/>
      <c r="QTL1060" s="989"/>
      <c r="QTM1060" s="989"/>
      <c r="QTN1060" s="989"/>
      <c r="QTO1060" s="989"/>
      <c r="QTP1060" s="989"/>
      <c r="QTQ1060" s="989"/>
      <c r="QTR1060" s="989"/>
      <c r="QTS1060" s="989"/>
      <c r="QTT1060" s="989"/>
      <c r="QTU1060" s="989"/>
      <c r="QTV1060" s="989"/>
      <c r="QTW1060" s="989"/>
      <c r="QTX1060" s="989"/>
      <c r="QTY1060" s="989"/>
      <c r="QTZ1060" s="989"/>
      <c r="QUA1060" s="989"/>
      <c r="QUB1060" s="989"/>
      <c r="QUC1060" s="989"/>
      <c r="QUD1060" s="989"/>
      <c r="QUE1060" s="989"/>
      <c r="QUF1060" s="989"/>
      <c r="QUG1060" s="989"/>
      <c r="QUH1060" s="989"/>
      <c r="QUI1060" s="989"/>
      <c r="QUJ1060" s="989"/>
      <c r="QUK1060" s="989"/>
      <c r="QUL1060" s="989"/>
      <c r="QUM1060" s="989"/>
      <c r="QUN1060" s="989"/>
      <c r="QUO1060" s="989"/>
      <c r="QUP1060" s="989"/>
      <c r="QUQ1060" s="989"/>
      <c r="QUR1060" s="989"/>
      <c r="QUS1060" s="989"/>
      <c r="QUT1060" s="989"/>
      <c r="QUU1060" s="989"/>
      <c r="QUV1060" s="989"/>
      <c r="QUW1060" s="989"/>
      <c r="QUX1060" s="989"/>
      <c r="QUY1060" s="989"/>
      <c r="QUZ1060" s="989"/>
      <c r="QVA1060" s="989"/>
      <c r="QVB1060" s="989"/>
      <c r="QVC1060" s="989"/>
      <c r="QVD1060" s="989"/>
      <c r="QVE1060" s="989"/>
      <c r="QVF1060" s="989"/>
      <c r="QVG1060" s="989"/>
      <c r="QVH1060" s="989"/>
      <c r="QVI1060" s="989"/>
      <c r="QVJ1060" s="989"/>
      <c r="QVK1060" s="989"/>
      <c r="QVL1060" s="989"/>
      <c r="QVM1060" s="989"/>
      <c r="QVN1060" s="989"/>
      <c r="QVO1060" s="989"/>
      <c r="QVP1060" s="989"/>
      <c r="QVQ1060" s="989"/>
      <c r="QVR1060" s="989"/>
      <c r="QVS1060" s="989"/>
      <c r="QVT1060" s="989"/>
      <c r="QVU1060" s="989"/>
      <c r="QVV1060" s="989"/>
      <c r="QVW1060" s="989"/>
      <c r="QVX1060" s="989"/>
      <c r="QVY1060" s="989"/>
      <c r="QVZ1060" s="989"/>
      <c r="QWA1060" s="989"/>
      <c r="QWB1060" s="989"/>
      <c r="QWC1060" s="989"/>
      <c r="QWD1060" s="989"/>
      <c r="QWE1060" s="989"/>
      <c r="QWF1060" s="989"/>
      <c r="QWG1060" s="989"/>
      <c r="QWH1060" s="989"/>
      <c r="QWI1060" s="989"/>
      <c r="QWJ1060" s="989"/>
      <c r="QWK1060" s="989"/>
      <c r="QWL1060" s="989"/>
      <c r="QWM1060" s="989"/>
      <c r="QWN1060" s="989"/>
      <c r="QWO1060" s="989"/>
      <c r="QWP1060" s="989"/>
      <c r="QWQ1060" s="989"/>
      <c r="QWR1060" s="989"/>
      <c r="QWS1060" s="989"/>
      <c r="QWT1060" s="989"/>
      <c r="QWU1060" s="989"/>
      <c r="QWV1060" s="989"/>
      <c r="QWW1060" s="989"/>
      <c r="QWX1060" s="989"/>
      <c r="QWY1060" s="989"/>
      <c r="QWZ1060" s="989"/>
      <c r="QXA1060" s="989"/>
      <c r="QXB1060" s="989"/>
      <c r="QXC1060" s="989"/>
      <c r="QXD1060" s="989"/>
      <c r="QXE1060" s="989"/>
      <c r="QXF1060" s="989"/>
      <c r="QXG1060" s="989"/>
      <c r="QXH1060" s="989"/>
      <c r="QXI1060" s="989"/>
      <c r="QXJ1060" s="989"/>
      <c r="QXK1060" s="989"/>
      <c r="QXL1060" s="989"/>
      <c r="QXM1060" s="989"/>
      <c r="QXN1060" s="989"/>
      <c r="QXO1060" s="989"/>
      <c r="QXP1060" s="989"/>
      <c r="QXQ1060" s="989"/>
      <c r="QXR1060" s="989"/>
      <c r="QXS1060" s="989"/>
      <c r="QXT1060" s="989"/>
      <c r="QXU1060" s="989"/>
      <c r="QXV1060" s="989"/>
      <c r="QXW1060" s="989"/>
      <c r="QXX1060" s="989"/>
      <c r="QXY1060" s="989"/>
      <c r="QXZ1060" s="989"/>
      <c r="QYA1060" s="989"/>
      <c r="QYB1060" s="989"/>
      <c r="QYC1060" s="989"/>
      <c r="QYD1060" s="989"/>
      <c r="QYE1060" s="989"/>
      <c r="QYF1060" s="989"/>
      <c r="QYG1060" s="989"/>
      <c r="QYH1060" s="989"/>
      <c r="QYI1060" s="989"/>
      <c r="QYJ1060" s="989"/>
      <c r="QYK1060" s="989"/>
      <c r="QYL1060" s="989"/>
      <c r="QYM1060" s="989"/>
      <c r="QYN1060" s="989"/>
      <c r="QYO1060" s="989"/>
      <c r="QYP1060" s="989"/>
      <c r="QYQ1060" s="989"/>
      <c r="QYR1060" s="989"/>
      <c r="QYS1060" s="989"/>
      <c r="QYT1060" s="989"/>
      <c r="QYU1060" s="989"/>
      <c r="QYV1060" s="989"/>
      <c r="QYW1060" s="989"/>
      <c r="QYX1060" s="989"/>
      <c r="QYY1060" s="989"/>
      <c r="QYZ1060" s="989"/>
      <c r="QZA1060" s="989"/>
      <c r="QZB1060" s="989"/>
      <c r="QZC1060" s="989"/>
      <c r="QZD1060" s="989"/>
      <c r="QZE1060" s="989"/>
      <c r="QZF1060" s="989"/>
      <c r="QZG1060" s="989"/>
      <c r="QZH1060" s="989"/>
      <c r="QZI1060" s="989"/>
      <c r="QZJ1060" s="989"/>
      <c r="QZK1060" s="989"/>
      <c r="QZL1060" s="989"/>
      <c r="QZM1060" s="989"/>
      <c r="QZN1060" s="989"/>
      <c r="QZO1060" s="989"/>
      <c r="QZP1060" s="989"/>
      <c r="QZQ1060" s="989"/>
      <c r="QZR1060" s="989"/>
      <c r="QZS1060" s="989"/>
      <c r="QZT1060" s="989"/>
      <c r="QZU1060" s="989"/>
      <c r="QZV1060" s="989"/>
      <c r="QZW1060" s="989"/>
      <c r="QZX1060" s="989"/>
      <c r="QZY1060" s="989"/>
      <c r="QZZ1060" s="989"/>
      <c r="RAA1060" s="989"/>
      <c r="RAB1060" s="989"/>
      <c r="RAC1060" s="989"/>
      <c r="RAD1060" s="989"/>
      <c r="RAE1060" s="989"/>
      <c r="RAF1060" s="989"/>
      <c r="RAG1060" s="989"/>
      <c r="RAH1060" s="989"/>
      <c r="RAI1060" s="989"/>
      <c r="RAJ1060" s="989"/>
      <c r="RAK1060" s="989"/>
      <c r="RAL1060" s="989"/>
      <c r="RAM1060" s="989"/>
      <c r="RAN1060" s="989"/>
      <c r="RAO1060" s="989"/>
      <c r="RAP1060" s="989"/>
      <c r="RAQ1060" s="989"/>
      <c r="RAR1060" s="989"/>
      <c r="RAS1060" s="989"/>
      <c r="RAT1060" s="989"/>
      <c r="RAU1060" s="989"/>
      <c r="RAV1060" s="989"/>
      <c r="RAW1060" s="989"/>
      <c r="RAX1060" s="989"/>
      <c r="RAY1060" s="989"/>
      <c r="RAZ1060" s="989"/>
      <c r="RBA1060" s="989"/>
      <c r="RBB1060" s="989"/>
      <c r="RBC1060" s="989"/>
      <c r="RBD1060" s="989"/>
      <c r="RBE1060" s="989"/>
      <c r="RBF1060" s="989"/>
      <c r="RBG1060" s="989"/>
      <c r="RBH1060" s="989"/>
      <c r="RBI1060" s="989"/>
      <c r="RBJ1060" s="989"/>
      <c r="RBK1060" s="989"/>
      <c r="RBL1060" s="989"/>
      <c r="RBM1060" s="989"/>
      <c r="RBN1060" s="989"/>
      <c r="RBO1060" s="989"/>
      <c r="RBP1060" s="989"/>
      <c r="RBQ1060" s="989"/>
      <c r="RBR1060" s="989"/>
      <c r="RBS1060" s="989"/>
      <c r="RBT1060" s="989"/>
      <c r="RBU1060" s="989"/>
      <c r="RBV1060" s="989"/>
      <c r="RBW1060" s="989"/>
      <c r="RBX1060" s="989"/>
      <c r="RBY1060" s="989"/>
      <c r="RBZ1060" s="989"/>
      <c r="RCA1060" s="989"/>
      <c r="RCB1060" s="989"/>
      <c r="RCC1060" s="989"/>
      <c r="RCD1060" s="989"/>
      <c r="RCE1060" s="989"/>
      <c r="RCF1060" s="989"/>
      <c r="RCG1060" s="989"/>
      <c r="RCH1060" s="989"/>
      <c r="RCI1060" s="989"/>
      <c r="RCJ1060" s="989"/>
      <c r="RCK1060" s="989"/>
      <c r="RCL1060" s="989"/>
      <c r="RCM1060" s="989"/>
      <c r="RCN1060" s="989"/>
      <c r="RCO1060" s="989"/>
      <c r="RCP1060" s="989"/>
      <c r="RCQ1060" s="989"/>
      <c r="RCR1060" s="989"/>
      <c r="RCS1060" s="989"/>
      <c r="RCT1060" s="989"/>
      <c r="RCU1060" s="989"/>
      <c r="RCV1060" s="989"/>
      <c r="RCW1060" s="989"/>
      <c r="RCX1060" s="989"/>
      <c r="RCY1060" s="989"/>
      <c r="RCZ1060" s="989"/>
      <c r="RDA1060" s="989"/>
      <c r="RDB1060" s="989"/>
      <c r="RDC1060" s="989"/>
      <c r="RDD1060" s="989"/>
      <c r="RDE1060" s="989"/>
      <c r="RDF1060" s="989"/>
      <c r="RDG1060" s="989"/>
      <c r="RDH1060" s="989"/>
      <c r="RDI1060" s="989"/>
      <c r="RDJ1060" s="989"/>
      <c r="RDK1060" s="989"/>
      <c r="RDL1060" s="989"/>
      <c r="RDM1060" s="989"/>
      <c r="RDN1060" s="989"/>
      <c r="RDO1060" s="989"/>
      <c r="RDP1060" s="989"/>
      <c r="RDQ1060" s="989"/>
      <c r="RDR1060" s="989"/>
      <c r="RDS1060" s="989"/>
      <c r="RDT1060" s="989"/>
      <c r="RDU1060" s="989"/>
      <c r="RDV1060" s="989"/>
      <c r="RDW1060" s="989"/>
      <c r="RDX1060" s="989"/>
      <c r="RDY1060" s="989"/>
      <c r="RDZ1060" s="989"/>
      <c r="REA1060" s="989"/>
      <c r="REB1060" s="989"/>
      <c r="REC1060" s="989"/>
      <c r="RED1060" s="989"/>
      <c r="REE1060" s="989"/>
      <c r="REF1060" s="989"/>
      <c r="REG1060" s="989"/>
      <c r="REH1060" s="989"/>
      <c r="REI1060" s="989"/>
      <c r="REJ1060" s="989"/>
      <c r="REK1060" s="989"/>
      <c r="REL1060" s="989"/>
      <c r="REM1060" s="989"/>
      <c r="REN1060" s="989"/>
      <c r="REO1060" s="989"/>
      <c r="REP1060" s="989"/>
      <c r="REQ1060" s="989"/>
      <c r="RER1060" s="989"/>
      <c r="RES1060" s="989"/>
      <c r="RET1060" s="989"/>
      <c r="REU1060" s="989"/>
      <c r="REV1060" s="989"/>
      <c r="REW1060" s="989"/>
      <c r="REX1060" s="989"/>
      <c r="REY1060" s="989"/>
      <c r="REZ1060" s="989"/>
      <c r="RFA1060" s="989"/>
      <c r="RFB1060" s="989"/>
      <c r="RFC1060" s="989"/>
      <c r="RFD1060" s="989"/>
      <c r="RFE1060" s="989"/>
      <c r="RFF1060" s="989"/>
      <c r="RFG1060" s="989"/>
      <c r="RFH1060" s="989"/>
      <c r="RFI1060" s="989"/>
      <c r="RFJ1060" s="989"/>
      <c r="RFK1060" s="989"/>
      <c r="RFL1060" s="989"/>
      <c r="RFM1060" s="989"/>
      <c r="RFN1060" s="989"/>
      <c r="RFO1060" s="989"/>
      <c r="RFP1060" s="989"/>
      <c r="RFQ1060" s="989"/>
      <c r="RFR1060" s="989"/>
      <c r="RFS1060" s="989"/>
      <c r="RFT1060" s="989"/>
      <c r="RFU1060" s="989"/>
      <c r="RFV1060" s="989"/>
      <c r="RFW1060" s="989"/>
      <c r="RFX1060" s="989"/>
      <c r="RFY1060" s="989"/>
      <c r="RFZ1060" s="989"/>
      <c r="RGA1060" s="989"/>
      <c r="RGB1060" s="989"/>
      <c r="RGC1060" s="989"/>
      <c r="RGD1060" s="989"/>
      <c r="RGE1060" s="989"/>
      <c r="RGF1060" s="989"/>
      <c r="RGG1060" s="989"/>
      <c r="RGH1060" s="989"/>
      <c r="RGI1060" s="989"/>
      <c r="RGJ1060" s="989"/>
      <c r="RGK1060" s="989"/>
      <c r="RGL1060" s="989"/>
      <c r="RGM1060" s="989"/>
      <c r="RGN1060" s="989"/>
      <c r="RGO1060" s="989"/>
      <c r="RGP1060" s="989"/>
      <c r="RGQ1060" s="989"/>
      <c r="RGR1060" s="989"/>
      <c r="RGS1060" s="989"/>
      <c r="RGT1060" s="989"/>
      <c r="RGU1060" s="989"/>
      <c r="RGV1060" s="989"/>
      <c r="RGW1060" s="989"/>
      <c r="RGX1060" s="989"/>
      <c r="RGY1060" s="989"/>
      <c r="RGZ1060" s="989"/>
      <c r="RHA1060" s="989"/>
      <c r="RHB1060" s="989"/>
      <c r="RHC1060" s="989"/>
      <c r="RHD1060" s="989"/>
      <c r="RHE1060" s="989"/>
      <c r="RHF1060" s="989"/>
      <c r="RHG1060" s="989"/>
      <c r="RHH1060" s="989"/>
      <c r="RHI1060" s="989"/>
      <c r="RHJ1060" s="989"/>
      <c r="RHK1060" s="989"/>
      <c r="RHL1060" s="989"/>
      <c r="RHM1060" s="989"/>
      <c r="RHN1060" s="989"/>
      <c r="RHO1060" s="989"/>
      <c r="RHP1060" s="989"/>
      <c r="RHQ1060" s="989"/>
      <c r="RHR1060" s="989"/>
      <c r="RHS1060" s="989"/>
      <c r="RHT1060" s="989"/>
      <c r="RHU1060" s="989"/>
      <c r="RHV1060" s="989"/>
      <c r="RHW1060" s="989"/>
      <c r="RHX1060" s="989"/>
      <c r="RHY1060" s="989"/>
      <c r="RHZ1060" s="989"/>
      <c r="RIA1060" s="989"/>
      <c r="RIB1060" s="989"/>
      <c r="RIC1060" s="989"/>
      <c r="RID1060" s="989"/>
      <c r="RIE1060" s="989"/>
      <c r="RIF1060" s="989"/>
      <c r="RIG1060" s="989"/>
      <c r="RIH1060" s="989"/>
      <c r="RII1060" s="989"/>
      <c r="RIJ1060" s="989"/>
      <c r="RIK1060" s="989"/>
      <c r="RIL1060" s="989"/>
      <c r="RIM1060" s="989"/>
      <c r="RIN1060" s="989"/>
      <c r="RIO1060" s="989"/>
      <c r="RIP1060" s="989"/>
      <c r="RIQ1060" s="989"/>
      <c r="RIR1060" s="989"/>
      <c r="RIS1060" s="989"/>
      <c r="RIT1060" s="989"/>
      <c r="RIU1060" s="989"/>
      <c r="RIV1060" s="989"/>
      <c r="RIW1060" s="989"/>
      <c r="RIX1060" s="989"/>
      <c r="RIY1060" s="989"/>
      <c r="RIZ1060" s="989"/>
      <c r="RJA1060" s="989"/>
      <c r="RJB1060" s="989"/>
      <c r="RJC1060" s="989"/>
      <c r="RJD1060" s="989"/>
      <c r="RJE1060" s="989"/>
      <c r="RJF1060" s="989"/>
      <c r="RJG1060" s="989"/>
      <c r="RJH1060" s="989"/>
      <c r="RJI1060" s="989"/>
      <c r="RJJ1060" s="989"/>
      <c r="RJK1060" s="989"/>
      <c r="RJL1060" s="989"/>
      <c r="RJM1060" s="989"/>
      <c r="RJN1060" s="989"/>
      <c r="RJO1060" s="989"/>
      <c r="RJP1060" s="989"/>
      <c r="RJQ1060" s="989"/>
      <c r="RJR1060" s="989"/>
      <c r="RJS1060" s="989"/>
      <c r="RJT1060" s="989"/>
      <c r="RJU1060" s="989"/>
      <c r="RJV1060" s="989"/>
      <c r="RJW1060" s="989"/>
      <c r="RJX1060" s="989"/>
      <c r="RJY1060" s="989"/>
      <c r="RJZ1060" s="989"/>
      <c r="RKA1060" s="989"/>
      <c r="RKB1060" s="989"/>
      <c r="RKC1060" s="989"/>
      <c r="RKD1060" s="989"/>
      <c r="RKE1060" s="989"/>
      <c r="RKF1060" s="989"/>
      <c r="RKG1060" s="989"/>
      <c r="RKH1060" s="989"/>
      <c r="RKI1060" s="989"/>
      <c r="RKJ1060" s="989"/>
      <c r="RKK1060" s="989"/>
      <c r="RKL1060" s="989"/>
      <c r="RKM1060" s="989"/>
      <c r="RKN1060" s="989"/>
      <c r="RKO1060" s="989"/>
      <c r="RKP1060" s="989"/>
      <c r="RKQ1060" s="989"/>
      <c r="RKR1060" s="989"/>
      <c r="RKS1060" s="989"/>
      <c r="RKT1060" s="989"/>
      <c r="RKU1060" s="989"/>
      <c r="RKV1060" s="989"/>
      <c r="RKW1060" s="989"/>
      <c r="RKX1060" s="989"/>
      <c r="RKY1060" s="989"/>
      <c r="RKZ1060" s="989"/>
      <c r="RLA1060" s="989"/>
      <c r="RLB1060" s="989"/>
      <c r="RLC1060" s="989"/>
      <c r="RLD1060" s="989"/>
      <c r="RLE1060" s="989"/>
      <c r="RLF1060" s="989"/>
      <c r="RLG1060" s="989"/>
      <c r="RLH1060" s="989"/>
      <c r="RLI1060" s="989"/>
      <c r="RLJ1060" s="989"/>
      <c r="RLK1060" s="989"/>
      <c r="RLL1060" s="989"/>
      <c r="RLM1060" s="989"/>
      <c r="RLN1060" s="989"/>
      <c r="RLO1060" s="989"/>
      <c r="RLP1060" s="989"/>
      <c r="RLQ1060" s="989"/>
      <c r="RLR1060" s="989"/>
      <c r="RLS1060" s="989"/>
      <c r="RLT1060" s="989"/>
      <c r="RLU1060" s="989"/>
      <c r="RLV1060" s="989"/>
      <c r="RLW1060" s="989"/>
      <c r="RLX1060" s="989"/>
      <c r="RLY1060" s="989"/>
      <c r="RLZ1060" s="989"/>
      <c r="RMA1060" s="989"/>
      <c r="RMB1060" s="989"/>
      <c r="RMC1060" s="989"/>
      <c r="RMD1060" s="989"/>
      <c r="RME1060" s="989"/>
      <c r="RMF1060" s="989"/>
      <c r="RMG1060" s="989"/>
      <c r="RMH1060" s="989"/>
      <c r="RMI1060" s="989"/>
      <c r="RMJ1060" s="989"/>
      <c r="RMK1060" s="989"/>
      <c r="RML1060" s="989"/>
      <c r="RMM1060" s="989"/>
      <c r="RMN1060" s="989"/>
      <c r="RMO1060" s="989"/>
      <c r="RMP1060" s="989"/>
      <c r="RMQ1060" s="989"/>
      <c r="RMR1060" s="989"/>
      <c r="RMS1060" s="989"/>
      <c r="RMT1060" s="989"/>
      <c r="RMU1060" s="989"/>
      <c r="RMV1060" s="989"/>
      <c r="RMW1060" s="989"/>
      <c r="RMX1060" s="989"/>
      <c r="RMY1060" s="989"/>
      <c r="RMZ1060" s="989"/>
      <c r="RNA1060" s="989"/>
      <c r="RNB1060" s="989"/>
      <c r="RNC1060" s="989"/>
      <c r="RND1060" s="989"/>
      <c r="RNE1060" s="989"/>
      <c r="RNF1060" s="989"/>
      <c r="RNG1060" s="989"/>
      <c r="RNH1060" s="989"/>
      <c r="RNI1060" s="989"/>
      <c r="RNJ1060" s="989"/>
      <c r="RNK1060" s="989"/>
      <c r="RNL1060" s="989"/>
      <c r="RNM1060" s="989"/>
      <c r="RNN1060" s="989"/>
      <c r="RNO1060" s="989"/>
      <c r="RNP1060" s="989"/>
      <c r="RNQ1060" s="989"/>
      <c r="RNR1060" s="989"/>
      <c r="RNS1060" s="989"/>
      <c r="RNT1060" s="989"/>
      <c r="RNU1060" s="989"/>
      <c r="RNV1060" s="989"/>
      <c r="RNW1060" s="989"/>
      <c r="RNX1060" s="989"/>
      <c r="RNY1060" s="989"/>
      <c r="RNZ1060" s="989"/>
      <c r="ROA1060" s="989"/>
      <c r="ROB1060" s="989"/>
      <c r="ROC1060" s="989"/>
      <c r="ROD1060" s="989"/>
      <c r="ROE1060" s="989"/>
      <c r="ROF1060" s="989"/>
      <c r="ROG1060" s="989"/>
      <c r="ROH1060" s="989"/>
      <c r="ROI1060" s="989"/>
      <c r="ROJ1060" s="989"/>
      <c r="ROK1060" s="989"/>
      <c r="ROL1060" s="989"/>
      <c r="ROM1060" s="989"/>
      <c r="RON1060" s="989"/>
      <c r="ROO1060" s="989"/>
      <c r="ROP1060" s="989"/>
      <c r="ROQ1060" s="989"/>
      <c r="ROR1060" s="989"/>
      <c r="ROS1060" s="989"/>
      <c r="ROT1060" s="989"/>
      <c r="ROU1060" s="989"/>
      <c r="ROV1060" s="989"/>
      <c r="ROW1060" s="989"/>
      <c r="ROX1060" s="989"/>
      <c r="ROY1060" s="989"/>
      <c r="ROZ1060" s="989"/>
      <c r="RPA1060" s="989"/>
      <c r="RPB1060" s="989"/>
      <c r="RPC1060" s="989"/>
      <c r="RPD1060" s="989"/>
      <c r="RPE1060" s="989"/>
      <c r="RPF1060" s="989"/>
      <c r="RPG1060" s="989"/>
      <c r="RPH1060" s="989"/>
      <c r="RPI1060" s="989"/>
      <c r="RPJ1060" s="989"/>
      <c r="RPK1060" s="989"/>
      <c r="RPL1060" s="989"/>
      <c r="RPM1060" s="989"/>
      <c r="RPN1060" s="989"/>
      <c r="RPO1060" s="989"/>
      <c r="RPP1060" s="989"/>
      <c r="RPQ1060" s="989"/>
      <c r="RPR1060" s="989"/>
      <c r="RPS1060" s="989"/>
      <c r="RPT1060" s="989"/>
      <c r="RPU1060" s="989"/>
      <c r="RPV1060" s="989"/>
      <c r="RPW1060" s="989"/>
      <c r="RPX1060" s="989"/>
      <c r="RPY1060" s="989"/>
      <c r="RPZ1060" s="989"/>
      <c r="RQA1060" s="989"/>
      <c r="RQB1060" s="989"/>
      <c r="RQC1060" s="989"/>
      <c r="RQD1060" s="989"/>
      <c r="RQE1060" s="989"/>
      <c r="RQF1060" s="989"/>
      <c r="RQG1060" s="989"/>
      <c r="RQH1060" s="989"/>
      <c r="RQI1060" s="989"/>
      <c r="RQJ1060" s="989"/>
      <c r="RQK1060" s="989"/>
      <c r="RQL1060" s="989"/>
      <c r="RQM1060" s="989"/>
      <c r="RQN1060" s="989"/>
      <c r="RQO1060" s="989"/>
      <c r="RQP1060" s="989"/>
      <c r="RQQ1060" s="989"/>
      <c r="RQR1060" s="989"/>
      <c r="RQS1060" s="989"/>
      <c r="RQT1060" s="989"/>
      <c r="RQU1060" s="989"/>
      <c r="RQV1060" s="989"/>
      <c r="RQW1060" s="989"/>
      <c r="RQX1060" s="989"/>
      <c r="RQY1060" s="989"/>
      <c r="RQZ1060" s="989"/>
      <c r="RRA1060" s="989"/>
      <c r="RRB1060" s="989"/>
      <c r="RRC1060" s="989"/>
      <c r="RRD1060" s="989"/>
      <c r="RRE1060" s="989"/>
      <c r="RRF1060" s="989"/>
      <c r="RRG1060" s="989"/>
      <c r="RRH1060" s="989"/>
      <c r="RRI1060" s="989"/>
      <c r="RRJ1060" s="989"/>
      <c r="RRK1060" s="989"/>
      <c r="RRL1060" s="989"/>
      <c r="RRM1060" s="989"/>
      <c r="RRN1060" s="989"/>
      <c r="RRO1060" s="989"/>
      <c r="RRP1060" s="989"/>
      <c r="RRQ1060" s="989"/>
      <c r="RRR1060" s="989"/>
      <c r="RRS1060" s="989"/>
      <c r="RRT1060" s="989"/>
      <c r="RRU1060" s="989"/>
      <c r="RRV1060" s="989"/>
      <c r="RRW1060" s="989"/>
      <c r="RRX1060" s="989"/>
      <c r="RRY1060" s="989"/>
      <c r="RRZ1060" s="989"/>
      <c r="RSA1060" s="989"/>
      <c r="RSB1060" s="989"/>
      <c r="RSC1060" s="989"/>
      <c r="RSD1060" s="989"/>
      <c r="RSE1060" s="989"/>
      <c r="RSF1060" s="989"/>
      <c r="RSG1060" s="989"/>
      <c r="RSH1060" s="989"/>
      <c r="RSI1060" s="989"/>
      <c r="RSJ1060" s="989"/>
      <c r="RSK1060" s="989"/>
      <c r="RSL1060" s="989"/>
      <c r="RSM1060" s="989"/>
      <c r="RSN1060" s="989"/>
      <c r="RSO1060" s="989"/>
      <c r="RSP1060" s="989"/>
      <c r="RSQ1060" s="989"/>
      <c r="RSR1060" s="989"/>
      <c r="RSS1060" s="989"/>
      <c r="RST1060" s="989"/>
      <c r="RSU1060" s="989"/>
      <c r="RSV1060" s="989"/>
      <c r="RSW1060" s="989"/>
      <c r="RSX1060" s="989"/>
      <c r="RSY1060" s="989"/>
      <c r="RSZ1060" s="989"/>
      <c r="RTA1060" s="989"/>
      <c r="RTB1060" s="989"/>
      <c r="RTC1060" s="989"/>
      <c r="RTD1060" s="989"/>
      <c r="RTE1060" s="989"/>
      <c r="RTF1060" s="989"/>
      <c r="RTG1060" s="989"/>
      <c r="RTH1060" s="989"/>
      <c r="RTI1060" s="989"/>
      <c r="RTJ1060" s="989"/>
      <c r="RTK1060" s="989"/>
      <c r="RTL1060" s="989"/>
      <c r="RTM1060" s="989"/>
      <c r="RTN1060" s="989"/>
      <c r="RTO1060" s="989"/>
      <c r="RTP1060" s="989"/>
      <c r="RTQ1060" s="989"/>
      <c r="RTR1060" s="989"/>
      <c r="RTS1060" s="989"/>
      <c r="RTT1060" s="989"/>
      <c r="RTU1060" s="989"/>
      <c r="RTV1060" s="989"/>
      <c r="RTW1060" s="989"/>
      <c r="RTX1060" s="989"/>
      <c r="RTY1060" s="989"/>
      <c r="RTZ1060" s="989"/>
      <c r="RUA1060" s="989"/>
      <c r="RUB1060" s="989"/>
      <c r="RUC1060" s="989"/>
      <c r="RUD1060" s="989"/>
      <c r="RUE1060" s="989"/>
      <c r="RUF1060" s="989"/>
      <c r="RUG1060" s="989"/>
      <c r="RUH1060" s="989"/>
      <c r="RUI1060" s="989"/>
      <c r="RUJ1060" s="989"/>
      <c r="RUK1060" s="989"/>
      <c r="RUL1060" s="989"/>
      <c r="RUM1060" s="989"/>
      <c r="RUN1060" s="989"/>
      <c r="RUO1060" s="989"/>
      <c r="RUP1060" s="989"/>
      <c r="RUQ1060" s="989"/>
      <c r="RUR1060" s="989"/>
      <c r="RUS1060" s="989"/>
      <c r="RUT1060" s="989"/>
      <c r="RUU1060" s="989"/>
      <c r="RUV1060" s="989"/>
      <c r="RUW1060" s="989"/>
      <c r="RUX1060" s="989"/>
      <c r="RUY1060" s="989"/>
      <c r="RUZ1060" s="989"/>
      <c r="RVA1060" s="989"/>
      <c r="RVB1060" s="989"/>
      <c r="RVC1060" s="989"/>
      <c r="RVD1060" s="989"/>
      <c r="RVE1060" s="989"/>
      <c r="RVF1060" s="989"/>
      <c r="RVG1060" s="989"/>
      <c r="RVH1060" s="989"/>
      <c r="RVI1060" s="989"/>
      <c r="RVJ1060" s="989"/>
      <c r="RVK1060" s="989"/>
      <c r="RVL1060" s="989"/>
      <c r="RVM1060" s="989"/>
      <c r="RVN1060" s="989"/>
      <c r="RVO1060" s="989"/>
      <c r="RVP1060" s="989"/>
      <c r="RVQ1060" s="989"/>
      <c r="RVR1060" s="989"/>
      <c r="RVS1060" s="989"/>
      <c r="RVT1060" s="989"/>
      <c r="RVU1060" s="989"/>
      <c r="RVV1060" s="989"/>
      <c r="RVW1060" s="989"/>
      <c r="RVX1060" s="989"/>
      <c r="RVY1060" s="989"/>
      <c r="RVZ1060" s="989"/>
      <c r="RWA1060" s="989"/>
      <c r="RWB1060" s="989"/>
      <c r="RWC1060" s="989"/>
      <c r="RWD1060" s="989"/>
      <c r="RWE1060" s="989"/>
      <c r="RWF1060" s="989"/>
      <c r="RWG1060" s="989"/>
      <c r="RWH1060" s="989"/>
      <c r="RWI1060" s="989"/>
      <c r="RWJ1060" s="989"/>
      <c r="RWK1060" s="989"/>
      <c r="RWL1060" s="989"/>
      <c r="RWM1060" s="989"/>
      <c r="RWN1060" s="989"/>
      <c r="RWO1060" s="989"/>
      <c r="RWP1060" s="989"/>
      <c r="RWQ1060" s="989"/>
      <c r="RWR1060" s="989"/>
      <c r="RWS1060" s="989"/>
      <c r="RWT1060" s="989"/>
      <c r="RWU1060" s="989"/>
      <c r="RWV1060" s="989"/>
      <c r="RWW1060" s="989"/>
      <c r="RWX1060" s="989"/>
      <c r="RWY1060" s="989"/>
      <c r="RWZ1060" s="989"/>
      <c r="RXA1060" s="989"/>
      <c r="RXB1060" s="989"/>
      <c r="RXC1060" s="989"/>
      <c r="RXD1060" s="989"/>
      <c r="RXE1060" s="989"/>
      <c r="RXF1060" s="989"/>
      <c r="RXG1060" s="989"/>
      <c r="RXH1060" s="989"/>
      <c r="RXI1060" s="989"/>
      <c r="RXJ1060" s="989"/>
      <c r="RXK1060" s="989"/>
      <c r="RXL1060" s="989"/>
      <c r="RXM1060" s="989"/>
      <c r="RXN1060" s="989"/>
      <c r="RXO1060" s="989"/>
      <c r="RXP1060" s="989"/>
      <c r="RXQ1060" s="989"/>
      <c r="RXR1060" s="989"/>
      <c r="RXS1060" s="989"/>
      <c r="RXT1060" s="989"/>
      <c r="RXU1060" s="989"/>
      <c r="RXV1060" s="989"/>
      <c r="RXW1060" s="989"/>
      <c r="RXX1060" s="989"/>
      <c r="RXY1060" s="989"/>
      <c r="RXZ1060" s="989"/>
      <c r="RYA1060" s="989"/>
      <c r="RYB1060" s="989"/>
      <c r="RYC1060" s="989"/>
      <c r="RYD1060" s="989"/>
      <c r="RYE1060" s="989"/>
      <c r="RYF1060" s="989"/>
      <c r="RYG1060" s="989"/>
      <c r="RYH1060" s="989"/>
      <c r="RYI1060" s="989"/>
      <c r="RYJ1060" s="989"/>
      <c r="RYK1060" s="989"/>
      <c r="RYL1060" s="989"/>
      <c r="RYM1060" s="989"/>
      <c r="RYN1060" s="989"/>
      <c r="RYO1060" s="989"/>
      <c r="RYP1060" s="989"/>
      <c r="RYQ1060" s="989"/>
      <c r="RYR1060" s="989"/>
      <c r="RYS1060" s="989"/>
      <c r="RYT1060" s="989"/>
      <c r="RYU1060" s="989"/>
      <c r="RYV1060" s="989"/>
      <c r="RYW1060" s="989"/>
      <c r="RYX1060" s="989"/>
      <c r="RYY1060" s="989"/>
      <c r="RYZ1060" s="989"/>
      <c r="RZA1060" s="989"/>
      <c r="RZB1060" s="989"/>
      <c r="RZC1060" s="989"/>
      <c r="RZD1060" s="989"/>
      <c r="RZE1060" s="989"/>
      <c r="RZF1060" s="989"/>
      <c r="RZG1060" s="989"/>
      <c r="RZH1060" s="989"/>
      <c r="RZI1060" s="989"/>
      <c r="RZJ1060" s="989"/>
      <c r="RZK1060" s="989"/>
      <c r="RZL1060" s="989"/>
      <c r="RZM1060" s="989"/>
      <c r="RZN1060" s="989"/>
      <c r="RZO1060" s="989"/>
      <c r="RZP1060" s="989"/>
      <c r="RZQ1060" s="989"/>
      <c r="RZR1060" s="989"/>
      <c r="RZS1060" s="989"/>
      <c r="RZT1060" s="989"/>
      <c r="RZU1060" s="989"/>
      <c r="RZV1060" s="989"/>
      <c r="RZW1060" s="989"/>
      <c r="RZX1060" s="989"/>
      <c r="RZY1060" s="989"/>
      <c r="RZZ1060" s="989"/>
      <c r="SAA1060" s="989"/>
      <c r="SAB1060" s="989"/>
      <c r="SAC1060" s="989"/>
      <c r="SAD1060" s="989"/>
      <c r="SAE1060" s="989"/>
      <c r="SAF1060" s="989"/>
      <c r="SAG1060" s="989"/>
      <c r="SAH1060" s="989"/>
      <c r="SAI1060" s="989"/>
      <c r="SAJ1060" s="989"/>
      <c r="SAK1060" s="989"/>
      <c r="SAL1060" s="989"/>
      <c r="SAM1060" s="989"/>
      <c r="SAN1060" s="989"/>
      <c r="SAO1060" s="989"/>
      <c r="SAP1060" s="989"/>
      <c r="SAQ1060" s="989"/>
      <c r="SAR1060" s="989"/>
      <c r="SAS1060" s="989"/>
      <c r="SAT1060" s="989"/>
      <c r="SAU1060" s="989"/>
      <c r="SAV1060" s="989"/>
      <c r="SAW1060" s="989"/>
      <c r="SAX1060" s="989"/>
      <c r="SAY1060" s="989"/>
      <c r="SAZ1060" s="989"/>
      <c r="SBA1060" s="989"/>
      <c r="SBB1060" s="989"/>
      <c r="SBC1060" s="989"/>
      <c r="SBD1060" s="989"/>
      <c r="SBE1060" s="989"/>
      <c r="SBF1060" s="989"/>
      <c r="SBG1060" s="989"/>
      <c r="SBH1060" s="989"/>
      <c r="SBI1060" s="989"/>
      <c r="SBJ1060" s="989"/>
      <c r="SBK1060" s="989"/>
      <c r="SBL1060" s="989"/>
      <c r="SBM1060" s="989"/>
      <c r="SBN1060" s="989"/>
      <c r="SBO1060" s="989"/>
      <c r="SBP1060" s="989"/>
      <c r="SBQ1060" s="989"/>
      <c r="SBR1060" s="989"/>
      <c r="SBS1060" s="989"/>
      <c r="SBT1060" s="989"/>
      <c r="SBU1060" s="989"/>
      <c r="SBV1060" s="989"/>
      <c r="SBW1060" s="989"/>
      <c r="SBX1060" s="989"/>
      <c r="SBY1060" s="989"/>
      <c r="SBZ1060" s="989"/>
      <c r="SCA1060" s="989"/>
      <c r="SCB1060" s="989"/>
      <c r="SCC1060" s="989"/>
      <c r="SCD1060" s="989"/>
      <c r="SCE1060" s="989"/>
      <c r="SCF1060" s="989"/>
      <c r="SCG1060" s="989"/>
      <c r="SCH1060" s="989"/>
      <c r="SCI1060" s="989"/>
      <c r="SCJ1060" s="989"/>
      <c r="SCK1060" s="989"/>
      <c r="SCL1060" s="989"/>
      <c r="SCM1060" s="989"/>
      <c r="SCN1060" s="989"/>
      <c r="SCO1060" s="989"/>
      <c r="SCP1060" s="989"/>
      <c r="SCQ1060" s="989"/>
      <c r="SCR1060" s="989"/>
      <c r="SCS1060" s="989"/>
      <c r="SCT1060" s="989"/>
      <c r="SCU1060" s="989"/>
      <c r="SCV1060" s="989"/>
      <c r="SCW1060" s="989"/>
      <c r="SCX1060" s="989"/>
      <c r="SCY1060" s="989"/>
      <c r="SCZ1060" s="989"/>
      <c r="SDA1060" s="989"/>
      <c r="SDB1060" s="989"/>
      <c r="SDC1060" s="989"/>
      <c r="SDD1060" s="989"/>
      <c r="SDE1060" s="989"/>
      <c r="SDF1060" s="989"/>
      <c r="SDG1060" s="989"/>
      <c r="SDH1060" s="989"/>
      <c r="SDI1060" s="989"/>
      <c r="SDJ1060" s="989"/>
      <c r="SDK1060" s="989"/>
      <c r="SDL1060" s="989"/>
      <c r="SDM1060" s="989"/>
      <c r="SDN1060" s="989"/>
      <c r="SDO1060" s="989"/>
      <c r="SDP1060" s="989"/>
      <c r="SDQ1060" s="989"/>
      <c r="SDR1060" s="989"/>
      <c r="SDS1060" s="989"/>
      <c r="SDT1060" s="989"/>
      <c r="SDU1060" s="989"/>
      <c r="SDV1060" s="989"/>
      <c r="SDW1060" s="989"/>
      <c r="SDX1060" s="989"/>
      <c r="SDY1060" s="989"/>
      <c r="SDZ1060" s="989"/>
      <c r="SEA1060" s="989"/>
      <c r="SEB1060" s="989"/>
      <c r="SEC1060" s="989"/>
      <c r="SED1060" s="989"/>
      <c r="SEE1060" s="989"/>
      <c r="SEF1060" s="989"/>
      <c r="SEG1060" s="989"/>
      <c r="SEH1060" s="989"/>
      <c r="SEI1060" s="989"/>
      <c r="SEJ1060" s="989"/>
      <c r="SEK1060" s="989"/>
      <c r="SEL1060" s="989"/>
      <c r="SEM1060" s="989"/>
      <c r="SEN1060" s="989"/>
      <c r="SEO1060" s="989"/>
      <c r="SEP1060" s="989"/>
      <c r="SEQ1060" s="989"/>
      <c r="SER1060" s="989"/>
      <c r="SES1060" s="989"/>
      <c r="SET1060" s="989"/>
      <c r="SEU1060" s="989"/>
      <c r="SEV1060" s="989"/>
      <c r="SEW1060" s="989"/>
      <c r="SEX1060" s="989"/>
      <c r="SEY1060" s="989"/>
      <c r="SEZ1060" s="989"/>
      <c r="SFA1060" s="989"/>
      <c r="SFB1060" s="989"/>
      <c r="SFC1060" s="989"/>
      <c r="SFD1060" s="989"/>
      <c r="SFE1060" s="989"/>
      <c r="SFF1060" s="989"/>
      <c r="SFG1060" s="989"/>
      <c r="SFH1060" s="989"/>
      <c r="SFI1060" s="989"/>
      <c r="SFJ1060" s="989"/>
      <c r="SFK1060" s="989"/>
      <c r="SFL1060" s="989"/>
      <c r="SFM1060" s="989"/>
      <c r="SFN1060" s="989"/>
      <c r="SFO1060" s="989"/>
      <c r="SFP1060" s="989"/>
      <c r="SFQ1060" s="989"/>
      <c r="SFR1060" s="989"/>
      <c r="SFS1060" s="989"/>
      <c r="SFT1060" s="989"/>
      <c r="SFU1060" s="989"/>
      <c r="SFV1060" s="989"/>
      <c r="SFW1060" s="989"/>
      <c r="SFX1060" s="989"/>
      <c r="SFY1060" s="989"/>
      <c r="SFZ1060" s="989"/>
      <c r="SGA1060" s="989"/>
      <c r="SGB1060" s="989"/>
      <c r="SGC1060" s="989"/>
      <c r="SGD1060" s="989"/>
      <c r="SGE1060" s="989"/>
      <c r="SGF1060" s="989"/>
      <c r="SGG1060" s="989"/>
      <c r="SGH1060" s="989"/>
      <c r="SGI1060" s="989"/>
      <c r="SGJ1060" s="989"/>
      <c r="SGK1060" s="989"/>
      <c r="SGL1060" s="989"/>
      <c r="SGM1060" s="989"/>
      <c r="SGN1060" s="989"/>
      <c r="SGO1060" s="989"/>
      <c r="SGP1060" s="989"/>
      <c r="SGQ1060" s="989"/>
      <c r="SGR1060" s="989"/>
      <c r="SGS1060" s="989"/>
      <c r="SGT1060" s="989"/>
      <c r="SGU1060" s="989"/>
      <c r="SGV1060" s="989"/>
      <c r="SGW1060" s="989"/>
      <c r="SGX1060" s="989"/>
      <c r="SGY1060" s="989"/>
      <c r="SGZ1060" s="989"/>
      <c r="SHA1060" s="989"/>
      <c r="SHB1060" s="989"/>
      <c r="SHC1060" s="989"/>
      <c r="SHD1060" s="989"/>
      <c r="SHE1060" s="989"/>
      <c r="SHF1060" s="989"/>
      <c r="SHG1060" s="989"/>
      <c r="SHH1060" s="989"/>
      <c r="SHI1060" s="989"/>
      <c r="SHJ1060" s="989"/>
      <c r="SHK1060" s="989"/>
      <c r="SHL1060" s="989"/>
      <c r="SHM1060" s="989"/>
      <c r="SHN1060" s="989"/>
      <c r="SHO1060" s="989"/>
      <c r="SHP1060" s="989"/>
      <c r="SHQ1060" s="989"/>
      <c r="SHR1060" s="989"/>
      <c r="SHS1060" s="989"/>
      <c r="SHT1060" s="989"/>
      <c r="SHU1060" s="989"/>
      <c r="SHV1060" s="989"/>
      <c r="SHW1060" s="989"/>
      <c r="SHX1060" s="989"/>
      <c r="SHY1060" s="989"/>
      <c r="SHZ1060" s="989"/>
      <c r="SIA1060" s="989"/>
      <c r="SIB1060" s="989"/>
      <c r="SIC1060" s="989"/>
      <c r="SID1060" s="989"/>
      <c r="SIE1060" s="989"/>
      <c r="SIF1060" s="989"/>
      <c r="SIG1060" s="989"/>
      <c r="SIH1060" s="989"/>
      <c r="SII1060" s="989"/>
      <c r="SIJ1060" s="989"/>
      <c r="SIK1060" s="989"/>
      <c r="SIL1060" s="989"/>
      <c r="SIM1060" s="989"/>
      <c r="SIN1060" s="989"/>
      <c r="SIO1060" s="989"/>
      <c r="SIP1060" s="989"/>
      <c r="SIQ1060" s="989"/>
      <c r="SIR1060" s="989"/>
      <c r="SIS1060" s="989"/>
      <c r="SIT1060" s="989"/>
      <c r="SIU1060" s="989"/>
      <c r="SIV1060" s="989"/>
      <c r="SIW1060" s="989"/>
      <c r="SIX1060" s="989"/>
      <c r="SIY1060" s="989"/>
      <c r="SIZ1060" s="989"/>
      <c r="SJA1060" s="989"/>
      <c r="SJB1060" s="989"/>
      <c r="SJC1060" s="989"/>
      <c r="SJD1060" s="989"/>
      <c r="SJE1060" s="989"/>
      <c r="SJF1060" s="989"/>
      <c r="SJG1060" s="989"/>
      <c r="SJH1060" s="989"/>
      <c r="SJI1060" s="989"/>
      <c r="SJJ1060" s="989"/>
      <c r="SJK1060" s="989"/>
      <c r="SJL1060" s="989"/>
      <c r="SJM1060" s="989"/>
      <c r="SJN1060" s="989"/>
      <c r="SJO1060" s="989"/>
      <c r="SJP1060" s="989"/>
      <c r="SJQ1060" s="989"/>
      <c r="SJR1060" s="989"/>
      <c r="SJS1060" s="989"/>
      <c r="SJT1060" s="989"/>
      <c r="SJU1060" s="989"/>
      <c r="SJV1060" s="989"/>
      <c r="SJW1060" s="989"/>
      <c r="SJX1060" s="989"/>
      <c r="SJY1060" s="989"/>
      <c r="SJZ1060" s="989"/>
      <c r="SKA1060" s="989"/>
      <c r="SKB1060" s="989"/>
      <c r="SKC1060" s="989"/>
      <c r="SKD1060" s="989"/>
      <c r="SKE1060" s="989"/>
      <c r="SKF1060" s="989"/>
      <c r="SKG1060" s="989"/>
      <c r="SKH1060" s="989"/>
      <c r="SKI1060" s="989"/>
      <c r="SKJ1060" s="989"/>
      <c r="SKK1060" s="989"/>
      <c r="SKL1060" s="989"/>
      <c r="SKM1060" s="989"/>
      <c r="SKN1060" s="989"/>
      <c r="SKO1060" s="989"/>
      <c r="SKP1060" s="989"/>
      <c r="SKQ1060" s="989"/>
      <c r="SKR1060" s="989"/>
      <c r="SKS1060" s="989"/>
      <c r="SKT1060" s="989"/>
      <c r="SKU1060" s="989"/>
      <c r="SKV1060" s="989"/>
      <c r="SKW1060" s="989"/>
      <c r="SKX1060" s="989"/>
      <c r="SKY1060" s="989"/>
      <c r="SKZ1060" s="989"/>
      <c r="SLA1060" s="989"/>
      <c r="SLB1060" s="989"/>
      <c r="SLC1060" s="989"/>
      <c r="SLD1060" s="989"/>
      <c r="SLE1060" s="989"/>
      <c r="SLF1060" s="989"/>
      <c r="SLG1060" s="989"/>
      <c r="SLH1060" s="989"/>
      <c r="SLI1060" s="989"/>
      <c r="SLJ1060" s="989"/>
      <c r="SLK1060" s="989"/>
      <c r="SLL1060" s="989"/>
      <c r="SLM1060" s="989"/>
      <c r="SLN1060" s="989"/>
      <c r="SLO1060" s="989"/>
      <c r="SLP1060" s="989"/>
      <c r="SLQ1060" s="989"/>
      <c r="SLR1060" s="989"/>
      <c r="SLS1060" s="989"/>
      <c r="SLT1060" s="989"/>
      <c r="SLU1060" s="989"/>
      <c r="SLV1060" s="989"/>
      <c r="SLW1060" s="989"/>
      <c r="SLX1060" s="989"/>
      <c r="SLY1060" s="989"/>
      <c r="SLZ1060" s="989"/>
      <c r="SMA1060" s="989"/>
      <c r="SMB1060" s="989"/>
      <c r="SMC1060" s="989"/>
      <c r="SMD1060" s="989"/>
      <c r="SME1060" s="989"/>
      <c r="SMF1060" s="989"/>
      <c r="SMG1060" s="989"/>
      <c r="SMH1060" s="989"/>
      <c r="SMI1060" s="989"/>
      <c r="SMJ1060" s="989"/>
      <c r="SMK1060" s="989"/>
      <c r="SML1060" s="989"/>
      <c r="SMM1060" s="989"/>
      <c r="SMN1060" s="989"/>
      <c r="SMO1060" s="989"/>
      <c r="SMP1060" s="989"/>
      <c r="SMQ1060" s="989"/>
      <c r="SMR1060" s="989"/>
      <c r="SMS1060" s="989"/>
      <c r="SMT1060" s="989"/>
      <c r="SMU1060" s="989"/>
      <c r="SMV1060" s="989"/>
      <c r="SMW1060" s="989"/>
      <c r="SMX1060" s="989"/>
      <c r="SMY1060" s="989"/>
      <c r="SMZ1060" s="989"/>
      <c r="SNA1060" s="989"/>
      <c r="SNB1060" s="989"/>
      <c r="SNC1060" s="989"/>
      <c r="SND1060" s="989"/>
      <c r="SNE1060" s="989"/>
      <c r="SNF1060" s="989"/>
      <c r="SNG1060" s="989"/>
      <c r="SNH1060" s="989"/>
      <c r="SNI1060" s="989"/>
      <c r="SNJ1060" s="989"/>
      <c r="SNK1060" s="989"/>
      <c r="SNL1060" s="989"/>
      <c r="SNM1060" s="989"/>
      <c r="SNN1060" s="989"/>
      <c r="SNO1060" s="989"/>
      <c r="SNP1060" s="989"/>
      <c r="SNQ1060" s="989"/>
      <c r="SNR1060" s="989"/>
      <c r="SNS1060" s="989"/>
      <c r="SNT1060" s="989"/>
      <c r="SNU1060" s="989"/>
      <c r="SNV1060" s="989"/>
      <c r="SNW1060" s="989"/>
      <c r="SNX1060" s="989"/>
      <c r="SNY1060" s="989"/>
      <c r="SNZ1060" s="989"/>
      <c r="SOA1060" s="989"/>
      <c r="SOB1060" s="989"/>
      <c r="SOC1060" s="989"/>
      <c r="SOD1060" s="989"/>
      <c r="SOE1060" s="989"/>
      <c r="SOF1060" s="989"/>
      <c r="SOG1060" s="989"/>
      <c r="SOH1060" s="989"/>
      <c r="SOI1060" s="989"/>
      <c r="SOJ1060" s="989"/>
      <c r="SOK1060" s="989"/>
      <c r="SOL1060" s="989"/>
      <c r="SOM1060" s="989"/>
      <c r="SON1060" s="989"/>
      <c r="SOO1060" s="989"/>
      <c r="SOP1060" s="989"/>
      <c r="SOQ1060" s="989"/>
      <c r="SOR1060" s="989"/>
      <c r="SOS1060" s="989"/>
      <c r="SOT1060" s="989"/>
      <c r="SOU1060" s="989"/>
      <c r="SOV1060" s="989"/>
      <c r="SOW1060" s="989"/>
      <c r="SOX1060" s="989"/>
      <c r="SOY1060" s="989"/>
      <c r="SOZ1060" s="989"/>
      <c r="SPA1060" s="989"/>
      <c r="SPB1060" s="989"/>
      <c r="SPC1060" s="989"/>
      <c r="SPD1060" s="989"/>
      <c r="SPE1060" s="989"/>
      <c r="SPF1060" s="989"/>
      <c r="SPG1060" s="989"/>
      <c r="SPH1060" s="989"/>
      <c r="SPI1060" s="989"/>
      <c r="SPJ1060" s="989"/>
      <c r="SPK1060" s="989"/>
      <c r="SPL1060" s="989"/>
      <c r="SPM1060" s="989"/>
      <c r="SPN1060" s="989"/>
      <c r="SPO1060" s="989"/>
      <c r="SPP1060" s="989"/>
      <c r="SPQ1060" s="989"/>
      <c r="SPR1060" s="989"/>
      <c r="SPS1060" s="989"/>
      <c r="SPT1060" s="989"/>
      <c r="SPU1060" s="989"/>
      <c r="SPV1060" s="989"/>
      <c r="SPW1060" s="989"/>
      <c r="SPX1060" s="989"/>
      <c r="SPY1060" s="989"/>
      <c r="SPZ1060" s="989"/>
      <c r="SQA1060" s="989"/>
      <c r="SQB1060" s="989"/>
      <c r="SQC1060" s="989"/>
      <c r="SQD1060" s="989"/>
      <c r="SQE1060" s="989"/>
      <c r="SQF1060" s="989"/>
      <c r="SQG1060" s="989"/>
      <c r="SQH1060" s="989"/>
      <c r="SQI1060" s="989"/>
      <c r="SQJ1060" s="989"/>
      <c r="SQK1060" s="989"/>
      <c r="SQL1060" s="989"/>
      <c r="SQM1060" s="989"/>
      <c r="SQN1060" s="989"/>
      <c r="SQO1060" s="989"/>
      <c r="SQP1060" s="989"/>
      <c r="SQQ1060" s="989"/>
      <c r="SQR1060" s="989"/>
      <c r="SQS1060" s="989"/>
      <c r="SQT1060" s="989"/>
      <c r="SQU1060" s="989"/>
      <c r="SQV1060" s="989"/>
      <c r="SQW1060" s="989"/>
      <c r="SQX1060" s="989"/>
      <c r="SQY1060" s="989"/>
      <c r="SQZ1060" s="989"/>
      <c r="SRA1060" s="989"/>
      <c r="SRB1060" s="989"/>
      <c r="SRC1060" s="989"/>
      <c r="SRD1060" s="989"/>
      <c r="SRE1060" s="989"/>
      <c r="SRF1060" s="989"/>
      <c r="SRG1060" s="989"/>
      <c r="SRH1060" s="989"/>
      <c r="SRI1060" s="989"/>
      <c r="SRJ1060" s="989"/>
      <c r="SRK1060" s="989"/>
      <c r="SRL1060" s="989"/>
      <c r="SRM1060" s="989"/>
      <c r="SRN1060" s="989"/>
      <c r="SRO1060" s="989"/>
      <c r="SRP1060" s="989"/>
      <c r="SRQ1060" s="989"/>
      <c r="SRR1060" s="989"/>
      <c r="SRS1060" s="989"/>
      <c r="SRT1060" s="989"/>
      <c r="SRU1060" s="989"/>
      <c r="SRV1060" s="989"/>
      <c r="SRW1060" s="989"/>
      <c r="SRX1060" s="989"/>
      <c r="SRY1060" s="989"/>
      <c r="SRZ1060" s="989"/>
      <c r="SSA1060" s="989"/>
      <c r="SSB1060" s="989"/>
      <c r="SSC1060" s="989"/>
      <c r="SSD1060" s="989"/>
      <c r="SSE1060" s="989"/>
      <c r="SSF1060" s="989"/>
      <c r="SSG1060" s="989"/>
      <c r="SSH1060" s="989"/>
      <c r="SSI1060" s="989"/>
      <c r="SSJ1060" s="989"/>
      <c r="SSK1060" s="989"/>
      <c r="SSL1060" s="989"/>
      <c r="SSM1060" s="989"/>
      <c r="SSN1060" s="989"/>
      <c r="SSO1060" s="989"/>
      <c r="SSP1060" s="989"/>
      <c r="SSQ1060" s="989"/>
      <c r="SSR1060" s="989"/>
      <c r="SSS1060" s="989"/>
      <c r="SST1060" s="989"/>
      <c r="SSU1060" s="989"/>
      <c r="SSV1060" s="989"/>
      <c r="SSW1060" s="989"/>
      <c r="SSX1060" s="989"/>
      <c r="SSY1060" s="989"/>
      <c r="SSZ1060" s="989"/>
      <c r="STA1060" s="989"/>
      <c r="STB1060" s="989"/>
      <c r="STC1060" s="989"/>
      <c r="STD1060" s="989"/>
      <c r="STE1060" s="989"/>
      <c r="STF1060" s="989"/>
      <c r="STG1060" s="989"/>
      <c r="STH1060" s="989"/>
      <c r="STI1060" s="989"/>
      <c r="STJ1060" s="989"/>
      <c r="STK1060" s="989"/>
      <c r="STL1060" s="989"/>
      <c r="STM1060" s="989"/>
      <c r="STN1060" s="989"/>
      <c r="STO1060" s="989"/>
      <c r="STP1060" s="989"/>
      <c r="STQ1060" s="989"/>
      <c r="STR1060" s="989"/>
      <c r="STS1060" s="989"/>
      <c r="STT1060" s="989"/>
      <c r="STU1060" s="989"/>
      <c r="STV1060" s="989"/>
      <c r="STW1060" s="989"/>
      <c r="STX1060" s="989"/>
      <c r="STY1060" s="989"/>
      <c r="STZ1060" s="989"/>
      <c r="SUA1060" s="989"/>
      <c r="SUB1060" s="989"/>
      <c r="SUC1060" s="989"/>
      <c r="SUD1060" s="989"/>
      <c r="SUE1060" s="989"/>
      <c r="SUF1060" s="989"/>
      <c r="SUG1060" s="989"/>
      <c r="SUH1060" s="989"/>
      <c r="SUI1060" s="989"/>
      <c r="SUJ1060" s="989"/>
      <c r="SUK1060" s="989"/>
      <c r="SUL1060" s="989"/>
      <c r="SUM1060" s="989"/>
      <c r="SUN1060" s="989"/>
      <c r="SUO1060" s="989"/>
      <c r="SUP1060" s="989"/>
      <c r="SUQ1060" s="989"/>
      <c r="SUR1060" s="989"/>
      <c r="SUS1060" s="989"/>
      <c r="SUT1060" s="989"/>
      <c r="SUU1060" s="989"/>
      <c r="SUV1060" s="989"/>
      <c r="SUW1060" s="989"/>
      <c r="SUX1060" s="989"/>
      <c r="SUY1060" s="989"/>
      <c r="SUZ1060" s="989"/>
      <c r="SVA1060" s="989"/>
      <c r="SVB1060" s="989"/>
      <c r="SVC1060" s="989"/>
      <c r="SVD1060" s="989"/>
      <c r="SVE1060" s="989"/>
      <c r="SVF1060" s="989"/>
      <c r="SVG1060" s="989"/>
      <c r="SVH1060" s="989"/>
      <c r="SVI1060" s="989"/>
      <c r="SVJ1060" s="989"/>
      <c r="SVK1060" s="989"/>
      <c r="SVL1060" s="989"/>
      <c r="SVM1060" s="989"/>
      <c r="SVN1060" s="989"/>
      <c r="SVO1060" s="989"/>
      <c r="SVP1060" s="989"/>
      <c r="SVQ1060" s="989"/>
      <c r="SVR1060" s="989"/>
      <c r="SVS1060" s="989"/>
      <c r="SVT1060" s="989"/>
      <c r="SVU1060" s="989"/>
      <c r="SVV1060" s="989"/>
      <c r="SVW1060" s="989"/>
      <c r="SVX1060" s="989"/>
      <c r="SVY1060" s="989"/>
      <c r="SVZ1060" s="989"/>
      <c r="SWA1060" s="989"/>
      <c r="SWB1060" s="989"/>
      <c r="SWC1060" s="989"/>
      <c r="SWD1060" s="989"/>
      <c r="SWE1060" s="989"/>
      <c r="SWF1060" s="989"/>
      <c r="SWG1060" s="989"/>
      <c r="SWH1060" s="989"/>
      <c r="SWI1060" s="989"/>
      <c r="SWJ1060" s="989"/>
      <c r="SWK1060" s="989"/>
      <c r="SWL1060" s="989"/>
      <c r="SWM1060" s="989"/>
      <c r="SWN1060" s="989"/>
      <c r="SWO1060" s="989"/>
      <c r="SWP1060" s="989"/>
      <c r="SWQ1060" s="989"/>
      <c r="SWR1060" s="989"/>
      <c r="SWS1060" s="989"/>
      <c r="SWT1060" s="989"/>
      <c r="SWU1060" s="989"/>
      <c r="SWV1060" s="989"/>
      <c r="SWW1060" s="989"/>
      <c r="SWX1060" s="989"/>
      <c r="SWY1060" s="989"/>
      <c r="SWZ1060" s="989"/>
      <c r="SXA1060" s="989"/>
      <c r="SXB1060" s="989"/>
      <c r="SXC1060" s="989"/>
      <c r="SXD1060" s="989"/>
      <c r="SXE1060" s="989"/>
      <c r="SXF1060" s="989"/>
      <c r="SXG1060" s="989"/>
      <c r="SXH1060" s="989"/>
      <c r="SXI1060" s="989"/>
      <c r="SXJ1060" s="989"/>
      <c r="SXK1060" s="989"/>
      <c r="SXL1060" s="989"/>
      <c r="SXM1060" s="989"/>
      <c r="SXN1060" s="989"/>
      <c r="SXO1060" s="989"/>
      <c r="SXP1060" s="989"/>
      <c r="SXQ1060" s="989"/>
      <c r="SXR1060" s="989"/>
      <c r="SXS1060" s="989"/>
      <c r="SXT1060" s="989"/>
      <c r="SXU1060" s="989"/>
      <c r="SXV1060" s="989"/>
      <c r="SXW1060" s="989"/>
      <c r="SXX1060" s="989"/>
      <c r="SXY1060" s="989"/>
      <c r="SXZ1060" s="989"/>
      <c r="SYA1060" s="989"/>
      <c r="SYB1060" s="989"/>
      <c r="SYC1060" s="989"/>
      <c r="SYD1060" s="989"/>
      <c r="SYE1060" s="989"/>
      <c r="SYF1060" s="989"/>
      <c r="SYG1060" s="989"/>
      <c r="SYH1060" s="989"/>
      <c r="SYI1060" s="989"/>
      <c r="SYJ1060" s="989"/>
      <c r="SYK1060" s="989"/>
      <c r="SYL1060" s="989"/>
      <c r="SYM1060" s="989"/>
      <c r="SYN1060" s="989"/>
      <c r="SYO1060" s="989"/>
      <c r="SYP1060" s="989"/>
      <c r="SYQ1060" s="989"/>
      <c r="SYR1060" s="989"/>
      <c r="SYS1060" s="989"/>
      <c r="SYT1060" s="989"/>
      <c r="SYU1060" s="989"/>
      <c r="SYV1060" s="989"/>
      <c r="SYW1060" s="989"/>
      <c r="SYX1060" s="989"/>
      <c r="SYY1060" s="989"/>
      <c r="SYZ1060" s="989"/>
      <c r="SZA1060" s="989"/>
      <c r="SZB1060" s="989"/>
      <c r="SZC1060" s="989"/>
      <c r="SZD1060" s="989"/>
      <c r="SZE1060" s="989"/>
      <c r="SZF1060" s="989"/>
      <c r="SZG1060" s="989"/>
      <c r="SZH1060" s="989"/>
      <c r="SZI1060" s="989"/>
      <c r="SZJ1060" s="989"/>
      <c r="SZK1060" s="989"/>
      <c r="SZL1060" s="989"/>
      <c r="SZM1060" s="989"/>
      <c r="SZN1060" s="989"/>
      <c r="SZO1060" s="989"/>
      <c r="SZP1060" s="989"/>
      <c r="SZQ1060" s="989"/>
      <c r="SZR1060" s="989"/>
      <c r="SZS1060" s="989"/>
      <c r="SZT1060" s="989"/>
      <c r="SZU1060" s="989"/>
      <c r="SZV1060" s="989"/>
      <c r="SZW1060" s="989"/>
      <c r="SZX1060" s="989"/>
      <c r="SZY1060" s="989"/>
      <c r="SZZ1060" s="989"/>
      <c r="TAA1060" s="989"/>
      <c r="TAB1060" s="989"/>
      <c r="TAC1060" s="989"/>
      <c r="TAD1060" s="989"/>
      <c r="TAE1060" s="989"/>
      <c r="TAF1060" s="989"/>
      <c r="TAG1060" s="989"/>
      <c r="TAH1060" s="989"/>
      <c r="TAI1060" s="989"/>
      <c r="TAJ1060" s="989"/>
      <c r="TAK1060" s="989"/>
      <c r="TAL1060" s="989"/>
      <c r="TAM1060" s="989"/>
      <c r="TAN1060" s="989"/>
      <c r="TAO1060" s="989"/>
      <c r="TAP1060" s="989"/>
      <c r="TAQ1060" s="989"/>
      <c r="TAR1060" s="989"/>
      <c r="TAS1060" s="989"/>
      <c r="TAT1060" s="989"/>
      <c r="TAU1060" s="989"/>
      <c r="TAV1060" s="989"/>
      <c r="TAW1060" s="989"/>
      <c r="TAX1060" s="989"/>
      <c r="TAY1060" s="989"/>
      <c r="TAZ1060" s="989"/>
      <c r="TBA1060" s="989"/>
      <c r="TBB1060" s="989"/>
      <c r="TBC1060" s="989"/>
      <c r="TBD1060" s="989"/>
      <c r="TBE1060" s="989"/>
      <c r="TBF1060" s="989"/>
      <c r="TBG1060" s="989"/>
      <c r="TBH1060" s="989"/>
      <c r="TBI1060" s="989"/>
      <c r="TBJ1060" s="989"/>
      <c r="TBK1060" s="989"/>
      <c r="TBL1060" s="989"/>
      <c r="TBM1060" s="989"/>
      <c r="TBN1060" s="989"/>
      <c r="TBO1060" s="989"/>
      <c r="TBP1060" s="989"/>
      <c r="TBQ1060" s="989"/>
      <c r="TBR1060" s="989"/>
      <c r="TBS1060" s="989"/>
      <c r="TBT1060" s="989"/>
      <c r="TBU1060" s="989"/>
      <c r="TBV1060" s="989"/>
      <c r="TBW1060" s="989"/>
      <c r="TBX1060" s="989"/>
      <c r="TBY1060" s="989"/>
      <c r="TBZ1060" s="989"/>
      <c r="TCA1060" s="989"/>
      <c r="TCB1060" s="989"/>
      <c r="TCC1060" s="989"/>
      <c r="TCD1060" s="989"/>
      <c r="TCE1060" s="989"/>
      <c r="TCF1060" s="989"/>
      <c r="TCG1060" s="989"/>
      <c r="TCH1060" s="989"/>
      <c r="TCI1060" s="989"/>
      <c r="TCJ1060" s="989"/>
      <c r="TCK1060" s="989"/>
      <c r="TCL1060" s="989"/>
      <c r="TCM1060" s="989"/>
      <c r="TCN1060" s="989"/>
      <c r="TCO1060" s="989"/>
      <c r="TCP1060" s="989"/>
      <c r="TCQ1060" s="989"/>
      <c r="TCR1060" s="989"/>
      <c r="TCS1060" s="989"/>
      <c r="TCT1060" s="989"/>
      <c r="TCU1060" s="989"/>
      <c r="TCV1060" s="989"/>
      <c r="TCW1060" s="989"/>
      <c r="TCX1060" s="989"/>
      <c r="TCY1060" s="989"/>
      <c r="TCZ1060" s="989"/>
      <c r="TDA1060" s="989"/>
      <c r="TDB1060" s="989"/>
      <c r="TDC1060" s="989"/>
      <c r="TDD1060" s="989"/>
      <c r="TDE1060" s="989"/>
      <c r="TDF1060" s="989"/>
      <c r="TDG1060" s="989"/>
      <c r="TDH1060" s="989"/>
      <c r="TDI1060" s="989"/>
      <c r="TDJ1060" s="989"/>
      <c r="TDK1060" s="989"/>
      <c r="TDL1060" s="989"/>
      <c r="TDM1060" s="989"/>
      <c r="TDN1060" s="989"/>
      <c r="TDO1060" s="989"/>
      <c r="TDP1060" s="989"/>
      <c r="TDQ1060" s="989"/>
      <c r="TDR1060" s="989"/>
      <c r="TDS1060" s="989"/>
      <c r="TDT1060" s="989"/>
      <c r="TDU1060" s="989"/>
      <c r="TDV1060" s="989"/>
      <c r="TDW1060" s="989"/>
      <c r="TDX1060" s="989"/>
      <c r="TDY1060" s="989"/>
      <c r="TDZ1060" s="989"/>
      <c r="TEA1060" s="989"/>
      <c r="TEB1060" s="989"/>
      <c r="TEC1060" s="989"/>
      <c r="TED1060" s="989"/>
      <c r="TEE1060" s="989"/>
      <c r="TEF1060" s="989"/>
      <c r="TEG1060" s="989"/>
      <c r="TEH1060" s="989"/>
      <c r="TEI1060" s="989"/>
      <c r="TEJ1060" s="989"/>
      <c r="TEK1060" s="989"/>
      <c r="TEL1060" s="989"/>
      <c r="TEM1060" s="989"/>
      <c r="TEN1060" s="989"/>
      <c r="TEO1060" s="989"/>
      <c r="TEP1060" s="989"/>
      <c r="TEQ1060" s="989"/>
      <c r="TER1060" s="989"/>
      <c r="TES1060" s="989"/>
      <c r="TET1060" s="989"/>
      <c r="TEU1060" s="989"/>
      <c r="TEV1060" s="989"/>
      <c r="TEW1060" s="989"/>
      <c r="TEX1060" s="989"/>
      <c r="TEY1060" s="989"/>
      <c r="TEZ1060" s="989"/>
      <c r="TFA1060" s="989"/>
      <c r="TFB1060" s="989"/>
      <c r="TFC1060" s="989"/>
      <c r="TFD1060" s="989"/>
      <c r="TFE1060" s="989"/>
      <c r="TFF1060" s="989"/>
      <c r="TFG1060" s="989"/>
      <c r="TFH1060" s="989"/>
      <c r="TFI1060" s="989"/>
      <c r="TFJ1060" s="989"/>
      <c r="TFK1060" s="989"/>
      <c r="TFL1060" s="989"/>
      <c r="TFM1060" s="989"/>
      <c r="TFN1060" s="989"/>
      <c r="TFO1060" s="989"/>
      <c r="TFP1060" s="989"/>
      <c r="TFQ1060" s="989"/>
      <c r="TFR1060" s="989"/>
      <c r="TFS1060" s="989"/>
      <c r="TFT1060" s="989"/>
      <c r="TFU1060" s="989"/>
      <c r="TFV1060" s="989"/>
      <c r="TFW1060" s="989"/>
      <c r="TFX1060" s="989"/>
      <c r="TFY1060" s="989"/>
      <c r="TFZ1060" s="989"/>
      <c r="TGA1060" s="989"/>
      <c r="TGB1060" s="989"/>
      <c r="TGC1060" s="989"/>
      <c r="TGD1060" s="989"/>
      <c r="TGE1060" s="989"/>
      <c r="TGF1060" s="989"/>
      <c r="TGG1060" s="989"/>
      <c r="TGH1060" s="989"/>
      <c r="TGI1060" s="989"/>
      <c r="TGJ1060" s="989"/>
      <c r="TGK1060" s="989"/>
      <c r="TGL1060" s="989"/>
      <c r="TGM1060" s="989"/>
      <c r="TGN1060" s="989"/>
      <c r="TGO1060" s="989"/>
      <c r="TGP1060" s="989"/>
      <c r="TGQ1060" s="989"/>
      <c r="TGR1060" s="989"/>
      <c r="TGS1060" s="989"/>
      <c r="TGT1060" s="989"/>
      <c r="TGU1060" s="989"/>
      <c r="TGV1060" s="989"/>
      <c r="TGW1060" s="989"/>
      <c r="TGX1060" s="989"/>
      <c r="TGY1060" s="989"/>
      <c r="TGZ1060" s="989"/>
      <c r="THA1060" s="989"/>
      <c r="THB1060" s="989"/>
      <c r="THC1060" s="989"/>
      <c r="THD1060" s="989"/>
      <c r="THE1060" s="989"/>
      <c r="THF1060" s="989"/>
      <c r="THG1060" s="989"/>
      <c r="THH1060" s="989"/>
      <c r="THI1060" s="989"/>
      <c r="THJ1060" s="989"/>
      <c r="THK1060" s="989"/>
      <c r="THL1060" s="989"/>
      <c r="THM1060" s="989"/>
      <c r="THN1060" s="989"/>
      <c r="THO1060" s="989"/>
      <c r="THP1060" s="989"/>
      <c r="THQ1060" s="989"/>
      <c r="THR1060" s="989"/>
      <c r="THS1060" s="989"/>
      <c r="THT1060" s="989"/>
      <c r="THU1060" s="989"/>
      <c r="THV1060" s="989"/>
      <c r="THW1060" s="989"/>
      <c r="THX1060" s="989"/>
      <c r="THY1060" s="989"/>
      <c r="THZ1060" s="989"/>
      <c r="TIA1060" s="989"/>
      <c r="TIB1060" s="989"/>
      <c r="TIC1060" s="989"/>
      <c r="TID1060" s="989"/>
      <c r="TIE1060" s="989"/>
      <c r="TIF1060" s="989"/>
      <c r="TIG1060" s="989"/>
      <c r="TIH1060" s="989"/>
      <c r="TII1060" s="989"/>
      <c r="TIJ1060" s="989"/>
      <c r="TIK1060" s="989"/>
      <c r="TIL1060" s="989"/>
      <c r="TIM1060" s="989"/>
      <c r="TIN1060" s="989"/>
      <c r="TIO1060" s="989"/>
      <c r="TIP1060" s="989"/>
      <c r="TIQ1060" s="989"/>
      <c r="TIR1060" s="989"/>
      <c r="TIS1060" s="989"/>
      <c r="TIT1060" s="989"/>
      <c r="TIU1060" s="989"/>
      <c r="TIV1060" s="989"/>
      <c r="TIW1060" s="989"/>
      <c r="TIX1060" s="989"/>
      <c r="TIY1060" s="989"/>
      <c r="TIZ1060" s="989"/>
      <c r="TJA1060" s="989"/>
      <c r="TJB1060" s="989"/>
      <c r="TJC1060" s="989"/>
      <c r="TJD1060" s="989"/>
      <c r="TJE1060" s="989"/>
      <c r="TJF1060" s="989"/>
      <c r="TJG1060" s="989"/>
      <c r="TJH1060" s="989"/>
      <c r="TJI1060" s="989"/>
      <c r="TJJ1060" s="989"/>
      <c r="TJK1060" s="989"/>
      <c r="TJL1060" s="989"/>
      <c r="TJM1060" s="989"/>
      <c r="TJN1060" s="989"/>
      <c r="TJO1060" s="989"/>
      <c r="TJP1060" s="989"/>
      <c r="TJQ1060" s="989"/>
      <c r="TJR1060" s="989"/>
      <c r="TJS1060" s="989"/>
      <c r="TJT1060" s="989"/>
      <c r="TJU1060" s="989"/>
      <c r="TJV1060" s="989"/>
      <c r="TJW1060" s="989"/>
      <c r="TJX1060" s="989"/>
      <c r="TJY1060" s="989"/>
      <c r="TJZ1060" s="989"/>
      <c r="TKA1060" s="989"/>
      <c r="TKB1060" s="989"/>
      <c r="TKC1060" s="989"/>
      <c r="TKD1060" s="989"/>
      <c r="TKE1060" s="989"/>
      <c r="TKF1060" s="989"/>
      <c r="TKG1060" s="989"/>
      <c r="TKH1060" s="989"/>
      <c r="TKI1060" s="989"/>
      <c r="TKJ1060" s="989"/>
      <c r="TKK1060" s="989"/>
      <c r="TKL1060" s="989"/>
      <c r="TKM1060" s="989"/>
      <c r="TKN1060" s="989"/>
      <c r="TKO1060" s="989"/>
      <c r="TKP1060" s="989"/>
      <c r="TKQ1060" s="989"/>
      <c r="TKR1060" s="989"/>
      <c r="TKS1060" s="989"/>
      <c r="TKT1060" s="989"/>
      <c r="TKU1060" s="989"/>
      <c r="TKV1060" s="989"/>
      <c r="TKW1060" s="989"/>
      <c r="TKX1060" s="989"/>
      <c r="TKY1060" s="989"/>
      <c r="TKZ1060" s="989"/>
      <c r="TLA1060" s="989"/>
      <c r="TLB1060" s="989"/>
      <c r="TLC1060" s="989"/>
      <c r="TLD1060" s="989"/>
      <c r="TLE1060" s="989"/>
      <c r="TLF1060" s="989"/>
      <c r="TLG1060" s="989"/>
      <c r="TLH1060" s="989"/>
      <c r="TLI1060" s="989"/>
      <c r="TLJ1060" s="989"/>
      <c r="TLK1060" s="989"/>
      <c r="TLL1060" s="989"/>
      <c r="TLM1060" s="989"/>
      <c r="TLN1060" s="989"/>
      <c r="TLO1060" s="989"/>
      <c r="TLP1060" s="989"/>
      <c r="TLQ1060" s="989"/>
      <c r="TLR1060" s="989"/>
      <c r="TLS1060" s="989"/>
      <c r="TLT1060" s="989"/>
      <c r="TLU1060" s="989"/>
      <c r="TLV1060" s="989"/>
      <c r="TLW1060" s="989"/>
      <c r="TLX1060" s="989"/>
      <c r="TLY1060" s="989"/>
      <c r="TLZ1060" s="989"/>
      <c r="TMA1060" s="989"/>
      <c r="TMB1060" s="989"/>
      <c r="TMC1060" s="989"/>
      <c r="TMD1060" s="989"/>
      <c r="TME1060" s="989"/>
      <c r="TMF1060" s="989"/>
      <c r="TMG1060" s="989"/>
      <c r="TMH1060" s="989"/>
      <c r="TMI1060" s="989"/>
      <c r="TMJ1060" s="989"/>
      <c r="TMK1060" s="989"/>
      <c r="TML1060" s="989"/>
      <c r="TMM1060" s="989"/>
      <c r="TMN1060" s="989"/>
      <c r="TMO1060" s="989"/>
      <c r="TMP1060" s="989"/>
      <c r="TMQ1060" s="989"/>
      <c r="TMR1060" s="989"/>
      <c r="TMS1060" s="989"/>
      <c r="TMT1060" s="989"/>
      <c r="TMU1060" s="989"/>
      <c r="TMV1060" s="989"/>
      <c r="TMW1060" s="989"/>
      <c r="TMX1060" s="989"/>
      <c r="TMY1060" s="989"/>
      <c r="TMZ1060" s="989"/>
      <c r="TNA1060" s="989"/>
      <c r="TNB1060" s="989"/>
      <c r="TNC1060" s="989"/>
      <c r="TND1060" s="989"/>
      <c r="TNE1060" s="989"/>
      <c r="TNF1060" s="989"/>
      <c r="TNG1060" s="989"/>
      <c r="TNH1060" s="989"/>
      <c r="TNI1060" s="989"/>
      <c r="TNJ1060" s="989"/>
      <c r="TNK1060" s="989"/>
      <c r="TNL1060" s="989"/>
      <c r="TNM1060" s="989"/>
      <c r="TNN1060" s="989"/>
      <c r="TNO1060" s="989"/>
      <c r="TNP1060" s="989"/>
      <c r="TNQ1060" s="989"/>
      <c r="TNR1060" s="989"/>
      <c r="TNS1060" s="989"/>
      <c r="TNT1060" s="989"/>
      <c r="TNU1060" s="989"/>
      <c r="TNV1060" s="989"/>
      <c r="TNW1060" s="989"/>
      <c r="TNX1060" s="989"/>
      <c r="TNY1060" s="989"/>
      <c r="TNZ1060" s="989"/>
      <c r="TOA1060" s="989"/>
      <c r="TOB1060" s="989"/>
      <c r="TOC1060" s="989"/>
      <c r="TOD1060" s="989"/>
      <c r="TOE1060" s="989"/>
      <c r="TOF1060" s="989"/>
      <c r="TOG1060" s="989"/>
      <c r="TOH1060" s="989"/>
      <c r="TOI1060" s="989"/>
      <c r="TOJ1060" s="989"/>
      <c r="TOK1060" s="989"/>
      <c r="TOL1060" s="989"/>
      <c r="TOM1060" s="989"/>
      <c r="TON1060" s="989"/>
      <c r="TOO1060" s="989"/>
      <c r="TOP1060" s="989"/>
      <c r="TOQ1060" s="989"/>
      <c r="TOR1060" s="989"/>
      <c r="TOS1060" s="989"/>
      <c r="TOT1060" s="989"/>
      <c r="TOU1060" s="989"/>
      <c r="TOV1060" s="989"/>
      <c r="TOW1060" s="989"/>
      <c r="TOX1060" s="989"/>
      <c r="TOY1060" s="989"/>
      <c r="TOZ1060" s="989"/>
      <c r="TPA1060" s="989"/>
      <c r="TPB1060" s="989"/>
      <c r="TPC1060" s="989"/>
      <c r="TPD1060" s="989"/>
      <c r="TPE1060" s="989"/>
      <c r="TPF1060" s="989"/>
      <c r="TPG1060" s="989"/>
      <c r="TPH1060" s="989"/>
      <c r="TPI1060" s="989"/>
      <c r="TPJ1060" s="989"/>
      <c r="TPK1060" s="989"/>
      <c r="TPL1060" s="989"/>
      <c r="TPM1060" s="989"/>
      <c r="TPN1060" s="989"/>
      <c r="TPO1060" s="989"/>
      <c r="TPP1060" s="989"/>
      <c r="TPQ1060" s="989"/>
      <c r="TPR1060" s="989"/>
      <c r="TPS1060" s="989"/>
      <c r="TPT1060" s="989"/>
      <c r="TPU1060" s="989"/>
      <c r="TPV1060" s="989"/>
      <c r="TPW1060" s="989"/>
      <c r="TPX1060" s="989"/>
      <c r="TPY1060" s="989"/>
      <c r="TPZ1060" s="989"/>
      <c r="TQA1060" s="989"/>
      <c r="TQB1060" s="989"/>
      <c r="TQC1060" s="989"/>
      <c r="TQD1060" s="989"/>
      <c r="TQE1060" s="989"/>
      <c r="TQF1060" s="989"/>
      <c r="TQG1060" s="989"/>
      <c r="TQH1060" s="989"/>
      <c r="TQI1060" s="989"/>
      <c r="TQJ1060" s="989"/>
      <c r="TQK1060" s="989"/>
      <c r="TQL1060" s="989"/>
      <c r="TQM1060" s="989"/>
      <c r="TQN1060" s="989"/>
      <c r="TQO1060" s="989"/>
      <c r="TQP1060" s="989"/>
      <c r="TQQ1060" s="989"/>
      <c r="TQR1060" s="989"/>
      <c r="TQS1060" s="989"/>
      <c r="TQT1060" s="989"/>
      <c r="TQU1060" s="989"/>
      <c r="TQV1060" s="989"/>
      <c r="TQW1060" s="989"/>
      <c r="TQX1060" s="989"/>
      <c r="TQY1060" s="989"/>
      <c r="TQZ1060" s="989"/>
      <c r="TRA1060" s="989"/>
      <c r="TRB1060" s="989"/>
      <c r="TRC1060" s="989"/>
      <c r="TRD1060" s="989"/>
      <c r="TRE1060" s="989"/>
      <c r="TRF1060" s="989"/>
      <c r="TRG1060" s="989"/>
      <c r="TRH1060" s="989"/>
      <c r="TRI1060" s="989"/>
      <c r="TRJ1060" s="989"/>
      <c r="TRK1060" s="989"/>
      <c r="TRL1060" s="989"/>
      <c r="TRM1060" s="989"/>
      <c r="TRN1060" s="989"/>
      <c r="TRO1060" s="989"/>
      <c r="TRP1060" s="989"/>
      <c r="TRQ1060" s="989"/>
      <c r="TRR1060" s="989"/>
      <c r="TRS1060" s="989"/>
      <c r="TRT1060" s="989"/>
      <c r="TRU1060" s="989"/>
      <c r="TRV1060" s="989"/>
      <c r="TRW1060" s="989"/>
      <c r="TRX1060" s="989"/>
      <c r="TRY1060" s="989"/>
      <c r="TRZ1060" s="989"/>
      <c r="TSA1060" s="989"/>
      <c r="TSB1060" s="989"/>
      <c r="TSC1060" s="989"/>
      <c r="TSD1060" s="989"/>
      <c r="TSE1060" s="989"/>
      <c r="TSF1060" s="989"/>
      <c r="TSG1060" s="989"/>
      <c r="TSH1060" s="989"/>
      <c r="TSI1060" s="989"/>
      <c r="TSJ1060" s="989"/>
      <c r="TSK1060" s="989"/>
      <c r="TSL1060" s="989"/>
      <c r="TSM1060" s="989"/>
      <c r="TSN1060" s="989"/>
      <c r="TSO1060" s="989"/>
      <c r="TSP1060" s="989"/>
      <c r="TSQ1060" s="989"/>
      <c r="TSR1060" s="989"/>
      <c r="TSS1060" s="989"/>
      <c r="TST1060" s="989"/>
      <c r="TSU1060" s="989"/>
      <c r="TSV1060" s="989"/>
      <c r="TSW1060" s="989"/>
      <c r="TSX1060" s="989"/>
      <c r="TSY1060" s="989"/>
      <c r="TSZ1060" s="989"/>
      <c r="TTA1060" s="989"/>
      <c r="TTB1060" s="989"/>
      <c r="TTC1060" s="989"/>
      <c r="TTD1060" s="989"/>
      <c r="TTE1060" s="989"/>
      <c r="TTF1060" s="989"/>
      <c r="TTG1060" s="989"/>
      <c r="TTH1060" s="989"/>
      <c r="TTI1060" s="989"/>
      <c r="TTJ1060" s="989"/>
      <c r="TTK1060" s="989"/>
      <c r="TTL1060" s="989"/>
      <c r="TTM1060" s="989"/>
      <c r="TTN1060" s="989"/>
      <c r="TTO1060" s="989"/>
      <c r="TTP1060" s="989"/>
      <c r="TTQ1060" s="989"/>
      <c r="TTR1060" s="989"/>
      <c r="TTS1060" s="989"/>
      <c r="TTT1060" s="989"/>
      <c r="TTU1060" s="989"/>
      <c r="TTV1060" s="989"/>
      <c r="TTW1060" s="989"/>
      <c r="TTX1060" s="989"/>
      <c r="TTY1060" s="989"/>
      <c r="TTZ1060" s="989"/>
      <c r="TUA1060" s="989"/>
      <c r="TUB1060" s="989"/>
      <c r="TUC1060" s="989"/>
      <c r="TUD1060" s="989"/>
      <c r="TUE1060" s="989"/>
      <c r="TUF1060" s="989"/>
      <c r="TUG1060" s="989"/>
      <c r="TUH1060" s="989"/>
      <c r="TUI1060" s="989"/>
      <c r="TUJ1060" s="989"/>
      <c r="TUK1060" s="989"/>
      <c r="TUL1060" s="989"/>
      <c r="TUM1060" s="989"/>
      <c r="TUN1060" s="989"/>
      <c r="TUO1060" s="989"/>
      <c r="TUP1060" s="989"/>
      <c r="TUQ1060" s="989"/>
      <c r="TUR1060" s="989"/>
      <c r="TUS1060" s="989"/>
      <c r="TUT1060" s="989"/>
      <c r="TUU1060" s="989"/>
      <c r="TUV1060" s="989"/>
      <c r="TUW1060" s="989"/>
      <c r="TUX1060" s="989"/>
      <c r="TUY1060" s="989"/>
      <c r="TUZ1060" s="989"/>
      <c r="TVA1060" s="989"/>
      <c r="TVB1060" s="989"/>
      <c r="TVC1060" s="989"/>
      <c r="TVD1060" s="989"/>
      <c r="TVE1060" s="989"/>
      <c r="TVF1060" s="989"/>
      <c r="TVG1060" s="989"/>
      <c r="TVH1060" s="989"/>
      <c r="TVI1060" s="989"/>
      <c r="TVJ1060" s="989"/>
      <c r="TVK1060" s="989"/>
      <c r="TVL1060" s="989"/>
      <c r="TVM1060" s="989"/>
      <c r="TVN1060" s="989"/>
      <c r="TVO1060" s="989"/>
      <c r="TVP1060" s="989"/>
      <c r="TVQ1060" s="989"/>
      <c r="TVR1060" s="989"/>
      <c r="TVS1060" s="989"/>
      <c r="TVT1060" s="989"/>
      <c r="TVU1060" s="989"/>
      <c r="TVV1060" s="989"/>
      <c r="TVW1060" s="989"/>
      <c r="TVX1060" s="989"/>
      <c r="TVY1060" s="989"/>
      <c r="TVZ1060" s="989"/>
      <c r="TWA1060" s="989"/>
      <c r="TWB1060" s="989"/>
      <c r="TWC1060" s="989"/>
      <c r="TWD1060" s="989"/>
      <c r="TWE1060" s="989"/>
      <c r="TWF1060" s="989"/>
      <c r="TWG1060" s="989"/>
      <c r="TWH1060" s="989"/>
      <c r="TWI1060" s="989"/>
      <c r="TWJ1060" s="989"/>
      <c r="TWK1060" s="989"/>
      <c r="TWL1060" s="989"/>
      <c r="TWM1060" s="989"/>
      <c r="TWN1060" s="989"/>
      <c r="TWO1060" s="989"/>
      <c r="TWP1060" s="989"/>
      <c r="TWQ1060" s="989"/>
      <c r="TWR1060" s="989"/>
      <c r="TWS1060" s="989"/>
      <c r="TWT1060" s="989"/>
      <c r="TWU1060" s="989"/>
      <c r="TWV1060" s="989"/>
      <c r="TWW1060" s="989"/>
      <c r="TWX1060" s="989"/>
      <c r="TWY1060" s="989"/>
      <c r="TWZ1060" s="989"/>
      <c r="TXA1060" s="989"/>
      <c r="TXB1060" s="989"/>
      <c r="TXC1060" s="989"/>
      <c r="TXD1060" s="989"/>
      <c r="TXE1060" s="989"/>
      <c r="TXF1060" s="989"/>
      <c r="TXG1060" s="989"/>
      <c r="TXH1060" s="989"/>
      <c r="TXI1060" s="989"/>
      <c r="TXJ1060" s="989"/>
      <c r="TXK1060" s="989"/>
      <c r="TXL1060" s="989"/>
      <c r="TXM1060" s="989"/>
      <c r="TXN1060" s="989"/>
      <c r="TXO1060" s="989"/>
      <c r="TXP1060" s="989"/>
      <c r="TXQ1060" s="989"/>
      <c r="TXR1060" s="989"/>
      <c r="TXS1060" s="989"/>
      <c r="TXT1060" s="989"/>
      <c r="TXU1060" s="989"/>
      <c r="TXV1060" s="989"/>
      <c r="TXW1060" s="989"/>
      <c r="TXX1060" s="989"/>
      <c r="TXY1060" s="989"/>
      <c r="TXZ1060" s="989"/>
      <c r="TYA1060" s="989"/>
      <c r="TYB1060" s="989"/>
      <c r="TYC1060" s="989"/>
      <c r="TYD1060" s="989"/>
      <c r="TYE1060" s="989"/>
      <c r="TYF1060" s="989"/>
      <c r="TYG1060" s="989"/>
      <c r="TYH1060" s="989"/>
      <c r="TYI1060" s="989"/>
      <c r="TYJ1060" s="989"/>
      <c r="TYK1060" s="989"/>
      <c r="TYL1060" s="989"/>
      <c r="TYM1060" s="989"/>
      <c r="TYN1060" s="989"/>
      <c r="TYO1060" s="989"/>
      <c r="TYP1060" s="989"/>
      <c r="TYQ1060" s="989"/>
      <c r="TYR1060" s="989"/>
      <c r="TYS1060" s="989"/>
      <c r="TYT1060" s="989"/>
      <c r="TYU1060" s="989"/>
      <c r="TYV1060" s="989"/>
      <c r="TYW1060" s="989"/>
      <c r="TYX1060" s="989"/>
      <c r="TYY1060" s="989"/>
      <c r="TYZ1060" s="989"/>
      <c r="TZA1060" s="989"/>
      <c r="TZB1060" s="989"/>
      <c r="TZC1060" s="989"/>
      <c r="TZD1060" s="989"/>
      <c r="TZE1060" s="989"/>
      <c r="TZF1060" s="989"/>
      <c r="TZG1060" s="989"/>
      <c r="TZH1060" s="989"/>
      <c r="TZI1060" s="989"/>
      <c r="TZJ1060" s="989"/>
      <c r="TZK1060" s="989"/>
      <c r="TZL1060" s="989"/>
      <c r="TZM1060" s="989"/>
      <c r="TZN1060" s="989"/>
      <c r="TZO1060" s="989"/>
      <c r="TZP1060" s="989"/>
      <c r="TZQ1060" s="989"/>
      <c r="TZR1060" s="989"/>
      <c r="TZS1060" s="989"/>
      <c r="TZT1060" s="989"/>
      <c r="TZU1060" s="989"/>
      <c r="TZV1060" s="989"/>
      <c r="TZW1060" s="989"/>
      <c r="TZX1060" s="989"/>
      <c r="TZY1060" s="989"/>
      <c r="TZZ1060" s="989"/>
      <c r="UAA1060" s="989"/>
      <c r="UAB1060" s="989"/>
      <c r="UAC1060" s="989"/>
      <c r="UAD1060" s="989"/>
      <c r="UAE1060" s="989"/>
      <c r="UAF1060" s="989"/>
      <c r="UAG1060" s="989"/>
      <c r="UAH1060" s="989"/>
      <c r="UAI1060" s="989"/>
      <c r="UAJ1060" s="989"/>
      <c r="UAK1060" s="989"/>
      <c r="UAL1060" s="989"/>
      <c r="UAM1060" s="989"/>
      <c r="UAN1060" s="989"/>
      <c r="UAO1060" s="989"/>
      <c r="UAP1060" s="989"/>
      <c r="UAQ1060" s="989"/>
      <c r="UAR1060" s="989"/>
      <c r="UAS1060" s="989"/>
      <c r="UAT1060" s="989"/>
      <c r="UAU1060" s="989"/>
      <c r="UAV1060" s="989"/>
      <c r="UAW1060" s="989"/>
      <c r="UAX1060" s="989"/>
      <c r="UAY1060" s="989"/>
      <c r="UAZ1060" s="989"/>
      <c r="UBA1060" s="989"/>
      <c r="UBB1060" s="989"/>
      <c r="UBC1060" s="989"/>
      <c r="UBD1060" s="989"/>
      <c r="UBE1060" s="989"/>
      <c r="UBF1060" s="989"/>
      <c r="UBG1060" s="989"/>
      <c r="UBH1060" s="989"/>
      <c r="UBI1060" s="989"/>
      <c r="UBJ1060" s="989"/>
      <c r="UBK1060" s="989"/>
      <c r="UBL1060" s="989"/>
      <c r="UBM1060" s="989"/>
      <c r="UBN1060" s="989"/>
      <c r="UBO1060" s="989"/>
      <c r="UBP1060" s="989"/>
      <c r="UBQ1060" s="989"/>
      <c r="UBR1060" s="989"/>
      <c r="UBS1060" s="989"/>
      <c r="UBT1060" s="989"/>
      <c r="UBU1060" s="989"/>
      <c r="UBV1060" s="989"/>
      <c r="UBW1060" s="989"/>
      <c r="UBX1060" s="989"/>
      <c r="UBY1060" s="989"/>
      <c r="UBZ1060" s="989"/>
      <c r="UCA1060" s="989"/>
      <c r="UCB1060" s="989"/>
      <c r="UCC1060" s="989"/>
      <c r="UCD1060" s="989"/>
      <c r="UCE1060" s="989"/>
      <c r="UCF1060" s="989"/>
      <c r="UCG1060" s="989"/>
      <c r="UCH1060" s="989"/>
      <c r="UCI1060" s="989"/>
      <c r="UCJ1060" s="989"/>
      <c r="UCK1060" s="989"/>
      <c r="UCL1060" s="989"/>
      <c r="UCM1060" s="989"/>
      <c r="UCN1060" s="989"/>
      <c r="UCO1060" s="989"/>
      <c r="UCP1060" s="989"/>
      <c r="UCQ1060" s="989"/>
      <c r="UCR1060" s="989"/>
      <c r="UCS1060" s="989"/>
      <c r="UCT1060" s="989"/>
      <c r="UCU1060" s="989"/>
      <c r="UCV1060" s="989"/>
      <c r="UCW1060" s="989"/>
      <c r="UCX1060" s="989"/>
      <c r="UCY1060" s="989"/>
      <c r="UCZ1060" s="989"/>
      <c r="UDA1060" s="989"/>
      <c r="UDB1060" s="989"/>
      <c r="UDC1060" s="989"/>
      <c r="UDD1060" s="989"/>
      <c r="UDE1060" s="989"/>
      <c r="UDF1060" s="989"/>
      <c r="UDG1060" s="989"/>
      <c r="UDH1060" s="989"/>
      <c r="UDI1060" s="989"/>
      <c r="UDJ1060" s="989"/>
      <c r="UDK1060" s="989"/>
      <c r="UDL1060" s="989"/>
      <c r="UDM1060" s="989"/>
      <c r="UDN1060" s="989"/>
      <c r="UDO1060" s="989"/>
      <c r="UDP1060" s="989"/>
      <c r="UDQ1060" s="989"/>
      <c r="UDR1060" s="989"/>
      <c r="UDS1060" s="989"/>
      <c r="UDT1060" s="989"/>
      <c r="UDU1060" s="989"/>
      <c r="UDV1060" s="989"/>
      <c r="UDW1060" s="989"/>
      <c r="UDX1060" s="989"/>
      <c r="UDY1060" s="989"/>
      <c r="UDZ1060" s="989"/>
      <c r="UEA1060" s="989"/>
      <c r="UEB1060" s="989"/>
      <c r="UEC1060" s="989"/>
      <c r="UED1060" s="989"/>
      <c r="UEE1060" s="989"/>
      <c r="UEF1060" s="989"/>
      <c r="UEG1060" s="989"/>
      <c r="UEH1060" s="989"/>
      <c r="UEI1060" s="989"/>
      <c r="UEJ1060" s="989"/>
      <c r="UEK1060" s="989"/>
      <c r="UEL1060" s="989"/>
      <c r="UEM1060" s="989"/>
      <c r="UEN1060" s="989"/>
      <c r="UEO1060" s="989"/>
      <c r="UEP1060" s="989"/>
      <c r="UEQ1060" s="989"/>
      <c r="UER1060" s="989"/>
      <c r="UES1060" s="989"/>
      <c r="UET1060" s="989"/>
      <c r="UEU1060" s="989"/>
      <c r="UEV1060" s="989"/>
      <c r="UEW1060" s="989"/>
      <c r="UEX1060" s="989"/>
      <c r="UEY1060" s="989"/>
      <c r="UEZ1060" s="989"/>
      <c r="UFA1060" s="989"/>
      <c r="UFB1060" s="989"/>
      <c r="UFC1060" s="989"/>
      <c r="UFD1060" s="989"/>
      <c r="UFE1060" s="989"/>
      <c r="UFF1060" s="989"/>
      <c r="UFG1060" s="989"/>
      <c r="UFH1060" s="989"/>
      <c r="UFI1060" s="989"/>
      <c r="UFJ1060" s="989"/>
      <c r="UFK1060" s="989"/>
      <c r="UFL1060" s="989"/>
      <c r="UFM1060" s="989"/>
      <c r="UFN1060" s="989"/>
      <c r="UFO1060" s="989"/>
      <c r="UFP1060" s="989"/>
      <c r="UFQ1060" s="989"/>
      <c r="UFR1060" s="989"/>
      <c r="UFS1060" s="989"/>
      <c r="UFT1060" s="989"/>
      <c r="UFU1060" s="989"/>
      <c r="UFV1060" s="989"/>
      <c r="UFW1060" s="989"/>
      <c r="UFX1060" s="989"/>
      <c r="UFY1060" s="989"/>
      <c r="UFZ1060" s="989"/>
      <c r="UGA1060" s="989"/>
      <c r="UGB1060" s="989"/>
      <c r="UGC1060" s="989"/>
      <c r="UGD1060" s="989"/>
      <c r="UGE1060" s="989"/>
      <c r="UGF1060" s="989"/>
      <c r="UGG1060" s="989"/>
      <c r="UGH1060" s="989"/>
      <c r="UGI1060" s="989"/>
      <c r="UGJ1060" s="989"/>
      <c r="UGK1060" s="989"/>
      <c r="UGL1060" s="989"/>
      <c r="UGM1060" s="989"/>
      <c r="UGN1060" s="989"/>
      <c r="UGO1060" s="989"/>
      <c r="UGP1060" s="989"/>
      <c r="UGQ1060" s="989"/>
      <c r="UGR1060" s="989"/>
      <c r="UGS1060" s="989"/>
      <c r="UGT1060" s="989"/>
      <c r="UGU1060" s="989"/>
      <c r="UGV1060" s="989"/>
      <c r="UGW1060" s="989"/>
      <c r="UGX1060" s="989"/>
      <c r="UGY1060" s="989"/>
      <c r="UGZ1060" s="989"/>
      <c r="UHA1060" s="989"/>
      <c r="UHB1060" s="989"/>
      <c r="UHC1060" s="989"/>
      <c r="UHD1060" s="989"/>
      <c r="UHE1060" s="989"/>
      <c r="UHF1060" s="989"/>
      <c r="UHG1060" s="989"/>
      <c r="UHH1060" s="989"/>
      <c r="UHI1060" s="989"/>
      <c r="UHJ1060" s="989"/>
      <c r="UHK1060" s="989"/>
      <c r="UHL1060" s="989"/>
      <c r="UHM1060" s="989"/>
      <c r="UHN1060" s="989"/>
      <c r="UHO1060" s="989"/>
      <c r="UHP1060" s="989"/>
      <c r="UHQ1060" s="989"/>
      <c r="UHR1060" s="989"/>
      <c r="UHS1060" s="989"/>
      <c r="UHT1060" s="989"/>
      <c r="UHU1060" s="989"/>
      <c r="UHV1060" s="989"/>
      <c r="UHW1060" s="989"/>
      <c r="UHX1060" s="989"/>
      <c r="UHY1060" s="989"/>
      <c r="UHZ1060" s="989"/>
      <c r="UIA1060" s="989"/>
      <c r="UIB1060" s="989"/>
      <c r="UIC1060" s="989"/>
      <c r="UID1060" s="989"/>
      <c r="UIE1060" s="989"/>
      <c r="UIF1060" s="989"/>
      <c r="UIG1060" s="989"/>
      <c r="UIH1060" s="989"/>
      <c r="UII1060" s="989"/>
      <c r="UIJ1060" s="989"/>
      <c r="UIK1060" s="989"/>
      <c r="UIL1060" s="989"/>
      <c r="UIM1060" s="989"/>
      <c r="UIN1060" s="989"/>
      <c r="UIO1060" s="989"/>
      <c r="UIP1060" s="989"/>
      <c r="UIQ1060" s="989"/>
      <c r="UIR1060" s="989"/>
      <c r="UIS1060" s="989"/>
      <c r="UIT1060" s="989"/>
      <c r="UIU1060" s="989"/>
      <c r="UIV1060" s="989"/>
      <c r="UIW1060" s="989"/>
      <c r="UIX1060" s="989"/>
      <c r="UIY1060" s="989"/>
      <c r="UIZ1060" s="989"/>
      <c r="UJA1060" s="989"/>
      <c r="UJB1060" s="989"/>
      <c r="UJC1060" s="989"/>
      <c r="UJD1060" s="989"/>
      <c r="UJE1060" s="989"/>
      <c r="UJF1060" s="989"/>
      <c r="UJG1060" s="989"/>
      <c r="UJH1060" s="989"/>
      <c r="UJI1060" s="989"/>
      <c r="UJJ1060" s="989"/>
      <c r="UJK1060" s="989"/>
      <c r="UJL1060" s="989"/>
      <c r="UJM1060" s="989"/>
      <c r="UJN1060" s="989"/>
      <c r="UJO1060" s="989"/>
      <c r="UJP1060" s="989"/>
      <c r="UJQ1060" s="989"/>
      <c r="UJR1060" s="989"/>
      <c r="UJS1060" s="989"/>
      <c r="UJT1060" s="989"/>
      <c r="UJU1060" s="989"/>
      <c r="UJV1060" s="989"/>
      <c r="UJW1060" s="989"/>
      <c r="UJX1060" s="989"/>
      <c r="UJY1060" s="989"/>
      <c r="UJZ1060" s="989"/>
      <c r="UKA1060" s="989"/>
      <c r="UKB1060" s="989"/>
      <c r="UKC1060" s="989"/>
      <c r="UKD1060" s="989"/>
      <c r="UKE1060" s="989"/>
      <c r="UKF1060" s="989"/>
      <c r="UKG1060" s="989"/>
      <c r="UKH1060" s="989"/>
      <c r="UKI1060" s="989"/>
      <c r="UKJ1060" s="989"/>
      <c r="UKK1060" s="989"/>
      <c r="UKL1060" s="989"/>
      <c r="UKM1060" s="989"/>
      <c r="UKN1060" s="989"/>
      <c r="UKO1060" s="989"/>
      <c r="UKP1060" s="989"/>
      <c r="UKQ1060" s="989"/>
      <c r="UKR1060" s="989"/>
      <c r="UKS1060" s="989"/>
      <c r="UKT1060" s="989"/>
      <c r="UKU1060" s="989"/>
      <c r="UKV1060" s="989"/>
      <c r="UKW1060" s="989"/>
      <c r="UKX1060" s="989"/>
      <c r="UKY1060" s="989"/>
      <c r="UKZ1060" s="989"/>
      <c r="ULA1060" s="989"/>
      <c r="ULB1060" s="989"/>
      <c r="ULC1060" s="989"/>
      <c r="ULD1060" s="989"/>
      <c r="ULE1060" s="989"/>
      <c r="ULF1060" s="989"/>
      <c r="ULG1060" s="989"/>
      <c r="ULH1060" s="989"/>
      <c r="ULI1060" s="989"/>
      <c r="ULJ1060" s="989"/>
      <c r="ULK1060" s="989"/>
      <c r="ULL1060" s="989"/>
      <c r="ULM1060" s="989"/>
      <c r="ULN1060" s="989"/>
      <c r="ULO1060" s="989"/>
      <c r="ULP1060" s="989"/>
      <c r="ULQ1060" s="989"/>
      <c r="ULR1060" s="989"/>
      <c r="ULS1060" s="989"/>
      <c r="ULT1060" s="989"/>
      <c r="ULU1060" s="989"/>
      <c r="ULV1060" s="989"/>
      <c r="ULW1060" s="989"/>
      <c r="ULX1060" s="989"/>
      <c r="ULY1060" s="989"/>
      <c r="ULZ1060" s="989"/>
      <c r="UMA1060" s="989"/>
      <c r="UMB1060" s="989"/>
      <c r="UMC1060" s="989"/>
      <c r="UMD1060" s="989"/>
      <c r="UME1060" s="989"/>
      <c r="UMF1060" s="989"/>
      <c r="UMG1060" s="989"/>
      <c r="UMH1060" s="989"/>
      <c r="UMI1060" s="989"/>
      <c r="UMJ1060" s="989"/>
      <c r="UMK1060" s="989"/>
      <c r="UML1060" s="989"/>
      <c r="UMM1060" s="989"/>
      <c r="UMN1060" s="989"/>
      <c r="UMO1060" s="989"/>
      <c r="UMP1060" s="989"/>
      <c r="UMQ1060" s="989"/>
      <c r="UMR1060" s="989"/>
      <c r="UMS1060" s="989"/>
      <c r="UMT1060" s="989"/>
      <c r="UMU1060" s="989"/>
      <c r="UMV1060" s="989"/>
      <c r="UMW1060" s="989"/>
      <c r="UMX1060" s="989"/>
      <c r="UMY1060" s="989"/>
      <c r="UMZ1060" s="989"/>
      <c r="UNA1060" s="989"/>
      <c r="UNB1060" s="989"/>
      <c r="UNC1060" s="989"/>
      <c r="UND1060" s="989"/>
      <c r="UNE1060" s="989"/>
      <c r="UNF1060" s="989"/>
      <c r="UNG1060" s="989"/>
      <c r="UNH1060" s="989"/>
      <c r="UNI1060" s="989"/>
      <c r="UNJ1060" s="989"/>
      <c r="UNK1060" s="989"/>
      <c r="UNL1060" s="989"/>
      <c r="UNM1060" s="989"/>
      <c r="UNN1060" s="989"/>
      <c r="UNO1060" s="989"/>
      <c r="UNP1060" s="989"/>
      <c r="UNQ1060" s="989"/>
      <c r="UNR1060" s="989"/>
      <c r="UNS1060" s="989"/>
      <c r="UNT1060" s="989"/>
      <c r="UNU1060" s="989"/>
      <c r="UNV1060" s="989"/>
      <c r="UNW1060" s="989"/>
      <c r="UNX1060" s="989"/>
      <c r="UNY1060" s="989"/>
      <c r="UNZ1060" s="989"/>
      <c r="UOA1060" s="989"/>
      <c r="UOB1060" s="989"/>
      <c r="UOC1060" s="989"/>
      <c r="UOD1060" s="989"/>
      <c r="UOE1060" s="989"/>
      <c r="UOF1060" s="989"/>
      <c r="UOG1060" s="989"/>
      <c r="UOH1060" s="989"/>
      <c r="UOI1060" s="989"/>
      <c r="UOJ1060" s="989"/>
      <c r="UOK1060" s="989"/>
      <c r="UOL1060" s="989"/>
      <c r="UOM1060" s="989"/>
      <c r="UON1060" s="989"/>
      <c r="UOO1060" s="989"/>
      <c r="UOP1060" s="989"/>
      <c r="UOQ1060" s="989"/>
      <c r="UOR1060" s="989"/>
      <c r="UOS1060" s="989"/>
      <c r="UOT1060" s="989"/>
      <c r="UOU1060" s="989"/>
      <c r="UOV1060" s="989"/>
      <c r="UOW1060" s="989"/>
      <c r="UOX1060" s="989"/>
      <c r="UOY1060" s="989"/>
      <c r="UOZ1060" s="989"/>
      <c r="UPA1060" s="989"/>
      <c r="UPB1060" s="989"/>
      <c r="UPC1060" s="989"/>
      <c r="UPD1060" s="989"/>
      <c r="UPE1060" s="989"/>
      <c r="UPF1060" s="989"/>
      <c r="UPG1060" s="989"/>
      <c r="UPH1060" s="989"/>
      <c r="UPI1060" s="989"/>
      <c r="UPJ1060" s="989"/>
      <c r="UPK1060" s="989"/>
      <c r="UPL1060" s="989"/>
      <c r="UPM1060" s="989"/>
      <c r="UPN1060" s="989"/>
      <c r="UPO1060" s="989"/>
      <c r="UPP1060" s="989"/>
      <c r="UPQ1060" s="989"/>
      <c r="UPR1060" s="989"/>
      <c r="UPS1060" s="989"/>
      <c r="UPT1060" s="989"/>
      <c r="UPU1060" s="989"/>
      <c r="UPV1060" s="989"/>
      <c r="UPW1060" s="989"/>
      <c r="UPX1060" s="989"/>
      <c r="UPY1060" s="989"/>
      <c r="UPZ1060" s="989"/>
      <c r="UQA1060" s="989"/>
      <c r="UQB1060" s="989"/>
      <c r="UQC1060" s="989"/>
      <c r="UQD1060" s="989"/>
      <c r="UQE1060" s="989"/>
      <c r="UQF1060" s="989"/>
      <c r="UQG1060" s="989"/>
      <c r="UQH1060" s="989"/>
      <c r="UQI1060" s="989"/>
      <c r="UQJ1060" s="989"/>
      <c r="UQK1060" s="989"/>
      <c r="UQL1060" s="989"/>
      <c r="UQM1060" s="989"/>
      <c r="UQN1060" s="989"/>
      <c r="UQO1060" s="989"/>
      <c r="UQP1060" s="989"/>
      <c r="UQQ1060" s="989"/>
      <c r="UQR1060" s="989"/>
      <c r="UQS1060" s="989"/>
      <c r="UQT1060" s="989"/>
      <c r="UQU1060" s="989"/>
      <c r="UQV1060" s="989"/>
      <c r="UQW1060" s="989"/>
      <c r="UQX1060" s="989"/>
      <c r="UQY1060" s="989"/>
      <c r="UQZ1060" s="989"/>
      <c r="URA1060" s="989"/>
      <c r="URB1060" s="989"/>
      <c r="URC1060" s="989"/>
      <c r="URD1060" s="989"/>
      <c r="URE1060" s="989"/>
      <c r="URF1060" s="989"/>
      <c r="URG1060" s="989"/>
      <c r="URH1060" s="989"/>
      <c r="URI1060" s="989"/>
      <c r="URJ1060" s="989"/>
      <c r="URK1060" s="989"/>
      <c r="URL1060" s="989"/>
      <c r="URM1060" s="989"/>
      <c r="URN1060" s="989"/>
      <c r="URO1060" s="989"/>
      <c r="URP1060" s="989"/>
      <c r="URQ1060" s="989"/>
      <c r="URR1060" s="989"/>
      <c r="URS1060" s="989"/>
      <c r="URT1060" s="989"/>
      <c r="URU1060" s="989"/>
      <c r="URV1060" s="989"/>
      <c r="URW1060" s="989"/>
      <c r="URX1060" s="989"/>
      <c r="URY1060" s="989"/>
      <c r="URZ1060" s="989"/>
      <c r="USA1060" s="989"/>
      <c r="USB1060" s="989"/>
      <c r="USC1060" s="989"/>
      <c r="USD1060" s="989"/>
      <c r="USE1060" s="989"/>
      <c r="USF1060" s="989"/>
      <c r="USG1060" s="989"/>
      <c r="USH1060" s="989"/>
      <c r="USI1060" s="989"/>
      <c r="USJ1060" s="989"/>
      <c r="USK1060" s="989"/>
      <c r="USL1060" s="989"/>
      <c r="USM1060" s="989"/>
      <c r="USN1060" s="989"/>
      <c r="USO1060" s="989"/>
      <c r="USP1060" s="989"/>
      <c r="USQ1060" s="989"/>
      <c r="USR1060" s="989"/>
      <c r="USS1060" s="989"/>
      <c r="UST1060" s="989"/>
      <c r="USU1060" s="989"/>
      <c r="USV1060" s="989"/>
      <c r="USW1060" s="989"/>
      <c r="USX1060" s="989"/>
      <c r="USY1060" s="989"/>
      <c r="USZ1060" s="989"/>
      <c r="UTA1060" s="989"/>
      <c r="UTB1060" s="989"/>
      <c r="UTC1060" s="989"/>
      <c r="UTD1060" s="989"/>
      <c r="UTE1060" s="989"/>
      <c r="UTF1060" s="989"/>
      <c r="UTG1060" s="989"/>
      <c r="UTH1060" s="989"/>
      <c r="UTI1060" s="989"/>
      <c r="UTJ1060" s="989"/>
      <c r="UTK1060" s="989"/>
      <c r="UTL1060" s="989"/>
      <c r="UTM1060" s="989"/>
      <c r="UTN1060" s="989"/>
      <c r="UTO1060" s="989"/>
      <c r="UTP1060" s="989"/>
      <c r="UTQ1060" s="989"/>
      <c r="UTR1060" s="989"/>
      <c r="UTS1060" s="989"/>
      <c r="UTT1060" s="989"/>
      <c r="UTU1060" s="989"/>
      <c r="UTV1060" s="989"/>
      <c r="UTW1060" s="989"/>
      <c r="UTX1060" s="989"/>
      <c r="UTY1060" s="989"/>
      <c r="UTZ1060" s="989"/>
      <c r="UUA1060" s="989"/>
      <c r="UUB1060" s="989"/>
      <c r="UUC1060" s="989"/>
      <c r="UUD1060" s="989"/>
      <c r="UUE1060" s="989"/>
      <c r="UUF1060" s="989"/>
      <c r="UUG1060" s="989"/>
      <c r="UUH1060" s="989"/>
      <c r="UUI1060" s="989"/>
      <c r="UUJ1060" s="989"/>
      <c r="UUK1060" s="989"/>
      <c r="UUL1060" s="989"/>
      <c r="UUM1060" s="989"/>
      <c r="UUN1060" s="989"/>
      <c r="UUO1060" s="989"/>
      <c r="UUP1060" s="989"/>
      <c r="UUQ1060" s="989"/>
      <c r="UUR1060" s="989"/>
      <c r="UUS1060" s="989"/>
      <c r="UUT1060" s="989"/>
      <c r="UUU1060" s="989"/>
      <c r="UUV1060" s="989"/>
      <c r="UUW1060" s="989"/>
      <c r="UUX1060" s="989"/>
      <c r="UUY1060" s="989"/>
      <c r="UUZ1060" s="989"/>
      <c r="UVA1060" s="989"/>
      <c r="UVB1060" s="989"/>
      <c r="UVC1060" s="989"/>
      <c r="UVD1060" s="989"/>
      <c r="UVE1060" s="989"/>
      <c r="UVF1060" s="989"/>
      <c r="UVG1060" s="989"/>
      <c r="UVH1060" s="989"/>
      <c r="UVI1060" s="989"/>
      <c r="UVJ1060" s="989"/>
      <c r="UVK1060" s="989"/>
      <c r="UVL1060" s="989"/>
      <c r="UVM1060" s="989"/>
      <c r="UVN1060" s="989"/>
      <c r="UVO1060" s="989"/>
      <c r="UVP1060" s="989"/>
      <c r="UVQ1060" s="989"/>
      <c r="UVR1060" s="989"/>
      <c r="UVS1060" s="989"/>
      <c r="UVT1060" s="989"/>
      <c r="UVU1060" s="989"/>
      <c r="UVV1060" s="989"/>
      <c r="UVW1060" s="989"/>
      <c r="UVX1060" s="989"/>
      <c r="UVY1060" s="989"/>
      <c r="UVZ1060" s="989"/>
      <c r="UWA1060" s="989"/>
      <c r="UWB1060" s="989"/>
      <c r="UWC1060" s="989"/>
      <c r="UWD1060" s="989"/>
      <c r="UWE1060" s="989"/>
      <c r="UWF1060" s="989"/>
      <c r="UWG1060" s="989"/>
      <c r="UWH1060" s="989"/>
      <c r="UWI1060" s="989"/>
      <c r="UWJ1060" s="989"/>
      <c r="UWK1060" s="989"/>
      <c r="UWL1060" s="989"/>
      <c r="UWM1060" s="989"/>
      <c r="UWN1060" s="989"/>
      <c r="UWO1060" s="989"/>
      <c r="UWP1060" s="989"/>
      <c r="UWQ1060" s="989"/>
      <c r="UWR1060" s="989"/>
      <c r="UWS1060" s="989"/>
      <c r="UWT1060" s="989"/>
      <c r="UWU1060" s="989"/>
      <c r="UWV1060" s="989"/>
      <c r="UWW1060" s="989"/>
      <c r="UWX1060" s="989"/>
      <c r="UWY1060" s="989"/>
      <c r="UWZ1060" s="989"/>
      <c r="UXA1060" s="989"/>
      <c r="UXB1060" s="989"/>
      <c r="UXC1060" s="989"/>
      <c r="UXD1060" s="989"/>
      <c r="UXE1060" s="989"/>
      <c r="UXF1060" s="989"/>
      <c r="UXG1060" s="989"/>
      <c r="UXH1060" s="989"/>
      <c r="UXI1060" s="989"/>
      <c r="UXJ1060" s="989"/>
      <c r="UXK1060" s="989"/>
      <c r="UXL1060" s="989"/>
      <c r="UXM1060" s="989"/>
      <c r="UXN1060" s="989"/>
      <c r="UXO1060" s="989"/>
      <c r="UXP1060" s="989"/>
      <c r="UXQ1060" s="989"/>
      <c r="UXR1060" s="989"/>
      <c r="UXS1060" s="989"/>
      <c r="UXT1060" s="989"/>
      <c r="UXU1060" s="989"/>
      <c r="UXV1060" s="989"/>
      <c r="UXW1060" s="989"/>
      <c r="UXX1060" s="989"/>
      <c r="UXY1060" s="989"/>
      <c r="UXZ1060" s="989"/>
      <c r="UYA1060" s="989"/>
      <c r="UYB1060" s="989"/>
      <c r="UYC1060" s="989"/>
      <c r="UYD1060" s="989"/>
      <c r="UYE1060" s="989"/>
      <c r="UYF1060" s="989"/>
      <c r="UYG1060" s="989"/>
      <c r="UYH1060" s="989"/>
      <c r="UYI1060" s="989"/>
      <c r="UYJ1060" s="989"/>
      <c r="UYK1060" s="989"/>
      <c r="UYL1060" s="989"/>
      <c r="UYM1060" s="989"/>
      <c r="UYN1060" s="989"/>
      <c r="UYO1060" s="989"/>
      <c r="UYP1060" s="989"/>
      <c r="UYQ1060" s="989"/>
      <c r="UYR1060" s="989"/>
      <c r="UYS1060" s="989"/>
      <c r="UYT1060" s="989"/>
      <c r="UYU1060" s="989"/>
      <c r="UYV1060" s="989"/>
      <c r="UYW1060" s="989"/>
      <c r="UYX1060" s="989"/>
      <c r="UYY1060" s="989"/>
      <c r="UYZ1060" s="989"/>
      <c r="UZA1060" s="989"/>
      <c r="UZB1060" s="989"/>
      <c r="UZC1060" s="989"/>
      <c r="UZD1060" s="989"/>
      <c r="UZE1060" s="989"/>
      <c r="UZF1060" s="989"/>
      <c r="UZG1060" s="989"/>
      <c r="UZH1060" s="989"/>
      <c r="UZI1060" s="989"/>
      <c r="UZJ1060" s="989"/>
      <c r="UZK1060" s="989"/>
      <c r="UZL1060" s="989"/>
      <c r="UZM1060" s="989"/>
      <c r="UZN1060" s="989"/>
      <c r="UZO1060" s="989"/>
      <c r="UZP1060" s="989"/>
      <c r="UZQ1060" s="989"/>
      <c r="UZR1060" s="989"/>
      <c r="UZS1060" s="989"/>
      <c r="UZT1060" s="989"/>
      <c r="UZU1060" s="989"/>
      <c r="UZV1060" s="989"/>
      <c r="UZW1060" s="989"/>
      <c r="UZX1060" s="989"/>
      <c r="UZY1060" s="989"/>
      <c r="UZZ1060" s="989"/>
      <c r="VAA1060" s="989"/>
      <c r="VAB1060" s="989"/>
      <c r="VAC1060" s="989"/>
      <c r="VAD1060" s="989"/>
      <c r="VAE1060" s="989"/>
      <c r="VAF1060" s="989"/>
      <c r="VAG1060" s="989"/>
      <c r="VAH1060" s="989"/>
      <c r="VAI1060" s="989"/>
      <c r="VAJ1060" s="989"/>
      <c r="VAK1060" s="989"/>
      <c r="VAL1060" s="989"/>
      <c r="VAM1060" s="989"/>
      <c r="VAN1060" s="989"/>
      <c r="VAO1060" s="989"/>
      <c r="VAP1060" s="989"/>
      <c r="VAQ1060" s="989"/>
      <c r="VAR1060" s="989"/>
      <c r="VAS1060" s="989"/>
      <c r="VAT1060" s="989"/>
      <c r="VAU1060" s="989"/>
      <c r="VAV1060" s="989"/>
      <c r="VAW1060" s="989"/>
      <c r="VAX1060" s="989"/>
      <c r="VAY1060" s="989"/>
      <c r="VAZ1060" s="989"/>
      <c r="VBA1060" s="989"/>
      <c r="VBB1060" s="989"/>
      <c r="VBC1060" s="989"/>
      <c r="VBD1060" s="989"/>
      <c r="VBE1060" s="989"/>
      <c r="VBF1060" s="989"/>
      <c r="VBG1060" s="989"/>
      <c r="VBH1060" s="989"/>
      <c r="VBI1060" s="989"/>
      <c r="VBJ1060" s="989"/>
      <c r="VBK1060" s="989"/>
      <c r="VBL1060" s="989"/>
      <c r="VBM1060" s="989"/>
      <c r="VBN1060" s="989"/>
      <c r="VBO1060" s="989"/>
      <c r="VBP1060" s="989"/>
      <c r="VBQ1060" s="989"/>
      <c r="VBR1060" s="989"/>
      <c r="VBS1060" s="989"/>
      <c r="VBT1060" s="989"/>
      <c r="VBU1060" s="989"/>
      <c r="VBV1060" s="989"/>
      <c r="VBW1060" s="989"/>
      <c r="VBX1060" s="989"/>
      <c r="VBY1060" s="989"/>
      <c r="VBZ1060" s="989"/>
      <c r="VCA1060" s="989"/>
      <c r="VCB1060" s="989"/>
      <c r="VCC1060" s="989"/>
      <c r="VCD1060" s="989"/>
      <c r="VCE1060" s="989"/>
      <c r="VCF1060" s="989"/>
      <c r="VCG1060" s="989"/>
      <c r="VCH1060" s="989"/>
      <c r="VCI1060" s="989"/>
      <c r="VCJ1060" s="989"/>
      <c r="VCK1060" s="989"/>
      <c r="VCL1060" s="989"/>
      <c r="VCM1060" s="989"/>
      <c r="VCN1060" s="989"/>
      <c r="VCO1060" s="989"/>
      <c r="VCP1060" s="989"/>
      <c r="VCQ1060" s="989"/>
      <c r="VCR1060" s="989"/>
      <c r="VCS1060" s="989"/>
      <c r="VCT1060" s="989"/>
      <c r="VCU1060" s="989"/>
      <c r="VCV1060" s="989"/>
      <c r="VCW1060" s="989"/>
      <c r="VCX1060" s="989"/>
      <c r="VCY1060" s="989"/>
      <c r="VCZ1060" s="989"/>
      <c r="VDA1060" s="989"/>
      <c r="VDB1060" s="989"/>
      <c r="VDC1060" s="989"/>
      <c r="VDD1060" s="989"/>
      <c r="VDE1060" s="989"/>
      <c r="VDF1060" s="989"/>
      <c r="VDG1060" s="989"/>
      <c r="VDH1060" s="989"/>
      <c r="VDI1060" s="989"/>
      <c r="VDJ1060" s="989"/>
      <c r="VDK1060" s="989"/>
      <c r="VDL1060" s="989"/>
      <c r="VDM1060" s="989"/>
      <c r="VDN1060" s="989"/>
      <c r="VDO1060" s="989"/>
      <c r="VDP1060" s="989"/>
      <c r="VDQ1060" s="989"/>
      <c r="VDR1060" s="989"/>
      <c r="VDS1060" s="989"/>
      <c r="VDT1060" s="989"/>
      <c r="VDU1060" s="989"/>
      <c r="VDV1060" s="989"/>
      <c r="VDW1060" s="989"/>
      <c r="VDX1060" s="989"/>
      <c r="VDY1060" s="989"/>
      <c r="VDZ1060" s="989"/>
      <c r="VEA1060" s="989"/>
      <c r="VEB1060" s="989"/>
      <c r="VEC1060" s="989"/>
      <c r="VED1060" s="989"/>
      <c r="VEE1060" s="989"/>
      <c r="VEF1060" s="989"/>
      <c r="VEG1060" s="989"/>
      <c r="VEH1060" s="989"/>
      <c r="VEI1060" s="989"/>
      <c r="VEJ1060" s="989"/>
      <c r="VEK1060" s="989"/>
      <c r="VEL1060" s="989"/>
      <c r="VEM1060" s="989"/>
      <c r="VEN1060" s="989"/>
      <c r="VEO1060" s="989"/>
      <c r="VEP1060" s="989"/>
      <c r="VEQ1060" s="989"/>
      <c r="VER1060" s="989"/>
      <c r="VES1060" s="989"/>
      <c r="VET1060" s="989"/>
      <c r="VEU1060" s="989"/>
      <c r="VEV1060" s="989"/>
      <c r="VEW1060" s="989"/>
      <c r="VEX1060" s="989"/>
      <c r="VEY1060" s="989"/>
      <c r="VEZ1060" s="989"/>
      <c r="VFA1060" s="989"/>
      <c r="VFB1060" s="989"/>
      <c r="VFC1060" s="989"/>
      <c r="VFD1060" s="989"/>
      <c r="VFE1060" s="989"/>
      <c r="VFF1060" s="989"/>
      <c r="VFG1060" s="989"/>
      <c r="VFH1060" s="989"/>
      <c r="VFI1060" s="989"/>
      <c r="VFJ1060" s="989"/>
      <c r="VFK1060" s="989"/>
      <c r="VFL1060" s="989"/>
      <c r="VFM1060" s="989"/>
      <c r="VFN1060" s="989"/>
      <c r="VFO1060" s="989"/>
      <c r="VFP1060" s="989"/>
      <c r="VFQ1060" s="989"/>
      <c r="VFR1060" s="989"/>
      <c r="VFS1060" s="989"/>
      <c r="VFT1060" s="989"/>
      <c r="VFU1060" s="989"/>
      <c r="VFV1060" s="989"/>
      <c r="VFW1060" s="989"/>
      <c r="VFX1060" s="989"/>
      <c r="VFY1060" s="989"/>
      <c r="VFZ1060" s="989"/>
      <c r="VGA1060" s="989"/>
      <c r="VGB1060" s="989"/>
      <c r="VGC1060" s="989"/>
      <c r="VGD1060" s="989"/>
      <c r="VGE1060" s="989"/>
      <c r="VGF1060" s="989"/>
      <c r="VGG1060" s="989"/>
      <c r="VGH1060" s="989"/>
      <c r="VGI1060" s="989"/>
      <c r="VGJ1060" s="989"/>
      <c r="VGK1060" s="989"/>
      <c r="VGL1060" s="989"/>
      <c r="VGM1060" s="989"/>
      <c r="VGN1060" s="989"/>
      <c r="VGO1060" s="989"/>
      <c r="VGP1060" s="989"/>
      <c r="VGQ1060" s="989"/>
      <c r="VGR1060" s="989"/>
      <c r="VGS1060" s="989"/>
      <c r="VGT1060" s="989"/>
      <c r="VGU1060" s="989"/>
      <c r="VGV1060" s="989"/>
      <c r="VGW1060" s="989"/>
      <c r="VGX1060" s="989"/>
      <c r="VGY1060" s="989"/>
      <c r="VGZ1060" s="989"/>
      <c r="VHA1060" s="989"/>
      <c r="VHB1060" s="989"/>
      <c r="VHC1060" s="989"/>
      <c r="VHD1060" s="989"/>
      <c r="VHE1060" s="989"/>
      <c r="VHF1060" s="989"/>
      <c r="VHG1060" s="989"/>
      <c r="VHH1060" s="989"/>
      <c r="VHI1060" s="989"/>
      <c r="VHJ1060" s="989"/>
      <c r="VHK1060" s="989"/>
      <c r="VHL1060" s="989"/>
      <c r="VHM1060" s="989"/>
      <c r="VHN1060" s="989"/>
      <c r="VHO1060" s="989"/>
      <c r="VHP1060" s="989"/>
      <c r="VHQ1060" s="989"/>
      <c r="VHR1060" s="989"/>
      <c r="VHS1060" s="989"/>
      <c r="VHT1060" s="989"/>
      <c r="VHU1060" s="989"/>
      <c r="VHV1060" s="989"/>
      <c r="VHW1060" s="989"/>
      <c r="VHX1060" s="989"/>
      <c r="VHY1060" s="989"/>
      <c r="VHZ1060" s="989"/>
      <c r="VIA1060" s="989"/>
      <c r="VIB1060" s="989"/>
      <c r="VIC1060" s="989"/>
      <c r="VID1060" s="989"/>
      <c r="VIE1060" s="989"/>
      <c r="VIF1060" s="989"/>
      <c r="VIG1060" s="989"/>
      <c r="VIH1060" s="989"/>
      <c r="VII1060" s="989"/>
      <c r="VIJ1060" s="989"/>
      <c r="VIK1060" s="989"/>
      <c r="VIL1060" s="989"/>
      <c r="VIM1060" s="989"/>
      <c r="VIN1060" s="989"/>
      <c r="VIO1060" s="989"/>
      <c r="VIP1060" s="989"/>
      <c r="VIQ1060" s="989"/>
      <c r="VIR1060" s="989"/>
      <c r="VIS1060" s="989"/>
      <c r="VIT1060" s="989"/>
      <c r="VIU1060" s="989"/>
      <c r="VIV1060" s="989"/>
      <c r="VIW1060" s="989"/>
      <c r="VIX1060" s="989"/>
      <c r="VIY1060" s="989"/>
      <c r="VIZ1060" s="989"/>
      <c r="VJA1060" s="989"/>
      <c r="VJB1060" s="989"/>
      <c r="VJC1060" s="989"/>
      <c r="VJD1060" s="989"/>
      <c r="VJE1060" s="989"/>
      <c r="VJF1060" s="989"/>
      <c r="VJG1060" s="989"/>
      <c r="VJH1060" s="989"/>
      <c r="VJI1060" s="989"/>
      <c r="VJJ1060" s="989"/>
      <c r="VJK1060" s="989"/>
      <c r="VJL1060" s="989"/>
      <c r="VJM1060" s="989"/>
      <c r="VJN1060" s="989"/>
      <c r="VJO1060" s="989"/>
      <c r="VJP1060" s="989"/>
      <c r="VJQ1060" s="989"/>
      <c r="VJR1060" s="989"/>
      <c r="VJS1060" s="989"/>
      <c r="VJT1060" s="989"/>
      <c r="VJU1060" s="989"/>
      <c r="VJV1060" s="989"/>
      <c r="VJW1060" s="989"/>
      <c r="VJX1060" s="989"/>
      <c r="VJY1060" s="989"/>
      <c r="VJZ1060" s="989"/>
      <c r="VKA1060" s="989"/>
      <c r="VKB1060" s="989"/>
      <c r="VKC1060" s="989"/>
      <c r="VKD1060" s="989"/>
      <c r="VKE1060" s="989"/>
      <c r="VKF1060" s="989"/>
      <c r="VKG1060" s="989"/>
      <c r="VKH1060" s="989"/>
      <c r="VKI1060" s="989"/>
      <c r="VKJ1060" s="989"/>
      <c r="VKK1060" s="989"/>
      <c r="VKL1060" s="989"/>
      <c r="VKM1060" s="989"/>
      <c r="VKN1060" s="989"/>
      <c r="VKO1060" s="989"/>
      <c r="VKP1060" s="989"/>
      <c r="VKQ1060" s="989"/>
      <c r="VKR1060" s="989"/>
      <c r="VKS1060" s="989"/>
      <c r="VKT1060" s="989"/>
      <c r="VKU1060" s="989"/>
      <c r="VKV1060" s="989"/>
      <c r="VKW1060" s="989"/>
      <c r="VKX1060" s="989"/>
      <c r="VKY1060" s="989"/>
      <c r="VKZ1060" s="989"/>
      <c r="VLA1060" s="989"/>
      <c r="VLB1060" s="989"/>
      <c r="VLC1060" s="989"/>
      <c r="VLD1060" s="989"/>
      <c r="VLE1060" s="989"/>
      <c r="VLF1060" s="989"/>
      <c r="VLG1060" s="989"/>
      <c r="VLH1060" s="989"/>
      <c r="VLI1060" s="989"/>
      <c r="VLJ1060" s="989"/>
      <c r="VLK1060" s="989"/>
      <c r="VLL1060" s="989"/>
      <c r="VLM1060" s="989"/>
      <c r="VLN1060" s="989"/>
      <c r="VLO1060" s="989"/>
      <c r="VLP1060" s="989"/>
      <c r="VLQ1060" s="989"/>
      <c r="VLR1060" s="989"/>
      <c r="VLS1060" s="989"/>
      <c r="VLT1060" s="989"/>
      <c r="VLU1060" s="989"/>
      <c r="VLV1060" s="989"/>
      <c r="VLW1060" s="989"/>
      <c r="VLX1060" s="989"/>
      <c r="VLY1060" s="989"/>
      <c r="VLZ1060" s="989"/>
      <c r="VMA1060" s="989"/>
      <c r="VMB1060" s="989"/>
      <c r="VMC1060" s="989"/>
      <c r="VMD1060" s="989"/>
      <c r="VME1060" s="989"/>
      <c r="VMF1060" s="989"/>
      <c r="VMG1060" s="989"/>
      <c r="VMH1060" s="989"/>
      <c r="VMI1060" s="989"/>
      <c r="VMJ1060" s="989"/>
      <c r="VMK1060" s="989"/>
      <c r="VML1060" s="989"/>
      <c r="VMM1060" s="989"/>
      <c r="VMN1060" s="989"/>
      <c r="VMO1060" s="989"/>
      <c r="VMP1060" s="989"/>
      <c r="VMQ1060" s="989"/>
      <c r="VMR1060" s="989"/>
      <c r="VMS1060" s="989"/>
      <c r="VMT1060" s="989"/>
      <c r="VMU1060" s="989"/>
      <c r="VMV1060" s="989"/>
      <c r="VMW1060" s="989"/>
      <c r="VMX1060" s="989"/>
      <c r="VMY1060" s="989"/>
      <c r="VMZ1060" s="989"/>
      <c r="VNA1060" s="989"/>
      <c r="VNB1060" s="989"/>
      <c r="VNC1060" s="989"/>
      <c r="VND1060" s="989"/>
      <c r="VNE1060" s="989"/>
      <c r="VNF1060" s="989"/>
      <c r="VNG1060" s="989"/>
      <c r="VNH1060" s="989"/>
      <c r="VNI1060" s="989"/>
      <c r="VNJ1060" s="989"/>
      <c r="VNK1060" s="989"/>
      <c r="VNL1060" s="989"/>
      <c r="VNM1060" s="989"/>
      <c r="VNN1060" s="989"/>
      <c r="VNO1060" s="989"/>
      <c r="VNP1060" s="989"/>
      <c r="VNQ1060" s="989"/>
      <c r="VNR1060" s="989"/>
      <c r="VNS1060" s="989"/>
      <c r="VNT1060" s="989"/>
      <c r="VNU1060" s="989"/>
      <c r="VNV1060" s="989"/>
      <c r="VNW1060" s="989"/>
      <c r="VNX1060" s="989"/>
      <c r="VNY1060" s="989"/>
      <c r="VNZ1060" s="989"/>
      <c r="VOA1060" s="989"/>
      <c r="VOB1060" s="989"/>
      <c r="VOC1060" s="989"/>
      <c r="VOD1060" s="989"/>
      <c r="VOE1060" s="989"/>
      <c r="VOF1060" s="989"/>
      <c r="VOG1060" s="989"/>
      <c r="VOH1060" s="989"/>
      <c r="VOI1060" s="989"/>
      <c r="VOJ1060" s="989"/>
      <c r="VOK1060" s="989"/>
      <c r="VOL1060" s="989"/>
      <c r="VOM1060" s="989"/>
      <c r="VON1060" s="989"/>
      <c r="VOO1060" s="989"/>
      <c r="VOP1060" s="989"/>
      <c r="VOQ1060" s="989"/>
      <c r="VOR1060" s="989"/>
      <c r="VOS1060" s="989"/>
      <c r="VOT1060" s="989"/>
      <c r="VOU1060" s="989"/>
      <c r="VOV1060" s="989"/>
      <c r="VOW1060" s="989"/>
      <c r="VOX1060" s="989"/>
      <c r="VOY1060" s="989"/>
      <c r="VOZ1060" s="989"/>
      <c r="VPA1060" s="989"/>
      <c r="VPB1060" s="989"/>
      <c r="VPC1060" s="989"/>
      <c r="VPD1060" s="989"/>
      <c r="VPE1060" s="989"/>
      <c r="VPF1060" s="989"/>
      <c r="VPG1060" s="989"/>
      <c r="VPH1060" s="989"/>
      <c r="VPI1060" s="989"/>
      <c r="VPJ1060" s="989"/>
      <c r="VPK1060" s="989"/>
      <c r="VPL1060" s="989"/>
      <c r="VPM1060" s="989"/>
      <c r="VPN1060" s="989"/>
      <c r="VPO1060" s="989"/>
      <c r="VPP1060" s="989"/>
      <c r="VPQ1060" s="989"/>
      <c r="VPR1060" s="989"/>
      <c r="VPS1060" s="989"/>
      <c r="VPT1060" s="989"/>
      <c r="VPU1060" s="989"/>
      <c r="VPV1060" s="989"/>
      <c r="VPW1060" s="989"/>
      <c r="VPX1060" s="989"/>
      <c r="VPY1060" s="989"/>
      <c r="VPZ1060" s="989"/>
      <c r="VQA1060" s="989"/>
      <c r="VQB1060" s="989"/>
      <c r="VQC1060" s="989"/>
      <c r="VQD1060" s="989"/>
      <c r="VQE1060" s="989"/>
      <c r="VQF1060" s="989"/>
      <c r="VQG1060" s="989"/>
      <c r="VQH1060" s="989"/>
      <c r="VQI1060" s="989"/>
      <c r="VQJ1060" s="989"/>
      <c r="VQK1060" s="989"/>
      <c r="VQL1060" s="989"/>
      <c r="VQM1060" s="989"/>
      <c r="VQN1060" s="989"/>
      <c r="VQO1060" s="989"/>
      <c r="VQP1060" s="989"/>
      <c r="VQQ1060" s="989"/>
      <c r="VQR1060" s="989"/>
      <c r="VQS1060" s="989"/>
      <c r="VQT1060" s="989"/>
      <c r="VQU1060" s="989"/>
      <c r="VQV1060" s="989"/>
      <c r="VQW1060" s="989"/>
      <c r="VQX1060" s="989"/>
      <c r="VQY1060" s="989"/>
      <c r="VQZ1060" s="989"/>
      <c r="VRA1060" s="989"/>
      <c r="VRB1060" s="989"/>
      <c r="VRC1060" s="989"/>
      <c r="VRD1060" s="989"/>
      <c r="VRE1060" s="989"/>
      <c r="VRF1060" s="989"/>
      <c r="VRG1060" s="989"/>
      <c r="VRH1060" s="989"/>
      <c r="VRI1060" s="989"/>
      <c r="VRJ1060" s="989"/>
      <c r="VRK1060" s="989"/>
      <c r="VRL1060" s="989"/>
      <c r="VRM1060" s="989"/>
      <c r="VRN1060" s="989"/>
      <c r="VRO1060" s="989"/>
      <c r="VRP1060" s="989"/>
      <c r="VRQ1060" s="989"/>
      <c r="VRR1060" s="989"/>
      <c r="VRS1060" s="989"/>
      <c r="VRT1060" s="989"/>
      <c r="VRU1060" s="989"/>
      <c r="VRV1060" s="989"/>
      <c r="VRW1060" s="989"/>
      <c r="VRX1060" s="989"/>
      <c r="VRY1060" s="989"/>
      <c r="VRZ1060" s="989"/>
      <c r="VSA1060" s="989"/>
      <c r="VSB1060" s="989"/>
      <c r="VSC1060" s="989"/>
      <c r="VSD1060" s="989"/>
      <c r="VSE1060" s="989"/>
      <c r="VSF1060" s="989"/>
      <c r="VSG1060" s="989"/>
      <c r="VSH1060" s="989"/>
      <c r="VSI1060" s="989"/>
      <c r="VSJ1060" s="989"/>
      <c r="VSK1060" s="989"/>
      <c r="VSL1060" s="989"/>
      <c r="VSM1060" s="989"/>
      <c r="VSN1060" s="989"/>
      <c r="VSO1060" s="989"/>
      <c r="VSP1060" s="989"/>
      <c r="VSQ1060" s="989"/>
      <c r="VSR1060" s="989"/>
      <c r="VSS1060" s="989"/>
      <c r="VST1060" s="989"/>
      <c r="VSU1060" s="989"/>
      <c r="VSV1060" s="989"/>
      <c r="VSW1060" s="989"/>
      <c r="VSX1060" s="989"/>
      <c r="VSY1060" s="989"/>
      <c r="VSZ1060" s="989"/>
      <c r="VTA1060" s="989"/>
      <c r="VTB1060" s="989"/>
      <c r="VTC1060" s="989"/>
      <c r="VTD1060" s="989"/>
      <c r="VTE1060" s="989"/>
      <c r="VTF1060" s="989"/>
      <c r="VTG1060" s="989"/>
      <c r="VTH1060" s="989"/>
      <c r="VTI1060" s="989"/>
      <c r="VTJ1060" s="989"/>
      <c r="VTK1060" s="989"/>
      <c r="VTL1060" s="989"/>
      <c r="VTM1060" s="989"/>
      <c r="VTN1060" s="989"/>
      <c r="VTO1060" s="989"/>
      <c r="VTP1060" s="989"/>
      <c r="VTQ1060" s="989"/>
      <c r="VTR1060" s="989"/>
      <c r="VTS1060" s="989"/>
      <c r="VTT1060" s="989"/>
      <c r="VTU1060" s="989"/>
      <c r="VTV1060" s="989"/>
      <c r="VTW1060" s="989"/>
      <c r="VTX1060" s="989"/>
      <c r="VTY1060" s="989"/>
      <c r="VTZ1060" s="989"/>
      <c r="VUA1060" s="989"/>
      <c r="VUB1060" s="989"/>
      <c r="VUC1060" s="989"/>
      <c r="VUD1060" s="989"/>
      <c r="VUE1060" s="989"/>
      <c r="VUF1060" s="989"/>
      <c r="VUG1060" s="989"/>
      <c r="VUH1060" s="989"/>
      <c r="VUI1060" s="989"/>
      <c r="VUJ1060" s="989"/>
      <c r="VUK1060" s="989"/>
      <c r="VUL1060" s="989"/>
      <c r="VUM1060" s="989"/>
      <c r="VUN1060" s="989"/>
      <c r="VUO1060" s="989"/>
      <c r="VUP1060" s="989"/>
      <c r="VUQ1060" s="989"/>
      <c r="VUR1060" s="989"/>
      <c r="VUS1060" s="989"/>
      <c r="VUT1060" s="989"/>
      <c r="VUU1060" s="989"/>
      <c r="VUV1060" s="989"/>
      <c r="VUW1060" s="989"/>
      <c r="VUX1060" s="989"/>
      <c r="VUY1060" s="989"/>
      <c r="VUZ1060" s="989"/>
      <c r="VVA1060" s="989"/>
      <c r="VVB1060" s="989"/>
      <c r="VVC1060" s="989"/>
      <c r="VVD1060" s="989"/>
      <c r="VVE1060" s="989"/>
      <c r="VVF1060" s="989"/>
      <c r="VVG1060" s="989"/>
      <c r="VVH1060" s="989"/>
      <c r="VVI1060" s="989"/>
      <c r="VVJ1060" s="989"/>
      <c r="VVK1060" s="989"/>
      <c r="VVL1060" s="989"/>
      <c r="VVM1060" s="989"/>
      <c r="VVN1060" s="989"/>
      <c r="VVO1060" s="989"/>
      <c r="VVP1060" s="989"/>
      <c r="VVQ1060" s="989"/>
      <c r="VVR1060" s="989"/>
      <c r="VVS1060" s="989"/>
      <c r="VVT1060" s="989"/>
      <c r="VVU1060" s="989"/>
      <c r="VVV1060" s="989"/>
      <c r="VVW1060" s="989"/>
      <c r="VVX1060" s="989"/>
      <c r="VVY1060" s="989"/>
      <c r="VVZ1060" s="989"/>
      <c r="VWA1060" s="989"/>
      <c r="VWB1060" s="989"/>
      <c r="VWC1060" s="989"/>
      <c r="VWD1060" s="989"/>
      <c r="VWE1060" s="989"/>
      <c r="VWF1060" s="989"/>
      <c r="VWG1060" s="989"/>
      <c r="VWH1060" s="989"/>
      <c r="VWI1060" s="989"/>
      <c r="VWJ1060" s="989"/>
      <c r="VWK1060" s="989"/>
      <c r="VWL1060" s="989"/>
      <c r="VWM1060" s="989"/>
      <c r="VWN1060" s="989"/>
      <c r="VWO1060" s="989"/>
      <c r="VWP1060" s="989"/>
      <c r="VWQ1060" s="989"/>
      <c r="VWR1060" s="989"/>
      <c r="VWS1060" s="989"/>
      <c r="VWT1060" s="989"/>
      <c r="VWU1060" s="989"/>
      <c r="VWV1060" s="989"/>
      <c r="VWW1060" s="989"/>
      <c r="VWX1060" s="989"/>
      <c r="VWY1060" s="989"/>
      <c r="VWZ1060" s="989"/>
      <c r="VXA1060" s="989"/>
      <c r="VXB1060" s="989"/>
      <c r="VXC1060" s="989"/>
      <c r="VXD1060" s="989"/>
      <c r="VXE1060" s="989"/>
      <c r="VXF1060" s="989"/>
      <c r="VXG1060" s="989"/>
      <c r="VXH1060" s="989"/>
      <c r="VXI1060" s="989"/>
      <c r="VXJ1060" s="989"/>
      <c r="VXK1060" s="989"/>
      <c r="VXL1060" s="989"/>
      <c r="VXM1060" s="989"/>
      <c r="VXN1060" s="989"/>
      <c r="VXO1060" s="989"/>
      <c r="VXP1060" s="989"/>
      <c r="VXQ1060" s="989"/>
      <c r="VXR1060" s="989"/>
      <c r="VXS1060" s="989"/>
      <c r="VXT1060" s="989"/>
      <c r="VXU1060" s="989"/>
      <c r="VXV1060" s="989"/>
      <c r="VXW1060" s="989"/>
      <c r="VXX1060" s="989"/>
      <c r="VXY1060" s="989"/>
      <c r="VXZ1060" s="989"/>
      <c r="VYA1060" s="989"/>
      <c r="VYB1060" s="989"/>
      <c r="VYC1060" s="989"/>
      <c r="VYD1060" s="989"/>
      <c r="VYE1060" s="989"/>
      <c r="VYF1060" s="989"/>
      <c r="VYG1060" s="989"/>
      <c r="VYH1060" s="989"/>
      <c r="VYI1060" s="989"/>
      <c r="VYJ1060" s="989"/>
      <c r="VYK1060" s="989"/>
      <c r="VYL1060" s="989"/>
      <c r="VYM1060" s="989"/>
      <c r="VYN1060" s="989"/>
      <c r="VYO1060" s="989"/>
      <c r="VYP1060" s="989"/>
      <c r="VYQ1060" s="989"/>
      <c r="VYR1060" s="989"/>
      <c r="VYS1060" s="989"/>
      <c r="VYT1060" s="989"/>
      <c r="VYU1060" s="989"/>
      <c r="VYV1060" s="989"/>
      <c r="VYW1060" s="989"/>
      <c r="VYX1060" s="989"/>
      <c r="VYY1060" s="989"/>
      <c r="VYZ1060" s="989"/>
      <c r="VZA1060" s="989"/>
      <c r="VZB1060" s="989"/>
      <c r="VZC1060" s="989"/>
      <c r="VZD1060" s="989"/>
      <c r="VZE1060" s="989"/>
      <c r="VZF1060" s="989"/>
      <c r="VZG1060" s="989"/>
      <c r="VZH1060" s="989"/>
      <c r="VZI1060" s="989"/>
      <c r="VZJ1060" s="989"/>
      <c r="VZK1060" s="989"/>
      <c r="VZL1060" s="989"/>
      <c r="VZM1060" s="989"/>
      <c r="VZN1060" s="989"/>
      <c r="VZO1060" s="989"/>
      <c r="VZP1060" s="989"/>
      <c r="VZQ1060" s="989"/>
      <c r="VZR1060" s="989"/>
      <c r="VZS1060" s="989"/>
      <c r="VZT1060" s="989"/>
      <c r="VZU1060" s="989"/>
      <c r="VZV1060" s="989"/>
      <c r="VZW1060" s="989"/>
      <c r="VZX1060" s="989"/>
      <c r="VZY1060" s="989"/>
      <c r="VZZ1060" s="989"/>
      <c r="WAA1060" s="989"/>
      <c r="WAB1060" s="989"/>
      <c r="WAC1060" s="989"/>
      <c r="WAD1060" s="989"/>
      <c r="WAE1060" s="989"/>
      <c r="WAF1060" s="989"/>
      <c r="WAG1060" s="989"/>
      <c r="WAH1060" s="989"/>
      <c r="WAI1060" s="989"/>
      <c r="WAJ1060" s="989"/>
      <c r="WAK1060" s="989"/>
      <c r="WAL1060" s="989"/>
      <c r="WAM1060" s="989"/>
      <c r="WAN1060" s="989"/>
      <c r="WAO1060" s="989"/>
      <c r="WAP1060" s="989"/>
      <c r="WAQ1060" s="989"/>
      <c r="WAR1060" s="989"/>
      <c r="WAS1060" s="989"/>
      <c r="WAT1060" s="989"/>
      <c r="WAU1060" s="989"/>
      <c r="WAV1060" s="989"/>
      <c r="WAW1060" s="989"/>
      <c r="WAX1060" s="989"/>
      <c r="WAY1060" s="989"/>
      <c r="WAZ1060" s="989"/>
      <c r="WBA1060" s="989"/>
      <c r="WBB1060" s="989"/>
      <c r="WBC1060" s="989"/>
      <c r="WBD1060" s="989"/>
      <c r="WBE1060" s="989"/>
      <c r="WBF1060" s="989"/>
      <c r="WBG1060" s="989"/>
      <c r="WBH1060" s="989"/>
      <c r="WBI1060" s="989"/>
      <c r="WBJ1060" s="989"/>
      <c r="WBK1060" s="989"/>
      <c r="WBL1060" s="989"/>
      <c r="WBM1060" s="989"/>
      <c r="WBN1060" s="989"/>
      <c r="WBO1060" s="989"/>
      <c r="WBP1060" s="989"/>
      <c r="WBQ1060" s="989"/>
      <c r="WBR1060" s="989"/>
      <c r="WBS1060" s="989"/>
      <c r="WBT1060" s="989"/>
      <c r="WBU1060" s="989"/>
      <c r="WBV1060" s="989"/>
      <c r="WBW1060" s="989"/>
      <c r="WBX1060" s="989"/>
      <c r="WBY1060" s="989"/>
      <c r="WBZ1060" s="989"/>
      <c r="WCA1060" s="989"/>
      <c r="WCB1060" s="989"/>
      <c r="WCC1060" s="989"/>
      <c r="WCD1060" s="989"/>
      <c r="WCE1060" s="989"/>
      <c r="WCF1060" s="989"/>
      <c r="WCG1060" s="989"/>
      <c r="WCH1060" s="989"/>
      <c r="WCI1060" s="989"/>
      <c r="WCJ1060" s="989"/>
      <c r="WCK1060" s="989"/>
      <c r="WCL1060" s="989"/>
      <c r="WCM1060" s="989"/>
      <c r="WCN1060" s="989"/>
      <c r="WCO1060" s="989"/>
      <c r="WCP1060" s="989"/>
      <c r="WCQ1060" s="989"/>
      <c r="WCR1060" s="989"/>
      <c r="WCS1060" s="989"/>
      <c r="WCT1060" s="989"/>
      <c r="WCU1060" s="989"/>
      <c r="WCV1060" s="989"/>
      <c r="WCW1060" s="989"/>
      <c r="WCX1060" s="989"/>
      <c r="WCY1060" s="989"/>
      <c r="WCZ1060" s="989"/>
      <c r="WDA1060" s="989"/>
      <c r="WDB1060" s="989"/>
      <c r="WDC1060" s="989"/>
      <c r="WDD1060" s="989"/>
      <c r="WDE1060" s="989"/>
      <c r="WDF1060" s="989"/>
      <c r="WDG1060" s="989"/>
      <c r="WDH1060" s="989"/>
      <c r="WDI1060" s="989"/>
      <c r="WDJ1060" s="989"/>
      <c r="WDK1060" s="989"/>
      <c r="WDL1060" s="989"/>
      <c r="WDM1060" s="989"/>
      <c r="WDN1060" s="989"/>
      <c r="WDO1060" s="989"/>
      <c r="WDP1060" s="989"/>
      <c r="WDQ1060" s="989"/>
      <c r="WDR1060" s="989"/>
      <c r="WDS1060" s="989"/>
      <c r="WDT1060" s="989"/>
      <c r="WDU1060" s="989"/>
      <c r="WDV1060" s="989"/>
      <c r="WDW1060" s="989"/>
      <c r="WDX1060" s="989"/>
      <c r="WDY1060" s="989"/>
      <c r="WDZ1060" s="989"/>
      <c r="WEA1060" s="989"/>
      <c r="WEB1060" s="989"/>
      <c r="WEC1060" s="989"/>
      <c r="WED1060" s="989"/>
      <c r="WEE1060" s="989"/>
      <c r="WEF1060" s="989"/>
      <c r="WEG1060" s="989"/>
      <c r="WEH1060" s="989"/>
      <c r="WEI1060" s="989"/>
      <c r="WEJ1060" s="989"/>
      <c r="WEK1060" s="989"/>
      <c r="WEL1060" s="989"/>
      <c r="WEM1060" s="989"/>
      <c r="WEN1060" s="989"/>
      <c r="WEO1060" s="989"/>
      <c r="WEP1060" s="989"/>
      <c r="WEQ1060" s="989"/>
      <c r="WER1060" s="989"/>
      <c r="WES1060" s="989"/>
      <c r="WET1060" s="989"/>
      <c r="WEU1060" s="989"/>
      <c r="WEV1060" s="989"/>
      <c r="WEW1060" s="989"/>
      <c r="WEX1060" s="989"/>
      <c r="WEY1060" s="989"/>
      <c r="WEZ1060" s="989"/>
      <c r="WFA1060" s="989"/>
      <c r="WFB1060" s="989"/>
      <c r="WFC1060" s="989"/>
      <c r="WFD1060" s="989"/>
      <c r="WFE1060" s="989"/>
      <c r="WFF1060" s="989"/>
      <c r="WFG1060" s="989"/>
      <c r="WFH1060" s="989"/>
      <c r="WFI1060" s="989"/>
      <c r="WFJ1060" s="989"/>
      <c r="WFK1060" s="989"/>
      <c r="WFL1060" s="989"/>
      <c r="WFM1060" s="989"/>
      <c r="WFN1060" s="989"/>
      <c r="WFO1060" s="989"/>
      <c r="WFP1060" s="989"/>
      <c r="WFQ1060" s="989"/>
      <c r="WFR1060" s="989"/>
      <c r="WFS1060" s="989"/>
      <c r="WFT1060" s="989"/>
      <c r="WFU1060" s="989"/>
      <c r="WFV1060" s="989"/>
      <c r="WFW1060" s="989"/>
      <c r="WFX1060" s="989"/>
      <c r="WFY1060" s="989"/>
      <c r="WFZ1060" s="989"/>
      <c r="WGA1060" s="989"/>
      <c r="WGB1060" s="989"/>
      <c r="WGC1060" s="989"/>
      <c r="WGD1060" s="989"/>
      <c r="WGE1060" s="989"/>
      <c r="WGF1060" s="989"/>
      <c r="WGG1060" s="989"/>
      <c r="WGH1060" s="989"/>
      <c r="WGI1060" s="989"/>
      <c r="WGJ1060" s="989"/>
      <c r="WGK1060" s="989"/>
      <c r="WGL1060" s="989"/>
      <c r="WGM1060" s="989"/>
      <c r="WGN1060" s="989"/>
      <c r="WGO1060" s="989"/>
      <c r="WGP1060" s="989"/>
      <c r="WGQ1060" s="989"/>
      <c r="WGR1060" s="989"/>
      <c r="WGS1060" s="989"/>
      <c r="WGT1060" s="989"/>
      <c r="WGU1060" s="989"/>
      <c r="WGV1060" s="989"/>
      <c r="WGW1060" s="989"/>
      <c r="WGX1060" s="989"/>
      <c r="WGY1060" s="989"/>
      <c r="WGZ1060" s="989"/>
      <c r="WHA1060" s="989"/>
      <c r="WHB1060" s="989"/>
      <c r="WHC1060" s="989"/>
      <c r="WHD1060" s="989"/>
      <c r="WHE1060" s="989"/>
      <c r="WHF1060" s="989"/>
      <c r="WHG1060" s="989"/>
      <c r="WHH1060" s="989"/>
      <c r="WHI1060" s="989"/>
      <c r="WHJ1060" s="989"/>
      <c r="WHK1060" s="989"/>
      <c r="WHL1060" s="989"/>
      <c r="WHM1060" s="989"/>
      <c r="WHN1060" s="989"/>
      <c r="WHO1060" s="989"/>
      <c r="WHP1060" s="989"/>
      <c r="WHQ1060" s="989"/>
      <c r="WHR1060" s="989"/>
      <c r="WHS1060" s="989"/>
      <c r="WHT1060" s="989"/>
      <c r="WHU1060" s="989"/>
      <c r="WHV1060" s="989"/>
      <c r="WHW1060" s="989"/>
      <c r="WHX1060" s="989"/>
      <c r="WHY1060" s="989"/>
      <c r="WHZ1060" s="989"/>
      <c r="WIA1060" s="989"/>
      <c r="WIB1060" s="989"/>
      <c r="WIC1060" s="989"/>
      <c r="WID1060" s="989"/>
      <c r="WIE1060" s="989"/>
      <c r="WIF1060" s="989"/>
      <c r="WIG1060" s="989"/>
      <c r="WIH1060" s="989"/>
      <c r="WII1060" s="989"/>
      <c r="WIJ1060" s="989"/>
      <c r="WIK1060" s="989"/>
      <c r="WIL1060" s="989"/>
      <c r="WIM1060" s="989"/>
      <c r="WIN1060" s="989"/>
      <c r="WIO1060" s="989"/>
      <c r="WIP1060" s="989"/>
      <c r="WIQ1060" s="989"/>
      <c r="WIR1060" s="989"/>
      <c r="WIS1060" s="989"/>
      <c r="WIT1060" s="989"/>
      <c r="WIU1060" s="989"/>
      <c r="WIV1060" s="989"/>
      <c r="WIW1060" s="989"/>
      <c r="WIX1060" s="989"/>
      <c r="WIY1060" s="989"/>
      <c r="WIZ1060" s="989"/>
      <c r="WJA1060" s="989"/>
      <c r="WJB1060" s="989"/>
      <c r="WJC1060" s="989"/>
      <c r="WJD1060" s="989"/>
      <c r="WJE1060" s="989"/>
      <c r="WJF1060" s="989"/>
      <c r="WJG1060" s="989"/>
      <c r="WJH1060" s="989"/>
      <c r="WJI1060" s="989"/>
      <c r="WJJ1060" s="989"/>
      <c r="WJK1060" s="989"/>
      <c r="WJL1060" s="989"/>
      <c r="WJM1060" s="989"/>
      <c r="WJN1060" s="989"/>
      <c r="WJO1060" s="989"/>
      <c r="WJP1060" s="989"/>
      <c r="WJQ1060" s="989"/>
      <c r="WJR1060" s="989"/>
      <c r="WJS1060" s="989"/>
      <c r="WJT1060" s="989"/>
      <c r="WJU1060" s="989"/>
      <c r="WJV1060" s="989"/>
      <c r="WJW1060" s="989"/>
      <c r="WJX1060" s="989"/>
      <c r="WJY1060" s="989"/>
      <c r="WJZ1060" s="989"/>
      <c r="WKA1060" s="989"/>
      <c r="WKB1060" s="989"/>
      <c r="WKC1060" s="989"/>
      <c r="WKD1060" s="989"/>
      <c r="WKE1060" s="989"/>
      <c r="WKF1060" s="989"/>
      <c r="WKG1060" s="989"/>
      <c r="WKH1060" s="989"/>
      <c r="WKI1060" s="989"/>
      <c r="WKJ1060" s="989"/>
      <c r="WKK1060" s="989"/>
      <c r="WKL1060" s="989"/>
      <c r="WKM1060" s="989"/>
      <c r="WKN1060" s="989"/>
      <c r="WKO1060" s="989"/>
      <c r="WKP1060" s="989"/>
      <c r="WKQ1060" s="989"/>
      <c r="WKR1060" s="989"/>
      <c r="WKS1060" s="989"/>
      <c r="WKT1060" s="989"/>
      <c r="WKU1060" s="989"/>
      <c r="WKV1060" s="989"/>
      <c r="WKW1060" s="989"/>
      <c r="WKX1060" s="989"/>
      <c r="WKY1060" s="989"/>
      <c r="WKZ1060" s="989"/>
      <c r="WLA1060" s="989"/>
      <c r="WLB1060" s="989"/>
      <c r="WLC1060" s="989"/>
      <c r="WLD1060" s="989"/>
      <c r="WLE1060" s="989"/>
      <c r="WLF1060" s="989"/>
      <c r="WLG1060" s="989"/>
      <c r="WLH1060" s="989"/>
      <c r="WLI1060" s="989"/>
      <c r="WLJ1060" s="989"/>
      <c r="WLK1060" s="989"/>
      <c r="WLL1060" s="989"/>
      <c r="WLM1060" s="989"/>
      <c r="WLN1060" s="989"/>
      <c r="WLO1060" s="989"/>
      <c r="WLP1060" s="989"/>
      <c r="WLQ1060" s="989"/>
      <c r="WLR1060" s="989"/>
      <c r="WLS1060" s="989"/>
      <c r="WLT1060" s="989"/>
      <c r="WLU1060" s="989"/>
      <c r="WLV1060" s="989"/>
      <c r="WLW1060" s="989"/>
      <c r="WLX1060" s="989"/>
      <c r="WLY1060" s="989"/>
      <c r="WLZ1060" s="989"/>
      <c r="WMA1060" s="989"/>
      <c r="WMB1060" s="989"/>
      <c r="WMC1060" s="989"/>
      <c r="WMD1060" s="989"/>
      <c r="WME1060" s="989"/>
      <c r="WMF1060" s="989"/>
      <c r="WMG1060" s="989"/>
      <c r="WMH1060" s="989"/>
      <c r="WMI1060" s="989"/>
      <c r="WMJ1060" s="989"/>
      <c r="WMK1060" s="989"/>
      <c r="WML1060" s="989"/>
      <c r="WMM1060" s="989"/>
      <c r="WMN1060" s="989"/>
      <c r="WMO1060" s="989"/>
      <c r="WMP1060" s="989"/>
      <c r="WMQ1060" s="989"/>
      <c r="WMR1060" s="989"/>
      <c r="WMS1060" s="989"/>
      <c r="WMT1060" s="989"/>
      <c r="WMU1060" s="989"/>
      <c r="WMV1060" s="989"/>
      <c r="WMW1060" s="989"/>
      <c r="WMX1060" s="989"/>
      <c r="WMY1060" s="989"/>
      <c r="WMZ1060" s="989"/>
      <c r="WNA1060" s="989"/>
      <c r="WNB1060" s="989"/>
      <c r="WNC1060" s="989"/>
      <c r="WND1060" s="989"/>
      <c r="WNE1060" s="989"/>
      <c r="WNF1060" s="989"/>
      <c r="WNG1060" s="989"/>
      <c r="WNH1060" s="989"/>
      <c r="WNI1060" s="989"/>
      <c r="WNJ1060" s="989"/>
      <c r="WNK1060" s="989"/>
      <c r="WNL1060" s="989"/>
      <c r="WNM1060" s="989"/>
      <c r="WNN1060" s="989"/>
      <c r="WNO1060" s="989"/>
      <c r="WNP1060" s="989"/>
      <c r="WNQ1060" s="989"/>
      <c r="WNR1060" s="989"/>
      <c r="WNS1060" s="989"/>
      <c r="WNT1060" s="989"/>
      <c r="WNU1060" s="989"/>
      <c r="WNV1060" s="989"/>
      <c r="WNW1060" s="989"/>
      <c r="WNX1060" s="989"/>
      <c r="WNY1060" s="989"/>
      <c r="WNZ1060" s="989"/>
      <c r="WOA1060" s="989"/>
      <c r="WOB1060" s="989"/>
      <c r="WOC1060" s="989"/>
      <c r="WOD1060" s="989"/>
      <c r="WOE1060" s="989"/>
      <c r="WOF1060" s="989"/>
      <c r="WOG1060" s="989"/>
      <c r="WOH1060" s="989"/>
      <c r="WOI1060" s="989"/>
      <c r="WOJ1060" s="989"/>
      <c r="WOK1060" s="989"/>
      <c r="WOL1060" s="989"/>
      <c r="WOM1060" s="989"/>
      <c r="WON1060" s="989"/>
      <c r="WOO1060" s="989"/>
      <c r="WOP1060" s="989"/>
      <c r="WOQ1060" s="989"/>
      <c r="WOR1060" s="989"/>
      <c r="WOS1060" s="989"/>
      <c r="WOT1060" s="989"/>
      <c r="WOU1060" s="989"/>
      <c r="WOV1060" s="989"/>
      <c r="WOW1060" s="989"/>
      <c r="WOX1060" s="989"/>
      <c r="WOY1060" s="989"/>
      <c r="WOZ1060" s="989"/>
      <c r="WPA1060" s="989"/>
      <c r="WPB1060" s="989"/>
      <c r="WPC1060" s="989"/>
      <c r="WPD1060" s="989"/>
      <c r="WPE1060" s="989"/>
      <c r="WPF1060" s="989"/>
      <c r="WPG1060" s="989"/>
      <c r="WPH1060" s="989"/>
      <c r="WPI1060" s="989"/>
      <c r="WPJ1060" s="989"/>
      <c r="WPK1060" s="989"/>
      <c r="WPL1060" s="989"/>
      <c r="WPM1060" s="989"/>
      <c r="WPN1060" s="989"/>
      <c r="WPO1060" s="989"/>
      <c r="WPP1060" s="989"/>
      <c r="WPQ1060" s="989"/>
      <c r="WPR1060" s="989"/>
      <c r="WPS1060" s="989"/>
      <c r="WPT1060" s="989"/>
      <c r="WPU1060" s="989"/>
      <c r="WPV1060" s="989"/>
      <c r="WPW1060" s="989"/>
      <c r="WPX1060" s="989"/>
      <c r="WPY1060" s="989"/>
      <c r="WPZ1060" s="989"/>
      <c r="WQA1060" s="989"/>
      <c r="WQB1060" s="989"/>
      <c r="WQC1060" s="989"/>
      <c r="WQD1060" s="989"/>
      <c r="WQE1060" s="989"/>
      <c r="WQF1060" s="989"/>
      <c r="WQG1060" s="989"/>
      <c r="WQH1060" s="989"/>
      <c r="WQI1060" s="989"/>
      <c r="WQJ1060" s="989"/>
      <c r="WQK1060" s="989"/>
      <c r="WQL1060" s="989"/>
      <c r="WQM1060" s="989"/>
      <c r="WQN1060" s="989"/>
      <c r="WQO1060" s="989"/>
      <c r="WQP1060" s="989"/>
      <c r="WQQ1060" s="989"/>
      <c r="WQR1060" s="989"/>
      <c r="WQS1060" s="989"/>
      <c r="WQT1060" s="989"/>
      <c r="WQU1060" s="989"/>
      <c r="WQV1060" s="989"/>
      <c r="WQW1060" s="989"/>
      <c r="WQX1060" s="989"/>
      <c r="WQY1060" s="989"/>
      <c r="WQZ1060" s="989"/>
      <c r="WRA1060" s="989"/>
      <c r="WRB1060" s="989"/>
      <c r="WRC1060" s="989"/>
      <c r="WRD1060" s="989"/>
      <c r="WRE1060" s="989"/>
      <c r="WRF1060" s="989"/>
      <c r="WRG1060" s="989"/>
      <c r="WRH1060" s="989"/>
      <c r="WRI1060" s="989"/>
      <c r="WRJ1060" s="989"/>
      <c r="WRK1060" s="989"/>
      <c r="WRL1060" s="989"/>
      <c r="WRM1060" s="989"/>
      <c r="WRN1060" s="989"/>
      <c r="WRO1060" s="989"/>
      <c r="WRP1060" s="989"/>
      <c r="WRQ1060" s="989"/>
      <c r="WRR1060" s="989"/>
      <c r="WRS1060" s="989"/>
      <c r="WRT1060" s="989"/>
      <c r="WRU1060" s="989"/>
      <c r="WRV1060" s="989"/>
      <c r="WRW1060" s="989"/>
      <c r="WRX1060" s="989"/>
      <c r="WRY1060" s="989"/>
      <c r="WRZ1060" s="989"/>
      <c r="WSA1060" s="989"/>
      <c r="WSB1060" s="989"/>
      <c r="WSC1060" s="989"/>
      <c r="WSD1060" s="989"/>
      <c r="WSE1060" s="989"/>
      <c r="WSF1060" s="989"/>
      <c r="WSG1060" s="989"/>
      <c r="WSH1060" s="989"/>
      <c r="WSI1060" s="989"/>
      <c r="WSJ1060" s="989"/>
      <c r="WSK1060" s="989"/>
      <c r="WSL1060" s="989"/>
      <c r="WSM1060" s="989"/>
      <c r="WSN1060" s="989"/>
      <c r="WSO1060" s="989"/>
      <c r="WSP1060" s="989"/>
      <c r="WSQ1060" s="989"/>
      <c r="WSR1060" s="989"/>
      <c r="WSS1060" s="989"/>
      <c r="WST1060" s="989"/>
      <c r="WSU1060" s="989"/>
      <c r="WSV1060" s="989"/>
      <c r="WSW1060" s="989"/>
      <c r="WSX1060" s="989"/>
      <c r="WSY1060" s="989"/>
      <c r="WSZ1060" s="989"/>
      <c r="WTA1060" s="989"/>
      <c r="WTB1060" s="989"/>
      <c r="WTC1060" s="989"/>
      <c r="WTD1060" s="989"/>
      <c r="WTE1060" s="989"/>
      <c r="WTF1060" s="989"/>
      <c r="WTG1060" s="989"/>
      <c r="WTH1060" s="989"/>
      <c r="WTI1060" s="989"/>
      <c r="WTJ1060" s="989"/>
      <c r="WTK1060" s="989"/>
      <c r="WTL1060" s="989"/>
      <c r="WTM1060" s="989"/>
      <c r="WTN1060" s="989"/>
      <c r="WTO1060" s="989"/>
      <c r="WTP1060" s="989"/>
      <c r="WTQ1060" s="989"/>
      <c r="WTR1060" s="989"/>
      <c r="WTS1060" s="989"/>
      <c r="WTT1060" s="989"/>
      <c r="WTU1060" s="989"/>
      <c r="WTV1060" s="989"/>
      <c r="WTW1060" s="989"/>
      <c r="WTX1060" s="989"/>
      <c r="WTY1060" s="989"/>
      <c r="WTZ1060" s="989"/>
      <c r="WUA1060" s="989"/>
      <c r="WUB1060" s="989"/>
      <c r="WUC1060" s="989"/>
      <c r="WUD1060" s="989"/>
      <c r="WUE1060" s="989"/>
      <c r="WUF1060" s="989"/>
      <c r="WUG1060" s="989"/>
      <c r="WUH1060" s="989"/>
      <c r="WUI1060" s="989"/>
      <c r="WUJ1060" s="989"/>
      <c r="WUK1060" s="989"/>
      <c r="WUL1060" s="989"/>
      <c r="WUM1060" s="989"/>
      <c r="WUN1060" s="989"/>
      <c r="WUO1060" s="989"/>
      <c r="WUP1060" s="989"/>
      <c r="WUQ1060" s="989"/>
      <c r="WUR1060" s="989"/>
      <c r="WUS1060" s="989"/>
      <c r="WUT1060" s="989"/>
      <c r="WUU1060" s="989"/>
      <c r="WUV1060" s="989"/>
      <c r="WUW1060" s="989"/>
      <c r="WUX1060" s="989"/>
      <c r="WUY1060" s="989"/>
      <c r="WUZ1060" s="989"/>
      <c r="WVA1060" s="989"/>
      <c r="WVB1060" s="989"/>
      <c r="WVC1060" s="989"/>
      <c r="WVD1060" s="989"/>
      <c r="WVE1060" s="989"/>
      <c r="WVF1060" s="989"/>
      <c r="WVG1060" s="989"/>
      <c r="WVH1060" s="989"/>
      <c r="WVI1060" s="989"/>
      <c r="WVJ1060" s="989"/>
      <c r="WVK1060" s="989"/>
      <c r="WVL1060" s="989"/>
      <c r="WVM1060" s="989"/>
      <c r="WVN1060" s="989"/>
      <c r="WVO1060" s="989"/>
      <c r="WVP1060" s="989"/>
      <c r="WVQ1060" s="989"/>
      <c r="WVR1060" s="989"/>
      <c r="WVS1060" s="989"/>
      <c r="WVT1060" s="989"/>
      <c r="WVU1060" s="989"/>
      <c r="WVV1060" s="989"/>
      <c r="WVW1060" s="989"/>
      <c r="WVX1060" s="989"/>
      <c r="WVY1060" s="989"/>
      <c r="WVZ1060" s="989"/>
      <c r="WWA1060" s="989"/>
      <c r="WWB1060" s="989"/>
      <c r="WWC1060" s="989"/>
      <c r="WWD1060" s="989"/>
      <c r="WWE1060" s="989"/>
      <c r="WWF1060" s="989"/>
      <c r="WWG1060" s="989"/>
      <c r="WWH1060" s="989"/>
      <c r="WWI1060" s="989"/>
      <c r="WWJ1060" s="989"/>
      <c r="WWK1060" s="989"/>
      <c r="WWL1060" s="989"/>
      <c r="WWM1060" s="989"/>
      <c r="WWN1060" s="989"/>
      <c r="WWO1060" s="989"/>
      <c r="WWP1060" s="989"/>
      <c r="WWQ1060" s="989"/>
      <c r="WWR1060" s="989"/>
      <c r="WWS1060" s="989"/>
      <c r="WWT1060" s="989"/>
      <c r="WWU1060" s="989"/>
      <c r="WWV1060" s="989"/>
      <c r="WWW1060" s="989"/>
      <c r="WWX1060" s="989"/>
      <c r="WWY1060" s="989"/>
      <c r="WWZ1060" s="989"/>
      <c r="WXA1060" s="989"/>
      <c r="WXB1060" s="989"/>
      <c r="WXC1060" s="989"/>
      <c r="WXD1060" s="989"/>
      <c r="WXE1060" s="989"/>
      <c r="WXF1060" s="989"/>
      <c r="WXG1060" s="989"/>
      <c r="WXH1060" s="989"/>
      <c r="WXI1060" s="989"/>
      <c r="WXJ1060" s="989"/>
      <c r="WXK1060" s="989"/>
      <c r="WXL1060" s="989"/>
      <c r="WXM1060" s="989"/>
      <c r="WXN1060" s="989"/>
      <c r="WXO1060" s="989"/>
      <c r="WXP1060" s="989"/>
      <c r="WXQ1060" s="989"/>
      <c r="WXR1060" s="989"/>
      <c r="WXS1060" s="989"/>
      <c r="WXT1060" s="989"/>
      <c r="WXU1060" s="989"/>
      <c r="WXV1060" s="989"/>
      <c r="WXW1060" s="989"/>
      <c r="WXX1060" s="989"/>
      <c r="WXY1060" s="989"/>
      <c r="WXZ1060" s="989"/>
      <c r="WYA1060" s="989"/>
      <c r="WYB1060" s="989"/>
      <c r="WYC1060" s="989"/>
      <c r="WYD1060" s="989"/>
      <c r="WYE1060" s="989"/>
      <c r="WYF1060" s="989"/>
      <c r="WYG1060" s="989"/>
      <c r="WYH1060" s="989"/>
      <c r="WYI1060" s="989"/>
      <c r="WYJ1060" s="989"/>
      <c r="WYK1060" s="989"/>
      <c r="WYL1060" s="989"/>
      <c r="WYM1060" s="989"/>
      <c r="WYN1060" s="989"/>
      <c r="WYO1060" s="989"/>
      <c r="WYP1060" s="989"/>
      <c r="WYQ1060" s="989"/>
      <c r="WYR1060" s="989"/>
      <c r="WYS1060" s="989"/>
      <c r="WYT1060" s="989"/>
      <c r="WYU1060" s="989"/>
      <c r="WYV1060" s="989"/>
      <c r="WYW1060" s="989"/>
      <c r="WYX1060" s="989"/>
      <c r="WYY1060" s="989"/>
      <c r="WYZ1060" s="989"/>
      <c r="WZA1060" s="989"/>
      <c r="WZB1060" s="989"/>
      <c r="WZC1060" s="989"/>
      <c r="WZD1060" s="989"/>
      <c r="WZE1060" s="989"/>
      <c r="WZF1060" s="989"/>
      <c r="WZG1060" s="989"/>
      <c r="WZH1060" s="989"/>
      <c r="WZI1060" s="989"/>
      <c r="WZJ1060" s="989"/>
      <c r="WZK1060" s="989"/>
      <c r="WZL1060" s="989"/>
      <c r="WZM1060" s="989"/>
      <c r="WZN1060" s="989"/>
      <c r="WZO1060" s="989"/>
      <c r="WZP1060" s="989"/>
      <c r="WZQ1060" s="989"/>
      <c r="WZR1060" s="989"/>
      <c r="WZS1060" s="989"/>
      <c r="WZT1060" s="989"/>
      <c r="WZU1060" s="989"/>
      <c r="WZV1060" s="989"/>
      <c r="WZW1060" s="989"/>
      <c r="WZX1060" s="989"/>
      <c r="WZY1060" s="989"/>
      <c r="WZZ1060" s="989"/>
      <c r="XAA1060" s="989"/>
      <c r="XAB1060" s="989"/>
      <c r="XAC1060" s="989"/>
      <c r="XAD1060" s="989"/>
      <c r="XAE1060" s="989"/>
      <c r="XAF1060" s="989"/>
      <c r="XAG1060" s="989"/>
      <c r="XAH1060" s="989"/>
      <c r="XAI1060" s="989"/>
      <c r="XAJ1060" s="989"/>
      <c r="XAK1060" s="989"/>
      <c r="XAL1060" s="989"/>
      <c r="XAM1060" s="989"/>
      <c r="XAN1060" s="989"/>
      <c r="XAO1060" s="989"/>
      <c r="XAP1060" s="989"/>
      <c r="XAQ1060" s="989"/>
      <c r="XAR1060" s="989"/>
      <c r="XAS1060" s="989"/>
      <c r="XAT1060" s="989"/>
      <c r="XAU1060" s="989"/>
      <c r="XAV1060" s="989"/>
      <c r="XAW1060" s="989"/>
      <c r="XAX1060" s="989"/>
      <c r="XAY1060" s="989"/>
      <c r="XAZ1060" s="989"/>
      <c r="XBA1060" s="989"/>
      <c r="XBB1060" s="989"/>
      <c r="XBC1060" s="989"/>
      <c r="XBD1060" s="989"/>
      <c r="XBE1060" s="989"/>
      <c r="XBF1060" s="989"/>
      <c r="XBG1060" s="989"/>
      <c r="XBH1060" s="989"/>
      <c r="XBI1060" s="989"/>
      <c r="XBJ1060" s="989"/>
      <c r="XBK1060" s="989"/>
      <c r="XBL1060" s="989"/>
      <c r="XBM1060" s="989"/>
      <c r="XBN1060" s="989"/>
      <c r="XBO1060" s="989"/>
      <c r="XBP1060" s="989"/>
      <c r="XBQ1060" s="989"/>
      <c r="XBR1060" s="989"/>
      <c r="XBS1060" s="989"/>
      <c r="XBT1060" s="989"/>
      <c r="XBU1060" s="989"/>
      <c r="XBV1060" s="989"/>
      <c r="XBW1060" s="989"/>
      <c r="XBX1060" s="989"/>
      <c r="XBY1060" s="989"/>
      <c r="XBZ1060" s="989"/>
      <c r="XCA1060" s="989"/>
      <c r="XCB1060" s="989"/>
      <c r="XCC1060" s="989"/>
      <c r="XCD1060" s="989"/>
      <c r="XCE1060" s="989"/>
      <c r="XCF1060" s="989"/>
      <c r="XCG1060" s="989"/>
      <c r="XCH1060" s="989"/>
      <c r="XCI1060" s="989"/>
      <c r="XCJ1060" s="989"/>
      <c r="XCK1060" s="989"/>
      <c r="XCL1060" s="989"/>
      <c r="XCM1060" s="989"/>
      <c r="XCN1060" s="989"/>
      <c r="XCO1060" s="989"/>
      <c r="XCP1060" s="989"/>
      <c r="XCQ1060" s="989"/>
      <c r="XCR1060" s="989"/>
      <c r="XCS1060" s="989"/>
      <c r="XCT1060" s="989"/>
      <c r="XCU1060" s="989"/>
      <c r="XCV1060" s="989"/>
      <c r="XCW1060" s="989"/>
      <c r="XCX1060" s="989"/>
      <c r="XCY1060" s="989"/>
      <c r="XCZ1060" s="989"/>
      <c r="XDA1060" s="989"/>
      <c r="XDB1060" s="989"/>
      <c r="XDC1060" s="989"/>
      <c r="XDD1060" s="989"/>
      <c r="XDE1060" s="989"/>
      <c r="XDF1060" s="989"/>
      <c r="XDG1060" s="989"/>
      <c r="XDH1060" s="989"/>
      <c r="XDI1060" s="989"/>
      <c r="XDJ1060" s="989"/>
      <c r="XDK1060" s="989"/>
      <c r="XDL1060" s="989"/>
      <c r="XDM1060" s="989"/>
      <c r="XDN1060" s="989"/>
      <c r="XDO1060" s="989"/>
      <c r="XDP1060" s="989"/>
      <c r="XDQ1060" s="989"/>
      <c r="XDR1060" s="989"/>
      <c r="XDS1060" s="989"/>
      <c r="XDT1060" s="989"/>
      <c r="XDU1060" s="989"/>
      <c r="XDV1060" s="989"/>
      <c r="XDW1060" s="989"/>
      <c r="XDX1060" s="989"/>
      <c r="XDY1060" s="989"/>
      <c r="XDZ1060" s="989"/>
      <c r="XEA1060" s="989"/>
      <c r="XEB1060" s="989"/>
      <c r="XEC1060" s="989"/>
      <c r="XED1060" s="989"/>
      <c r="XEE1060" s="989"/>
      <c r="XEF1060" s="989"/>
      <c r="XEG1060" s="989"/>
      <c r="XEH1060" s="989"/>
      <c r="XEI1060" s="989"/>
      <c r="XEJ1060" s="989"/>
      <c r="XEK1060" s="989"/>
      <c r="XEL1060" s="42"/>
      <c r="XEM1060" s="42"/>
      <c r="XEN1060" s="42"/>
      <c r="XEO1060" s="42"/>
      <c r="XEP1060" s="42"/>
      <c r="XEQ1060" s="42"/>
      <c r="XER1060" s="42"/>
      <c r="XES1060" s="2431"/>
      <c r="XET1060" s="2431"/>
      <c r="XEU1060" s="2431"/>
      <c r="XEV1060" s="2431"/>
      <c r="XEW1060" s="2431"/>
      <c r="XEX1060" s="2431"/>
      <c r="XEY1060" s="2431"/>
      <c r="XEZ1060" s="2431"/>
      <c r="XFA1060" s="2431"/>
      <c r="XFB1060" s="2431"/>
      <c r="XFC1060" s="2431"/>
    </row>
    <row r="1061" ht="25" customHeight="1" spans="1:1024 1025:16384">
      <c r="A1061" s="989"/>
      <c r="B1061" s="990"/>
      <c r="D1061" s="2445">
        <v>3</v>
      </c>
      <c r="E1061" s="2445" t="s">
        <v>3320</v>
      </c>
      <c r="F1061" s="2440"/>
      <c r="G1061" s="2441"/>
      <c r="H1061" s="2441"/>
      <c r="I1061" s="1658"/>
      <c r="J1061" s="1658"/>
      <c r="K1061" s="2446" t="s">
        <v>3321</v>
      </c>
      <c r="L1061" s="2447">
        <v>1</v>
      </c>
      <c r="M1061" s="2448">
        <v>8.45</v>
      </c>
      <c r="N1061" s="2448">
        <v>10.25</v>
      </c>
      <c r="O1061" s="2448">
        <f>N1061-M1061</f>
        <v>1.8</v>
      </c>
      <c r="P1061" s="2449">
        <f>O1061/M1061</f>
        <v>0.21301775147929</v>
      </c>
      <c r="Q1061" s="2450"/>
      <c r="R1061" s="989"/>
      <c r="S1061" s="989"/>
      <c r="T1061" s="42"/>
      <c r="U1061" s="42"/>
      <c r="V1061" s="42"/>
      <c r="W1061" s="2163"/>
      <c r="X1061" s="42"/>
      <c r="Y1061" s="989"/>
      <c r="Z1061" s="42"/>
      <c r="AA1061" s="42"/>
      <c r="AB1061" s="2163"/>
      <c r="AC1061" s="989"/>
      <c r="AD1061" s="989"/>
      <c r="AE1061" s="989"/>
      <c r="AF1061" s="989"/>
      <c r="AG1061" s="989"/>
      <c r="AH1061" s="989"/>
      <c r="AI1061" s="989"/>
      <c r="AJ1061" s="989"/>
      <c r="AK1061" s="989"/>
      <c r="AL1061" s="989"/>
      <c r="AM1061" s="989"/>
      <c r="AN1061" s="989"/>
      <c r="AO1061" s="989"/>
      <c r="AP1061" s="989"/>
      <c r="AQ1061" s="989"/>
      <c r="AR1061" s="989"/>
      <c r="AS1061" s="989"/>
      <c r="AT1061" s="989"/>
      <c r="AU1061" s="989"/>
      <c r="AV1061" s="989"/>
      <c r="AW1061" s="989"/>
      <c r="AX1061" s="989"/>
      <c r="AY1061" s="989"/>
      <c r="AZ1061" s="989"/>
      <c r="BA1061" s="989"/>
      <c r="BB1061" s="989"/>
      <c r="BC1061" s="989"/>
      <c r="BD1061" s="989"/>
      <c r="BE1061" s="989"/>
      <c r="BF1061" s="989"/>
      <c r="BG1061" s="989"/>
      <c r="BH1061" s="989"/>
      <c r="BI1061" s="989"/>
      <c r="BJ1061" s="989"/>
      <c r="BK1061" s="989"/>
      <c r="BL1061" s="989"/>
      <c r="BM1061" s="989"/>
      <c r="BN1061" s="989"/>
      <c r="BO1061" s="989"/>
      <c r="BP1061" s="989"/>
      <c r="BQ1061" s="989"/>
      <c r="BR1061" s="989"/>
      <c r="BS1061" s="989"/>
      <c r="BT1061" s="989"/>
      <c r="BU1061" s="989"/>
      <c r="BV1061" s="989"/>
      <c r="BW1061" s="989"/>
      <c r="BX1061" s="989"/>
      <c r="BY1061" s="989"/>
      <c r="BZ1061" s="989"/>
      <c r="CA1061" s="989"/>
      <c r="CB1061" s="989"/>
      <c r="CC1061" s="989"/>
      <c r="CD1061" s="989"/>
      <c r="CE1061" s="989"/>
      <c r="CF1061" s="989"/>
      <c r="CG1061" s="989"/>
      <c r="CH1061" s="989"/>
      <c r="CI1061" s="989"/>
      <c r="CJ1061" s="989"/>
      <c r="CK1061" s="989"/>
      <c r="CL1061" s="989"/>
      <c r="CM1061" s="989"/>
      <c r="CN1061" s="989"/>
      <c r="CO1061" s="989"/>
      <c r="CP1061" s="989"/>
      <c r="CQ1061" s="989"/>
      <c r="CR1061" s="989"/>
      <c r="CS1061" s="989"/>
      <c r="CT1061" s="989"/>
      <c r="CU1061" s="989"/>
      <c r="CV1061" s="989"/>
      <c r="CW1061" s="989"/>
      <c r="CX1061" s="989"/>
      <c r="CY1061" s="989"/>
      <c r="CZ1061" s="989"/>
      <c r="DA1061" s="989"/>
      <c r="DB1061" s="989"/>
      <c r="DC1061" s="989"/>
      <c r="DD1061" s="989"/>
      <c r="DE1061" s="989"/>
      <c r="DF1061" s="989"/>
      <c r="DG1061" s="989"/>
      <c r="DH1061" s="989"/>
      <c r="DI1061" s="989"/>
      <c r="DJ1061" s="989"/>
      <c r="DK1061" s="989"/>
      <c r="DL1061" s="989"/>
      <c r="DM1061" s="989"/>
      <c r="DN1061" s="989"/>
      <c r="DO1061" s="989"/>
      <c r="DP1061" s="989"/>
      <c r="DQ1061" s="989"/>
      <c r="DR1061" s="989"/>
      <c r="DS1061" s="989"/>
      <c r="DT1061" s="989"/>
      <c r="DU1061" s="989"/>
      <c r="DV1061" s="989"/>
      <c r="DW1061" s="989"/>
      <c r="DX1061" s="989"/>
      <c r="DY1061" s="989"/>
      <c r="DZ1061" s="989"/>
      <c r="EA1061" s="989"/>
      <c r="EB1061" s="989"/>
      <c r="EC1061" s="989"/>
      <c r="ED1061" s="989"/>
      <c r="EE1061" s="989"/>
      <c r="EF1061" s="989"/>
      <c r="EG1061" s="989"/>
      <c r="EH1061" s="989"/>
      <c r="EI1061" s="989"/>
      <c r="EJ1061" s="989"/>
      <c r="EK1061" s="989"/>
      <c r="EL1061" s="989"/>
      <c r="EM1061" s="989"/>
      <c r="EN1061" s="989"/>
      <c r="EO1061" s="989"/>
      <c r="EP1061" s="989"/>
      <c r="EQ1061" s="989"/>
      <c r="ER1061" s="989"/>
      <c r="ES1061" s="989"/>
      <c r="ET1061" s="989"/>
      <c r="EU1061" s="989"/>
      <c r="EV1061" s="989"/>
      <c r="EW1061" s="989"/>
      <c r="EX1061" s="989"/>
      <c r="EY1061" s="989"/>
      <c r="EZ1061" s="989"/>
      <c r="FA1061" s="989"/>
      <c r="FB1061" s="989"/>
      <c r="FC1061" s="989"/>
      <c r="FD1061" s="989"/>
      <c r="FE1061" s="989"/>
      <c r="FF1061" s="989"/>
      <c r="FG1061" s="989"/>
      <c r="FH1061" s="989"/>
      <c r="FI1061" s="989"/>
      <c r="FJ1061" s="989"/>
      <c r="FK1061" s="989"/>
      <c r="FL1061" s="989"/>
      <c r="FM1061" s="989"/>
      <c r="FN1061" s="989"/>
      <c r="FO1061" s="989"/>
      <c r="FP1061" s="989"/>
      <c r="FQ1061" s="989"/>
      <c r="FR1061" s="989"/>
      <c r="FS1061" s="989"/>
      <c r="FT1061" s="989"/>
      <c r="FU1061" s="989"/>
      <c r="FV1061" s="989"/>
      <c r="FW1061" s="989"/>
      <c r="FX1061" s="989"/>
      <c r="FY1061" s="989"/>
      <c r="FZ1061" s="989"/>
      <c r="GA1061" s="989"/>
      <c r="GB1061" s="989"/>
      <c r="GC1061" s="989"/>
      <c r="GD1061" s="989"/>
      <c r="GE1061" s="989"/>
      <c r="GF1061" s="989"/>
      <c r="GG1061" s="989"/>
      <c r="GH1061" s="989"/>
      <c r="GI1061" s="989"/>
      <c r="GJ1061" s="989"/>
      <c r="GK1061" s="989"/>
      <c r="GL1061" s="989"/>
      <c r="GM1061" s="989"/>
      <c r="GN1061" s="989"/>
      <c r="GO1061" s="989"/>
      <c r="GP1061" s="989"/>
      <c r="GQ1061" s="989"/>
      <c r="GR1061" s="989"/>
      <c r="GS1061" s="989"/>
      <c r="GT1061" s="989"/>
      <c r="GU1061" s="989"/>
      <c r="GV1061" s="989"/>
      <c r="GW1061" s="989"/>
      <c r="GX1061" s="989"/>
      <c r="GY1061" s="989"/>
      <c r="GZ1061" s="989"/>
      <c r="HA1061" s="989"/>
      <c r="HB1061" s="989"/>
      <c r="HC1061" s="989"/>
      <c r="HD1061" s="989"/>
      <c r="HE1061" s="989"/>
      <c r="HF1061" s="989"/>
      <c r="HG1061" s="989"/>
      <c r="HH1061" s="989"/>
      <c r="HI1061" s="989"/>
      <c r="HJ1061" s="989"/>
      <c r="HK1061" s="989"/>
      <c r="HL1061" s="989"/>
      <c r="HM1061" s="989"/>
      <c r="HN1061" s="989"/>
      <c r="HO1061" s="989"/>
      <c r="HP1061" s="989"/>
      <c r="HQ1061" s="989"/>
      <c r="HR1061" s="989"/>
      <c r="HS1061" s="989"/>
      <c r="HT1061" s="989"/>
      <c r="HU1061" s="989"/>
      <c r="HV1061" s="989"/>
      <c r="HW1061" s="989"/>
      <c r="HX1061" s="989"/>
      <c r="HY1061" s="989"/>
      <c r="HZ1061" s="989"/>
      <c r="IA1061" s="989"/>
      <c r="IB1061" s="989"/>
      <c r="IC1061" s="989"/>
      <c r="ID1061" s="989"/>
      <c r="IE1061" s="989"/>
      <c r="IF1061" s="989"/>
      <c r="IG1061" s="989"/>
      <c r="IH1061" s="989"/>
      <c r="II1061" s="989"/>
      <c r="IJ1061" s="989"/>
      <c r="IK1061" s="989"/>
      <c r="IL1061" s="989"/>
      <c r="IM1061" s="989"/>
      <c r="IN1061" s="989"/>
      <c r="IO1061" s="989"/>
      <c r="IP1061" s="989"/>
      <c r="IQ1061" s="989"/>
      <c r="IR1061" s="989"/>
      <c r="IS1061" s="989"/>
      <c r="IT1061" s="989"/>
      <c r="IU1061" s="989"/>
      <c r="IV1061" s="989"/>
      <c r="IW1061" s="989"/>
      <c r="IX1061" s="989"/>
      <c r="IY1061" s="989"/>
      <c r="IZ1061" s="989"/>
      <c r="JA1061" s="989"/>
      <c r="JB1061" s="989"/>
      <c r="JC1061" s="989"/>
      <c r="JD1061" s="989"/>
      <c r="JE1061" s="989"/>
      <c r="JF1061" s="989"/>
      <c r="JG1061" s="989"/>
      <c r="JH1061" s="989"/>
      <c r="JI1061" s="989"/>
      <c r="JJ1061" s="989"/>
      <c r="JK1061" s="989"/>
      <c r="JL1061" s="989"/>
      <c r="JM1061" s="989"/>
      <c r="JN1061" s="989"/>
      <c r="JO1061" s="989"/>
      <c r="JP1061" s="989"/>
      <c r="JQ1061" s="989"/>
      <c r="JR1061" s="989"/>
      <c r="JS1061" s="989"/>
      <c r="JT1061" s="989"/>
      <c r="JU1061" s="989"/>
      <c r="JV1061" s="989"/>
      <c r="JW1061" s="989"/>
      <c r="JX1061" s="989"/>
      <c r="JY1061" s="989"/>
      <c r="JZ1061" s="989"/>
      <c r="KA1061" s="989"/>
      <c r="KB1061" s="989"/>
      <c r="KC1061" s="989"/>
      <c r="KD1061" s="989"/>
      <c r="KE1061" s="989"/>
      <c r="KF1061" s="989"/>
      <c r="KG1061" s="989"/>
      <c r="KH1061" s="989"/>
      <c r="KI1061" s="989"/>
      <c r="KJ1061" s="989"/>
      <c r="KK1061" s="989"/>
      <c r="KL1061" s="989"/>
      <c r="KM1061" s="989"/>
      <c r="KN1061" s="989"/>
      <c r="KO1061" s="989"/>
      <c r="KP1061" s="989"/>
      <c r="KQ1061" s="989"/>
      <c r="KR1061" s="989"/>
      <c r="KS1061" s="989"/>
      <c r="KT1061" s="989"/>
      <c r="KU1061" s="989"/>
      <c r="KV1061" s="989"/>
      <c r="KW1061" s="989"/>
      <c r="KX1061" s="989"/>
      <c r="KY1061" s="989"/>
      <c r="KZ1061" s="989"/>
      <c r="LA1061" s="989"/>
      <c r="LB1061" s="989"/>
      <c r="LC1061" s="989"/>
      <c r="LD1061" s="989"/>
      <c r="LE1061" s="989"/>
      <c r="LF1061" s="989"/>
      <c r="LG1061" s="989"/>
      <c r="LH1061" s="989"/>
      <c r="LI1061" s="989"/>
      <c r="LJ1061" s="989"/>
      <c r="LK1061" s="989"/>
      <c r="LL1061" s="989"/>
      <c r="LM1061" s="989"/>
      <c r="LN1061" s="989"/>
      <c r="LO1061" s="989"/>
      <c r="LP1061" s="989"/>
      <c r="LQ1061" s="989"/>
      <c r="LR1061" s="989"/>
      <c r="LS1061" s="989"/>
      <c r="LT1061" s="989"/>
      <c r="LU1061" s="989"/>
      <c r="LV1061" s="989"/>
      <c r="LW1061" s="989"/>
      <c r="LX1061" s="989"/>
      <c r="LY1061" s="989"/>
      <c r="LZ1061" s="989"/>
      <c r="MA1061" s="989"/>
      <c r="MB1061" s="989"/>
      <c r="MC1061" s="989"/>
      <c r="MD1061" s="989"/>
      <c r="ME1061" s="989"/>
      <c r="MF1061" s="989"/>
      <c r="MG1061" s="989"/>
      <c r="MH1061" s="989"/>
      <c r="MI1061" s="989"/>
      <c r="MJ1061" s="989"/>
      <c r="MK1061" s="989"/>
      <c r="ML1061" s="989"/>
      <c r="MM1061" s="989"/>
      <c r="MN1061" s="989"/>
      <c r="MO1061" s="989"/>
      <c r="MP1061" s="989"/>
      <c r="MQ1061" s="989"/>
      <c r="MR1061" s="989"/>
      <c r="MS1061" s="989"/>
      <c r="MT1061" s="989"/>
      <c r="MU1061" s="989"/>
      <c r="MV1061" s="989"/>
      <c r="MW1061" s="989"/>
      <c r="MX1061" s="989"/>
      <c r="MY1061" s="989"/>
      <c r="MZ1061" s="989"/>
      <c r="NA1061" s="989"/>
      <c r="NB1061" s="989"/>
      <c r="NC1061" s="989"/>
      <c r="ND1061" s="989"/>
      <c r="NE1061" s="989"/>
      <c r="NF1061" s="989"/>
      <c r="NG1061" s="989"/>
      <c r="NH1061" s="989"/>
      <c r="NI1061" s="989"/>
      <c r="NJ1061" s="989"/>
      <c r="NK1061" s="989"/>
      <c r="NL1061" s="989"/>
      <c r="NM1061" s="989"/>
      <c r="NN1061" s="989"/>
      <c r="NO1061" s="989"/>
      <c r="NP1061" s="989"/>
      <c r="NQ1061" s="989"/>
      <c r="NR1061" s="989"/>
      <c r="NS1061" s="989"/>
      <c r="NT1061" s="989"/>
      <c r="NU1061" s="989"/>
      <c r="NV1061" s="989"/>
      <c r="NW1061" s="989"/>
      <c r="NX1061" s="989"/>
      <c r="NY1061" s="989"/>
      <c r="NZ1061" s="989"/>
      <c r="OA1061" s="989"/>
      <c r="OB1061" s="989"/>
      <c r="OC1061" s="989"/>
      <c r="OD1061" s="989"/>
      <c r="OE1061" s="989"/>
      <c r="OF1061" s="989"/>
      <c r="OG1061" s="989"/>
      <c r="OH1061" s="989"/>
      <c r="OI1061" s="989"/>
      <c r="OJ1061" s="989"/>
      <c r="OK1061" s="989"/>
      <c r="OL1061" s="989"/>
      <c r="OM1061" s="989"/>
      <c r="ON1061" s="989"/>
      <c r="OO1061" s="989"/>
      <c r="OP1061" s="989"/>
      <c r="OQ1061" s="989"/>
      <c r="OR1061" s="989"/>
      <c r="OS1061" s="989"/>
      <c r="OT1061" s="989"/>
      <c r="OU1061" s="989"/>
      <c r="OV1061" s="989"/>
      <c r="OW1061" s="989"/>
      <c r="OX1061" s="989"/>
      <c r="OY1061" s="989"/>
      <c r="OZ1061" s="989"/>
      <c r="PA1061" s="989"/>
      <c r="PB1061" s="989"/>
      <c r="PC1061" s="989"/>
      <c r="PD1061" s="989"/>
      <c r="PE1061" s="989"/>
      <c r="PF1061" s="989"/>
      <c r="PG1061" s="989"/>
      <c r="PH1061" s="989"/>
      <c r="PI1061" s="989"/>
      <c r="PJ1061" s="989"/>
      <c r="PK1061" s="989"/>
      <c r="PL1061" s="989"/>
      <c r="PM1061" s="989"/>
      <c r="PN1061" s="989"/>
      <c r="PO1061" s="989"/>
      <c r="PP1061" s="989"/>
      <c r="PQ1061" s="989"/>
      <c r="PR1061" s="989"/>
      <c r="PS1061" s="989"/>
      <c r="PT1061" s="989"/>
      <c r="PU1061" s="989"/>
      <c r="PV1061" s="989"/>
      <c r="PW1061" s="989"/>
      <c r="PX1061" s="989"/>
      <c r="PY1061" s="989"/>
      <c r="PZ1061" s="989"/>
      <c r="QA1061" s="989"/>
      <c r="QB1061" s="989"/>
      <c r="QC1061" s="989"/>
      <c r="QD1061" s="989"/>
      <c r="QE1061" s="989"/>
      <c r="QF1061" s="989"/>
      <c r="QG1061" s="989"/>
      <c r="QH1061" s="989"/>
      <c r="QI1061" s="989"/>
      <c r="QJ1061" s="989"/>
      <c r="QK1061" s="989"/>
      <c r="QL1061" s="989"/>
      <c r="QM1061" s="989"/>
      <c r="QN1061" s="989"/>
      <c r="QO1061" s="989"/>
      <c r="QP1061" s="989"/>
      <c r="QQ1061" s="989"/>
      <c r="QR1061" s="989"/>
      <c r="QS1061" s="989"/>
      <c r="QT1061" s="989"/>
      <c r="QU1061" s="989"/>
      <c r="QV1061" s="989"/>
      <c r="QW1061" s="989"/>
      <c r="QX1061" s="989"/>
      <c r="QY1061" s="989"/>
      <c r="QZ1061" s="989"/>
      <c r="RA1061" s="989"/>
      <c r="RB1061" s="989"/>
      <c r="RC1061" s="989"/>
      <c r="RD1061" s="989"/>
      <c r="RE1061" s="989"/>
      <c r="RF1061" s="989"/>
      <c r="RG1061" s="989"/>
      <c r="RH1061" s="989"/>
      <c r="RI1061" s="989"/>
      <c r="RJ1061" s="989"/>
      <c r="RK1061" s="989"/>
      <c r="RL1061" s="989"/>
      <c r="RM1061" s="989"/>
      <c r="RN1061" s="989"/>
      <c r="RO1061" s="989"/>
      <c r="RP1061" s="989"/>
      <c r="RQ1061" s="989"/>
      <c r="RR1061" s="989"/>
      <c r="RS1061" s="989"/>
      <c r="RT1061" s="989"/>
      <c r="RU1061" s="989"/>
      <c r="RV1061" s="989"/>
      <c r="RW1061" s="989"/>
      <c r="RX1061" s="989"/>
      <c r="RY1061" s="989"/>
      <c r="RZ1061" s="989"/>
      <c r="SA1061" s="989"/>
      <c r="SB1061" s="989"/>
      <c r="SC1061" s="989"/>
      <c r="SD1061" s="989"/>
      <c r="SE1061" s="989"/>
      <c r="SF1061" s="989"/>
      <c r="SG1061" s="989"/>
      <c r="SH1061" s="989"/>
      <c r="SI1061" s="989"/>
      <c r="SJ1061" s="989"/>
      <c r="SK1061" s="989"/>
      <c r="SL1061" s="989"/>
      <c r="SM1061" s="989"/>
      <c r="SN1061" s="989"/>
      <c r="SO1061" s="989"/>
      <c r="SP1061" s="989"/>
      <c r="SQ1061" s="989"/>
      <c r="SR1061" s="989"/>
      <c r="SS1061" s="989"/>
      <c r="ST1061" s="989"/>
      <c r="SU1061" s="989"/>
      <c r="SV1061" s="989"/>
      <c r="SW1061" s="989"/>
      <c r="SX1061" s="989"/>
      <c r="SY1061" s="989"/>
      <c r="SZ1061" s="989"/>
      <c r="TA1061" s="989"/>
      <c r="TB1061" s="989"/>
      <c r="TC1061" s="989"/>
      <c r="TD1061" s="989"/>
      <c r="TE1061" s="989"/>
      <c r="TF1061" s="989"/>
      <c r="TG1061" s="989"/>
      <c r="TH1061" s="989"/>
      <c r="TI1061" s="989"/>
      <c r="TJ1061" s="989"/>
      <c r="TK1061" s="989"/>
      <c r="TL1061" s="989"/>
      <c r="TM1061" s="989"/>
      <c r="TN1061" s="989"/>
      <c r="TO1061" s="989"/>
      <c r="TP1061" s="989"/>
      <c r="TQ1061" s="989"/>
      <c r="TR1061" s="989"/>
      <c r="TS1061" s="989"/>
      <c r="TT1061" s="989"/>
      <c r="TU1061" s="989"/>
      <c r="TV1061" s="989"/>
      <c r="TW1061" s="989"/>
      <c r="TX1061" s="989"/>
      <c r="TY1061" s="989"/>
      <c r="TZ1061" s="989"/>
      <c r="UA1061" s="989"/>
      <c r="UB1061" s="989"/>
      <c r="UC1061" s="989"/>
      <c r="UD1061" s="989"/>
      <c r="UE1061" s="989"/>
      <c r="UF1061" s="989"/>
      <c r="UG1061" s="989"/>
      <c r="UH1061" s="989"/>
      <c r="UI1061" s="989"/>
      <c r="UJ1061" s="989"/>
      <c r="UK1061" s="989"/>
      <c r="UL1061" s="989"/>
      <c r="UM1061" s="989"/>
      <c r="UN1061" s="989"/>
      <c r="UO1061" s="989"/>
      <c r="UP1061" s="989"/>
      <c r="UQ1061" s="989"/>
      <c r="UR1061" s="989"/>
      <c r="US1061" s="989"/>
      <c r="UT1061" s="989"/>
      <c r="UU1061" s="989"/>
      <c r="UV1061" s="989"/>
      <c r="UW1061" s="989"/>
      <c r="UX1061" s="989"/>
      <c r="UY1061" s="989"/>
      <c r="UZ1061" s="989"/>
      <c r="VA1061" s="989"/>
      <c r="VB1061" s="989"/>
      <c r="VC1061" s="989"/>
      <c r="VD1061" s="989"/>
      <c r="VE1061" s="989"/>
      <c r="VF1061" s="989"/>
      <c r="VG1061" s="989"/>
      <c r="VH1061" s="989"/>
      <c r="VI1061" s="989"/>
      <c r="VJ1061" s="989"/>
      <c r="VK1061" s="989"/>
      <c r="VL1061" s="989"/>
      <c r="VM1061" s="989"/>
      <c r="VN1061" s="989"/>
      <c r="VO1061" s="989"/>
      <c r="VP1061" s="989"/>
      <c r="VQ1061" s="989"/>
      <c r="VR1061" s="989"/>
      <c r="VS1061" s="989"/>
      <c r="VT1061" s="989"/>
      <c r="VU1061" s="989"/>
      <c r="VV1061" s="989"/>
      <c r="VW1061" s="989"/>
      <c r="VX1061" s="989"/>
      <c r="VY1061" s="989"/>
      <c r="VZ1061" s="989"/>
      <c r="WA1061" s="989"/>
      <c r="WB1061" s="989"/>
      <c r="WC1061" s="989"/>
      <c r="WD1061" s="989"/>
      <c r="WE1061" s="989"/>
      <c r="WF1061" s="989"/>
      <c r="WG1061" s="989"/>
      <c r="WH1061" s="989"/>
      <c r="WI1061" s="989"/>
      <c r="WJ1061" s="989"/>
      <c r="WK1061" s="989"/>
      <c r="WL1061" s="989"/>
      <c r="WM1061" s="989"/>
      <c r="WN1061" s="989"/>
      <c r="WO1061" s="989"/>
      <c r="WP1061" s="989"/>
      <c r="WQ1061" s="989"/>
      <c r="WR1061" s="989"/>
      <c r="WS1061" s="989"/>
      <c r="WT1061" s="989"/>
      <c r="WU1061" s="989"/>
      <c r="WV1061" s="989"/>
      <c r="WW1061" s="989"/>
      <c r="WX1061" s="989"/>
      <c r="WY1061" s="989"/>
      <c r="WZ1061" s="989"/>
      <c r="XA1061" s="989"/>
      <c r="XB1061" s="989"/>
      <c r="XC1061" s="989"/>
      <c r="XD1061" s="989"/>
      <c r="XE1061" s="989"/>
      <c r="XF1061" s="989"/>
      <c r="XG1061" s="989"/>
      <c r="XH1061" s="989"/>
      <c r="XI1061" s="989"/>
      <c r="XJ1061" s="989"/>
      <c r="XK1061" s="989"/>
      <c r="XL1061" s="989"/>
      <c r="XM1061" s="989"/>
      <c r="XN1061" s="989"/>
      <c r="XO1061" s="989"/>
      <c r="XP1061" s="989"/>
      <c r="XQ1061" s="989"/>
      <c r="XR1061" s="989"/>
      <c r="XS1061" s="989"/>
      <c r="XT1061" s="989"/>
      <c r="XU1061" s="989"/>
      <c r="XV1061" s="989"/>
      <c r="XW1061" s="989"/>
      <c r="XX1061" s="989"/>
      <c r="XY1061" s="989"/>
      <c r="XZ1061" s="989"/>
      <c r="YA1061" s="989"/>
      <c r="YB1061" s="989"/>
      <c r="YC1061" s="989"/>
      <c r="YD1061" s="989"/>
      <c r="YE1061" s="989"/>
      <c r="YF1061" s="989"/>
      <c r="YG1061" s="989"/>
      <c r="YH1061" s="989"/>
      <c r="YI1061" s="989"/>
      <c r="YJ1061" s="989"/>
      <c r="YK1061" s="989"/>
      <c r="YL1061" s="989"/>
      <c r="YM1061" s="989"/>
      <c r="YN1061" s="989"/>
      <c r="YO1061" s="989"/>
      <c r="YP1061" s="989"/>
      <c r="YQ1061" s="989"/>
      <c r="YR1061" s="989"/>
      <c r="YS1061" s="989"/>
      <c r="YT1061" s="989"/>
      <c r="YU1061" s="989"/>
      <c r="YV1061" s="989"/>
      <c r="YW1061" s="989"/>
      <c r="YX1061" s="989"/>
      <c r="YY1061" s="989"/>
      <c r="YZ1061" s="989"/>
      <c r="ZA1061" s="989"/>
      <c r="ZB1061" s="989"/>
      <c r="ZC1061" s="989"/>
      <c r="ZD1061" s="989"/>
      <c r="ZE1061" s="989"/>
      <c r="ZF1061" s="989"/>
      <c r="ZG1061" s="989"/>
      <c r="ZH1061" s="989"/>
      <c r="ZI1061" s="989"/>
      <c r="ZJ1061" s="989"/>
      <c r="ZK1061" s="989"/>
      <c r="ZL1061" s="989"/>
      <c r="ZM1061" s="989"/>
      <c r="ZN1061" s="989"/>
      <c r="ZO1061" s="989"/>
      <c r="ZP1061" s="989"/>
      <c r="ZQ1061" s="989"/>
      <c r="ZR1061" s="989"/>
      <c r="ZS1061" s="989"/>
      <c r="ZT1061" s="989"/>
      <c r="ZU1061" s="989"/>
      <c r="ZV1061" s="989"/>
      <c r="ZW1061" s="989"/>
      <c r="ZX1061" s="989"/>
      <c r="ZY1061" s="989"/>
      <c r="ZZ1061" s="989"/>
      <c r="AAA1061" s="989"/>
      <c r="AAB1061" s="989"/>
      <c r="AAC1061" s="989"/>
      <c r="AAD1061" s="989"/>
      <c r="AAE1061" s="989"/>
      <c r="AAF1061" s="989"/>
      <c r="AAG1061" s="989"/>
      <c r="AAH1061" s="989"/>
      <c r="AAI1061" s="989"/>
      <c r="AAJ1061" s="989"/>
      <c r="AAK1061" s="989"/>
      <c r="AAL1061" s="989"/>
      <c r="AAM1061" s="989"/>
      <c r="AAN1061" s="989"/>
      <c r="AAO1061" s="989"/>
      <c r="AAP1061" s="989"/>
      <c r="AAQ1061" s="989"/>
      <c r="AAR1061" s="989"/>
      <c r="AAS1061" s="989"/>
      <c r="AAT1061" s="989"/>
      <c r="AAU1061" s="989"/>
      <c r="AAV1061" s="989"/>
      <c r="AAW1061" s="989"/>
      <c r="AAX1061" s="989"/>
      <c r="AAY1061" s="989"/>
      <c r="AAZ1061" s="989"/>
      <c r="ABA1061" s="989"/>
      <c r="ABB1061" s="989"/>
      <c r="ABC1061" s="989"/>
      <c r="ABD1061" s="989"/>
      <c r="ABE1061" s="989"/>
      <c r="ABF1061" s="989"/>
      <c r="ABG1061" s="989"/>
      <c r="ABH1061" s="989"/>
      <c r="ABI1061" s="989"/>
      <c r="ABJ1061" s="989"/>
      <c r="ABK1061" s="989"/>
      <c r="ABL1061" s="989"/>
      <c r="ABM1061" s="989"/>
      <c r="ABN1061" s="989"/>
      <c r="ABO1061" s="989"/>
      <c r="ABP1061" s="989"/>
      <c r="ABQ1061" s="989"/>
      <c r="ABR1061" s="989"/>
      <c r="ABS1061" s="989"/>
      <c r="ABT1061" s="989"/>
      <c r="ABU1061" s="989"/>
      <c r="ABV1061" s="989"/>
      <c r="ABW1061" s="989"/>
      <c r="ABX1061" s="989"/>
      <c r="ABY1061" s="989"/>
      <c r="ABZ1061" s="989"/>
      <c r="ACA1061" s="989"/>
      <c r="ACB1061" s="989"/>
      <c r="ACC1061" s="989"/>
      <c r="ACD1061" s="989"/>
      <c r="ACE1061" s="989"/>
      <c r="ACF1061" s="989"/>
      <c r="ACG1061" s="989"/>
      <c r="ACH1061" s="989"/>
      <c r="ACI1061" s="989"/>
      <c r="ACJ1061" s="989"/>
      <c r="ACK1061" s="989"/>
      <c r="ACL1061" s="989"/>
      <c r="ACM1061" s="989"/>
      <c r="ACN1061" s="989"/>
      <c r="ACO1061" s="989"/>
      <c r="ACP1061" s="989"/>
      <c r="ACQ1061" s="989"/>
      <c r="ACR1061" s="989"/>
      <c r="ACS1061" s="989"/>
      <c r="ACT1061" s="989"/>
      <c r="ACU1061" s="989"/>
      <c r="ACV1061" s="989"/>
      <c r="ACW1061" s="989"/>
      <c r="ACX1061" s="989"/>
      <c r="ACY1061" s="989"/>
      <c r="ACZ1061" s="989"/>
      <c r="ADA1061" s="989"/>
      <c r="ADB1061" s="989"/>
      <c r="ADC1061" s="989"/>
      <c r="ADD1061" s="989"/>
      <c r="ADE1061" s="989"/>
      <c r="ADF1061" s="989"/>
      <c r="ADG1061" s="989"/>
      <c r="ADH1061" s="989"/>
      <c r="ADI1061" s="989"/>
      <c r="ADJ1061" s="989"/>
      <c r="ADK1061" s="989"/>
      <c r="ADL1061" s="989"/>
      <c r="ADM1061" s="989"/>
      <c r="ADN1061" s="989"/>
      <c r="ADO1061" s="989"/>
      <c r="ADP1061" s="989"/>
      <c r="ADQ1061" s="989"/>
      <c r="ADR1061" s="989"/>
      <c r="ADS1061" s="989"/>
      <c r="ADT1061" s="989"/>
      <c r="ADU1061" s="989"/>
      <c r="ADV1061" s="989"/>
      <c r="ADW1061" s="989"/>
      <c r="ADX1061" s="989"/>
      <c r="ADY1061" s="989"/>
      <c r="ADZ1061" s="989"/>
      <c r="AEA1061" s="989"/>
      <c r="AEB1061" s="989"/>
      <c r="AEC1061" s="989"/>
      <c r="AED1061" s="989"/>
      <c r="AEE1061" s="989"/>
      <c r="AEF1061" s="989"/>
      <c r="AEG1061" s="989"/>
      <c r="AEH1061" s="989"/>
      <c r="AEI1061" s="989"/>
      <c r="AEJ1061" s="989"/>
      <c r="AEK1061" s="989"/>
      <c r="AEL1061" s="989"/>
      <c r="AEM1061" s="989"/>
      <c r="AEN1061" s="989"/>
      <c r="AEO1061" s="989"/>
      <c r="AEP1061" s="989"/>
      <c r="AEQ1061" s="989"/>
      <c r="AER1061" s="989"/>
      <c r="AES1061" s="989"/>
      <c r="AET1061" s="989"/>
      <c r="AEU1061" s="989"/>
      <c r="AEV1061" s="989"/>
      <c r="AEW1061" s="989"/>
      <c r="AEX1061" s="989"/>
      <c r="AEY1061" s="989"/>
      <c r="AEZ1061" s="989"/>
      <c r="AFA1061" s="989"/>
      <c r="AFB1061" s="989"/>
      <c r="AFC1061" s="989"/>
      <c r="AFD1061" s="989"/>
      <c r="AFE1061" s="989"/>
      <c r="AFF1061" s="989"/>
      <c r="AFG1061" s="989"/>
      <c r="AFH1061" s="989"/>
      <c r="AFI1061" s="989"/>
      <c r="AFJ1061" s="989"/>
      <c r="AFK1061" s="989"/>
      <c r="AFL1061" s="989"/>
      <c r="AFM1061" s="989"/>
      <c r="AFN1061" s="989"/>
      <c r="AFO1061" s="989"/>
      <c r="AFP1061" s="989"/>
      <c r="AFQ1061" s="989"/>
      <c r="AFR1061" s="989"/>
      <c r="AFS1061" s="989"/>
      <c r="AFT1061" s="989"/>
      <c r="AFU1061" s="989"/>
      <c r="AFV1061" s="989"/>
      <c r="AFW1061" s="989"/>
      <c r="AFX1061" s="989"/>
      <c r="AFY1061" s="989"/>
      <c r="AFZ1061" s="989"/>
      <c r="AGA1061" s="989"/>
      <c r="AGB1061" s="989"/>
      <c r="AGC1061" s="989"/>
      <c r="AGD1061" s="989"/>
      <c r="AGE1061" s="989"/>
      <c r="AGF1061" s="989"/>
      <c r="AGG1061" s="989"/>
      <c r="AGH1061" s="989"/>
      <c r="AGI1061" s="989"/>
      <c r="AGJ1061" s="989"/>
      <c r="AGK1061" s="989"/>
      <c r="AGL1061" s="989"/>
      <c r="AGM1061" s="989"/>
      <c r="AGN1061" s="989"/>
      <c r="AGO1061" s="989"/>
      <c r="AGP1061" s="989"/>
      <c r="AGQ1061" s="989"/>
      <c r="AGR1061" s="989"/>
      <c r="AGS1061" s="989"/>
      <c r="AGT1061" s="989"/>
      <c r="AGU1061" s="989"/>
      <c r="AGV1061" s="989"/>
      <c r="AGW1061" s="989"/>
      <c r="AGX1061" s="989"/>
      <c r="AGY1061" s="989"/>
      <c r="AGZ1061" s="989"/>
      <c r="AHA1061" s="989"/>
      <c r="AHB1061" s="989"/>
      <c r="AHC1061" s="989"/>
      <c r="AHD1061" s="989"/>
      <c r="AHE1061" s="989"/>
      <c r="AHF1061" s="989"/>
      <c r="AHG1061" s="989"/>
      <c r="AHH1061" s="989"/>
      <c r="AHI1061" s="989"/>
      <c r="AHJ1061" s="989"/>
      <c r="AHK1061" s="989"/>
      <c r="AHL1061" s="989"/>
      <c r="AHM1061" s="989"/>
      <c r="AHN1061" s="989"/>
      <c r="AHO1061" s="989"/>
      <c r="AHP1061" s="989"/>
      <c r="AHQ1061" s="989"/>
      <c r="AHR1061" s="989"/>
      <c r="AHS1061" s="989"/>
      <c r="AHT1061" s="989"/>
      <c r="AHU1061" s="989"/>
      <c r="AHV1061" s="989"/>
      <c r="AHW1061" s="989"/>
      <c r="AHX1061" s="989"/>
      <c r="AHY1061" s="989"/>
      <c r="AHZ1061" s="989"/>
      <c r="AIA1061" s="989"/>
      <c r="AIB1061" s="989"/>
      <c r="AIC1061" s="989"/>
      <c r="AID1061" s="989"/>
      <c r="AIE1061" s="989"/>
      <c r="AIF1061" s="989"/>
      <c r="AIG1061" s="989"/>
      <c r="AIH1061" s="989"/>
      <c r="AII1061" s="989"/>
      <c r="AIJ1061" s="989"/>
      <c r="AIK1061" s="989"/>
      <c r="AIL1061" s="989"/>
      <c r="AIM1061" s="989"/>
      <c r="AIN1061" s="989"/>
      <c r="AIO1061" s="989"/>
      <c r="AIP1061" s="989"/>
      <c r="AIQ1061" s="989"/>
      <c r="AIR1061" s="989"/>
      <c r="AIS1061" s="989"/>
      <c r="AIT1061" s="989"/>
      <c r="AIU1061" s="989"/>
      <c r="AIV1061" s="989"/>
      <c r="AIW1061" s="989"/>
      <c r="AIX1061" s="989"/>
      <c r="AIY1061" s="989"/>
      <c r="AIZ1061" s="989"/>
      <c r="AJA1061" s="989"/>
      <c r="AJB1061" s="989"/>
      <c r="AJC1061" s="989"/>
      <c r="AJD1061" s="989"/>
      <c r="AJE1061" s="989"/>
      <c r="AJF1061" s="989"/>
      <c r="AJG1061" s="989"/>
      <c r="AJH1061" s="989"/>
      <c r="AJI1061" s="989"/>
      <c r="AJJ1061" s="989"/>
      <c r="AJK1061" s="989"/>
      <c r="AJL1061" s="989"/>
      <c r="AJM1061" s="989"/>
      <c r="AJN1061" s="989"/>
      <c r="AJO1061" s="989"/>
      <c r="AJP1061" s="989"/>
      <c r="AJQ1061" s="989"/>
      <c r="AJR1061" s="989"/>
      <c r="AJS1061" s="989"/>
      <c r="AJT1061" s="989"/>
      <c r="AJU1061" s="989"/>
      <c r="AJV1061" s="989"/>
      <c r="AJW1061" s="989"/>
      <c r="AJX1061" s="989"/>
      <c r="AJY1061" s="989"/>
      <c r="AJZ1061" s="989"/>
      <c r="AKA1061" s="989"/>
      <c r="AKB1061" s="989"/>
      <c r="AKC1061" s="989"/>
      <c r="AKD1061" s="989"/>
      <c r="AKE1061" s="989"/>
      <c r="AKF1061" s="989"/>
      <c r="AKG1061" s="989"/>
      <c r="AKH1061" s="989"/>
      <c r="AKI1061" s="989"/>
      <c r="AKJ1061" s="989"/>
      <c r="AKK1061" s="989"/>
      <c r="AKL1061" s="989"/>
      <c r="AKM1061" s="989"/>
      <c r="AKN1061" s="989"/>
      <c r="AKO1061" s="989"/>
      <c r="AKP1061" s="989"/>
      <c r="AKQ1061" s="989"/>
      <c r="AKR1061" s="989"/>
      <c r="AKS1061" s="989"/>
      <c r="AKT1061" s="989"/>
      <c r="AKU1061" s="989"/>
      <c r="AKV1061" s="989"/>
      <c r="AKW1061" s="989"/>
      <c r="AKX1061" s="989"/>
      <c r="AKY1061" s="989"/>
      <c r="AKZ1061" s="989"/>
      <c r="ALA1061" s="989"/>
      <c r="ALB1061" s="989"/>
      <c r="ALC1061" s="989"/>
      <c r="ALD1061" s="989"/>
      <c r="ALE1061" s="989"/>
      <c r="ALF1061" s="989"/>
      <c r="ALG1061" s="989"/>
      <c r="ALH1061" s="989"/>
      <c r="ALI1061" s="989"/>
      <c r="ALJ1061" s="989"/>
      <c r="ALK1061" s="989"/>
      <c r="ALL1061" s="989"/>
      <c r="ALM1061" s="989"/>
      <c r="ALN1061" s="989"/>
      <c r="ALO1061" s="989"/>
      <c r="ALP1061" s="989"/>
      <c r="ALQ1061" s="989"/>
      <c r="ALR1061" s="989"/>
      <c r="ALS1061" s="989"/>
      <c r="ALT1061" s="989"/>
      <c r="ALU1061" s="989"/>
      <c r="ALV1061" s="989"/>
      <c r="ALW1061" s="989"/>
      <c r="ALX1061" s="989"/>
      <c r="ALY1061" s="989"/>
      <c r="ALZ1061" s="989"/>
      <c r="AMA1061" s="989"/>
      <c r="AMB1061" s="989"/>
      <c r="AMC1061" s="989"/>
      <c r="AMD1061" s="989"/>
      <c r="AME1061" s="989"/>
      <c r="AMF1061" s="989"/>
      <c r="AMG1061" s="989"/>
      <c r="AMH1061" s="989"/>
      <c r="AMI1061" s="989"/>
      <c r="AMJ1061" s="989"/>
      <c r="AMK1061" s="989"/>
      <c r="AML1061" s="989"/>
      <c r="AMM1061" s="989"/>
      <c r="AMN1061" s="989"/>
      <c r="AMO1061" s="989"/>
      <c r="AMP1061" s="989"/>
      <c r="AMQ1061" s="989"/>
      <c r="AMR1061" s="989"/>
      <c r="AMS1061" s="989"/>
      <c r="AMT1061" s="989"/>
      <c r="AMU1061" s="989"/>
      <c r="AMV1061" s="989"/>
      <c r="AMW1061" s="989"/>
      <c r="AMX1061" s="989"/>
      <c r="AMY1061" s="989"/>
      <c r="AMZ1061" s="989"/>
      <c r="ANA1061" s="989"/>
      <c r="ANB1061" s="989"/>
      <c r="ANC1061" s="989"/>
      <c r="AND1061" s="989"/>
      <c r="ANE1061" s="989"/>
      <c r="ANF1061" s="989"/>
      <c r="ANG1061" s="989"/>
      <c r="ANH1061" s="989"/>
      <c r="ANI1061" s="989"/>
      <c r="ANJ1061" s="989"/>
      <c r="ANK1061" s="989"/>
      <c r="ANL1061" s="989"/>
      <c r="ANM1061" s="989"/>
      <c r="ANN1061" s="989"/>
      <c r="ANO1061" s="989"/>
      <c r="ANP1061" s="989"/>
      <c r="ANQ1061" s="989"/>
      <c r="ANR1061" s="989"/>
      <c r="ANS1061" s="989"/>
      <c r="ANT1061" s="989"/>
      <c r="ANU1061" s="989"/>
      <c r="ANV1061" s="989"/>
      <c r="ANW1061" s="989"/>
      <c r="ANX1061" s="989"/>
      <c r="ANY1061" s="989"/>
      <c r="ANZ1061" s="989"/>
      <c r="AOA1061" s="989"/>
      <c r="AOB1061" s="989"/>
      <c r="AOC1061" s="989"/>
      <c r="AOD1061" s="989"/>
      <c r="AOE1061" s="989"/>
      <c r="AOF1061" s="989"/>
      <c r="AOG1061" s="989"/>
      <c r="AOH1061" s="989"/>
      <c r="AOI1061" s="989"/>
      <c r="AOJ1061" s="989"/>
      <c r="AOK1061" s="989"/>
      <c r="AOL1061" s="989"/>
      <c r="AOM1061" s="989"/>
      <c r="AON1061" s="989"/>
      <c r="AOO1061" s="989"/>
      <c r="AOP1061" s="989"/>
      <c r="AOQ1061" s="989"/>
      <c r="AOR1061" s="989"/>
      <c r="AOS1061" s="989"/>
      <c r="AOT1061" s="989"/>
      <c r="AOU1061" s="989"/>
      <c r="AOV1061" s="989"/>
      <c r="AOW1061" s="989"/>
      <c r="AOX1061" s="989"/>
      <c r="AOY1061" s="989"/>
      <c r="AOZ1061" s="989"/>
      <c r="APA1061" s="989"/>
      <c r="APB1061" s="989"/>
      <c r="APC1061" s="989"/>
      <c r="APD1061" s="989"/>
      <c r="APE1061" s="989"/>
      <c r="APF1061" s="989"/>
      <c r="APG1061" s="989"/>
      <c r="APH1061" s="989"/>
      <c r="API1061" s="989"/>
      <c r="APJ1061" s="989"/>
      <c r="APK1061" s="989"/>
      <c r="APL1061" s="989"/>
      <c r="APM1061" s="989"/>
      <c r="APN1061" s="989"/>
      <c r="APO1061" s="989"/>
      <c r="APP1061" s="989"/>
      <c r="APQ1061" s="989"/>
      <c r="APR1061" s="989"/>
      <c r="APS1061" s="989"/>
      <c r="APT1061" s="989"/>
      <c r="APU1061" s="989"/>
      <c r="APV1061" s="989"/>
      <c r="APW1061" s="989"/>
      <c r="APX1061" s="989"/>
      <c r="APY1061" s="989"/>
      <c r="APZ1061" s="989"/>
      <c r="AQA1061" s="989"/>
      <c r="AQB1061" s="989"/>
      <c r="AQC1061" s="989"/>
      <c r="AQD1061" s="989"/>
      <c r="AQE1061" s="989"/>
      <c r="AQF1061" s="989"/>
      <c r="AQG1061" s="989"/>
      <c r="AQH1061" s="989"/>
      <c r="AQI1061" s="989"/>
      <c r="AQJ1061" s="989"/>
      <c r="AQK1061" s="989"/>
      <c r="AQL1061" s="989"/>
      <c r="AQM1061" s="989"/>
      <c r="AQN1061" s="989"/>
      <c r="AQO1061" s="989"/>
      <c r="AQP1061" s="989"/>
      <c r="AQQ1061" s="989"/>
      <c r="AQR1061" s="989"/>
      <c r="AQS1061" s="989"/>
      <c r="AQT1061" s="989"/>
      <c r="AQU1061" s="989"/>
      <c r="AQV1061" s="989"/>
      <c r="AQW1061" s="989"/>
      <c r="AQX1061" s="989"/>
      <c r="AQY1061" s="989"/>
      <c r="AQZ1061" s="989"/>
      <c r="ARA1061" s="989"/>
      <c r="ARB1061" s="989"/>
      <c r="ARC1061" s="989"/>
      <c r="ARD1061" s="989"/>
      <c r="ARE1061" s="989"/>
      <c r="ARF1061" s="989"/>
      <c r="ARG1061" s="989"/>
      <c r="ARH1061" s="989"/>
      <c r="ARI1061" s="989"/>
      <c r="ARJ1061" s="989"/>
      <c r="ARK1061" s="989"/>
      <c r="ARL1061" s="989"/>
      <c r="ARM1061" s="989"/>
      <c r="ARN1061" s="989"/>
      <c r="ARO1061" s="989"/>
      <c r="ARP1061" s="989"/>
      <c r="ARQ1061" s="989"/>
      <c r="ARR1061" s="989"/>
      <c r="ARS1061" s="989"/>
      <c r="ART1061" s="989"/>
      <c r="ARU1061" s="989"/>
      <c r="ARV1061" s="989"/>
      <c r="ARW1061" s="989"/>
      <c r="ARX1061" s="989"/>
      <c r="ARY1061" s="989"/>
      <c r="ARZ1061" s="989"/>
      <c r="ASA1061" s="989"/>
      <c r="ASB1061" s="989"/>
      <c r="ASC1061" s="989"/>
      <c r="ASD1061" s="989"/>
      <c r="ASE1061" s="989"/>
      <c r="ASF1061" s="989"/>
      <c r="ASG1061" s="989"/>
      <c r="ASH1061" s="989"/>
      <c r="ASI1061" s="989"/>
      <c r="ASJ1061" s="989"/>
      <c r="ASK1061" s="989"/>
      <c r="ASL1061" s="989"/>
      <c r="ASM1061" s="989"/>
      <c r="ASN1061" s="989"/>
      <c r="ASO1061" s="989"/>
      <c r="ASP1061" s="989"/>
      <c r="ASQ1061" s="989"/>
      <c r="ASR1061" s="989"/>
      <c r="ASS1061" s="989"/>
      <c r="AST1061" s="989"/>
      <c r="ASU1061" s="989"/>
      <c r="ASV1061" s="989"/>
      <c r="ASW1061" s="989"/>
      <c r="ASX1061" s="989"/>
      <c r="ASY1061" s="989"/>
      <c r="ASZ1061" s="989"/>
      <c r="ATA1061" s="989"/>
      <c r="ATB1061" s="989"/>
      <c r="ATC1061" s="989"/>
      <c r="ATD1061" s="989"/>
      <c r="ATE1061" s="989"/>
      <c r="ATF1061" s="989"/>
      <c r="ATG1061" s="989"/>
      <c r="ATH1061" s="989"/>
      <c r="ATI1061" s="989"/>
      <c r="ATJ1061" s="989"/>
      <c r="ATK1061" s="989"/>
      <c r="ATL1061" s="989"/>
      <c r="ATM1061" s="989"/>
      <c r="ATN1061" s="989"/>
      <c r="ATO1061" s="989"/>
      <c r="ATP1061" s="989"/>
      <c r="ATQ1061" s="989"/>
      <c r="ATR1061" s="989"/>
      <c r="ATS1061" s="989"/>
      <c r="ATT1061" s="989"/>
      <c r="ATU1061" s="989"/>
      <c r="ATV1061" s="989"/>
      <c r="ATW1061" s="989"/>
      <c r="ATX1061" s="989"/>
      <c r="ATY1061" s="989"/>
      <c r="ATZ1061" s="989"/>
      <c r="AUA1061" s="989"/>
      <c r="AUB1061" s="989"/>
      <c r="AUC1061" s="989"/>
      <c r="AUD1061" s="989"/>
      <c r="AUE1061" s="989"/>
      <c r="AUF1061" s="989"/>
      <c r="AUG1061" s="989"/>
      <c r="AUH1061" s="989"/>
      <c r="AUI1061" s="989"/>
      <c r="AUJ1061" s="989"/>
      <c r="AUK1061" s="989"/>
      <c r="AUL1061" s="989"/>
      <c r="AUM1061" s="989"/>
      <c r="AUN1061" s="989"/>
      <c r="AUO1061" s="989"/>
      <c r="AUP1061" s="989"/>
      <c r="AUQ1061" s="989"/>
      <c r="AUR1061" s="989"/>
      <c r="AUS1061" s="989"/>
      <c r="AUT1061" s="989"/>
      <c r="AUU1061" s="989"/>
      <c r="AUV1061" s="989"/>
      <c r="AUW1061" s="989"/>
      <c r="AUX1061" s="989"/>
      <c r="AUY1061" s="989"/>
      <c r="AUZ1061" s="989"/>
      <c r="AVA1061" s="989"/>
      <c r="AVB1061" s="989"/>
      <c r="AVC1061" s="989"/>
      <c r="AVD1061" s="989"/>
      <c r="AVE1061" s="989"/>
      <c r="AVF1061" s="989"/>
      <c r="AVG1061" s="989"/>
      <c r="AVH1061" s="989"/>
      <c r="AVI1061" s="989"/>
      <c r="AVJ1061" s="989"/>
      <c r="AVK1061" s="989"/>
      <c r="AVL1061" s="989"/>
      <c r="AVM1061" s="989"/>
      <c r="AVN1061" s="989"/>
      <c r="AVO1061" s="989"/>
      <c r="AVP1061" s="989"/>
      <c r="AVQ1061" s="989"/>
      <c r="AVR1061" s="989"/>
      <c r="AVS1061" s="989"/>
      <c r="AVT1061" s="989"/>
      <c r="AVU1061" s="989"/>
      <c r="AVV1061" s="989"/>
      <c r="AVW1061" s="989"/>
      <c r="AVX1061" s="989"/>
      <c r="AVY1061" s="989"/>
      <c r="AVZ1061" s="989"/>
      <c r="AWA1061" s="989"/>
      <c r="AWB1061" s="989"/>
      <c r="AWC1061" s="989"/>
      <c r="AWD1061" s="989"/>
      <c r="AWE1061" s="989"/>
      <c r="AWF1061" s="989"/>
      <c r="AWG1061" s="989"/>
      <c r="AWH1061" s="989"/>
      <c r="AWI1061" s="989"/>
      <c r="AWJ1061" s="989"/>
      <c r="AWK1061" s="989"/>
      <c r="AWL1061" s="989"/>
      <c r="AWM1061" s="989"/>
      <c r="AWN1061" s="989"/>
      <c r="AWO1061" s="989"/>
      <c r="AWP1061" s="989"/>
      <c r="AWQ1061" s="989"/>
      <c r="AWR1061" s="989"/>
      <c r="AWS1061" s="989"/>
      <c r="AWT1061" s="989"/>
      <c r="AWU1061" s="989"/>
      <c r="AWV1061" s="989"/>
      <c r="AWW1061" s="989"/>
      <c r="AWX1061" s="989"/>
      <c r="AWY1061" s="989"/>
      <c r="AWZ1061" s="989"/>
      <c r="AXA1061" s="989"/>
      <c r="AXB1061" s="989"/>
      <c r="AXC1061" s="989"/>
      <c r="AXD1061" s="989"/>
      <c r="AXE1061" s="989"/>
      <c r="AXF1061" s="989"/>
      <c r="AXG1061" s="989"/>
      <c r="AXH1061" s="989"/>
      <c r="AXI1061" s="989"/>
      <c r="AXJ1061" s="989"/>
      <c r="AXK1061" s="989"/>
      <c r="AXL1061" s="989"/>
      <c r="AXM1061" s="989"/>
      <c r="AXN1061" s="989"/>
      <c r="AXO1061" s="989"/>
      <c r="AXP1061" s="989"/>
      <c r="AXQ1061" s="989"/>
      <c r="AXR1061" s="989"/>
      <c r="AXS1061" s="989"/>
      <c r="AXT1061" s="989"/>
      <c r="AXU1061" s="989"/>
      <c r="AXV1061" s="989"/>
      <c r="AXW1061" s="989"/>
      <c r="AXX1061" s="989"/>
      <c r="AXY1061" s="989"/>
      <c r="AXZ1061" s="989"/>
      <c r="AYA1061" s="989"/>
      <c r="AYB1061" s="989"/>
      <c r="AYC1061" s="989"/>
      <c r="AYD1061" s="989"/>
      <c r="AYE1061" s="989"/>
      <c r="AYF1061" s="989"/>
      <c r="AYG1061" s="989"/>
      <c r="AYH1061" s="989"/>
      <c r="AYI1061" s="989"/>
      <c r="AYJ1061" s="989"/>
      <c r="AYK1061" s="989"/>
      <c r="AYL1061" s="989"/>
      <c r="AYM1061" s="989"/>
      <c r="AYN1061" s="989"/>
      <c r="AYO1061" s="989"/>
      <c r="AYP1061" s="989"/>
      <c r="AYQ1061" s="989"/>
      <c r="AYR1061" s="989"/>
      <c r="AYS1061" s="989"/>
      <c r="AYT1061" s="989"/>
      <c r="AYU1061" s="989"/>
      <c r="AYV1061" s="989"/>
      <c r="AYW1061" s="989"/>
      <c r="AYX1061" s="989"/>
      <c r="AYY1061" s="989"/>
      <c r="AYZ1061" s="989"/>
      <c r="AZA1061" s="989"/>
      <c r="AZB1061" s="989"/>
      <c r="AZC1061" s="989"/>
      <c r="AZD1061" s="989"/>
      <c r="AZE1061" s="989"/>
      <c r="AZF1061" s="989"/>
      <c r="AZG1061" s="989"/>
      <c r="AZH1061" s="989"/>
      <c r="AZI1061" s="989"/>
      <c r="AZJ1061" s="989"/>
      <c r="AZK1061" s="989"/>
      <c r="AZL1061" s="989"/>
      <c r="AZM1061" s="989"/>
      <c r="AZN1061" s="989"/>
      <c r="AZO1061" s="989"/>
      <c r="AZP1061" s="989"/>
      <c r="AZQ1061" s="989"/>
      <c r="AZR1061" s="989"/>
      <c r="AZS1061" s="989"/>
      <c r="AZT1061" s="989"/>
      <c r="AZU1061" s="989"/>
      <c r="AZV1061" s="989"/>
      <c r="AZW1061" s="989"/>
      <c r="AZX1061" s="989"/>
      <c r="AZY1061" s="989"/>
      <c r="AZZ1061" s="989"/>
      <c r="BAA1061" s="989"/>
      <c r="BAB1061" s="989"/>
      <c r="BAC1061" s="989"/>
      <c r="BAD1061" s="989"/>
      <c r="BAE1061" s="989"/>
      <c r="BAF1061" s="989"/>
      <c r="BAG1061" s="989"/>
      <c r="BAH1061" s="989"/>
      <c r="BAI1061" s="989"/>
      <c r="BAJ1061" s="989"/>
      <c r="BAK1061" s="989"/>
      <c r="BAL1061" s="989"/>
      <c r="BAM1061" s="989"/>
      <c r="BAN1061" s="989"/>
      <c r="BAO1061" s="989"/>
      <c r="BAP1061" s="989"/>
      <c r="BAQ1061" s="989"/>
      <c r="BAR1061" s="989"/>
      <c r="BAS1061" s="989"/>
      <c r="BAT1061" s="989"/>
      <c r="BAU1061" s="989"/>
      <c r="BAV1061" s="989"/>
      <c r="BAW1061" s="989"/>
      <c r="BAX1061" s="989"/>
      <c r="BAY1061" s="989"/>
      <c r="BAZ1061" s="989"/>
      <c r="BBA1061" s="989"/>
      <c r="BBB1061" s="989"/>
      <c r="BBC1061" s="989"/>
      <c r="BBD1061" s="989"/>
      <c r="BBE1061" s="989"/>
      <c r="BBF1061" s="989"/>
      <c r="BBG1061" s="989"/>
      <c r="BBH1061" s="989"/>
      <c r="BBI1061" s="989"/>
      <c r="BBJ1061" s="989"/>
      <c r="BBK1061" s="989"/>
      <c r="BBL1061" s="989"/>
      <c r="BBM1061" s="989"/>
      <c r="BBN1061" s="989"/>
      <c r="BBO1061" s="989"/>
      <c r="BBP1061" s="989"/>
      <c r="BBQ1061" s="989"/>
      <c r="BBR1061" s="989"/>
      <c r="BBS1061" s="989"/>
      <c r="BBT1061" s="989"/>
      <c r="BBU1061" s="989"/>
      <c r="BBV1061" s="989"/>
      <c r="BBW1061" s="989"/>
      <c r="BBX1061" s="989"/>
      <c r="BBY1061" s="989"/>
      <c r="BBZ1061" s="989"/>
      <c r="BCA1061" s="989"/>
      <c r="BCB1061" s="989"/>
      <c r="BCC1061" s="989"/>
      <c r="BCD1061" s="989"/>
      <c r="BCE1061" s="989"/>
      <c r="BCF1061" s="989"/>
      <c r="BCG1061" s="989"/>
      <c r="BCH1061" s="989"/>
      <c r="BCI1061" s="989"/>
      <c r="BCJ1061" s="989"/>
      <c r="BCK1061" s="989"/>
      <c r="BCL1061" s="989"/>
      <c r="BCM1061" s="989"/>
      <c r="BCN1061" s="989"/>
      <c r="BCO1061" s="989"/>
      <c r="BCP1061" s="989"/>
      <c r="BCQ1061" s="989"/>
      <c r="BCR1061" s="989"/>
      <c r="BCS1061" s="989"/>
      <c r="BCT1061" s="989"/>
      <c r="BCU1061" s="989"/>
      <c r="BCV1061" s="989"/>
      <c r="BCW1061" s="989"/>
      <c r="BCX1061" s="989"/>
      <c r="BCY1061" s="989"/>
      <c r="BCZ1061" s="989"/>
      <c r="BDA1061" s="989"/>
      <c r="BDB1061" s="989"/>
      <c r="BDC1061" s="989"/>
      <c r="BDD1061" s="989"/>
      <c r="BDE1061" s="989"/>
      <c r="BDF1061" s="989"/>
      <c r="BDG1061" s="989"/>
      <c r="BDH1061" s="989"/>
      <c r="BDI1061" s="989"/>
      <c r="BDJ1061" s="989"/>
      <c r="BDK1061" s="989"/>
      <c r="BDL1061" s="989"/>
      <c r="BDM1061" s="989"/>
      <c r="BDN1061" s="989"/>
      <c r="BDO1061" s="989"/>
      <c r="BDP1061" s="989"/>
      <c r="BDQ1061" s="989"/>
      <c r="BDR1061" s="989"/>
      <c r="BDS1061" s="989"/>
      <c r="BDT1061" s="989"/>
      <c r="BDU1061" s="989"/>
      <c r="BDV1061" s="989"/>
      <c r="BDW1061" s="989"/>
      <c r="BDX1061" s="989"/>
      <c r="BDY1061" s="989"/>
      <c r="BDZ1061" s="989"/>
      <c r="BEA1061" s="989"/>
      <c r="BEB1061" s="989"/>
      <c r="BEC1061" s="989"/>
      <c r="BED1061" s="989"/>
      <c r="BEE1061" s="989"/>
      <c r="BEF1061" s="989"/>
      <c r="BEG1061" s="989"/>
      <c r="BEH1061" s="989"/>
      <c r="BEI1061" s="989"/>
      <c r="BEJ1061" s="989"/>
      <c r="BEK1061" s="989"/>
      <c r="BEL1061" s="989"/>
      <c r="BEM1061" s="989"/>
      <c r="BEN1061" s="989"/>
      <c r="BEO1061" s="989"/>
      <c r="BEP1061" s="989"/>
      <c r="BEQ1061" s="989"/>
      <c r="BER1061" s="989"/>
      <c r="BES1061" s="989"/>
      <c r="BET1061" s="989"/>
      <c r="BEU1061" s="989"/>
      <c r="BEV1061" s="989"/>
      <c r="BEW1061" s="989"/>
      <c r="BEX1061" s="989"/>
      <c r="BEY1061" s="989"/>
      <c r="BEZ1061" s="989"/>
      <c r="BFA1061" s="989"/>
      <c r="BFB1061" s="989"/>
      <c r="BFC1061" s="989"/>
      <c r="BFD1061" s="989"/>
      <c r="BFE1061" s="989"/>
      <c r="BFF1061" s="989"/>
      <c r="BFG1061" s="989"/>
      <c r="BFH1061" s="989"/>
      <c r="BFI1061" s="989"/>
      <c r="BFJ1061" s="989"/>
      <c r="BFK1061" s="989"/>
      <c r="BFL1061" s="989"/>
      <c r="BFM1061" s="989"/>
      <c r="BFN1061" s="989"/>
      <c r="BFO1061" s="989"/>
      <c r="BFP1061" s="989"/>
      <c r="BFQ1061" s="989"/>
      <c r="BFR1061" s="989"/>
      <c r="BFS1061" s="989"/>
      <c r="BFT1061" s="989"/>
      <c r="BFU1061" s="989"/>
      <c r="BFV1061" s="989"/>
      <c r="BFW1061" s="989"/>
      <c r="BFX1061" s="989"/>
      <c r="BFY1061" s="989"/>
      <c r="BFZ1061" s="989"/>
      <c r="BGA1061" s="989"/>
      <c r="BGB1061" s="989"/>
      <c r="BGC1061" s="989"/>
      <c r="BGD1061" s="989"/>
      <c r="BGE1061" s="989"/>
      <c r="BGF1061" s="989"/>
      <c r="BGG1061" s="989"/>
      <c r="BGH1061" s="989"/>
      <c r="BGI1061" s="989"/>
      <c r="BGJ1061" s="989"/>
      <c r="BGK1061" s="989"/>
      <c r="BGL1061" s="989"/>
      <c r="BGM1061" s="989"/>
      <c r="BGN1061" s="989"/>
      <c r="BGO1061" s="989"/>
      <c r="BGP1061" s="989"/>
      <c r="BGQ1061" s="989"/>
      <c r="BGR1061" s="989"/>
      <c r="BGS1061" s="989"/>
      <c r="BGT1061" s="989"/>
      <c r="BGU1061" s="989"/>
      <c r="BGV1061" s="989"/>
      <c r="BGW1061" s="989"/>
      <c r="BGX1061" s="989"/>
      <c r="BGY1061" s="989"/>
      <c r="BGZ1061" s="989"/>
      <c r="BHA1061" s="989"/>
      <c r="BHB1061" s="989"/>
      <c r="BHC1061" s="989"/>
      <c r="BHD1061" s="989"/>
      <c r="BHE1061" s="989"/>
      <c r="BHF1061" s="989"/>
      <c r="BHG1061" s="989"/>
      <c r="BHH1061" s="989"/>
      <c r="BHI1061" s="989"/>
      <c r="BHJ1061" s="989"/>
      <c r="BHK1061" s="989"/>
      <c r="BHL1061" s="989"/>
      <c r="BHM1061" s="989"/>
      <c r="BHN1061" s="989"/>
      <c r="BHO1061" s="989"/>
      <c r="BHP1061" s="989"/>
      <c r="BHQ1061" s="989"/>
      <c r="BHR1061" s="989"/>
      <c r="BHS1061" s="989"/>
      <c r="BHT1061" s="989"/>
      <c r="BHU1061" s="989"/>
      <c r="BHV1061" s="989"/>
      <c r="BHW1061" s="989"/>
      <c r="BHX1061" s="989"/>
      <c r="BHY1061" s="989"/>
      <c r="BHZ1061" s="989"/>
      <c r="BIA1061" s="989"/>
      <c r="BIB1061" s="989"/>
      <c r="BIC1061" s="989"/>
      <c r="BID1061" s="989"/>
      <c r="BIE1061" s="989"/>
      <c r="BIF1061" s="989"/>
      <c r="BIG1061" s="989"/>
      <c r="BIH1061" s="989"/>
      <c r="BII1061" s="989"/>
      <c r="BIJ1061" s="989"/>
      <c r="BIK1061" s="989"/>
      <c r="BIL1061" s="989"/>
      <c r="BIM1061" s="989"/>
      <c r="BIN1061" s="989"/>
      <c r="BIO1061" s="989"/>
      <c r="BIP1061" s="989"/>
      <c r="BIQ1061" s="989"/>
      <c r="BIR1061" s="989"/>
      <c r="BIS1061" s="989"/>
      <c r="BIT1061" s="989"/>
      <c r="BIU1061" s="989"/>
      <c r="BIV1061" s="989"/>
      <c r="BIW1061" s="989"/>
      <c r="BIX1061" s="989"/>
      <c r="BIY1061" s="989"/>
      <c r="BIZ1061" s="989"/>
      <c r="BJA1061" s="989"/>
      <c r="BJB1061" s="989"/>
      <c r="BJC1061" s="989"/>
      <c r="BJD1061" s="989"/>
      <c r="BJE1061" s="989"/>
      <c r="BJF1061" s="989"/>
      <c r="BJG1061" s="989"/>
      <c r="BJH1061" s="989"/>
      <c r="BJI1061" s="989"/>
      <c r="BJJ1061" s="989"/>
      <c r="BJK1061" s="989"/>
      <c r="BJL1061" s="989"/>
      <c r="BJM1061" s="989"/>
      <c r="BJN1061" s="989"/>
      <c r="BJO1061" s="989"/>
      <c r="BJP1061" s="989"/>
      <c r="BJQ1061" s="989"/>
      <c r="BJR1061" s="989"/>
      <c r="BJS1061" s="989"/>
      <c r="BJT1061" s="989"/>
      <c r="BJU1061" s="989"/>
      <c r="BJV1061" s="989"/>
      <c r="BJW1061" s="989"/>
      <c r="BJX1061" s="989"/>
      <c r="BJY1061" s="989"/>
      <c r="BJZ1061" s="989"/>
      <c r="BKA1061" s="989"/>
      <c r="BKB1061" s="989"/>
      <c r="BKC1061" s="989"/>
      <c r="BKD1061" s="989"/>
      <c r="BKE1061" s="989"/>
      <c r="BKF1061" s="989"/>
      <c r="BKG1061" s="989"/>
      <c r="BKH1061" s="989"/>
      <c r="BKI1061" s="989"/>
      <c r="BKJ1061" s="989"/>
      <c r="BKK1061" s="989"/>
      <c r="BKL1061" s="989"/>
      <c r="BKM1061" s="989"/>
      <c r="BKN1061" s="989"/>
      <c r="BKO1061" s="989"/>
      <c r="BKP1061" s="989"/>
      <c r="BKQ1061" s="989"/>
      <c r="BKR1061" s="989"/>
      <c r="BKS1061" s="989"/>
      <c r="BKT1061" s="989"/>
      <c r="BKU1061" s="989"/>
      <c r="BKV1061" s="989"/>
      <c r="BKW1061" s="989"/>
      <c r="BKX1061" s="989"/>
      <c r="BKY1061" s="989"/>
      <c r="BKZ1061" s="989"/>
      <c r="BLA1061" s="989"/>
      <c r="BLB1061" s="989"/>
      <c r="BLC1061" s="989"/>
      <c r="BLD1061" s="989"/>
      <c r="BLE1061" s="989"/>
      <c r="BLF1061" s="989"/>
      <c r="BLG1061" s="989"/>
      <c r="BLH1061" s="989"/>
      <c r="BLI1061" s="989"/>
      <c r="BLJ1061" s="989"/>
      <c r="BLK1061" s="989"/>
      <c r="BLL1061" s="989"/>
      <c r="BLM1061" s="989"/>
      <c r="BLN1061" s="989"/>
      <c r="BLO1061" s="989"/>
      <c r="BLP1061" s="989"/>
      <c r="BLQ1061" s="989"/>
      <c r="BLR1061" s="989"/>
      <c r="BLS1061" s="989"/>
      <c r="BLT1061" s="989"/>
      <c r="BLU1061" s="989"/>
      <c r="BLV1061" s="989"/>
      <c r="BLW1061" s="989"/>
      <c r="BLX1061" s="989"/>
      <c r="BLY1061" s="989"/>
      <c r="BLZ1061" s="989"/>
      <c r="BMA1061" s="989"/>
      <c r="BMB1061" s="989"/>
      <c r="BMC1061" s="989"/>
      <c r="BMD1061" s="989"/>
      <c r="BME1061" s="989"/>
      <c r="BMF1061" s="989"/>
      <c r="BMG1061" s="989"/>
      <c r="BMH1061" s="989"/>
      <c r="BMI1061" s="989"/>
      <c r="BMJ1061" s="989"/>
      <c r="BMK1061" s="989"/>
      <c r="BML1061" s="989"/>
      <c r="BMM1061" s="989"/>
      <c r="BMN1061" s="989"/>
      <c r="BMO1061" s="989"/>
      <c r="BMP1061" s="989"/>
      <c r="BMQ1061" s="989"/>
      <c r="BMR1061" s="989"/>
      <c r="BMS1061" s="989"/>
      <c r="BMT1061" s="989"/>
      <c r="BMU1061" s="989"/>
      <c r="BMV1061" s="989"/>
      <c r="BMW1061" s="989"/>
      <c r="BMX1061" s="989"/>
      <c r="BMY1061" s="989"/>
      <c r="BMZ1061" s="989"/>
      <c r="BNA1061" s="989"/>
      <c r="BNB1061" s="989"/>
      <c r="BNC1061" s="989"/>
      <c r="BND1061" s="989"/>
      <c r="BNE1061" s="989"/>
      <c r="BNF1061" s="989"/>
      <c r="BNG1061" s="989"/>
      <c r="BNH1061" s="989"/>
      <c r="BNI1061" s="989"/>
      <c r="BNJ1061" s="989"/>
      <c r="BNK1061" s="989"/>
      <c r="BNL1061" s="989"/>
      <c r="BNM1061" s="989"/>
      <c r="BNN1061" s="989"/>
      <c r="BNO1061" s="989"/>
      <c r="BNP1061" s="989"/>
      <c r="BNQ1061" s="989"/>
      <c r="BNR1061" s="989"/>
      <c r="BNS1061" s="989"/>
      <c r="BNT1061" s="989"/>
      <c r="BNU1061" s="989"/>
      <c r="BNV1061" s="989"/>
      <c r="BNW1061" s="989"/>
      <c r="BNX1061" s="989"/>
      <c r="BNY1061" s="989"/>
      <c r="BNZ1061" s="989"/>
      <c r="BOA1061" s="989"/>
      <c r="BOB1061" s="989"/>
      <c r="BOC1061" s="989"/>
      <c r="BOD1061" s="989"/>
      <c r="BOE1061" s="989"/>
      <c r="BOF1061" s="989"/>
      <c r="BOG1061" s="989"/>
      <c r="BOH1061" s="989"/>
      <c r="BOI1061" s="989"/>
      <c r="BOJ1061" s="989"/>
      <c r="BOK1061" s="989"/>
      <c r="BOL1061" s="989"/>
      <c r="BOM1061" s="989"/>
      <c r="BON1061" s="989"/>
      <c r="BOO1061" s="989"/>
      <c r="BOP1061" s="989"/>
      <c r="BOQ1061" s="989"/>
      <c r="BOR1061" s="989"/>
      <c r="BOS1061" s="989"/>
      <c r="BOT1061" s="989"/>
      <c r="BOU1061" s="989"/>
      <c r="BOV1061" s="989"/>
      <c r="BOW1061" s="989"/>
      <c r="BOX1061" s="989"/>
      <c r="BOY1061" s="989"/>
      <c r="BOZ1061" s="989"/>
      <c r="BPA1061" s="989"/>
      <c r="BPB1061" s="989"/>
      <c r="BPC1061" s="989"/>
      <c r="BPD1061" s="989"/>
      <c r="BPE1061" s="989"/>
      <c r="BPF1061" s="989"/>
      <c r="BPG1061" s="989"/>
      <c r="BPH1061" s="989"/>
      <c r="BPI1061" s="989"/>
      <c r="BPJ1061" s="989"/>
      <c r="BPK1061" s="989"/>
      <c r="BPL1061" s="989"/>
      <c r="BPM1061" s="989"/>
      <c r="BPN1061" s="989"/>
      <c r="BPO1061" s="989"/>
      <c r="BPP1061" s="989"/>
      <c r="BPQ1061" s="989"/>
      <c r="BPR1061" s="989"/>
      <c r="BPS1061" s="989"/>
      <c r="BPT1061" s="989"/>
      <c r="BPU1061" s="989"/>
      <c r="BPV1061" s="989"/>
      <c r="BPW1061" s="989"/>
      <c r="BPX1061" s="989"/>
      <c r="BPY1061" s="989"/>
      <c r="BPZ1061" s="989"/>
      <c r="BQA1061" s="989"/>
      <c r="BQB1061" s="989"/>
      <c r="BQC1061" s="989"/>
      <c r="BQD1061" s="989"/>
      <c r="BQE1061" s="989"/>
      <c r="BQF1061" s="989"/>
      <c r="BQG1061" s="989"/>
      <c r="BQH1061" s="989"/>
      <c r="BQI1061" s="989"/>
      <c r="BQJ1061" s="989"/>
      <c r="BQK1061" s="989"/>
      <c r="BQL1061" s="989"/>
      <c r="BQM1061" s="989"/>
      <c r="BQN1061" s="989"/>
      <c r="BQO1061" s="989"/>
      <c r="BQP1061" s="989"/>
      <c r="BQQ1061" s="989"/>
      <c r="BQR1061" s="989"/>
      <c r="BQS1061" s="989"/>
      <c r="BQT1061" s="989"/>
      <c r="BQU1061" s="989"/>
      <c r="BQV1061" s="989"/>
      <c r="BQW1061" s="989"/>
      <c r="BQX1061" s="989"/>
      <c r="BQY1061" s="989"/>
      <c r="BQZ1061" s="989"/>
      <c r="BRA1061" s="989"/>
      <c r="BRB1061" s="989"/>
      <c r="BRC1061" s="989"/>
      <c r="BRD1061" s="989"/>
      <c r="BRE1061" s="989"/>
      <c r="BRF1061" s="989"/>
      <c r="BRG1061" s="989"/>
      <c r="BRH1061" s="989"/>
      <c r="BRI1061" s="989"/>
      <c r="BRJ1061" s="989"/>
      <c r="BRK1061" s="989"/>
      <c r="BRL1061" s="989"/>
      <c r="BRM1061" s="989"/>
      <c r="BRN1061" s="989"/>
      <c r="BRO1061" s="989"/>
      <c r="BRP1061" s="989"/>
      <c r="BRQ1061" s="989"/>
      <c r="BRR1061" s="989"/>
      <c r="BRS1061" s="989"/>
      <c r="BRT1061" s="989"/>
      <c r="BRU1061" s="989"/>
      <c r="BRV1061" s="989"/>
      <c r="BRW1061" s="989"/>
      <c r="BRX1061" s="989"/>
      <c r="BRY1061" s="989"/>
      <c r="BRZ1061" s="989"/>
      <c r="BSA1061" s="989"/>
      <c r="BSB1061" s="989"/>
      <c r="BSC1061" s="989"/>
      <c r="BSD1061" s="989"/>
      <c r="BSE1061" s="989"/>
      <c r="BSF1061" s="989"/>
      <c r="BSG1061" s="989"/>
      <c r="BSH1061" s="989"/>
      <c r="BSI1061" s="989"/>
      <c r="BSJ1061" s="989"/>
      <c r="BSK1061" s="989"/>
      <c r="BSL1061" s="989"/>
      <c r="BSM1061" s="989"/>
      <c r="BSN1061" s="989"/>
      <c r="BSO1061" s="989"/>
      <c r="BSP1061" s="989"/>
      <c r="BSQ1061" s="989"/>
      <c r="BSR1061" s="989"/>
      <c r="BSS1061" s="989"/>
      <c r="BST1061" s="989"/>
      <c r="BSU1061" s="989"/>
      <c r="BSV1061" s="989"/>
      <c r="BSW1061" s="989"/>
      <c r="BSX1061" s="989"/>
      <c r="BSY1061" s="989"/>
      <c r="BSZ1061" s="989"/>
      <c r="BTA1061" s="989"/>
      <c r="BTB1061" s="989"/>
      <c r="BTC1061" s="989"/>
      <c r="BTD1061" s="989"/>
      <c r="BTE1061" s="989"/>
      <c r="BTF1061" s="989"/>
      <c r="BTG1061" s="989"/>
      <c r="BTH1061" s="989"/>
      <c r="BTI1061" s="989"/>
      <c r="BTJ1061" s="989"/>
      <c r="BTK1061" s="989"/>
      <c r="BTL1061" s="989"/>
      <c r="BTM1061" s="989"/>
      <c r="BTN1061" s="989"/>
      <c r="BTO1061" s="989"/>
      <c r="BTP1061" s="989"/>
      <c r="BTQ1061" s="989"/>
      <c r="BTR1061" s="989"/>
      <c r="BTS1061" s="989"/>
      <c r="BTT1061" s="989"/>
      <c r="BTU1061" s="989"/>
      <c r="BTV1061" s="989"/>
      <c r="BTW1061" s="989"/>
      <c r="BTX1061" s="989"/>
      <c r="BTY1061" s="989"/>
      <c r="BTZ1061" s="989"/>
      <c r="BUA1061" s="989"/>
      <c r="BUB1061" s="989"/>
      <c r="BUC1061" s="989"/>
      <c r="BUD1061" s="989"/>
      <c r="BUE1061" s="989"/>
      <c r="BUF1061" s="989"/>
      <c r="BUG1061" s="989"/>
      <c r="BUH1061" s="989"/>
      <c r="BUI1061" s="989"/>
      <c r="BUJ1061" s="989"/>
      <c r="BUK1061" s="989"/>
      <c r="BUL1061" s="989"/>
      <c r="BUM1061" s="989"/>
      <c r="BUN1061" s="989"/>
      <c r="BUO1061" s="989"/>
      <c r="BUP1061" s="989"/>
      <c r="BUQ1061" s="989"/>
      <c r="BUR1061" s="989"/>
      <c r="BUS1061" s="989"/>
      <c r="BUT1061" s="989"/>
      <c r="BUU1061" s="989"/>
      <c r="BUV1061" s="989"/>
      <c r="BUW1061" s="989"/>
      <c r="BUX1061" s="989"/>
      <c r="BUY1061" s="989"/>
      <c r="BUZ1061" s="989"/>
      <c r="BVA1061" s="989"/>
      <c r="BVB1061" s="989"/>
      <c r="BVC1061" s="989"/>
      <c r="BVD1061" s="989"/>
      <c r="BVE1061" s="989"/>
      <c r="BVF1061" s="989"/>
      <c r="BVG1061" s="989"/>
      <c r="BVH1061" s="989"/>
      <c r="BVI1061" s="989"/>
      <c r="BVJ1061" s="989"/>
      <c r="BVK1061" s="989"/>
      <c r="BVL1061" s="989"/>
      <c r="BVM1061" s="989"/>
      <c r="BVN1061" s="989"/>
      <c r="BVO1061" s="989"/>
      <c r="BVP1061" s="989"/>
      <c r="BVQ1061" s="989"/>
      <c r="BVR1061" s="989"/>
      <c r="BVS1061" s="989"/>
      <c r="BVT1061" s="989"/>
      <c r="BVU1061" s="989"/>
      <c r="BVV1061" s="989"/>
      <c r="BVW1061" s="989"/>
      <c r="BVX1061" s="989"/>
      <c r="BVY1061" s="989"/>
      <c r="BVZ1061" s="989"/>
      <c r="BWA1061" s="989"/>
      <c r="BWB1061" s="989"/>
      <c r="BWC1061" s="989"/>
      <c r="BWD1061" s="989"/>
      <c r="BWE1061" s="989"/>
      <c r="BWF1061" s="989"/>
      <c r="BWG1061" s="989"/>
      <c r="BWH1061" s="989"/>
      <c r="BWI1061" s="989"/>
      <c r="BWJ1061" s="989"/>
      <c r="BWK1061" s="989"/>
      <c r="BWL1061" s="989"/>
      <c r="BWM1061" s="989"/>
      <c r="BWN1061" s="989"/>
      <c r="BWO1061" s="989"/>
      <c r="BWP1061" s="989"/>
      <c r="BWQ1061" s="989"/>
      <c r="BWR1061" s="989"/>
      <c r="BWS1061" s="989"/>
      <c r="BWT1061" s="989"/>
      <c r="BWU1061" s="989"/>
      <c r="BWV1061" s="989"/>
      <c r="BWW1061" s="989"/>
      <c r="BWX1061" s="989"/>
      <c r="BWY1061" s="989"/>
      <c r="BWZ1061" s="989"/>
      <c r="BXA1061" s="989"/>
      <c r="BXB1061" s="989"/>
      <c r="BXC1061" s="989"/>
      <c r="BXD1061" s="989"/>
      <c r="BXE1061" s="989"/>
      <c r="BXF1061" s="989"/>
      <c r="BXG1061" s="989"/>
      <c r="BXH1061" s="989"/>
      <c r="BXI1061" s="989"/>
      <c r="BXJ1061" s="989"/>
      <c r="BXK1061" s="989"/>
      <c r="BXL1061" s="989"/>
      <c r="BXM1061" s="989"/>
      <c r="BXN1061" s="989"/>
      <c r="BXO1061" s="989"/>
      <c r="BXP1061" s="989"/>
      <c r="BXQ1061" s="989"/>
      <c r="BXR1061" s="989"/>
      <c r="BXS1061" s="989"/>
      <c r="BXT1061" s="989"/>
      <c r="BXU1061" s="989"/>
      <c r="BXV1061" s="989"/>
      <c r="BXW1061" s="989"/>
      <c r="BXX1061" s="989"/>
      <c r="BXY1061" s="989"/>
      <c r="BXZ1061" s="989"/>
      <c r="BYA1061" s="989"/>
      <c r="BYB1061" s="989"/>
      <c r="BYC1061" s="989"/>
      <c r="BYD1061" s="989"/>
      <c r="BYE1061" s="989"/>
      <c r="BYF1061" s="989"/>
      <c r="BYG1061" s="989"/>
      <c r="BYH1061" s="989"/>
      <c r="BYI1061" s="989"/>
      <c r="BYJ1061" s="989"/>
      <c r="BYK1061" s="989"/>
      <c r="BYL1061" s="989"/>
      <c r="BYM1061" s="989"/>
      <c r="BYN1061" s="989"/>
      <c r="BYO1061" s="989"/>
      <c r="BYP1061" s="989"/>
      <c r="BYQ1061" s="989"/>
      <c r="BYR1061" s="989"/>
      <c r="BYS1061" s="989"/>
      <c r="BYT1061" s="989"/>
      <c r="BYU1061" s="989"/>
      <c r="BYV1061" s="989"/>
      <c r="BYW1061" s="989"/>
      <c r="BYX1061" s="989"/>
      <c r="BYY1061" s="989"/>
      <c r="BYZ1061" s="989"/>
      <c r="BZA1061" s="989"/>
      <c r="BZB1061" s="989"/>
      <c r="BZC1061" s="989"/>
      <c r="BZD1061" s="989"/>
      <c r="BZE1061" s="989"/>
      <c r="BZF1061" s="989"/>
      <c r="BZG1061" s="989"/>
      <c r="BZH1061" s="989"/>
      <c r="BZI1061" s="989"/>
      <c r="BZJ1061" s="989"/>
      <c r="BZK1061" s="989"/>
      <c r="BZL1061" s="989"/>
      <c r="BZM1061" s="989"/>
      <c r="BZN1061" s="989"/>
      <c r="BZO1061" s="989"/>
      <c r="BZP1061" s="989"/>
      <c r="BZQ1061" s="989"/>
      <c r="BZR1061" s="989"/>
      <c r="BZS1061" s="989"/>
      <c r="BZT1061" s="989"/>
      <c r="BZU1061" s="989"/>
      <c r="BZV1061" s="989"/>
      <c r="BZW1061" s="989"/>
      <c r="BZX1061" s="989"/>
      <c r="BZY1061" s="989"/>
      <c r="BZZ1061" s="989"/>
      <c r="CAA1061" s="989"/>
      <c r="CAB1061" s="989"/>
      <c r="CAC1061" s="989"/>
      <c r="CAD1061" s="989"/>
      <c r="CAE1061" s="989"/>
      <c r="CAF1061" s="989"/>
      <c r="CAG1061" s="989"/>
      <c r="CAH1061" s="989"/>
      <c r="CAI1061" s="989"/>
      <c r="CAJ1061" s="989"/>
      <c r="CAK1061" s="989"/>
      <c r="CAL1061" s="989"/>
      <c r="CAM1061" s="989"/>
      <c r="CAN1061" s="989"/>
      <c r="CAO1061" s="989"/>
      <c r="CAP1061" s="989"/>
      <c r="CAQ1061" s="989"/>
      <c r="CAR1061" s="989"/>
      <c r="CAS1061" s="989"/>
      <c r="CAT1061" s="989"/>
      <c r="CAU1061" s="989"/>
      <c r="CAV1061" s="989"/>
      <c r="CAW1061" s="989"/>
      <c r="CAX1061" s="989"/>
      <c r="CAY1061" s="989"/>
      <c r="CAZ1061" s="989"/>
      <c r="CBA1061" s="989"/>
      <c r="CBB1061" s="989"/>
      <c r="CBC1061" s="989"/>
      <c r="CBD1061" s="989"/>
      <c r="CBE1061" s="989"/>
      <c r="CBF1061" s="989"/>
      <c r="CBG1061" s="989"/>
      <c r="CBH1061" s="989"/>
      <c r="CBI1061" s="989"/>
      <c r="CBJ1061" s="989"/>
      <c r="CBK1061" s="989"/>
      <c r="CBL1061" s="989"/>
      <c r="CBM1061" s="989"/>
      <c r="CBN1061" s="989"/>
      <c r="CBO1061" s="989"/>
      <c r="CBP1061" s="989"/>
      <c r="CBQ1061" s="989"/>
      <c r="CBR1061" s="989"/>
      <c r="CBS1061" s="989"/>
      <c r="CBT1061" s="989"/>
      <c r="CBU1061" s="989"/>
      <c r="CBV1061" s="989"/>
      <c r="CBW1061" s="989"/>
      <c r="CBX1061" s="989"/>
      <c r="CBY1061" s="989"/>
      <c r="CBZ1061" s="989"/>
      <c r="CCA1061" s="989"/>
      <c r="CCB1061" s="989"/>
      <c r="CCC1061" s="989"/>
      <c r="CCD1061" s="989"/>
      <c r="CCE1061" s="989"/>
      <c r="CCF1061" s="989"/>
      <c r="CCG1061" s="989"/>
      <c r="CCH1061" s="989"/>
      <c r="CCI1061" s="989"/>
      <c r="CCJ1061" s="989"/>
      <c r="CCK1061" s="989"/>
      <c r="CCL1061" s="989"/>
      <c r="CCM1061" s="989"/>
      <c r="CCN1061" s="989"/>
      <c r="CCO1061" s="989"/>
      <c r="CCP1061" s="989"/>
      <c r="CCQ1061" s="989"/>
      <c r="CCR1061" s="989"/>
      <c r="CCS1061" s="989"/>
      <c r="CCT1061" s="989"/>
      <c r="CCU1061" s="989"/>
      <c r="CCV1061" s="989"/>
      <c r="CCW1061" s="989"/>
      <c r="CCX1061" s="989"/>
      <c r="CCY1061" s="989"/>
      <c r="CCZ1061" s="989"/>
      <c r="CDA1061" s="989"/>
      <c r="CDB1061" s="989"/>
      <c r="CDC1061" s="989"/>
      <c r="CDD1061" s="989"/>
      <c r="CDE1061" s="989"/>
      <c r="CDF1061" s="989"/>
      <c r="CDG1061" s="989"/>
      <c r="CDH1061" s="989"/>
      <c r="CDI1061" s="989"/>
      <c r="CDJ1061" s="989"/>
      <c r="CDK1061" s="989"/>
      <c r="CDL1061" s="989"/>
      <c r="CDM1061" s="989"/>
      <c r="CDN1061" s="989"/>
      <c r="CDO1061" s="989"/>
      <c r="CDP1061" s="989"/>
      <c r="CDQ1061" s="989"/>
      <c r="CDR1061" s="989"/>
      <c r="CDS1061" s="989"/>
      <c r="CDT1061" s="989"/>
      <c r="CDU1061" s="989"/>
      <c r="CDV1061" s="989"/>
      <c r="CDW1061" s="989"/>
      <c r="CDX1061" s="989"/>
      <c r="CDY1061" s="989"/>
      <c r="CDZ1061" s="989"/>
      <c r="CEA1061" s="989"/>
      <c r="CEB1061" s="989"/>
      <c r="CEC1061" s="989"/>
      <c r="CED1061" s="989"/>
      <c r="CEE1061" s="989"/>
      <c r="CEF1061" s="989"/>
      <c r="CEG1061" s="989"/>
      <c r="CEH1061" s="989"/>
      <c r="CEI1061" s="989"/>
      <c r="CEJ1061" s="989"/>
      <c r="CEK1061" s="989"/>
      <c r="CEL1061" s="989"/>
      <c r="CEM1061" s="989"/>
      <c r="CEN1061" s="989"/>
      <c r="CEO1061" s="989"/>
      <c r="CEP1061" s="989"/>
      <c r="CEQ1061" s="989"/>
      <c r="CER1061" s="989"/>
      <c r="CES1061" s="989"/>
      <c r="CET1061" s="989"/>
      <c r="CEU1061" s="989"/>
      <c r="CEV1061" s="989"/>
      <c r="CEW1061" s="989"/>
      <c r="CEX1061" s="989"/>
      <c r="CEY1061" s="989"/>
      <c r="CEZ1061" s="989"/>
      <c r="CFA1061" s="989"/>
      <c r="CFB1061" s="989"/>
      <c r="CFC1061" s="989"/>
      <c r="CFD1061" s="989"/>
      <c r="CFE1061" s="989"/>
      <c r="CFF1061" s="989"/>
      <c r="CFG1061" s="989"/>
      <c r="CFH1061" s="989"/>
      <c r="CFI1061" s="989"/>
      <c r="CFJ1061" s="989"/>
      <c r="CFK1061" s="989"/>
      <c r="CFL1061" s="989"/>
      <c r="CFM1061" s="989"/>
      <c r="CFN1061" s="989"/>
      <c r="CFO1061" s="989"/>
      <c r="CFP1061" s="989"/>
      <c r="CFQ1061" s="989"/>
      <c r="CFR1061" s="989"/>
      <c r="CFS1061" s="989"/>
      <c r="CFT1061" s="989"/>
      <c r="CFU1061" s="989"/>
      <c r="CFV1061" s="989"/>
      <c r="CFW1061" s="989"/>
      <c r="CFX1061" s="989"/>
      <c r="CFY1061" s="989"/>
      <c r="CFZ1061" s="989"/>
      <c r="CGA1061" s="989"/>
      <c r="CGB1061" s="989"/>
      <c r="CGC1061" s="989"/>
      <c r="CGD1061" s="989"/>
      <c r="CGE1061" s="989"/>
      <c r="CGF1061" s="989"/>
      <c r="CGG1061" s="989"/>
      <c r="CGH1061" s="989"/>
      <c r="CGI1061" s="989"/>
      <c r="CGJ1061" s="989"/>
      <c r="CGK1061" s="989"/>
      <c r="CGL1061" s="989"/>
      <c r="CGM1061" s="989"/>
      <c r="CGN1061" s="989"/>
      <c r="CGO1061" s="989"/>
      <c r="CGP1061" s="989"/>
      <c r="CGQ1061" s="989"/>
      <c r="CGR1061" s="989"/>
      <c r="CGS1061" s="989"/>
      <c r="CGT1061" s="989"/>
      <c r="CGU1061" s="989"/>
      <c r="CGV1061" s="989"/>
      <c r="CGW1061" s="989"/>
      <c r="CGX1061" s="989"/>
      <c r="CGY1061" s="989"/>
      <c r="CGZ1061" s="989"/>
      <c r="CHA1061" s="989"/>
      <c r="CHB1061" s="989"/>
      <c r="CHC1061" s="989"/>
      <c r="CHD1061" s="989"/>
      <c r="CHE1061" s="989"/>
      <c r="CHF1061" s="989"/>
      <c r="CHG1061" s="989"/>
      <c r="CHH1061" s="989"/>
      <c r="CHI1061" s="989"/>
      <c r="CHJ1061" s="989"/>
      <c r="CHK1061" s="989"/>
      <c r="CHL1061" s="989"/>
      <c r="CHM1061" s="989"/>
      <c r="CHN1061" s="989"/>
      <c r="CHO1061" s="989"/>
      <c r="CHP1061" s="989"/>
      <c r="CHQ1061" s="989"/>
      <c r="CHR1061" s="989"/>
      <c r="CHS1061" s="989"/>
      <c r="CHT1061" s="989"/>
      <c r="CHU1061" s="989"/>
      <c r="CHV1061" s="989"/>
      <c r="CHW1061" s="989"/>
      <c r="CHX1061" s="989"/>
      <c r="CHY1061" s="989"/>
      <c r="CHZ1061" s="989"/>
      <c r="CIA1061" s="989"/>
      <c r="CIB1061" s="989"/>
      <c r="CIC1061" s="989"/>
      <c r="CID1061" s="989"/>
      <c r="CIE1061" s="989"/>
      <c r="CIF1061" s="989"/>
      <c r="CIG1061" s="989"/>
      <c r="CIH1061" s="989"/>
      <c r="CII1061" s="989"/>
      <c r="CIJ1061" s="989"/>
      <c r="CIK1061" s="989"/>
      <c r="CIL1061" s="989"/>
      <c r="CIM1061" s="989"/>
      <c r="CIN1061" s="989"/>
      <c r="CIO1061" s="989"/>
      <c r="CIP1061" s="989"/>
      <c r="CIQ1061" s="989"/>
      <c r="CIR1061" s="989"/>
      <c r="CIS1061" s="989"/>
      <c r="CIT1061" s="989"/>
      <c r="CIU1061" s="989"/>
      <c r="CIV1061" s="989"/>
      <c r="CIW1061" s="989"/>
      <c r="CIX1061" s="989"/>
      <c r="CIY1061" s="989"/>
      <c r="CIZ1061" s="989"/>
      <c r="CJA1061" s="989"/>
      <c r="CJB1061" s="989"/>
      <c r="CJC1061" s="989"/>
      <c r="CJD1061" s="989"/>
      <c r="CJE1061" s="989"/>
      <c r="CJF1061" s="989"/>
      <c r="CJG1061" s="989"/>
      <c r="CJH1061" s="989"/>
      <c r="CJI1061" s="989"/>
      <c r="CJJ1061" s="989"/>
      <c r="CJK1061" s="989"/>
      <c r="CJL1061" s="989"/>
      <c r="CJM1061" s="989"/>
      <c r="CJN1061" s="989"/>
      <c r="CJO1061" s="989"/>
      <c r="CJP1061" s="989"/>
      <c r="CJQ1061" s="989"/>
      <c r="CJR1061" s="989"/>
      <c r="CJS1061" s="989"/>
      <c r="CJT1061" s="989"/>
      <c r="CJU1061" s="989"/>
      <c r="CJV1061" s="989"/>
      <c r="CJW1061" s="989"/>
      <c r="CJX1061" s="989"/>
      <c r="CJY1061" s="989"/>
      <c r="CJZ1061" s="989"/>
      <c r="CKA1061" s="989"/>
      <c r="CKB1061" s="989"/>
      <c r="CKC1061" s="989"/>
      <c r="CKD1061" s="989"/>
      <c r="CKE1061" s="989"/>
      <c r="CKF1061" s="989"/>
      <c r="CKG1061" s="989"/>
      <c r="CKH1061" s="989"/>
      <c r="CKI1061" s="989"/>
      <c r="CKJ1061" s="989"/>
      <c r="CKK1061" s="989"/>
      <c r="CKL1061" s="989"/>
      <c r="CKM1061" s="989"/>
      <c r="CKN1061" s="989"/>
      <c r="CKO1061" s="989"/>
      <c r="CKP1061" s="989"/>
      <c r="CKQ1061" s="989"/>
      <c r="CKR1061" s="989"/>
      <c r="CKS1061" s="989"/>
      <c r="CKT1061" s="989"/>
      <c r="CKU1061" s="989"/>
      <c r="CKV1061" s="989"/>
      <c r="CKW1061" s="989"/>
      <c r="CKX1061" s="989"/>
      <c r="CKY1061" s="989"/>
      <c r="CKZ1061" s="989"/>
      <c r="CLA1061" s="989"/>
      <c r="CLB1061" s="989"/>
      <c r="CLC1061" s="989"/>
      <c r="CLD1061" s="989"/>
      <c r="CLE1061" s="989"/>
      <c r="CLF1061" s="989"/>
      <c r="CLG1061" s="989"/>
      <c r="CLH1061" s="989"/>
      <c r="CLI1061" s="989"/>
      <c r="CLJ1061" s="989"/>
      <c r="CLK1061" s="989"/>
      <c r="CLL1061" s="989"/>
      <c r="CLM1061" s="989"/>
      <c r="CLN1061" s="989"/>
      <c r="CLO1061" s="989"/>
      <c r="CLP1061" s="989"/>
      <c r="CLQ1061" s="989"/>
      <c r="CLR1061" s="989"/>
      <c r="CLS1061" s="989"/>
      <c r="CLT1061" s="989"/>
      <c r="CLU1061" s="989"/>
      <c r="CLV1061" s="989"/>
      <c r="CLW1061" s="989"/>
      <c r="CLX1061" s="989"/>
      <c r="CLY1061" s="989"/>
      <c r="CLZ1061" s="989"/>
      <c r="CMA1061" s="989"/>
      <c r="CMB1061" s="989"/>
      <c r="CMC1061" s="989"/>
      <c r="CMD1061" s="989"/>
      <c r="CME1061" s="989"/>
      <c r="CMF1061" s="989"/>
      <c r="CMG1061" s="989"/>
      <c r="CMH1061" s="989"/>
      <c r="CMI1061" s="989"/>
      <c r="CMJ1061" s="989"/>
      <c r="CMK1061" s="989"/>
      <c r="CML1061" s="989"/>
      <c r="CMM1061" s="989"/>
      <c r="CMN1061" s="989"/>
      <c r="CMO1061" s="989"/>
      <c r="CMP1061" s="989"/>
      <c r="CMQ1061" s="989"/>
      <c r="CMR1061" s="989"/>
      <c r="CMS1061" s="989"/>
      <c r="CMT1061" s="989"/>
      <c r="CMU1061" s="989"/>
      <c r="CMV1061" s="989"/>
      <c r="CMW1061" s="989"/>
      <c r="CMX1061" s="989"/>
      <c r="CMY1061" s="989"/>
      <c r="CMZ1061" s="989"/>
      <c r="CNA1061" s="989"/>
      <c r="CNB1061" s="989"/>
      <c r="CNC1061" s="989"/>
      <c r="CND1061" s="989"/>
      <c r="CNE1061" s="989"/>
      <c r="CNF1061" s="989"/>
      <c r="CNG1061" s="989"/>
      <c r="CNH1061" s="989"/>
      <c r="CNI1061" s="989"/>
      <c r="CNJ1061" s="989"/>
      <c r="CNK1061" s="989"/>
      <c r="CNL1061" s="989"/>
      <c r="CNM1061" s="989"/>
      <c r="CNN1061" s="989"/>
      <c r="CNO1061" s="989"/>
      <c r="CNP1061" s="989"/>
      <c r="CNQ1061" s="989"/>
      <c r="CNR1061" s="989"/>
      <c r="CNS1061" s="989"/>
      <c r="CNT1061" s="989"/>
      <c r="CNU1061" s="989"/>
      <c r="CNV1061" s="989"/>
      <c r="CNW1061" s="989"/>
      <c r="CNX1061" s="989"/>
      <c r="CNY1061" s="989"/>
      <c r="CNZ1061" s="989"/>
      <c r="COA1061" s="989"/>
      <c r="COB1061" s="989"/>
      <c r="COC1061" s="989"/>
      <c r="COD1061" s="989"/>
      <c r="COE1061" s="989"/>
      <c r="COF1061" s="989"/>
      <c r="COG1061" s="989"/>
      <c r="COH1061" s="989"/>
      <c r="COI1061" s="989"/>
      <c r="COJ1061" s="989"/>
      <c r="COK1061" s="989"/>
      <c r="COL1061" s="989"/>
      <c r="COM1061" s="989"/>
      <c r="CON1061" s="989"/>
      <c r="COO1061" s="989"/>
      <c r="COP1061" s="989"/>
      <c r="COQ1061" s="989"/>
      <c r="COR1061" s="989"/>
      <c r="COS1061" s="989"/>
      <c r="COT1061" s="989"/>
      <c r="COU1061" s="989"/>
      <c r="COV1061" s="989"/>
      <c r="COW1061" s="989"/>
      <c r="COX1061" s="989"/>
      <c r="COY1061" s="989"/>
      <c r="COZ1061" s="989"/>
      <c r="CPA1061" s="989"/>
      <c r="CPB1061" s="989"/>
      <c r="CPC1061" s="989"/>
      <c r="CPD1061" s="989"/>
      <c r="CPE1061" s="989"/>
      <c r="CPF1061" s="989"/>
      <c r="CPG1061" s="989"/>
      <c r="CPH1061" s="989"/>
      <c r="CPI1061" s="989"/>
      <c r="CPJ1061" s="989"/>
      <c r="CPK1061" s="989"/>
      <c r="CPL1061" s="989"/>
      <c r="CPM1061" s="989"/>
      <c r="CPN1061" s="989"/>
      <c r="CPO1061" s="989"/>
      <c r="CPP1061" s="989"/>
      <c r="CPQ1061" s="989"/>
      <c r="CPR1061" s="989"/>
      <c r="CPS1061" s="989"/>
      <c r="CPT1061" s="989"/>
      <c r="CPU1061" s="989"/>
      <c r="CPV1061" s="989"/>
      <c r="CPW1061" s="989"/>
      <c r="CPX1061" s="989"/>
      <c r="CPY1061" s="989"/>
      <c r="CPZ1061" s="989"/>
      <c r="CQA1061" s="989"/>
      <c r="CQB1061" s="989"/>
      <c r="CQC1061" s="989"/>
      <c r="CQD1061" s="989"/>
      <c r="CQE1061" s="989"/>
      <c r="CQF1061" s="989"/>
      <c r="CQG1061" s="989"/>
      <c r="CQH1061" s="989"/>
      <c r="CQI1061" s="989"/>
      <c r="CQJ1061" s="989"/>
      <c r="CQK1061" s="989"/>
      <c r="CQL1061" s="989"/>
      <c r="CQM1061" s="989"/>
      <c r="CQN1061" s="989"/>
      <c r="CQO1061" s="989"/>
      <c r="CQP1061" s="989"/>
      <c r="CQQ1061" s="989"/>
      <c r="CQR1061" s="989"/>
      <c r="CQS1061" s="989"/>
      <c r="CQT1061" s="989"/>
      <c r="CQU1061" s="989"/>
      <c r="CQV1061" s="989"/>
      <c r="CQW1061" s="989"/>
      <c r="CQX1061" s="989"/>
      <c r="CQY1061" s="989"/>
      <c r="CQZ1061" s="989"/>
      <c r="CRA1061" s="989"/>
      <c r="CRB1061" s="989"/>
      <c r="CRC1061" s="989"/>
      <c r="CRD1061" s="989"/>
      <c r="CRE1061" s="989"/>
      <c r="CRF1061" s="989"/>
      <c r="CRG1061" s="989"/>
      <c r="CRH1061" s="989"/>
      <c r="CRI1061" s="989"/>
      <c r="CRJ1061" s="989"/>
      <c r="CRK1061" s="989"/>
      <c r="CRL1061" s="989"/>
      <c r="CRM1061" s="989"/>
      <c r="CRN1061" s="989"/>
      <c r="CRO1061" s="989"/>
      <c r="CRP1061" s="989"/>
      <c r="CRQ1061" s="989"/>
      <c r="CRR1061" s="989"/>
      <c r="CRS1061" s="989"/>
      <c r="CRT1061" s="989"/>
      <c r="CRU1061" s="989"/>
      <c r="CRV1061" s="989"/>
      <c r="CRW1061" s="989"/>
      <c r="CRX1061" s="989"/>
      <c r="CRY1061" s="989"/>
      <c r="CRZ1061" s="989"/>
      <c r="CSA1061" s="989"/>
      <c r="CSB1061" s="989"/>
      <c r="CSC1061" s="989"/>
      <c r="CSD1061" s="989"/>
      <c r="CSE1061" s="989"/>
      <c r="CSF1061" s="989"/>
      <c r="CSG1061" s="989"/>
      <c r="CSH1061" s="989"/>
      <c r="CSI1061" s="989"/>
      <c r="CSJ1061" s="989"/>
      <c r="CSK1061" s="989"/>
      <c r="CSL1061" s="989"/>
      <c r="CSM1061" s="989"/>
      <c r="CSN1061" s="989"/>
      <c r="CSO1061" s="989"/>
      <c r="CSP1061" s="989"/>
      <c r="CSQ1061" s="989"/>
      <c r="CSR1061" s="989"/>
      <c r="CSS1061" s="989"/>
      <c r="CST1061" s="989"/>
      <c r="CSU1061" s="989"/>
      <c r="CSV1061" s="989"/>
      <c r="CSW1061" s="989"/>
      <c r="CSX1061" s="989"/>
      <c r="CSY1061" s="989"/>
      <c r="CSZ1061" s="989"/>
      <c r="CTA1061" s="989"/>
      <c r="CTB1061" s="989"/>
      <c r="CTC1061" s="989"/>
      <c r="CTD1061" s="989"/>
      <c r="CTE1061" s="989"/>
      <c r="CTF1061" s="989"/>
      <c r="CTG1061" s="989"/>
      <c r="CTH1061" s="989"/>
      <c r="CTI1061" s="989"/>
      <c r="CTJ1061" s="989"/>
      <c r="CTK1061" s="989"/>
      <c r="CTL1061" s="989"/>
      <c r="CTM1061" s="989"/>
      <c r="CTN1061" s="989"/>
      <c r="CTO1061" s="989"/>
      <c r="CTP1061" s="989"/>
      <c r="CTQ1061" s="989"/>
      <c r="CTR1061" s="989"/>
      <c r="CTS1061" s="989"/>
      <c r="CTT1061" s="989"/>
      <c r="CTU1061" s="989"/>
      <c r="CTV1061" s="989"/>
      <c r="CTW1061" s="989"/>
      <c r="CTX1061" s="989"/>
      <c r="CTY1061" s="989"/>
      <c r="CTZ1061" s="989"/>
      <c r="CUA1061" s="989"/>
      <c r="CUB1061" s="989"/>
      <c r="CUC1061" s="989"/>
      <c r="CUD1061" s="989"/>
      <c r="CUE1061" s="989"/>
      <c r="CUF1061" s="989"/>
      <c r="CUG1061" s="989"/>
      <c r="CUH1061" s="989"/>
      <c r="CUI1061" s="989"/>
      <c r="CUJ1061" s="989"/>
      <c r="CUK1061" s="989"/>
      <c r="CUL1061" s="989"/>
      <c r="CUM1061" s="989"/>
      <c r="CUN1061" s="989"/>
      <c r="CUO1061" s="989"/>
      <c r="CUP1061" s="989"/>
      <c r="CUQ1061" s="989"/>
      <c r="CUR1061" s="989"/>
      <c r="CUS1061" s="989"/>
      <c r="CUT1061" s="989"/>
      <c r="CUU1061" s="989"/>
      <c r="CUV1061" s="989"/>
      <c r="CUW1061" s="989"/>
      <c r="CUX1061" s="989"/>
      <c r="CUY1061" s="989"/>
      <c r="CUZ1061" s="989"/>
      <c r="CVA1061" s="989"/>
      <c r="CVB1061" s="989"/>
      <c r="CVC1061" s="989"/>
      <c r="CVD1061" s="989"/>
      <c r="CVE1061" s="989"/>
      <c r="CVF1061" s="989"/>
      <c r="CVG1061" s="989"/>
      <c r="CVH1061" s="989"/>
      <c r="CVI1061" s="989"/>
      <c r="CVJ1061" s="989"/>
      <c r="CVK1061" s="989"/>
      <c r="CVL1061" s="989"/>
      <c r="CVM1061" s="989"/>
      <c r="CVN1061" s="989"/>
      <c r="CVO1061" s="989"/>
      <c r="CVP1061" s="989"/>
      <c r="CVQ1061" s="989"/>
      <c r="CVR1061" s="989"/>
      <c r="CVS1061" s="989"/>
      <c r="CVT1061" s="989"/>
      <c r="CVU1061" s="989"/>
      <c r="CVV1061" s="989"/>
      <c r="CVW1061" s="989"/>
      <c r="CVX1061" s="989"/>
      <c r="CVY1061" s="989"/>
      <c r="CVZ1061" s="989"/>
      <c r="CWA1061" s="989"/>
      <c r="CWB1061" s="989"/>
      <c r="CWC1061" s="989"/>
      <c r="CWD1061" s="989"/>
      <c r="CWE1061" s="989"/>
      <c r="CWF1061" s="989"/>
      <c r="CWG1061" s="989"/>
      <c r="CWH1061" s="989"/>
      <c r="CWI1061" s="989"/>
      <c r="CWJ1061" s="989"/>
      <c r="CWK1061" s="989"/>
      <c r="CWL1061" s="989"/>
      <c r="CWM1061" s="989"/>
      <c r="CWN1061" s="989"/>
      <c r="CWO1061" s="989"/>
      <c r="CWP1061" s="989"/>
      <c r="CWQ1061" s="989"/>
      <c r="CWR1061" s="989"/>
      <c r="CWS1061" s="989"/>
      <c r="CWT1061" s="989"/>
      <c r="CWU1061" s="989"/>
      <c r="CWV1061" s="989"/>
      <c r="CWW1061" s="989"/>
      <c r="CWX1061" s="989"/>
      <c r="CWY1061" s="989"/>
      <c r="CWZ1061" s="989"/>
      <c r="CXA1061" s="989"/>
      <c r="CXB1061" s="989"/>
      <c r="CXC1061" s="989"/>
      <c r="CXD1061" s="989"/>
      <c r="CXE1061" s="989"/>
      <c r="CXF1061" s="989"/>
      <c r="CXG1061" s="989"/>
      <c r="CXH1061" s="989"/>
      <c r="CXI1061" s="989"/>
      <c r="CXJ1061" s="989"/>
      <c r="CXK1061" s="989"/>
      <c r="CXL1061" s="989"/>
      <c r="CXM1061" s="989"/>
      <c r="CXN1061" s="989"/>
      <c r="CXO1061" s="989"/>
      <c r="CXP1061" s="989"/>
      <c r="CXQ1061" s="989"/>
      <c r="CXR1061" s="989"/>
      <c r="CXS1061" s="989"/>
      <c r="CXT1061" s="989"/>
      <c r="CXU1061" s="989"/>
      <c r="CXV1061" s="989"/>
      <c r="CXW1061" s="989"/>
      <c r="CXX1061" s="989"/>
      <c r="CXY1061" s="989"/>
      <c r="CXZ1061" s="989"/>
      <c r="CYA1061" s="989"/>
      <c r="CYB1061" s="989"/>
      <c r="CYC1061" s="989"/>
      <c r="CYD1061" s="989"/>
      <c r="CYE1061" s="989"/>
      <c r="CYF1061" s="989"/>
      <c r="CYG1061" s="989"/>
      <c r="CYH1061" s="989"/>
      <c r="CYI1061" s="989"/>
      <c r="CYJ1061" s="989"/>
      <c r="CYK1061" s="989"/>
      <c r="CYL1061" s="989"/>
      <c r="CYM1061" s="989"/>
      <c r="CYN1061" s="989"/>
      <c r="CYO1061" s="989"/>
      <c r="CYP1061" s="989"/>
      <c r="CYQ1061" s="989"/>
      <c r="CYR1061" s="989"/>
      <c r="CYS1061" s="989"/>
      <c r="CYT1061" s="989"/>
      <c r="CYU1061" s="989"/>
      <c r="CYV1061" s="989"/>
      <c r="CYW1061" s="989"/>
      <c r="CYX1061" s="989"/>
      <c r="CYY1061" s="989"/>
      <c r="CYZ1061" s="989"/>
      <c r="CZA1061" s="989"/>
      <c r="CZB1061" s="989"/>
      <c r="CZC1061" s="989"/>
      <c r="CZD1061" s="989"/>
      <c r="CZE1061" s="989"/>
      <c r="CZF1061" s="989"/>
      <c r="CZG1061" s="989"/>
      <c r="CZH1061" s="989"/>
      <c r="CZI1061" s="989"/>
      <c r="CZJ1061" s="989"/>
      <c r="CZK1061" s="989"/>
      <c r="CZL1061" s="989"/>
      <c r="CZM1061" s="989"/>
      <c r="CZN1061" s="989"/>
      <c r="CZO1061" s="989"/>
      <c r="CZP1061" s="989"/>
      <c r="CZQ1061" s="989"/>
      <c r="CZR1061" s="989"/>
      <c r="CZS1061" s="989"/>
      <c r="CZT1061" s="989"/>
      <c r="CZU1061" s="989"/>
      <c r="CZV1061" s="989"/>
      <c r="CZW1061" s="989"/>
      <c r="CZX1061" s="989"/>
      <c r="CZY1061" s="989"/>
      <c r="CZZ1061" s="989"/>
      <c r="DAA1061" s="989"/>
      <c r="DAB1061" s="989"/>
      <c r="DAC1061" s="989"/>
      <c r="DAD1061" s="989"/>
      <c r="DAE1061" s="989"/>
      <c r="DAF1061" s="989"/>
      <c r="DAG1061" s="989"/>
      <c r="DAH1061" s="989"/>
      <c r="DAI1061" s="989"/>
      <c r="DAJ1061" s="989"/>
      <c r="DAK1061" s="989"/>
      <c r="DAL1061" s="989"/>
      <c r="DAM1061" s="989"/>
      <c r="DAN1061" s="989"/>
      <c r="DAO1061" s="989"/>
      <c r="DAP1061" s="989"/>
      <c r="DAQ1061" s="989"/>
      <c r="DAR1061" s="989"/>
      <c r="DAS1061" s="989"/>
      <c r="DAT1061" s="989"/>
      <c r="DAU1061" s="989"/>
      <c r="DAV1061" s="989"/>
      <c r="DAW1061" s="989"/>
      <c r="DAX1061" s="989"/>
      <c r="DAY1061" s="989"/>
      <c r="DAZ1061" s="989"/>
      <c r="DBA1061" s="989"/>
      <c r="DBB1061" s="989"/>
      <c r="DBC1061" s="989"/>
      <c r="DBD1061" s="989"/>
      <c r="DBE1061" s="989"/>
      <c r="DBF1061" s="989"/>
      <c r="DBG1061" s="989"/>
      <c r="DBH1061" s="989"/>
      <c r="DBI1061" s="989"/>
      <c r="DBJ1061" s="989"/>
      <c r="DBK1061" s="989"/>
      <c r="DBL1061" s="989"/>
      <c r="DBM1061" s="989"/>
      <c r="DBN1061" s="989"/>
      <c r="DBO1061" s="989"/>
      <c r="DBP1061" s="989"/>
      <c r="DBQ1061" s="989"/>
      <c r="DBR1061" s="989"/>
      <c r="DBS1061" s="989"/>
      <c r="DBT1061" s="989"/>
      <c r="DBU1061" s="989"/>
      <c r="DBV1061" s="989"/>
      <c r="DBW1061" s="989"/>
      <c r="DBX1061" s="989"/>
      <c r="DBY1061" s="989"/>
      <c r="DBZ1061" s="989"/>
      <c r="DCA1061" s="989"/>
      <c r="DCB1061" s="989"/>
      <c r="DCC1061" s="989"/>
      <c r="DCD1061" s="989"/>
      <c r="DCE1061" s="989"/>
      <c r="DCF1061" s="989"/>
      <c r="DCG1061" s="989"/>
      <c r="DCH1061" s="989"/>
      <c r="DCI1061" s="989"/>
      <c r="DCJ1061" s="989"/>
      <c r="DCK1061" s="989"/>
      <c r="DCL1061" s="989"/>
      <c r="DCM1061" s="989"/>
      <c r="DCN1061" s="989"/>
      <c r="DCO1061" s="989"/>
      <c r="DCP1061" s="989"/>
      <c r="DCQ1061" s="989"/>
      <c r="DCR1061" s="989"/>
      <c r="DCS1061" s="989"/>
      <c r="DCT1061" s="989"/>
      <c r="DCU1061" s="989"/>
      <c r="DCV1061" s="989"/>
      <c r="DCW1061" s="989"/>
      <c r="DCX1061" s="989"/>
      <c r="DCY1061" s="989"/>
      <c r="DCZ1061" s="989"/>
      <c r="DDA1061" s="989"/>
      <c r="DDB1061" s="989"/>
      <c r="DDC1061" s="989"/>
      <c r="DDD1061" s="989"/>
      <c r="DDE1061" s="989"/>
      <c r="DDF1061" s="989"/>
      <c r="DDG1061" s="989"/>
      <c r="DDH1061" s="989"/>
      <c r="DDI1061" s="989"/>
      <c r="DDJ1061" s="989"/>
      <c r="DDK1061" s="989"/>
      <c r="DDL1061" s="989"/>
      <c r="DDM1061" s="989"/>
      <c r="DDN1061" s="989"/>
      <c r="DDO1061" s="989"/>
      <c r="DDP1061" s="989"/>
      <c r="DDQ1061" s="989"/>
      <c r="DDR1061" s="989"/>
      <c r="DDS1061" s="989"/>
      <c r="DDT1061" s="989"/>
      <c r="DDU1061" s="989"/>
      <c r="DDV1061" s="989"/>
      <c r="DDW1061" s="989"/>
      <c r="DDX1061" s="989"/>
      <c r="DDY1061" s="989"/>
      <c r="DDZ1061" s="989"/>
      <c r="DEA1061" s="989"/>
      <c r="DEB1061" s="989"/>
      <c r="DEC1061" s="989"/>
      <c r="DED1061" s="989"/>
      <c r="DEE1061" s="989"/>
      <c r="DEF1061" s="989"/>
      <c r="DEG1061" s="989"/>
      <c r="DEH1061" s="989"/>
      <c r="DEI1061" s="989"/>
      <c r="DEJ1061" s="989"/>
      <c r="DEK1061" s="989"/>
      <c r="DEL1061" s="989"/>
      <c r="DEM1061" s="989"/>
      <c r="DEN1061" s="989"/>
      <c r="DEO1061" s="989"/>
      <c r="DEP1061" s="989"/>
      <c r="DEQ1061" s="989"/>
      <c r="DER1061" s="989"/>
      <c r="DES1061" s="989"/>
      <c r="DET1061" s="989"/>
      <c r="DEU1061" s="989"/>
      <c r="DEV1061" s="989"/>
      <c r="DEW1061" s="989"/>
      <c r="DEX1061" s="989"/>
      <c r="DEY1061" s="989"/>
      <c r="DEZ1061" s="989"/>
      <c r="DFA1061" s="989"/>
      <c r="DFB1061" s="989"/>
      <c r="DFC1061" s="989"/>
      <c r="DFD1061" s="989"/>
      <c r="DFE1061" s="989"/>
      <c r="DFF1061" s="989"/>
      <c r="DFG1061" s="989"/>
      <c r="DFH1061" s="989"/>
      <c r="DFI1061" s="989"/>
      <c r="DFJ1061" s="989"/>
      <c r="DFK1061" s="989"/>
      <c r="DFL1061" s="989"/>
      <c r="DFM1061" s="989"/>
      <c r="DFN1061" s="989"/>
      <c r="DFO1061" s="989"/>
      <c r="DFP1061" s="989"/>
      <c r="DFQ1061" s="989"/>
      <c r="DFR1061" s="989"/>
      <c r="DFS1061" s="989"/>
      <c r="DFT1061" s="989"/>
      <c r="DFU1061" s="989"/>
      <c r="DFV1061" s="989"/>
      <c r="DFW1061" s="989"/>
      <c r="DFX1061" s="989"/>
      <c r="DFY1061" s="989"/>
      <c r="DFZ1061" s="989"/>
      <c r="DGA1061" s="989"/>
      <c r="DGB1061" s="989"/>
      <c r="DGC1061" s="989"/>
      <c r="DGD1061" s="989"/>
      <c r="DGE1061" s="989"/>
      <c r="DGF1061" s="989"/>
      <c r="DGG1061" s="989"/>
      <c r="DGH1061" s="989"/>
      <c r="DGI1061" s="989"/>
      <c r="DGJ1061" s="989"/>
      <c r="DGK1061" s="989"/>
      <c r="DGL1061" s="989"/>
      <c r="DGM1061" s="989"/>
      <c r="DGN1061" s="989"/>
      <c r="DGO1061" s="989"/>
      <c r="DGP1061" s="989"/>
      <c r="DGQ1061" s="989"/>
      <c r="DGR1061" s="989"/>
      <c r="DGS1061" s="989"/>
      <c r="DGT1061" s="989"/>
      <c r="DGU1061" s="989"/>
      <c r="DGV1061" s="989"/>
      <c r="DGW1061" s="989"/>
      <c r="DGX1061" s="989"/>
      <c r="DGY1061" s="989"/>
      <c r="DGZ1061" s="989"/>
      <c r="DHA1061" s="989"/>
      <c r="DHB1061" s="989"/>
      <c r="DHC1061" s="989"/>
      <c r="DHD1061" s="989"/>
      <c r="DHE1061" s="989"/>
      <c r="DHF1061" s="989"/>
      <c r="DHG1061" s="989"/>
      <c r="DHH1061" s="989"/>
      <c r="DHI1061" s="989"/>
      <c r="DHJ1061" s="989"/>
      <c r="DHK1061" s="989"/>
      <c r="DHL1061" s="989"/>
      <c r="DHM1061" s="989"/>
      <c r="DHN1061" s="989"/>
      <c r="DHO1061" s="989"/>
      <c r="DHP1061" s="989"/>
      <c r="DHQ1061" s="989"/>
      <c r="DHR1061" s="989"/>
      <c r="DHS1061" s="989"/>
      <c r="DHT1061" s="989"/>
      <c r="DHU1061" s="989"/>
      <c r="DHV1061" s="989"/>
      <c r="DHW1061" s="989"/>
      <c r="DHX1061" s="989"/>
      <c r="DHY1061" s="989"/>
      <c r="DHZ1061" s="989"/>
      <c r="DIA1061" s="989"/>
      <c r="DIB1061" s="989"/>
      <c r="DIC1061" s="989"/>
      <c r="DID1061" s="989"/>
      <c r="DIE1061" s="989"/>
      <c r="DIF1061" s="989"/>
      <c r="DIG1061" s="989"/>
      <c r="DIH1061" s="989"/>
      <c r="DII1061" s="989"/>
      <c r="DIJ1061" s="989"/>
      <c r="DIK1061" s="989"/>
      <c r="DIL1061" s="989"/>
      <c r="DIM1061" s="989"/>
      <c r="DIN1061" s="989"/>
      <c r="DIO1061" s="989"/>
      <c r="DIP1061" s="989"/>
      <c r="DIQ1061" s="989"/>
      <c r="DIR1061" s="989"/>
      <c r="DIS1061" s="989"/>
      <c r="DIT1061" s="989"/>
      <c r="DIU1061" s="989"/>
      <c r="DIV1061" s="989"/>
      <c r="DIW1061" s="989"/>
      <c r="DIX1061" s="989"/>
      <c r="DIY1061" s="989"/>
      <c r="DIZ1061" s="989"/>
      <c r="DJA1061" s="989"/>
      <c r="DJB1061" s="989"/>
      <c r="DJC1061" s="989"/>
      <c r="DJD1061" s="989"/>
      <c r="DJE1061" s="989"/>
      <c r="DJF1061" s="989"/>
      <c r="DJG1061" s="989"/>
      <c r="DJH1061" s="989"/>
      <c r="DJI1061" s="989"/>
      <c r="DJJ1061" s="989"/>
      <c r="DJK1061" s="989"/>
      <c r="DJL1061" s="989"/>
      <c r="DJM1061" s="989"/>
      <c r="DJN1061" s="989"/>
      <c r="DJO1061" s="989"/>
      <c r="DJP1061" s="989"/>
      <c r="DJQ1061" s="989"/>
      <c r="DJR1061" s="989"/>
      <c r="DJS1061" s="989"/>
      <c r="DJT1061" s="989"/>
      <c r="DJU1061" s="989"/>
      <c r="DJV1061" s="989"/>
      <c r="DJW1061" s="989"/>
      <c r="DJX1061" s="989"/>
      <c r="DJY1061" s="989"/>
      <c r="DJZ1061" s="989"/>
      <c r="DKA1061" s="989"/>
      <c r="DKB1061" s="989"/>
      <c r="DKC1061" s="989"/>
      <c r="DKD1061" s="989"/>
      <c r="DKE1061" s="989"/>
      <c r="DKF1061" s="989"/>
      <c r="DKG1061" s="989"/>
      <c r="DKH1061" s="989"/>
      <c r="DKI1061" s="989"/>
      <c r="DKJ1061" s="989"/>
      <c r="DKK1061" s="989"/>
      <c r="DKL1061" s="989"/>
      <c r="DKM1061" s="989"/>
      <c r="DKN1061" s="989"/>
      <c r="DKO1061" s="989"/>
      <c r="DKP1061" s="989"/>
      <c r="DKQ1061" s="989"/>
      <c r="DKR1061" s="989"/>
      <c r="DKS1061" s="989"/>
      <c r="DKT1061" s="989"/>
      <c r="DKU1061" s="989"/>
      <c r="DKV1061" s="989"/>
      <c r="DKW1061" s="989"/>
      <c r="DKX1061" s="989"/>
      <c r="DKY1061" s="989"/>
      <c r="DKZ1061" s="989"/>
      <c r="DLA1061" s="989"/>
      <c r="DLB1061" s="989"/>
      <c r="DLC1061" s="989"/>
      <c r="DLD1061" s="989"/>
      <c r="DLE1061" s="989"/>
      <c r="DLF1061" s="989"/>
      <c r="DLG1061" s="989"/>
      <c r="DLH1061" s="989"/>
      <c r="DLI1061" s="989"/>
      <c r="DLJ1061" s="989"/>
      <c r="DLK1061" s="989"/>
      <c r="DLL1061" s="989"/>
      <c r="DLM1061" s="989"/>
      <c r="DLN1061" s="989"/>
      <c r="DLO1061" s="989"/>
      <c r="DLP1061" s="989"/>
      <c r="DLQ1061" s="989"/>
      <c r="DLR1061" s="989"/>
      <c r="DLS1061" s="989"/>
      <c r="DLT1061" s="989"/>
      <c r="DLU1061" s="989"/>
      <c r="DLV1061" s="989"/>
      <c r="DLW1061" s="989"/>
      <c r="DLX1061" s="989"/>
      <c r="DLY1061" s="989"/>
      <c r="DLZ1061" s="989"/>
      <c r="DMA1061" s="989"/>
      <c r="DMB1061" s="989"/>
      <c r="DMC1061" s="989"/>
      <c r="DMD1061" s="989"/>
      <c r="DME1061" s="989"/>
      <c r="DMF1061" s="989"/>
      <c r="DMG1061" s="989"/>
      <c r="DMH1061" s="989"/>
      <c r="DMI1061" s="989"/>
      <c r="DMJ1061" s="989"/>
      <c r="DMK1061" s="989"/>
      <c r="DML1061" s="989"/>
      <c r="DMM1061" s="989"/>
      <c r="DMN1061" s="989"/>
      <c r="DMO1061" s="989"/>
      <c r="DMP1061" s="989"/>
      <c r="DMQ1061" s="989"/>
      <c r="DMR1061" s="989"/>
      <c r="DMS1061" s="989"/>
      <c r="DMT1061" s="989"/>
      <c r="DMU1061" s="989"/>
      <c r="DMV1061" s="989"/>
      <c r="DMW1061" s="989"/>
      <c r="DMX1061" s="989"/>
      <c r="DMY1061" s="989"/>
      <c r="DMZ1061" s="989"/>
      <c r="DNA1061" s="989"/>
      <c r="DNB1061" s="989"/>
      <c r="DNC1061" s="989"/>
      <c r="DND1061" s="989"/>
      <c r="DNE1061" s="989"/>
      <c r="DNF1061" s="989"/>
      <c r="DNG1061" s="989"/>
      <c r="DNH1061" s="989"/>
      <c r="DNI1061" s="989"/>
      <c r="DNJ1061" s="989"/>
      <c r="DNK1061" s="989"/>
      <c r="DNL1061" s="989"/>
      <c r="DNM1061" s="989"/>
      <c r="DNN1061" s="989"/>
      <c r="DNO1061" s="989"/>
      <c r="DNP1061" s="989"/>
      <c r="DNQ1061" s="989"/>
      <c r="DNR1061" s="989"/>
      <c r="DNS1061" s="989"/>
      <c r="DNT1061" s="989"/>
      <c r="DNU1061" s="989"/>
      <c r="DNV1061" s="989"/>
      <c r="DNW1061" s="989"/>
      <c r="DNX1061" s="989"/>
      <c r="DNY1061" s="989"/>
      <c r="DNZ1061" s="989"/>
      <c r="DOA1061" s="989"/>
      <c r="DOB1061" s="989"/>
      <c r="DOC1061" s="989"/>
      <c r="DOD1061" s="989"/>
      <c r="DOE1061" s="989"/>
      <c r="DOF1061" s="989"/>
      <c r="DOG1061" s="989"/>
      <c r="DOH1061" s="989"/>
      <c r="DOI1061" s="989"/>
      <c r="DOJ1061" s="989"/>
      <c r="DOK1061" s="989"/>
      <c r="DOL1061" s="989"/>
      <c r="DOM1061" s="989"/>
      <c r="DON1061" s="989"/>
      <c r="DOO1061" s="989"/>
      <c r="DOP1061" s="989"/>
      <c r="DOQ1061" s="989"/>
      <c r="DOR1061" s="989"/>
      <c r="DOS1061" s="989"/>
      <c r="DOT1061" s="989"/>
      <c r="DOU1061" s="989"/>
      <c r="DOV1061" s="989"/>
      <c r="DOW1061" s="989"/>
      <c r="DOX1061" s="989"/>
      <c r="DOY1061" s="989"/>
      <c r="DOZ1061" s="989"/>
      <c r="DPA1061" s="989"/>
      <c r="DPB1061" s="989"/>
      <c r="DPC1061" s="989"/>
      <c r="DPD1061" s="989"/>
      <c r="DPE1061" s="989"/>
      <c r="DPF1061" s="989"/>
      <c r="DPG1061" s="989"/>
      <c r="DPH1061" s="989"/>
      <c r="DPI1061" s="989"/>
      <c r="DPJ1061" s="989"/>
      <c r="DPK1061" s="989"/>
      <c r="DPL1061" s="989"/>
      <c r="DPM1061" s="989"/>
      <c r="DPN1061" s="989"/>
      <c r="DPO1061" s="989"/>
      <c r="DPP1061" s="989"/>
      <c r="DPQ1061" s="989"/>
      <c r="DPR1061" s="989"/>
      <c r="DPS1061" s="989"/>
      <c r="DPT1061" s="989"/>
      <c r="DPU1061" s="989"/>
      <c r="DPV1061" s="989"/>
      <c r="DPW1061" s="989"/>
      <c r="DPX1061" s="989"/>
      <c r="DPY1061" s="989"/>
      <c r="DPZ1061" s="989"/>
      <c r="DQA1061" s="989"/>
      <c r="DQB1061" s="989"/>
      <c r="DQC1061" s="989"/>
      <c r="DQD1061" s="989"/>
      <c r="DQE1061" s="989"/>
      <c r="DQF1061" s="989"/>
      <c r="DQG1061" s="989"/>
      <c r="DQH1061" s="989"/>
      <c r="DQI1061" s="989"/>
      <c r="DQJ1061" s="989"/>
      <c r="DQK1061" s="989"/>
      <c r="DQL1061" s="989"/>
      <c r="DQM1061" s="989"/>
      <c r="DQN1061" s="989"/>
      <c r="DQO1061" s="989"/>
      <c r="DQP1061" s="989"/>
      <c r="DQQ1061" s="989"/>
      <c r="DQR1061" s="989"/>
      <c r="DQS1061" s="989"/>
      <c r="DQT1061" s="989"/>
      <c r="DQU1061" s="989"/>
      <c r="DQV1061" s="989"/>
      <c r="DQW1061" s="989"/>
      <c r="DQX1061" s="989"/>
      <c r="DQY1061" s="989"/>
      <c r="DQZ1061" s="989"/>
      <c r="DRA1061" s="989"/>
      <c r="DRB1061" s="989"/>
      <c r="DRC1061" s="989"/>
      <c r="DRD1061" s="989"/>
      <c r="DRE1061" s="989"/>
      <c r="DRF1061" s="989"/>
      <c r="DRG1061" s="989"/>
      <c r="DRH1061" s="989"/>
      <c r="DRI1061" s="989"/>
      <c r="DRJ1061" s="989"/>
      <c r="DRK1061" s="989"/>
      <c r="DRL1061" s="989"/>
      <c r="DRM1061" s="989"/>
      <c r="DRN1061" s="989"/>
      <c r="DRO1061" s="989"/>
      <c r="DRP1061" s="989"/>
      <c r="DRQ1061" s="989"/>
      <c r="DRR1061" s="989"/>
      <c r="DRS1061" s="989"/>
      <c r="DRT1061" s="989"/>
      <c r="DRU1061" s="989"/>
      <c r="DRV1061" s="989"/>
      <c r="DRW1061" s="989"/>
      <c r="DRX1061" s="989"/>
      <c r="DRY1061" s="989"/>
      <c r="DRZ1061" s="989"/>
      <c r="DSA1061" s="989"/>
      <c r="DSB1061" s="989"/>
      <c r="DSC1061" s="989"/>
      <c r="DSD1061" s="989"/>
      <c r="DSE1061" s="989"/>
      <c r="DSF1061" s="989"/>
      <c r="DSG1061" s="989"/>
      <c r="DSH1061" s="989"/>
      <c r="DSI1061" s="989"/>
      <c r="DSJ1061" s="989"/>
      <c r="DSK1061" s="989"/>
      <c r="DSL1061" s="989"/>
      <c r="DSM1061" s="989"/>
      <c r="DSN1061" s="989"/>
      <c r="DSO1061" s="989"/>
      <c r="DSP1061" s="989"/>
      <c r="DSQ1061" s="989"/>
      <c r="DSR1061" s="989"/>
      <c r="DSS1061" s="989"/>
      <c r="DST1061" s="989"/>
      <c r="DSU1061" s="989"/>
      <c r="DSV1061" s="989"/>
      <c r="DSW1061" s="989"/>
      <c r="DSX1061" s="989"/>
      <c r="DSY1061" s="989"/>
      <c r="DSZ1061" s="989"/>
      <c r="DTA1061" s="989"/>
      <c r="DTB1061" s="989"/>
      <c r="DTC1061" s="989"/>
      <c r="DTD1061" s="989"/>
      <c r="DTE1061" s="989"/>
      <c r="DTF1061" s="989"/>
      <c r="DTG1061" s="989"/>
      <c r="DTH1061" s="989"/>
      <c r="DTI1061" s="989"/>
      <c r="DTJ1061" s="989"/>
      <c r="DTK1061" s="989"/>
      <c r="DTL1061" s="989"/>
      <c r="DTM1061" s="989"/>
      <c r="DTN1061" s="989"/>
      <c r="DTO1061" s="989"/>
      <c r="DTP1061" s="989"/>
      <c r="DTQ1061" s="989"/>
      <c r="DTR1061" s="989"/>
      <c r="DTS1061" s="989"/>
      <c r="DTT1061" s="989"/>
      <c r="DTU1061" s="989"/>
      <c r="DTV1061" s="989"/>
      <c r="DTW1061" s="989"/>
      <c r="DTX1061" s="989"/>
      <c r="DTY1061" s="989"/>
      <c r="DTZ1061" s="989"/>
      <c r="DUA1061" s="989"/>
      <c r="DUB1061" s="989"/>
      <c r="DUC1061" s="989"/>
      <c r="DUD1061" s="989"/>
      <c r="DUE1061" s="989"/>
      <c r="DUF1061" s="989"/>
      <c r="DUG1061" s="989"/>
      <c r="DUH1061" s="989"/>
      <c r="DUI1061" s="989"/>
      <c r="DUJ1061" s="989"/>
      <c r="DUK1061" s="989"/>
      <c r="DUL1061" s="989"/>
      <c r="DUM1061" s="989"/>
      <c r="DUN1061" s="989"/>
      <c r="DUO1061" s="989"/>
      <c r="DUP1061" s="989"/>
      <c r="DUQ1061" s="989"/>
      <c r="DUR1061" s="989"/>
      <c r="DUS1061" s="989"/>
      <c r="DUT1061" s="989"/>
      <c r="DUU1061" s="989"/>
      <c r="DUV1061" s="989"/>
      <c r="DUW1061" s="989"/>
      <c r="DUX1061" s="989"/>
      <c r="DUY1061" s="989"/>
      <c r="DUZ1061" s="989"/>
      <c r="DVA1061" s="989"/>
      <c r="DVB1061" s="989"/>
      <c r="DVC1061" s="989"/>
      <c r="DVD1061" s="989"/>
      <c r="DVE1061" s="989"/>
      <c r="DVF1061" s="989"/>
      <c r="DVG1061" s="989"/>
      <c r="DVH1061" s="989"/>
      <c r="DVI1061" s="989"/>
      <c r="DVJ1061" s="989"/>
      <c r="DVK1061" s="989"/>
      <c r="DVL1061" s="989"/>
      <c r="DVM1061" s="989"/>
      <c r="DVN1061" s="989"/>
      <c r="DVO1061" s="989"/>
      <c r="DVP1061" s="989"/>
      <c r="DVQ1061" s="989"/>
      <c r="DVR1061" s="989"/>
      <c r="DVS1061" s="989"/>
      <c r="DVT1061" s="989"/>
      <c r="DVU1061" s="989"/>
      <c r="DVV1061" s="989"/>
      <c r="DVW1061" s="989"/>
      <c r="DVX1061" s="989"/>
      <c r="DVY1061" s="989"/>
      <c r="DVZ1061" s="989"/>
      <c r="DWA1061" s="989"/>
      <c r="DWB1061" s="989"/>
      <c r="DWC1061" s="989"/>
      <c r="DWD1061" s="989"/>
      <c r="DWE1061" s="989"/>
      <c r="DWF1061" s="989"/>
      <c r="DWG1061" s="989"/>
      <c r="DWH1061" s="989"/>
      <c r="DWI1061" s="989"/>
      <c r="DWJ1061" s="989"/>
      <c r="DWK1061" s="989"/>
      <c r="DWL1061" s="989"/>
      <c r="DWM1061" s="989"/>
      <c r="DWN1061" s="989"/>
      <c r="DWO1061" s="989"/>
      <c r="DWP1061" s="989"/>
      <c r="DWQ1061" s="989"/>
      <c r="DWR1061" s="989"/>
      <c r="DWS1061" s="989"/>
      <c r="DWT1061" s="989"/>
      <c r="DWU1061" s="989"/>
      <c r="DWV1061" s="989"/>
      <c r="DWW1061" s="989"/>
      <c r="DWX1061" s="989"/>
      <c r="DWY1061" s="989"/>
      <c r="DWZ1061" s="989"/>
      <c r="DXA1061" s="989"/>
      <c r="DXB1061" s="989"/>
      <c r="DXC1061" s="989"/>
      <c r="DXD1061" s="989"/>
      <c r="DXE1061" s="989"/>
      <c r="DXF1061" s="989"/>
      <c r="DXG1061" s="989"/>
      <c r="DXH1061" s="989"/>
      <c r="DXI1061" s="989"/>
      <c r="DXJ1061" s="989"/>
      <c r="DXK1061" s="989"/>
      <c r="DXL1061" s="989"/>
      <c r="DXM1061" s="989"/>
      <c r="DXN1061" s="989"/>
      <c r="DXO1061" s="989"/>
      <c r="DXP1061" s="989"/>
      <c r="DXQ1061" s="989"/>
      <c r="DXR1061" s="989"/>
      <c r="DXS1061" s="989"/>
      <c r="DXT1061" s="989"/>
      <c r="DXU1061" s="989"/>
      <c r="DXV1061" s="989"/>
      <c r="DXW1061" s="989"/>
      <c r="DXX1061" s="989"/>
      <c r="DXY1061" s="989"/>
      <c r="DXZ1061" s="989"/>
      <c r="DYA1061" s="989"/>
      <c r="DYB1061" s="989"/>
      <c r="DYC1061" s="989"/>
      <c r="DYD1061" s="989"/>
      <c r="DYE1061" s="989"/>
      <c r="DYF1061" s="989"/>
      <c r="DYG1061" s="989"/>
      <c r="DYH1061" s="989"/>
      <c r="DYI1061" s="989"/>
      <c r="DYJ1061" s="989"/>
      <c r="DYK1061" s="989"/>
      <c r="DYL1061" s="989"/>
      <c r="DYM1061" s="989"/>
      <c r="DYN1061" s="989"/>
      <c r="DYO1061" s="989"/>
      <c r="DYP1061" s="989"/>
      <c r="DYQ1061" s="989"/>
      <c r="DYR1061" s="989"/>
      <c r="DYS1061" s="989"/>
      <c r="DYT1061" s="989"/>
      <c r="DYU1061" s="989"/>
      <c r="DYV1061" s="989"/>
      <c r="DYW1061" s="989"/>
      <c r="DYX1061" s="989"/>
      <c r="DYY1061" s="989"/>
      <c r="DYZ1061" s="989"/>
      <c r="DZA1061" s="989"/>
      <c r="DZB1061" s="989"/>
      <c r="DZC1061" s="989"/>
      <c r="DZD1061" s="989"/>
      <c r="DZE1061" s="989"/>
      <c r="DZF1061" s="989"/>
      <c r="DZG1061" s="989"/>
      <c r="DZH1061" s="989"/>
      <c r="DZI1061" s="989"/>
      <c r="DZJ1061" s="989"/>
      <c r="DZK1061" s="989"/>
      <c r="DZL1061" s="989"/>
      <c r="DZM1061" s="989"/>
      <c r="DZN1061" s="989"/>
      <c r="DZO1061" s="989"/>
      <c r="DZP1061" s="989"/>
      <c r="DZQ1061" s="989"/>
      <c r="DZR1061" s="989"/>
      <c r="DZS1061" s="989"/>
      <c r="DZT1061" s="989"/>
      <c r="DZU1061" s="989"/>
      <c r="DZV1061" s="989"/>
      <c r="DZW1061" s="989"/>
      <c r="DZX1061" s="989"/>
      <c r="DZY1061" s="989"/>
      <c r="DZZ1061" s="989"/>
      <c r="EAA1061" s="989"/>
      <c r="EAB1061" s="989"/>
      <c r="EAC1061" s="989"/>
      <c r="EAD1061" s="989"/>
      <c r="EAE1061" s="989"/>
      <c r="EAF1061" s="989"/>
      <c r="EAG1061" s="989"/>
      <c r="EAH1061" s="989"/>
      <c r="EAI1061" s="989"/>
      <c r="EAJ1061" s="989"/>
      <c r="EAK1061" s="989"/>
      <c r="EAL1061" s="989"/>
      <c r="EAM1061" s="989"/>
      <c r="EAN1061" s="989"/>
      <c r="EAO1061" s="989"/>
      <c r="EAP1061" s="989"/>
      <c r="EAQ1061" s="989"/>
      <c r="EAR1061" s="989"/>
      <c r="EAS1061" s="989"/>
      <c r="EAT1061" s="989"/>
      <c r="EAU1061" s="989"/>
      <c r="EAV1061" s="989"/>
      <c r="EAW1061" s="989"/>
      <c r="EAX1061" s="989"/>
      <c r="EAY1061" s="989"/>
      <c r="EAZ1061" s="989"/>
      <c r="EBA1061" s="989"/>
      <c r="EBB1061" s="989"/>
      <c r="EBC1061" s="989"/>
      <c r="EBD1061" s="989"/>
      <c r="EBE1061" s="989"/>
      <c r="EBF1061" s="989"/>
      <c r="EBG1061" s="989"/>
      <c r="EBH1061" s="989"/>
      <c r="EBI1061" s="989"/>
      <c r="EBJ1061" s="989"/>
      <c r="EBK1061" s="989"/>
      <c r="EBL1061" s="989"/>
      <c r="EBM1061" s="989"/>
      <c r="EBN1061" s="989"/>
      <c r="EBO1061" s="989"/>
      <c r="EBP1061" s="989"/>
      <c r="EBQ1061" s="989"/>
      <c r="EBR1061" s="989"/>
      <c r="EBS1061" s="989"/>
      <c r="EBT1061" s="989"/>
      <c r="EBU1061" s="989"/>
      <c r="EBV1061" s="989"/>
      <c r="EBW1061" s="989"/>
      <c r="EBX1061" s="989"/>
      <c r="EBY1061" s="989"/>
      <c r="EBZ1061" s="989"/>
      <c r="ECA1061" s="989"/>
      <c r="ECB1061" s="989"/>
      <c r="ECC1061" s="989"/>
      <c r="ECD1061" s="989"/>
      <c r="ECE1061" s="989"/>
      <c r="ECF1061" s="989"/>
      <c r="ECG1061" s="989"/>
      <c r="ECH1061" s="989"/>
      <c r="ECI1061" s="989"/>
      <c r="ECJ1061" s="989"/>
      <c r="ECK1061" s="989"/>
      <c r="ECL1061" s="989"/>
      <c r="ECM1061" s="989"/>
      <c r="ECN1061" s="989"/>
      <c r="ECO1061" s="989"/>
      <c r="ECP1061" s="989"/>
      <c r="ECQ1061" s="989"/>
      <c r="ECR1061" s="989"/>
      <c r="ECS1061" s="989"/>
      <c r="ECT1061" s="989"/>
      <c r="ECU1061" s="989"/>
      <c r="ECV1061" s="989"/>
      <c r="ECW1061" s="989"/>
      <c r="ECX1061" s="989"/>
      <c r="ECY1061" s="989"/>
      <c r="ECZ1061" s="989"/>
      <c r="EDA1061" s="989"/>
      <c r="EDB1061" s="989"/>
      <c r="EDC1061" s="989"/>
      <c r="EDD1061" s="989"/>
      <c r="EDE1061" s="989"/>
      <c r="EDF1061" s="989"/>
      <c r="EDG1061" s="989"/>
      <c r="EDH1061" s="989"/>
      <c r="EDI1061" s="989"/>
      <c r="EDJ1061" s="989"/>
      <c r="EDK1061" s="989"/>
      <c r="EDL1061" s="989"/>
      <c r="EDM1061" s="989"/>
      <c r="EDN1061" s="989"/>
      <c r="EDO1061" s="989"/>
      <c r="EDP1061" s="989"/>
      <c r="EDQ1061" s="989"/>
      <c r="EDR1061" s="989"/>
      <c r="EDS1061" s="989"/>
      <c r="EDT1061" s="989"/>
      <c r="EDU1061" s="989"/>
      <c r="EDV1061" s="989"/>
      <c r="EDW1061" s="989"/>
      <c r="EDX1061" s="989"/>
      <c r="EDY1061" s="989"/>
      <c r="EDZ1061" s="989"/>
      <c r="EEA1061" s="989"/>
      <c r="EEB1061" s="989"/>
      <c r="EEC1061" s="989"/>
      <c r="EED1061" s="989"/>
      <c r="EEE1061" s="989"/>
      <c r="EEF1061" s="989"/>
      <c r="EEG1061" s="989"/>
      <c r="EEH1061" s="989"/>
      <c r="EEI1061" s="989"/>
      <c r="EEJ1061" s="989"/>
      <c r="EEK1061" s="989"/>
      <c r="EEL1061" s="989"/>
      <c r="EEM1061" s="989"/>
      <c r="EEN1061" s="989"/>
      <c r="EEO1061" s="989"/>
      <c r="EEP1061" s="989"/>
      <c r="EEQ1061" s="989"/>
      <c r="EER1061" s="989"/>
      <c r="EES1061" s="989"/>
      <c r="EET1061" s="989"/>
      <c r="EEU1061" s="989"/>
      <c r="EEV1061" s="989"/>
      <c r="EEW1061" s="989"/>
      <c r="EEX1061" s="989"/>
      <c r="EEY1061" s="989"/>
      <c r="EEZ1061" s="989"/>
      <c r="EFA1061" s="989"/>
      <c r="EFB1061" s="989"/>
      <c r="EFC1061" s="989"/>
      <c r="EFD1061" s="989"/>
      <c r="EFE1061" s="989"/>
      <c r="EFF1061" s="989"/>
      <c r="EFG1061" s="989"/>
      <c r="EFH1061" s="989"/>
      <c r="EFI1061" s="989"/>
      <c r="EFJ1061" s="989"/>
      <c r="EFK1061" s="989"/>
      <c r="EFL1061" s="989"/>
      <c r="EFM1061" s="989"/>
      <c r="EFN1061" s="989"/>
      <c r="EFO1061" s="989"/>
      <c r="EFP1061" s="989"/>
      <c r="EFQ1061" s="989"/>
      <c r="EFR1061" s="989"/>
      <c r="EFS1061" s="989"/>
      <c r="EFT1061" s="989"/>
      <c r="EFU1061" s="989"/>
      <c r="EFV1061" s="989"/>
      <c r="EFW1061" s="989"/>
      <c r="EFX1061" s="989"/>
      <c r="EFY1061" s="989"/>
      <c r="EFZ1061" s="989"/>
      <c r="EGA1061" s="989"/>
      <c r="EGB1061" s="989"/>
      <c r="EGC1061" s="989"/>
      <c r="EGD1061" s="989"/>
      <c r="EGE1061" s="989"/>
      <c r="EGF1061" s="989"/>
      <c r="EGG1061" s="989"/>
      <c r="EGH1061" s="989"/>
      <c r="EGI1061" s="989"/>
      <c r="EGJ1061" s="989"/>
      <c r="EGK1061" s="989"/>
      <c r="EGL1061" s="989"/>
      <c r="EGM1061" s="989"/>
      <c r="EGN1061" s="989"/>
      <c r="EGO1061" s="989"/>
      <c r="EGP1061" s="989"/>
      <c r="EGQ1061" s="989"/>
      <c r="EGR1061" s="989"/>
      <c r="EGS1061" s="989"/>
      <c r="EGT1061" s="989"/>
      <c r="EGU1061" s="989"/>
      <c r="EGV1061" s="989"/>
      <c r="EGW1061" s="989"/>
      <c r="EGX1061" s="989"/>
      <c r="EGY1061" s="989"/>
      <c r="EGZ1061" s="989"/>
      <c r="EHA1061" s="989"/>
      <c r="EHB1061" s="989"/>
      <c r="EHC1061" s="989"/>
      <c r="EHD1061" s="989"/>
      <c r="EHE1061" s="989"/>
      <c r="EHF1061" s="989"/>
      <c r="EHG1061" s="989"/>
      <c r="EHH1061" s="989"/>
      <c r="EHI1061" s="989"/>
      <c r="EHJ1061" s="989"/>
      <c r="EHK1061" s="989"/>
      <c r="EHL1061" s="989"/>
      <c r="EHM1061" s="989"/>
      <c r="EHN1061" s="989"/>
      <c r="EHO1061" s="989"/>
      <c r="EHP1061" s="989"/>
      <c r="EHQ1061" s="989"/>
      <c r="EHR1061" s="989"/>
      <c r="EHS1061" s="989"/>
      <c r="EHT1061" s="989"/>
      <c r="EHU1061" s="989"/>
      <c r="EHV1061" s="989"/>
      <c r="EHW1061" s="989"/>
      <c r="EHX1061" s="989"/>
      <c r="EHY1061" s="989"/>
      <c r="EHZ1061" s="989"/>
      <c r="EIA1061" s="989"/>
      <c r="EIB1061" s="989"/>
      <c r="EIC1061" s="989"/>
      <c r="EID1061" s="989"/>
      <c r="EIE1061" s="989"/>
      <c r="EIF1061" s="989"/>
      <c r="EIG1061" s="989"/>
      <c r="EIH1061" s="989"/>
      <c r="EII1061" s="989"/>
      <c r="EIJ1061" s="989"/>
      <c r="EIK1061" s="989"/>
      <c r="EIL1061" s="989"/>
      <c r="EIM1061" s="989"/>
      <c r="EIN1061" s="989"/>
      <c r="EIO1061" s="989"/>
      <c r="EIP1061" s="989"/>
      <c r="EIQ1061" s="989"/>
      <c r="EIR1061" s="989"/>
      <c r="EIS1061" s="989"/>
      <c r="EIT1061" s="989"/>
      <c r="EIU1061" s="989"/>
      <c r="EIV1061" s="989"/>
      <c r="EIW1061" s="989"/>
      <c r="EIX1061" s="989"/>
      <c r="EIY1061" s="989"/>
      <c r="EIZ1061" s="989"/>
      <c r="EJA1061" s="989"/>
      <c r="EJB1061" s="989"/>
      <c r="EJC1061" s="989"/>
      <c r="EJD1061" s="989"/>
      <c r="EJE1061" s="989"/>
      <c r="EJF1061" s="989"/>
      <c r="EJG1061" s="989"/>
      <c r="EJH1061" s="989"/>
      <c r="EJI1061" s="989"/>
      <c r="EJJ1061" s="989"/>
      <c r="EJK1061" s="989"/>
      <c r="EJL1061" s="989"/>
      <c r="EJM1061" s="989"/>
      <c r="EJN1061" s="989"/>
      <c r="EJO1061" s="989"/>
      <c r="EJP1061" s="989"/>
      <c r="EJQ1061" s="989"/>
      <c r="EJR1061" s="989"/>
      <c r="EJS1061" s="989"/>
      <c r="EJT1061" s="989"/>
      <c r="EJU1061" s="989"/>
      <c r="EJV1061" s="989"/>
      <c r="EJW1061" s="989"/>
      <c r="EJX1061" s="989"/>
      <c r="EJY1061" s="989"/>
      <c r="EJZ1061" s="989"/>
      <c r="EKA1061" s="989"/>
      <c r="EKB1061" s="989"/>
      <c r="EKC1061" s="989"/>
      <c r="EKD1061" s="989"/>
      <c r="EKE1061" s="989"/>
      <c r="EKF1061" s="989"/>
      <c r="EKG1061" s="989"/>
      <c r="EKH1061" s="989"/>
      <c r="EKI1061" s="989"/>
      <c r="EKJ1061" s="989"/>
      <c r="EKK1061" s="989"/>
      <c r="EKL1061" s="989"/>
      <c r="EKM1061" s="989"/>
      <c r="EKN1061" s="989"/>
      <c r="EKO1061" s="989"/>
      <c r="EKP1061" s="989"/>
      <c r="EKQ1061" s="989"/>
      <c r="EKR1061" s="989"/>
      <c r="EKS1061" s="989"/>
      <c r="EKT1061" s="989"/>
      <c r="EKU1061" s="989"/>
      <c r="EKV1061" s="989"/>
      <c r="EKW1061" s="989"/>
      <c r="EKX1061" s="989"/>
      <c r="EKY1061" s="989"/>
      <c r="EKZ1061" s="989"/>
      <c r="ELA1061" s="989"/>
      <c r="ELB1061" s="989"/>
      <c r="ELC1061" s="989"/>
      <c r="ELD1061" s="989"/>
      <c r="ELE1061" s="989"/>
      <c r="ELF1061" s="989"/>
      <c r="ELG1061" s="989"/>
      <c r="ELH1061" s="989"/>
      <c r="ELI1061" s="989"/>
      <c r="ELJ1061" s="989"/>
      <c r="ELK1061" s="989"/>
      <c r="ELL1061" s="989"/>
      <c r="ELM1061" s="989"/>
      <c r="ELN1061" s="989"/>
      <c r="ELO1061" s="989"/>
      <c r="ELP1061" s="989"/>
      <c r="ELQ1061" s="989"/>
      <c r="ELR1061" s="989"/>
      <c r="ELS1061" s="989"/>
      <c r="ELT1061" s="989"/>
      <c r="ELU1061" s="989"/>
      <c r="ELV1061" s="989"/>
      <c r="ELW1061" s="989"/>
      <c r="ELX1061" s="989"/>
      <c r="ELY1061" s="989"/>
      <c r="ELZ1061" s="989"/>
      <c r="EMA1061" s="989"/>
      <c r="EMB1061" s="989"/>
      <c r="EMC1061" s="989"/>
      <c r="EMD1061" s="989"/>
      <c r="EME1061" s="989"/>
      <c r="EMF1061" s="989"/>
      <c r="EMG1061" s="989"/>
      <c r="EMH1061" s="989"/>
      <c r="EMI1061" s="989"/>
      <c r="EMJ1061" s="989"/>
      <c r="EMK1061" s="989"/>
      <c r="EML1061" s="989"/>
      <c r="EMM1061" s="989"/>
      <c r="EMN1061" s="989"/>
      <c r="EMO1061" s="989"/>
      <c r="EMP1061" s="989"/>
      <c r="EMQ1061" s="989"/>
      <c r="EMR1061" s="989"/>
      <c r="EMS1061" s="989"/>
      <c r="EMT1061" s="989"/>
      <c r="EMU1061" s="989"/>
      <c r="EMV1061" s="989"/>
      <c r="EMW1061" s="989"/>
      <c r="EMX1061" s="989"/>
      <c r="EMY1061" s="989"/>
      <c r="EMZ1061" s="989"/>
      <c r="ENA1061" s="989"/>
      <c r="ENB1061" s="989"/>
      <c r="ENC1061" s="989"/>
      <c r="END1061" s="989"/>
      <c r="ENE1061" s="989"/>
      <c r="ENF1061" s="989"/>
      <c r="ENG1061" s="989"/>
      <c r="ENH1061" s="989"/>
      <c r="ENI1061" s="989"/>
      <c r="ENJ1061" s="989"/>
      <c r="ENK1061" s="989"/>
      <c r="ENL1061" s="989"/>
      <c r="ENM1061" s="989"/>
      <c r="ENN1061" s="989"/>
      <c r="ENO1061" s="989"/>
      <c r="ENP1061" s="989"/>
      <c r="ENQ1061" s="989"/>
      <c r="ENR1061" s="989"/>
      <c r="ENS1061" s="989"/>
      <c r="ENT1061" s="989"/>
      <c r="ENU1061" s="989"/>
      <c r="ENV1061" s="989"/>
      <c r="ENW1061" s="989"/>
      <c r="ENX1061" s="989"/>
      <c r="ENY1061" s="989"/>
      <c r="ENZ1061" s="989"/>
      <c r="EOA1061" s="989"/>
      <c r="EOB1061" s="989"/>
      <c r="EOC1061" s="989"/>
      <c r="EOD1061" s="989"/>
      <c r="EOE1061" s="989"/>
      <c r="EOF1061" s="989"/>
      <c r="EOG1061" s="989"/>
      <c r="EOH1061" s="989"/>
      <c r="EOI1061" s="989"/>
      <c r="EOJ1061" s="989"/>
      <c r="EOK1061" s="989"/>
      <c r="EOL1061" s="989"/>
      <c r="EOM1061" s="989"/>
      <c r="EON1061" s="989"/>
      <c r="EOO1061" s="989"/>
      <c r="EOP1061" s="989"/>
      <c r="EOQ1061" s="989"/>
      <c r="EOR1061" s="989"/>
      <c r="EOS1061" s="989"/>
      <c r="EOT1061" s="989"/>
      <c r="EOU1061" s="989"/>
      <c r="EOV1061" s="989"/>
      <c r="EOW1061" s="989"/>
      <c r="EOX1061" s="989"/>
      <c r="EOY1061" s="989"/>
      <c r="EOZ1061" s="989"/>
      <c r="EPA1061" s="989"/>
      <c r="EPB1061" s="989"/>
      <c r="EPC1061" s="989"/>
      <c r="EPD1061" s="989"/>
      <c r="EPE1061" s="989"/>
      <c r="EPF1061" s="989"/>
      <c r="EPG1061" s="989"/>
      <c r="EPH1061" s="989"/>
      <c r="EPI1061" s="989"/>
      <c r="EPJ1061" s="989"/>
      <c r="EPK1061" s="989"/>
      <c r="EPL1061" s="989"/>
      <c r="EPM1061" s="989"/>
      <c r="EPN1061" s="989"/>
      <c r="EPO1061" s="989"/>
      <c r="EPP1061" s="989"/>
      <c r="EPQ1061" s="989"/>
      <c r="EPR1061" s="989"/>
      <c r="EPS1061" s="989"/>
      <c r="EPT1061" s="989"/>
      <c r="EPU1061" s="989"/>
      <c r="EPV1061" s="989"/>
      <c r="EPW1061" s="989"/>
      <c r="EPX1061" s="989"/>
      <c r="EPY1061" s="989"/>
      <c r="EPZ1061" s="989"/>
      <c r="EQA1061" s="989"/>
      <c r="EQB1061" s="989"/>
      <c r="EQC1061" s="989"/>
      <c r="EQD1061" s="989"/>
      <c r="EQE1061" s="989"/>
      <c r="EQF1061" s="989"/>
      <c r="EQG1061" s="989"/>
      <c r="EQH1061" s="989"/>
      <c r="EQI1061" s="989"/>
      <c r="EQJ1061" s="989"/>
      <c r="EQK1061" s="989"/>
      <c r="EQL1061" s="989"/>
      <c r="EQM1061" s="989"/>
      <c r="EQN1061" s="989"/>
      <c r="EQO1061" s="989"/>
      <c r="EQP1061" s="989"/>
      <c r="EQQ1061" s="989"/>
      <c r="EQR1061" s="989"/>
      <c r="EQS1061" s="989"/>
      <c r="EQT1061" s="989"/>
      <c r="EQU1061" s="989"/>
      <c r="EQV1061" s="989"/>
      <c r="EQW1061" s="989"/>
      <c r="EQX1061" s="989"/>
      <c r="EQY1061" s="989"/>
      <c r="EQZ1061" s="989"/>
      <c r="ERA1061" s="989"/>
      <c r="ERB1061" s="989"/>
      <c r="ERC1061" s="989"/>
      <c r="ERD1061" s="989"/>
      <c r="ERE1061" s="989"/>
      <c r="ERF1061" s="989"/>
      <c r="ERG1061" s="989"/>
      <c r="ERH1061" s="989"/>
      <c r="ERI1061" s="989"/>
      <c r="ERJ1061" s="989"/>
      <c r="ERK1061" s="989"/>
      <c r="ERL1061" s="989"/>
      <c r="ERM1061" s="989"/>
      <c r="ERN1061" s="989"/>
      <c r="ERO1061" s="989"/>
      <c r="ERP1061" s="989"/>
      <c r="ERQ1061" s="989"/>
      <c r="ERR1061" s="989"/>
      <c r="ERS1061" s="989"/>
      <c r="ERT1061" s="989"/>
      <c r="ERU1061" s="989"/>
      <c r="ERV1061" s="989"/>
      <c r="ERW1061" s="989"/>
      <c r="ERX1061" s="989"/>
      <c r="ERY1061" s="989"/>
      <c r="ERZ1061" s="989"/>
      <c r="ESA1061" s="989"/>
      <c r="ESB1061" s="989"/>
      <c r="ESC1061" s="989"/>
      <c r="ESD1061" s="989"/>
      <c r="ESE1061" s="989"/>
      <c r="ESF1061" s="989"/>
      <c r="ESG1061" s="989"/>
      <c r="ESH1061" s="989"/>
      <c r="ESI1061" s="989"/>
      <c r="ESJ1061" s="989"/>
      <c r="ESK1061" s="989"/>
      <c r="ESL1061" s="989"/>
      <c r="ESM1061" s="989"/>
      <c r="ESN1061" s="989"/>
      <c r="ESO1061" s="989"/>
      <c r="ESP1061" s="989"/>
      <c r="ESQ1061" s="989"/>
      <c r="ESR1061" s="989"/>
      <c r="ESS1061" s="989"/>
      <c r="EST1061" s="989"/>
      <c r="ESU1061" s="989"/>
      <c r="ESV1061" s="989"/>
      <c r="ESW1061" s="989"/>
      <c r="ESX1061" s="989"/>
      <c r="ESY1061" s="989"/>
      <c r="ESZ1061" s="989"/>
      <c r="ETA1061" s="989"/>
      <c r="ETB1061" s="989"/>
      <c r="ETC1061" s="989"/>
      <c r="ETD1061" s="989"/>
      <c r="ETE1061" s="989"/>
      <c r="ETF1061" s="989"/>
      <c r="ETG1061" s="989"/>
      <c r="ETH1061" s="989"/>
      <c r="ETI1061" s="989"/>
      <c r="ETJ1061" s="989"/>
      <c r="ETK1061" s="989"/>
      <c r="ETL1061" s="989"/>
      <c r="ETM1061" s="989"/>
      <c r="ETN1061" s="989"/>
      <c r="ETO1061" s="989"/>
      <c r="ETP1061" s="989"/>
      <c r="ETQ1061" s="989"/>
      <c r="ETR1061" s="989"/>
      <c r="ETS1061" s="989"/>
      <c r="ETT1061" s="989"/>
      <c r="ETU1061" s="989"/>
      <c r="ETV1061" s="989"/>
      <c r="ETW1061" s="989"/>
      <c r="ETX1061" s="989"/>
      <c r="ETY1061" s="989"/>
      <c r="ETZ1061" s="989"/>
      <c r="EUA1061" s="989"/>
      <c r="EUB1061" s="989"/>
      <c r="EUC1061" s="989"/>
      <c r="EUD1061" s="989"/>
      <c r="EUE1061" s="989"/>
      <c r="EUF1061" s="989"/>
      <c r="EUG1061" s="989"/>
      <c r="EUH1061" s="989"/>
      <c r="EUI1061" s="989"/>
      <c r="EUJ1061" s="989"/>
      <c r="EUK1061" s="989"/>
      <c r="EUL1061" s="989"/>
      <c r="EUM1061" s="989"/>
      <c r="EUN1061" s="989"/>
      <c r="EUO1061" s="989"/>
      <c r="EUP1061" s="989"/>
      <c r="EUQ1061" s="989"/>
      <c r="EUR1061" s="989"/>
      <c r="EUS1061" s="989"/>
      <c r="EUT1061" s="989"/>
      <c r="EUU1061" s="989"/>
      <c r="EUV1061" s="989"/>
      <c r="EUW1061" s="989"/>
      <c r="EUX1061" s="989"/>
      <c r="EUY1061" s="989"/>
      <c r="EUZ1061" s="989"/>
      <c r="EVA1061" s="989"/>
      <c r="EVB1061" s="989"/>
      <c r="EVC1061" s="989"/>
      <c r="EVD1061" s="989"/>
      <c r="EVE1061" s="989"/>
      <c r="EVF1061" s="989"/>
      <c r="EVG1061" s="989"/>
      <c r="EVH1061" s="989"/>
      <c r="EVI1061" s="989"/>
      <c r="EVJ1061" s="989"/>
      <c r="EVK1061" s="989"/>
      <c r="EVL1061" s="989"/>
      <c r="EVM1061" s="989"/>
      <c r="EVN1061" s="989"/>
      <c r="EVO1061" s="989"/>
      <c r="EVP1061" s="989"/>
      <c r="EVQ1061" s="989"/>
      <c r="EVR1061" s="989"/>
      <c r="EVS1061" s="989"/>
      <c r="EVT1061" s="989"/>
      <c r="EVU1061" s="989"/>
      <c r="EVV1061" s="989"/>
      <c r="EVW1061" s="989"/>
      <c r="EVX1061" s="989"/>
      <c r="EVY1061" s="989"/>
      <c r="EVZ1061" s="989"/>
      <c r="EWA1061" s="989"/>
      <c r="EWB1061" s="989"/>
      <c r="EWC1061" s="989"/>
      <c r="EWD1061" s="989"/>
      <c r="EWE1061" s="989"/>
      <c r="EWF1061" s="989"/>
      <c r="EWG1061" s="989"/>
      <c r="EWH1061" s="989"/>
      <c r="EWI1061" s="989"/>
      <c r="EWJ1061" s="989"/>
      <c r="EWK1061" s="989"/>
      <c r="EWL1061" s="989"/>
      <c r="EWM1061" s="989"/>
      <c r="EWN1061" s="989"/>
      <c r="EWO1061" s="989"/>
      <c r="EWP1061" s="989"/>
      <c r="EWQ1061" s="989"/>
      <c r="EWR1061" s="989"/>
      <c r="EWS1061" s="989"/>
      <c r="EWT1061" s="989"/>
      <c r="EWU1061" s="989"/>
      <c r="EWV1061" s="989"/>
      <c r="EWW1061" s="989"/>
      <c r="EWX1061" s="989"/>
      <c r="EWY1061" s="989"/>
      <c r="EWZ1061" s="989"/>
      <c r="EXA1061" s="989"/>
      <c r="EXB1061" s="989"/>
      <c r="EXC1061" s="989"/>
      <c r="EXD1061" s="989"/>
      <c r="EXE1061" s="989"/>
      <c r="EXF1061" s="989"/>
      <c r="EXG1061" s="989"/>
      <c r="EXH1061" s="989"/>
      <c r="EXI1061" s="989"/>
      <c r="EXJ1061" s="989"/>
      <c r="EXK1061" s="989"/>
      <c r="EXL1061" s="989"/>
      <c r="EXM1061" s="989"/>
      <c r="EXN1061" s="989"/>
      <c r="EXO1061" s="989"/>
      <c r="EXP1061" s="989"/>
      <c r="EXQ1061" s="989"/>
      <c r="EXR1061" s="989"/>
      <c r="EXS1061" s="989"/>
      <c r="EXT1061" s="989"/>
      <c r="EXU1061" s="989"/>
      <c r="EXV1061" s="989"/>
      <c r="EXW1061" s="989"/>
      <c r="EXX1061" s="989"/>
      <c r="EXY1061" s="989"/>
      <c r="EXZ1061" s="989"/>
      <c r="EYA1061" s="989"/>
      <c r="EYB1061" s="989"/>
      <c r="EYC1061" s="989"/>
      <c r="EYD1061" s="989"/>
      <c r="EYE1061" s="989"/>
      <c r="EYF1061" s="989"/>
      <c r="EYG1061" s="989"/>
      <c r="EYH1061" s="989"/>
      <c r="EYI1061" s="989"/>
      <c r="EYJ1061" s="989"/>
      <c r="EYK1061" s="989"/>
      <c r="EYL1061" s="989"/>
      <c r="EYM1061" s="989"/>
      <c r="EYN1061" s="989"/>
      <c r="EYO1061" s="989"/>
      <c r="EYP1061" s="989"/>
      <c r="EYQ1061" s="989"/>
      <c r="EYR1061" s="989"/>
      <c r="EYS1061" s="989"/>
      <c r="EYT1061" s="989"/>
      <c r="EYU1061" s="989"/>
      <c r="EYV1061" s="989"/>
      <c r="EYW1061" s="989"/>
      <c r="EYX1061" s="989"/>
      <c r="EYY1061" s="989"/>
      <c r="EYZ1061" s="989"/>
      <c r="EZA1061" s="989"/>
      <c r="EZB1061" s="989"/>
      <c r="EZC1061" s="989"/>
      <c r="EZD1061" s="989"/>
      <c r="EZE1061" s="989"/>
      <c r="EZF1061" s="989"/>
      <c r="EZG1061" s="989"/>
      <c r="EZH1061" s="989"/>
      <c r="EZI1061" s="989"/>
      <c r="EZJ1061" s="989"/>
      <c r="EZK1061" s="989"/>
      <c r="EZL1061" s="989"/>
      <c r="EZM1061" s="989"/>
      <c r="EZN1061" s="989"/>
      <c r="EZO1061" s="989"/>
      <c r="EZP1061" s="989"/>
      <c r="EZQ1061" s="989"/>
      <c r="EZR1061" s="989"/>
      <c r="EZS1061" s="989"/>
      <c r="EZT1061" s="989"/>
      <c r="EZU1061" s="989"/>
      <c r="EZV1061" s="989"/>
      <c r="EZW1061" s="989"/>
      <c r="EZX1061" s="989"/>
      <c r="EZY1061" s="989"/>
      <c r="EZZ1061" s="989"/>
      <c r="FAA1061" s="989"/>
      <c r="FAB1061" s="989"/>
      <c r="FAC1061" s="989"/>
      <c r="FAD1061" s="989"/>
      <c r="FAE1061" s="989"/>
      <c r="FAF1061" s="989"/>
      <c r="FAG1061" s="989"/>
      <c r="FAH1061" s="989"/>
      <c r="FAI1061" s="989"/>
      <c r="FAJ1061" s="989"/>
      <c r="FAK1061" s="989"/>
      <c r="FAL1061" s="989"/>
      <c r="FAM1061" s="989"/>
      <c r="FAN1061" s="989"/>
      <c r="FAO1061" s="989"/>
      <c r="FAP1061" s="989"/>
      <c r="FAQ1061" s="989"/>
      <c r="FAR1061" s="989"/>
      <c r="FAS1061" s="989"/>
      <c r="FAT1061" s="989"/>
      <c r="FAU1061" s="989"/>
      <c r="FAV1061" s="989"/>
      <c r="FAW1061" s="989"/>
      <c r="FAX1061" s="989"/>
      <c r="FAY1061" s="989"/>
      <c r="FAZ1061" s="989"/>
      <c r="FBA1061" s="989"/>
      <c r="FBB1061" s="989"/>
      <c r="FBC1061" s="989"/>
      <c r="FBD1061" s="989"/>
      <c r="FBE1061" s="989"/>
      <c r="FBF1061" s="989"/>
      <c r="FBG1061" s="989"/>
      <c r="FBH1061" s="989"/>
      <c r="FBI1061" s="989"/>
      <c r="FBJ1061" s="989"/>
      <c r="FBK1061" s="989"/>
      <c r="FBL1061" s="989"/>
      <c r="FBM1061" s="989"/>
      <c r="FBN1061" s="989"/>
      <c r="FBO1061" s="989"/>
      <c r="FBP1061" s="989"/>
      <c r="FBQ1061" s="989"/>
      <c r="FBR1061" s="989"/>
      <c r="FBS1061" s="989"/>
      <c r="FBT1061" s="989"/>
      <c r="FBU1061" s="989"/>
      <c r="FBV1061" s="989"/>
      <c r="FBW1061" s="989"/>
      <c r="FBX1061" s="989"/>
      <c r="FBY1061" s="989"/>
      <c r="FBZ1061" s="989"/>
      <c r="FCA1061" s="989"/>
      <c r="FCB1061" s="989"/>
      <c r="FCC1061" s="989"/>
      <c r="FCD1061" s="989"/>
      <c r="FCE1061" s="989"/>
      <c r="FCF1061" s="989"/>
      <c r="FCG1061" s="989"/>
      <c r="FCH1061" s="989"/>
      <c r="FCI1061" s="989"/>
      <c r="FCJ1061" s="989"/>
      <c r="FCK1061" s="989"/>
      <c r="FCL1061" s="989"/>
      <c r="FCM1061" s="989"/>
      <c r="FCN1061" s="989"/>
      <c r="FCO1061" s="989"/>
      <c r="FCP1061" s="989"/>
      <c r="FCQ1061" s="989"/>
      <c r="FCR1061" s="989"/>
      <c r="FCS1061" s="989"/>
      <c r="FCT1061" s="989"/>
      <c r="FCU1061" s="989"/>
      <c r="FCV1061" s="989"/>
      <c r="FCW1061" s="989"/>
      <c r="FCX1061" s="989"/>
      <c r="FCY1061" s="989"/>
      <c r="FCZ1061" s="989"/>
      <c r="FDA1061" s="989"/>
      <c r="FDB1061" s="989"/>
      <c r="FDC1061" s="989"/>
      <c r="FDD1061" s="989"/>
      <c r="FDE1061" s="989"/>
      <c r="FDF1061" s="989"/>
      <c r="FDG1061" s="989"/>
      <c r="FDH1061" s="989"/>
      <c r="FDI1061" s="989"/>
      <c r="FDJ1061" s="989"/>
      <c r="FDK1061" s="989"/>
      <c r="FDL1061" s="989"/>
      <c r="FDM1061" s="989"/>
      <c r="FDN1061" s="989"/>
      <c r="FDO1061" s="989"/>
      <c r="FDP1061" s="989"/>
      <c r="FDQ1061" s="989"/>
      <c r="FDR1061" s="989"/>
      <c r="FDS1061" s="989"/>
      <c r="FDT1061" s="989"/>
      <c r="FDU1061" s="989"/>
      <c r="FDV1061" s="989"/>
      <c r="FDW1061" s="989"/>
      <c r="FDX1061" s="989"/>
      <c r="FDY1061" s="989"/>
      <c r="FDZ1061" s="989"/>
      <c r="FEA1061" s="989"/>
      <c r="FEB1061" s="989"/>
      <c r="FEC1061" s="989"/>
      <c r="FED1061" s="989"/>
      <c r="FEE1061" s="989"/>
      <c r="FEF1061" s="989"/>
      <c r="FEG1061" s="989"/>
      <c r="FEH1061" s="989"/>
      <c r="FEI1061" s="989"/>
      <c r="FEJ1061" s="989"/>
      <c r="FEK1061" s="989"/>
      <c r="FEL1061" s="989"/>
      <c r="FEM1061" s="989"/>
      <c r="FEN1061" s="989"/>
      <c r="FEO1061" s="989"/>
      <c r="FEP1061" s="989"/>
      <c r="FEQ1061" s="989"/>
      <c r="FER1061" s="989"/>
      <c r="FES1061" s="989"/>
      <c r="FET1061" s="989"/>
      <c r="FEU1061" s="989"/>
      <c r="FEV1061" s="989"/>
      <c r="FEW1061" s="989"/>
      <c r="FEX1061" s="989"/>
      <c r="FEY1061" s="989"/>
      <c r="FEZ1061" s="989"/>
      <c r="FFA1061" s="989"/>
      <c r="FFB1061" s="989"/>
      <c r="FFC1061" s="989"/>
      <c r="FFD1061" s="989"/>
      <c r="FFE1061" s="989"/>
      <c r="FFF1061" s="989"/>
      <c r="FFG1061" s="989"/>
      <c r="FFH1061" s="989"/>
      <c r="FFI1061" s="989"/>
      <c r="FFJ1061" s="989"/>
      <c r="FFK1061" s="989"/>
      <c r="FFL1061" s="989"/>
      <c r="FFM1061" s="989"/>
      <c r="FFN1061" s="989"/>
      <c r="FFO1061" s="989"/>
      <c r="FFP1061" s="989"/>
      <c r="FFQ1061" s="989"/>
      <c r="FFR1061" s="989"/>
      <c r="FFS1061" s="989"/>
      <c r="FFT1061" s="989"/>
      <c r="FFU1061" s="989"/>
      <c r="FFV1061" s="989"/>
      <c r="FFW1061" s="989"/>
      <c r="FFX1061" s="989"/>
      <c r="FFY1061" s="989"/>
      <c r="FFZ1061" s="989"/>
      <c r="FGA1061" s="989"/>
      <c r="FGB1061" s="989"/>
      <c r="FGC1061" s="989"/>
      <c r="FGD1061" s="989"/>
      <c r="FGE1061" s="989"/>
      <c r="FGF1061" s="989"/>
      <c r="FGG1061" s="989"/>
      <c r="FGH1061" s="989"/>
      <c r="FGI1061" s="989"/>
      <c r="FGJ1061" s="989"/>
      <c r="FGK1061" s="989"/>
      <c r="FGL1061" s="989"/>
      <c r="FGM1061" s="989"/>
      <c r="FGN1061" s="989"/>
      <c r="FGO1061" s="989"/>
      <c r="FGP1061" s="989"/>
      <c r="FGQ1061" s="989"/>
      <c r="FGR1061" s="989"/>
      <c r="FGS1061" s="989"/>
      <c r="FGT1061" s="989"/>
      <c r="FGU1061" s="989"/>
      <c r="FGV1061" s="989"/>
      <c r="FGW1061" s="989"/>
      <c r="FGX1061" s="989"/>
      <c r="FGY1061" s="989"/>
      <c r="FGZ1061" s="989"/>
      <c r="FHA1061" s="989"/>
      <c r="FHB1061" s="989"/>
      <c r="FHC1061" s="989"/>
      <c r="FHD1061" s="989"/>
      <c r="FHE1061" s="989"/>
      <c r="FHF1061" s="989"/>
      <c r="FHG1061" s="989"/>
      <c r="FHH1061" s="989"/>
      <c r="FHI1061" s="989"/>
      <c r="FHJ1061" s="989"/>
      <c r="FHK1061" s="989"/>
      <c r="FHL1061" s="989"/>
      <c r="FHM1061" s="989"/>
      <c r="FHN1061" s="989"/>
      <c r="FHO1061" s="989"/>
      <c r="FHP1061" s="989"/>
      <c r="FHQ1061" s="989"/>
      <c r="FHR1061" s="989"/>
      <c r="FHS1061" s="989"/>
      <c r="FHT1061" s="989"/>
      <c r="FHU1061" s="989"/>
      <c r="FHV1061" s="989"/>
      <c r="FHW1061" s="989"/>
      <c r="FHX1061" s="989"/>
      <c r="FHY1061" s="989"/>
      <c r="FHZ1061" s="989"/>
      <c r="FIA1061" s="989"/>
      <c r="FIB1061" s="989"/>
      <c r="FIC1061" s="989"/>
      <c r="FID1061" s="989"/>
      <c r="FIE1061" s="989"/>
      <c r="FIF1061" s="989"/>
      <c r="FIG1061" s="989"/>
      <c r="FIH1061" s="989"/>
      <c r="FII1061" s="989"/>
      <c r="FIJ1061" s="989"/>
      <c r="FIK1061" s="989"/>
      <c r="FIL1061" s="989"/>
      <c r="FIM1061" s="989"/>
      <c r="FIN1061" s="989"/>
      <c r="FIO1061" s="989"/>
      <c r="FIP1061" s="989"/>
      <c r="FIQ1061" s="989"/>
      <c r="FIR1061" s="989"/>
      <c r="FIS1061" s="989"/>
      <c r="FIT1061" s="989"/>
      <c r="FIU1061" s="989"/>
      <c r="FIV1061" s="989"/>
      <c r="FIW1061" s="989"/>
      <c r="FIX1061" s="989"/>
      <c r="FIY1061" s="989"/>
      <c r="FIZ1061" s="989"/>
      <c r="FJA1061" s="989"/>
      <c r="FJB1061" s="989"/>
      <c r="FJC1061" s="989"/>
      <c r="FJD1061" s="989"/>
      <c r="FJE1061" s="989"/>
      <c r="FJF1061" s="989"/>
      <c r="FJG1061" s="989"/>
      <c r="FJH1061" s="989"/>
      <c r="FJI1061" s="989"/>
      <c r="FJJ1061" s="989"/>
      <c r="FJK1061" s="989"/>
      <c r="FJL1061" s="989"/>
      <c r="FJM1061" s="989"/>
      <c r="FJN1061" s="989"/>
      <c r="FJO1061" s="989"/>
      <c r="FJP1061" s="989"/>
      <c r="FJQ1061" s="989"/>
      <c r="FJR1061" s="989"/>
      <c r="FJS1061" s="989"/>
      <c r="FJT1061" s="989"/>
      <c r="FJU1061" s="989"/>
      <c r="FJV1061" s="989"/>
      <c r="FJW1061" s="989"/>
      <c r="FJX1061" s="989"/>
      <c r="FJY1061" s="989"/>
      <c r="FJZ1061" s="989"/>
      <c r="FKA1061" s="989"/>
      <c r="FKB1061" s="989"/>
      <c r="FKC1061" s="989"/>
      <c r="FKD1061" s="989"/>
      <c r="FKE1061" s="989"/>
      <c r="FKF1061" s="989"/>
      <c r="FKG1061" s="989"/>
      <c r="FKH1061" s="989"/>
      <c r="FKI1061" s="989"/>
      <c r="FKJ1061" s="989"/>
      <c r="FKK1061" s="989"/>
      <c r="FKL1061" s="989"/>
      <c r="FKM1061" s="989"/>
      <c r="FKN1061" s="989"/>
      <c r="FKO1061" s="989"/>
      <c r="FKP1061" s="989"/>
      <c r="FKQ1061" s="989"/>
      <c r="FKR1061" s="989"/>
      <c r="FKS1061" s="989"/>
      <c r="FKT1061" s="989"/>
      <c r="FKU1061" s="989"/>
      <c r="FKV1061" s="989"/>
      <c r="FKW1061" s="989"/>
      <c r="FKX1061" s="989"/>
      <c r="FKY1061" s="989"/>
      <c r="FKZ1061" s="989"/>
      <c r="FLA1061" s="989"/>
      <c r="FLB1061" s="989"/>
      <c r="FLC1061" s="989"/>
      <c r="FLD1061" s="989"/>
      <c r="FLE1061" s="989"/>
      <c r="FLF1061" s="989"/>
      <c r="FLG1061" s="989"/>
      <c r="FLH1061" s="989"/>
      <c r="FLI1061" s="989"/>
      <c r="FLJ1061" s="989"/>
      <c r="FLK1061" s="989"/>
      <c r="FLL1061" s="989"/>
      <c r="FLM1061" s="989"/>
      <c r="FLN1061" s="989"/>
      <c r="FLO1061" s="989"/>
      <c r="FLP1061" s="989"/>
      <c r="FLQ1061" s="989"/>
      <c r="FLR1061" s="989"/>
      <c r="FLS1061" s="989"/>
      <c r="FLT1061" s="989"/>
      <c r="FLU1061" s="989"/>
      <c r="FLV1061" s="989"/>
      <c r="FLW1061" s="989"/>
      <c r="FLX1061" s="989"/>
      <c r="FLY1061" s="989"/>
      <c r="FLZ1061" s="989"/>
      <c r="FMA1061" s="989"/>
      <c r="FMB1061" s="989"/>
      <c r="FMC1061" s="989"/>
      <c r="FMD1061" s="989"/>
      <c r="FME1061" s="989"/>
      <c r="FMF1061" s="989"/>
      <c r="FMG1061" s="989"/>
      <c r="FMH1061" s="989"/>
      <c r="FMI1061" s="989"/>
      <c r="FMJ1061" s="989"/>
      <c r="FMK1061" s="989"/>
      <c r="FML1061" s="989"/>
      <c r="FMM1061" s="989"/>
      <c r="FMN1061" s="989"/>
      <c r="FMO1061" s="989"/>
      <c r="FMP1061" s="989"/>
      <c r="FMQ1061" s="989"/>
      <c r="FMR1061" s="989"/>
      <c r="FMS1061" s="989"/>
      <c r="FMT1061" s="989"/>
      <c r="FMU1061" s="989"/>
      <c r="FMV1061" s="989"/>
      <c r="FMW1061" s="989"/>
      <c r="FMX1061" s="989"/>
      <c r="FMY1061" s="989"/>
      <c r="FMZ1061" s="989"/>
      <c r="FNA1061" s="989"/>
      <c r="FNB1061" s="989"/>
      <c r="FNC1061" s="989"/>
      <c r="FND1061" s="989"/>
      <c r="FNE1061" s="989"/>
      <c r="FNF1061" s="989"/>
      <c r="FNG1061" s="989"/>
      <c r="FNH1061" s="989"/>
      <c r="FNI1061" s="989"/>
      <c r="FNJ1061" s="989"/>
      <c r="FNK1061" s="989"/>
      <c r="FNL1061" s="989"/>
      <c r="FNM1061" s="989"/>
      <c r="FNN1061" s="989"/>
      <c r="FNO1061" s="989"/>
      <c r="FNP1061" s="989"/>
      <c r="FNQ1061" s="989"/>
      <c r="FNR1061" s="989"/>
      <c r="FNS1061" s="989"/>
      <c r="FNT1061" s="989"/>
      <c r="FNU1061" s="989"/>
      <c r="FNV1061" s="989"/>
      <c r="FNW1061" s="989"/>
      <c r="FNX1061" s="989"/>
      <c r="FNY1061" s="989"/>
      <c r="FNZ1061" s="989"/>
      <c r="FOA1061" s="989"/>
      <c r="FOB1061" s="989"/>
      <c r="FOC1061" s="989"/>
      <c r="FOD1061" s="989"/>
      <c r="FOE1061" s="989"/>
      <c r="FOF1061" s="989"/>
      <c r="FOG1061" s="989"/>
      <c r="FOH1061" s="989"/>
      <c r="FOI1061" s="989"/>
      <c r="FOJ1061" s="989"/>
      <c r="FOK1061" s="989"/>
      <c r="FOL1061" s="989"/>
      <c r="FOM1061" s="989"/>
      <c r="FON1061" s="989"/>
      <c r="FOO1061" s="989"/>
      <c r="FOP1061" s="989"/>
      <c r="FOQ1061" s="989"/>
      <c r="FOR1061" s="989"/>
      <c r="FOS1061" s="989"/>
      <c r="FOT1061" s="989"/>
      <c r="FOU1061" s="989"/>
      <c r="FOV1061" s="989"/>
      <c r="FOW1061" s="989"/>
      <c r="FOX1061" s="989"/>
      <c r="FOY1061" s="989"/>
      <c r="FOZ1061" s="989"/>
      <c r="FPA1061" s="989"/>
      <c r="FPB1061" s="989"/>
      <c r="FPC1061" s="989"/>
      <c r="FPD1061" s="989"/>
      <c r="FPE1061" s="989"/>
      <c r="FPF1061" s="989"/>
      <c r="FPG1061" s="989"/>
      <c r="FPH1061" s="989"/>
      <c r="FPI1061" s="989"/>
      <c r="FPJ1061" s="989"/>
      <c r="FPK1061" s="989"/>
      <c r="FPL1061" s="989"/>
      <c r="FPM1061" s="989"/>
      <c r="FPN1061" s="989"/>
      <c r="FPO1061" s="989"/>
      <c r="FPP1061" s="989"/>
      <c r="FPQ1061" s="989"/>
      <c r="FPR1061" s="989"/>
      <c r="FPS1061" s="989"/>
      <c r="FPT1061" s="989"/>
      <c r="FPU1061" s="989"/>
      <c r="FPV1061" s="989"/>
      <c r="FPW1061" s="989"/>
      <c r="FPX1061" s="989"/>
      <c r="FPY1061" s="989"/>
      <c r="FPZ1061" s="989"/>
      <c r="FQA1061" s="989"/>
      <c r="FQB1061" s="989"/>
      <c r="FQC1061" s="989"/>
      <c r="FQD1061" s="989"/>
      <c r="FQE1061" s="989"/>
      <c r="FQF1061" s="989"/>
      <c r="FQG1061" s="989"/>
      <c r="FQH1061" s="989"/>
      <c r="FQI1061" s="989"/>
      <c r="FQJ1061" s="989"/>
      <c r="FQK1061" s="989"/>
      <c r="FQL1061" s="989"/>
      <c r="FQM1061" s="989"/>
      <c r="FQN1061" s="989"/>
      <c r="FQO1061" s="989"/>
      <c r="FQP1061" s="989"/>
      <c r="FQQ1061" s="989"/>
      <c r="FQR1061" s="989"/>
      <c r="FQS1061" s="989"/>
      <c r="FQT1061" s="989"/>
      <c r="FQU1061" s="989"/>
      <c r="FQV1061" s="989"/>
      <c r="FQW1061" s="989"/>
      <c r="FQX1061" s="989"/>
      <c r="FQY1061" s="989"/>
      <c r="FQZ1061" s="989"/>
      <c r="FRA1061" s="989"/>
      <c r="FRB1061" s="989"/>
      <c r="FRC1061" s="989"/>
      <c r="FRD1061" s="989"/>
      <c r="FRE1061" s="989"/>
      <c r="FRF1061" s="989"/>
      <c r="FRG1061" s="989"/>
      <c r="FRH1061" s="989"/>
      <c r="FRI1061" s="989"/>
      <c r="FRJ1061" s="989"/>
      <c r="FRK1061" s="989"/>
      <c r="FRL1061" s="989"/>
      <c r="FRM1061" s="989"/>
      <c r="FRN1061" s="989"/>
      <c r="FRO1061" s="989"/>
      <c r="FRP1061" s="989"/>
      <c r="FRQ1061" s="989"/>
      <c r="FRR1061" s="989"/>
      <c r="FRS1061" s="989"/>
      <c r="FRT1061" s="989"/>
      <c r="FRU1061" s="989"/>
      <c r="FRV1061" s="989"/>
      <c r="FRW1061" s="989"/>
      <c r="FRX1061" s="989"/>
      <c r="FRY1061" s="989"/>
      <c r="FRZ1061" s="989"/>
      <c r="FSA1061" s="989"/>
      <c r="FSB1061" s="989"/>
      <c r="FSC1061" s="989"/>
      <c r="FSD1061" s="989"/>
      <c r="FSE1061" s="989"/>
      <c r="FSF1061" s="989"/>
      <c r="FSG1061" s="989"/>
      <c r="FSH1061" s="989"/>
      <c r="FSI1061" s="989"/>
      <c r="FSJ1061" s="989"/>
      <c r="FSK1061" s="989"/>
      <c r="FSL1061" s="989"/>
      <c r="FSM1061" s="989"/>
      <c r="FSN1061" s="989"/>
      <c r="FSO1061" s="989"/>
      <c r="FSP1061" s="989"/>
      <c r="FSQ1061" s="989"/>
      <c r="FSR1061" s="989"/>
      <c r="FSS1061" s="989"/>
      <c r="FST1061" s="989"/>
      <c r="FSU1061" s="989"/>
      <c r="FSV1061" s="989"/>
      <c r="FSW1061" s="989"/>
      <c r="FSX1061" s="989"/>
      <c r="FSY1061" s="989"/>
      <c r="FSZ1061" s="989"/>
      <c r="FTA1061" s="989"/>
      <c r="FTB1061" s="989"/>
      <c r="FTC1061" s="989"/>
      <c r="FTD1061" s="989"/>
      <c r="FTE1061" s="989"/>
      <c r="FTF1061" s="989"/>
      <c r="FTG1061" s="989"/>
      <c r="FTH1061" s="989"/>
      <c r="FTI1061" s="989"/>
      <c r="FTJ1061" s="989"/>
      <c r="FTK1061" s="989"/>
      <c r="FTL1061" s="989"/>
      <c r="FTM1061" s="989"/>
      <c r="FTN1061" s="989"/>
      <c r="FTO1061" s="989"/>
      <c r="FTP1061" s="989"/>
      <c r="FTQ1061" s="989"/>
      <c r="FTR1061" s="989"/>
      <c r="FTS1061" s="989"/>
      <c r="FTT1061" s="989"/>
      <c r="FTU1061" s="989"/>
      <c r="FTV1061" s="989"/>
      <c r="FTW1061" s="989"/>
      <c r="FTX1061" s="989"/>
      <c r="FTY1061" s="989"/>
      <c r="FTZ1061" s="989"/>
      <c r="FUA1061" s="989"/>
      <c r="FUB1061" s="989"/>
      <c r="FUC1061" s="989"/>
      <c r="FUD1061" s="989"/>
      <c r="FUE1061" s="989"/>
      <c r="FUF1061" s="989"/>
      <c r="FUG1061" s="989"/>
      <c r="FUH1061" s="989"/>
      <c r="FUI1061" s="989"/>
      <c r="FUJ1061" s="989"/>
      <c r="FUK1061" s="989"/>
      <c r="FUL1061" s="989"/>
      <c r="FUM1061" s="989"/>
      <c r="FUN1061" s="989"/>
      <c r="FUO1061" s="989"/>
      <c r="FUP1061" s="989"/>
      <c r="FUQ1061" s="989"/>
      <c r="FUR1061" s="989"/>
      <c r="FUS1061" s="989"/>
      <c r="FUT1061" s="989"/>
      <c r="FUU1061" s="989"/>
      <c r="FUV1061" s="989"/>
      <c r="FUW1061" s="989"/>
      <c r="FUX1061" s="989"/>
      <c r="FUY1061" s="989"/>
      <c r="FUZ1061" s="989"/>
      <c r="FVA1061" s="989"/>
      <c r="FVB1061" s="989"/>
      <c r="FVC1061" s="989"/>
      <c r="FVD1061" s="989"/>
      <c r="FVE1061" s="989"/>
      <c r="FVF1061" s="989"/>
      <c r="FVG1061" s="989"/>
      <c r="FVH1061" s="989"/>
      <c r="FVI1061" s="989"/>
      <c r="FVJ1061" s="989"/>
      <c r="FVK1061" s="989"/>
      <c r="FVL1061" s="989"/>
      <c r="FVM1061" s="989"/>
      <c r="FVN1061" s="989"/>
      <c r="FVO1061" s="989"/>
      <c r="FVP1061" s="989"/>
      <c r="FVQ1061" s="989"/>
      <c r="FVR1061" s="989"/>
      <c r="FVS1061" s="989"/>
      <c r="FVT1061" s="989"/>
      <c r="FVU1061" s="989"/>
      <c r="FVV1061" s="989"/>
      <c r="FVW1061" s="989"/>
      <c r="FVX1061" s="989"/>
      <c r="FVY1061" s="989"/>
      <c r="FVZ1061" s="989"/>
      <c r="FWA1061" s="989"/>
      <c r="FWB1061" s="989"/>
      <c r="FWC1061" s="989"/>
      <c r="FWD1061" s="989"/>
      <c r="FWE1061" s="989"/>
      <c r="FWF1061" s="989"/>
      <c r="FWG1061" s="989"/>
      <c r="FWH1061" s="989"/>
      <c r="FWI1061" s="989"/>
      <c r="FWJ1061" s="989"/>
      <c r="FWK1061" s="989"/>
      <c r="FWL1061" s="989"/>
      <c r="FWM1061" s="989"/>
      <c r="FWN1061" s="989"/>
      <c r="FWO1061" s="989"/>
      <c r="FWP1061" s="989"/>
      <c r="FWQ1061" s="989"/>
      <c r="FWR1061" s="989"/>
      <c r="FWS1061" s="989"/>
      <c r="FWT1061" s="989"/>
      <c r="FWU1061" s="989"/>
      <c r="FWV1061" s="989"/>
      <c r="FWW1061" s="989"/>
      <c r="FWX1061" s="989"/>
      <c r="FWY1061" s="989"/>
      <c r="FWZ1061" s="989"/>
      <c r="FXA1061" s="989"/>
      <c r="FXB1061" s="989"/>
      <c r="FXC1061" s="989"/>
      <c r="FXD1061" s="989"/>
      <c r="FXE1061" s="989"/>
      <c r="FXF1061" s="989"/>
      <c r="FXG1061" s="989"/>
      <c r="FXH1061" s="989"/>
      <c r="FXI1061" s="989"/>
      <c r="FXJ1061" s="989"/>
      <c r="FXK1061" s="989"/>
      <c r="FXL1061" s="989"/>
      <c r="FXM1061" s="989"/>
      <c r="FXN1061" s="989"/>
      <c r="FXO1061" s="989"/>
      <c r="FXP1061" s="989"/>
      <c r="FXQ1061" s="989"/>
      <c r="FXR1061" s="989"/>
      <c r="FXS1061" s="989"/>
      <c r="FXT1061" s="989"/>
      <c r="FXU1061" s="989"/>
      <c r="FXV1061" s="989"/>
      <c r="FXW1061" s="989"/>
      <c r="FXX1061" s="989"/>
      <c r="FXY1061" s="989"/>
      <c r="FXZ1061" s="989"/>
      <c r="FYA1061" s="989"/>
      <c r="FYB1061" s="989"/>
      <c r="FYC1061" s="989"/>
      <c r="FYD1061" s="989"/>
      <c r="FYE1061" s="989"/>
      <c r="FYF1061" s="989"/>
      <c r="FYG1061" s="989"/>
      <c r="FYH1061" s="989"/>
      <c r="FYI1061" s="989"/>
      <c r="FYJ1061" s="989"/>
      <c r="FYK1061" s="989"/>
      <c r="FYL1061" s="989"/>
      <c r="FYM1061" s="989"/>
      <c r="FYN1061" s="989"/>
      <c r="FYO1061" s="989"/>
      <c r="FYP1061" s="989"/>
      <c r="FYQ1061" s="989"/>
      <c r="FYR1061" s="989"/>
      <c r="FYS1061" s="989"/>
      <c r="FYT1061" s="989"/>
      <c r="FYU1061" s="989"/>
      <c r="FYV1061" s="989"/>
      <c r="FYW1061" s="989"/>
      <c r="FYX1061" s="989"/>
      <c r="FYY1061" s="989"/>
      <c r="FYZ1061" s="989"/>
      <c r="FZA1061" s="989"/>
      <c r="FZB1061" s="989"/>
      <c r="FZC1061" s="989"/>
      <c r="FZD1061" s="989"/>
      <c r="FZE1061" s="989"/>
      <c r="FZF1061" s="989"/>
      <c r="FZG1061" s="989"/>
      <c r="FZH1061" s="989"/>
      <c r="FZI1061" s="989"/>
      <c r="FZJ1061" s="989"/>
      <c r="FZK1061" s="989"/>
      <c r="FZL1061" s="989"/>
      <c r="FZM1061" s="989"/>
      <c r="FZN1061" s="989"/>
      <c r="FZO1061" s="989"/>
      <c r="FZP1061" s="989"/>
      <c r="FZQ1061" s="989"/>
      <c r="FZR1061" s="989"/>
      <c r="FZS1061" s="989"/>
      <c r="FZT1061" s="989"/>
      <c r="FZU1061" s="989"/>
      <c r="FZV1061" s="989"/>
      <c r="FZW1061" s="989"/>
      <c r="FZX1061" s="989"/>
      <c r="FZY1061" s="989"/>
      <c r="FZZ1061" s="989"/>
      <c r="GAA1061" s="989"/>
      <c r="GAB1061" s="989"/>
      <c r="GAC1061" s="989"/>
      <c r="GAD1061" s="989"/>
      <c r="GAE1061" s="989"/>
      <c r="GAF1061" s="989"/>
      <c r="GAG1061" s="989"/>
      <c r="GAH1061" s="989"/>
      <c r="GAI1061" s="989"/>
      <c r="GAJ1061" s="989"/>
      <c r="GAK1061" s="989"/>
      <c r="GAL1061" s="989"/>
      <c r="GAM1061" s="989"/>
      <c r="GAN1061" s="989"/>
      <c r="GAO1061" s="989"/>
      <c r="GAP1061" s="989"/>
      <c r="GAQ1061" s="989"/>
      <c r="GAR1061" s="989"/>
      <c r="GAS1061" s="989"/>
      <c r="GAT1061" s="989"/>
      <c r="GAU1061" s="989"/>
      <c r="GAV1061" s="989"/>
      <c r="GAW1061" s="989"/>
      <c r="GAX1061" s="989"/>
      <c r="GAY1061" s="989"/>
      <c r="GAZ1061" s="989"/>
      <c r="GBA1061" s="989"/>
      <c r="GBB1061" s="989"/>
      <c r="GBC1061" s="989"/>
      <c r="GBD1061" s="989"/>
      <c r="GBE1061" s="989"/>
      <c r="GBF1061" s="989"/>
      <c r="GBG1061" s="989"/>
      <c r="GBH1061" s="989"/>
      <c r="GBI1061" s="989"/>
      <c r="GBJ1061" s="989"/>
      <c r="GBK1061" s="989"/>
      <c r="GBL1061" s="989"/>
      <c r="GBM1061" s="989"/>
      <c r="GBN1061" s="989"/>
      <c r="GBO1061" s="989"/>
      <c r="GBP1061" s="989"/>
      <c r="GBQ1061" s="989"/>
      <c r="GBR1061" s="989"/>
      <c r="GBS1061" s="989"/>
      <c r="GBT1061" s="989"/>
      <c r="GBU1061" s="989"/>
      <c r="GBV1061" s="989"/>
      <c r="GBW1061" s="989"/>
      <c r="GBX1061" s="989"/>
      <c r="GBY1061" s="989"/>
      <c r="GBZ1061" s="989"/>
      <c r="GCA1061" s="989"/>
      <c r="GCB1061" s="989"/>
      <c r="GCC1061" s="989"/>
      <c r="GCD1061" s="989"/>
      <c r="GCE1061" s="989"/>
      <c r="GCF1061" s="989"/>
      <c r="GCG1061" s="989"/>
      <c r="GCH1061" s="989"/>
      <c r="GCI1061" s="989"/>
      <c r="GCJ1061" s="989"/>
      <c r="GCK1061" s="989"/>
      <c r="GCL1061" s="989"/>
      <c r="GCM1061" s="989"/>
      <c r="GCN1061" s="989"/>
      <c r="GCO1061" s="989"/>
      <c r="GCP1061" s="989"/>
      <c r="GCQ1061" s="989"/>
      <c r="GCR1061" s="989"/>
      <c r="GCS1061" s="989"/>
      <c r="GCT1061" s="989"/>
      <c r="GCU1061" s="989"/>
      <c r="GCV1061" s="989"/>
      <c r="GCW1061" s="989"/>
      <c r="GCX1061" s="989"/>
      <c r="GCY1061" s="989"/>
      <c r="GCZ1061" s="989"/>
      <c r="GDA1061" s="989"/>
      <c r="GDB1061" s="989"/>
      <c r="GDC1061" s="989"/>
      <c r="GDD1061" s="989"/>
      <c r="GDE1061" s="989"/>
      <c r="GDF1061" s="989"/>
      <c r="GDG1061" s="989"/>
      <c r="GDH1061" s="989"/>
      <c r="GDI1061" s="989"/>
      <c r="GDJ1061" s="989"/>
      <c r="GDK1061" s="989"/>
      <c r="GDL1061" s="989"/>
      <c r="GDM1061" s="989"/>
      <c r="GDN1061" s="989"/>
      <c r="GDO1061" s="989"/>
      <c r="GDP1061" s="989"/>
      <c r="GDQ1061" s="989"/>
      <c r="GDR1061" s="989"/>
      <c r="GDS1061" s="989"/>
      <c r="GDT1061" s="989"/>
      <c r="GDU1061" s="989"/>
      <c r="GDV1061" s="989"/>
      <c r="GDW1061" s="989"/>
      <c r="GDX1061" s="989"/>
      <c r="GDY1061" s="989"/>
      <c r="GDZ1061" s="989"/>
      <c r="GEA1061" s="989"/>
      <c r="GEB1061" s="989"/>
      <c r="GEC1061" s="989"/>
      <c r="GED1061" s="989"/>
      <c r="GEE1061" s="989"/>
      <c r="GEF1061" s="989"/>
      <c r="GEG1061" s="989"/>
      <c r="GEH1061" s="989"/>
      <c r="GEI1061" s="989"/>
      <c r="GEJ1061" s="989"/>
      <c r="GEK1061" s="989"/>
      <c r="GEL1061" s="989"/>
      <c r="GEM1061" s="989"/>
      <c r="GEN1061" s="989"/>
      <c r="GEO1061" s="989"/>
      <c r="GEP1061" s="989"/>
      <c r="GEQ1061" s="989"/>
      <c r="GER1061" s="989"/>
      <c r="GES1061" s="989"/>
      <c r="GET1061" s="989"/>
      <c r="GEU1061" s="989"/>
      <c r="GEV1061" s="989"/>
      <c r="GEW1061" s="989"/>
      <c r="GEX1061" s="989"/>
      <c r="GEY1061" s="989"/>
      <c r="GEZ1061" s="989"/>
      <c r="GFA1061" s="989"/>
      <c r="GFB1061" s="989"/>
      <c r="GFC1061" s="989"/>
      <c r="GFD1061" s="989"/>
      <c r="GFE1061" s="989"/>
      <c r="GFF1061" s="989"/>
      <c r="GFG1061" s="989"/>
      <c r="GFH1061" s="989"/>
      <c r="GFI1061" s="989"/>
      <c r="GFJ1061" s="989"/>
      <c r="GFK1061" s="989"/>
      <c r="GFL1061" s="989"/>
      <c r="GFM1061" s="989"/>
      <c r="GFN1061" s="989"/>
      <c r="GFO1061" s="989"/>
      <c r="GFP1061" s="989"/>
      <c r="GFQ1061" s="989"/>
      <c r="GFR1061" s="989"/>
      <c r="GFS1061" s="989"/>
      <c r="GFT1061" s="989"/>
      <c r="GFU1061" s="989"/>
      <c r="GFV1061" s="989"/>
      <c r="GFW1061" s="989"/>
      <c r="GFX1061" s="989"/>
      <c r="GFY1061" s="989"/>
      <c r="GFZ1061" s="989"/>
      <c r="GGA1061" s="989"/>
      <c r="GGB1061" s="989"/>
      <c r="GGC1061" s="989"/>
      <c r="GGD1061" s="989"/>
      <c r="GGE1061" s="989"/>
      <c r="GGF1061" s="989"/>
      <c r="GGG1061" s="989"/>
      <c r="GGH1061" s="989"/>
      <c r="GGI1061" s="989"/>
      <c r="GGJ1061" s="989"/>
      <c r="GGK1061" s="989"/>
      <c r="GGL1061" s="989"/>
      <c r="GGM1061" s="989"/>
      <c r="GGN1061" s="989"/>
      <c r="GGO1061" s="989"/>
      <c r="GGP1061" s="989"/>
      <c r="GGQ1061" s="989"/>
      <c r="GGR1061" s="989"/>
      <c r="GGS1061" s="989"/>
      <c r="GGT1061" s="989"/>
      <c r="GGU1061" s="989"/>
      <c r="GGV1061" s="989"/>
      <c r="GGW1061" s="989"/>
      <c r="GGX1061" s="989"/>
      <c r="GGY1061" s="989"/>
      <c r="GGZ1061" s="989"/>
      <c r="GHA1061" s="989"/>
      <c r="GHB1061" s="989"/>
      <c r="GHC1061" s="989"/>
      <c r="GHD1061" s="989"/>
      <c r="GHE1061" s="989"/>
      <c r="GHF1061" s="989"/>
      <c r="GHG1061" s="989"/>
      <c r="GHH1061" s="989"/>
      <c r="GHI1061" s="989"/>
      <c r="GHJ1061" s="989"/>
      <c r="GHK1061" s="989"/>
      <c r="GHL1061" s="989"/>
      <c r="GHM1061" s="989"/>
      <c r="GHN1061" s="989"/>
      <c r="GHO1061" s="989"/>
      <c r="GHP1061" s="989"/>
      <c r="GHQ1061" s="989"/>
      <c r="GHR1061" s="989"/>
      <c r="GHS1061" s="989"/>
      <c r="GHT1061" s="989"/>
      <c r="GHU1061" s="989"/>
      <c r="GHV1061" s="989"/>
      <c r="GHW1061" s="989"/>
      <c r="GHX1061" s="989"/>
      <c r="GHY1061" s="989"/>
      <c r="GHZ1061" s="989"/>
      <c r="GIA1061" s="989"/>
      <c r="GIB1061" s="989"/>
      <c r="GIC1061" s="989"/>
      <c r="GID1061" s="989"/>
      <c r="GIE1061" s="989"/>
      <c r="GIF1061" s="989"/>
      <c r="GIG1061" s="989"/>
      <c r="GIH1061" s="989"/>
      <c r="GII1061" s="989"/>
      <c r="GIJ1061" s="989"/>
      <c r="GIK1061" s="989"/>
      <c r="GIL1061" s="989"/>
      <c r="GIM1061" s="989"/>
      <c r="GIN1061" s="989"/>
      <c r="GIO1061" s="989"/>
      <c r="GIP1061" s="989"/>
      <c r="GIQ1061" s="989"/>
      <c r="GIR1061" s="989"/>
      <c r="GIS1061" s="989"/>
      <c r="GIT1061" s="989"/>
      <c r="GIU1061" s="989"/>
      <c r="GIV1061" s="989"/>
      <c r="GIW1061" s="989"/>
      <c r="GIX1061" s="989"/>
      <c r="GIY1061" s="989"/>
      <c r="GIZ1061" s="989"/>
      <c r="GJA1061" s="989"/>
      <c r="GJB1061" s="989"/>
      <c r="GJC1061" s="989"/>
      <c r="GJD1061" s="989"/>
      <c r="GJE1061" s="989"/>
      <c r="GJF1061" s="989"/>
      <c r="GJG1061" s="989"/>
      <c r="GJH1061" s="989"/>
      <c r="GJI1061" s="989"/>
      <c r="GJJ1061" s="989"/>
      <c r="GJK1061" s="989"/>
      <c r="GJL1061" s="989"/>
      <c r="GJM1061" s="989"/>
      <c r="GJN1061" s="989"/>
      <c r="GJO1061" s="989"/>
      <c r="GJP1061" s="989"/>
      <c r="GJQ1061" s="989"/>
      <c r="GJR1061" s="989"/>
      <c r="GJS1061" s="989"/>
      <c r="GJT1061" s="989"/>
      <c r="GJU1061" s="989"/>
      <c r="GJV1061" s="989"/>
      <c r="GJW1061" s="989"/>
      <c r="GJX1061" s="989"/>
      <c r="GJY1061" s="989"/>
      <c r="GJZ1061" s="989"/>
      <c r="GKA1061" s="989"/>
      <c r="GKB1061" s="989"/>
      <c r="GKC1061" s="989"/>
      <c r="GKD1061" s="989"/>
      <c r="GKE1061" s="989"/>
      <c r="GKF1061" s="989"/>
      <c r="GKG1061" s="989"/>
      <c r="GKH1061" s="989"/>
      <c r="GKI1061" s="989"/>
      <c r="GKJ1061" s="989"/>
      <c r="GKK1061" s="989"/>
      <c r="GKL1061" s="989"/>
      <c r="GKM1061" s="989"/>
      <c r="GKN1061" s="989"/>
      <c r="GKO1061" s="989"/>
      <c r="GKP1061" s="989"/>
      <c r="GKQ1061" s="989"/>
      <c r="GKR1061" s="989"/>
      <c r="GKS1061" s="989"/>
      <c r="GKT1061" s="989"/>
      <c r="GKU1061" s="989"/>
      <c r="GKV1061" s="989"/>
      <c r="GKW1061" s="989"/>
      <c r="GKX1061" s="989"/>
      <c r="GKY1061" s="989"/>
      <c r="GKZ1061" s="989"/>
      <c r="GLA1061" s="989"/>
      <c r="GLB1061" s="989"/>
      <c r="GLC1061" s="989"/>
      <c r="GLD1061" s="989"/>
      <c r="GLE1061" s="989"/>
      <c r="GLF1061" s="989"/>
      <c r="GLG1061" s="989"/>
      <c r="GLH1061" s="989"/>
      <c r="GLI1061" s="989"/>
      <c r="GLJ1061" s="989"/>
      <c r="GLK1061" s="989"/>
      <c r="GLL1061" s="989"/>
      <c r="GLM1061" s="989"/>
      <c r="GLN1061" s="989"/>
      <c r="GLO1061" s="989"/>
      <c r="GLP1061" s="989"/>
      <c r="GLQ1061" s="989"/>
      <c r="GLR1061" s="989"/>
      <c r="GLS1061" s="989"/>
      <c r="GLT1061" s="989"/>
      <c r="GLU1061" s="989"/>
      <c r="GLV1061" s="989"/>
      <c r="GLW1061" s="989"/>
      <c r="GLX1061" s="989"/>
      <c r="GLY1061" s="989"/>
      <c r="GLZ1061" s="989"/>
      <c r="GMA1061" s="989"/>
      <c r="GMB1061" s="989"/>
      <c r="GMC1061" s="989"/>
      <c r="GMD1061" s="989"/>
      <c r="GME1061" s="989"/>
      <c r="GMF1061" s="989"/>
      <c r="GMG1061" s="989"/>
      <c r="GMH1061" s="989"/>
      <c r="GMI1061" s="989"/>
      <c r="GMJ1061" s="989"/>
      <c r="GMK1061" s="989"/>
      <c r="GML1061" s="989"/>
      <c r="GMM1061" s="989"/>
      <c r="GMN1061" s="989"/>
      <c r="GMO1061" s="989"/>
      <c r="GMP1061" s="989"/>
      <c r="GMQ1061" s="989"/>
      <c r="GMR1061" s="989"/>
      <c r="GMS1061" s="989"/>
      <c r="GMT1061" s="989"/>
      <c r="GMU1061" s="989"/>
      <c r="GMV1061" s="989"/>
      <c r="GMW1061" s="989"/>
      <c r="GMX1061" s="989"/>
      <c r="GMY1061" s="989"/>
      <c r="GMZ1061" s="989"/>
      <c r="GNA1061" s="989"/>
      <c r="GNB1061" s="989"/>
      <c r="GNC1061" s="989"/>
      <c r="GND1061" s="989"/>
      <c r="GNE1061" s="989"/>
      <c r="GNF1061" s="989"/>
      <c r="GNG1061" s="989"/>
      <c r="GNH1061" s="989"/>
      <c r="GNI1061" s="989"/>
      <c r="GNJ1061" s="989"/>
      <c r="GNK1061" s="989"/>
      <c r="GNL1061" s="989"/>
      <c r="GNM1061" s="989"/>
      <c r="GNN1061" s="989"/>
      <c r="GNO1061" s="989"/>
      <c r="GNP1061" s="989"/>
      <c r="GNQ1061" s="989"/>
      <c r="GNR1061" s="989"/>
      <c r="GNS1061" s="989"/>
      <c r="GNT1061" s="989"/>
      <c r="GNU1061" s="989"/>
      <c r="GNV1061" s="989"/>
      <c r="GNW1061" s="989"/>
      <c r="GNX1061" s="989"/>
      <c r="GNY1061" s="989"/>
      <c r="GNZ1061" s="989"/>
      <c r="GOA1061" s="989"/>
      <c r="GOB1061" s="989"/>
      <c r="GOC1061" s="989"/>
      <c r="GOD1061" s="989"/>
      <c r="GOE1061" s="989"/>
      <c r="GOF1061" s="989"/>
      <c r="GOG1061" s="989"/>
      <c r="GOH1061" s="989"/>
      <c r="GOI1061" s="989"/>
      <c r="GOJ1061" s="989"/>
      <c r="GOK1061" s="989"/>
      <c r="GOL1061" s="989"/>
      <c r="GOM1061" s="989"/>
      <c r="GON1061" s="989"/>
      <c r="GOO1061" s="989"/>
      <c r="GOP1061" s="989"/>
      <c r="GOQ1061" s="989"/>
      <c r="GOR1061" s="989"/>
      <c r="GOS1061" s="989"/>
      <c r="GOT1061" s="989"/>
      <c r="GOU1061" s="989"/>
      <c r="GOV1061" s="989"/>
      <c r="GOW1061" s="989"/>
      <c r="GOX1061" s="989"/>
      <c r="GOY1061" s="989"/>
      <c r="GOZ1061" s="989"/>
      <c r="GPA1061" s="989"/>
      <c r="GPB1061" s="989"/>
      <c r="GPC1061" s="989"/>
      <c r="GPD1061" s="989"/>
      <c r="GPE1061" s="989"/>
      <c r="GPF1061" s="989"/>
      <c r="GPG1061" s="989"/>
      <c r="GPH1061" s="989"/>
      <c r="GPI1061" s="989"/>
      <c r="GPJ1061" s="989"/>
      <c r="GPK1061" s="989"/>
      <c r="GPL1061" s="989"/>
      <c r="GPM1061" s="989"/>
      <c r="GPN1061" s="989"/>
      <c r="GPO1061" s="989"/>
      <c r="GPP1061" s="989"/>
      <c r="GPQ1061" s="989"/>
      <c r="GPR1061" s="989"/>
      <c r="GPS1061" s="989"/>
      <c r="GPT1061" s="989"/>
      <c r="GPU1061" s="989"/>
      <c r="GPV1061" s="989"/>
      <c r="GPW1061" s="989"/>
      <c r="GPX1061" s="989"/>
      <c r="GPY1061" s="989"/>
      <c r="GPZ1061" s="989"/>
      <c r="GQA1061" s="989"/>
      <c r="GQB1061" s="989"/>
      <c r="GQC1061" s="989"/>
      <c r="GQD1061" s="989"/>
      <c r="GQE1061" s="989"/>
      <c r="GQF1061" s="989"/>
      <c r="GQG1061" s="989"/>
      <c r="GQH1061" s="989"/>
      <c r="GQI1061" s="989"/>
      <c r="GQJ1061" s="989"/>
      <c r="GQK1061" s="989"/>
      <c r="GQL1061" s="989"/>
      <c r="GQM1061" s="989"/>
      <c r="GQN1061" s="989"/>
      <c r="GQO1061" s="989"/>
      <c r="GQP1061" s="989"/>
      <c r="GQQ1061" s="989"/>
      <c r="GQR1061" s="989"/>
      <c r="GQS1061" s="989"/>
      <c r="GQT1061" s="989"/>
      <c r="GQU1061" s="989"/>
      <c r="GQV1061" s="989"/>
      <c r="GQW1061" s="989"/>
      <c r="GQX1061" s="989"/>
      <c r="GQY1061" s="989"/>
      <c r="GQZ1061" s="989"/>
      <c r="GRA1061" s="989"/>
      <c r="GRB1061" s="989"/>
      <c r="GRC1061" s="989"/>
      <c r="GRD1061" s="989"/>
      <c r="GRE1061" s="989"/>
      <c r="GRF1061" s="989"/>
      <c r="GRG1061" s="989"/>
      <c r="GRH1061" s="989"/>
      <c r="GRI1061" s="989"/>
      <c r="GRJ1061" s="989"/>
      <c r="GRK1061" s="989"/>
      <c r="GRL1061" s="989"/>
      <c r="GRM1061" s="989"/>
      <c r="GRN1061" s="989"/>
      <c r="GRO1061" s="989"/>
      <c r="GRP1061" s="989"/>
      <c r="GRQ1061" s="989"/>
      <c r="GRR1061" s="989"/>
      <c r="GRS1061" s="989"/>
      <c r="GRT1061" s="989"/>
      <c r="GRU1061" s="989"/>
      <c r="GRV1061" s="989"/>
      <c r="GRW1061" s="989"/>
      <c r="GRX1061" s="989"/>
      <c r="GRY1061" s="989"/>
      <c r="GRZ1061" s="989"/>
      <c r="GSA1061" s="989"/>
      <c r="GSB1061" s="989"/>
      <c r="GSC1061" s="989"/>
      <c r="GSD1061" s="989"/>
      <c r="GSE1061" s="989"/>
      <c r="GSF1061" s="989"/>
      <c r="GSG1061" s="989"/>
      <c r="GSH1061" s="989"/>
      <c r="GSI1061" s="989"/>
      <c r="GSJ1061" s="989"/>
      <c r="GSK1061" s="989"/>
      <c r="GSL1061" s="989"/>
      <c r="GSM1061" s="989"/>
      <c r="GSN1061" s="989"/>
      <c r="GSO1061" s="989"/>
      <c r="GSP1061" s="989"/>
      <c r="GSQ1061" s="989"/>
      <c r="GSR1061" s="989"/>
      <c r="GSS1061" s="989"/>
      <c r="GST1061" s="989"/>
      <c r="GSU1061" s="989"/>
      <c r="GSV1061" s="989"/>
      <c r="GSW1061" s="989"/>
      <c r="GSX1061" s="989"/>
      <c r="GSY1061" s="989"/>
      <c r="GSZ1061" s="989"/>
      <c r="GTA1061" s="989"/>
      <c r="GTB1061" s="989"/>
      <c r="GTC1061" s="989"/>
      <c r="GTD1061" s="989"/>
      <c r="GTE1061" s="989"/>
      <c r="GTF1061" s="989"/>
      <c r="GTG1061" s="989"/>
      <c r="GTH1061" s="989"/>
      <c r="GTI1061" s="989"/>
      <c r="GTJ1061" s="989"/>
      <c r="GTK1061" s="989"/>
      <c r="GTL1061" s="989"/>
      <c r="GTM1061" s="989"/>
      <c r="GTN1061" s="989"/>
      <c r="GTO1061" s="989"/>
      <c r="GTP1061" s="989"/>
      <c r="GTQ1061" s="989"/>
      <c r="GTR1061" s="989"/>
      <c r="GTS1061" s="989"/>
      <c r="GTT1061" s="989"/>
      <c r="GTU1061" s="989"/>
      <c r="GTV1061" s="989"/>
      <c r="GTW1061" s="989"/>
      <c r="GTX1061" s="989"/>
      <c r="GTY1061" s="989"/>
      <c r="GTZ1061" s="989"/>
      <c r="GUA1061" s="989"/>
      <c r="GUB1061" s="989"/>
      <c r="GUC1061" s="989"/>
      <c r="GUD1061" s="989"/>
      <c r="GUE1061" s="989"/>
      <c r="GUF1061" s="989"/>
      <c r="GUG1061" s="989"/>
      <c r="GUH1061" s="989"/>
      <c r="GUI1061" s="989"/>
      <c r="GUJ1061" s="989"/>
      <c r="GUK1061" s="989"/>
      <c r="GUL1061" s="989"/>
      <c r="GUM1061" s="989"/>
      <c r="GUN1061" s="989"/>
      <c r="GUO1061" s="989"/>
      <c r="GUP1061" s="989"/>
      <c r="GUQ1061" s="989"/>
      <c r="GUR1061" s="989"/>
      <c r="GUS1061" s="989"/>
      <c r="GUT1061" s="989"/>
      <c r="GUU1061" s="989"/>
      <c r="GUV1061" s="989"/>
      <c r="GUW1061" s="989"/>
      <c r="GUX1061" s="989"/>
      <c r="GUY1061" s="989"/>
      <c r="GUZ1061" s="989"/>
      <c r="GVA1061" s="989"/>
      <c r="GVB1061" s="989"/>
      <c r="GVC1061" s="989"/>
      <c r="GVD1061" s="989"/>
      <c r="GVE1061" s="989"/>
      <c r="GVF1061" s="989"/>
      <c r="GVG1061" s="989"/>
      <c r="GVH1061" s="989"/>
      <c r="GVI1061" s="989"/>
      <c r="GVJ1061" s="989"/>
      <c r="GVK1061" s="989"/>
      <c r="GVL1061" s="989"/>
      <c r="GVM1061" s="989"/>
      <c r="GVN1061" s="989"/>
      <c r="GVO1061" s="989"/>
      <c r="GVP1061" s="989"/>
      <c r="GVQ1061" s="989"/>
      <c r="GVR1061" s="989"/>
      <c r="GVS1061" s="989"/>
      <c r="GVT1061" s="989"/>
      <c r="GVU1061" s="989"/>
      <c r="GVV1061" s="989"/>
      <c r="GVW1061" s="989"/>
      <c r="GVX1061" s="989"/>
      <c r="GVY1061" s="989"/>
      <c r="GVZ1061" s="989"/>
      <c r="GWA1061" s="989"/>
      <c r="GWB1061" s="989"/>
      <c r="GWC1061" s="989"/>
      <c r="GWD1061" s="989"/>
      <c r="GWE1061" s="989"/>
      <c r="GWF1061" s="989"/>
      <c r="GWG1061" s="989"/>
      <c r="GWH1061" s="989"/>
      <c r="GWI1061" s="989"/>
      <c r="GWJ1061" s="989"/>
      <c r="GWK1061" s="989"/>
      <c r="GWL1061" s="989"/>
      <c r="GWM1061" s="989"/>
      <c r="GWN1061" s="989"/>
      <c r="GWO1061" s="989"/>
      <c r="GWP1061" s="989"/>
      <c r="GWQ1061" s="989"/>
      <c r="GWR1061" s="989"/>
      <c r="GWS1061" s="989"/>
      <c r="GWT1061" s="989"/>
      <c r="GWU1061" s="989"/>
      <c r="GWV1061" s="989"/>
      <c r="GWW1061" s="989"/>
      <c r="GWX1061" s="989"/>
      <c r="GWY1061" s="989"/>
      <c r="GWZ1061" s="989"/>
      <c r="GXA1061" s="989"/>
      <c r="GXB1061" s="989"/>
      <c r="GXC1061" s="989"/>
      <c r="GXD1061" s="989"/>
      <c r="GXE1061" s="989"/>
      <c r="GXF1061" s="989"/>
      <c r="GXG1061" s="989"/>
      <c r="GXH1061" s="989"/>
      <c r="GXI1061" s="989"/>
      <c r="GXJ1061" s="989"/>
      <c r="GXK1061" s="989"/>
      <c r="GXL1061" s="989"/>
      <c r="GXM1061" s="989"/>
      <c r="GXN1061" s="989"/>
      <c r="GXO1061" s="989"/>
      <c r="GXP1061" s="989"/>
      <c r="GXQ1061" s="989"/>
      <c r="GXR1061" s="989"/>
      <c r="GXS1061" s="989"/>
      <c r="GXT1061" s="989"/>
      <c r="GXU1061" s="989"/>
      <c r="GXV1061" s="989"/>
      <c r="GXW1061" s="989"/>
      <c r="GXX1061" s="989"/>
      <c r="GXY1061" s="989"/>
      <c r="GXZ1061" s="989"/>
      <c r="GYA1061" s="989"/>
      <c r="GYB1061" s="989"/>
      <c r="GYC1061" s="989"/>
      <c r="GYD1061" s="989"/>
      <c r="GYE1061" s="989"/>
      <c r="GYF1061" s="989"/>
      <c r="GYG1061" s="989"/>
      <c r="GYH1061" s="989"/>
      <c r="GYI1061" s="989"/>
      <c r="GYJ1061" s="989"/>
      <c r="GYK1061" s="989"/>
      <c r="GYL1061" s="989"/>
      <c r="GYM1061" s="989"/>
      <c r="GYN1061" s="989"/>
      <c r="GYO1061" s="989"/>
      <c r="GYP1061" s="989"/>
      <c r="GYQ1061" s="989"/>
      <c r="GYR1061" s="989"/>
      <c r="GYS1061" s="989"/>
      <c r="GYT1061" s="989"/>
      <c r="GYU1061" s="989"/>
      <c r="GYV1061" s="989"/>
      <c r="GYW1061" s="989"/>
      <c r="GYX1061" s="989"/>
      <c r="GYY1061" s="989"/>
      <c r="GYZ1061" s="989"/>
      <c r="GZA1061" s="989"/>
      <c r="GZB1061" s="989"/>
      <c r="GZC1061" s="989"/>
      <c r="GZD1061" s="989"/>
      <c r="GZE1061" s="989"/>
      <c r="GZF1061" s="989"/>
      <c r="GZG1061" s="989"/>
      <c r="GZH1061" s="989"/>
      <c r="GZI1061" s="989"/>
      <c r="GZJ1061" s="989"/>
      <c r="GZK1061" s="989"/>
      <c r="GZL1061" s="989"/>
      <c r="GZM1061" s="989"/>
      <c r="GZN1061" s="989"/>
      <c r="GZO1061" s="989"/>
      <c r="GZP1061" s="989"/>
      <c r="GZQ1061" s="989"/>
      <c r="GZR1061" s="989"/>
      <c r="GZS1061" s="989"/>
      <c r="GZT1061" s="989"/>
      <c r="GZU1061" s="989"/>
      <c r="GZV1061" s="989"/>
      <c r="GZW1061" s="989"/>
      <c r="GZX1061" s="989"/>
      <c r="GZY1061" s="989"/>
      <c r="GZZ1061" s="989"/>
      <c r="HAA1061" s="989"/>
      <c r="HAB1061" s="989"/>
      <c r="HAC1061" s="989"/>
      <c r="HAD1061" s="989"/>
      <c r="HAE1061" s="989"/>
      <c r="HAF1061" s="989"/>
      <c r="HAG1061" s="989"/>
      <c r="HAH1061" s="989"/>
      <c r="HAI1061" s="989"/>
      <c r="HAJ1061" s="989"/>
      <c r="HAK1061" s="989"/>
      <c r="HAL1061" s="989"/>
      <c r="HAM1061" s="989"/>
      <c r="HAN1061" s="989"/>
      <c r="HAO1061" s="989"/>
      <c r="HAP1061" s="989"/>
      <c r="HAQ1061" s="989"/>
      <c r="HAR1061" s="989"/>
      <c r="HAS1061" s="989"/>
      <c r="HAT1061" s="989"/>
      <c r="HAU1061" s="989"/>
      <c r="HAV1061" s="989"/>
      <c r="HAW1061" s="989"/>
      <c r="HAX1061" s="989"/>
      <c r="HAY1061" s="989"/>
      <c r="HAZ1061" s="989"/>
      <c r="HBA1061" s="989"/>
      <c r="HBB1061" s="989"/>
      <c r="HBC1061" s="989"/>
      <c r="HBD1061" s="989"/>
      <c r="HBE1061" s="989"/>
      <c r="HBF1061" s="989"/>
      <c r="HBG1061" s="989"/>
      <c r="HBH1061" s="989"/>
      <c r="HBI1061" s="989"/>
      <c r="HBJ1061" s="989"/>
      <c r="HBK1061" s="989"/>
      <c r="HBL1061" s="989"/>
      <c r="HBM1061" s="989"/>
      <c r="HBN1061" s="989"/>
      <c r="HBO1061" s="989"/>
      <c r="HBP1061" s="989"/>
      <c r="HBQ1061" s="989"/>
      <c r="HBR1061" s="989"/>
      <c r="HBS1061" s="989"/>
      <c r="HBT1061" s="989"/>
      <c r="HBU1061" s="989"/>
      <c r="HBV1061" s="989"/>
      <c r="HBW1061" s="989"/>
      <c r="HBX1061" s="989"/>
      <c r="HBY1061" s="989"/>
      <c r="HBZ1061" s="989"/>
      <c r="HCA1061" s="989"/>
      <c r="HCB1061" s="989"/>
      <c r="HCC1061" s="989"/>
      <c r="HCD1061" s="989"/>
      <c r="HCE1061" s="989"/>
      <c r="HCF1061" s="989"/>
      <c r="HCG1061" s="989"/>
      <c r="HCH1061" s="989"/>
      <c r="HCI1061" s="989"/>
      <c r="HCJ1061" s="989"/>
      <c r="HCK1061" s="989"/>
      <c r="HCL1061" s="989"/>
      <c r="HCM1061" s="989"/>
      <c r="HCN1061" s="989"/>
      <c r="HCO1061" s="989"/>
      <c r="HCP1061" s="989"/>
      <c r="HCQ1061" s="989"/>
      <c r="HCR1061" s="989"/>
      <c r="HCS1061" s="989"/>
      <c r="HCT1061" s="989"/>
      <c r="HCU1061" s="989"/>
      <c r="HCV1061" s="989"/>
      <c r="HCW1061" s="989"/>
      <c r="HCX1061" s="989"/>
      <c r="HCY1061" s="989"/>
      <c r="HCZ1061" s="989"/>
      <c r="HDA1061" s="989"/>
      <c r="HDB1061" s="989"/>
      <c r="HDC1061" s="989"/>
      <c r="HDD1061" s="989"/>
      <c r="HDE1061" s="989"/>
      <c r="HDF1061" s="989"/>
      <c r="HDG1061" s="989"/>
      <c r="HDH1061" s="989"/>
      <c r="HDI1061" s="989"/>
      <c r="HDJ1061" s="989"/>
      <c r="HDK1061" s="989"/>
      <c r="HDL1061" s="989"/>
      <c r="HDM1061" s="989"/>
      <c r="HDN1061" s="989"/>
      <c r="HDO1061" s="989"/>
      <c r="HDP1061" s="989"/>
      <c r="HDQ1061" s="989"/>
      <c r="HDR1061" s="989"/>
      <c r="HDS1061" s="989"/>
      <c r="HDT1061" s="989"/>
      <c r="HDU1061" s="989"/>
      <c r="HDV1061" s="989"/>
      <c r="HDW1061" s="989"/>
      <c r="HDX1061" s="989"/>
      <c r="HDY1061" s="989"/>
      <c r="HDZ1061" s="989"/>
      <c r="HEA1061" s="989"/>
      <c r="HEB1061" s="989"/>
      <c r="HEC1061" s="989"/>
      <c r="HED1061" s="989"/>
      <c r="HEE1061" s="989"/>
      <c r="HEF1061" s="989"/>
      <c r="HEG1061" s="989"/>
      <c r="HEH1061" s="989"/>
      <c r="HEI1061" s="989"/>
      <c r="HEJ1061" s="989"/>
      <c r="HEK1061" s="989"/>
      <c r="HEL1061" s="989"/>
      <c r="HEM1061" s="989"/>
      <c r="HEN1061" s="989"/>
      <c r="HEO1061" s="989"/>
      <c r="HEP1061" s="989"/>
      <c r="HEQ1061" s="989"/>
      <c r="HER1061" s="989"/>
      <c r="HES1061" s="989"/>
      <c r="HET1061" s="989"/>
      <c r="HEU1061" s="989"/>
      <c r="HEV1061" s="989"/>
      <c r="HEW1061" s="989"/>
      <c r="HEX1061" s="989"/>
      <c r="HEY1061" s="989"/>
      <c r="HEZ1061" s="989"/>
      <c r="HFA1061" s="989"/>
      <c r="HFB1061" s="989"/>
      <c r="HFC1061" s="989"/>
      <c r="HFD1061" s="989"/>
      <c r="HFE1061" s="989"/>
      <c r="HFF1061" s="989"/>
      <c r="HFG1061" s="989"/>
      <c r="HFH1061" s="989"/>
      <c r="HFI1061" s="989"/>
      <c r="HFJ1061" s="989"/>
      <c r="HFK1061" s="989"/>
      <c r="HFL1061" s="989"/>
      <c r="HFM1061" s="989"/>
      <c r="HFN1061" s="989"/>
      <c r="HFO1061" s="989"/>
      <c r="HFP1061" s="989"/>
      <c r="HFQ1061" s="989"/>
      <c r="HFR1061" s="989"/>
      <c r="HFS1061" s="989"/>
      <c r="HFT1061" s="989"/>
      <c r="HFU1061" s="989"/>
      <c r="HFV1061" s="989"/>
      <c r="HFW1061" s="989"/>
      <c r="HFX1061" s="989"/>
      <c r="HFY1061" s="989"/>
      <c r="HFZ1061" s="989"/>
      <c r="HGA1061" s="989"/>
      <c r="HGB1061" s="989"/>
      <c r="HGC1061" s="989"/>
      <c r="HGD1061" s="989"/>
      <c r="HGE1061" s="989"/>
      <c r="HGF1061" s="989"/>
      <c r="HGG1061" s="989"/>
      <c r="HGH1061" s="989"/>
      <c r="HGI1061" s="989"/>
      <c r="HGJ1061" s="989"/>
      <c r="HGK1061" s="989"/>
      <c r="HGL1061" s="989"/>
      <c r="HGM1061" s="989"/>
      <c r="HGN1061" s="989"/>
      <c r="HGO1061" s="989"/>
      <c r="HGP1061" s="989"/>
      <c r="HGQ1061" s="989"/>
      <c r="HGR1061" s="989"/>
      <c r="HGS1061" s="989"/>
      <c r="HGT1061" s="989"/>
      <c r="HGU1061" s="989"/>
      <c r="HGV1061" s="989"/>
      <c r="HGW1061" s="989"/>
      <c r="HGX1061" s="989"/>
      <c r="HGY1061" s="989"/>
      <c r="HGZ1061" s="989"/>
      <c r="HHA1061" s="989"/>
      <c r="HHB1061" s="989"/>
      <c r="HHC1061" s="989"/>
      <c r="HHD1061" s="989"/>
      <c r="HHE1061" s="989"/>
      <c r="HHF1061" s="989"/>
      <c r="HHG1061" s="989"/>
      <c r="HHH1061" s="989"/>
      <c r="HHI1061" s="989"/>
      <c r="HHJ1061" s="989"/>
      <c r="HHK1061" s="989"/>
      <c r="HHL1061" s="989"/>
      <c r="HHM1061" s="989"/>
      <c r="HHN1061" s="989"/>
      <c r="HHO1061" s="989"/>
      <c r="HHP1061" s="989"/>
      <c r="HHQ1061" s="989"/>
      <c r="HHR1061" s="989"/>
      <c r="HHS1061" s="989"/>
      <c r="HHT1061" s="989"/>
      <c r="HHU1061" s="989"/>
      <c r="HHV1061" s="989"/>
      <c r="HHW1061" s="989"/>
      <c r="HHX1061" s="989"/>
      <c r="HHY1061" s="989"/>
      <c r="HHZ1061" s="989"/>
      <c r="HIA1061" s="989"/>
      <c r="HIB1061" s="989"/>
      <c r="HIC1061" s="989"/>
      <c r="HID1061" s="989"/>
      <c r="HIE1061" s="989"/>
      <c r="HIF1061" s="989"/>
      <c r="HIG1061" s="989"/>
      <c r="HIH1061" s="989"/>
      <c r="HII1061" s="989"/>
      <c r="HIJ1061" s="989"/>
      <c r="HIK1061" s="989"/>
      <c r="HIL1061" s="989"/>
      <c r="HIM1061" s="989"/>
      <c r="HIN1061" s="989"/>
      <c r="HIO1061" s="989"/>
      <c r="HIP1061" s="989"/>
      <c r="HIQ1061" s="989"/>
      <c r="HIR1061" s="989"/>
      <c r="HIS1061" s="989"/>
      <c r="HIT1061" s="989"/>
      <c r="HIU1061" s="989"/>
      <c r="HIV1061" s="989"/>
      <c r="HIW1061" s="989"/>
      <c r="HIX1061" s="989"/>
      <c r="HIY1061" s="989"/>
      <c r="HIZ1061" s="989"/>
      <c r="HJA1061" s="989"/>
      <c r="HJB1061" s="989"/>
      <c r="HJC1061" s="989"/>
      <c r="HJD1061" s="989"/>
      <c r="HJE1061" s="989"/>
      <c r="HJF1061" s="989"/>
      <c r="HJG1061" s="989"/>
      <c r="HJH1061" s="989"/>
      <c r="HJI1061" s="989"/>
      <c r="HJJ1061" s="989"/>
      <c r="HJK1061" s="989"/>
      <c r="HJL1061" s="989"/>
      <c r="HJM1061" s="989"/>
      <c r="HJN1061" s="989"/>
      <c r="HJO1061" s="989"/>
      <c r="HJP1061" s="989"/>
      <c r="HJQ1061" s="989"/>
      <c r="HJR1061" s="989"/>
      <c r="HJS1061" s="989"/>
      <c r="HJT1061" s="989"/>
      <c r="HJU1061" s="989"/>
      <c r="HJV1061" s="989"/>
      <c r="HJW1061" s="989"/>
      <c r="HJX1061" s="989"/>
      <c r="HJY1061" s="989"/>
      <c r="HJZ1061" s="989"/>
      <c r="HKA1061" s="989"/>
      <c r="HKB1061" s="989"/>
      <c r="HKC1061" s="989"/>
      <c r="HKD1061" s="989"/>
      <c r="HKE1061" s="989"/>
      <c r="HKF1061" s="989"/>
      <c r="HKG1061" s="989"/>
      <c r="HKH1061" s="989"/>
      <c r="HKI1061" s="989"/>
      <c r="HKJ1061" s="989"/>
      <c r="HKK1061" s="989"/>
      <c r="HKL1061" s="989"/>
      <c r="HKM1061" s="989"/>
      <c r="HKN1061" s="989"/>
      <c r="HKO1061" s="989"/>
      <c r="HKP1061" s="989"/>
      <c r="HKQ1061" s="989"/>
      <c r="HKR1061" s="989"/>
      <c r="HKS1061" s="989"/>
      <c r="HKT1061" s="989"/>
      <c r="HKU1061" s="989"/>
      <c r="HKV1061" s="989"/>
      <c r="HKW1061" s="989"/>
      <c r="HKX1061" s="989"/>
      <c r="HKY1061" s="989"/>
      <c r="HKZ1061" s="989"/>
      <c r="HLA1061" s="989"/>
      <c r="HLB1061" s="989"/>
      <c r="HLC1061" s="989"/>
      <c r="HLD1061" s="989"/>
      <c r="HLE1061" s="989"/>
      <c r="HLF1061" s="989"/>
      <c r="HLG1061" s="989"/>
      <c r="HLH1061" s="989"/>
      <c r="HLI1061" s="989"/>
      <c r="HLJ1061" s="989"/>
      <c r="HLK1061" s="989"/>
      <c r="HLL1061" s="989"/>
      <c r="HLM1061" s="989"/>
      <c r="HLN1061" s="989"/>
      <c r="HLO1061" s="989"/>
      <c r="HLP1061" s="989"/>
      <c r="HLQ1061" s="989"/>
      <c r="HLR1061" s="989"/>
      <c r="HLS1061" s="989"/>
      <c r="HLT1061" s="989"/>
      <c r="HLU1061" s="989"/>
      <c r="HLV1061" s="989"/>
      <c r="HLW1061" s="989"/>
      <c r="HLX1061" s="989"/>
      <c r="HLY1061" s="989"/>
      <c r="HLZ1061" s="989"/>
      <c r="HMA1061" s="989"/>
      <c r="HMB1061" s="989"/>
      <c r="HMC1061" s="989"/>
      <c r="HMD1061" s="989"/>
      <c r="HME1061" s="989"/>
      <c r="HMF1061" s="989"/>
      <c r="HMG1061" s="989"/>
      <c r="HMH1061" s="989"/>
      <c r="HMI1061" s="989"/>
      <c r="HMJ1061" s="989"/>
      <c r="HMK1061" s="989"/>
      <c r="HML1061" s="989"/>
      <c r="HMM1061" s="989"/>
      <c r="HMN1061" s="989"/>
      <c r="HMO1061" s="989"/>
      <c r="HMP1061" s="989"/>
      <c r="HMQ1061" s="989"/>
      <c r="HMR1061" s="989"/>
      <c r="HMS1061" s="989"/>
      <c r="HMT1061" s="989"/>
      <c r="HMU1061" s="989"/>
      <c r="HMV1061" s="989"/>
      <c r="HMW1061" s="989"/>
      <c r="HMX1061" s="989"/>
      <c r="HMY1061" s="989"/>
      <c r="HMZ1061" s="989"/>
      <c r="HNA1061" s="989"/>
      <c r="HNB1061" s="989"/>
      <c r="HNC1061" s="989"/>
      <c r="HND1061" s="989"/>
      <c r="HNE1061" s="989"/>
      <c r="HNF1061" s="989"/>
      <c r="HNG1061" s="989"/>
      <c r="HNH1061" s="989"/>
      <c r="HNI1061" s="989"/>
      <c r="HNJ1061" s="989"/>
      <c r="HNK1061" s="989"/>
      <c r="HNL1061" s="989"/>
      <c r="HNM1061" s="989"/>
      <c r="HNN1061" s="989"/>
      <c r="HNO1061" s="989"/>
      <c r="HNP1061" s="989"/>
      <c r="HNQ1061" s="989"/>
      <c r="HNR1061" s="989"/>
      <c r="HNS1061" s="989"/>
      <c r="HNT1061" s="989"/>
      <c r="HNU1061" s="989"/>
      <c r="HNV1061" s="989"/>
      <c r="HNW1061" s="989"/>
      <c r="HNX1061" s="989"/>
      <c r="HNY1061" s="989"/>
      <c r="HNZ1061" s="989"/>
      <c r="HOA1061" s="989"/>
      <c r="HOB1061" s="989"/>
      <c r="HOC1061" s="989"/>
      <c r="HOD1061" s="989"/>
      <c r="HOE1061" s="989"/>
      <c r="HOF1061" s="989"/>
      <c r="HOG1061" s="989"/>
      <c r="HOH1061" s="989"/>
      <c r="HOI1061" s="989"/>
      <c r="HOJ1061" s="989"/>
      <c r="HOK1061" s="989"/>
      <c r="HOL1061" s="989"/>
      <c r="HOM1061" s="989"/>
      <c r="HON1061" s="989"/>
      <c r="HOO1061" s="989"/>
      <c r="HOP1061" s="989"/>
      <c r="HOQ1061" s="989"/>
      <c r="HOR1061" s="989"/>
      <c r="HOS1061" s="989"/>
      <c r="HOT1061" s="989"/>
      <c r="HOU1061" s="989"/>
      <c r="HOV1061" s="989"/>
      <c r="HOW1061" s="989"/>
      <c r="HOX1061" s="989"/>
      <c r="HOY1061" s="989"/>
      <c r="HOZ1061" s="989"/>
      <c r="HPA1061" s="989"/>
      <c r="HPB1061" s="989"/>
      <c r="HPC1061" s="989"/>
      <c r="HPD1061" s="989"/>
      <c r="HPE1061" s="989"/>
      <c r="HPF1061" s="989"/>
      <c r="HPG1061" s="989"/>
      <c r="HPH1061" s="989"/>
      <c r="HPI1061" s="989"/>
      <c r="HPJ1061" s="989"/>
      <c r="HPK1061" s="989"/>
      <c r="HPL1061" s="989"/>
      <c r="HPM1061" s="989"/>
      <c r="HPN1061" s="989"/>
      <c r="HPO1061" s="989"/>
      <c r="HPP1061" s="989"/>
      <c r="HPQ1061" s="989"/>
      <c r="HPR1061" s="989"/>
      <c r="HPS1061" s="989"/>
      <c r="HPT1061" s="989"/>
      <c r="HPU1061" s="989"/>
      <c r="HPV1061" s="989"/>
      <c r="HPW1061" s="989"/>
      <c r="HPX1061" s="989"/>
      <c r="HPY1061" s="989"/>
      <c r="HPZ1061" s="989"/>
      <c r="HQA1061" s="989"/>
      <c r="HQB1061" s="989"/>
      <c r="HQC1061" s="989"/>
      <c r="HQD1061" s="989"/>
      <c r="HQE1061" s="989"/>
      <c r="HQF1061" s="989"/>
      <c r="HQG1061" s="989"/>
      <c r="HQH1061" s="989"/>
      <c r="HQI1061" s="989"/>
      <c r="HQJ1061" s="989"/>
      <c r="HQK1061" s="989"/>
      <c r="HQL1061" s="989"/>
      <c r="HQM1061" s="989"/>
      <c r="HQN1061" s="989"/>
      <c r="HQO1061" s="989"/>
      <c r="HQP1061" s="989"/>
      <c r="HQQ1061" s="989"/>
      <c r="HQR1061" s="989"/>
      <c r="HQS1061" s="989"/>
      <c r="HQT1061" s="989"/>
      <c r="HQU1061" s="989"/>
      <c r="HQV1061" s="989"/>
      <c r="HQW1061" s="989"/>
      <c r="HQX1061" s="989"/>
      <c r="HQY1061" s="989"/>
      <c r="HQZ1061" s="989"/>
      <c r="HRA1061" s="989"/>
      <c r="HRB1061" s="989"/>
      <c r="HRC1061" s="989"/>
      <c r="HRD1061" s="989"/>
      <c r="HRE1061" s="989"/>
      <c r="HRF1061" s="989"/>
      <c r="HRG1061" s="989"/>
      <c r="HRH1061" s="989"/>
      <c r="HRI1061" s="989"/>
      <c r="HRJ1061" s="989"/>
      <c r="HRK1061" s="989"/>
      <c r="HRL1061" s="989"/>
      <c r="HRM1061" s="989"/>
      <c r="HRN1061" s="989"/>
      <c r="HRO1061" s="989"/>
      <c r="HRP1061" s="989"/>
      <c r="HRQ1061" s="989"/>
      <c r="HRR1061" s="989"/>
      <c r="HRS1061" s="989"/>
      <c r="HRT1061" s="989"/>
      <c r="HRU1061" s="989"/>
      <c r="HRV1061" s="989"/>
      <c r="HRW1061" s="989"/>
      <c r="HRX1061" s="989"/>
      <c r="HRY1061" s="989"/>
      <c r="HRZ1061" s="989"/>
      <c r="HSA1061" s="989"/>
      <c r="HSB1061" s="989"/>
      <c r="HSC1061" s="989"/>
      <c r="HSD1061" s="989"/>
      <c r="HSE1061" s="989"/>
      <c r="HSF1061" s="989"/>
      <c r="HSG1061" s="989"/>
      <c r="HSH1061" s="989"/>
      <c r="HSI1061" s="989"/>
      <c r="HSJ1061" s="989"/>
      <c r="HSK1061" s="989"/>
      <c r="HSL1061" s="989"/>
      <c r="HSM1061" s="989"/>
      <c r="HSN1061" s="989"/>
      <c r="HSO1061" s="989"/>
      <c r="HSP1061" s="989"/>
      <c r="HSQ1061" s="989"/>
      <c r="HSR1061" s="989"/>
      <c r="HSS1061" s="989"/>
      <c r="HST1061" s="989"/>
      <c r="HSU1061" s="989"/>
      <c r="HSV1061" s="989"/>
      <c r="HSW1061" s="989"/>
      <c r="HSX1061" s="989"/>
      <c r="HSY1061" s="989"/>
      <c r="HSZ1061" s="989"/>
      <c r="HTA1061" s="989"/>
      <c r="HTB1061" s="989"/>
      <c r="HTC1061" s="989"/>
      <c r="HTD1061" s="989"/>
      <c r="HTE1061" s="989"/>
      <c r="HTF1061" s="989"/>
      <c r="HTG1061" s="989"/>
      <c r="HTH1061" s="989"/>
      <c r="HTI1061" s="989"/>
      <c r="HTJ1061" s="989"/>
      <c r="HTK1061" s="989"/>
      <c r="HTL1061" s="989"/>
      <c r="HTM1061" s="989"/>
      <c r="HTN1061" s="989"/>
      <c r="HTO1061" s="989"/>
      <c r="HTP1061" s="989"/>
      <c r="HTQ1061" s="989"/>
      <c r="HTR1061" s="989"/>
      <c r="HTS1061" s="989"/>
      <c r="HTT1061" s="989"/>
      <c r="HTU1061" s="989"/>
      <c r="HTV1061" s="989"/>
      <c r="HTW1061" s="989"/>
      <c r="HTX1061" s="989"/>
      <c r="HTY1061" s="989"/>
      <c r="HTZ1061" s="989"/>
      <c r="HUA1061" s="989"/>
      <c r="HUB1061" s="989"/>
      <c r="HUC1061" s="989"/>
      <c r="HUD1061" s="989"/>
      <c r="HUE1061" s="989"/>
      <c r="HUF1061" s="989"/>
      <c r="HUG1061" s="989"/>
      <c r="HUH1061" s="989"/>
      <c r="HUI1061" s="989"/>
      <c r="HUJ1061" s="989"/>
      <c r="HUK1061" s="989"/>
      <c r="HUL1061" s="989"/>
      <c r="HUM1061" s="989"/>
      <c r="HUN1061" s="989"/>
      <c r="HUO1061" s="989"/>
      <c r="HUP1061" s="989"/>
      <c r="HUQ1061" s="989"/>
      <c r="HUR1061" s="989"/>
      <c r="HUS1061" s="989"/>
      <c r="HUT1061" s="989"/>
      <c r="HUU1061" s="989"/>
      <c r="HUV1061" s="989"/>
      <c r="HUW1061" s="989"/>
      <c r="HUX1061" s="989"/>
      <c r="HUY1061" s="989"/>
      <c r="HUZ1061" s="989"/>
      <c r="HVA1061" s="989"/>
      <c r="HVB1061" s="989"/>
      <c r="HVC1061" s="989"/>
      <c r="HVD1061" s="989"/>
      <c r="HVE1061" s="989"/>
      <c r="HVF1061" s="989"/>
      <c r="HVG1061" s="989"/>
      <c r="HVH1061" s="989"/>
      <c r="HVI1061" s="989"/>
      <c r="HVJ1061" s="989"/>
      <c r="HVK1061" s="989"/>
      <c r="HVL1061" s="989"/>
      <c r="HVM1061" s="989"/>
      <c r="HVN1061" s="989"/>
      <c r="HVO1061" s="989"/>
      <c r="HVP1061" s="989"/>
      <c r="HVQ1061" s="989"/>
      <c r="HVR1061" s="989"/>
      <c r="HVS1061" s="989"/>
      <c r="HVT1061" s="989"/>
      <c r="HVU1061" s="989"/>
      <c r="HVV1061" s="989"/>
      <c r="HVW1061" s="989"/>
      <c r="HVX1061" s="989"/>
      <c r="HVY1061" s="989"/>
      <c r="HVZ1061" s="989"/>
      <c r="HWA1061" s="989"/>
      <c r="HWB1061" s="989"/>
      <c r="HWC1061" s="989"/>
      <c r="HWD1061" s="989"/>
      <c r="HWE1061" s="989"/>
      <c r="HWF1061" s="989"/>
      <c r="HWG1061" s="989"/>
      <c r="HWH1061" s="989"/>
      <c r="HWI1061" s="989"/>
      <c r="HWJ1061" s="989"/>
      <c r="HWK1061" s="989"/>
      <c r="HWL1061" s="989"/>
      <c r="HWM1061" s="989"/>
      <c r="HWN1061" s="989"/>
      <c r="HWO1061" s="989"/>
      <c r="HWP1061" s="989"/>
      <c r="HWQ1061" s="989"/>
      <c r="HWR1061" s="989"/>
      <c r="HWS1061" s="989"/>
      <c r="HWT1061" s="989"/>
      <c r="HWU1061" s="989"/>
      <c r="HWV1061" s="989"/>
      <c r="HWW1061" s="989"/>
      <c r="HWX1061" s="989"/>
      <c r="HWY1061" s="989"/>
      <c r="HWZ1061" s="989"/>
      <c r="HXA1061" s="989"/>
      <c r="HXB1061" s="989"/>
      <c r="HXC1061" s="989"/>
      <c r="HXD1061" s="989"/>
      <c r="HXE1061" s="989"/>
      <c r="HXF1061" s="989"/>
      <c r="HXG1061" s="989"/>
      <c r="HXH1061" s="989"/>
      <c r="HXI1061" s="989"/>
      <c r="HXJ1061" s="989"/>
      <c r="HXK1061" s="989"/>
      <c r="HXL1061" s="989"/>
      <c r="HXM1061" s="989"/>
      <c r="HXN1061" s="989"/>
      <c r="HXO1061" s="989"/>
      <c r="HXP1061" s="989"/>
      <c r="HXQ1061" s="989"/>
      <c r="HXR1061" s="989"/>
      <c r="HXS1061" s="989"/>
      <c r="HXT1061" s="989"/>
      <c r="HXU1061" s="989"/>
      <c r="HXV1061" s="989"/>
      <c r="HXW1061" s="989"/>
      <c r="HXX1061" s="989"/>
      <c r="HXY1061" s="989"/>
      <c r="HXZ1061" s="989"/>
      <c r="HYA1061" s="989"/>
      <c r="HYB1061" s="989"/>
      <c r="HYC1061" s="989"/>
      <c r="HYD1061" s="989"/>
      <c r="HYE1061" s="989"/>
      <c r="HYF1061" s="989"/>
      <c r="HYG1061" s="989"/>
      <c r="HYH1061" s="989"/>
      <c r="HYI1061" s="989"/>
      <c r="HYJ1061" s="989"/>
      <c r="HYK1061" s="989"/>
      <c r="HYL1061" s="989"/>
      <c r="HYM1061" s="989"/>
      <c r="HYN1061" s="989"/>
      <c r="HYO1061" s="989"/>
      <c r="HYP1061" s="989"/>
      <c r="HYQ1061" s="989"/>
      <c r="HYR1061" s="989"/>
      <c r="HYS1061" s="989"/>
      <c r="HYT1061" s="989"/>
      <c r="HYU1061" s="989"/>
      <c r="HYV1061" s="989"/>
      <c r="HYW1061" s="989"/>
      <c r="HYX1061" s="989"/>
      <c r="HYY1061" s="989"/>
      <c r="HYZ1061" s="989"/>
      <c r="HZA1061" s="989"/>
      <c r="HZB1061" s="989"/>
      <c r="HZC1061" s="989"/>
      <c r="HZD1061" s="989"/>
      <c r="HZE1061" s="989"/>
      <c r="HZF1061" s="989"/>
      <c r="HZG1061" s="989"/>
      <c r="HZH1061" s="989"/>
      <c r="HZI1061" s="989"/>
      <c r="HZJ1061" s="989"/>
      <c r="HZK1061" s="989"/>
      <c r="HZL1061" s="989"/>
      <c r="HZM1061" s="989"/>
      <c r="HZN1061" s="989"/>
      <c r="HZO1061" s="989"/>
      <c r="HZP1061" s="989"/>
      <c r="HZQ1061" s="989"/>
      <c r="HZR1061" s="989"/>
      <c r="HZS1061" s="989"/>
      <c r="HZT1061" s="989"/>
      <c r="HZU1061" s="989"/>
      <c r="HZV1061" s="989"/>
      <c r="HZW1061" s="989"/>
      <c r="HZX1061" s="989"/>
      <c r="HZY1061" s="989"/>
      <c r="HZZ1061" s="989"/>
      <c r="IAA1061" s="989"/>
      <c r="IAB1061" s="989"/>
      <c r="IAC1061" s="989"/>
      <c r="IAD1061" s="989"/>
      <c r="IAE1061" s="989"/>
      <c r="IAF1061" s="989"/>
      <c r="IAG1061" s="989"/>
      <c r="IAH1061" s="989"/>
      <c r="IAI1061" s="989"/>
      <c r="IAJ1061" s="989"/>
      <c r="IAK1061" s="989"/>
      <c r="IAL1061" s="989"/>
      <c r="IAM1061" s="989"/>
      <c r="IAN1061" s="989"/>
      <c r="IAO1061" s="989"/>
      <c r="IAP1061" s="989"/>
      <c r="IAQ1061" s="989"/>
      <c r="IAR1061" s="989"/>
      <c r="IAS1061" s="989"/>
      <c r="IAT1061" s="989"/>
      <c r="IAU1061" s="989"/>
      <c r="IAV1061" s="989"/>
      <c r="IAW1061" s="989"/>
      <c r="IAX1061" s="989"/>
      <c r="IAY1061" s="989"/>
      <c r="IAZ1061" s="989"/>
      <c r="IBA1061" s="989"/>
      <c r="IBB1061" s="989"/>
      <c r="IBC1061" s="989"/>
      <c r="IBD1061" s="989"/>
      <c r="IBE1061" s="989"/>
      <c r="IBF1061" s="989"/>
      <c r="IBG1061" s="989"/>
      <c r="IBH1061" s="989"/>
      <c r="IBI1061" s="989"/>
      <c r="IBJ1061" s="989"/>
      <c r="IBK1061" s="989"/>
      <c r="IBL1061" s="989"/>
      <c r="IBM1061" s="989"/>
      <c r="IBN1061" s="989"/>
      <c r="IBO1061" s="989"/>
      <c r="IBP1061" s="989"/>
      <c r="IBQ1061" s="989"/>
      <c r="IBR1061" s="989"/>
      <c r="IBS1061" s="989"/>
      <c r="IBT1061" s="989"/>
      <c r="IBU1061" s="989"/>
      <c r="IBV1061" s="989"/>
      <c r="IBW1061" s="989"/>
      <c r="IBX1061" s="989"/>
      <c r="IBY1061" s="989"/>
      <c r="IBZ1061" s="989"/>
      <c r="ICA1061" s="989"/>
      <c r="ICB1061" s="989"/>
      <c r="ICC1061" s="989"/>
      <c r="ICD1061" s="989"/>
      <c r="ICE1061" s="989"/>
      <c r="ICF1061" s="989"/>
      <c r="ICG1061" s="989"/>
      <c r="ICH1061" s="989"/>
      <c r="ICI1061" s="989"/>
      <c r="ICJ1061" s="989"/>
      <c r="ICK1061" s="989"/>
      <c r="ICL1061" s="989"/>
      <c r="ICM1061" s="989"/>
      <c r="ICN1061" s="989"/>
      <c r="ICO1061" s="989"/>
      <c r="ICP1061" s="989"/>
      <c r="ICQ1061" s="989"/>
      <c r="ICR1061" s="989"/>
      <c r="ICS1061" s="989"/>
      <c r="ICT1061" s="989"/>
      <c r="ICU1061" s="989"/>
      <c r="ICV1061" s="989"/>
      <c r="ICW1061" s="989"/>
      <c r="ICX1061" s="989"/>
      <c r="ICY1061" s="989"/>
      <c r="ICZ1061" s="989"/>
      <c r="IDA1061" s="989"/>
      <c r="IDB1061" s="989"/>
      <c r="IDC1061" s="989"/>
      <c r="IDD1061" s="989"/>
      <c r="IDE1061" s="989"/>
      <c r="IDF1061" s="989"/>
      <c r="IDG1061" s="989"/>
      <c r="IDH1061" s="989"/>
      <c r="IDI1061" s="989"/>
      <c r="IDJ1061" s="989"/>
      <c r="IDK1061" s="989"/>
      <c r="IDL1061" s="989"/>
      <c r="IDM1061" s="989"/>
      <c r="IDN1061" s="989"/>
      <c r="IDO1061" s="989"/>
      <c r="IDP1061" s="989"/>
      <c r="IDQ1061" s="989"/>
      <c r="IDR1061" s="989"/>
      <c r="IDS1061" s="989"/>
      <c r="IDT1061" s="989"/>
      <c r="IDU1061" s="989"/>
      <c r="IDV1061" s="989"/>
      <c r="IDW1061" s="989"/>
      <c r="IDX1061" s="989"/>
      <c r="IDY1061" s="989"/>
      <c r="IDZ1061" s="989"/>
      <c r="IEA1061" s="989"/>
      <c r="IEB1061" s="989"/>
      <c r="IEC1061" s="989"/>
      <c r="IED1061" s="989"/>
      <c r="IEE1061" s="989"/>
      <c r="IEF1061" s="989"/>
      <c r="IEG1061" s="989"/>
      <c r="IEH1061" s="989"/>
      <c r="IEI1061" s="989"/>
      <c r="IEJ1061" s="989"/>
      <c r="IEK1061" s="989"/>
      <c r="IEL1061" s="989"/>
      <c r="IEM1061" s="989"/>
      <c r="IEN1061" s="989"/>
      <c r="IEO1061" s="989"/>
      <c r="IEP1061" s="989"/>
      <c r="IEQ1061" s="989"/>
      <c r="IER1061" s="989"/>
      <c r="IES1061" s="989"/>
      <c r="IET1061" s="989"/>
      <c r="IEU1061" s="989"/>
      <c r="IEV1061" s="989"/>
      <c r="IEW1061" s="989"/>
      <c r="IEX1061" s="989"/>
      <c r="IEY1061" s="989"/>
      <c r="IEZ1061" s="989"/>
      <c r="IFA1061" s="989"/>
      <c r="IFB1061" s="989"/>
      <c r="IFC1061" s="989"/>
      <c r="IFD1061" s="989"/>
      <c r="IFE1061" s="989"/>
      <c r="IFF1061" s="989"/>
      <c r="IFG1061" s="989"/>
      <c r="IFH1061" s="989"/>
      <c r="IFI1061" s="989"/>
      <c r="IFJ1061" s="989"/>
      <c r="IFK1061" s="989"/>
      <c r="IFL1061" s="989"/>
      <c r="IFM1061" s="989"/>
      <c r="IFN1061" s="989"/>
      <c r="IFO1061" s="989"/>
      <c r="IFP1061" s="989"/>
      <c r="IFQ1061" s="989"/>
      <c r="IFR1061" s="989"/>
      <c r="IFS1061" s="989"/>
      <c r="IFT1061" s="989"/>
      <c r="IFU1061" s="989"/>
      <c r="IFV1061" s="989"/>
      <c r="IFW1061" s="989"/>
      <c r="IFX1061" s="989"/>
      <c r="IFY1061" s="989"/>
      <c r="IFZ1061" s="989"/>
      <c r="IGA1061" s="989"/>
      <c r="IGB1061" s="989"/>
      <c r="IGC1061" s="989"/>
      <c r="IGD1061" s="989"/>
      <c r="IGE1061" s="989"/>
      <c r="IGF1061" s="989"/>
      <c r="IGG1061" s="989"/>
      <c r="IGH1061" s="989"/>
      <c r="IGI1061" s="989"/>
      <c r="IGJ1061" s="989"/>
      <c r="IGK1061" s="989"/>
      <c r="IGL1061" s="989"/>
      <c r="IGM1061" s="989"/>
      <c r="IGN1061" s="989"/>
      <c r="IGO1061" s="989"/>
      <c r="IGP1061" s="989"/>
      <c r="IGQ1061" s="989"/>
      <c r="IGR1061" s="989"/>
      <c r="IGS1061" s="989"/>
      <c r="IGT1061" s="989"/>
      <c r="IGU1061" s="989"/>
      <c r="IGV1061" s="989"/>
      <c r="IGW1061" s="989"/>
      <c r="IGX1061" s="989"/>
      <c r="IGY1061" s="989"/>
      <c r="IGZ1061" s="989"/>
      <c r="IHA1061" s="989"/>
      <c r="IHB1061" s="989"/>
      <c r="IHC1061" s="989"/>
      <c r="IHD1061" s="989"/>
      <c r="IHE1061" s="989"/>
      <c r="IHF1061" s="989"/>
      <c r="IHG1061" s="989"/>
      <c r="IHH1061" s="989"/>
      <c r="IHI1061" s="989"/>
      <c r="IHJ1061" s="989"/>
      <c r="IHK1061" s="989"/>
      <c r="IHL1061" s="989"/>
      <c r="IHM1061" s="989"/>
      <c r="IHN1061" s="989"/>
      <c r="IHO1061" s="989"/>
      <c r="IHP1061" s="989"/>
      <c r="IHQ1061" s="989"/>
      <c r="IHR1061" s="989"/>
      <c r="IHS1061" s="989"/>
      <c r="IHT1061" s="989"/>
      <c r="IHU1061" s="989"/>
      <c r="IHV1061" s="989"/>
      <c r="IHW1061" s="989"/>
      <c r="IHX1061" s="989"/>
      <c r="IHY1061" s="989"/>
      <c r="IHZ1061" s="989"/>
      <c r="IIA1061" s="989"/>
      <c r="IIB1061" s="989"/>
      <c r="IIC1061" s="989"/>
      <c r="IID1061" s="989"/>
      <c r="IIE1061" s="989"/>
      <c r="IIF1061" s="989"/>
      <c r="IIG1061" s="989"/>
      <c r="IIH1061" s="989"/>
      <c r="III1061" s="989"/>
      <c r="IIJ1061" s="989"/>
      <c r="IIK1061" s="989"/>
      <c r="IIL1061" s="989"/>
      <c r="IIM1061" s="989"/>
      <c r="IIN1061" s="989"/>
      <c r="IIO1061" s="989"/>
      <c r="IIP1061" s="989"/>
      <c r="IIQ1061" s="989"/>
      <c r="IIR1061" s="989"/>
      <c r="IIS1061" s="989"/>
      <c r="IIT1061" s="989"/>
      <c r="IIU1061" s="989"/>
      <c r="IIV1061" s="989"/>
      <c r="IIW1061" s="989"/>
      <c r="IIX1061" s="989"/>
      <c r="IIY1061" s="989"/>
      <c r="IIZ1061" s="989"/>
      <c r="IJA1061" s="989"/>
      <c r="IJB1061" s="989"/>
      <c r="IJC1061" s="989"/>
      <c r="IJD1061" s="989"/>
      <c r="IJE1061" s="989"/>
      <c r="IJF1061" s="989"/>
      <c r="IJG1061" s="989"/>
      <c r="IJH1061" s="989"/>
      <c r="IJI1061" s="989"/>
      <c r="IJJ1061" s="989"/>
      <c r="IJK1061" s="989"/>
      <c r="IJL1061" s="989"/>
      <c r="IJM1061" s="989"/>
      <c r="IJN1061" s="989"/>
      <c r="IJO1061" s="989"/>
      <c r="IJP1061" s="989"/>
      <c r="IJQ1061" s="989"/>
      <c r="IJR1061" s="989"/>
      <c r="IJS1061" s="989"/>
      <c r="IJT1061" s="989"/>
      <c r="IJU1061" s="989"/>
      <c r="IJV1061" s="989"/>
      <c r="IJW1061" s="989"/>
      <c r="IJX1061" s="989"/>
      <c r="IJY1061" s="989"/>
      <c r="IJZ1061" s="989"/>
      <c r="IKA1061" s="989"/>
      <c r="IKB1061" s="989"/>
      <c r="IKC1061" s="989"/>
      <c r="IKD1061" s="989"/>
      <c r="IKE1061" s="989"/>
      <c r="IKF1061" s="989"/>
      <c r="IKG1061" s="989"/>
      <c r="IKH1061" s="989"/>
      <c r="IKI1061" s="989"/>
      <c r="IKJ1061" s="989"/>
      <c r="IKK1061" s="989"/>
      <c r="IKL1061" s="989"/>
      <c r="IKM1061" s="989"/>
      <c r="IKN1061" s="989"/>
      <c r="IKO1061" s="989"/>
      <c r="IKP1061" s="989"/>
      <c r="IKQ1061" s="989"/>
      <c r="IKR1061" s="989"/>
      <c r="IKS1061" s="989"/>
      <c r="IKT1061" s="989"/>
      <c r="IKU1061" s="989"/>
      <c r="IKV1061" s="989"/>
      <c r="IKW1061" s="989"/>
      <c r="IKX1061" s="989"/>
      <c r="IKY1061" s="989"/>
      <c r="IKZ1061" s="989"/>
      <c r="ILA1061" s="989"/>
      <c r="ILB1061" s="989"/>
      <c r="ILC1061" s="989"/>
      <c r="ILD1061" s="989"/>
      <c r="ILE1061" s="989"/>
      <c r="ILF1061" s="989"/>
      <c r="ILG1061" s="989"/>
      <c r="ILH1061" s="989"/>
      <c r="ILI1061" s="989"/>
      <c r="ILJ1061" s="989"/>
      <c r="ILK1061" s="989"/>
      <c r="ILL1061" s="989"/>
      <c r="ILM1061" s="989"/>
      <c r="ILN1061" s="989"/>
      <c r="ILO1061" s="989"/>
      <c r="ILP1061" s="989"/>
      <c r="ILQ1061" s="989"/>
      <c r="ILR1061" s="989"/>
      <c r="ILS1061" s="989"/>
      <c r="ILT1061" s="989"/>
      <c r="ILU1061" s="989"/>
      <c r="ILV1061" s="989"/>
      <c r="ILW1061" s="989"/>
      <c r="ILX1061" s="989"/>
      <c r="ILY1061" s="989"/>
      <c r="ILZ1061" s="989"/>
      <c r="IMA1061" s="989"/>
      <c r="IMB1061" s="989"/>
      <c r="IMC1061" s="989"/>
      <c r="IMD1061" s="989"/>
      <c r="IME1061" s="989"/>
      <c r="IMF1061" s="989"/>
      <c r="IMG1061" s="989"/>
      <c r="IMH1061" s="989"/>
      <c r="IMI1061" s="989"/>
      <c r="IMJ1061" s="989"/>
      <c r="IMK1061" s="989"/>
      <c r="IML1061" s="989"/>
      <c r="IMM1061" s="989"/>
      <c r="IMN1061" s="989"/>
      <c r="IMO1061" s="989"/>
      <c r="IMP1061" s="989"/>
      <c r="IMQ1061" s="989"/>
      <c r="IMR1061" s="989"/>
      <c r="IMS1061" s="989"/>
      <c r="IMT1061" s="989"/>
      <c r="IMU1061" s="989"/>
      <c r="IMV1061" s="989"/>
      <c r="IMW1061" s="989"/>
      <c r="IMX1061" s="989"/>
      <c r="IMY1061" s="989"/>
      <c r="IMZ1061" s="989"/>
      <c r="INA1061" s="989"/>
      <c r="INB1061" s="989"/>
      <c r="INC1061" s="989"/>
      <c r="IND1061" s="989"/>
      <c r="INE1061" s="989"/>
      <c r="INF1061" s="989"/>
      <c r="ING1061" s="989"/>
      <c r="INH1061" s="989"/>
      <c r="INI1061" s="989"/>
      <c r="INJ1061" s="989"/>
      <c r="INK1061" s="989"/>
      <c r="INL1061" s="989"/>
      <c r="INM1061" s="989"/>
      <c r="INN1061" s="989"/>
      <c r="INO1061" s="989"/>
      <c r="INP1061" s="989"/>
      <c r="INQ1061" s="989"/>
      <c r="INR1061" s="989"/>
      <c r="INS1061" s="989"/>
      <c r="INT1061" s="989"/>
      <c r="INU1061" s="989"/>
      <c r="INV1061" s="989"/>
      <c r="INW1061" s="989"/>
      <c r="INX1061" s="989"/>
      <c r="INY1061" s="989"/>
      <c r="INZ1061" s="989"/>
      <c r="IOA1061" s="989"/>
      <c r="IOB1061" s="989"/>
      <c r="IOC1061" s="989"/>
      <c r="IOD1061" s="989"/>
      <c r="IOE1061" s="989"/>
      <c r="IOF1061" s="989"/>
      <c r="IOG1061" s="989"/>
      <c r="IOH1061" s="989"/>
      <c r="IOI1061" s="989"/>
      <c r="IOJ1061" s="989"/>
      <c r="IOK1061" s="989"/>
      <c r="IOL1061" s="989"/>
      <c r="IOM1061" s="989"/>
      <c r="ION1061" s="989"/>
      <c r="IOO1061" s="989"/>
      <c r="IOP1061" s="989"/>
      <c r="IOQ1061" s="989"/>
      <c r="IOR1061" s="989"/>
      <c r="IOS1061" s="989"/>
      <c r="IOT1061" s="989"/>
      <c r="IOU1061" s="989"/>
      <c r="IOV1061" s="989"/>
      <c r="IOW1061" s="989"/>
      <c r="IOX1061" s="989"/>
      <c r="IOY1061" s="989"/>
      <c r="IOZ1061" s="989"/>
      <c r="IPA1061" s="989"/>
      <c r="IPB1061" s="989"/>
      <c r="IPC1061" s="989"/>
      <c r="IPD1061" s="989"/>
      <c r="IPE1061" s="989"/>
      <c r="IPF1061" s="989"/>
      <c r="IPG1061" s="989"/>
      <c r="IPH1061" s="989"/>
      <c r="IPI1061" s="989"/>
      <c r="IPJ1061" s="989"/>
      <c r="IPK1061" s="989"/>
      <c r="IPL1061" s="989"/>
      <c r="IPM1061" s="989"/>
      <c r="IPN1061" s="989"/>
      <c r="IPO1061" s="989"/>
      <c r="IPP1061" s="989"/>
      <c r="IPQ1061" s="989"/>
      <c r="IPR1061" s="989"/>
      <c r="IPS1061" s="989"/>
      <c r="IPT1061" s="989"/>
      <c r="IPU1061" s="989"/>
      <c r="IPV1061" s="989"/>
      <c r="IPW1061" s="989"/>
      <c r="IPX1061" s="989"/>
      <c r="IPY1061" s="989"/>
      <c r="IPZ1061" s="989"/>
      <c r="IQA1061" s="989"/>
      <c r="IQB1061" s="989"/>
      <c r="IQC1061" s="989"/>
      <c r="IQD1061" s="989"/>
      <c r="IQE1061" s="989"/>
      <c r="IQF1061" s="989"/>
      <c r="IQG1061" s="989"/>
      <c r="IQH1061" s="989"/>
      <c r="IQI1061" s="989"/>
      <c r="IQJ1061" s="989"/>
      <c r="IQK1061" s="989"/>
      <c r="IQL1061" s="989"/>
      <c r="IQM1061" s="989"/>
      <c r="IQN1061" s="989"/>
      <c r="IQO1061" s="989"/>
      <c r="IQP1061" s="989"/>
      <c r="IQQ1061" s="989"/>
      <c r="IQR1061" s="989"/>
      <c r="IQS1061" s="989"/>
      <c r="IQT1061" s="989"/>
      <c r="IQU1061" s="989"/>
      <c r="IQV1061" s="989"/>
      <c r="IQW1061" s="989"/>
      <c r="IQX1061" s="989"/>
      <c r="IQY1061" s="989"/>
      <c r="IQZ1061" s="989"/>
      <c r="IRA1061" s="989"/>
      <c r="IRB1061" s="989"/>
      <c r="IRC1061" s="989"/>
      <c r="IRD1061" s="989"/>
      <c r="IRE1061" s="989"/>
      <c r="IRF1061" s="989"/>
      <c r="IRG1061" s="989"/>
      <c r="IRH1061" s="989"/>
      <c r="IRI1061" s="989"/>
      <c r="IRJ1061" s="989"/>
      <c r="IRK1061" s="989"/>
      <c r="IRL1061" s="989"/>
      <c r="IRM1061" s="989"/>
      <c r="IRN1061" s="989"/>
      <c r="IRO1061" s="989"/>
      <c r="IRP1061" s="989"/>
      <c r="IRQ1061" s="989"/>
      <c r="IRR1061" s="989"/>
      <c r="IRS1061" s="989"/>
      <c r="IRT1061" s="989"/>
      <c r="IRU1061" s="989"/>
      <c r="IRV1061" s="989"/>
      <c r="IRW1061" s="989"/>
      <c r="IRX1061" s="989"/>
      <c r="IRY1061" s="989"/>
      <c r="IRZ1061" s="989"/>
      <c r="ISA1061" s="989"/>
      <c r="ISB1061" s="989"/>
      <c r="ISC1061" s="989"/>
      <c r="ISD1061" s="989"/>
      <c r="ISE1061" s="989"/>
      <c r="ISF1061" s="989"/>
      <c r="ISG1061" s="989"/>
      <c r="ISH1061" s="989"/>
      <c r="ISI1061" s="989"/>
      <c r="ISJ1061" s="989"/>
      <c r="ISK1061" s="989"/>
      <c r="ISL1061" s="989"/>
      <c r="ISM1061" s="989"/>
      <c r="ISN1061" s="989"/>
      <c r="ISO1061" s="989"/>
      <c r="ISP1061" s="989"/>
      <c r="ISQ1061" s="989"/>
      <c r="ISR1061" s="989"/>
      <c r="ISS1061" s="989"/>
      <c r="IST1061" s="989"/>
      <c r="ISU1061" s="989"/>
      <c r="ISV1061" s="989"/>
      <c r="ISW1061" s="989"/>
      <c r="ISX1061" s="989"/>
      <c r="ISY1061" s="989"/>
      <c r="ISZ1061" s="989"/>
      <c r="ITA1061" s="989"/>
      <c r="ITB1061" s="989"/>
      <c r="ITC1061" s="989"/>
      <c r="ITD1061" s="989"/>
      <c r="ITE1061" s="989"/>
      <c r="ITF1061" s="989"/>
      <c r="ITG1061" s="989"/>
      <c r="ITH1061" s="989"/>
      <c r="ITI1061" s="989"/>
      <c r="ITJ1061" s="989"/>
      <c r="ITK1061" s="989"/>
      <c r="ITL1061" s="989"/>
      <c r="ITM1061" s="989"/>
      <c r="ITN1061" s="989"/>
      <c r="ITO1061" s="989"/>
      <c r="ITP1061" s="989"/>
      <c r="ITQ1061" s="989"/>
      <c r="ITR1061" s="989"/>
      <c r="ITS1061" s="989"/>
      <c r="ITT1061" s="989"/>
      <c r="ITU1061" s="989"/>
      <c r="ITV1061" s="989"/>
      <c r="ITW1061" s="989"/>
      <c r="ITX1061" s="989"/>
      <c r="ITY1061" s="989"/>
      <c r="ITZ1061" s="989"/>
      <c r="IUA1061" s="989"/>
      <c r="IUB1061" s="989"/>
      <c r="IUC1061" s="989"/>
      <c r="IUD1061" s="989"/>
      <c r="IUE1061" s="989"/>
      <c r="IUF1061" s="989"/>
      <c r="IUG1061" s="989"/>
      <c r="IUH1061" s="989"/>
      <c r="IUI1061" s="989"/>
      <c r="IUJ1061" s="989"/>
      <c r="IUK1061" s="989"/>
      <c r="IUL1061" s="989"/>
      <c r="IUM1061" s="989"/>
      <c r="IUN1061" s="989"/>
      <c r="IUO1061" s="989"/>
      <c r="IUP1061" s="989"/>
      <c r="IUQ1061" s="989"/>
      <c r="IUR1061" s="989"/>
      <c r="IUS1061" s="989"/>
      <c r="IUT1061" s="989"/>
      <c r="IUU1061" s="989"/>
      <c r="IUV1061" s="989"/>
      <c r="IUW1061" s="989"/>
      <c r="IUX1061" s="989"/>
      <c r="IUY1061" s="989"/>
      <c r="IUZ1061" s="989"/>
      <c r="IVA1061" s="989"/>
      <c r="IVB1061" s="989"/>
      <c r="IVC1061" s="989"/>
      <c r="IVD1061" s="989"/>
      <c r="IVE1061" s="989"/>
      <c r="IVF1061" s="989"/>
      <c r="IVG1061" s="989"/>
      <c r="IVH1061" s="989"/>
      <c r="IVI1061" s="989"/>
      <c r="IVJ1061" s="989"/>
      <c r="IVK1061" s="989"/>
      <c r="IVL1061" s="989"/>
      <c r="IVM1061" s="989"/>
      <c r="IVN1061" s="989"/>
      <c r="IVO1061" s="989"/>
      <c r="IVP1061" s="989"/>
      <c r="IVQ1061" s="989"/>
      <c r="IVR1061" s="989"/>
      <c r="IVS1061" s="989"/>
      <c r="IVT1061" s="989"/>
      <c r="IVU1061" s="989"/>
      <c r="IVV1061" s="989"/>
      <c r="IVW1061" s="989"/>
      <c r="IVX1061" s="989"/>
      <c r="IVY1061" s="989"/>
      <c r="IVZ1061" s="989"/>
      <c r="IWA1061" s="989"/>
      <c r="IWB1061" s="989"/>
      <c r="IWC1061" s="989"/>
      <c r="IWD1061" s="989"/>
      <c r="IWE1061" s="989"/>
      <c r="IWF1061" s="989"/>
      <c r="IWG1061" s="989"/>
      <c r="IWH1061" s="989"/>
      <c r="IWI1061" s="989"/>
      <c r="IWJ1061" s="989"/>
      <c r="IWK1061" s="989"/>
      <c r="IWL1061" s="989"/>
      <c r="IWM1061" s="989"/>
      <c r="IWN1061" s="989"/>
      <c r="IWO1061" s="989"/>
      <c r="IWP1061" s="989"/>
      <c r="IWQ1061" s="989"/>
      <c r="IWR1061" s="989"/>
      <c r="IWS1061" s="989"/>
      <c r="IWT1061" s="989"/>
      <c r="IWU1061" s="989"/>
      <c r="IWV1061" s="989"/>
      <c r="IWW1061" s="989"/>
      <c r="IWX1061" s="989"/>
      <c r="IWY1061" s="989"/>
      <c r="IWZ1061" s="989"/>
      <c r="IXA1061" s="989"/>
      <c r="IXB1061" s="989"/>
      <c r="IXC1061" s="989"/>
      <c r="IXD1061" s="989"/>
      <c r="IXE1061" s="989"/>
      <c r="IXF1061" s="989"/>
      <c r="IXG1061" s="989"/>
      <c r="IXH1061" s="989"/>
      <c r="IXI1061" s="989"/>
      <c r="IXJ1061" s="989"/>
      <c r="IXK1061" s="989"/>
      <c r="IXL1061" s="989"/>
      <c r="IXM1061" s="989"/>
      <c r="IXN1061" s="989"/>
      <c r="IXO1061" s="989"/>
      <c r="IXP1061" s="989"/>
      <c r="IXQ1061" s="989"/>
      <c r="IXR1061" s="989"/>
      <c r="IXS1061" s="989"/>
      <c r="IXT1061" s="989"/>
      <c r="IXU1061" s="989"/>
      <c r="IXV1061" s="989"/>
      <c r="IXW1061" s="989"/>
      <c r="IXX1061" s="989"/>
      <c r="IXY1061" s="989"/>
      <c r="IXZ1061" s="989"/>
      <c r="IYA1061" s="989"/>
      <c r="IYB1061" s="989"/>
      <c r="IYC1061" s="989"/>
      <c r="IYD1061" s="989"/>
      <c r="IYE1061" s="989"/>
      <c r="IYF1061" s="989"/>
      <c r="IYG1061" s="989"/>
      <c r="IYH1061" s="989"/>
      <c r="IYI1061" s="989"/>
      <c r="IYJ1061" s="989"/>
      <c r="IYK1061" s="989"/>
      <c r="IYL1061" s="989"/>
      <c r="IYM1061" s="989"/>
      <c r="IYN1061" s="989"/>
      <c r="IYO1061" s="989"/>
      <c r="IYP1061" s="989"/>
      <c r="IYQ1061" s="989"/>
      <c r="IYR1061" s="989"/>
      <c r="IYS1061" s="989"/>
      <c r="IYT1061" s="989"/>
      <c r="IYU1061" s="989"/>
      <c r="IYV1061" s="989"/>
      <c r="IYW1061" s="989"/>
      <c r="IYX1061" s="989"/>
      <c r="IYY1061" s="989"/>
      <c r="IYZ1061" s="989"/>
      <c r="IZA1061" s="989"/>
      <c r="IZB1061" s="989"/>
      <c r="IZC1061" s="989"/>
      <c r="IZD1061" s="989"/>
      <c r="IZE1061" s="989"/>
      <c r="IZF1061" s="989"/>
      <c r="IZG1061" s="989"/>
      <c r="IZH1061" s="989"/>
      <c r="IZI1061" s="989"/>
      <c r="IZJ1061" s="989"/>
      <c r="IZK1061" s="989"/>
      <c r="IZL1061" s="989"/>
      <c r="IZM1061" s="989"/>
      <c r="IZN1061" s="989"/>
      <c r="IZO1061" s="989"/>
      <c r="IZP1061" s="989"/>
      <c r="IZQ1061" s="989"/>
      <c r="IZR1061" s="989"/>
      <c r="IZS1061" s="989"/>
      <c r="IZT1061" s="989"/>
      <c r="IZU1061" s="989"/>
      <c r="IZV1061" s="989"/>
      <c r="IZW1061" s="989"/>
      <c r="IZX1061" s="989"/>
      <c r="IZY1061" s="989"/>
      <c r="IZZ1061" s="989"/>
      <c r="JAA1061" s="989"/>
      <c r="JAB1061" s="989"/>
      <c r="JAC1061" s="989"/>
      <c r="JAD1061" s="989"/>
      <c r="JAE1061" s="989"/>
      <c r="JAF1061" s="989"/>
      <c r="JAG1061" s="989"/>
      <c r="JAH1061" s="989"/>
      <c r="JAI1061" s="989"/>
      <c r="JAJ1061" s="989"/>
      <c r="JAK1061" s="989"/>
      <c r="JAL1061" s="989"/>
      <c r="JAM1061" s="989"/>
      <c r="JAN1061" s="989"/>
      <c r="JAO1061" s="989"/>
      <c r="JAP1061" s="989"/>
      <c r="JAQ1061" s="989"/>
      <c r="JAR1061" s="989"/>
      <c r="JAS1061" s="989"/>
      <c r="JAT1061" s="989"/>
      <c r="JAU1061" s="989"/>
      <c r="JAV1061" s="989"/>
      <c r="JAW1061" s="989"/>
      <c r="JAX1061" s="989"/>
      <c r="JAY1061" s="989"/>
      <c r="JAZ1061" s="989"/>
      <c r="JBA1061" s="989"/>
      <c r="JBB1061" s="989"/>
      <c r="JBC1061" s="989"/>
      <c r="JBD1061" s="989"/>
      <c r="JBE1061" s="989"/>
      <c r="JBF1061" s="989"/>
      <c r="JBG1061" s="989"/>
      <c r="JBH1061" s="989"/>
      <c r="JBI1061" s="989"/>
      <c r="JBJ1061" s="989"/>
      <c r="JBK1061" s="989"/>
      <c r="JBL1061" s="989"/>
      <c r="JBM1061" s="989"/>
      <c r="JBN1061" s="989"/>
      <c r="JBO1061" s="989"/>
      <c r="JBP1061" s="989"/>
      <c r="JBQ1061" s="989"/>
      <c r="JBR1061" s="989"/>
      <c r="JBS1061" s="989"/>
      <c r="JBT1061" s="989"/>
      <c r="JBU1061" s="989"/>
      <c r="JBV1061" s="989"/>
      <c r="JBW1061" s="989"/>
      <c r="JBX1061" s="989"/>
      <c r="JBY1061" s="989"/>
      <c r="JBZ1061" s="989"/>
      <c r="JCA1061" s="989"/>
      <c r="JCB1061" s="989"/>
      <c r="JCC1061" s="989"/>
      <c r="JCD1061" s="989"/>
      <c r="JCE1061" s="989"/>
      <c r="JCF1061" s="989"/>
      <c r="JCG1061" s="989"/>
      <c r="JCH1061" s="989"/>
      <c r="JCI1061" s="989"/>
      <c r="JCJ1061" s="989"/>
      <c r="JCK1061" s="989"/>
      <c r="JCL1061" s="989"/>
      <c r="JCM1061" s="989"/>
      <c r="JCN1061" s="989"/>
      <c r="JCO1061" s="989"/>
      <c r="JCP1061" s="989"/>
      <c r="JCQ1061" s="989"/>
      <c r="JCR1061" s="989"/>
      <c r="JCS1061" s="989"/>
      <c r="JCT1061" s="989"/>
      <c r="JCU1061" s="989"/>
      <c r="JCV1061" s="989"/>
      <c r="JCW1061" s="989"/>
      <c r="JCX1061" s="989"/>
      <c r="JCY1061" s="989"/>
      <c r="JCZ1061" s="989"/>
      <c r="JDA1061" s="989"/>
      <c r="JDB1061" s="989"/>
      <c r="JDC1061" s="989"/>
      <c r="JDD1061" s="989"/>
      <c r="JDE1061" s="989"/>
      <c r="JDF1061" s="989"/>
      <c r="JDG1061" s="989"/>
      <c r="JDH1061" s="989"/>
      <c r="JDI1061" s="989"/>
      <c r="JDJ1061" s="989"/>
      <c r="JDK1061" s="989"/>
      <c r="JDL1061" s="989"/>
      <c r="JDM1061" s="989"/>
      <c r="JDN1061" s="989"/>
      <c r="JDO1061" s="989"/>
      <c r="JDP1061" s="989"/>
      <c r="JDQ1061" s="989"/>
      <c r="JDR1061" s="989"/>
      <c r="JDS1061" s="989"/>
      <c r="JDT1061" s="989"/>
      <c r="JDU1061" s="989"/>
      <c r="JDV1061" s="989"/>
      <c r="JDW1061" s="989"/>
      <c r="JDX1061" s="989"/>
      <c r="JDY1061" s="989"/>
      <c r="JDZ1061" s="989"/>
      <c r="JEA1061" s="989"/>
      <c r="JEB1061" s="989"/>
      <c r="JEC1061" s="989"/>
      <c r="JED1061" s="989"/>
      <c r="JEE1061" s="989"/>
      <c r="JEF1061" s="989"/>
      <c r="JEG1061" s="989"/>
      <c r="JEH1061" s="989"/>
      <c r="JEI1061" s="989"/>
      <c r="JEJ1061" s="989"/>
      <c r="JEK1061" s="989"/>
      <c r="JEL1061" s="989"/>
      <c r="JEM1061" s="989"/>
      <c r="JEN1061" s="989"/>
      <c r="JEO1061" s="989"/>
      <c r="JEP1061" s="989"/>
      <c r="JEQ1061" s="989"/>
      <c r="JER1061" s="989"/>
      <c r="JES1061" s="989"/>
      <c r="JET1061" s="989"/>
      <c r="JEU1061" s="989"/>
      <c r="JEV1061" s="989"/>
      <c r="JEW1061" s="989"/>
      <c r="JEX1061" s="989"/>
      <c r="JEY1061" s="989"/>
      <c r="JEZ1061" s="989"/>
      <c r="JFA1061" s="989"/>
      <c r="JFB1061" s="989"/>
      <c r="JFC1061" s="989"/>
      <c r="JFD1061" s="989"/>
      <c r="JFE1061" s="989"/>
      <c r="JFF1061" s="989"/>
      <c r="JFG1061" s="989"/>
      <c r="JFH1061" s="989"/>
      <c r="JFI1061" s="989"/>
      <c r="JFJ1061" s="989"/>
      <c r="JFK1061" s="989"/>
      <c r="JFL1061" s="989"/>
      <c r="JFM1061" s="989"/>
      <c r="JFN1061" s="989"/>
      <c r="JFO1061" s="989"/>
      <c r="JFP1061" s="989"/>
      <c r="JFQ1061" s="989"/>
      <c r="JFR1061" s="989"/>
      <c r="JFS1061" s="989"/>
      <c r="JFT1061" s="989"/>
      <c r="JFU1061" s="989"/>
      <c r="JFV1061" s="989"/>
      <c r="JFW1061" s="989"/>
      <c r="JFX1061" s="989"/>
      <c r="JFY1061" s="989"/>
      <c r="JFZ1061" s="989"/>
      <c r="JGA1061" s="989"/>
      <c r="JGB1061" s="989"/>
      <c r="JGC1061" s="989"/>
      <c r="JGD1061" s="989"/>
      <c r="JGE1061" s="989"/>
      <c r="JGF1061" s="989"/>
      <c r="JGG1061" s="989"/>
      <c r="JGH1061" s="989"/>
      <c r="JGI1061" s="989"/>
      <c r="JGJ1061" s="989"/>
      <c r="JGK1061" s="989"/>
      <c r="JGL1061" s="989"/>
      <c r="JGM1061" s="989"/>
      <c r="JGN1061" s="989"/>
      <c r="JGO1061" s="989"/>
      <c r="JGP1061" s="989"/>
      <c r="JGQ1061" s="989"/>
      <c r="JGR1061" s="989"/>
      <c r="JGS1061" s="989"/>
      <c r="JGT1061" s="989"/>
      <c r="JGU1061" s="989"/>
      <c r="JGV1061" s="989"/>
      <c r="JGW1061" s="989"/>
      <c r="JGX1061" s="989"/>
      <c r="JGY1061" s="989"/>
      <c r="JGZ1061" s="989"/>
      <c r="JHA1061" s="989"/>
      <c r="JHB1061" s="989"/>
      <c r="JHC1061" s="989"/>
      <c r="JHD1061" s="989"/>
      <c r="JHE1061" s="989"/>
      <c r="JHF1061" s="989"/>
      <c r="JHG1061" s="989"/>
      <c r="JHH1061" s="989"/>
      <c r="JHI1061" s="989"/>
      <c r="JHJ1061" s="989"/>
      <c r="JHK1061" s="989"/>
      <c r="JHL1061" s="989"/>
      <c r="JHM1061" s="989"/>
      <c r="JHN1061" s="989"/>
      <c r="JHO1061" s="989"/>
      <c r="JHP1061" s="989"/>
      <c r="JHQ1061" s="989"/>
      <c r="JHR1061" s="989"/>
      <c r="JHS1061" s="989"/>
      <c r="JHT1061" s="989"/>
      <c r="JHU1061" s="989"/>
      <c r="JHV1061" s="989"/>
      <c r="JHW1061" s="989"/>
      <c r="JHX1061" s="989"/>
      <c r="JHY1061" s="989"/>
      <c r="JHZ1061" s="989"/>
      <c r="JIA1061" s="989"/>
      <c r="JIB1061" s="989"/>
      <c r="JIC1061" s="989"/>
      <c r="JID1061" s="989"/>
      <c r="JIE1061" s="989"/>
      <c r="JIF1061" s="989"/>
      <c r="JIG1061" s="989"/>
      <c r="JIH1061" s="989"/>
      <c r="JII1061" s="989"/>
      <c r="JIJ1061" s="989"/>
      <c r="JIK1061" s="989"/>
      <c r="JIL1061" s="989"/>
      <c r="JIM1061" s="989"/>
      <c r="JIN1061" s="989"/>
      <c r="JIO1061" s="989"/>
      <c r="JIP1061" s="989"/>
      <c r="JIQ1061" s="989"/>
      <c r="JIR1061" s="989"/>
      <c r="JIS1061" s="989"/>
      <c r="JIT1061" s="989"/>
      <c r="JIU1061" s="989"/>
      <c r="JIV1061" s="989"/>
      <c r="JIW1061" s="989"/>
      <c r="JIX1061" s="989"/>
      <c r="JIY1061" s="989"/>
      <c r="JIZ1061" s="989"/>
      <c r="JJA1061" s="989"/>
      <c r="JJB1061" s="989"/>
      <c r="JJC1061" s="989"/>
      <c r="JJD1061" s="989"/>
      <c r="JJE1061" s="989"/>
      <c r="JJF1061" s="989"/>
      <c r="JJG1061" s="989"/>
      <c r="JJH1061" s="989"/>
      <c r="JJI1061" s="989"/>
      <c r="JJJ1061" s="989"/>
      <c r="JJK1061" s="989"/>
      <c r="JJL1061" s="989"/>
      <c r="JJM1061" s="989"/>
      <c r="JJN1061" s="989"/>
      <c r="JJO1061" s="989"/>
      <c r="JJP1061" s="989"/>
      <c r="JJQ1061" s="989"/>
      <c r="JJR1061" s="989"/>
      <c r="JJS1061" s="989"/>
      <c r="JJT1061" s="989"/>
      <c r="JJU1061" s="989"/>
      <c r="JJV1061" s="989"/>
      <c r="JJW1061" s="989"/>
      <c r="JJX1061" s="989"/>
      <c r="JJY1061" s="989"/>
      <c r="JJZ1061" s="989"/>
      <c r="JKA1061" s="989"/>
      <c r="JKB1061" s="989"/>
      <c r="JKC1061" s="989"/>
      <c r="JKD1061" s="989"/>
      <c r="JKE1061" s="989"/>
      <c r="JKF1061" s="989"/>
      <c r="JKG1061" s="989"/>
      <c r="JKH1061" s="989"/>
      <c r="JKI1061" s="989"/>
      <c r="JKJ1061" s="989"/>
      <c r="JKK1061" s="989"/>
      <c r="JKL1061" s="989"/>
      <c r="JKM1061" s="989"/>
      <c r="JKN1061" s="989"/>
      <c r="JKO1061" s="989"/>
      <c r="JKP1061" s="989"/>
      <c r="JKQ1061" s="989"/>
      <c r="JKR1061" s="989"/>
      <c r="JKS1061" s="989"/>
      <c r="JKT1061" s="989"/>
      <c r="JKU1061" s="989"/>
      <c r="JKV1061" s="989"/>
      <c r="JKW1061" s="989"/>
      <c r="JKX1061" s="989"/>
      <c r="JKY1061" s="989"/>
      <c r="JKZ1061" s="989"/>
      <c r="JLA1061" s="989"/>
      <c r="JLB1061" s="989"/>
      <c r="JLC1061" s="989"/>
      <c r="JLD1061" s="989"/>
      <c r="JLE1061" s="989"/>
      <c r="JLF1061" s="989"/>
      <c r="JLG1061" s="989"/>
      <c r="JLH1061" s="989"/>
      <c r="JLI1061" s="989"/>
      <c r="JLJ1061" s="989"/>
      <c r="JLK1061" s="989"/>
      <c r="JLL1061" s="989"/>
      <c r="JLM1061" s="989"/>
      <c r="JLN1061" s="989"/>
      <c r="JLO1061" s="989"/>
      <c r="JLP1061" s="989"/>
      <c r="JLQ1061" s="989"/>
      <c r="JLR1061" s="989"/>
      <c r="JLS1061" s="989"/>
      <c r="JLT1061" s="989"/>
      <c r="JLU1061" s="989"/>
      <c r="JLV1061" s="989"/>
      <c r="JLW1061" s="989"/>
      <c r="JLX1061" s="989"/>
      <c r="JLY1061" s="989"/>
      <c r="JLZ1061" s="989"/>
      <c r="JMA1061" s="989"/>
      <c r="JMB1061" s="989"/>
      <c r="JMC1061" s="989"/>
      <c r="JMD1061" s="989"/>
      <c r="JME1061" s="989"/>
      <c r="JMF1061" s="989"/>
      <c r="JMG1061" s="989"/>
      <c r="JMH1061" s="989"/>
      <c r="JMI1061" s="989"/>
      <c r="JMJ1061" s="989"/>
      <c r="JMK1061" s="989"/>
      <c r="JML1061" s="989"/>
      <c r="JMM1061" s="989"/>
      <c r="JMN1061" s="989"/>
      <c r="JMO1061" s="989"/>
      <c r="JMP1061" s="989"/>
      <c r="JMQ1061" s="989"/>
      <c r="JMR1061" s="989"/>
      <c r="JMS1061" s="989"/>
      <c r="JMT1061" s="989"/>
      <c r="JMU1061" s="989"/>
      <c r="JMV1061" s="989"/>
      <c r="JMW1061" s="989"/>
      <c r="JMX1061" s="989"/>
      <c r="JMY1061" s="989"/>
      <c r="JMZ1061" s="989"/>
      <c r="JNA1061" s="989"/>
      <c r="JNB1061" s="989"/>
      <c r="JNC1061" s="989"/>
      <c r="JND1061" s="989"/>
      <c r="JNE1061" s="989"/>
      <c r="JNF1061" s="989"/>
      <c r="JNG1061" s="989"/>
      <c r="JNH1061" s="989"/>
      <c r="JNI1061" s="989"/>
      <c r="JNJ1061" s="989"/>
      <c r="JNK1061" s="989"/>
      <c r="JNL1061" s="989"/>
      <c r="JNM1061" s="989"/>
      <c r="JNN1061" s="989"/>
      <c r="JNO1061" s="989"/>
      <c r="JNP1061" s="989"/>
      <c r="JNQ1061" s="989"/>
      <c r="JNR1061" s="989"/>
      <c r="JNS1061" s="989"/>
      <c r="JNT1061" s="989"/>
      <c r="JNU1061" s="989"/>
      <c r="JNV1061" s="989"/>
      <c r="JNW1061" s="989"/>
      <c r="JNX1061" s="989"/>
      <c r="JNY1061" s="989"/>
      <c r="JNZ1061" s="989"/>
      <c r="JOA1061" s="989"/>
      <c r="JOB1061" s="989"/>
      <c r="JOC1061" s="989"/>
      <c r="JOD1061" s="989"/>
      <c r="JOE1061" s="989"/>
      <c r="JOF1061" s="989"/>
      <c r="JOG1061" s="989"/>
      <c r="JOH1061" s="989"/>
      <c r="JOI1061" s="989"/>
      <c r="JOJ1061" s="989"/>
      <c r="JOK1061" s="989"/>
      <c r="JOL1061" s="989"/>
      <c r="JOM1061" s="989"/>
      <c r="JON1061" s="989"/>
      <c r="JOO1061" s="989"/>
      <c r="JOP1061" s="989"/>
      <c r="JOQ1061" s="989"/>
      <c r="JOR1061" s="989"/>
      <c r="JOS1061" s="989"/>
      <c r="JOT1061" s="989"/>
      <c r="JOU1061" s="989"/>
      <c r="JOV1061" s="989"/>
      <c r="JOW1061" s="989"/>
      <c r="JOX1061" s="989"/>
      <c r="JOY1061" s="989"/>
      <c r="JOZ1061" s="989"/>
      <c r="JPA1061" s="989"/>
      <c r="JPB1061" s="989"/>
      <c r="JPC1061" s="989"/>
      <c r="JPD1061" s="989"/>
      <c r="JPE1061" s="989"/>
      <c r="JPF1061" s="989"/>
      <c r="JPG1061" s="989"/>
      <c r="JPH1061" s="989"/>
      <c r="JPI1061" s="989"/>
      <c r="JPJ1061" s="989"/>
      <c r="JPK1061" s="989"/>
      <c r="JPL1061" s="989"/>
      <c r="JPM1061" s="989"/>
      <c r="JPN1061" s="989"/>
      <c r="JPO1061" s="989"/>
      <c r="JPP1061" s="989"/>
      <c r="JPQ1061" s="989"/>
      <c r="JPR1061" s="989"/>
      <c r="JPS1061" s="989"/>
      <c r="JPT1061" s="989"/>
      <c r="JPU1061" s="989"/>
      <c r="JPV1061" s="989"/>
      <c r="JPW1061" s="989"/>
      <c r="JPX1061" s="989"/>
      <c r="JPY1061" s="989"/>
      <c r="JPZ1061" s="989"/>
      <c r="JQA1061" s="989"/>
      <c r="JQB1061" s="989"/>
      <c r="JQC1061" s="989"/>
      <c r="JQD1061" s="989"/>
      <c r="JQE1061" s="989"/>
      <c r="JQF1061" s="989"/>
      <c r="JQG1061" s="989"/>
      <c r="JQH1061" s="989"/>
      <c r="JQI1061" s="989"/>
      <c r="JQJ1061" s="989"/>
      <c r="JQK1061" s="989"/>
      <c r="JQL1061" s="989"/>
      <c r="JQM1061" s="989"/>
      <c r="JQN1061" s="989"/>
      <c r="JQO1061" s="989"/>
      <c r="JQP1061" s="989"/>
      <c r="JQQ1061" s="989"/>
      <c r="JQR1061" s="989"/>
      <c r="JQS1061" s="989"/>
      <c r="JQT1061" s="989"/>
      <c r="JQU1061" s="989"/>
      <c r="JQV1061" s="989"/>
      <c r="JQW1061" s="989"/>
      <c r="JQX1061" s="989"/>
      <c r="JQY1061" s="989"/>
      <c r="JQZ1061" s="989"/>
      <c r="JRA1061" s="989"/>
      <c r="JRB1061" s="989"/>
      <c r="JRC1061" s="989"/>
      <c r="JRD1061" s="989"/>
      <c r="JRE1061" s="989"/>
      <c r="JRF1061" s="989"/>
      <c r="JRG1061" s="989"/>
      <c r="JRH1061" s="989"/>
      <c r="JRI1061" s="989"/>
      <c r="JRJ1061" s="989"/>
      <c r="JRK1061" s="989"/>
      <c r="JRL1061" s="989"/>
      <c r="JRM1061" s="989"/>
      <c r="JRN1061" s="989"/>
      <c r="JRO1061" s="989"/>
      <c r="JRP1061" s="989"/>
      <c r="JRQ1061" s="989"/>
      <c r="JRR1061" s="989"/>
      <c r="JRS1061" s="989"/>
      <c r="JRT1061" s="989"/>
      <c r="JRU1061" s="989"/>
      <c r="JRV1061" s="989"/>
      <c r="JRW1061" s="989"/>
      <c r="JRX1061" s="989"/>
      <c r="JRY1061" s="989"/>
      <c r="JRZ1061" s="989"/>
      <c r="JSA1061" s="989"/>
      <c r="JSB1061" s="989"/>
      <c r="JSC1061" s="989"/>
      <c r="JSD1061" s="989"/>
      <c r="JSE1061" s="989"/>
      <c r="JSF1061" s="989"/>
      <c r="JSG1061" s="989"/>
      <c r="JSH1061" s="989"/>
      <c r="JSI1061" s="989"/>
      <c r="JSJ1061" s="989"/>
      <c r="JSK1061" s="989"/>
      <c r="JSL1061" s="989"/>
      <c r="JSM1061" s="989"/>
      <c r="JSN1061" s="989"/>
      <c r="JSO1061" s="989"/>
      <c r="JSP1061" s="989"/>
      <c r="JSQ1061" s="989"/>
      <c r="JSR1061" s="989"/>
      <c r="JSS1061" s="989"/>
      <c r="JST1061" s="989"/>
      <c r="JSU1061" s="989"/>
      <c r="JSV1061" s="989"/>
      <c r="JSW1061" s="989"/>
      <c r="JSX1061" s="989"/>
      <c r="JSY1061" s="989"/>
      <c r="JSZ1061" s="989"/>
      <c r="JTA1061" s="989"/>
      <c r="JTB1061" s="989"/>
      <c r="JTC1061" s="989"/>
      <c r="JTD1061" s="989"/>
      <c r="JTE1061" s="989"/>
      <c r="JTF1061" s="989"/>
      <c r="JTG1061" s="989"/>
      <c r="JTH1061" s="989"/>
      <c r="JTI1061" s="989"/>
      <c r="JTJ1061" s="989"/>
      <c r="JTK1061" s="989"/>
      <c r="JTL1061" s="989"/>
      <c r="JTM1061" s="989"/>
      <c r="JTN1061" s="989"/>
      <c r="JTO1061" s="989"/>
      <c r="JTP1061" s="989"/>
      <c r="JTQ1061" s="989"/>
      <c r="JTR1061" s="989"/>
      <c r="JTS1061" s="989"/>
      <c r="JTT1061" s="989"/>
      <c r="JTU1061" s="989"/>
      <c r="JTV1061" s="989"/>
      <c r="JTW1061" s="989"/>
      <c r="JTX1061" s="989"/>
      <c r="JTY1061" s="989"/>
      <c r="JTZ1061" s="989"/>
      <c r="JUA1061" s="989"/>
      <c r="JUB1061" s="989"/>
      <c r="JUC1061" s="989"/>
      <c r="JUD1061" s="989"/>
      <c r="JUE1061" s="989"/>
      <c r="JUF1061" s="989"/>
      <c r="JUG1061" s="989"/>
      <c r="JUH1061" s="989"/>
      <c r="JUI1061" s="989"/>
      <c r="JUJ1061" s="989"/>
      <c r="JUK1061" s="989"/>
      <c r="JUL1061" s="989"/>
      <c r="JUM1061" s="989"/>
      <c r="JUN1061" s="989"/>
      <c r="JUO1061" s="989"/>
      <c r="JUP1061" s="989"/>
      <c r="JUQ1061" s="989"/>
      <c r="JUR1061" s="989"/>
      <c r="JUS1061" s="989"/>
      <c r="JUT1061" s="989"/>
      <c r="JUU1061" s="989"/>
      <c r="JUV1061" s="989"/>
      <c r="JUW1061" s="989"/>
      <c r="JUX1061" s="989"/>
      <c r="JUY1061" s="989"/>
      <c r="JUZ1061" s="989"/>
      <c r="JVA1061" s="989"/>
      <c r="JVB1061" s="989"/>
      <c r="JVC1061" s="989"/>
      <c r="JVD1061" s="989"/>
      <c r="JVE1061" s="989"/>
      <c r="JVF1061" s="989"/>
      <c r="JVG1061" s="989"/>
      <c r="JVH1061" s="989"/>
      <c r="JVI1061" s="989"/>
      <c r="JVJ1061" s="989"/>
      <c r="JVK1061" s="989"/>
      <c r="JVL1061" s="989"/>
      <c r="JVM1061" s="989"/>
      <c r="JVN1061" s="989"/>
      <c r="JVO1061" s="989"/>
      <c r="JVP1061" s="989"/>
      <c r="JVQ1061" s="989"/>
      <c r="JVR1061" s="989"/>
      <c r="JVS1061" s="989"/>
      <c r="JVT1061" s="989"/>
      <c r="JVU1061" s="989"/>
      <c r="JVV1061" s="989"/>
      <c r="JVW1061" s="989"/>
      <c r="JVX1061" s="989"/>
      <c r="JVY1061" s="989"/>
      <c r="JVZ1061" s="989"/>
      <c r="JWA1061" s="989"/>
      <c r="JWB1061" s="989"/>
      <c r="JWC1061" s="989"/>
      <c r="JWD1061" s="989"/>
      <c r="JWE1061" s="989"/>
      <c r="JWF1061" s="989"/>
      <c r="JWG1061" s="989"/>
      <c r="JWH1061" s="989"/>
      <c r="JWI1061" s="989"/>
      <c r="JWJ1061" s="989"/>
      <c r="JWK1061" s="989"/>
      <c r="JWL1061" s="989"/>
      <c r="JWM1061" s="989"/>
      <c r="JWN1061" s="989"/>
      <c r="JWO1061" s="989"/>
      <c r="JWP1061" s="989"/>
      <c r="JWQ1061" s="989"/>
      <c r="JWR1061" s="989"/>
      <c r="JWS1061" s="989"/>
      <c r="JWT1061" s="989"/>
      <c r="JWU1061" s="989"/>
      <c r="JWV1061" s="989"/>
      <c r="JWW1061" s="989"/>
      <c r="JWX1061" s="989"/>
      <c r="JWY1061" s="989"/>
      <c r="JWZ1061" s="989"/>
      <c r="JXA1061" s="989"/>
      <c r="JXB1061" s="989"/>
      <c r="JXC1061" s="989"/>
      <c r="JXD1061" s="989"/>
      <c r="JXE1061" s="989"/>
      <c r="JXF1061" s="989"/>
      <c r="JXG1061" s="989"/>
      <c r="JXH1061" s="989"/>
      <c r="JXI1061" s="989"/>
      <c r="JXJ1061" s="989"/>
      <c r="JXK1061" s="989"/>
      <c r="JXL1061" s="989"/>
      <c r="JXM1061" s="989"/>
      <c r="JXN1061" s="989"/>
      <c r="JXO1061" s="989"/>
      <c r="JXP1061" s="989"/>
      <c r="JXQ1061" s="989"/>
      <c r="JXR1061" s="989"/>
      <c r="JXS1061" s="989"/>
      <c r="JXT1061" s="989"/>
      <c r="JXU1061" s="989"/>
      <c r="JXV1061" s="989"/>
      <c r="JXW1061" s="989"/>
      <c r="JXX1061" s="989"/>
      <c r="JXY1061" s="989"/>
      <c r="JXZ1061" s="989"/>
      <c r="JYA1061" s="989"/>
      <c r="JYB1061" s="989"/>
      <c r="JYC1061" s="989"/>
      <c r="JYD1061" s="989"/>
      <c r="JYE1061" s="989"/>
      <c r="JYF1061" s="989"/>
      <c r="JYG1061" s="989"/>
      <c r="JYH1061" s="989"/>
      <c r="JYI1061" s="989"/>
      <c r="JYJ1061" s="989"/>
      <c r="JYK1061" s="989"/>
      <c r="JYL1061" s="989"/>
      <c r="JYM1061" s="989"/>
      <c r="JYN1061" s="989"/>
      <c r="JYO1061" s="989"/>
      <c r="JYP1061" s="989"/>
      <c r="JYQ1061" s="989"/>
      <c r="JYR1061" s="989"/>
      <c r="JYS1061" s="989"/>
      <c r="JYT1061" s="989"/>
      <c r="JYU1061" s="989"/>
      <c r="JYV1061" s="989"/>
      <c r="JYW1061" s="989"/>
      <c r="JYX1061" s="989"/>
      <c r="JYY1061" s="989"/>
      <c r="JYZ1061" s="989"/>
      <c r="JZA1061" s="989"/>
      <c r="JZB1061" s="989"/>
      <c r="JZC1061" s="989"/>
      <c r="JZD1061" s="989"/>
      <c r="JZE1061" s="989"/>
      <c r="JZF1061" s="989"/>
      <c r="JZG1061" s="989"/>
      <c r="JZH1061" s="989"/>
      <c r="JZI1061" s="989"/>
      <c r="JZJ1061" s="989"/>
      <c r="JZK1061" s="989"/>
      <c r="JZL1061" s="989"/>
      <c r="JZM1061" s="989"/>
      <c r="JZN1061" s="989"/>
      <c r="JZO1061" s="989"/>
      <c r="JZP1061" s="989"/>
      <c r="JZQ1061" s="989"/>
      <c r="JZR1061" s="989"/>
      <c r="JZS1061" s="989"/>
      <c r="JZT1061" s="989"/>
      <c r="JZU1061" s="989"/>
      <c r="JZV1061" s="989"/>
      <c r="JZW1061" s="989"/>
      <c r="JZX1061" s="989"/>
      <c r="JZY1061" s="989"/>
      <c r="JZZ1061" s="989"/>
      <c r="KAA1061" s="989"/>
      <c r="KAB1061" s="989"/>
      <c r="KAC1061" s="989"/>
      <c r="KAD1061" s="989"/>
      <c r="KAE1061" s="989"/>
      <c r="KAF1061" s="989"/>
      <c r="KAG1061" s="989"/>
      <c r="KAH1061" s="989"/>
      <c r="KAI1061" s="989"/>
      <c r="KAJ1061" s="989"/>
      <c r="KAK1061" s="989"/>
      <c r="KAL1061" s="989"/>
      <c r="KAM1061" s="989"/>
      <c r="KAN1061" s="989"/>
      <c r="KAO1061" s="989"/>
      <c r="KAP1061" s="989"/>
      <c r="KAQ1061" s="989"/>
      <c r="KAR1061" s="989"/>
      <c r="KAS1061" s="989"/>
      <c r="KAT1061" s="989"/>
      <c r="KAU1061" s="989"/>
      <c r="KAV1061" s="989"/>
      <c r="KAW1061" s="989"/>
      <c r="KAX1061" s="989"/>
      <c r="KAY1061" s="989"/>
      <c r="KAZ1061" s="989"/>
      <c r="KBA1061" s="989"/>
      <c r="KBB1061" s="989"/>
      <c r="KBC1061" s="989"/>
      <c r="KBD1061" s="989"/>
      <c r="KBE1061" s="989"/>
      <c r="KBF1061" s="989"/>
      <c r="KBG1061" s="989"/>
      <c r="KBH1061" s="989"/>
      <c r="KBI1061" s="989"/>
      <c r="KBJ1061" s="989"/>
      <c r="KBK1061" s="989"/>
      <c r="KBL1061" s="989"/>
      <c r="KBM1061" s="989"/>
      <c r="KBN1061" s="989"/>
      <c r="KBO1061" s="989"/>
      <c r="KBP1061" s="989"/>
      <c r="KBQ1061" s="989"/>
      <c r="KBR1061" s="989"/>
      <c r="KBS1061" s="989"/>
      <c r="KBT1061" s="989"/>
      <c r="KBU1061" s="989"/>
      <c r="KBV1061" s="989"/>
      <c r="KBW1061" s="989"/>
      <c r="KBX1061" s="989"/>
      <c r="KBY1061" s="989"/>
      <c r="KBZ1061" s="989"/>
      <c r="KCA1061" s="989"/>
      <c r="KCB1061" s="989"/>
      <c r="KCC1061" s="989"/>
      <c r="KCD1061" s="989"/>
      <c r="KCE1061" s="989"/>
      <c r="KCF1061" s="989"/>
      <c r="KCG1061" s="989"/>
      <c r="KCH1061" s="989"/>
      <c r="KCI1061" s="989"/>
      <c r="KCJ1061" s="989"/>
      <c r="KCK1061" s="989"/>
      <c r="KCL1061" s="989"/>
      <c r="KCM1061" s="989"/>
      <c r="KCN1061" s="989"/>
      <c r="KCO1061" s="989"/>
      <c r="KCP1061" s="989"/>
      <c r="KCQ1061" s="989"/>
      <c r="KCR1061" s="989"/>
      <c r="KCS1061" s="989"/>
      <c r="KCT1061" s="989"/>
      <c r="KCU1061" s="989"/>
      <c r="KCV1061" s="989"/>
      <c r="KCW1061" s="989"/>
      <c r="KCX1061" s="989"/>
      <c r="KCY1061" s="989"/>
      <c r="KCZ1061" s="989"/>
      <c r="KDA1061" s="989"/>
      <c r="KDB1061" s="989"/>
      <c r="KDC1061" s="989"/>
      <c r="KDD1061" s="989"/>
      <c r="KDE1061" s="989"/>
      <c r="KDF1061" s="989"/>
      <c r="KDG1061" s="989"/>
      <c r="KDH1061" s="989"/>
      <c r="KDI1061" s="989"/>
      <c r="KDJ1061" s="989"/>
      <c r="KDK1061" s="989"/>
      <c r="KDL1061" s="989"/>
      <c r="KDM1061" s="989"/>
      <c r="KDN1061" s="989"/>
      <c r="KDO1061" s="989"/>
      <c r="KDP1061" s="989"/>
      <c r="KDQ1061" s="989"/>
      <c r="KDR1061" s="989"/>
      <c r="KDS1061" s="989"/>
      <c r="KDT1061" s="989"/>
      <c r="KDU1061" s="989"/>
      <c r="KDV1061" s="989"/>
      <c r="KDW1061" s="989"/>
      <c r="KDX1061" s="989"/>
      <c r="KDY1061" s="989"/>
      <c r="KDZ1061" s="989"/>
      <c r="KEA1061" s="989"/>
      <c r="KEB1061" s="989"/>
      <c r="KEC1061" s="989"/>
      <c r="KED1061" s="989"/>
      <c r="KEE1061" s="989"/>
      <c r="KEF1061" s="989"/>
      <c r="KEG1061" s="989"/>
      <c r="KEH1061" s="989"/>
      <c r="KEI1061" s="989"/>
      <c r="KEJ1061" s="989"/>
      <c r="KEK1061" s="989"/>
      <c r="KEL1061" s="989"/>
      <c r="KEM1061" s="989"/>
      <c r="KEN1061" s="989"/>
      <c r="KEO1061" s="989"/>
      <c r="KEP1061" s="989"/>
      <c r="KEQ1061" s="989"/>
      <c r="KER1061" s="989"/>
      <c r="KES1061" s="989"/>
      <c r="KET1061" s="989"/>
      <c r="KEU1061" s="989"/>
      <c r="KEV1061" s="989"/>
      <c r="KEW1061" s="989"/>
      <c r="KEX1061" s="989"/>
      <c r="KEY1061" s="989"/>
      <c r="KEZ1061" s="989"/>
      <c r="KFA1061" s="989"/>
      <c r="KFB1061" s="989"/>
      <c r="KFC1061" s="989"/>
      <c r="KFD1061" s="989"/>
      <c r="KFE1061" s="989"/>
      <c r="KFF1061" s="989"/>
      <c r="KFG1061" s="989"/>
      <c r="KFH1061" s="989"/>
      <c r="KFI1061" s="989"/>
      <c r="KFJ1061" s="989"/>
      <c r="KFK1061" s="989"/>
      <c r="KFL1061" s="989"/>
      <c r="KFM1061" s="989"/>
      <c r="KFN1061" s="989"/>
      <c r="KFO1061" s="989"/>
      <c r="KFP1061" s="989"/>
      <c r="KFQ1061" s="989"/>
      <c r="KFR1061" s="989"/>
      <c r="KFS1061" s="989"/>
      <c r="KFT1061" s="989"/>
      <c r="KFU1061" s="989"/>
      <c r="KFV1061" s="989"/>
      <c r="KFW1061" s="989"/>
      <c r="KFX1061" s="989"/>
      <c r="KFY1061" s="989"/>
      <c r="KFZ1061" s="989"/>
      <c r="KGA1061" s="989"/>
      <c r="KGB1061" s="989"/>
      <c r="KGC1061" s="989"/>
      <c r="KGD1061" s="989"/>
      <c r="KGE1061" s="989"/>
      <c r="KGF1061" s="989"/>
      <c r="KGG1061" s="989"/>
      <c r="KGH1061" s="989"/>
      <c r="KGI1061" s="989"/>
      <c r="KGJ1061" s="989"/>
      <c r="KGK1061" s="989"/>
      <c r="KGL1061" s="989"/>
      <c r="KGM1061" s="989"/>
      <c r="KGN1061" s="989"/>
      <c r="KGO1061" s="989"/>
      <c r="KGP1061" s="989"/>
      <c r="KGQ1061" s="989"/>
      <c r="KGR1061" s="989"/>
      <c r="KGS1061" s="989"/>
      <c r="KGT1061" s="989"/>
      <c r="KGU1061" s="989"/>
      <c r="KGV1061" s="989"/>
      <c r="KGW1061" s="989"/>
      <c r="KGX1061" s="989"/>
      <c r="KGY1061" s="989"/>
      <c r="KGZ1061" s="989"/>
      <c r="KHA1061" s="989"/>
      <c r="KHB1061" s="989"/>
      <c r="KHC1061" s="989"/>
      <c r="KHD1061" s="989"/>
      <c r="KHE1061" s="989"/>
      <c r="KHF1061" s="989"/>
      <c r="KHG1061" s="989"/>
      <c r="KHH1061" s="989"/>
      <c r="KHI1061" s="989"/>
      <c r="KHJ1061" s="989"/>
      <c r="KHK1061" s="989"/>
      <c r="KHL1061" s="989"/>
      <c r="KHM1061" s="989"/>
      <c r="KHN1061" s="989"/>
      <c r="KHO1061" s="989"/>
      <c r="KHP1061" s="989"/>
      <c r="KHQ1061" s="989"/>
      <c r="KHR1061" s="989"/>
      <c r="KHS1061" s="989"/>
      <c r="KHT1061" s="989"/>
      <c r="KHU1061" s="989"/>
      <c r="KHV1061" s="989"/>
      <c r="KHW1061" s="989"/>
      <c r="KHX1061" s="989"/>
      <c r="KHY1061" s="989"/>
      <c r="KHZ1061" s="989"/>
      <c r="KIA1061" s="989"/>
      <c r="KIB1061" s="989"/>
      <c r="KIC1061" s="989"/>
      <c r="KID1061" s="989"/>
      <c r="KIE1061" s="989"/>
      <c r="KIF1061" s="989"/>
      <c r="KIG1061" s="989"/>
      <c r="KIH1061" s="989"/>
      <c r="KII1061" s="989"/>
      <c r="KIJ1061" s="989"/>
      <c r="KIK1061" s="989"/>
      <c r="KIL1061" s="989"/>
      <c r="KIM1061" s="989"/>
      <c r="KIN1061" s="989"/>
      <c r="KIO1061" s="989"/>
      <c r="KIP1061" s="989"/>
      <c r="KIQ1061" s="989"/>
      <c r="KIR1061" s="989"/>
      <c r="KIS1061" s="989"/>
      <c r="KIT1061" s="989"/>
      <c r="KIU1061" s="989"/>
      <c r="KIV1061" s="989"/>
      <c r="KIW1061" s="989"/>
      <c r="KIX1061" s="989"/>
      <c r="KIY1061" s="989"/>
      <c r="KIZ1061" s="989"/>
      <c r="KJA1061" s="989"/>
      <c r="KJB1061" s="989"/>
      <c r="KJC1061" s="989"/>
      <c r="KJD1061" s="989"/>
      <c r="KJE1061" s="989"/>
      <c r="KJF1061" s="989"/>
      <c r="KJG1061" s="989"/>
      <c r="KJH1061" s="989"/>
      <c r="KJI1061" s="989"/>
      <c r="KJJ1061" s="989"/>
      <c r="KJK1061" s="989"/>
      <c r="KJL1061" s="989"/>
      <c r="KJM1061" s="989"/>
      <c r="KJN1061" s="989"/>
      <c r="KJO1061" s="989"/>
      <c r="KJP1061" s="989"/>
      <c r="KJQ1061" s="989"/>
      <c r="KJR1061" s="989"/>
      <c r="KJS1061" s="989"/>
      <c r="KJT1061" s="989"/>
      <c r="KJU1061" s="989"/>
      <c r="KJV1061" s="989"/>
      <c r="KJW1061" s="989"/>
      <c r="KJX1061" s="989"/>
      <c r="KJY1061" s="989"/>
      <c r="KJZ1061" s="989"/>
      <c r="KKA1061" s="989"/>
      <c r="KKB1061" s="989"/>
      <c r="KKC1061" s="989"/>
      <c r="KKD1061" s="989"/>
      <c r="KKE1061" s="989"/>
      <c r="KKF1061" s="989"/>
      <c r="KKG1061" s="989"/>
      <c r="KKH1061" s="989"/>
      <c r="KKI1061" s="989"/>
      <c r="KKJ1061" s="989"/>
      <c r="KKK1061" s="989"/>
      <c r="KKL1061" s="989"/>
      <c r="KKM1061" s="989"/>
      <c r="KKN1061" s="989"/>
      <c r="KKO1061" s="989"/>
      <c r="KKP1061" s="989"/>
      <c r="KKQ1061" s="989"/>
      <c r="KKR1061" s="989"/>
      <c r="KKS1061" s="989"/>
      <c r="KKT1061" s="989"/>
      <c r="KKU1061" s="989"/>
      <c r="KKV1061" s="989"/>
      <c r="KKW1061" s="989"/>
      <c r="KKX1061" s="989"/>
      <c r="KKY1061" s="989"/>
      <c r="KKZ1061" s="989"/>
      <c r="KLA1061" s="989"/>
      <c r="KLB1061" s="989"/>
      <c r="KLC1061" s="989"/>
      <c r="KLD1061" s="989"/>
      <c r="KLE1061" s="989"/>
      <c r="KLF1061" s="989"/>
      <c r="KLG1061" s="989"/>
      <c r="KLH1061" s="989"/>
      <c r="KLI1061" s="989"/>
      <c r="KLJ1061" s="989"/>
      <c r="KLK1061" s="989"/>
      <c r="KLL1061" s="989"/>
      <c r="KLM1061" s="989"/>
      <c r="KLN1061" s="989"/>
      <c r="KLO1061" s="989"/>
      <c r="KLP1061" s="989"/>
      <c r="KLQ1061" s="989"/>
      <c r="KLR1061" s="989"/>
      <c r="KLS1061" s="989"/>
      <c r="KLT1061" s="989"/>
      <c r="KLU1061" s="989"/>
      <c r="KLV1061" s="989"/>
      <c r="KLW1061" s="989"/>
      <c r="KLX1061" s="989"/>
      <c r="KLY1061" s="989"/>
      <c r="KLZ1061" s="989"/>
      <c r="KMA1061" s="989"/>
      <c r="KMB1061" s="989"/>
      <c r="KMC1061" s="989"/>
      <c r="KMD1061" s="989"/>
      <c r="KME1061" s="989"/>
      <c r="KMF1061" s="989"/>
      <c r="KMG1061" s="989"/>
      <c r="KMH1061" s="989"/>
      <c r="KMI1061" s="989"/>
      <c r="KMJ1061" s="989"/>
      <c r="KMK1061" s="989"/>
      <c r="KML1061" s="989"/>
      <c r="KMM1061" s="989"/>
      <c r="KMN1061" s="989"/>
      <c r="KMO1061" s="989"/>
      <c r="KMP1061" s="989"/>
      <c r="KMQ1061" s="989"/>
      <c r="KMR1061" s="989"/>
      <c r="KMS1061" s="989"/>
      <c r="KMT1061" s="989"/>
      <c r="KMU1061" s="989"/>
      <c r="KMV1061" s="989"/>
      <c r="KMW1061" s="989"/>
      <c r="KMX1061" s="989"/>
      <c r="KMY1061" s="989"/>
      <c r="KMZ1061" s="989"/>
      <c r="KNA1061" s="989"/>
      <c r="KNB1061" s="989"/>
      <c r="KNC1061" s="989"/>
      <c r="KND1061" s="989"/>
      <c r="KNE1061" s="989"/>
      <c r="KNF1061" s="989"/>
      <c r="KNG1061" s="989"/>
      <c r="KNH1061" s="989"/>
      <c r="KNI1061" s="989"/>
      <c r="KNJ1061" s="989"/>
      <c r="KNK1061" s="989"/>
      <c r="KNL1061" s="989"/>
      <c r="KNM1061" s="989"/>
      <c r="KNN1061" s="989"/>
      <c r="KNO1061" s="989"/>
      <c r="KNP1061" s="989"/>
      <c r="KNQ1061" s="989"/>
      <c r="KNR1061" s="989"/>
      <c r="KNS1061" s="989"/>
      <c r="KNT1061" s="989"/>
      <c r="KNU1061" s="989"/>
      <c r="KNV1061" s="989"/>
      <c r="KNW1061" s="989"/>
      <c r="KNX1061" s="989"/>
      <c r="KNY1061" s="989"/>
      <c r="KNZ1061" s="989"/>
      <c r="KOA1061" s="989"/>
      <c r="KOB1061" s="989"/>
      <c r="KOC1061" s="989"/>
      <c r="KOD1061" s="989"/>
      <c r="KOE1061" s="989"/>
      <c r="KOF1061" s="989"/>
      <c r="KOG1061" s="989"/>
      <c r="KOH1061" s="989"/>
      <c r="KOI1061" s="989"/>
      <c r="KOJ1061" s="989"/>
      <c r="KOK1061" s="989"/>
      <c r="KOL1061" s="989"/>
      <c r="KOM1061" s="989"/>
      <c r="KON1061" s="989"/>
      <c r="KOO1061" s="989"/>
      <c r="KOP1061" s="989"/>
      <c r="KOQ1061" s="989"/>
      <c r="KOR1061" s="989"/>
      <c r="KOS1061" s="989"/>
      <c r="KOT1061" s="989"/>
      <c r="KOU1061" s="989"/>
      <c r="KOV1061" s="989"/>
      <c r="KOW1061" s="989"/>
      <c r="KOX1061" s="989"/>
      <c r="KOY1061" s="989"/>
      <c r="KOZ1061" s="989"/>
      <c r="KPA1061" s="989"/>
      <c r="KPB1061" s="989"/>
      <c r="KPC1061" s="989"/>
      <c r="KPD1061" s="989"/>
      <c r="KPE1061" s="989"/>
      <c r="KPF1061" s="989"/>
      <c r="KPG1061" s="989"/>
      <c r="KPH1061" s="989"/>
      <c r="KPI1061" s="989"/>
      <c r="KPJ1061" s="989"/>
      <c r="KPK1061" s="989"/>
      <c r="KPL1061" s="989"/>
      <c r="KPM1061" s="989"/>
      <c r="KPN1061" s="989"/>
      <c r="KPO1061" s="989"/>
      <c r="KPP1061" s="989"/>
      <c r="KPQ1061" s="989"/>
      <c r="KPR1061" s="989"/>
      <c r="KPS1061" s="989"/>
      <c r="KPT1061" s="989"/>
      <c r="KPU1061" s="989"/>
      <c r="KPV1061" s="989"/>
      <c r="KPW1061" s="989"/>
      <c r="KPX1061" s="989"/>
      <c r="KPY1061" s="989"/>
      <c r="KPZ1061" s="989"/>
      <c r="KQA1061" s="989"/>
      <c r="KQB1061" s="989"/>
      <c r="KQC1061" s="989"/>
      <c r="KQD1061" s="989"/>
      <c r="KQE1061" s="989"/>
      <c r="KQF1061" s="989"/>
      <c r="KQG1061" s="989"/>
      <c r="KQH1061" s="989"/>
      <c r="KQI1061" s="989"/>
      <c r="KQJ1061" s="989"/>
      <c r="KQK1061" s="989"/>
      <c r="KQL1061" s="989"/>
      <c r="KQM1061" s="989"/>
      <c r="KQN1061" s="989"/>
      <c r="KQO1061" s="989"/>
      <c r="KQP1061" s="989"/>
      <c r="KQQ1061" s="989"/>
      <c r="KQR1061" s="989"/>
      <c r="KQS1061" s="989"/>
      <c r="KQT1061" s="989"/>
      <c r="KQU1061" s="989"/>
      <c r="KQV1061" s="989"/>
      <c r="KQW1061" s="989"/>
      <c r="KQX1061" s="989"/>
      <c r="KQY1061" s="989"/>
      <c r="KQZ1061" s="989"/>
      <c r="KRA1061" s="989"/>
      <c r="KRB1061" s="989"/>
      <c r="KRC1061" s="989"/>
      <c r="KRD1061" s="989"/>
      <c r="KRE1061" s="989"/>
      <c r="KRF1061" s="989"/>
      <c r="KRG1061" s="989"/>
      <c r="KRH1061" s="989"/>
      <c r="KRI1061" s="989"/>
      <c r="KRJ1061" s="989"/>
      <c r="KRK1061" s="989"/>
      <c r="KRL1061" s="989"/>
      <c r="KRM1061" s="989"/>
      <c r="KRN1061" s="989"/>
      <c r="KRO1061" s="989"/>
      <c r="KRP1061" s="989"/>
      <c r="KRQ1061" s="989"/>
      <c r="KRR1061" s="989"/>
      <c r="KRS1061" s="989"/>
      <c r="KRT1061" s="989"/>
      <c r="KRU1061" s="989"/>
      <c r="KRV1061" s="989"/>
      <c r="KRW1061" s="989"/>
      <c r="KRX1061" s="989"/>
      <c r="KRY1061" s="989"/>
      <c r="KRZ1061" s="989"/>
      <c r="KSA1061" s="989"/>
      <c r="KSB1061" s="989"/>
      <c r="KSC1061" s="989"/>
      <c r="KSD1061" s="989"/>
      <c r="KSE1061" s="989"/>
      <c r="KSF1061" s="989"/>
      <c r="KSG1061" s="989"/>
      <c r="KSH1061" s="989"/>
      <c r="KSI1061" s="989"/>
      <c r="KSJ1061" s="989"/>
      <c r="KSK1061" s="989"/>
      <c r="KSL1061" s="989"/>
      <c r="KSM1061" s="989"/>
      <c r="KSN1061" s="989"/>
      <c r="KSO1061" s="989"/>
      <c r="KSP1061" s="989"/>
      <c r="KSQ1061" s="989"/>
      <c r="KSR1061" s="989"/>
      <c r="KSS1061" s="989"/>
      <c r="KST1061" s="989"/>
      <c r="KSU1061" s="989"/>
      <c r="KSV1061" s="989"/>
      <c r="KSW1061" s="989"/>
      <c r="KSX1061" s="989"/>
      <c r="KSY1061" s="989"/>
      <c r="KSZ1061" s="989"/>
      <c r="KTA1061" s="989"/>
      <c r="KTB1061" s="989"/>
      <c r="KTC1061" s="989"/>
      <c r="KTD1061" s="989"/>
      <c r="KTE1061" s="989"/>
      <c r="KTF1061" s="989"/>
      <c r="KTG1061" s="989"/>
      <c r="KTH1061" s="989"/>
      <c r="KTI1061" s="989"/>
      <c r="KTJ1061" s="989"/>
      <c r="KTK1061" s="989"/>
      <c r="KTL1061" s="989"/>
      <c r="KTM1061" s="989"/>
      <c r="KTN1061" s="989"/>
      <c r="KTO1061" s="989"/>
      <c r="KTP1061" s="989"/>
      <c r="KTQ1061" s="989"/>
      <c r="KTR1061" s="989"/>
      <c r="KTS1061" s="989"/>
      <c r="KTT1061" s="989"/>
      <c r="KTU1061" s="989"/>
      <c r="KTV1061" s="989"/>
      <c r="KTW1061" s="989"/>
      <c r="KTX1061" s="989"/>
      <c r="KTY1061" s="989"/>
      <c r="KTZ1061" s="989"/>
      <c r="KUA1061" s="989"/>
      <c r="KUB1061" s="989"/>
      <c r="KUC1061" s="989"/>
      <c r="KUD1061" s="989"/>
      <c r="KUE1061" s="989"/>
      <c r="KUF1061" s="989"/>
      <c r="KUG1061" s="989"/>
      <c r="KUH1061" s="989"/>
      <c r="KUI1061" s="989"/>
      <c r="KUJ1061" s="989"/>
      <c r="KUK1061" s="989"/>
      <c r="KUL1061" s="989"/>
      <c r="KUM1061" s="989"/>
      <c r="KUN1061" s="989"/>
      <c r="KUO1061" s="989"/>
      <c r="KUP1061" s="989"/>
      <c r="KUQ1061" s="989"/>
      <c r="KUR1061" s="989"/>
      <c r="KUS1061" s="989"/>
      <c r="KUT1061" s="989"/>
      <c r="KUU1061" s="989"/>
      <c r="KUV1061" s="989"/>
      <c r="KUW1061" s="989"/>
      <c r="KUX1061" s="989"/>
      <c r="KUY1061" s="989"/>
      <c r="KUZ1061" s="989"/>
      <c r="KVA1061" s="989"/>
      <c r="KVB1061" s="989"/>
      <c r="KVC1061" s="989"/>
      <c r="KVD1061" s="989"/>
      <c r="KVE1061" s="989"/>
      <c r="KVF1061" s="989"/>
      <c r="KVG1061" s="989"/>
      <c r="KVH1061" s="989"/>
      <c r="KVI1061" s="989"/>
      <c r="KVJ1061" s="989"/>
      <c r="KVK1061" s="989"/>
      <c r="KVL1061" s="989"/>
      <c r="KVM1061" s="989"/>
      <c r="KVN1061" s="989"/>
      <c r="KVO1061" s="989"/>
      <c r="KVP1061" s="989"/>
      <c r="KVQ1061" s="989"/>
      <c r="KVR1061" s="989"/>
      <c r="KVS1061" s="989"/>
      <c r="KVT1061" s="989"/>
      <c r="KVU1061" s="989"/>
      <c r="KVV1061" s="989"/>
      <c r="KVW1061" s="989"/>
      <c r="KVX1061" s="989"/>
      <c r="KVY1061" s="989"/>
      <c r="KVZ1061" s="989"/>
      <c r="KWA1061" s="989"/>
      <c r="KWB1061" s="989"/>
      <c r="KWC1061" s="989"/>
      <c r="KWD1061" s="989"/>
      <c r="KWE1061" s="989"/>
      <c r="KWF1061" s="989"/>
      <c r="KWG1061" s="989"/>
      <c r="KWH1061" s="989"/>
      <c r="KWI1061" s="989"/>
      <c r="KWJ1061" s="989"/>
      <c r="KWK1061" s="989"/>
      <c r="KWL1061" s="989"/>
      <c r="KWM1061" s="989"/>
      <c r="KWN1061" s="989"/>
      <c r="KWO1061" s="989"/>
      <c r="KWP1061" s="989"/>
      <c r="KWQ1061" s="989"/>
      <c r="KWR1061" s="989"/>
      <c r="KWS1061" s="989"/>
      <c r="KWT1061" s="989"/>
      <c r="KWU1061" s="989"/>
      <c r="KWV1061" s="989"/>
      <c r="KWW1061" s="989"/>
      <c r="KWX1061" s="989"/>
      <c r="KWY1061" s="989"/>
      <c r="KWZ1061" s="989"/>
      <c r="KXA1061" s="989"/>
      <c r="KXB1061" s="989"/>
      <c r="KXC1061" s="989"/>
      <c r="KXD1061" s="989"/>
      <c r="KXE1061" s="989"/>
      <c r="KXF1061" s="989"/>
      <c r="KXG1061" s="989"/>
      <c r="KXH1061" s="989"/>
      <c r="KXI1061" s="989"/>
      <c r="KXJ1061" s="989"/>
      <c r="KXK1061" s="989"/>
      <c r="KXL1061" s="989"/>
      <c r="KXM1061" s="989"/>
      <c r="KXN1061" s="989"/>
      <c r="KXO1061" s="989"/>
      <c r="KXP1061" s="989"/>
      <c r="KXQ1061" s="989"/>
      <c r="KXR1061" s="989"/>
      <c r="KXS1061" s="989"/>
      <c r="KXT1061" s="989"/>
      <c r="KXU1061" s="989"/>
      <c r="KXV1061" s="989"/>
      <c r="KXW1061" s="989"/>
      <c r="KXX1061" s="989"/>
      <c r="KXY1061" s="989"/>
      <c r="KXZ1061" s="989"/>
      <c r="KYA1061" s="989"/>
      <c r="KYB1061" s="989"/>
      <c r="KYC1061" s="989"/>
      <c r="KYD1061" s="989"/>
      <c r="KYE1061" s="989"/>
      <c r="KYF1061" s="989"/>
      <c r="KYG1061" s="989"/>
      <c r="KYH1061" s="989"/>
      <c r="KYI1061" s="989"/>
      <c r="KYJ1061" s="989"/>
      <c r="KYK1061" s="989"/>
      <c r="KYL1061" s="989"/>
      <c r="KYM1061" s="989"/>
      <c r="KYN1061" s="989"/>
      <c r="KYO1061" s="989"/>
      <c r="KYP1061" s="989"/>
      <c r="KYQ1061" s="989"/>
      <c r="KYR1061" s="989"/>
      <c r="KYS1061" s="989"/>
      <c r="KYT1061" s="989"/>
      <c r="KYU1061" s="989"/>
      <c r="KYV1061" s="989"/>
      <c r="KYW1061" s="989"/>
      <c r="KYX1061" s="989"/>
      <c r="KYY1061" s="989"/>
      <c r="KYZ1061" s="989"/>
      <c r="KZA1061" s="989"/>
      <c r="KZB1061" s="989"/>
      <c r="KZC1061" s="989"/>
      <c r="KZD1061" s="989"/>
      <c r="KZE1061" s="989"/>
      <c r="KZF1061" s="989"/>
      <c r="KZG1061" s="989"/>
      <c r="KZH1061" s="989"/>
      <c r="KZI1061" s="989"/>
      <c r="KZJ1061" s="989"/>
      <c r="KZK1061" s="989"/>
      <c r="KZL1061" s="989"/>
      <c r="KZM1061" s="989"/>
      <c r="KZN1061" s="989"/>
      <c r="KZO1061" s="989"/>
      <c r="KZP1061" s="989"/>
      <c r="KZQ1061" s="989"/>
      <c r="KZR1061" s="989"/>
      <c r="KZS1061" s="989"/>
      <c r="KZT1061" s="989"/>
      <c r="KZU1061" s="989"/>
      <c r="KZV1061" s="989"/>
      <c r="KZW1061" s="989"/>
      <c r="KZX1061" s="989"/>
      <c r="KZY1061" s="989"/>
      <c r="KZZ1061" s="989"/>
      <c r="LAA1061" s="989"/>
      <c r="LAB1061" s="989"/>
      <c r="LAC1061" s="989"/>
      <c r="LAD1061" s="989"/>
      <c r="LAE1061" s="989"/>
      <c r="LAF1061" s="989"/>
      <c r="LAG1061" s="989"/>
      <c r="LAH1061" s="989"/>
      <c r="LAI1061" s="989"/>
      <c r="LAJ1061" s="989"/>
      <c r="LAK1061" s="989"/>
      <c r="LAL1061" s="989"/>
      <c r="LAM1061" s="989"/>
      <c r="LAN1061" s="989"/>
      <c r="LAO1061" s="989"/>
      <c r="LAP1061" s="989"/>
      <c r="LAQ1061" s="989"/>
      <c r="LAR1061" s="989"/>
      <c r="LAS1061" s="989"/>
      <c r="LAT1061" s="989"/>
      <c r="LAU1061" s="989"/>
      <c r="LAV1061" s="989"/>
      <c r="LAW1061" s="989"/>
      <c r="LAX1061" s="989"/>
      <c r="LAY1061" s="989"/>
      <c r="LAZ1061" s="989"/>
      <c r="LBA1061" s="989"/>
      <c r="LBB1061" s="989"/>
      <c r="LBC1061" s="989"/>
      <c r="LBD1061" s="989"/>
      <c r="LBE1061" s="989"/>
      <c r="LBF1061" s="989"/>
      <c r="LBG1061" s="989"/>
      <c r="LBH1061" s="989"/>
      <c r="LBI1061" s="989"/>
      <c r="LBJ1061" s="989"/>
      <c r="LBK1061" s="989"/>
      <c r="LBL1061" s="989"/>
      <c r="LBM1061" s="989"/>
      <c r="LBN1061" s="989"/>
      <c r="LBO1061" s="989"/>
      <c r="LBP1061" s="989"/>
      <c r="LBQ1061" s="989"/>
      <c r="LBR1061" s="989"/>
      <c r="LBS1061" s="989"/>
      <c r="LBT1061" s="989"/>
      <c r="LBU1061" s="989"/>
      <c r="LBV1061" s="989"/>
      <c r="LBW1061" s="989"/>
      <c r="LBX1061" s="989"/>
      <c r="LBY1061" s="989"/>
      <c r="LBZ1061" s="989"/>
      <c r="LCA1061" s="989"/>
      <c r="LCB1061" s="989"/>
      <c r="LCC1061" s="989"/>
      <c r="LCD1061" s="989"/>
      <c r="LCE1061" s="989"/>
      <c r="LCF1061" s="989"/>
      <c r="LCG1061" s="989"/>
      <c r="LCH1061" s="989"/>
      <c r="LCI1061" s="989"/>
      <c r="LCJ1061" s="989"/>
      <c r="LCK1061" s="989"/>
      <c r="LCL1061" s="989"/>
      <c r="LCM1061" s="989"/>
      <c r="LCN1061" s="989"/>
      <c r="LCO1061" s="989"/>
      <c r="LCP1061" s="989"/>
      <c r="LCQ1061" s="989"/>
      <c r="LCR1061" s="989"/>
      <c r="LCS1061" s="989"/>
      <c r="LCT1061" s="989"/>
      <c r="LCU1061" s="989"/>
      <c r="LCV1061" s="989"/>
      <c r="LCW1061" s="989"/>
      <c r="LCX1061" s="989"/>
      <c r="LCY1061" s="989"/>
      <c r="LCZ1061" s="989"/>
      <c r="LDA1061" s="989"/>
      <c r="LDB1061" s="989"/>
      <c r="LDC1061" s="989"/>
      <c r="LDD1061" s="989"/>
      <c r="LDE1061" s="989"/>
      <c r="LDF1061" s="989"/>
      <c r="LDG1061" s="989"/>
      <c r="LDH1061" s="989"/>
      <c r="LDI1061" s="989"/>
      <c r="LDJ1061" s="989"/>
      <c r="LDK1061" s="989"/>
      <c r="LDL1061" s="989"/>
      <c r="LDM1061" s="989"/>
      <c r="LDN1061" s="989"/>
      <c r="LDO1061" s="989"/>
      <c r="LDP1061" s="989"/>
      <c r="LDQ1061" s="989"/>
      <c r="LDR1061" s="989"/>
      <c r="LDS1061" s="989"/>
      <c r="LDT1061" s="989"/>
      <c r="LDU1061" s="989"/>
      <c r="LDV1061" s="989"/>
      <c r="LDW1061" s="989"/>
      <c r="LDX1061" s="989"/>
      <c r="LDY1061" s="989"/>
      <c r="LDZ1061" s="989"/>
      <c r="LEA1061" s="989"/>
      <c r="LEB1061" s="989"/>
      <c r="LEC1061" s="989"/>
      <c r="LED1061" s="989"/>
      <c r="LEE1061" s="989"/>
      <c r="LEF1061" s="989"/>
      <c r="LEG1061" s="989"/>
      <c r="LEH1061" s="989"/>
      <c r="LEI1061" s="989"/>
      <c r="LEJ1061" s="989"/>
      <c r="LEK1061" s="989"/>
      <c r="LEL1061" s="989"/>
      <c r="LEM1061" s="989"/>
      <c r="LEN1061" s="989"/>
      <c r="LEO1061" s="989"/>
      <c r="LEP1061" s="989"/>
      <c r="LEQ1061" s="989"/>
      <c r="LER1061" s="989"/>
      <c r="LES1061" s="989"/>
      <c r="LET1061" s="989"/>
      <c r="LEU1061" s="989"/>
      <c r="LEV1061" s="989"/>
      <c r="LEW1061" s="989"/>
      <c r="LEX1061" s="989"/>
      <c r="LEY1061" s="989"/>
      <c r="LEZ1061" s="989"/>
      <c r="LFA1061" s="989"/>
      <c r="LFB1061" s="989"/>
      <c r="LFC1061" s="989"/>
      <c r="LFD1061" s="989"/>
      <c r="LFE1061" s="989"/>
      <c r="LFF1061" s="989"/>
      <c r="LFG1061" s="989"/>
      <c r="LFH1061" s="989"/>
      <c r="LFI1061" s="989"/>
      <c r="LFJ1061" s="989"/>
      <c r="LFK1061" s="989"/>
      <c r="LFL1061" s="989"/>
      <c r="LFM1061" s="989"/>
      <c r="LFN1061" s="989"/>
      <c r="LFO1061" s="989"/>
      <c r="LFP1061" s="989"/>
      <c r="LFQ1061" s="989"/>
      <c r="LFR1061" s="989"/>
      <c r="LFS1061" s="989"/>
      <c r="LFT1061" s="989"/>
      <c r="LFU1061" s="989"/>
      <c r="LFV1061" s="989"/>
      <c r="LFW1061" s="989"/>
      <c r="LFX1061" s="989"/>
      <c r="LFY1061" s="989"/>
      <c r="LFZ1061" s="989"/>
      <c r="LGA1061" s="989"/>
      <c r="LGB1061" s="989"/>
      <c r="LGC1061" s="989"/>
      <c r="LGD1061" s="989"/>
      <c r="LGE1061" s="989"/>
      <c r="LGF1061" s="989"/>
      <c r="LGG1061" s="989"/>
      <c r="LGH1061" s="989"/>
      <c r="LGI1061" s="989"/>
      <c r="LGJ1061" s="989"/>
      <c r="LGK1061" s="989"/>
      <c r="LGL1061" s="989"/>
      <c r="LGM1061" s="989"/>
      <c r="LGN1061" s="989"/>
      <c r="LGO1061" s="989"/>
      <c r="LGP1061" s="989"/>
      <c r="LGQ1061" s="989"/>
      <c r="LGR1061" s="989"/>
      <c r="LGS1061" s="989"/>
      <c r="LGT1061" s="989"/>
      <c r="LGU1061" s="989"/>
      <c r="LGV1061" s="989"/>
      <c r="LGW1061" s="989"/>
      <c r="LGX1061" s="989"/>
      <c r="LGY1061" s="989"/>
      <c r="LGZ1061" s="989"/>
      <c r="LHA1061" s="989"/>
      <c r="LHB1061" s="989"/>
      <c r="LHC1061" s="989"/>
      <c r="LHD1061" s="989"/>
      <c r="LHE1061" s="989"/>
      <c r="LHF1061" s="989"/>
      <c r="LHG1061" s="989"/>
      <c r="LHH1061" s="989"/>
      <c r="LHI1061" s="989"/>
      <c r="LHJ1061" s="989"/>
      <c r="LHK1061" s="989"/>
      <c r="LHL1061" s="989"/>
      <c r="LHM1061" s="989"/>
      <c r="LHN1061" s="989"/>
      <c r="LHO1061" s="989"/>
      <c r="LHP1061" s="989"/>
      <c r="LHQ1061" s="989"/>
      <c r="LHR1061" s="989"/>
      <c r="LHS1061" s="989"/>
      <c r="LHT1061" s="989"/>
      <c r="LHU1061" s="989"/>
      <c r="LHV1061" s="989"/>
      <c r="LHW1061" s="989"/>
      <c r="LHX1061" s="989"/>
      <c r="LHY1061" s="989"/>
      <c r="LHZ1061" s="989"/>
      <c r="LIA1061" s="989"/>
      <c r="LIB1061" s="989"/>
      <c r="LIC1061" s="989"/>
      <c r="LID1061" s="989"/>
      <c r="LIE1061" s="989"/>
      <c r="LIF1061" s="989"/>
      <c r="LIG1061" s="989"/>
      <c r="LIH1061" s="989"/>
      <c r="LII1061" s="989"/>
      <c r="LIJ1061" s="989"/>
      <c r="LIK1061" s="989"/>
      <c r="LIL1061" s="989"/>
      <c r="LIM1061" s="989"/>
      <c r="LIN1061" s="989"/>
      <c r="LIO1061" s="989"/>
      <c r="LIP1061" s="989"/>
      <c r="LIQ1061" s="989"/>
      <c r="LIR1061" s="989"/>
      <c r="LIS1061" s="989"/>
      <c r="LIT1061" s="989"/>
      <c r="LIU1061" s="989"/>
      <c r="LIV1061" s="989"/>
      <c r="LIW1061" s="989"/>
      <c r="LIX1061" s="989"/>
      <c r="LIY1061" s="989"/>
      <c r="LIZ1061" s="989"/>
      <c r="LJA1061" s="989"/>
      <c r="LJB1061" s="989"/>
      <c r="LJC1061" s="989"/>
      <c r="LJD1061" s="989"/>
      <c r="LJE1061" s="989"/>
      <c r="LJF1061" s="989"/>
      <c r="LJG1061" s="989"/>
      <c r="LJH1061" s="989"/>
      <c r="LJI1061" s="989"/>
      <c r="LJJ1061" s="989"/>
      <c r="LJK1061" s="989"/>
      <c r="LJL1061" s="989"/>
      <c r="LJM1061" s="989"/>
      <c r="LJN1061" s="989"/>
      <c r="LJO1061" s="989"/>
      <c r="LJP1061" s="989"/>
      <c r="LJQ1061" s="989"/>
      <c r="LJR1061" s="989"/>
      <c r="LJS1061" s="989"/>
      <c r="LJT1061" s="989"/>
      <c r="LJU1061" s="989"/>
      <c r="LJV1061" s="989"/>
      <c r="LJW1061" s="989"/>
      <c r="LJX1061" s="989"/>
      <c r="LJY1061" s="989"/>
      <c r="LJZ1061" s="989"/>
      <c r="LKA1061" s="989"/>
      <c r="LKB1061" s="989"/>
      <c r="LKC1061" s="989"/>
      <c r="LKD1061" s="989"/>
      <c r="LKE1061" s="989"/>
      <c r="LKF1061" s="989"/>
      <c r="LKG1061" s="989"/>
      <c r="LKH1061" s="989"/>
      <c r="LKI1061" s="989"/>
      <c r="LKJ1061" s="989"/>
      <c r="LKK1061" s="989"/>
      <c r="LKL1061" s="989"/>
      <c r="LKM1061" s="989"/>
      <c r="LKN1061" s="989"/>
      <c r="LKO1061" s="989"/>
      <c r="LKP1061" s="989"/>
      <c r="LKQ1061" s="989"/>
      <c r="LKR1061" s="989"/>
      <c r="LKS1061" s="989"/>
      <c r="LKT1061" s="989"/>
      <c r="LKU1061" s="989"/>
      <c r="LKV1061" s="989"/>
      <c r="LKW1061" s="989"/>
      <c r="LKX1061" s="989"/>
      <c r="LKY1061" s="989"/>
      <c r="LKZ1061" s="989"/>
      <c r="LLA1061" s="989"/>
      <c r="LLB1061" s="989"/>
      <c r="LLC1061" s="989"/>
      <c r="LLD1061" s="989"/>
      <c r="LLE1061" s="989"/>
      <c r="LLF1061" s="989"/>
      <c r="LLG1061" s="989"/>
      <c r="LLH1061" s="989"/>
      <c r="LLI1061" s="989"/>
      <c r="LLJ1061" s="989"/>
      <c r="LLK1061" s="989"/>
      <c r="LLL1061" s="989"/>
      <c r="LLM1061" s="989"/>
      <c r="LLN1061" s="989"/>
      <c r="LLO1061" s="989"/>
      <c r="LLP1061" s="989"/>
      <c r="LLQ1061" s="989"/>
      <c r="LLR1061" s="989"/>
      <c r="LLS1061" s="989"/>
      <c r="LLT1061" s="989"/>
      <c r="LLU1061" s="989"/>
      <c r="LLV1061" s="989"/>
      <c r="LLW1061" s="989"/>
      <c r="LLX1061" s="989"/>
      <c r="LLY1061" s="989"/>
      <c r="LLZ1061" s="989"/>
      <c r="LMA1061" s="989"/>
      <c r="LMB1061" s="989"/>
      <c r="LMC1061" s="989"/>
      <c r="LMD1061" s="989"/>
      <c r="LME1061" s="989"/>
      <c r="LMF1061" s="989"/>
      <c r="LMG1061" s="989"/>
      <c r="LMH1061" s="989"/>
      <c r="LMI1061" s="989"/>
      <c r="LMJ1061" s="989"/>
      <c r="LMK1061" s="989"/>
      <c r="LML1061" s="989"/>
      <c r="LMM1061" s="989"/>
      <c r="LMN1061" s="989"/>
      <c r="LMO1061" s="989"/>
      <c r="LMP1061" s="989"/>
      <c r="LMQ1061" s="989"/>
      <c r="LMR1061" s="989"/>
      <c r="LMS1061" s="989"/>
      <c r="LMT1061" s="989"/>
      <c r="LMU1061" s="989"/>
      <c r="LMV1061" s="989"/>
      <c r="LMW1061" s="989"/>
      <c r="LMX1061" s="989"/>
      <c r="LMY1061" s="989"/>
      <c r="LMZ1061" s="989"/>
      <c r="LNA1061" s="989"/>
      <c r="LNB1061" s="989"/>
      <c r="LNC1061" s="989"/>
      <c r="LND1061" s="989"/>
      <c r="LNE1061" s="989"/>
      <c r="LNF1061" s="989"/>
      <c r="LNG1061" s="989"/>
      <c r="LNH1061" s="989"/>
      <c r="LNI1061" s="989"/>
      <c r="LNJ1061" s="989"/>
      <c r="LNK1061" s="989"/>
      <c r="LNL1061" s="989"/>
      <c r="LNM1061" s="989"/>
      <c r="LNN1061" s="989"/>
      <c r="LNO1061" s="989"/>
      <c r="LNP1061" s="989"/>
      <c r="LNQ1061" s="989"/>
      <c r="LNR1061" s="989"/>
      <c r="LNS1061" s="989"/>
      <c r="LNT1061" s="989"/>
      <c r="LNU1061" s="989"/>
      <c r="LNV1061" s="989"/>
      <c r="LNW1061" s="989"/>
      <c r="LNX1061" s="989"/>
      <c r="LNY1061" s="989"/>
      <c r="LNZ1061" s="989"/>
      <c r="LOA1061" s="989"/>
      <c r="LOB1061" s="989"/>
      <c r="LOC1061" s="989"/>
      <c r="LOD1061" s="989"/>
      <c r="LOE1061" s="989"/>
      <c r="LOF1061" s="989"/>
      <c r="LOG1061" s="989"/>
      <c r="LOH1061" s="989"/>
      <c r="LOI1061" s="989"/>
      <c r="LOJ1061" s="989"/>
      <c r="LOK1061" s="989"/>
      <c r="LOL1061" s="989"/>
      <c r="LOM1061" s="989"/>
      <c r="LON1061" s="989"/>
      <c r="LOO1061" s="989"/>
      <c r="LOP1061" s="989"/>
      <c r="LOQ1061" s="989"/>
      <c r="LOR1061" s="989"/>
      <c r="LOS1061" s="989"/>
      <c r="LOT1061" s="989"/>
      <c r="LOU1061" s="989"/>
      <c r="LOV1061" s="989"/>
      <c r="LOW1061" s="989"/>
      <c r="LOX1061" s="989"/>
      <c r="LOY1061" s="989"/>
      <c r="LOZ1061" s="989"/>
      <c r="LPA1061" s="989"/>
      <c r="LPB1061" s="989"/>
      <c r="LPC1061" s="989"/>
      <c r="LPD1061" s="989"/>
      <c r="LPE1061" s="989"/>
      <c r="LPF1061" s="989"/>
      <c r="LPG1061" s="989"/>
      <c r="LPH1061" s="989"/>
      <c r="LPI1061" s="989"/>
      <c r="LPJ1061" s="989"/>
      <c r="LPK1061" s="989"/>
      <c r="LPL1061" s="989"/>
      <c r="LPM1061" s="989"/>
      <c r="LPN1061" s="989"/>
      <c r="LPO1061" s="989"/>
      <c r="LPP1061" s="989"/>
      <c r="LPQ1061" s="989"/>
      <c r="LPR1061" s="989"/>
      <c r="LPS1061" s="989"/>
      <c r="LPT1061" s="989"/>
      <c r="LPU1061" s="989"/>
      <c r="LPV1061" s="989"/>
      <c r="LPW1061" s="989"/>
      <c r="LPX1061" s="989"/>
      <c r="LPY1061" s="989"/>
      <c r="LPZ1061" s="989"/>
      <c r="LQA1061" s="989"/>
      <c r="LQB1061" s="989"/>
      <c r="LQC1061" s="989"/>
      <c r="LQD1061" s="989"/>
      <c r="LQE1061" s="989"/>
      <c r="LQF1061" s="989"/>
      <c r="LQG1061" s="989"/>
      <c r="LQH1061" s="989"/>
      <c r="LQI1061" s="989"/>
      <c r="LQJ1061" s="989"/>
      <c r="LQK1061" s="989"/>
      <c r="LQL1061" s="989"/>
      <c r="LQM1061" s="989"/>
      <c r="LQN1061" s="989"/>
      <c r="LQO1061" s="989"/>
      <c r="LQP1061" s="989"/>
      <c r="LQQ1061" s="989"/>
      <c r="LQR1061" s="989"/>
      <c r="LQS1061" s="989"/>
      <c r="LQT1061" s="989"/>
      <c r="LQU1061" s="989"/>
      <c r="LQV1061" s="989"/>
      <c r="LQW1061" s="989"/>
      <c r="LQX1061" s="989"/>
      <c r="LQY1061" s="989"/>
      <c r="LQZ1061" s="989"/>
      <c r="LRA1061" s="989"/>
      <c r="LRB1061" s="989"/>
      <c r="LRC1061" s="989"/>
      <c r="LRD1061" s="989"/>
      <c r="LRE1061" s="989"/>
      <c r="LRF1061" s="989"/>
      <c r="LRG1061" s="989"/>
      <c r="LRH1061" s="989"/>
      <c r="LRI1061" s="989"/>
      <c r="LRJ1061" s="989"/>
      <c r="LRK1061" s="989"/>
      <c r="LRL1061" s="989"/>
      <c r="LRM1061" s="989"/>
      <c r="LRN1061" s="989"/>
      <c r="LRO1061" s="989"/>
      <c r="LRP1061" s="989"/>
      <c r="LRQ1061" s="989"/>
      <c r="LRR1061" s="989"/>
      <c r="LRS1061" s="989"/>
      <c r="LRT1061" s="989"/>
      <c r="LRU1061" s="989"/>
      <c r="LRV1061" s="989"/>
      <c r="LRW1061" s="989"/>
      <c r="LRX1061" s="989"/>
      <c r="LRY1061" s="989"/>
      <c r="LRZ1061" s="989"/>
      <c r="LSA1061" s="989"/>
      <c r="LSB1061" s="989"/>
      <c r="LSC1061" s="989"/>
      <c r="LSD1061" s="989"/>
      <c r="LSE1061" s="989"/>
      <c r="LSF1061" s="989"/>
      <c r="LSG1061" s="989"/>
      <c r="LSH1061" s="989"/>
      <c r="LSI1061" s="989"/>
      <c r="LSJ1061" s="989"/>
      <c r="LSK1061" s="989"/>
      <c r="LSL1061" s="989"/>
      <c r="LSM1061" s="989"/>
      <c r="LSN1061" s="989"/>
      <c r="LSO1061" s="989"/>
      <c r="LSP1061" s="989"/>
      <c r="LSQ1061" s="989"/>
      <c r="LSR1061" s="989"/>
      <c r="LSS1061" s="989"/>
      <c r="LST1061" s="989"/>
      <c r="LSU1061" s="989"/>
      <c r="LSV1061" s="989"/>
      <c r="LSW1061" s="989"/>
      <c r="LSX1061" s="989"/>
      <c r="LSY1061" s="989"/>
      <c r="LSZ1061" s="989"/>
      <c r="LTA1061" s="989"/>
      <c r="LTB1061" s="989"/>
      <c r="LTC1061" s="989"/>
      <c r="LTD1061" s="989"/>
      <c r="LTE1061" s="989"/>
      <c r="LTF1061" s="989"/>
      <c r="LTG1061" s="989"/>
      <c r="LTH1061" s="989"/>
      <c r="LTI1061" s="989"/>
      <c r="LTJ1061" s="989"/>
      <c r="LTK1061" s="989"/>
      <c r="LTL1061" s="989"/>
      <c r="LTM1061" s="989"/>
      <c r="LTN1061" s="989"/>
      <c r="LTO1061" s="989"/>
      <c r="LTP1061" s="989"/>
      <c r="LTQ1061" s="989"/>
      <c r="LTR1061" s="989"/>
      <c r="LTS1061" s="989"/>
      <c r="LTT1061" s="989"/>
      <c r="LTU1061" s="989"/>
      <c r="LTV1061" s="989"/>
      <c r="LTW1061" s="989"/>
      <c r="LTX1061" s="989"/>
      <c r="LTY1061" s="989"/>
      <c r="LTZ1061" s="989"/>
      <c r="LUA1061" s="989"/>
      <c r="LUB1061" s="989"/>
      <c r="LUC1061" s="989"/>
      <c r="LUD1061" s="989"/>
      <c r="LUE1061" s="989"/>
      <c r="LUF1061" s="989"/>
      <c r="LUG1061" s="989"/>
      <c r="LUH1061" s="989"/>
      <c r="LUI1061" s="989"/>
      <c r="LUJ1061" s="989"/>
      <c r="LUK1061" s="989"/>
      <c r="LUL1061" s="989"/>
      <c r="LUM1061" s="989"/>
      <c r="LUN1061" s="989"/>
      <c r="LUO1061" s="989"/>
      <c r="LUP1061" s="989"/>
      <c r="LUQ1061" s="989"/>
      <c r="LUR1061" s="989"/>
      <c r="LUS1061" s="989"/>
      <c r="LUT1061" s="989"/>
      <c r="LUU1061" s="989"/>
      <c r="LUV1061" s="989"/>
      <c r="LUW1061" s="989"/>
      <c r="LUX1061" s="989"/>
      <c r="LUY1061" s="989"/>
      <c r="LUZ1061" s="989"/>
      <c r="LVA1061" s="989"/>
      <c r="LVB1061" s="989"/>
      <c r="LVC1061" s="989"/>
      <c r="LVD1061" s="989"/>
      <c r="LVE1061" s="989"/>
      <c r="LVF1061" s="989"/>
      <c r="LVG1061" s="989"/>
      <c r="LVH1061" s="989"/>
      <c r="LVI1061" s="989"/>
      <c r="LVJ1061" s="989"/>
      <c r="LVK1061" s="989"/>
      <c r="LVL1061" s="989"/>
      <c r="LVM1061" s="989"/>
      <c r="LVN1061" s="989"/>
      <c r="LVO1061" s="989"/>
      <c r="LVP1061" s="989"/>
      <c r="LVQ1061" s="989"/>
      <c r="LVR1061" s="989"/>
      <c r="LVS1061" s="989"/>
      <c r="LVT1061" s="989"/>
      <c r="LVU1061" s="989"/>
      <c r="LVV1061" s="989"/>
      <c r="LVW1061" s="989"/>
      <c r="LVX1061" s="989"/>
      <c r="LVY1061" s="989"/>
      <c r="LVZ1061" s="989"/>
      <c r="LWA1061" s="989"/>
      <c r="LWB1061" s="989"/>
      <c r="LWC1061" s="989"/>
      <c r="LWD1061" s="989"/>
      <c r="LWE1061" s="989"/>
      <c r="LWF1061" s="989"/>
      <c r="LWG1061" s="989"/>
      <c r="LWH1061" s="989"/>
      <c r="LWI1061" s="989"/>
      <c r="LWJ1061" s="989"/>
      <c r="LWK1061" s="989"/>
      <c r="LWL1061" s="989"/>
      <c r="LWM1061" s="989"/>
      <c r="LWN1061" s="989"/>
      <c r="LWO1061" s="989"/>
      <c r="LWP1061" s="989"/>
      <c r="LWQ1061" s="989"/>
      <c r="LWR1061" s="989"/>
      <c r="LWS1061" s="989"/>
      <c r="LWT1061" s="989"/>
      <c r="LWU1061" s="989"/>
      <c r="LWV1061" s="989"/>
      <c r="LWW1061" s="989"/>
      <c r="LWX1061" s="989"/>
      <c r="LWY1061" s="989"/>
      <c r="LWZ1061" s="989"/>
      <c r="LXA1061" s="989"/>
      <c r="LXB1061" s="989"/>
      <c r="LXC1061" s="989"/>
      <c r="LXD1061" s="989"/>
      <c r="LXE1061" s="989"/>
      <c r="LXF1061" s="989"/>
      <c r="LXG1061" s="989"/>
      <c r="LXH1061" s="989"/>
      <c r="LXI1061" s="989"/>
      <c r="LXJ1061" s="989"/>
      <c r="LXK1061" s="989"/>
      <c r="LXL1061" s="989"/>
      <c r="LXM1061" s="989"/>
      <c r="LXN1061" s="989"/>
      <c r="LXO1061" s="989"/>
      <c r="LXP1061" s="989"/>
      <c r="LXQ1061" s="989"/>
      <c r="LXR1061" s="989"/>
      <c r="LXS1061" s="989"/>
      <c r="LXT1061" s="989"/>
      <c r="LXU1061" s="989"/>
      <c r="LXV1061" s="989"/>
      <c r="LXW1061" s="989"/>
      <c r="LXX1061" s="989"/>
      <c r="LXY1061" s="989"/>
      <c r="LXZ1061" s="989"/>
      <c r="LYA1061" s="989"/>
      <c r="LYB1061" s="989"/>
      <c r="LYC1061" s="989"/>
      <c r="LYD1061" s="989"/>
      <c r="LYE1061" s="989"/>
      <c r="LYF1061" s="989"/>
      <c r="LYG1061" s="989"/>
      <c r="LYH1061" s="989"/>
      <c r="LYI1061" s="989"/>
      <c r="LYJ1061" s="989"/>
      <c r="LYK1061" s="989"/>
      <c r="LYL1061" s="989"/>
      <c r="LYM1061" s="989"/>
      <c r="LYN1061" s="989"/>
      <c r="LYO1061" s="989"/>
      <c r="LYP1061" s="989"/>
      <c r="LYQ1061" s="989"/>
      <c r="LYR1061" s="989"/>
      <c r="LYS1061" s="989"/>
      <c r="LYT1061" s="989"/>
      <c r="LYU1061" s="989"/>
      <c r="LYV1061" s="989"/>
      <c r="LYW1061" s="989"/>
      <c r="LYX1061" s="989"/>
      <c r="LYY1061" s="989"/>
      <c r="LYZ1061" s="989"/>
      <c r="LZA1061" s="989"/>
      <c r="LZB1061" s="989"/>
      <c r="LZC1061" s="989"/>
      <c r="LZD1061" s="989"/>
      <c r="LZE1061" s="989"/>
      <c r="LZF1061" s="989"/>
      <c r="LZG1061" s="989"/>
      <c r="LZH1061" s="989"/>
      <c r="LZI1061" s="989"/>
      <c r="LZJ1061" s="989"/>
      <c r="LZK1061" s="989"/>
      <c r="LZL1061" s="989"/>
      <c r="LZM1061" s="989"/>
      <c r="LZN1061" s="989"/>
      <c r="LZO1061" s="989"/>
      <c r="LZP1061" s="989"/>
      <c r="LZQ1061" s="989"/>
      <c r="LZR1061" s="989"/>
      <c r="LZS1061" s="989"/>
      <c r="LZT1061" s="989"/>
      <c r="LZU1061" s="989"/>
      <c r="LZV1061" s="989"/>
      <c r="LZW1061" s="989"/>
      <c r="LZX1061" s="989"/>
      <c r="LZY1061" s="989"/>
      <c r="LZZ1061" s="989"/>
      <c r="MAA1061" s="989"/>
      <c r="MAB1061" s="989"/>
      <c r="MAC1061" s="989"/>
      <c r="MAD1061" s="989"/>
      <c r="MAE1061" s="989"/>
      <c r="MAF1061" s="989"/>
      <c r="MAG1061" s="989"/>
      <c r="MAH1061" s="989"/>
      <c r="MAI1061" s="989"/>
      <c r="MAJ1061" s="989"/>
      <c r="MAK1061" s="989"/>
      <c r="MAL1061" s="989"/>
      <c r="MAM1061" s="989"/>
      <c r="MAN1061" s="989"/>
      <c r="MAO1061" s="989"/>
      <c r="MAP1061" s="989"/>
      <c r="MAQ1061" s="989"/>
      <c r="MAR1061" s="989"/>
      <c r="MAS1061" s="989"/>
      <c r="MAT1061" s="989"/>
      <c r="MAU1061" s="989"/>
      <c r="MAV1061" s="989"/>
      <c r="MAW1061" s="989"/>
      <c r="MAX1061" s="989"/>
      <c r="MAY1061" s="989"/>
      <c r="MAZ1061" s="989"/>
      <c r="MBA1061" s="989"/>
      <c r="MBB1061" s="989"/>
      <c r="MBC1061" s="989"/>
      <c r="MBD1061" s="989"/>
      <c r="MBE1061" s="989"/>
      <c r="MBF1061" s="989"/>
      <c r="MBG1061" s="989"/>
      <c r="MBH1061" s="989"/>
      <c r="MBI1061" s="989"/>
      <c r="MBJ1061" s="989"/>
      <c r="MBK1061" s="989"/>
      <c r="MBL1061" s="989"/>
      <c r="MBM1061" s="989"/>
      <c r="MBN1061" s="989"/>
      <c r="MBO1061" s="989"/>
      <c r="MBP1061" s="989"/>
      <c r="MBQ1061" s="989"/>
      <c r="MBR1061" s="989"/>
      <c r="MBS1061" s="989"/>
      <c r="MBT1061" s="989"/>
      <c r="MBU1061" s="989"/>
      <c r="MBV1061" s="989"/>
      <c r="MBW1061" s="989"/>
      <c r="MBX1061" s="989"/>
      <c r="MBY1061" s="989"/>
      <c r="MBZ1061" s="989"/>
      <c r="MCA1061" s="989"/>
      <c r="MCB1061" s="989"/>
      <c r="MCC1061" s="989"/>
      <c r="MCD1061" s="989"/>
      <c r="MCE1061" s="989"/>
      <c r="MCF1061" s="989"/>
      <c r="MCG1061" s="989"/>
      <c r="MCH1061" s="989"/>
      <c r="MCI1061" s="989"/>
      <c r="MCJ1061" s="989"/>
      <c r="MCK1061" s="989"/>
      <c r="MCL1061" s="989"/>
      <c r="MCM1061" s="989"/>
      <c r="MCN1061" s="989"/>
      <c r="MCO1061" s="989"/>
      <c r="MCP1061" s="989"/>
      <c r="MCQ1061" s="989"/>
      <c r="MCR1061" s="989"/>
      <c r="MCS1061" s="989"/>
      <c r="MCT1061" s="989"/>
      <c r="MCU1061" s="989"/>
      <c r="MCV1061" s="989"/>
      <c r="MCW1061" s="989"/>
      <c r="MCX1061" s="989"/>
      <c r="MCY1061" s="989"/>
      <c r="MCZ1061" s="989"/>
      <c r="MDA1061" s="989"/>
      <c r="MDB1061" s="989"/>
      <c r="MDC1061" s="989"/>
      <c r="MDD1061" s="989"/>
      <c r="MDE1061" s="989"/>
      <c r="MDF1061" s="989"/>
      <c r="MDG1061" s="989"/>
      <c r="MDH1061" s="989"/>
      <c r="MDI1061" s="989"/>
      <c r="MDJ1061" s="989"/>
      <c r="MDK1061" s="989"/>
      <c r="MDL1061" s="989"/>
      <c r="MDM1061" s="989"/>
      <c r="MDN1061" s="989"/>
      <c r="MDO1061" s="989"/>
      <c r="MDP1061" s="989"/>
      <c r="MDQ1061" s="989"/>
      <c r="MDR1061" s="989"/>
      <c r="MDS1061" s="989"/>
      <c r="MDT1061" s="989"/>
      <c r="MDU1061" s="989"/>
      <c r="MDV1061" s="989"/>
      <c r="MDW1061" s="989"/>
      <c r="MDX1061" s="989"/>
      <c r="MDY1061" s="989"/>
      <c r="MDZ1061" s="989"/>
      <c r="MEA1061" s="989"/>
      <c r="MEB1061" s="989"/>
      <c r="MEC1061" s="989"/>
      <c r="MED1061" s="989"/>
      <c r="MEE1061" s="989"/>
      <c r="MEF1061" s="989"/>
      <c r="MEG1061" s="989"/>
      <c r="MEH1061" s="989"/>
      <c r="MEI1061" s="989"/>
      <c r="MEJ1061" s="989"/>
      <c r="MEK1061" s="989"/>
      <c r="MEL1061" s="989"/>
      <c r="MEM1061" s="989"/>
      <c r="MEN1061" s="989"/>
      <c r="MEO1061" s="989"/>
      <c r="MEP1061" s="989"/>
      <c r="MEQ1061" s="989"/>
      <c r="MER1061" s="989"/>
      <c r="MES1061" s="989"/>
      <c r="MET1061" s="989"/>
      <c r="MEU1061" s="989"/>
      <c r="MEV1061" s="989"/>
      <c r="MEW1061" s="989"/>
      <c r="MEX1061" s="989"/>
      <c r="MEY1061" s="989"/>
      <c r="MEZ1061" s="989"/>
      <c r="MFA1061" s="989"/>
      <c r="MFB1061" s="989"/>
      <c r="MFC1061" s="989"/>
      <c r="MFD1061" s="989"/>
      <c r="MFE1061" s="989"/>
      <c r="MFF1061" s="989"/>
      <c r="MFG1061" s="989"/>
      <c r="MFH1061" s="989"/>
      <c r="MFI1061" s="989"/>
      <c r="MFJ1061" s="989"/>
      <c r="MFK1061" s="989"/>
      <c r="MFL1061" s="989"/>
      <c r="MFM1061" s="989"/>
      <c r="MFN1061" s="989"/>
      <c r="MFO1061" s="989"/>
      <c r="MFP1061" s="989"/>
      <c r="MFQ1061" s="989"/>
      <c r="MFR1061" s="989"/>
      <c r="MFS1061" s="989"/>
      <c r="MFT1061" s="989"/>
      <c r="MFU1061" s="989"/>
      <c r="MFV1061" s="989"/>
      <c r="MFW1061" s="989"/>
      <c r="MFX1061" s="989"/>
      <c r="MFY1061" s="989"/>
      <c r="MFZ1061" s="989"/>
      <c r="MGA1061" s="989"/>
      <c r="MGB1061" s="989"/>
      <c r="MGC1061" s="989"/>
      <c r="MGD1061" s="989"/>
      <c r="MGE1061" s="989"/>
      <c r="MGF1061" s="989"/>
      <c r="MGG1061" s="989"/>
      <c r="MGH1061" s="989"/>
      <c r="MGI1061" s="989"/>
      <c r="MGJ1061" s="989"/>
      <c r="MGK1061" s="989"/>
      <c r="MGL1061" s="989"/>
      <c r="MGM1061" s="989"/>
      <c r="MGN1061" s="989"/>
      <c r="MGO1061" s="989"/>
      <c r="MGP1061" s="989"/>
      <c r="MGQ1061" s="989"/>
      <c r="MGR1061" s="989"/>
      <c r="MGS1061" s="989"/>
      <c r="MGT1061" s="989"/>
      <c r="MGU1061" s="989"/>
      <c r="MGV1061" s="989"/>
      <c r="MGW1061" s="989"/>
      <c r="MGX1061" s="989"/>
      <c r="MGY1061" s="989"/>
      <c r="MGZ1061" s="989"/>
      <c r="MHA1061" s="989"/>
      <c r="MHB1061" s="989"/>
      <c r="MHC1061" s="989"/>
      <c r="MHD1061" s="989"/>
      <c r="MHE1061" s="989"/>
      <c r="MHF1061" s="989"/>
      <c r="MHG1061" s="989"/>
      <c r="MHH1061" s="989"/>
      <c r="MHI1061" s="989"/>
      <c r="MHJ1061" s="989"/>
      <c r="MHK1061" s="989"/>
      <c r="MHL1061" s="989"/>
      <c r="MHM1061" s="989"/>
      <c r="MHN1061" s="989"/>
      <c r="MHO1061" s="989"/>
      <c r="MHP1061" s="989"/>
      <c r="MHQ1061" s="989"/>
      <c r="MHR1061" s="989"/>
      <c r="MHS1061" s="989"/>
      <c r="MHT1061" s="989"/>
      <c r="MHU1061" s="989"/>
      <c r="MHV1061" s="989"/>
      <c r="MHW1061" s="989"/>
      <c r="MHX1061" s="989"/>
      <c r="MHY1061" s="989"/>
      <c r="MHZ1061" s="989"/>
      <c r="MIA1061" s="989"/>
      <c r="MIB1061" s="989"/>
      <c r="MIC1061" s="989"/>
      <c r="MID1061" s="989"/>
      <c r="MIE1061" s="989"/>
      <c r="MIF1061" s="989"/>
      <c r="MIG1061" s="989"/>
      <c r="MIH1061" s="989"/>
      <c r="MII1061" s="989"/>
      <c r="MIJ1061" s="989"/>
      <c r="MIK1061" s="989"/>
      <c r="MIL1061" s="989"/>
      <c r="MIM1061" s="989"/>
      <c r="MIN1061" s="989"/>
      <c r="MIO1061" s="989"/>
      <c r="MIP1061" s="989"/>
      <c r="MIQ1061" s="989"/>
      <c r="MIR1061" s="989"/>
      <c r="MIS1061" s="989"/>
      <c r="MIT1061" s="989"/>
      <c r="MIU1061" s="989"/>
      <c r="MIV1061" s="989"/>
      <c r="MIW1061" s="989"/>
      <c r="MIX1061" s="989"/>
      <c r="MIY1061" s="989"/>
      <c r="MIZ1061" s="989"/>
      <c r="MJA1061" s="989"/>
      <c r="MJB1061" s="989"/>
      <c r="MJC1061" s="989"/>
      <c r="MJD1061" s="989"/>
      <c r="MJE1061" s="989"/>
      <c r="MJF1061" s="989"/>
      <c r="MJG1061" s="989"/>
      <c r="MJH1061" s="989"/>
      <c r="MJI1061" s="989"/>
      <c r="MJJ1061" s="989"/>
      <c r="MJK1061" s="989"/>
      <c r="MJL1061" s="989"/>
      <c r="MJM1061" s="989"/>
      <c r="MJN1061" s="989"/>
      <c r="MJO1061" s="989"/>
      <c r="MJP1061" s="989"/>
      <c r="MJQ1061" s="989"/>
      <c r="MJR1061" s="989"/>
      <c r="MJS1061" s="989"/>
      <c r="MJT1061" s="989"/>
      <c r="MJU1061" s="989"/>
      <c r="MJV1061" s="989"/>
      <c r="MJW1061" s="989"/>
      <c r="MJX1061" s="989"/>
      <c r="MJY1061" s="989"/>
      <c r="MJZ1061" s="989"/>
      <c r="MKA1061" s="989"/>
      <c r="MKB1061" s="989"/>
      <c r="MKC1061" s="989"/>
      <c r="MKD1061" s="989"/>
      <c r="MKE1061" s="989"/>
      <c r="MKF1061" s="989"/>
      <c r="MKG1061" s="989"/>
      <c r="MKH1061" s="989"/>
      <c r="MKI1061" s="989"/>
      <c r="MKJ1061" s="989"/>
      <c r="MKK1061" s="989"/>
      <c r="MKL1061" s="989"/>
      <c r="MKM1061" s="989"/>
      <c r="MKN1061" s="989"/>
      <c r="MKO1061" s="989"/>
      <c r="MKP1061" s="989"/>
      <c r="MKQ1061" s="989"/>
      <c r="MKR1061" s="989"/>
      <c r="MKS1061" s="989"/>
      <c r="MKT1061" s="989"/>
      <c r="MKU1061" s="989"/>
      <c r="MKV1061" s="989"/>
      <c r="MKW1061" s="989"/>
      <c r="MKX1061" s="989"/>
      <c r="MKY1061" s="989"/>
      <c r="MKZ1061" s="989"/>
      <c r="MLA1061" s="989"/>
      <c r="MLB1061" s="989"/>
      <c r="MLC1061" s="989"/>
      <c r="MLD1061" s="989"/>
      <c r="MLE1061" s="989"/>
      <c r="MLF1061" s="989"/>
      <c r="MLG1061" s="989"/>
      <c r="MLH1061" s="989"/>
      <c r="MLI1061" s="989"/>
      <c r="MLJ1061" s="989"/>
      <c r="MLK1061" s="989"/>
      <c r="MLL1061" s="989"/>
      <c r="MLM1061" s="989"/>
      <c r="MLN1061" s="989"/>
      <c r="MLO1061" s="989"/>
      <c r="MLP1061" s="989"/>
      <c r="MLQ1061" s="989"/>
      <c r="MLR1061" s="989"/>
      <c r="MLS1061" s="989"/>
      <c r="MLT1061" s="989"/>
      <c r="MLU1061" s="989"/>
      <c r="MLV1061" s="989"/>
      <c r="MLW1061" s="989"/>
      <c r="MLX1061" s="989"/>
      <c r="MLY1061" s="989"/>
      <c r="MLZ1061" s="989"/>
      <c r="MMA1061" s="989"/>
      <c r="MMB1061" s="989"/>
      <c r="MMC1061" s="989"/>
      <c r="MMD1061" s="989"/>
      <c r="MME1061" s="989"/>
      <c r="MMF1061" s="989"/>
      <c r="MMG1061" s="989"/>
      <c r="MMH1061" s="989"/>
      <c r="MMI1061" s="989"/>
      <c r="MMJ1061" s="989"/>
      <c r="MMK1061" s="989"/>
      <c r="MML1061" s="989"/>
      <c r="MMM1061" s="989"/>
      <c r="MMN1061" s="989"/>
      <c r="MMO1061" s="989"/>
      <c r="MMP1061" s="989"/>
      <c r="MMQ1061" s="989"/>
      <c r="MMR1061" s="989"/>
      <c r="MMS1061" s="989"/>
      <c r="MMT1061" s="989"/>
      <c r="MMU1061" s="989"/>
      <c r="MMV1061" s="989"/>
      <c r="MMW1061" s="989"/>
      <c r="MMX1061" s="989"/>
      <c r="MMY1061" s="989"/>
      <c r="MMZ1061" s="989"/>
      <c r="MNA1061" s="989"/>
      <c r="MNB1061" s="989"/>
      <c r="MNC1061" s="989"/>
      <c r="MND1061" s="989"/>
      <c r="MNE1061" s="989"/>
      <c r="MNF1061" s="989"/>
      <c r="MNG1061" s="989"/>
      <c r="MNH1061" s="989"/>
      <c r="MNI1061" s="989"/>
      <c r="MNJ1061" s="989"/>
      <c r="MNK1061" s="989"/>
      <c r="MNL1061" s="989"/>
      <c r="MNM1061" s="989"/>
      <c r="MNN1061" s="989"/>
      <c r="MNO1061" s="989"/>
      <c r="MNP1061" s="989"/>
      <c r="MNQ1061" s="989"/>
      <c r="MNR1061" s="989"/>
      <c r="MNS1061" s="989"/>
      <c r="MNT1061" s="989"/>
      <c r="MNU1061" s="989"/>
      <c r="MNV1061" s="989"/>
      <c r="MNW1061" s="989"/>
      <c r="MNX1061" s="989"/>
      <c r="MNY1061" s="989"/>
      <c r="MNZ1061" s="989"/>
      <c r="MOA1061" s="989"/>
      <c r="MOB1061" s="989"/>
      <c r="MOC1061" s="989"/>
      <c r="MOD1061" s="989"/>
      <c r="MOE1061" s="989"/>
      <c r="MOF1061" s="989"/>
      <c r="MOG1061" s="989"/>
      <c r="MOH1061" s="989"/>
      <c r="MOI1061" s="989"/>
      <c r="MOJ1061" s="989"/>
      <c r="MOK1061" s="989"/>
      <c r="MOL1061" s="989"/>
      <c r="MOM1061" s="989"/>
      <c r="MON1061" s="989"/>
      <c r="MOO1061" s="989"/>
      <c r="MOP1061" s="989"/>
      <c r="MOQ1061" s="989"/>
      <c r="MOR1061" s="989"/>
      <c r="MOS1061" s="989"/>
      <c r="MOT1061" s="989"/>
      <c r="MOU1061" s="989"/>
      <c r="MOV1061" s="989"/>
      <c r="MOW1061" s="989"/>
      <c r="MOX1061" s="989"/>
      <c r="MOY1061" s="989"/>
      <c r="MOZ1061" s="989"/>
      <c r="MPA1061" s="989"/>
      <c r="MPB1061" s="989"/>
      <c r="MPC1061" s="989"/>
      <c r="MPD1061" s="989"/>
      <c r="MPE1061" s="989"/>
      <c r="MPF1061" s="989"/>
      <c r="MPG1061" s="989"/>
      <c r="MPH1061" s="989"/>
      <c r="MPI1061" s="989"/>
      <c r="MPJ1061" s="989"/>
      <c r="MPK1061" s="989"/>
      <c r="MPL1061" s="989"/>
      <c r="MPM1061" s="989"/>
      <c r="MPN1061" s="989"/>
      <c r="MPO1061" s="989"/>
      <c r="MPP1061" s="989"/>
      <c r="MPQ1061" s="989"/>
      <c r="MPR1061" s="989"/>
      <c r="MPS1061" s="989"/>
      <c r="MPT1061" s="989"/>
      <c r="MPU1061" s="989"/>
      <c r="MPV1061" s="989"/>
      <c r="MPW1061" s="989"/>
      <c r="MPX1061" s="989"/>
      <c r="MPY1061" s="989"/>
      <c r="MPZ1061" s="989"/>
      <c r="MQA1061" s="989"/>
      <c r="MQB1061" s="989"/>
      <c r="MQC1061" s="989"/>
      <c r="MQD1061" s="989"/>
      <c r="MQE1061" s="989"/>
      <c r="MQF1061" s="989"/>
      <c r="MQG1061" s="989"/>
      <c r="MQH1061" s="989"/>
      <c r="MQI1061" s="989"/>
      <c r="MQJ1061" s="989"/>
      <c r="MQK1061" s="989"/>
      <c r="MQL1061" s="989"/>
      <c r="MQM1061" s="989"/>
      <c r="MQN1061" s="989"/>
      <c r="MQO1061" s="989"/>
      <c r="MQP1061" s="989"/>
      <c r="MQQ1061" s="989"/>
      <c r="MQR1061" s="989"/>
      <c r="MQS1061" s="989"/>
      <c r="MQT1061" s="989"/>
      <c r="MQU1061" s="989"/>
      <c r="MQV1061" s="989"/>
      <c r="MQW1061" s="989"/>
      <c r="MQX1061" s="989"/>
      <c r="MQY1061" s="989"/>
      <c r="MQZ1061" s="989"/>
      <c r="MRA1061" s="989"/>
      <c r="MRB1061" s="989"/>
      <c r="MRC1061" s="989"/>
      <c r="MRD1061" s="989"/>
      <c r="MRE1061" s="989"/>
      <c r="MRF1061" s="989"/>
      <c r="MRG1061" s="989"/>
      <c r="MRH1061" s="989"/>
      <c r="MRI1061" s="989"/>
      <c r="MRJ1061" s="989"/>
      <c r="MRK1061" s="989"/>
      <c r="MRL1061" s="989"/>
      <c r="MRM1061" s="989"/>
      <c r="MRN1061" s="989"/>
      <c r="MRO1061" s="989"/>
      <c r="MRP1061" s="989"/>
      <c r="MRQ1061" s="989"/>
      <c r="MRR1061" s="989"/>
      <c r="MRS1061" s="989"/>
      <c r="MRT1061" s="989"/>
      <c r="MRU1061" s="989"/>
      <c r="MRV1061" s="989"/>
      <c r="MRW1061" s="989"/>
      <c r="MRX1061" s="989"/>
      <c r="MRY1061" s="989"/>
      <c r="MRZ1061" s="989"/>
      <c r="MSA1061" s="989"/>
      <c r="MSB1061" s="989"/>
      <c r="MSC1061" s="989"/>
      <c r="MSD1061" s="989"/>
      <c r="MSE1061" s="989"/>
      <c r="MSF1061" s="989"/>
      <c r="MSG1061" s="989"/>
      <c r="MSH1061" s="989"/>
      <c r="MSI1061" s="989"/>
      <c r="MSJ1061" s="989"/>
      <c r="MSK1061" s="989"/>
      <c r="MSL1061" s="989"/>
      <c r="MSM1061" s="989"/>
      <c r="MSN1061" s="989"/>
      <c r="MSO1061" s="989"/>
      <c r="MSP1061" s="989"/>
      <c r="MSQ1061" s="989"/>
      <c r="MSR1061" s="989"/>
      <c r="MSS1061" s="989"/>
      <c r="MST1061" s="989"/>
      <c r="MSU1061" s="989"/>
      <c r="MSV1061" s="989"/>
      <c r="MSW1061" s="989"/>
      <c r="MSX1061" s="989"/>
      <c r="MSY1061" s="989"/>
      <c r="MSZ1061" s="989"/>
      <c r="MTA1061" s="989"/>
      <c r="MTB1061" s="989"/>
      <c r="MTC1061" s="989"/>
      <c r="MTD1061" s="989"/>
      <c r="MTE1061" s="989"/>
      <c r="MTF1061" s="989"/>
      <c r="MTG1061" s="989"/>
      <c r="MTH1061" s="989"/>
      <c r="MTI1061" s="989"/>
      <c r="MTJ1061" s="989"/>
      <c r="MTK1061" s="989"/>
      <c r="MTL1061" s="989"/>
      <c r="MTM1061" s="989"/>
      <c r="MTN1061" s="989"/>
      <c r="MTO1061" s="989"/>
      <c r="MTP1061" s="989"/>
      <c r="MTQ1061" s="989"/>
      <c r="MTR1061" s="989"/>
      <c r="MTS1061" s="989"/>
      <c r="MTT1061" s="989"/>
      <c r="MTU1061" s="989"/>
      <c r="MTV1061" s="989"/>
      <c r="MTW1061" s="989"/>
      <c r="MTX1061" s="989"/>
      <c r="MTY1061" s="989"/>
      <c r="MTZ1061" s="989"/>
      <c r="MUA1061" s="989"/>
      <c r="MUB1061" s="989"/>
      <c r="MUC1061" s="989"/>
      <c r="MUD1061" s="989"/>
      <c r="MUE1061" s="989"/>
      <c r="MUF1061" s="989"/>
      <c r="MUG1061" s="989"/>
      <c r="MUH1061" s="989"/>
      <c r="MUI1061" s="989"/>
      <c r="MUJ1061" s="989"/>
      <c r="MUK1061" s="989"/>
      <c r="MUL1061" s="989"/>
      <c r="MUM1061" s="989"/>
      <c r="MUN1061" s="989"/>
      <c r="MUO1061" s="989"/>
      <c r="MUP1061" s="989"/>
      <c r="MUQ1061" s="989"/>
      <c r="MUR1061" s="989"/>
      <c r="MUS1061" s="989"/>
      <c r="MUT1061" s="989"/>
      <c r="MUU1061" s="989"/>
      <c r="MUV1061" s="989"/>
      <c r="MUW1061" s="989"/>
      <c r="MUX1061" s="989"/>
      <c r="MUY1061" s="989"/>
      <c r="MUZ1061" s="989"/>
      <c r="MVA1061" s="989"/>
      <c r="MVB1061" s="989"/>
      <c r="MVC1061" s="989"/>
      <c r="MVD1061" s="989"/>
      <c r="MVE1061" s="989"/>
      <c r="MVF1061" s="989"/>
      <c r="MVG1061" s="989"/>
      <c r="MVH1061" s="989"/>
      <c r="MVI1061" s="989"/>
      <c r="MVJ1061" s="989"/>
      <c r="MVK1061" s="989"/>
      <c r="MVL1061" s="989"/>
      <c r="MVM1061" s="989"/>
      <c r="MVN1061" s="989"/>
      <c r="MVO1061" s="989"/>
      <c r="MVP1061" s="989"/>
      <c r="MVQ1061" s="989"/>
      <c r="MVR1061" s="989"/>
      <c r="MVS1061" s="989"/>
      <c r="MVT1061" s="989"/>
      <c r="MVU1061" s="989"/>
      <c r="MVV1061" s="989"/>
      <c r="MVW1061" s="989"/>
      <c r="MVX1061" s="989"/>
      <c r="MVY1061" s="989"/>
      <c r="MVZ1061" s="989"/>
      <c r="MWA1061" s="989"/>
      <c r="MWB1061" s="989"/>
      <c r="MWC1061" s="989"/>
      <c r="MWD1061" s="989"/>
      <c r="MWE1061" s="989"/>
      <c r="MWF1061" s="989"/>
      <c r="MWG1061" s="989"/>
      <c r="MWH1061" s="989"/>
      <c r="MWI1061" s="989"/>
      <c r="MWJ1061" s="989"/>
      <c r="MWK1061" s="989"/>
      <c r="MWL1061" s="989"/>
      <c r="MWM1061" s="989"/>
      <c r="MWN1061" s="989"/>
      <c r="MWO1061" s="989"/>
      <c r="MWP1061" s="989"/>
      <c r="MWQ1061" s="989"/>
      <c r="MWR1061" s="989"/>
      <c r="MWS1061" s="989"/>
      <c r="MWT1061" s="989"/>
      <c r="MWU1061" s="989"/>
      <c r="MWV1061" s="989"/>
      <c r="MWW1061" s="989"/>
      <c r="MWX1061" s="989"/>
      <c r="MWY1061" s="989"/>
      <c r="MWZ1061" s="989"/>
      <c r="MXA1061" s="989"/>
      <c r="MXB1061" s="989"/>
      <c r="MXC1061" s="989"/>
      <c r="MXD1061" s="989"/>
      <c r="MXE1061" s="989"/>
      <c r="MXF1061" s="989"/>
      <c r="MXG1061" s="989"/>
      <c r="MXH1061" s="989"/>
      <c r="MXI1061" s="989"/>
      <c r="MXJ1061" s="989"/>
      <c r="MXK1061" s="989"/>
      <c r="MXL1061" s="989"/>
      <c r="MXM1061" s="989"/>
      <c r="MXN1061" s="989"/>
      <c r="MXO1061" s="989"/>
      <c r="MXP1061" s="989"/>
      <c r="MXQ1061" s="989"/>
      <c r="MXR1061" s="989"/>
      <c r="MXS1061" s="989"/>
      <c r="MXT1061" s="989"/>
      <c r="MXU1061" s="989"/>
      <c r="MXV1061" s="989"/>
      <c r="MXW1061" s="989"/>
      <c r="MXX1061" s="989"/>
      <c r="MXY1061" s="989"/>
      <c r="MXZ1061" s="989"/>
      <c r="MYA1061" s="989"/>
      <c r="MYB1061" s="989"/>
      <c r="MYC1061" s="989"/>
      <c r="MYD1061" s="989"/>
      <c r="MYE1061" s="989"/>
      <c r="MYF1061" s="989"/>
      <c r="MYG1061" s="989"/>
      <c r="MYH1061" s="989"/>
      <c r="MYI1061" s="989"/>
      <c r="MYJ1061" s="989"/>
      <c r="MYK1061" s="989"/>
      <c r="MYL1061" s="989"/>
      <c r="MYM1061" s="989"/>
      <c r="MYN1061" s="989"/>
      <c r="MYO1061" s="989"/>
      <c r="MYP1061" s="989"/>
      <c r="MYQ1061" s="989"/>
      <c r="MYR1061" s="989"/>
      <c r="MYS1061" s="989"/>
      <c r="MYT1061" s="989"/>
      <c r="MYU1061" s="989"/>
      <c r="MYV1061" s="989"/>
      <c r="MYW1061" s="989"/>
      <c r="MYX1061" s="989"/>
      <c r="MYY1061" s="989"/>
      <c r="MYZ1061" s="989"/>
      <c r="MZA1061" s="989"/>
      <c r="MZB1061" s="989"/>
      <c r="MZC1061" s="989"/>
      <c r="MZD1061" s="989"/>
      <c r="MZE1061" s="989"/>
      <c r="MZF1061" s="989"/>
      <c r="MZG1061" s="989"/>
      <c r="MZH1061" s="989"/>
      <c r="MZI1061" s="989"/>
      <c r="MZJ1061" s="989"/>
      <c r="MZK1061" s="989"/>
      <c r="MZL1061" s="989"/>
      <c r="MZM1061" s="989"/>
      <c r="MZN1061" s="989"/>
      <c r="MZO1061" s="989"/>
      <c r="MZP1061" s="989"/>
      <c r="MZQ1061" s="989"/>
      <c r="MZR1061" s="989"/>
      <c r="MZS1061" s="989"/>
      <c r="MZT1061" s="989"/>
      <c r="MZU1061" s="989"/>
      <c r="MZV1061" s="989"/>
      <c r="MZW1061" s="989"/>
      <c r="MZX1061" s="989"/>
      <c r="MZY1061" s="989"/>
      <c r="MZZ1061" s="989"/>
      <c r="NAA1061" s="989"/>
      <c r="NAB1061" s="989"/>
      <c r="NAC1061" s="989"/>
      <c r="NAD1061" s="989"/>
      <c r="NAE1061" s="989"/>
      <c r="NAF1061" s="989"/>
      <c r="NAG1061" s="989"/>
      <c r="NAH1061" s="989"/>
      <c r="NAI1061" s="989"/>
      <c r="NAJ1061" s="989"/>
      <c r="NAK1061" s="989"/>
      <c r="NAL1061" s="989"/>
      <c r="NAM1061" s="989"/>
      <c r="NAN1061" s="989"/>
      <c r="NAO1061" s="989"/>
      <c r="NAP1061" s="989"/>
      <c r="NAQ1061" s="989"/>
      <c r="NAR1061" s="989"/>
      <c r="NAS1061" s="989"/>
      <c r="NAT1061" s="989"/>
      <c r="NAU1061" s="989"/>
      <c r="NAV1061" s="989"/>
      <c r="NAW1061" s="989"/>
      <c r="NAX1061" s="989"/>
      <c r="NAY1061" s="989"/>
      <c r="NAZ1061" s="989"/>
      <c r="NBA1061" s="989"/>
      <c r="NBB1061" s="989"/>
      <c r="NBC1061" s="989"/>
      <c r="NBD1061" s="989"/>
      <c r="NBE1061" s="989"/>
      <c r="NBF1061" s="989"/>
      <c r="NBG1061" s="989"/>
      <c r="NBH1061" s="989"/>
      <c r="NBI1061" s="989"/>
      <c r="NBJ1061" s="989"/>
      <c r="NBK1061" s="989"/>
      <c r="NBL1061" s="989"/>
      <c r="NBM1061" s="989"/>
      <c r="NBN1061" s="989"/>
      <c r="NBO1061" s="989"/>
      <c r="NBP1061" s="989"/>
      <c r="NBQ1061" s="989"/>
      <c r="NBR1061" s="989"/>
      <c r="NBS1061" s="989"/>
      <c r="NBT1061" s="989"/>
      <c r="NBU1061" s="989"/>
      <c r="NBV1061" s="989"/>
      <c r="NBW1061" s="989"/>
      <c r="NBX1061" s="989"/>
      <c r="NBY1061" s="989"/>
      <c r="NBZ1061" s="989"/>
      <c r="NCA1061" s="989"/>
      <c r="NCB1061" s="989"/>
      <c r="NCC1061" s="989"/>
      <c r="NCD1061" s="989"/>
      <c r="NCE1061" s="989"/>
      <c r="NCF1061" s="989"/>
      <c r="NCG1061" s="989"/>
      <c r="NCH1061" s="989"/>
      <c r="NCI1061" s="989"/>
      <c r="NCJ1061" s="989"/>
      <c r="NCK1061" s="989"/>
      <c r="NCL1061" s="989"/>
      <c r="NCM1061" s="989"/>
      <c r="NCN1061" s="989"/>
      <c r="NCO1061" s="989"/>
      <c r="NCP1061" s="989"/>
      <c r="NCQ1061" s="989"/>
      <c r="NCR1061" s="989"/>
      <c r="NCS1061" s="989"/>
      <c r="NCT1061" s="989"/>
      <c r="NCU1061" s="989"/>
      <c r="NCV1061" s="989"/>
      <c r="NCW1061" s="989"/>
      <c r="NCX1061" s="989"/>
      <c r="NCY1061" s="989"/>
      <c r="NCZ1061" s="989"/>
      <c r="NDA1061" s="989"/>
      <c r="NDB1061" s="989"/>
      <c r="NDC1061" s="989"/>
      <c r="NDD1061" s="989"/>
      <c r="NDE1061" s="989"/>
      <c r="NDF1061" s="989"/>
      <c r="NDG1061" s="989"/>
      <c r="NDH1061" s="989"/>
      <c r="NDI1061" s="989"/>
      <c r="NDJ1061" s="989"/>
      <c r="NDK1061" s="989"/>
      <c r="NDL1061" s="989"/>
      <c r="NDM1061" s="989"/>
      <c r="NDN1061" s="989"/>
      <c r="NDO1061" s="989"/>
      <c r="NDP1061" s="989"/>
      <c r="NDQ1061" s="989"/>
      <c r="NDR1061" s="989"/>
      <c r="NDS1061" s="989"/>
      <c r="NDT1061" s="989"/>
      <c r="NDU1061" s="989"/>
      <c r="NDV1061" s="989"/>
      <c r="NDW1061" s="989"/>
      <c r="NDX1061" s="989"/>
      <c r="NDY1061" s="989"/>
      <c r="NDZ1061" s="989"/>
      <c r="NEA1061" s="989"/>
      <c r="NEB1061" s="989"/>
      <c r="NEC1061" s="989"/>
      <c r="NED1061" s="989"/>
      <c r="NEE1061" s="989"/>
      <c r="NEF1061" s="989"/>
      <c r="NEG1061" s="989"/>
      <c r="NEH1061" s="989"/>
      <c r="NEI1061" s="989"/>
      <c r="NEJ1061" s="989"/>
      <c r="NEK1061" s="989"/>
      <c r="NEL1061" s="989"/>
      <c r="NEM1061" s="989"/>
      <c r="NEN1061" s="989"/>
      <c r="NEO1061" s="989"/>
      <c r="NEP1061" s="989"/>
      <c r="NEQ1061" s="989"/>
      <c r="NER1061" s="989"/>
      <c r="NES1061" s="989"/>
      <c r="NET1061" s="989"/>
      <c r="NEU1061" s="989"/>
      <c r="NEV1061" s="989"/>
      <c r="NEW1061" s="989"/>
      <c r="NEX1061" s="989"/>
      <c r="NEY1061" s="989"/>
      <c r="NEZ1061" s="989"/>
      <c r="NFA1061" s="989"/>
      <c r="NFB1061" s="989"/>
      <c r="NFC1061" s="989"/>
      <c r="NFD1061" s="989"/>
      <c r="NFE1061" s="989"/>
      <c r="NFF1061" s="989"/>
      <c r="NFG1061" s="989"/>
      <c r="NFH1061" s="989"/>
      <c r="NFI1061" s="989"/>
      <c r="NFJ1061" s="989"/>
      <c r="NFK1061" s="989"/>
      <c r="NFL1061" s="989"/>
      <c r="NFM1061" s="989"/>
      <c r="NFN1061" s="989"/>
      <c r="NFO1061" s="989"/>
      <c r="NFP1061" s="989"/>
      <c r="NFQ1061" s="989"/>
      <c r="NFR1061" s="989"/>
      <c r="NFS1061" s="989"/>
      <c r="NFT1061" s="989"/>
      <c r="NFU1061" s="989"/>
      <c r="NFV1061" s="989"/>
      <c r="NFW1061" s="989"/>
      <c r="NFX1061" s="989"/>
      <c r="NFY1061" s="989"/>
      <c r="NFZ1061" s="989"/>
      <c r="NGA1061" s="989"/>
      <c r="NGB1061" s="989"/>
      <c r="NGC1061" s="989"/>
      <c r="NGD1061" s="989"/>
      <c r="NGE1061" s="989"/>
      <c r="NGF1061" s="989"/>
      <c r="NGG1061" s="989"/>
      <c r="NGH1061" s="989"/>
      <c r="NGI1061" s="989"/>
      <c r="NGJ1061" s="989"/>
      <c r="NGK1061" s="989"/>
      <c r="NGL1061" s="989"/>
      <c r="NGM1061" s="989"/>
      <c r="NGN1061" s="989"/>
      <c r="NGO1061" s="989"/>
      <c r="NGP1061" s="989"/>
      <c r="NGQ1061" s="989"/>
      <c r="NGR1061" s="989"/>
      <c r="NGS1061" s="989"/>
      <c r="NGT1061" s="989"/>
      <c r="NGU1061" s="989"/>
      <c r="NGV1061" s="989"/>
      <c r="NGW1061" s="989"/>
      <c r="NGX1061" s="989"/>
      <c r="NGY1061" s="989"/>
      <c r="NGZ1061" s="989"/>
      <c r="NHA1061" s="989"/>
      <c r="NHB1061" s="989"/>
      <c r="NHC1061" s="989"/>
      <c r="NHD1061" s="989"/>
      <c r="NHE1061" s="989"/>
      <c r="NHF1061" s="989"/>
      <c r="NHG1061" s="989"/>
      <c r="NHH1061" s="989"/>
      <c r="NHI1061" s="989"/>
      <c r="NHJ1061" s="989"/>
      <c r="NHK1061" s="989"/>
      <c r="NHL1061" s="989"/>
      <c r="NHM1061" s="989"/>
      <c r="NHN1061" s="989"/>
      <c r="NHO1061" s="989"/>
      <c r="NHP1061" s="989"/>
      <c r="NHQ1061" s="989"/>
      <c r="NHR1061" s="989"/>
      <c r="NHS1061" s="989"/>
      <c r="NHT1061" s="989"/>
      <c r="NHU1061" s="989"/>
      <c r="NHV1061" s="989"/>
      <c r="NHW1061" s="989"/>
      <c r="NHX1061" s="989"/>
      <c r="NHY1061" s="989"/>
      <c r="NHZ1061" s="989"/>
      <c r="NIA1061" s="989"/>
      <c r="NIB1061" s="989"/>
      <c r="NIC1061" s="989"/>
      <c r="NID1061" s="989"/>
      <c r="NIE1061" s="989"/>
      <c r="NIF1061" s="989"/>
      <c r="NIG1061" s="989"/>
      <c r="NIH1061" s="989"/>
      <c r="NII1061" s="989"/>
      <c r="NIJ1061" s="989"/>
      <c r="NIK1061" s="989"/>
      <c r="NIL1061" s="989"/>
      <c r="NIM1061" s="989"/>
      <c r="NIN1061" s="989"/>
      <c r="NIO1061" s="989"/>
      <c r="NIP1061" s="989"/>
      <c r="NIQ1061" s="989"/>
      <c r="NIR1061" s="989"/>
      <c r="NIS1061" s="989"/>
      <c r="NIT1061" s="989"/>
      <c r="NIU1061" s="989"/>
      <c r="NIV1061" s="989"/>
      <c r="NIW1061" s="989"/>
      <c r="NIX1061" s="989"/>
      <c r="NIY1061" s="989"/>
      <c r="NIZ1061" s="989"/>
      <c r="NJA1061" s="989"/>
      <c r="NJB1061" s="989"/>
      <c r="NJC1061" s="989"/>
      <c r="NJD1061" s="989"/>
      <c r="NJE1061" s="989"/>
      <c r="NJF1061" s="989"/>
      <c r="NJG1061" s="989"/>
      <c r="NJH1061" s="989"/>
      <c r="NJI1061" s="989"/>
      <c r="NJJ1061" s="989"/>
      <c r="NJK1061" s="989"/>
      <c r="NJL1061" s="989"/>
      <c r="NJM1061" s="989"/>
      <c r="NJN1061" s="989"/>
      <c r="NJO1061" s="989"/>
      <c r="NJP1061" s="989"/>
      <c r="NJQ1061" s="989"/>
      <c r="NJR1061" s="989"/>
      <c r="NJS1061" s="989"/>
      <c r="NJT1061" s="989"/>
      <c r="NJU1061" s="989"/>
      <c r="NJV1061" s="989"/>
      <c r="NJW1061" s="989"/>
      <c r="NJX1061" s="989"/>
      <c r="NJY1061" s="989"/>
      <c r="NJZ1061" s="989"/>
      <c r="NKA1061" s="989"/>
      <c r="NKB1061" s="989"/>
      <c r="NKC1061" s="989"/>
      <c r="NKD1061" s="989"/>
      <c r="NKE1061" s="989"/>
      <c r="NKF1061" s="989"/>
      <c r="NKG1061" s="989"/>
      <c r="NKH1061" s="989"/>
      <c r="NKI1061" s="989"/>
      <c r="NKJ1061" s="989"/>
      <c r="NKK1061" s="989"/>
      <c r="NKL1061" s="989"/>
      <c r="NKM1061" s="989"/>
      <c r="NKN1061" s="989"/>
      <c r="NKO1061" s="989"/>
      <c r="NKP1061" s="989"/>
      <c r="NKQ1061" s="989"/>
      <c r="NKR1061" s="989"/>
      <c r="NKS1061" s="989"/>
      <c r="NKT1061" s="989"/>
      <c r="NKU1061" s="989"/>
      <c r="NKV1061" s="989"/>
      <c r="NKW1061" s="989"/>
      <c r="NKX1061" s="989"/>
      <c r="NKY1061" s="989"/>
      <c r="NKZ1061" s="989"/>
      <c r="NLA1061" s="989"/>
      <c r="NLB1061" s="989"/>
      <c r="NLC1061" s="989"/>
      <c r="NLD1061" s="989"/>
      <c r="NLE1061" s="989"/>
      <c r="NLF1061" s="989"/>
      <c r="NLG1061" s="989"/>
      <c r="NLH1061" s="989"/>
      <c r="NLI1061" s="989"/>
      <c r="NLJ1061" s="989"/>
      <c r="NLK1061" s="989"/>
      <c r="NLL1061" s="989"/>
      <c r="NLM1061" s="989"/>
      <c r="NLN1061" s="989"/>
      <c r="NLO1061" s="989"/>
      <c r="NLP1061" s="989"/>
      <c r="NLQ1061" s="989"/>
      <c r="NLR1061" s="989"/>
      <c r="NLS1061" s="989"/>
      <c r="NLT1061" s="989"/>
      <c r="NLU1061" s="989"/>
      <c r="NLV1061" s="989"/>
      <c r="NLW1061" s="989"/>
      <c r="NLX1061" s="989"/>
      <c r="NLY1061" s="989"/>
      <c r="NLZ1061" s="989"/>
      <c r="NMA1061" s="989"/>
      <c r="NMB1061" s="989"/>
      <c r="NMC1061" s="989"/>
      <c r="NMD1061" s="989"/>
      <c r="NME1061" s="989"/>
      <c r="NMF1061" s="989"/>
      <c r="NMG1061" s="989"/>
      <c r="NMH1061" s="989"/>
      <c r="NMI1061" s="989"/>
      <c r="NMJ1061" s="989"/>
      <c r="NMK1061" s="989"/>
      <c r="NML1061" s="989"/>
      <c r="NMM1061" s="989"/>
      <c r="NMN1061" s="989"/>
      <c r="NMO1061" s="989"/>
      <c r="NMP1061" s="989"/>
      <c r="NMQ1061" s="989"/>
      <c r="NMR1061" s="989"/>
      <c r="NMS1061" s="989"/>
      <c r="NMT1061" s="989"/>
      <c r="NMU1061" s="989"/>
      <c r="NMV1061" s="989"/>
      <c r="NMW1061" s="989"/>
      <c r="NMX1061" s="989"/>
      <c r="NMY1061" s="989"/>
      <c r="NMZ1061" s="989"/>
      <c r="NNA1061" s="989"/>
      <c r="NNB1061" s="989"/>
      <c r="NNC1061" s="989"/>
      <c r="NND1061" s="989"/>
      <c r="NNE1061" s="989"/>
      <c r="NNF1061" s="989"/>
      <c r="NNG1061" s="989"/>
      <c r="NNH1061" s="989"/>
      <c r="NNI1061" s="989"/>
      <c r="NNJ1061" s="989"/>
      <c r="NNK1061" s="989"/>
      <c r="NNL1061" s="989"/>
      <c r="NNM1061" s="989"/>
      <c r="NNN1061" s="989"/>
      <c r="NNO1061" s="989"/>
      <c r="NNP1061" s="989"/>
      <c r="NNQ1061" s="989"/>
      <c r="NNR1061" s="989"/>
      <c r="NNS1061" s="989"/>
      <c r="NNT1061" s="989"/>
      <c r="NNU1061" s="989"/>
      <c r="NNV1061" s="989"/>
      <c r="NNW1061" s="989"/>
      <c r="NNX1061" s="989"/>
      <c r="NNY1061" s="989"/>
      <c r="NNZ1061" s="989"/>
      <c r="NOA1061" s="989"/>
      <c r="NOB1061" s="989"/>
      <c r="NOC1061" s="989"/>
      <c r="NOD1061" s="989"/>
      <c r="NOE1061" s="989"/>
      <c r="NOF1061" s="989"/>
      <c r="NOG1061" s="989"/>
      <c r="NOH1061" s="989"/>
      <c r="NOI1061" s="989"/>
      <c r="NOJ1061" s="989"/>
      <c r="NOK1061" s="989"/>
      <c r="NOL1061" s="989"/>
      <c r="NOM1061" s="989"/>
      <c r="NON1061" s="989"/>
      <c r="NOO1061" s="989"/>
      <c r="NOP1061" s="989"/>
      <c r="NOQ1061" s="989"/>
      <c r="NOR1061" s="989"/>
      <c r="NOS1061" s="989"/>
      <c r="NOT1061" s="989"/>
      <c r="NOU1061" s="989"/>
      <c r="NOV1061" s="989"/>
      <c r="NOW1061" s="989"/>
      <c r="NOX1061" s="989"/>
      <c r="NOY1061" s="989"/>
      <c r="NOZ1061" s="989"/>
      <c r="NPA1061" s="989"/>
      <c r="NPB1061" s="989"/>
      <c r="NPC1061" s="989"/>
      <c r="NPD1061" s="989"/>
      <c r="NPE1061" s="989"/>
      <c r="NPF1061" s="989"/>
      <c r="NPG1061" s="989"/>
      <c r="NPH1061" s="989"/>
      <c r="NPI1061" s="989"/>
      <c r="NPJ1061" s="989"/>
      <c r="NPK1061" s="989"/>
      <c r="NPL1061" s="989"/>
      <c r="NPM1061" s="989"/>
      <c r="NPN1061" s="989"/>
      <c r="NPO1061" s="989"/>
      <c r="NPP1061" s="989"/>
      <c r="NPQ1061" s="989"/>
      <c r="NPR1061" s="989"/>
      <c r="NPS1061" s="989"/>
      <c r="NPT1061" s="989"/>
      <c r="NPU1061" s="989"/>
      <c r="NPV1061" s="989"/>
      <c r="NPW1061" s="989"/>
      <c r="NPX1061" s="989"/>
      <c r="NPY1061" s="989"/>
      <c r="NPZ1061" s="989"/>
      <c r="NQA1061" s="989"/>
      <c r="NQB1061" s="989"/>
      <c r="NQC1061" s="989"/>
      <c r="NQD1061" s="989"/>
      <c r="NQE1061" s="989"/>
      <c r="NQF1061" s="989"/>
      <c r="NQG1061" s="989"/>
      <c r="NQH1061" s="989"/>
      <c r="NQI1061" s="989"/>
      <c r="NQJ1061" s="989"/>
      <c r="NQK1061" s="989"/>
      <c r="NQL1061" s="989"/>
      <c r="NQM1061" s="989"/>
      <c r="NQN1061" s="989"/>
      <c r="NQO1061" s="989"/>
      <c r="NQP1061" s="989"/>
      <c r="NQQ1061" s="989"/>
      <c r="NQR1061" s="989"/>
      <c r="NQS1061" s="989"/>
      <c r="NQT1061" s="989"/>
      <c r="NQU1061" s="989"/>
      <c r="NQV1061" s="989"/>
      <c r="NQW1061" s="989"/>
      <c r="NQX1061" s="989"/>
      <c r="NQY1061" s="989"/>
      <c r="NQZ1061" s="989"/>
      <c r="NRA1061" s="989"/>
      <c r="NRB1061" s="989"/>
      <c r="NRC1061" s="989"/>
      <c r="NRD1061" s="989"/>
      <c r="NRE1061" s="989"/>
      <c r="NRF1061" s="989"/>
      <c r="NRG1061" s="989"/>
      <c r="NRH1061" s="989"/>
      <c r="NRI1061" s="989"/>
      <c r="NRJ1061" s="989"/>
      <c r="NRK1061" s="989"/>
      <c r="NRL1061" s="989"/>
      <c r="NRM1061" s="989"/>
      <c r="NRN1061" s="989"/>
      <c r="NRO1061" s="989"/>
      <c r="NRP1061" s="989"/>
      <c r="NRQ1061" s="989"/>
      <c r="NRR1061" s="989"/>
      <c r="NRS1061" s="989"/>
      <c r="NRT1061" s="989"/>
      <c r="NRU1061" s="989"/>
      <c r="NRV1061" s="989"/>
      <c r="NRW1061" s="989"/>
      <c r="NRX1061" s="989"/>
      <c r="NRY1061" s="989"/>
      <c r="NRZ1061" s="989"/>
      <c r="NSA1061" s="989"/>
      <c r="NSB1061" s="989"/>
      <c r="NSC1061" s="989"/>
      <c r="NSD1061" s="989"/>
      <c r="NSE1061" s="989"/>
      <c r="NSF1061" s="989"/>
      <c r="NSG1061" s="989"/>
      <c r="NSH1061" s="989"/>
      <c r="NSI1061" s="989"/>
      <c r="NSJ1061" s="989"/>
      <c r="NSK1061" s="989"/>
      <c r="NSL1061" s="989"/>
      <c r="NSM1061" s="989"/>
      <c r="NSN1061" s="989"/>
      <c r="NSO1061" s="989"/>
      <c r="NSP1061" s="989"/>
      <c r="NSQ1061" s="989"/>
      <c r="NSR1061" s="989"/>
      <c r="NSS1061" s="989"/>
      <c r="NST1061" s="989"/>
      <c r="NSU1061" s="989"/>
      <c r="NSV1061" s="989"/>
      <c r="NSW1061" s="989"/>
      <c r="NSX1061" s="989"/>
      <c r="NSY1061" s="989"/>
      <c r="NSZ1061" s="989"/>
      <c r="NTA1061" s="989"/>
      <c r="NTB1061" s="989"/>
      <c r="NTC1061" s="989"/>
      <c r="NTD1061" s="989"/>
      <c r="NTE1061" s="989"/>
      <c r="NTF1061" s="989"/>
      <c r="NTG1061" s="989"/>
      <c r="NTH1061" s="989"/>
      <c r="NTI1061" s="989"/>
      <c r="NTJ1061" s="989"/>
      <c r="NTK1061" s="989"/>
      <c r="NTL1061" s="989"/>
      <c r="NTM1061" s="989"/>
      <c r="NTN1061" s="989"/>
      <c r="NTO1061" s="989"/>
      <c r="NTP1061" s="989"/>
      <c r="NTQ1061" s="989"/>
      <c r="NTR1061" s="989"/>
      <c r="NTS1061" s="989"/>
      <c r="NTT1061" s="989"/>
      <c r="NTU1061" s="989"/>
      <c r="NTV1061" s="989"/>
      <c r="NTW1061" s="989"/>
      <c r="NTX1061" s="989"/>
      <c r="NTY1061" s="989"/>
      <c r="NTZ1061" s="989"/>
      <c r="NUA1061" s="989"/>
      <c r="NUB1061" s="989"/>
      <c r="NUC1061" s="989"/>
      <c r="NUD1061" s="989"/>
      <c r="NUE1061" s="989"/>
      <c r="NUF1061" s="989"/>
      <c r="NUG1061" s="989"/>
      <c r="NUH1061" s="989"/>
      <c r="NUI1061" s="989"/>
      <c r="NUJ1061" s="989"/>
      <c r="NUK1061" s="989"/>
      <c r="NUL1061" s="989"/>
      <c r="NUM1061" s="989"/>
      <c r="NUN1061" s="989"/>
      <c r="NUO1061" s="989"/>
      <c r="NUP1061" s="989"/>
      <c r="NUQ1061" s="989"/>
      <c r="NUR1061" s="989"/>
      <c r="NUS1061" s="989"/>
      <c r="NUT1061" s="989"/>
      <c r="NUU1061" s="989"/>
      <c r="NUV1061" s="989"/>
      <c r="NUW1061" s="989"/>
      <c r="NUX1061" s="989"/>
      <c r="NUY1061" s="989"/>
      <c r="NUZ1061" s="989"/>
      <c r="NVA1061" s="989"/>
      <c r="NVB1061" s="989"/>
      <c r="NVC1061" s="989"/>
      <c r="NVD1061" s="989"/>
      <c r="NVE1061" s="989"/>
      <c r="NVF1061" s="989"/>
      <c r="NVG1061" s="989"/>
      <c r="NVH1061" s="989"/>
      <c r="NVI1061" s="989"/>
      <c r="NVJ1061" s="989"/>
      <c r="NVK1061" s="989"/>
      <c r="NVL1061" s="989"/>
      <c r="NVM1061" s="989"/>
      <c r="NVN1061" s="989"/>
      <c r="NVO1061" s="989"/>
      <c r="NVP1061" s="989"/>
      <c r="NVQ1061" s="989"/>
      <c r="NVR1061" s="989"/>
      <c r="NVS1061" s="989"/>
      <c r="NVT1061" s="989"/>
      <c r="NVU1061" s="989"/>
      <c r="NVV1061" s="989"/>
      <c r="NVW1061" s="989"/>
      <c r="NVX1061" s="989"/>
      <c r="NVY1061" s="989"/>
      <c r="NVZ1061" s="989"/>
      <c r="NWA1061" s="989"/>
      <c r="NWB1061" s="989"/>
      <c r="NWC1061" s="989"/>
      <c r="NWD1061" s="989"/>
      <c r="NWE1061" s="989"/>
      <c r="NWF1061" s="989"/>
      <c r="NWG1061" s="989"/>
      <c r="NWH1061" s="989"/>
      <c r="NWI1061" s="989"/>
      <c r="NWJ1061" s="989"/>
      <c r="NWK1061" s="989"/>
      <c r="NWL1061" s="989"/>
      <c r="NWM1061" s="989"/>
      <c r="NWN1061" s="989"/>
      <c r="NWO1061" s="989"/>
      <c r="NWP1061" s="989"/>
      <c r="NWQ1061" s="989"/>
      <c r="NWR1061" s="989"/>
      <c r="NWS1061" s="989"/>
      <c r="NWT1061" s="989"/>
      <c r="NWU1061" s="989"/>
      <c r="NWV1061" s="989"/>
      <c r="NWW1061" s="989"/>
      <c r="NWX1061" s="989"/>
      <c r="NWY1061" s="989"/>
      <c r="NWZ1061" s="989"/>
      <c r="NXA1061" s="989"/>
      <c r="NXB1061" s="989"/>
      <c r="NXC1061" s="989"/>
      <c r="NXD1061" s="989"/>
      <c r="NXE1061" s="989"/>
      <c r="NXF1061" s="989"/>
      <c r="NXG1061" s="989"/>
      <c r="NXH1061" s="989"/>
      <c r="NXI1061" s="989"/>
      <c r="NXJ1061" s="989"/>
      <c r="NXK1061" s="989"/>
      <c r="NXL1061" s="989"/>
      <c r="NXM1061" s="989"/>
      <c r="NXN1061" s="989"/>
      <c r="NXO1061" s="989"/>
      <c r="NXP1061" s="989"/>
      <c r="NXQ1061" s="989"/>
      <c r="NXR1061" s="989"/>
      <c r="NXS1061" s="989"/>
      <c r="NXT1061" s="989"/>
      <c r="NXU1061" s="989"/>
      <c r="NXV1061" s="989"/>
      <c r="NXW1061" s="989"/>
      <c r="NXX1061" s="989"/>
      <c r="NXY1061" s="989"/>
      <c r="NXZ1061" s="989"/>
      <c r="NYA1061" s="989"/>
      <c r="NYB1061" s="989"/>
      <c r="NYC1061" s="989"/>
      <c r="NYD1061" s="989"/>
      <c r="NYE1061" s="989"/>
      <c r="NYF1061" s="989"/>
      <c r="NYG1061" s="989"/>
      <c r="NYH1061" s="989"/>
      <c r="NYI1061" s="989"/>
      <c r="NYJ1061" s="989"/>
      <c r="NYK1061" s="989"/>
      <c r="NYL1061" s="989"/>
      <c r="NYM1061" s="989"/>
      <c r="NYN1061" s="989"/>
      <c r="NYO1061" s="989"/>
      <c r="NYP1061" s="989"/>
      <c r="NYQ1061" s="989"/>
      <c r="NYR1061" s="989"/>
      <c r="NYS1061" s="989"/>
      <c r="NYT1061" s="989"/>
      <c r="NYU1061" s="989"/>
      <c r="NYV1061" s="989"/>
      <c r="NYW1061" s="989"/>
      <c r="NYX1061" s="989"/>
      <c r="NYY1061" s="989"/>
      <c r="NYZ1061" s="989"/>
      <c r="NZA1061" s="989"/>
      <c r="NZB1061" s="989"/>
      <c r="NZC1061" s="989"/>
      <c r="NZD1061" s="989"/>
      <c r="NZE1061" s="989"/>
      <c r="NZF1061" s="989"/>
      <c r="NZG1061" s="989"/>
      <c r="NZH1061" s="989"/>
      <c r="NZI1061" s="989"/>
      <c r="NZJ1061" s="989"/>
      <c r="NZK1061" s="989"/>
      <c r="NZL1061" s="989"/>
      <c r="NZM1061" s="989"/>
      <c r="NZN1061" s="989"/>
      <c r="NZO1061" s="989"/>
      <c r="NZP1061" s="989"/>
      <c r="NZQ1061" s="989"/>
      <c r="NZR1061" s="989"/>
      <c r="NZS1061" s="989"/>
      <c r="NZT1061" s="989"/>
      <c r="NZU1061" s="989"/>
      <c r="NZV1061" s="989"/>
      <c r="NZW1061" s="989"/>
      <c r="NZX1061" s="989"/>
      <c r="NZY1061" s="989"/>
      <c r="NZZ1061" s="989"/>
      <c r="OAA1061" s="989"/>
      <c r="OAB1061" s="989"/>
      <c r="OAC1061" s="989"/>
      <c r="OAD1061" s="989"/>
      <c r="OAE1061" s="989"/>
      <c r="OAF1061" s="989"/>
      <c r="OAG1061" s="989"/>
      <c r="OAH1061" s="989"/>
      <c r="OAI1061" s="989"/>
      <c r="OAJ1061" s="989"/>
      <c r="OAK1061" s="989"/>
      <c r="OAL1061" s="989"/>
      <c r="OAM1061" s="989"/>
      <c r="OAN1061" s="989"/>
      <c r="OAO1061" s="989"/>
      <c r="OAP1061" s="989"/>
      <c r="OAQ1061" s="989"/>
      <c r="OAR1061" s="989"/>
      <c r="OAS1061" s="989"/>
      <c r="OAT1061" s="989"/>
      <c r="OAU1061" s="989"/>
      <c r="OAV1061" s="989"/>
      <c r="OAW1061" s="989"/>
      <c r="OAX1061" s="989"/>
      <c r="OAY1061" s="989"/>
      <c r="OAZ1061" s="989"/>
      <c r="OBA1061" s="989"/>
      <c r="OBB1061" s="989"/>
      <c r="OBC1061" s="989"/>
      <c r="OBD1061" s="989"/>
      <c r="OBE1061" s="989"/>
      <c r="OBF1061" s="989"/>
      <c r="OBG1061" s="989"/>
      <c r="OBH1061" s="989"/>
      <c r="OBI1061" s="989"/>
      <c r="OBJ1061" s="989"/>
      <c r="OBK1061" s="989"/>
      <c r="OBL1061" s="989"/>
      <c r="OBM1061" s="989"/>
      <c r="OBN1061" s="989"/>
      <c r="OBO1061" s="989"/>
      <c r="OBP1061" s="989"/>
      <c r="OBQ1061" s="989"/>
      <c r="OBR1061" s="989"/>
      <c r="OBS1061" s="989"/>
      <c r="OBT1061" s="989"/>
      <c r="OBU1061" s="989"/>
      <c r="OBV1061" s="989"/>
      <c r="OBW1061" s="989"/>
      <c r="OBX1061" s="989"/>
      <c r="OBY1061" s="989"/>
      <c r="OBZ1061" s="989"/>
      <c r="OCA1061" s="989"/>
      <c r="OCB1061" s="989"/>
      <c r="OCC1061" s="989"/>
      <c r="OCD1061" s="989"/>
      <c r="OCE1061" s="989"/>
      <c r="OCF1061" s="989"/>
      <c r="OCG1061" s="989"/>
      <c r="OCH1061" s="989"/>
      <c r="OCI1061" s="989"/>
      <c r="OCJ1061" s="989"/>
      <c r="OCK1061" s="989"/>
      <c r="OCL1061" s="989"/>
      <c r="OCM1061" s="989"/>
      <c r="OCN1061" s="989"/>
      <c r="OCO1061" s="989"/>
      <c r="OCP1061" s="989"/>
      <c r="OCQ1061" s="989"/>
      <c r="OCR1061" s="989"/>
      <c r="OCS1061" s="989"/>
      <c r="OCT1061" s="989"/>
      <c r="OCU1061" s="989"/>
      <c r="OCV1061" s="989"/>
      <c r="OCW1061" s="989"/>
      <c r="OCX1061" s="989"/>
      <c r="OCY1061" s="989"/>
      <c r="OCZ1061" s="989"/>
      <c r="ODA1061" s="989"/>
      <c r="ODB1061" s="989"/>
      <c r="ODC1061" s="989"/>
      <c r="ODD1061" s="989"/>
      <c r="ODE1061" s="989"/>
      <c r="ODF1061" s="989"/>
      <c r="ODG1061" s="989"/>
      <c r="ODH1061" s="989"/>
      <c r="ODI1061" s="989"/>
      <c r="ODJ1061" s="989"/>
      <c r="ODK1061" s="989"/>
      <c r="ODL1061" s="989"/>
      <c r="ODM1061" s="989"/>
      <c r="ODN1061" s="989"/>
      <c r="ODO1061" s="989"/>
      <c r="ODP1061" s="989"/>
      <c r="ODQ1061" s="989"/>
      <c r="ODR1061" s="989"/>
      <c r="ODS1061" s="989"/>
      <c r="ODT1061" s="989"/>
      <c r="ODU1061" s="989"/>
      <c r="ODV1061" s="989"/>
      <c r="ODW1061" s="989"/>
      <c r="ODX1061" s="989"/>
      <c r="ODY1061" s="989"/>
      <c r="ODZ1061" s="989"/>
      <c r="OEA1061" s="989"/>
      <c r="OEB1061" s="989"/>
      <c r="OEC1061" s="989"/>
      <c r="OED1061" s="989"/>
      <c r="OEE1061" s="989"/>
      <c r="OEF1061" s="989"/>
      <c r="OEG1061" s="989"/>
      <c r="OEH1061" s="989"/>
      <c r="OEI1061" s="989"/>
      <c r="OEJ1061" s="989"/>
      <c r="OEK1061" s="989"/>
      <c r="OEL1061" s="989"/>
      <c r="OEM1061" s="989"/>
      <c r="OEN1061" s="989"/>
      <c r="OEO1061" s="989"/>
      <c r="OEP1061" s="989"/>
      <c r="OEQ1061" s="989"/>
      <c r="OER1061" s="989"/>
      <c r="OES1061" s="989"/>
      <c r="OET1061" s="989"/>
      <c r="OEU1061" s="989"/>
      <c r="OEV1061" s="989"/>
      <c r="OEW1061" s="989"/>
      <c r="OEX1061" s="989"/>
      <c r="OEY1061" s="989"/>
      <c r="OEZ1061" s="989"/>
      <c r="OFA1061" s="989"/>
      <c r="OFB1061" s="989"/>
      <c r="OFC1061" s="989"/>
      <c r="OFD1061" s="989"/>
      <c r="OFE1061" s="989"/>
      <c r="OFF1061" s="989"/>
      <c r="OFG1061" s="989"/>
      <c r="OFH1061" s="989"/>
      <c r="OFI1061" s="989"/>
      <c r="OFJ1061" s="989"/>
      <c r="OFK1061" s="989"/>
      <c r="OFL1061" s="989"/>
      <c r="OFM1061" s="989"/>
      <c r="OFN1061" s="989"/>
      <c r="OFO1061" s="989"/>
      <c r="OFP1061" s="989"/>
      <c r="OFQ1061" s="989"/>
      <c r="OFR1061" s="989"/>
      <c r="OFS1061" s="989"/>
      <c r="OFT1061" s="989"/>
      <c r="OFU1061" s="989"/>
      <c r="OFV1061" s="989"/>
      <c r="OFW1061" s="989"/>
      <c r="OFX1061" s="989"/>
      <c r="OFY1061" s="989"/>
      <c r="OFZ1061" s="989"/>
      <c r="OGA1061" s="989"/>
      <c r="OGB1061" s="989"/>
      <c r="OGC1061" s="989"/>
      <c r="OGD1061" s="989"/>
      <c r="OGE1061" s="989"/>
      <c r="OGF1061" s="989"/>
      <c r="OGG1061" s="989"/>
      <c r="OGH1061" s="989"/>
      <c r="OGI1061" s="989"/>
      <c r="OGJ1061" s="989"/>
      <c r="OGK1061" s="989"/>
      <c r="OGL1061" s="989"/>
      <c r="OGM1061" s="989"/>
      <c r="OGN1061" s="989"/>
      <c r="OGO1061" s="989"/>
      <c r="OGP1061" s="989"/>
      <c r="OGQ1061" s="989"/>
      <c r="OGR1061" s="989"/>
      <c r="OGS1061" s="989"/>
      <c r="OGT1061" s="989"/>
      <c r="OGU1061" s="989"/>
      <c r="OGV1061" s="989"/>
      <c r="OGW1061" s="989"/>
      <c r="OGX1061" s="989"/>
      <c r="OGY1061" s="989"/>
      <c r="OGZ1061" s="989"/>
      <c r="OHA1061" s="989"/>
      <c r="OHB1061" s="989"/>
      <c r="OHC1061" s="989"/>
      <c r="OHD1061" s="989"/>
      <c r="OHE1061" s="989"/>
      <c r="OHF1061" s="989"/>
      <c r="OHG1061" s="989"/>
      <c r="OHH1061" s="989"/>
      <c r="OHI1061" s="989"/>
      <c r="OHJ1061" s="989"/>
      <c r="OHK1061" s="989"/>
      <c r="OHL1061" s="989"/>
      <c r="OHM1061" s="989"/>
      <c r="OHN1061" s="989"/>
      <c r="OHO1061" s="989"/>
      <c r="OHP1061" s="989"/>
      <c r="OHQ1061" s="989"/>
      <c r="OHR1061" s="989"/>
      <c r="OHS1061" s="989"/>
      <c r="OHT1061" s="989"/>
      <c r="OHU1061" s="989"/>
      <c r="OHV1061" s="989"/>
      <c r="OHW1061" s="989"/>
      <c r="OHX1061" s="989"/>
      <c r="OHY1061" s="989"/>
      <c r="OHZ1061" s="989"/>
      <c r="OIA1061" s="989"/>
      <c r="OIB1061" s="989"/>
      <c r="OIC1061" s="989"/>
      <c r="OID1061" s="989"/>
      <c r="OIE1061" s="989"/>
      <c r="OIF1061" s="989"/>
      <c r="OIG1061" s="989"/>
      <c r="OIH1061" s="989"/>
      <c r="OII1061" s="989"/>
      <c r="OIJ1061" s="989"/>
      <c r="OIK1061" s="989"/>
      <c r="OIL1061" s="989"/>
      <c r="OIM1061" s="989"/>
      <c r="OIN1061" s="989"/>
      <c r="OIO1061" s="989"/>
      <c r="OIP1061" s="989"/>
      <c r="OIQ1061" s="989"/>
      <c r="OIR1061" s="989"/>
      <c r="OIS1061" s="989"/>
      <c r="OIT1061" s="989"/>
      <c r="OIU1061" s="989"/>
      <c r="OIV1061" s="989"/>
      <c r="OIW1061" s="989"/>
      <c r="OIX1061" s="989"/>
      <c r="OIY1061" s="989"/>
      <c r="OIZ1061" s="989"/>
      <c r="OJA1061" s="989"/>
      <c r="OJB1061" s="989"/>
      <c r="OJC1061" s="989"/>
      <c r="OJD1061" s="989"/>
      <c r="OJE1061" s="989"/>
      <c r="OJF1061" s="989"/>
      <c r="OJG1061" s="989"/>
      <c r="OJH1061" s="989"/>
      <c r="OJI1061" s="989"/>
      <c r="OJJ1061" s="989"/>
      <c r="OJK1061" s="989"/>
      <c r="OJL1061" s="989"/>
      <c r="OJM1061" s="989"/>
      <c r="OJN1061" s="989"/>
      <c r="OJO1061" s="989"/>
      <c r="OJP1061" s="989"/>
      <c r="OJQ1061" s="989"/>
      <c r="OJR1061" s="989"/>
      <c r="OJS1061" s="989"/>
      <c r="OJT1061" s="989"/>
      <c r="OJU1061" s="989"/>
      <c r="OJV1061" s="989"/>
      <c r="OJW1061" s="989"/>
      <c r="OJX1061" s="989"/>
      <c r="OJY1061" s="989"/>
      <c r="OJZ1061" s="989"/>
      <c r="OKA1061" s="989"/>
      <c r="OKB1061" s="989"/>
      <c r="OKC1061" s="989"/>
      <c r="OKD1061" s="989"/>
      <c r="OKE1061" s="989"/>
      <c r="OKF1061" s="989"/>
      <c r="OKG1061" s="989"/>
      <c r="OKH1061" s="989"/>
      <c r="OKI1061" s="989"/>
      <c r="OKJ1061" s="989"/>
      <c r="OKK1061" s="989"/>
      <c r="OKL1061" s="989"/>
      <c r="OKM1061" s="989"/>
      <c r="OKN1061" s="989"/>
      <c r="OKO1061" s="989"/>
      <c r="OKP1061" s="989"/>
      <c r="OKQ1061" s="989"/>
      <c r="OKR1061" s="989"/>
      <c r="OKS1061" s="989"/>
      <c r="OKT1061" s="989"/>
      <c r="OKU1061" s="989"/>
      <c r="OKV1061" s="989"/>
      <c r="OKW1061" s="989"/>
      <c r="OKX1061" s="989"/>
      <c r="OKY1061" s="989"/>
      <c r="OKZ1061" s="989"/>
      <c r="OLA1061" s="989"/>
      <c r="OLB1061" s="989"/>
      <c r="OLC1061" s="989"/>
      <c r="OLD1061" s="989"/>
      <c r="OLE1061" s="989"/>
      <c r="OLF1061" s="989"/>
      <c r="OLG1061" s="989"/>
      <c r="OLH1061" s="989"/>
      <c r="OLI1061" s="989"/>
      <c r="OLJ1061" s="989"/>
      <c r="OLK1061" s="989"/>
      <c r="OLL1061" s="989"/>
      <c r="OLM1061" s="989"/>
      <c r="OLN1061" s="989"/>
      <c r="OLO1061" s="989"/>
      <c r="OLP1061" s="989"/>
      <c r="OLQ1061" s="989"/>
      <c r="OLR1061" s="989"/>
      <c r="OLS1061" s="989"/>
      <c r="OLT1061" s="989"/>
      <c r="OLU1061" s="989"/>
      <c r="OLV1061" s="989"/>
      <c r="OLW1061" s="989"/>
      <c r="OLX1061" s="989"/>
      <c r="OLY1061" s="989"/>
      <c r="OLZ1061" s="989"/>
      <c r="OMA1061" s="989"/>
      <c r="OMB1061" s="989"/>
      <c r="OMC1061" s="989"/>
      <c r="OMD1061" s="989"/>
      <c r="OME1061" s="989"/>
      <c r="OMF1061" s="989"/>
      <c r="OMG1061" s="989"/>
      <c r="OMH1061" s="989"/>
      <c r="OMI1061" s="989"/>
      <c r="OMJ1061" s="989"/>
      <c r="OMK1061" s="989"/>
      <c r="OML1061" s="989"/>
      <c r="OMM1061" s="989"/>
      <c r="OMN1061" s="989"/>
      <c r="OMO1061" s="989"/>
      <c r="OMP1061" s="989"/>
      <c r="OMQ1061" s="989"/>
      <c r="OMR1061" s="989"/>
      <c r="OMS1061" s="989"/>
      <c r="OMT1061" s="989"/>
      <c r="OMU1061" s="989"/>
      <c r="OMV1061" s="989"/>
      <c r="OMW1061" s="989"/>
      <c r="OMX1061" s="989"/>
      <c r="OMY1061" s="989"/>
      <c r="OMZ1061" s="989"/>
      <c r="ONA1061" s="989"/>
      <c r="ONB1061" s="989"/>
      <c r="ONC1061" s="989"/>
      <c r="OND1061" s="989"/>
      <c r="ONE1061" s="989"/>
      <c r="ONF1061" s="989"/>
      <c r="ONG1061" s="989"/>
      <c r="ONH1061" s="989"/>
      <c r="ONI1061" s="989"/>
      <c r="ONJ1061" s="989"/>
      <c r="ONK1061" s="989"/>
      <c r="ONL1061" s="989"/>
      <c r="ONM1061" s="989"/>
      <c r="ONN1061" s="989"/>
      <c r="ONO1061" s="989"/>
      <c r="ONP1061" s="989"/>
      <c r="ONQ1061" s="989"/>
      <c r="ONR1061" s="989"/>
      <c r="ONS1061" s="989"/>
      <c r="ONT1061" s="989"/>
      <c r="ONU1061" s="989"/>
      <c r="ONV1061" s="989"/>
      <c r="ONW1061" s="989"/>
      <c r="ONX1061" s="989"/>
      <c r="ONY1061" s="989"/>
      <c r="ONZ1061" s="989"/>
      <c r="OOA1061" s="989"/>
      <c r="OOB1061" s="989"/>
      <c r="OOC1061" s="989"/>
      <c r="OOD1061" s="989"/>
      <c r="OOE1061" s="989"/>
      <c r="OOF1061" s="989"/>
      <c r="OOG1061" s="989"/>
      <c r="OOH1061" s="989"/>
      <c r="OOI1061" s="989"/>
      <c r="OOJ1061" s="989"/>
      <c r="OOK1061" s="989"/>
      <c r="OOL1061" s="989"/>
      <c r="OOM1061" s="989"/>
      <c r="OON1061" s="989"/>
      <c r="OOO1061" s="989"/>
      <c r="OOP1061" s="989"/>
      <c r="OOQ1061" s="989"/>
      <c r="OOR1061" s="989"/>
      <c r="OOS1061" s="989"/>
      <c r="OOT1061" s="989"/>
      <c r="OOU1061" s="989"/>
      <c r="OOV1061" s="989"/>
      <c r="OOW1061" s="989"/>
      <c r="OOX1061" s="989"/>
      <c r="OOY1061" s="989"/>
      <c r="OOZ1061" s="989"/>
      <c r="OPA1061" s="989"/>
      <c r="OPB1061" s="989"/>
      <c r="OPC1061" s="989"/>
      <c r="OPD1061" s="989"/>
      <c r="OPE1061" s="989"/>
      <c r="OPF1061" s="989"/>
      <c r="OPG1061" s="989"/>
      <c r="OPH1061" s="989"/>
      <c r="OPI1061" s="989"/>
      <c r="OPJ1061" s="989"/>
      <c r="OPK1061" s="989"/>
      <c r="OPL1061" s="989"/>
      <c r="OPM1061" s="989"/>
      <c r="OPN1061" s="989"/>
      <c r="OPO1061" s="989"/>
      <c r="OPP1061" s="989"/>
      <c r="OPQ1061" s="989"/>
      <c r="OPR1061" s="989"/>
      <c r="OPS1061" s="989"/>
      <c r="OPT1061" s="989"/>
      <c r="OPU1061" s="989"/>
      <c r="OPV1061" s="989"/>
      <c r="OPW1061" s="989"/>
      <c r="OPX1061" s="989"/>
      <c r="OPY1061" s="989"/>
      <c r="OPZ1061" s="989"/>
      <c r="OQA1061" s="989"/>
      <c r="OQB1061" s="989"/>
      <c r="OQC1061" s="989"/>
      <c r="OQD1061" s="989"/>
      <c r="OQE1061" s="989"/>
      <c r="OQF1061" s="989"/>
      <c r="OQG1061" s="989"/>
      <c r="OQH1061" s="989"/>
      <c r="OQI1061" s="989"/>
      <c r="OQJ1061" s="989"/>
      <c r="OQK1061" s="989"/>
      <c r="OQL1061" s="989"/>
      <c r="OQM1061" s="989"/>
      <c r="OQN1061" s="989"/>
      <c r="OQO1061" s="989"/>
      <c r="OQP1061" s="989"/>
      <c r="OQQ1061" s="989"/>
      <c r="OQR1061" s="989"/>
      <c r="OQS1061" s="989"/>
      <c r="OQT1061" s="989"/>
      <c r="OQU1061" s="989"/>
      <c r="OQV1061" s="989"/>
      <c r="OQW1061" s="989"/>
      <c r="OQX1061" s="989"/>
      <c r="OQY1061" s="989"/>
      <c r="OQZ1061" s="989"/>
      <c r="ORA1061" s="989"/>
      <c r="ORB1061" s="989"/>
      <c r="ORC1061" s="989"/>
      <c r="ORD1061" s="989"/>
      <c r="ORE1061" s="989"/>
      <c r="ORF1061" s="989"/>
      <c r="ORG1061" s="989"/>
      <c r="ORH1061" s="989"/>
      <c r="ORI1061" s="989"/>
      <c r="ORJ1061" s="989"/>
      <c r="ORK1061" s="989"/>
      <c r="ORL1061" s="989"/>
      <c r="ORM1061" s="989"/>
      <c r="ORN1061" s="989"/>
      <c r="ORO1061" s="989"/>
      <c r="ORP1061" s="989"/>
      <c r="ORQ1061" s="989"/>
      <c r="ORR1061" s="989"/>
      <c r="ORS1061" s="989"/>
      <c r="ORT1061" s="989"/>
      <c r="ORU1061" s="989"/>
      <c r="ORV1061" s="989"/>
      <c r="ORW1061" s="989"/>
      <c r="ORX1061" s="989"/>
      <c r="ORY1061" s="989"/>
      <c r="ORZ1061" s="989"/>
      <c r="OSA1061" s="989"/>
      <c r="OSB1061" s="989"/>
      <c r="OSC1061" s="989"/>
      <c r="OSD1061" s="989"/>
      <c r="OSE1061" s="989"/>
      <c r="OSF1061" s="989"/>
      <c r="OSG1061" s="989"/>
      <c r="OSH1061" s="989"/>
      <c r="OSI1061" s="989"/>
      <c r="OSJ1061" s="989"/>
      <c r="OSK1061" s="989"/>
      <c r="OSL1061" s="989"/>
      <c r="OSM1061" s="989"/>
      <c r="OSN1061" s="989"/>
      <c r="OSO1061" s="989"/>
      <c r="OSP1061" s="989"/>
      <c r="OSQ1061" s="989"/>
      <c r="OSR1061" s="989"/>
      <c r="OSS1061" s="989"/>
      <c r="OST1061" s="989"/>
      <c r="OSU1061" s="989"/>
      <c r="OSV1061" s="989"/>
      <c r="OSW1061" s="989"/>
      <c r="OSX1061" s="989"/>
      <c r="OSY1061" s="989"/>
      <c r="OSZ1061" s="989"/>
      <c r="OTA1061" s="989"/>
      <c r="OTB1061" s="989"/>
      <c r="OTC1061" s="989"/>
      <c r="OTD1061" s="989"/>
      <c r="OTE1061" s="989"/>
      <c r="OTF1061" s="989"/>
      <c r="OTG1061" s="989"/>
      <c r="OTH1061" s="989"/>
      <c r="OTI1061" s="989"/>
      <c r="OTJ1061" s="989"/>
      <c r="OTK1061" s="989"/>
      <c r="OTL1061" s="989"/>
      <c r="OTM1061" s="989"/>
      <c r="OTN1061" s="989"/>
      <c r="OTO1061" s="989"/>
      <c r="OTP1061" s="989"/>
      <c r="OTQ1061" s="989"/>
      <c r="OTR1061" s="989"/>
      <c r="OTS1061" s="989"/>
      <c r="OTT1061" s="989"/>
      <c r="OTU1061" s="989"/>
      <c r="OTV1061" s="989"/>
      <c r="OTW1061" s="989"/>
      <c r="OTX1061" s="989"/>
      <c r="OTY1061" s="989"/>
      <c r="OTZ1061" s="989"/>
      <c r="OUA1061" s="989"/>
      <c r="OUB1061" s="989"/>
      <c r="OUC1061" s="989"/>
      <c r="OUD1061" s="989"/>
      <c r="OUE1061" s="989"/>
      <c r="OUF1061" s="989"/>
      <c r="OUG1061" s="989"/>
      <c r="OUH1061" s="989"/>
      <c r="OUI1061" s="989"/>
      <c r="OUJ1061" s="989"/>
      <c r="OUK1061" s="989"/>
      <c r="OUL1061" s="989"/>
      <c r="OUM1061" s="989"/>
      <c r="OUN1061" s="989"/>
      <c r="OUO1061" s="989"/>
      <c r="OUP1061" s="989"/>
      <c r="OUQ1061" s="989"/>
      <c r="OUR1061" s="989"/>
      <c r="OUS1061" s="989"/>
      <c r="OUT1061" s="989"/>
      <c r="OUU1061" s="989"/>
      <c r="OUV1061" s="989"/>
      <c r="OUW1061" s="989"/>
      <c r="OUX1061" s="989"/>
      <c r="OUY1061" s="989"/>
      <c r="OUZ1061" s="989"/>
      <c r="OVA1061" s="989"/>
      <c r="OVB1061" s="989"/>
      <c r="OVC1061" s="989"/>
      <c r="OVD1061" s="989"/>
      <c r="OVE1061" s="989"/>
      <c r="OVF1061" s="989"/>
      <c r="OVG1061" s="989"/>
      <c r="OVH1061" s="989"/>
      <c r="OVI1061" s="989"/>
      <c r="OVJ1061" s="989"/>
      <c r="OVK1061" s="989"/>
      <c r="OVL1061" s="989"/>
      <c r="OVM1061" s="989"/>
      <c r="OVN1061" s="989"/>
      <c r="OVO1061" s="989"/>
      <c r="OVP1061" s="989"/>
      <c r="OVQ1061" s="989"/>
      <c r="OVR1061" s="989"/>
      <c r="OVS1061" s="989"/>
      <c r="OVT1061" s="989"/>
      <c r="OVU1061" s="989"/>
      <c r="OVV1061" s="989"/>
      <c r="OVW1061" s="989"/>
      <c r="OVX1061" s="989"/>
      <c r="OVY1061" s="989"/>
      <c r="OVZ1061" s="989"/>
      <c r="OWA1061" s="989"/>
      <c r="OWB1061" s="989"/>
      <c r="OWC1061" s="989"/>
      <c r="OWD1061" s="989"/>
      <c r="OWE1061" s="989"/>
      <c r="OWF1061" s="989"/>
      <c r="OWG1061" s="989"/>
      <c r="OWH1061" s="989"/>
      <c r="OWI1061" s="989"/>
      <c r="OWJ1061" s="989"/>
      <c r="OWK1061" s="989"/>
      <c r="OWL1061" s="989"/>
      <c r="OWM1061" s="989"/>
      <c r="OWN1061" s="989"/>
      <c r="OWO1061" s="989"/>
      <c r="OWP1061" s="989"/>
      <c r="OWQ1061" s="989"/>
      <c r="OWR1061" s="989"/>
      <c r="OWS1061" s="989"/>
      <c r="OWT1061" s="989"/>
      <c r="OWU1061" s="989"/>
      <c r="OWV1061" s="989"/>
      <c r="OWW1061" s="989"/>
      <c r="OWX1061" s="989"/>
      <c r="OWY1061" s="989"/>
      <c r="OWZ1061" s="989"/>
      <c r="OXA1061" s="989"/>
      <c r="OXB1061" s="989"/>
      <c r="OXC1061" s="989"/>
      <c r="OXD1061" s="989"/>
      <c r="OXE1061" s="989"/>
      <c r="OXF1061" s="989"/>
      <c r="OXG1061" s="989"/>
      <c r="OXH1061" s="989"/>
      <c r="OXI1061" s="989"/>
      <c r="OXJ1061" s="989"/>
      <c r="OXK1061" s="989"/>
      <c r="OXL1061" s="989"/>
      <c r="OXM1061" s="989"/>
      <c r="OXN1061" s="989"/>
      <c r="OXO1061" s="989"/>
      <c r="OXP1061" s="989"/>
      <c r="OXQ1061" s="989"/>
      <c r="OXR1061" s="989"/>
      <c r="OXS1061" s="989"/>
      <c r="OXT1061" s="989"/>
      <c r="OXU1061" s="989"/>
      <c r="OXV1061" s="989"/>
      <c r="OXW1061" s="989"/>
      <c r="OXX1061" s="989"/>
      <c r="OXY1061" s="989"/>
      <c r="OXZ1061" s="989"/>
      <c r="OYA1061" s="989"/>
      <c r="OYB1061" s="989"/>
      <c r="OYC1061" s="989"/>
      <c r="OYD1061" s="989"/>
      <c r="OYE1061" s="989"/>
      <c r="OYF1061" s="989"/>
      <c r="OYG1061" s="989"/>
      <c r="OYH1061" s="989"/>
      <c r="OYI1061" s="989"/>
      <c r="OYJ1061" s="989"/>
      <c r="OYK1061" s="989"/>
      <c r="OYL1061" s="989"/>
      <c r="OYM1061" s="989"/>
      <c r="OYN1061" s="989"/>
      <c r="OYO1061" s="989"/>
      <c r="OYP1061" s="989"/>
      <c r="OYQ1061" s="989"/>
      <c r="OYR1061" s="989"/>
      <c r="OYS1061" s="989"/>
      <c r="OYT1061" s="989"/>
      <c r="OYU1061" s="989"/>
      <c r="OYV1061" s="989"/>
      <c r="OYW1061" s="989"/>
      <c r="OYX1061" s="989"/>
      <c r="OYY1061" s="989"/>
      <c r="OYZ1061" s="989"/>
      <c r="OZA1061" s="989"/>
      <c r="OZB1061" s="989"/>
      <c r="OZC1061" s="989"/>
      <c r="OZD1061" s="989"/>
      <c r="OZE1061" s="989"/>
      <c r="OZF1061" s="989"/>
      <c r="OZG1061" s="989"/>
      <c r="OZH1061" s="989"/>
      <c r="OZI1061" s="989"/>
      <c r="OZJ1061" s="989"/>
      <c r="OZK1061" s="989"/>
      <c r="OZL1061" s="989"/>
      <c r="OZM1061" s="989"/>
      <c r="OZN1061" s="989"/>
      <c r="OZO1061" s="989"/>
      <c r="OZP1061" s="989"/>
      <c r="OZQ1061" s="989"/>
      <c r="OZR1061" s="989"/>
      <c r="OZS1061" s="989"/>
      <c r="OZT1061" s="989"/>
      <c r="OZU1061" s="989"/>
      <c r="OZV1061" s="989"/>
      <c r="OZW1061" s="989"/>
      <c r="OZX1061" s="989"/>
      <c r="OZY1061" s="989"/>
      <c r="OZZ1061" s="989"/>
      <c r="PAA1061" s="989"/>
      <c r="PAB1061" s="989"/>
      <c r="PAC1061" s="989"/>
      <c r="PAD1061" s="989"/>
      <c r="PAE1061" s="989"/>
      <c r="PAF1061" s="989"/>
      <c r="PAG1061" s="989"/>
      <c r="PAH1061" s="989"/>
      <c r="PAI1061" s="989"/>
      <c r="PAJ1061" s="989"/>
      <c r="PAK1061" s="989"/>
      <c r="PAL1061" s="989"/>
      <c r="PAM1061" s="989"/>
      <c r="PAN1061" s="989"/>
      <c r="PAO1061" s="989"/>
      <c r="PAP1061" s="989"/>
      <c r="PAQ1061" s="989"/>
      <c r="PAR1061" s="989"/>
      <c r="PAS1061" s="989"/>
      <c r="PAT1061" s="989"/>
      <c r="PAU1061" s="989"/>
      <c r="PAV1061" s="989"/>
      <c r="PAW1061" s="989"/>
      <c r="PAX1061" s="989"/>
      <c r="PAY1061" s="989"/>
      <c r="PAZ1061" s="989"/>
      <c r="PBA1061" s="989"/>
      <c r="PBB1061" s="989"/>
      <c r="PBC1061" s="989"/>
      <c r="PBD1061" s="989"/>
      <c r="PBE1061" s="989"/>
      <c r="PBF1061" s="989"/>
      <c r="PBG1061" s="989"/>
      <c r="PBH1061" s="989"/>
      <c r="PBI1061" s="989"/>
      <c r="PBJ1061" s="989"/>
      <c r="PBK1061" s="989"/>
      <c r="PBL1061" s="989"/>
      <c r="PBM1061" s="989"/>
      <c r="PBN1061" s="989"/>
      <c r="PBO1061" s="989"/>
      <c r="PBP1061" s="989"/>
      <c r="PBQ1061" s="989"/>
      <c r="PBR1061" s="989"/>
      <c r="PBS1061" s="989"/>
      <c r="PBT1061" s="989"/>
      <c r="PBU1061" s="989"/>
      <c r="PBV1061" s="989"/>
      <c r="PBW1061" s="989"/>
      <c r="PBX1061" s="989"/>
      <c r="PBY1061" s="989"/>
      <c r="PBZ1061" s="989"/>
      <c r="PCA1061" s="989"/>
      <c r="PCB1061" s="989"/>
      <c r="PCC1061" s="989"/>
      <c r="PCD1061" s="989"/>
      <c r="PCE1061" s="989"/>
      <c r="PCF1061" s="989"/>
      <c r="PCG1061" s="989"/>
      <c r="PCH1061" s="989"/>
      <c r="PCI1061" s="989"/>
      <c r="PCJ1061" s="989"/>
      <c r="PCK1061" s="989"/>
      <c r="PCL1061" s="989"/>
      <c r="PCM1061" s="989"/>
      <c r="PCN1061" s="989"/>
      <c r="PCO1061" s="989"/>
      <c r="PCP1061" s="989"/>
      <c r="PCQ1061" s="989"/>
      <c r="PCR1061" s="989"/>
      <c r="PCS1061" s="989"/>
      <c r="PCT1061" s="989"/>
      <c r="PCU1061" s="989"/>
      <c r="PCV1061" s="989"/>
      <c r="PCW1061" s="989"/>
      <c r="PCX1061" s="989"/>
      <c r="PCY1061" s="989"/>
      <c r="PCZ1061" s="989"/>
      <c r="PDA1061" s="989"/>
      <c r="PDB1061" s="989"/>
      <c r="PDC1061" s="989"/>
      <c r="PDD1061" s="989"/>
      <c r="PDE1061" s="989"/>
      <c r="PDF1061" s="989"/>
      <c r="PDG1061" s="989"/>
      <c r="PDH1061" s="989"/>
      <c r="PDI1061" s="989"/>
      <c r="PDJ1061" s="989"/>
      <c r="PDK1061" s="989"/>
      <c r="PDL1061" s="989"/>
      <c r="PDM1061" s="989"/>
      <c r="PDN1061" s="989"/>
      <c r="PDO1061" s="989"/>
      <c r="PDP1061" s="989"/>
      <c r="PDQ1061" s="989"/>
      <c r="PDR1061" s="989"/>
      <c r="PDS1061" s="989"/>
      <c r="PDT1061" s="989"/>
      <c r="PDU1061" s="989"/>
      <c r="PDV1061" s="989"/>
      <c r="PDW1061" s="989"/>
      <c r="PDX1061" s="989"/>
      <c r="PDY1061" s="989"/>
      <c r="PDZ1061" s="989"/>
      <c r="PEA1061" s="989"/>
      <c r="PEB1061" s="989"/>
      <c r="PEC1061" s="989"/>
      <c r="PED1061" s="989"/>
      <c r="PEE1061" s="989"/>
      <c r="PEF1061" s="989"/>
      <c r="PEG1061" s="989"/>
      <c r="PEH1061" s="989"/>
      <c r="PEI1061" s="989"/>
      <c r="PEJ1061" s="989"/>
      <c r="PEK1061" s="989"/>
      <c r="PEL1061" s="989"/>
      <c r="PEM1061" s="989"/>
      <c r="PEN1061" s="989"/>
      <c r="PEO1061" s="989"/>
      <c r="PEP1061" s="989"/>
      <c r="PEQ1061" s="989"/>
      <c r="PER1061" s="989"/>
      <c r="PES1061" s="989"/>
      <c r="PET1061" s="989"/>
      <c r="PEU1061" s="989"/>
      <c r="PEV1061" s="989"/>
      <c r="PEW1061" s="989"/>
      <c r="PEX1061" s="989"/>
      <c r="PEY1061" s="989"/>
      <c r="PEZ1061" s="989"/>
      <c r="PFA1061" s="989"/>
      <c r="PFB1061" s="989"/>
      <c r="PFC1061" s="989"/>
      <c r="PFD1061" s="989"/>
      <c r="PFE1061" s="989"/>
      <c r="PFF1061" s="989"/>
      <c r="PFG1061" s="989"/>
      <c r="PFH1061" s="989"/>
      <c r="PFI1061" s="989"/>
      <c r="PFJ1061" s="989"/>
      <c r="PFK1061" s="989"/>
      <c r="PFL1061" s="989"/>
      <c r="PFM1061" s="989"/>
      <c r="PFN1061" s="989"/>
      <c r="PFO1061" s="989"/>
      <c r="PFP1061" s="989"/>
      <c r="PFQ1061" s="989"/>
      <c r="PFR1061" s="989"/>
      <c r="PFS1061" s="989"/>
      <c r="PFT1061" s="989"/>
      <c r="PFU1061" s="989"/>
      <c r="PFV1061" s="989"/>
      <c r="PFW1061" s="989"/>
      <c r="PFX1061" s="989"/>
      <c r="PFY1061" s="989"/>
      <c r="PFZ1061" s="989"/>
      <c r="PGA1061" s="989"/>
      <c r="PGB1061" s="989"/>
      <c r="PGC1061" s="989"/>
      <c r="PGD1061" s="989"/>
      <c r="PGE1061" s="989"/>
      <c r="PGF1061" s="989"/>
      <c r="PGG1061" s="989"/>
      <c r="PGH1061" s="989"/>
      <c r="PGI1061" s="989"/>
      <c r="PGJ1061" s="989"/>
      <c r="PGK1061" s="989"/>
      <c r="PGL1061" s="989"/>
      <c r="PGM1061" s="989"/>
      <c r="PGN1061" s="989"/>
      <c r="PGO1061" s="989"/>
      <c r="PGP1061" s="989"/>
      <c r="PGQ1061" s="989"/>
      <c r="PGR1061" s="989"/>
      <c r="PGS1061" s="989"/>
      <c r="PGT1061" s="989"/>
      <c r="PGU1061" s="989"/>
      <c r="PGV1061" s="989"/>
      <c r="PGW1061" s="989"/>
      <c r="PGX1061" s="989"/>
      <c r="PGY1061" s="989"/>
      <c r="PGZ1061" s="989"/>
      <c r="PHA1061" s="989"/>
      <c r="PHB1061" s="989"/>
      <c r="PHC1061" s="989"/>
      <c r="PHD1061" s="989"/>
      <c r="PHE1061" s="989"/>
      <c r="PHF1061" s="989"/>
      <c r="PHG1061" s="989"/>
      <c r="PHH1061" s="989"/>
      <c r="PHI1061" s="989"/>
      <c r="PHJ1061" s="989"/>
      <c r="PHK1061" s="989"/>
      <c r="PHL1061" s="989"/>
      <c r="PHM1061" s="989"/>
      <c r="PHN1061" s="989"/>
      <c r="PHO1061" s="989"/>
      <c r="PHP1061" s="989"/>
      <c r="PHQ1061" s="989"/>
      <c r="PHR1061" s="989"/>
      <c r="PHS1061" s="989"/>
      <c r="PHT1061" s="989"/>
      <c r="PHU1061" s="989"/>
      <c r="PHV1061" s="989"/>
      <c r="PHW1061" s="989"/>
      <c r="PHX1061" s="989"/>
      <c r="PHY1061" s="989"/>
      <c r="PHZ1061" s="989"/>
      <c r="PIA1061" s="989"/>
      <c r="PIB1061" s="989"/>
      <c r="PIC1061" s="989"/>
      <c r="PID1061" s="989"/>
      <c r="PIE1061" s="989"/>
      <c r="PIF1061" s="989"/>
      <c r="PIG1061" s="989"/>
      <c r="PIH1061" s="989"/>
      <c r="PII1061" s="989"/>
      <c r="PIJ1061" s="989"/>
      <c r="PIK1061" s="989"/>
      <c r="PIL1061" s="989"/>
      <c r="PIM1061" s="989"/>
      <c r="PIN1061" s="989"/>
      <c r="PIO1061" s="989"/>
      <c r="PIP1061" s="989"/>
      <c r="PIQ1061" s="989"/>
      <c r="PIR1061" s="989"/>
      <c r="PIS1061" s="989"/>
      <c r="PIT1061" s="989"/>
      <c r="PIU1061" s="989"/>
      <c r="PIV1061" s="989"/>
      <c r="PIW1061" s="989"/>
      <c r="PIX1061" s="989"/>
      <c r="PIY1061" s="989"/>
      <c r="PIZ1061" s="989"/>
      <c r="PJA1061" s="989"/>
      <c r="PJB1061" s="989"/>
      <c r="PJC1061" s="989"/>
      <c r="PJD1061" s="989"/>
      <c r="PJE1061" s="989"/>
      <c r="PJF1061" s="989"/>
      <c r="PJG1061" s="989"/>
      <c r="PJH1061" s="989"/>
      <c r="PJI1061" s="989"/>
      <c r="PJJ1061" s="989"/>
      <c r="PJK1061" s="989"/>
      <c r="PJL1061" s="989"/>
      <c r="PJM1061" s="989"/>
      <c r="PJN1061" s="989"/>
      <c r="PJO1061" s="989"/>
      <c r="PJP1061" s="989"/>
      <c r="PJQ1061" s="989"/>
      <c r="PJR1061" s="989"/>
      <c r="PJS1061" s="989"/>
      <c r="PJT1061" s="989"/>
      <c r="PJU1061" s="989"/>
      <c r="PJV1061" s="989"/>
      <c r="PJW1061" s="989"/>
      <c r="PJX1061" s="989"/>
      <c r="PJY1061" s="989"/>
      <c r="PJZ1061" s="989"/>
      <c r="PKA1061" s="989"/>
      <c r="PKB1061" s="989"/>
      <c r="PKC1061" s="989"/>
      <c r="PKD1061" s="989"/>
      <c r="PKE1061" s="989"/>
      <c r="PKF1061" s="989"/>
      <c r="PKG1061" s="989"/>
      <c r="PKH1061" s="989"/>
      <c r="PKI1061" s="989"/>
      <c r="PKJ1061" s="989"/>
      <c r="PKK1061" s="989"/>
      <c r="PKL1061" s="989"/>
      <c r="PKM1061" s="989"/>
      <c r="PKN1061" s="989"/>
      <c r="PKO1061" s="989"/>
      <c r="PKP1061" s="989"/>
      <c r="PKQ1061" s="989"/>
      <c r="PKR1061" s="989"/>
      <c r="PKS1061" s="989"/>
      <c r="PKT1061" s="989"/>
      <c r="PKU1061" s="989"/>
      <c r="PKV1061" s="989"/>
      <c r="PKW1061" s="989"/>
      <c r="PKX1061" s="989"/>
      <c r="PKY1061" s="989"/>
      <c r="PKZ1061" s="989"/>
      <c r="PLA1061" s="989"/>
      <c r="PLB1061" s="989"/>
      <c r="PLC1061" s="989"/>
      <c r="PLD1061" s="989"/>
      <c r="PLE1061" s="989"/>
      <c r="PLF1061" s="989"/>
      <c r="PLG1061" s="989"/>
      <c r="PLH1061" s="989"/>
      <c r="PLI1061" s="989"/>
      <c r="PLJ1061" s="989"/>
      <c r="PLK1061" s="989"/>
      <c r="PLL1061" s="989"/>
      <c r="PLM1061" s="989"/>
      <c r="PLN1061" s="989"/>
      <c r="PLO1061" s="989"/>
      <c r="PLP1061" s="989"/>
      <c r="PLQ1061" s="989"/>
      <c r="PLR1061" s="989"/>
      <c r="PLS1061" s="989"/>
      <c r="PLT1061" s="989"/>
      <c r="PLU1061" s="989"/>
      <c r="PLV1061" s="989"/>
      <c r="PLW1061" s="989"/>
      <c r="PLX1061" s="989"/>
      <c r="PLY1061" s="989"/>
      <c r="PLZ1061" s="989"/>
      <c r="PMA1061" s="989"/>
      <c r="PMB1061" s="989"/>
      <c r="PMC1061" s="989"/>
      <c r="PMD1061" s="989"/>
      <c r="PME1061" s="989"/>
      <c r="PMF1061" s="989"/>
      <c r="PMG1061" s="989"/>
      <c r="PMH1061" s="989"/>
      <c r="PMI1061" s="989"/>
      <c r="PMJ1061" s="989"/>
      <c r="PMK1061" s="989"/>
      <c r="PML1061" s="989"/>
      <c r="PMM1061" s="989"/>
      <c r="PMN1061" s="989"/>
      <c r="PMO1061" s="989"/>
      <c r="PMP1061" s="989"/>
      <c r="PMQ1061" s="989"/>
      <c r="PMR1061" s="989"/>
      <c r="PMS1061" s="989"/>
      <c r="PMT1061" s="989"/>
      <c r="PMU1061" s="989"/>
      <c r="PMV1061" s="989"/>
      <c r="PMW1061" s="989"/>
      <c r="PMX1061" s="989"/>
      <c r="PMY1061" s="989"/>
      <c r="PMZ1061" s="989"/>
      <c r="PNA1061" s="989"/>
      <c r="PNB1061" s="989"/>
      <c r="PNC1061" s="989"/>
      <c r="PND1061" s="989"/>
      <c r="PNE1061" s="989"/>
      <c r="PNF1061" s="989"/>
      <c r="PNG1061" s="989"/>
      <c r="PNH1061" s="989"/>
      <c r="PNI1061" s="989"/>
      <c r="PNJ1061" s="989"/>
      <c r="PNK1061" s="989"/>
      <c r="PNL1061" s="989"/>
      <c r="PNM1061" s="989"/>
      <c r="PNN1061" s="989"/>
      <c r="PNO1061" s="989"/>
      <c r="PNP1061" s="989"/>
      <c r="PNQ1061" s="989"/>
      <c r="PNR1061" s="989"/>
      <c r="PNS1061" s="989"/>
      <c r="PNT1061" s="989"/>
      <c r="PNU1061" s="989"/>
      <c r="PNV1061" s="989"/>
      <c r="PNW1061" s="989"/>
      <c r="PNX1061" s="989"/>
      <c r="PNY1061" s="989"/>
      <c r="PNZ1061" s="989"/>
      <c r="POA1061" s="989"/>
      <c r="POB1061" s="989"/>
      <c r="POC1061" s="989"/>
      <c r="POD1061" s="989"/>
      <c r="POE1061" s="989"/>
      <c r="POF1061" s="989"/>
      <c r="POG1061" s="989"/>
      <c r="POH1061" s="989"/>
      <c r="POI1061" s="989"/>
      <c r="POJ1061" s="989"/>
      <c r="POK1061" s="989"/>
      <c r="POL1061" s="989"/>
      <c r="POM1061" s="989"/>
      <c r="PON1061" s="989"/>
      <c r="POO1061" s="989"/>
      <c r="POP1061" s="989"/>
      <c r="POQ1061" s="989"/>
      <c r="POR1061" s="989"/>
      <c r="POS1061" s="989"/>
      <c r="POT1061" s="989"/>
      <c r="POU1061" s="989"/>
      <c r="POV1061" s="989"/>
      <c r="POW1061" s="989"/>
      <c r="POX1061" s="989"/>
      <c r="POY1061" s="989"/>
      <c r="POZ1061" s="989"/>
      <c r="PPA1061" s="989"/>
      <c r="PPB1061" s="989"/>
      <c r="PPC1061" s="989"/>
      <c r="PPD1061" s="989"/>
      <c r="PPE1061" s="989"/>
      <c r="PPF1061" s="989"/>
      <c r="PPG1061" s="989"/>
      <c r="PPH1061" s="989"/>
      <c r="PPI1061" s="989"/>
      <c r="PPJ1061" s="989"/>
      <c r="PPK1061" s="989"/>
      <c r="PPL1061" s="989"/>
      <c r="PPM1061" s="989"/>
      <c r="PPN1061" s="989"/>
      <c r="PPO1061" s="989"/>
      <c r="PPP1061" s="989"/>
      <c r="PPQ1061" s="989"/>
      <c r="PPR1061" s="989"/>
      <c r="PPS1061" s="989"/>
      <c r="PPT1061" s="989"/>
      <c r="PPU1061" s="989"/>
      <c r="PPV1061" s="989"/>
      <c r="PPW1061" s="989"/>
      <c r="PPX1061" s="989"/>
      <c r="PPY1061" s="989"/>
      <c r="PPZ1061" s="989"/>
      <c r="PQA1061" s="989"/>
      <c r="PQB1061" s="989"/>
      <c r="PQC1061" s="989"/>
      <c r="PQD1061" s="989"/>
      <c r="PQE1061" s="989"/>
      <c r="PQF1061" s="989"/>
      <c r="PQG1061" s="989"/>
      <c r="PQH1061" s="989"/>
      <c r="PQI1061" s="989"/>
      <c r="PQJ1061" s="989"/>
      <c r="PQK1061" s="989"/>
      <c r="PQL1061" s="989"/>
      <c r="PQM1061" s="989"/>
      <c r="PQN1061" s="989"/>
      <c r="PQO1061" s="989"/>
      <c r="PQP1061" s="989"/>
      <c r="PQQ1061" s="989"/>
      <c r="PQR1061" s="989"/>
      <c r="PQS1061" s="989"/>
      <c r="PQT1061" s="989"/>
      <c r="PQU1061" s="989"/>
      <c r="PQV1061" s="989"/>
      <c r="PQW1061" s="989"/>
      <c r="PQX1061" s="989"/>
      <c r="PQY1061" s="989"/>
      <c r="PQZ1061" s="989"/>
      <c r="PRA1061" s="989"/>
      <c r="PRB1061" s="989"/>
      <c r="PRC1061" s="989"/>
      <c r="PRD1061" s="989"/>
      <c r="PRE1061" s="989"/>
      <c r="PRF1061" s="989"/>
      <c r="PRG1061" s="989"/>
      <c r="PRH1061" s="989"/>
      <c r="PRI1061" s="989"/>
      <c r="PRJ1061" s="989"/>
      <c r="PRK1061" s="989"/>
      <c r="PRL1061" s="989"/>
      <c r="PRM1061" s="989"/>
      <c r="PRN1061" s="989"/>
      <c r="PRO1061" s="989"/>
      <c r="PRP1061" s="989"/>
      <c r="PRQ1061" s="989"/>
      <c r="PRR1061" s="989"/>
      <c r="PRS1061" s="989"/>
      <c r="PRT1061" s="989"/>
      <c r="PRU1061" s="989"/>
      <c r="PRV1061" s="989"/>
      <c r="PRW1061" s="989"/>
      <c r="PRX1061" s="989"/>
      <c r="PRY1061" s="989"/>
      <c r="PRZ1061" s="989"/>
      <c r="PSA1061" s="989"/>
      <c r="PSB1061" s="989"/>
      <c r="PSC1061" s="989"/>
      <c r="PSD1061" s="989"/>
      <c r="PSE1061" s="989"/>
      <c r="PSF1061" s="989"/>
      <c r="PSG1061" s="989"/>
      <c r="PSH1061" s="989"/>
      <c r="PSI1061" s="989"/>
      <c r="PSJ1061" s="989"/>
      <c r="PSK1061" s="989"/>
      <c r="PSL1061" s="989"/>
      <c r="PSM1061" s="989"/>
      <c r="PSN1061" s="989"/>
      <c r="PSO1061" s="989"/>
      <c r="PSP1061" s="989"/>
      <c r="PSQ1061" s="989"/>
      <c r="PSR1061" s="989"/>
      <c r="PSS1061" s="989"/>
      <c r="PST1061" s="989"/>
      <c r="PSU1061" s="989"/>
      <c r="PSV1061" s="989"/>
      <c r="PSW1061" s="989"/>
      <c r="PSX1061" s="989"/>
      <c r="PSY1061" s="989"/>
      <c r="PSZ1061" s="989"/>
      <c r="PTA1061" s="989"/>
      <c r="PTB1061" s="989"/>
      <c r="PTC1061" s="989"/>
      <c r="PTD1061" s="989"/>
      <c r="PTE1061" s="989"/>
      <c r="PTF1061" s="989"/>
      <c r="PTG1061" s="989"/>
      <c r="PTH1061" s="989"/>
      <c r="PTI1061" s="989"/>
      <c r="PTJ1061" s="989"/>
      <c r="PTK1061" s="989"/>
      <c r="PTL1061" s="989"/>
      <c r="PTM1061" s="989"/>
      <c r="PTN1061" s="989"/>
      <c r="PTO1061" s="989"/>
      <c r="PTP1061" s="989"/>
      <c r="PTQ1061" s="989"/>
      <c r="PTR1061" s="989"/>
      <c r="PTS1061" s="989"/>
      <c r="PTT1061" s="989"/>
      <c r="PTU1061" s="989"/>
      <c r="PTV1061" s="989"/>
      <c r="PTW1061" s="989"/>
      <c r="PTX1061" s="989"/>
      <c r="PTY1061" s="989"/>
      <c r="PTZ1061" s="989"/>
      <c r="PUA1061" s="989"/>
      <c r="PUB1061" s="989"/>
      <c r="PUC1061" s="989"/>
      <c r="PUD1061" s="989"/>
      <c r="PUE1061" s="989"/>
      <c r="PUF1061" s="989"/>
      <c r="PUG1061" s="989"/>
      <c r="PUH1061" s="989"/>
      <c r="PUI1061" s="989"/>
      <c r="PUJ1061" s="989"/>
      <c r="PUK1061" s="989"/>
      <c r="PUL1061" s="989"/>
      <c r="PUM1061" s="989"/>
      <c r="PUN1061" s="989"/>
      <c r="PUO1061" s="989"/>
      <c r="PUP1061" s="989"/>
      <c r="PUQ1061" s="989"/>
      <c r="PUR1061" s="989"/>
      <c r="PUS1061" s="989"/>
      <c r="PUT1061" s="989"/>
      <c r="PUU1061" s="989"/>
      <c r="PUV1061" s="989"/>
      <c r="PUW1061" s="989"/>
      <c r="PUX1061" s="989"/>
      <c r="PUY1061" s="989"/>
      <c r="PUZ1061" s="989"/>
      <c r="PVA1061" s="989"/>
      <c r="PVB1061" s="989"/>
      <c r="PVC1061" s="989"/>
      <c r="PVD1061" s="989"/>
      <c r="PVE1061" s="989"/>
      <c r="PVF1061" s="989"/>
      <c r="PVG1061" s="989"/>
      <c r="PVH1061" s="989"/>
      <c r="PVI1061" s="989"/>
      <c r="PVJ1061" s="989"/>
      <c r="PVK1061" s="989"/>
      <c r="PVL1061" s="989"/>
      <c r="PVM1061" s="989"/>
      <c r="PVN1061" s="989"/>
      <c r="PVO1061" s="989"/>
      <c r="PVP1061" s="989"/>
      <c r="PVQ1061" s="989"/>
      <c r="PVR1061" s="989"/>
      <c r="PVS1061" s="989"/>
      <c r="PVT1061" s="989"/>
      <c r="PVU1061" s="989"/>
      <c r="PVV1061" s="989"/>
      <c r="PVW1061" s="989"/>
      <c r="PVX1061" s="989"/>
      <c r="PVY1061" s="989"/>
      <c r="PVZ1061" s="989"/>
      <c r="PWA1061" s="989"/>
      <c r="PWB1061" s="989"/>
      <c r="PWC1061" s="989"/>
      <c r="PWD1061" s="989"/>
      <c r="PWE1061" s="989"/>
      <c r="PWF1061" s="989"/>
      <c r="PWG1061" s="989"/>
      <c r="PWH1061" s="989"/>
      <c r="PWI1061" s="989"/>
      <c r="PWJ1061" s="989"/>
      <c r="PWK1061" s="989"/>
      <c r="PWL1061" s="989"/>
      <c r="PWM1061" s="989"/>
      <c r="PWN1061" s="989"/>
      <c r="PWO1061" s="989"/>
      <c r="PWP1061" s="989"/>
      <c r="PWQ1061" s="989"/>
      <c r="PWR1061" s="989"/>
      <c r="PWS1061" s="989"/>
      <c r="PWT1061" s="989"/>
      <c r="PWU1061" s="989"/>
      <c r="PWV1061" s="989"/>
      <c r="PWW1061" s="989"/>
      <c r="PWX1061" s="989"/>
      <c r="PWY1061" s="989"/>
      <c r="PWZ1061" s="989"/>
      <c r="PXA1061" s="989"/>
      <c r="PXB1061" s="989"/>
      <c r="PXC1061" s="989"/>
      <c r="PXD1061" s="989"/>
      <c r="PXE1061" s="989"/>
      <c r="PXF1061" s="989"/>
      <c r="PXG1061" s="989"/>
      <c r="PXH1061" s="989"/>
      <c r="PXI1061" s="989"/>
      <c r="PXJ1061" s="989"/>
      <c r="PXK1061" s="989"/>
      <c r="PXL1061" s="989"/>
      <c r="PXM1061" s="989"/>
      <c r="PXN1061" s="989"/>
      <c r="PXO1061" s="989"/>
      <c r="PXP1061" s="989"/>
      <c r="PXQ1061" s="989"/>
      <c r="PXR1061" s="989"/>
      <c r="PXS1061" s="989"/>
      <c r="PXT1061" s="989"/>
      <c r="PXU1061" s="989"/>
      <c r="PXV1061" s="989"/>
      <c r="PXW1061" s="989"/>
      <c r="PXX1061" s="989"/>
      <c r="PXY1061" s="989"/>
      <c r="PXZ1061" s="989"/>
      <c r="PYA1061" s="989"/>
      <c r="PYB1061" s="989"/>
      <c r="PYC1061" s="989"/>
      <c r="PYD1061" s="989"/>
      <c r="PYE1061" s="989"/>
      <c r="PYF1061" s="989"/>
      <c r="PYG1061" s="989"/>
      <c r="PYH1061" s="989"/>
      <c r="PYI1061" s="989"/>
      <c r="PYJ1061" s="989"/>
      <c r="PYK1061" s="989"/>
      <c r="PYL1061" s="989"/>
      <c r="PYM1061" s="989"/>
      <c r="PYN1061" s="989"/>
      <c r="PYO1061" s="989"/>
      <c r="PYP1061" s="989"/>
      <c r="PYQ1061" s="989"/>
      <c r="PYR1061" s="989"/>
      <c r="PYS1061" s="989"/>
      <c r="PYT1061" s="989"/>
      <c r="PYU1061" s="989"/>
      <c r="PYV1061" s="989"/>
      <c r="PYW1061" s="989"/>
      <c r="PYX1061" s="989"/>
      <c r="PYY1061" s="989"/>
      <c r="PYZ1061" s="989"/>
      <c r="PZA1061" s="989"/>
      <c r="PZB1061" s="989"/>
      <c r="PZC1061" s="989"/>
      <c r="PZD1061" s="989"/>
      <c r="PZE1061" s="989"/>
      <c r="PZF1061" s="989"/>
      <c r="PZG1061" s="989"/>
      <c r="PZH1061" s="989"/>
      <c r="PZI1061" s="989"/>
      <c r="PZJ1061" s="989"/>
      <c r="PZK1061" s="989"/>
      <c r="PZL1061" s="989"/>
      <c r="PZM1061" s="989"/>
      <c r="PZN1061" s="989"/>
      <c r="PZO1061" s="989"/>
      <c r="PZP1061" s="989"/>
      <c r="PZQ1061" s="989"/>
      <c r="PZR1061" s="989"/>
      <c r="PZS1061" s="989"/>
      <c r="PZT1061" s="989"/>
      <c r="PZU1061" s="989"/>
      <c r="PZV1061" s="989"/>
      <c r="PZW1061" s="989"/>
      <c r="PZX1061" s="989"/>
      <c r="PZY1061" s="989"/>
      <c r="PZZ1061" s="989"/>
      <c r="QAA1061" s="989"/>
      <c r="QAB1061" s="989"/>
      <c r="QAC1061" s="989"/>
      <c r="QAD1061" s="989"/>
      <c r="QAE1061" s="989"/>
      <c r="QAF1061" s="989"/>
      <c r="QAG1061" s="989"/>
      <c r="QAH1061" s="989"/>
      <c r="QAI1061" s="989"/>
      <c r="QAJ1061" s="989"/>
      <c r="QAK1061" s="989"/>
      <c r="QAL1061" s="989"/>
      <c r="QAM1061" s="989"/>
      <c r="QAN1061" s="989"/>
      <c r="QAO1061" s="989"/>
      <c r="QAP1061" s="989"/>
      <c r="QAQ1061" s="989"/>
      <c r="QAR1061" s="989"/>
      <c r="QAS1061" s="989"/>
      <c r="QAT1061" s="989"/>
      <c r="QAU1061" s="989"/>
      <c r="QAV1061" s="989"/>
      <c r="QAW1061" s="989"/>
      <c r="QAX1061" s="989"/>
      <c r="QAY1061" s="989"/>
      <c r="QAZ1061" s="989"/>
      <c r="QBA1061" s="989"/>
      <c r="QBB1061" s="989"/>
      <c r="QBC1061" s="989"/>
      <c r="QBD1061" s="989"/>
      <c r="QBE1061" s="989"/>
      <c r="QBF1061" s="989"/>
      <c r="QBG1061" s="989"/>
      <c r="QBH1061" s="989"/>
      <c r="QBI1061" s="989"/>
      <c r="QBJ1061" s="989"/>
      <c r="QBK1061" s="989"/>
      <c r="QBL1061" s="989"/>
      <c r="QBM1061" s="989"/>
      <c r="QBN1061" s="989"/>
      <c r="QBO1061" s="989"/>
      <c r="QBP1061" s="989"/>
      <c r="QBQ1061" s="989"/>
      <c r="QBR1061" s="989"/>
      <c r="QBS1061" s="989"/>
      <c r="QBT1061" s="989"/>
      <c r="QBU1061" s="989"/>
      <c r="QBV1061" s="989"/>
      <c r="QBW1061" s="989"/>
      <c r="QBX1061" s="989"/>
      <c r="QBY1061" s="989"/>
      <c r="QBZ1061" s="989"/>
      <c r="QCA1061" s="989"/>
      <c r="QCB1061" s="989"/>
      <c r="QCC1061" s="989"/>
      <c r="QCD1061" s="989"/>
      <c r="QCE1061" s="989"/>
      <c r="QCF1061" s="989"/>
      <c r="QCG1061" s="989"/>
      <c r="QCH1061" s="989"/>
      <c r="QCI1061" s="989"/>
      <c r="QCJ1061" s="989"/>
      <c r="QCK1061" s="989"/>
      <c r="QCL1061" s="989"/>
      <c r="QCM1061" s="989"/>
      <c r="QCN1061" s="989"/>
      <c r="QCO1061" s="989"/>
      <c r="QCP1061" s="989"/>
      <c r="QCQ1061" s="989"/>
      <c r="QCR1061" s="989"/>
      <c r="QCS1061" s="989"/>
      <c r="QCT1061" s="989"/>
      <c r="QCU1061" s="989"/>
      <c r="QCV1061" s="989"/>
      <c r="QCW1061" s="989"/>
      <c r="QCX1061" s="989"/>
      <c r="QCY1061" s="989"/>
      <c r="QCZ1061" s="989"/>
      <c r="QDA1061" s="989"/>
      <c r="QDB1061" s="989"/>
      <c r="QDC1061" s="989"/>
      <c r="QDD1061" s="989"/>
      <c r="QDE1061" s="989"/>
      <c r="QDF1061" s="989"/>
      <c r="QDG1061" s="989"/>
      <c r="QDH1061" s="989"/>
      <c r="QDI1061" s="989"/>
      <c r="QDJ1061" s="989"/>
      <c r="QDK1061" s="989"/>
      <c r="QDL1061" s="989"/>
      <c r="QDM1061" s="989"/>
      <c r="QDN1061" s="989"/>
      <c r="QDO1061" s="989"/>
      <c r="QDP1061" s="989"/>
      <c r="QDQ1061" s="989"/>
      <c r="QDR1061" s="989"/>
      <c r="QDS1061" s="989"/>
      <c r="QDT1061" s="989"/>
      <c r="QDU1061" s="989"/>
      <c r="QDV1061" s="989"/>
      <c r="QDW1061" s="989"/>
      <c r="QDX1061" s="989"/>
      <c r="QDY1061" s="989"/>
      <c r="QDZ1061" s="989"/>
      <c r="QEA1061" s="989"/>
      <c r="QEB1061" s="989"/>
      <c r="QEC1061" s="989"/>
      <c r="QED1061" s="989"/>
      <c r="QEE1061" s="989"/>
      <c r="QEF1061" s="989"/>
      <c r="QEG1061" s="989"/>
      <c r="QEH1061" s="989"/>
      <c r="QEI1061" s="989"/>
      <c r="QEJ1061" s="989"/>
      <c r="QEK1061" s="989"/>
      <c r="QEL1061" s="989"/>
      <c r="QEM1061" s="989"/>
      <c r="QEN1061" s="989"/>
      <c r="QEO1061" s="989"/>
      <c r="QEP1061" s="989"/>
      <c r="QEQ1061" s="989"/>
      <c r="QER1061" s="989"/>
      <c r="QES1061" s="989"/>
      <c r="QET1061" s="989"/>
      <c r="QEU1061" s="989"/>
      <c r="QEV1061" s="989"/>
      <c r="QEW1061" s="989"/>
      <c r="QEX1061" s="989"/>
      <c r="QEY1061" s="989"/>
      <c r="QEZ1061" s="989"/>
      <c r="QFA1061" s="989"/>
      <c r="QFB1061" s="989"/>
      <c r="QFC1061" s="989"/>
      <c r="QFD1061" s="989"/>
      <c r="QFE1061" s="989"/>
      <c r="QFF1061" s="989"/>
      <c r="QFG1061" s="989"/>
      <c r="QFH1061" s="989"/>
      <c r="QFI1061" s="989"/>
      <c r="QFJ1061" s="989"/>
      <c r="QFK1061" s="989"/>
      <c r="QFL1061" s="989"/>
      <c r="QFM1061" s="989"/>
      <c r="QFN1061" s="989"/>
      <c r="QFO1061" s="989"/>
      <c r="QFP1061" s="989"/>
      <c r="QFQ1061" s="989"/>
      <c r="QFR1061" s="989"/>
      <c r="QFS1061" s="989"/>
      <c r="QFT1061" s="989"/>
      <c r="QFU1061" s="989"/>
      <c r="QFV1061" s="989"/>
      <c r="QFW1061" s="989"/>
      <c r="QFX1061" s="989"/>
      <c r="QFY1061" s="989"/>
      <c r="QFZ1061" s="989"/>
      <c r="QGA1061" s="989"/>
      <c r="QGB1061" s="989"/>
      <c r="QGC1061" s="989"/>
      <c r="QGD1061" s="989"/>
      <c r="QGE1061" s="989"/>
      <c r="QGF1061" s="989"/>
      <c r="QGG1061" s="989"/>
      <c r="QGH1061" s="989"/>
      <c r="QGI1061" s="989"/>
      <c r="QGJ1061" s="989"/>
      <c r="QGK1061" s="989"/>
      <c r="QGL1061" s="989"/>
      <c r="QGM1061" s="989"/>
      <c r="QGN1061" s="989"/>
      <c r="QGO1061" s="989"/>
      <c r="QGP1061" s="989"/>
      <c r="QGQ1061" s="989"/>
      <c r="QGR1061" s="989"/>
      <c r="QGS1061" s="989"/>
      <c r="QGT1061" s="989"/>
      <c r="QGU1061" s="989"/>
      <c r="QGV1061" s="989"/>
      <c r="QGW1061" s="989"/>
      <c r="QGX1061" s="989"/>
      <c r="QGY1061" s="989"/>
      <c r="QGZ1061" s="989"/>
      <c r="QHA1061" s="989"/>
      <c r="QHB1061" s="989"/>
      <c r="QHC1061" s="989"/>
      <c r="QHD1061" s="989"/>
      <c r="QHE1061" s="989"/>
      <c r="QHF1061" s="989"/>
      <c r="QHG1061" s="989"/>
      <c r="QHH1061" s="989"/>
      <c r="QHI1061" s="989"/>
      <c r="QHJ1061" s="989"/>
      <c r="QHK1061" s="989"/>
      <c r="QHL1061" s="989"/>
      <c r="QHM1061" s="989"/>
      <c r="QHN1061" s="989"/>
      <c r="QHO1061" s="989"/>
      <c r="QHP1061" s="989"/>
      <c r="QHQ1061" s="989"/>
      <c r="QHR1061" s="989"/>
      <c r="QHS1061" s="989"/>
      <c r="QHT1061" s="989"/>
      <c r="QHU1061" s="989"/>
      <c r="QHV1061" s="989"/>
      <c r="QHW1061" s="989"/>
      <c r="QHX1061" s="989"/>
      <c r="QHY1061" s="989"/>
      <c r="QHZ1061" s="989"/>
      <c r="QIA1061" s="989"/>
      <c r="QIB1061" s="989"/>
      <c r="QIC1061" s="989"/>
      <c r="QID1061" s="989"/>
      <c r="QIE1061" s="989"/>
      <c r="QIF1061" s="989"/>
      <c r="QIG1061" s="989"/>
      <c r="QIH1061" s="989"/>
      <c r="QII1061" s="989"/>
      <c r="QIJ1061" s="989"/>
      <c r="QIK1061" s="989"/>
      <c r="QIL1061" s="989"/>
      <c r="QIM1061" s="989"/>
      <c r="QIN1061" s="989"/>
      <c r="QIO1061" s="989"/>
      <c r="QIP1061" s="989"/>
      <c r="QIQ1061" s="989"/>
      <c r="QIR1061" s="989"/>
      <c r="QIS1061" s="989"/>
      <c r="QIT1061" s="989"/>
      <c r="QIU1061" s="989"/>
      <c r="QIV1061" s="989"/>
      <c r="QIW1061" s="989"/>
      <c r="QIX1061" s="989"/>
      <c r="QIY1061" s="989"/>
      <c r="QIZ1061" s="989"/>
      <c r="QJA1061" s="989"/>
      <c r="QJB1061" s="989"/>
      <c r="QJC1061" s="989"/>
      <c r="QJD1061" s="989"/>
      <c r="QJE1061" s="989"/>
      <c r="QJF1061" s="989"/>
      <c r="QJG1061" s="989"/>
      <c r="QJH1061" s="989"/>
      <c r="QJI1061" s="989"/>
      <c r="QJJ1061" s="989"/>
      <c r="QJK1061" s="989"/>
      <c r="QJL1061" s="989"/>
      <c r="QJM1061" s="989"/>
      <c r="QJN1061" s="989"/>
      <c r="QJO1061" s="989"/>
      <c r="QJP1061" s="989"/>
      <c r="QJQ1061" s="989"/>
      <c r="QJR1061" s="989"/>
      <c r="QJS1061" s="989"/>
      <c r="QJT1061" s="989"/>
      <c r="QJU1061" s="989"/>
      <c r="QJV1061" s="989"/>
      <c r="QJW1061" s="989"/>
      <c r="QJX1061" s="989"/>
      <c r="QJY1061" s="989"/>
      <c r="QJZ1061" s="989"/>
      <c r="QKA1061" s="989"/>
      <c r="QKB1061" s="989"/>
      <c r="QKC1061" s="989"/>
      <c r="QKD1061" s="989"/>
      <c r="QKE1061" s="989"/>
      <c r="QKF1061" s="989"/>
      <c r="QKG1061" s="989"/>
      <c r="QKH1061" s="989"/>
      <c r="QKI1061" s="989"/>
      <c r="QKJ1061" s="989"/>
      <c r="QKK1061" s="989"/>
      <c r="QKL1061" s="989"/>
      <c r="QKM1061" s="989"/>
      <c r="QKN1061" s="989"/>
      <c r="QKO1061" s="989"/>
      <c r="QKP1061" s="989"/>
      <c r="QKQ1061" s="989"/>
      <c r="QKR1061" s="989"/>
      <c r="QKS1061" s="989"/>
      <c r="QKT1061" s="989"/>
      <c r="QKU1061" s="989"/>
      <c r="QKV1061" s="989"/>
      <c r="QKW1061" s="989"/>
      <c r="QKX1061" s="989"/>
      <c r="QKY1061" s="989"/>
      <c r="QKZ1061" s="989"/>
      <c r="QLA1061" s="989"/>
      <c r="QLB1061" s="989"/>
      <c r="QLC1061" s="989"/>
      <c r="QLD1061" s="989"/>
      <c r="QLE1061" s="989"/>
      <c r="QLF1061" s="989"/>
      <c r="QLG1061" s="989"/>
      <c r="QLH1061" s="989"/>
      <c r="QLI1061" s="989"/>
      <c r="QLJ1061" s="989"/>
      <c r="QLK1061" s="989"/>
      <c r="QLL1061" s="989"/>
      <c r="QLM1061" s="989"/>
      <c r="QLN1061" s="989"/>
      <c r="QLO1061" s="989"/>
      <c r="QLP1061" s="989"/>
      <c r="QLQ1061" s="989"/>
      <c r="QLR1061" s="989"/>
      <c r="QLS1061" s="989"/>
      <c r="QLT1061" s="989"/>
      <c r="QLU1061" s="989"/>
      <c r="QLV1061" s="989"/>
      <c r="QLW1061" s="989"/>
      <c r="QLX1061" s="989"/>
      <c r="QLY1061" s="989"/>
      <c r="QLZ1061" s="989"/>
      <c r="QMA1061" s="989"/>
      <c r="QMB1061" s="989"/>
      <c r="QMC1061" s="989"/>
      <c r="QMD1061" s="989"/>
      <c r="QME1061" s="989"/>
      <c r="QMF1061" s="989"/>
      <c r="QMG1061" s="989"/>
      <c r="QMH1061" s="989"/>
      <c r="QMI1061" s="989"/>
      <c r="QMJ1061" s="989"/>
      <c r="QMK1061" s="989"/>
      <c r="QML1061" s="989"/>
      <c r="QMM1061" s="989"/>
      <c r="QMN1061" s="989"/>
      <c r="QMO1061" s="989"/>
      <c r="QMP1061" s="989"/>
      <c r="QMQ1061" s="989"/>
      <c r="QMR1061" s="989"/>
      <c r="QMS1061" s="989"/>
      <c r="QMT1061" s="989"/>
      <c r="QMU1061" s="989"/>
      <c r="QMV1061" s="989"/>
      <c r="QMW1061" s="989"/>
      <c r="QMX1061" s="989"/>
      <c r="QMY1061" s="989"/>
      <c r="QMZ1061" s="989"/>
      <c r="QNA1061" s="989"/>
      <c r="QNB1061" s="989"/>
      <c r="QNC1061" s="989"/>
      <c r="QND1061" s="989"/>
      <c r="QNE1061" s="989"/>
      <c r="QNF1061" s="989"/>
      <c r="QNG1061" s="989"/>
      <c r="QNH1061" s="989"/>
      <c r="QNI1061" s="989"/>
      <c r="QNJ1061" s="989"/>
      <c r="QNK1061" s="989"/>
      <c r="QNL1061" s="989"/>
      <c r="QNM1061" s="989"/>
      <c r="QNN1061" s="989"/>
      <c r="QNO1061" s="989"/>
      <c r="QNP1061" s="989"/>
      <c r="QNQ1061" s="989"/>
      <c r="QNR1061" s="989"/>
      <c r="QNS1061" s="989"/>
      <c r="QNT1061" s="989"/>
      <c r="QNU1061" s="989"/>
      <c r="QNV1061" s="989"/>
      <c r="QNW1061" s="989"/>
      <c r="QNX1061" s="989"/>
      <c r="QNY1061" s="989"/>
      <c r="QNZ1061" s="989"/>
      <c r="QOA1061" s="989"/>
      <c r="QOB1061" s="989"/>
      <c r="QOC1061" s="989"/>
      <c r="QOD1061" s="989"/>
      <c r="QOE1061" s="989"/>
      <c r="QOF1061" s="989"/>
      <c r="QOG1061" s="989"/>
      <c r="QOH1061" s="989"/>
      <c r="QOI1061" s="989"/>
      <c r="QOJ1061" s="989"/>
      <c r="QOK1061" s="989"/>
      <c r="QOL1061" s="989"/>
      <c r="QOM1061" s="989"/>
      <c r="QON1061" s="989"/>
      <c r="QOO1061" s="989"/>
      <c r="QOP1061" s="989"/>
      <c r="QOQ1061" s="989"/>
      <c r="QOR1061" s="989"/>
      <c r="QOS1061" s="989"/>
      <c r="QOT1061" s="989"/>
      <c r="QOU1061" s="989"/>
      <c r="QOV1061" s="989"/>
      <c r="QOW1061" s="989"/>
      <c r="QOX1061" s="989"/>
      <c r="QOY1061" s="989"/>
      <c r="QOZ1061" s="989"/>
      <c r="QPA1061" s="989"/>
      <c r="QPB1061" s="989"/>
      <c r="QPC1061" s="989"/>
      <c r="QPD1061" s="989"/>
      <c r="QPE1061" s="989"/>
      <c r="QPF1061" s="989"/>
      <c r="QPG1061" s="989"/>
      <c r="QPH1061" s="989"/>
      <c r="QPI1061" s="989"/>
      <c r="QPJ1061" s="989"/>
      <c r="QPK1061" s="989"/>
      <c r="QPL1061" s="989"/>
      <c r="QPM1061" s="989"/>
      <c r="QPN1061" s="989"/>
      <c r="QPO1061" s="989"/>
      <c r="QPP1061" s="989"/>
      <c r="QPQ1061" s="989"/>
      <c r="QPR1061" s="989"/>
      <c r="QPS1061" s="989"/>
      <c r="QPT1061" s="989"/>
      <c r="QPU1061" s="989"/>
      <c r="QPV1061" s="989"/>
      <c r="QPW1061" s="989"/>
      <c r="QPX1061" s="989"/>
      <c r="QPY1061" s="989"/>
      <c r="QPZ1061" s="989"/>
      <c r="QQA1061" s="989"/>
      <c r="QQB1061" s="989"/>
      <c r="QQC1061" s="989"/>
      <c r="QQD1061" s="989"/>
      <c r="QQE1061" s="989"/>
      <c r="QQF1061" s="989"/>
      <c r="QQG1061" s="989"/>
      <c r="QQH1061" s="989"/>
      <c r="QQI1061" s="989"/>
      <c r="QQJ1061" s="989"/>
      <c r="QQK1061" s="989"/>
      <c r="QQL1061" s="989"/>
      <c r="QQM1061" s="989"/>
      <c r="QQN1061" s="989"/>
      <c r="QQO1061" s="989"/>
      <c r="QQP1061" s="989"/>
      <c r="QQQ1061" s="989"/>
      <c r="QQR1061" s="989"/>
      <c r="QQS1061" s="989"/>
      <c r="QQT1061" s="989"/>
      <c r="QQU1061" s="989"/>
      <c r="QQV1061" s="989"/>
      <c r="QQW1061" s="989"/>
      <c r="QQX1061" s="989"/>
      <c r="QQY1061" s="989"/>
      <c r="QQZ1061" s="989"/>
      <c r="QRA1061" s="989"/>
      <c r="QRB1061" s="989"/>
      <c r="QRC1061" s="989"/>
      <c r="QRD1061" s="989"/>
      <c r="QRE1061" s="989"/>
      <c r="QRF1061" s="989"/>
      <c r="QRG1061" s="989"/>
      <c r="QRH1061" s="989"/>
      <c r="QRI1061" s="989"/>
      <c r="QRJ1061" s="989"/>
      <c r="QRK1061" s="989"/>
      <c r="QRL1061" s="989"/>
      <c r="QRM1061" s="989"/>
      <c r="QRN1061" s="989"/>
      <c r="QRO1061" s="989"/>
      <c r="QRP1061" s="989"/>
      <c r="QRQ1061" s="989"/>
      <c r="QRR1061" s="989"/>
      <c r="QRS1061" s="989"/>
      <c r="QRT1061" s="989"/>
      <c r="QRU1061" s="989"/>
      <c r="QRV1061" s="989"/>
      <c r="QRW1061" s="989"/>
      <c r="QRX1061" s="989"/>
      <c r="QRY1061" s="989"/>
      <c r="QRZ1061" s="989"/>
      <c r="QSA1061" s="989"/>
      <c r="QSB1061" s="989"/>
      <c r="QSC1061" s="989"/>
      <c r="QSD1061" s="989"/>
      <c r="QSE1061" s="989"/>
      <c r="QSF1061" s="989"/>
      <c r="QSG1061" s="989"/>
      <c r="QSH1061" s="989"/>
      <c r="QSI1061" s="989"/>
      <c r="QSJ1061" s="989"/>
      <c r="QSK1061" s="989"/>
      <c r="QSL1061" s="989"/>
      <c r="QSM1061" s="989"/>
      <c r="QSN1061" s="989"/>
      <c r="QSO1061" s="989"/>
      <c r="QSP1061" s="989"/>
      <c r="QSQ1061" s="989"/>
      <c r="QSR1061" s="989"/>
      <c r="QSS1061" s="989"/>
      <c r="QST1061" s="989"/>
      <c r="QSU1061" s="989"/>
      <c r="QSV1061" s="989"/>
      <c r="QSW1061" s="989"/>
      <c r="QSX1061" s="989"/>
      <c r="QSY1061" s="989"/>
      <c r="QSZ1061" s="989"/>
      <c r="QTA1061" s="989"/>
      <c r="QTB1061" s="989"/>
      <c r="QTC1061" s="989"/>
      <c r="QTD1061" s="989"/>
      <c r="QTE1061" s="989"/>
      <c r="QTF1061" s="989"/>
      <c r="QTG1061" s="989"/>
      <c r="QTH1061" s="989"/>
      <c r="QTI1061" s="989"/>
      <c r="QTJ1061" s="989"/>
      <c r="QTK1061" s="989"/>
      <c r="QTL1061" s="989"/>
      <c r="QTM1061" s="989"/>
      <c r="QTN1061" s="989"/>
      <c r="QTO1061" s="989"/>
      <c r="QTP1061" s="989"/>
      <c r="QTQ1061" s="989"/>
      <c r="QTR1061" s="989"/>
      <c r="QTS1061" s="989"/>
      <c r="QTT1061" s="989"/>
      <c r="QTU1061" s="989"/>
      <c r="QTV1061" s="989"/>
      <c r="QTW1061" s="989"/>
      <c r="QTX1061" s="989"/>
      <c r="QTY1061" s="989"/>
      <c r="QTZ1061" s="989"/>
      <c r="QUA1061" s="989"/>
      <c r="QUB1061" s="989"/>
      <c r="QUC1061" s="989"/>
      <c r="QUD1061" s="989"/>
      <c r="QUE1061" s="989"/>
      <c r="QUF1061" s="989"/>
      <c r="QUG1061" s="989"/>
      <c r="QUH1061" s="989"/>
      <c r="QUI1061" s="989"/>
      <c r="QUJ1061" s="989"/>
      <c r="QUK1061" s="989"/>
      <c r="QUL1061" s="989"/>
      <c r="QUM1061" s="989"/>
      <c r="QUN1061" s="989"/>
      <c r="QUO1061" s="989"/>
      <c r="QUP1061" s="989"/>
      <c r="QUQ1061" s="989"/>
      <c r="QUR1061" s="989"/>
      <c r="QUS1061" s="989"/>
      <c r="QUT1061" s="989"/>
      <c r="QUU1061" s="989"/>
      <c r="QUV1061" s="989"/>
      <c r="QUW1061" s="989"/>
      <c r="QUX1061" s="989"/>
      <c r="QUY1061" s="989"/>
      <c r="QUZ1061" s="989"/>
      <c r="QVA1061" s="989"/>
      <c r="QVB1061" s="989"/>
      <c r="QVC1061" s="989"/>
      <c r="QVD1061" s="989"/>
      <c r="QVE1061" s="989"/>
      <c r="QVF1061" s="989"/>
      <c r="QVG1061" s="989"/>
      <c r="QVH1061" s="989"/>
      <c r="QVI1061" s="989"/>
      <c r="QVJ1061" s="989"/>
      <c r="QVK1061" s="989"/>
      <c r="QVL1061" s="989"/>
      <c r="QVM1061" s="989"/>
      <c r="QVN1061" s="989"/>
      <c r="QVO1061" s="989"/>
      <c r="QVP1061" s="989"/>
      <c r="QVQ1061" s="989"/>
      <c r="QVR1061" s="989"/>
      <c r="QVS1061" s="989"/>
      <c r="QVT1061" s="989"/>
      <c r="QVU1061" s="989"/>
      <c r="QVV1061" s="989"/>
      <c r="QVW1061" s="989"/>
      <c r="QVX1061" s="989"/>
      <c r="QVY1061" s="989"/>
      <c r="QVZ1061" s="989"/>
      <c r="QWA1061" s="989"/>
      <c r="QWB1061" s="989"/>
      <c r="QWC1061" s="989"/>
      <c r="QWD1061" s="989"/>
      <c r="QWE1061" s="989"/>
      <c r="QWF1061" s="989"/>
      <c r="QWG1061" s="989"/>
      <c r="QWH1061" s="989"/>
      <c r="QWI1061" s="989"/>
      <c r="QWJ1061" s="989"/>
      <c r="QWK1061" s="989"/>
      <c r="QWL1061" s="989"/>
      <c r="QWM1061" s="989"/>
      <c r="QWN1061" s="989"/>
      <c r="QWO1061" s="989"/>
      <c r="QWP1061" s="989"/>
      <c r="QWQ1061" s="989"/>
      <c r="QWR1061" s="989"/>
      <c r="QWS1061" s="989"/>
      <c r="QWT1061" s="989"/>
      <c r="QWU1061" s="989"/>
      <c r="QWV1061" s="989"/>
      <c r="QWW1061" s="989"/>
      <c r="QWX1061" s="989"/>
      <c r="QWY1061" s="989"/>
      <c r="QWZ1061" s="989"/>
      <c r="QXA1061" s="989"/>
      <c r="QXB1061" s="989"/>
      <c r="QXC1061" s="989"/>
      <c r="QXD1061" s="989"/>
      <c r="QXE1061" s="989"/>
      <c r="QXF1061" s="989"/>
      <c r="QXG1061" s="989"/>
      <c r="QXH1061" s="989"/>
      <c r="QXI1061" s="989"/>
      <c r="QXJ1061" s="989"/>
      <c r="QXK1061" s="989"/>
      <c r="QXL1061" s="989"/>
      <c r="QXM1061" s="989"/>
      <c r="QXN1061" s="989"/>
      <c r="QXO1061" s="989"/>
      <c r="QXP1061" s="989"/>
      <c r="QXQ1061" s="989"/>
      <c r="QXR1061" s="989"/>
      <c r="QXS1061" s="989"/>
      <c r="QXT1061" s="989"/>
      <c r="QXU1061" s="989"/>
      <c r="QXV1061" s="989"/>
      <c r="QXW1061" s="989"/>
      <c r="QXX1061" s="989"/>
      <c r="QXY1061" s="989"/>
      <c r="QXZ1061" s="989"/>
      <c r="QYA1061" s="989"/>
      <c r="QYB1061" s="989"/>
      <c r="QYC1061" s="989"/>
      <c r="QYD1061" s="989"/>
      <c r="QYE1061" s="989"/>
      <c r="QYF1061" s="989"/>
      <c r="QYG1061" s="989"/>
      <c r="QYH1061" s="989"/>
      <c r="QYI1061" s="989"/>
      <c r="QYJ1061" s="989"/>
      <c r="QYK1061" s="989"/>
      <c r="QYL1061" s="989"/>
      <c r="QYM1061" s="989"/>
      <c r="QYN1061" s="989"/>
      <c r="QYO1061" s="989"/>
      <c r="QYP1061" s="989"/>
      <c r="QYQ1061" s="989"/>
      <c r="QYR1061" s="989"/>
      <c r="QYS1061" s="989"/>
      <c r="QYT1061" s="989"/>
      <c r="QYU1061" s="989"/>
      <c r="QYV1061" s="989"/>
      <c r="QYW1061" s="989"/>
      <c r="QYX1061" s="989"/>
      <c r="QYY1061" s="989"/>
      <c r="QYZ1061" s="989"/>
      <c r="QZA1061" s="989"/>
      <c r="QZB1061" s="989"/>
      <c r="QZC1061" s="989"/>
      <c r="QZD1061" s="989"/>
      <c r="QZE1061" s="989"/>
      <c r="QZF1061" s="989"/>
      <c r="QZG1061" s="989"/>
      <c r="QZH1061" s="989"/>
      <c r="QZI1061" s="989"/>
      <c r="QZJ1061" s="989"/>
      <c r="QZK1061" s="989"/>
      <c r="QZL1061" s="989"/>
      <c r="QZM1061" s="989"/>
      <c r="QZN1061" s="989"/>
      <c r="QZO1061" s="989"/>
      <c r="QZP1061" s="989"/>
      <c r="QZQ1061" s="989"/>
      <c r="QZR1061" s="989"/>
      <c r="QZS1061" s="989"/>
      <c r="QZT1061" s="989"/>
      <c r="QZU1061" s="989"/>
      <c r="QZV1061" s="989"/>
      <c r="QZW1061" s="989"/>
      <c r="QZX1061" s="989"/>
      <c r="QZY1061" s="989"/>
      <c r="QZZ1061" s="989"/>
      <c r="RAA1061" s="989"/>
      <c r="RAB1061" s="989"/>
      <c r="RAC1061" s="989"/>
      <c r="RAD1061" s="989"/>
      <c r="RAE1061" s="989"/>
      <c r="RAF1061" s="989"/>
      <c r="RAG1061" s="989"/>
      <c r="RAH1061" s="989"/>
      <c r="RAI1061" s="989"/>
      <c r="RAJ1061" s="989"/>
      <c r="RAK1061" s="989"/>
      <c r="RAL1061" s="989"/>
      <c r="RAM1061" s="989"/>
      <c r="RAN1061" s="989"/>
      <c r="RAO1061" s="989"/>
      <c r="RAP1061" s="989"/>
      <c r="RAQ1061" s="989"/>
      <c r="RAR1061" s="989"/>
      <c r="RAS1061" s="989"/>
      <c r="RAT1061" s="989"/>
      <c r="RAU1061" s="989"/>
      <c r="RAV1061" s="989"/>
      <c r="RAW1061" s="989"/>
      <c r="RAX1061" s="989"/>
      <c r="RAY1061" s="989"/>
      <c r="RAZ1061" s="989"/>
      <c r="RBA1061" s="989"/>
      <c r="RBB1061" s="989"/>
      <c r="RBC1061" s="989"/>
      <c r="RBD1061" s="989"/>
      <c r="RBE1061" s="989"/>
      <c r="RBF1061" s="989"/>
      <c r="RBG1061" s="989"/>
      <c r="RBH1061" s="989"/>
      <c r="RBI1061" s="989"/>
      <c r="RBJ1061" s="989"/>
      <c r="RBK1061" s="989"/>
      <c r="RBL1061" s="989"/>
      <c r="RBM1061" s="989"/>
      <c r="RBN1061" s="989"/>
      <c r="RBO1061" s="989"/>
      <c r="RBP1061" s="989"/>
      <c r="RBQ1061" s="989"/>
      <c r="RBR1061" s="989"/>
      <c r="RBS1061" s="989"/>
      <c r="RBT1061" s="989"/>
      <c r="RBU1061" s="989"/>
      <c r="RBV1061" s="989"/>
      <c r="RBW1061" s="989"/>
      <c r="RBX1061" s="989"/>
      <c r="RBY1061" s="989"/>
      <c r="RBZ1061" s="989"/>
      <c r="RCA1061" s="989"/>
      <c r="RCB1061" s="989"/>
      <c r="RCC1061" s="989"/>
      <c r="RCD1061" s="989"/>
      <c r="RCE1061" s="989"/>
      <c r="RCF1061" s="989"/>
      <c r="RCG1061" s="989"/>
      <c r="RCH1061" s="989"/>
      <c r="RCI1061" s="989"/>
      <c r="RCJ1061" s="989"/>
      <c r="RCK1061" s="989"/>
      <c r="RCL1061" s="989"/>
      <c r="RCM1061" s="989"/>
      <c r="RCN1061" s="989"/>
      <c r="RCO1061" s="989"/>
      <c r="RCP1061" s="989"/>
      <c r="RCQ1061" s="989"/>
      <c r="RCR1061" s="989"/>
      <c r="RCS1061" s="989"/>
      <c r="RCT1061" s="989"/>
      <c r="RCU1061" s="989"/>
      <c r="RCV1061" s="989"/>
      <c r="RCW1061" s="989"/>
      <c r="RCX1061" s="989"/>
      <c r="RCY1061" s="989"/>
      <c r="RCZ1061" s="989"/>
      <c r="RDA1061" s="989"/>
      <c r="RDB1061" s="989"/>
      <c r="RDC1061" s="989"/>
      <c r="RDD1061" s="989"/>
      <c r="RDE1061" s="989"/>
      <c r="RDF1061" s="989"/>
      <c r="RDG1061" s="989"/>
      <c r="RDH1061" s="989"/>
      <c r="RDI1061" s="989"/>
      <c r="RDJ1061" s="989"/>
      <c r="RDK1061" s="989"/>
      <c r="RDL1061" s="989"/>
      <c r="RDM1061" s="989"/>
      <c r="RDN1061" s="989"/>
      <c r="RDO1061" s="989"/>
      <c r="RDP1061" s="989"/>
      <c r="RDQ1061" s="989"/>
      <c r="RDR1061" s="989"/>
      <c r="RDS1061" s="989"/>
      <c r="RDT1061" s="989"/>
      <c r="RDU1061" s="989"/>
      <c r="RDV1061" s="989"/>
      <c r="RDW1061" s="989"/>
      <c r="RDX1061" s="989"/>
      <c r="RDY1061" s="989"/>
      <c r="RDZ1061" s="989"/>
      <c r="REA1061" s="989"/>
      <c r="REB1061" s="989"/>
      <c r="REC1061" s="989"/>
      <c r="RED1061" s="989"/>
      <c r="REE1061" s="989"/>
      <c r="REF1061" s="989"/>
      <c r="REG1061" s="989"/>
      <c r="REH1061" s="989"/>
      <c r="REI1061" s="989"/>
      <c r="REJ1061" s="989"/>
      <c r="REK1061" s="989"/>
      <c r="REL1061" s="989"/>
      <c r="REM1061" s="989"/>
      <c r="REN1061" s="989"/>
      <c r="REO1061" s="989"/>
      <c r="REP1061" s="989"/>
      <c r="REQ1061" s="989"/>
      <c r="RER1061" s="989"/>
      <c r="RES1061" s="989"/>
      <c r="RET1061" s="989"/>
      <c r="REU1061" s="989"/>
      <c r="REV1061" s="989"/>
      <c r="REW1061" s="989"/>
      <c r="REX1061" s="989"/>
      <c r="REY1061" s="989"/>
      <c r="REZ1061" s="989"/>
      <c r="RFA1061" s="989"/>
      <c r="RFB1061" s="989"/>
      <c r="RFC1061" s="989"/>
      <c r="RFD1061" s="989"/>
      <c r="RFE1061" s="989"/>
      <c r="RFF1061" s="989"/>
      <c r="RFG1061" s="989"/>
      <c r="RFH1061" s="989"/>
      <c r="RFI1061" s="989"/>
      <c r="RFJ1061" s="989"/>
      <c r="RFK1061" s="989"/>
      <c r="RFL1061" s="989"/>
      <c r="RFM1061" s="989"/>
      <c r="RFN1061" s="989"/>
      <c r="RFO1061" s="989"/>
      <c r="RFP1061" s="989"/>
      <c r="RFQ1061" s="989"/>
      <c r="RFR1061" s="989"/>
      <c r="RFS1061" s="989"/>
      <c r="RFT1061" s="989"/>
      <c r="RFU1061" s="989"/>
      <c r="RFV1061" s="989"/>
      <c r="RFW1061" s="989"/>
      <c r="RFX1061" s="989"/>
      <c r="RFY1061" s="989"/>
      <c r="RFZ1061" s="989"/>
      <c r="RGA1061" s="989"/>
      <c r="RGB1061" s="989"/>
      <c r="RGC1061" s="989"/>
      <c r="RGD1061" s="989"/>
      <c r="RGE1061" s="989"/>
      <c r="RGF1061" s="989"/>
      <c r="RGG1061" s="989"/>
      <c r="RGH1061" s="989"/>
      <c r="RGI1061" s="989"/>
      <c r="RGJ1061" s="989"/>
      <c r="RGK1061" s="989"/>
      <c r="RGL1061" s="989"/>
      <c r="RGM1061" s="989"/>
      <c r="RGN1061" s="989"/>
      <c r="RGO1061" s="989"/>
      <c r="RGP1061" s="989"/>
      <c r="RGQ1061" s="989"/>
      <c r="RGR1061" s="989"/>
      <c r="RGS1061" s="989"/>
      <c r="RGT1061" s="989"/>
      <c r="RGU1061" s="989"/>
      <c r="RGV1061" s="989"/>
      <c r="RGW1061" s="989"/>
      <c r="RGX1061" s="989"/>
      <c r="RGY1061" s="989"/>
      <c r="RGZ1061" s="989"/>
      <c r="RHA1061" s="989"/>
      <c r="RHB1061" s="989"/>
      <c r="RHC1061" s="989"/>
      <c r="RHD1061" s="989"/>
      <c r="RHE1061" s="989"/>
      <c r="RHF1061" s="989"/>
      <c r="RHG1061" s="989"/>
      <c r="RHH1061" s="989"/>
      <c r="RHI1061" s="989"/>
      <c r="RHJ1061" s="989"/>
      <c r="RHK1061" s="989"/>
      <c r="RHL1061" s="989"/>
      <c r="RHM1061" s="989"/>
      <c r="RHN1061" s="989"/>
      <c r="RHO1061" s="989"/>
      <c r="RHP1061" s="989"/>
      <c r="RHQ1061" s="989"/>
      <c r="RHR1061" s="989"/>
      <c r="RHS1061" s="989"/>
      <c r="RHT1061" s="989"/>
      <c r="RHU1061" s="989"/>
      <c r="RHV1061" s="989"/>
      <c r="RHW1061" s="989"/>
      <c r="RHX1061" s="989"/>
      <c r="RHY1061" s="989"/>
      <c r="RHZ1061" s="989"/>
      <c r="RIA1061" s="989"/>
      <c r="RIB1061" s="989"/>
      <c r="RIC1061" s="989"/>
      <c r="RID1061" s="989"/>
      <c r="RIE1061" s="989"/>
      <c r="RIF1061" s="989"/>
      <c r="RIG1061" s="989"/>
      <c r="RIH1061" s="989"/>
      <c r="RII1061" s="989"/>
      <c r="RIJ1061" s="989"/>
      <c r="RIK1061" s="989"/>
      <c r="RIL1061" s="989"/>
      <c r="RIM1061" s="989"/>
      <c r="RIN1061" s="989"/>
      <c r="RIO1061" s="989"/>
      <c r="RIP1061" s="989"/>
      <c r="RIQ1061" s="989"/>
      <c r="RIR1061" s="989"/>
      <c r="RIS1061" s="989"/>
      <c r="RIT1061" s="989"/>
      <c r="RIU1061" s="989"/>
      <c r="RIV1061" s="989"/>
      <c r="RIW1061" s="989"/>
      <c r="RIX1061" s="989"/>
      <c r="RIY1061" s="989"/>
      <c r="RIZ1061" s="989"/>
      <c r="RJA1061" s="989"/>
      <c r="RJB1061" s="989"/>
      <c r="RJC1061" s="989"/>
      <c r="RJD1061" s="989"/>
      <c r="RJE1061" s="989"/>
      <c r="RJF1061" s="989"/>
      <c r="RJG1061" s="989"/>
      <c r="RJH1061" s="989"/>
      <c r="RJI1061" s="989"/>
      <c r="RJJ1061" s="989"/>
      <c r="RJK1061" s="989"/>
      <c r="RJL1061" s="989"/>
      <c r="RJM1061" s="989"/>
      <c r="RJN1061" s="989"/>
      <c r="RJO1061" s="989"/>
      <c r="RJP1061" s="989"/>
      <c r="RJQ1061" s="989"/>
      <c r="RJR1061" s="989"/>
      <c r="RJS1061" s="989"/>
      <c r="RJT1061" s="989"/>
      <c r="RJU1061" s="989"/>
      <c r="RJV1061" s="989"/>
      <c r="RJW1061" s="989"/>
      <c r="RJX1061" s="989"/>
      <c r="RJY1061" s="989"/>
      <c r="RJZ1061" s="989"/>
      <c r="RKA1061" s="989"/>
      <c r="RKB1061" s="989"/>
      <c r="RKC1061" s="989"/>
      <c r="RKD1061" s="989"/>
      <c r="RKE1061" s="989"/>
      <c r="RKF1061" s="989"/>
      <c r="RKG1061" s="989"/>
      <c r="RKH1061" s="989"/>
      <c r="RKI1061" s="989"/>
      <c r="RKJ1061" s="989"/>
      <c r="RKK1061" s="989"/>
      <c r="RKL1061" s="989"/>
      <c r="RKM1061" s="989"/>
      <c r="RKN1061" s="989"/>
      <c r="RKO1061" s="989"/>
      <c r="RKP1061" s="989"/>
      <c r="RKQ1061" s="989"/>
      <c r="RKR1061" s="989"/>
      <c r="RKS1061" s="989"/>
      <c r="RKT1061" s="989"/>
      <c r="RKU1061" s="989"/>
      <c r="RKV1061" s="989"/>
      <c r="RKW1061" s="989"/>
      <c r="RKX1061" s="989"/>
      <c r="RKY1061" s="989"/>
      <c r="RKZ1061" s="989"/>
      <c r="RLA1061" s="989"/>
      <c r="RLB1061" s="989"/>
      <c r="RLC1061" s="989"/>
      <c r="RLD1061" s="989"/>
      <c r="RLE1061" s="989"/>
      <c r="RLF1061" s="989"/>
      <c r="RLG1061" s="989"/>
      <c r="RLH1061" s="989"/>
      <c r="RLI1061" s="989"/>
      <c r="RLJ1061" s="989"/>
      <c r="RLK1061" s="989"/>
      <c r="RLL1061" s="989"/>
      <c r="RLM1061" s="989"/>
      <c r="RLN1061" s="989"/>
      <c r="RLO1061" s="989"/>
      <c r="RLP1061" s="989"/>
      <c r="RLQ1061" s="989"/>
      <c r="RLR1061" s="989"/>
      <c r="RLS1061" s="989"/>
      <c r="RLT1061" s="989"/>
      <c r="RLU1061" s="989"/>
      <c r="RLV1061" s="989"/>
      <c r="RLW1061" s="989"/>
      <c r="RLX1061" s="989"/>
      <c r="RLY1061" s="989"/>
      <c r="RLZ1061" s="989"/>
      <c r="RMA1061" s="989"/>
      <c r="RMB1061" s="989"/>
      <c r="RMC1061" s="989"/>
      <c r="RMD1061" s="989"/>
      <c r="RME1061" s="989"/>
      <c r="RMF1061" s="989"/>
      <c r="RMG1061" s="989"/>
      <c r="RMH1061" s="989"/>
      <c r="RMI1061" s="989"/>
      <c r="RMJ1061" s="989"/>
      <c r="RMK1061" s="989"/>
      <c r="RML1061" s="989"/>
      <c r="RMM1061" s="989"/>
      <c r="RMN1061" s="989"/>
      <c r="RMO1061" s="989"/>
      <c r="RMP1061" s="989"/>
      <c r="RMQ1061" s="989"/>
      <c r="RMR1061" s="989"/>
      <c r="RMS1061" s="989"/>
      <c r="RMT1061" s="989"/>
      <c r="RMU1061" s="989"/>
      <c r="RMV1061" s="989"/>
      <c r="RMW1061" s="989"/>
      <c r="RMX1061" s="989"/>
      <c r="RMY1061" s="989"/>
      <c r="RMZ1061" s="989"/>
      <c r="RNA1061" s="989"/>
      <c r="RNB1061" s="989"/>
      <c r="RNC1061" s="989"/>
      <c r="RND1061" s="989"/>
      <c r="RNE1061" s="989"/>
      <c r="RNF1061" s="989"/>
      <c r="RNG1061" s="989"/>
      <c r="RNH1061" s="989"/>
      <c r="RNI1061" s="989"/>
      <c r="RNJ1061" s="989"/>
      <c r="RNK1061" s="989"/>
      <c r="RNL1061" s="989"/>
      <c r="RNM1061" s="989"/>
      <c r="RNN1061" s="989"/>
      <c r="RNO1061" s="989"/>
      <c r="RNP1061" s="989"/>
      <c r="RNQ1061" s="989"/>
      <c r="RNR1061" s="989"/>
      <c r="RNS1061" s="989"/>
      <c r="RNT1061" s="989"/>
      <c r="RNU1061" s="989"/>
      <c r="RNV1061" s="989"/>
      <c r="RNW1061" s="989"/>
      <c r="RNX1061" s="989"/>
      <c r="RNY1061" s="989"/>
      <c r="RNZ1061" s="989"/>
      <c r="ROA1061" s="989"/>
      <c r="ROB1061" s="989"/>
      <c r="ROC1061" s="989"/>
      <c r="ROD1061" s="989"/>
      <c r="ROE1061" s="989"/>
      <c r="ROF1061" s="989"/>
      <c r="ROG1061" s="989"/>
      <c r="ROH1061" s="989"/>
      <c r="ROI1061" s="989"/>
      <c r="ROJ1061" s="989"/>
      <c r="ROK1061" s="989"/>
      <c r="ROL1061" s="989"/>
      <c r="ROM1061" s="989"/>
      <c r="RON1061" s="989"/>
      <c r="ROO1061" s="989"/>
      <c r="ROP1061" s="989"/>
      <c r="ROQ1061" s="989"/>
      <c r="ROR1061" s="989"/>
      <c r="ROS1061" s="989"/>
      <c r="ROT1061" s="989"/>
      <c r="ROU1061" s="989"/>
      <c r="ROV1061" s="989"/>
      <c r="ROW1061" s="989"/>
      <c r="ROX1061" s="989"/>
      <c r="ROY1061" s="989"/>
      <c r="ROZ1061" s="989"/>
      <c r="RPA1061" s="989"/>
      <c r="RPB1061" s="989"/>
      <c r="RPC1061" s="989"/>
      <c r="RPD1061" s="989"/>
      <c r="RPE1061" s="989"/>
      <c r="RPF1061" s="989"/>
      <c r="RPG1061" s="989"/>
      <c r="RPH1061" s="989"/>
      <c r="RPI1061" s="989"/>
      <c r="RPJ1061" s="989"/>
      <c r="RPK1061" s="989"/>
      <c r="RPL1061" s="989"/>
      <c r="RPM1061" s="989"/>
      <c r="RPN1061" s="989"/>
      <c r="RPO1061" s="989"/>
      <c r="RPP1061" s="989"/>
      <c r="RPQ1061" s="989"/>
      <c r="RPR1061" s="989"/>
      <c r="RPS1061" s="989"/>
      <c r="RPT1061" s="989"/>
      <c r="RPU1061" s="989"/>
      <c r="RPV1061" s="989"/>
      <c r="RPW1061" s="989"/>
      <c r="RPX1061" s="989"/>
      <c r="RPY1061" s="989"/>
      <c r="RPZ1061" s="989"/>
      <c r="RQA1061" s="989"/>
      <c r="RQB1061" s="989"/>
      <c r="RQC1061" s="989"/>
      <c r="RQD1061" s="989"/>
      <c r="RQE1061" s="989"/>
      <c r="RQF1061" s="989"/>
      <c r="RQG1061" s="989"/>
      <c r="RQH1061" s="989"/>
      <c r="RQI1061" s="989"/>
      <c r="RQJ1061" s="989"/>
      <c r="RQK1061" s="989"/>
      <c r="RQL1061" s="989"/>
      <c r="RQM1061" s="989"/>
      <c r="RQN1061" s="989"/>
      <c r="RQO1061" s="989"/>
      <c r="RQP1061" s="989"/>
      <c r="RQQ1061" s="989"/>
      <c r="RQR1061" s="989"/>
      <c r="RQS1061" s="989"/>
      <c r="RQT1061" s="989"/>
      <c r="RQU1061" s="989"/>
      <c r="RQV1061" s="989"/>
      <c r="RQW1061" s="989"/>
      <c r="RQX1061" s="989"/>
      <c r="RQY1061" s="989"/>
      <c r="RQZ1061" s="989"/>
      <c r="RRA1061" s="989"/>
      <c r="RRB1061" s="989"/>
      <c r="RRC1061" s="989"/>
      <c r="RRD1061" s="989"/>
      <c r="RRE1061" s="989"/>
      <c r="RRF1061" s="989"/>
      <c r="RRG1061" s="989"/>
      <c r="RRH1061" s="989"/>
      <c r="RRI1061" s="989"/>
      <c r="RRJ1061" s="989"/>
      <c r="RRK1061" s="989"/>
      <c r="RRL1061" s="989"/>
      <c r="RRM1061" s="989"/>
      <c r="RRN1061" s="989"/>
      <c r="RRO1061" s="989"/>
      <c r="RRP1061" s="989"/>
      <c r="RRQ1061" s="989"/>
      <c r="RRR1061" s="989"/>
      <c r="RRS1061" s="989"/>
      <c r="RRT1061" s="989"/>
      <c r="RRU1061" s="989"/>
      <c r="RRV1061" s="989"/>
      <c r="RRW1061" s="989"/>
      <c r="RRX1061" s="989"/>
      <c r="RRY1061" s="989"/>
      <c r="RRZ1061" s="989"/>
      <c r="RSA1061" s="989"/>
      <c r="RSB1061" s="989"/>
      <c r="RSC1061" s="989"/>
      <c r="RSD1061" s="989"/>
      <c r="RSE1061" s="989"/>
      <c r="RSF1061" s="989"/>
      <c r="RSG1061" s="989"/>
      <c r="RSH1061" s="989"/>
      <c r="RSI1061" s="989"/>
      <c r="RSJ1061" s="989"/>
      <c r="RSK1061" s="989"/>
      <c r="RSL1061" s="989"/>
      <c r="RSM1061" s="989"/>
      <c r="RSN1061" s="989"/>
      <c r="RSO1061" s="989"/>
      <c r="RSP1061" s="989"/>
      <c r="RSQ1061" s="989"/>
      <c r="RSR1061" s="989"/>
      <c r="RSS1061" s="989"/>
      <c r="RST1061" s="989"/>
      <c r="RSU1061" s="989"/>
      <c r="RSV1061" s="989"/>
      <c r="RSW1061" s="989"/>
      <c r="RSX1061" s="989"/>
      <c r="RSY1061" s="989"/>
      <c r="RSZ1061" s="989"/>
      <c r="RTA1061" s="989"/>
      <c r="RTB1061" s="989"/>
      <c r="RTC1061" s="989"/>
      <c r="RTD1061" s="989"/>
      <c r="RTE1061" s="989"/>
      <c r="RTF1061" s="989"/>
      <c r="RTG1061" s="989"/>
      <c r="RTH1061" s="989"/>
      <c r="RTI1061" s="989"/>
      <c r="RTJ1061" s="989"/>
      <c r="RTK1061" s="989"/>
      <c r="RTL1061" s="989"/>
      <c r="RTM1061" s="989"/>
      <c r="RTN1061" s="989"/>
      <c r="RTO1061" s="989"/>
      <c r="RTP1061" s="989"/>
      <c r="RTQ1061" s="989"/>
      <c r="RTR1061" s="989"/>
      <c r="RTS1061" s="989"/>
      <c r="RTT1061" s="989"/>
      <c r="RTU1061" s="989"/>
      <c r="RTV1061" s="989"/>
      <c r="RTW1061" s="989"/>
      <c r="RTX1061" s="989"/>
      <c r="RTY1061" s="989"/>
      <c r="RTZ1061" s="989"/>
      <c r="RUA1061" s="989"/>
      <c r="RUB1061" s="989"/>
      <c r="RUC1061" s="989"/>
      <c r="RUD1061" s="989"/>
      <c r="RUE1061" s="989"/>
      <c r="RUF1061" s="989"/>
      <c r="RUG1061" s="989"/>
      <c r="RUH1061" s="989"/>
      <c r="RUI1061" s="989"/>
      <c r="RUJ1061" s="989"/>
      <c r="RUK1061" s="989"/>
      <c r="RUL1061" s="989"/>
      <c r="RUM1061" s="989"/>
      <c r="RUN1061" s="989"/>
      <c r="RUO1061" s="989"/>
      <c r="RUP1061" s="989"/>
      <c r="RUQ1061" s="989"/>
      <c r="RUR1061" s="989"/>
      <c r="RUS1061" s="989"/>
      <c r="RUT1061" s="989"/>
      <c r="RUU1061" s="989"/>
      <c r="RUV1061" s="989"/>
      <c r="RUW1061" s="989"/>
      <c r="RUX1061" s="989"/>
      <c r="RUY1061" s="989"/>
      <c r="RUZ1061" s="989"/>
      <c r="RVA1061" s="989"/>
      <c r="RVB1061" s="989"/>
      <c r="RVC1061" s="989"/>
      <c r="RVD1061" s="989"/>
      <c r="RVE1061" s="989"/>
      <c r="RVF1061" s="989"/>
      <c r="RVG1061" s="989"/>
      <c r="RVH1061" s="989"/>
      <c r="RVI1061" s="989"/>
      <c r="RVJ1061" s="989"/>
      <c r="RVK1061" s="989"/>
      <c r="RVL1061" s="989"/>
      <c r="RVM1061" s="989"/>
      <c r="RVN1061" s="989"/>
      <c r="RVO1061" s="989"/>
      <c r="RVP1061" s="989"/>
      <c r="RVQ1061" s="989"/>
      <c r="RVR1061" s="989"/>
      <c r="RVS1061" s="989"/>
      <c r="RVT1061" s="989"/>
      <c r="RVU1061" s="989"/>
      <c r="RVV1061" s="989"/>
      <c r="RVW1061" s="989"/>
      <c r="RVX1061" s="989"/>
      <c r="RVY1061" s="989"/>
      <c r="RVZ1061" s="989"/>
      <c r="RWA1061" s="989"/>
      <c r="RWB1061" s="989"/>
      <c r="RWC1061" s="989"/>
      <c r="RWD1061" s="989"/>
      <c r="RWE1061" s="989"/>
      <c r="RWF1061" s="989"/>
      <c r="RWG1061" s="989"/>
      <c r="RWH1061" s="989"/>
      <c r="RWI1061" s="989"/>
      <c r="RWJ1061" s="989"/>
      <c r="RWK1061" s="989"/>
      <c r="RWL1061" s="989"/>
      <c r="RWM1061" s="989"/>
      <c r="RWN1061" s="989"/>
      <c r="RWO1061" s="989"/>
      <c r="RWP1061" s="989"/>
      <c r="RWQ1061" s="989"/>
      <c r="RWR1061" s="989"/>
      <c r="RWS1061" s="989"/>
      <c r="RWT1061" s="989"/>
      <c r="RWU1061" s="989"/>
      <c r="RWV1061" s="989"/>
      <c r="RWW1061" s="989"/>
      <c r="RWX1061" s="989"/>
      <c r="RWY1061" s="989"/>
      <c r="RWZ1061" s="989"/>
      <c r="RXA1061" s="989"/>
      <c r="RXB1061" s="989"/>
      <c r="RXC1061" s="989"/>
      <c r="RXD1061" s="989"/>
      <c r="RXE1061" s="989"/>
      <c r="RXF1061" s="989"/>
      <c r="RXG1061" s="989"/>
      <c r="RXH1061" s="989"/>
      <c r="RXI1061" s="989"/>
      <c r="RXJ1061" s="989"/>
      <c r="RXK1061" s="989"/>
      <c r="RXL1061" s="989"/>
      <c r="RXM1061" s="989"/>
      <c r="RXN1061" s="989"/>
      <c r="RXO1061" s="989"/>
      <c r="RXP1061" s="989"/>
      <c r="RXQ1061" s="989"/>
      <c r="RXR1061" s="989"/>
      <c r="RXS1061" s="989"/>
      <c r="RXT1061" s="989"/>
      <c r="RXU1061" s="989"/>
      <c r="RXV1061" s="989"/>
      <c r="RXW1061" s="989"/>
      <c r="RXX1061" s="989"/>
      <c r="RXY1061" s="989"/>
      <c r="RXZ1061" s="989"/>
      <c r="RYA1061" s="989"/>
      <c r="RYB1061" s="989"/>
      <c r="RYC1061" s="989"/>
      <c r="RYD1061" s="989"/>
      <c r="RYE1061" s="989"/>
      <c r="RYF1061" s="989"/>
      <c r="RYG1061" s="989"/>
      <c r="RYH1061" s="989"/>
      <c r="RYI1061" s="989"/>
      <c r="RYJ1061" s="989"/>
      <c r="RYK1061" s="989"/>
      <c r="RYL1061" s="989"/>
      <c r="RYM1061" s="989"/>
      <c r="RYN1061" s="989"/>
      <c r="RYO1061" s="989"/>
      <c r="RYP1061" s="989"/>
      <c r="RYQ1061" s="989"/>
      <c r="RYR1061" s="989"/>
      <c r="RYS1061" s="989"/>
      <c r="RYT1061" s="989"/>
      <c r="RYU1061" s="989"/>
      <c r="RYV1061" s="989"/>
      <c r="RYW1061" s="989"/>
      <c r="RYX1061" s="989"/>
      <c r="RYY1061" s="989"/>
      <c r="RYZ1061" s="989"/>
      <c r="RZA1061" s="989"/>
      <c r="RZB1061" s="989"/>
      <c r="RZC1061" s="989"/>
      <c r="RZD1061" s="989"/>
      <c r="RZE1061" s="989"/>
      <c r="RZF1061" s="989"/>
      <c r="RZG1061" s="989"/>
      <c r="RZH1061" s="989"/>
      <c r="RZI1061" s="989"/>
      <c r="RZJ1061" s="989"/>
      <c r="RZK1061" s="989"/>
      <c r="RZL1061" s="989"/>
      <c r="RZM1061" s="989"/>
      <c r="RZN1061" s="989"/>
      <c r="RZO1061" s="989"/>
      <c r="RZP1061" s="989"/>
      <c r="RZQ1061" s="989"/>
      <c r="RZR1061" s="989"/>
      <c r="RZS1061" s="989"/>
      <c r="RZT1061" s="989"/>
      <c r="RZU1061" s="989"/>
      <c r="RZV1061" s="989"/>
      <c r="RZW1061" s="989"/>
      <c r="RZX1061" s="989"/>
      <c r="RZY1061" s="989"/>
      <c r="RZZ1061" s="989"/>
      <c r="SAA1061" s="989"/>
      <c r="SAB1061" s="989"/>
      <c r="SAC1061" s="989"/>
      <c r="SAD1061" s="989"/>
      <c r="SAE1061" s="989"/>
      <c r="SAF1061" s="989"/>
      <c r="SAG1061" s="989"/>
      <c r="SAH1061" s="989"/>
      <c r="SAI1061" s="989"/>
      <c r="SAJ1061" s="989"/>
      <c r="SAK1061" s="989"/>
      <c r="SAL1061" s="989"/>
      <c r="SAM1061" s="989"/>
      <c r="SAN1061" s="989"/>
      <c r="SAO1061" s="989"/>
      <c r="SAP1061" s="989"/>
      <c r="SAQ1061" s="989"/>
      <c r="SAR1061" s="989"/>
      <c r="SAS1061" s="989"/>
      <c r="SAT1061" s="989"/>
      <c r="SAU1061" s="989"/>
      <c r="SAV1061" s="989"/>
      <c r="SAW1061" s="989"/>
      <c r="SAX1061" s="989"/>
      <c r="SAY1061" s="989"/>
      <c r="SAZ1061" s="989"/>
      <c r="SBA1061" s="989"/>
      <c r="SBB1061" s="989"/>
      <c r="SBC1061" s="989"/>
      <c r="SBD1061" s="989"/>
      <c r="SBE1061" s="989"/>
      <c r="SBF1061" s="989"/>
      <c r="SBG1061" s="989"/>
      <c r="SBH1061" s="989"/>
      <c r="SBI1061" s="989"/>
      <c r="SBJ1061" s="989"/>
      <c r="SBK1061" s="989"/>
      <c r="SBL1061" s="989"/>
      <c r="SBM1061" s="989"/>
      <c r="SBN1061" s="989"/>
      <c r="SBO1061" s="989"/>
      <c r="SBP1061" s="989"/>
      <c r="SBQ1061" s="989"/>
      <c r="SBR1061" s="989"/>
      <c r="SBS1061" s="989"/>
      <c r="SBT1061" s="989"/>
      <c r="SBU1061" s="989"/>
      <c r="SBV1061" s="989"/>
      <c r="SBW1061" s="989"/>
      <c r="SBX1061" s="989"/>
      <c r="SBY1061" s="989"/>
      <c r="SBZ1061" s="989"/>
      <c r="SCA1061" s="989"/>
      <c r="SCB1061" s="989"/>
      <c r="SCC1061" s="989"/>
      <c r="SCD1061" s="989"/>
      <c r="SCE1061" s="989"/>
      <c r="SCF1061" s="989"/>
      <c r="SCG1061" s="989"/>
      <c r="SCH1061" s="989"/>
      <c r="SCI1061" s="989"/>
      <c r="SCJ1061" s="989"/>
      <c r="SCK1061" s="989"/>
      <c r="SCL1061" s="989"/>
      <c r="SCM1061" s="989"/>
      <c r="SCN1061" s="989"/>
      <c r="SCO1061" s="989"/>
      <c r="SCP1061" s="989"/>
      <c r="SCQ1061" s="989"/>
      <c r="SCR1061" s="989"/>
      <c r="SCS1061" s="989"/>
      <c r="SCT1061" s="989"/>
      <c r="SCU1061" s="989"/>
      <c r="SCV1061" s="989"/>
      <c r="SCW1061" s="989"/>
      <c r="SCX1061" s="989"/>
      <c r="SCY1061" s="989"/>
      <c r="SCZ1061" s="989"/>
      <c r="SDA1061" s="989"/>
      <c r="SDB1061" s="989"/>
      <c r="SDC1061" s="989"/>
      <c r="SDD1061" s="989"/>
      <c r="SDE1061" s="989"/>
      <c r="SDF1061" s="989"/>
      <c r="SDG1061" s="989"/>
      <c r="SDH1061" s="989"/>
      <c r="SDI1061" s="989"/>
      <c r="SDJ1061" s="989"/>
      <c r="SDK1061" s="989"/>
      <c r="SDL1061" s="989"/>
      <c r="SDM1061" s="989"/>
      <c r="SDN1061" s="989"/>
      <c r="SDO1061" s="989"/>
      <c r="SDP1061" s="989"/>
      <c r="SDQ1061" s="989"/>
      <c r="SDR1061" s="989"/>
      <c r="SDS1061" s="989"/>
      <c r="SDT1061" s="989"/>
      <c r="SDU1061" s="989"/>
      <c r="SDV1061" s="989"/>
      <c r="SDW1061" s="989"/>
      <c r="SDX1061" s="989"/>
      <c r="SDY1061" s="989"/>
      <c r="SDZ1061" s="989"/>
      <c r="SEA1061" s="989"/>
      <c r="SEB1061" s="989"/>
      <c r="SEC1061" s="989"/>
      <c r="SED1061" s="989"/>
      <c r="SEE1061" s="989"/>
      <c r="SEF1061" s="989"/>
      <c r="SEG1061" s="989"/>
      <c r="SEH1061" s="989"/>
      <c r="SEI1061" s="989"/>
      <c r="SEJ1061" s="989"/>
      <c r="SEK1061" s="989"/>
      <c r="SEL1061" s="989"/>
      <c r="SEM1061" s="989"/>
      <c r="SEN1061" s="989"/>
      <c r="SEO1061" s="989"/>
      <c r="SEP1061" s="989"/>
      <c r="SEQ1061" s="989"/>
      <c r="SER1061" s="989"/>
      <c r="SES1061" s="989"/>
      <c r="SET1061" s="989"/>
      <c r="SEU1061" s="989"/>
      <c r="SEV1061" s="989"/>
      <c r="SEW1061" s="989"/>
      <c r="SEX1061" s="989"/>
      <c r="SEY1061" s="989"/>
      <c r="SEZ1061" s="989"/>
      <c r="SFA1061" s="989"/>
      <c r="SFB1061" s="989"/>
      <c r="SFC1061" s="989"/>
      <c r="SFD1061" s="989"/>
      <c r="SFE1061" s="989"/>
      <c r="SFF1061" s="989"/>
      <c r="SFG1061" s="989"/>
      <c r="SFH1061" s="989"/>
      <c r="SFI1061" s="989"/>
      <c r="SFJ1061" s="989"/>
      <c r="SFK1061" s="989"/>
      <c r="SFL1061" s="989"/>
      <c r="SFM1061" s="989"/>
      <c r="SFN1061" s="989"/>
      <c r="SFO1061" s="989"/>
      <c r="SFP1061" s="989"/>
      <c r="SFQ1061" s="989"/>
      <c r="SFR1061" s="989"/>
      <c r="SFS1061" s="989"/>
      <c r="SFT1061" s="989"/>
      <c r="SFU1061" s="989"/>
      <c r="SFV1061" s="989"/>
      <c r="SFW1061" s="989"/>
      <c r="SFX1061" s="989"/>
      <c r="SFY1061" s="989"/>
      <c r="SFZ1061" s="989"/>
      <c r="SGA1061" s="989"/>
      <c r="SGB1061" s="989"/>
      <c r="SGC1061" s="989"/>
      <c r="SGD1061" s="989"/>
      <c r="SGE1061" s="989"/>
      <c r="SGF1061" s="989"/>
      <c r="SGG1061" s="989"/>
      <c r="SGH1061" s="989"/>
      <c r="SGI1061" s="989"/>
      <c r="SGJ1061" s="989"/>
      <c r="SGK1061" s="989"/>
      <c r="SGL1061" s="989"/>
      <c r="SGM1061" s="989"/>
      <c r="SGN1061" s="989"/>
      <c r="SGO1061" s="989"/>
      <c r="SGP1061" s="989"/>
      <c r="SGQ1061" s="989"/>
      <c r="SGR1061" s="989"/>
      <c r="SGS1061" s="989"/>
      <c r="SGT1061" s="989"/>
      <c r="SGU1061" s="989"/>
      <c r="SGV1061" s="989"/>
      <c r="SGW1061" s="989"/>
      <c r="SGX1061" s="989"/>
      <c r="SGY1061" s="989"/>
      <c r="SGZ1061" s="989"/>
      <c r="SHA1061" s="989"/>
      <c r="SHB1061" s="989"/>
      <c r="SHC1061" s="989"/>
      <c r="SHD1061" s="989"/>
      <c r="SHE1061" s="989"/>
      <c r="SHF1061" s="989"/>
      <c r="SHG1061" s="989"/>
      <c r="SHH1061" s="989"/>
      <c r="SHI1061" s="989"/>
      <c r="SHJ1061" s="989"/>
      <c r="SHK1061" s="989"/>
      <c r="SHL1061" s="989"/>
      <c r="SHM1061" s="989"/>
      <c r="SHN1061" s="989"/>
      <c r="SHO1061" s="989"/>
      <c r="SHP1061" s="989"/>
      <c r="SHQ1061" s="989"/>
      <c r="SHR1061" s="989"/>
      <c r="SHS1061" s="989"/>
      <c r="SHT1061" s="989"/>
      <c r="SHU1061" s="989"/>
      <c r="SHV1061" s="989"/>
      <c r="SHW1061" s="989"/>
      <c r="SHX1061" s="989"/>
      <c r="SHY1061" s="989"/>
      <c r="SHZ1061" s="989"/>
      <c r="SIA1061" s="989"/>
      <c r="SIB1061" s="989"/>
      <c r="SIC1061" s="989"/>
      <c r="SID1061" s="989"/>
      <c r="SIE1061" s="989"/>
      <c r="SIF1061" s="989"/>
      <c r="SIG1061" s="989"/>
      <c r="SIH1061" s="989"/>
      <c r="SII1061" s="989"/>
      <c r="SIJ1061" s="989"/>
      <c r="SIK1061" s="989"/>
      <c r="SIL1061" s="989"/>
      <c r="SIM1061" s="989"/>
      <c r="SIN1061" s="989"/>
      <c r="SIO1061" s="989"/>
      <c r="SIP1061" s="989"/>
      <c r="SIQ1061" s="989"/>
      <c r="SIR1061" s="989"/>
      <c r="SIS1061" s="989"/>
      <c r="SIT1061" s="989"/>
      <c r="SIU1061" s="989"/>
      <c r="SIV1061" s="989"/>
      <c r="SIW1061" s="989"/>
      <c r="SIX1061" s="989"/>
      <c r="SIY1061" s="989"/>
      <c r="SIZ1061" s="989"/>
      <c r="SJA1061" s="989"/>
      <c r="SJB1061" s="989"/>
      <c r="SJC1061" s="989"/>
      <c r="SJD1061" s="989"/>
      <c r="SJE1061" s="989"/>
      <c r="SJF1061" s="989"/>
      <c r="SJG1061" s="989"/>
      <c r="SJH1061" s="989"/>
      <c r="SJI1061" s="989"/>
      <c r="SJJ1061" s="989"/>
      <c r="SJK1061" s="989"/>
      <c r="SJL1061" s="989"/>
      <c r="SJM1061" s="989"/>
      <c r="SJN1061" s="989"/>
      <c r="SJO1061" s="989"/>
      <c r="SJP1061" s="989"/>
      <c r="SJQ1061" s="989"/>
      <c r="SJR1061" s="989"/>
      <c r="SJS1061" s="989"/>
      <c r="SJT1061" s="989"/>
      <c r="SJU1061" s="989"/>
      <c r="SJV1061" s="989"/>
      <c r="SJW1061" s="989"/>
      <c r="SJX1061" s="989"/>
      <c r="SJY1061" s="989"/>
      <c r="SJZ1061" s="989"/>
      <c r="SKA1061" s="989"/>
      <c r="SKB1061" s="989"/>
      <c r="SKC1061" s="989"/>
      <c r="SKD1061" s="989"/>
      <c r="SKE1061" s="989"/>
      <c r="SKF1061" s="989"/>
      <c r="SKG1061" s="989"/>
      <c r="SKH1061" s="989"/>
      <c r="SKI1061" s="989"/>
      <c r="SKJ1061" s="989"/>
      <c r="SKK1061" s="989"/>
      <c r="SKL1061" s="989"/>
      <c r="SKM1061" s="989"/>
      <c r="SKN1061" s="989"/>
      <c r="SKO1061" s="989"/>
      <c r="SKP1061" s="989"/>
      <c r="SKQ1061" s="989"/>
      <c r="SKR1061" s="989"/>
      <c r="SKS1061" s="989"/>
      <c r="SKT1061" s="989"/>
      <c r="SKU1061" s="989"/>
      <c r="SKV1061" s="989"/>
      <c r="SKW1061" s="989"/>
      <c r="SKX1061" s="989"/>
      <c r="SKY1061" s="989"/>
      <c r="SKZ1061" s="989"/>
      <c r="SLA1061" s="989"/>
      <c r="SLB1061" s="989"/>
      <c r="SLC1061" s="989"/>
      <c r="SLD1061" s="989"/>
      <c r="SLE1061" s="989"/>
      <c r="SLF1061" s="989"/>
      <c r="SLG1061" s="989"/>
      <c r="SLH1061" s="989"/>
      <c r="SLI1061" s="989"/>
      <c r="SLJ1061" s="989"/>
      <c r="SLK1061" s="989"/>
      <c r="SLL1061" s="989"/>
      <c r="SLM1061" s="989"/>
      <c r="SLN1061" s="989"/>
      <c r="SLO1061" s="989"/>
      <c r="SLP1061" s="989"/>
      <c r="SLQ1061" s="989"/>
      <c r="SLR1061" s="989"/>
      <c r="SLS1061" s="989"/>
      <c r="SLT1061" s="989"/>
      <c r="SLU1061" s="989"/>
      <c r="SLV1061" s="989"/>
      <c r="SLW1061" s="989"/>
      <c r="SLX1061" s="989"/>
      <c r="SLY1061" s="989"/>
      <c r="SLZ1061" s="989"/>
      <c r="SMA1061" s="989"/>
      <c r="SMB1061" s="989"/>
      <c r="SMC1061" s="989"/>
      <c r="SMD1061" s="989"/>
      <c r="SME1061" s="989"/>
      <c r="SMF1061" s="989"/>
      <c r="SMG1061" s="989"/>
      <c r="SMH1061" s="989"/>
      <c r="SMI1061" s="989"/>
      <c r="SMJ1061" s="989"/>
      <c r="SMK1061" s="989"/>
      <c r="SML1061" s="989"/>
      <c r="SMM1061" s="989"/>
      <c r="SMN1061" s="989"/>
      <c r="SMO1061" s="989"/>
      <c r="SMP1061" s="989"/>
      <c r="SMQ1061" s="989"/>
      <c r="SMR1061" s="989"/>
      <c r="SMS1061" s="989"/>
      <c r="SMT1061" s="989"/>
      <c r="SMU1061" s="989"/>
      <c r="SMV1061" s="989"/>
      <c r="SMW1061" s="989"/>
      <c r="SMX1061" s="989"/>
      <c r="SMY1061" s="989"/>
      <c r="SMZ1061" s="989"/>
      <c r="SNA1061" s="989"/>
      <c r="SNB1061" s="989"/>
      <c r="SNC1061" s="989"/>
      <c r="SND1061" s="989"/>
      <c r="SNE1061" s="989"/>
      <c r="SNF1061" s="989"/>
      <c r="SNG1061" s="989"/>
      <c r="SNH1061" s="989"/>
      <c r="SNI1061" s="989"/>
      <c r="SNJ1061" s="989"/>
      <c r="SNK1061" s="989"/>
      <c r="SNL1061" s="989"/>
      <c r="SNM1061" s="989"/>
      <c r="SNN1061" s="989"/>
      <c r="SNO1061" s="989"/>
      <c r="SNP1061" s="989"/>
      <c r="SNQ1061" s="989"/>
      <c r="SNR1061" s="989"/>
      <c r="SNS1061" s="989"/>
      <c r="SNT1061" s="989"/>
      <c r="SNU1061" s="989"/>
      <c r="SNV1061" s="989"/>
      <c r="SNW1061" s="989"/>
      <c r="SNX1061" s="989"/>
      <c r="SNY1061" s="989"/>
      <c r="SNZ1061" s="989"/>
      <c r="SOA1061" s="989"/>
      <c r="SOB1061" s="989"/>
      <c r="SOC1061" s="989"/>
      <c r="SOD1061" s="989"/>
      <c r="SOE1061" s="989"/>
      <c r="SOF1061" s="989"/>
      <c r="SOG1061" s="989"/>
      <c r="SOH1061" s="989"/>
      <c r="SOI1061" s="989"/>
      <c r="SOJ1061" s="989"/>
      <c r="SOK1061" s="989"/>
      <c r="SOL1061" s="989"/>
      <c r="SOM1061" s="989"/>
      <c r="SON1061" s="989"/>
      <c r="SOO1061" s="989"/>
      <c r="SOP1061" s="989"/>
      <c r="SOQ1061" s="989"/>
      <c r="SOR1061" s="989"/>
      <c r="SOS1061" s="989"/>
      <c r="SOT1061" s="989"/>
      <c r="SOU1061" s="989"/>
      <c r="SOV1061" s="989"/>
      <c r="SOW1061" s="989"/>
      <c r="SOX1061" s="989"/>
      <c r="SOY1061" s="989"/>
      <c r="SOZ1061" s="989"/>
      <c r="SPA1061" s="989"/>
      <c r="SPB1061" s="989"/>
      <c r="SPC1061" s="989"/>
      <c r="SPD1061" s="989"/>
      <c r="SPE1061" s="989"/>
      <c r="SPF1061" s="989"/>
      <c r="SPG1061" s="989"/>
      <c r="SPH1061" s="989"/>
      <c r="SPI1061" s="989"/>
      <c r="SPJ1061" s="989"/>
      <c r="SPK1061" s="989"/>
      <c r="SPL1061" s="989"/>
      <c r="SPM1061" s="989"/>
      <c r="SPN1061" s="989"/>
      <c r="SPO1061" s="989"/>
      <c r="SPP1061" s="989"/>
      <c r="SPQ1061" s="989"/>
      <c r="SPR1061" s="989"/>
      <c r="SPS1061" s="989"/>
      <c r="SPT1061" s="989"/>
      <c r="SPU1061" s="989"/>
      <c r="SPV1061" s="989"/>
      <c r="SPW1061" s="989"/>
      <c r="SPX1061" s="989"/>
      <c r="SPY1061" s="989"/>
      <c r="SPZ1061" s="989"/>
      <c r="SQA1061" s="989"/>
      <c r="SQB1061" s="989"/>
      <c r="SQC1061" s="989"/>
      <c r="SQD1061" s="989"/>
      <c r="SQE1061" s="989"/>
      <c r="SQF1061" s="989"/>
      <c r="SQG1061" s="989"/>
      <c r="SQH1061" s="989"/>
      <c r="SQI1061" s="989"/>
      <c r="SQJ1061" s="989"/>
      <c r="SQK1061" s="989"/>
      <c r="SQL1061" s="989"/>
      <c r="SQM1061" s="989"/>
      <c r="SQN1061" s="989"/>
      <c r="SQO1061" s="989"/>
      <c r="SQP1061" s="989"/>
      <c r="SQQ1061" s="989"/>
      <c r="SQR1061" s="989"/>
      <c r="SQS1061" s="989"/>
      <c r="SQT1061" s="989"/>
      <c r="SQU1061" s="989"/>
      <c r="SQV1061" s="989"/>
      <c r="SQW1061" s="989"/>
      <c r="SQX1061" s="989"/>
      <c r="SQY1061" s="989"/>
      <c r="SQZ1061" s="989"/>
      <c r="SRA1061" s="989"/>
      <c r="SRB1061" s="989"/>
      <c r="SRC1061" s="989"/>
      <c r="SRD1061" s="989"/>
      <c r="SRE1061" s="989"/>
      <c r="SRF1061" s="989"/>
      <c r="SRG1061" s="989"/>
      <c r="SRH1061" s="989"/>
      <c r="SRI1061" s="989"/>
      <c r="SRJ1061" s="989"/>
      <c r="SRK1061" s="989"/>
      <c r="SRL1061" s="989"/>
      <c r="SRM1061" s="989"/>
      <c r="SRN1061" s="989"/>
      <c r="SRO1061" s="989"/>
      <c r="SRP1061" s="989"/>
      <c r="SRQ1061" s="989"/>
      <c r="SRR1061" s="989"/>
      <c r="SRS1061" s="989"/>
      <c r="SRT1061" s="989"/>
      <c r="SRU1061" s="989"/>
      <c r="SRV1061" s="989"/>
      <c r="SRW1061" s="989"/>
      <c r="SRX1061" s="989"/>
      <c r="SRY1061" s="989"/>
      <c r="SRZ1061" s="989"/>
      <c r="SSA1061" s="989"/>
      <c r="SSB1061" s="989"/>
      <c r="SSC1061" s="989"/>
      <c r="SSD1061" s="989"/>
      <c r="SSE1061" s="989"/>
      <c r="SSF1061" s="989"/>
      <c r="SSG1061" s="989"/>
      <c r="SSH1061" s="989"/>
      <c r="SSI1061" s="989"/>
      <c r="SSJ1061" s="989"/>
      <c r="SSK1061" s="989"/>
      <c r="SSL1061" s="989"/>
      <c r="SSM1061" s="989"/>
      <c r="SSN1061" s="989"/>
      <c r="SSO1061" s="989"/>
      <c r="SSP1061" s="989"/>
      <c r="SSQ1061" s="989"/>
      <c r="SSR1061" s="989"/>
      <c r="SSS1061" s="989"/>
      <c r="SST1061" s="989"/>
      <c r="SSU1061" s="989"/>
      <c r="SSV1061" s="989"/>
      <c r="SSW1061" s="989"/>
      <c r="SSX1061" s="989"/>
      <c r="SSY1061" s="989"/>
      <c r="SSZ1061" s="989"/>
      <c r="STA1061" s="989"/>
      <c r="STB1061" s="989"/>
      <c r="STC1061" s="989"/>
      <c r="STD1061" s="989"/>
      <c r="STE1061" s="989"/>
      <c r="STF1061" s="989"/>
      <c r="STG1061" s="989"/>
      <c r="STH1061" s="989"/>
      <c r="STI1061" s="989"/>
      <c r="STJ1061" s="989"/>
      <c r="STK1061" s="989"/>
      <c r="STL1061" s="989"/>
      <c r="STM1061" s="989"/>
      <c r="STN1061" s="989"/>
      <c r="STO1061" s="989"/>
      <c r="STP1061" s="989"/>
      <c r="STQ1061" s="989"/>
      <c r="STR1061" s="989"/>
      <c r="STS1061" s="989"/>
      <c r="STT1061" s="989"/>
      <c r="STU1061" s="989"/>
      <c r="STV1061" s="989"/>
      <c r="STW1061" s="989"/>
      <c r="STX1061" s="989"/>
      <c r="STY1061" s="989"/>
      <c r="STZ1061" s="989"/>
      <c r="SUA1061" s="989"/>
      <c r="SUB1061" s="989"/>
      <c r="SUC1061" s="989"/>
      <c r="SUD1061" s="989"/>
      <c r="SUE1061" s="989"/>
      <c r="SUF1061" s="989"/>
      <c r="SUG1061" s="989"/>
      <c r="SUH1061" s="989"/>
      <c r="SUI1061" s="989"/>
      <c r="SUJ1061" s="989"/>
      <c r="SUK1061" s="989"/>
      <c r="SUL1061" s="989"/>
      <c r="SUM1061" s="989"/>
      <c r="SUN1061" s="989"/>
      <c r="SUO1061" s="989"/>
      <c r="SUP1061" s="989"/>
      <c r="SUQ1061" s="989"/>
      <c r="SUR1061" s="989"/>
      <c r="SUS1061" s="989"/>
      <c r="SUT1061" s="989"/>
      <c r="SUU1061" s="989"/>
      <c r="SUV1061" s="989"/>
      <c r="SUW1061" s="989"/>
      <c r="SUX1061" s="989"/>
      <c r="SUY1061" s="989"/>
      <c r="SUZ1061" s="989"/>
      <c r="SVA1061" s="989"/>
      <c r="SVB1061" s="989"/>
      <c r="SVC1061" s="989"/>
      <c r="SVD1061" s="989"/>
      <c r="SVE1061" s="989"/>
      <c r="SVF1061" s="989"/>
      <c r="SVG1061" s="989"/>
      <c r="SVH1061" s="989"/>
      <c r="SVI1061" s="989"/>
      <c r="SVJ1061" s="989"/>
      <c r="SVK1061" s="989"/>
      <c r="SVL1061" s="989"/>
      <c r="SVM1061" s="989"/>
      <c r="SVN1061" s="989"/>
      <c r="SVO1061" s="989"/>
      <c r="SVP1061" s="989"/>
      <c r="SVQ1061" s="989"/>
      <c r="SVR1061" s="989"/>
      <c r="SVS1061" s="989"/>
      <c r="SVT1061" s="989"/>
      <c r="SVU1061" s="989"/>
      <c r="SVV1061" s="989"/>
      <c r="SVW1061" s="989"/>
      <c r="SVX1061" s="989"/>
      <c r="SVY1061" s="989"/>
      <c r="SVZ1061" s="989"/>
      <c r="SWA1061" s="989"/>
      <c r="SWB1061" s="989"/>
      <c r="SWC1061" s="989"/>
      <c r="SWD1061" s="989"/>
      <c r="SWE1061" s="989"/>
      <c r="SWF1061" s="989"/>
      <c r="SWG1061" s="989"/>
      <c r="SWH1061" s="989"/>
      <c r="SWI1061" s="989"/>
      <c r="SWJ1061" s="989"/>
      <c r="SWK1061" s="989"/>
      <c r="SWL1061" s="989"/>
      <c r="SWM1061" s="989"/>
      <c r="SWN1061" s="989"/>
      <c r="SWO1061" s="989"/>
      <c r="SWP1061" s="989"/>
      <c r="SWQ1061" s="989"/>
      <c r="SWR1061" s="989"/>
      <c r="SWS1061" s="989"/>
      <c r="SWT1061" s="989"/>
      <c r="SWU1061" s="989"/>
      <c r="SWV1061" s="989"/>
      <c r="SWW1061" s="989"/>
      <c r="SWX1061" s="989"/>
      <c r="SWY1061" s="989"/>
      <c r="SWZ1061" s="989"/>
      <c r="SXA1061" s="989"/>
      <c r="SXB1061" s="989"/>
      <c r="SXC1061" s="989"/>
      <c r="SXD1061" s="989"/>
      <c r="SXE1061" s="989"/>
      <c r="SXF1061" s="989"/>
      <c r="SXG1061" s="989"/>
      <c r="SXH1061" s="989"/>
      <c r="SXI1061" s="989"/>
      <c r="SXJ1061" s="989"/>
      <c r="SXK1061" s="989"/>
      <c r="SXL1061" s="989"/>
      <c r="SXM1061" s="989"/>
      <c r="SXN1061" s="989"/>
      <c r="SXO1061" s="989"/>
      <c r="SXP1061" s="989"/>
      <c r="SXQ1061" s="989"/>
      <c r="SXR1061" s="989"/>
      <c r="SXS1061" s="989"/>
      <c r="SXT1061" s="989"/>
      <c r="SXU1061" s="989"/>
      <c r="SXV1061" s="989"/>
      <c r="SXW1061" s="989"/>
      <c r="SXX1061" s="989"/>
      <c r="SXY1061" s="989"/>
      <c r="SXZ1061" s="989"/>
      <c r="SYA1061" s="989"/>
      <c r="SYB1061" s="989"/>
      <c r="SYC1061" s="989"/>
      <c r="SYD1061" s="989"/>
      <c r="SYE1061" s="989"/>
      <c r="SYF1061" s="989"/>
      <c r="SYG1061" s="989"/>
      <c r="SYH1061" s="989"/>
      <c r="SYI1061" s="989"/>
      <c r="SYJ1061" s="989"/>
      <c r="SYK1061" s="989"/>
      <c r="SYL1061" s="989"/>
      <c r="SYM1061" s="989"/>
      <c r="SYN1061" s="989"/>
      <c r="SYO1061" s="989"/>
      <c r="SYP1061" s="989"/>
      <c r="SYQ1061" s="989"/>
      <c r="SYR1061" s="989"/>
      <c r="SYS1061" s="989"/>
      <c r="SYT1061" s="989"/>
      <c r="SYU1061" s="989"/>
      <c r="SYV1061" s="989"/>
      <c r="SYW1061" s="989"/>
      <c r="SYX1061" s="989"/>
      <c r="SYY1061" s="989"/>
      <c r="SYZ1061" s="989"/>
      <c r="SZA1061" s="989"/>
      <c r="SZB1061" s="989"/>
      <c r="SZC1061" s="989"/>
      <c r="SZD1061" s="989"/>
      <c r="SZE1061" s="989"/>
      <c r="SZF1061" s="989"/>
      <c r="SZG1061" s="989"/>
      <c r="SZH1061" s="989"/>
      <c r="SZI1061" s="989"/>
      <c r="SZJ1061" s="989"/>
      <c r="SZK1061" s="989"/>
      <c r="SZL1061" s="989"/>
      <c r="SZM1061" s="989"/>
      <c r="SZN1061" s="989"/>
      <c r="SZO1061" s="989"/>
      <c r="SZP1061" s="989"/>
      <c r="SZQ1061" s="989"/>
      <c r="SZR1061" s="989"/>
      <c r="SZS1061" s="989"/>
      <c r="SZT1061" s="989"/>
      <c r="SZU1061" s="989"/>
      <c r="SZV1061" s="989"/>
      <c r="SZW1061" s="989"/>
      <c r="SZX1061" s="989"/>
      <c r="SZY1061" s="989"/>
      <c r="SZZ1061" s="989"/>
      <c r="TAA1061" s="989"/>
      <c r="TAB1061" s="989"/>
      <c r="TAC1061" s="989"/>
      <c r="TAD1061" s="989"/>
      <c r="TAE1061" s="989"/>
      <c r="TAF1061" s="989"/>
      <c r="TAG1061" s="989"/>
      <c r="TAH1061" s="989"/>
      <c r="TAI1061" s="989"/>
      <c r="TAJ1061" s="989"/>
      <c r="TAK1061" s="989"/>
      <c r="TAL1061" s="989"/>
      <c r="TAM1061" s="989"/>
      <c r="TAN1061" s="989"/>
      <c r="TAO1061" s="989"/>
      <c r="TAP1061" s="989"/>
      <c r="TAQ1061" s="989"/>
      <c r="TAR1061" s="989"/>
      <c r="TAS1061" s="989"/>
      <c r="TAT1061" s="989"/>
      <c r="TAU1061" s="989"/>
      <c r="TAV1061" s="989"/>
      <c r="TAW1061" s="989"/>
      <c r="TAX1061" s="989"/>
      <c r="TAY1061" s="989"/>
      <c r="TAZ1061" s="989"/>
      <c r="TBA1061" s="989"/>
      <c r="TBB1061" s="989"/>
      <c r="TBC1061" s="989"/>
      <c r="TBD1061" s="989"/>
      <c r="TBE1061" s="989"/>
      <c r="TBF1061" s="989"/>
      <c r="TBG1061" s="989"/>
      <c r="TBH1061" s="989"/>
      <c r="TBI1061" s="989"/>
      <c r="TBJ1061" s="989"/>
      <c r="TBK1061" s="989"/>
      <c r="TBL1061" s="989"/>
      <c r="TBM1061" s="989"/>
      <c r="TBN1061" s="989"/>
      <c r="TBO1061" s="989"/>
      <c r="TBP1061" s="989"/>
      <c r="TBQ1061" s="989"/>
      <c r="TBR1061" s="989"/>
      <c r="TBS1061" s="989"/>
      <c r="TBT1061" s="989"/>
      <c r="TBU1061" s="989"/>
      <c r="TBV1061" s="989"/>
      <c r="TBW1061" s="989"/>
      <c r="TBX1061" s="989"/>
      <c r="TBY1061" s="989"/>
      <c r="TBZ1061" s="989"/>
      <c r="TCA1061" s="989"/>
      <c r="TCB1061" s="989"/>
      <c r="TCC1061" s="989"/>
      <c r="TCD1061" s="989"/>
      <c r="TCE1061" s="989"/>
      <c r="TCF1061" s="989"/>
      <c r="TCG1061" s="989"/>
      <c r="TCH1061" s="989"/>
      <c r="TCI1061" s="989"/>
      <c r="TCJ1061" s="989"/>
      <c r="TCK1061" s="989"/>
      <c r="TCL1061" s="989"/>
      <c r="TCM1061" s="989"/>
      <c r="TCN1061" s="989"/>
      <c r="TCO1061" s="989"/>
      <c r="TCP1061" s="989"/>
      <c r="TCQ1061" s="989"/>
      <c r="TCR1061" s="989"/>
      <c r="TCS1061" s="989"/>
      <c r="TCT1061" s="989"/>
      <c r="TCU1061" s="989"/>
      <c r="TCV1061" s="989"/>
      <c r="TCW1061" s="989"/>
      <c r="TCX1061" s="989"/>
      <c r="TCY1061" s="989"/>
      <c r="TCZ1061" s="989"/>
      <c r="TDA1061" s="989"/>
      <c r="TDB1061" s="989"/>
      <c r="TDC1061" s="989"/>
      <c r="TDD1061" s="989"/>
      <c r="TDE1061" s="989"/>
      <c r="TDF1061" s="989"/>
      <c r="TDG1061" s="989"/>
      <c r="TDH1061" s="989"/>
      <c r="TDI1061" s="989"/>
      <c r="TDJ1061" s="989"/>
      <c r="TDK1061" s="989"/>
      <c r="TDL1061" s="989"/>
      <c r="TDM1061" s="989"/>
      <c r="TDN1061" s="989"/>
      <c r="TDO1061" s="989"/>
      <c r="TDP1061" s="989"/>
      <c r="TDQ1061" s="989"/>
      <c r="TDR1061" s="989"/>
      <c r="TDS1061" s="989"/>
      <c r="TDT1061" s="989"/>
      <c r="TDU1061" s="989"/>
      <c r="TDV1061" s="989"/>
      <c r="TDW1061" s="989"/>
      <c r="TDX1061" s="989"/>
      <c r="TDY1061" s="989"/>
      <c r="TDZ1061" s="989"/>
      <c r="TEA1061" s="989"/>
      <c r="TEB1061" s="989"/>
      <c r="TEC1061" s="989"/>
      <c r="TED1061" s="989"/>
      <c r="TEE1061" s="989"/>
      <c r="TEF1061" s="989"/>
      <c r="TEG1061" s="989"/>
      <c r="TEH1061" s="989"/>
      <c r="TEI1061" s="989"/>
      <c r="TEJ1061" s="989"/>
      <c r="TEK1061" s="989"/>
      <c r="TEL1061" s="989"/>
      <c r="TEM1061" s="989"/>
      <c r="TEN1061" s="989"/>
      <c r="TEO1061" s="989"/>
      <c r="TEP1061" s="989"/>
      <c r="TEQ1061" s="989"/>
      <c r="TER1061" s="989"/>
      <c r="TES1061" s="989"/>
      <c r="TET1061" s="989"/>
      <c r="TEU1061" s="989"/>
      <c r="TEV1061" s="989"/>
      <c r="TEW1061" s="989"/>
      <c r="TEX1061" s="989"/>
      <c r="TEY1061" s="989"/>
      <c r="TEZ1061" s="989"/>
      <c r="TFA1061" s="989"/>
      <c r="TFB1061" s="989"/>
      <c r="TFC1061" s="989"/>
      <c r="TFD1061" s="989"/>
      <c r="TFE1061" s="989"/>
      <c r="TFF1061" s="989"/>
      <c r="TFG1061" s="989"/>
      <c r="TFH1061" s="989"/>
      <c r="TFI1061" s="989"/>
      <c r="TFJ1061" s="989"/>
      <c r="TFK1061" s="989"/>
      <c r="TFL1061" s="989"/>
      <c r="TFM1061" s="989"/>
      <c r="TFN1061" s="989"/>
      <c r="TFO1061" s="989"/>
      <c r="TFP1061" s="989"/>
      <c r="TFQ1061" s="989"/>
      <c r="TFR1061" s="989"/>
      <c r="TFS1061" s="989"/>
      <c r="TFT1061" s="989"/>
      <c r="TFU1061" s="989"/>
      <c r="TFV1061" s="989"/>
      <c r="TFW1061" s="989"/>
      <c r="TFX1061" s="989"/>
      <c r="TFY1061" s="989"/>
      <c r="TFZ1061" s="989"/>
      <c r="TGA1061" s="989"/>
      <c r="TGB1061" s="989"/>
      <c r="TGC1061" s="989"/>
      <c r="TGD1061" s="989"/>
      <c r="TGE1061" s="989"/>
      <c r="TGF1061" s="989"/>
      <c r="TGG1061" s="989"/>
      <c r="TGH1061" s="989"/>
      <c r="TGI1061" s="989"/>
      <c r="TGJ1061" s="989"/>
      <c r="TGK1061" s="989"/>
      <c r="TGL1061" s="989"/>
      <c r="TGM1061" s="989"/>
      <c r="TGN1061" s="989"/>
      <c r="TGO1061" s="989"/>
      <c r="TGP1061" s="989"/>
      <c r="TGQ1061" s="989"/>
      <c r="TGR1061" s="989"/>
      <c r="TGS1061" s="989"/>
      <c r="TGT1061" s="989"/>
      <c r="TGU1061" s="989"/>
      <c r="TGV1061" s="989"/>
      <c r="TGW1061" s="989"/>
      <c r="TGX1061" s="989"/>
      <c r="TGY1061" s="989"/>
      <c r="TGZ1061" s="989"/>
      <c r="THA1061" s="989"/>
      <c r="THB1061" s="989"/>
      <c r="THC1061" s="989"/>
      <c r="THD1061" s="989"/>
      <c r="THE1061" s="989"/>
      <c r="THF1061" s="989"/>
      <c r="THG1061" s="989"/>
      <c r="THH1061" s="989"/>
      <c r="THI1061" s="989"/>
      <c r="THJ1061" s="989"/>
      <c r="THK1061" s="989"/>
      <c r="THL1061" s="989"/>
      <c r="THM1061" s="989"/>
      <c r="THN1061" s="989"/>
      <c r="THO1061" s="989"/>
      <c r="THP1061" s="989"/>
      <c r="THQ1061" s="989"/>
      <c r="THR1061" s="989"/>
      <c r="THS1061" s="989"/>
      <c r="THT1061" s="989"/>
      <c r="THU1061" s="989"/>
      <c r="THV1061" s="989"/>
      <c r="THW1061" s="989"/>
      <c r="THX1061" s="989"/>
      <c r="THY1061" s="989"/>
      <c r="THZ1061" s="989"/>
      <c r="TIA1061" s="989"/>
      <c r="TIB1061" s="989"/>
      <c r="TIC1061" s="989"/>
      <c r="TID1061" s="989"/>
      <c r="TIE1061" s="989"/>
      <c r="TIF1061" s="989"/>
      <c r="TIG1061" s="989"/>
      <c r="TIH1061" s="989"/>
      <c r="TII1061" s="989"/>
      <c r="TIJ1061" s="989"/>
      <c r="TIK1061" s="989"/>
      <c r="TIL1061" s="989"/>
      <c r="TIM1061" s="989"/>
      <c r="TIN1061" s="989"/>
      <c r="TIO1061" s="989"/>
      <c r="TIP1061" s="989"/>
      <c r="TIQ1061" s="989"/>
      <c r="TIR1061" s="989"/>
      <c r="TIS1061" s="989"/>
      <c r="TIT1061" s="989"/>
      <c r="TIU1061" s="989"/>
      <c r="TIV1061" s="989"/>
      <c r="TIW1061" s="989"/>
      <c r="TIX1061" s="989"/>
      <c r="TIY1061" s="989"/>
      <c r="TIZ1061" s="989"/>
      <c r="TJA1061" s="989"/>
      <c r="TJB1061" s="989"/>
      <c r="TJC1061" s="989"/>
      <c r="TJD1061" s="989"/>
      <c r="TJE1061" s="989"/>
      <c r="TJF1061" s="989"/>
      <c r="TJG1061" s="989"/>
      <c r="TJH1061" s="989"/>
      <c r="TJI1061" s="989"/>
      <c r="TJJ1061" s="989"/>
      <c r="TJK1061" s="989"/>
      <c r="TJL1061" s="989"/>
      <c r="TJM1061" s="989"/>
      <c r="TJN1061" s="989"/>
      <c r="TJO1061" s="989"/>
      <c r="TJP1061" s="989"/>
      <c r="TJQ1061" s="989"/>
      <c r="TJR1061" s="989"/>
      <c r="TJS1061" s="989"/>
      <c r="TJT1061" s="989"/>
      <c r="TJU1061" s="989"/>
      <c r="TJV1061" s="989"/>
      <c r="TJW1061" s="989"/>
      <c r="TJX1061" s="989"/>
      <c r="TJY1061" s="989"/>
      <c r="TJZ1061" s="989"/>
      <c r="TKA1061" s="989"/>
      <c r="TKB1061" s="989"/>
      <c r="TKC1061" s="989"/>
      <c r="TKD1061" s="989"/>
      <c r="TKE1061" s="989"/>
      <c r="TKF1061" s="989"/>
      <c r="TKG1061" s="989"/>
      <c r="TKH1061" s="989"/>
      <c r="TKI1061" s="989"/>
      <c r="TKJ1061" s="989"/>
      <c r="TKK1061" s="989"/>
      <c r="TKL1061" s="989"/>
      <c r="TKM1061" s="989"/>
      <c r="TKN1061" s="989"/>
      <c r="TKO1061" s="989"/>
      <c r="TKP1061" s="989"/>
      <c r="TKQ1061" s="989"/>
      <c r="TKR1061" s="989"/>
      <c r="TKS1061" s="989"/>
      <c r="TKT1061" s="989"/>
      <c r="TKU1061" s="989"/>
      <c r="TKV1061" s="989"/>
      <c r="TKW1061" s="989"/>
      <c r="TKX1061" s="989"/>
      <c r="TKY1061" s="989"/>
      <c r="TKZ1061" s="989"/>
      <c r="TLA1061" s="989"/>
      <c r="TLB1061" s="989"/>
      <c r="TLC1061" s="989"/>
      <c r="TLD1061" s="989"/>
      <c r="TLE1061" s="989"/>
      <c r="TLF1061" s="989"/>
      <c r="TLG1061" s="989"/>
      <c r="TLH1061" s="989"/>
      <c r="TLI1061" s="989"/>
      <c r="TLJ1061" s="989"/>
      <c r="TLK1061" s="989"/>
      <c r="TLL1061" s="989"/>
      <c r="TLM1061" s="989"/>
      <c r="TLN1061" s="989"/>
      <c r="TLO1061" s="989"/>
      <c r="TLP1061" s="989"/>
      <c r="TLQ1061" s="989"/>
      <c r="TLR1061" s="989"/>
      <c r="TLS1061" s="989"/>
      <c r="TLT1061" s="989"/>
      <c r="TLU1061" s="989"/>
      <c r="TLV1061" s="989"/>
      <c r="TLW1061" s="989"/>
      <c r="TLX1061" s="989"/>
      <c r="TLY1061" s="989"/>
      <c r="TLZ1061" s="989"/>
      <c r="TMA1061" s="989"/>
      <c r="TMB1061" s="989"/>
      <c r="TMC1061" s="989"/>
      <c r="TMD1061" s="989"/>
      <c r="TME1061" s="989"/>
      <c r="TMF1061" s="989"/>
      <c r="TMG1061" s="989"/>
      <c r="TMH1061" s="989"/>
      <c r="TMI1061" s="989"/>
      <c r="TMJ1061" s="989"/>
      <c r="TMK1061" s="989"/>
      <c r="TML1061" s="989"/>
      <c r="TMM1061" s="989"/>
      <c r="TMN1061" s="989"/>
      <c r="TMO1061" s="989"/>
      <c r="TMP1061" s="989"/>
      <c r="TMQ1061" s="989"/>
      <c r="TMR1061" s="989"/>
      <c r="TMS1061" s="989"/>
      <c r="TMT1061" s="989"/>
      <c r="TMU1061" s="989"/>
      <c r="TMV1061" s="989"/>
      <c r="TMW1061" s="989"/>
      <c r="TMX1061" s="989"/>
      <c r="TMY1061" s="989"/>
      <c r="TMZ1061" s="989"/>
      <c r="TNA1061" s="989"/>
      <c r="TNB1061" s="989"/>
      <c r="TNC1061" s="989"/>
      <c r="TND1061" s="989"/>
      <c r="TNE1061" s="989"/>
      <c r="TNF1061" s="989"/>
      <c r="TNG1061" s="989"/>
      <c r="TNH1061" s="989"/>
      <c r="TNI1061" s="989"/>
      <c r="TNJ1061" s="989"/>
      <c r="TNK1061" s="989"/>
      <c r="TNL1061" s="989"/>
      <c r="TNM1061" s="989"/>
      <c r="TNN1061" s="989"/>
      <c r="TNO1061" s="989"/>
      <c r="TNP1061" s="989"/>
      <c r="TNQ1061" s="989"/>
      <c r="TNR1061" s="989"/>
      <c r="TNS1061" s="989"/>
      <c r="TNT1061" s="989"/>
      <c r="TNU1061" s="989"/>
      <c r="TNV1061" s="989"/>
      <c r="TNW1061" s="989"/>
      <c r="TNX1061" s="989"/>
      <c r="TNY1061" s="989"/>
      <c r="TNZ1061" s="989"/>
      <c r="TOA1061" s="989"/>
      <c r="TOB1061" s="989"/>
      <c r="TOC1061" s="989"/>
      <c r="TOD1061" s="989"/>
      <c r="TOE1061" s="989"/>
      <c r="TOF1061" s="989"/>
      <c r="TOG1061" s="989"/>
      <c r="TOH1061" s="989"/>
      <c r="TOI1061" s="989"/>
      <c r="TOJ1061" s="989"/>
      <c r="TOK1061" s="989"/>
      <c r="TOL1061" s="989"/>
      <c r="TOM1061" s="989"/>
      <c r="TON1061" s="989"/>
      <c r="TOO1061" s="989"/>
      <c r="TOP1061" s="989"/>
      <c r="TOQ1061" s="989"/>
      <c r="TOR1061" s="989"/>
      <c r="TOS1061" s="989"/>
      <c r="TOT1061" s="989"/>
      <c r="TOU1061" s="989"/>
      <c r="TOV1061" s="989"/>
      <c r="TOW1061" s="989"/>
      <c r="TOX1061" s="989"/>
      <c r="TOY1061" s="989"/>
      <c r="TOZ1061" s="989"/>
      <c r="TPA1061" s="989"/>
      <c r="TPB1061" s="989"/>
      <c r="TPC1061" s="989"/>
      <c r="TPD1061" s="989"/>
      <c r="TPE1061" s="989"/>
      <c r="TPF1061" s="989"/>
      <c r="TPG1061" s="989"/>
      <c r="TPH1061" s="989"/>
      <c r="TPI1061" s="989"/>
      <c r="TPJ1061" s="989"/>
      <c r="TPK1061" s="989"/>
      <c r="TPL1061" s="989"/>
      <c r="TPM1061" s="989"/>
      <c r="TPN1061" s="989"/>
      <c r="TPO1061" s="989"/>
      <c r="TPP1061" s="989"/>
      <c r="TPQ1061" s="989"/>
      <c r="TPR1061" s="989"/>
      <c r="TPS1061" s="989"/>
      <c r="TPT1061" s="989"/>
      <c r="TPU1061" s="989"/>
      <c r="TPV1061" s="989"/>
      <c r="TPW1061" s="989"/>
      <c r="TPX1061" s="989"/>
      <c r="TPY1061" s="989"/>
      <c r="TPZ1061" s="989"/>
      <c r="TQA1061" s="989"/>
      <c r="TQB1061" s="989"/>
      <c r="TQC1061" s="989"/>
      <c r="TQD1061" s="989"/>
      <c r="TQE1061" s="989"/>
      <c r="TQF1061" s="989"/>
      <c r="TQG1061" s="989"/>
      <c r="TQH1061" s="989"/>
      <c r="TQI1061" s="989"/>
      <c r="TQJ1061" s="989"/>
      <c r="TQK1061" s="989"/>
      <c r="TQL1061" s="989"/>
      <c r="TQM1061" s="989"/>
      <c r="TQN1061" s="989"/>
      <c r="TQO1061" s="989"/>
      <c r="TQP1061" s="989"/>
      <c r="TQQ1061" s="989"/>
      <c r="TQR1061" s="989"/>
      <c r="TQS1061" s="989"/>
      <c r="TQT1061" s="989"/>
      <c r="TQU1061" s="989"/>
      <c r="TQV1061" s="989"/>
      <c r="TQW1061" s="989"/>
      <c r="TQX1061" s="989"/>
      <c r="TQY1061" s="989"/>
      <c r="TQZ1061" s="989"/>
      <c r="TRA1061" s="989"/>
      <c r="TRB1061" s="989"/>
      <c r="TRC1061" s="989"/>
      <c r="TRD1061" s="989"/>
      <c r="TRE1061" s="989"/>
      <c r="TRF1061" s="989"/>
      <c r="TRG1061" s="989"/>
      <c r="TRH1061" s="989"/>
      <c r="TRI1061" s="989"/>
      <c r="TRJ1061" s="989"/>
      <c r="TRK1061" s="989"/>
      <c r="TRL1061" s="989"/>
      <c r="TRM1061" s="989"/>
      <c r="TRN1061" s="989"/>
      <c r="TRO1061" s="989"/>
      <c r="TRP1061" s="989"/>
      <c r="TRQ1061" s="989"/>
      <c r="TRR1061" s="989"/>
      <c r="TRS1061" s="989"/>
      <c r="TRT1061" s="989"/>
      <c r="TRU1061" s="989"/>
      <c r="TRV1061" s="989"/>
      <c r="TRW1061" s="989"/>
      <c r="TRX1061" s="989"/>
      <c r="TRY1061" s="989"/>
      <c r="TRZ1061" s="989"/>
      <c r="TSA1061" s="989"/>
      <c r="TSB1061" s="989"/>
      <c r="TSC1061" s="989"/>
      <c r="TSD1061" s="989"/>
      <c r="TSE1061" s="989"/>
      <c r="TSF1061" s="989"/>
      <c r="TSG1061" s="989"/>
      <c r="TSH1061" s="989"/>
      <c r="TSI1061" s="989"/>
      <c r="TSJ1061" s="989"/>
      <c r="TSK1061" s="989"/>
      <c r="TSL1061" s="989"/>
      <c r="TSM1061" s="989"/>
      <c r="TSN1061" s="989"/>
      <c r="TSO1061" s="989"/>
      <c r="TSP1061" s="989"/>
      <c r="TSQ1061" s="989"/>
      <c r="TSR1061" s="989"/>
      <c r="TSS1061" s="989"/>
      <c r="TST1061" s="989"/>
      <c r="TSU1061" s="989"/>
      <c r="TSV1061" s="989"/>
      <c r="TSW1061" s="989"/>
      <c r="TSX1061" s="989"/>
      <c r="TSY1061" s="989"/>
      <c r="TSZ1061" s="989"/>
      <c r="TTA1061" s="989"/>
      <c r="TTB1061" s="989"/>
      <c r="TTC1061" s="989"/>
      <c r="TTD1061" s="989"/>
      <c r="TTE1061" s="989"/>
      <c r="TTF1061" s="989"/>
      <c r="TTG1061" s="989"/>
      <c r="TTH1061" s="989"/>
      <c r="TTI1061" s="989"/>
      <c r="TTJ1061" s="989"/>
      <c r="TTK1061" s="989"/>
      <c r="TTL1061" s="989"/>
      <c r="TTM1061" s="989"/>
      <c r="TTN1061" s="989"/>
      <c r="TTO1061" s="989"/>
      <c r="TTP1061" s="989"/>
      <c r="TTQ1061" s="989"/>
      <c r="TTR1061" s="989"/>
      <c r="TTS1061" s="989"/>
      <c r="TTT1061" s="989"/>
      <c r="TTU1061" s="989"/>
      <c r="TTV1061" s="989"/>
      <c r="TTW1061" s="989"/>
      <c r="TTX1061" s="989"/>
      <c r="TTY1061" s="989"/>
      <c r="TTZ1061" s="989"/>
      <c r="TUA1061" s="989"/>
      <c r="TUB1061" s="989"/>
      <c r="TUC1061" s="989"/>
      <c r="TUD1061" s="989"/>
      <c r="TUE1061" s="989"/>
      <c r="TUF1061" s="989"/>
      <c r="TUG1061" s="989"/>
      <c r="TUH1061" s="989"/>
      <c r="TUI1061" s="989"/>
      <c r="TUJ1061" s="989"/>
      <c r="TUK1061" s="989"/>
      <c r="TUL1061" s="989"/>
      <c r="TUM1061" s="989"/>
      <c r="TUN1061" s="989"/>
      <c r="TUO1061" s="989"/>
      <c r="TUP1061" s="989"/>
      <c r="TUQ1061" s="989"/>
      <c r="TUR1061" s="989"/>
      <c r="TUS1061" s="989"/>
      <c r="TUT1061" s="989"/>
      <c r="TUU1061" s="989"/>
      <c r="TUV1061" s="989"/>
      <c r="TUW1061" s="989"/>
      <c r="TUX1061" s="989"/>
      <c r="TUY1061" s="989"/>
      <c r="TUZ1061" s="989"/>
      <c r="TVA1061" s="989"/>
      <c r="TVB1061" s="989"/>
      <c r="TVC1061" s="989"/>
      <c r="TVD1061" s="989"/>
      <c r="TVE1061" s="989"/>
      <c r="TVF1061" s="989"/>
      <c r="TVG1061" s="989"/>
      <c r="TVH1061" s="989"/>
      <c r="TVI1061" s="989"/>
      <c r="TVJ1061" s="989"/>
      <c r="TVK1061" s="989"/>
      <c r="TVL1061" s="989"/>
      <c r="TVM1061" s="989"/>
      <c r="TVN1061" s="989"/>
      <c r="TVO1061" s="989"/>
      <c r="TVP1061" s="989"/>
      <c r="TVQ1061" s="989"/>
      <c r="TVR1061" s="989"/>
      <c r="TVS1061" s="989"/>
      <c r="TVT1061" s="989"/>
      <c r="TVU1061" s="989"/>
      <c r="TVV1061" s="989"/>
      <c r="TVW1061" s="989"/>
      <c r="TVX1061" s="989"/>
      <c r="TVY1061" s="989"/>
      <c r="TVZ1061" s="989"/>
      <c r="TWA1061" s="989"/>
      <c r="TWB1061" s="989"/>
      <c r="TWC1061" s="989"/>
      <c r="TWD1061" s="989"/>
      <c r="TWE1061" s="989"/>
      <c r="TWF1061" s="989"/>
      <c r="TWG1061" s="989"/>
      <c r="TWH1061" s="989"/>
      <c r="TWI1061" s="989"/>
      <c r="TWJ1061" s="989"/>
      <c r="TWK1061" s="989"/>
      <c r="TWL1061" s="989"/>
      <c r="TWM1061" s="989"/>
      <c r="TWN1061" s="989"/>
      <c r="TWO1061" s="989"/>
      <c r="TWP1061" s="989"/>
      <c r="TWQ1061" s="989"/>
      <c r="TWR1061" s="989"/>
      <c r="TWS1061" s="989"/>
      <c r="TWT1061" s="989"/>
      <c r="TWU1061" s="989"/>
      <c r="TWV1061" s="989"/>
      <c r="TWW1061" s="989"/>
      <c r="TWX1061" s="989"/>
      <c r="TWY1061" s="989"/>
      <c r="TWZ1061" s="989"/>
      <c r="TXA1061" s="989"/>
      <c r="TXB1061" s="989"/>
      <c r="TXC1061" s="989"/>
      <c r="TXD1061" s="989"/>
      <c r="TXE1061" s="989"/>
      <c r="TXF1061" s="989"/>
      <c r="TXG1061" s="989"/>
      <c r="TXH1061" s="989"/>
      <c r="TXI1061" s="989"/>
      <c r="TXJ1061" s="989"/>
      <c r="TXK1061" s="989"/>
      <c r="TXL1061" s="989"/>
      <c r="TXM1061" s="989"/>
      <c r="TXN1061" s="989"/>
      <c r="TXO1061" s="989"/>
      <c r="TXP1061" s="989"/>
      <c r="TXQ1061" s="989"/>
      <c r="TXR1061" s="989"/>
      <c r="TXS1061" s="989"/>
      <c r="TXT1061" s="989"/>
      <c r="TXU1061" s="989"/>
      <c r="TXV1061" s="989"/>
      <c r="TXW1061" s="989"/>
      <c r="TXX1061" s="989"/>
      <c r="TXY1061" s="989"/>
      <c r="TXZ1061" s="989"/>
      <c r="TYA1061" s="989"/>
      <c r="TYB1061" s="989"/>
      <c r="TYC1061" s="989"/>
      <c r="TYD1061" s="989"/>
      <c r="TYE1061" s="989"/>
      <c r="TYF1061" s="989"/>
      <c r="TYG1061" s="989"/>
      <c r="TYH1061" s="989"/>
      <c r="TYI1061" s="989"/>
      <c r="TYJ1061" s="989"/>
      <c r="TYK1061" s="989"/>
      <c r="TYL1061" s="989"/>
      <c r="TYM1061" s="989"/>
      <c r="TYN1061" s="989"/>
      <c r="TYO1061" s="989"/>
      <c r="TYP1061" s="989"/>
      <c r="TYQ1061" s="989"/>
      <c r="TYR1061" s="989"/>
      <c r="TYS1061" s="989"/>
      <c r="TYT1061" s="989"/>
      <c r="TYU1061" s="989"/>
      <c r="TYV1061" s="989"/>
      <c r="TYW1061" s="989"/>
      <c r="TYX1061" s="989"/>
      <c r="TYY1061" s="989"/>
      <c r="TYZ1061" s="989"/>
      <c r="TZA1061" s="989"/>
      <c r="TZB1061" s="989"/>
      <c r="TZC1061" s="989"/>
      <c r="TZD1061" s="989"/>
      <c r="TZE1061" s="989"/>
      <c r="TZF1061" s="989"/>
      <c r="TZG1061" s="989"/>
      <c r="TZH1061" s="989"/>
      <c r="TZI1061" s="989"/>
      <c r="TZJ1061" s="989"/>
      <c r="TZK1061" s="989"/>
      <c r="TZL1061" s="989"/>
      <c r="TZM1061" s="989"/>
      <c r="TZN1061" s="989"/>
      <c r="TZO1061" s="989"/>
      <c r="TZP1061" s="989"/>
      <c r="TZQ1061" s="989"/>
      <c r="TZR1061" s="989"/>
      <c r="TZS1061" s="989"/>
      <c r="TZT1061" s="989"/>
      <c r="TZU1061" s="989"/>
      <c r="TZV1061" s="989"/>
      <c r="TZW1061" s="989"/>
      <c r="TZX1061" s="989"/>
      <c r="TZY1061" s="989"/>
      <c r="TZZ1061" s="989"/>
      <c r="UAA1061" s="989"/>
      <c r="UAB1061" s="989"/>
      <c r="UAC1061" s="989"/>
      <c r="UAD1061" s="989"/>
      <c r="UAE1061" s="989"/>
      <c r="UAF1061" s="989"/>
      <c r="UAG1061" s="989"/>
      <c r="UAH1061" s="989"/>
      <c r="UAI1061" s="989"/>
      <c r="UAJ1061" s="989"/>
      <c r="UAK1061" s="989"/>
      <c r="UAL1061" s="989"/>
      <c r="UAM1061" s="989"/>
      <c r="UAN1061" s="989"/>
      <c r="UAO1061" s="989"/>
      <c r="UAP1061" s="989"/>
      <c r="UAQ1061" s="989"/>
      <c r="UAR1061" s="989"/>
      <c r="UAS1061" s="989"/>
      <c r="UAT1061" s="989"/>
      <c r="UAU1061" s="989"/>
      <c r="UAV1061" s="989"/>
      <c r="UAW1061" s="989"/>
      <c r="UAX1061" s="989"/>
      <c r="UAY1061" s="989"/>
      <c r="UAZ1061" s="989"/>
      <c r="UBA1061" s="989"/>
      <c r="UBB1061" s="989"/>
      <c r="UBC1061" s="989"/>
      <c r="UBD1061" s="989"/>
      <c r="UBE1061" s="989"/>
      <c r="UBF1061" s="989"/>
      <c r="UBG1061" s="989"/>
      <c r="UBH1061" s="989"/>
      <c r="UBI1061" s="989"/>
      <c r="UBJ1061" s="989"/>
      <c r="UBK1061" s="989"/>
      <c r="UBL1061" s="989"/>
      <c r="UBM1061" s="989"/>
      <c r="UBN1061" s="989"/>
      <c r="UBO1061" s="989"/>
      <c r="UBP1061" s="989"/>
      <c r="UBQ1061" s="989"/>
      <c r="UBR1061" s="989"/>
      <c r="UBS1061" s="989"/>
      <c r="UBT1061" s="989"/>
      <c r="UBU1061" s="989"/>
      <c r="UBV1061" s="989"/>
      <c r="UBW1061" s="989"/>
      <c r="UBX1061" s="989"/>
      <c r="UBY1061" s="989"/>
      <c r="UBZ1061" s="989"/>
      <c r="UCA1061" s="989"/>
      <c r="UCB1061" s="989"/>
      <c r="UCC1061" s="989"/>
      <c r="UCD1061" s="989"/>
      <c r="UCE1061" s="989"/>
      <c r="UCF1061" s="989"/>
      <c r="UCG1061" s="989"/>
      <c r="UCH1061" s="989"/>
      <c r="UCI1061" s="989"/>
      <c r="UCJ1061" s="989"/>
      <c r="UCK1061" s="989"/>
      <c r="UCL1061" s="989"/>
      <c r="UCM1061" s="989"/>
      <c r="UCN1061" s="989"/>
      <c r="UCO1061" s="989"/>
      <c r="UCP1061" s="989"/>
      <c r="UCQ1061" s="989"/>
      <c r="UCR1061" s="989"/>
      <c r="UCS1061" s="989"/>
      <c r="UCT1061" s="989"/>
      <c r="UCU1061" s="989"/>
      <c r="UCV1061" s="989"/>
      <c r="UCW1061" s="989"/>
      <c r="UCX1061" s="989"/>
      <c r="UCY1061" s="989"/>
      <c r="UCZ1061" s="989"/>
      <c r="UDA1061" s="989"/>
      <c r="UDB1061" s="989"/>
      <c r="UDC1061" s="989"/>
      <c r="UDD1061" s="989"/>
      <c r="UDE1061" s="989"/>
      <c r="UDF1061" s="989"/>
      <c r="UDG1061" s="989"/>
      <c r="UDH1061" s="989"/>
      <c r="UDI1061" s="989"/>
      <c r="UDJ1061" s="989"/>
      <c r="UDK1061" s="989"/>
      <c r="UDL1061" s="989"/>
      <c r="UDM1061" s="989"/>
      <c r="UDN1061" s="989"/>
      <c r="UDO1061" s="989"/>
      <c r="UDP1061" s="989"/>
      <c r="UDQ1061" s="989"/>
      <c r="UDR1061" s="989"/>
      <c r="UDS1061" s="989"/>
      <c r="UDT1061" s="989"/>
      <c r="UDU1061" s="989"/>
      <c r="UDV1061" s="989"/>
      <c r="UDW1061" s="989"/>
      <c r="UDX1061" s="989"/>
      <c r="UDY1061" s="989"/>
      <c r="UDZ1061" s="989"/>
      <c r="UEA1061" s="989"/>
      <c r="UEB1061" s="989"/>
      <c r="UEC1061" s="989"/>
      <c r="UED1061" s="989"/>
      <c r="UEE1061" s="989"/>
      <c r="UEF1061" s="989"/>
      <c r="UEG1061" s="989"/>
      <c r="UEH1061" s="989"/>
      <c r="UEI1061" s="989"/>
      <c r="UEJ1061" s="989"/>
      <c r="UEK1061" s="989"/>
      <c r="UEL1061" s="989"/>
      <c r="UEM1061" s="989"/>
      <c r="UEN1061" s="989"/>
      <c r="UEO1061" s="989"/>
      <c r="UEP1061" s="989"/>
      <c r="UEQ1061" s="989"/>
      <c r="UER1061" s="989"/>
      <c r="UES1061" s="989"/>
      <c r="UET1061" s="989"/>
      <c r="UEU1061" s="989"/>
      <c r="UEV1061" s="989"/>
      <c r="UEW1061" s="989"/>
      <c r="UEX1061" s="989"/>
      <c r="UEY1061" s="989"/>
      <c r="UEZ1061" s="989"/>
      <c r="UFA1061" s="989"/>
      <c r="UFB1061" s="989"/>
      <c r="UFC1061" s="989"/>
      <c r="UFD1061" s="989"/>
      <c r="UFE1061" s="989"/>
      <c r="UFF1061" s="989"/>
      <c r="UFG1061" s="989"/>
      <c r="UFH1061" s="989"/>
      <c r="UFI1061" s="989"/>
      <c r="UFJ1061" s="989"/>
      <c r="UFK1061" s="989"/>
      <c r="UFL1061" s="989"/>
      <c r="UFM1061" s="989"/>
      <c r="UFN1061" s="989"/>
      <c r="UFO1061" s="989"/>
      <c r="UFP1061" s="989"/>
      <c r="UFQ1061" s="989"/>
      <c r="UFR1061" s="989"/>
      <c r="UFS1061" s="989"/>
      <c r="UFT1061" s="989"/>
      <c r="UFU1061" s="989"/>
      <c r="UFV1061" s="989"/>
      <c r="UFW1061" s="989"/>
      <c r="UFX1061" s="989"/>
      <c r="UFY1061" s="989"/>
      <c r="UFZ1061" s="989"/>
      <c r="UGA1061" s="989"/>
      <c r="UGB1061" s="989"/>
      <c r="UGC1061" s="989"/>
      <c r="UGD1061" s="989"/>
      <c r="UGE1061" s="989"/>
      <c r="UGF1061" s="989"/>
      <c r="UGG1061" s="989"/>
      <c r="UGH1061" s="989"/>
      <c r="UGI1061" s="989"/>
      <c r="UGJ1061" s="989"/>
      <c r="UGK1061" s="989"/>
      <c r="UGL1061" s="989"/>
      <c r="UGM1061" s="989"/>
      <c r="UGN1061" s="989"/>
      <c r="UGO1061" s="989"/>
      <c r="UGP1061" s="989"/>
      <c r="UGQ1061" s="989"/>
      <c r="UGR1061" s="989"/>
      <c r="UGS1061" s="989"/>
      <c r="UGT1061" s="989"/>
      <c r="UGU1061" s="989"/>
      <c r="UGV1061" s="989"/>
      <c r="UGW1061" s="989"/>
      <c r="UGX1061" s="989"/>
      <c r="UGY1061" s="989"/>
      <c r="UGZ1061" s="989"/>
      <c r="UHA1061" s="989"/>
      <c r="UHB1061" s="989"/>
      <c r="UHC1061" s="989"/>
      <c r="UHD1061" s="989"/>
      <c r="UHE1061" s="989"/>
      <c r="UHF1061" s="989"/>
      <c r="UHG1061" s="989"/>
      <c r="UHH1061" s="989"/>
      <c r="UHI1061" s="989"/>
      <c r="UHJ1061" s="989"/>
      <c r="UHK1061" s="989"/>
      <c r="UHL1061" s="989"/>
      <c r="UHM1061" s="989"/>
      <c r="UHN1061" s="989"/>
      <c r="UHO1061" s="989"/>
      <c r="UHP1061" s="989"/>
      <c r="UHQ1061" s="989"/>
      <c r="UHR1061" s="989"/>
      <c r="UHS1061" s="989"/>
      <c r="UHT1061" s="989"/>
      <c r="UHU1061" s="989"/>
      <c r="UHV1061" s="989"/>
      <c r="UHW1061" s="989"/>
      <c r="UHX1061" s="989"/>
      <c r="UHY1061" s="989"/>
      <c r="UHZ1061" s="989"/>
      <c r="UIA1061" s="989"/>
      <c r="UIB1061" s="989"/>
      <c r="UIC1061" s="989"/>
      <c r="UID1061" s="989"/>
      <c r="UIE1061" s="989"/>
      <c r="UIF1061" s="989"/>
      <c r="UIG1061" s="989"/>
      <c r="UIH1061" s="989"/>
      <c r="UII1061" s="989"/>
      <c r="UIJ1061" s="989"/>
      <c r="UIK1061" s="989"/>
      <c r="UIL1061" s="989"/>
      <c r="UIM1061" s="989"/>
      <c r="UIN1061" s="989"/>
      <c r="UIO1061" s="989"/>
      <c r="UIP1061" s="989"/>
      <c r="UIQ1061" s="989"/>
      <c r="UIR1061" s="989"/>
      <c r="UIS1061" s="989"/>
      <c r="UIT1061" s="989"/>
      <c r="UIU1061" s="989"/>
      <c r="UIV1061" s="989"/>
      <c r="UIW1061" s="989"/>
      <c r="UIX1061" s="989"/>
      <c r="UIY1061" s="989"/>
      <c r="UIZ1061" s="989"/>
      <c r="UJA1061" s="989"/>
      <c r="UJB1061" s="989"/>
      <c r="UJC1061" s="989"/>
      <c r="UJD1061" s="989"/>
      <c r="UJE1061" s="989"/>
      <c r="UJF1061" s="989"/>
      <c r="UJG1061" s="989"/>
      <c r="UJH1061" s="989"/>
      <c r="UJI1061" s="989"/>
      <c r="UJJ1061" s="989"/>
      <c r="UJK1061" s="989"/>
      <c r="UJL1061" s="989"/>
      <c r="UJM1061" s="989"/>
      <c r="UJN1061" s="989"/>
      <c r="UJO1061" s="989"/>
      <c r="UJP1061" s="989"/>
      <c r="UJQ1061" s="989"/>
      <c r="UJR1061" s="989"/>
      <c r="UJS1061" s="989"/>
      <c r="UJT1061" s="989"/>
      <c r="UJU1061" s="989"/>
      <c r="UJV1061" s="989"/>
      <c r="UJW1061" s="989"/>
      <c r="UJX1061" s="989"/>
      <c r="UJY1061" s="989"/>
      <c r="UJZ1061" s="989"/>
      <c r="UKA1061" s="989"/>
      <c r="UKB1061" s="989"/>
      <c r="UKC1061" s="989"/>
      <c r="UKD1061" s="989"/>
      <c r="UKE1061" s="989"/>
      <c r="UKF1061" s="989"/>
      <c r="UKG1061" s="989"/>
      <c r="UKH1061" s="989"/>
      <c r="UKI1061" s="989"/>
      <c r="UKJ1061" s="989"/>
      <c r="UKK1061" s="989"/>
      <c r="UKL1061" s="989"/>
      <c r="UKM1061" s="989"/>
      <c r="UKN1061" s="989"/>
      <c r="UKO1061" s="989"/>
      <c r="UKP1061" s="989"/>
      <c r="UKQ1061" s="989"/>
      <c r="UKR1061" s="989"/>
      <c r="UKS1061" s="989"/>
      <c r="UKT1061" s="989"/>
      <c r="UKU1061" s="989"/>
      <c r="UKV1061" s="989"/>
      <c r="UKW1061" s="989"/>
      <c r="UKX1061" s="989"/>
      <c r="UKY1061" s="989"/>
      <c r="UKZ1061" s="989"/>
      <c r="ULA1061" s="989"/>
      <c r="ULB1061" s="989"/>
      <c r="ULC1061" s="989"/>
      <c r="ULD1061" s="989"/>
      <c r="ULE1061" s="989"/>
      <c r="ULF1061" s="989"/>
      <c r="ULG1061" s="989"/>
      <c r="ULH1061" s="989"/>
      <c r="ULI1061" s="989"/>
      <c r="ULJ1061" s="989"/>
      <c r="ULK1061" s="989"/>
      <c r="ULL1061" s="989"/>
      <c r="ULM1061" s="989"/>
      <c r="ULN1061" s="989"/>
      <c r="ULO1061" s="989"/>
      <c r="ULP1061" s="989"/>
      <c r="ULQ1061" s="989"/>
      <c r="ULR1061" s="989"/>
      <c r="ULS1061" s="989"/>
      <c r="ULT1061" s="989"/>
      <c r="ULU1061" s="989"/>
      <c r="ULV1061" s="989"/>
      <c r="ULW1061" s="989"/>
      <c r="ULX1061" s="989"/>
      <c r="ULY1061" s="989"/>
      <c r="ULZ1061" s="989"/>
      <c r="UMA1061" s="989"/>
      <c r="UMB1061" s="989"/>
      <c r="UMC1061" s="989"/>
      <c r="UMD1061" s="989"/>
      <c r="UME1061" s="989"/>
      <c r="UMF1061" s="989"/>
      <c r="UMG1061" s="989"/>
      <c r="UMH1061" s="989"/>
      <c r="UMI1061" s="989"/>
      <c r="UMJ1061" s="989"/>
      <c r="UMK1061" s="989"/>
      <c r="UML1061" s="989"/>
      <c r="UMM1061" s="989"/>
      <c r="UMN1061" s="989"/>
      <c r="UMO1061" s="989"/>
      <c r="UMP1061" s="989"/>
      <c r="UMQ1061" s="989"/>
      <c r="UMR1061" s="989"/>
      <c r="UMS1061" s="989"/>
      <c r="UMT1061" s="989"/>
      <c r="UMU1061" s="989"/>
      <c r="UMV1061" s="989"/>
      <c r="UMW1061" s="989"/>
      <c r="UMX1061" s="989"/>
      <c r="UMY1061" s="989"/>
      <c r="UMZ1061" s="989"/>
      <c r="UNA1061" s="989"/>
      <c r="UNB1061" s="989"/>
      <c r="UNC1061" s="989"/>
      <c r="UND1061" s="989"/>
      <c r="UNE1061" s="989"/>
      <c r="UNF1061" s="989"/>
      <c r="UNG1061" s="989"/>
      <c r="UNH1061" s="989"/>
      <c r="UNI1061" s="989"/>
      <c r="UNJ1061" s="989"/>
      <c r="UNK1061" s="989"/>
      <c r="UNL1061" s="989"/>
      <c r="UNM1061" s="989"/>
      <c r="UNN1061" s="989"/>
      <c r="UNO1061" s="989"/>
      <c r="UNP1061" s="989"/>
      <c r="UNQ1061" s="989"/>
      <c r="UNR1061" s="989"/>
      <c r="UNS1061" s="989"/>
      <c r="UNT1061" s="989"/>
      <c r="UNU1061" s="989"/>
      <c r="UNV1061" s="989"/>
      <c r="UNW1061" s="989"/>
      <c r="UNX1061" s="989"/>
      <c r="UNY1061" s="989"/>
      <c r="UNZ1061" s="989"/>
      <c r="UOA1061" s="989"/>
      <c r="UOB1061" s="989"/>
      <c r="UOC1061" s="989"/>
      <c r="UOD1061" s="989"/>
      <c r="UOE1061" s="989"/>
      <c r="UOF1061" s="989"/>
      <c r="UOG1061" s="989"/>
      <c r="UOH1061" s="989"/>
      <c r="UOI1061" s="989"/>
      <c r="UOJ1061" s="989"/>
      <c r="UOK1061" s="989"/>
      <c r="UOL1061" s="989"/>
      <c r="UOM1061" s="989"/>
      <c r="UON1061" s="989"/>
      <c r="UOO1061" s="989"/>
      <c r="UOP1061" s="989"/>
      <c r="UOQ1061" s="989"/>
      <c r="UOR1061" s="989"/>
      <c r="UOS1061" s="989"/>
      <c r="UOT1061" s="989"/>
      <c r="UOU1061" s="989"/>
      <c r="UOV1061" s="989"/>
      <c r="UOW1061" s="989"/>
      <c r="UOX1061" s="989"/>
      <c r="UOY1061" s="989"/>
      <c r="UOZ1061" s="989"/>
      <c r="UPA1061" s="989"/>
      <c r="UPB1061" s="989"/>
      <c r="UPC1061" s="989"/>
      <c r="UPD1061" s="989"/>
      <c r="UPE1061" s="989"/>
      <c r="UPF1061" s="989"/>
      <c r="UPG1061" s="989"/>
      <c r="UPH1061" s="989"/>
      <c r="UPI1061" s="989"/>
      <c r="UPJ1061" s="989"/>
      <c r="UPK1061" s="989"/>
      <c r="UPL1061" s="989"/>
      <c r="UPM1061" s="989"/>
      <c r="UPN1061" s="989"/>
      <c r="UPO1061" s="989"/>
      <c r="UPP1061" s="989"/>
      <c r="UPQ1061" s="989"/>
      <c r="UPR1061" s="989"/>
      <c r="UPS1061" s="989"/>
      <c r="UPT1061" s="989"/>
      <c r="UPU1061" s="989"/>
      <c r="UPV1061" s="989"/>
      <c r="UPW1061" s="989"/>
      <c r="UPX1061" s="989"/>
      <c r="UPY1061" s="989"/>
      <c r="UPZ1061" s="989"/>
      <c r="UQA1061" s="989"/>
      <c r="UQB1061" s="989"/>
      <c r="UQC1061" s="989"/>
      <c r="UQD1061" s="989"/>
      <c r="UQE1061" s="989"/>
      <c r="UQF1061" s="989"/>
      <c r="UQG1061" s="989"/>
      <c r="UQH1061" s="989"/>
      <c r="UQI1061" s="989"/>
      <c r="UQJ1061" s="989"/>
      <c r="UQK1061" s="989"/>
      <c r="UQL1061" s="989"/>
      <c r="UQM1061" s="989"/>
      <c r="UQN1061" s="989"/>
      <c r="UQO1061" s="989"/>
      <c r="UQP1061" s="989"/>
      <c r="UQQ1061" s="989"/>
      <c r="UQR1061" s="989"/>
      <c r="UQS1061" s="989"/>
      <c r="UQT1061" s="989"/>
      <c r="UQU1061" s="989"/>
      <c r="UQV1061" s="989"/>
      <c r="UQW1061" s="989"/>
      <c r="UQX1061" s="989"/>
      <c r="UQY1061" s="989"/>
      <c r="UQZ1061" s="989"/>
      <c r="URA1061" s="989"/>
      <c r="URB1061" s="989"/>
      <c r="URC1061" s="989"/>
      <c r="URD1061" s="989"/>
      <c r="URE1061" s="989"/>
      <c r="URF1061" s="989"/>
      <c r="URG1061" s="989"/>
      <c r="URH1061" s="989"/>
      <c r="URI1061" s="989"/>
      <c r="URJ1061" s="989"/>
      <c r="URK1061" s="989"/>
      <c r="URL1061" s="989"/>
      <c r="URM1061" s="989"/>
      <c r="URN1061" s="989"/>
      <c r="URO1061" s="989"/>
      <c r="URP1061" s="989"/>
      <c r="URQ1061" s="989"/>
      <c r="URR1061" s="989"/>
      <c r="URS1061" s="989"/>
      <c r="URT1061" s="989"/>
      <c r="URU1061" s="989"/>
      <c r="URV1061" s="989"/>
      <c r="URW1061" s="989"/>
      <c r="URX1061" s="989"/>
      <c r="URY1061" s="989"/>
      <c r="URZ1061" s="989"/>
      <c r="USA1061" s="989"/>
      <c r="USB1061" s="989"/>
      <c r="USC1061" s="989"/>
      <c r="USD1061" s="989"/>
      <c r="USE1061" s="989"/>
      <c r="USF1061" s="989"/>
      <c r="USG1061" s="989"/>
      <c r="USH1061" s="989"/>
      <c r="USI1061" s="989"/>
      <c r="USJ1061" s="989"/>
      <c r="USK1061" s="989"/>
      <c r="USL1061" s="989"/>
      <c r="USM1061" s="989"/>
      <c r="USN1061" s="989"/>
      <c r="USO1061" s="989"/>
      <c r="USP1061" s="989"/>
      <c r="USQ1061" s="989"/>
      <c r="USR1061" s="989"/>
      <c r="USS1061" s="989"/>
      <c r="UST1061" s="989"/>
      <c r="USU1061" s="989"/>
      <c r="USV1061" s="989"/>
      <c r="USW1061" s="989"/>
      <c r="USX1061" s="989"/>
      <c r="USY1061" s="989"/>
      <c r="USZ1061" s="989"/>
      <c r="UTA1061" s="989"/>
      <c r="UTB1061" s="989"/>
      <c r="UTC1061" s="989"/>
      <c r="UTD1061" s="989"/>
      <c r="UTE1061" s="989"/>
      <c r="UTF1061" s="989"/>
      <c r="UTG1061" s="989"/>
      <c r="UTH1061" s="989"/>
      <c r="UTI1061" s="989"/>
      <c r="UTJ1061" s="989"/>
      <c r="UTK1061" s="989"/>
      <c r="UTL1061" s="989"/>
      <c r="UTM1061" s="989"/>
      <c r="UTN1061" s="989"/>
      <c r="UTO1061" s="989"/>
      <c r="UTP1061" s="989"/>
      <c r="UTQ1061" s="989"/>
      <c r="UTR1061" s="989"/>
      <c r="UTS1061" s="989"/>
      <c r="UTT1061" s="989"/>
      <c r="UTU1061" s="989"/>
      <c r="UTV1061" s="989"/>
      <c r="UTW1061" s="989"/>
      <c r="UTX1061" s="989"/>
      <c r="UTY1061" s="989"/>
      <c r="UTZ1061" s="989"/>
      <c r="UUA1061" s="989"/>
      <c r="UUB1061" s="989"/>
      <c r="UUC1061" s="989"/>
      <c r="UUD1061" s="989"/>
      <c r="UUE1061" s="989"/>
      <c r="UUF1061" s="989"/>
      <c r="UUG1061" s="989"/>
      <c r="UUH1061" s="989"/>
      <c r="UUI1061" s="989"/>
      <c r="UUJ1061" s="989"/>
      <c r="UUK1061" s="989"/>
      <c r="UUL1061" s="989"/>
      <c r="UUM1061" s="989"/>
      <c r="UUN1061" s="989"/>
      <c r="UUO1061" s="989"/>
      <c r="UUP1061" s="989"/>
      <c r="UUQ1061" s="989"/>
      <c r="UUR1061" s="989"/>
      <c r="UUS1061" s="989"/>
      <c r="UUT1061" s="989"/>
      <c r="UUU1061" s="989"/>
      <c r="UUV1061" s="989"/>
      <c r="UUW1061" s="989"/>
      <c r="UUX1061" s="989"/>
      <c r="UUY1061" s="989"/>
      <c r="UUZ1061" s="989"/>
      <c r="UVA1061" s="989"/>
      <c r="UVB1061" s="989"/>
      <c r="UVC1061" s="989"/>
      <c r="UVD1061" s="989"/>
      <c r="UVE1061" s="989"/>
      <c r="UVF1061" s="989"/>
      <c r="UVG1061" s="989"/>
      <c r="UVH1061" s="989"/>
      <c r="UVI1061" s="989"/>
      <c r="UVJ1061" s="989"/>
      <c r="UVK1061" s="989"/>
      <c r="UVL1061" s="989"/>
      <c r="UVM1061" s="989"/>
      <c r="UVN1061" s="989"/>
      <c r="UVO1061" s="989"/>
      <c r="UVP1061" s="989"/>
      <c r="UVQ1061" s="989"/>
      <c r="UVR1061" s="989"/>
      <c r="UVS1061" s="989"/>
      <c r="UVT1061" s="989"/>
      <c r="UVU1061" s="989"/>
      <c r="UVV1061" s="989"/>
      <c r="UVW1061" s="989"/>
      <c r="UVX1061" s="989"/>
      <c r="UVY1061" s="989"/>
      <c r="UVZ1061" s="989"/>
      <c r="UWA1061" s="989"/>
      <c r="UWB1061" s="989"/>
      <c r="UWC1061" s="989"/>
      <c r="UWD1061" s="989"/>
      <c r="UWE1061" s="989"/>
      <c r="UWF1061" s="989"/>
      <c r="UWG1061" s="989"/>
      <c r="UWH1061" s="989"/>
      <c r="UWI1061" s="989"/>
      <c r="UWJ1061" s="989"/>
      <c r="UWK1061" s="989"/>
      <c r="UWL1061" s="989"/>
      <c r="UWM1061" s="989"/>
      <c r="UWN1061" s="989"/>
      <c r="UWO1061" s="989"/>
      <c r="UWP1061" s="989"/>
      <c r="UWQ1061" s="989"/>
      <c r="UWR1061" s="989"/>
      <c r="UWS1061" s="989"/>
      <c r="UWT1061" s="989"/>
      <c r="UWU1061" s="989"/>
      <c r="UWV1061" s="989"/>
      <c r="UWW1061" s="989"/>
      <c r="UWX1061" s="989"/>
      <c r="UWY1061" s="989"/>
      <c r="UWZ1061" s="989"/>
      <c r="UXA1061" s="989"/>
      <c r="UXB1061" s="989"/>
      <c r="UXC1061" s="989"/>
      <c r="UXD1061" s="989"/>
      <c r="UXE1061" s="989"/>
      <c r="UXF1061" s="989"/>
      <c r="UXG1061" s="989"/>
      <c r="UXH1061" s="989"/>
      <c r="UXI1061" s="989"/>
      <c r="UXJ1061" s="989"/>
      <c r="UXK1061" s="989"/>
      <c r="UXL1061" s="989"/>
      <c r="UXM1061" s="989"/>
      <c r="UXN1061" s="989"/>
      <c r="UXO1061" s="989"/>
      <c r="UXP1061" s="989"/>
      <c r="UXQ1061" s="989"/>
      <c r="UXR1061" s="989"/>
      <c r="UXS1061" s="989"/>
      <c r="UXT1061" s="989"/>
      <c r="UXU1061" s="989"/>
      <c r="UXV1061" s="989"/>
      <c r="UXW1061" s="989"/>
      <c r="UXX1061" s="989"/>
      <c r="UXY1061" s="989"/>
      <c r="UXZ1061" s="989"/>
      <c r="UYA1061" s="989"/>
      <c r="UYB1061" s="989"/>
      <c r="UYC1061" s="989"/>
      <c r="UYD1061" s="989"/>
      <c r="UYE1061" s="989"/>
      <c r="UYF1061" s="989"/>
      <c r="UYG1061" s="989"/>
      <c r="UYH1061" s="989"/>
      <c r="UYI1061" s="989"/>
      <c r="UYJ1061" s="989"/>
      <c r="UYK1061" s="989"/>
      <c r="UYL1061" s="989"/>
      <c r="UYM1061" s="989"/>
      <c r="UYN1061" s="989"/>
      <c r="UYO1061" s="989"/>
      <c r="UYP1061" s="989"/>
      <c r="UYQ1061" s="989"/>
      <c r="UYR1061" s="989"/>
      <c r="UYS1061" s="989"/>
      <c r="UYT1061" s="989"/>
      <c r="UYU1061" s="989"/>
      <c r="UYV1061" s="989"/>
      <c r="UYW1061" s="989"/>
      <c r="UYX1061" s="989"/>
      <c r="UYY1061" s="989"/>
      <c r="UYZ1061" s="989"/>
      <c r="UZA1061" s="989"/>
      <c r="UZB1061" s="989"/>
      <c r="UZC1061" s="989"/>
      <c r="UZD1061" s="989"/>
      <c r="UZE1061" s="989"/>
      <c r="UZF1061" s="989"/>
      <c r="UZG1061" s="989"/>
      <c r="UZH1061" s="989"/>
      <c r="UZI1061" s="989"/>
      <c r="UZJ1061" s="989"/>
      <c r="UZK1061" s="989"/>
      <c r="UZL1061" s="989"/>
      <c r="UZM1061" s="989"/>
      <c r="UZN1061" s="989"/>
      <c r="UZO1061" s="989"/>
      <c r="UZP1061" s="989"/>
      <c r="UZQ1061" s="989"/>
      <c r="UZR1061" s="989"/>
      <c r="UZS1061" s="989"/>
      <c r="UZT1061" s="989"/>
      <c r="UZU1061" s="989"/>
      <c r="UZV1061" s="989"/>
      <c r="UZW1061" s="989"/>
      <c r="UZX1061" s="989"/>
      <c r="UZY1061" s="989"/>
      <c r="UZZ1061" s="989"/>
      <c r="VAA1061" s="989"/>
      <c r="VAB1061" s="989"/>
      <c r="VAC1061" s="989"/>
      <c r="VAD1061" s="989"/>
      <c r="VAE1061" s="989"/>
      <c r="VAF1061" s="989"/>
      <c r="VAG1061" s="989"/>
      <c r="VAH1061" s="989"/>
      <c r="VAI1061" s="989"/>
      <c r="VAJ1061" s="989"/>
      <c r="VAK1061" s="989"/>
      <c r="VAL1061" s="989"/>
      <c r="VAM1061" s="989"/>
      <c r="VAN1061" s="989"/>
      <c r="VAO1061" s="989"/>
      <c r="VAP1061" s="989"/>
      <c r="VAQ1061" s="989"/>
      <c r="VAR1061" s="989"/>
      <c r="VAS1061" s="989"/>
      <c r="VAT1061" s="989"/>
      <c r="VAU1061" s="989"/>
      <c r="VAV1061" s="989"/>
      <c r="VAW1061" s="989"/>
      <c r="VAX1061" s="989"/>
      <c r="VAY1061" s="989"/>
      <c r="VAZ1061" s="989"/>
      <c r="VBA1061" s="989"/>
      <c r="VBB1061" s="989"/>
      <c r="VBC1061" s="989"/>
      <c r="VBD1061" s="989"/>
      <c r="VBE1061" s="989"/>
      <c r="VBF1061" s="989"/>
      <c r="VBG1061" s="989"/>
      <c r="VBH1061" s="989"/>
      <c r="VBI1061" s="989"/>
      <c r="VBJ1061" s="989"/>
      <c r="VBK1061" s="989"/>
      <c r="VBL1061" s="989"/>
      <c r="VBM1061" s="989"/>
      <c r="VBN1061" s="989"/>
      <c r="VBO1061" s="989"/>
      <c r="VBP1061" s="989"/>
      <c r="VBQ1061" s="989"/>
      <c r="VBR1061" s="989"/>
      <c r="VBS1061" s="989"/>
      <c r="VBT1061" s="989"/>
      <c r="VBU1061" s="989"/>
      <c r="VBV1061" s="989"/>
      <c r="VBW1061" s="989"/>
      <c r="VBX1061" s="989"/>
      <c r="VBY1061" s="989"/>
      <c r="VBZ1061" s="989"/>
      <c r="VCA1061" s="989"/>
      <c r="VCB1061" s="989"/>
      <c r="VCC1061" s="989"/>
      <c r="VCD1061" s="989"/>
      <c r="VCE1061" s="989"/>
      <c r="VCF1061" s="989"/>
      <c r="VCG1061" s="989"/>
      <c r="VCH1061" s="989"/>
      <c r="VCI1061" s="989"/>
      <c r="VCJ1061" s="989"/>
      <c r="VCK1061" s="989"/>
      <c r="VCL1061" s="989"/>
      <c r="VCM1061" s="989"/>
      <c r="VCN1061" s="989"/>
      <c r="VCO1061" s="989"/>
      <c r="VCP1061" s="989"/>
      <c r="VCQ1061" s="989"/>
      <c r="VCR1061" s="989"/>
      <c r="VCS1061" s="989"/>
      <c r="VCT1061" s="989"/>
      <c r="VCU1061" s="989"/>
      <c r="VCV1061" s="989"/>
      <c r="VCW1061" s="989"/>
      <c r="VCX1061" s="989"/>
      <c r="VCY1061" s="989"/>
      <c r="VCZ1061" s="989"/>
      <c r="VDA1061" s="989"/>
      <c r="VDB1061" s="989"/>
      <c r="VDC1061" s="989"/>
      <c r="VDD1061" s="989"/>
      <c r="VDE1061" s="989"/>
      <c r="VDF1061" s="989"/>
      <c r="VDG1061" s="989"/>
      <c r="VDH1061" s="989"/>
      <c r="VDI1061" s="989"/>
      <c r="VDJ1061" s="989"/>
      <c r="VDK1061" s="989"/>
      <c r="VDL1061" s="989"/>
      <c r="VDM1061" s="989"/>
      <c r="VDN1061" s="989"/>
      <c r="VDO1061" s="989"/>
      <c r="VDP1061" s="989"/>
      <c r="VDQ1061" s="989"/>
      <c r="VDR1061" s="989"/>
      <c r="VDS1061" s="989"/>
      <c r="VDT1061" s="989"/>
      <c r="VDU1061" s="989"/>
      <c r="VDV1061" s="989"/>
      <c r="VDW1061" s="989"/>
      <c r="VDX1061" s="989"/>
      <c r="VDY1061" s="989"/>
      <c r="VDZ1061" s="989"/>
      <c r="VEA1061" s="989"/>
      <c r="VEB1061" s="989"/>
      <c r="VEC1061" s="989"/>
      <c r="VED1061" s="989"/>
      <c r="VEE1061" s="989"/>
      <c r="VEF1061" s="989"/>
      <c r="VEG1061" s="989"/>
      <c r="VEH1061" s="989"/>
      <c r="VEI1061" s="989"/>
      <c r="VEJ1061" s="989"/>
      <c r="VEK1061" s="989"/>
      <c r="VEL1061" s="989"/>
      <c r="VEM1061" s="989"/>
      <c r="VEN1061" s="989"/>
      <c r="VEO1061" s="989"/>
      <c r="VEP1061" s="989"/>
      <c r="VEQ1061" s="989"/>
      <c r="VER1061" s="989"/>
      <c r="VES1061" s="989"/>
      <c r="VET1061" s="989"/>
      <c r="VEU1061" s="989"/>
      <c r="VEV1061" s="989"/>
      <c r="VEW1061" s="989"/>
      <c r="VEX1061" s="989"/>
      <c r="VEY1061" s="989"/>
      <c r="VEZ1061" s="989"/>
      <c r="VFA1061" s="989"/>
      <c r="VFB1061" s="989"/>
      <c r="VFC1061" s="989"/>
      <c r="VFD1061" s="989"/>
      <c r="VFE1061" s="989"/>
      <c r="VFF1061" s="989"/>
      <c r="VFG1061" s="989"/>
      <c r="VFH1061" s="989"/>
      <c r="VFI1061" s="989"/>
      <c r="VFJ1061" s="989"/>
      <c r="VFK1061" s="989"/>
      <c r="VFL1061" s="989"/>
      <c r="VFM1061" s="989"/>
      <c r="VFN1061" s="989"/>
      <c r="VFO1061" s="989"/>
      <c r="VFP1061" s="989"/>
      <c r="VFQ1061" s="989"/>
      <c r="VFR1061" s="989"/>
      <c r="VFS1061" s="989"/>
      <c r="VFT1061" s="989"/>
      <c r="VFU1061" s="989"/>
      <c r="VFV1061" s="989"/>
      <c r="VFW1061" s="989"/>
      <c r="VFX1061" s="989"/>
      <c r="VFY1061" s="989"/>
      <c r="VFZ1061" s="989"/>
      <c r="VGA1061" s="989"/>
      <c r="VGB1061" s="989"/>
      <c r="VGC1061" s="989"/>
      <c r="VGD1061" s="989"/>
      <c r="VGE1061" s="989"/>
      <c r="VGF1061" s="989"/>
      <c r="VGG1061" s="989"/>
      <c r="VGH1061" s="989"/>
      <c r="VGI1061" s="989"/>
      <c r="VGJ1061" s="989"/>
      <c r="VGK1061" s="989"/>
      <c r="VGL1061" s="989"/>
      <c r="VGM1061" s="989"/>
      <c r="VGN1061" s="989"/>
      <c r="VGO1061" s="989"/>
      <c r="VGP1061" s="989"/>
      <c r="VGQ1061" s="989"/>
      <c r="VGR1061" s="989"/>
      <c r="VGS1061" s="989"/>
      <c r="VGT1061" s="989"/>
      <c r="VGU1061" s="989"/>
      <c r="VGV1061" s="989"/>
      <c r="VGW1061" s="989"/>
      <c r="VGX1061" s="989"/>
      <c r="VGY1061" s="989"/>
      <c r="VGZ1061" s="989"/>
      <c r="VHA1061" s="989"/>
      <c r="VHB1061" s="989"/>
      <c r="VHC1061" s="989"/>
      <c r="VHD1061" s="989"/>
      <c r="VHE1061" s="989"/>
      <c r="VHF1061" s="989"/>
      <c r="VHG1061" s="989"/>
      <c r="VHH1061" s="989"/>
      <c r="VHI1061" s="989"/>
      <c r="VHJ1061" s="989"/>
      <c r="VHK1061" s="989"/>
      <c r="VHL1061" s="989"/>
      <c r="VHM1061" s="989"/>
      <c r="VHN1061" s="989"/>
      <c r="VHO1061" s="989"/>
      <c r="VHP1061" s="989"/>
      <c r="VHQ1061" s="989"/>
      <c r="VHR1061" s="989"/>
      <c r="VHS1061" s="989"/>
      <c r="VHT1061" s="989"/>
      <c r="VHU1061" s="989"/>
      <c r="VHV1061" s="989"/>
      <c r="VHW1061" s="989"/>
      <c r="VHX1061" s="989"/>
      <c r="VHY1061" s="989"/>
      <c r="VHZ1061" s="989"/>
      <c r="VIA1061" s="989"/>
      <c r="VIB1061" s="989"/>
      <c r="VIC1061" s="989"/>
      <c r="VID1061" s="989"/>
      <c r="VIE1061" s="989"/>
      <c r="VIF1061" s="989"/>
      <c r="VIG1061" s="989"/>
      <c r="VIH1061" s="989"/>
      <c r="VII1061" s="989"/>
      <c r="VIJ1061" s="989"/>
      <c r="VIK1061" s="989"/>
      <c r="VIL1061" s="989"/>
      <c r="VIM1061" s="989"/>
      <c r="VIN1061" s="989"/>
      <c r="VIO1061" s="989"/>
      <c r="VIP1061" s="989"/>
      <c r="VIQ1061" s="989"/>
      <c r="VIR1061" s="989"/>
      <c r="VIS1061" s="989"/>
      <c r="VIT1061" s="989"/>
      <c r="VIU1061" s="989"/>
      <c r="VIV1061" s="989"/>
      <c r="VIW1061" s="989"/>
      <c r="VIX1061" s="989"/>
      <c r="VIY1061" s="989"/>
      <c r="VIZ1061" s="989"/>
      <c r="VJA1061" s="989"/>
      <c r="VJB1061" s="989"/>
      <c r="VJC1061" s="989"/>
      <c r="VJD1061" s="989"/>
      <c r="VJE1061" s="989"/>
      <c r="VJF1061" s="989"/>
      <c r="VJG1061" s="989"/>
      <c r="VJH1061" s="989"/>
      <c r="VJI1061" s="989"/>
      <c r="VJJ1061" s="989"/>
      <c r="VJK1061" s="989"/>
      <c r="VJL1061" s="989"/>
      <c r="VJM1061" s="989"/>
      <c r="VJN1061" s="989"/>
      <c r="VJO1061" s="989"/>
      <c r="VJP1061" s="989"/>
      <c r="VJQ1061" s="989"/>
      <c r="VJR1061" s="989"/>
      <c r="VJS1061" s="989"/>
      <c r="VJT1061" s="989"/>
      <c r="VJU1061" s="989"/>
      <c r="VJV1061" s="989"/>
      <c r="VJW1061" s="989"/>
      <c r="VJX1061" s="989"/>
      <c r="VJY1061" s="989"/>
      <c r="VJZ1061" s="989"/>
      <c r="VKA1061" s="989"/>
      <c r="VKB1061" s="989"/>
      <c r="VKC1061" s="989"/>
      <c r="VKD1061" s="989"/>
      <c r="VKE1061" s="989"/>
      <c r="VKF1061" s="989"/>
      <c r="VKG1061" s="989"/>
      <c r="VKH1061" s="989"/>
      <c r="VKI1061" s="989"/>
      <c r="VKJ1061" s="989"/>
      <c r="VKK1061" s="989"/>
      <c r="VKL1061" s="989"/>
      <c r="VKM1061" s="989"/>
      <c r="VKN1061" s="989"/>
      <c r="VKO1061" s="989"/>
      <c r="VKP1061" s="989"/>
      <c r="VKQ1061" s="989"/>
      <c r="VKR1061" s="989"/>
      <c r="VKS1061" s="989"/>
      <c r="VKT1061" s="989"/>
      <c r="VKU1061" s="989"/>
      <c r="VKV1061" s="989"/>
      <c r="VKW1061" s="989"/>
      <c r="VKX1061" s="989"/>
      <c r="VKY1061" s="989"/>
      <c r="VKZ1061" s="989"/>
      <c r="VLA1061" s="989"/>
      <c r="VLB1061" s="989"/>
      <c r="VLC1061" s="989"/>
      <c r="VLD1061" s="989"/>
      <c r="VLE1061" s="989"/>
      <c r="VLF1061" s="989"/>
      <c r="VLG1061" s="989"/>
      <c r="VLH1061" s="989"/>
      <c r="VLI1061" s="989"/>
      <c r="VLJ1061" s="989"/>
      <c r="VLK1061" s="989"/>
      <c r="VLL1061" s="989"/>
      <c r="VLM1061" s="989"/>
      <c r="VLN1061" s="989"/>
      <c r="VLO1061" s="989"/>
      <c r="VLP1061" s="989"/>
      <c r="VLQ1061" s="989"/>
      <c r="VLR1061" s="989"/>
      <c r="VLS1061" s="989"/>
      <c r="VLT1061" s="989"/>
      <c r="VLU1061" s="989"/>
      <c r="VLV1061" s="989"/>
      <c r="VLW1061" s="989"/>
      <c r="VLX1061" s="989"/>
      <c r="VLY1061" s="989"/>
      <c r="VLZ1061" s="989"/>
      <c r="VMA1061" s="989"/>
      <c r="VMB1061" s="989"/>
      <c r="VMC1061" s="989"/>
      <c r="VMD1061" s="989"/>
      <c r="VME1061" s="989"/>
      <c r="VMF1061" s="989"/>
      <c r="VMG1061" s="989"/>
      <c r="VMH1061" s="989"/>
      <c r="VMI1061" s="989"/>
      <c r="VMJ1061" s="989"/>
      <c r="VMK1061" s="989"/>
      <c r="VML1061" s="989"/>
      <c r="VMM1061" s="989"/>
      <c r="VMN1061" s="989"/>
      <c r="VMO1061" s="989"/>
      <c r="VMP1061" s="989"/>
      <c r="VMQ1061" s="989"/>
      <c r="VMR1061" s="989"/>
      <c r="VMS1061" s="989"/>
      <c r="VMT1061" s="989"/>
      <c r="VMU1061" s="989"/>
      <c r="VMV1061" s="989"/>
      <c r="VMW1061" s="989"/>
      <c r="VMX1061" s="989"/>
      <c r="VMY1061" s="989"/>
      <c r="VMZ1061" s="989"/>
      <c r="VNA1061" s="989"/>
      <c r="VNB1061" s="989"/>
      <c r="VNC1061" s="989"/>
      <c r="VND1061" s="989"/>
      <c r="VNE1061" s="989"/>
      <c r="VNF1061" s="989"/>
      <c r="VNG1061" s="989"/>
      <c r="VNH1061" s="989"/>
      <c r="VNI1061" s="989"/>
      <c r="VNJ1061" s="989"/>
      <c r="VNK1061" s="989"/>
      <c r="VNL1061" s="989"/>
      <c r="VNM1061" s="989"/>
      <c r="VNN1061" s="989"/>
      <c r="VNO1061" s="989"/>
      <c r="VNP1061" s="989"/>
      <c r="VNQ1061" s="989"/>
      <c r="VNR1061" s="989"/>
      <c r="VNS1061" s="989"/>
      <c r="VNT1061" s="989"/>
      <c r="VNU1061" s="989"/>
      <c r="VNV1061" s="989"/>
      <c r="VNW1061" s="989"/>
      <c r="VNX1061" s="989"/>
      <c r="VNY1061" s="989"/>
      <c r="VNZ1061" s="989"/>
      <c r="VOA1061" s="989"/>
      <c r="VOB1061" s="989"/>
      <c r="VOC1061" s="989"/>
      <c r="VOD1061" s="989"/>
      <c r="VOE1061" s="989"/>
      <c r="VOF1061" s="989"/>
      <c r="VOG1061" s="989"/>
      <c r="VOH1061" s="989"/>
      <c r="VOI1061" s="989"/>
      <c r="VOJ1061" s="989"/>
      <c r="VOK1061" s="989"/>
      <c r="VOL1061" s="989"/>
      <c r="VOM1061" s="989"/>
      <c r="VON1061" s="989"/>
      <c r="VOO1061" s="989"/>
      <c r="VOP1061" s="989"/>
      <c r="VOQ1061" s="989"/>
      <c r="VOR1061" s="989"/>
      <c r="VOS1061" s="989"/>
      <c r="VOT1061" s="989"/>
      <c r="VOU1061" s="989"/>
      <c r="VOV1061" s="989"/>
      <c r="VOW1061" s="989"/>
      <c r="VOX1061" s="989"/>
      <c r="VOY1061" s="989"/>
      <c r="VOZ1061" s="989"/>
      <c r="VPA1061" s="989"/>
      <c r="VPB1061" s="989"/>
      <c r="VPC1061" s="989"/>
      <c r="VPD1061" s="989"/>
      <c r="VPE1061" s="989"/>
      <c r="VPF1061" s="989"/>
      <c r="VPG1061" s="989"/>
      <c r="VPH1061" s="989"/>
      <c r="VPI1061" s="989"/>
      <c r="VPJ1061" s="989"/>
      <c r="VPK1061" s="989"/>
      <c r="VPL1061" s="989"/>
      <c r="VPM1061" s="989"/>
      <c r="VPN1061" s="989"/>
      <c r="VPO1061" s="989"/>
      <c r="VPP1061" s="989"/>
      <c r="VPQ1061" s="989"/>
      <c r="VPR1061" s="989"/>
      <c r="VPS1061" s="989"/>
      <c r="VPT1061" s="989"/>
      <c r="VPU1061" s="989"/>
      <c r="VPV1061" s="989"/>
      <c r="VPW1061" s="989"/>
      <c r="VPX1061" s="989"/>
      <c r="VPY1061" s="989"/>
      <c r="VPZ1061" s="989"/>
      <c r="VQA1061" s="989"/>
      <c r="VQB1061" s="989"/>
      <c r="VQC1061" s="989"/>
      <c r="VQD1061" s="989"/>
      <c r="VQE1061" s="989"/>
      <c r="VQF1061" s="989"/>
      <c r="VQG1061" s="989"/>
      <c r="VQH1061" s="989"/>
      <c r="VQI1061" s="989"/>
      <c r="VQJ1061" s="989"/>
      <c r="VQK1061" s="989"/>
      <c r="VQL1061" s="989"/>
      <c r="VQM1061" s="989"/>
      <c r="VQN1061" s="989"/>
      <c r="VQO1061" s="989"/>
      <c r="VQP1061" s="989"/>
      <c r="VQQ1061" s="989"/>
      <c r="VQR1061" s="989"/>
      <c r="VQS1061" s="989"/>
      <c r="VQT1061" s="989"/>
      <c r="VQU1061" s="989"/>
      <c r="VQV1061" s="989"/>
      <c r="VQW1061" s="989"/>
      <c r="VQX1061" s="989"/>
      <c r="VQY1061" s="989"/>
      <c r="VQZ1061" s="989"/>
      <c r="VRA1061" s="989"/>
      <c r="VRB1061" s="989"/>
      <c r="VRC1061" s="989"/>
      <c r="VRD1061" s="989"/>
      <c r="VRE1061" s="989"/>
      <c r="VRF1061" s="989"/>
      <c r="VRG1061" s="989"/>
      <c r="VRH1061" s="989"/>
      <c r="VRI1061" s="989"/>
      <c r="VRJ1061" s="989"/>
      <c r="VRK1061" s="989"/>
      <c r="VRL1061" s="989"/>
      <c r="VRM1061" s="989"/>
      <c r="VRN1061" s="989"/>
      <c r="VRO1061" s="989"/>
      <c r="VRP1061" s="989"/>
      <c r="VRQ1061" s="989"/>
      <c r="VRR1061" s="989"/>
      <c r="VRS1061" s="989"/>
      <c r="VRT1061" s="989"/>
      <c r="VRU1061" s="989"/>
      <c r="VRV1061" s="989"/>
      <c r="VRW1061" s="989"/>
      <c r="VRX1061" s="989"/>
      <c r="VRY1061" s="989"/>
      <c r="VRZ1061" s="989"/>
      <c r="VSA1061" s="989"/>
      <c r="VSB1061" s="989"/>
      <c r="VSC1061" s="989"/>
      <c r="VSD1061" s="989"/>
      <c r="VSE1061" s="989"/>
      <c r="VSF1061" s="989"/>
      <c r="VSG1061" s="989"/>
      <c r="VSH1061" s="989"/>
      <c r="VSI1061" s="989"/>
      <c r="VSJ1061" s="989"/>
      <c r="VSK1061" s="989"/>
      <c r="VSL1061" s="989"/>
      <c r="VSM1061" s="989"/>
      <c r="VSN1061" s="989"/>
      <c r="VSO1061" s="989"/>
      <c r="VSP1061" s="989"/>
      <c r="VSQ1061" s="989"/>
      <c r="VSR1061" s="989"/>
      <c r="VSS1061" s="989"/>
      <c r="VST1061" s="989"/>
      <c r="VSU1061" s="989"/>
      <c r="VSV1061" s="989"/>
      <c r="VSW1061" s="989"/>
      <c r="VSX1061" s="989"/>
      <c r="VSY1061" s="989"/>
      <c r="VSZ1061" s="989"/>
      <c r="VTA1061" s="989"/>
      <c r="VTB1061" s="989"/>
      <c r="VTC1061" s="989"/>
      <c r="VTD1061" s="989"/>
      <c r="VTE1061" s="989"/>
      <c r="VTF1061" s="989"/>
      <c r="VTG1061" s="989"/>
      <c r="VTH1061" s="989"/>
      <c r="VTI1061" s="989"/>
      <c r="VTJ1061" s="989"/>
      <c r="VTK1061" s="989"/>
      <c r="VTL1061" s="989"/>
      <c r="VTM1061" s="989"/>
      <c r="VTN1061" s="989"/>
      <c r="VTO1061" s="989"/>
      <c r="VTP1061" s="989"/>
      <c r="VTQ1061" s="989"/>
      <c r="VTR1061" s="989"/>
      <c r="VTS1061" s="989"/>
      <c r="VTT1061" s="989"/>
      <c r="VTU1061" s="989"/>
      <c r="VTV1061" s="989"/>
      <c r="VTW1061" s="989"/>
      <c r="VTX1061" s="989"/>
      <c r="VTY1061" s="989"/>
      <c r="VTZ1061" s="989"/>
      <c r="VUA1061" s="989"/>
      <c r="VUB1061" s="989"/>
      <c r="VUC1061" s="989"/>
      <c r="VUD1061" s="989"/>
      <c r="VUE1061" s="989"/>
      <c r="VUF1061" s="989"/>
      <c r="VUG1061" s="989"/>
      <c r="VUH1061" s="989"/>
      <c r="VUI1061" s="989"/>
      <c r="VUJ1061" s="989"/>
      <c r="VUK1061" s="989"/>
      <c r="VUL1061" s="989"/>
      <c r="VUM1061" s="989"/>
      <c r="VUN1061" s="989"/>
      <c r="VUO1061" s="989"/>
      <c r="VUP1061" s="989"/>
      <c r="VUQ1061" s="989"/>
      <c r="VUR1061" s="989"/>
      <c r="VUS1061" s="989"/>
      <c r="VUT1061" s="989"/>
      <c r="VUU1061" s="989"/>
      <c r="VUV1061" s="989"/>
      <c r="VUW1061" s="989"/>
      <c r="VUX1061" s="989"/>
      <c r="VUY1061" s="989"/>
      <c r="VUZ1061" s="989"/>
      <c r="VVA1061" s="989"/>
      <c r="VVB1061" s="989"/>
      <c r="VVC1061" s="989"/>
      <c r="VVD1061" s="989"/>
      <c r="VVE1061" s="989"/>
      <c r="VVF1061" s="989"/>
      <c r="VVG1061" s="989"/>
      <c r="VVH1061" s="989"/>
      <c r="VVI1061" s="989"/>
      <c r="VVJ1061" s="989"/>
      <c r="VVK1061" s="989"/>
      <c r="VVL1061" s="989"/>
      <c r="VVM1061" s="989"/>
      <c r="VVN1061" s="989"/>
      <c r="VVO1061" s="989"/>
      <c r="VVP1061" s="989"/>
      <c r="VVQ1061" s="989"/>
      <c r="VVR1061" s="989"/>
      <c r="VVS1061" s="989"/>
      <c r="VVT1061" s="989"/>
      <c r="VVU1061" s="989"/>
      <c r="VVV1061" s="989"/>
      <c r="VVW1061" s="989"/>
      <c r="VVX1061" s="989"/>
      <c r="VVY1061" s="989"/>
      <c r="VVZ1061" s="989"/>
      <c r="VWA1061" s="989"/>
      <c r="VWB1061" s="989"/>
      <c r="VWC1061" s="989"/>
      <c r="VWD1061" s="989"/>
      <c r="VWE1061" s="989"/>
      <c r="VWF1061" s="989"/>
      <c r="VWG1061" s="989"/>
      <c r="VWH1061" s="989"/>
      <c r="VWI1061" s="989"/>
      <c r="VWJ1061" s="989"/>
      <c r="VWK1061" s="989"/>
      <c r="VWL1061" s="989"/>
      <c r="VWM1061" s="989"/>
      <c r="VWN1061" s="989"/>
      <c r="VWO1061" s="989"/>
      <c r="VWP1061" s="989"/>
      <c r="VWQ1061" s="989"/>
      <c r="VWR1061" s="989"/>
      <c r="VWS1061" s="989"/>
      <c r="VWT1061" s="989"/>
      <c r="VWU1061" s="989"/>
      <c r="VWV1061" s="989"/>
      <c r="VWW1061" s="989"/>
      <c r="VWX1061" s="989"/>
      <c r="VWY1061" s="989"/>
      <c r="VWZ1061" s="989"/>
      <c r="VXA1061" s="989"/>
      <c r="VXB1061" s="989"/>
      <c r="VXC1061" s="989"/>
      <c r="VXD1061" s="989"/>
      <c r="VXE1061" s="989"/>
      <c r="VXF1061" s="989"/>
      <c r="VXG1061" s="989"/>
      <c r="VXH1061" s="989"/>
      <c r="VXI1061" s="989"/>
      <c r="VXJ1061" s="989"/>
      <c r="VXK1061" s="989"/>
      <c r="VXL1061" s="989"/>
      <c r="VXM1061" s="989"/>
      <c r="VXN1061" s="989"/>
      <c r="VXO1061" s="989"/>
      <c r="VXP1061" s="989"/>
      <c r="VXQ1061" s="989"/>
      <c r="VXR1061" s="989"/>
      <c r="VXS1061" s="989"/>
      <c r="VXT1061" s="989"/>
      <c r="VXU1061" s="989"/>
      <c r="VXV1061" s="989"/>
      <c r="VXW1061" s="989"/>
      <c r="VXX1061" s="989"/>
      <c r="VXY1061" s="989"/>
      <c r="VXZ1061" s="989"/>
      <c r="VYA1061" s="989"/>
      <c r="VYB1061" s="989"/>
      <c r="VYC1061" s="989"/>
      <c r="VYD1061" s="989"/>
      <c r="VYE1061" s="989"/>
      <c r="VYF1061" s="989"/>
      <c r="VYG1061" s="989"/>
      <c r="VYH1061" s="989"/>
      <c r="VYI1061" s="989"/>
      <c r="VYJ1061" s="989"/>
      <c r="VYK1061" s="989"/>
      <c r="VYL1061" s="989"/>
      <c r="VYM1061" s="989"/>
      <c r="VYN1061" s="989"/>
      <c r="VYO1061" s="989"/>
      <c r="VYP1061" s="989"/>
      <c r="VYQ1061" s="989"/>
      <c r="VYR1061" s="989"/>
      <c r="VYS1061" s="989"/>
      <c r="VYT1061" s="989"/>
      <c r="VYU1061" s="989"/>
      <c r="VYV1061" s="989"/>
      <c r="VYW1061" s="989"/>
      <c r="VYX1061" s="989"/>
      <c r="VYY1061" s="989"/>
      <c r="VYZ1061" s="989"/>
      <c r="VZA1061" s="989"/>
      <c r="VZB1061" s="989"/>
      <c r="VZC1061" s="989"/>
      <c r="VZD1061" s="989"/>
      <c r="VZE1061" s="989"/>
      <c r="VZF1061" s="989"/>
      <c r="VZG1061" s="989"/>
      <c r="VZH1061" s="989"/>
      <c r="VZI1061" s="989"/>
      <c r="VZJ1061" s="989"/>
      <c r="VZK1061" s="989"/>
      <c r="VZL1061" s="989"/>
      <c r="VZM1061" s="989"/>
      <c r="VZN1061" s="989"/>
      <c r="VZO1061" s="989"/>
      <c r="VZP1061" s="989"/>
      <c r="VZQ1061" s="989"/>
      <c r="VZR1061" s="989"/>
      <c r="VZS1061" s="989"/>
      <c r="VZT1061" s="989"/>
      <c r="VZU1061" s="989"/>
      <c r="VZV1061" s="989"/>
      <c r="VZW1061" s="989"/>
      <c r="VZX1061" s="989"/>
      <c r="VZY1061" s="989"/>
      <c r="VZZ1061" s="989"/>
      <c r="WAA1061" s="989"/>
      <c r="WAB1061" s="989"/>
      <c r="WAC1061" s="989"/>
      <c r="WAD1061" s="989"/>
      <c r="WAE1061" s="989"/>
      <c r="WAF1061" s="989"/>
      <c r="WAG1061" s="989"/>
      <c r="WAH1061" s="989"/>
      <c r="WAI1061" s="989"/>
      <c r="WAJ1061" s="989"/>
      <c r="WAK1061" s="989"/>
      <c r="WAL1061" s="989"/>
      <c r="WAM1061" s="989"/>
      <c r="WAN1061" s="989"/>
      <c r="WAO1061" s="989"/>
      <c r="WAP1061" s="989"/>
      <c r="WAQ1061" s="989"/>
      <c r="WAR1061" s="989"/>
      <c r="WAS1061" s="989"/>
      <c r="WAT1061" s="989"/>
      <c r="WAU1061" s="989"/>
      <c r="WAV1061" s="989"/>
      <c r="WAW1061" s="989"/>
      <c r="WAX1061" s="989"/>
      <c r="WAY1061" s="989"/>
      <c r="WAZ1061" s="989"/>
      <c r="WBA1061" s="989"/>
      <c r="WBB1061" s="989"/>
      <c r="WBC1061" s="989"/>
      <c r="WBD1061" s="989"/>
      <c r="WBE1061" s="989"/>
      <c r="WBF1061" s="989"/>
      <c r="WBG1061" s="989"/>
      <c r="WBH1061" s="989"/>
      <c r="WBI1061" s="989"/>
      <c r="WBJ1061" s="989"/>
      <c r="WBK1061" s="989"/>
      <c r="WBL1061" s="989"/>
      <c r="WBM1061" s="989"/>
      <c r="WBN1061" s="989"/>
      <c r="WBO1061" s="989"/>
      <c r="WBP1061" s="989"/>
      <c r="WBQ1061" s="989"/>
      <c r="WBR1061" s="989"/>
      <c r="WBS1061" s="989"/>
      <c r="WBT1061" s="989"/>
      <c r="WBU1061" s="989"/>
      <c r="WBV1061" s="989"/>
      <c r="WBW1061" s="989"/>
      <c r="WBX1061" s="989"/>
      <c r="WBY1061" s="989"/>
      <c r="WBZ1061" s="989"/>
      <c r="WCA1061" s="989"/>
      <c r="WCB1061" s="989"/>
      <c r="WCC1061" s="989"/>
      <c r="WCD1061" s="989"/>
      <c r="WCE1061" s="989"/>
      <c r="WCF1061" s="989"/>
      <c r="WCG1061" s="989"/>
      <c r="WCH1061" s="989"/>
      <c r="WCI1061" s="989"/>
      <c r="WCJ1061" s="989"/>
      <c r="WCK1061" s="989"/>
      <c r="WCL1061" s="989"/>
      <c r="WCM1061" s="989"/>
      <c r="WCN1061" s="989"/>
      <c r="WCO1061" s="989"/>
      <c r="WCP1061" s="989"/>
      <c r="WCQ1061" s="989"/>
      <c r="WCR1061" s="989"/>
      <c r="WCS1061" s="989"/>
      <c r="WCT1061" s="989"/>
      <c r="WCU1061" s="989"/>
      <c r="WCV1061" s="989"/>
      <c r="WCW1061" s="989"/>
      <c r="WCX1061" s="989"/>
      <c r="WCY1061" s="989"/>
      <c r="WCZ1061" s="989"/>
      <c r="WDA1061" s="989"/>
      <c r="WDB1061" s="989"/>
      <c r="WDC1061" s="989"/>
      <c r="WDD1061" s="989"/>
      <c r="WDE1061" s="989"/>
      <c r="WDF1061" s="989"/>
      <c r="WDG1061" s="989"/>
      <c r="WDH1061" s="989"/>
      <c r="WDI1061" s="989"/>
      <c r="WDJ1061" s="989"/>
      <c r="WDK1061" s="989"/>
      <c r="WDL1061" s="989"/>
      <c r="WDM1061" s="989"/>
      <c r="WDN1061" s="989"/>
      <c r="WDO1061" s="989"/>
      <c r="WDP1061" s="989"/>
      <c r="WDQ1061" s="989"/>
      <c r="WDR1061" s="989"/>
      <c r="WDS1061" s="989"/>
      <c r="WDT1061" s="989"/>
      <c r="WDU1061" s="989"/>
      <c r="WDV1061" s="989"/>
      <c r="WDW1061" s="989"/>
      <c r="WDX1061" s="989"/>
      <c r="WDY1061" s="989"/>
      <c r="WDZ1061" s="989"/>
      <c r="WEA1061" s="989"/>
      <c r="WEB1061" s="989"/>
      <c r="WEC1061" s="989"/>
      <c r="WED1061" s="989"/>
      <c r="WEE1061" s="989"/>
      <c r="WEF1061" s="989"/>
      <c r="WEG1061" s="989"/>
      <c r="WEH1061" s="989"/>
      <c r="WEI1061" s="989"/>
      <c r="WEJ1061" s="989"/>
      <c r="WEK1061" s="989"/>
      <c r="WEL1061" s="989"/>
      <c r="WEM1061" s="989"/>
      <c r="WEN1061" s="989"/>
      <c r="WEO1061" s="989"/>
      <c r="WEP1061" s="989"/>
      <c r="WEQ1061" s="989"/>
      <c r="WER1061" s="989"/>
      <c r="WES1061" s="989"/>
      <c r="WET1061" s="989"/>
      <c r="WEU1061" s="989"/>
      <c r="WEV1061" s="989"/>
      <c r="WEW1061" s="989"/>
      <c r="WEX1061" s="989"/>
      <c r="WEY1061" s="989"/>
      <c r="WEZ1061" s="989"/>
      <c r="WFA1061" s="989"/>
      <c r="WFB1061" s="989"/>
      <c r="WFC1061" s="989"/>
      <c r="WFD1061" s="989"/>
      <c r="WFE1061" s="989"/>
      <c r="WFF1061" s="989"/>
      <c r="WFG1061" s="989"/>
      <c r="WFH1061" s="989"/>
      <c r="WFI1061" s="989"/>
      <c r="WFJ1061" s="989"/>
      <c r="WFK1061" s="989"/>
      <c r="WFL1061" s="989"/>
      <c r="WFM1061" s="989"/>
      <c r="WFN1061" s="989"/>
      <c r="WFO1061" s="989"/>
      <c r="WFP1061" s="989"/>
      <c r="WFQ1061" s="989"/>
      <c r="WFR1061" s="989"/>
      <c r="WFS1061" s="989"/>
      <c r="WFT1061" s="989"/>
      <c r="WFU1061" s="989"/>
      <c r="WFV1061" s="989"/>
      <c r="WFW1061" s="989"/>
      <c r="WFX1061" s="989"/>
      <c r="WFY1061" s="989"/>
      <c r="WFZ1061" s="989"/>
      <c r="WGA1061" s="989"/>
      <c r="WGB1061" s="989"/>
      <c r="WGC1061" s="989"/>
      <c r="WGD1061" s="989"/>
      <c r="WGE1061" s="989"/>
      <c r="WGF1061" s="989"/>
      <c r="WGG1061" s="989"/>
      <c r="WGH1061" s="989"/>
      <c r="WGI1061" s="989"/>
      <c r="WGJ1061" s="989"/>
      <c r="WGK1061" s="989"/>
      <c r="WGL1061" s="989"/>
      <c r="WGM1061" s="989"/>
      <c r="WGN1061" s="989"/>
      <c r="WGO1061" s="989"/>
      <c r="WGP1061" s="989"/>
      <c r="WGQ1061" s="989"/>
      <c r="WGR1061" s="989"/>
      <c r="WGS1061" s="989"/>
      <c r="WGT1061" s="989"/>
      <c r="WGU1061" s="989"/>
      <c r="WGV1061" s="989"/>
      <c r="WGW1061" s="989"/>
      <c r="WGX1061" s="989"/>
      <c r="WGY1061" s="989"/>
      <c r="WGZ1061" s="989"/>
      <c r="WHA1061" s="989"/>
      <c r="WHB1061" s="989"/>
      <c r="WHC1061" s="989"/>
      <c r="WHD1061" s="989"/>
      <c r="WHE1061" s="989"/>
      <c r="WHF1061" s="989"/>
      <c r="WHG1061" s="989"/>
      <c r="WHH1061" s="989"/>
      <c r="WHI1061" s="989"/>
      <c r="WHJ1061" s="989"/>
      <c r="WHK1061" s="989"/>
      <c r="WHL1061" s="989"/>
      <c r="WHM1061" s="989"/>
      <c r="WHN1061" s="989"/>
      <c r="WHO1061" s="989"/>
      <c r="WHP1061" s="989"/>
      <c r="WHQ1061" s="989"/>
      <c r="WHR1061" s="989"/>
      <c r="WHS1061" s="989"/>
      <c r="WHT1061" s="989"/>
      <c r="WHU1061" s="989"/>
      <c r="WHV1061" s="989"/>
      <c r="WHW1061" s="989"/>
      <c r="WHX1061" s="989"/>
      <c r="WHY1061" s="989"/>
      <c r="WHZ1061" s="989"/>
      <c r="WIA1061" s="989"/>
      <c r="WIB1061" s="989"/>
      <c r="WIC1061" s="989"/>
      <c r="WID1061" s="989"/>
      <c r="WIE1061" s="989"/>
      <c r="WIF1061" s="989"/>
      <c r="WIG1061" s="989"/>
      <c r="WIH1061" s="989"/>
      <c r="WII1061" s="989"/>
      <c r="WIJ1061" s="989"/>
      <c r="WIK1061" s="989"/>
      <c r="WIL1061" s="989"/>
      <c r="WIM1061" s="989"/>
      <c r="WIN1061" s="989"/>
      <c r="WIO1061" s="989"/>
      <c r="WIP1061" s="989"/>
      <c r="WIQ1061" s="989"/>
      <c r="WIR1061" s="989"/>
      <c r="WIS1061" s="989"/>
      <c r="WIT1061" s="989"/>
      <c r="WIU1061" s="989"/>
      <c r="WIV1061" s="989"/>
      <c r="WIW1061" s="989"/>
      <c r="WIX1061" s="989"/>
      <c r="WIY1061" s="989"/>
      <c r="WIZ1061" s="989"/>
      <c r="WJA1061" s="989"/>
      <c r="WJB1061" s="989"/>
      <c r="WJC1061" s="989"/>
      <c r="WJD1061" s="989"/>
      <c r="WJE1061" s="989"/>
      <c r="WJF1061" s="989"/>
      <c r="WJG1061" s="989"/>
      <c r="WJH1061" s="989"/>
      <c r="WJI1061" s="989"/>
      <c r="WJJ1061" s="989"/>
      <c r="WJK1061" s="989"/>
      <c r="WJL1061" s="989"/>
      <c r="WJM1061" s="989"/>
      <c r="WJN1061" s="989"/>
      <c r="WJO1061" s="989"/>
      <c r="WJP1061" s="989"/>
      <c r="WJQ1061" s="989"/>
      <c r="WJR1061" s="989"/>
      <c r="WJS1061" s="989"/>
      <c r="WJT1061" s="989"/>
      <c r="WJU1061" s="989"/>
      <c r="WJV1061" s="989"/>
      <c r="WJW1061" s="989"/>
      <c r="WJX1061" s="989"/>
      <c r="WJY1061" s="989"/>
      <c r="WJZ1061" s="989"/>
      <c r="WKA1061" s="989"/>
      <c r="WKB1061" s="989"/>
      <c r="WKC1061" s="989"/>
      <c r="WKD1061" s="989"/>
      <c r="WKE1061" s="989"/>
      <c r="WKF1061" s="989"/>
      <c r="WKG1061" s="989"/>
      <c r="WKH1061" s="989"/>
      <c r="WKI1061" s="989"/>
      <c r="WKJ1061" s="989"/>
      <c r="WKK1061" s="989"/>
      <c r="WKL1061" s="989"/>
      <c r="WKM1061" s="989"/>
      <c r="WKN1061" s="989"/>
      <c r="WKO1061" s="989"/>
      <c r="WKP1061" s="989"/>
      <c r="WKQ1061" s="989"/>
      <c r="WKR1061" s="989"/>
      <c r="WKS1061" s="989"/>
      <c r="WKT1061" s="989"/>
      <c r="WKU1061" s="989"/>
      <c r="WKV1061" s="989"/>
      <c r="WKW1061" s="989"/>
      <c r="WKX1061" s="989"/>
      <c r="WKY1061" s="989"/>
      <c r="WKZ1061" s="989"/>
      <c r="WLA1061" s="989"/>
      <c r="WLB1061" s="989"/>
      <c r="WLC1061" s="989"/>
      <c r="WLD1061" s="989"/>
      <c r="WLE1061" s="989"/>
      <c r="WLF1061" s="989"/>
      <c r="WLG1061" s="989"/>
      <c r="WLH1061" s="989"/>
      <c r="WLI1061" s="989"/>
      <c r="WLJ1061" s="989"/>
      <c r="WLK1061" s="989"/>
      <c r="WLL1061" s="989"/>
      <c r="WLM1061" s="989"/>
      <c r="WLN1061" s="989"/>
      <c r="WLO1061" s="989"/>
      <c r="WLP1061" s="989"/>
      <c r="WLQ1061" s="989"/>
      <c r="WLR1061" s="989"/>
      <c r="WLS1061" s="989"/>
      <c r="WLT1061" s="989"/>
      <c r="WLU1061" s="989"/>
      <c r="WLV1061" s="989"/>
      <c r="WLW1061" s="989"/>
      <c r="WLX1061" s="989"/>
      <c r="WLY1061" s="989"/>
      <c r="WLZ1061" s="989"/>
      <c r="WMA1061" s="989"/>
      <c r="WMB1061" s="989"/>
      <c r="WMC1061" s="989"/>
      <c r="WMD1061" s="989"/>
      <c r="WME1061" s="989"/>
      <c r="WMF1061" s="989"/>
      <c r="WMG1061" s="989"/>
      <c r="WMH1061" s="989"/>
      <c r="WMI1061" s="989"/>
      <c r="WMJ1061" s="989"/>
      <c r="WMK1061" s="989"/>
      <c r="WML1061" s="989"/>
      <c r="WMM1061" s="989"/>
      <c r="WMN1061" s="989"/>
      <c r="WMO1061" s="989"/>
      <c r="WMP1061" s="989"/>
      <c r="WMQ1061" s="989"/>
      <c r="WMR1061" s="989"/>
      <c r="WMS1061" s="989"/>
      <c r="WMT1061" s="989"/>
      <c r="WMU1061" s="989"/>
      <c r="WMV1061" s="989"/>
      <c r="WMW1061" s="989"/>
      <c r="WMX1061" s="989"/>
      <c r="WMY1061" s="989"/>
      <c r="WMZ1061" s="989"/>
      <c r="WNA1061" s="989"/>
      <c r="WNB1061" s="989"/>
      <c r="WNC1061" s="989"/>
      <c r="WND1061" s="989"/>
      <c r="WNE1061" s="989"/>
      <c r="WNF1061" s="989"/>
      <c r="WNG1061" s="989"/>
      <c r="WNH1061" s="989"/>
      <c r="WNI1061" s="989"/>
      <c r="WNJ1061" s="989"/>
      <c r="WNK1061" s="989"/>
      <c r="WNL1061" s="989"/>
      <c r="WNM1061" s="989"/>
      <c r="WNN1061" s="989"/>
      <c r="WNO1061" s="989"/>
      <c r="WNP1061" s="989"/>
      <c r="WNQ1061" s="989"/>
      <c r="WNR1061" s="989"/>
      <c r="WNS1061" s="989"/>
      <c r="WNT1061" s="989"/>
      <c r="WNU1061" s="989"/>
      <c r="WNV1061" s="989"/>
      <c r="WNW1061" s="989"/>
      <c r="WNX1061" s="989"/>
      <c r="WNY1061" s="989"/>
      <c r="WNZ1061" s="989"/>
      <c r="WOA1061" s="989"/>
      <c r="WOB1061" s="989"/>
      <c r="WOC1061" s="989"/>
      <c r="WOD1061" s="989"/>
      <c r="WOE1061" s="989"/>
      <c r="WOF1061" s="989"/>
      <c r="WOG1061" s="989"/>
      <c r="WOH1061" s="989"/>
      <c r="WOI1061" s="989"/>
      <c r="WOJ1061" s="989"/>
      <c r="WOK1061" s="989"/>
      <c r="WOL1061" s="989"/>
      <c r="WOM1061" s="989"/>
      <c r="WON1061" s="989"/>
      <c r="WOO1061" s="989"/>
      <c r="WOP1061" s="989"/>
      <c r="WOQ1061" s="989"/>
      <c r="WOR1061" s="989"/>
      <c r="WOS1061" s="989"/>
      <c r="WOT1061" s="989"/>
      <c r="WOU1061" s="989"/>
      <c r="WOV1061" s="989"/>
      <c r="WOW1061" s="989"/>
      <c r="WOX1061" s="989"/>
      <c r="WOY1061" s="989"/>
      <c r="WOZ1061" s="989"/>
      <c r="WPA1061" s="989"/>
      <c r="WPB1061" s="989"/>
      <c r="WPC1061" s="989"/>
      <c r="WPD1061" s="989"/>
      <c r="WPE1061" s="989"/>
      <c r="WPF1061" s="989"/>
      <c r="WPG1061" s="989"/>
      <c r="WPH1061" s="989"/>
      <c r="WPI1061" s="989"/>
      <c r="WPJ1061" s="989"/>
      <c r="WPK1061" s="989"/>
      <c r="WPL1061" s="989"/>
      <c r="WPM1061" s="989"/>
      <c r="WPN1061" s="989"/>
      <c r="WPO1061" s="989"/>
      <c r="WPP1061" s="989"/>
      <c r="WPQ1061" s="989"/>
      <c r="WPR1061" s="989"/>
      <c r="WPS1061" s="989"/>
      <c r="WPT1061" s="989"/>
      <c r="WPU1061" s="989"/>
      <c r="WPV1061" s="989"/>
      <c r="WPW1061" s="989"/>
      <c r="WPX1061" s="989"/>
      <c r="WPY1061" s="989"/>
      <c r="WPZ1061" s="989"/>
      <c r="WQA1061" s="989"/>
      <c r="WQB1061" s="989"/>
      <c r="WQC1061" s="989"/>
      <c r="WQD1061" s="989"/>
      <c r="WQE1061" s="989"/>
      <c r="WQF1061" s="989"/>
      <c r="WQG1061" s="989"/>
      <c r="WQH1061" s="989"/>
      <c r="WQI1061" s="989"/>
      <c r="WQJ1061" s="989"/>
      <c r="WQK1061" s="989"/>
      <c r="WQL1061" s="989"/>
      <c r="WQM1061" s="989"/>
      <c r="WQN1061" s="989"/>
      <c r="WQO1061" s="989"/>
      <c r="WQP1061" s="989"/>
      <c r="WQQ1061" s="989"/>
      <c r="WQR1061" s="989"/>
      <c r="WQS1061" s="989"/>
      <c r="WQT1061" s="989"/>
      <c r="WQU1061" s="989"/>
      <c r="WQV1061" s="989"/>
      <c r="WQW1061" s="989"/>
      <c r="WQX1061" s="989"/>
      <c r="WQY1061" s="989"/>
      <c r="WQZ1061" s="989"/>
      <c r="WRA1061" s="989"/>
      <c r="WRB1061" s="989"/>
      <c r="WRC1061" s="989"/>
      <c r="WRD1061" s="989"/>
      <c r="WRE1061" s="989"/>
      <c r="WRF1061" s="989"/>
      <c r="WRG1061" s="989"/>
      <c r="WRH1061" s="989"/>
      <c r="WRI1061" s="989"/>
      <c r="WRJ1061" s="989"/>
      <c r="WRK1061" s="989"/>
      <c r="WRL1061" s="989"/>
      <c r="WRM1061" s="989"/>
      <c r="WRN1061" s="989"/>
      <c r="WRO1061" s="989"/>
      <c r="WRP1061" s="989"/>
      <c r="WRQ1061" s="989"/>
      <c r="WRR1061" s="989"/>
      <c r="WRS1061" s="989"/>
      <c r="WRT1061" s="989"/>
      <c r="WRU1061" s="989"/>
      <c r="WRV1061" s="989"/>
      <c r="WRW1061" s="989"/>
      <c r="WRX1061" s="989"/>
      <c r="WRY1061" s="989"/>
      <c r="WRZ1061" s="989"/>
      <c r="WSA1061" s="989"/>
      <c r="WSB1061" s="989"/>
      <c r="WSC1061" s="989"/>
      <c r="WSD1061" s="989"/>
      <c r="WSE1061" s="989"/>
      <c r="WSF1061" s="989"/>
      <c r="WSG1061" s="989"/>
      <c r="WSH1061" s="989"/>
      <c r="WSI1061" s="989"/>
      <c r="WSJ1061" s="989"/>
      <c r="WSK1061" s="989"/>
      <c r="WSL1061" s="989"/>
      <c r="WSM1061" s="989"/>
      <c r="WSN1061" s="989"/>
      <c r="WSO1061" s="989"/>
      <c r="WSP1061" s="989"/>
      <c r="WSQ1061" s="989"/>
      <c r="WSR1061" s="989"/>
      <c r="WSS1061" s="989"/>
      <c r="WST1061" s="989"/>
      <c r="WSU1061" s="989"/>
      <c r="WSV1061" s="989"/>
      <c r="WSW1061" s="989"/>
      <c r="WSX1061" s="989"/>
      <c r="WSY1061" s="989"/>
      <c r="WSZ1061" s="989"/>
      <c r="WTA1061" s="989"/>
      <c r="WTB1061" s="989"/>
      <c r="WTC1061" s="989"/>
      <c r="WTD1061" s="989"/>
      <c r="WTE1061" s="989"/>
      <c r="WTF1061" s="989"/>
      <c r="WTG1061" s="989"/>
      <c r="WTH1061" s="989"/>
      <c r="WTI1061" s="989"/>
      <c r="WTJ1061" s="989"/>
      <c r="WTK1061" s="989"/>
      <c r="WTL1061" s="989"/>
      <c r="WTM1061" s="989"/>
      <c r="WTN1061" s="989"/>
      <c r="WTO1061" s="989"/>
      <c r="WTP1061" s="989"/>
      <c r="WTQ1061" s="989"/>
      <c r="WTR1061" s="989"/>
      <c r="WTS1061" s="989"/>
      <c r="WTT1061" s="989"/>
      <c r="WTU1061" s="989"/>
      <c r="WTV1061" s="989"/>
      <c r="WTW1061" s="989"/>
      <c r="WTX1061" s="989"/>
      <c r="WTY1061" s="989"/>
      <c r="WTZ1061" s="989"/>
      <c r="WUA1061" s="989"/>
      <c r="WUB1061" s="989"/>
      <c r="WUC1061" s="989"/>
      <c r="WUD1061" s="989"/>
      <c r="WUE1061" s="989"/>
      <c r="WUF1061" s="989"/>
      <c r="WUG1061" s="989"/>
      <c r="WUH1061" s="989"/>
      <c r="WUI1061" s="989"/>
      <c r="WUJ1061" s="989"/>
      <c r="WUK1061" s="989"/>
      <c r="WUL1061" s="989"/>
      <c r="WUM1061" s="989"/>
      <c r="WUN1061" s="989"/>
      <c r="WUO1061" s="989"/>
      <c r="WUP1061" s="989"/>
      <c r="WUQ1061" s="989"/>
      <c r="WUR1061" s="989"/>
      <c r="WUS1061" s="989"/>
      <c r="WUT1061" s="989"/>
      <c r="WUU1061" s="989"/>
      <c r="WUV1061" s="989"/>
      <c r="WUW1061" s="989"/>
      <c r="WUX1061" s="989"/>
      <c r="WUY1061" s="989"/>
      <c r="WUZ1061" s="989"/>
      <c r="WVA1061" s="989"/>
      <c r="WVB1061" s="989"/>
      <c r="WVC1061" s="989"/>
      <c r="WVD1061" s="989"/>
      <c r="WVE1061" s="989"/>
      <c r="WVF1061" s="989"/>
      <c r="WVG1061" s="989"/>
      <c r="WVH1061" s="989"/>
      <c r="WVI1061" s="989"/>
      <c r="WVJ1061" s="989"/>
      <c r="WVK1061" s="989"/>
      <c r="WVL1061" s="989"/>
      <c r="WVM1061" s="989"/>
      <c r="WVN1061" s="989"/>
      <c r="WVO1061" s="989"/>
      <c r="WVP1061" s="989"/>
      <c r="WVQ1061" s="989"/>
      <c r="WVR1061" s="989"/>
      <c r="WVS1061" s="989"/>
      <c r="WVT1061" s="989"/>
      <c r="WVU1061" s="989"/>
      <c r="WVV1061" s="989"/>
      <c r="WVW1061" s="989"/>
      <c r="WVX1061" s="989"/>
      <c r="WVY1061" s="989"/>
      <c r="WVZ1061" s="989"/>
      <c r="WWA1061" s="989"/>
      <c r="WWB1061" s="989"/>
      <c r="WWC1061" s="989"/>
      <c r="WWD1061" s="989"/>
      <c r="WWE1061" s="989"/>
      <c r="WWF1061" s="989"/>
      <c r="WWG1061" s="989"/>
      <c r="WWH1061" s="989"/>
      <c r="WWI1061" s="989"/>
      <c r="WWJ1061" s="989"/>
      <c r="WWK1061" s="989"/>
      <c r="WWL1061" s="989"/>
      <c r="WWM1061" s="989"/>
      <c r="WWN1061" s="989"/>
      <c r="WWO1061" s="989"/>
      <c r="WWP1061" s="989"/>
      <c r="WWQ1061" s="989"/>
      <c r="WWR1061" s="989"/>
      <c r="WWS1061" s="989"/>
      <c r="WWT1061" s="989"/>
      <c r="WWU1061" s="989"/>
      <c r="WWV1061" s="989"/>
      <c r="WWW1061" s="989"/>
      <c r="WWX1061" s="989"/>
      <c r="WWY1061" s="989"/>
      <c r="WWZ1061" s="989"/>
      <c r="WXA1061" s="989"/>
      <c r="WXB1061" s="989"/>
      <c r="WXC1061" s="989"/>
      <c r="WXD1061" s="989"/>
      <c r="WXE1061" s="989"/>
      <c r="WXF1061" s="989"/>
      <c r="WXG1061" s="989"/>
      <c r="WXH1061" s="989"/>
      <c r="WXI1061" s="989"/>
      <c r="WXJ1061" s="989"/>
      <c r="WXK1061" s="989"/>
      <c r="WXL1061" s="989"/>
      <c r="WXM1061" s="989"/>
      <c r="WXN1061" s="989"/>
      <c r="WXO1061" s="989"/>
      <c r="WXP1061" s="989"/>
      <c r="WXQ1061" s="989"/>
      <c r="WXR1061" s="989"/>
      <c r="WXS1061" s="989"/>
      <c r="WXT1061" s="989"/>
      <c r="WXU1061" s="989"/>
      <c r="WXV1061" s="989"/>
      <c r="WXW1061" s="989"/>
      <c r="WXX1061" s="989"/>
      <c r="WXY1061" s="989"/>
      <c r="WXZ1061" s="989"/>
      <c r="WYA1061" s="989"/>
      <c r="WYB1061" s="989"/>
      <c r="WYC1061" s="989"/>
      <c r="WYD1061" s="989"/>
      <c r="WYE1061" s="989"/>
      <c r="WYF1061" s="989"/>
      <c r="WYG1061" s="989"/>
      <c r="WYH1061" s="989"/>
      <c r="WYI1061" s="989"/>
      <c r="WYJ1061" s="989"/>
      <c r="WYK1061" s="989"/>
      <c r="WYL1061" s="989"/>
      <c r="WYM1061" s="989"/>
      <c r="WYN1061" s="989"/>
      <c r="WYO1061" s="989"/>
      <c r="WYP1061" s="989"/>
      <c r="WYQ1061" s="989"/>
      <c r="WYR1061" s="989"/>
      <c r="WYS1061" s="989"/>
      <c r="WYT1061" s="989"/>
      <c r="WYU1061" s="989"/>
      <c r="WYV1061" s="989"/>
      <c r="WYW1061" s="989"/>
      <c r="WYX1061" s="989"/>
      <c r="WYY1061" s="989"/>
      <c r="WYZ1061" s="989"/>
      <c r="WZA1061" s="989"/>
      <c r="WZB1061" s="989"/>
      <c r="WZC1061" s="989"/>
      <c r="WZD1061" s="989"/>
      <c r="WZE1061" s="989"/>
      <c r="WZF1061" s="989"/>
      <c r="WZG1061" s="989"/>
      <c r="WZH1061" s="989"/>
      <c r="WZI1061" s="989"/>
      <c r="WZJ1061" s="989"/>
      <c r="WZK1061" s="989"/>
      <c r="WZL1061" s="989"/>
      <c r="WZM1061" s="989"/>
      <c r="WZN1061" s="989"/>
      <c r="WZO1061" s="989"/>
      <c r="WZP1061" s="989"/>
      <c r="WZQ1061" s="989"/>
      <c r="WZR1061" s="989"/>
      <c r="WZS1061" s="989"/>
      <c r="WZT1061" s="989"/>
      <c r="WZU1061" s="989"/>
      <c r="WZV1061" s="989"/>
      <c r="WZW1061" s="989"/>
      <c r="WZX1061" s="989"/>
      <c r="WZY1061" s="989"/>
      <c r="WZZ1061" s="989"/>
      <c r="XAA1061" s="989"/>
      <c r="XAB1061" s="989"/>
      <c r="XAC1061" s="989"/>
      <c r="XAD1061" s="989"/>
      <c r="XAE1061" s="989"/>
      <c r="XAF1061" s="989"/>
      <c r="XAG1061" s="989"/>
      <c r="XAH1061" s="989"/>
      <c r="XAI1061" s="989"/>
      <c r="XAJ1061" s="989"/>
      <c r="XAK1061" s="989"/>
      <c r="XAL1061" s="989"/>
      <c r="XAM1061" s="989"/>
      <c r="XAN1061" s="989"/>
      <c r="XAO1061" s="989"/>
      <c r="XAP1061" s="989"/>
      <c r="XAQ1061" s="989"/>
      <c r="XAR1061" s="989"/>
      <c r="XAS1061" s="989"/>
      <c r="XAT1061" s="989"/>
      <c r="XAU1061" s="989"/>
      <c r="XAV1061" s="989"/>
      <c r="XAW1061" s="989"/>
      <c r="XAX1061" s="989"/>
      <c r="XAY1061" s="989"/>
      <c r="XAZ1061" s="989"/>
      <c r="XBA1061" s="989"/>
      <c r="XBB1061" s="989"/>
      <c r="XBC1061" s="989"/>
      <c r="XBD1061" s="989"/>
      <c r="XBE1061" s="989"/>
      <c r="XBF1061" s="989"/>
      <c r="XBG1061" s="989"/>
      <c r="XBH1061" s="989"/>
      <c r="XBI1061" s="989"/>
      <c r="XBJ1061" s="989"/>
      <c r="XBK1061" s="989"/>
      <c r="XBL1061" s="989"/>
      <c r="XBM1061" s="989"/>
      <c r="XBN1061" s="989"/>
      <c r="XBO1061" s="989"/>
      <c r="XBP1061" s="989"/>
      <c r="XBQ1061" s="989"/>
      <c r="XBR1061" s="989"/>
      <c r="XBS1061" s="989"/>
      <c r="XBT1061" s="989"/>
      <c r="XBU1061" s="989"/>
      <c r="XBV1061" s="989"/>
      <c r="XBW1061" s="989"/>
      <c r="XBX1061" s="989"/>
      <c r="XBY1061" s="989"/>
      <c r="XBZ1061" s="989"/>
      <c r="XCA1061" s="989"/>
      <c r="XCB1061" s="989"/>
      <c r="XCC1061" s="989"/>
      <c r="XCD1061" s="989"/>
      <c r="XCE1061" s="989"/>
      <c r="XCF1061" s="989"/>
      <c r="XCG1061" s="989"/>
      <c r="XCH1061" s="989"/>
      <c r="XCI1061" s="989"/>
      <c r="XCJ1061" s="989"/>
      <c r="XCK1061" s="989"/>
      <c r="XCL1061" s="989"/>
      <c r="XCM1061" s="989"/>
      <c r="XCN1061" s="989"/>
      <c r="XCO1061" s="989"/>
      <c r="XCP1061" s="989"/>
      <c r="XCQ1061" s="989"/>
      <c r="XCR1061" s="989"/>
      <c r="XCS1061" s="989"/>
      <c r="XCT1061" s="989"/>
      <c r="XCU1061" s="989"/>
      <c r="XCV1061" s="989"/>
      <c r="XCW1061" s="989"/>
      <c r="XCX1061" s="989"/>
      <c r="XCY1061" s="989"/>
      <c r="XCZ1061" s="989"/>
      <c r="XDA1061" s="989"/>
      <c r="XDB1061" s="989"/>
      <c r="XDC1061" s="989"/>
      <c r="XDD1061" s="989"/>
      <c r="XDE1061" s="989"/>
      <c r="XDF1061" s="989"/>
      <c r="XDG1061" s="989"/>
      <c r="XDH1061" s="989"/>
      <c r="XDI1061" s="989"/>
      <c r="XDJ1061" s="989"/>
      <c r="XDK1061" s="989"/>
      <c r="XDL1061" s="989"/>
      <c r="XDM1061" s="989"/>
      <c r="XDN1061" s="989"/>
      <c r="XDO1061" s="989"/>
      <c r="XDP1061" s="989"/>
      <c r="XDQ1061" s="989"/>
      <c r="XDR1061" s="989"/>
      <c r="XDS1061" s="989"/>
      <c r="XDT1061" s="989"/>
      <c r="XDU1061" s="989"/>
      <c r="XDV1061" s="989"/>
      <c r="XDW1061" s="989"/>
      <c r="XDX1061" s="989"/>
      <c r="XDY1061" s="989"/>
      <c r="XDZ1061" s="989"/>
      <c r="XEA1061" s="989"/>
      <c r="XEB1061" s="989"/>
      <c r="XEC1061" s="989"/>
      <c r="XED1061" s="989"/>
      <c r="XEE1061" s="989"/>
      <c r="XEF1061" s="989"/>
      <c r="XEG1061" s="989"/>
      <c r="XEH1061" s="989"/>
      <c r="XEI1061" s="989"/>
      <c r="XEJ1061" s="989"/>
      <c r="XEK1061" s="989"/>
      <c r="XEL1061" s="42"/>
      <c r="XEM1061" s="42"/>
      <c r="XEN1061" s="42"/>
      <c r="XEO1061" s="42"/>
      <c r="XEP1061" s="42"/>
      <c r="XEQ1061" s="42"/>
      <c r="XER1061" s="42"/>
      <c r="XES1061" s="2431"/>
      <c r="XET1061" s="2431"/>
      <c r="XEU1061" s="2431"/>
      <c r="XEV1061" s="2431"/>
      <c r="XEW1061" s="2431"/>
      <c r="XEX1061" s="2431"/>
      <c r="XEY1061" s="2431"/>
      <c r="XEZ1061" s="2431"/>
      <c r="XFA1061" s="2431"/>
      <c r="XFB1061" s="2431"/>
      <c r="XFC1061" s="2431"/>
    </row>
    <row r="1062" ht="25" customHeight="1" spans="1:1024 1025:16384">
      <c r="A1062" s="989"/>
      <c r="B1062" s="990"/>
      <c r="D1062" s="2445">
        <v>4</v>
      </c>
      <c r="E1062" s="2451" t="s">
        <v>3322</v>
      </c>
      <c r="F1062" s="2440"/>
      <c r="G1062" s="2441"/>
      <c r="H1062" s="2441"/>
      <c r="I1062" s="1658"/>
      <c r="J1062" s="1658"/>
      <c r="K1062" s="2447" t="s">
        <v>3323</v>
      </c>
      <c r="L1062" s="2447">
        <v>1</v>
      </c>
      <c r="M1062" s="2448">
        <f>2.85</f>
        <v>2.85</v>
      </c>
      <c r="N1062" s="2448">
        <f>0.65*6.71*1.13*1.003</f>
        <v>4.943280485</v>
      </c>
      <c r="O1062" s="2448">
        <f>N1062-M1062</f>
        <v>2.093280485</v>
      </c>
      <c r="P1062" s="2449">
        <f>O1062/M1062</f>
        <v>0.734484380701754</v>
      </c>
      <c r="Q1062" s="2452" t="s">
        <v>3324</v>
      </c>
      <c r="R1062" s="989"/>
      <c r="S1062" s="989"/>
      <c r="T1062" s="42"/>
      <c r="U1062" s="42"/>
      <c r="V1062" s="42"/>
      <c r="W1062" s="2163"/>
      <c r="X1062" s="42"/>
      <c r="Y1062" s="989"/>
      <c r="Z1062" s="42"/>
      <c r="AA1062" s="42"/>
      <c r="AB1062" s="2163"/>
      <c r="AC1062" s="989"/>
      <c r="AD1062" s="989"/>
      <c r="AE1062" s="989"/>
      <c r="AF1062" s="989"/>
      <c r="AG1062" s="989"/>
      <c r="AH1062" s="989"/>
      <c r="AI1062" s="989"/>
      <c r="AJ1062" s="989"/>
      <c r="AK1062" s="989"/>
      <c r="AL1062" s="989"/>
      <c r="AM1062" s="989"/>
      <c r="AN1062" s="989"/>
      <c r="AO1062" s="989"/>
      <c r="AP1062" s="989"/>
      <c r="AQ1062" s="989"/>
      <c r="AR1062" s="989"/>
      <c r="AS1062" s="989"/>
      <c r="AT1062" s="989"/>
      <c r="AU1062" s="989"/>
      <c r="AV1062" s="989"/>
      <c r="AW1062" s="989"/>
      <c r="AX1062" s="989"/>
      <c r="AY1062" s="989"/>
      <c r="AZ1062" s="989"/>
      <c r="BA1062" s="989"/>
      <c r="BB1062" s="989"/>
      <c r="BC1062" s="989"/>
      <c r="BD1062" s="989"/>
      <c r="BE1062" s="989"/>
      <c r="BF1062" s="989"/>
      <c r="BG1062" s="989"/>
      <c r="BH1062" s="989"/>
      <c r="BI1062" s="989"/>
      <c r="BJ1062" s="989"/>
      <c r="BK1062" s="989"/>
      <c r="BL1062" s="989"/>
      <c r="BM1062" s="989"/>
      <c r="BN1062" s="989"/>
      <c r="BO1062" s="989"/>
      <c r="BP1062" s="989"/>
      <c r="BQ1062" s="989"/>
      <c r="BR1062" s="989"/>
      <c r="BS1062" s="989"/>
      <c r="BT1062" s="989"/>
      <c r="BU1062" s="989"/>
      <c r="BV1062" s="989"/>
      <c r="BW1062" s="989"/>
      <c r="BX1062" s="989"/>
      <c r="BY1062" s="989"/>
      <c r="BZ1062" s="989"/>
      <c r="CA1062" s="989"/>
      <c r="CB1062" s="989"/>
      <c r="CC1062" s="989"/>
      <c r="CD1062" s="989"/>
      <c r="CE1062" s="989"/>
      <c r="CF1062" s="989"/>
      <c r="CG1062" s="989"/>
      <c r="CH1062" s="989"/>
      <c r="CI1062" s="989"/>
      <c r="CJ1062" s="989"/>
      <c r="CK1062" s="989"/>
      <c r="CL1062" s="989"/>
      <c r="CM1062" s="989"/>
      <c r="CN1062" s="989"/>
      <c r="CO1062" s="989"/>
      <c r="CP1062" s="989"/>
      <c r="CQ1062" s="989"/>
      <c r="CR1062" s="989"/>
      <c r="CS1062" s="989"/>
      <c r="CT1062" s="989"/>
      <c r="CU1062" s="989"/>
      <c r="CV1062" s="989"/>
      <c r="CW1062" s="989"/>
      <c r="CX1062" s="989"/>
      <c r="CY1062" s="989"/>
      <c r="CZ1062" s="989"/>
      <c r="DA1062" s="989"/>
      <c r="DB1062" s="989"/>
      <c r="DC1062" s="989"/>
      <c r="DD1062" s="989"/>
      <c r="DE1062" s="989"/>
      <c r="DF1062" s="989"/>
      <c r="DG1062" s="989"/>
      <c r="DH1062" s="989"/>
      <c r="DI1062" s="989"/>
      <c r="DJ1062" s="989"/>
      <c r="DK1062" s="989"/>
      <c r="DL1062" s="989"/>
      <c r="DM1062" s="989"/>
      <c r="DN1062" s="989"/>
      <c r="DO1062" s="989"/>
      <c r="DP1062" s="989"/>
      <c r="DQ1062" s="989"/>
      <c r="DR1062" s="989"/>
      <c r="DS1062" s="989"/>
      <c r="DT1062" s="989"/>
      <c r="DU1062" s="989"/>
      <c r="DV1062" s="989"/>
      <c r="DW1062" s="989"/>
      <c r="DX1062" s="989"/>
      <c r="DY1062" s="989"/>
      <c r="DZ1062" s="989"/>
      <c r="EA1062" s="989"/>
      <c r="EB1062" s="989"/>
      <c r="EC1062" s="989"/>
      <c r="ED1062" s="989"/>
      <c r="EE1062" s="989"/>
      <c r="EF1062" s="989"/>
      <c r="EG1062" s="989"/>
      <c r="EH1062" s="989"/>
      <c r="EI1062" s="989"/>
      <c r="EJ1062" s="989"/>
      <c r="EK1062" s="989"/>
      <c r="EL1062" s="989"/>
      <c r="EM1062" s="989"/>
      <c r="EN1062" s="989"/>
      <c r="EO1062" s="989"/>
      <c r="EP1062" s="989"/>
      <c r="EQ1062" s="989"/>
      <c r="ER1062" s="989"/>
      <c r="ES1062" s="989"/>
      <c r="ET1062" s="989"/>
      <c r="EU1062" s="989"/>
      <c r="EV1062" s="989"/>
      <c r="EW1062" s="989"/>
      <c r="EX1062" s="989"/>
      <c r="EY1062" s="989"/>
      <c r="EZ1062" s="989"/>
      <c r="FA1062" s="989"/>
      <c r="FB1062" s="989"/>
      <c r="FC1062" s="989"/>
      <c r="FD1062" s="989"/>
      <c r="FE1062" s="989"/>
      <c r="FF1062" s="989"/>
      <c r="FG1062" s="989"/>
      <c r="FH1062" s="989"/>
      <c r="FI1062" s="989"/>
      <c r="FJ1062" s="989"/>
      <c r="FK1062" s="989"/>
      <c r="FL1062" s="989"/>
      <c r="FM1062" s="989"/>
      <c r="FN1062" s="989"/>
      <c r="FO1062" s="989"/>
      <c r="FP1062" s="989"/>
      <c r="FQ1062" s="989"/>
      <c r="FR1062" s="989"/>
      <c r="FS1062" s="989"/>
      <c r="FT1062" s="989"/>
      <c r="FU1062" s="989"/>
      <c r="FV1062" s="989"/>
      <c r="FW1062" s="989"/>
      <c r="FX1062" s="989"/>
      <c r="FY1062" s="989"/>
      <c r="FZ1062" s="989"/>
      <c r="GA1062" s="989"/>
      <c r="GB1062" s="989"/>
      <c r="GC1062" s="989"/>
      <c r="GD1062" s="989"/>
      <c r="GE1062" s="989"/>
      <c r="GF1062" s="989"/>
      <c r="GG1062" s="989"/>
      <c r="GH1062" s="989"/>
      <c r="GI1062" s="989"/>
      <c r="GJ1062" s="989"/>
      <c r="GK1062" s="989"/>
      <c r="GL1062" s="989"/>
      <c r="GM1062" s="989"/>
      <c r="GN1062" s="989"/>
      <c r="GO1062" s="989"/>
      <c r="GP1062" s="989"/>
      <c r="GQ1062" s="989"/>
      <c r="GR1062" s="989"/>
      <c r="GS1062" s="989"/>
      <c r="GT1062" s="989"/>
      <c r="GU1062" s="989"/>
      <c r="GV1062" s="989"/>
      <c r="GW1062" s="989"/>
      <c r="GX1062" s="989"/>
      <c r="GY1062" s="989"/>
      <c r="GZ1062" s="989"/>
      <c r="HA1062" s="989"/>
      <c r="HB1062" s="989"/>
      <c r="HC1062" s="989"/>
      <c r="HD1062" s="989"/>
      <c r="HE1062" s="989"/>
      <c r="HF1062" s="989"/>
      <c r="HG1062" s="989"/>
      <c r="HH1062" s="989"/>
      <c r="HI1062" s="989"/>
      <c r="HJ1062" s="989"/>
      <c r="HK1062" s="989"/>
      <c r="HL1062" s="989"/>
      <c r="HM1062" s="989"/>
      <c r="HN1062" s="989"/>
      <c r="HO1062" s="989"/>
      <c r="HP1062" s="989"/>
      <c r="HQ1062" s="989"/>
      <c r="HR1062" s="989"/>
      <c r="HS1062" s="989"/>
      <c r="HT1062" s="989"/>
      <c r="HU1062" s="989"/>
      <c r="HV1062" s="989"/>
      <c r="HW1062" s="989"/>
      <c r="HX1062" s="989"/>
      <c r="HY1062" s="989"/>
      <c r="HZ1062" s="989"/>
      <c r="IA1062" s="989"/>
      <c r="IB1062" s="989"/>
      <c r="IC1062" s="989"/>
      <c r="ID1062" s="989"/>
      <c r="IE1062" s="989"/>
      <c r="IF1062" s="989"/>
      <c r="IG1062" s="989"/>
      <c r="IH1062" s="989"/>
      <c r="II1062" s="989"/>
      <c r="IJ1062" s="989"/>
      <c r="IK1062" s="989"/>
      <c r="IL1062" s="989"/>
      <c r="IM1062" s="989"/>
      <c r="IN1062" s="989"/>
      <c r="IO1062" s="989"/>
      <c r="IP1062" s="989"/>
      <c r="IQ1062" s="989"/>
      <c r="IR1062" s="989"/>
      <c r="IS1062" s="989"/>
      <c r="IT1062" s="989"/>
      <c r="IU1062" s="989"/>
      <c r="IV1062" s="989"/>
      <c r="IW1062" s="989"/>
      <c r="IX1062" s="989"/>
      <c r="IY1062" s="989"/>
      <c r="IZ1062" s="989"/>
      <c r="JA1062" s="989"/>
      <c r="JB1062" s="989"/>
      <c r="JC1062" s="989"/>
      <c r="JD1062" s="989"/>
      <c r="JE1062" s="989"/>
      <c r="JF1062" s="989"/>
      <c r="JG1062" s="989"/>
      <c r="JH1062" s="989"/>
      <c r="JI1062" s="989"/>
      <c r="JJ1062" s="989"/>
      <c r="JK1062" s="989"/>
      <c r="JL1062" s="989"/>
      <c r="JM1062" s="989"/>
      <c r="JN1062" s="989"/>
      <c r="JO1062" s="989"/>
      <c r="JP1062" s="989"/>
      <c r="JQ1062" s="989"/>
      <c r="JR1062" s="989"/>
      <c r="JS1062" s="989"/>
      <c r="JT1062" s="989"/>
      <c r="JU1062" s="989"/>
      <c r="JV1062" s="989"/>
      <c r="JW1062" s="989"/>
      <c r="JX1062" s="989"/>
      <c r="JY1062" s="989"/>
      <c r="JZ1062" s="989"/>
      <c r="KA1062" s="989"/>
      <c r="KB1062" s="989"/>
      <c r="KC1062" s="989"/>
      <c r="KD1062" s="989"/>
      <c r="KE1062" s="989"/>
      <c r="KF1062" s="989"/>
      <c r="KG1062" s="989"/>
      <c r="KH1062" s="989"/>
      <c r="KI1062" s="989"/>
      <c r="KJ1062" s="989"/>
      <c r="KK1062" s="989"/>
      <c r="KL1062" s="989"/>
      <c r="KM1062" s="989"/>
      <c r="KN1062" s="989"/>
      <c r="KO1062" s="989"/>
      <c r="KP1062" s="989"/>
      <c r="KQ1062" s="989"/>
      <c r="KR1062" s="989"/>
      <c r="KS1062" s="989"/>
      <c r="KT1062" s="989"/>
      <c r="KU1062" s="989"/>
      <c r="KV1062" s="989"/>
      <c r="KW1062" s="989"/>
      <c r="KX1062" s="989"/>
      <c r="KY1062" s="989"/>
      <c r="KZ1062" s="989"/>
      <c r="LA1062" s="989"/>
      <c r="LB1062" s="989"/>
      <c r="LC1062" s="989"/>
      <c r="LD1062" s="989"/>
      <c r="LE1062" s="989"/>
      <c r="LF1062" s="989"/>
      <c r="LG1062" s="989"/>
      <c r="LH1062" s="989"/>
      <c r="LI1062" s="989"/>
      <c r="LJ1062" s="989"/>
      <c r="LK1062" s="989"/>
      <c r="LL1062" s="989"/>
      <c r="LM1062" s="989"/>
      <c r="LN1062" s="989"/>
      <c r="LO1062" s="989"/>
      <c r="LP1062" s="989"/>
      <c r="LQ1062" s="989"/>
      <c r="LR1062" s="989"/>
      <c r="LS1062" s="989"/>
      <c r="LT1062" s="989"/>
      <c r="LU1062" s="989"/>
      <c r="LV1062" s="989"/>
      <c r="LW1062" s="989"/>
      <c r="LX1062" s="989"/>
      <c r="LY1062" s="989"/>
      <c r="LZ1062" s="989"/>
      <c r="MA1062" s="989"/>
      <c r="MB1062" s="989"/>
      <c r="MC1062" s="989"/>
      <c r="MD1062" s="989"/>
      <c r="ME1062" s="989"/>
      <c r="MF1062" s="989"/>
      <c r="MG1062" s="989"/>
      <c r="MH1062" s="989"/>
      <c r="MI1062" s="989"/>
      <c r="MJ1062" s="989"/>
      <c r="MK1062" s="989"/>
      <c r="ML1062" s="989"/>
      <c r="MM1062" s="989"/>
      <c r="MN1062" s="989"/>
      <c r="MO1062" s="989"/>
      <c r="MP1062" s="989"/>
      <c r="MQ1062" s="989"/>
      <c r="MR1062" s="989"/>
      <c r="MS1062" s="989"/>
      <c r="MT1062" s="989"/>
      <c r="MU1062" s="989"/>
      <c r="MV1062" s="989"/>
      <c r="MW1062" s="989"/>
      <c r="MX1062" s="989"/>
      <c r="MY1062" s="989"/>
      <c r="MZ1062" s="989"/>
      <c r="NA1062" s="989"/>
      <c r="NB1062" s="989"/>
      <c r="NC1062" s="989"/>
      <c r="ND1062" s="989"/>
      <c r="NE1062" s="989"/>
      <c r="NF1062" s="989"/>
      <c r="NG1062" s="989"/>
      <c r="NH1062" s="989"/>
      <c r="NI1062" s="989"/>
      <c r="NJ1062" s="989"/>
      <c r="NK1062" s="989"/>
      <c r="NL1062" s="989"/>
      <c r="NM1062" s="989"/>
      <c r="NN1062" s="989"/>
      <c r="NO1062" s="989"/>
      <c r="NP1062" s="989"/>
      <c r="NQ1062" s="989"/>
      <c r="NR1062" s="989"/>
      <c r="NS1062" s="989"/>
      <c r="NT1062" s="989"/>
      <c r="NU1062" s="989"/>
      <c r="NV1062" s="989"/>
      <c r="NW1062" s="989"/>
      <c r="NX1062" s="989"/>
      <c r="NY1062" s="989"/>
      <c r="NZ1062" s="989"/>
      <c r="OA1062" s="989"/>
      <c r="OB1062" s="989"/>
      <c r="OC1062" s="989"/>
      <c r="OD1062" s="989"/>
      <c r="OE1062" s="989"/>
      <c r="OF1062" s="989"/>
      <c r="OG1062" s="989"/>
      <c r="OH1062" s="989"/>
      <c r="OI1062" s="989"/>
      <c r="OJ1062" s="989"/>
      <c r="OK1062" s="989"/>
      <c r="OL1062" s="989"/>
      <c r="OM1062" s="989"/>
      <c r="ON1062" s="989"/>
      <c r="OO1062" s="989"/>
      <c r="OP1062" s="989"/>
      <c r="OQ1062" s="989"/>
      <c r="OR1062" s="989"/>
      <c r="OS1062" s="989"/>
      <c r="OT1062" s="989"/>
      <c r="OU1062" s="989"/>
      <c r="OV1062" s="989"/>
      <c r="OW1062" s="989"/>
      <c r="OX1062" s="989"/>
      <c r="OY1062" s="989"/>
      <c r="OZ1062" s="989"/>
      <c r="PA1062" s="989"/>
      <c r="PB1062" s="989"/>
      <c r="PC1062" s="989"/>
      <c r="PD1062" s="989"/>
      <c r="PE1062" s="989"/>
      <c r="PF1062" s="989"/>
      <c r="PG1062" s="989"/>
      <c r="PH1062" s="989"/>
      <c r="PI1062" s="989"/>
      <c r="PJ1062" s="989"/>
      <c r="PK1062" s="989"/>
      <c r="PL1062" s="989"/>
      <c r="PM1062" s="989"/>
      <c r="PN1062" s="989"/>
      <c r="PO1062" s="989"/>
      <c r="PP1062" s="989"/>
      <c r="PQ1062" s="989"/>
      <c r="PR1062" s="989"/>
      <c r="PS1062" s="989"/>
      <c r="PT1062" s="989"/>
      <c r="PU1062" s="989"/>
      <c r="PV1062" s="989"/>
      <c r="PW1062" s="989"/>
      <c r="PX1062" s="989"/>
      <c r="PY1062" s="989"/>
      <c r="PZ1062" s="989"/>
      <c r="QA1062" s="989"/>
      <c r="QB1062" s="989"/>
      <c r="QC1062" s="989"/>
      <c r="QD1062" s="989"/>
      <c r="QE1062" s="989"/>
      <c r="QF1062" s="989"/>
      <c r="QG1062" s="989"/>
      <c r="QH1062" s="989"/>
      <c r="QI1062" s="989"/>
      <c r="QJ1062" s="989"/>
      <c r="QK1062" s="989"/>
      <c r="QL1062" s="989"/>
      <c r="QM1062" s="989"/>
      <c r="QN1062" s="989"/>
      <c r="QO1062" s="989"/>
      <c r="QP1062" s="989"/>
      <c r="QQ1062" s="989"/>
      <c r="QR1062" s="989"/>
      <c r="QS1062" s="989"/>
      <c r="QT1062" s="989"/>
      <c r="QU1062" s="989"/>
      <c r="QV1062" s="989"/>
      <c r="QW1062" s="989"/>
      <c r="QX1062" s="989"/>
      <c r="QY1062" s="989"/>
      <c r="QZ1062" s="989"/>
      <c r="RA1062" s="989"/>
      <c r="RB1062" s="989"/>
      <c r="RC1062" s="989"/>
      <c r="RD1062" s="989"/>
      <c r="RE1062" s="989"/>
      <c r="RF1062" s="989"/>
      <c r="RG1062" s="989"/>
      <c r="RH1062" s="989"/>
      <c r="RI1062" s="989"/>
      <c r="RJ1062" s="989"/>
      <c r="RK1062" s="989"/>
      <c r="RL1062" s="989"/>
      <c r="RM1062" s="989"/>
      <c r="RN1062" s="989"/>
      <c r="RO1062" s="989"/>
      <c r="RP1062" s="989"/>
      <c r="RQ1062" s="989"/>
      <c r="RR1062" s="989"/>
      <c r="RS1062" s="989"/>
      <c r="RT1062" s="989"/>
      <c r="RU1062" s="989"/>
      <c r="RV1062" s="989"/>
      <c r="RW1062" s="989"/>
      <c r="RX1062" s="989"/>
      <c r="RY1062" s="989"/>
      <c r="RZ1062" s="989"/>
      <c r="SA1062" s="989"/>
      <c r="SB1062" s="989"/>
      <c r="SC1062" s="989"/>
      <c r="SD1062" s="989"/>
      <c r="SE1062" s="989"/>
      <c r="SF1062" s="989"/>
      <c r="SG1062" s="989"/>
      <c r="SH1062" s="989"/>
      <c r="SI1062" s="989"/>
      <c r="SJ1062" s="989"/>
      <c r="SK1062" s="989"/>
      <c r="SL1062" s="989"/>
      <c r="SM1062" s="989"/>
      <c r="SN1062" s="989"/>
      <c r="SO1062" s="989"/>
      <c r="SP1062" s="989"/>
      <c r="SQ1062" s="989"/>
      <c r="SR1062" s="989"/>
      <c r="SS1062" s="989"/>
      <c r="ST1062" s="989"/>
      <c r="SU1062" s="989"/>
      <c r="SV1062" s="989"/>
      <c r="SW1062" s="989"/>
      <c r="SX1062" s="989"/>
      <c r="SY1062" s="989"/>
      <c r="SZ1062" s="989"/>
      <c r="TA1062" s="989"/>
      <c r="TB1062" s="989"/>
      <c r="TC1062" s="989"/>
      <c r="TD1062" s="989"/>
      <c r="TE1062" s="989"/>
      <c r="TF1062" s="989"/>
      <c r="TG1062" s="989"/>
      <c r="TH1062" s="989"/>
      <c r="TI1062" s="989"/>
      <c r="TJ1062" s="989"/>
      <c r="TK1062" s="989"/>
      <c r="TL1062" s="989"/>
      <c r="TM1062" s="989"/>
      <c r="TN1062" s="989"/>
      <c r="TO1062" s="989"/>
      <c r="TP1062" s="989"/>
      <c r="TQ1062" s="989"/>
      <c r="TR1062" s="989"/>
      <c r="TS1062" s="989"/>
      <c r="TT1062" s="989"/>
      <c r="TU1062" s="989"/>
      <c r="TV1062" s="989"/>
      <c r="TW1062" s="989"/>
      <c r="TX1062" s="989"/>
      <c r="TY1062" s="989"/>
      <c r="TZ1062" s="989"/>
      <c r="UA1062" s="989"/>
      <c r="UB1062" s="989"/>
      <c r="UC1062" s="989"/>
      <c r="UD1062" s="989"/>
      <c r="UE1062" s="989"/>
      <c r="UF1062" s="989"/>
      <c r="UG1062" s="989"/>
      <c r="UH1062" s="989"/>
      <c r="UI1062" s="989"/>
      <c r="UJ1062" s="989"/>
      <c r="UK1062" s="989"/>
      <c r="UL1062" s="989"/>
      <c r="UM1062" s="989"/>
      <c r="UN1062" s="989"/>
      <c r="UO1062" s="989"/>
      <c r="UP1062" s="989"/>
      <c r="UQ1062" s="989"/>
      <c r="UR1062" s="989"/>
      <c r="US1062" s="989"/>
      <c r="UT1062" s="989"/>
      <c r="UU1062" s="989"/>
      <c r="UV1062" s="989"/>
      <c r="UW1062" s="989"/>
      <c r="UX1062" s="989"/>
      <c r="UY1062" s="989"/>
      <c r="UZ1062" s="989"/>
      <c r="VA1062" s="989"/>
      <c r="VB1062" s="989"/>
      <c r="VC1062" s="989"/>
      <c r="VD1062" s="989"/>
      <c r="VE1062" s="989"/>
      <c r="VF1062" s="989"/>
      <c r="VG1062" s="989"/>
      <c r="VH1062" s="989"/>
      <c r="VI1062" s="989"/>
      <c r="VJ1062" s="989"/>
      <c r="VK1062" s="989"/>
      <c r="VL1062" s="989"/>
      <c r="VM1062" s="989"/>
      <c r="VN1062" s="989"/>
      <c r="VO1062" s="989"/>
      <c r="VP1062" s="989"/>
      <c r="VQ1062" s="989"/>
      <c r="VR1062" s="989"/>
      <c r="VS1062" s="989"/>
      <c r="VT1062" s="989"/>
      <c r="VU1062" s="989"/>
      <c r="VV1062" s="989"/>
      <c r="VW1062" s="989"/>
      <c r="VX1062" s="989"/>
      <c r="VY1062" s="989"/>
      <c r="VZ1062" s="989"/>
      <c r="WA1062" s="989"/>
      <c r="WB1062" s="989"/>
      <c r="WC1062" s="989"/>
      <c r="WD1062" s="989"/>
      <c r="WE1062" s="989"/>
      <c r="WF1062" s="989"/>
      <c r="WG1062" s="989"/>
      <c r="WH1062" s="989"/>
      <c r="WI1062" s="989"/>
      <c r="WJ1062" s="989"/>
      <c r="WK1062" s="989"/>
      <c r="WL1062" s="989"/>
      <c r="WM1062" s="989"/>
      <c r="WN1062" s="989"/>
      <c r="WO1062" s="989"/>
      <c r="WP1062" s="989"/>
      <c r="WQ1062" s="989"/>
      <c r="WR1062" s="989"/>
      <c r="WS1062" s="989"/>
      <c r="WT1062" s="989"/>
      <c r="WU1062" s="989"/>
      <c r="WV1062" s="989"/>
      <c r="WW1062" s="989"/>
      <c r="WX1062" s="989"/>
      <c r="WY1062" s="989"/>
      <c r="WZ1062" s="989"/>
      <c r="XA1062" s="989"/>
      <c r="XB1062" s="989"/>
      <c r="XC1062" s="989"/>
      <c r="XD1062" s="989"/>
      <c r="XE1062" s="989"/>
      <c r="XF1062" s="989"/>
      <c r="XG1062" s="989"/>
      <c r="XH1062" s="989"/>
      <c r="XI1062" s="989"/>
      <c r="XJ1062" s="989"/>
      <c r="XK1062" s="989"/>
      <c r="XL1062" s="989"/>
      <c r="XM1062" s="989"/>
      <c r="XN1062" s="989"/>
      <c r="XO1062" s="989"/>
      <c r="XP1062" s="989"/>
      <c r="XQ1062" s="989"/>
      <c r="XR1062" s="989"/>
      <c r="XS1062" s="989"/>
      <c r="XT1062" s="989"/>
      <c r="XU1062" s="989"/>
      <c r="XV1062" s="989"/>
      <c r="XW1062" s="989"/>
      <c r="XX1062" s="989"/>
      <c r="XY1062" s="989"/>
      <c r="XZ1062" s="989"/>
      <c r="YA1062" s="989"/>
      <c r="YB1062" s="989"/>
      <c r="YC1062" s="989"/>
      <c r="YD1062" s="989"/>
      <c r="YE1062" s="989"/>
      <c r="YF1062" s="989"/>
      <c r="YG1062" s="989"/>
      <c r="YH1062" s="989"/>
      <c r="YI1062" s="989"/>
      <c r="YJ1062" s="989"/>
      <c r="YK1062" s="989"/>
      <c r="YL1062" s="989"/>
      <c r="YM1062" s="989"/>
      <c r="YN1062" s="989"/>
      <c r="YO1062" s="989"/>
      <c r="YP1062" s="989"/>
      <c r="YQ1062" s="989"/>
      <c r="YR1062" s="989"/>
      <c r="YS1062" s="989"/>
      <c r="YT1062" s="989"/>
      <c r="YU1062" s="989"/>
      <c r="YV1062" s="989"/>
      <c r="YW1062" s="989"/>
      <c r="YX1062" s="989"/>
      <c r="YY1062" s="989"/>
      <c r="YZ1062" s="989"/>
      <c r="ZA1062" s="989"/>
      <c r="ZB1062" s="989"/>
      <c r="ZC1062" s="989"/>
      <c r="ZD1062" s="989"/>
      <c r="ZE1062" s="989"/>
      <c r="ZF1062" s="989"/>
      <c r="ZG1062" s="989"/>
      <c r="ZH1062" s="989"/>
      <c r="ZI1062" s="989"/>
      <c r="ZJ1062" s="989"/>
      <c r="ZK1062" s="989"/>
      <c r="ZL1062" s="989"/>
      <c r="ZM1062" s="989"/>
      <c r="ZN1062" s="989"/>
      <c r="ZO1062" s="989"/>
      <c r="ZP1062" s="989"/>
      <c r="ZQ1062" s="989"/>
      <c r="ZR1062" s="989"/>
      <c r="ZS1062" s="989"/>
      <c r="ZT1062" s="989"/>
      <c r="ZU1062" s="989"/>
      <c r="ZV1062" s="989"/>
      <c r="ZW1062" s="989"/>
      <c r="ZX1062" s="989"/>
      <c r="ZY1062" s="989"/>
      <c r="ZZ1062" s="989"/>
      <c r="AAA1062" s="989"/>
      <c r="AAB1062" s="989"/>
      <c r="AAC1062" s="989"/>
      <c r="AAD1062" s="989"/>
      <c r="AAE1062" s="989"/>
      <c r="AAF1062" s="989"/>
      <c r="AAG1062" s="989"/>
      <c r="AAH1062" s="989"/>
      <c r="AAI1062" s="989"/>
      <c r="AAJ1062" s="989"/>
      <c r="AAK1062" s="989"/>
      <c r="AAL1062" s="989"/>
      <c r="AAM1062" s="989"/>
      <c r="AAN1062" s="989"/>
      <c r="AAO1062" s="989"/>
      <c r="AAP1062" s="989"/>
      <c r="AAQ1062" s="989"/>
      <c r="AAR1062" s="989"/>
      <c r="AAS1062" s="989"/>
      <c r="AAT1062" s="989"/>
      <c r="AAU1062" s="989"/>
      <c r="AAV1062" s="989"/>
      <c r="AAW1062" s="989"/>
      <c r="AAX1062" s="989"/>
      <c r="AAY1062" s="989"/>
      <c r="AAZ1062" s="989"/>
      <c r="ABA1062" s="989"/>
      <c r="ABB1062" s="989"/>
      <c r="ABC1062" s="989"/>
      <c r="ABD1062" s="989"/>
      <c r="ABE1062" s="989"/>
      <c r="ABF1062" s="989"/>
      <c r="ABG1062" s="989"/>
      <c r="ABH1062" s="989"/>
      <c r="ABI1062" s="989"/>
      <c r="ABJ1062" s="989"/>
      <c r="ABK1062" s="989"/>
      <c r="ABL1062" s="989"/>
      <c r="ABM1062" s="989"/>
      <c r="ABN1062" s="989"/>
      <c r="ABO1062" s="989"/>
      <c r="ABP1062" s="989"/>
      <c r="ABQ1062" s="989"/>
      <c r="ABR1062" s="989"/>
      <c r="ABS1062" s="989"/>
      <c r="ABT1062" s="989"/>
      <c r="ABU1062" s="989"/>
      <c r="ABV1062" s="989"/>
      <c r="ABW1062" s="989"/>
      <c r="ABX1062" s="989"/>
      <c r="ABY1062" s="989"/>
      <c r="ABZ1062" s="989"/>
      <c r="ACA1062" s="989"/>
      <c r="ACB1062" s="989"/>
      <c r="ACC1062" s="989"/>
      <c r="ACD1062" s="989"/>
      <c r="ACE1062" s="989"/>
      <c r="ACF1062" s="989"/>
      <c r="ACG1062" s="989"/>
      <c r="ACH1062" s="989"/>
      <c r="ACI1062" s="989"/>
      <c r="ACJ1062" s="989"/>
      <c r="ACK1062" s="989"/>
      <c r="ACL1062" s="989"/>
      <c r="ACM1062" s="989"/>
      <c r="ACN1062" s="989"/>
      <c r="ACO1062" s="989"/>
      <c r="ACP1062" s="989"/>
      <c r="ACQ1062" s="989"/>
      <c r="ACR1062" s="989"/>
      <c r="ACS1062" s="989"/>
      <c r="ACT1062" s="989"/>
      <c r="ACU1062" s="989"/>
      <c r="ACV1062" s="989"/>
      <c r="ACW1062" s="989"/>
      <c r="ACX1062" s="989"/>
      <c r="ACY1062" s="989"/>
      <c r="ACZ1062" s="989"/>
      <c r="ADA1062" s="989"/>
      <c r="ADB1062" s="989"/>
      <c r="ADC1062" s="989"/>
      <c r="ADD1062" s="989"/>
      <c r="ADE1062" s="989"/>
      <c r="ADF1062" s="989"/>
      <c r="ADG1062" s="989"/>
      <c r="ADH1062" s="989"/>
      <c r="ADI1062" s="989"/>
      <c r="ADJ1062" s="989"/>
      <c r="ADK1062" s="989"/>
      <c r="ADL1062" s="989"/>
      <c r="ADM1062" s="989"/>
      <c r="ADN1062" s="989"/>
      <c r="ADO1062" s="989"/>
      <c r="ADP1062" s="989"/>
      <c r="ADQ1062" s="989"/>
      <c r="ADR1062" s="989"/>
      <c r="ADS1062" s="989"/>
      <c r="ADT1062" s="989"/>
      <c r="ADU1062" s="989"/>
      <c r="ADV1062" s="989"/>
      <c r="ADW1062" s="989"/>
      <c r="ADX1062" s="989"/>
      <c r="ADY1062" s="989"/>
      <c r="ADZ1062" s="989"/>
      <c r="AEA1062" s="989"/>
      <c r="AEB1062" s="989"/>
      <c r="AEC1062" s="989"/>
      <c r="AED1062" s="989"/>
      <c r="AEE1062" s="989"/>
      <c r="AEF1062" s="989"/>
      <c r="AEG1062" s="989"/>
      <c r="AEH1062" s="989"/>
      <c r="AEI1062" s="989"/>
      <c r="AEJ1062" s="989"/>
      <c r="AEK1062" s="989"/>
      <c r="AEL1062" s="989"/>
      <c r="AEM1062" s="989"/>
      <c r="AEN1062" s="989"/>
      <c r="AEO1062" s="989"/>
      <c r="AEP1062" s="989"/>
      <c r="AEQ1062" s="989"/>
      <c r="AER1062" s="989"/>
      <c r="AES1062" s="989"/>
      <c r="AET1062" s="989"/>
      <c r="AEU1062" s="989"/>
      <c r="AEV1062" s="989"/>
      <c r="AEW1062" s="989"/>
      <c r="AEX1062" s="989"/>
      <c r="AEY1062" s="989"/>
      <c r="AEZ1062" s="989"/>
      <c r="AFA1062" s="989"/>
      <c r="AFB1062" s="989"/>
      <c r="AFC1062" s="989"/>
      <c r="AFD1062" s="989"/>
      <c r="AFE1062" s="989"/>
      <c r="AFF1062" s="989"/>
      <c r="AFG1062" s="989"/>
      <c r="AFH1062" s="989"/>
      <c r="AFI1062" s="989"/>
      <c r="AFJ1062" s="989"/>
      <c r="AFK1062" s="989"/>
      <c r="AFL1062" s="989"/>
      <c r="AFM1062" s="989"/>
      <c r="AFN1062" s="989"/>
      <c r="AFO1062" s="989"/>
      <c r="AFP1062" s="989"/>
      <c r="AFQ1062" s="989"/>
      <c r="AFR1062" s="989"/>
      <c r="AFS1062" s="989"/>
      <c r="AFT1062" s="989"/>
      <c r="AFU1062" s="989"/>
      <c r="AFV1062" s="989"/>
      <c r="AFW1062" s="989"/>
      <c r="AFX1062" s="989"/>
      <c r="AFY1062" s="989"/>
      <c r="AFZ1062" s="989"/>
      <c r="AGA1062" s="989"/>
      <c r="AGB1062" s="989"/>
      <c r="AGC1062" s="989"/>
      <c r="AGD1062" s="989"/>
      <c r="AGE1062" s="989"/>
      <c r="AGF1062" s="989"/>
      <c r="AGG1062" s="989"/>
      <c r="AGH1062" s="989"/>
      <c r="AGI1062" s="989"/>
      <c r="AGJ1062" s="989"/>
      <c r="AGK1062" s="989"/>
      <c r="AGL1062" s="989"/>
      <c r="AGM1062" s="989"/>
      <c r="AGN1062" s="989"/>
      <c r="AGO1062" s="989"/>
      <c r="AGP1062" s="989"/>
      <c r="AGQ1062" s="989"/>
      <c r="AGR1062" s="989"/>
      <c r="AGS1062" s="989"/>
      <c r="AGT1062" s="989"/>
      <c r="AGU1062" s="989"/>
      <c r="AGV1062" s="989"/>
      <c r="AGW1062" s="989"/>
      <c r="AGX1062" s="989"/>
      <c r="AGY1062" s="989"/>
      <c r="AGZ1062" s="989"/>
      <c r="AHA1062" s="989"/>
      <c r="AHB1062" s="989"/>
      <c r="AHC1062" s="989"/>
      <c r="AHD1062" s="989"/>
      <c r="AHE1062" s="989"/>
      <c r="AHF1062" s="989"/>
      <c r="AHG1062" s="989"/>
      <c r="AHH1062" s="989"/>
      <c r="AHI1062" s="989"/>
      <c r="AHJ1062" s="989"/>
      <c r="AHK1062" s="989"/>
      <c r="AHL1062" s="989"/>
      <c r="AHM1062" s="989"/>
      <c r="AHN1062" s="989"/>
      <c r="AHO1062" s="989"/>
      <c r="AHP1062" s="989"/>
      <c r="AHQ1062" s="989"/>
      <c r="AHR1062" s="989"/>
      <c r="AHS1062" s="989"/>
      <c r="AHT1062" s="989"/>
      <c r="AHU1062" s="989"/>
      <c r="AHV1062" s="989"/>
      <c r="AHW1062" s="989"/>
      <c r="AHX1062" s="989"/>
      <c r="AHY1062" s="989"/>
      <c r="AHZ1062" s="989"/>
      <c r="AIA1062" s="989"/>
      <c r="AIB1062" s="989"/>
      <c r="AIC1062" s="989"/>
      <c r="AID1062" s="989"/>
      <c r="AIE1062" s="989"/>
      <c r="AIF1062" s="989"/>
      <c r="AIG1062" s="989"/>
      <c r="AIH1062" s="989"/>
      <c r="AII1062" s="989"/>
      <c r="AIJ1062" s="989"/>
      <c r="AIK1062" s="989"/>
      <c r="AIL1062" s="989"/>
      <c r="AIM1062" s="989"/>
      <c r="AIN1062" s="989"/>
      <c r="AIO1062" s="989"/>
      <c r="AIP1062" s="989"/>
      <c r="AIQ1062" s="989"/>
      <c r="AIR1062" s="989"/>
      <c r="AIS1062" s="989"/>
      <c r="AIT1062" s="989"/>
      <c r="AIU1062" s="989"/>
      <c r="AIV1062" s="989"/>
      <c r="AIW1062" s="989"/>
      <c r="AIX1062" s="989"/>
      <c r="AIY1062" s="989"/>
      <c r="AIZ1062" s="989"/>
      <c r="AJA1062" s="989"/>
      <c r="AJB1062" s="989"/>
      <c r="AJC1062" s="989"/>
      <c r="AJD1062" s="989"/>
      <c r="AJE1062" s="989"/>
      <c r="AJF1062" s="989"/>
      <c r="AJG1062" s="989"/>
      <c r="AJH1062" s="989"/>
      <c r="AJI1062" s="989"/>
      <c r="AJJ1062" s="989"/>
      <c r="AJK1062" s="989"/>
      <c r="AJL1062" s="989"/>
      <c r="AJM1062" s="989"/>
      <c r="AJN1062" s="989"/>
      <c r="AJO1062" s="989"/>
      <c r="AJP1062" s="989"/>
      <c r="AJQ1062" s="989"/>
      <c r="AJR1062" s="989"/>
      <c r="AJS1062" s="989"/>
      <c r="AJT1062" s="989"/>
      <c r="AJU1062" s="989"/>
      <c r="AJV1062" s="989"/>
      <c r="AJW1062" s="989"/>
      <c r="AJX1062" s="989"/>
      <c r="AJY1062" s="989"/>
      <c r="AJZ1062" s="989"/>
      <c r="AKA1062" s="989"/>
      <c r="AKB1062" s="989"/>
      <c r="AKC1062" s="989"/>
      <c r="AKD1062" s="989"/>
      <c r="AKE1062" s="989"/>
      <c r="AKF1062" s="989"/>
      <c r="AKG1062" s="989"/>
      <c r="AKH1062" s="989"/>
      <c r="AKI1062" s="989"/>
      <c r="AKJ1062" s="989"/>
      <c r="AKK1062" s="989"/>
      <c r="AKL1062" s="989"/>
      <c r="AKM1062" s="989"/>
      <c r="AKN1062" s="989"/>
      <c r="AKO1062" s="989"/>
      <c r="AKP1062" s="989"/>
      <c r="AKQ1062" s="989"/>
      <c r="AKR1062" s="989"/>
      <c r="AKS1062" s="989"/>
      <c r="AKT1062" s="989"/>
      <c r="AKU1062" s="989"/>
      <c r="AKV1062" s="989"/>
      <c r="AKW1062" s="989"/>
      <c r="AKX1062" s="989"/>
      <c r="AKY1062" s="989"/>
      <c r="AKZ1062" s="989"/>
      <c r="ALA1062" s="989"/>
      <c r="ALB1062" s="989"/>
      <c r="ALC1062" s="989"/>
      <c r="ALD1062" s="989"/>
      <c r="ALE1062" s="989"/>
      <c r="ALF1062" s="989"/>
      <c r="ALG1062" s="989"/>
      <c r="ALH1062" s="989"/>
      <c r="ALI1062" s="989"/>
      <c r="ALJ1062" s="989"/>
      <c r="ALK1062" s="989"/>
      <c r="ALL1062" s="989"/>
      <c r="ALM1062" s="989"/>
      <c r="ALN1062" s="989"/>
      <c r="ALO1062" s="989"/>
      <c r="ALP1062" s="989"/>
      <c r="ALQ1062" s="989"/>
      <c r="ALR1062" s="989"/>
      <c r="ALS1062" s="989"/>
      <c r="ALT1062" s="989"/>
      <c r="ALU1062" s="989"/>
      <c r="ALV1062" s="989"/>
      <c r="ALW1062" s="989"/>
      <c r="ALX1062" s="989"/>
      <c r="ALY1062" s="989"/>
      <c r="ALZ1062" s="989"/>
      <c r="AMA1062" s="989"/>
      <c r="AMB1062" s="989"/>
      <c r="AMC1062" s="989"/>
      <c r="AMD1062" s="989"/>
      <c r="AME1062" s="989"/>
      <c r="AMF1062" s="989"/>
      <c r="AMG1062" s="989"/>
      <c r="AMH1062" s="989"/>
      <c r="AMI1062" s="989"/>
      <c r="AMJ1062" s="989"/>
      <c r="AMK1062" s="989"/>
      <c r="AML1062" s="989"/>
      <c r="AMM1062" s="989"/>
      <c r="AMN1062" s="989"/>
      <c r="AMO1062" s="989"/>
      <c r="AMP1062" s="989"/>
      <c r="AMQ1062" s="989"/>
      <c r="AMR1062" s="989"/>
      <c r="AMS1062" s="989"/>
      <c r="AMT1062" s="989"/>
      <c r="AMU1062" s="989"/>
      <c r="AMV1062" s="989"/>
      <c r="AMW1062" s="989"/>
      <c r="AMX1062" s="989"/>
      <c r="AMY1062" s="989"/>
      <c r="AMZ1062" s="989"/>
      <c r="ANA1062" s="989"/>
      <c r="ANB1062" s="989"/>
      <c r="ANC1062" s="989"/>
      <c r="AND1062" s="989"/>
      <c r="ANE1062" s="989"/>
      <c r="ANF1062" s="989"/>
      <c r="ANG1062" s="989"/>
      <c r="ANH1062" s="989"/>
      <c r="ANI1062" s="989"/>
      <c r="ANJ1062" s="989"/>
      <c r="ANK1062" s="989"/>
      <c r="ANL1062" s="989"/>
      <c r="ANM1062" s="989"/>
      <c r="ANN1062" s="989"/>
      <c r="ANO1062" s="989"/>
      <c r="ANP1062" s="989"/>
      <c r="ANQ1062" s="989"/>
      <c r="ANR1062" s="989"/>
      <c r="ANS1062" s="989"/>
      <c r="ANT1062" s="989"/>
      <c r="ANU1062" s="989"/>
      <c r="ANV1062" s="989"/>
      <c r="ANW1062" s="989"/>
      <c r="ANX1062" s="989"/>
      <c r="ANY1062" s="989"/>
      <c r="ANZ1062" s="989"/>
      <c r="AOA1062" s="989"/>
      <c r="AOB1062" s="989"/>
      <c r="AOC1062" s="989"/>
      <c r="AOD1062" s="989"/>
      <c r="AOE1062" s="989"/>
      <c r="AOF1062" s="989"/>
      <c r="AOG1062" s="989"/>
      <c r="AOH1062" s="989"/>
      <c r="AOI1062" s="989"/>
      <c r="AOJ1062" s="989"/>
      <c r="AOK1062" s="989"/>
      <c r="AOL1062" s="989"/>
      <c r="AOM1062" s="989"/>
      <c r="AON1062" s="989"/>
      <c r="AOO1062" s="989"/>
      <c r="AOP1062" s="989"/>
      <c r="AOQ1062" s="989"/>
      <c r="AOR1062" s="989"/>
      <c r="AOS1062" s="989"/>
      <c r="AOT1062" s="989"/>
      <c r="AOU1062" s="989"/>
      <c r="AOV1062" s="989"/>
      <c r="AOW1062" s="989"/>
      <c r="AOX1062" s="989"/>
      <c r="AOY1062" s="989"/>
      <c r="AOZ1062" s="989"/>
      <c r="APA1062" s="989"/>
      <c r="APB1062" s="989"/>
      <c r="APC1062" s="989"/>
      <c r="APD1062" s="989"/>
      <c r="APE1062" s="989"/>
      <c r="APF1062" s="989"/>
      <c r="APG1062" s="989"/>
      <c r="APH1062" s="989"/>
      <c r="API1062" s="989"/>
      <c r="APJ1062" s="989"/>
      <c r="APK1062" s="989"/>
      <c r="APL1062" s="989"/>
      <c r="APM1062" s="989"/>
      <c r="APN1062" s="989"/>
      <c r="APO1062" s="989"/>
      <c r="APP1062" s="989"/>
      <c r="APQ1062" s="989"/>
      <c r="APR1062" s="989"/>
      <c r="APS1062" s="989"/>
      <c r="APT1062" s="989"/>
      <c r="APU1062" s="989"/>
      <c r="APV1062" s="989"/>
      <c r="APW1062" s="989"/>
      <c r="APX1062" s="989"/>
      <c r="APY1062" s="989"/>
      <c r="APZ1062" s="989"/>
      <c r="AQA1062" s="989"/>
      <c r="AQB1062" s="989"/>
      <c r="AQC1062" s="989"/>
      <c r="AQD1062" s="989"/>
      <c r="AQE1062" s="989"/>
      <c r="AQF1062" s="989"/>
      <c r="AQG1062" s="989"/>
      <c r="AQH1062" s="989"/>
      <c r="AQI1062" s="989"/>
      <c r="AQJ1062" s="989"/>
      <c r="AQK1062" s="989"/>
      <c r="AQL1062" s="989"/>
      <c r="AQM1062" s="989"/>
      <c r="AQN1062" s="989"/>
      <c r="AQO1062" s="989"/>
      <c r="AQP1062" s="989"/>
      <c r="AQQ1062" s="989"/>
      <c r="AQR1062" s="989"/>
      <c r="AQS1062" s="989"/>
      <c r="AQT1062" s="989"/>
      <c r="AQU1062" s="989"/>
      <c r="AQV1062" s="989"/>
      <c r="AQW1062" s="989"/>
      <c r="AQX1062" s="989"/>
      <c r="AQY1062" s="989"/>
      <c r="AQZ1062" s="989"/>
      <c r="ARA1062" s="989"/>
      <c r="ARB1062" s="989"/>
      <c r="ARC1062" s="989"/>
      <c r="ARD1062" s="989"/>
      <c r="ARE1062" s="989"/>
      <c r="ARF1062" s="989"/>
      <c r="ARG1062" s="989"/>
      <c r="ARH1062" s="989"/>
      <c r="ARI1062" s="989"/>
      <c r="ARJ1062" s="989"/>
      <c r="ARK1062" s="989"/>
      <c r="ARL1062" s="989"/>
      <c r="ARM1062" s="989"/>
      <c r="ARN1062" s="989"/>
      <c r="ARO1062" s="989"/>
      <c r="ARP1062" s="989"/>
      <c r="ARQ1062" s="989"/>
      <c r="ARR1062" s="989"/>
      <c r="ARS1062" s="989"/>
      <c r="ART1062" s="989"/>
      <c r="ARU1062" s="989"/>
      <c r="ARV1062" s="989"/>
      <c r="ARW1062" s="989"/>
      <c r="ARX1062" s="989"/>
      <c r="ARY1062" s="989"/>
      <c r="ARZ1062" s="989"/>
      <c r="ASA1062" s="989"/>
      <c r="ASB1062" s="989"/>
      <c r="ASC1062" s="989"/>
      <c r="ASD1062" s="989"/>
      <c r="ASE1062" s="989"/>
      <c r="ASF1062" s="989"/>
      <c r="ASG1062" s="989"/>
      <c r="ASH1062" s="989"/>
      <c r="ASI1062" s="989"/>
      <c r="ASJ1062" s="989"/>
      <c r="ASK1062" s="989"/>
      <c r="ASL1062" s="989"/>
      <c r="ASM1062" s="989"/>
      <c r="ASN1062" s="989"/>
      <c r="ASO1062" s="989"/>
      <c r="ASP1062" s="989"/>
      <c r="ASQ1062" s="989"/>
      <c r="ASR1062" s="989"/>
      <c r="ASS1062" s="989"/>
      <c r="AST1062" s="989"/>
      <c r="ASU1062" s="989"/>
      <c r="ASV1062" s="989"/>
      <c r="ASW1062" s="989"/>
      <c r="ASX1062" s="989"/>
      <c r="ASY1062" s="989"/>
      <c r="ASZ1062" s="989"/>
      <c r="ATA1062" s="989"/>
      <c r="ATB1062" s="989"/>
      <c r="ATC1062" s="989"/>
      <c r="ATD1062" s="989"/>
      <c r="ATE1062" s="989"/>
      <c r="ATF1062" s="989"/>
      <c r="ATG1062" s="989"/>
      <c r="ATH1062" s="989"/>
      <c r="ATI1062" s="989"/>
      <c r="ATJ1062" s="989"/>
      <c r="ATK1062" s="989"/>
      <c r="ATL1062" s="989"/>
      <c r="ATM1062" s="989"/>
      <c r="ATN1062" s="989"/>
      <c r="ATO1062" s="989"/>
      <c r="ATP1062" s="989"/>
      <c r="ATQ1062" s="989"/>
      <c r="ATR1062" s="989"/>
      <c r="ATS1062" s="989"/>
      <c r="ATT1062" s="989"/>
      <c r="ATU1062" s="989"/>
      <c r="ATV1062" s="989"/>
      <c r="ATW1062" s="989"/>
      <c r="ATX1062" s="989"/>
      <c r="ATY1062" s="989"/>
      <c r="ATZ1062" s="989"/>
      <c r="AUA1062" s="989"/>
      <c r="AUB1062" s="989"/>
      <c r="AUC1062" s="989"/>
      <c r="AUD1062" s="989"/>
      <c r="AUE1062" s="989"/>
      <c r="AUF1062" s="989"/>
      <c r="AUG1062" s="989"/>
      <c r="AUH1062" s="989"/>
      <c r="AUI1062" s="989"/>
      <c r="AUJ1062" s="989"/>
      <c r="AUK1062" s="989"/>
      <c r="AUL1062" s="989"/>
      <c r="AUM1062" s="989"/>
      <c r="AUN1062" s="989"/>
      <c r="AUO1062" s="989"/>
      <c r="AUP1062" s="989"/>
      <c r="AUQ1062" s="989"/>
      <c r="AUR1062" s="989"/>
      <c r="AUS1062" s="989"/>
      <c r="AUT1062" s="989"/>
      <c r="AUU1062" s="989"/>
      <c r="AUV1062" s="989"/>
      <c r="AUW1062" s="989"/>
      <c r="AUX1062" s="989"/>
      <c r="AUY1062" s="989"/>
      <c r="AUZ1062" s="989"/>
      <c r="AVA1062" s="989"/>
      <c r="AVB1062" s="989"/>
      <c r="AVC1062" s="989"/>
      <c r="AVD1062" s="989"/>
      <c r="AVE1062" s="989"/>
      <c r="AVF1062" s="989"/>
      <c r="AVG1062" s="989"/>
      <c r="AVH1062" s="989"/>
      <c r="AVI1062" s="989"/>
      <c r="AVJ1062" s="989"/>
      <c r="AVK1062" s="989"/>
      <c r="AVL1062" s="989"/>
      <c r="AVM1062" s="989"/>
      <c r="AVN1062" s="989"/>
      <c r="AVO1062" s="989"/>
      <c r="AVP1062" s="989"/>
      <c r="AVQ1062" s="989"/>
      <c r="AVR1062" s="989"/>
      <c r="AVS1062" s="989"/>
      <c r="AVT1062" s="989"/>
      <c r="AVU1062" s="989"/>
      <c r="AVV1062" s="989"/>
      <c r="AVW1062" s="989"/>
      <c r="AVX1062" s="989"/>
      <c r="AVY1062" s="989"/>
      <c r="AVZ1062" s="989"/>
      <c r="AWA1062" s="989"/>
      <c r="AWB1062" s="989"/>
      <c r="AWC1062" s="989"/>
      <c r="AWD1062" s="989"/>
      <c r="AWE1062" s="989"/>
      <c r="AWF1062" s="989"/>
      <c r="AWG1062" s="989"/>
      <c r="AWH1062" s="989"/>
      <c r="AWI1062" s="989"/>
      <c r="AWJ1062" s="989"/>
      <c r="AWK1062" s="989"/>
      <c r="AWL1062" s="989"/>
      <c r="AWM1062" s="989"/>
      <c r="AWN1062" s="989"/>
      <c r="AWO1062" s="989"/>
      <c r="AWP1062" s="989"/>
      <c r="AWQ1062" s="989"/>
      <c r="AWR1062" s="989"/>
      <c r="AWS1062" s="989"/>
      <c r="AWT1062" s="989"/>
      <c r="AWU1062" s="989"/>
      <c r="AWV1062" s="989"/>
      <c r="AWW1062" s="989"/>
      <c r="AWX1062" s="989"/>
      <c r="AWY1062" s="989"/>
      <c r="AWZ1062" s="989"/>
      <c r="AXA1062" s="989"/>
      <c r="AXB1062" s="989"/>
      <c r="AXC1062" s="989"/>
      <c r="AXD1062" s="989"/>
      <c r="AXE1062" s="989"/>
      <c r="AXF1062" s="989"/>
      <c r="AXG1062" s="989"/>
      <c r="AXH1062" s="989"/>
      <c r="AXI1062" s="989"/>
      <c r="AXJ1062" s="989"/>
      <c r="AXK1062" s="989"/>
      <c r="AXL1062" s="989"/>
      <c r="AXM1062" s="989"/>
      <c r="AXN1062" s="989"/>
      <c r="AXO1062" s="989"/>
      <c r="AXP1062" s="989"/>
      <c r="AXQ1062" s="989"/>
      <c r="AXR1062" s="989"/>
      <c r="AXS1062" s="989"/>
      <c r="AXT1062" s="989"/>
      <c r="AXU1062" s="989"/>
      <c r="AXV1062" s="989"/>
      <c r="AXW1062" s="989"/>
      <c r="AXX1062" s="989"/>
      <c r="AXY1062" s="989"/>
      <c r="AXZ1062" s="989"/>
      <c r="AYA1062" s="989"/>
      <c r="AYB1062" s="989"/>
      <c r="AYC1062" s="989"/>
      <c r="AYD1062" s="989"/>
      <c r="AYE1062" s="989"/>
      <c r="AYF1062" s="989"/>
      <c r="AYG1062" s="989"/>
      <c r="AYH1062" s="989"/>
      <c r="AYI1062" s="989"/>
      <c r="AYJ1062" s="989"/>
      <c r="AYK1062" s="989"/>
      <c r="AYL1062" s="989"/>
      <c r="AYM1062" s="989"/>
      <c r="AYN1062" s="989"/>
      <c r="AYO1062" s="989"/>
      <c r="AYP1062" s="989"/>
      <c r="AYQ1062" s="989"/>
      <c r="AYR1062" s="989"/>
      <c r="AYS1062" s="989"/>
      <c r="AYT1062" s="989"/>
      <c r="AYU1062" s="989"/>
      <c r="AYV1062" s="989"/>
      <c r="AYW1062" s="989"/>
      <c r="AYX1062" s="989"/>
      <c r="AYY1062" s="989"/>
      <c r="AYZ1062" s="989"/>
      <c r="AZA1062" s="989"/>
      <c r="AZB1062" s="989"/>
      <c r="AZC1062" s="989"/>
      <c r="AZD1062" s="989"/>
      <c r="AZE1062" s="989"/>
      <c r="AZF1062" s="989"/>
      <c r="AZG1062" s="989"/>
      <c r="AZH1062" s="989"/>
      <c r="AZI1062" s="989"/>
      <c r="AZJ1062" s="989"/>
      <c r="AZK1062" s="989"/>
      <c r="AZL1062" s="989"/>
      <c r="AZM1062" s="989"/>
      <c r="AZN1062" s="989"/>
      <c r="AZO1062" s="989"/>
      <c r="AZP1062" s="989"/>
      <c r="AZQ1062" s="989"/>
      <c r="AZR1062" s="989"/>
      <c r="AZS1062" s="989"/>
      <c r="AZT1062" s="989"/>
      <c r="AZU1062" s="989"/>
      <c r="AZV1062" s="989"/>
      <c r="AZW1062" s="989"/>
      <c r="AZX1062" s="989"/>
      <c r="AZY1062" s="989"/>
      <c r="AZZ1062" s="989"/>
      <c r="BAA1062" s="989"/>
      <c r="BAB1062" s="989"/>
      <c r="BAC1062" s="989"/>
      <c r="BAD1062" s="989"/>
      <c r="BAE1062" s="989"/>
      <c r="BAF1062" s="989"/>
      <c r="BAG1062" s="989"/>
      <c r="BAH1062" s="989"/>
      <c r="BAI1062" s="989"/>
      <c r="BAJ1062" s="989"/>
      <c r="BAK1062" s="989"/>
      <c r="BAL1062" s="989"/>
      <c r="BAM1062" s="989"/>
      <c r="BAN1062" s="989"/>
      <c r="BAO1062" s="989"/>
      <c r="BAP1062" s="989"/>
      <c r="BAQ1062" s="989"/>
      <c r="BAR1062" s="989"/>
      <c r="BAS1062" s="989"/>
      <c r="BAT1062" s="989"/>
      <c r="BAU1062" s="989"/>
      <c r="BAV1062" s="989"/>
      <c r="BAW1062" s="989"/>
      <c r="BAX1062" s="989"/>
      <c r="BAY1062" s="989"/>
      <c r="BAZ1062" s="989"/>
      <c r="BBA1062" s="989"/>
      <c r="BBB1062" s="989"/>
      <c r="BBC1062" s="989"/>
      <c r="BBD1062" s="989"/>
      <c r="BBE1062" s="989"/>
      <c r="BBF1062" s="989"/>
      <c r="BBG1062" s="989"/>
      <c r="BBH1062" s="989"/>
      <c r="BBI1062" s="989"/>
      <c r="BBJ1062" s="989"/>
      <c r="BBK1062" s="989"/>
      <c r="BBL1062" s="989"/>
      <c r="BBM1062" s="989"/>
      <c r="BBN1062" s="989"/>
      <c r="BBO1062" s="989"/>
      <c r="BBP1062" s="989"/>
      <c r="BBQ1062" s="989"/>
      <c r="BBR1062" s="989"/>
      <c r="BBS1062" s="989"/>
      <c r="BBT1062" s="989"/>
      <c r="BBU1062" s="989"/>
      <c r="BBV1062" s="989"/>
      <c r="BBW1062" s="989"/>
      <c r="BBX1062" s="989"/>
      <c r="BBY1062" s="989"/>
      <c r="BBZ1062" s="989"/>
      <c r="BCA1062" s="989"/>
      <c r="BCB1062" s="989"/>
      <c r="BCC1062" s="989"/>
      <c r="BCD1062" s="989"/>
      <c r="BCE1062" s="989"/>
      <c r="BCF1062" s="989"/>
      <c r="BCG1062" s="989"/>
      <c r="BCH1062" s="989"/>
      <c r="BCI1062" s="989"/>
      <c r="BCJ1062" s="989"/>
      <c r="BCK1062" s="989"/>
      <c r="BCL1062" s="989"/>
      <c r="BCM1062" s="989"/>
      <c r="BCN1062" s="989"/>
      <c r="BCO1062" s="989"/>
      <c r="BCP1062" s="989"/>
      <c r="BCQ1062" s="989"/>
      <c r="BCR1062" s="989"/>
      <c r="BCS1062" s="989"/>
      <c r="BCT1062" s="989"/>
      <c r="BCU1062" s="989"/>
      <c r="BCV1062" s="989"/>
      <c r="BCW1062" s="989"/>
      <c r="BCX1062" s="989"/>
      <c r="BCY1062" s="989"/>
      <c r="BCZ1062" s="989"/>
      <c r="BDA1062" s="989"/>
      <c r="BDB1062" s="989"/>
      <c r="BDC1062" s="989"/>
      <c r="BDD1062" s="989"/>
      <c r="BDE1062" s="989"/>
      <c r="BDF1062" s="989"/>
      <c r="BDG1062" s="989"/>
      <c r="BDH1062" s="989"/>
      <c r="BDI1062" s="989"/>
      <c r="BDJ1062" s="989"/>
      <c r="BDK1062" s="989"/>
      <c r="BDL1062" s="989"/>
      <c r="BDM1062" s="989"/>
      <c r="BDN1062" s="989"/>
      <c r="BDO1062" s="989"/>
      <c r="BDP1062" s="989"/>
      <c r="BDQ1062" s="989"/>
      <c r="BDR1062" s="989"/>
      <c r="BDS1062" s="989"/>
      <c r="BDT1062" s="989"/>
      <c r="BDU1062" s="989"/>
      <c r="BDV1062" s="989"/>
      <c r="BDW1062" s="989"/>
      <c r="BDX1062" s="989"/>
      <c r="BDY1062" s="989"/>
      <c r="BDZ1062" s="989"/>
      <c r="BEA1062" s="989"/>
      <c r="BEB1062" s="989"/>
      <c r="BEC1062" s="989"/>
      <c r="BED1062" s="989"/>
      <c r="BEE1062" s="989"/>
      <c r="BEF1062" s="989"/>
      <c r="BEG1062" s="989"/>
      <c r="BEH1062" s="989"/>
      <c r="BEI1062" s="989"/>
      <c r="BEJ1062" s="989"/>
      <c r="BEK1062" s="989"/>
      <c r="BEL1062" s="989"/>
      <c r="BEM1062" s="989"/>
      <c r="BEN1062" s="989"/>
      <c r="BEO1062" s="989"/>
      <c r="BEP1062" s="989"/>
      <c r="BEQ1062" s="989"/>
      <c r="BER1062" s="989"/>
      <c r="BES1062" s="989"/>
      <c r="BET1062" s="989"/>
      <c r="BEU1062" s="989"/>
      <c r="BEV1062" s="989"/>
      <c r="BEW1062" s="989"/>
      <c r="BEX1062" s="989"/>
      <c r="BEY1062" s="989"/>
      <c r="BEZ1062" s="989"/>
      <c r="BFA1062" s="989"/>
      <c r="BFB1062" s="989"/>
      <c r="BFC1062" s="989"/>
      <c r="BFD1062" s="989"/>
      <c r="BFE1062" s="989"/>
      <c r="BFF1062" s="989"/>
      <c r="BFG1062" s="989"/>
      <c r="BFH1062" s="989"/>
      <c r="BFI1062" s="989"/>
      <c r="BFJ1062" s="989"/>
      <c r="BFK1062" s="989"/>
      <c r="BFL1062" s="989"/>
      <c r="BFM1062" s="989"/>
      <c r="BFN1062" s="989"/>
      <c r="BFO1062" s="989"/>
      <c r="BFP1062" s="989"/>
      <c r="BFQ1062" s="989"/>
      <c r="BFR1062" s="989"/>
      <c r="BFS1062" s="989"/>
      <c r="BFT1062" s="989"/>
      <c r="BFU1062" s="989"/>
      <c r="BFV1062" s="989"/>
      <c r="BFW1062" s="989"/>
      <c r="BFX1062" s="989"/>
      <c r="BFY1062" s="989"/>
      <c r="BFZ1062" s="989"/>
      <c r="BGA1062" s="989"/>
      <c r="BGB1062" s="989"/>
      <c r="BGC1062" s="989"/>
      <c r="BGD1062" s="989"/>
      <c r="BGE1062" s="989"/>
      <c r="BGF1062" s="989"/>
      <c r="BGG1062" s="989"/>
      <c r="BGH1062" s="989"/>
      <c r="BGI1062" s="989"/>
      <c r="BGJ1062" s="989"/>
      <c r="BGK1062" s="989"/>
      <c r="BGL1062" s="989"/>
      <c r="BGM1062" s="989"/>
      <c r="BGN1062" s="989"/>
      <c r="BGO1062" s="989"/>
      <c r="BGP1062" s="989"/>
      <c r="BGQ1062" s="989"/>
      <c r="BGR1062" s="989"/>
      <c r="BGS1062" s="989"/>
      <c r="BGT1062" s="989"/>
      <c r="BGU1062" s="989"/>
      <c r="BGV1062" s="989"/>
      <c r="BGW1062" s="989"/>
      <c r="BGX1062" s="989"/>
      <c r="BGY1062" s="989"/>
      <c r="BGZ1062" s="989"/>
      <c r="BHA1062" s="989"/>
      <c r="BHB1062" s="989"/>
      <c r="BHC1062" s="989"/>
      <c r="BHD1062" s="989"/>
      <c r="BHE1062" s="989"/>
      <c r="BHF1062" s="989"/>
      <c r="BHG1062" s="989"/>
      <c r="BHH1062" s="989"/>
      <c r="BHI1062" s="989"/>
      <c r="BHJ1062" s="989"/>
      <c r="BHK1062" s="989"/>
      <c r="BHL1062" s="989"/>
      <c r="BHM1062" s="989"/>
      <c r="BHN1062" s="989"/>
      <c r="BHO1062" s="989"/>
      <c r="BHP1062" s="989"/>
      <c r="BHQ1062" s="989"/>
      <c r="BHR1062" s="989"/>
      <c r="BHS1062" s="989"/>
      <c r="BHT1062" s="989"/>
      <c r="BHU1062" s="989"/>
      <c r="BHV1062" s="989"/>
      <c r="BHW1062" s="989"/>
      <c r="BHX1062" s="989"/>
      <c r="BHY1062" s="989"/>
      <c r="BHZ1062" s="989"/>
      <c r="BIA1062" s="989"/>
      <c r="BIB1062" s="989"/>
      <c r="BIC1062" s="989"/>
      <c r="BID1062" s="989"/>
      <c r="BIE1062" s="989"/>
      <c r="BIF1062" s="989"/>
      <c r="BIG1062" s="989"/>
      <c r="BIH1062" s="989"/>
      <c r="BII1062" s="989"/>
      <c r="BIJ1062" s="989"/>
      <c r="BIK1062" s="989"/>
      <c r="BIL1062" s="989"/>
      <c r="BIM1062" s="989"/>
      <c r="BIN1062" s="989"/>
      <c r="BIO1062" s="989"/>
      <c r="BIP1062" s="989"/>
      <c r="BIQ1062" s="989"/>
      <c r="BIR1062" s="989"/>
      <c r="BIS1062" s="989"/>
      <c r="BIT1062" s="989"/>
      <c r="BIU1062" s="989"/>
      <c r="BIV1062" s="989"/>
      <c r="BIW1062" s="989"/>
      <c r="BIX1062" s="989"/>
      <c r="BIY1062" s="989"/>
      <c r="BIZ1062" s="989"/>
      <c r="BJA1062" s="989"/>
      <c r="BJB1062" s="989"/>
      <c r="BJC1062" s="989"/>
      <c r="BJD1062" s="989"/>
      <c r="BJE1062" s="989"/>
      <c r="BJF1062" s="989"/>
      <c r="BJG1062" s="989"/>
      <c r="BJH1062" s="989"/>
      <c r="BJI1062" s="989"/>
      <c r="BJJ1062" s="989"/>
      <c r="BJK1062" s="989"/>
      <c r="BJL1062" s="989"/>
      <c r="BJM1062" s="989"/>
      <c r="BJN1062" s="989"/>
      <c r="BJO1062" s="989"/>
      <c r="BJP1062" s="989"/>
      <c r="BJQ1062" s="989"/>
      <c r="BJR1062" s="989"/>
      <c r="BJS1062" s="989"/>
      <c r="BJT1062" s="989"/>
      <c r="BJU1062" s="989"/>
      <c r="BJV1062" s="989"/>
      <c r="BJW1062" s="989"/>
      <c r="BJX1062" s="989"/>
      <c r="BJY1062" s="989"/>
      <c r="BJZ1062" s="989"/>
      <c r="BKA1062" s="989"/>
      <c r="BKB1062" s="989"/>
      <c r="BKC1062" s="989"/>
      <c r="BKD1062" s="989"/>
      <c r="BKE1062" s="989"/>
      <c r="BKF1062" s="989"/>
      <c r="BKG1062" s="989"/>
      <c r="BKH1062" s="989"/>
      <c r="BKI1062" s="989"/>
      <c r="BKJ1062" s="989"/>
      <c r="BKK1062" s="989"/>
      <c r="BKL1062" s="989"/>
      <c r="BKM1062" s="989"/>
      <c r="BKN1062" s="989"/>
      <c r="BKO1062" s="989"/>
      <c r="BKP1062" s="989"/>
      <c r="BKQ1062" s="989"/>
      <c r="BKR1062" s="989"/>
      <c r="BKS1062" s="989"/>
      <c r="BKT1062" s="989"/>
      <c r="BKU1062" s="989"/>
      <c r="BKV1062" s="989"/>
      <c r="BKW1062" s="989"/>
      <c r="BKX1062" s="989"/>
      <c r="BKY1062" s="989"/>
      <c r="BKZ1062" s="989"/>
      <c r="BLA1062" s="989"/>
      <c r="BLB1062" s="989"/>
      <c r="BLC1062" s="989"/>
      <c r="BLD1062" s="989"/>
      <c r="BLE1062" s="989"/>
      <c r="BLF1062" s="989"/>
      <c r="BLG1062" s="989"/>
      <c r="BLH1062" s="989"/>
      <c r="BLI1062" s="989"/>
      <c r="BLJ1062" s="989"/>
      <c r="BLK1062" s="989"/>
      <c r="BLL1062" s="989"/>
      <c r="BLM1062" s="989"/>
      <c r="BLN1062" s="989"/>
      <c r="BLO1062" s="989"/>
      <c r="BLP1062" s="989"/>
      <c r="BLQ1062" s="989"/>
      <c r="BLR1062" s="989"/>
      <c r="BLS1062" s="989"/>
      <c r="BLT1062" s="989"/>
      <c r="BLU1062" s="989"/>
      <c r="BLV1062" s="989"/>
      <c r="BLW1062" s="989"/>
      <c r="BLX1062" s="989"/>
      <c r="BLY1062" s="989"/>
      <c r="BLZ1062" s="989"/>
      <c r="BMA1062" s="989"/>
      <c r="BMB1062" s="989"/>
      <c r="BMC1062" s="989"/>
      <c r="BMD1062" s="989"/>
      <c r="BME1062" s="989"/>
      <c r="BMF1062" s="989"/>
      <c r="BMG1062" s="989"/>
      <c r="BMH1062" s="989"/>
      <c r="BMI1062" s="989"/>
      <c r="BMJ1062" s="989"/>
      <c r="BMK1062" s="989"/>
      <c r="BML1062" s="989"/>
      <c r="BMM1062" s="989"/>
      <c r="BMN1062" s="989"/>
      <c r="BMO1062" s="989"/>
      <c r="BMP1062" s="989"/>
      <c r="BMQ1062" s="989"/>
      <c r="BMR1062" s="989"/>
      <c r="BMS1062" s="989"/>
      <c r="BMT1062" s="989"/>
      <c r="BMU1062" s="989"/>
      <c r="BMV1062" s="989"/>
      <c r="BMW1062" s="989"/>
      <c r="BMX1062" s="989"/>
      <c r="BMY1062" s="989"/>
      <c r="BMZ1062" s="989"/>
      <c r="BNA1062" s="989"/>
      <c r="BNB1062" s="989"/>
      <c r="BNC1062" s="989"/>
      <c r="BND1062" s="989"/>
      <c r="BNE1062" s="989"/>
      <c r="BNF1062" s="989"/>
      <c r="BNG1062" s="989"/>
      <c r="BNH1062" s="989"/>
      <c r="BNI1062" s="989"/>
      <c r="BNJ1062" s="989"/>
      <c r="BNK1062" s="989"/>
      <c r="BNL1062" s="989"/>
      <c r="BNM1062" s="989"/>
      <c r="BNN1062" s="989"/>
      <c r="BNO1062" s="989"/>
      <c r="BNP1062" s="989"/>
      <c r="BNQ1062" s="989"/>
      <c r="BNR1062" s="989"/>
      <c r="BNS1062" s="989"/>
      <c r="BNT1062" s="989"/>
      <c r="BNU1062" s="989"/>
      <c r="BNV1062" s="989"/>
      <c r="BNW1062" s="989"/>
      <c r="BNX1062" s="989"/>
      <c r="BNY1062" s="989"/>
      <c r="BNZ1062" s="989"/>
      <c r="BOA1062" s="989"/>
      <c r="BOB1062" s="989"/>
      <c r="BOC1062" s="989"/>
      <c r="BOD1062" s="989"/>
      <c r="BOE1062" s="989"/>
      <c r="BOF1062" s="989"/>
      <c r="BOG1062" s="989"/>
      <c r="BOH1062" s="989"/>
      <c r="BOI1062" s="989"/>
      <c r="BOJ1062" s="989"/>
      <c r="BOK1062" s="989"/>
      <c r="BOL1062" s="989"/>
      <c r="BOM1062" s="989"/>
      <c r="BON1062" s="989"/>
      <c r="BOO1062" s="989"/>
      <c r="BOP1062" s="989"/>
      <c r="BOQ1062" s="989"/>
      <c r="BOR1062" s="989"/>
      <c r="BOS1062" s="989"/>
      <c r="BOT1062" s="989"/>
      <c r="BOU1062" s="989"/>
      <c r="BOV1062" s="989"/>
      <c r="BOW1062" s="989"/>
      <c r="BOX1062" s="989"/>
      <c r="BOY1062" s="989"/>
      <c r="BOZ1062" s="989"/>
      <c r="BPA1062" s="989"/>
      <c r="BPB1062" s="989"/>
      <c r="BPC1062" s="989"/>
      <c r="BPD1062" s="989"/>
      <c r="BPE1062" s="989"/>
      <c r="BPF1062" s="989"/>
      <c r="BPG1062" s="989"/>
      <c r="BPH1062" s="989"/>
      <c r="BPI1062" s="989"/>
      <c r="BPJ1062" s="989"/>
      <c r="BPK1062" s="989"/>
      <c r="BPL1062" s="989"/>
      <c r="BPM1062" s="989"/>
      <c r="BPN1062" s="989"/>
      <c r="BPO1062" s="989"/>
      <c r="BPP1062" s="989"/>
      <c r="BPQ1062" s="989"/>
      <c r="BPR1062" s="989"/>
      <c r="BPS1062" s="989"/>
      <c r="BPT1062" s="989"/>
      <c r="BPU1062" s="989"/>
      <c r="BPV1062" s="989"/>
      <c r="BPW1062" s="989"/>
      <c r="BPX1062" s="989"/>
      <c r="BPY1062" s="989"/>
      <c r="BPZ1062" s="989"/>
      <c r="BQA1062" s="989"/>
      <c r="BQB1062" s="989"/>
      <c r="BQC1062" s="989"/>
      <c r="BQD1062" s="989"/>
      <c r="BQE1062" s="989"/>
      <c r="BQF1062" s="989"/>
      <c r="BQG1062" s="989"/>
      <c r="BQH1062" s="989"/>
      <c r="BQI1062" s="989"/>
      <c r="BQJ1062" s="989"/>
      <c r="BQK1062" s="989"/>
      <c r="BQL1062" s="989"/>
      <c r="BQM1062" s="989"/>
      <c r="BQN1062" s="989"/>
      <c r="BQO1062" s="989"/>
      <c r="BQP1062" s="989"/>
      <c r="BQQ1062" s="989"/>
      <c r="BQR1062" s="989"/>
      <c r="BQS1062" s="989"/>
      <c r="BQT1062" s="989"/>
      <c r="BQU1062" s="989"/>
      <c r="BQV1062" s="989"/>
      <c r="BQW1062" s="989"/>
      <c r="BQX1062" s="989"/>
      <c r="BQY1062" s="989"/>
      <c r="BQZ1062" s="989"/>
      <c r="BRA1062" s="989"/>
      <c r="BRB1062" s="989"/>
      <c r="BRC1062" s="989"/>
      <c r="BRD1062" s="989"/>
      <c r="BRE1062" s="989"/>
      <c r="BRF1062" s="989"/>
      <c r="BRG1062" s="989"/>
      <c r="BRH1062" s="989"/>
      <c r="BRI1062" s="989"/>
      <c r="BRJ1062" s="989"/>
      <c r="BRK1062" s="989"/>
      <c r="BRL1062" s="989"/>
      <c r="BRM1062" s="989"/>
      <c r="BRN1062" s="989"/>
      <c r="BRO1062" s="989"/>
      <c r="BRP1062" s="989"/>
      <c r="BRQ1062" s="989"/>
      <c r="BRR1062" s="989"/>
      <c r="BRS1062" s="989"/>
      <c r="BRT1062" s="989"/>
      <c r="BRU1062" s="989"/>
      <c r="BRV1062" s="989"/>
      <c r="BRW1062" s="989"/>
      <c r="BRX1062" s="989"/>
      <c r="BRY1062" s="989"/>
      <c r="BRZ1062" s="989"/>
      <c r="BSA1062" s="989"/>
      <c r="BSB1062" s="989"/>
      <c r="BSC1062" s="989"/>
      <c r="BSD1062" s="989"/>
      <c r="BSE1062" s="989"/>
      <c r="BSF1062" s="989"/>
      <c r="BSG1062" s="989"/>
      <c r="BSH1062" s="989"/>
      <c r="BSI1062" s="989"/>
      <c r="BSJ1062" s="989"/>
      <c r="BSK1062" s="989"/>
      <c r="BSL1062" s="989"/>
      <c r="BSM1062" s="989"/>
      <c r="BSN1062" s="989"/>
      <c r="BSO1062" s="989"/>
      <c r="BSP1062" s="989"/>
      <c r="BSQ1062" s="989"/>
      <c r="BSR1062" s="989"/>
      <c r="BSS1062" s="989"/>
      <c r="BST1062" s="989"/>
      <c r="BSU1062" s="989"/>
      <c r="BSV1062" s="989"/>
      <c r="BSW1062" s="989"/>
      <c r="BSX1062" s="989"/>
      <c r="BSY1062" s="989"/>
      <c r="BSZ1062" s="989"/>
      <c r="BTA1062" s="989"/>
      <c r="BTB1062" s="989"/>
      <c r="BTC1062" s="989"/>
      <c r="BTD1062" s="989"/>
      <c r="BTE1062" s="989"/>
      <c r="BTF1062" s="989"/>
      <c r="BTG1062" s="989"/>
      <c r="BTH1062" s="989"/>
      <c r="BTI1062" s="989"/>
      <c r="BTJ1062" s="989"/>
      <c r="BTK1062" s="989"/>
      <c r="BTL1062" s="989"/>
      <c r="BTM1062" s="989"/>
      <c r="BTN1062" s="989"/>
      <c r="BTO1062" s="989"/>
      <c r="BTP1062" s="989"/>
      <c r="BTQ1062" s="989"/>
      <c r="BTR1062" s="989"/>
      <c r="BTS1062" s="989"/>
      <c r="BTT1062" s="989"/>
      <c r="BTU1062" s="989"/>
      <c r="BTV1062" s="989"/>
      <c r="BTW1062" s="989"/>
      <c r="BTX1062" s="989"/>
      <c r="BTY1062" s="989"/>
      <c r="BTZ1062" s="989"/>
      <c r="BUA1062" s="989"/>
      <c r="BUB1062" s="989"/>
      <c r="BUC1062" s="989"/>
      <c r="BUD1062" s="989"/>
      <c r="BUE1062" s="989"/>
      <c r="BUF1062" s="989"/>
      <c r="BUG1062" s="989"/>
      <c r="BUH1062" s="989"/>
      <c r="BUI1062" s="989"/>
      <c r="BUJ1062" s="989"/>
      <c r="BUK1062" s="989"/>
      <c r="BUL1062" s="989"/>
      <c r="BUM1062" s="989"/>
      <c r="BUN1062" s="989"/>
      <c r="BUO1062" s="989"/>
      <c r="BUP1062" s="989"/>
      <c r="BUQ1062" s="989"/>
      <c r="BUR1062" s="989"/>
      <c r="BUS1062" s="989"/>
      <c r="BUT1062" s="989"/>
      <c r="BUU1062" s="989"/>
      <c r="BUV1062" s="989"/>
      <c r="BUW1062" s="989"/>
      <c r="BUX1062" s="989"/>
      <c r="BUY1062" s="989"/>
      <c r="BUZ1062" s="989"/>
      <c r="BVA1062" s="989"/>
      <c r="BVB1062" s="989"/>
      <c r="BVC1062" s="989"/>
      <c r="BVD1062" s="989"/>
      <c r="BVE1062" s="989"/>
      <c r="BVF1062" s="989"/>
      <c r="BVG1062" s="989"/>
      <c r="BVH1062" s="989"/>
      <c r="BVI1062" s="989"/>
      <c r="BVJ1062" s="989"/>
      <c r="BVK1062" s="989"/>
      <c r="BVL1062" s="989"/>
      <c r="BVM1062" s="989"/>
      <c r="BVN1062" s="989"/>
      <c r="BVO1062" s="989"/>
      <c r="BVP1062" s="989"/>
      <c r="BVQ1062" s="989"/>
      <c r="BVR1062" s="989"/>
      <c r="BVS1062" s="989"/>
      <c r="BVT1062" s="989"/>
      <c r="BVU1062" s="989"/>
      <c r="BVV1062" s="989"/>
      <c r="BVW1062" s="989"/>
      <c r="BVX1062" s="989"/>
      <c r="BVY1062" s="989"/>
      <c r="BVZ1062" s="989"/>
      <c r="BWA1062" s="989"/>
      <c r="BWB1062" s="989"/>
      <c r="BWC1062" s="989"/>
      <c r="BWD1062" s="989"/>
      <c r="BWE1062" s="989"/>
      <c r="BWF1062" s="989"/>
      <c r="BWG1062" s="989"/>
      <c r="BWH1062" s="989"/>
      <c r="BWI1062" s="989"/>
      <c r="BWJ1062" s="989"/>
      <c r="BWK1062" s="989"/>
      <c r="BWL1062" s="989"/>
      <c r="BWM1062" s="989"/>
      <c r="BWN1062" s="989"/>
      <c r="BWO1062" s="989"/>
      <c r="BWP1062" s="989"/>
      <c r="BWQ1062" s="989"/>
      <c r="BWR1062" s="989"/>
      <c r="BWS1062" s="989"/>
      <c r="BWT1062" s="989"/>
      <c r="BWU1062" s="989"/>
      <c r="BWV1062" s="989"/>
      <c r="BWW1062" s="989"/>
      <c r="BWX1062" s="989"/>
      <c r="BWY1062" s="989"/>
      <c r="BWZ1062" s="989"/>
      <c r="BXA1062" s="989"/>
      <c r="BXB1062" s="989"/>
      <c r="BXC1062" s="989"/>
      <c r="BXD1062" s="989"/>
      <c r="BXE1062" s="989"/>
      <c r="BXF1062" s="989"/>
      <c r="BXG1062" s="989"/>
      <c r="BXH1062" s="989"/>
      <c r="BXI1062" s="989"/>
      <c r="BXJ1062" s="989"/>
      <c r="BXK1062" s="989"/>
      <c r="BXL1062" s="989"/>
      <c r="BXM1062" s="989"/>
      <c r="BXN1062" s="989"/>
      <c r="BXO1062" s="989"/>
      <c r="BXP1062" s="989"/>
      <c r="BXQ1062" s="989"/>
      <c r="BXR1062" s="989"/>
      <c r="BXS1062" s="989"/>
      <c r="BXT1062" s="989"/>
      <c r="BXU1062" s="989"/>
      <c r="BXV1062" s="989"/>
      <c r="BXW1062" s="989"/>
      <c r="BXX1062" s="989"/>
      <c r="BXY1062" s="989"/>
      <c r="BXZ1062" s="989"/>
      <c r="BYA1062" s="989"/>
      <c r="BYB1062" s="989"/>
      <c r="BYC1062" s="989"/>
      <c r="BYD1062" s="989"/>
      <c r="BYE1062" s="989"/>
      <c r="BYF1062" s="989"/>
      <c r="BYG1062" s="989"/>
      <c r="BYH1062" s="989"/>
      <c r="BYI1062" s="989"/>
      <c r="BYJ1062" s="989"/>
      <c r="BYK1062" s="989"/>
      <c r="BYL1062" s="989"/>
      <c r="BYM1062" s="989"/>
      <c r="BYN1062" s="989"/>
      <c r="BYO1062" s="989"/>
      <c r="BYP1062" s="989"/>
      <c r="BYQ1062" s="989"/>
      <c r="BYR1062" s="989"/>
      <c r="BYS1062" s="989"/>
      <c r="BYT1062" s="989"/>
      <c r="BYU1062" s="989"/>
      <c r="BYV1062" s="989"/>
      <c r="BYW1062" s="989"/>
      <c r="BYX1062" s="989"/>
      <c r="BYY1062" s="989"/>
      <c r="BYZ1062" s="989"/>
      <c r="BZA1062" s="989"/>
      <c r="BZB1062" s="989"/>
      <c r="BZC1062" s="989"/>
      <c r="BZD1062" s="989"/>
      <c r="BZE1062" s="989"/>
      <c r="BZF1062" s="989"/>
      <c r="BZG1062" s="989"/>
      <c r="BZH1062" s="989"/>
      <c r="BZI1062" s="989"/>
      <c r="BZJ1062" s="989"/>
      <c r="BZK1062" s="989"/>
      <c r="BZL1062" s="989"/>
      <c r="BZM1062" s="989"/>
      <c r="BZN1062" s="989"/>
      <c r="BZO1062" s="989"/>
      <c r="BZP1062" s="989"/>
      <c r="BZQ1062" s="989"/>
      <c r="BZR1062" s="989"/>
      <c r="BZS1062" s="989"/>
      <c r="BZT1062" s="989"/>
      <c r="BZU1062" s="989"/>
      <c r="BZV1062" s="989"/>
      <c r="BZW1062" s="989"/>
      <c r="BZX1062" s="989"/>
      <c r="BZY1062" s="989"/>
      <c r="BZZ1062" s="989"/>
      <c r="CAA1062" s="989"/>
      <c r="CAB1062" s="989"/>
      <c r="CAC1062" s="989"/>
      <c r="CAD1062" s="989"/>
      <c r="CAE1062" s="989"/>
      <c r="CAF1062" s="989"/>
      <c r="CAG1062" s="989"/>
      <c r="CAH1062" s="989"/>
      <c r="CAI1062" s="989"/>
      <c r="CAJ1062" s="989"/>
      <c r="CAK1062" s="989"/>
      <c r="CAL1062" s="989"/>
      <c r="CAM1062" s="989"/>
      <c r="CAN1062" s="989"/>
      <c r="CAO1062" s="989"/>
      <c r="CAP1062" s="989"/>
      <c r="CAQ1062" s="989"/>
      <c r="CAR1062" s="989"/>
      <c r="CAS1062" s="989"/>
      <c r="CAT1062" s="989"/>
      <c r="CAU1062" s="989"/>
      <c r="CAV1062" s="989"/>
      <c r="CAW1062" s="989"/>
      <c r="CAX1062" s="989"/>
      <c r="CAY1062" s="989"/>
      <c r="CAZ1062" s="989"/>
      <c r="CBA1062" s="989"/>
      <c r="CBB1062" s="989"/>
      <c r="CBC1062" s="989"/>
      <c r="CBD1062" s="989"/>
      <c r="CBE1062" s="989"/>
      <c r="CBF1062" s="989"/>
      <c r="CBG1062" s="989"/>
      <c r="CBH1062" s="989"/>
      <c r="CBI1062" s="989"/>
      <c r="CBJ1062" s="989"/>
      <c r="CBK1062" s="989"/>
      <c r="CBL1062" s="989"/>
      <c r="CBM1062" s="989"/>
      <c r="CBN1062" s="989"/>
      <c r="CBO1062" s="989"/>
      <c r="CBP1062" s="989"/>
      <c r="CBQ1062" s="989"/>
      <c r="CBR1062" s="989"/>
      <c r="CBS1062" s="989"/>
      <c r="CBT1062" s="989"/>
      <c r="CBU1062" s="989"/>
      <c r="CBV1062" s="989"/>
      <c r="CBW1062" s="989"/>
      <c r="CBX1062" s="989"/>
      <c r="CBY1062" s="989"/>
      <c r="CBZ1062" s="989"/>
      <c r="CCA1062" s="989"/>
      <c r="CCB1062" s="989"/>
      <c r="CCC1062" s="989"/>
      <c r="CCD1062" s="989"/>
      <c r="CCE1062" s="989"/>
      <c r="CCF1062" s="989"/>
      <c r="CCG1062" s="989"/>
      <c r="CCH1062" s="989"/>
      <c r="CCI1062" s="989"/>
      <c r="CCJ1062" s="989"/>
      <c r="CCK1062" s="989"/>
      <c r="CCL1062" s="989"/>
      <c r="CCM1062" s="989"/>
      <c r="CCN1062" s="989"/>
      <c r="CCO1062" s="989"/>
      <c r="CCP1062" s="989"/>
      <c r="CCQ1062" s="989"/>
      <c r="CCR1062" s="989"/>
      <c r="CCS1062" s="989"/>
      <c r="CCT1062" s="989"/>
      <c r="CCU1062" s="989"/>
      <c r="CCV1062" s="989"/>
      <c r="CCW1062" s="989"/>
      <c r="CCX1062" s="989"/>
      <c r="CCY1062" s="989"/>
      <c r="CCZ1062" s="989"/>
      <c r="CDA1062" s="989"/>
      <c r="CDB1062" s="989"/>
      <c r="CDC1062" s="989"/>
      <c r="CDD1062" s="989"/>
      <c r="CDE1062" s="989"/>
      <c r="CDF1062" s="989"/>
      <c r="CDG1062" s="989"/>
      <c r="CDH1062" s="989"/>
      <c r="CDI1062" s="989"/>
      <c r="CDJ1062" s="989"/>
      <c r="CDK1062" s="989"/>
      <c r="CDL1062" s="989"/>
      <c r="CDM1062" s="989"/>
      <c r="CDN1062" s="989"/>
      <c r="CDO1062" s="989"/>
      <c r="CDP1062" s="989"/>
      <c r="CDQ1062" s="989"/>
      <c r="CDR1062" s="989"/>
      <c r="CDS1062" s="989"/>
      <c r="CDT1062" s="989"/>
      <c r="CDU1062" s="989"/>
      <c r="CDV1062" s="989"/>
      <c r="CDW1062" s="989"/>
      <c r="CDX1062" s="989"/>
      <c r="CDY1062" s="989"/>
      <c r="CDZ1062" s="989"/>
      <c r="CEA1062" s="989"/>
      <c r="CEB1062" s="989"/>
      <c r="CEC1062" s="989"/>
      <c r="CED1062" s="989"/>
      <c r="CEE1062" s="989"/>
      <c r="CEF1062" s="989"/>
      <c r="CEG1062" s="989"/>
      <c r="CEH1062" s="989"/>
      <c r="CEI1062" s="989"/>
      <c r="CEJ1062" s="989"/>
      <c r="CEK1062" s="989"/>
      <c r="CEL1062" s="989"/>
      <c r="CEM1062" s="989"/>
      <c r="CEN1062" s="989"/>
      <c r="CEO1062" s="989"/>
      <c r="CEP1062" s="989"/>
      <c r="CEQ1062" s="989"/>
      <c r="CER1062" s="989"/>
      <c r="CES1062" s="989"/>
      <c r="CET1062" s="989"/>
      <c r="CEU1062" s="989"/>
      <c r="CEV1062" s="989"/>
      <c r="CEW1062" s="989"/>
      <c r="CEX1062" s="989"/>
      <c r="CEY1062" s="989"/>
      <c r="CEZ1062" s="989"/>
      <c r="CFA1062" s="989"/>
      <c r="CFB1062" s="989"/>
      <c r="CFC1062" s="989"/>
      <c r="CFD1062" s="989"/>
      <c r="CFE1062" s="989"/>
      <c r="CFF1062" s="989"/>
      <c r="CFG1062" s="989"/>
      <c r="CFH1062" s="989"/>
      <c r="CFI1062" s="989"/>
      <c r="CFJ1062" s="989"/>
      <c r="CFK1062" s="989"/>
      <c r="CFL1062" s="989"/>
      <c r="CFM1062" s="989"/>
      <c r="CFN1062" s="989"/>
      <c r="CFO1062" s="989"/>
      <c r="CFP1062" s="989"/>
      <c r="CFQ1062" s="989"/>
      <c r="CFR1062" s="989"/>
      <c r="CFS1062" s="989"/>
      <c r="CFT1062" s="989"/>
      <c r="CFU1062" s="989"/>
      <c r="CFV1062" s="989"/>
      <c r="CFW1062" s="989"/>
      <c r="CFX1062" s="989"/>
      <c r="CFY1062" s="989"/>
      <c r="CFZ1062" s="989"/>
      <c r="CGA1062" s="989"/>
      <c r="CGB1062" s="989"/>
      <c r="CGC1062" s="989"/>
      <c r="CGD1062" s="989"/>
      <c r="CGE1062" s="989"/>
      <c r="CGF1062" s="989"/>
      <c r="CGG1062" s="989"/>
      <c r="CGH1062" s="989"/>
      <c r="CGI1062" s="989"/>
      <c r="CGJ1062" s="989"/>
      <c r="CGK1062" s="989"/>
      <c r="CGL1062" s="989"/>
      <c r="CGM1062" s="989"/>
      <c r="CGN1062" s="989"/>
      <c r="CGO1062" s="989"/>
      <c r="CGP1062" s="989"/>
      <c r="CGQ1062" s="989"/>
      <c r="CGR1062" s="989"/>
      <c r="CGS1062" s="989"/>
      <c r="CGT1062" s="989"/>
      <c r="CGU1062" s="989"/>
      <c r="CGV1062" s="989"/>
      <c r="CGW1062" s="989"/>
      <c r="CGX1062" s="989"/>
      <c r="CGY1062" s="989"/>
      <c r="CGZ1062" s="989"/>
      <c r="CHA1062" s="989"/>
      <c r="CHB1062" s="989"/>
      <c r="CHC1062" s="989"/>
      <c r="CHD1062" s="989"/>
      <c r="CHE1062" s="989"/>
      <c r="CHF1062" s="989"/>
      <c r="CHG1062" s="989"/>
      <c r="CHH1062" s="989"/>
      <c r="CHI1062" s="989"/>
      <c r="CHJ1062" s="989"/>
      <c r="CHK1062" s="989"/>
      <c r="CHL1062" s="989"/>
      <c r="CHM1062" s="989"/>
      <c r="CHN1062" s="989"/>
      <c r="CHO1062" s="989"/>
      <c r="CHP1062" s="989"/>
      <c r="CHQ1062" s="989"/>
      <c r="CHR1062" s="989"/>
      <c r="CHS1062" s="989"/>
      <c r="CHT1062" s="989"/>
      <c r="CHU1062" s="989"/>
      <c r="CHV1062" s="989"/>
      <c r="CHW1062" s="989"/>
      <c r="CHX1062" s="989"/>
      <c r="CHY1062" s="989"/>
      <c r="CHZ1062" s="989"/>
      <c r="CIA1062" s="989"/>
      <c r="CIB1062" s="989"/>
      <c r="CIC1062" s="989"/>
      <c r="CID1062" s="989"/>
      <c r="CIE1062" s="989"/>
      <c r="CIF1062" s="989"/>
      <c r="CIG1062" s="989"/>
      <c r="CIH1062" s="989"/>
      <c r="CII1062" s="989"/>
      <c r="CIJ1062" s="989"/>
      <c r="CIK1062" s="989"/>
      <c r="CIL1062" s="989"/>
      <c r="CIM1062" s="989"/>
      <c r="CIN1062" s="989"/>
      <c r="CIO1062" s="989"/>
      <c r="CIP1062" s="989"/>
      <c r="CIQ1062" s="989"/>
      <c r="CIR1062" s="989"/>
      <c r="CIS1062" s="989"/>
      <c r="CIT1062" s="989"/>
      <c r="CIU1062" s="989"/>
      <c r="CIV1062" s="989"/>
      <c r="CIW1062" s="989"/>
      <c r="CIX1062" s="989"/>
      <c r="CIY1062" s="989"/>
      <c r="CIZ1062" s="989"/>
      <c r="CJA1062" s="989"/>
      <c r="CJB1062" s="989"/>
      <c r="CJC1062" s="989"/>
      <c r="CJD1062" s="989"/>
      <c r="CJE1062" s="989"/>
      <c r="CJF1062" s="989"/>
      <c r="CJG1062" s="989"/>
      <c r="CJH1062" s="989"/>
      <c r="CJI1062" s="989"/>
      <c r="CJJ1062" s="989"/>
      <c r="CJK1062" s="989"/>
      <c r="CJL1062" s="989"/>
      <c r="CJM1062" s="989"/>
      <c r="CJN1062" s="989"/>
      <c r="CJO1062" s="989"/>
      <c r="CJP1062" s="989"/>
      <c r="CJQ1062" s="989"/>
      <c r="CJR1062" s="989"/>
      <c r="CJS1062" s="989"/>
      <c r="CJT1062" s="989"/>
      <c r="CJU1062" s="989"/>
      <c r="CJV1062" s="989"/>
      <c r="CJW1062" s="989"/>
      <c r="CJX1062" s="989"/>
      <c r="CJY1062" s="989"/>
      <c r="CJZ1062" s="989"/>
      <c r="CKA1062" s="989"/>
      <c r="CKB1062" s="989"/>
      <c r="CKC1062" s="989"/>
      <c r="CKD1062" s="989"/>
      <c r="CKE1062" s="989"/>
      <c r="CKF1062" s="989"/>
      <c r="CKG1062" s="989"/>
      <c r="CKH1062" s="989"/>
      <c r="CKI1062" s="989"/>
      <c r="CKJ1062" s="989"/>
      <c r="CKK1062" s="989"/>
      <c r="CKL1062" s="989"/>
      <c r="CKM1062" s="989"/>
      <c r="CKN1062" s="989"/>
      <c r="CKO1062" s="989"/>
      <c r="CKP1062" s="989"/>
      <c r="CKQ1062" s="989"/>
      <c r="CKR1062" s="989"/>
      <c r="CKS1062" s="989"/>
      <c r="CKT1062" s="989"/>
      <c r="CKU1062" s="989"/>
      <c r="CKV1062" s="989"/>
      <c r="CKW1062" s="989"/>
      <c r="CKX1062" s="989"/>
      <c r="CKY1062" s="989"/>
      <c r="CKZ1062" s="989"/>
      <c r="CLA1062" s="989"/>
      <c r="CLB1062" s="989"/>
      <c r="CLC1062" s="989"/>
      <c r="CLD1062" s="989"/>
      <c r="CLE1062" s="989"/>
      <c r="CLF1062" s="989"/>
      <c r="CLG1062" s="989"/>
      <c r="CLH1062" s="989"/>
      <c r="CLI1062" s="989"/>
      <c r="CLJ1062" s="989"/>
      <c r="CLK1062" s="989"/>
      <c r="CLL1062" s="989"/>
      <c r="CLM1062" s="989"/>
      <c r="CLN1062" s="989"/>
      <c r="CLO1062" s="989"/>
      <c r="CLP1062" s="989"/>
      <c r="CLQ1062" s="989"/>
      <c r="CLR1062" s="989"/>
      <c r="CLS1062" s="989"/>
      <c r="CLT1062" s="989"/>
      <c r="CLU1062" s="989"/>
      <c r="CLV1062" s="989"/>
      <c r="CLW1062" s="989"/>
      <c r="CLX1062" s="989"/>
      <c r="CLY1062" s="989"/>
      <c r="CLZ1062" s="989"/>
      <c r="CMA1062" s="989"/>
      <c r="CMB1062" s="989"/>
      <c r="CMC1062" s="989"/>
      <c r="CMD1062" s="989"/>
      <c r="CME1062" s="989"/>
      <c r="CMF1062" s="989"/>
      <c r="CMG1062" s="989"/>
      <c r="CMH1062" s="989"/>
      <c r="CMI1062" s="989"/>
      <c r="CMJ1062" s="989"/>
      <c r="CMK1062" s="989"/>
      <c r="CML1062" s="989"/>
      <c r="CMM1062" s="989"/>
      <c r="CMN1062" s="989"/>
      <c r="CMO1062" s="989"/>
      <c r="CMP1062" s="989"/>
      <c r="CMQ1062" s="989"/>
      <c r="CMR1062" s="989"/>
      <c r="CMS1062" s="989"/>
      <c r="CMT1062" s="989"/>
      <c r="CMU1062" s="989"/>
      <c r="CMV1062" s="989"/>
      <c r="CMW1062" s="989"/>
      <c r="CMX1062" s="989"/>
      <c r="CMY1062" s="989"/>
      <c r="CMZ1062" s="989"/>
      <c r="CNA1062" s="989"/>
      <c r="CNB1062" s="989"/>
      <c r="CNC1062" s="989"/>
      <c r="CND1062" s="989"/>
      <c r="CNE1062" s="989"/>
      <c r="CNF1062" s="989"/>
      <c r="CNG1062" s="989"/>
      <c r="CNH1062" s="989"/>
      <c r="CNI1062" s="989"/>
      <c r="CNJ1062" s="989"/>
      <c r="CNK1062" s="989"/>
      <c r="CNL1062" s="989"/>
      <c r="CNM1062" s="989"/>
      <c r="CNN1062" s="989"/>
      <c r="CNO1062" s="989"/>
      <c r="CNP1062" s="989"/>
      <c r="CNQ1062" s="989"/>
      <c r="CNR1062" s="989"/>
      <c r="CNS1062" s="989"/>
      <c r="CNT1062" s="989"/>
      <c r="CNU1062" s="989"/>
      <c r="CNV1062" s="989"/>
      <c r="CNW1062" s="989"/>
      <c r="CNX1062" s="989"/>
      <c r="CNY1062" s="989"/>
      <c r="CNZ1062" s="989"/>
      <c r="COA1062" s="989"/>
      <c r="COB1062" s="989"/>
      <c r="COC1062" s="989"/>
      <c r="COD1062" s="989"/>
      <c r="COE1062" s="989"/>
      <c r="COF1062" s="989"/>
      <c r="COG1062" s="989"/>
      <c r="COH1062" s="989"/>
      <c r="COI1062" s="989"/>
      <c r="COJ1062" s="989"/>
      <c r="COK1062" s="989"/>
      <c r="COL1062" s="989"/>
      <c r="COM1062" s="989"/>
      <c r="CON1062" s="989"/>
      <c r="COO1062" s="989"/>
      <c r="COP1062" s="989"/>
      <c r="COQ1062" s="989"/>
      <c r="COR1062" s="989"/>
      <c r="COS1062" s="989"/>
      <c r="COT1062" s="989"/>
      <c r="COU1062" s="989"/>
      <c r="COV1062" s="989"/>
      <c r="COW1062" s="989"/>
      <c r="COX1062" s="989"/>
      <c r="COY1062" s="989"/>
      <c r="COZ1062" s="989"/>
      <c r="CPA1062" s="989"/>
      <c r="CPB1062" s="989"/>
      <c r="CPC1062" s="989"/>
      <c r="CPD1062" s="989"/>
      <c r="CPE1062" s="989"/>
      <c r="CPF1062" s="989"/>
      <c r="CPG1062" s="989"/>
      <c r="CPH1062" s="989"/>
      <c r="CPI1062" s="989"/>
      <c r="CPJ1062" s="989"/>
      <c r="CPK1062" s="989"/>
      <c r="CPL1062" s="989"/>
      <c r="CPM1062" s="989"/>
      <c r="CPN1062" s="989"/>
      <c r="CPO1062" s="989"/>
      <c r="CPP1062" s="989"/>
      <c r="CPQ1062" s="989"/>
      <c r="CPR1062" s="989"/>
      <c r="CPS1062" s="989"/>
      <c r="CPT1062" s="989"/>
      <c r="CPU1062" s="989"/>
      <c r="CPV1062" s="989"/>
      <c r="CPW1062" s="989"/>
      <c r="CPX1062" s="989"/>
      <c r="CPY1062" s="989"/>
      <c r="CPZ1062" s="989"/>
      <c r="CQA1062" s="989"/>
      <c r="CQB1062" s="989"/>
      <c r="CQC1062" s="989"/>
      <c r="CQD1062" s="989"/>
      <c r="CQE1062" s="989"/>
      <c r="CQF1062" s="989"/>
      <c r="CQG1062" s="989"/>
      <c r="CQH1062" s="989"/>
      <c r="CQI1062" s="989"/>
      <c r="CQJ1062" s="989"/>
      <c r="CQK1062" s="989"/>
      <c r="CQL1062" s="989"/>
      <c r="CQM1062" s="989"/>
      <c r="CQN1062" s="989"/>
      <c r="CQO1062" s="989"/>
      <c r="CQP1062" s="989"/>
      <c r="CQQ1062" s="989"/>
      <c r="CQR1062" s="989"/>
      <c r="CQS1062" s="989"/>
      <c r="CQT1062" s="989"/>
      <c r="CQU1062" s="989"/>
      <c r="CQV1062" s="989"/>
      <c r="CQW1062" s="989"/>
      <c r="CQX1062" s="989"/>
      <c r="CQY1062" s="989"/>
      <c r="CQZ1062" s="989"/>
      <c r="CRA1062" s="989"/>
      <c r="CRB1062" s="989"/>
      <c r="CRC1062" s="989"/>
      <c r="CRD1062" s="989"/>
      <c r="CRE1062" s="989"/>
      <c r="CRF1062" s="989"/>
      <c r="CRG1062" s="989"/>
      <c r="CRH1062" s="989"/>
      <c r="CRI1062" s="989"/>
      <c r="CRJ1062" s="989"/>
      <c r="CRK1062" s="989"/>
      <c r="CRL1062" s="989"/>
      <c r="CRM1062" s="989"/>
      <c r="CRN1062" s="989"/>
      <c r="CRO1062" s="989"/>
      <c r="CRP1062" s="989"/>
      <c r="CRQ1062" s="989"/>
      <c r="CRR1062" s="989"/>
      <c r="CRS1062" s="989"/>
      <c r="CRT1062" s="989"/>
      <c r="CRU1062" s="989"/>
      <c r="CRV1062" s="989"/>
      <c r="CRW1062" s="989"/>
      <c r="CRX1062" s="989"/>
      <c r="CRY1062" s="989"/>
      <c r="CRZ1062" s="989"/>
      <c r="CSA1062" s="989"/>
      <c r="CSB1062" s="989"/>
      <c r="CSC1062" s="989"/>
      <c r="CSD1062" s="989"/>
      <c r="CSE1062" s="989"/>
      <c r="CSF1062" s="989"/>
      <c r="CSG1062" s="989"/>
      <c r="CSH1062" s="989"/>
      <c r="CSI1062" s="989"/>
      <c r="CSJ1062" s="989"/>
      <c r="CSK1062" s="989"/>
      <c r="CSL1062" s="989"/>
      <c r="CSM1062" s="989"/>
      <c r="CSN1062" s="989"/>
      <c r="CSO1062" s="989"/>
      <c r="CSP1062" s="989"/>
      <c r="CSQ1062" s="989"/>
      <c r="CSR1062" s="989"/>
      <c r="CSS1062" s="989"/>
      <c r="CST1062" s="989"/>
      <c r="CSU1062" s="989"/>
      <c r="CSV1062" s="989"/>
      <c r="CSW1062" s="989"/>
      <c r="CSX1062" s="989"/>
      <c r="CSY1062" s="989"/>
      <c r="CSZ1062" s="989"/>
      <c r="CTA1062" s="989"/>
      <c r="CTB1062" s="989"/>
      <c r="CTC1062" s="989"/>
      <c r="CTD1062" s="989"/>
      <c r="CTE1062" s="989"/>
      <c r="CTF1062" s="989"/>
      <c r="CTG1062" s="989"/>
      <c r="CTH1062" s="989"/>
      <c r="CTI1062" s="989"/>
      <c r="CTJ1062" s="989"/>
      <c r="CTK1062" s="989"/>
      <c r="CTL1062" s="989"/>
      <c r="CTM1062" s="989"/>
      <c r="CTN1062" s="989"/>
      <c r="CTO1062" s="989"/>
      <c r="CTP1062" s="989"/>
      <c r="CTQ1062" s="989"/>
      <c r="CTR1062" s="989"/>
      <c r="CTS1062" s="989"/>
      <c r="CTT1062" s="989"/>
      <c r="CTU1062" s="989"/>
      <c r="CTV1062" s="989"/>
      <c r="CTW1062" s="989"/>
      <c r="CTX1062" s="989"/>
      <c r="CTY1062" s="989"/>
      <c r="CTZ1062" s="989"/>
      <c r="CUA1062" s="989"/>
      <c r="CUB1062" s="989"/>
      <c r="CUC1062" s="989"/>
      <c r="CUD1062" s="989"/>
      <c r="CUE1062" s="989"/>
      <c r="CUF1062" s="989"/>
      <c r="CUG1062" s="989"/>
      <c r="CUH1062" s="989"/>
      <c r="CUI1062" s="989"/>
      <c r="CUJ1062" s="989"/>
      <c r="CUK1062" s="989"/>
      <c r="CUL1062" s="989"/>
      <c r="CUM1062" s="989"/>
      <c r="CUN1062" s="989"/>
      <c r="CUO1062" s="989"/>
      <c r="CUP1062" s="989"/>
      <c r="CUQ1062" s="989"/>
      <c r="CUR1062" s="989"/>
      <c r="CUS1062" s="989"/>
      <c r="CUT1062" s="989"/>
      <c r="CUU1062" s="989"/>
      <c r="CUV1062" s="989"/>
      <c r="CUW1062" s="989"/>
      <c r="CUX1062" s="989"/>
      <c r="CUY1062" s="989"/>
      <c r="CUZ1062" s="989"/>
      <c r="CVA1062" s="989"/>
      <c r="CVB1062" s="989"/>
      <c r="CVC1062" s="989"/>
      <c r="CVD1062" s="989"/>
      <c r="CVE1062" s="989"/>
      <c r="CVF1062" s="989"/>
      <c r="CVG1062" s="989"/>
      <c r="CVH1062" s="989"/>
      <c r="CVI1062" s="989"/>
      <c r="CVJ1062" s="989"/>
      <c r="CVK1062" s="989"/>
      <c r="CVL1062" s="989"/>
      <c r="CVM1062" s="989"/>
      <c r="CVN1062" s="989"/>
      <c r="CVO1062" s="989"/>
      <c r="CVP1062" s="989"/>
      <c r="CVQ1062" s="989"/>
      <c r="CVR1062" s="989"/>
      <c r="CVS1062" s="989"/>
      <c r="CVT1062" s="989"/>
      <c r="CVU1062" s="989"/>
      <c r="CVV1062" s="989"/>
      <c r="CVW1062" s="989"/>
      <c r="CVX1062" s="989"/>
      <c r="CVY1062" s="989"/>
      <c r="CVZ1062" s="989"/>
      <c r="CWA1062" s="989"/>
      <c r="CWB1062" s="989"/>
      <c r="CWC1062" s="989"/>
      <c r="CWD1062" s="989"/>
      <c r="CWE1062" s="989"/>
      <c r="CWF1062" s="989"/>
      <c r="CWG1062" s="989"/>
      <c r="CWH1062" s="989"/>
      <c r="CWI1062" s="989"/>
      <c r="CWJ1062" s="989"/>
      <c r="CWK1062" s="989"/>
      <c r="CWL1062" s="989"/>
      <c r="CWM1062" s="989"/>
      <c r="CWN1062" s="989"/>
      <c r="CWO1062" s="989"/>
      <c r="CWP1062" s="989"/>
      <c r="CWQ1062" s="989"/>
      <c r="CWR1062" s="989"/>
      <c r="CWS1062" s="989"/>
      <c r="CWT1062" s="989"/>
      <c r="CWU1062" s="989"/>
      <c r="CWV1062" s="989"/>
      <c r="CWW1062" s="989"/>
      <c r="CWX1062" s="989"/>
      <c r="CWY1062" s="989"/>
      <c r="CWZ1062" s="989"/>
      <c r="CXA1062" s="989"/>
      <c r="CXB1062" s="989"/>
      <c r="CXC1062" s="989"/>
      <c r="CXD1062" s="989"/>
      <c r="CXE1062" s="989"/>
      <c r="CXF1062" s="989"/>
      <c r="CXG1062" s="989"/>
      <c r="CXH1062" s="989"/>
      <c r="CXI1062" s="989"/>
      <c r="CXJ1062" s="989"/>
      <c r="CXK1062" s="989"/>
      <c r="CXL1062" s="989"/>
      <c r="CXM1062" s="989"/>
      <c r="CXN1062" s="989"/>
      <c r="CXO1062" s="989"/>
      <c r="CXP1062" s="989"/>
      <c r="CXQ1062" s="989"/>
      <c r="CXR1062" s="989"/>
      <c r="CXS1062" s="989"/>
      <c r="CXT1062" s="989"/>
      <c r="CXU1062" s="989"/>
      <c r="CXV1062" s="989"/>
      <c r="CXW1062" s="989"/>
      <c r="CXX1062" s="989"/>
      <c r="CXY1062" s="989"/>
      <c r="CXZ1062" s="989"/>
      <c r="CYA1062" s="989"/>
      <c r="CYB1062" s="989"/>
      <c r="CYC1062" s="989"/>
      <c r="CYD1062" s="989"/>
      <c r="CYE1062" s="989"/>
      <c r="CYF1062" s="989"/>
      <c r="CYG1062" s="989"/>
      <c r="CYH1062" s="989"/>
      <c r="CYI1062" s="989"/>
      <c r="CYJ1062" s="989"/>
      <c r="CYK1062" s="989"/>
      <c r="CYL1062" s="989"/>
      <c r="CYM1062" s="989"/>
      <c r="CYN1062" s="989"/>
      <c r="CYO1062" s="989"/>
      <c r="CYP1062" s="989"/>
      <c r="CYQ1062" s="989"/>
      <c r="CYR1062" s="989"/>
      <c r="CYS1062" s="989"/>
      <c r="CYT1062" s="989"/>
      <c r="CYU1062" s="989"/>
      <c r="CYV1062" s="989"/>
      <c r="CYW1062" s="989"/>
      <c r="CYX1062" s="989"/>
      <c r="CYY1062" s="989"/>
      <c r="CYZ1062" s="989"/>
      <c r="CZA1062" s="989"/>
      <c r="CZB1062" s="989"/>
      <c r="CZC1062" s="989"/>
      <c r="CZD1062" s="989"/>
      <c r="CZE1062" s="989"/>
      <c r="CZF1062" s="989"/>
      <c r="CZG1062" s="989"/>
      <c r="CZH1062" s="989"/>
      <c r="CZI1062" s="989"/>
      <c r="CZJ1062" s="989"/>
      <c r="CZK1062" s="989"/>
      <c r="CZL1062" s="989"/>
      <c r="CZM1062" s="989"/>
      <c r="CZN1062" s="989"/>
      <c r="CZO1062" s="989"/>
      <c r="CZP1062" s="989"/>
      <c r="CZQ1062" s="989"/>
      <c r="CZR1062" s="989"/>
      <c r="CZS1062" s="989"/>
      <c r="CZT1062" s="989"/>
      <c r="CZU1062" s="989"/>
      <c r="CZV1062" s="989"/>
      <c r="CZW1062" s="989"/>
      <c r="CZX1062" s="989"/>
      <c r="CZY1062" s="989"/>
      <c r="CZZ1062" s="989"/>
      <c r="DAA1062" s="989"/>
      <c r="DAB1062" s="989"/>
      <c r="DAC1062" s="989"/>
      <c r="DAD1062" s="989"/>
      <c r="DAE1062" s="989"/>
      <c r="DAF1062" s="989"/>
      <c r="DAG1062" s="989"/>
      <c r="DAH1062" s="989"/>
      <c r="DAI1062" s="989"/>
      <c r="DAJ1062" s="989"/>
      <c r="DAK1062" s="989"/>
      <c r="DAL1062" s="989"/>
      <c r="DAM1062" s="989"/>
      <c r="DAN1062" s="989"/>
      <c r="DAO1062" s="989"/>
      <c r="DAP1062" s="989"/>
      <c r="DAQ1062" s="989"/>
      <c r="DAR1062" s="989"/>
      <c r="DAS1062" s="989"/>
      <c r="DAT1062" s="989"/>
      <c r="DAU1062" s="989"/>
      <c r="DAV1062" s="989"/>
      <c r="DAW1062" s="989"/>
      <c r="DAX1062" s="989"/>
      <c r="DAY1062" s="989"/>
      <c r="DAZ1062" s="989"/>
      <c r="DBA1062" s="989"/>
      <c r="DBB1062" s="989"/>
      <c r="DBC1062" s="989"/>
      <c r="DBD1062" s="989"/>
      <c r="DBE1062" s="989"/>
      <c r="DBF1062" s="989"/>
      <c r="DBG1062" s="989"/>
      <c r="DBH1062" s="989"/>
      <c r="DBI1062" s="989"/>
      <c r="DBJ1062" s="989"/>
      <c r="DBK1062" s="989"/>
      <c r="DBL1062" s="989"/>
      <c r="DBM1062" s="989"/>
      <c r="DBN1062" s="989"/>
      <c r="DBO1062" s="989"/>
      <c r="DBP1062" s="989"/>
      <c r="DBQ1062" s="989"/>
      <c r="DBR1062" s="989"/>
      <c r="DBS1062" s="989"/>
      <c r="DBT1062" s="989"/>
      <c r="DBU1062" s="989"/>
      <c r="DBV1062" s="989"/>
      <c r="DBW1062" s="989"/>
      <c r="DBX1062" s="989"/>
      <c r="DBY1062" s="989"/>
      <c r="DBZ1062" s="989"/>
      <c r="DCA1062" s="989"/>
      <c r="DCB1062" s="989"/>
      <c r="DCC1062" s="989"/>
      <c r="DCD1062" s="989"/>
      <c r="DCE1062" s="989"/>
      <c r="DCF1062" s="989"/>
      <c r="DCG1062" s="989"/>
      <c r="DCH1062" s="989"/>
      <c r="DCI1062" s="989"/>
      <c r="DCJ1062" s="989"/>
      <c r="DCK1062" s="989"/>
      <c r="DCL1062" s="989"/>
      <c r="DCM1062" s="989"/>
      <c r="DCN1062" s="989"/>
      <c r="DCO1062" s="989"/>
      <c r="DCP1062" s="989"/>
      <c r="DCQ1062" s="989"/>
      <c r="DCR1062" s="989"/>
      <c r="DCS1062" s="989"/>
      <c r="DCT1062" s="989"/>
      <c r="DCU1062" s="989"/>
      <c r="DCV1062" s="989"/>
      <c r="DCW1062" s="989"/>
      <c r="DCX1062" s="989"/>
      <c r="DCY1062" s="989"/>
      <c r="DCZ1062" s="989"/>
      <c r="DDA1062" s="989"/>
      <c r="DDB1062" s="989"/>
      <c r="DDC1062" s="989"/>
      <c r="DDD1062" s="989"/>
      <c r="DDE1062" s="989"/>
      <c r="DDF1062" s="989"/>
      <c r="DDG1062" s="989"/>
      <c r="DDH1062" s="989"/>
      <c r="DDI1062" s="989"/>
      <c r="DDJ1062" s="989"/>
      <c r="DDK1062" s="989"/>
      <c r="DDL1062" s="989"/>
      <c r="DDM1062" s="989"/>
      <c r="DDN1062" s="989"/>
      <c r="DDO1062" s="989"/>
      <c r="DDP1062" s="989"/>
      <c r="DDQ1062" s="989"/>
      <c r="DDR1062" s="989"/>
      <c r="DDS1062" s="989"/>
      <c r="DDT1062" s="989"/>
      <c r="DDU1062" s="989"/>
      <c r="DDV1062" s="989"/>
      <c r="DDW1062" s="989"/>
      <c r="DDX1062" s="989"/>
      <c r="DDY1062" s="989"/>
      <c r="DDZ1062" s="989"/>
      <c r="DEA1062" s="989"/>
      <c r="DEB1062" s="989"/>
      <c r="DEC1062" s="989"/>
      <c r="DED1062" s="989"/>
      <c r="DEE1062" s="989"/>
      <c r="DEF1062" s="989"/>
      <c r="DEG1062" s="989"/>
      <c r="DEH1062" s="989"/>
      <c r="DEI1062" s="989"/>
      <c r="DEJ1062" s="989"/>
      <c r="DEK1062" s="989"/>
      <c r="DEL1062" s="989"/>
      <c r="DEM1062" s="989"/>
      <c r="DEN1062" s="989"/>
      <c r="DEO1062" s="989"/>
      <c r="DEP1062" s="989"/>
      <c r="DEQ1062" s="989"/>
      <c r="DER1062" s="989"/>
      <c r="DES1062" s="989"/>
      <c r="DET1062" s="989"/>
      <c r="DEU1062" s="989"/>
      <c r="DEV1062" s="989"/>
      <c r="DEW1062" s="989"/>
      <c r="DEX1062" s="989"/>
      <c r="DEY1062" s="989"/>
      <c r="DEZ1062" s="989"/>
      <c r="DFA1062" s="989"/>
      <c r="DFB1062" s="989"/>
      <c r="DFC1062" s="989"/>
      <c r="DFD1062" s="989"/>
      <c r="DFE1062" s="989"/>
      <c r="DFF1062" s="989"/>
      <c r="DFG1062" s="989"/>
      <c r="DFH1062" s="989"/>
      <c r="DFI1062" s="989"/>
      <c r="DFJ1062" s="989"/>
      <c r="DFK1062" s="989"/>
      <c r="DFL1062" s="989"/>
      <c r="DFM1062" s="989"/>
      <c r="DFN1062" s="989"/>
      <c r="DFO1062" s="989"/>
      <c r="DFP1062" s="989"/>
      <c r="DFQ1062" s="989"/>
      <c r="DFR1062" s="989"/>
      <c r="DFS1062" s="989"/>
      <c r="DFT1062" s="989"/>
      <c r="DFU1062" s="989"/>
      <c r="DFV1062" s="989"/>
      <c r="DFW1062" s="989"/>
      <c r="DFX1062" s="989"/>
      <c r="DFY1062" s="989"/>
      <c r="DFZ1062" s="989"/>
      <c r="DGA1062" s="989"/>
      <c r="DGB1062" s="989"/>
      <c r="DGC1062" s="989"/>
      <c r="DGD1062" s="989"/>
      <c r="DGE1062" s="989"/>
      <c r="DGF1062" s="989"/>
      <c r="DGG1062" s="989"/>
      <c r="DGH1062" s="989"/>
      <c r="DGI1062" s="989"/>
      <c r="DGJ1062" s="989"/>
      <c r="DGK1062" s="989"/>
      <c r="DGL1062" s="989"/>
      <c r="DGM1062" s="989"/>
      <c r="DGN1062" s="989"/>
      <c r="DGO1062" s="989"/>
      <c r="DGP1062" s="989"/>
      <c r="DGQ1062" s="989"/>
      <c r="DGR1062" s="989"/>
      <c r="DGS1062" s="989"/>
      <c r="DGT1062" s="989"/>
      <c r="DGU1062" s="989"/>
      <c r="DGV1062" s="989"/>
      <c r="DGW1062" s="989"/>
      <c r="DGX1062" s="989"/>
      <c r="DGY1062" s="989"/>
      <c r="DGZ1062" s="989"/>
      <c r="DHA1062" s="989"/>
      <c r="DHB1062" s="989"/>
      <c r="DHC1062" s="989"/>
      <c r="DHD1062" s="989"/>
      <c r="DHE1062" s="989"/>
      <c r="DHF1062" s="989"/>
      <c r="DHG1062" s="989"/>
      <c r="DHH1062" s="989"/>
      <c r="DHI1062" s="989"/>
      <c r="DHJ1062" s="989"/>
      <c r="DHK1062" s="989"/>
      <c r="DHL1062" s="989"/>
      <c r="DHM1062" s="989"/>
      <c r="DHN1062" s="989"/>
      <c r="DHO1062" s="989"/>
      <c r="DHP1062" s="989"/>
      <c r="DHQ1062" s="989"/>
      <c r="DHR1062" s="989"/>
      <c r="DHS1062" s="989"/>
      <c r="DHT1062" s="989"/>
      <c r="DHU1062" s="989"/>
      <c r="DHV1062" s="989"/>
      <c r="DHW1062" s="989"/>
      <c r="DHX1062" s="989"/>
      <c r="DHY1062" s="989"/>
      <c r="DHZ1062" s="989"/>
      <c r="DIA1062" s="989"/>
      <c r="DIB1062" s="989"/>
      <c r="DIC1062" s="989"/>
      <c r="DID1062" s="989"/>
      <c r="DIE1062" s="989"/>
      <c r="DIF1062" s="989"/>
      <c r="DIG1062" s="989"/>
      <c r="DIH1062" s="989"/>
      <c r="DII1062" s="989"/>
      <c r="DIJ1062" s="989"/>
      <c r="DIK1062" s="989"/>
      <c r="DIL1062" s="989"/>
      <c r="DIM1062" s="989"/>
      <c r="DIN1062" s="989"/>
      <c r="DIO1062" s="989"/>
      <c r="DIP1062" s="989"/>
      <c r="DIQ1062" s="989"/>
      <c r="DIR1062" s="989"/>
      <c r="DIS1062" s="989"/>
      <c r="DIT1062" s="989"/>
      <c r="DIU1062" s="989"/>
      <c r="DIV1062" s="989"/>
      <c r="DIW1062" s="989"/>
      <c r="DIX1062" s="989"/>
      <c r="DIY1062" s="989"/>
      <c r="DIZ1062" s="989"/>
      <c r="DJA1062" s="989"/>
      <c r="DJB1062" s="989"/>
      <c r="DJC1062" s="989"/>
      <c r="DJD1062" s="989"/>
      <c r="DJE1062" s="989"/>
      <c r="DJF1062" s="989"/>
      <c r="DJG1062" s="989"/>
      <c r="DJH1062" s="989"/>
      <c r="DJI1062" s="989"/>
      <c r="DJJ1062" s="989"/>
      <c r="DJK1062" s="989"/>
      <c r="DJL1062" s="989"/>
      <c r="DJM1062" s="989"/>
      <c r="DJN1062" s="989"/>
      <c r="DJO1062" s="989"/>
      <c r="DJP1062" s="989"/>
      <c r="DJQ1062" s="989"/>
      <c r="DJR1062" s="989"/>
      <c r="DJS1062" s="989"/>
      <c r="DJT1062" s="989"/>
      <c r="DJU1062" s="989"/>
      <c r="DJV1062" s="989"/>
      <c r="DJW1062" s="989"/>
      <c r="DJX1062" s="989"/>
      <c r="DJY1062" s="989"/>
      <c r="DJZ1062" s="989"/>
      <c r="DKA1062" s="989"/>
      <c r="DKB1062" s="989"/>
      <c r="DKC1062" s="989"/>
      <c r="DKD1062" s="989"/>
      <c r="DKE1062" s="989"/>
      <c r="DKF1062" s="989"/>
      <c r="DKG1062" s="989"/>
      <c r="DKH1062" s="989"/>
      <c r="DKI1062" s="989"/>
      <c r="DKJ1062" s="989"/>
      <c r="DKK1062" s="989"/>
      <c r="DKL1062" s="989"/>
      <c r="DKM1062" s="989"/>
      <c r="DKN1062" s="989"/>
      <c r="DKO1062" s="989"/>
      <c r="DKP1062" s="989"/>
      <c r="DKQ1062" s="989"/>
      <c r="DKR1062" s="989"/>
      <c r="DKS1062" s="989"/>
      <c r="DKT1062" s="989"/>
      <c r="DKU1062" s="989"/>
      <c r="DKV1062" s="989"/>
      <c r="DKW1062" s="989"/>
      <c r="DKX1062" s="989"/>
      <c r="DKY1062" s="989"/>
      <c r="DKZ1062" s="989"/>
      <c r="DLA1062" s="989"/>
      <c r="DLB1062" s="989"/>
      <c r="DLC1062" s="989"/>
      <c r="DLD1062" s="989"/>
      <c r="DLE1062" s="989"/>
      <c r="DLF1062" s="989"/>
      <c r="DLG1062" s="989"/>
      <c r="DLH1062" s="989"/>
      <c r="DLI1062" s="989"/>
      <c r="DLJ1062" s="989"/>
      <c r="DLK1062" s="989"/>
      <c r="DLL1062" s="989"/>
      <c r="DLM1062" s="989"/>
      <c r="DLN1062" s="989"/>
      <c r="DLO1062" s="989"/>
      <c r="DLP1062" s="989"/>
      <c r="DLQ1062" s="989"/>
      <c r="DLR1062" s="989"/>
      <c r="DLS1062" s="989"/>
      <c r="DLT1062" s="989"/>
      <c r="DLU1062" s="989"/>
      <c r="DLV1062" s="989"/>
      <c r="DLW1062" s="989"/>
      <c r="DLX1062" s="989"/>
      <c r="DLY1062" s="989"/>
      <c r="DLZ1062" s="989"/>
      <c r="DMA1062" s="989"/>
      <c r="DMB1062" s="989"/>
      <c r="DMC1062" s="989"/>
      <c r="DMD1062" s="989"/>
      <c r="DME1062" s="989"/>
      <c r="DMF1062" s="989"/>
      <c r="DMG1062" s="989"/>
      <c r="DMH1062" s="989"/>
      <c r="DMI1062" s="989"/>
      <c r="DMJ1062" s="989"/>
      <c r="DMK1062" s="989"/>
      <c r="DML1062" s="989"/>
      <c r="DMM1062" s="989"/>
      <c r="DMN1062" s="989"/>
      <c r="DMO1062" s="989"/>
      <c r="DMP1062" s="989"/>
      <c r="DMQ1062" s="989"/>
      <c r="DMR1062" s="989"/>
      <c r="DMS1062" s="989"/>
      <c r="DMT1062" s="989"/>
      <c r="DMU1062" s="989"/>
      <c r="DMV1062" s="989"/>
      <c r="DMW1062" s="989"/>
      <c r="DMX1062" s="989"/>
      <c r="DMY1062" s="989"/>
      <c r="DMZ1062" s="989"/>
      <c r="DNA1062" s="989"/>
      <c r="DNB1062" s="989"/>
      <c r="DNC1062" s="989"/>
      <c r="DND1062" s="989"/>
      <c r="DNE1062" s="989"/>
      <c r="DNF1062" s="989"/>
      <c r="DNG1062" s="989"/>
      <c r="DNH1062" s="989"/>
      <c r="DNI1062" s="989"/>
      <c r="DNJ1062" s="989"/>
      <c r="DNK1062" s="989"/>
      <c r="DNL1062" s="989"/>
      <c r="DNM1062" s="989"/>
      <c r="DNN1062" s="989"/>
      <c r="DNO1062" s="989"/>
      <c r="DNP1062" s="989"/>
      <c r="DNQ1062" s="989"/>
      <c r="DNR1062" s="989"/>
      <c r="DNS1062" s="989"/>
      <c r="DNT1062" s="989"/>
      <c r="DNU1062" s="989"/>
      <c r="DNV1062" s="989"/>
      <c r="DNW1062" s="989"/>
      <c r="DNX1062" s="989"/>
      <c r="DNY1062" s="989"/>
      <c r="DNZ1062" s="989"/>
      <c r="DOA1062" s="989"/>
      <c r="DOB1062" s="989"/>
      <c r="DOC1062" s="989"/>
      <c r="DOD1062" s="989"/>
      <c r="DOE1062" s="989"/>
      <c r="DOF1062" s="989"/>
      <c r="DOG1062" s="989"/>
      <c r="DOH1062" s="989"/>
      <c r="DOI1062" s="989"/>
      <c r="DOJ1062" s="989"/>
      <c r="DOK1062" s="989"/>
      <c r="DOL1062" s="989"/>
      <c r="DOM1062" s="989"/>
      <c r="DON1062" s="989"/>
      <c r="DOO1062" s="989"/>
      <c r="DOP1062" s="989"/>
      <c r="DOQ1062" s="989"/>
      <c r="DOR1062" s="989"/>
      <c r="DOS1062" s="989"/>
      <c r="DOT1062" s="989"/>
      <c r="DOU1062" s="989"/>
      <c r="DOV1062" s="989"/>
      <c r="DOW1062" s="989"/>
      <c r="DOX1062" s="989"/>
      <c r="DOY1062" s="989"/>
      <c r="DOZ1062" s="989"/>
      <c r="DPA1062" s="989"/>
      <c r="DPB1062" s="989"/>
      <c r="DPC1062" s="989"/>
      <c r="DPD1062" s="989"/>
      <c r="DPE1062" s="989"/>
      <c r="DPF1062" s="989"/>
      <c r="DPG1062" s="989"/>
      <c r="DPH1062" s="989"/>
      <c r="DPI1062" s="989"/>
      <c r="DPJ1062" s="989"/>
      <c r="DPK1062" s="989"/>
      <c r="DPL1062" s="989"/>
      <c r="DPM1062" s="989"/>
      <c r="DPN1062" s="989"/>
      <c r="DPO1062" s="989"/>
      <c r="DPP1062" s="989"/>
      <c r="DPQ1062" s="989"/>
      <c r="DPR1062" s="989"/>
      <c r="DPS1062" s="989"/>
      <c r="DPT1062" s="989"/>
      <c r="DPU1062" s="989"/>
      <c r="DPV1062" s="989"/>
      <c r="DPW1062" s="989"/>
      <c r="DPX1062" s="989"/>
      <c r="DPY1062" s="989"/>
      <c r="DPZ1062" s="989"/>
      <c r="DQA1062" s="989"/>
      <c r="DQB1062" s="989"/>
      <c r="DQC1062" s="989"/>
      <c r="DQD1062" s="989"/>
      <c r="DQE1062" s="989"/>
      <c r="DQF1062" s="989"/>
      <c r="DQG1062" s="989"/>
      <c r="DQH1062" s="989"/>
      <c r="DQI1062" s="989"/>
      <c r="DQJ1062" s="989"/>
      <c r="DQK1062" s="989"/>
      <c r="DQL1062" s="989"/>
      <c r="DQM1062" s="989"/>
      <c r="DQN1062" s="989"/>
      <c r="DQO1062" s="989"/>
      <c r="DQP1062" s="989"/>
      <c r="DQQ1062" s="989"/>
      <c r="DQR1062" s="989"/>
      <c r="DQS1062" s="989"/>
      <c r="DQT1062" s="989"/>
      <c r="DQU1062" s="989"/>
      <c r="DQV1062" s="989"/>
      <c r="DQW1062" s="989"/>
      <c r="DQX1062" s="989"/>
      <c r="DQY1062" s="989"/>
      <c r="DQZ1062" s="989"/>
      <c r="DRA1062" s="989"/>
      <c r="DRB1062" s="989"/>
      <c r="DRC1062" s="989"/>
      <c r="DRD1062" s="989"/>
      <c r="DRE1062" s="989"/>
      <c r="DRF1062" s="989"/>
      <c r="DRG1062" s="989"/>
      <c r="DRH1062" s="989"/>
      <c r="DRI1062" s="989"/>
      <c r="DRJ1062" s="989"/>
      <c r="DRK1062" s="989"/>
      <c r="DRL1062" s="989"/>
      <c r="DRM1062" s="989"/>
      <c r="DRN1062" s="989"/>
      <c r="DRO1062" s="989"/>
      <c r="DRP1062" s="989"/>
      <c r="DRQ1062" s="989"/>
      <c r="DRR1062" s="989"/>
      <c r="DRS1062" s="989"/>
      <c r="DRT1062" s="989"/>
      <c r="DRU1062" s="989"/>
      <c r="DRV1062" s="989"/>
      <c r="DRW1062" s="989"/>
      <c r="DRX1062" s="989"/>
      <c r="DRY1062" s="989"/>
      <c r="DRZ1062" s="989"/>
      <c r="DSA1062" s="989"/>
      <c r="DSB1062" s="989"/>
      <c r="DSC1062" s="989"/>
      <c r="DSD1062" s="989"/>
      <c r="DSE1062" s="989"/>
      <c r="DSF1062" s="989"/>
      <c r="DSG1062" s="989"/>
      <c r="DSH1062" s="989"/>
      <c r="DSI1062" s="989"/>
      <c r="DSJ1062" s="989"/>
      <c r="DSK1062" s="989"/>
      <c r="DSL1062" s="989"/>
      <c r="DSM1062" s="989"/>
      <c r="DSN1062" s="989"/>
      <c r="DSO1062" s="989"/>
      <c r="DSP1062" s="989"/>
      <c r="DSQ1062" s="989"/>
      <c r="DSR1062" s="989"/>
      <c r="DSS1062" s="989"/>
      <c r="DST1062" s="989"/>
      <c r="DSU1062" s="989"/>
      <c r="DSV1062" s="989"/>
      <c r="DSW1062" s="989"/>
      <c r="DSX1062" s="989"/>
      <c r="DSY1062" s="989"/>
      <c r="DSZ1062" s="989"/>
      <c r="DTA1062" s="989"/>
      <c r="DTB1062" s="989"/>
      <c r="DTC1062" s="989"/>
      <c r="DTD1062" s="989"/>
      <c r="DTE1062" s="989"/>
      <c r="DTF1062" s="989"/>
      <c r="DTG1062" s="989"/>
      <c r="DTH1062" s="989"/>
      <c r="DTI1062" s="989"/>
      <c r="DTJ1062" s="989"/>
      <c r="DTK1062" s="989"/>
      <c r="DTL1062" s="989"/>
      <c r="DTM1062" s="989"/>
      <c r="DTN1062" s="989"/>
      <c r="DTO1062" s="989"/>
      <c r="DTP1062" s="989"/>
      <c r="DTQ1062" s="989"/>
      <c r="DTR1062" s="989"/>
      <c r="DTS1062" s="989"/>
      <c r="DTT1062" s="989"/>
      <c r="DTU1062" s="989"/>
      <c r="DTV1062" s="989"/>
      <c r="DTW1062" s="989"/>
      <c r="DTX1062" s="989"/>
      <c r="DTY1062" s="989"/>
      <c r="DTZ1062" s="989"/>
      <c r="DUA1062" s="989"/>
      <c r="DUB1062" s="989"/>
      <c r="DUC1062" s="989"/>
      <c r="DUD1062" s="989"/>
      <c r="DUE1062" s="989"/>
      <c r="DUF1062" s="989"/>
      <c r="DUG1062" s="989"/>
      <c r="DUH1062" s="989"/>
      <c r="DUI1062" s="989"/>
      <c r="DUJ1062" s="989"/>
      <c r="DUK1062" s="989"/>
      <c r="DUL1062" s="989"/>
      <c r="DUM1062" s="989"/>
      <c r="DUN1062" s="989"/>
      <c r="DUO1062" s="989"/>
      <c r="DUP1062" s="989"/>
      <c r="DUQ1062" s="989"/>
      <c r="DUR1062" s="989"/>
      <c r="DUS1062" s="989"/>
      <c r="DUT1062" s="989"/>
      <c r="DUU1062" s="989"/>
      <c r="DUV1062" s="989"/>
      <c r="DUW1062" s="989"/>
      <c r="DUX1062" s="989"/>
      <c r="DUY1062" s="989"/>
      <c r="DUZ1062" s="989"/>
      <c r="DVA1062" s="989"/>
      <c r="DVB1062" s="989"/>
      <c r="DVC1062" s="989"/>
      <c r="DVD1062" s="989"/>
      <c r="DVE1062" s="989"/>
      <c r="DVF1062" s="989"/>
      <c r="DVG1062" s="989"/>
      <c r="DVH1062" s="989"/>
      <c r="DVI1062" s="989"/>
      <c r="DVJ1062" s="989"/>
      <c r="DVK1062" s="989"/>
      <c r="DVL1062" s="989"/>
      <c r="DVM1062" s="989"/>
      <c r="DVN1062" s="989"/>
      <c r="DVO1062" s="989"/>
      <c r="DVP1062" s="989"/>
      <c r="DVQ1062" s="989"/>
      <c r="DVR1062" s="989"/>
      <c r="DVS1062" s="989"/>
      <c r="DVT1062" s="989"/>
      <c r="DVU1062" s="989"/>
      <c r="DVV1062" s="989"/>
      <c r="DVW1062" s="989"/>
      <c r="DVX1062" s="989"/>
      <c r="DVY1062" s="989"/>
      <c r="DVZ1062" s="989"/>
      <c r="DWA1062" s="989"/>
      <c r="DWB1062" s="989"/>
      <c r="DWC1062" s="989"/>
      <c r="DWD1062" s="989"/>
      <c r="DWE1062" s="989"/>
      <c r="DWF1062" s="989"/>
      <c r="DWG1062" s="989"/>
      <c r="DWH1062" s="989"/>
      <c r="DWI1062" s="989"/>
      <c r="DWJ1062" s="989"/>
      <c r="DWK1062" s="989"/>
      <c r="DWL1062" s="989"/>
      <c r="DWM1062" s="989"/>
      <c r="DWN1062" s="989"/>
      <c r="DWO1062" s="989"/>
      <c r="DWP1062" s="989"/>
      <c r="DWQ1062" s="989"/>
      <c r="DWR1062" s="989"/>
      <c r="DWS1062" s="989"/>
      <c r="DWT1062" s="989"/>
      <c r="DWU1062" s="989"/>
      <c r="DWV1062" s="989"/>
      <c r="DWW1062" s="989"/>
      <c r="DWX1062" s="989"/>
      <c r="DWY1062" s="989"/>
      <c r="DWZ1062" s="989"/>
      <c r="DXA1062" s="989"/>
      <c r="DXB1062" s="989"/>
      <c r="DXC1062" s="989"/>
      <c r="DXD1062" s="989"/>
      <c r="DXE1062" s="989"/>
      <c r="DXF1062" s="989"/>
      <c r="DXG1062" s="989"/>
      <c r="DXH1062" s="989"/>
      <c r="DXI1062" s="989"/>
      <c r="DXJ1062" s="989"/>
      <c r="DXK1062" s="989"/>
      <c r="DXL1062" s="989"/>
      <c r="DXM1062" s="989"/>
      <c r="DXN1062" s="989"/>
      <c r="DXO1062" s="989"/>
      <c r="DXP1062" s="989"/>
      <c r="DXQ1062" s="989"/>
      <c r="DXR1062" s="989"/>
      <c r="DXS1062" s="989"/>
      <c r="DXT1062" s="989"/>
      <c r="DXU1062" s="989"/>
      <c r="DXV1062" s="989"/>
      <c r="DXW1062" s="989"/>
      <c r="DXX1062" s="989"/>
      <c r="DXY1062" s="989"/>
      <c r="DXZ1062" s="989"/>
      <c r="DYA1062" s="989"/>
      <c r="DYB1062" s="989"/>
      <c r="DYC1062" s="989"/>
      <c r="DYD1062" s="989"/>
      <c r="DYE1062" s="989"/>
      <c r="DYF1062" s="989"/>
      <c r="DYG1062" s="989"/>
      <c r="DYH1062" s="989"/>
      <c r="DYI1062" s="989"/>
      <c r="DYJ1062" s="989"/>
      <c r="DYK1062" s="989"/>
      <c r="DYL1062" s="989"/>
      <c r="DYM1062" s="989"/>
      <c r="DYN1062" s="989"/>
      <c r="DYO1062" s="989"/>
      <c r="DYP1062" s="989"/>
      <c r="DYQ1062" s="989"/>
      <c r="DYR1062" s="989"/>
      <c r="DYS1062" s="989"/>
      <c r="DYT1062" s="989"/>
      <c r="DYU1062" s="989"/>
      <c r="DYV1062" s="989"/>
      <c r="DYW1062" s="989"/>
      <c r="DYX1062" s="989"/>
      <c r="DYY1062" s="989"/>
      <c r="DYZ1062" s="989"/>
      <c r="DZA1062" s="989"/>
      <c r="DZB1062" s="989"/>
      <c r="DZC1062" s="989"/>
      <c r="DZD1062" s="989"/>
      <c r="DZE1062" s="989"/>
      <c r="DZF1062" s="989"/>
      <c r="DZG1062" s="989"/>
      <c r="DZH1062" s="989"/>
      <c r="DZI1062" s="989"/>
      <c r="DZJ1062" s="989"/>
      <c r="DZK1062" s="989"/>
      <c r="DZL1062" s="989"/>
      <c r="DZM1062" s="989"/>
      <c r="DZN1062" s="989"/>
      <c r="DZO1062" s="989"/>
      <c r="DZP1062" s="989"/>
      <c r="DZQ1062" s="989"/>
      <c r="DZR1062" s="989"/>
      <c r="DZS1062" s="989"/>
      <c r="DZT1062" s="989"/>
      <c r="DZU1062" s="989"/>
      <c r="DZV1062" s="989"/>
      <c r="DZW1062" s="989"/>
      <c r="DZX1062" s="989"/>
      <c r="DZY1062" s="989"/>
      <c r="DZZ1062" s="989"/>
      <c r="EAA1062" s="989"/>
      <c r="EAB1062" s="989"/>
      <c r="EAC1062" s="989"/>
      <c r="EAD1062" s="989"/>
      <c r="EAE1062" s="989"/>
      <c r="EAF1062" s="989"/>
      <c r="EAG1062" s="989"/>
      <c r="EAH1062" s="989"/>
      <c r="EAI1062" s="989"/>
      <c r="EAJ1062" s="989"/>
      <c r="EAK1062" s="989"/>
      <c r="EAL1062" s="989"/>
      <c r="EAM1062" s="989"/>
      <c r="EAN1062" s="989"/>
      <c r="EAO1062" s="989"/>
      <c r="EAP1062" s="989"/>
      <c r="EAQ1062" s="989"/>
      <c r="EAR1062" s="989"/>
      <c r="EAS1062" s="989"/>
      <c r="EAT1062" s="989"/>
      <c r="EAU1062" s="989"/>
      <c r="EAV1062" s="989"/>
      <c r="EAW1062" s="989"/>
      <c r="EAX1062" s="989"/>
      <c r="EAY1062" s="989"/>
      <c r="EAZ1062" s="989"/>
      <c r="EBA1062" s="989"/>
      <c r="EBB1062" s="989"/>
      <c r="EBC1062" s="989"/>
      <c r="EBD1062" s="989"/>
      <c r="EBE1062" s="989"/>
      <c r="EBF1062" s="989"/>
      <c r="EBG1062" s="989"/>
      <c r="EBH1062" s="989"/>
      <c r="EBI1062" s="989"/>
      <c r="EBJ1062" s="989"/>
      <c r="EBK1062" s="989"/>
      <c r="EBL1062" s="989"/>
      <c r="EBM1062" s="989"/>
      <c r="EBN1062" s="989"/>
      <c r="EBO1062" s="989"/>
      <c r="EBP1062" s="989"/>
      <c r="EBQ1062" s="989"/>
      <c r="EBR1062" s="989"/>
      <c r="EBS1062" s="989"/>
      <c r="EBT1062" s="989"/>
      <c r="EBU1062" s="989"/>
      <c r="EBV1062" s="989"/>
      <c r="EBW1062" s="989"/>
      <c r="EBX1062" s="989"/>
      <c r="EBY1062" s="989"/>
      <c r="EBZ1062" s="989"/>
      <c r="ECA1062" s="989"/>
      <c r="ECB1062" s="989"/>
      <c r="ECC1062" s="989"/>
      <c r="ECD1062" s="989"/>
      <c r="ECE1062" s="989"/>
      <c r="ECF1062" s="989"/>
      <c r="ECG1062" s="989"/>
      <c r="ECH1062" s="989"/>
      <c r="ECI1062" s="989"/>
      <c r="ECJ1062" s="989"/>
      <c r="ECK1062" s="989"/>
      <c r="ECL1062" s="989"/>
      <c r="ECM1062" s="989"/>
      <c r="ECN1062" s="989"/>
      <c r="ECO1062" s="989"/>
      <c r="ECP1062" s="989"/>
      <c r="ECQ1062" s="989"/>
      <c r="ECR1062" s="989"/>
      <c r="ECS1062" s="989"/>
      <c r="ECT1062" s="989"/>
      <c r="ECU1062" s="989"/>
      <c r="ECV1062" s="989"/>
      <c r="ECW1062" s="989"/>
      <c r="ECX1062" s="989"/>
      <c r="ECY1062" s="989"/>
      <c r="ECZ1062" s="989"/>
      <c r="EDA1062" s="989"/>
      <c r="EDB1062" s="989"/>
      <c r="EDC1062" s="989"/>
      <c r="EDD1062" s="989"/>
      <c r="EDE1062" s="989"/>
      <c r="EDF1062" s="989"/>
      <c r="EDG1062" s="989"/>
      <c r="EDH1062" s="989"/>
      <c r="EDI1062" s="989"/>
      <c r="EDJ1062" s="989"/>
      <c r="EDK1062" s="989"/>
      <c r="EDL1062" s="989"/>
      <c r="EDM1062" s="989"/>
      <c r="EDN1062" s="989"/>
      <c r="EDO1062" s="989"/>
      <c r="EDP1062" s="989"/>
      <c r="EDQ1062" s="989"/>
      <c r="EDR1062" s="989"/>
      <c r="EDS1062" s="989"/>
      <c r="EDT1062" s="989"/>
      <c r="EDU1062" s="989"/>
      <c r="EDV1062" s="989"/>
      <c r="EDW1062" s="989"/>
      <c r="EDX1062" s="989"/>
      <c r="EDY1062" s="989"/>
      <c r="EDZ1062" s="989"/>
      <c r="EEA1062" s="989"/>
      <c r="EEB1062" s="989"/>
      <c r="EEC1062" s="989"/>
      <c r="EED1062" s="989"/>
      <c r="EEE1062" s="989"/>
      <c r="EEF1062" s="989"/>
      <c r="EEG1062" s="989"/>
      <c r="EEH1062" s="989"/>
      <c r="EEI1062" s="989"/>
      <c r="EEJ1062" s="989"/>
      <c r="EEK1062" s="989"/>
      <c r="EEL1062" s="989"/>
      <c r="EEM1062" s="989"/>
      <c r="EEN1062" s="989"/>
      <c r="EEO1062" s="989"/>
      <c r="EEP1062" s="989"/>
      <c r="EEQ1062" s="989"/>
      <c r="EER1062" s="989"/>
      <c r="EES1062" s="989"/>
      <c r="EET1062" s="989"/>
      <c r="EEU1062" s="989"/>
      <c r="EEV1062" s="989"/>
      <c r="EEW1062" s="989"/>
      <c r="EEX1062" s="989"/>
      <c r="EEY1062" s="989"/>
      <c r="EEZ1062" s="989"/>
      <c r="EFA1062" s="989"/>
      <c r="EFB1062" s="989"/>
      <c r="EFC1062" s="989"/>
      <c r="EFD1062" s="989"/>
      <c r="EFE1062" s="989"/>
      <c r="EFF1062" s="989"/>
      <c r="EFG1062" s="989"/>
      <c r="EFH1062" s="989"/>
      <c r="EFI1062" s="989"/>
      <c r="EFJ1062" s="989"/>
      <c r="EFK1062" s="989"/>
      <c r="EFL1062" s="989"/>
      <c r="EFM1062" s="989"/>
      <c r="EFN1062" s="989"/>
      <c r="EFO1062" s="989"/>
      <c r="EFP1062" s="989"/>
      <c r="EFQ1062" s="989"/>
      <c r="EFR1062" s="989"/>
      <c r="EFS1062" s="989"/>
      <c r="EFT1062" s="989"/>
      <c r="EFU1062" s="989"/>
      <c r="EFV1062" s="989"/>
      <c r="EFW1062" s="989"/>
      <c r="EFX1062" s="989"/>
      <c r="EFY1062" s="989"/>
      <c r="EFZ1062" s="989"/>
      <c r="EGA1062" s="989"/>
      <c r="EGB1062" s="989"/>
      <c r="EGC1062" s="989"/>
      <c r="EGD1062" s="989"/>
      <c r="EGE1062" s="989"/>
      <c r="EGF1062" s="989"/>
      <c r="EGG1062" s="989"/>
      <c r="EGH1062" s="989"/>
      <c r="EGI1062" s="989"/>
      <c r="EGJ1062" s="989"/>
      <c r="EGK1062" s="989"/>
      <c r="EGL1062" s="989"/>
      <c r="EGM1062" s="989"/>
      <c r="EGN1062" s="989"/>
      <c r="EGO1062" s="989"/>
      <c r="EGP1062" s="989"/>
      <c r="EGQ1062" s="989"/>
      <c r="EGR1062" s="989"/>
      <c r="EGS1062" s="989"/>
      <c r="EGT1062" s="989"/>
      <c r="EGU1062" s="989"/>
      <c r="EGV1062" s="989"/>
      <c r="EGW1062" s="989"/>
      <c r="EGX1062" s="989"/>
      <c r="EGY1062" s="989"/>
      <c r="EGZ1062" s="989"/>
      <c r="EHA1062" s="989"/>
      <c r="EHB1062" s="989"/>
      <c r="EHC1062" s="989"/>
      <c r="EHD1062" s="989"/>
      <c r="EHE1062" s="989"/>
      <c r="EHF1062" s="989"/>
      <c r="EHG1062" s="989"/>
      <c r="EHH1062" s="989"/>
      <c r="EHI1062" s="989"/>
      <c r="EHJ1062" s="989"/>
      <c r="EHK1062" s="989"/>
      <c r="EHL1062" s="989"/>
      <c r="EHM1062" s="989"/>
      <c r="EHN1062" s="989"/>
      <c r="EHO1062" s="989"/>
      <c r="EHP1062" s="989"/>
      <c r="EHQ1062" s="989"/>
      <c r="EHR1062" s="989"/>
      <c r="EHS1062" s="989"/>
      <c r="EHT1062" s="989"/>
      <c r="EHU1062" s="989"/>
      <c r="EHV1062" s="989"/>
      <c r="EHW1062" s="989"/>
      <c r="EHX1062" s="989"/>
      <c r="EHY1062" s="989"/>
      <c r="EHZ1062" s="989"/>
      <c r="EIA1062" s="989"/>
      <c r="EIB1062" s="989"/>
      <c r="EIC1062" s="989"/>
      <c r="EID1062" s="989"/>
      <c r="EIE1062" s="989"/>
      <c r="EIF1062" s="989"/>
      <c r="EIG1062" s="989"/>
      <c r="EIH1062" s="989"/>
      <c r="EII1062" s="989"/>
      <c r="EIJ1062" s="989"/>
      <c r="EIK1062" s="989"/>
      <c r="EIL1062" s="989"/>
      <c r="EIM1062" s="989"/>
      <c r="EIN1062" s="989"/>
      <c r="EIO1062" s="989"/>
      <c r="EIP1062" s="989"/>
      <c r="EIQ1062" s="989"/>
      <c r="EIR1062" s="989"/>
      <c r="EIS1062" s="989"/>
      <c r="EIT1062" s="989"/>
      <c r="EIU1062" s="989"/>
      <c r="EIV1062" s="989"/>
      <c r="EIW1062" s="989"/>
      <c r="EIX1062" s="989"/>
      <c r="EIY1062" s="989"/>
      <c r="EIZ1062" s="989"/>
      <c r="EJA1062" s="989"/>
      <c r="EJB1062" s="989"/>
      <c r="EJC1062" s="989"/>
      <c r="EJD1062" s="989"/>
      <c r="EJE1062" s="989"/>
      <c r="EJF1062" s="989"/>
      <c r="EJG1062" s="989"/>
      <c r="EJH1062" s="989"/>
      <c r="EJI1062" s="989"/>
      <c r="EJJ1062" s="989"/>
      <c r="EJK1062" s="989"/>
      <c r="EJL1062" s="989"/>
      <c r="EJM1062" s="989"/>
      <c r="EJN1062" s="989"/>
      <c r="EJO1062" s="989"/>
      <c r="EJP1062" s="989"/>
      <c r="EJQ1062" s="989"/>
      <c r="EJR1062" s="989"/>
      <c r="EJS1062" s="989"/>
      <c r="EJT1062" s="989"/>
      <c r="EJU1062" s="989"/>
      <c r="EJV1062" s="989"/>
      <c r="EJW1062" s="989"/>
      <c r="EJX1062" s="989"/>
      <c r="EJY1062" s="989"/>
      <c r="EJZ1062" s="989"/>
      <c r="EKA1062" s="989"/>
      <c r="EKB1062" s="989"/>
      <c r="EKC1062" s="989"/>
      <c r="EKD1062" s="989"/>
      <c r="EKE1062" s="989"/>
      <c r="EKF1062" s="989"/>
      <c r="EKG1062" s="989"/>
      <c r="EKH1062" s="989"/>
      <c r="EKI1062" s="989"/>
      <c r="EKJ1062" s="989"/>
      <c r="EKK1062" s="989"/>
      <c r="EKL1062" s="989"/>
      <c r="EKM1062" s="989"/>
      <c r="EKN1062" s="989"/>
      <c r="EKO1062" s="989"/>
      <c r="EKP1062" s="989"/>
      <c r="EKQ1062" s="989"/>
      <c r="EKR1062" s="989"/>
      <c r="EKS1062" s="989"/>
      <c r="EKT1062" s="989"/>
      <c r="EKU1062" s="989"/>
      <c r="EKV1062" s="989"/>
      <c r="EKW1062" s="989"/>
      <c r="EKX1062" s="989"/>
      <c r="EKY1062" s="989"/>
      <c r="EKZ1062" s="989"/>
      <c r="ELA1062" s="989"/>
      <c r="ELB1062" s="989"/>
      <c r="ELC1062" s="989"/>
      <c r="ELD1062" s="989"/>
      <c r="ELE1062" s="989"/>
      <c r="ELF1062" s="989"/>
      <c r="ELG1062" s="989"/>
      <c r="ELH1062" s="989"/>
      <c r="ELI1062" s="989"/>
      <c r="ELJ1062" s="989"/>
      <c r="ELK1062" s="989"/>
      <c r="ELL1062" s="989"/>
      <c r="ELM1062" s="989"/>
      <c r="ELN1062" s="989"/>
      <c r="ELO1062" s="989"/>
      <c r="ELP1062" s="989"/>
      <c r="ELQ1062" s="989"/>
      <c r="ELR1062" s="989"/>
      <c r="ELS1062" s="989"/>
      <c r="ELT1062" s="989"/>
      <c r="ELU1062" s="989"/>
      <c r="ELV1062" s="989"/>
      <c r="ELW1062" s="989"/>
      <c r="ELX1062" s="989"/>
      <c r="ELY1062" s="989"/>
      <c r="ELZ1062" s="989"/>
      <c r="EMA1062" s="989"/>
      <c r="EMB1062" s="989"/>
      <c r="EMC1062" s="989"/>
      <c r="EMD1062" s="989"/>
      <c r="EME1062" s="989"/>
      <c r="EMF1062" s="989"/>
      <c r="EMG1062" s="989"/>
      <c r="EMH1062" s="989"/>
      <c r="EMI1062" s="989"/>
      <c r="EMJ1062" s="989"/>
      <c r="EMK1062" s="989"/>
      <c r="EML1062" s="989"/>
      <c r="EMM1062" s="989"/>
      <c r="EMN1062" s="989"/>
      <c r="EMO1062" s="989"/>
      <c r="EMP1062" s="989"/>
      <c r="EMQ1062" s="989"/>
      <c r="EMR1062" s="989"/>
      <c r="EMS1062" s="989"/>
      <c r="EMT1062" s="989"/>
      <c r="EMU1062" s="989"/>
      <c r="EMV1062" s="989"/>
      <c r="EMW1062" s="989"/>
      <c r="EMX1062" s="989"/>
      <c r="EMY1062" s="989"/>
      <c r="EMZ1062" s="989"/>
      <c r="ENA1062" s="989"/>
      <c r="ENB1062" s="989"/>
      <c r="ENC1062" s="989"/>
      <c r="END1062" s="989"/>
      <c r="ENE1062" s="989"/>
      <c r="ENF1062" s="989"/>
      <c r="ENG1062" s="989"/>
      <c r="ENH1062" s="989"/>
      <c r="ENI1062" s="989"/>
      <c r="ENJ1062" s="989"/>
      <c r="ENK1062" s="989"/>
      <c r="ENL1062" s="989"/>
      <c r="ENM1062" s="989"/>
      <c r="ENN1062" s="989"/>
      <c r="ENO1062" s="989"/>
      <c r="ENP1062" s="989"/>
      <c r="ENQ1062" s="989"/>
      <c r="ENR1062" s="989"/>
      <c r="ENS1062" s="989"/>
      <c r="ENT1062" s="989"/>
      <c r="ENU1062" s="989"/>
      <c r="ENV1062" s="989"/>
      <c r="ENW1062" s="989"/>
      <c r="ENX1062" s="989"/>
      <c r="ENY1062" s="989"/>
      <c r="ENZ1062" s="989"/>
      <c r="EOA1062" s="989"/>
      <c r="EOB1062" s="989"/>
      <c r="EOC1062" s="989"/>
      <c r="EOD1062" s="989"/>
      <c r="EOE1062" s="989"/>
      <c r="EOF1062" s="989"/>
      <c r="EOG1062" s="989"/>
      <c r="EOH1062" s="989"/>
      <c r="EOI1062" s="989"/>
      <c r="EOJ1062" s="989"/>
      <c r="EOK1062" s="989"/>
      <c r="EOL1062" s="989"/>
      <c r="EOM1062" s="989"/>
      <c r="EON1062" s="989"/>
      <c r="EOO1062" s="989"/>
      <c r="EOP1062" s="989"/>
      <c r="EOQ1062" s="989"/>
      <c r="EOR1062" s="989"/>
      <c r="EOS1062" s="989"/>
      <c r="EOT1062" s="989"/>
      <c r="EOU1062" s="989"/>
      <c r="EOV1062" s="989"/>
      <c r="EOW1062" s="989"/>
      <c r="EOX1062" s="989"/>
      <c r="EOY1062" s="989"/>
      <c r="EOZ1062" s="989"/>
      <c r="EPA1062" s="989"/>
      <c r="EPB1062" s="989"/>
      <c r="EPC1062" s="989"/>
      <c r="EPD1062" s="989"/>
      <c r="EPE1062" s="989"/>
      <c r="EPF1062" s="989"/>
      <c r="EPG1062" s="989"/>
      <c r="EPH1062" s="989"/>
      <c r="EPI1062" s="989"/>
      <c r="EPJ1062" s="989"/>
      <c r="EPK1062" s="989"/>
      <c r="EPL1062" s="989"/>
      <c r="EPM1062" s="989"/>
      <c r="EPN1062" s="989"/>
      <c r="EPO1062" s="989"/>
      <c r="EPP1062" s="989"/>
      <c r="EPQ1062" s="989"/>
      <c r="EPR1062" s="989"/>
      <c r="EPS1062" s="989"/>
      <c r="EPT1062" s="989"/>
      <c r="EPU1062" s="989"/>
      <c r="EPV1062" s="989"/>
      <c r="EPW1062" s="989"/>
      <c r="EPX1062" s="989"/>
      <c r="EPY1062" s="989"/>
      <c r="EPZ1062" s="989"/>
      <c r="EQA1062" s="989"/>
      <c r="EQB1062" s="989"/>
      <c r="EQC1062" s="989"/>
      <c r="EQD1062" s="989"/>
      <c r="EQE1062" s="989"/>
      <c r="EQF1062" s="989"/>
      <c r="EQG1062" s="989"/>
      <c r="EQH1062" s="989"/>
      <c r="EQI1062" s="989"/>
      <c r="EQJ1062" s="989"/>
      <c r="EQK1062" s="989"/>
      <c r="EQL1062" s="989"/>
      <c r="EQM1062" s="989"/>
      <c r="EQN1062" s="989"/>
      <c r="EQO1062" s="989"/>
      <c r="EQP1062" s="989"/>
      <c r="EQQ1062" s="989"/>
      <c r="EQR1062" s="989"/>
      <c r="EQS1062" s="989"/>
      <c r="EQT1062" s="989"/>
      <c r="EQU1062" s="989"/>
      <c r="EQV1062" s="989"/>
      <c r="EQW1062" s="989"/>
      <c r="EQX1062" s="989"/>
      <c r="EQY1062" s="989"/>
      <c r="EQZ1062" s="989"/>
      <c r="ERA1062" s="989"/>
      <c r="ERB1062" s="989"/>
      <c r="ERC1062" s="989"/>
      <c r="ERD1062" s="989"/>
      <c r="ERE1062" s="989"/>
      <c r="ERF1062" s="989"/>
      <c r="ERG1062" s="989"/>
      <c r="ERH1062" s="989"/>
      <c r="ERI1062" s="989"/>
      <c r="ERJ1062" s="989"/>
      <c r="ERK1062" s="989"/>
      <c r="ERL1062" s="989"/>
      <c r="ERM1062" s="989"/>
      <c r="ERN1062" s="989"/>
      <c r="ERO1062" s="989"/>
      <c r="ERP1062" s="989"/>
      <c r="ERQ1062" s="989"/>
      <c r="ERR1062" s="989"/>
      <c r="ERS1062" s="989"/>
      <c r="ERT1062" s="989"/>
      <c r="ERU1062" s="989"/>
      <c r="ERV1062" s="989"/>
      <c r="ERW1062" s="989"/>
      <c r="ERX1062" s="989"/>
      <c r="ERY1062" s="989"/>
      <c r="ERZ1062" s="989"/>
      <c r="ESA1062" s="989"/>
      <c r="ESB1062" s="989"/>
      <c r="ESC1062" s="989"/>
      <c r="ESD1062" s="989"/>
      <c r="ESE1062" s="989"/>
      <c r="ESF1062" s="989"/>
      <c r="ESG1062" s="989"/>
      <c r="ESH1062" s="989"/>
      <c r="ESI1062" s="989"/>
      <c r="ESJ1062" s="989"/>
      <c r="ESK1062" s="989"/>
      <c r="ESL1062" s="989"/>
      <c r="ESM1062" s="989"/>
      <c r="ESN1062" s="989"/>
      <c r="ESO1062" s="989"/>
      <c r="ESP1062" s="989"/>
      <c r="ESQ1062" s="989"/>
      <c r="ESR1062" s="989"/>
      <c r="ESS1062" s="989"/>
      <c r="EST1062" s="989"/>
      <c r="ESU1062" s="989"/>
      <c r="ESV1062" s="989"/>
      <c r="ESW1062" s="989"/>
      <c r="ESX1062" s="989"/>
      <c r="ESY1062" s="989"/>
      <c r="ESZ1062" s="989"/>
      <c r="ETA1062" s="989"/>
      <c r="ETB1062" s="989"/>
      <c r="ETC1062" s="989"/>
      <c r="ETD1062" s="989"/>
      <c r="ETE1062" s="989"/>
      <c r="ETF1062" s="989"/>
      <c r="ETG1062" s="989"/>
      <c r="ETH1062" s="989"/>
      <c r="ETI1062" s="989"/>
      <c r="ETJ1062" s="989"/>
      <c r="ETK1062" s="989"/>
      <c r="ETL1062" s="989"/>
      <c r="ETM1062" s="989"/>
      <c r="ETN1062" s="989"/>
      <c r="ETO1062" s="989"/>
      <c r="ETP1062" s="989"/>
      <c r="ETQ1062" s="989"/>
      <c r="ETR1062" s="989"/>
      <c r="ETS1062" s="989"/>
      <c r="ETT1062" s="989"/>
      <c r="ETU1062" s="989"/>
      <c r="ETV1062" s="989"/>
      <c r="ETW1062" s="989"/>
      <c r="ETX1062" s="989"/>
      <c r="ETY1062" s="989"/>
      <c r="ETZ1062" s="989"/>
      <c r="EUA1062" s="989"/>
      <c r="EUB1062" s="989"/>
      <c r="EUC1062" s="989"/>
      <c r="EUD1062" s="989"/>
      <c r="EUE1062" s="989"/>
      <c r="EUF1062" s="989"/>
      <c r="EUG1062" s="989"/>
      <c r="EUH1062" s="989"/>
      <c r="EUI1062" s="989"/>
      <c r="EUJ1062" s="989"/>
      <c r="EUK1062" s="989"/>
      <c r="EUL1062" s="989"/>
      <c r="EUM1062" s="989"/>
      <c r="EUN1062" s="989"/>
      <c r="EUO1062" s="989"/>
      <c r="EUP1062" s="989"/>
      <c r="EUQ1062" s="989"/>
      <c r="EUR1062" s="989"/>
      <c r="EUS1062" s="989"/>
      <c r="EUT1062" s="989"/>
      <c r="EUU1062" s="989"/>
      <c r="EUV1062" s="989"/>
      <c r="EUW1062" s="989"/>
      <c r="EUX1062" s="989"/>
      <c r="EUY1062" s="989"/>
      <c r="EUZ1062" s="989"/>
      <c r="EVA1062" s="989"/>
      <c r="EVB1062" s="989"/>
      <c r="EVC1062" s="989"/>
      <c r="EVD1062" s="989"/>
      <c r="EVE1062" s="989"/>
      <c r="EVF1062" s="989"/>
      <c r="EVG1062" s="989"/>
      <c r="EVH1062" s="989"/>
      <c r="EVI1062" s="989"/>
      <c r="EVJ1062" s="989"/>
      <c r="EVK1062" s="989"/>
      <c r="EVL1062" s="989"/>
      <c r="EVM1062" s="989"/>
      <c r="EVN1062" s="989"/>
      <c r="EVO1062" s="989"/>
      <c r="EVP1062" s="989"/>
      <c r="EVQ1062" s="989"/>
      <c r="EVR1062" s="989"/>
      <c r="EVS1062" s="989"/>
      <c r="EVT1062" s="989"/>
      <c r="EVU1062" s="989"/>
      <c r="EVV1062" s="989"/>
      <c r="EVW1062" s="989"/>
      <c r="EVX1062" s="989"/>
      <c r="EVY1062" s="989"/>
      <c r="EVZ1062" s="989"/>
      <c r="EWA1062" s="989"/>
      <c r="EWB1062" s="989"/>
      <c r="EWC1062" s="989"/>
      <c r="EWD1062" s="989"/>
      <c r="EWE1062" s="989"/>
      <c r="EWF1062" s="989"/>
      <c r="EWG1062" s="989"/>
      <c r="EWH1062" s="989"/>
      <c r="EWI1062" s="989"/>
      <c r="EWJ1062" s="989"/>
      <c r="EWK1062" s="989"/>
      <c r="EWL1062" s="989"/>
      <c r="EWM1062" s="989"/>
      <c r="EWN1062" s="989"/>
      <c r="EWO1062" s="989"/>
      <c r="EWP1062" s="989"/>
      <c r="EWQ1062" s="989"/>
      <c r="EWR1062" s="989"/>
      <c r="EWS1062" s="989"/>
      <c r="EWT1062" s="989"/>
      <c r="EWU1062" s="989"/>
      <c r="EWV1062" s="989"/>
      <c r="EWW1062" s="989"/>
      <c r="EWX1062" s="989"/>
      <c r="EWY1062" s="989"/>
      <c r="EWZ1062" s="989"/>
      <c r="EXA1062" s="989"/>
      <c r="EXB1062" s="989"/>
      <c r="EXC1062" s="989"/>
      <c r="EXD1062" s="989"/>
      <c r="EXE1062" s="989"/>
      <c r="EXF1062" s="989"/>
      <c r="EXG1062" s="989"/>
      <c r="EXH1062" s="989"/>
      <c r="EXI1062" s="989"/>
      <c r="EXJ1062" s="989"/>
      <c r="EXK1062" s="989"/>
      <c r="EXL1062" s="989"/>
      <c r="EXM1062" s="989"/>
      <c r="EXN1062" s="989"/>
      <c r="EXO1062" s="989"/>
      <c r="EXP1062" s="989"/>
      <c r="EXQ1062" s="989"/>
      <c r="EXR1062" s="989"/>
      <c r="EXS1062" s="989"/>
      <c r="EXT1062" s="989"/>
      <c r="EXU1062" s="989"/>
      <c r="EXV1062" s="989"/>
      <c r="EXW1062" s="989"/>
      <c r="EXX1062" s="989"/>
      <c r="EXY1062" s="989"/>
      <c r="EXZ1062" s="989"/>
      <c r="EYA1062" s="989"/>
      <c r="EYB1062" s="989"/>
      <c r="EYC1062" s="989"/>
      <c r="EYD1062" s="989"/>
      <c r="EYE1062" s="989"/>
      <c r="EYF1062" s="989"/>
      <c r="EYG1062" s="989"/>
      <c r="EYH1062" s="989"/>
      <c r="EYI1062" s="989"/>
      <c r="EYJ1062" s="989"/>
      <c r="EYK1062" s="989"/>
      <c r="EYL1062" s="989"/>
      <c r="EYM1062" s="989"/>
      <c r="EYN1062" s="989"/>
      <c r="EYO1062" s="989"/>
      <c r="EYP1062" s="989"/>
      <c r="EYQ1062" s="989"/>
      <c r="EYR1062" s="989"/>
      <c r="EYS1062" s="989"/>
      <c r="EYT1062" s="989"/>
      <c r="EYU1062" s="989"/>
      <c r="EYV1062" s="989"/>
      <c r="EYW1062" s="989"/>
      <c r="EYX1062" s="989"/>
      <c r="EYY1062" s="989"/>
      <c r="EYZ1062" s="989"/>
      <c r="EZA1062" s="989"/>
      <c r="EZB1062" s="989"/>
      <c r="EZC1062" s="989"/>
      <c r="EZD1062" s="989"/>
      <c r="EZE1062" s="989"/>
      <c r="EZF1062" s="989"/>
      <c r="EZG1062" s="989"/>
      <c r="EZH1062" s="989"/>
      <c r="EZI1062" s="989"/>
      <c r="EZJ1062" s="989"/>
      <c r="EZK1062" s="989"/>
      <c r="EZL1062" s="989"/>
      <c r="EZM1062" s="989"/>
      <c r="EZN1062" s="989"/>
      <c r="EZO1062" s="989"/>
      <c r="EZP1062" s="989"/>
      <c r="EZQ1062" s="989"/>
      <c r="EZR1062" s="989"/>
      <c r="EZS1062" s="989"/>
      <c r="EZT1062" s="989"/>
      <c r="EZU1062" s="989"/>
      <c r="EZV1062" s="989"/>
      <c r="EZW1062" s="989"/>
      <c r="EZX1062" s="989"/>
      <c r="EZY1062" s="989"/>
      <c r="EZZ1062" s="989"/>
      <c r="FAA1062" s="989"/>
      <c r="FAB1062" s="989"/>
      <c r="FAC1062" s="989"/>
      <c r="FAD1062" s="989"/>
      <c r="FAE1062" s="989"/>
      <c r="FAF1062" s="989"/>
      <c r="FAG1062" s="989"/>
      <c r="FAH1062" s="989"/>
      <c r="FAI1062" s="989"/>
      <c r="FAJ1062" s="989"/>
      <c r="FAK1062" s="989"/>
      <c r="FAL1062" s="989"/>
      <c r="FAM1062" s="989"/>
      <c r="FAN1062" s="989"/>
      <c r="FAO1062" s="989"/>
      <c r="FAP1062" s="989"/>
      <c r="FAQ1062" s="989"/>
      <c r="FAR1062" s="989"/>
      <c r="FAS1062" s="989"/>
      <c r="FAT1062" s="989"/>
      <c r="FAU1062" s="989"/>
      <c r="FAV1062" s="989"/>
      <c r="FAW1062" s="989"/>
      <c r="FAX1062" s="989"/>
      <c r="FAY1062" s="989"/>
      <c r="FAZ1062" s="989"/>
      <c r="FBA1062" s="989"/>
      <c r="FBB1062" s="989"/>
      <c r="FBC1062" s="989"/>
      <c r="FBD1062" s="989"/>
      <c r="FBE1062" s="989"/>
      <c r="FBF1062" s="989"/>
      <c r="FBG1062" s="989"/>
      <c r="FBH1062" s="989"/>
      <c r="FBI1062" s="989"/>
      <c r="FBJ1062" s="989"/>
      <c r="FBK1062" s="989"/>
      <c r="FBL1062" s="989"/>
      <c r="FBM1062" s="989"/>
      <c r="FBN1062" s="989"/>
      <c r="FBO1062" s="989"/>
      <c r="FBP1062" s="989"/>
      <c r="FBQ1062" s="989"/>
      <c r="FBR1062" s="989"/>
      <c r="FBS1062" s="989"/>
      <c r="FBT1062" s="989"/>
      <c r="FBU1062" s="989"/>
      <c r="FBV1062" s="989"/>
      <c r="FBW1062" s="989"/>
      <c r="FBX1062" s="989"/>
      <c r="FBY1062" s="989"/>
      <c r="FBZ1062" s="989"/>
      <c r="FCA1062" s="989"/>
      <c r="FCB1062" s="989"/>
      <c r="FCC1062" s="989"/>
      <c r="FCD1062" s="989"/>
      <c r="FCE1062" s="989"/>
      <c r="FCF1062" s="989"/>
      <c r="FCG1062" s="989"/>
      <c r="FCH1062" s="989"/>
      <c r="FCI1062" s="989"/>
      <c r="FCJ1062" s="989"/>
      <c r="FCK1062" s="989"/>
      <c r="FCL1062" s="989"/>
      <c r="FCM1062" s="989"/>
      <c r="FCN1062" s="989"/>
      <c r="FCO1062" s="989"/>
      <c r="FCP1062" s="989"/>
      <c r="FCQ1062" s="989"/>
      <c r="FCR1062" s="989"/>
      <c r="FCS1062" s="989"/>
      <c r="FCT1062" s="989"/>
      <c r="FCU1062" s="989"/>
      <c r="FCV1062" s="989"/>
      <c r="FCW1062" s="989"/>
      <c r="FCX1062" s="989"/>
      <c r="FCY1062" s="989"/>
      <c r="FCZ1062" s="989"/>
      <c r="FDA1062" s="989"/>
      <c r="FDB1062" s="989"/>
      <c r="FDC1062" s="989"/>
      <c r="FDD1062" s="989"/>
      <c r="FDE1062" s="989"/>
      <c r="FDF1062" s="989"/>
      <c r="FDG1062" s="989"/>
      <c r="FDH1062" s="989"/>
      <c r="FDI1062" s="989"/>
      <c r="FDJ1062" s="989"/>
      <c r="FDK1062" s="989"/>
      <c r="FDL1062" s="989"/>
      <c r="FDM1062" s="989"/>
      <c r="FDN1062" s="989"/>
      <c r="FDO1062" s="989"/>
      <c r="FDP1062" s="989"/>
      <c r="FDQ1062" s="989"/>
      <c r="FDR1062" s="989"/>
      <c r="FDS1062" s="989"/>
      <c r="FDT1062" s="989"/>
      <c r="FDU1062" s="989"/>
      <c r="FDV1062" s="989"/>
      <c r="FDW1062" s="989"/>
      <c r="FDX1062" s="989"/>
      <c r="FDY1062" s="989"/>
      <c r="FDZ1062" s="989"/>
      <c r="FEA1062" s="989"/>
      <c r="FEB1062" s="989"/>
      <c r="FEC1062" s="989"/>
      <c r="FED1062" s="989"/>
      <c r="FEE1062" s="989"/>
      <c r="FEF1062" s="989"/>
      <c r="FEG1062" s="989"/>
      <c r="FEH1062" s="989"/>
      <c r="FEI1062" s="989"/>
      <c r="FEJ1062" s="989"/>
      <c r="FEK1062" s="989"/>
      <c r="FEL1062" s="989"/>
      <c r="FEM1062" s="989"/>
      <c r="FEN1062" s="989"/>
      <c r="FEO1062" s="989"/>
      <c r="FEP1062" s="989"/>
      <c r="FEQ1062" s="989"/>
      <c r="FER1062" s="989"/>
      <c r="FES1062" s="989"/>
      <c r="FET1062" s="989"/>
      <c r="FEU1062" s="989"/>
      <c r="FEV1062" s="989"/>
      <c r="FEW1062" s="989"/>
      <c r="FEX1062" s="989"/>
      <c r="FEY1062" s="989"/>
      <c r="FEZ1062" s="989"/>
      <c r="FFA1062" s="989"/>
      <c r="FFB1062" s="989"/>
      <c r="FFC1062" s="989"/>
      <c r="FFD1062" s="989"/>
      <c r="FFE1062" s="989"/>
      <c r="FFF1062" s="989"/>
      <c r="FFG1062" s="989"/>
      <c r="FFH1062" s="989"/>
      <c r="FFI1062" s="989"/>
      <c r="FFJ1062" s="989"/>
      <c r="FFK1062" s="989"/>
      <c r="FFL1062" s="989"/>
      <c r="FFM1062" s="989"/>
      <c r="FFN1062" s="989"/>
      <c r="FFO1062" s="989"/>
      <c r="FFP1062" s="989"/>
      <c r="FFQ1062" s="989"/>
      <c r="FFR1062" s="989"/>
      <c r="FFS1062" s="989"/>
      <c r="FFT1062" s="989"/>
      <c r="FFU1062" s="989"/>
      <c r="FFV1062" s="989"/>
      <c r="FFW1062" s="989"/>
      <c r="FFX1062" s="989"/>
      <c r="FFY1062" s="989"/>
      <c r="FFZ1062" s="989"/>
      <c r="FGA1062" s="989"/>
      <c r="FGB1062" s="989"/>
      <c r="FGC1062" s="989"/>
      <c r="FGD1062" s="989"/>
      <c r="FGE1062" s="989"/>
      <c r="FGF1062" s="989"/>
      <c r="FGG1062" s="989"/>
      <c r="FGH1062" s="989"/>
      <c r="FGI1062" s="989"/>
      <c r="FGJ1062" s="989"/>
      <c r="FGK1062" s="989"/>
      <c r="FGL1062" s="989"/>
      <c r="FGM1062" s="989"/>
      <c r="FGN1062" s="989"/>
      <c r="FGO1062" s="989"/>
      <c r="FGP1062" s="989"/>
      <c r="FGQ1062" s="989"/>
      <c r="FGR1062" s="989"/>
      <c r="FGS1062" s="989"/>
      <c r="FGT1062" s="989"/>
      <c r="FGU1062" s="989"/>
      <c r="FGV1062" s="989"/>
      <c r="FGW1062" s="989"/>
      <c r="FGX1062" s="989"/>
      <c r="FGY1062" s="989"/>
      <c r="FGZ1062" s="989"/>
      <c r="FHA1062" s="989"/>
      <c r="FHB1062" s="989"/>
      <c r="FHC1062" s="989"/>
      <c r="FHD1062" s="989"/>
      <c r="FHE1062" s="989"/>
      <c r="FHF1062" s="989"/>
      <c r="FHG1062" s="989"/>
      <c r="FHH1062" s="989"/>
      <c r="FHI1062" s="989"/>
      <c r="FHJ1062" s="989"/>
      <c r="FHK1062" s="989"/>
      <c r="FHL1062" s="989"/>
      <c r="FHM1062" s="989"/>
      <c r="FHN1062" s="989"/>
      <c r="FHO1062" s="989"/>
      <c r="FHP1062" s="989"/>
      <c r="FHQ1062" s="989"/>
      <c r="FHR1062" s="989"/>
      <c r="FHS1062" s="989"/>
      <c r="FHT1062" s="989"/>
      <c r="FHU1062" s="989"/>
      <c r="FHV1062" s="989"/>
      <c r="FHW1062" s="989"/>
      <c r="FHX1062" s="989"/>
      <c r="FHY1062" s="989"/>
      <c r="FHZ1062" s="989"/>
      <c r="FIA1062" s="989"/>
      <c r="FIB1062" s="989"/>
      <c r="FIC1062" s="989"/>
      <c r="FID1062" s="989"/>
      <c r="FIE1062" s="989"/>
      <c r="FIF1062" s="989"/>
      <c r="FIG1062" s="989"/>
      <c r="FIH1062" s="989"/>
      <c r="FII1062" s="989"/>
      <c r="FIJ1062" s="989"/>
      <c r="FIK1062" s="989"/>
      <c r="FIL1062" s="989"/>
      <c r="FIM1062" s="989"/>
      <c r="FIN1062" s="989"/>
      <c r="FIO1062" s="989"/>
      <c r="FIP1062" s="989"/>
      <c r="FIQ1062" s="989"/>
      <c r="FIR1062" s="989"/>
      <c r="FIS1062" s="989"/>
      <c r="FIT1062" s="989"/>
      <c r="FIU1062" s="989"/>
      <c r="FIV1062" s="989"/>
      <c r="FIW1062" s="989"/>
      <c r="FIX1062" s="989"/>
      <c r="FIY1062" s="989"/>
      <c r="FIZ1062" s="989"/>
      <c r="FJA1062" s="989"/>
      <c r="FJB1062" s="989"/>
      <c r="FJC1062" s="989"/>
      <c r="FJD1062" s="989"/>
      <c r="FJE1062" s="989"/>
      <c r="FJF1062" s="989"/>
      <c r="FJG1062" s="989"/>
      <c r="FJH1062" s="989"/>
      <c r="FJI1062" s="989"/>
      <c r="FJJ1062" s="989"/>
      <c r="FJK1062" s="989"/>
      <c r="FJL1062" s="989"/>
      <c r="FJM1062" s="989"/>
      <c r="FJN1062" s="989"/>
      <c r="FJO1062" s="989"/>
      <c r="FJP1062" s="989"/>
      <c r="FJQ1062" s="989"/>
      <c r="FJR1062" s="989"/>
      <c r="FJS1062" s="989"/>
      <c r="FJT1062" s="989"/>
      <c r="FJU1062" s="989"/>
      <c r="FJV1062" s="989"/>
      <c r="FJW1062" s="989"/>
      <c r="FJX1062" s="989"/>
      <c r="FJY1062" s="989"/>
      <c r="FJZ1062" s="989"/>
      <c r="FKA1062" s="989"/>
      <c r="FKB1062" s="989"/>
      <c r="FKC1062" s="989"/>
      <c r="FKD1062" s="989"/>
      <c r="FKE1062" s="989"/>
      <c r="FKF1062" s="989"/>
      <c r="FKG1062" s="989"/>
      <c r="FKH1062" s="989"/>
      <c r="FKI1062" s="989"/>
      <c r="FKJ1062" s="989"/>
      <c r="FKK1062" s="989"/>
      <c r="FKL1062" s="989"/>
      <c r="FKM1062" s="989"/>
      <c r="FKN1062" s="989"/>
      <c r="FKO1062" s="989"/>
      <c r="FKP1062" s="989"/>
      <c r="FKQ1062" s="989"/>
      <c r="FKR1062" s="989"/>
      <c r="FKS1062" s="989"/>
      <c r="FKT1062" s="989"/>
      <c r="FKU1062" s="989"/>
      <c r="FKV1062" s="989"/>
      <c r="FKW1062" s="989"/>
      <c r="FKX1062" s="989"/>
      <c r="FKY1062" s="989"/>
      <c r="FKZ1062" s="989"/>
      <c r="FLA1062" s="989"/>
      <c r="FLB1062" s="989"/>
      <c r="FLC1062" s="989"/>
      <c r="FLD1062" s="989"/>
      <c r="FLE1062" s="989"/>
      <c r="FLF1062" s="989"/>
      <c r="FLG1062" s="989"/>
      <c r="FLH1062" s="989"/>
      <c r="FLI1062" s="989"/>
      <c r="FLJ1062" s="989"/>
      <c r="FLK1062" s="989"/>
      <c r="FLL1062" s="989"/>
      <c r="FLM1062" s="989"/>
      <c r="FLN1062" s="989"/>
      <c r="FLO1062" s="989"/>
      <c r="FLP1062" s="989"/>
      <c r="FLQ1062" s="989"/>
      <c r="FLR1062" s="989"/>
      <c r="FLS1062" s="989"/>
      <c r="FLT1062" s="989"/>
      <c r="FLU1062" s="989"/>
      <c r="FLV1062" s="989"/>
      <c r="FLW1062" s="989"/>
      <c r="FLX1062" s="989"/>
      <c r="FLY1062" s="989"/>
      <c r="FLZ1062" s="989"/>
      <c r="FMA1062" s="989"/>
      <c r="FMB1062" s="989"/>
      <c r="FMC1062" s="989"/>
      <c r="FMD1062" s="989"/>
      <c r="FME1062" s="989"/>
      <c r="FMF1062" s="989"/>
      <c r="FMG1062" s="989"/>
      <c r="FMH1062" s="989"/>
      <c r="FMI1062" s="989"/>
      <c r="FMJ1062" s="989"/>
      <c r="FMK1062" s="989"/>
      <c r="FML1062" s="989"/>
      <c r="FMM1062" s="989"/>
      <c r="FMN1062" s="989"/>
      <c r="FMO1062" s="989"/>
      <c r="FMP1062" s="989"/>
      <c r="FMQ1062" s="989"/>
      <c r="FMR1062" s="989"/>
      <c r="FMS1062" s="989"/>
      <c r="FMT1062" s="989"/>
      <c r="FMU1062" s="989"/>
      <c r="FMV1062" s="989"/>
      <c r="FMW1062" s="989"/>
      <c r="FMX1062" s="989"/>
      <c r="FMY1062" s="989"/>
      <c r="FMZ1062" s="989"/>
      <c r="FNA1062" s="989"/>
      <c r="FNB1062" s="989"/>
      <c r="FNC1062" s="989"/>
      <c r="FND1062" s="989"/>
      <c r="FNE1062" s="989"/>
      <c r="FNF1062" s="989"/>
      <c r="FNG1062" s="989"/>
      <c r="FNH1062" s="989"/>
      <c r="FNI1062" s="989"/>
      <c r="FNJ1062" s="989"/>
      <c r="FNK1062" s="989"/>
      <c r="FNL1062" s="989"/>
      <c r="FNM1062" s="989"/>
      <c r="FNN1062" s="989"/>
      <c r="FNO1062" s="989"/>
      <c r="FNP1062" s="989"/>
      <c r="FNQ1062" s="989"/>
      <c r="FNR1062" s="989"/>
      <c r="FNS1062" s="989"/>
      <c r="FNT1062" s="989"/>
      <c r="FNU1062" s="989"/>
      <c r="FNV1062" s="989"/>
      <c r="FNW1062" s="989"/>
      <c r="FNX1062" s="989"/>
      <c r="FNY1062" s="989"/>
      <c r="FNZ1062" s="989"/>
      <c r="FOA1062" s="989"/>
      <c r="FOB1062" s="989"/>
      <c r="FOC1062" s="989"/>
      <c r="FOD1062" s="989"/>
      <c r="FOE1062" s="989"/>
      <c r="FOF1062" s="989"/>
      <c r="FOG1062" s="989"/>
      <c r="FOH1062" s="989"/>
      <c r="FOI1062" s="989"/>
      <c r="FOJ1062" s="989"/>
      <c r="FOK1062" s="989"/>
      <c r="FOL1062" s="989"/>
      <c r="FOM1062" s="989"/>
      <c r="FON1062" s="989"/>
      <c r="FOO1062" s="989"/>
      <c r="FOP1062" s="989"/>
      <c r="FOQ1062" s="989"/>
      <c r="FOR1062" s="989"/>
      <c r="FOS1062" s="989"/>
      <c r="FOT1062" s="989"/>
      <c r="FOU1062" s="989"/>
      <c r="FOV1062" s="989"/>
      <c r="FOW1062" s="989"/>
      <c r="FOX1062" s="989"/>
      <c r="FOY1062" s="989"/>
      <c r="FOZ1062" s="989"/>
      <c r="FPA1062" s="989"/>
      <c r="FPB1062" s="989"/>
      <c r="FPC1062" s="989"/>
      <c r="FPD1062" s="989"/>
      <c r="FPE1062" s="989"/>
      <c r="FPF1062" s="989"/>
      <c r="FPG1062" s="989"/>
      <c r="FPH1062" s="989"/>
      <c r="FPI1062" s="989"/>
      <c r="FPJ1062" s="989"/>
      <c r="FPK1062" s="989"/>
      <c r="FPL1062" s="989"/>
      <c r="FPM1062" s="989"/>
      <c r="FPN1062" s="989"/>
      <c r="FPO1062" s="989"/>
      <c r="FPP1062" s="989"/>
      <c r="FPQ1062" s="989"/>
      <c r="FPR1062" s="989"/>
      <c r="FPS1062" s="989"/>
      <c r="FPT1062" s="989"/>
      <c r="FPU1062" s="989"/>
      <c r="FPV1062" s="989"/>
      <c r="FPW1062" s="989"/>
      <c r="FPX1062" s="989"/>
      <c r="FPY1062" s="989"/>
      <c r="FPZ1062" s="989"/>
      <c r="FQA1062" s="989"/>
      <c r="FQB1062" s="989"/>
      <c r="FQC1062" s="989"/>
      <c r="FQD1062" s="989"/>
      <c r="FQE1062" s="989"/>
      <c r="FQF1062" s="989"/>
      <c r="FQG1062" s="989"/>
      <c r="FQH1062" s="989"/>
      <c r="FQI1062" s="989"/>
      <c r="FQJ1062" s="989"/>
      <c r="FQK1062" s="989"/>
      <c r="FQL1062" s="989"/>
      <c r="FQM1062" s="989"/>
      <c r="FQN1062" s="989"/>
      <c r="FQO1062" s="989"/>
      <c r="FQP1062" s="989"/>
      <c r="FQQ1062" s="989"/>
      <c r="FQR1062" s="989"/>
      <c r="FQS1062" s="989"/>
      <c r="FQT1062" s="989"/>
      <c r="FQU1062" s="989"/>
      <c r="FQV1062" s="989"/>
      <c r="FQW1062" s="989"/>
      <c r="FQX1062" s="989"/>
      <c r="FQY1062" s="989"/>
      <c r="FQZ1062" s="989"/>
      <c r="FRA1062" s="989"/>
      <c r="FRB1062" s="989"/>
      <c r="FRC1062" s="989"/>
      <c r="FRD1062" s="989"/>
      <c r="FRE1062" s="989"/>
      <c r="FRF1062" s="989"/>
      <c r="FRG1062" s="989"/>
      <c r="FRH1062" s="989"/>
      <c r="FRI1062" s="989"/>
      <c r="FRJ1062" s="989"/>
      <c r="FRK1062" s="989"/>
      <c r="FRL1062" s="989"/>
      <c r="FRM1062" s="989"/>
      <c r="FRN1062" s="989"/>
      <c r="FRO1062" s="989"/>
      <c r="FRP1062" s="989"/>
      <c r="FRQ1062" s="989"/>
      <c r="FRR1062" s="989"/>
      <c r="FRS1062" s="989"/>
      <c r="FRT1062" s="989"/>
      <c r="FRU1062" s="989"/>
      <c r="FRV1062" s="989"/>
      <c r="FRW1062" s="989"/>
      <c r="FRX1062" s="989"/>
      <c r="FRY1062" s="989"/>
      <c r="FRZ1062" s="989"/>
      <c r="FSA1062" s="989"/>
      <c r="FSB1062" s="989"/>
      <c r="FSC1062" s="989"/>
      <c r="FSD1062" s="989"/>
      <c r="FSE1062" s="989"/>
      <c r="FSF1062" s="989"/>
      <c r="FSG1062" s="989"/>
      <c r="FSH1062" s="989"/>
      <c r="FSI1062" s="989"/>
      <c r="FSJ1062" s="989"/>
      <c r="FSK1062" s="989"/>
      <c r="FSL1062" s="989"/>
      <c r="FSM1062" s="989"/>
      <c r="FSN1062" s="989"/>
      <c r="FSO1062" s="989"/>
      <c r="FSP1062" s="989"/>
      <c r="FSQ1062" s="989"/>
      <c r="FSR1062" s="989"/>
      <c r="FSS1062" s="989"/>
      <c r="FST1062" s="989"/>
      <c r="FSU1062" s="989"/>
      <c r="FSV1062" s="989"/>
      <c r="FSW1062" s="989"/>
      <c r="FSX1062" s="989"/>
      <c r="FSY1062" s="989"/>
      <c r="FSZ1062" s="989"/>
      <c r="FTA1062" s="989"/>
      <c r="FTB1062" s="989"/>
      <c r="FTC1062" s="989"/>
      <c r="FTD1062" s="989"/>
      <c r="FTE1062" s="989"/>
      <c r="FTF1062" s="989"/>
      <c r="FTG1062" s="989"/>
      <c r="FTH1062" s="989"/>
      <c r="FTI1062" s="989"/>
      <c r="FTJ1062" s="989"/>
      <c r="FTK1062" s="989"/>
      <c r="FTL1062" s="989"/>
      <c r="FTM1062" s="989"/>
      <c r="FTN1062" s="989"/>
      <c r="FTO1062" s="989"/>
      <c r="FTP1062" s="989"/>
      <c r="FTQ1062" s="989"/>
      <c r="FTR1062" s="989"/>
      <c r="FTS1062" s="989"/>
      <c r="FTT1062" s="989"/>
      <c r="FTU1062" s="989"/>
      <c r="FTV1062" s="989"/>
      <c r="FTW1062" s="989"/>
      <c r="FTX1062" s="989"/>
      <c r="FTY1062" s="989"/>
      <c r="FTZ1062" s="989"/>
      <c r="FUA1062" s="989"/>
      <c r="FUB1062" s="989"/>
      <c r="FUC1062" s="989"/>
      <c r="FUD1062" s="989"/>
      <c r="FUE1062" s="989"/>
      <c r="FUF1062" s="989"/>
      <c r="FUG1062" s="989"/>
      <c r="FUH1062" s="989"/>
      <c r="FUI1062" s="989"/>
      <c r="FUJ1062" s="989"/>
      <c r="FUK1062" s="989"/>
      <c r="FUL1062" s="989"/>
      <c r="FUM1062" s="989"/>
      <c r="FUN1062" s="989"/>
      <c r="FUO1062" s="989"/>
      <c r="FUP1062" s="989"/>
      <c r="FUQ1062" s="989"/>
      <c r="FUR1062" s="989"/>
      <c r="FUS1062" s="989"/>
      <c r="FUT1062" s="989"/>
      <c r="FUU1062" s="989"/>
      <c r="FUV1062" s="989"/>
      <c r="FUW1062" s="989"/>
      <c r="FUX1062" s="989"/>
      <c r="FUY1062" s="989"/>
      <c r="FUZ1062" s="989"/>
      <c r="FVA1062" s="989"/>
      <c r="FVB1062" s="989"/>
      <c r="FVC1062" s="989"/>
      <c r="FVD1062" s="989"/>
      <c r="FVE1062" s="989"/>
      <c r="FVF1062" s="989"/>
      <c r="FVG1062" s="989"/>
      <c r="FVH1062" s="989"/>
      <c r="FVI1062" s="989"/>
      <c r="FVJ1062" s="989"/>
      <c r="FVK1062" s="989"/>
      <c r="FVL1062" s="989"/>
      <c r="FVM1062" s="989"/>
      <c r="FVN1062" s="989"/>
      <c r="FVO1062" s="989"/>
      <c r="FVP1062" s="989"/>
      <c r="FVQ1062" s="989"/>
      <c r="FVR1062" s="989"/>
      <c r="FVS1062" s="989"/>
      <c r="FVT1062" s="989"/>
      <c r="FVU1062" s="989"/>
      <c r="FVV1062" s="989"/>
      <c r="FVW1062" s="989"/>
      <c r="FVX1062" s="989"/>
      <c r="FVY1062" s="989"/>
      <c r="FVZ1062" s="989"/>
      <c r="FWA1062" s="989"/>
      <c r="FWB1062" s="989"/>
      <c r="FWC1062" s="989"/>
      <c r="FWD1062" s="989"/>
      <c r="FWE1062" s="989"/>
      <c r="FWF1062" s="989"/>
      <c r="FWG1062" s="989"/>
      <c r="FWH1062" s="989"/>
      <c r="FWI1062" s="989"/>
      <c r="FWJ1062" s="989"/>
      <c r="FWK1062" s="989"/>
      <c r="FWL1062" s="989"/>
      <c r="FWM1062" s="989"/>
      <c r="FWN1062" s="989"/>
      <c r="FWO1062" s="989"/>
      <c r="FWP1062" s="989"/>
      <c r="FWQ1062" s="989"/>
      <c r="FWR1062" s="989"/>
      <c r="FWS1062" s="989"/>
      <c r="FWT1062" s="989"/>
      <c r="FWU1062" s="989"/>
      <c r="FWV1062" s="989"/>
      <c r="FWW1062" s="989"/>
      <c r="FWX1062" s="989"/>
      <c r="FWY1062" s="989"/>
      <c r="FWZ1062" s="989"/>
      <c r="FXA1062" s="989"/>
      <c r="FXB1062" s="989"/>
      <c r="FXC1062" s="989"/>
      <c r="FXD1062" s="989"/>
      <c r="FXE1062" s="989"/>
      <c r="FXF1062" s="989"/>
      <c r="FXG1062" s="989"/>
      <c r="FXH1062" s="989"/>
      <c r="FXI1062" s="989"/>
      <c r="FXJ1062" s="989"/>
      <c r="FXK1062" s="989"/>
      <c r="FXL1062" s="989"/>
      <c r="FXM1062" s="989"/>
      <c r="FXN1062" s="989"/>
      <c r="FXO1062" s="989"/>
      <c r="FXP1062" s="989"/>
      <c r="FXQ1062" s="989"/>
      <c r="FXR1062" s="989"/>
      <c r="FXS1062" s="989"/>
      <c r="FXT1062" s="989"/>
      <c r="FXU1062" s="989"/>
      <c r="FXV1062" s="989"/>
      <c r="FXW1062" s="989"/>
      <c r="FXX1062" s="989"/>
      <c r="FXY1062" s="989"/>
      <c r="FXZ1062" s="989"/>
      <c r="FYA1062" s="989"/>
      <c r="FYB1062" s="989"/>
      <c r="FYC1062" s="989"/>
      <c r="FYD1062" s="989"/>
      <c r="FYE1062" s="989"/>
      <c r="FYF1062" s="989"/>
      <c r="FYG1062" s="989"/>
      <c r="FYH1062" s="989"/>
      <c r="FYI1062" s="989"/>
      <c r="FYJ1062" s="989"/>
      <c r="FYK1062" s="989"/>
      <c r="FYL1062" s="989"/>
      <c r="FYM1062" s="989"/>
      <c r="FYN1062" s="989"/>
      <c r="FYO1062" s="989"/>
      <c r="FYP1062" s="989"/>
      <c r="FYQ1062" s="989"/>
      <c r="FYR1062" s="989"/>
      <c r="FYS1062" s="989"/>
      <c r="FYT1062" s="989"/>
      <c r="FYU1062" s="989"/>
      <c r="FYV1062" s="989"/>
      <c r="FYW1062" s="989"/>
      <c r="FYX1062" s="989"/>
      <c r="FYY1062" s="989"/>
      <c r="FYZ1062" s="989"/>
      <c r="FZA1062" s="989"/>
      <c r="FZB1062" s="989"/>
      <c r="FZC1062" s="989"/>
      <c r="FZD1062" s="989"/>
      <c r="FZE1062" s="989"/>
      <c r="FZF1062" s="989"/>
      <c r="FZG1062" s="989"/>
      <c r="FZH1062" s="989"/>
      <c r="FZI1062" s="989"/>
      <c r="FZJ1062" s="989"/>
      <c r="FZK1062" s="989"/>
      <c r="FZL1062" s="989"/>
      <c r="FZM1062" s="989"/>
      <c r="FZN1062" s="989"/>
      <c r="FZO1062" s="989"/>
      <c r="FZP1062" s="989"/>
      <c r="FZQ1062" s="989"/>
      <c r="FZR1062" s="989"/>
      <c r="FZS1062" s="989"/>
      <c r="FZT1062" s="989"/>
      <c r="FZU1062" s="989"/>
      <c r="FZV1062" s="989"/>
      <c r="FZW1062" s="989"/>
      <c r="FZX1062" s="989"/>
      <c r="FZY1062" s="989"/>
      <c r="FZZ1062" s="989"/>
      <c r="GAA1062" s="989"/>
      <c r="GAB1062" s="989"/>
      <c r="GAC1062" s="989"/>
      <c r="GAD1062" s="989"/>
      <c r="GAE1062" s="989"/>
      <c r="GAF1062" s="989"/>
      <c r="GAG1062" s="989"/>
      <c r="GAH1062" s="989"/>
      <c r="GAI1062" s="989"/>
      <c r="GAJ1062" s="989"/>
      <c r="GAK1062" s="989"/>
      <c r="GAL1062" s="989"/>
      <c r="GAM1062" s="989"/>
      <c r="GAN1062" s="989"/>
      <c r="GAO1062" s="989"/>
      <c r="GAP1062" s="989"/>
      <c r="GAQ1062" s="989"/>
      <c r="GAR1062" s="989"/>
      <c r="GAS1062" s="989"/>
      <c r="GAT1062" s="989"/>
      <c r="GAU1062" s="989"/>
      <c r="GAV1062" s="989"/>
      <c r="GAW1062" s="989"/>
      <c r="GAX1062" s="989"/>
      <c r="GAY1062" s="989"/>
      <c r="GAZ1062" s="989"/>
      <c r="GBA1062" s="989"/>
      <c r="GBB1062" s="989"/>
      <c r="GBC1062" s="989"/>
      <c r="GBD1062" s="989"/>
      <c r="GBE1062" s="989"/>
      <c r="GBF1062" s="989"/>
      <c r="GBG1062" s="989"/>
      <c r="GBH1062" s="989"/>
      <c r="GBI1062" s="989"/>
      <c r="GBJ1062" s="989"/>
      <c r="GBK1062" s="989"/>
      <c r="GBL1062" s="989"/>
      <c r="GBM1062" s="989"/>
      <c r="GBN1062" s="989"/>
      <c r="GBO1062" s="989"/>
      <c r="GBP1062" s="989"/>
      <c r="GBQ1062" s="989"/>
      <c r="GBR1062" s="989"/>
      <c r="GBS1062" s="989"/>
      <c r="GBT1062" s="989"/>
      <c r="GBU1062" s="989"/>
      <c r="GBV1062" s="989"/>
      <c r="GBW1062" s="989"/>
      <c r="GBX1062" s="989"/>
      <c r="GBY1062" s="989"/>
      <c r="GBZ1062" s="989"/>
      <c r="GCA1062" s="989"/>
      <c r="GCB1062" s="989"/>
      <c r="GCC1062" s="989"/>
      <c r="GCD1062" s="989"/>
      <c r="GCE1062" s="989"/>
      <c r="GCF1062" s="989"/>
      <c r="GCG1062" s="989"/>
      <c r="GCH1062" s="989"/>
      <c r="GCI1062" s="989"/>
      <c r="GCJ1062" s="989"/>
      <c r="GCK1062" s="989"/>
      <c r="GCL1062" s="989"/>
      <c r="GCM1062" s="989"/>
      <c r="GCN1062" s="989"/>
      <c r="GCO1062" s="989"/>
      <c r="GCP1062" s="989"/>
      <c r="GCQ1062" s="989"/>
      <c r="GCR1062" s="989"/>
      <c r="GCS1062" s="989"/>
      <c r="GCT1062" s="989"/>
      <c r="GCU1062" s="989"/>
      <c r="GCV1062" s="989"/>
      <c r="GCW1062" s="989"/>
      <c r="GCX1062" s="989"/>
      <c r="GCY1062" s="989"/>
      <c r="GCZ1062" s="989"/>
      <c r="GDA1062" s="989"/>
      <c r="GDB1062" s="989"/>
      <c r="GDC1062" s="989"/>
      <c r="GDD1062" s="989"/>
      <c r="GDE1062" s="989"/>
      <c r="GDF1062" s="989"/>
      <c r="GDG1062" s="989"/>
      <c r="GDH1062" s="989"/>
      <c r="GDI1062" s="989"/>
      <c r="GDJ1062" s="989"/>
      <c r="GDK1062" s="989"/>
      <c r="GDL1062" s="989"/>
      <c r="GDM1062" s="989"/>
      <c r="GDN1062" s="989"/>
      <c r="GDO1062" s="989"/>
      <c r="GDP1062" s="989"/>
      <c r="GDQ1062" s="989"/>
      <c r="GDR1062" s="989"/>
      <c r="GDS1062" s="989"/>
      <c r="GDT1062" s="989"/>
      <c r="GDU1062" s="989"/>
      <c r="GDV1062" s="989"/>
      <c r="GDW1062" s="989"/>
      <c r="GDX1062" s="989"/>
      <c r="GDY1062" s="989"/>
      <c r="GDZ1062" s="989"/>
      <c r="GEA1062" s="989"/>
      <c r="GEB1062" s="989"/>
      <c r="GEC1062" s="989"/>
      <c r="GED1062" s="989"/>
      <c r="GEE1062" s="989"/>
      <c r="GEF1062" s="989"/>
      <c r="GEG1062" s="989"/>
      <c r="GEH1062" s="989"/>
      <c r="GEI1062" s="989"/>
      <c r="GEJ1062" s="989"/>
      <c r="GEK1062" s="989"/>
      <c r="GEL1062" s="989"/>
      <c r="GEM1062" s="989"/>
      <c r="GEN1062" s="989"/>
      <c r="GEO1062" s="989"/>
      <c r="GEP1062" s="989"/>
      <c r="GEQ1062" s="989"/>
      <c r="GER1062" s="989"/>
      <c r="GES1062" s="989"/>
      <c r="GET1062" s="989"/>
      <c r="GEU1062" s="989"/>
      <c r="GEV1062" s="989"/>
      <c r="GEW1062" s="989"/>
      <c r="GEX1062" s="989"/>
      <c r="GEY1062" s="989"/>
      <c r="GEZ1062" s="989"/>
      <c r="GFA1062" s="989"/>
      <c r="GFB1062" s="989"/>
      <c r="GFC1062" s="989"/>
      <c r="GFD1062" s="989"/>
      <c r="GFE1062" s="989"/>
      <c r="GFF1062" s="989"/>
      <c r="GFG1062" s="989"/>
      <c r="GFH1062" s="989"/>
      <c r="GFI1062" s="989"/>
      <c r="GFJ1062" s="989"/>
      <c r="GFK1062" s="989"/>
      <c r="GFL1062" s="989"/>
      <c r="GFM1062" s="989"/>
      <c r="GFN1062" s="989"/>
      <c r="GFO1062" s="989"/>
      <c r="GFP1062" s="989"/>
      <c r="GFQ1062" s="989"/>
      <c r="GFR1062" s="989"/>
      <c r="GFS1062" s="989"/>
      <c r="GFT1062" s="989"/>
      <c r="GFU1062" s="989"/>
      <c r="GFV1062" s="989"/>
      <c r="GFW1062" s="989"/>
      <c r="GFX1062" s="989"/>
      <c r="GFY1062" s="989"/>
      <c r="GFZ1062" s="989"/>
      <c r="GGA1062" s="989"/>
      <c r="GGB1062" s="989"/>
      <c r="GGC1062" s="989"/>
      <c r="GGD1062" s="989"/>
      <c r="GGE1062" s="989"/>
      <c r="GGF1062" s="989"/>
      <c r="GGG1062" s="989"/>
      <c r="GGH1062" s="989"/>
      <c r="GGI1062" s="989"/>
      <c r="GGJ1062" s="989"/>
      <c r="GGK1062" s="989"/>
      <c r="GGL1062" s="989"/>
      <c r="GGM1062" s="989"/>
      <c r="GGN1062" s="989"/>
      <c r="GGO1062" s="989"/>
      <c r="GGP1062" s="989"/>
      <c r="GGQ1062" s="989"/>
      <c r="GGR1062" s="989"/>
      <c r="GGS1062" s="989"/>
      <c r="GGT1062" s="989"/>
      <c r="GGU1062" s="989"/>
      <c r="GGV1062" s="989"/>
      <c r="GGW1062" s="989"/>
      <c r="GGX1062" s="989"/>
      <c r="GGY1062" s="989"/>
      <c r="GGZ1062" s="989"/>
      <c r="GHA1062" s="989"/>
      <c r="GHB1062" s="989"/>
      <c r="GHC1062" s="989"/>
      <c r="GHD1062" s="989"/>
      <c r="GHE1062" s="989"/>
      <c r="GHF1062" s="989"/>
      <c r="GHG1062" s="989"/>
      <c r="GHH1062" s="989"/>
      <c r="GHI1062" s="989"/>
      <c r="GHJ1062" s="989"/>
      <c r="GHK1062" s="989"/>
      <c r="GHL1062" s="989"/>
      <c r="GHM1062" s="989"/>
      <c r="GHN1062" s="989"/>
      <c r="GHO1062" s="989"/>
      <c r="GHP1062" s="989"/>
      <c r="GHQ1062" s="989"/>
      <c r="GHR1062" s="989"/>
      <c r="GHS1062" s="989"/>
      <c r="GHT1062" s="989"/>
      <c r="GHU1062" s="989"/>
      <c r="GHV1062" s="989"/>
      <c r="GHW1062" s="989"/>
      <c r="GHX1062" s="989"/>
      <c r="GHY1062" s="989"/>
      <c r="GHZ1062" s="989"/>
      <c r="GIA1062" s="989"/>
      <c r="GIB1062" s="989"/>
      <c r="GIC1062" s="989"/>
      <c r="GID1062" s="989"/>
      <c r="GIE1062" s="989"/>
      <c r="GIF1062" s="989"/>
      <c r="GIG1062" s="989"/>
      <c r="GIH1062" s="989"/>
      <c r="GII1062" s="989"/>
      <c r="GIJ1062" s="989"/>
      <c r="GIK1062" s="989"/>
      <c r="GIL1062" s="989"/>
      <c r="GIM1062" s="989"/>
      <c r="GIN1062" s="989"/>
      <c r="GIO1062" s="989"/>
      <c r="GIP1062" s="989"/>
      <c r="GIQ1062" s="989"/>
      <c r="GIR1062" s="989"/>
      <c r="GIS1062" s="989"/>
      <c r="GIT1062" s="989"/>
      <c r="GIU1062" s="989"/>
      <c r="GIV1062" s="989"/>
      <c r="GIW1062" s="989"/>
      <c r="GIX1062" s="989"/>
      <c r="GIY1062" s="989"/>
      <c r="GIZ1062" s="989"/>
      <c r="GJA1062" s="989"/>
      <c r="GJB1062" s="989"/>
      <c r="GJC1062" s="989"/>
      <c r="GJD1062" s="989"/>
      <c r="GJE1062" s="989"/>
      <c r="GJF1062" s="989"/>
      <c r="GJG1062" s="989"/>
      <c r="GJH1062" s="989"/>
      <c r="GJI1062" s="989"/>
      <c r="GJJ1062" s="989"/>
      <c r="GJK1062" s="989"/>
      <c r="GJL1062" s="989"/>
      <c r="GJM1062" s="989"/>
      <c r="GJN1062" s="989"/>
      <c r="GJO1062" s="989"/>
      <c r="GJP1062" s="989"/>
      <c r="GJQ1062" s="989"/>
      <c r="GJR1062" s="989"/>
      <c r="GJS1062" s="989"/>
      <c r="GJT1062" s="989"/>
      <c r="GJU1062" s="989"/>
      <c r="GJV1062" s="989"/>
      <c r="GJW1062" s="989"/>
      <c r="GJX1062" s="989"/>
      <c r="GJY1062" s="989"/>
      <c r="GJZ1062" s="989"/>
      <c r="GKA1062" s="989"/>
      <c r="GKB1062" s="989"/>
      <c r="GKC1062" s="989"/>
      <c r="GKD1062" s="989"/>
      <c r="GKE1062" s="989"/>
      <c r="GKF1062" s="989"/>
      <c r="GKG1062" s="989"/>
      <c r="GKH1062" s="989"/>
      <c r="GKI1062" s="989"/>
      <c r="GKJ1062" s="989"/>
      <c r="GKK1062" s="989"/>
      <c r="GKL1062" s="989"/>
      <c r="GKM1062" s="989"/>
      <c r="GKN1062" s="989"/>
      <c r="GKO1062" s="989"/>
      <c r="GKP1062" s="989"/>
      <c r="GKQ1062" s="989"/>
      <c r="GKR1062" s="989"/>
      <c r="GKS1062" s="989"/>
      <c r="GKT1062" s="989"/>
      <c r="GKU1062" s="989"/>
      <c r="GKV1062" s="989"/>
      <c r="GKW1062" s="989"/>
      <c r="GKX1062" s="989"/>
      <c r="GKY1062" s="989"/>
      <c r="GKZ1062" s="989"/>
      <c r="GLA1062" s="989"/>
      <c r="GLB1062" s="989"/>
      <c r="GLC1062" s="989"/>
      <c r="GLD1062" s="989"/>
      <c r="GLE1062" s="989"/>
      <c r="GLF1062" s="989"/>
      <c r="GLG1062" s="989"/>
      <c r="GLH1062" s="989"/>
      <c r="GLI1062" s="989"/>
      <c r="GLJ1062" s="989"/>
      <c r="GLK1062" s="989"/>
      <c r="GLL1062" s="989"/>
      <c r="GLM1062" s="989"/>
      <c r="GLN1062" s="989"/>
      <c r="GLO1062" s="989"/>
      <c r="GLP1062" s="989"/>
      <c r="GLQ1062" s="989"/>
      <c r="GLR1062" s="989"/>
      <c r="GLS1062" s="989"/>
      <c r="GLT1062" s="989"/>
      <c r="GLU1062" s="989"/>
      <c r="GLV1062" s="989"/>
      <c r="GLW1062" s="989"/>
      <c r="GLX1062" s="989"/>
      <c r="GLY1062" s="989"/>
      <c r="GLZ1062" s="989"/>
      <c r="GMA1062" s="989"/>
      <c r="GMB1062" s="989"/>
      <c r="GMC1062" s="989"/>
      <c r="GMD1062" s="989"/>
      <c r="GME1062" s="989"/>
      <c r="GMF1062" s="989"/>
      <c r="GMG1062" s="989"/>
      <c r="GMH1062" s="989"/>
      <c r="GMI1062" s="989"/>
      <c r="GMJ1062" s="989"/>
      <c r="GMK1062" s="989"/>
      <c r="GML1062" s="989"/>
      <c r="GMM1062" s="989"/>
      <c r="GMN1062" s="989"/>
      <c r="GMO1062" s="989"/>
      <c r="GMP1062" s="989"/>
      <c r="GMQ1062" s="989"/>
      <c r="GMR1062" s="989"/>
      <c r="GMS1062" s="989"/>
      <c r="GMT1062" s="989"/>
      <c r="GMU1062" s="989"/>
      <c r="GMV1062" s="989"/>
      <c r="GMW1062" s="989"/>
      <c r="GMX1062" s="989"/>
      <c r="GMY1062" s="989"/>
      <c r="GMZ1062" s="989"/>
      <c r="GNA1062" s="989"/>
      <c r="GNB1062" s="989"/>
      <c r="GNC1062" s="989"/>
      <c r="GND1062" s="989"/>
      <c r="GNE1062" s="989"/>
      <c r="GNF1062" s="989"/>
      <c r="GNG1062" s="989"/>
      <c r="GNH1062" s="989"/>
      <c r="GNI1062" s="989"/>
      <c r="GNJ1062" s="989"/>
      <c r="GNK1062" s="989"/>
      <c r="GNL1062" s="989"/>
      <c r="GNM1062" s="989"/>
      <c r="GNN1062" s="989"/>
      <c r="GNO1062" s="989"/>
      <c r="GNP1062" s="989"/>
      <c r="GNQ1062" s="989"/>
      <c r="GNR1062" s="989"/>
      <c r="GNS1062" s="989"/>
      <c r="GNT1062" s="989"/>
      <c r="GNU1062" s="989"/>
      <c r="GNV1062" s="989"/>
      <c r="GNW1062" s="989"/>
      <c r="GNX1062" s="989"/>
      <c r="GNY1062" s="989"/>
      <c r="GNZ1062" s="989"/>
      <c r="GOA1062" s="989"/>
      <c r="GOB1062" s="989"/>
      <c r="GOC1062" s="989"/>
      <c r="GOD1062" s="989"/>
      <c r="GOE1062" s="989"/>
      <c r="GOF1062" s="989"/>
      <c r="GOG1062" s="989"/>
      <c r="GOH1062" s="989"/>
      <c r="GOI1062" s="989"/>
      <c r="GOJ1062" s="989"/>
      <c r="GOK1062" s="989"/>
      <c r="GOL1062" s="989"/>
      <c r="GOM1062" s="989"/>
      <c r="GON1062" s="989"/>
      <c r="GOO1062" s="989"/>
      <c r="GOP1062" s="989"/>
      <c r="GOQ1062" s="989"/>
      <c r="GOR1062" s="989"/>
      <c r="GOS1062" s="989"/>
      <c r="GOT1062" s="989"/>
      <c r="GOU1062" s="989"/>
      <c r="GOV1062" s="989"/>
      <c r="GOW1062" s="989"/>
      <c r="GOX1062" s="989"/>
      <c r="GOY1062" s="989"/>
      <c r="GOZ1062" s="989"/>
      <c r="GPA1062" s="989"/>
      <c r="GPB1062" s="989"/>
      <c r="GPC1062" s="989"/>
      <c r="GPD1062" s="989"/>
      <c r="GPE1062" s="989"/>
      <c r="GPF1062" s="989"/>
      <c r="GPG1062" s="989"/>
      <c r="GPH1062" s="989"/>
      <c r="GPI1062" s="989"/>
      <c r="GPJ1062" s="989"/>
      <c r="GPK1062" s="989"/>
      <c r="GPL1062" s="989"/>
      <c r="GPM1062" s="989"/>
      <c r="GPN1062" s="989"/>
      <c r="GPO1062" s="989"/>
      <c r="GPP1062" s="989"/>
      <c r="GPQ1062" s="989"/>
      <c r="GPR1062" s="989"/>
      <c r="GPS1062" s="989"/>
      <c r="GPT1062" s="989"/>
      <c r="GPU1062" s="989"/>
      <c r="GPV1062" s="989"/>
      <c r="GPW1062" s="989"/>
      <c r="GPX1062" s="989"/>
      <c r="GPY1062" s="989"/>
      <c r="GPZ1062" s="989"/>
      <c r="GQA1062" s="989"/>
      <c r="GQB1062" s="989"/>
      <c r="GQC1062" s="989"/>
      <c r="GQD1062" s="989"/>
      <c r="GQE1062" s="989"/>
      <c r="GQF1062" s="989"/>
      <c r="GQG1062" s="989"/>
      <c r="GQH1062" s="989"/>
      <c r="GQI1062" s="989"/>
      <c r="GQJ1062" s="989"/>
      <c r="GQK1062" s="989"/>
      <c r="GQL1062" s="989"/>
      <c r="GQM1062" s="989"/>
      <c r="GQN1062" s="989"/>
      <c r="GQO1062" s="989"/>
      <c r="GQP1062" s="989"/>
      <c r="GQQ1062" s="989"/>
      <c r="GQR1062" s="989"/>
      <c r="GQS1062" s="989"/>
      <c r="GQT1062" s="989"/>
      <c r="GQU1062" s="989"/>
      <c r="GQV1062" s="989"/>
      <c r="GQW1062" s="989"/>
      <c r="GQX1062" s="989"/>
      <c r="GQY1062" s="989"/>
      <c r="GQZ1062" s="989"/>
      <c r="GRA1062" s="989"/>
      <c r="GRB1062" s="989"/>
      <c r="GRC1062" s="989"/>
      <c r="GRD1062" s="989"/>
      <c r="GRE1062" s="989"/>
      <c r="GRF1062" s="989"/>
      <c r="GRG1062" s="989"/>
      <c r="GRH1062" s="989"/>
      <c r="GRI1062" s="989"/>
      <c r="GRJ1062" s="989"/>
      <c r="GRK1062" s="989"/>
      <c r="GRL1062" s="989"/>
      <c r="GRM1062" s="989"/>
      <c r="GRN1062" s="989"/>
      <c r="GRO1062" s="989"/>
      <c r="GRP1062" s="989"/>
      <c r="GRQ1062" s="989"/>
      <c r="GRR1062" s="989"/>
      <c r="GRS1062" s="989"/>
      <c r="GRT1062" s="989"/>
      <c r="GRU1062" s="989"/>
      <c r="GRV1062" s="989"/>
      <c r="GRW1062" s="989"/>
      <c r="GRX1062" s="989"/>
      <c r="GRY1062" s="989"/>
      <c r="GRZ1062" s="989"/>
      <c r="GSA1062" s="989"/>
      <c r="GSB1062" s="989"/>
      <c r="GSC1062" s="989"/>
      <c r="GSD1062" s="989"/>
      <c r="GSE1062" s="989"/>
      <c r="GSF1062" s="989"/>
      <c r="GSG1062" s="989"/>
      <c r="GSH1062" s="989"/>
      <c r="GSI1062" s="989"/>
      <c r="GSJ1062" s="989"/>
      <c r="GSK1062" s="989"/>
      <c r="GSL1062" s="989"/>
      <c r="GSM1062" s="989"/>
      <c r="GSN1062" s="989"/>
      <c r="GSO1062" s="989"/>
      <c r="GSP1062" s="989"/>
      <c r="GSQ1062" s="989"/>
      <c r="GSR1062" s="989"/>
      <c r="GSS1062" s="989"/>
      <c r="GST1062" s="989"/>
      <c r="GSU1062" s="989"/>
      <c r="GSV1062" s="989"/>
      <c r="GSW1062" s="989"/>
      <c r="GSX1062" s="989"/>
      <c r="GSY1062" s="989"/>
      <c r="GSZ1062" s="989"/>
      <c r="GTA1062" s="989"/>
      <c r="GTB1062" s="989"/>
      <c r="GTC1062" s="989"/>
      <c r="GTD1062" s="989"/>
      <c r="GTE1062" s="989"/>
      <c r="GTF1062" s="989"/>
      <c r="GTG1062" s="989"/>
      <c r="GTH1062" s="989"/>
      <c r="GTI1062" s="989"/>
      <c r="GTJ1062" s="989"/>
      <c r="GTK1062" s="989"/>
      <c r="GTL1062" s="989"/>
      <c r="GTM1062" s="989"/>
      <c r="GTN1062" s="989"/>
      <c r="GTO1062" s="989"/>
      <c r="GTP1062" s="989"/>
      <c r="GTQ1062" s="989"/>
      <c r="GTR1062" s="989"/>
      <c r="GTS1062" s="989"/>
      <c r="GTT1062" s="989"/>
      <c r="GTU1062" s="989"/>
      <c r="GTV1062" s="989"/>
      <c r="GTW1062" s="989"/>
      <c r="GTX1062" s="989"/>
      <c r="GTY1062" s="989"/>
      <c r="GTZ1062" s="989"/>
      <c r="GUA1062" s="989"/>
      <c r="GUB1062" s="989"/>
      <c r="GUC1062" s="989"/>
      <c r="GUD1062" s="989"/>
      <c r="GUE1062" s="989"/>
      <c r="GUF1062" s="989"/>
      <c r="GUG1062" s="989"/>
      <c r="GUH1062" s="989"/>
      <c r="GUI1062" s="989"/>
      <c r="GUJ1062" s="989"/>
      <c r="GUK1062" s="989"/>
      <c r="GUL1062" s="989"/>
      <c r="GUM1062" s="989"/>
      <c r="GUN1062" s="989"/>
      <c r="GUO1062" s="989"/>
      <c r="GUP1062" s="989"/>
      <c r="GUQ1062" s="989"/>
      <c r="GUR1062" s="989"/>
      <c r="GUS1062" s="989"/>
      <c r="GUT1062" s="989"/>
      <c r="GUU1062" s="989"/>
      <c r="GUV1062" s="989"/>
      <c r="GUW1062" s="989"/>
      <c r="GUX1062" s="989"/>
      <c r="GUY1062" s="989"/>
      <c r="GUZ1062" s="989"/>
      <c r="GVA1062" s="989"/>
      <c r="GVB1062" s="989"/>
      <c r="GVC1062" s="989"/>
      <c r="GVD1062" s="989"/>
      <c r="GVE1062" s="989"/>
      <c r="GVF1062" s="989"/>
      <c r="GVG1062" s="989"/>
      <c r="GVH1062" s="989"/>
      <c r="GVI1062" s="989"/>
      <c r="GVJ1062" s="989"/>
      <c r="GVK1062" s="989"/>
      <c r="GVL1062" s="989"/>
      <c r="GVM1062" s="989"/>
      <c r="GVN1062" s="989"/>
      <c r="GVO1062" s="989"/>
      <c r="GVP1062" s="989"/>
      <c r="GVQ1062" s="989"/>
      <c r="GVR1062" s="989"/>
      <c r="GVS1062" s="989"/>
      <c r="GVT1062" s="989"/>
      <c r="GVU1062" s="989"/>
      <c r="GVV1062" s="989"/>
      <c r="GVW1062" s="989"/>
      <c r="GVX1062" s="989"/>
      <c r="GVY1062" s="989"/>
      <c r="GVZ1062" s="989"/>
      <c r="GWA1062" s="989"/>
      <c r="GWB1062" s="989"/>
      <c r="GWC1062" s="989"/>
      <c r="GWD1062" s="989"/>
      <c r="GWE1062" s="989"/>
      <c r="GWF1062" s="989"/>
      <c r="GWG1062" s="989"/>
      <c r="GWH1062" s="989"/>
      <c r="GWI1062" s="989"/>
      <c r="GWJ1062" s="989"/>
      <c r="GWK1062" s="989"/>
      <c r="GWL1062" s="989"/>
      <c r="GWM1062" s="989"/>
      <c r="GWN1062" s="989"/>
      <c r="GWO1062" s="989"/>
      <c r="GWP1062" s="989"/>
      <c r="GWQ1062" s="989"/>
      <c r="GWR1062" s="989"/>
      <c r="GWS1062" s="989"/>
      <c r="GWT1062" s="989"/>
      <c r="GWU1062" s="989"/>
      <c r="GWV1062" s="989"/>
      <c r="GWW1062" s="989"/>
      <c r="GWX1062" s="989"/>
      <c r="GWY1062" s="989"/>
      <c r="GWZ1062" s="989"/>
      <c r="GXA1062" s="989"/>
      <c r="GXB1062" s="989"/>
      <c r="GXC1062" s="989"/>
      <c r="GXD1062" s="989"/>
      <c r="GXE1062" s="989"/>
      <c r="GXF1062" s="989"/>
      <c r="GXG1062" s="989"/>
      <c r="GXH1062" s="989"/>
      <c r="GXI1062" s="989"/>
      <c r="GXJ1062" s="989"/>
      <c r="GXK1062" s="989"/>
      <c r="GXL1062" s="989"/>
      <c r="GXM1062" s="989"/>
      <c r="GXN1062" s="989"/>
      <c r="GXO1062" s="989"/>
      <c r="GXP1062" s="989"/>
      <c r="GXQ1062" s="989"/>
      <c r="GXR1062" s="989"/>
      <c r="GXS1062" s="989"/>
      <c r="GXT1062" s="989"/>
      <c r="GXU1062" s="989"/>
      <c r="GXV1062" s="989"/>
      <c r="GXW1062" s="989"/>
      <c r="GXX1062" s="989"/>
      <c r="GXY1062" s="989"/>
      <c r="GXZ1062" s="989"/>
      <c r="GYA1062" s="989"/>
      <c r="GYB1062" s="989"/>
      <c r="GYC1062" s="989"/>
      <c r="GYD1062" s="989"/>
      <c r="GYE1062" s="989"/>
      <c r="GYF1062" s="989"/>
      <c r="GYG1062" s="989"/>
      <c r="GYH1062" s="989"/>
      <c r="GYI1062" s="989"/>
      <c r="GYJ1062" s="989"/>
      <c r="GYK1062" s="989"/>
      <c r="GYL1062" s="989"/>
      <c r="GYM1062" s="989"/>
      <c r="GYN1062" s="989"/>
      <c r="GYO1062" s="989"/>
      <c r="GYP1062" s="989"/>
      <c r="GYQ1062" s="989"/>
      <c r="GYR1062" s="989"/>
      <c r="GYS1062" s="989"/>
      <c r="GYT1062" s="989"/>
      <c r="GYU1062" s="989"/>
      <c r="GYV1062" s="989"/>
      <c r="GYW1062" s="989"/>
      <c r="GYX1062" s="989"/>
      <c r="GYY1062" s="989"/>
      <c r="GYZ1062" s="989"/>
      <c r="GZA1062" s="989"/>
      <c r="GZB1062" s="989"/>
      <c r="GZC1062" s="989"/>
      <c r="GZD1062" s="989"/>
      <c r="GZE1062" s="989"/>
      <c r="GZF1062" s="989"/>
      <c r="GZG1062" s="989"/>
      <c r="GZH1062" s="989"/>
      <c r="GZI1062" s="989"/>
      <c r="GZJ1062" s="989"/>
      <c r="GZK1062" s="989"/>
      <c r="GZL1062" s="989"/>
      <c r="GZM1062" s="989"/>
      <c r="GZN1062" s="989"/>
      <c r="GZO1062" s="989"/>
      <c r="GZP1062" s="989"/>
      <c r="GZQ1062" s="989"/>
      <c r="GZR1062" s="989"/>
      <c r="GZS1062" s="989"/>
      <c r="GZT1062" s="989"/>
      <c r="GZU1062" s="989"/>
      <c r="GZV1062" s="989"/>
      <c r="GZW1062" s="989"/>
      <c r="GZX1062" s="989"/>
      <c r="GZY1062" s="989"/>
      <c r="GZZ1062" s="989"/>
      <c r="HAA1062" s="989"/>
      <c r="HAB1062" s="989"/>
      <c r="HAC1062" s="989"/>
      <c r="HAD1062" s="989"/>
      <c r="HAE1062" s="989"/>
      <c r="HAF1062" s="989"/>
      <c r="HAG1062" s="989"/>
      <c r="HAH1062" s="989"/>
      <c r="HAI1062" s="989"/>
      <c r="HAJ1062" s="989"/>
      <c r="HAK1062" s="989"/>
      <c r="HAL1062" s="989"/>
      <c r="HAM1062" s="989"/>
      <c r="HAN1062" s="989"/>
      <c r="HAO1062" s="989"/>
      <c r="HAP1062" s="989"/>
      <c r="HAQ1062" s="989"/>
      <c r="HAR1062" s="989"/>
      <c r="HAS1062" s="989"/>
      <c r="HAT1062" s="989"/>
      <c r="HAU1062" s="989"/>
      <c r="HAV1062" s="989"/>
      <c r="HAW1062" s="989"/>
      <c r="HAX1062" s="989"/>
      <c r="HAY1062" s="989"/>
      <c r="HAZ1062" s="989"/>
      <c r="HBA1062" s="989"/>
      <c r="HBB1062" s="989"/>
      <c r="HBC1062" s="989"/>
      <c r="HBD1062" s="989"/>
      <c r="HBE1062" s="989"/>
      <c r="HBF1062" s="989"/>
      <c r="HBG1062" s="989"/>
      <c r="HBH1062" s="989"/>
      <c r="HBI1062" s="989"/>
      <c r="HBJ1062" s="989"/>
      <c r="HBK1062" s="989"/>
      <c r="HBL1062" s="989"/>
      <c r="HBM1062" s="989"/>
      <c r="HBN1062" s="989"/>
      <c r="HBO1062" s="989"/>
      <c r="HBP1062" s="989"/>
      <c r="HBQ1062" s="989"/>
      <c r="HBR1062" s="989"/>
      <c r="HBS1062" s="989"/>
      <c r="HBT1062" s="989"/>
      <c r="HBU1062" s="989"/>
      <c r="HBV1062" s="989"/>
      <c r="HBW1062" s="989"/>
      <c r="HBX1062" s="989"/>
      <c r="HBY1062" s="989"/>
      <c r="HBZ1062" s="989"/>
      <c r="HCA1062" s="989"/>
      <c r="HCB1062" s="989"/>
      <c r="HCC1062" s="989"/>
      <c r="HCD1062" s="989"/>
      <c r="HCE1062" s="989"/>
      <c r="HCF1062" s="989"/>
      <c r="HCG1062" s="989"/>
      <c r="HCH1062" s="989"/>
      <c r="HCI1062" s="989"/>
      <c r="HCJ1062" s="989"/>
      <c r="HCK1062" s="989"/>
      <c r="HCL1062" s="989"/>
      <c r="HCM1062" s="989"/>
      <c r="HCN1062" s="989"/>
      <c r="HCO1062" s="989"/>
      <c r="HCP1062" s="989"/>
      <c r="HCQ1062" s="989"/>
      <c r="HCR1062" s="989"/>
      <c r="HCS1062" s="989"/>
      <c r="HCT1062" s="989"/>
      <c r="HCU1062" s="989"/>
      <c r="HCV1062" s="989"/>
      <c r="HCW1062" s="989"/>
      <c r="HCX1062" s="989"/>
      <c r="HCY1062" s="989"/>
      <c r="HCZ1062" s="989"/>
      <c r="HDA1062" s="989"/>
      <c r="HDB1062" s="989"/>
      <c r="HDC1062" s="989"/>
      <c r="HDD1062" s="989"/>
      <c r="HDE1062" s="989"/>
      <c r="HDF1062" s="989"/>
      <c r="HDG1062" s="989"/>
      <c r="HDH1062" s="989"/>
      <c r="HDI1062" s="989"/>
      <c r="HDJ1062" s="989"/>
      <c r="HDK1062" s="989"/>
      <c r="HDL1062" s="989"/>
      <c r="HDM1062" s="989"/>
      <c r="HDN1062" s="989"/>
      <c r="HDO1062" s="989"/>
      <c r="HDP1062" s="989"/>
      <c r="HDQ1062" s="989"/>
      <c r="HDR1062" s="989"/>
      <c r="HDS1062" s="989"/>
      <c r="HDT1062" s="989"/>
      <c r="HDU1062" s="989"/>
      <c r="HDV1062" s="989"/>
      <c r="HDW1062" s="989"/>
      <c r="HDX1062" s="989"/>
      <c r="HDY1062" s="989"/>
      <c r="HDZ1062" s="989"/>
      <c r="HEA1062" s="989"/>
      <c r="HEB1062" s="989"/>
      <c r="HEC1062" s="989"/>
      <c r="HED1062" s="989"/>
      <c r="HEE1062" s="989"/>
      <c r="HEF1062" s="989"/>
      <c r="HEG1062" s="989"/>
      <c r="HEH1062" s="989"/>
      <c r="HEI1062" s="989"/>
      <c r="HEJ1062" s="989"/>
      <c r="HEK1062" s="989"/>
      <c r="HEL1062" s="989"/>
      <c r="HEM1062" s="989"/>
      <c r="HEN1062" s="989"/>
      <c r="HEO1062" s="989"/>
      <c r="HEP1062" s="989"/>
      <c r="HEQ1062" s="989"/>
      <c r="HER1062" s="989"/>
      <c r="HES1062" s="989"/>
      <c r="HET1062" s="989"/>
      <c r="HEU1062" s="989"/>
      <c r="HEV1062" s="989"/>
      <c r="HEW1062" s="989"/>
      <c r="HEX1062" s="989"/>
      <c r="HEY1062" s="989"/>
      <c r="HEZ1062" s="989"/>
      <c r="HFA1062" s="989"/>
      <c r="HFB1062" s="989"/>
      <c r="HFC1062" s="989"/>
      <c r="HFD1062" s="989"/>
      <c r="HFE1062" s="989"/>
      <c r="HFF1062" s="989"/>
      <c r="HFG1062" s="989"/>
      <c r="HFH1062" s="989"/>
      <c r="HFI1062" s="989"/>
      <c r="HFJ1062" s="989"/>
      <c r="HFK1062" s="989"/>
      <c r="HFL1062" s="989"/>
      <c r="HFM1062" s="989"/>
      <c r="HFN1062" s="989"/>
      <c r="HFO1062" s="989"/>
      <c r="HFP1062" s="989"/>
      <c r="HFQ1062" s="989"/>
      <c r="HFR1062" s="989"/>
      <c r="HFS1062" s="989"/>
      <c r="HFT1062" s="989"/>
      <c r="HFU1062" s="989"/>
      <c r="HFV1062" s="989"/>
      <c r="HFW1062" s="989"/>
      <c r="HFX1062" s="989"/>
      <c r="HFY1062" s="989"/>
      <c r="HFZ1062" s="989"/>
      <c r="HGA1062" s="989"/>
      <c r="HGB1062" s="989"/>
      <c r="HGC1062" s="989"/>
      <c r="HGD1062" s="989"/>
      <c r="HGE1062" s="989"/>
      <c r="HGF1062" s="989"/>
      <c r="HGG1062" s="989"/>
      <c r="HGH1062" s="989"/>
      <c r="HGI1062" s="989"/>
      <c r="HGJ1062" s="989"/>
      <c r="HGK1062" s="989"/>
      <c r="HGL1062" s="989"/>
      <c r="HGM1062" s="989"/>
      <c r="HGN1062" s="989"/>
      <c r="HGO1062" s="989"/>
      <c r="HGP1062" s="989"/>
      <c r="HGQ1062" s="989"/>
      <c r="HGR1062" s="989"/>
      <c r="HGS1062" s="989"/>
      <c r="HGT1062" s="989"/>
      <c r="HGU1062" s="989"/>
      <c r="HGV1062" s="989"/>
      <c r="HGW1062" s="989"/>
      <c r="HGX1062" s="989"/>
      <c r="HGY1062" s="989"/>
      <c r="HGZ1062" s="989"/>
      <c r="HHA1062" s="989"/>
      <c r="HHB1062" s="989"/>
      <c r="HHC1062" s="989"/>
      <c r="HHD1062" s="989"/>
      <c r="HHE1062" s="989"/>
      <c r="HHF1062" s="989"/>
      <c r="HHG1062" s="989"/>
      <c r="HHH1062" s="989"/>
      <c r="HHI1062" s="989"/>
      <c r="HHJ1062" s="989"/>
      <c r="HHK1062" s="989"/>
      <c r="HHL1062" s="989"/>
      <c r="HHM1062" s="989"/>
      <c r="HHN1062" s="989"/>
      <c r="HHO1062" s="989"/>
      <c r="HHP1062" s="989"/>
      <c r="HHQ1062" s="989"/>
      <c r="HHR1062" s="989"/>
      <c r="HHS1062" s="989"/>
      <c r="HHT1062" s="989"/>
      <c r="HHU1062" s="989"/>
      <c r="HHV1062" s="989"/>
      <c r="HHW1062" s="989"/>
      <c r="HHX1062" s="989"/>
      <c r="HHY1062" s="989"/>
      <c r="HHZ1062" s="989"/>
      <c r="HIA1062" s="989"/>
      <c r="HIB1062" s="989"/>
      <c r="HIC1062" s="989"/>
      <c r="HID1062" s="989"/>
      <c r="HIE1062" s="989"/>
      <c r="HIF1062" s="989"/>
      <c r="HIG1062" s="989"/>
      <c r="HIH1062" s="989"/>
      <c r="HII1062" s="989"/>
      <c r="HIJ1062" s="989"/>
      <c r="HIK1062" s="989"/>
      <c r="HIL1062" s="989"/>
      <c r="HIM1062" s="989"/>
      <c r="HIN1062" s="989"/>
      <c r="HIO1062" s="989"/>
      <c r="HIP1062" s="989"/>
      <c r="HIQ1062" s="989"/>
      <c r="HIR1062" s="989"/>
      <c r="HIS1062" s="989"/>
      <c r="HIT1062" s="989"/>
      <c r="HIU1062" s="989"/>
      <c r="HIV1062" s="989"/>
      <c r="HIW1062" s="989"/>
      <c r="HIX1062" s="989"/>
      <c r="HIY1062" s="989"/>
      <c r="HIZ1062" s="989"/>
      <c r="HJA1062" s="989"/>
      <c r="HJB1062" s="989"/>
      <c r="HJC1062" s="989"/>
      <c r="HJD1062" s="989"/>
      <c r="HJE1062" s="989"/>
      <c r="HJF1062" s="989"/>
      <c r="HJG1062" s="989"/>
      <c r="HJH1062" s="989"/>
      <c r="HJI1062" s="989"/>
      <c r="HJJ1062" s="989"/>
      <c r="HJK1062" s="989"/>
      <c r="HJL1062" s="989"/>
      <c r="HJM1062" s="989"/>
      <c r="HJN1062" s="989"/>
      <c r="HJO1062" s="989"/>
      <c r="HJP1062" s="989"/>
      <c r="HJQ1062" s="989"/>
      <c r="HJR1062" s="989"/>
      <c r="HJS1062" s="989"/>
      <c r="HJT1062" s="989"/>
      <c r="HJU1062" s="989"/>
      <c r="HJV1062" s="989"/>
      <c r="HJW1062" s="989"/>
      <c r="HJX1062" s="989"/>
      <c r="HJY1062" s="989"/>
      <c r="HJZ1062" s="989"/>
      <c r="HKA1062" s="989"/>
      <c r="HKB1062" s="989"/>
      <c r="HKC1062" s="989"/>
      <c r="HKD1062" s="989"/>
      <c r="HKE1062" s="989"/>
      <c r="HKF1062" s="989"/>
      <c r="HKG1062" s="989"/>
      <c r="HKH1062" s="989"/>
      <c r="HKI1062" s="989"/>
      <c r="HKJ1062" s="989"/>
      <c r="HKK1062" s="989"/>
      <c r="HKL1062" s="989"/>
      <c r="HKM1062" s="989"/>
      <c r="HKN1062" s="989"/>
      <c r="HKO1062" s="989"/>
      <c r="HKP1062" s="989"/>
      <c r="HKQ1062" s="989"/>
      <c r="HKR1062" s="989"/>
      <c r="HKS1062" s="989"/>
      <c r="HKT1062" s="989"/>
      <c r="HKU1062" s="989"/>
      <c r="HKV1062" s="989"/>
      <c r="HKW1062" s="989"/>
      <c r="HKX1062" s="989"/>
      <c r="HKY1062" s="989"/>
      <c r="HKZ1062" s="989"/>
      <c r="HLA1062" s="989"/>
      <c r="HLB1062" s="989"/>
      <c r="HLC1062" s="989"/>
      <c r="HLD1062" s="989"/>
      <c r="HLE1062" s="989"/>
      <c r="HLF1062" s="989"/>
      <c r="HLG1062" s="989"/>
      <c r="HLH1062" s="989"/>
      <c r="HLI1062" s="989"/>
      <c r="HLJ1062" s="989"/>
      <c r="HLK1062" s="989"/>
      <c r="HLL1062" s="989"/>
      <c r="HLM1062" s="989"/>
      <c r="HLN1062" s="989"/>
      <c r="HLO1062" s="989"/>
      <c r="HLP1062" s="989"/>
      <c r="HLQ1062" s="989"/>
      <c r="HLR1062" s="989"/>
      <c r="HLS1062" s="989"/>
      <c r="HLT1062" s="989"/>
      <c r="HLU1062" s="989"/>
      <c r="HLV1062" s="989"/>
      <c r="HLW1062" s="989"/>
      <c r="HLX1062" s="989"/>
      <c r="HLY1062" s="989"/>
      <c r="HLZ1062" s="989"/>
      <c r="HMA1062" s="989"/>
      <c r="HMB1062" s="989"/>
      <c r="HMC1062" s="989"/>
      <c r="HMD1062" s="989"/>
      <c r="HME1062" s="989"/>
      <c r="HMF1062" s="989"/>
      <c r="HMG1062" s="989"/>
      <c r="HMH1062" s="989"/>
      <c r="HMI1062" s="989"/>
      <c r="HMJ1062" s="989"/>
      <c r="HMK1062" s="989"/>
      <c r="HML1062" s="989"/>
      <c r="HMM1062" s="989"/>
      <c r="HMN1062" s="989"/>
      <c r="HMO1062" s="989"/>
      <c r="HMP1062" s="989"/>
      <c r="HMQ1062" s="989"/>
      <c r="HMR1062" s="989"/>
      <c r="HMS1062" s="989"/>
      <c r="HMT1062" s="989"/>
      <c r="HMU1062" s="989"/>
      <c r="HMV1062" s="989"/>
      <c r="HMW1062" s="989"/>
      <c r="HMX1062" s="989"/>
      <c r="HMY1062" s="989"/>
      <c r="HMZ1062" s="989"/>
      <c r="HNA1062" s="989"/>
      <c r="HNB1062" s="989"/>
      <c r="HNC1062" s="989"/>
      <c r="HND1062" s="989"/>
      <c r="HNE1062" s="989"/>
      <c r="HNF1062" s="989"/>
      <c r="HNG1062" s="989"/>
      <c r="HNH1062" s="989"/>
      <c r="HNI1062" s="989"/>
      <c r="HNJ1062" s="989"/>
      <c r="HNK1062" s="989"/>
      <c r="HNL1062" s="989"/>
      <c r="HNM1062" s="989"/>
      <c r="HNN1062" s="989"/>
      <c r="HNO1062" s="989"/>
      <c r="HNP1062" s="989"/>
      <c r="HNQ1062" s="989"/>
      <c r="HNR1062" s="989"/>
      <c r="HNS1062" s="989"/>
      <c r="HNT1062" s="989"/>
      <c r="HNU1062" s="989"/>
      <c r="HNV1062" s="989"/>
      <c r="HNW1062" s="989"/>
      <c r="HNX1062" s="989"/>
      <c r="HNY1062" s="989"/>
      <c r="HNZ1062" s="989"/>
      <c r="HOA1062" s="989"/>
      <c r="HOB1062" s="989"/>
      <c r="HOC1062" s="989"/>
      <c r="HOD1062" s="989"/>
      <c r="HOE1062" s="989"/>
      <c r="HOF1062" s="989"/>
      <c r="HOG1062" s="989"/>
      <c r="HOH1062" s="989"/>
      <c r="HOI1062" s="989"/>
      <c r="HOJ1062" s="989"/>
      <c r="HOK1062" s="989"/>
      <c r="HOL1062" s="989"/>
      <c r="HOM1062" s="989"/>
      <c r="HON1062" s="989"/>
      <c r="HOO1062" s="989"/>
      <c r="HOP1062" s="989"/>
      <c r="HOQ1062" s="989"/>
      <c r="HOR1062" s="989"/>
      <c r="HOS1062" s="989"/>
      <c r="HOT1062" s="989"/>
      <c r="HOU1062" s="989"/>
      <c r="HOV1062" s="989"/>
      <c r="HOW1062" s="989"/>
      <c r="HOX1062" s="989"/>
      <c r="HOY1062" s="989"/>
      <c r="HOZ1062" s="989"/>
      <c r="HPA1062" s="989"/>
      <c r="HPB1062" s="989"/>
      <c r="HPC1062" s="989"/>
      <c r="HPD1062" s="989"/>
      <c r="HPE1062" s="989"/>
      <c r="HPF1062" s="989"/>
      <c r="HPG1062" s="989"/>
      <c r="HPH1062" s="989"/>
      <c r="HPI1062" s="989"/>
      <c r="HPJ1062" s="989"/>
      <c r="HPK1062" s="989"/>
      <c r="HPL1062" s="989"/>
      <c r="HPM1062" s="989"/>
      <c r="HPN1062" s="989"/>
      <c r="HPO1062" s="989"/>
      <c r="HPP1062" s="989"/>
      <c r="HPQ1062" s="989"/>
      <c r="HPR1062" s="989"/>
      <c r="HPS1062" s="989"/>
      <c r="HPT1062" s="989"/>
      <c r="HPU1062" s="989"/>
      <c r="HPV1062" s="989"/>
      <c r="HPW1062" s="989"/>
      <c r="HPX1062" s="989"/>
      <c r="HPY1062" s="989"/>
      <c r="HPZ1062" s="989"/>
      <c r="HQA1062" s="989"/>
      <c r="HQB1062" s="989"/>
      <c r="HQC1062" s="989"/>
      <c r="HQD1062" s="989"/>
      <c r="HQE1062" s="989"/>
      <c r="HQF1062" s="989"/>
      <c r="HQG1062" s="989"/>
      <c r="HQH1062" s="989"/>
      <c r="HQI1062" s="989"/>
      <c r="HQJ1062" s="989"/>
      <c r="HQK1062" s="989"/>
      <c r="HQL1062" s="989"/>
      <c r="HQM1062" s="989"/>
      <c r="HQN1062" s="989"/>
      <c r="HQO1062" s="989"/>
      <c r="HQP1062" s="989"/>
      <c r="HQQ1062" s="989"/>
      <c r="HQR1062" s="989"/>
      <c r="HQS1062" s="989"/>
      <c r="HQT1062" s="989"/>
      <c r="HQU1062" s="989"/>
      <c r="HQV1062" s="989"/>
      <c r="HQW1062" s="989"/>
      <c r="HQX1062" s="989"/>
      <c r="HQY1062" s="989"/>
      <c r="HQZ1062" s="989"/>
      <c r="HRA1062" s="989"/>
      <c r="HRB1062" s="989"/>
      <c r="HRC1062" s="989"/>
      <c r="HRD1062" s="989"/>
      <c r="HRE1062" s="989"/>
      <c r="HRF1062" s="989"/>
      <c r="HRG1062" s="989"/>
      <c r="HRH1062" s="989"/>
      <c r="HRI1062" s="989"/>
      <c r="HRJ1062" s="989"/>
      <c r="HRK1062" s="989"/>
      <c r="HRL1062" s="989"/>
      <c r="HRM1062" s="989"/>
      <c r="HRN1062" s="989"/>
      <c r="HRO1062" s="989"/>
      <c r="HRP1062" s="989"/>
      <c r="HRQ1062" s="989"/>
      <c r="HRR1062" s="989"/>
      <c r="HRS1062" s="989"/>
      <c r="HRT1062" s="989"/>
      <c r="HRU1062" s="989"/>
      <c r="HRV1062" s="989"/>
      <c r="HRW1062" s="989"/>
      <c r="HRX1062" s="989"/>
      <c r="HRY1062" s="989"/>
      <c r="HRZ1062" s="989"/>
      <c r="HSA1062" s="989"/>
      <c r="HSB1062" s="989"/>
      <c r="HSC1062" s="989"/>
      <c r="HSD1062" s="989"/>
      <c r="HSE1062" s="989"/>
      <c r="HSF1062" s="989"/>
      <c r="HSG1062" s="989"/>
      <c r="HSH1062" s="989"/>
      <c r="HSI1062" s="989"/>
      <c r="HSJ1062" s="989"/>
      <c r="HSK1062" s="989"/>
      <c r="HSL1062" s="989"/>
      <c r="HSM1062" s="989"/>
      <c r="HSN1062" s="989"/>
      <c r="HSO1062" s="989"/>
      <c r="HSP1062" s="989"/>
      <c r="HSQ1062" s="989"/>
      <c r="HSR1062" s="989"/>
      <c r="HSS1062" s="989"/>
      <c r="HST1062" s="989"/>
      <c r="HSU1062" s="989"/>
      <c r="HSV1062" s="989"/>
      <c r="HSW1062" s="989"/>
      <c r="HSX1062" s="989"/>
      <c r="HSY1062" s="989"/>
      <c r="HSZ1062" s="989"/>
      <c r="HTA1062" s="989"/>
      <c r="HTB1062" s="989"/>
      <c r="HTC1062" s="989"/>
      <c r="HTD1062" s="989"/>
      <c r="HTE1062" s="989"/>
      <c r="HTF1062" s="989"/>
      <c r="HTG1062" s="989"/>
      <c r="HTH1062" s="989"/>
      <c r="HTI1062" s="989"/>
      <c r="HTJ1062" s="989"/>
      <c r="HTK1062" s="989"/>
      <c r="HTL1062" s="989"/>
      <c r="HTM1062" s="989"/>
      <c r="HTN1062" s="989"/>
      <c r="HTO1062" s="989"/>
      <c r="HTP1062" s="989"/>
      <c r="HTQ1062" s="989"/>
      <c r="HTR1062" s="989"/>
      <c r="HTS1062" s="989"/>
      <c r="HTT1062" s="989"/>
      <c r="HTU1062" s="989"/>
      <c r="HTV1062" s="989"/>
      <c r="HTW1062" s="989"/>
      <c r="HTX1062" s="989"/>
      <c r="HTY1062" s="989"/>
      <c r="HTZ1062" s="989"/>
      <c r="HUA1062" s="989"/>
      <c r="HUB1062" s="989"/>
      <c r="HUC1062" s="989"/>
      <c r="HUD1062" s="989"/>
      <c r="HUE1062" s="989"/>
      <c r="HUF1062" s="989"/>
      <c r="HUG1062" s="989"/>
      <c r="HUH1062" s="989"/>
      <c r="HUI1062" s="989"/>
      <c r="HUJ1062" s="989"/>
      <c r="HUK1062" s="989"/>
      <c r="HUL1062" s="989"/>
      <c r="HUM1062" s="989"/>
      <c r="HUN1062" s="989"/>
      <c r="HUO1062" s="989"/>
      <c r="HUP1062" s="989"/>
      <c r="HUQ1062" s="989"/>
      <c r="HUR1062" s="989"/>
      <c r="HUS1062" s="989"/>
      <c r="HUT1062" s="989"/>
      <c r="HUU1062" s="989"/>
      <c r="HUV1062" s="989"/>
      <c r="HUW1062" s="989"/>
      <c r="HUX1062" s="989"/>
      <c r="HUY1062" s="989"/>
      <c r="HUZ1062" s="989"/>
      <c r="HVA1062" s="989"/>
      <c r="HVB1062" s="989"/>
      <c r="HVC1062" s="989"/>
      <c r="HVD1062" s="989"/>
      <c r="HVE1062" s="989"/>
      <c r="HVF1062" s="989"/>
      <c r="HVG1062" s="989"/>
      <c r="HVH1062" s="989"/>
      <c r="HVI1062" s="989"/>
      <c r="HVJ1062" s="989"/>
      <c r="HVK1062" s="989"/>
      <c r="HVL1062" s="989"/>
      <c r="HVM1062" s="989"/>
      <c r="HVN1062" s="989"/>
      <c r="HVO1062" s="989"/>
      <c r="HVP1062" s="989"/>
      <c r="HVQ1062" s="989"/>
      <c r="HVR1062" s="989"/>
      <c r="HVS1062" s="989"/>
      <c r="HVT1062" s="989"/>
      <c r="HVU1062" s="989"/>
      <c r="HVV1062" s="989"/>
      <c r="HVW1062" s="989"/>
      <c r="HVX1062" s="989"/>
      <c r="HVY1062" s="989"/>
      <c r="HVZ1062" s="989"/>
      <c r="HWA1062" s="989"/>
      <c r="HWB1062" s="989"/>
      <c r="HWC1062" s="989"/>
      <c r="HWD1062" s="989"/>
      <c r="HWE1062" s="989"/>
      <c r="HWF1062" s="989"/>
      <c r="HWG1062" s="989"/>
      <c r="HWH1062" s="989"/>
      <c r="HWI1062" s="989"/>
      <c r="HWJ1062" s="989"/>
      <c r="HWK1062" s="989"/>
      <c r="HWL1062" s="989"/>
      <c r="HWM1062" s="989"/>
      <c r="HWN1062" s="989"/>
      <c r="HWO1062" s="989"/>
      <c r="HWP1062" s="989"/>
      <c r="HWQ1062" s="989"/>
      <c r="HWR1062" s="989"/>
      <c r="HWS1062" s="989"/>
      <c r="HWT1062" s="989"/>
      <c r="HWU1062" s="989"/>
      <c r="HWV1062" s="989"/>
      <c r="HWW1062" s="989"/>
      <c r="HWX1062" s="989"/>
      <c r="HWY1062" s="989"/>
      <c r="HWZ1062" s="989"/>
      <c r="HXA1062" s="989"/>
      <c r="HXB1062" s="989"/>
      <c r="HXC1062" s="989"/>
      <c r="HXD1062" s="989"/>
      <c r="HXE1062" s="989"/>
      <c r="HXF1062" s="989"/>
      <c r="HXG1062" s="989"/>
      <c r="HXH1062" s="989"/>
      <c r="HXI1062" s="989"/>
      <c r="HXJ1062" s="989"/>
      <c r="HXK1062" s="989"/>
      <c r="HXL1062" s="989"/>
      <c r="HXM1062" s="989"/>
      <c r="HXN1062" s="989"/>
      <c r="HXO1062" s="989"/>
      <c r="HXP1062" s="989"/>
      <c r="HXQ1062" s="989"/>
      <c r="HXR1062" s="989"/>
      <c r="HXS1062" s="989"/>
      <c r="HXT1062" s="989"/>
      <c r="HXU1062" s="989"/>
      <c r="HXV1062" s="989"/>
      <c r="HXW1062" s="989"/>
      <c r="HXX1062" s="989"/>
      <c r="HXY1062" s="989"/>
      <c r="HXZ1062" s="989"/>
      <c r="HYA1062" s="989"/>
      <c r="HYB1062" s="989"/>
      <c r="HYC1062" s="989"/>
      <c r="HYD1062" s="989"/>
      <c r="HYE1062" s="989"/>
      <c r="HYF1062" s="989"/>
      <c r="HYG1062" s="989"/>
      <c r="HYH1062" s="989"/>
      <c r="HYI1062" s="989"/>
      <c r="HYJ1062" s="989"/>
      <c r="HYK1062" s="989"/>
      <c r="HYL1062" s="989"/>
      <c r="HYM1062" s="989"/>
      <c r="HYN1062" s="989"/>
      <c r="HYO1062" s="989"/>
      <c r="HYP1062" s="989"/>
      <c r="HYQ1062" s="989"/>
      <c r="HYR1062" s="989"/>
      <c r="HYS1062" s="989"/>
      <c r="HYT1062" s="989"/>
      <c r="HYU1062" s="989"/>
      <c r="HYV1062" s="989"/>
      <c r="HYW1062" s="989"/>
      <c r="HYX1062" s="989"/>
      <c r="HYY1062" s="989"/>
      <c r="HYZ1062" s="989"/>
      <c r="HZA1062" s="989"/>
      <c r="HZB1062" s="989"/>
      <c r="HZC1062" s="989"/>
      <c r="HZD1062" s="989"/>
      <c r="HZE1062" s="989"/>
      <c r="HZF1062" s="989"/>
      <c r="HZG1062" s="989"/>
      <c r="HZH1062" s="989"/>
      <c r="HZI1062" s="989"/>
      <c r="HZJ1062" s="989"/>
      <c r="HZK1062" s="989"/>
      <c r="HZL1062" s="989"/>
      <c r="HZM1062" s="989"/>
      <c r="HZN1062" s="989"/>
      <c r="HZO1062" s="989"/>
      <c r="HZP1062" s="989"/>
      <c r="HZQ1062" s="989"/>
      <c r="HZR1062" s="989"/>
      <c r="HZS1062" s="989"/>
      <c r="HZT1062" s="989"/>
      <c r="HZU1062" s="989"/>
      <c r="HZV1062" s="989"/>
      <c r="HZW1062" s="989"/>
      <c r="HZX1062" s="989"/>
      <c r="HZY1062" s="989"/>
      <c r="HZZ1062" s="989"/>
      <c r="IAA1062" s="989"/>
      <c r="IAB1062" s="989"/>
      <c r="IAC1062" s="989"/>
      <c r="IAD1062" s="989"/>
      <c r="IAE1062" s="989"/>
      <c r="IAF1062" s="989"/>
      <c r="IAG1062" s="989"/>
      <c r="IAH1062" s="989"/>
      <c r="IAI1062" s="989"/>
      <c r="IAJ1062" s="989"/>
      <c r="IAK1062" s="989"/>
      <c r="IAL1062" s="989"/>
      <c r="IAM1062" s="989"/>
      <c r="IAN1062" s="989"/>
      <c r="IAO1062" s="989"/>
      <c r="IAP1062" s="989"/>
      <c r="IAQ1062" s="989"/>
      <c r="IAR1062" s="989"/>
      <c r="IAS1062" s="989"/>
      <c r="IAT1062" s="989"/>
      <c r="IAU1062" s="989"/>
      <c r="IAV1062" s="989"/>
      <c r="IAW1062" s="989"/>
      <c r="IAX1062" s="989"/>
      <c r="IAY1062" s="989"/>
      <c r="IAZ1062" s="989"/>
      <c r="IBA1062" s="989"/>
      <c r="IBB1062" s="989"/>
      <c r="IBC1062" s="989"/>
      <c r="IBD1062" s="989"/>
      <c r="IBE1062" s="989"/>
      <c r="IBF1062" s="989"/>
      <c r="IBG1062" s="989"/>
      <c r="IBH1062" s="989"/>
      <c r="IBI1062" s="989"/>
      <c r="IBJ1062" s="989"/>
      <c r="IBK1062" s="989"/>
      <c r="IBL1062" s="989"/>
      <c r="IBM1062" s="989"/>
      <c r="IBN1062" s="989"/>
      <c r="IBO1062" s="989"/>
      <c r="IBP1062" s="989"/>
      <c r="IBQ1062" s="989"/>
      <c r="IBR1062" s="989"/>
      <c r="IBS1062" s="989"/>
      <c r="IBT1062" s="989"/>
      <c r="IBU1062" s="989"/>
      <c r="IBV1062" s="989"/>
      <c r="IBW1062" s="989"/>
      <c r="IBX1062" s="989"/>
      <c r="IBY1062" s="989"/>
      <c r="IBZ1062" s="989"/>
      <c r="ICA1062" s="989"/>
      <c r="ICB1062" s="989"/>
      <c r="ICC1062" s="989"/>
      <c r="ICD1062" s="989"/>
      <c r="ICE1062" s="989"/>
      <c r="ICF1062" s="989"/>
      <c r="ICG1062" s="989"/>
      <c r="ICH1062" s="989"/>
      <c r="ICI1062" s="989"/>
      <c r="ICJ1062" s="989"/>
      <c r="ICK1062" s="989"/>
      <c r="ICL1062" s="989"/>
      <c r="ICM1062" s="989"/>
      <c r="ICN1062" s="989"/>
      <c r="ICO1062" s="989"/>
      <c r="ICP1062" s="989"/>
      <c r="ICQ1062" s="989"/>
      <c r="ICR1062" s="989"/>
      <c r="ICS1062" s="989"/>
      <c r="ICT1062" s="989"/>
      <c r="ICU1062" s="989"/>
      <c r="ICV1062" s="989"/>
      <c r="ICW1062" s="989"/>
      <c r="ICX1062" s="989"/>
      <c r="ICY1062" s="989"/>
      <c r="ICZ1062" s="989"/>
      <c r="IDA1062" s="989"/>
      <c r="IDB1062" s="989"/>
      <c r="IDC1062" s="989"/>
      <c r="IDD1062" s="989"/>
      <c r="IDE1062" s="989"/>
      <c r="IDF1062" s="989"/>
      <c r="IDG1062" s="989"/>
      <c r="IDH1062" s="989"/>
      <c r="IDI1062" s="989"/>
      <c r="IDJ1062" s="989"/>
      <c r="IDK1062" s="989"/>
      <c r="IDL1062" s="989"/>
      <c r="IDM1062" s="989"/>
      <c r="IDN1062" s="989"/>
      <c r="IDO1062" s="989"/>
      <c r="IDP1062" s="989"/>
      <c r="IDQ1062" s="989"/>
      <c r="IDR1062" s="989"/>
      <c r="IDS1062" s="989"/>
      <c r="IDT1062" s="989"/>
      <c r="IDU1062" s="989"/>
      <c r="IDV1062" s="989"/>
      <c r="IDW1062" s="989"/>
      <c r="IDX1062" s="989"/>
      <c r="IDY1062" s="989"/>
      <c r="IDZ1062" s="989"/>
      <c r="IEA1062" s="989"/>
      <c r="IEB1062" s="989"/>
      <c r="IEC1062" s="989"/>
      <c r="IED1062" s="989"/>
      <c r="IEE1062" s="989"/>
      <c r="IEF1062" s="989"/>
      <c r="IEG1062" s="989"/>
      <c r="IEH1062" s="989"/>
      <c r="IEI1062" s="989"/>
      <c r="IEJ1062" s="989"/>
      <c r="IEK1062" s="989"/>
      <c r="IEL1062" s="989"/>
      <c r="IEM1062" s="989"/>
      <c r="IEN1062" s="989"/>
      <c r="IEO1062" s="989"/>
      <c r="IEP1062" s="989"/>
      <c r="IEQ1062" s="989"/>
      <c r="IER1062" s="989"/>
      <c r="IES1062" s="989"/>
      <c r="IET1062" s="989"/>
      <c r="IEU1062" s="989"/>
      <c r="IEV1062" s="989"/>
      <c r="IEW1062" s="989"/>
      <c r="IEX1062" s="989"/>
      <c r="IEY1062" s="989"/>
      <c r="IEZ1062" s="989"/>
      <c r="IFA1062" s="989"/>
      <c r="IFB1062" s="989"/>
      <c r="IFC1062" s="989"/>
      <c r="IFD1062" s="989"/>
      <c r="IFE1062" s="989"/>
      <c r="IFF1062" s="989"/>
      <c r="IFG1062" s="989"/>
      <c r="IFH1062" s="989"/>
      <c r="IFI1062" s="989"/>
      <c r="IFJ1062" s="989"/>
      <c r="IFK1062" s="989"/>
      <c r="IFL1062" s="989"/>
      <c r="IFM1062" s="989"/>
      <c r="IFN1062" s="989"/>
      <c r="IFO1062" s="989"/>
      <c r="IFP1062" s="989"/>
      <c r="IFQ1062" s="989"/>
      <c r="IFR1062" s="989"/>
      <c r="IFS1062" s="989"/>
      <c r="IFT1062" s="989"/>
      <c r="IFU1062" s="989"/>
      <c r="IFV1062" s="989"/>
      <c r="IFW1062" s="989"/>
      <c r="IFX1062" s="989"/>
      <c r="IFY1062" s="989"/>
      <c r="IFZ1062" s="989"/>
      <c r="IGA1062" s="989"/>
      <c r="IGB1062" s="989"/>
      <c r="IGC1062" s="989"/>
      <c r="IGD1062" s="989"/>
      <c r="IGE1062" s="989"/>
      <c r="IGF1062" s="989"/>
      <c r="IGG1062" s="989"/>
      <c r="IGH1062" s="989"/>
      <c r="IGI1062" s="989"/>
      <c r="IGJ1062" s="989"/>
      <c r="IGK1062" s="989"/>
      <c r="IGL1062" s="989"/>
      <c r="IGM1062" s="989"/>
      <c r="IGN1062" s="989"/>
      <c r="IGO1062" s="989"/>
      <c r="IGP1062" s="989"/>
      <c r="IGQ1062" s="989"/>
      <c r="IGR1062" s="989"/>
      <c r="IGS1062" s="989"/>
      <c r="IGT1062" s="989"/>
      <c r="IGU1062" s="989"/>
      <c r="IGV1062" s="989"/>
      <c r="IGW1062" s="989"/>
      <c r="IGX1062" s="989"/>
      <c r="IGY1062" s="989"/>
      <c r="IGZ1062" s="989"/>
      <c r="IHA1062" s="989"/>
      <c r="IHB1062" s="989"/>
      <c r="IHC1062" s="989"/>
      <c r="IHD1062" s="989"/>
      <c r="IHE1062" s="989"/>
      <c r="IHF1062" s="989"/>
      <c r="IHG1062" s="989"/>
      <c r="IHH1062" s="989"/>
      <c r="IHI1062" s="989"/>
      <c r="IHJ1062" s="989"/>
      <c r="IHK1062" s="989"/>
      <c r="IHL1062" s="989"/>
      <c r="IHM1062" s="989"/>
      <c r="IHN1062" s="989"/>
      <c r="IHO1062" s="989"/>
      <c r="IHP1062" s="989"/>
      <c r="IHQ1062" s="989"/>
      <c r="IHR1062" s="989"/>
      <c r="IHS1062" s="989"/>
      <c r="IHT1062" s="989"/>
      <c r="IHU1062" s="989"/>
      <c r="IHV1062" s="989"/>
      <c r="IHW1062" s="989"/>
      <c r="IHX1062" s="989"/>
      <c r="IHY1062" s="989"/>
      <c r="IHZ1062" s="989"/>
      <c r="IIA1062" s="989"/>
      <c r="IIB1062" s="989"/>
      <c r="IIC1062" s="989"/>
      <c r="IID1062" s="989"/>
      <c r="IIE1062" s="989"/>
      <c r="IIF1062" s="989"/>
      <c r="IIG1062" s="989"/>
      <c r="IIH1062" s="989"/>
      <c r="III1062" s="989"/>
      <c r="IIJ1062" s="989"/>
      <c r="IIK1062" s="989"/>
      <c r="IIL1062" s="989"/>
      <c r="IIM1062" s="989"/>
      <c r="IIN1062" s="989"/>
      <c r="IIO1062" s="989"/>
      <c r="IIP1062" s="989"/>
      <c r="IIQ1062" s="989"/>
      <c r="IIR1062" s="989"/>
      <c r="IIS1062" s="989"/>
      <c r="IIT1062" s="989"/>
      <c r="IIU1062" s="989"/>
      <c r="IIV1062" s="989"/>
      <c r="IIW1062" s="989"/>
      <c r="IIX1062" s="989"/>
      <c r="IIY1062" s="989"/>
      <c r="IIZ1062" s="989"/>
      <c r="IJA1062" s="989"/>
      <c r="IJB1062" s="989"/>
      <c r="IJC1062" s="989"/>
      <c r="IJD1062" s="989"/>
      <c r="IJE1062" s="989"/>
      <c r="IJF1062" s="989"/>
      <c r="IJG1062" s="989"/>
      <c r="IJH1062" s="989"/>
      <c r="IJI1062" s="989"/>
      <c r="IJJ1062" s="989"/>
      <c r="IJK1062" s="989"/>
      <c r="IJL1062" s="989"/>
      <c r="IJM1062" s="989"/>
      <c r="IJN1062" s="989"/>
      <c r="IJO1062" s="989"/>
      <c r="IJP1062" s="989"/>
      <c r="IJQ1062" s="989"/>
      <c r="IJR1062" s="989"/>
      <c r="IJS1062" s="989"/>
      <c r="IJT1062" s="989"/>
      <c r="IJU1062" s="989"/>
      <c r="IJV1062" s="989"/>
      <c r="IJW1062" s="989"/>
      <c r="IJX1062" s="989"/>
      <c r="IJY1062" s="989"/>
      <c r="IJZ1062" s="989"/>
      <c r="IKA1062" s="989"/>
      <c r="IKB1062" s="989"/>
      <c r="IKC1062" s="989"/>
      <c r="IKD1062" s="989"/>
      <c r="IKE1062" s="989"/>
      <c r="IKF1062" s="989"/>
      <c r="IKG1062" s="989"/>
      <c r="IKH1062" s="989"/>
      <c r="IKI1062" s="989"/>
      <c r="IKJ1062" s="989"/>
      <c r="IKK1062" s="989"/>
      <c r="IKL1062" s="989"/>
      <c r="IKM1062" s="989"/>
      <c r="IKN1062" s="989"/>
      <c r="IKO1062" s="989"/>
      <c r="IKP1062" s="989"/>
      <c r="IKQ1062" s="989"/>
      <c r="IKR1062" s="989"/>
      <c r="IKS1062" s="989"/>
      <c r="IKT1062" s="989"/>
      <c r="IKU1062" s="989"/>
      <c r="IKV1062" s="989"/>
      <c r="IKW1062" s="989"/>
      <c r="IKX1062" s="989"/>
      <c r="IKY1062" s="989"/>
      <c r="IKZ1062" s="989"/>
      <c r="ILA1062" s="989"/>
      <c r="ILB1062" s="989"/>
      <c r="ILC1062" s="989"/>
      <c r="ILD1062" s="989"/>
      <c r="ILE1062" s="989"/>
      <c r="ILF1062" s="989"/>
      <c r="ILG1062" s="989"/>
      <c r="ILH1062" s="989"/>
      <c r="ILI1062" s="989"/>
      <c r="ILJ1062" s="989"/>
      <c r="ILK1062" s="989"/>
      <c r="ILL1062" s="989"/>
      <c r="ILM1062" s="989"/>
      <c r="ILN1062" s="989"/>
      <c r="ILO1062" s="989"/>
      <c r="ILP1062" s="989"/>
      <c r="ILQ1062" s="989"/>
      <c r="ILR1062" s="989"/>
      <c r="ILS1062" s="989"/>
      <c r="ILT1062" s="989"/>
      <c r="ILU1062" s="989"/>
      <c r="ILV1062" s="989"/>
      <c r="ILW1062" s="989"/>
      <c r="ILX1062" s="989"/>
      <c r="ILY1062" s="989"/>
      <c r="ILZ1062" s="989"/>
      <c r="IMA1062" s="989"/>
      <c r="IMB1062" s="989"/>
      <c r="IMC1062" s="989"/>
      <c r="IMD1062" s="989"/>
      <c r="IME1062" s="989"/>
      <c r="IMF1062" s="989"/>
      <c r="IMG1062" s="989"/>
      <c r="IMH1062" s="989"/>
      <c r="IMI1062" s="989"/>
      <c r="IMJ1062" s="989"/>
      <c r="IMK1062" s="989"/>
      <c r="IML1062" s="989"/>
      <c r="IMM1062" s="989"/>
      <c r="IMN1062" s="989"/>
      <c r="IMO1062" s="989"/>
      <c r="IMP1062" s="989"/>
      <c r="IMQ1062" s="989"/>
      <c r="IMR1062" s="989"/>
      <c r="IMS1062" s="989"/>
      <c r="IMT1062" s="989"/>
      <c r="IMU1062" s="989"/>
      <c r="IMV1062" s="989"/>
      <c r="IMW1062" s="989"/>
      <c r="IMX1062" s="989"/>
      <c r="IMY1062" s="989"/>
      <c r="IMZ1062" s="989"/>
      <c r="INA1062" s="989"/>
      <c r="INB1062" s="989"/>
      <c r="INC1062" s="989"/>
      <c r="IND1062" s="989"/>
      <c r="INE1062" s="989"/>
      <c r="INF1062" s="989"/>
      <c r="ING1062" s="989"/>
      <c r="INH1062" s="989"/>
      <c r="INI1062" s="989"/>
      <c r="INJ1062" s="989"/>
      <c r="INK1062" s="989"/>
      <c r="INL1062" s="989"/>
      <c r="INM1062" s="989"/>
      <c r="INN1062" s="989"/>
      <c r="INO1062" s="989"/>
      <c r="INP1062" s="989"/>
      <c r="INQ1062" s="989"/>
      <c r="INR1062" s="989"/>
      <c r="INS1062" s="989"/>
      <c r="INT1062" s="989"/>
      <c r="INU1062" s="989"/>
      <c r="INV1062" s="989"/>
      <c r="INW1062" s="989"/>
      <c r="INX1062" s="989"/>
      <c r="INY1062" s="989"/>
      <c r="INZ1062" s="989"/>
      <c r="IOA1062" s="989"/>
      <c r="IOB1062" s="989"/>
      <c r="IOC1062" s="989"/>
      <c r="IOD1062" s="989"/>
      <c r="IOE1062" s="989"/>
      <c r="IOF1062" s="989"/>
      <c r="IOG1062" s="989"/>
      <c r="IOH1062" s="989"/>
      <c r="IOI1062" s="989"/>
      <c r="IOJ1062" s="989"/>
      <c r="IOK1062" s="989"/>
      <c r="IOL1062" s="989"/>
      <c r="IOM1062" s="989"/>
      <c r="ION1062" s="989"/>
      <c r="IOO1062" s="989"/>
      <c r="IOP1062" s="989"/>
      <c r="IOQ1062" s="989"/>
      <c r="IOR1062" s="989"/>
      <c r="IOS1062" s="989"/>
      <c r="IOT1062" s="989"/>
      <c r="IOU1062" s="989"/>
      <c r="IOV1062" s="989"/>
      <c r="IOW1062" s="989"/>
      <c r="IOX1062" s="989"/>
      <c r="IOY1062" s="989"/>
      <c r="IOZ1062" s="989"/>
      <c r="IPA1062" s="989"/>
      <c r="IPB1062" s="989"/>
      <c r="IPC1062" s="989"/>
      <c r="IPD1062" s="989"/>
      <c r="IPE1062" s="989"/>
      <c r="IPF1062" s="989"/>
      <c r="IPG1062" s="989"/>
      <c r="IPH1062" s="989"/>
      <c r="IPI1062" s="989"/>
      <c r="IPJ1062" s="989"/>
      <c r="IPK1062" s="989"/>
      <c r="IPL1062" s="989"/>
      <c r="IPM1062" s="989"/>
      <c r="IPN1062" s="989"/>
      <c r="IPO1062" s="989"/>
      <c r="IPP1062" s="989"/>
      <c r="IPQ1062" s="989"/>
      <c r="IPR1062" s="989"/>
      <c r="IPS1062" s="989"/>
      <c r="IPT1062" s="989"/>
      <c r="IPU1062" s="989"/>
      <c r="IPV1062" s="989"/>
      <c r="IPW1062" s="989"/>
      <c r="IPX1062" s="989"/>
      <c r="IPY1062" s="989"/>
      <c r="IPZ1062" s="989"/>
      <c r="IQA1062" s="989"/>
      <c r="IQB1062" s="989"/>
      <c r="IQC1062" s="989"/>
      <c r="IQD1062" s="989"/>
      <c r="IQE1062" s="989"/>
      <c r="IQF1062" s="989"/>
      <c r="IQG1062" s="989"/>
      <c r="IQH1062" s="989"/>
      <c r="IQI1062" s="989"/>
      <c r="IQJ1062" s="989"/>
      <c r="IQK1062" s="989"/>
      <c r="IQL1062" s="989"/>
      <c r="IQM1062" s="989"/>
      <c r="IQN1062" s="989"/>
      <c r="IQO1062" s="989"/>
      <c r="IQP1062" s="989"/>
      <c r="IQQ1062" s="989"/>
      <c r="IQR1062" s="989"/>
      <c r="IQS1062" s="989"/>
      <c r="IQT1062" s="989"/>
      <c r="IQU1062" s="989"/>
      <c r="IQV1062" s="989"/>
      <c r="IQW1062" s="989"/>
      <c r="IQX1062" s="989"/>
      <c r="IQY1062" s="989"/>
      <c r="IQZ1062" s="989"/>
      <c r="IRA1062" s="989"/>
      <c r="IRB1062" s="989"/>
      <c r="IRC1062" s="989"/>
      <c r="IRD1062" s="989"/>
      <c r="IRE1062" s="989"/>
      <c r="IRF1062" s="989"/>
      <c r="IRG1062" s="989"/>
      <c r="IRH1062" s="989"/>
      <c r="IRI1062" s="989"/>
      <c r="IRJ1062" s="989"/>
      <c r="IRK1062" s="989"/>
      <c r="IRL1062" s="989"/>
      <c r="IRM1062" s="989"/>
      <c r="IRN1062" s="989"/>
      <c r="IRO1062" s="989"/>
      <c r="IRP1062" s="989"/>
      <c r="IRQ1062" s="989"/>
      <c r="IRR1062" s="989"/>
      <c r="IRS1062" s="989"/>
      <c r="IRT1062" s="989"/>
      <c r="IRU1062" s="989"/>
      <c r="IRV1062" s="989"/>
      <c r="IRW1062" s="989"/>
      <c r="IRX1062" s="989"/>
      <c r="IRY1062" s="989"/>
      <c r="IRZ1062" s="989"/>
      <c r="ISA1062" s="989"/>
      <c r="ISB1062" s="989"/>
      <c r="ISC1062" s="989"/>
      <c r="ISD1062" s="989"/>
      <c r="ISE1062" s="989"/>
      <c r="ISF1062" s="989"/>
      <c r="ISG1062" s="989"/>
      <c r="ISH1062" s="989"/>
      <c r="ISI1062" s="989"/>
      <c r="ISJ1062" s="989"/>
      <c r="ISK1062" s="989"/>
      <c r="ISL1062" s="989"/>
      <c r="ISM1062" s="989"/>
      <c r="ISN1062" s="989"/>
      <c r="ISO1062" s="989"/>
      <c r="ISP1062" s="989"/>
      <c r="ISQ1062" s="989"/>
      <c r="ISR1062" s="989"/>
      <c r="ISS1062" s="989"/>
      <c r="IST1062" s="989"/>
      <c r="ISU1062" s="989"/>
      <c r="ISV1062" s="989"/>
      <c r="ISW1062" s="989"/>
      <c r="ISX1062" s="989"/>
      <c r="ISY1062" s="989"/>
      <c r="ISZ1062" s="989"/>
      <c r="ITA1062" s="989"/>
      <c r="ITB1062" s="989"/>
      <c r="ITC1062" s="989"/>
      <c r="ITD1062" s="989"/>
      <c r="ITE1062" s="989"/>
      <c r="ITF1062" s="989"/>
      <c r="ITG1062" s="989"/>
      <c r="ITH1062" s="989"/>
      <c r="ITI1062" s="989"/>
      <c r="ITJ1062" s="989"/>
      <c r="ITK1062" s="989"/>
      <c r="ITL1062" s="989"/>
      <c r="ITM1062" s="989"/>
      <c r="ITN1062" s="989"/>
      <c r="ITO1062" s="989"/>
      <c r="ITP1062" s="989"/>
      <c r="ITQ1062" s="989"/>
      <c r="ITR1062" s="989"/>
      <c r="ITS1062" s="989"/>
      <c r="ITT1062" s="989"/>
      <c r="ITU1062" s="989"/>
      <c r="ITV1062" s="989"/>
      <c r="ITW1062" s="989"/>
      <c r="ITX1062" s="989"/>
      <c r="ITY1062" s="989"/>
      <c r="ITZ1062" s="989"/>
      <c r="IUA1062" s="989"/>
      <c r="IUB1062" s="989"/>
      <c r="IUC1062" s="989"/>
      <c r="IUD1062" s="989"/>
      <c r="IUE1062" s="989"/>
      <c r="IUF1062" s="989"/>
      <c r="IUG1062" s="989"/>
      <c r="IUH1062" s="989"/>
      <c r="IUI1062" s="989"/>
      <c r="IUJ1062" s="989"/>
      <c r="IUK1062" s="989"/>
      <c r="IUL1062" s="989"/>
      <c r="IUM1062" s="989"/>
      <c r="IUN1062" s="989"/>
      <c r="IUO1062" s="989"/>
      <c r="IUP1062" s="989"/>
      <c r="IUQ1062" s="989"/>
      <c r="IUR1062" s="989"/>
      <c r="IUS1062" s="989"/>
      <c r="IUT1062" s="989"/>
      <c r="IUU1062" s="989"/>
      <c r="IUV1062" s="989"/>
      <c r="IUW1062" s="989"/>
      <c r="IUX1062" s="989"/>
      <c r="IUY1062" s="989"/>
      <c r="IUZ1062" s="989"/>
      <c r="IVA1062" s="989"/>
      <c r="IVB1062" s="989"/>
      <c r="IVC1062" s="989"/>
      <c r="IVD1062" s="989"/>
      <c r="IVE1062" s="989"/>
      <c r="IVF1062" s="989"/>
      <c r="IVG1062" s="989"/>
      <c r="IVH1062" s="989"/>
      <c r="IVI1062" s="989"/>
      <c r="IVJ1062" s="989"/>
      <c r="IVK1062" s="989"/>
      <c r="IVL1062" s="989"/>
      <c r="IVM1062" s="989"/>
      <c r="IVN1062" s="989"/>
      <c r="IVO1062" s="989"/>
      <c r="IVP1062" s="989"/>
      <c r="IVQ1062" s="989"/>
      <c r="IVR1062" s="989"/>
      <c r="IVS1062" s="989"/>
      <c r="IVT1062" s="989"/>
      <c r="IVU1062" s="989"/>
      <c r="IVV1062" s="989"/>
      <c r="IVW1062" s="989"/>
      <c r="IVX1062" s="989"/>
      <c r="IVY1062" s="989"/>
      <c r="IVZ1062" s="989"/>
      <c r="IWA1062" s="989"/>
      <c r="IWB1062" s="989"/>
      <c r="IWC1062" s="989"/>
      <c r="IWD1062" s="989"/>
      <c r="IWE1062" s="989"/>
      <c r="IWF1062" s="989"/>
      <c r="IWG1062" s="989"/>
      <c r="IWH1062" s="989"/>
      <c r="IWI1062" s="989"/>
      <c r="IWJ1062" s="989"/>
      <c r="IWK1062" s="989"/>
      <c r="IWL1062" s="989"/>
      <c r="IWM1062" s="989"/>
      <c r="IWN1062" s="989"/>
      <c r="IWO1062" s="989"/>
      <c r="IWP1062" s="989"/>
      <c r="IWQ1062" s="989"/>
      <c r="IWR1062" s="989"/>
      <c r="IWS1062" s="989"/>
      <c r="IWT1062" s="989"/>
      <c r="IWU1062" s="989"/>
      <c r="IWV1062" s="989"/>
      <c r="IWW1062" s="989"/>
      <c r="IWX1062" s="989"/>
      <c r="IWY1062" s="989"/>
      <c r="IWZ1062" s="989"/>
      <c r="IXA1062" s="989"/>
      <c r="IXB1062" s="989"/>
      <c r="IXC1062" s="989"/>
      <c r="IXD1062" s="989"/>
      <c r="IXE1062" s="989"/>
      <c r="IXF1062" s="989"/>
      <c r="IXG1062" s="989"/>
      <c r="IXH1062" s="989"/>
      <c r="IXI1062" s="989"/>
      <c r="IXJ1062" s="989"/>
      <c r="IXK1062" s="989"/>
      <c r="IXL1062" s="989"/>
      <c r="IXM1062" s="989"/>
      <c r="IXN1062" s="989"/>
      <c r="IXO1062" s="989"/>
      <c r="IXP1062" s="989"/>
      <c r="IXQ1062" s="989"/>
      <c r="IXR1062" s="989"/>
      <c r="IXS1062" s="989"/>
      <c r="IXT1062" s="989"/>
      <c r="IXU1062" s="989"/>
      <c r="IXV1062" s="989"/>
      <c r="IXW1062" s="989"/>
      <c r="IXX1062" s="989"/>
      <c r="IXY1062" s="989"/>
      <c r="IXZ1062" s="989"/>
      <c r="IYA1062" s="989"/>
      <c r="IYB1062" s="989"/>
      <c r="IYC1062" s="989"/>
      <c r="IYD1062" s="989"/>
      <c r="IYE1062" s="989"/>
      <c r="IYF1062" s="989"/>
      <c r="IYG1062" s="989"/>
      <c r="IYH1062" s="989"/>
      <c r="IYI1062" s="989"/>
      <c r="IYJ1062" s="989"/>
      <c r="IYK1062" s="989"/>
      <c r="IYL1062" s="989"/>
      <c r="IYM1062" s="989"/>
      <c r="IYN1062" s="989"/>
      <c r="IYO1062" s="989"/>
      <c r="IYP1062" s="989"/>
      <c r="IYQ1062" s="989"/>
      <c r="IYR1062" s="989"/>
      <c r="IYS1062" s="989"/>
      <c r="IYT1062" s="989"/>
      <c r="IYU1062" s="989"/>
      <c r="IYV1062" s="989"/>
      <c r="IYW1062" s="989"/>
      <c r="IYX1062" s="989"/>
      <c r="IYY1062" s="989"/>
      <c r="IYZ1062" s="989"/>
      <c r="IZA1062" s="989"/>
      <c r="IZB1062" s="989"/>
      <c r="IZC1062" s="989"/>
      <c r="IZD1062" s="989"/>
      <c r="IZE1062" s="989"/>
      <c r="IZF1062" s="989"/>
      <c r="IZG1062" s="989"/>
      <c r="IZH1062" s="989"/>
      <c r="IZI1062" s="989"/>
      <c r="IZJ1062" s="989"/>
      <c r="IZK1062" s="989"/>
      <c r="IZL1062" s="989"/>
      <c r="IZM1062" s="989"/>
      <c r="IZN1062" s="989"/>
      <c r="IZO1062" s="989"/>
      <c r="IZP1062" s="989"/>
      <c r="IZQ1062" s="989"/>
      <c r="IZR1062" s="989"/>
      <c r="IZS1062" s="989"/>
      <c r="IZT1062" s="989"/>
      <c r="IZU1062" s="989"/>
      <c r="IZV1062" s="989"/>
      <c r="IZW1062" s="989"/>
      <c r="IZX1062" s="989"/>
      <c r="IZY1062" s="989"/>
      <c r="IZZ1062" s="989"/>
      <c r="JAA1062" s="989"/>
      <c r="JAB1062" s="989"/>
      <c r="JAC1062" s="989"/>
      <c r="JAD1062" s="989"/>
      <c r="JAE1062" s="989"/>
      <c r="JAF1062" s="989"/>
      <c r="JAG1062" s="989"/>
      <c r="JAH1062" s="989"/>
      <c r="JAI1062" s="989"/>
      <c r="JAJ1062" s="989"/>
      <c r="JAK1062" s="989"/>
      <c r="JAL1062" s="989"/>
      <c r="JAM1062" s="989"/>
      <c r="JAN1062" s="989"/>
      <c r="JAO1062" s="989"/>
      <c r="JAP1062" s="989"/>
      <c r="JAQ1062" s="989"/>
      <c r="JAR1062" s="989"/>
      <c r="JAS1062" s="989"/>
      <c r="JAT1062" s="989"/>
      <c r="JAU1062" s="989"/>
      <c r="JAV1062" s="989"/>
      <c r="JAW1062" s="989"/>
      <c r="JAX1062" s="989"/>
      <c r="JAY1062" s="989"/>
      <c r="JAZ1062" s="989"/>
      <c r="JBA1062" s="989"/>
      <c r="JBB1062" s="989"/>
      <c r="JBC1062" s="989"/>
      <c r="JBD1062" s="989"/>
      <c r="JBE1062" s="989"/>
      <c r="JBF1062" s="989"/>
      <c r="JBG1062" s="989"/>
      <c r="JBH1062" s="989"/>
      <c r="JBI1062" s="989"/>
      <c r="JBJ1062" s="989"/>
      <c r="JBK1062" s="989"/>
      <c r="JBL1062" s="989"/>
      <c r="JBM1062" s="989"/>
      <c r="JBN1062" s="989"/>
      <c r="JBO1062" s="989"/>
      <c r="JBP1062" s="989"/>
      <c r="JBQ1062" s="989"/>
      <c r="JBR1062" s="989"/>
      <c r="JBS1062" s="989"/>
      <c r="JBT1062" s="989"/>
      <c r="JBU1062" s="989"/>
      <c r="JBV1062" s="989"/>
      <c r="JBW1062" s="989"/>
      <c r="JBX1062" s="989"/>
      <c r="JBY1062" s="989"/>
      <c r="JBZ1062" s="989"/>
      <c r="JCA1062" s="989"/>
      <c r="JCB1062" s="989"/>
      <c r="JCC1062" s="989"/>
      <c r="JCD1062" s="989"/>
      <c r="JCE1062" s="989"/>
      <c r="JCF1062" s="989"/>
      <c r="JCG1062" s="989"/>
      <c r="JCH1062" s="989"/>
      <c r="JCI1062" s="989"/>
      <c r="JCJ1062" s="989"/>
      <c r="JCK1062" s="989"/>
      <c r="JCL1062" s="989"/>
      <c r="JCM1062" s="989"/>
      <c r="JCN1062" s="989"/>
      <c r="JCO1062" s="989"/>
      <c r="JCP1062" s="989"/>
      <c r="JCQ1062" s="989"/>
      <c r="JCR1062" s="989"/>
      <c r="JCS1062" s="989"/>
      <c r="JCT1062" s="989"/>
      <c r="JCU1062" s="989"/>
      <c r="JCV1062" s="989"/>
      <c r="JCW1062" s="989"/>
      <c r="JCX1062" s="989"/>
      <c r="JCY1062" s="989"/>
      <c r="JCZ1062" s="989"/>
      <c r="JDA1062" s="989"/>
      <c r="JDB1062" s="989"/>
      <c r="JDC1062" s="989"/>
      <c r="JDD1062" s="989"/>
      <c r="JDE1062" s="989"/>
      <c r="JDF1062" s="989"/>
      <c r="JDG1062" s="989"/>
      <c r="JDH1062" s="989"/>
      <c r="JDI1062" s="989"/>
      <c r="JDJ1062" s="989"/>
      <c r="JDK1062" s="989"/>
      <c r="JDL1062" s="989"/>
      <c r="JDM1062" s="989"/>
      <c r="JDN1062" s="989"/>
      <c r="JDO1062" s="989"/>
      <c r="JDP1062" s="989"/>
      <c r="JDQ1062" s="989"/>
      <c r="JDR1062" s="989"/>
      <c r="JDS1062" s="989"/>
      <c r="JDT1062" s="989"/>
      <c r="JDU1062" s="989"/>
      <c r="JDV1062" s="989"/>
      <c r="JDW1062" s="989"/>
      <c r="JDX1062" s="989"/>
      <c r="JDY1062" s="989"/>
      <c r="JDZ1062" s="989"/>
      <c r="JEA1062" s="989"/>
      <c r="JEB1062" s="989"/>
      <c r="JEC1062" s="989"/>
      <c r="JED1062" s="989"/>
      <c r="JEE1062" s="989"/>
      <c r="JEF1062" s="989"/>
      <c r="JEG1062" s="989"/>
      <c r="JEH1062" s="989"/>
      <c r="JEI1062" s="989"/>
      <c r="JEJ1062" s="989"/>
      <c r="JEK1062" s="989"/>
      <c r="JEL1062" s="989"/>
      <c r="JEM1062" s="989"/>
      <c r="JEN1062" s="989"/>
      <c r="JEO1062" s="989"/>
      <c r="JEP1062" s="989"/>
      <c r="JEQ1062" s="989"/>
      <c r="JER1062" s="989"/>
      <c r="JES1062" s="989"/>
      <c r="JET1062" s="989"/>
      <c r="JEU1062" s="989"/>
      <c r="JEV1062" s="989"/>
      <c r="JEW1062" s="989"/>
      <c r="JEX1062" s="989"/>
      <c r="JEY1062" s="989"/>
      <c r="JEZ1062" s="989"/>
      <c r="JFA1062" s="989"/>
      <c r="JFB1062" s="989"/>
      <c r="JFC1062" s="989"/>
      <c r="JFD1062" s="989"/>
      <c r="JFE1062" s="989"/>
      <c r="JFF1062" s="989"/>
      <c r="JFG1062" s="989"/>
      <c r="JFH1062" s="989"/>
      <c r="JFI1062" s="989"/>
      <c r="JFJ1062" s="989"/>
      <c r="JFK1062" s="989"/>
      <c r="JFL1062" s="989"/>
      <c r="JFM1062" s="989"/>
      <c r="JFN1062" s="989"/>
      <c r="JFO1062" s="989"/>
      <c r="JFP1062" s="989"/>
      <c r="JFQ1062" s="989"/>
      <c r="JFR1062" s="989"/>
      <c r="JFS1062" s="989"/>
      <c r="JFT1062" s="989"/>
      <c r="JFU1062" s="989"/>
      <c r="JFV1062" s="989"/>
      <c r="JFW1062" s="989"/>
      <c r="JFX1062" s="989"/>
      <c r="JFY1062" s="989"/>
      <c r="JFZ1062" s="989"/>
      <c r="JGA1062" s="989"/>
      <c r="JGB1062" s="989"/>
      <c r="JGC1062" s="989"/>
      <c r="JGD1062" s="989"/>
      <c r="JGE1062" s="989"/>
      <c r="JGF1062" s="989"/>
      <c r="JGG1062" s="989"/>
      <c r="JGH1062" s="989"/>
      <c r="JGI1062" s="989"/>
      <c r="JGJ1062" s="989"/>
      <c r="JGK1062" s="989"/>
      <c r="JGL1062" s="989"/>
      <c r="JGM1062" s="989"/>
      <c r="JGN1062" s="989"/>
      <c r="JGO1062" s="989"/>
      <c r="JGP1062" s="989"/>
      <c r="JGQ1062" s="989"/>
      <c r="JGR1062" s="989"/>
      <c r="JGS1062" s="989"/>
      <c r="JGT1062" s="989"/>
      <c r="JGU1062" s="989"/>
      <c r="JGV1062" s="989"/>
      <c r="JGW1062" s="989"/>
      <c r="JGX1062" s="989"/>
      <c r="JGY1062" s="989"/>
      <c r="JGZ1062" s="989"/>
      <c r="JHA1062" s="989"/>
      <c r="JHB1062" s="989"/>
      <c r="JHC1062" s="989"/>
      <c r="JHD1062" s="989"/>
      <c r="JHE1062" s="989"/>
      <c r="JHF1062" s="989"/>
      <c r="JHG1062" s="989"/>
      <c r="JHH1062" s="989"/>
      <c r="JHI1062" s="989"/>
      <c r="JHJ1062" s="989"/>
      <c r="JHK1062" s="989"/>
      <c r="JHL1062" s="989"/>
      <c r="JHM1062" s="989"/>
      <c r="JHN1062" s="989"/>
      <c r="JHO1062" s="989"/>
      <c r="JHP1062" s="989"/>
      <c r="JHQ1062" s="989"/>
      <c r="JHR1062" s="989"/>
      <c r="JHS1062" s="989"/>
      <c r="JHT1062" s="989"/>
      <c r="JHU1062" s="989"/>
      <c r="JHV1062" s="989"/>
      <c r="JHW1062" s="989"/>
      <c r="JHX1062" s="989"/>
      <c r="JHY1062" s="989"/>
      <c r="JHZ1062" s="989"/>
      <c r="JIA1062" s="989"/>
      <c r="JIB1062" s="989"/>
      <c r="JIC1062" s="989"/>
      <c r="JID1062" s="989"/>
      <c r="JIE1062" s="989"/>
      <c r="JIF1062" s="989"/>
      <c r="JIG1062" s="989"/>
      <c r="JIH1062" s="989"/>
      <c r="JII1062" s="989"/>
      <c r="JIJ1062" s="989"/>
      <c r="JIK1062" s="989"/>
      <c r="JIL1062" s="989"/>
      <c r="JIM1062" s="989"/>
      <c r="JIN1062" s="989"/>
      <c r="JIO1062" s="989"/>
      <c r="JIP1062" s="989"/>
      <c r="JIQ1062" s="989"/>
      <c r="JIR1062" s="989"/>
      <c r="JIS1062" s="989"/>
      <c r="JIT1062" s="989"/>
      <c r="JIU1062" s="989"/>
      <c r="JIV1062" s="989"/>
      <c r="JIW1062" s="989"/>
      <c r="JIX1062" s="989"/>
      <c r="JIY1062" s="989"/>
      <c r="JIZ1062" s="989"/>
      <c r="JJA1062" s="989"/>
      <c r="JJB1062" s="989"/>
      <c r="JJC1062" s="989"/>
      <c r="JJD1062" s="989"/>
      <c r="JJE1062" s="989"/>
      <c r="JJF1062" s="989"/>
      <c r="JJG1062" s="989"/>
      <c r="JJH1062" s="989"/>
      <c r="JJI1062" s="989"/>
      <c r="JJJ1062" s="989"/>
      <c r="JJK1062" s="989"/>
      <c r="JJL1062" s="989"/>
      <c r="JJM1062" s="989"/>
      <c r="JJN1062" s="989"/>
      <c r="JJO1062" s="989"/>
      <c r="JJP1062" s="989"/>
      <c r="JJQ1062" s="989"/>
      <c r="JJR1062" s="989"/>
      <c r="JJS1062" s="989"/>
      <c r="JJT1062" s="989"/>
      <c r="JJU1062" s="989"/>
      <c r="JJV1062" s="989"/>
      <c r="JJW1062" s="989"/>
      <c r="JJX1062" s="989"/>
      <c r="JJY1062" s="989"/>
      <c r="JJZ1062" s="989"/>
      <c r="JKA1062" s="989"/>
      <c r="JKB1062" s="989"/>
      <c r="JKC1062" s="989"/>
      <c r="JKD1062" s="989"/>
      <c r="JKE1062" s="989"/>
      <c r="JKF1062" s="989"/>
      <c r="JKG1062" s="989"/>
      <c r="JKH1062" s="989"/>
      <c r="JKI1062" s="989"/>
      <c r="JKJ1062" s="989"/>
      <c r="JKK1062" s="989"/>
      <c r="JKL1062" s="989"/>
      <c r="JKM1062" s="989"/>
      <c r="JKN1062" s="989"/>
      <c r="JKO1062" s="989"/>
      <c r="JKP1062" s="989"/>
      <c r="JKQ1062" s="989"/>
      <c r="JKR1062" s="989"/>
      <c r="JKS1062" s="989"/>
      <c r="JKT1062" s="989"/>
      <c r="JKU1062" s="989"/>
      <c r="JKV1062" s="989"/>
      <c r="JKW1062" s="989"/>
      <c r="JKX1062" s="989"/>
      <c r="JKY1062" s="989"/>
      <c r="JKZ1062" s="989"/>
      <c r="JLA1062" s="989"/>
      <c r="JLB1062" s="989"/>
      <c r="JLC1062" s="989"/>
      <c r="JLD1062" s="989"/>
      <c r="JLE1062" s="989"/>
      <c r="JLF1062" s="989"/>
      <c r="JLG1062" s="989"/>
      <c r="JLH1062" s="989"/>
      <c r="JLI1062" s="989"/>
      <c r="JLJ1062" s="989"/>
      <c r="JLK1062" s="989"/>
      <c r="JLL1062" s="989"/>
      <c r="JLM1062" s="989"/>
      <c r="JLN1062" s="989"/>
      <c r="JLO1062" s="989"/>
      <c r="JLP1062" s="989"/>
      <c r="JLQ1062" s="989"/>
      <c r="JLR1062" s="989"/>
      <c r="JLS1062" s="989"/>
      <c r="JLT1062" s="989"/>
      <c r="JLU1062" s="989"/>
      <c r="JLV1062" s="989"/>
      <c r="JLW1062" s="989"/>
      <c r="JLX1062" s="989"/>
      <c r="JLY1062" s="989"/>
      <c r="JLZ1062" s="989"/>
      <c r="JMA1062" s="989"/>
      <c r="JMB1062" s="989"/>
      <c r="JMC1062" s="989"/>
      <c r="JMD1062" s="989"/>
      <c r="JME1062" s="989"/>
      <c r="JMF1062" s="989"/>
      <c r="JMG1062" s="989"/>
      <c r="JMH1062" s="989"/>
      <c r="JMI1062" s="989"/>
      <c r="JMJ1062" s="989"/>
      <c r="JMK1062" s="989"/>
      <c r="JML1062" s="989"/>
      <c r="JMM1062" s="989"/>
      <c r="JMN1062" s="989"/>
      <c r="JMO1062" s="989"/>
      <c r="JMP1062" s="989"/>
      <c r="JMQ1062" s="989"/>
      <c r="JMR1062" s="989"/>
      <c r="JMS1062" s="989"/>
      <c r="JMT1062" s="989"/>
      <c r="JMU1062" s="989"/>
      <c r="JMV1062" s="989"/>
      <c r="JMW1062" s="989"/>
      <c r="JMX1062" s="989"/>
      <c r="JMY1062" s="989"/>
      <c r="JMZ1062" s="989"/>
      <c r="JNA1062" s="989"/>
      <c r="JNB1062" s="989"/>
      <c r="JNC1062" s="989"/>
      <c r="JND1062" s="989"/>
      <c r="JNE1062" s="989"/>
      <c r="JNF1062" s="989"/>
      <c r="JNG1062" s="989"/>
      <c r="JNH1062" s="989"/>
      <c r="JNI1062" s="989"/>
      <c r="JNJ1062" s="989"/>
      <c r="JNK1062" s="989"/>
      <c r="JNL1062" s="989"/>
      <c r="JNM1062" s="989"/>
      <c r="JNN1062" s="989"/>
      <c r="JNO1062" s="989"/>
      <c r="JNP1062" s="989"/>
      <c r="JNQ1062" s="989"/>
      <c r="JNR1062" s="989"/>
      <c r="JNS1062" s="989"/>
      <c r="JNT1062" s="989"/>
      <c r="JNU1062" s="989"/>
      <c r="JNV1062" s="989"/>
      <c r="JNW1062" s="989"/>
      <c r="JNX1062" s="989"/>
      <c r="JNY1062" s="989"/>
      <c r="JNZ1062" s="989"/>
      <c r="JOA1062" s="989"/>
      <c r="JOB1062" s="989"/>
      <c r="JOC1062" s="989"/>
      <c r="JOD1062" s="989"/>
      <c r="JOE1062" s="989"/>
      <c r="JOF1062" s="989"/>
      <c r="JOG1062" s="989"/>
      <c r="JOH1062" s="989"/>
      <c r="JOI1062" s="989"/>
      <c r="JOJ1062" s="989"/>
      <c r="JOK1062" s="989"/>
      <c r="JOL1062" s="989"/>
      <c r="JOM1062" s="989"/>
      <c r="JON1062" s="989"/>
      <c r="JOO1062" s="989"/>
      <c r="JOP1062" s="989"/>
      <c r="JOQ1062" s="989"/>
      <c r="JOR1062" s="989"/>
      <c r="JOS1062" s="989"/>
      <c r="JOT1062" s="989"/>
      <c r="JOU1062" s="989"/>
      <c r="JOV1062" s="989"/>
      <c r="JOW1062" s="989"/>
      <c r="JOX1062" s="989"/>
      <c r="JOY1062" s="989"/>
      <c r="JOZ1062" s="989"/>
      <c r="JPA1062" s="989"/>
      <c r="JPB1062" s="989"/>
      <c r="JPC1062" s="989"/>
      <c r="JPD1062" s="989"/>
      <c r="JPE1062" s="989"/>
      <c r="JPF1062" s="989"/>
      <c r="JPG1062" s="989"/>
      <c r="JPH1062" s="989"/>
      <c r="JPI1062" s="989"/>
      <c r="JPJ1062" s="989"/>
      <c r="JPK1062" s="989"/>
      <c r="JPL1062" s="989"/>
      <c r="JPM1062" s="989"/>
      <c r="JPN1062" s="989"/>
      <c r="JPO1062" s="989"/>
      <c r="JPP1062" s="989"/>
      <c r="JPQ1062" s="989"/>
      <c r="JPR1062" s="989"/>
      <c r="JPS1062" s="989"/>
      <c r="JPT1062" s="989"/>
      <c r="JPU1062" s="989"/>
      <c r="JPV1062" s="989"/>
      <c r="JPW1062" s="989"/>
      <c r="JPX1062" s="989"/>
      <c r="JPY1062" s="989"/>
      <c r="JPZ1062" s="989"/>
      <c r="JQA1062" s="989"/>
      <c r="JQB1062" s="989"/>
      <c r="JQC1062" s="989"/>
      <c r="JQD1062" s="989"/>
      <c r="JQE1062" s="989"/>
      <c r="JQF1062" s="989"/>
      <c r="JQG1062" s="989"/>
      <c r="JQH1062" s="989"/>
      <c r="JQI1062" s="989"/>
      <c r="JQJ1062" s="989"/>
      <c r="JQK1062" s="989"/>
      <c r="JQL1062" s="989"/>
      <c r="JQM1062" s="989"/>
      <c r="JQN1062" s="989"/>
      <c r="JQO1062" s="989"/>
      <c r="JQP1062" s="989"/>
      <c r="JQQ1062" s="989"/>
      <c r="JQR1062" s="989"/>
      <c r="JQS1062" s="989"/>
      <c r="JQT1062" s="989"/>
      <c r="JQU1062" s="989"/>
      <c r="JQV1062" s="989"/>
      <c r="JQW1062" s="989"/>
      <c r="JQX1062" s="989"/>
      <c r="JQY1062" s="989"/>
      <c r="JQZ1062" s="989"/>
      <c r="JRA1062" s="989"/>
      <c r="JRB1062" s="989"/>
      <c r="JRC1062" s="989"/>
      <c r="JRD1062" s="989"/>
      <c r="JRE1062" s="989"/>
      <c r="JRF1062" s="989"/>
      <c r="JRG1062" s="989"/>
      <c r="JRH1062" s="989"/>
      <c r="JRI1062" s="989"/>
      <c r="JRJ1062" s="989"/>
      <c r="JRK1062" s="989"/>
      <c r="JRL1062" s="989"/>
      <c r="JRM1062" s="989"/>
      <c r="JRN1062" s="989"/>
      <c r="JRO1062" s="989"/>
      <c r="JRP1062" s="989"/>
      <c r="JRQ1062" s="989"/>
      <c r="JRR1062" s="989"/>
      <c r="JRS1062" s="989"/>
      <c r="JRT1062" s="989"/>
      <c r="JRU1062" s="989"/>
      <c r="JRV1062" s="989"/>
      <c r="JRW1062" s="989"/>
      <c r="JRX1062" s="989"/>
      <c r="JRY1062" s="989"/>
      <c r="JRZ1062" s="989"/>
      <c r="JSA1062" s="989"/>
      <c r="JSB1062" s="989"/>
      <c r="JSC1062" s="989"/>
      <c r="JSD1062" s="989"/>
      <c r="JSE1062" s="989"/>
      <c r="JSF1062" s="989"/>
      <c r="JSG1062" s="989"/>
      <c r="JSH1062" s="989"/>
      <c r="JSI1062" s="989"/>
      <c r="JSJ1062" s="989"/>
      <c r="JSK1062" s="989"/>
      <c r="JSL1062" s="989"/>
      <c r="JSM1062" s="989"/>
      <c r="JSN1062" s="989"/>
      <c r="JSO1062" s="989"/>
      <c r="JSP1062" s="989"/>
      <c r="JSQ1062" s="989"/>
      <c r="JSR1062" s="989"/>
      <c r="JSS1062" s="989"/>
      <c r="JST1062" s="989"/>
      <c r="JSU1062" s="989"/>
      <c r="JSV1062" s="989"/>
      <c r="JSW1062" s="989"/>
      <c r="JSX1062" s="989"/>
      <c r="JSY1062" s="989"/>
      <c r="JSZ1062" s="989"/>
      <c r="JTA1062" s="989"/>
      <c r="JTB1062" s="989"/>
      <c r="JTC1062" s="989"/>
      <c r="JTD1062" s="989"/>
      <c r="JTE1062" s="989"/>
      <c r="JTF1062" s="989"/>
      <c r="JTG1062" s="989"/>
      <c r="JTH1062" s="989"/>
      <c r="JTI1062" s="989"/>
      <c r="JTJ1062" s="989"/>
      <c r="JTK1062" s="989"/>
      <c r="JTL1062" s="989"/>
      <c r="JTM1062" s="989"/>
      <c r="JTN1062" s="989"/>
      <c r="JTO1062" s="989"/>
      <c r="JTP1062" s="989"/>
      <c r="JTQ1062" s="989"/>
      <c r="JTR1062" s="989"/>
      <c r="JTS1062" s="989"/>
      <c r="JTT1062" s="989"/>
      <c r="JTU1062" s="989"/>
      <c r="JTV1062" s="989"/>
      <c r="JTW1062" s="989"/>
      <c r="JTX1062" s="989"/>
      <c r="JTY1062" s="989"/>
      <c r="JTZ1062" s="989"/>
      <c r="JUA1062" s="989"/>
      <c r="JUB1062" s="989"/>
      <c r="JUC1062" s="989"/>
      <c r="JUD1062" s="989"/>
      <c r="JUE1062" s="989"/>
      <c r="JUF1062" s="989"/>
      <c r="JUG1062" s="989"/>
      <c r="JUH1062" s="989"/>
      <c r="JUI1062" s="989"/>
      <c r="JUJ1062" s="989"/>
      <c r="JUK1062" s="989"/>
      <c r="JUL1062" s="989"/>
      <c r="JUM1062" s="989"/>
      <c r="JUN1062" s="989"/>
      <c r="JUO1062" s="989"/>
      <c r="JUP1062" s="989"/>
      <c r="JUQ1062" s="989"/>
      <c r="JUR1062" s="989"/>
      <c r="JUS1062" s="989"/>
      <c r="JUT1062" s="989"/>
      <c r="JUU1062" s="989"/>
      <c r="JUV1062" s="989"/>
      <c r="JUW1062" s="989"/>
      <c r="JUX1062" s="989"/>
      <c r="JUY1062" s="989"/>
      <c r="JUZ1062" s="989"/>
      <c r="JVA1062" s="989"/>
      <c r="JVB1062" s="989"/>
      <c r="JVC1062" s="989"/>
      <c r="JVD1062" s="989"/>
      <c r="JVE1062" s="989"/>
      <c r="JVF1062" s="989"/>
      <c r="JVG1062" s="989"/>
      <c r="JVH1062" s="989"/>
      <c r="JVI1062" s="989"/>
      <c r="JVJ1062" s="989"/>
      <c r="JVK1062" s="989"/>
      <c r="JVL1062" s="989"/>
      <c r="JVM1062" s="989"/>
      <c r="JVN1062" s="989"/>
      <c r="JVO1062" s="989"/>
      <c r="JVP1062" s="989"/>
      <c r="JVQ1062" s="989"/>
      <c r="JVR1062" s="989"/>
      <c r="JVS1062" s="989"/>
      <c r="JVT1062" s="989"/>
      <c r="JVU1062" s="989"/>
      <c r="JVV1062" s="989"/>
      <c r="JVW1062" s="989"/>
      <c r="JVX1062" s="989"/>
      <c r="JVY1062" s="989"/>
      <c r="JVZ1062" s="989"/>
      <c r="JWA1062" s="989"/>
      <c r="JWB1062" s="989"/>
      <c r="JWC1062" s="989"/>
      <c r="JWD1062" s="989"/>
      <c r="JWE1062" s="989"/>
      <c r="JWF1062" s="989"/>
      <c r="JWG1062" s="989"/>
      <c r="JWH1062" s="989"/>
      <c r="JWI1062" s="989"/>
      <c r="JWJ1062" s="989"/>
      <c r="JWK1062" s="989"/>
      <c r="JWL1062" s="989"/>
      <c r="JWM1062" s="989"/>
      <c r="JWN1062" s="989"/>
      <c r="JWO1062" s="989"/>
      <c r="JWP1062" s="989"/>
      <c r="JWQ1062" s="989"/>
      <c r="JWR1062" s="989"/>
      <c r="JWS1062" s="989"/>
      <c r="JWT1062" s="989"/>
      <c r="JWU1062" s="989"/>
      <c r="JWV1062" s="989"/>
      <c r="JWW1062" s="989"/>
      <c r="JWX1062" s="989"/>
      <c r="JWY1062" s="989"/>
      <c r="JWZ1062" s="989"/>
      <c r="JXA1062" s="989"/>
      <c r="JXB1062" s="989"/>
      <c r="JXC1062" s="989"/>
      <c r="JXD1062" s="989"/>
      <c r="JXE1062" s="989"/>
      <c r="JXF1062" s="989"/>
      <c r="JXG1062" s="989"/>
      <c r="JXH1062" s="989"/>
      <c r="JXI1062" s="989"/>
      <c r="JXJ1062" s="989"/>
      <c r="JXK1062" s="989"/>
      <c r="JXL1062" s="989"/>
      <c r="JXM1062" s="989"/>
      <c r="JXN1062" s="989"/>
      <c r="JXO1062" s="989"/>
      <c r="JXP1062" s="989"/>
      <c r="JXQ1062" s="989"/>
      <c r="JXR1062" s="989"/>
      <c r="JXS1062" s="989"/>
      <c r="JXT1062" s="989"/>
      <c r="JXU1062" s="989"/>
      <c r="JXV1062" s="989"/>
      <c r="JXW1062" s="989"/>
      <c r="JXX1062" s="989"/>
      <c r="JXY1062" s="989"/>
      <c r="JXZ1062" s="989"/>
      <c r="JYA1062" s="989"/>
      <c r="JYB1062" s="989"/>
      <c r="JYC1062" s="989"/>
      <c r="JYD1062" s="989"/>
      <c r="JYE1062" s="989"/>
      <c r="JYF1062" s="989"/>
      <c r="JYG1062" s="989"/>
      <c r="JYH1062" s="989"/>
      <c r="JYI1062" s="989"/>
      <c r="JYJ1062" s="989"/>
      <c r="JYK1062" s="989"/>
      <c r="JYL1062" s="989"/>
      <c r="JYM1062" s="989"/>
      <c r="JYN1062" s="989"/>
      <c r="JYO1062" s="989"/>
      <c r="JYP1062" s="989"/>
      <c r="JYQ1062" s="989"/>
      <c r="JYR1062" s="989"/>
      <c r="JYS1062" s="989"/>
      <c r="JYT1062" s="989"/>
      <c r="JYU1062" s="989"/>
      <c r="JYV1062" s="989"/>
      <c r="JYW1062" s="989"/>
      <c r="JYX1062" s="989"/>
      <c r="JYY1062" s="989"/>
      <c r="JYZ1062" s="989"/>
      <c r="JZA1062" s="989"/>
      <c r="JZB1062" s="989"/>
      <c r="JZC1062" s="989"/>
      <c r="JZD1062" s="989"/>
      <c r="JZE1062" s="989"/>
      <c r="JZF1062" s="989"/>
      <c r="JZG1062" s="989"/>
      <c r="JZH1062" s="989"/>
      <c r="JZI1062" s="989"/>
      <c r="JZJ1062" s="989"/>
      <c r="JZK1062" s="989"/>
      <c r="JZL1062" s="989"/>
      <c r="JZM1062" s="989"/>
      <c r="JZN1062" s="989"/>
      <c r="JZO1062" s="989"/>
      <c r="JZP1062" s="989"/>
      <c r="JZQ1062" s="989"/>
      <c r="JZR1062" s="989"/>
      <c r="JZS1062" s="989"/>
      <c r="JZT1062" s="989"/>
      <c r="JZU1062" s="989"/>
      <c r="JZV1062" s="989"/>
      <c r="JZW1062" s="989"/>
      <c r="JZX1062" s="989"/>
      <c r="JZY1062" s="989"/>
      <c r="JZZ1062" s="989"/>
      <c r="KAA1062" s="989"/>
      <c r="KAB1062" s="989"/>
      <c r="KAC1062" s="989"/>
      <c r="KAD1062" s="989"/>
      <c r="KAE1062" s="989"/>
      <c r="KAF1062" s="989"/>
      <c r="KAG1062" s="989"/>
      <c r="KAH1062" s="989"/>
      <c r="KAI1062" s="989"/>
      <c r="KAJ1062" s="989"/>
      <c r="KAK1062" s="989"/>
      <c r="KAL1062" s="989"/>
      <c r="KAM1062" s="989"/>
      <c r="KAN1062" s="989"/>
      <c r="KAO1062" s="989"/>
      <c r="KAP1062" s="989"/>
      <c r="KAQ1062" s="989"/>
      <c r="KAR1062" s="989"/>
      <c r="KAS1062" s="989"/>
      <c r="KAT1062" s="989"/>
      <c r="KAU1062" s="989"/>
      <c r="KAV1062" s="989"/>
      <c r="KAW1062" s="989"/>
      <c r="KAX1062" s="989"/>
      <c r="KAY1062" s="989"/>
      <c r="KAZ1062" s="989"/>
      <c r="KBA1062" s="989"/>
      <c r="KBB1062" s="989"/>
      <c r="KBC1062" s="989"/>
      <c r="KBD1062" s="989"/>
      <c r="KBE1062" s="989"/>
      <c r="KBF1062" s="989"/>
      <c r="KBG1062" s="989"/>
      <c r="KBH1062" s="989"/>
      <c r="KBI1062" s="989"/>
      <c r="KBJ1062" s="989"/>
      <c r="KBK1062" s="989"/>
      <c r="KBL1062" s="989"/>
      <c r="KBM1062" s="989"/>
      <c r="KBN1062" s="989"/>
      <c r="KBO1062" s="989"/>
      <c r="KBP1062" s="989"/>
      <c r="KBQ1062" s="989"/>
      <c r="KBR1062" s="989"/>
      <c r="KBS1062" s="989"/>
      <c r="KBT1062" s="989"/>
      <c r="KBU1062" s="989"/>
      <c r="KBV1062" s="989"/>
      <c r="KBW1062" s="989"/>
      <c r="KBX1062" s="989"/>
      <c r="KBY1062" s="989"/>
      <c r="KBZ1062" s="989"/>
      <c r="KCA1062" s="989"/>
      <c r="KCB1062" s="989"/>
      <c r="KCC1062" s="989"/>
      <c r="KCD1062" s="989"/>
      <c r="KCE1062" s="989"/>
      <c r="KCF1062" s="989"/>
      <c r="KCG1062" s="989"/>
      <c r="KCH1062" s="989"/>
      <c r="KCI1062" s="989"/>
      <c r="KCJ1062" s="989"/>
      <c r="KCK1062" s="989"/>
      <c r="KCL1062" s="989"/>
      <c r="KCM1062" s="989"/>
      <c r="KCN1062" s="989"/>
      <c r="KCO1062" s="989"/>
      <c r="KCP1062" s="989"/>
      <c r="KCQ1062" s="989"/>
      <c r="KCR1062" s="989"/>
      <c r="KCS1062" s="989"/>
      <c r="KCT1062" s="989"/>
      <c r="KCU1062" s="989"/>
      <c r="KCV1062" s="989"/>
      <c r="KCW1062" s="989"/>
      <c r="KCX1062" s="989"/>
      <c r="KCY1062" s="989"/>
      <c r="KCZ1062" s="989"/>
      <c r="KDA1062" s="989"/>
      <c r="KDB1062" s="989"/>
      <c r="KDC1062" s="989"/>
      <c r="KDD1062" s="989"/>
      <c r="KDE1062" s="989"/>
      <c r="KDF1062" s="989"/>
      <c r="KDG1062" s="989"/>
      <c r="KDH1062" s="989"/>
      <c r="KDI1062" s="989"/>
      <c r="KDJ1062" s="989"/>
      <c r="KDK1062" s="989"/>
      <c r="KDL1062" s="989"/>
      <c r="KDM1062" s="989"/>
      <c r="KDN1062" s="989"/>
      <c r="KDO1062" s="989"/>
      <c r="KDP1062" s="989"/>
      <c r="KDQ1062" s="989"/>
      <c r="KDR1062" s="989"/>
      <c r="KDS1062" s="989"/>
      <c r="KDT1062" s="989"/>
      <c r="KDU1062" s="989"/>
      <c r="KDV1062" s="989"/>
      <c r="KDW1062" s="989"/>
      <c r="KDX1062" s="989"/>
      <c r="KDY1062" s="989"/>
      <c r="KDZ1062" s="989"/>
      <c r="KEA1062" s="989"/>
      <c r="KEB1062" s="989"/>
      <c r="KEC1062" s="989"/>
      <c r="KED1062" s="989"/>
      <c r="KEE1062" s="989"/>
      <c r="KEF1062" s="989"/>
      <c r="KEG1062" s="989"/>
      <c r="KEH1062" s="989"/>
      <c r="KEI1062" s="989"/>
      <c r="KEJ1062" s="989"/>
      <c r="KEK1062" s="989"/>
      <c r="KEL1062" s="989"/>
      <c r="KEM1062" s="989"/>
      <c r="KEN1062" s="989"/>
      <c r="KEO1062" s="989"/>
      <c r="KEP1062" s="989"/>
      <c r="KEQ1062" s="989"/>
      <c r="KER1062" s="989"/>
      <c r="KES1062" s="989"/>
      <c r="KET1062" s="989"/>
      <c r="KEU1062" s="989"/>
      <c r="KEV1062" s="989"/>
      <c r="KEW1062" s="989"/>
      <c r="KEX1062" s="989"/>
      <c r="KEY1062" s="989"/>
      <c r="KEZ1062" s="989"/>
      <c r="KFA1062" s="989"/>
      <c r="KFB1062" s="989"/>
      <c r="KFC1062" s="989"/>
      <c r="KFD1062" s="989"/>
      <c r="KFE1062" s="989"/>
      <c r="KFF1062" s="989"/>
      <c r="KFG1062" s="989"/>
      <c r="KFH1062" s="989"/>
      <c r="KFI1062" s="989"/>
      <c r="KFJ1062" s="989"/>
      <c r="KFK1062" s="989"/>
      <c r="KFL1062" s="989"/>
      <c r="KFM1062" s="989"/>
      <c r="KFN1062" s="989"/>
      <c r="KFO1062" s="989"/>
      <c r="KFP1062" s="989"/>
      <c r="KFQ1062" s="989"/>
      <c r="KFR1062" s="989"/>
      <c r="KFS1062" s="989"/>
      <c r="KFT1062" s="989"/>
      <c r="KFU1062" s="989"/>
      <c r="KFV1062" s="989"/>
      <c r="KFW1062" s="989"/>
      <c r="KFX1062" s="989"/>
      <c r="KFY1062" s="989"/>
      <c r="KFZ1062" s="989"/>
      <c r="KGA1062" s="989"/>
      <c r="KGB1062" s="989"/>
      <c r="KGC1062" s="989"/>
      <c r="KGD1062" s="989"/>
      <c r="KGE1062" s="989"/>
      <c r="KGF1062" s="989"/>
      <c r="KGG1062" s="989"/>
      <c r="KGH1062" s="989"/>
      <c r="KGI1062" s="989"/>
      <c r="KGJ1062" s="989"/>
      <c r="KGK1062" s="989"/>
      <c r="KGL1062" s="989"/>
      <c r="KGM1062" s="989"/>
      <c r="KGN1062" s="989"/>
      <c r="KGO1062" s="989"/>
      <c r="KGP1062" s="989"/>
      <c r="KGQ1062" s="989"/>
      <c r="KGR1062" s="989"/>
      <c r="KGS1062" s="989"/>
      <c r="KGT1062" s="989"/>
      <c r="KGU1062" s="989"/>
      <c r="KGV1062" s="989"/>
      <c r="KGW1062" s="989"/>
      <c r="KGX1062" s="989"/>
      <c r="KGY1062" s="989"/>
      <c r="KGZ1062" s="989"/>
      <c r="KHA1062" s="989"/>
      <c r="KHB1062" s="989"/>
      <c r="KHC1062" s="989"/>
      <c r="KHD1062" s="989"/>
      <c r="KHE1062" s="989"/>
      <c r="KHF1062" s="989"/>
      <c r="KHG1062" s="989"/>
      <c r="KHH1062" s="989"/>
      <c r="KHI1062" s="989"/>
      <c r="KHJ1062" s="989"/>
      <c r="KHK1062" s="989"/>
      <c r="KHL1062" s="989"/>
      <c r="KHM1062" s="989"/>
      <c r="KHN1062" s="989"/>
      <c r="KHO1062" s="989"/>
      <c r="KHP1062" s="989"/>
      <c r="KHQ1062" s="989"/>
      <c r="KHR1062" s="989"/>
      <c r="KHS1062" s="989"/>
      <c r="KHT1062" s="989"/>
      <c r="KHU1062" s="989"/>
      <c r="KHV1062" s="989"/>
      <c r="KHW1062" s="989"/>
      <c r="KHX1062" s="989"/>
      <c r="KHY1062" s="989"/>
      <c r="KHZ1062" s="989"/>
      <c r="KIA1062" s="989"/>
      <c r="KIB1062" s="989"/>
      <c r="KIC1062" s="989"/>
      <c r="KID1062" s="989"/>
      <c r="KIE1062" s="989"/>
      <c r="KIF1062" s="989"/>
      <c r="KIG1062" s="989"/>
      <c r="KIH1062" s="989"/>
      <c r="KII1062" s="989"/>
      <c r="KIJ1062" s="989"/>
      <c r="KIK1062" s="989"/>
      <c r="KIL1062" s="989"/>
      <c r="KIM1062" s="989"/>
      <c r="KIN1062" s="989"/>
      <c r="KIO1062" s="989"/>
      <c r="KIP1062" s="989"/>
      <c r="KIQ1062" s="989"/>
      <c r="KIR1062" s="989"/>
      <c r="KIS1062" s="989"/>
      <c r="KIT1062" s="989"/>
      <c r="KIU1062" s="989"/>
      <c r="KIV1062" s="989"/>
      <c r="KIW1062" s="989"/>
      <c r="KIX1062" s="989"/>
      <c r="KIY1062" s="989"/>
      <c r="KIZ1062" s="989"/>
      <c r="KJA1062" s="989"/>
      <c r="KJB1062" s="989"/>
      <c r="KJC1062" s="989"/>
      <c r="KJD1062" s="989"/>
      <c r="KJE1062" s="989"/>
      <c r="KJF1062" s="989"/>
      <c r="KJG1062" s="989"/>
      <c r="KJH1062" s="989"/>
      <c r="KJI1062" s="989"/>
      <c r="KJJ1062" s="989"/>
      <c r="KJK1062" s="989"/>
      <c r="KJL1062" s="989"/>
      <c r="KJM1062" s="989"/>
      <c r="KJN1062" s="989"/>
      <c r="KJO1062" s="989"/>
      <c r="KJP1062" s="989"/>
      <c r="KJQ1062" s="989"/>
      <c r="KJR1062" s="989"/>
      <c r="KJS1062" s="989"/>
      <c r="KJT1062" s="989"/>
      <c r="KJU1062" s="989"/>
      <c r="KJV1062" s="989"/>
      <c r="KJW1062" s="989"/>
      <c r="KJX1062" s="989"/>
      <c r="KJY1062" s="989"/>
      <c r="KJZ1062" s="989"/>
      <c r="KKA1062" s="989"/>
      <c r="KKB1062" s="989"/>
      <c r="KKC1062" s="989"/>
      <c r="KKD1062" s="989"/>
      <c r="KKE1062" s="989"/>
      <c r="KKF1062" s="989"/>
      <c r="KKG1062" s="989"/>
      <c r="KKH1062" s="989"/>
      <c r="KKI1062" s="989"/>
      <c r="KKJ1062" s="989"/>
      <c r="KKK1062" s="989"/>
      <c r="KKL1062" s="989"/>
      <c r="KKM1062" s="989"/>
      <c r="KKN1062" s="989"/>
      <c r="KKO1062" s="989"/>
      <c r="KKP1062" s="989"/>
      <c r="KKQ1062" s="989"/>
      <c r="KKR1062" s="989"/>
      <c r="KKS1062" s="989"/>
      <c r="KKT1062" s="989"/>
      <c r="KKU1062" s="989"/>
      <c r="KKV1062" s="989"/>
      <c r="KKW1062" s="989"/>
      <c r="KKX1062" s="989"/>
      <c r="KKY1062" s="989"/>
      <c r="KKZ1062" s="989"/>
      <c r="KLA1062" s="989"/>
      <c r="KLB1062" s="989"/>
      <c r="KLC1062" s="989"/>
      <c r="KLD1062" s="989"/>
      <c r="KLE1062" s="989"/>
      <c r="KLF1062" s="989"/>
      <c r="KLG1062" s="989"/>
      <c r="KLH1062" s="989"/>
      <c r="KLI1062" s="989"/>
      <c r="KLJ1062" s="989"/>
      <c r="KLK1062" s="989"/>
      <c r="KLL1062" s="989"/>
      <c r="KLM1062" s="989"/>
      <c r="KLN1062" s="989"/>
      <c r="KLO1062" s="989"/>
      <c r="KLP1062" s="989"/>
      <c r="KLQ1062" s="989"/>
      <c r="KLR1062" s="989"/>
      <c r="KLS1062" s="989"/>
      <c r="KLT1062" s="989"/>
      <c r="KLU1062" s="989"/>
      <c r="KLV1062" s="989"/>
      <c r="KLW1062" s="989"/>
      <c r="KLX1062" s="989"/>
      <c r="KLY1062" s="989"/>
      <c r="KLZ1062" s="989"/>
      <c r="KMA1062" s="989"/>
      <c r="KMB1062" s="989"/>
      <c r="KMC1062" s="989"/>
      <c r="KMD1062" s="989"/>
      <c r="KME1062" s="989"/>
      <c r="KMF1062" s="989"/>
      <c r="KMG1062" s="989"/>
      <c r="KMH1062" s="989"/>
      <c r="KMI1062" s="989"/>
      <c r="KMJ1062" s="989"/>
      <c r="KMK1062" s="989"/>
      <c r="KML1062" s="989"/>
      <c r="KMM1062" s="989"/>
      <c r="KMN1062" s="989"/>
      <c r="KMO1062" s="989"/>
      <c r="KMP1062" s="989"/>
      <c r="KMQ1062" s="989"/>
      <c r="KMR1062" s="989"/>
      <c r="KMS1062" s="989"/>
      <c r="KMT1062" s="989"/>
      <c r="KMU1062" s="989"/>
      <c r="KMV1062" s="989"/>
      <c r="KMW1062" s="989"/>
      <c r="KMX1062" s="989"/>
      <c r="KMY1062" s="989"/>
      <c r="KMZ1062" s="989"/>
      <c r="KNA1062" s="989"/>
      <c r="KNB1062" s="989"/>
      <c r="KNC1062" s="989"/>
      <c r="KND1062" s="989"/>
      <c r="KNE1062" s="989"/>
      <c r="KNF1062" s="989"/>
      <c r="KNG1062" s="989"/>
      <c r="KNH1062" s="989"/>
      <c r="KNI1062" s="989"/>
      <c r="KNJ1062" s="989"/>
      <c r="KNK1062" s="989"/>
      <c r="KNL1062" s="989"/>
      <c r="KNM1062" s="989"/>
      <c r="KNN1062" s="989"/>
      <c r="KNO1062" s="989"/>
      <c r="KNP1062" s="989"/>
      <c r="KNQ1062" s="989"/>
      <c r="KNR1062" s="989"/>
      <c r="KNS1062" s="989"/>
      <c r="KNT1062" s="989"/>
      <c r="KNU1062" s="989"/>
      <c r="KNV1062" s="989"/>
      <c r="KNW1062" s="989"/>
      <c r="KNX1062" s="989"/>
      <c r="KNY1062" s="989"/>
      <c r="KNZ1062" s="989"/>
      <c r="KOA1062" s="989"/>
      <c r="KOB1062" s="989"/>
      <c r="KOC1062" s="989"/>
      <c r="KOD1062" s="989"/>
      <c r="KOE1062" s="989"/>
      <c r="KOF1062" s="989"/>
      <c r="KOG1062" s="989"/>
      <c r="KOH1062" s="989"/>
      <c r="KOI1062" s="989"/>
      <c r="KOJ1062" s="989"/>
      <c r="KOK1062" s="989"/>
      <c r="KOL1062" s="989"/>
      <c r="KOM1062" s="989"/>
      <c r="KON1062" s="989"/>
      <c r="KOO1062" s="989"/>
      <c r="KOP1062" s="989"/>
      <c r="KOQ1062" s="989"/>
      <c r="KOR1062" s="989"/>
      <c r="KOS1062" s="989"/>
      <c r="KOT1062" s="989"/>
      <c r="KOU1062" s="989"/>
      <c r="KOV1062" s="989"/>
      <c r="KOW1062" s="989"/>
      <c r="KOX1062" s="989"/>
      <c r="KOY1062" s="989"/>
      <c r="KOZ1062" s="989"/>
      <c r="KPA1062" s="989"/>
      <c r="KPB1062" s="989"/>
      <c r="KPC1062" s="989"/>
      <c r="KPD1062" s="989"/>
      <c r="KPE1062" s="989"/>
      <c r="KPF1062" s="989"/>
      <c r="KPG1062" s="989"/>
      <c r="KPH1062" s="989"/>
      <c r="KPI1062" s="989"/>
      <c r="KPJ1062" s="989"/>
      <c r="KPK1062" s="989"/>
      <c r="KPL1062" s="989"/>
      <c r="KPM1062" s="989"/>
      <c r="KPN1062" s="989"/>
      <c r="KPO1062" s="989"/>
      <c r="KPP1062" s="989"/>
      <c r="KPQ1062" s="989"/>
      <c r="KPR1062" s="989"/>
      <c r="KPS1062" s="989"/>
      <c r="KPT1062" s="989"/>
      <c r="KPU1062" s="989"/>
      <c r="KPV1062" s="989"/>
      <c r="KPW1062" s="989"/>
      <c r="KPX1062" s="989"/>
      <c r="KPY1062" s="989"/>
      <c r="KPZ1062" s="989"/>
      <c r="KQA1062" s="989"/>
      <c r="KQB1062" s="989"/>
      <c r="KQC1062" s="989"/>
      <c r="KQD1062" s="989"/>
      <c r="KQE1062" s="989"/>
      <c r="KQF1062" s="989"/>
      <c r="KQG1062" s="989"/>
      <c r="KQH1062" s="989"/>
      <c r="KQI1062" s="989"/>
      <c r="KQJ1062" s="989"/>
      <c r="KQK1062" s="989"/>
      <c r="KQL1062" s="989"/>
      <c r="KQM1062" s="989"/>
      <c r="KQN1062" s="989"/>
      <c r="KQO1062" s="989"/>
      <c r="KQP1062" s="989"/>
      <c r="KQQ1062" s="989"/>
      <c r="KQR1062" s="989"/>
      <c r="KQS1062" s="989"/>
      <c r="KQT1062" s="989"/>
      <c r="KQU1062" s="989"/>
      <c r="KQV1062" s="989"/>
      <c r="KQW1062" s="989"/>
      <c r="KQX1062" s="989"/>
      <c r="KQY1062" s="989"/>
      <c r="KQZ1062" s="989"/>
      <c r="KRA1062" s="989"/>
      <c r="KRB1062" s="989"/>
      <c r="KRC1062" s="989"/>
      <c r="KRD1062" s="989"/>
      <c r="KRE1062" s="989"/>
      <c r="KRF1062" s="989"/>
      <c r="KRG1062" s="989"/>
      <c r="KRH1062" s="989"/>
      <c r="KRI1062" s="989"/>
      <c r="KRJ1062" s="989"/>
      <c r="KRK1062" s="989"/>
      <c r="KRL1062" s="989"/>
      <c r="KRM1062" s="989"/>
      <c r="KRN1062" s="989"/>
      <c r="KRO1062" s="989"/>
      <c r="KRP1062" s="989"/>
      <c r="KRQ1062" s="989"/>
      <c r="KRR1062" s="989"/>
      <c r="KRS1062" s="989"/>
      <c r="KRT1062" s="989"/>
      <c r="KRU1062" s="989"/>
      <c r="KRV1062" s="989"/>
      <c r="KRW1062" s="989"/>
      <c r="KRX1062" s="989"/>
      <c r="KRY1062" s="989"/>
      <c r="KRZ1062" s="989"/>
      <c r="KSA1062" s="989"/>
      <c r="KSB1062" s="989"/>
      <c r="KSC1062" s="989"/>
      <c r="KSD1062" s="989"/>
      <c r="KSE1062" s="989"/>
      <c r="KSF1062" s="989"/>
      <c r="KSG1062" s="989"/>
      <c r="KSH1062" s="989"/>
      <c r="KSI1062" s="989"/>
      <c r="KSJ1062" s="989"/>
      <c r="KSK1062" s="989"/>
      <c r="KSL1062" s="989"/>
      <c r="KSM1062" s="989"/>
      <c r="KSN1062" s="989"/>
      <c r="KSO1062" s="989"/>
      <c r="KSP1062" s="989"/>
      <c r="KSQ1062" s="989"/>
      <c r="KSR1062" s="989"/>
      <c r="KSS1062" s="989"/>
      <c r="KST1062" s="989"/>
      <c r="KSU1062" s="989"/>
      <c r="KSV1062" s="989"/>
      <c r="KSW1062" s="989"/>
      <c r="KSX1062" s="989"/>
      <c r="KSY1062" s="989"/>
      <c r="KSZ1062" s="989"/>
      <c r="KTA1062" s="989"/>
      <c r="KTB1062" s="989"/>
      <c r="KTC1062" s="989"/>
      <c r="KTD1062" s="989"/>
      <c r="KTE1062" s="989"/>
      <c r="KTF1062" s="989"/>
      <c r="KTG1062" s="989"/>
      <c r="KTH1062" s="989"/>
      <c r="KTI1062" s="989"/>
      <c r="KTJ1062" s="989"/>
      <c r="KTK1062" s="989"/>
      <c r="KTL1062" s="989"/>
      <c r="KTM1062" s="989"/>
      <c r="KTN1062" s="989"/>
      <c r="KTO1062" s="989"/>
      <c r="KTP1062" s="989"/>
      <c r="KTQ1062" s="989"/>
      <c r="KTR1062" s="989"/>
      <c r="KTS1062" s="989"/>
      <c r="KTT1062" s="989"/>
      <c r="KTU1062" s="989"/>
      <c r="KTV1062" s="989"/>
      <c r="KTW1062" s="989"/>
      <c r="KTX1062" s="989"/>
      <c r="KTY1062" s="989"/>
      <c r="KTZ1062" s="989"/>
      <c r="KUA1062" s="989"/>
      <c r="KUB1062" s="989"/>
      <c r="KUC1062" s="989"/>
      <c r="KUD1062" s="989"/>
      <c r="KUE1062" s="989"/>
      <c r="KUF1062" s="989"/>
      <c r="KUG1062" s="989"/>
      <c r="KUH1062" s="989"/>
      <c r="KUI1062" s="989"/>
      <c r="KUJ1062" s="989"/>
      <c r="KUK1062" s="989"/>
      <c r="KUL1062" s="989"/>
      <c r="KUM1062" s="989"/>
      <c r="KUN1062" s="989"/>
      <c r="KUO1062" s="989"/>
      <c r="KUP1062" s="989"/>
      <c r="KUQ1062" s="989"/>
      <c r="KUR1062" s="989"/>
      <c r="KUS1062" s="989"/>
      <c r="KUT1062" s="989"/>
      <c r="KUU1062" s="989"/>
      <c r="KUV1062" s="989"/>
      <c r="KUW1062" s="989"/>
      <c r="KUX1062" s="989"/>
      <c r="KUY1062" s="989"/>
      <c r="KUZ1062" s="989"/>
      <c r="KVA1062" s="989"/>
      <c r="KVB1062" s="989"/>
      <c r="KVC1062" s="989"/>
      <c r="KVD1062" s="989"/>
      <c r="KVE1062" s="989"/>
      <c r="KVF1062" s="989"/>
      <c r="KVG1062" s="989"/>
      <c r="KVH1062" s="989"/>
      <c r="KVI1062" s="989"/>
      <c r="KVJ1062" s="989"/>
      <c r="KVK1062" s="989"/>
      <c r="KVL1062" s="989"/>
      <c r="KVM1062" s="989"/>
      <c r="KVN1062" s="989"/>
      <c r="KVO1062" s="989"/>
      <c r="KVP1062" s="989"/>
      <c r="KVQ1062" s="989"/>
      <c r="KVR1062" s="989"/>
      <c r="KVS1062" s="989"/>
      <c r="KVT1062" s="989"/>
      <c r="KVU1062" s="989"/>
      <c r="KVV1062" s="989"/>
      <c r="KVW1062" s="989"/>
      <c r="KVX1062" s="989"/>
      <c r="KVY1062" s="989"/>
      <c r="KVZ1062" s="989"/>
      <c r="KWA1062" s="989"/>
      <c r="KWB1062" s="989"/>
      <c r="KWC1062" s="989"/>
      <c r="KWD1062" s="989"/>
      <c r="KWE1062" s="989"/>
      <c r="KWF1062" s="989"/>
      <c r="KWG1062" s="989"/>
      <c r="KWH1062" s="989"/>
      <c r="KWI1062" s="989"/>
      <c r="KWJ1062" s="989"/>
      <c r="KWK1062" s="989"/>
      <c r="KWL1062" s="989"/>
      <c r="KWM1062" s="989"/>
      <c r="KWN1062" s="989"/>
      <c r="KWO1062" s="989"/>
      <c r="KWP1062" s="989"/>
      <c r="KWQ1062" s="989"/>
      <c r="KWR1062" s="989"/>
      <c r="KWS1062" s="989"/>
      <c r="KWT1062" s="989"/>
      <c r="KWU1062" s="989"/>
      <c r="KWV1062" s="989"/>
      <c r="KWW1062" s="989"/>
      <c r="KWX1062" s="989"/>
      <c r="KWY1062" s="989"/>
      <c r="KWZ1062" s="989"/>
      <c r="KXA1062" s="989"/>
      <c r="KXB1062" s="989"/>
      <c r="KXC1062" s="989"/>
      <c r="KXD1062" s="989"/>
      <c r="KXE1062" s="989"/>
      <c r="KXF1062" s="989"/>
      <c r="KXG1062" s="989"/>
      <c r="KXH1062" s="989"/>
      <c r="KXI1062" s="989"/>
      <c r="KXJ1062" s="989"/>
      <c r="KXK1062" s="989"/>
      <c r="KXL1062" s="989"/>
      <c r="KXM1062" s="989"/>
      <c r="KXN1062" s="989"/>
      <c r="KXO1062" s="989"/>
      <c r="KXP1062" s="989"/>
      <c r="KXQ1062" s="989"/>
      <c r="KXR1062" s="989"/>
      <c r="KXS1062" s="989"/>
      <c r="KXT1062" s="989"/>
      <c r="KXU1062" s="989"/>
      <c r="KXV1062" s="989"/>
      <c r="KXW1062" s="989"/>
      <c r="KXX1062" s="989"/>
      <c r="KXY1062" s="989"/>
      <c r="KXZ1062" s="989"/>
      <c r="KYA1062" s="989"/>
      <c r="KYB1062" s="989"/>
      <c r="KYC1062" s="989"/>
      <c r="KYD1062" s="989"/>
      <c r="KYE1062" s="989"/>
      <c r="KYF1062" s="989"/>
      <c r="KYG1062" s="989"/>
      <c r="KYH1062" s="989"/>
      <c r="KYI1062" s="989"/>
      <c r="KYJ1062" s="989"/>
      <c r="KYK1062" s="989"/>
      <c r="KYL1062" s="989"/>
      <c r="KYM1062" s="989"/>
      <c r="KYN1062" s="989"/>
      <c r="KYO1062" s="989"/>
      <c r="KYP1062" s="989"/>
      <c r="KYQ1062" s="989"/>
      <c r="KYR1062" s="989"/>
      <c r="KYS1062" s="989"/>
      <c r="KYT1062" s="989"/>
      <c r="KYU1062" s="989"/>
      <c r="KYV1062" s="989"/>
      <c r="KYW1062" s="989"/>
      <c r="KYX1062" s="989"/>
      <c r="KYY1062" s="989"/>
      <c r="KYZ1062" s="989"/>
      <c r="KZA1062" s="989"/>
      <c r="KZB1062" s="989"/>
      <c r="KZC1062" s="989"/>
      <c r="KZD1062" s="989"/>
      <c r="KZE1062" s="989"/>
      <c r="KZF1062" s="989"/>
      <c r="KZG1062" s="989"/>
      <c r="KZH1062" s="989"/>
      <c r="KZI1062" s="989"/>
      <c r="KZJ1062" s="989"/>
      <c r="KZK1062" s="989"/>
      <c r="KZL1062" s="989"/>
      <c r="KZM1062" s="989"/>
      <c r="KZN1062" s="989"/>
      <c r="KZO1062" s="989"/>
      <c r="KZP1062" s="989"/>
      <c r="KZQ1062" s="989"/>
      <c r="KZR1062" s="989"/>
      <c r="KZS1062" s="989"/>
      <c r="KZT1062" s="989"/>
      <c r="KZU1062" s="989"/>
      <c r="KZV1062" s="989"/>
      <c r="KZW1062" s="989"/>
      <c r="KZX1062" s="989"/>
      <c r="KZY1062" s="989"/>
      <c r="KZZ1062" s="989"/>
      <c r="LAA1062" s="989"/>
      <c r="LAB1062" s="989"/>
      <c r="LAC1062" s="989"/>
      <c r="LAD1062" s="989"/>
      <c r="LAE1062" s="989"/>
      <c r="LAF1062" s="989"/>
      <c r="LAG1062" s="989"/>
      <c r="LAH1062" s="989"/>
      <c r="LAI1062" s="989"/>
      <c r="LAJ1062" s="989"/>
      <c r="LAK1062" s="989"/>
      <c r="LAL1062" s="989"/>
      <c r="LAM1062" s="989"/>
      <c r="LAN1062" s="989"/>
      <c r="LAO1062" s="989"/>
      <c r="LAP1062" s="989"/>
      <c r="LAQ1062" s="989"/>
      <c r="LAR1062" s="989"/>
      <c r="LAS1062" s="989"/>
      <c r="LAT1062" s="989"/>
      <c r="LAU1062" s="989"/>
      <c r="LAV1062" s="989"/>
      <c r="LAW1062" s="989"/>
      <c r="LAX1062" s="989"/>
      <c r="LAY1062" s="989"/>
      <c r="LAZ1062" s="989"/>
      <c r="LBA1062" s="989"/>
      <c r="LBB1062" s="989"/>
      <c r="LBC1062" s="989"/>
      <c r="LBD1062" s="989"/>
      <c r="LBE1062" s="989"/>
      <c r="LBF1062" s="989"/>
      <c r="LBG1062" s="989"/>
      <c r="LBH1062" s="989"/>
      <c r="LBI1062" s="989"/>
      <c r="LBJ1062" s="989"/>
      <c r="LBK1062" s="989"/>
      <c r="LBL1062" s="989"/>
      <c r="LBM1062" s="989"/>
      <c r="LBN1062" s="989"/>
      <c r="LBO1062" s="989"/>
      <c r="LBP1062" s="989"/>
      <c r="LBQ1062" s="989"/>
      <c r="LBR1062" s="989"/>
      <c r="LBS1062" s="989"/>
      <c r="LBT1062" s="989"/>
      <c r="LBU1062" s="989"/>
      <c r="LBV1062" s="989"/>
      <c r="LBW1062" s="989"/>
      <c r="LBX1062" s="989"/>
      <c r="LBY1062" s="989"/>
      <c r="LBZ1062" s="989"/>
      <c r="LCA1062" s="989"/>
      <c r="LCB1062" s="989"/>
      <c r="LCC1062" s="989"/>
      <c r="LCD1062" s="989"/>
      <c r="LCE1062" s="989"/>
      <c r="LCF1062" s="989"/>
      <c r="LCG1062" s="989"/>
      <c r="LCH1062" s="989"/>
      <c r="LCI1062" s="989"/>
      <c r="LCJ1062" s="989"/>
      <c r="LCK1062" s="989"/>
      <c r="LCL1062" s="989"/>
      <c r="LCM1062" s="989"/>
      <c r="LCN1062" s="989"/>
      <c r="LCO1062" s="989"/>
      <c r="LCP1062" s="989"/>
      <c r="LCQ1062" s="989"/>
      <c r="LCR1062" s="989"/>
      <c r="LCS1062" s="989"/>
      <c r="LCT1062" s="989"/>
      <c r="LCU1062" s="989"/>
      <c r="LCV1062" s="989"/>
      <c r="LCW1062" s="989"/>
      <c r="LCX1062" s="989"/>
      <c r="LCY1062" s="989"/>
      <c r="LCZ1062" s="989"/>
      <c r="LDA1062" s="989"/>
      <c r="LDB1062" s="989"/>
      <c r="LDC1062" s="989"/>
      <c r="LDD1062" s="989"/>
      <c r="LDE1062" s="989"/>
      <c r="LDF1062" s="989"/>
      <c r="LDG1062" s="989"/>
      <c r="LDH1062" s="989"/>
      <c r="LDI1062" s="989"/>
      <c r="LDJ1062" s="989"/>
      <c r="LDK1062" s="989"/>
      <c r="LDL1062" s="989"/>
      <c r="LDM1062" s="989"/>
      <c r="LDN1062" s="989"/>
      <c r="LDO1062" s="989"/>
      <c r="LDP1062" s="989"/>
      <c r="LDQ1062" s="989"/>
      <c r="LDR1062" s="989"/>
      <c r="LDS1062" s="989"/>
      <c r="LDT1062" s="989"/>
      <c r="LDU1062" s="989"/>
      <c r="LDV1062" s="989"/>
      <c r="LDW1062" s="989"/>
      <c r="LDX1062" s="989"/>
      <c r="LDY1062" s="989"/>
      <c r="LDZ1062" s="989"/>
      <c r="LEA1062" s="989"/>
      <c r="LEB1062" s="989"/>
      <c r="LEC1062" s="989"/>
      <c r="LED1062" s="989"/>
      <c r="LEE1062" s="989"/>
      <c r="LEF1062" s="989"/>
      <c r="LEG1062" s="989"/>
      <c r="LEH1062" s="989"/>
      <c r="LEI1062" s="989"/>
      <c r="LEJ1062" s="989"/>
      <c r="LEK1062" s="989"/>
      <c r="LEL1062" s="989"/>
      <c r="LEM1062" s="989"/>
      <c r="LEN1062" s="989"/>
      <c r="LEO1062" s="989"/>
      <c r="LEP1062" s="989"/>
      <c r="LEQ1062" s="989"/>
      <c r="LER1062" s="989"/>
      <c r="LES1062" s="989"/>
      <c r="LET1062" s="989"/>
      <c r="LEU1062" s="989"/>
      <c r="LEV1062" s="989"/>
      <c r="LEW1062" s="989"/>
      <c r="LEX1062" s="989"/>
      <c r="LEY1062" s="989"/>
      <c r="LEZ1062" s="989"/>
      <c r="LFA1062" s="989"/>
      <c r="LFB1062" s="989"/>
      <c r="LFC1062" s="989"/>
      <c r="LFD1062" s="989"/>
      <c r="LFE1062" s="989"/>
      <c r="LFF1062" s="989"/>
      <c r="LFG1062" s="989"/>
      <c r="LFH1062" s="989"/>
      <c r="LFI1062" s="989"/>
      <c r="LFJ1062" s="989"/>
      <c r="LFK1062" s="989"/>
      <c r="LFL1062" s="989"/>
      <c r="LFM1062" s="989"/>
      <c r="LFN1062" s="989"/>
      <c r="LFO1062" s="989"/>
      <c r="LFP1062" s="989"/>
      <c r="LFQ1062" s="989"/>
      <c r="LFR1062" s="989"/>
      <c r="LFS1062" s="989"/>
      <c r="LFT1062" s="989"/>
      <c r="LFU1062" s="989"/>
      <c r="LFV1062" s="989"/>
      <c r="LFW1062" s="989"/>
      <c r="LFX1062" s="989"/>
      <c r="LFY1062" s="989"/>
      <c r="LFZ1062" s="989"/>
      <c r="LGA1062" s="989"/>
      <c r="LGB1062" s="989"/>
      <c r="LGC1062" s="989"/>
      <c r="LGD1062" s="989"/>
      <c r="LGE1062" s="989"/>
      <c r="LGF1062" s="989"/>
      <c r="LGG1062" s="989"/>
      <c r="LGH1062" s="989"/>
      <c r="LGI1062" s="989"/>
      <c r="LGJ1062" s="989"/>
      <c r="LGK1062" s="989"/>
      <c r="LGL1062" s="989"/>
      <c r="LGM1062" s="989"/>
      <c r="LGN1062" s="989"/>
      <c r="LGO1062" s="989"/>
      <c r="LGP1062" s="989"/>
      <c r="LGQ1062" s="989"/>
      <c r="LGR1062" s="989"/>
      <c r="LGS1062" s="989"/>
      <c r="LGT1062" s="989"/>
      <c r="LGU1062" s="989"/>
      <c r="LGV1062" s="989"/>
      <c r="LGW1062" s="989"/>
      <c r="LGX1062" s="989"/>
      <c r="LGY1062" s="989"/>
      <c r="LGZ1062" s="989"/>
      <c r="LHA1062" s="989"/>
      <c r="LHB1062" s="989"/>
      <c r="LHC1062" s="989"/>
      <c r="LHD1062" s="989"/>
      <c r="LHE1062" s="989"/>
      <c r="LHF1062" s="989"/>
      <c r="LHG1062" s="989"/>
      <c r="LHH1062" s="989"/>
      <c r="LHI1062" s="989"/>
      <c r="LHJ1062" s="989"/>
      <c r="LHK1062" s="989"/>
      <c r="LHL1062" s="989"/>
      <c r="LHM1062" s="989"/>
      <c r="LHN1062" s="989"/>
      <c r="LHO1062" s="989"/>
      <c r="LHP1062" s="989"/>
      <c r="LHQ1062" s="989"/>
      <c r="LHR1062" s="989"/>
      <c r="LHS1062" s="989"/>
      <c r="LHT1062" s="989"/>
      <c r="LHU1062" s="989"/>
      <c r="LHV1062" s="989"/>
      <c r="LHW1062" s="989"/>
      <c r="LHX1062" s="989"/>
      <c r="LHY1062" s="989"/>
      <c r="LHZ1062" s="989"/>
      <c r="LIA1062" s="989"/>
      <c r="LIB1062" s="989"/>
      <c r="LIC1062" s="989"/>
      <c r="LID1062" s="989"/>
      <c r="LIE1062" s="989"/>
      <c r="LIF1062" s="989"/>
      <c r="LIG1062" s="989"/>
      <c r="LIH1062" s="989"/>
      <c r="LII1062" s="989"/>
      <c r="LIJ1062" s="989"/>
      <c r="LIK1062" s="989"/>
      <c r="LIL1062" s="989"/>
      <c r="LIM1062" s="989"/>
      <c r="LIN1062" s="989"/>
      <c r="LIO1062" s="989"/>
      <c r="LIP1062" s="989"/>
      <c r="LIQ1062" s="989"/>
      <c r="LIR1062" s="989"/>
      <c r="LIS1062" s="989"/>
      <c r="LIT1062" s="989"/>
      <c r="LIU1062" s="989"/>
      <c r="LIV1062" s="989"/>
      <c r="LIW1062" s="989"/>
      <c r="LIX1062" s="989"/>
      <c r="LIY1062" s="989"/>
      <c r="LIZ1062" s="989"/>
      <c r="LJA1062" s="989"/>
      <c r="LJB1062" s="989"/>
      <c r="LJC1062" s="989"/>
      <c r="LJD1062" s="989"/>
      <c r="LJE1062" s="989"/>
      <c r="LJF1062" s="989"/>
      <c r="LJG1062" s="989"/>
      <c r="LJH1062" s="989"/>
      <c r="LJI1062" s="989"/>
      <c r="LJJ1062" s="989"/>
      <c r="LJK1062" s="989"/>
      <c r="LJL1062" s="989"/>
      <c r="LJM1062" s="989"/>
      <c r="LJN1062" s="989"/>
      <c r="LJO1062" s="989"/>
      <c r="LJP1062" s="989"/>
      <c r="LJQ1062" s="989"/>
      <c r="LJR1062" s="989"/>
      <c r="LJS1062" s="989"/>
      <c r="LJT1062" s="989"/>
      <c r="LJU1062" s="989"/>
      <c r="LJV1062" s="989"/>
      <c r="LJW1062" s="989"/>
      <c r="LJX1062" s="989"/>
      <c r="LJY1062" s="989"/>
      <c r="LJZ1062" s="989"/>
      <c r="LKA1062" s="989"/>
      <c r="LKB1062" s="989"/>
      <c r="LKC1062" s="989"/>
      <c r="LKD1062" s="989"/>
      <c r="LKE1062" s="989"/>
      <c r="LKF1062" s="989"/>
      <c r="LKG1062" s="989"/>
      <c r="LKH1062" s="989"/>
      <c r="LKI1062" s="989"/>
      <c r="LKJ1062" s="989"/>
      <c r="LKK1062" s="989"/>
      <c r="LKL1062" s="989"/>
      <c r="LKM1062" s="989"/>
      <c r="LKN1062" s="989"/>
      <c r="LKO1062" s="989"/>
      <c r="LKP1062" s="989"/>
      <c r="LKQ1062" s="989"/>
      <c r="LKR1062" s="989"/>
      <c r="LKS1062" s="989"/>
      <c r="LKT1062" s="989"/>
      <c r="LKU1062" s="989"/>
      <c r="LKV1062" s="989"/>
      <c r="LKW1062" s="989"/>
      <c r="LKX1062" s="989"/>
      <c r="LKY1062" s="989"/>
      <c r="LKZ1062" s="989"/>
      <c r="LLA1062" s="989"/>
      <c r="LLB1062" s="989"/>
      <c r="LLC1062" s="989"/>
      <c r="LLD1062" s="989"/>
      <c r="LLE1062" s="989"/>
      <c r="LLF1062" s="989"/>
      <c r="LLG1062" s="989"/>
      <c r="LLH1062" s="989"/>
      <c r="LLI1062" s="989"/>
      <c r="LLJ1062" s="989"/>
      <c r="LLK1062" s="989"/>
      <c r="LLL1062" s="989"/>
      <c r="LLM1062" s="989"/>
      <c r="LLN1062" s="989"/>
      <c r="LLO1062" s="989"/>
      <c r="LLP1062" s="989"/>
      <c r="LLQ1062" s="989"/>
      <c r="LLR1062" s="989"/>
      <c r="LLS1062" s="989"/>
      <c r="LLT1062" s="989"/>
      <c r="LLU1062" s="989"/>
      <c r="LLV1062" s="989"/>
      <c r="LLW1062" s="989"/>
      <c r="LLX1062" s="989"/>
      <c r="LLY1062" s="989"/>
      <c r="LLZ1062" s="989"/>
      <c r="LMA1062" s="989"/>
      <c r="LMB1062" s="989"/>
      <c r="LMC1062" s="989"/>
      <c r="LMD1062" s="989"/>
      <c r="LME1062" s="989"/>
      <c r="LMF1062" s="989"/>
      <c r="LMG1062" s="989"/>
      <c r="LMH1062" s="989"/>
      <c r="LMI1062" s="989"/>
      <c r="LMJ1062" s="989"/>
      <c r="LMK1062" s="989"/>
      <c r="LML1062" s="989"/>
      <c r="LMM1062" s="989"/>
      <c r="LMN1062" s="989"/>
      <c r="LMO1062" s="989"/>
      <c r="LMP1062" s="989"/>
      <c r="LMQ1062" s="989"/>
      <c r="LMR1062" s="989"/>
      <c r="LMS1062" s="989"/>
      <c r="LMT1062" s="989"/>
      <c r="LMU1062" s="989"/>
      <c r="LMV1062" s="989"/>
      <c r="LMW1062" s="989"/>
      <c r="LMX1062" s="989"/>
      <c r="LMY1062" s="989"/>
      <c r="LMZ1062" s="989"/>
      <c r="LNA1062" s="989"/>
      <c r="LNB1062" s="989"/>
      <c r="LNC1062" s="989"/>
      <c r="LND1062" s="989"/>
      <c r="LNE1062" s="989"/>
      <c r="LNF1062" s="989"/>
      <c r="LNG1062" s="989"/>
      <c r="LNH1062" s="989"/>
      <c r="LNI1062" s="989"/>
      <c r="LNJ1062" s="989"/>
      <c r="LNK1062" s="989"/>
      <c r="LNL1062" s="989"/>
      <c r="LNM1062" s="989"/>
      <c r="LNN1062" s="989"/>
      <c r="LNO1062" s="989"/>
      <c r="LNP1062" s="989"/>
      <c r="LNQ1062" s="989"/>
      <c r="LNR1062" s="989"/>
      <c r="LNS1062" s="989"/>
      <c r="LNT1062" s="989"/>
      <c r="LNU1062" s="989"/>
      <c r="LNV1062" s="989"/>
      <c r="LNW1062" s="989"/>
      <c r="LNX1062" s="989"/>
      <c r="LNY1062" s="989"/>
      <c r="LNZ1062" s="989"/>
      <c r="LOA1062" s="989"/>
      <c r="LOB1062" s="989"/>
      <c r="LOC1062" s="989"/>
      <c r="LOD1062" s="989"/>
      <c r="LOE1062" s="989"/>
      <c r="LOF1062" s="989"/>
      <c r="LOG1062" s="989"/>
      <c r="LOH1062" s="989"/>
      <c r="LOI1062" s="989"/>
      <c r="LOJ1062" s="989"/>
      <c r="LOK1062" s="989"/>
      <c r="LOL1062" s="989"/>
      <c r="LOM1062" s="989"/>
      <c r="LON1062" s="989"/>
      <c r="LOO1062" s="989"/>
      <c r="LOP1062" s="989"/>
      <c r="LOQ1062" s="989"/>
      <c r="LOR1062" s="989"/>
      <c r="LOS1062" s="989"/>
      <c r="LOT1062" s="989"/>
      <c r="LOU1062" s="989"/>
      <c r="LOV1062" s="989"/>
      <c r="LOW1062" s="989"/>
      <c r="LOX1062" s="989"/>
      <c r="LOY1062" s="989"/>
      <c r="LOZ1062" s="989"/>
      <c r="LPA1062" s="989"/>
      <c r="LPB1062" s="989"/>
      <c r="LPC1062" s="989"/>
      <c r="LPD1062" s="989"/>
      <c r="LPE1062" s="989"/>
      <c r="LPF1062" s="989"/>
      <c r="LPG1062" s="989"/>
      <c r="LPH1062" s="989"/>
      <c r="LPI1062" s="989"/>
      <c r="LPJ1062" s="989"/>
      <c r="LPK1062" s="989"/>
      <c r="LPL1062" s="989"/>
      <c r="LPM1062" s="989"/>
      <c r="LPN1062" s="989"/>
      <c r="LPO1062" s="989"/>
      <c r="LPP1062" s="989"/>
      <c r="LPQ1062" s="989"/>
      <c r="LPR1062" s="989"/>
      <c r="LPS1062" s="989"/>
      <c r="LPT1062" s="989"/>
      <c r="LPU1062" s="989"/>
      <c r="LPV1062" s="989"/>
      <c r="LPW1062" s="989"/>
      <c r="LPX1062" s="989"/>
      <c r="LPY1062" s="989"/>
      <c r="LPZ1062" s="989"/>
      <c r="LQA1062" s="989"/>
      <c r="LQB1062" s="989"/>
      <c r="LQC1062" s="989"/>
      <c r="LQD1062" s="989"/>
      <c r="LQE1062" s="989"/>
      <c r="LQF1062" s="989"/>
      <c r="LQG1062" s="989"/>
      <c r="LQH1062" s="989"/>
      <c r="LQI1062" s="989"/>
      <c r="LQJ1062" s="989"/>
      <c r="LQK1062" s="989"/>
      <c r="LQL1062" s="989"/>
      <c r="LQM1062" s="989"/>
      <c r="LQN1062" s="989"/>
      <c r="LQO1062" s="989"/>
      <c r="LQP1062" s="989"/>
      <c r="LQQ1062" s="989"/>
      <c r="LQR1062" s="989"/>
      <c r="LQS1062" s="989"/>
      <c r="LQT1062" s="989"/>
      <c r="LQU1062" s="989"/>
      <c r="LQV1062" s="989"/>
      <c r="LQW1062" s="989"/>
      <c r="LQX1062" s="989"/>
      <c r="LQY1062" s="989"/>
      <c r="LQZ1062" s="989"/>
      <c r="LRA1062" s="989"/>
      <c r="LRB1062" s="989"/>
      <c r="LRC1062" s="989"/>
      <c r="LRD1062" s="989"/>
      <c r="LRE1062" s="989"/>
      <c r="LRF1062" s="989"/>
      <c r="LRG1062" s="989"/>
      <c r="LRH1062" s="989"/>
      <c r="LRI1062" s="989"/>
      <c r="LRJ1062" s="989"/>
      <c r="LRK1062" s="989"/>
      <c r="LRL1062" s="989"/>
      <c r="LRM1062" s="989"/>
      <c r="LRN1062" s="989"/>
      <c r="LRO1062" s="989"/>
      <c r="LRP1062" s="989"/>
      <c r="LRQ1062" s="989"/>
      <c r="LRR1062" s="989"/>
      <c r="LRS1062" s="989"/>
      <c r="LRT1062" s="989"/>
      <c r="LRU1062" s="989"/>
      <c r="LRV1062" s="989"/>
      <c r="LRW1062" s="989"/>
      <c r="LRX1062" s="989"/>
      <c r="LRY1062" s="989"/>
      <c r="LRZ1062" s="989"/>
      <c r="LSA1062" s="989"/>
      <c r="LSB1062" s="989"/>
      <c r="LSC1062" s="989"/>
      <c r="LSD1062" s="989"/>
      <c r="LSE1062" s="989"/>
      <c r="LSF1062" s="989"/>
      <c r="LSG1062" s="989"/>
      <c r="LSH1062" s="989"/>
      <c r="LSI1062" s="989"/>
      <c r="LSJ1062" s="989"/>
      <c r="LSK1062" s="989"/>
      <c r="LSL1062" s="989"/>
      <c r="LSM1062" s="989"/>
      <c r="LSN1062" s="989"/>
      <c r="LSO1062" s="989"/>
      <c r="LSP1062" s="989"/>
      <c r="LSQ1062" s="989"/>
      <c r="LSR1062" s="989"/>
      <c r="LSS1062" s="989"/>
      <c r="LST1062" s="989"/>
      <c r="LSU1062" s="989"/>
      <c r="LSV1062" s="989"/>
      <c r="LSW1062" s="989"/>
      <c r="LSX1062" s="989"/>
      <c r="LSY1062" s="989"/>
      <c r="LSZ1062" s="989"/>
      <c r="LTA1062" s="989"/>
      <c r="LTB1062" s="989"/>
      <c r="LTC1062" s="989"/>
      <c r="LTD1062" s="989"/>
      <c r="LTE1062" s="989"/>
      <c r="LTF1062" s="989"/>
      <c r="LTG1062" s="989"/>
      <c r="LTH1062" s="989"/>
      <c r="LTI1062" s="989"/>
      <c r="LTJ1062" s="989"/>
      <c r="LTK1062" s="989"/>
      <c r="LTL1062" s="989"/>
      <c r="LTM1062" s="989"/>
      <c r="LTN1062" s="989"/>
      <c r="LTO1062" s="989"/>
      <c r="LTP1062" s="989"/>
      <c r="LTQ1062" s="989"/>
      <c r="LTR1062" s="989"/>
      <c r="LTS1062" s="989"/>
      <c r="LTT1062" s="989"/>
      <c r="LTU1062" s="989"/>
      <c r="LTV1062" s="989"/>
      <c r="LTW1062" s="989"/>
      <c r="LTX1062" s="989"/>
      <c r="LTY1062" s="989"/>
      <c r="LTZ1062" s="989"/>
      <c r="LUA1062" s="989"/>
      <c r="LUB1062" s="989"/>
      <c r="LUC1062" s="989"/>
      <c r="LUD1062" s="989"/>
      <c r="LUE1062" s="989"/>
      <c r="LUF1062" s="989"/>
      <c r="LUG1062" s="989"/>
      <c r="LUH1062" s="989"/>
      <c r="LUI1062" s="989"/>
      <c r="LUJ1062" s="989"/>
      <c r="LUK1062" s="989"/>
      <c r="LUL1062" s="989"/>
      <c r="LUM1062" s="989"/>
      <c r="LUN1062" s="989"/>
      <c r="LUO1062" s="989"/>
      <c r="LUP1062" s="989"/>
      <c r="LUQ1062" s="989"/>
      <c r="LUR1062" s="989"/>
      <c r="LUS1062" s="989"/>
      <c r="LUT1062" s="989"/>
      <c r="LUU1062" s="989"/>
      <c r="LUV1062" s="989"/>
      <c r="LUW1062" s="989"/>
      <c r="LUX1062" s="989"/>
      <c r="LUY1062" s="989"/>
      <c r="LUZ1062" s="989"/>
      <c r="LVA1062" s="989"/>
      <c r="LVB1062" s="989"/>
      <c r="LVC1062" s="989"/>
      <c r="LVD1062" s="989"/>
      <c r="LVE1062" s="989"/>
      <c r="LVF1062" s="989"/>
      <c r="LVG1062" s="989"/>
      <c r="LVH1062" s="989"/>
      <c r="LVI1062" s="989"/>
      <c r="LVJ1062" s="989"/>
      <c r="LVK1062" s="989"/>
      <c r="LVL1062" s="989"/>
      <c r="LVM1062" s="989"/>
      <c r="LVN1062" s="989"/>
      <c r="LVO1062" s="989"/>
      <c r="LVP1062" s="989"/>
      <c r="LVQ1062" s="989"/>
      <c r="LVR1062" s="989"/>
      <c r="LVS1062" s="989"/>
      <c r="LVT1062" s="989"/>
      <c r="LVU1062" s="989"/>
      <c r="LVV1062" s="989"/>
      <c r="LVW1062" s="989"/>
      <c r="LVX1062" s="989"/>
      <c r="LVY1062" s="989"/>
      <c r="LVZ1062" s="989"/>
      <c r="LWA1062" s="989"/>
      <c r="LWB1062" s="989"/>
      <c r="LWC1062" s="989"/>
      <c r="LWD1062" s="989"/>
      <c r="LWE1062" s="989"/>
      <c r="LWF1062" s="989"/>
      <c r="LWG1062" s="989"/>
      <c r="LWH1062" s="989"/>
      <c r="LWI1062" s="989"/>
      <c r="LWJ1062" s="989"/>
      <c r="LWK1062" s="989"/>
      <c r="LWL1062" s="989"/>
      <c r="LWM1062" s="989"/>
      <c r="LWN1062" s="989"/>
      <c r="LWO1062" s="989"/>
      <c r="LWP1062" s="989"/>
      <c r="LWQ1062" s="989"/>
      <c r="LWR1062" s="989"/>
      <c r="LWS1062" s="989"/>
      <c r="LWT1062" s="989"/>
      <c r="LWU1062" s="989"/>
      <c r="LWV1062" s="989"/>
      <c r="LWW1062" s="989"/>
      <c r="LWX1062" s="989"/>
      <c r="LWY1062" s="989"/>
      <c r="LWZ1062" s="989"/>
      <c r="LXA1062" s="989"/>
      <c r="LXB1062" s="989"/>
      <c r="LXC1062" s="989"/>
      <c r="LXD1062" s="989"/>
      <c r="LXE1062" s="989"/>
      <c r="LXF1062" s="989"/>
      <c r="LXG1062" s="989"/>
      <c r="LXH1062" s="989"/>
      <c r="LXI1062" s="989"/>
      <c r="LXJ1062" s="989"/>
      <c r="LXK1062" s="989"/>
      <c r="LXL1062" s="989"/>
      <c r="LXM1062" s="989"/>
      <c r="LXN1062" s="989"/>
      <c r="LXO1062" s="989"/>
      <c r="LXP1062" s="989"/>
      <c r="LXQ1062" s="989"/>
      <c r="LXR1062" s="989"/>
      <c r="LXS1062" s="989"/>
      <c r="LXT1062" s="989"/>
      <c r="LXU1062" s="989"/>
      <c r="LXV1062" s="989"/>
      <c r="LXW1062" s="989"/>
      <c r="LXX1062" s="989"/>
      <c r="LXY1062" s="989"/>
      <c r="LXZ1062" s="989"/>
      <c r="LYA1062" s="989"/>
      <c r="LYB1062" s="989"/>
      <c r="LYC1062" s="989"/>
      <c r="LYD1062" s="989"/>
      <c r="LYE1062" s="989"/>
      <c r="LYF1062" s="989"/>
      <c r="LYG1062" s="989"/>
      <c r="LYH1062" s="989"/>
      <c r="LYI1062" s="989"/>
      <c r="LYJ1062" s="989"/>
      <c r="LYK1062" s="989"/>
      <c r="LYL1062" s="989"/>
      <c r="LYM1062" s="989"/>
      <c r="LYN1062" s="989"/>
      <c r="LYO1062" s="989"/>
      <c r="LYP1062" s="989"/>
      <c r="LYQ1062" s="989"/>
      <c r="LYR1062" s="989"/>
      <c r="LYS1062" s="989"/>
      <c r="LYT1062" s="989"/>
      <c r="LYU1062" s="989"/>
      <c r="LYV1062" s="989"/>
      <c r="LYW1062" s="989"/>
      <c r="LYX1062" s="989"/>
      <c r="LYY1062" s="989"/>
      <c r="LYZ1062" s="989"/>
      <c r="LZA1062" s="989"/>
      <c r="LZB1062" s="989"/>
      <c r="LZC1062" s="989"/>
      <c r="LZD1062" s="989"/>
      <c r="LZE1062" s="989"/>
      <c r="LZF1062" s="989"/>
      <c r="LZG1062" s="989"/>
      <c r="LZH1062" s="989"/>
      <c r="LZI1062" s="989"/>
      <c r="LZJ1062" s="989"/>
      <c r="LZK1062" s="989"/>
      <c r="LZL1062" s="989"/>
      <c r="LZM1062" s="989"/>
      <c r="LZN1062" s="989"/>
      <c r="LZO1062" s="989"/>
      <c r="LZP1062" s="989"/>
      <c r="LZQ1062" s="989"/>
      <c r="LZR1062" s="989"/>
      <c r="LZS1062" s="989"/>
      <c r="LZT1062" s="989"/>
      <c r="LZU1062" s="989"/>
      <c r="LZV1062" s="989"/>
      <c r="LZW1062" s="989"/>
      <c r="LZX1062" s="989"/>
      <c r="LZY1062" s="989"/>
      <c r="LZZ1062" s="989"/>
      <c r="MAA1062" s="989"/>
      <c r="MAB1062" s="989"/>
      <c r="MAC1062" s="989"/>
      <c r="MAD1062" s="989"/>
      <c r="MAE1062" s="989"/>
      <c r="MAF1062" s="989"/>
      <c r="MAG1062" s="989"/>
      <c r="MAH1062" s="989"/>
      <c r="MAI1062" s="989"/>
      <c r="MAJ1062" s="989"/>
      <c r="MAK1062" s="989"/>
      <c r="MAL1062" s="989"/>
      <c r="MAM1062" s="989"/>
      <c r="MAN1062" s="989"/>
      <c r="MAO1062" s="989"/>
      <c r="MAP1062" s="989"/>
      <c r="MAQ1062" s="989"/>
      <c r="MAR1062" s="989"/>
      <c r="MAS1062" s="989"/>
      <c r="MAT1062" s="989"/>
      <c r="MAU1062" s="989"/>
      <c r="MAV1062" s="989"/>
      <c r="MAW1062" s="989"/>
      <c r="MAX1062" s="989"/>
      <c r="MAY1062" s="989"/>
      <c r="MAZ1062" s="989"/>
      <c r="MBA1062" s="989"/>
      <c r="MBB1062" s="989"/>
      <c r="MBC1062" s="989"/>
      <c r="MBD1062" s="989"/>
      <c r="MBE1062" s="989"/>
      <c r="MBF1062" s="989"/>
      <c r="MBG1062" s="989"/>
      <c r="MBH1062" s="989"/>
      <c r="MBI1062" s="989"/>
      <c r="MBJ1062" s="989"/>
      <c r="MBK1062" s="989"/>
      <c r="MBL1062" s="989"/>
      <c r="MBM1062" s="989"/>
      <c r="MBN1062" s="989"/>
      <c r="MBO1062" s="989"/>
      <c r="MBP1062" s="989"/>
      <c r="MBQ1062" s="989"/>
      <c r="MBR1062" s="989"/>
      <c r="MBS1062" s="989"/>
      <c r="MBT1062" s="989"/>
      <c r="MBU1062" s="989"/>
      <c r="MBV1062" s="989"/>
      <c r="MBW1062" s="989"/>
      <c r="MBX1062" s="989"/>
      <c r="MBY1062" s="989"/>
      <c r="MBZ1062" s="989"/>
      <c r="MCA1062" s="989"/>
      <c r="MCB1062" s="989"/>
      <c r="MCC1062" s="989"/>
      <c r="MCD1062" s="989"/>
      <c r="MCE1062" s="989"/>
      <c r="MCF1062" s="989"/>
      <c r="MCG1062" s="989"/>
      <c r="MCH1062" s="989"/>
      <c r="MCI1062" s="989"/>
      <c r="MCJ1062" s="989"/>
      <c r="MCK1062" s="989"/>
      <c r="MCL1062" s="989"/>
      <c r="MCM1062" s="989"/>
      <c r="MCN1062" s="989"/>
      <c r="MCO1062" s="989"/>
      <c r="MCP1062" s="989"/>
      <c r="MCQ1062" s="989"/>
      <c r="MCR1062" s="989"/>
      <c r="MCS1062" s="989"/>
      <c r="MCT1062" s="989"/>
      <c r="MCU1062" s="989"/>
      <c r="MCV1062" s="989"/>
      <c r="MCW1062" s="989"/>
      <c r="MCX1062" s="989"/>
      <c r="MCY1062" s="989"/>
      <c r="MCZ1062" s="989"/>
      <c r="MDA1062" s="989"/>
      <c r="MDB1062" s="989"/>
      <c r="MDC1062" s="989"/>
      <c r="MDD1062" s="989"/>
      <c r="MDE1062" s="989"/>
      <c r="MDF1062" s="989"/>
      <c r="MDG1062" s="989"/>
      <c r="MDH1062" s="989"/>
      <c r="MDI1062" s="989"/>
      <c r="MDJ1062" s="989"/>
      <c r="MDK1062" s="989"/>
      <c r="MDL1062" s="989"/>
      <c r="MDM1062" s="989"/>
      <c r="MDN1062" s="989"/>
      <c r="MDO1062" s="989"/>
      <c r="MDP1062" s="989"/>
      <c r="MDQ1062" s="989"/>
      <c r="MDR1062" s="989"/>
      <c r="MDS1062" s="989"/>
      <c r="MDT1062" s="989"/>
      <c r="MDU1062" s="989"/>
      <c r="MDV1062" s="989"/>
      <c r="MDW1062" s="989"/>
      <c r="MDX1062" s="989"/>
      <c r="MDY1062" s="989"/>
      <c r="MDZ1062" s="989"/>
      <c r="MEA1062" s="989"/>
      <c r="MEB1062" s="989"/>
      <c r="MEC1062" s="989"/>
      <c r="MED1062" s="989"/>
      <c r="MEE1062" s="989"/>
      <c r="MEF1062" s="989"/>
      <c r="MEG1062" s="989"/>
      <c r="MEH1062" s="989"/>
      <c r="MEI1062" s="989"/>
      <c r="MEJ1062" s="989"/>
      <c r="MEK1062" s="989"/>
      <c r="MEL1062" s="989"/>
      <c r="MEM1062" s="989"/>
      <c r="MEN1062" s="989"/>
      <c r="MEO1062" s="989"/>
      <c r="MEP1062" s="989"/>
      <c r="MEQ1062" s="989"/>
      <c r="MER1062" s="989"/>
      <c r="MES1062" s="989"/>
      <c r="MET1062" s="989"/>
      <c r="MEU1062" s="989"/>
      <c r="MEV1062" s="989"/>
      <c r="MEW1062" s="989"/>
      <c r="MEX1062" s="989"/>
      <c r="MEY1062" s="989"/>
      <c r="MEZ1062" s="989"/>
      <c r="MFA1062" s="989"/>
      <c r="MFB1062" s="989"/>
      <c r="MFC1062" s="989"/>
      <c r="MFD1062" s="989"/>
      <c r="MFE1062" s="989"/>
      <c r="MFF1062" s="989"/>
      <c r="MFG1062" s="989"/>
      <c r="MFH1062" s="989"/>
      <c r="MFI1062" s="989"/>
      <c r="MFJ1062" s="989"/>
      <c r="MFK1062" s="989"/>
      <c r="MFL1062" s="989"/>
      <c r="MFM1062" s="989"/>
      <c r="MFN1062" s="989"/>
      <c r="MFO1062" s="989"/>
      <c r="MFP1062" s="989"/>
      <c r="MFQ1062" s="989"/>
      <c r="MFR1062" s="989"/>
      <c r="MFS1062" s="989"/>
      <c r="MFT1062" s="989"/>
      <c r="MFU1062" s="989"/>
      <c r="MFV1062" s="989"/>
      <c r="MFW1062" s="989"/>
      <c r="MFX1062" s="989"/>
      <c r="MFY1062" s="989"/>
      <c r="MFZ1062" s="989"/>
      <c r="MGA1062" s="989"/>
      <c r="MGB1062" s="989"/>
      <c r="MGC1062" s="989"/>
      <c r="MGD1062" s="989"/>
      <c r="MGE1062" s="989"/>
      <c r="MGF1062" s="989"/>
      <c r="MGG1062" s="989"/>
      <c r="MGH1062" s="989"/>
      <c r="MGI1062" s="989"/>
      <c r="MGJ1062" s="989"/>
      <c r="MGK1062" s="989"/>
      <c r="MGL1062" s="989"/>
      <c r="MGM1062" s="989"/>
      <c r="MGN1062" s="989"/>
      <c r="MGO1062" s="989"/>
      <c r="MGP1062" s="989"/>
      <c r="MGQ1062" s="989"/>
      <c r="MGR1062" s="989"/>
      <c r="MGS1062" s="989"/>
      <c r="MGT1062" s="989"/>
      <c r="MGU1062" s="989"/>
      <c r="MGV1062" s="989"/>
      <c r="MGW1062" s="989"/>
      <c r="MGX1062" s="989"/>
      <c r="MGY1062" s="989"/>
      <c r="MGZ1062" s="989"/>
      <c r="MHA1062" s="989"/>
      <c r="MHB1062" s="989"/>
      <c r="MHC1062" s="989"/>
      <c r="MHD1062" s="989"/>
      <c r="MHE1062" s="989"/>
      <c r="MHF1062" s="989"/>
      <c r="MHG1062" s="989"/>
      <c r="MHH1062" s="989"/>
      <c r="MHI1062" s="989"/>
      <c r="MHJ1062" s="989"/>
      <c r="MHK1062" s="989"/>
      <c r="MHL1062" s="989"/>
      <c r="MHM1062" s="989"/>
      <c r="MHN1062" s="989"/>
      <c r="MHO1062" s="989"/>
      <c r="MHP1062" s="989"/>
      <c r="MHQ1062" s="989"/>
      <c r="MHR1062" s="989"/>
      <c r="MHS1062" s="989"/>
      <c r="MHT1062" s="989"/>
      <c r="MHU1062" s="989"/>
      <c r="MHV1062" s="989"/>
      <c r="MHW1062" s="989"/>
      <c r="MHX1062" s="989"/>
      <c r="MHY1062" s="989"/>
      <c r="MHZ1062" s="989"/>
      <c r="MIA1062" s="989"/>
      <c r="MIB1062" s="989"/>
      <c r="MIC1062" s="989"/>
      <c r="MID1062" s="989"/>
      <c r="MIE1062" s="989"/>
      <c r="MIF1062" s="989"/>
      <c r="MIG1062" s="989"/>
      <c r="MIH1062" s="989"/>
      <c r="MII1062" s="989"/>
      <c r="MIJ1062" s="989"/>
      <c r="MIK1062" s="989"/>
      <c r="MIL1062" s="989"/>
      <c r="MIM1062" s="989"/>
      <c r="MIN1062" s="989"/>
      <c r="MIO1062" s="989"/>
      <c r="MIP1062" s="989"/>
      <c r="MIQ1062" s="989"/>
      <c r="MIR1062" s="989"/>
      <c r="MIS1062" s="989"/>
      <c r="MIT1062" s="989"/>
      <c r="MIU1062" s="989"/>
      <c r="MIV1062" s="989"/>
      <c r="MIW1062" s="989"/>
      <c r="MIX1062" s="989"/>
      <c r="MIY1062" s="989"/>
      <c r="MIZ1062" s="989"/>
      <c r="MJA1062" s="989"/>
      <c r="MJB1062" s="989"/>
      <c r="MJC1062" s="989"/>
      <c r="MJD1062" s="989"/>
      <c r="MJE1062" s="989"/>
      <c r="MJF1062" s="989"/>
      <c r="MJG1062" s="989"/>
      <c r="MJH1062" s="989"/>
      <c r="MJI1062" s="989"/>
      <c r="MJJ1062" s="989"/>
      <c r="MJK1062" s="989"/>
      <c r="MJL1062" s="989"/>
      <c r="MJM1062" s="989"/>
      <c r="MJN1062" s="989"/>
      <c r="MJO1062" s="989"/>
      <c r="MJP1062" s="989"/>
      <c r="MJQ1062" s="989"/>
      <c r="MJR1062" s="989"/>
      <c r="MJS1062" s="989"/>
      <c r="MJT1062" s="989"/>
      <c r="MJU1062" s="989"/>
      <c r="MJV1062" s="989"/>
      <c r="MJW1062" s="989"/>
      <c r="MJX1062" s="989"/>
      <c r="MJY1062" s="989"/>
      <c r="MJZ1062" s="989"/>
      <c r="MKA1062" s="989"/>
      <c r="MKB1062" s="989"/>
      <c r="MKC1062" s="989"/>
      <c r="MKD1062" s="989"/>
      <c r="MKE1062" s="989"/>
      <c r="MKF1062" s="989"/>
      <c r="MKG1062" s="989"/>
      <c r="MKH1062" s="989"/>
      <c r="MKI1062" s="989"/>
      <c r="MKJ1062" s="989"/>
      <c r="MKK1062" s="989"/>
      <c r="MKL1062" s="989"/>
      <c r="MKM1062" s="989"/>
      <c r="MKN1062" s="989"/>
      <c r="MKO1062" s="989"/>
      <c r="MKP1062" s="989"/>
      <c r="MKQ1062" s="989"/>
      <c r="MKR1062" s="989"/>
      <c r="MKS1062" s="989"/>
      <c r="MKT1062" s="989"/>
      <c r="MKU1062" s="989"/>
      <c r="MKV1062" s="989"/>
      <c r="MKW1062" s="989"/>
      <c r="MKX1062" s="989"/>
      <c r="MKY1062" s="989"/>
      <c r="MKZ1062" s="989"/>
      <c r="MLA1062" s="989"/>
      <c r="MLB1062" s="989"/>
      <c r="MLC1062" s="989"/>
      <c r="MLD1062" s="989"/>
      <c r="MLE1062" s="989"/>
      <c r="MLF1062" s="989"/>
      <c r="MLG1062" s="989"/>
      <c r="MLH1062" s="989"/>
      <c r="MLI1062" s="989"/>
      <c r="MLJ1062" s="989"/>
      <c r="MLK1062" s="989"/>
      <c r="MLL1062" s="989"/>
      <c r="MLM1062" s="989"/>
      <c r="MLN1062" s="989"/>
      <c r="MLO1062" s="989"/>
      <c r="MLP1062" s="989"/>
      <c r="MLQ1062" s="989"/>
      <c r="MLR1062" s="989"/>
      <c r="MLS1062" s="989"/>
      <c r="MLT1062" s="989"/>
      <c r="MLU1062" s="989"/>
      <c r="MLV1062" s="989"/>
      <c r="MLW1062" s="989"/>
      <c r="MLX1062" s="989"/>
      <c r="MLY1062" s="989"/>
      <c r="MLZ1062" s="989"/>
      <c r="MMA1062" s="989"/>
      <c r="MMB1062" s="989"/>
      <c r="MMC1062" s="989"/>
      <c r="MMD1062" s="989"/>
      <c r="MME1062" s="989"/>
      <c r="MMF1062" s="989"/>
      <c r="MMG1062" s="989"/>
      <c r="MMH1062" s="989"/>
      <c r="MMI1062" s="989"/>
      <c r="MMJ1062" s="989"/>
      <c r="MMK1062" s="989"/>
      <c r="MML1062" s="989"/>
      <c r="MMM1062" s="989"/>
      <c r="MMN1062" s="989"/>
      <c r="MMO1062" s="989"/>
      <c r="MMP1062" s="989"/>
      <c r="MMQ1062" s="989"/>
      <c r="MMR1062" s="989"/>
      <c r="MMS1062" s="989"/>
      <c r="MMT1062" s="989"/>
      <c r="MMU1062" s="989"/>
      <c r="MMV1062" s="989"/>
      <c r="MMW1062" s="989"/>
      <c r="MMX1062" s="989"/>
      <c r="MMY1062" s="989"/>
      <c r="MMZ1062" s="989"/>
      <c r="MNA1062" s="989"/>
      <c r="MNB1062" s="989"/>
      <c r="MNC1062" s="989"/>
      <c r="MND1062" s="989"/>
      <c r="MNE1062" s="989"/>
      <c r="MNF1062" s="989"/>
      <c r="MNG1062" s="989"/>
      <c r="MNH1062" s="989"/>
      <c r="MNI1062" s="989"/>
      <c r="MNJ1062" s="989"/>
      <c r="MNK1062" s="989"/>
      <c r="MNL1062" s="989"/>
      <c r="MNM1062" s="989"/>
      <c r="MNN1062" s="989"/>
      <c r="MNO1062" s="989"/>
      <c r="MNP1062" s="989"/>
      <c r="MNQ1062" s="989"/>
      <c r="MNR1062" s="989"/>
      <c r="MNS1062" s="989"/>
      <c r="MNT1062" s="989"/>
      <c r="MNU1062" s="989"/>
      <c r="MNV1062" s="989"/>
      <c r="MNW1062" s="989"/>
      <c r="MNX1062" s="989"/>
      <c r="MNY1062" s="989"/>
      <c r="MNZ1062" s="989"/>
      <c r="MOA1062" s="989"/>
      <c r="MOB1062" s="989"/>
      <c r="MOC1062" s="989"/>
      <c r="MOD1062" s="989"/>
      <c r="MOE1062" s="989"/>
      <c r="MOF1062" s="989"/>
      <c r="MOG1062" s="989"/>
      <c r="MOH1062" s="989"/>
      <c r="MOI1062" s="989"/>
      <c r="MOJ1062" s="989"/>
      <c r="MOK1062" s="989"/>
      <c r="MOL1062" s="989"/>
      <c r="MOM1062" s="989"/>
      <c r="MON1062" s="989"/>
      <c r="MOO1062" s="989"/>
      <c r="MOP1062" s="989"/>
      <c r="MOQ1062" s="989"/>
      <c r="MOR1062" s="989"/>
      <c r="MOS1062" s="989"/>
      <c r="MOT1062" s="989"/>
      <c r="MOU1062" s="989"/>
      <c r="MOV1062" s="989"/>
      <c r="MOW1062" s="989"/>
      <c r="MOX1062" s="989"/>
      <c r="MOY1062" s="989"/>
      <c r="MOZ1062" s="989"/>
      <c r="MPA1062" s="989"/>
      <c r="MPB1062" s="989"/>
      <c r="MPC1062" s="989"/>
      <c r="MPD1062" s="989"/>
      <c r="MPE1062" s="989"/>
      <c r="MPF1062" s="989"/>
      <c r="MPG1062" s="989"/>
      <c r="MPH1062" s="989"/>
      <c r="MPI1062" s="989"/>
      <c r="MPJ1062" s="989"/>
      <c r="MPK1062" s="989"/>
      <c r="MPL1062" s="989"/>
      <c r="MPM1062" s="989"/>
      <c r="MPN1062" s="989"/>
      <c r="MPO1062" s="989"/>
      <c r="MPP1062" s="989"/>
      <c r="MPQ1062" s="989"/>
      <c r="MPR1062" s="989"/>
      <c r="MPS1062" s="989"/>
      <c r="MPT1062" s="989"/>
      <c r="MPU1062" s="989"/>
      <c r="MPV1062" s="989"/>
      <c r="MPW1062" s="989"/>
      <c r="MPX1062" s="989"/>
      <c r="MPY1062" s="989"/>
      <c r="MPZ1062" s="989"/>
      <c r="MQA1062" s="989"/>
      <c r="MQB1062" s="989"/>
      <c r="MQC1062" s="989"/>
      <c r="MQD1062" s="989"/>
      <c r="MQE1062" s="989"/>
      <c r="MQF1062" s="989"/>
      <c r="MQG1062" s="989"/>
      <c r="MQH1062" s="989"/>
      <c r="MQI1062" s="989"/>
      <c r="MQJ1062" s="989"/>
      <c r="MQK1062" s="989"/>
      <c r="MQL1062" s="989"/>
      <c r="MQM1062" s="989"/>
      <c r="MQN1062" s="989"/>
      <c r="MQO1062" s="989"/>
      <c r="MQP1062" s="989"/>
      <c r="MQQ1062" s="989"/>
      <c r="MQR1062" s="989"/>
      <c r="MQS1062" s="989"/>
      <c r="MQT1062" s="989"/>
      <c r="MQU1062" s="989"/>
      <c r="MQV1062" s="989"/>
      <c r="MQW1062" s="989"/>
      <c r="MQX1062" s="989"/>
      <c r="MQY1062" s="989"/>
      <c r="MQZ1062" s="989"/>
      <c r="MRA1062" s="989"/>
      <c r="MRB1062" s="989"/>
      <c r="MRC1062" s="989"/>
      <c r="MRD1062" s="989"/>
      <c r="MRE1062" s="989"/>
      <c r="MRF1062" s="989"/>
      <c r="MRG1062" s="989"/>
      <c r="MRH1062" s="989"/>
      <c r="MRI1062" s="989"/>
      <c r="MRJ1062" s="989"/>
      <c r="MRK1062" s="989"/>
      <c r="MRL1062" s="989"/>
      <c r="MRM1062" s="989"/>
      <c r="MRN1062" s="989"/>
      <c r="MRO1062" s="989"/>
      <c r="MRP1062" s="989"/>
      <c r="MRQ1062" s="989"/>
      <c r="MRR1062" s="989"/>
      <c r="MRS1062" s="989"/>
      <c r="MRT1062" s="989"/>
      <c r="MRU1062" s="989"/>
      <c r="MRV1062" s="989"/>
      <c r="MRW1062" s="989"/>
      <c r="MRX1062" s="989"/>
      <c r="MRY1062" s="989"/>
      <c r="MRZ1062" s="989"/>
      <c r="MSA1062" s="989"/>
      <c r="MSB1062" s="989"/>
      <c r="MSC1062" s="989"/>
      <c r="MSD1062" s="989"/>
      <c r="MSE1062" s="989"/>
      <c r="MSF1062" s="989"/>
      <c r="MSG1062" s="989"/>
      <c r="MSH1062" s="989"/>
      <c r="MSI1062" s="989"/>
      <c r="MSJ1062" s="989"/>
      <c r="MSK1062" s="989"/>
      <c r="MSL1062" s="989"/>
      <c r="MSM1062" s="989"/>
      <c r="MSN1062" s="989"/>
      <c r="MSO1062" s="989"/>
      <c r="MSP1062" s="989"/>
      <c r="MSQ1062" s="989"/>
      <c r="MSR1062" s="989"/>
      <c r="MSS1062" s="989"/>
      <c r="MST1062" s="989"/>
      <c r="MSU1062" s="989"/>
      <c r="MSV1062" s="989"/>
      <c r="MSW1062" s="989"/>
      <c r="MSX1062" s="989"/>
      <c r="MSY1062" s="989"/>
      <c r="MSZ1062" s="989"/>
      <c r="MTA1062" s="989"/>
      <c r="MTB1062" s="989"/>
      <c r="MTC1062" s="989"/>
      <c r="MTD1062" s="989"/>
      <c r="MTE1062" s="989"/>
      <c r="MTF1062" s="989"/>
      <c r="MTG1062" s="989"/>
      <c r="MTH1062" s="989"/>
      <c r="MTI1062" s="989"/>
      <c r="MTJ1062" s="989"/>
      <c r="MTK1062" s="989"/>
      <c r="MTL1062" s="989"/>
      <c r="MTM1062" s="989"/>
      <c r="MTN1062" s="989"/>
      <c r="MTO1062" s="989"/>
      <c r="MTP1062" s="989"/>
      <c r="MTQ1062" s="989"/>
      <c r="MTR1062" s="989"/>
      <c r="MTS1062" s="989"/>
      <c r="MTT1062" s="989"/>
      <c r="MTU1062" s="989"/>
      <c r="MTV1062" s="989"/>
      <c r="MTW1062" s="989"/>
      <c r="MTX1062" s="989"/>
      <c r="MTY1062" s="989"/>
      <c r="MTZ1062" s="989"/>
      <c r="MUA1062" s="989"/>
      <c r="MUB1062" s="989"/>
      <c r="MUC1062" s="989"/>
      <c r="MUD1062" s="989"/>
      <c r="MUE1062" s="989"/>
      <c r="MUF1062" s="989"/>
      <c r="MUG1062" s="989"/>
      <c r="MUH1062" s="989"/>
      <c r="MUI1062" s="989"/>
      <c r="MUJ1062" s="989"/>
      <c r="MUK1062" s="989"/>
      <c r="MUL1062" s="989"/>
      <c r="MUM1062" s="989"/>
      <c r="MUN1062" s="989"/>
      <c r="MUO1062" s="989"/>
      <c r="MUP1062" s="989"/>
      <c r="MUQ1062" s="989"/>
      <c r="MUR1062" s="989"/>
      <c r="MUS1062" s="989"/>
      <c r="MUT1062" s="989"/>
      <c r="MUU1062" s="989"/>
      <c r="MUV1062" s="989"/>
      <c r="MUW1062" s="989"/>
      <c r="MUX1062" s="989"/>
      <c r="MUY1062" s="989"/>
      <c r="MUZ1062" s="989"/>
      <c r="MVA1062" s="989"/>
      <c r="MVB1062" s="989"/>
      <c r="MVC1062" s="989"/>
      <c r="MVD1062" s="989"/>
      <c r="MVE1062" s="989"/>
      <c r="MVF1062" s="989"/>
      <c r="MVG1062" s="989"/>
      <c r="MVH1062" s="989"/>
      <c r="MVI1062" s="989"/>
      <c r="MVJ1062" s="989"/>
      <c r="MVK1062" s="989"/>
      <c r="MVL1062" s="989"/>
      <c r="MVM1062" s="989"/>
      <c r="MVN1062" s="989"/>
      <c r="MVO1062" s="989"/>
      <c r="MVP1062" s="989"/>
      <c r="MVQ1062" s="989"/>
      <c r="MVR1062" s="989"/>
      <c r="MVS1062" s="989"/>
      <c r="MVT1062" s="989"/>
      <c r="MVU1062" s="989"/>
      <c r="MVV1062" s="989"/>
      <c r="MVW1062" s="989"/>
      <c r="MVX1062" s="989"/>
      <c r="MVY1062" s="989"/>
      <c r="MVZ1062" s="989"/>
      <c r="MWA1062" s="989"/>
      <c r="MWB1062" s="989"/>
      <c r="MWC1062" s="989"/>
      <c r="MWD1062" s="989"/>
      <c r="MWE1062" s="989"/>
      <c r="MWF1062" s="989"/>
      <c r="MWG1062" s="989"/>
      <c r="MWH1062" s="989"/>
      <c r="MWI1062" s="989"/>
      <c r="MWJ1062" s="989"/>
      <c r="MWK1062" s="989"/>
      <c r="MWL1062" s="989"/>
      <c r="MWM1062" s="989"/>
      <c r="MWN1062" s="989"/>
      <c r="MWO1062" s="989"/>
      <c r="MWP1062" s="989"/>
      <c r="MWQ1062" s="989"/>
      <c r="MWR1062" s="989"/>
      <c r="MWS1062" s="989"/>
      <c r="MWT1062" s="989"/>
      <c r="MWU1062" s="989"/>
      <c r="MWV1062" s="989"/>
      <c r="MWW1062" s="989"/>
      <c r="MWX1062" s="989"/>
      <c r="MWY1062" s="989"/>
      <c r="MWZ1062" s="989"/>
      <c r="MXA1062" s="989"/>
      <c r="MXB1062" s="989"/>
      <c r="MXC1062" s="989"/>
      <c r="MXD1062" s="989"/>
      <c r="MXE1062" s="989"/>
      <c r="MXF1062" s="989"/>
      <c r="MXG1062" s="989"/>
      <c r="MXH1062" s="989"/>
      <c r="MXI1062" s="989"/>
      <c r="MXJ1062" s="989"/>
      <c r="MXK1062" s="989"/>
      <c r="MXL1062" s="989"/>
      <c r="MXM1062" s="989"/>
      <c r="MXN1062" s="989"/>
      <c r="MXO1062" s="989"/>
      <c r="MXP1062" s="989"/>
      <c r="MXQ1062" s="989"/>
      <c r="MXR1062" s="989"/>
      <c r="MXS1062" s="989"/>
      <c r="MXT1062" s="989"/>
      <c r="MXU1062" s="989"/>
      <c r="MXV1062" s="989"/>
      <c r="MXW1062" s="989"/>
      <c r="MXX1062" s="989"/>
      <c r="MXY1062" s="989"/>
      <c r="MXZ1062" s="989"/>
      <c r="MYA1062" s="989"/>
      <c r="MYB1062" s="989"/>
      <c r="MYC1062" s="989"/>
      <c r="MYD1062" s="989"/>
      <c r="MYE1062" s="989"/>
      <c r="MYF1062" s="989"/>
      <c r="MYG1062" s="989"/>
      <c r="MYH1062" s="989"/>
      <c r="MYI1062" s="989"/>
      <c r="MYJ1062" s="989"/>
      <c r="MYK1062" s="989"/>
      <c r="MYL1062" s="989"/>
      <c r="MYM1062" s="989"/>
      <c r="MYN1062" s="989"/>
      <c r="MYO1062" s="989"/>
      <c r="MYP1062" s="989"/>
      <c r="MYQ1062" s="989"/>
      <c r="MYR1062" s="989"/>
      <c r="MYS1062" s="989"/>
      <c r="MYT1062" s="989"/>
      <c r="MYU1062" s="989"/>
      <c r="MYV1062" s="989"/>
      <c r="MYW1062" s="989"/>
      <c r="MYX1062" s="989"/>
      <c r="MYY1062" s="989"/>
      <c r="MYZ1062" s="989"/>
      <c r="MZA1062" s="989"/>
      <c r="MZB1062" s="989"/>
      <c r="MZC1062" s="989"/>
      <c r="MZD1062" s="989"/>
      <c r="MZE1062" s="989"/>
      <c r="MZF1062" s="989"/>
      <c r="MZG1062" s="989"/>
      <c r="MZH1062" s="989"/>
      <c r="MZI1062" s="989"/>
      <c r="MZJ1062" s="989"/>
      <c r="MZK1062" s="989"/>
      <c r="MZL1062" s="989"/>
      <c r="MZM1062" s="989"/>
      <c r="MZN1062" s="989"/>
      <c r="MZO1062" s="989"/>
      <c r="MZP1062" s="989"/>
      <c r="MZQ1062" s="989"/>
      <c r="MZR1062" s="989"/>
      <c r="MZS1062" s="989"/>
      <c r="MZT1062" s="989"/>
      <c r="MZU1062" s="989"/>
      <c r="MZV1062" s="989"/>
      <c r="MZW1062" s="989"/>
      <c r="MZX1062" s="989"/>
      <c r="MZY1062" s="989"/>
      <c r="MZZ1062" s="989"/>
      <c r="NAA1062" s="989"/>
      <c r="NAB1062" s="989"/>
      <c r="NAC1062" s="989"/>
      <c r="NAD1062" s="989"/>
      <c r="NAE1062" s="989"/>
      <c r="NAF1062" s="989"/>
      <c r="NAG1062" s="989"/>
      <c r="NAH1062" s="989"/>
      <c r="NAI1062" s="989"/>
      <c r="NAJ1062" s="989"/>
      <c r="NAK1062" s="989"/>
      <c r="NAL1062" s="989"/>
      <c r="NAM1062" s="989"/>
      <c r="NAN1062" s="989"/>
      <c r="NAO1062" s="989"/>
      <c r="NAP1062" s="989"/>
      <c r="NAQ1062" s="989"/>
      <c r="NAR1062" s="989"/>
      <c r="NAS1062" s="989"/>
      <c r="NAT1062" s="989"/>
      <c r="NAU1062" s="989"/>
      <c r="NAV1062" s="989"/>
      <c r="NAW1062" s="989"/>
      <c r="NAX1062" s="989"/>
      <c r="NAY1062" s="989"/>
      <c r="NAZ1062" s="989"/>
      <c r="NBA1062" s="989"/>
      <c r="NBB1062" s="989"/>
      <c r="NBC1062" s="989"/>
      <c r="NBD1062" s="989"/>
      <c r="NBE1062" s="989"/>
      <c r="NBF1062" s="989"/>
      <c r="NBG1062" s="989"/>
      <c r="NBH1062" s="989"/>
      <c r="NBI1062" s="989"/>
      <c r="NBJ1062" s="989"/>
      <c r="NBK1062" s="989"/>
      <c r="NBL1062" s="989"/>
      <c r="NBM1062" s="989"/>
      <c r="NBN1062" s="989"/>
      <c r="NBO1062" s="989"/>
      <c r="NBP1062" s="989"/>
      <c r="NBQ1062" s="989"/>
      <c r="NBR1062" s="989"/>
      <c r="NBS1062" s="989"/>
      <c r="NBT1062" s="989"/>
      <c r="NBU1062" s="989"/>
      <c r="NBV1062" s="989"/>
      <c r="NBW1062" s="989"/>
      <c r="NBX1062" s="989"/>
      <c r="NBY1062" s="989"/>
      <c r="NBZ1062" s="989"/>
      <c r="NCA1062" s="989"/>
      <c r="NCB1062" s="989"/>
      <c r="NCC1062" s="989"/>
      <c r="NCD1062" s="989"/>
      <c r="NCE1062" s="989"/>
      <c r="NCF1062" s="989"/>
      <c r="NCG1062" s="989"/>
      <c r="NCH1062" s="989"/>
      <c r="NCI1062" s="989"/>
      <c r="NCJ1062" s="989"/>
      <c r="NCK1062" s="989"/>
      <c r="NCL1062" s="989"/>
      <c r="NCM1062" s="989"/>
      <c r="NCN1062" s="989"/>
      <c r="NCO1062" s="989"/>
      <c r="NCP1062" s="989"/>
      <c r="NCQ1062" s="989"/>
      <c r="NCR1062" s="989"/>
      <c r="NCS1062" s="989"/>
      <c r="NCT1062" s="989"/>
      <c r="NCU1062" s="989"/>
      <c r="NCV1062" s="989"/>
      <c r="NCW1062" s="989"/>
      <c r="NCX1062" s="989"/>
      <c r="NCY1062" s="989"/>
      <c r="NCZ1062" s="989"/>
      <c r="NDA1062" s="989"/>
      <c r="NDB1062" s="989"/>
      <c r="NDC1062" s="989"/>
      <c r="NDD1062" s="989"/>
      <c r="NDE1062" s="989"/>
      <c r="NDF1062" s="989"/>
      <c r="NDG1062" s="989"/>
      <c r="NDH1062" s="989"/>
      <c r="NDI1062" s="989"/>
      <c r="NDJ1062" s="989"/>
      <c r="NDK1062" s="989"/>
      <c r="NDL1062" s="989"/>
      <c r="NDM1062" s="989"/>
      <c r="NDN1062" s="989"/>
      <c r="NDO1062" s="989"/>
      <c r="NDP1062" s="989"/>
      <c r="NDQ1062" s="989"/>
      <c r="NDR1062" s="989"/>
      <c r="NDS1062" s="989"/>
      <c r="NDT1062" s="989"/>
      <c r="NDU1062" s="989"/>
      <c r="NDV1062" s="989"/>
      <c r="NDW1062" s="989"/>
      <c r="NDX1062" s="989"/>
      <c r="NDY1062" s="989"/>
      <c r="NDZ1062" s="989"/>
      <c r="NEA1062" s="989"/>
      <c r="NEB1062" s="989"/>
      <c r="NEC1062" s="989"/>
      <c r="NED1062" s="989"/>
      <c r="NEE1062" s="989"/>
      <c r="NEF1062" s="989"/>
      <c r="NEG1062" s="989"/>
      <c r="NEH1062" s="989"/>
      <c r="NEI1062" s="989"/>
      <c r="NEJ1062" s="989"/>
      <c r="NEK1062" s="989"/>
      <c r="NEL1062" s="989"/>
      <c r="NEM1062" s="989"/>
      <c r="NEN1062" s="989"/>
      <c r="NEO1062" s="989"/>
      <c r="NEP1062" s="989"/>
      <c r="NEQ1062" s="989"/>
      <c r="NER1062" s="989"/>
      <c r="NES1062" s="989"/>
      <c r="NET1062" s="989"/>
      <c r="NEU1062" s="989"/>
      <c r="NEV1062" s="989"/>
      <c r="NEW1062" s="989"/>
      <c r="NEX1062" s="989"/>
      <c r="NEY1062" s="989"/>
      <c r="NEZ1062" s="989"/>
      <c r="NFA1062" s="989"/>
      <c r="NFB1062" s="989"/>
      <c r="NFC1062" s="989"/>
      <c r="NFD1062" s="989"/>
      <c r="NFE1062" s="989"/>
      <c r="NFF1062" s="989"/>
      <c r="NFG1062" s="989"/>
      <c r="NFH1062" s="989"/>
      <c r="NFI1062" s="989"/>
      <c r="NFJ1062" s="989"/>
      <c r="NFK1062" s="989"/>
      <c r="NFL1062" s="989"/>
      <c r="NFM1062" s="989"/>
      <c r="NFN1062" s="989"/>
      <c r="NFO1062" s="989"/>
      <c r="NFP1062" s="989"/>
      <c r="NFQ1062" s="989"/>
      <c r="NFR1062" s="989"/>
      <c r="NFS1062" s="989"/>
      <c r="NFT1062" s="989"/>
      <c r="NFU1062" s="989"/>
      <c r="NFV1062" s="989"/>
      <c r="NFW1062" s="989"/>
      <c r="NFX1062" s="989"/>
      <c r="NFY1062" s="989"/>
      <c r="NFZ1062" s="989"/>
      <c r="NGA1062" s="989"/>
      <c r="NGB1062" s="989"/>
      <c r="NGC1062" s="989"/>
      <c r="NGD1062" s="989"/>
      <c r="NGE1062" s="989"/>
      <c r="NGF1062" s="989"/>
      <c r="NGG1062" s="989"/>
      <c r="NGH1062" s="989"/>
      <c r="NGI1062" s="989"/>
      <c r="NGJ1062" s="989"/>
      <c r="NGK1062" s="989"/>
      <c r="NGL1062" s="989"/>
      <c r="NGM1062" s="989"/>
      <c r="NGN1062" s="989"/>
      <c r="NGO1062" s="989"/>
      <c r="NGP1062" s="989"/>
      <c r="NGQ1062" s="989"/>
      <c r="NGR1062" s="989"/>
      <c r="NGS1062" s="989"/>
      <c r="NGT1062" s="989"/>
      <c r="NGU1062" s="989"/>
      <c r="NGV1062" s="989"/>
      <c r="NGW1062" s="989"/>
      <c r="NGX1062" s="989"/>
      <c r="NGY1062" s="989"/>
      <c r="NGZ1062" s="989"/>
      <c r="NHA1062" s="989"/>
      <c r="NHB1062" s="989"/>
      <c r="NHC1062" s="989"/>
      <c r="NHD1062" s="989"/>
      <c r="NHE1062" s="989"/>
      <c r="NHF1062" s="989"/>
      <c r="NHG1062" s="989"/>
      <c r="NHH1062" s="989"/>
      <c r="NHI1062" s="989"/>
      <c r="NHJ1062" s="989"/>
      <c r="NHK1062" s="989"/>
      <c r="NHL1062" s="989"/>
      <c r="NHM1062" s="989"/>
      <c r="NHN1062" s="989"/>
      <c r="NHO1062" s="989"/>
      <c r="NHP1062" s="989"/>
      <c r="NHQ1062" s="989"/>
      <c r="NHR1062" s="989"/>
      <c r="NHS1062" s="989"/>
      <c r="NHT1062" s="989"/>
      <c r="NHU1062" s="989"/>
      <c r="NHV1062" s="989"/>
      <c r="NHW1062" s="989"/>
      <c r="NHX1062" s="989"/>
      <c r="NHY1062" s="989"/>
      <c r="NHZ1062" s="989"/>
      <c r="NIA1062" s="989"/>
      <c r="NIB1062" s="989"/>
      <c r="NIC1062" s="989"/>
      <c r="NID1062" s="989"/>
      <c r="NIE1062" s="989"/>
      <c r="NIF1062" s="989"/>
      <c r="NIG1062" s="989"/>
      <c r="NIH1062" s="989"/>
      <c r="NII1062" s="989"/>
      <c r="NIJ1062" s="989"/>
      <c r="NIK1062" s="989"/>
      <c r="NIL1062" s="989"/>
      <c r="NIM1062" s="989"/>
      <c r="NIN1062" s="989"/>
      <c r="NIO1062" s="989"/>
      <c r="NIP1062" s="989"/>
      <c r="NIQ1062" s="989"/>
      <c r="NIR1062" s="989"/>
      <c r="NIS1062" s="989"/>
      <c r="NIT1062" s="989"/>
      <c r="NIU1062" s="989"/>
      <c r="NIV1062" s="989"/>
      <c r="NIW1062" s="989"/>
      <c r="NIX1062" s="989"/>
      <c r="NIY1062" s="989"/>
      <c r="NIZ1062" s="989"/>
      <c r="NJA1062" s="989"/>
      <c r="NJB1062" s="989"/>
      <c r="NJC1062" s="989"/>
      <c r="NJD1062" s="989"/>
      <c r="NJE1062" s="989"/>
      <c r="NJF1062" s="989"/>
      <c r="NJG1062" s="989"/>
      <c r="NJH1062" s="989"/>
      <c r="NJI1062" s="989"/>
      <c r="NJJ1062" s="989"/>
      <c r="NJK1062" s="989"/>
      <c r="NJL1062" s="989"/>
      <c r="NJM1062" s="989"/>
      <c r="NJN1062" s="989"/>
      <c r="NJO1062" s="989"/>
      <c r="NJP1062" s="989"/>
      <c r="NJQ1062" s="989"/>
      <c r="NJR1062" s="989"/>
      <c r="NJS1062" s="989"/>
      <c r="NJT1062" s="989"/>
      <c r="NJU1062" s="989"/>
      <c r="NJV1062" s="989"/>
      <c r="NJW1062" s="989"/>
      <c r="NJX1062" s="989"/>
      <c r="NJY1062" s="989"/>
      <c r="NJZ1062" s="989"/>
      <c r="NKA1062" s="989"/>
      <c r="NKB1062" s="989"/>
      <c r="NKC1062" s="989"/>
      <c r="NKD1062" s="989"/>
      <c r="NKE1062" s="989"/>
      <c r="NKF1062" s="989"/>
      <c r="NKG1062" s="989"/>
      <c r="NKH1062" s="989"/>
      <c r="NKI1062" s="989"/>
      <c r="NKJ1062" s="989"/>
      <c r="NKK1062" s="989"/>
      <c r="NKL1062" s="989"/>
      <c r="NKM1062" s="989"/>
      <c r="NKN1062" s="989"/>
      <c r="NKO1062" s="989"/>
      <c r="NKP1062" s="989"/>
      <c r="NKQ1062" s="989"/>
      <c r="NKR1062" s="989"/>
      <c r="NKS1062" s="989"/>
      <c r="NKT1062" s="989"/>
      <c r="NKU1062" s="989"/>
      <c r="NKV1062" s="989"/>
      <c r="NKW1062" s="989"/>
      <c r="NKX1062" s="989"/>
      <c r="NKY1062" s="989"/>
      <c r="NKZ1062" s="989"/>
      <c r="NLA1062" s="989"/>
      <c r="NLB1062" s="989"/>
      <c r="NLC1062" s="989"/>
      <c r="NLD1062" s="989"/>
      <c r="NLE1062" s="989"/>
      <c r="NLF1062" s="989"/>
      <c r="NLG1062" s="989"/>
      <c r="NLH1062" s="989"/>
      <c r="NLI1062" s="989"/>
      <c r="NLJ1062" s="989"/>
      <c r="NLK1062" s="989"/>
      <c r="NLL1062" s="989"/>
      <c r="NLM1062" s="989"/>
      <c r="NLN1062" s="989"/>
      <c r="NLO1062" s="989"/>
      <c r="NLP1062" s="989"/>
      <c r="NLQ1062" s="989"/>
      <c r="NLR1062" s="989"/>
      <c r="NLS1062" s="989"/>
      <c r="NLT1062" s="989"/>
      <c r="NLU1062" s="989"/>
      <c r="NLV1062" s="989"/>
      <c r="NLW1062" s="989"/>
      <c r="NLX1062" s="989"/>
      <c r="NLY1062" s="989"/>
      <c r="NLZ1062" s="989"/>
      <c r="NMA1062" s="989"/>
      <c r="NMB1062" s="989"/>
      <c r="NMC1062" s="989"/>
      <c r="NMD1062" s="989"/>
      <c r="NME1062" s="989"/>
      <c r="NMF1062" s="989"/>
      <c r="NMG1062" s="989"/>
      <c r="NMH1062" s="989"/>
      <c r="NMI1062" s="989"/>
      <c r="NMJ1062" s="989"/>
      <c r="NMK1062" s="989"/>
      <c r="NML1062" s="989"/>
      <c r="NMM1062" s="989"/>
      <c r="NMN1062" s="989"/>
      <c r="NMO1062" s="989"/>
      <c r="NMP1062" s="989"/>
      <c r="NMQ1062" s="989"/>
      <c r="NMR1062" s="989"/>
      <c r="NMS1062" s="989"/>
      <c r="NMT1062" s="989"/>
      <c r="NMU1062" s="989"/>
      <c r="NMV1062" s="989"/>
      <c r="NMW1062" s="989"/>
      <c r="NMX1062" s="989"/>
      <c r="NMY1062" s="989"/>
      <c r="NMZ1062" s="989"/>
      <c r="NNA1062" s="989"/>
      <c r="NNB1062" s="989"/>
      <c r="NNC1062" s="989"/>
      <c r="NND1062" s="989"/>
      <c r="NNE1062" s="989"/>
      <c r="NNF1062" s="989"/>
      <c r="NNG1062" s="989"/>
      <c r="NNH1062" s="989"/>
      <c r="NNI1062" s="989"/>
      <c r="NNJ1062" s="989"/>
      <c r="NNK1062" s="989"/>
      <c r="NNL1062" s="989"/>
      <c r="NNM1062" s="989"/>
      <c r="NNN1062" s="989"/>
      <c r="NNO1062" s="989"/>
      <c r="NNP1062" s="989"/>
      <c r="NNQ1062" s="989"/>
      <c r="NNR1062" s="989"/>
      <c r="NNS1062" s="989"/>
      <c r="NNT1062" s="989"/>
      <c r="NNU1062" s="989"/>
      <c r="NNV1062" s="989"/>
      <c r="NNW1062" s="989"/>
      <c r="NNX1062" s="989"/>
      <c r="NNY1062" s="989"/>
      <c r="NNZ1062" s="989"/>
      <c r="NOA1062" s="989"/>
      <c r="NOB1062" s="989"/>
      <c r="NOC1062" s="989"/>
      <c r="NOD1062" s="989"/>
      <c r="NOE1062" s="989"/>
      <c r="NOF1062" s="989"/>
      <c r="NOG1062" s="989"/>
      <c r="NOH1062" s="989"/>
      <c r="NOI1062" s="989"/>
      <c r="NOJ1062" s="989"/>
      <c r="NOK1062" s="989"/>
      <c r="NOL1062" s="989"/>
      <c r="NOM1062" s="989"/>
      <c r="NON1062" s="989"/>
      <c r="NOO1062" s="989"/>
      <c r="NOP1062" s="989"/>
      <c r="NOQ1062" s="989"/>
      <c r="NOR1062" s="989"/>
      <c r="NOS1062" s="989"/>
      <c r="NOT1062" s="989"/>
      <c r="NOU1062" s="989"/>
      <c r="NOV1062" s="989"/>
      <c r="NOW1062" s="989"/>
      <c r="NOX1062" s="989"/>
      <c r="NOY1062" s="989"/>
      <c r="NOZ1062" s="989"/>
      <c r="NPA1062" s="989"/>
      <c r="NPB1062" s="989"/>
      <c r="NPC1062" s="989"/>
      <c r="NPD1062" s="989"/>
      <c r="NPE1062" s="989"/>
      <c r="NPF1062" s="989"/>
      <c r="NPG1062" s="989"/>
      <c r="NPH1062" s="989"/>
      <c r="NPI1062" s="989"/>
      <c r="NPJ1062" s="989"/>
      <c r="NPK1062" s="989"/>
      <c r="NPL1062" s="989"/>
      <c r="NPM1062" s="989"/>
      <c r="NPN1062" s="989"/>
      <c r="NPO1062" s="989"/>
      <c r="NPP1062" s="989"/>
      <c r="NPQ1062" s="989"/>
      <c r="NPR1062" s="989"/>
      <c r="NPS1062" s="989"/>
      <c r="NPT1062" s="989"/>
      <c r="NPU1062" s="989"/>
      <c r="NPV1062" s="989"/>
      <c r="NPW1062" s="989"/>
      <c r="NPX1062" s="989"/>
      <c r="NPY1062" s="989"/>
      <c r="NPZ1062" s="989"/>
      <c r="NQA1062" s="989"/>
      <c r="NQB1062" s="989"/>
      <c r="NQC1062" s="989"/>
      <c r="NQD1062" s="989"/>
      <c r="NQE1062" s="989"/>
      <c r="NQF1062" s="989"/>
      <c r="NQG1062" s="989"/>
      <c r="NQH1062" s="989"/>
      <c r="NQI1062" s="989"/>
      <c r="NQJ1062" s="989"/>
      <c r="NQK1062" s="989"/>
      <c r="NQL1062" s="989"/>
      <c r="NQM1062" s="989"/>
      <c r="NQN1062" s="989"/>
      <c r="NQO1062" s="989"/>
      <c r="NQP1062" s="989"/>
      <c r="NQQ1062" s="989"/>
      <c r="NQR1062" s="989"/>
      <c r="NQS1062" s="989"/>
      <c r="NQT1062" s="989"/>
      <c r="NQU1062" s="989"/>
      <c r="NQV1062" s="989"/>
      <c r="NQW1062" s="989"/>
      <c r="NQX1062" s="989"/>
      <c r="NQY1062" s="989"/>
      <c r="NQZ1062" s="989"/>
      <c r="NRA1062" s="989"/>
      <c r="NRB1062" s="989"/>
      <c r="NRC1062" s="989"/>
      <c r="NRD1062" s="989"/>
      <c r="NRE1062" s="989"/>
      <c r="NRF1062" s="989"/>
      <c r="NRG1062" s="989"/>
      <c r="NRH1062" s="989"/>
      <c r="NRI1062" s="989"/>
      <c r="NRJ1062" s="989"/>
      <c r="NRK1062" s="989"/>
      <c r="NRL1062" s="989"/>
      <c r="NRM1062" s="989"/>
      <c r="NRN1062" s="989"/>
      <c r="NRO1062" s="989"/>
      <c r="NRP1062" s="989"/>
      <c r="NRQ1062" s="989"/>
      <c r="NRR1062" s="989"/>
      <c r="NRS1062" s="989"/>
      <c r="NRT1062" s="989"/>
      <c r="NRU1062" s="989"/>
      <c r="NRV1062" s="989"/>
      <c r="NRW1062" s="989"/>
      <c r="NRX1062" s="989"/>
      <c r="NRY1062" s="989"/>
      <c r="NRZ1062" s="989"/>
      <c r="NSA1062" s="989"/>
      <c r="NSB1062" s="989"/>
      <c r="NSC1062" s="989"/>
      <c r="NSD1062" s="989"/>
      <c r="NSE1062" s="989"/>
      <c r="NSF1062" s="989"/>
      <c r="NSG1062" s="989"/>
      <c r="NSH1062" s="989"/>
      <c r="NSI1062" s="989"/>
      <c r="NSJ1062" s="989"/>
      <c r="NSK1062" s="989"/>
      <c r="NSL1062" s="989"/>
      <c r="NSM1062" s="989"/>
      <c r="NSN1062" s="989"/>
      <c r="NSO1062" s="989"/>
      <c r="NSP1062" s="989"/>
      <c r="NSQ1062" s="989"/>
      <c r="NSR1062" s="989"/>
      <c r="NSS1062" s="989"/>
      <c r="NST1062" s="989"/>
      <c r="NSU1062" s="989"/>
      <c r="NSV1062" s="989"/>
      <c r="NSW1062" s="989"/>
      <c r="NSX1062" s="989"/>
      <c r="NSY1062" s="989"/>
      <c r="NSZ1062" s="989"/>
      <c r="NTA1062" s="989"/>
      <c r="NTB1062" s="989"/>
      <c r="NTC1062" s="989"/>
      <c r="NTD1062" s="989"/>
      <c r="NTE1062" s="989"/>
      <c r="NTF1062" s="989"/>
      <c r="NTG1062" s="989"/>
      <c r="NTH1062" s="989"/>
      <c r="NTI1062" s="989"/>
      <c r="NTJ1062" s="989"/>
      <c r="NTK1062" s="989"/>
      <c r="NTL1062" s="989"/>
      <c r="NTM1062" s="989"/>
      <c r="NTN1062" s="989"/>
      <c r="NTO1062" s="989"/>
      <c r="NTP1062" s="989"/>
      <c r="NTQ1062" s="989"/>
      <c r="NTR1062" s="989"/>
      <c r="NTS1062" s="989"/>
      <c r="NTT1062" s="989"/>
      <c r="NTU1062" s="989"/>
      <c r="NTV1062" s="989"/>
      <c r="NTW1062" s="989"/>
      <c r="NTX1062" s="989"/>
      <c r="NTY1062" s="989"/>
      <c r="NTZ1062" s="989"/>
      <c r="NUA1062" s="989"/>
      <c r="NUB1062" s="989"/>
      <c r="NUC1062" s="989"/>
      <c r="NUD1062" s="989"/>
      <c r="NUE1062" s="989"/>
      <c r="NUF1062" s="989"/>
      <c r="NUG1062" s="989"/>
      <c r="NUH1062" s="989"/>
      <c r="NUI1062" s="989"/>
      <c r="NUJ1062" s="989"/>
      <c r="NUK1062" s="989"/>
      <c r="NUL1062" s="989"/>
      <c r="NUM1062" s="989"/>
      <c r="NUN1062" s="989"/>
      <c r="NUO1062" s="989"/>
      <c r="NUP1062" s="989"/>
      <c r="NUQ1062" s="989"/>
      <c r="NUR1062" s="989"/>
      <c r="NUS1062" s="989"/>
      <c r="NUT1062" s="989"/>
      <c r="NUU1062" s="989"/>
      <c r="NUV1062" s="989"/>
      <c r="NUW1062" s="989"/>
      <c r="NUX1062" s="989"/>
      <c r="NUY1062" s="989"/>
      <c r="NUZ1062" s="989"/>
      <c r="NVA1062" s="989"/>
      <c r="NVB1062" s="989"/>
      <c r="NVC1062" s="989"/>
      <c r="NVD1062" s="989"/>
      <c r="NVE1062" s="989"/>
      <c r="NVF1062" s="989"/>
      <c r="NVG1062" s="989"/>
      <c r="NVH1062" s="989"/>
      <c r="NVI1062" s="989"/>
      <c r="NVJ1062" s="989"/>
      <c r="NVK1062" s="989"/>
      <c r="NVL1062" s="989"/>
      <c r="NVM1062" s="989"/>
      <c r="NVN1062" s="989"/>
      <c r="NVO1062" s="989"/>
      <c r="NVP1062" s="989"/>
      <c r="NVQ1062" s="989"/>
      <c r="NVR1062" s="989"/>
      <c r="NVS1062" s="989"/>
      <c r="NVT1062" s="989"/>
      <c r="NVU1062" s="989"/>
      <c r="NVV1062" s="989"/>
      <c r="NVW1062" s="989"/>
      <c r="NVX1062" s="989"/>
      <c r="NVY1062" s="989"/>
      <c r="NVZ1062" s="989"/>
      <c r="NWA1062" s="989"/>
      <c r="NWB1062" s="989"/>
      <c r="NWC1062" s="989"/>
      <c r="NWD1062" s="989"/>
      <c r="NWE1062" s="989"/>
      <c r="NWF1062" s="989"/>
      <c r="NWG1062" s="989"/>
      <c r="NWH1062" s="989"/>
      <c r="NWI1062" s="989"/>
      <c r="NWJ1062" s="989"/>
      <c r="NWK1062" s="989"/>
      <c r="NWL1062" s="989"/>
      <c r="NWM1062" s="989"/>
      <c r="NWN1062" s="989"/>
      <c r="NWO1062" s="989"/>
      <c r="NWP1062" s="989"/>
      <c r="NWQ1062" s="989"/>
      <c r="NWR1062" s="989"/>
      <c r="NWS1062" s="989"/>
      <c r="NWT1062" s="989"/>
      <c r="NWU1062" s="989"/>
      <c r="NWV1062" s="989"/>
      <c r="NWW1062" s="989"/>
      <c r="NWX1062" s="989"/>
      <c r="NWY1062" s="989"/>
      <c r="NWZ1062" s="989"/>
      <c r="NXA1062" s="989"/>
      <c r="NXB1062" s="989"/>
      <c r="NXC1062" s="989"/>
      <c r="NXD1062" s="989"/>
      <c r="NXE1062" s="989"/>
      <c r="NXF1062" s="989"/>
      <c r="NXG1062" s="989"/>
      <c r="NXH1062" s="989"/>
      <c r="NXI1062" s="989"/>
      <c r="NXJ1062" s="989"/>
      <c r="NXK1062" s="989"/>
      <c r="NXL1062" s="989"/>
      <c r="NXM1062" s="989"/>
      <c r="NXN1062" s="989"/>
      <c r="NXO1062" s="989"/>
      <c r="NXP1062" s="989"/>
      <c r="NXQ1062" s="989"/>
      <c r="NXR1062" s="989"/>
      <c r="NXS1062" s="989"/>
      <c r="NXT1062" s="989"/>
      <c r="NXU1062" s="989"/>
      <c r="NXV1062" s="989"/>
      <c r="NXW1062" s="989"/>
      <c r="NXX1062" s="989"/>
      <c r="NXY1062" s="989"/>
      <c r="NXZ1062" s="989"/>
      <c r="NYA1062" s="989"/>
      <c r="NYB1062" s="989"/>
      <c r="NYC1062" s="989"/>
      <c r="NYD1062" s="989"/>
      <c r="NYE1062" s="989"/>
      <c r="NYF1062" s="989"/>
      <c r="NYG1062" s="989"/>
      <c r="NYH1062" s="989"/>
      <c r="NYI1062" s="989"/>
      <c r="NYJ1062" s="989"/>
      <c r="NYK1062" s="989"/>
      <c r="NYL1062" s="989"/>
      <c r="NYM1062" s="989"/>
      <c r="NYN1062" s="989"/>
      <c r="NYO1062" s="989"/>
      <c r="NYP1062" s="989"/>
      <c r="NYQ1062" s="989"/>
      <c r="NYR1062" s="989"/>
      <c r="NYS1062" s="989"/>
      <c r="NYT1062" s="989"/>
      <c r="NYU1062" s="989"/>
      <c r="NYV1062" s="989"/>
      <c r="NYW1062" s="989"/>
      <c r="NYX1062" s="989"/>
      <c r="NYY1062" s="989"/>
      <c r="NYZ1062" s="989"/>
      <c r="NZA1062" s="989"/>
      <c r="NZB1062" s="989"/>
      <c r="NZC1062" s="989"/>
      <c r="NZD1062" s="989"/>
      <c r="NZE1062" s="989"/>
      <c r="NZF1062" s="989"/>
      <c r="NZG1062" s="989"/>
      <c r="NZH1062" s="989"/>
      <c r="NZI1062" s="989"/>
      <c r="NZJ1062" s="989"/>
      <c r="NZK1062" s="989"/>
      <c r="NZL1062" s="989"/>
      <c r="NZM1062" s="989"/>
      <c r="NZN1062" s="989"/>
      <c r="NZO1062" s="989"/>
      <c r="NZP1062" s="989"/>
      <c r="NZQ1062" s="989"/>
      <c r="NZR1062" s="989"/>
      <c r="NZS1062" s="989"/>
      <c r="NZT1062" s="989"/>
      <c r="NZU1062" s="989"/>
      <c r="NZV1062" s="989"/>
      <c r="NZW1062" s="989"/>
      <c r="NZX1062" s="989"/>
      <c r="NZY1062" s="989"/>
      <c r="NZZ1062" s="989"/>
      <c r="OAA1062" s="989"/>
      <c r="OAB1062" s="989"/>
      <c r="OAC1062" s="989"/>
      <c r="OAD1062" s="989"/>
      <c r="OAE1062" s="989"/>
      <c r="OAF1062" s="989"/>
      <c r="OAG1062" s="989"/>
      <c r="OAH1062" s="989"/>
      <c r="OAI1062" s="989"/>
      <c r="OAJ1062" s="989"/>
      <c r="OAK1062" s="989"/>
      <c r="OAL1062" s="989"/>
      <c r="OAM1062" s="989"/>
      <c r="OAN1062" s="989"/>
      <c r="OAO1062" s="989"/>
      <c r="OAP1062" s="989"/>
      <c r="OAQ1062" s="989"/>
      <c r="OAR1062" s="989"/>
      <c r="OAS1062" s="989"/>
      <c r="OAT1062" s="989"/>
      <c r="OAU1062" s="989"/>
      <c r="OAV1062" s="989"/>
      <c r="OAW1062" s="989"/>
      <c r="OAX1062" s="989"/>
      <c r="OAY1062" s="989"/>
      <c r="OAZ1062" s="989"/>
      <c r="OBA1062" s="989"/>
      <c r="OBB1062" s="989"/>
      <c r="OBC1062" s="989"/>
      <c r="OBD1062" s="989"/>
      <c r="OBE1062" s="989"/>
      <c r="OBF1062" s="989"/>
      <c r="OBG1062" s="989"/>
      <c r="OBH1062" s="989"/>
      <c r="OBI1062" s="989"/>
      <c r="OBJ1062" s="989"/>
      <c r="OBK1062" s="989"/>
      <c r="OBL1062" s="989"/>
      <c r="OBM1062" s="989"/>
      <c r="OBN1062" s="989"/>
      <c r="OBO1062" s="989"/>
      <c r="OBP1062" s="989"/>
      <c r="OBQ1062" s="989"/>
      <c r="OBR1062" s="989"/>
      <c r="OBS1062" s="989"/>
      <c r="OBT1062" s="989"/>
      <c r="OBU1062" s="989"/>
      <c r="OBV1062" s="989"/>
      <c r="OBW1062" s="989"/>
      <c r="OBX1062" s="989"/>
      <c r="OBY1062" s="989"/>
      <c r="OBZ1062" s="989"/>
      <c r="OCA1062" s="989"/>
      <c r="OCB1062" s="989"/>
      <c r="OCC1062" s="989"/>
      <c r="OCD1062" s="989"/>
      <c r="OCE1062" s="989"/>
      <c r="OCF1062" s="989"/>
      <c r="OCG1062" s="989"/>
      <c r="OCH1062" s="989"/>
      <c r="OCI1062" s="989"/>
      <c r="OCJ1062" s="989"/>
      <c r="OCK1062" s="989"/>
      <c r="OCL1062" s="989"/>
      <c r="OCM1062" s="989"/>
      <c r="OCN1062" s="989"/>
      <c r="OCO1062" s="989"/>
      <c r="OCP1062" s="989"/>
      <c r="OCQ1062" s="989"/>
      <c r="OCR1062" s="989"/>
      <c r="OCS1062" s="989"/>
      <c r="OCT1062" s="989"/>
      <c r="OCU1062" s="989"/>
      <c r="OCV1062" s="989"/>
      <c r="OCW1062" s="989"/>
      <c r="OCX1062" s="989"/>
      <c r="OCY1062" s="989"/>
      <c r="OCZ1062" s="989"/>
      <c r="ODA1062" s="989"/>
      <c r="ODB1062" s="989"/>
      <c r="ODC1062" s="989"/>
      <c r="ODD1062" s="989"/>
      <c r="ODE1062" s="989"/>
      <c r="ODF1062" s="989"/>
      <c r="ODG1062" s="989"/>
      <c r="ODH1062" s="989"/>
      <c r="ODI1062" s="989"/>
      <c r="ODJ1062" s="989"/>
      <c r="ODK1062" s="989"/>
      <c r="ODL1062" s="989"/>
      <c r="ODM1062" s="989"/>
      <c r="ODN1062" s="989"/>
      <c r="ODO1062" s="989"/>
      <c r="ODP1062" s="989"/>
      <c r="ODQ1062" s="989"/>
      <c r="ODR1062" s="989"/>
      <c r="ODS1062" s="989"/>
      <c r="ODT1062" s="989"/>
      <c r="ODU1062" s="989"/>
      <c r="ODV1062" s="989"/>
      <c r="ODW1062" s="989"/>
      <c r="ODX1062" s="989"/>
      <c r="ODY1062" s="989"/>
      <c r="ODZ1062" s="989"/>
      <c r="OEA1062" s="989"/>
      <c r="OEB1062" s="989"/>
      <c r="OEC1062" s="989"/>
      <c r="OED1062" s="989"/>
      <c r="OEE1062" s="989"/>
      <c r="OEF1062" s="989"/>
      <c r="OEG1062" s="989"/>
      <c r="OEH1062" s="989"/>
      <c r="OEI1062" s="989"/>
      <c r="OEJ1062" s="989"/>
      <c r="OEK1062" s="989"/>
      <c r="OEL1062" s="989"/>
      <c r="OEM1062" s="989"/>
      <c r="OEN1062" s="989"/>
      <c r="OEO1062" s="989"/>
      <c r="OEP1062" s="989"/>
      <c r="OEQ1062" s="989"/>
      <c r="OER1062" s="989"/>
      <c r="OES1062" s="989"/>
      <c r="OET1062" s="989"/>
      <c r="OEU1062" s="989"/>
      <c r="OEV1062" s="989"/>
      <c r="OEW1062" s="989"/>
      <c r="OEX1062" s="989"/>
      <c r="OEY1062" s="989"/>
      <c r="OEZ1062" s="989"/>
      <c r="OFA1062" s="989"/>
      <c r="OFB1062" s="989"/>
      <c r="OFC1062" s="989"/>
      <c r="OFD1062" s="989"/>
      <c r="OFE1062" s="989"/>
      <c r="OFF1062" s="989"/>
      <c r="OFG1062" s="989"/>
      <c r="OFH1062" s="989"/>
      <c r="OFI1062" s="989"/>
      <c r="OFJ1062" s="989"/>
      <c r="OFK1062" s="989"/>
      <c r="OFL1062" s="989"/>
      <c r="OFM1062" s="989"/>
      <c r="OFN1062" s="989"/>
      <c r="OFO1062" s="989"/>
      <c r="OFP1062" s="989"/>
      <c r="OFQ1062" s="989"/>
      <c r="OFR1062" s="989"/>
      <c r="OFS1062" s="989"/>
      <c r="OFT1062" s="989"/>
      <c r="OFU1062" s="989"/>
      <c r="OFV1062" s="989"/>
      <c r="OFW1062" s="989"/>
      <c r="OFX1062" s="989"/>
      <c r="OFY1062" s="989"/>
      <c r="OFZ1062" s="989"/>
      <c r="OGA1062" s="989"/>
      <c r="OGB1062" s="989"/>
      <c r="OGC1062" s="989"/>
      <c r="OGD1062" s="989"/>
      <c r="OGE1062" s="989"/>
      <c r="OGF1062" s="989"/>
      <c r="OGG1062" s="989"/>
      <c r="OGH1062" s="989"/>
      <c r="OGI1062" s="989"/>
      <c r="OGJ1062" s="989"/>
      <c r="OGK1062" s="989"/>
      <c r="OGL1062" s="989"/>
      <c r="OGM1062" s="989"/>
      <c r="OGN1062" s="989"/>
      <c r="OGO1062" s="989"/>
      <c r="OGP1062" s="989"/>
      <c r="OGQ1062" s="989"/>
      <c r="OGR1062" s="989"/>
      <c r="OGS1062" s="989"/>
      <c r="OGT1062" s="989"/>
      <c r="OGU1062" s="989"/>
      <c r="OGV1062" s="989"/>
      <c r="OGW1062" s="989"/>
      <c r="OGX1062" s="989"/>
      <c r="OGY1062" s="989"/>
      <c r="OGZ1062" s="989"/>
      <c r="OHA1062" s="989"/>
      <c r="OHB1062" s="989"/>
      <c r="OHC1062" s="989"/>
      <c r="OHD1062" s="989"/>
      <c r="OHE1062" s="989"/>
      <c r="OHF1062" s="989"/>
      <c r="OHG1062" s="989"/>
      <c r="OHH1062" s="989"/>
      <c r="OHI1062" s="989"/>
      <c r="OHJ1062" s="989"/>
      <c r="OHK1062" s="989"/>
      <c r="OHL1062" s="989"/>
      <c r="OHM1062" s="989"/>
      <c r="OHN1062" s="989"/>
      <c r="OHO1062" s="989"/>
      <c r="OHP1062" s="989"/>
      <c r="OHQ1062" s="989"/>
      <c r="OHR1062" s="989"/>
      <c r="OHS1062" s="989"/>
      <c r="OHT1062" s="989"/>
      <c r="OHU1062" s="989"/>
      <c r="OHV1062" s="989"/>
      <c r="OHW1062" s="989"/>
      <c r="OHX1062" s="989"/>
      <c r="OHY1062" s="989"/>
      <c r="OHZ1062" s="989"/>
      <c r="OIA1062" s="989"/>
      <c r="OIB1062" s="989"/>
      <c r="OIC1062" s="989"/>
      <c r="OID1062" s="989"/>
      <c r="OIE1062" s="989"/>
      <c r="OIF1062" s="989"/>
      <c r="OIG1062" s="989"/>
      <c r="OIH1062" s="989"/>
      <c r="OII1062" s="989"/>
      <c r="OIJ1062" s="989"/>
      <c r="OIK1062" s="989"/>
      <c r="OIL1062" s="989"/>
      <c r="OIM1062" s="989"/>
      <c r="OIN1062" s="989"/>
      <c r="OIO1062" s="989"/>
      <c r="OIP1062" s="989"/>
      <c r="OIQ1062" s="989"/>
      <c r="OIR1062" s="989"/>
      <c r="OIS1062" s="989"/>
      <c r="OIT1062" s="989"/>
      <c r="OIU1062" s="989"/>
      <c r="OIV1062" s="989"/>
      <c r="OIW1062" s="989"/>
      <c r="OIX1062" s="989"/>
      <c r="OIY1062" s="989"/>
      <c r="OIZ1062" s="989"/>
      <c r="OJA1062" s="989"/>
      <c r="OJB1062" s="989"/>
      <c r="OJC1062" s="989"/>
      <c r="OJD1062" s="989"/>
      <c r="OJE1062" s="989"/>
      <c r="OJF1062" s="989"/>
      <c r="OJG1062" s="989"/>
      <c r="OJH1062" s="989"/>
      <c r="OJI1062" s="989"/>
      <c r="OJJ1062" s="989"/>
      <c r="OJK1062" s="989"/>
      <c r="OJL1062" s="989"/>
      <c r="OJM1062" s="989"/>
      <c r="OJN1062" s="989"/>
      <c r="OJO1062" s="989"/>
      <c r="OJP1062" s="989"/>
      <c r="OJQ1062" s="989"/>
      <c r="OJR1062" s="989"/>
      <c r="OJS1062" s="989"/>
      <c r="OJT1062" s="989"/>
      <c r="OJU1062" s="989"/>
      <c r="OJV1062" s="989"/>
      <c r="OJW1062" s="989"/>
      <c r="OJX1062" s="989"/>
      <c r="OJY1062" s="989"/>
      <c r="OJZ1062" s="989"/>
      <c r="OKA1062" s="989"/>
      <c r="OKB1062" s="989"/>
      <c r="OKC1062" s="989"/>
      <c r="OKD1062" s="989"/>
      <c r="OKE1062" s="989"/>
      <c r="OKF1062" s="989"/>
      <c r="OKG1062" s="989"/>
      <c r="OKH1062" s="989"/>
      <c r="OKI1062" s="989"/>
      <c r="OKJ1062" s="989"/>
      <c r="OKK1062" s="989"/>
      <c r="OKL1062" s="989"/>
      <c r="OKM1062" s="989"/>
      <c r="OKN1062" s="989"/>
      <c r="OKO1062" s="989"/>
      <c r="OKP1062" s="989"/>
      <c r="OKQ1062" s="989"/>
      <c r="OKR1062" s="989"/>
      <c r="OKS1062" s="989"/>
      <c r="OKT1062" s="989"/>
      <c r="OKU1062" s="989"/>
      <c r="OKV1062" s="989"/>
      <c r="OKW1062" s="989"/>
      <c r="OKX1062" s="989"/>
      <c r="OKY1062" s="989"/>
      <c r="OKZ1062" s="989"/>
      <c r="OLA1062" s="989"/>
      <c r="OLB1062" s="989"/>
      <c r="OLC1062" s="989"/>
      <c r="OLD1062" s="989"/>
      <c r="OLE1062" s="989"/>
      <c r="OLF1062" s="989"/>
      <c r="OLG1062" s="989"/>
      <c r="OLH1062" s="989"/>
      <c r="OLI1062" s="989"/>
      <c r="OLJ1062" s="989"/>
      <c r="OLK1062" s="989"/>
      <c r="OLL1062" s="989"/>
      <c r="OLM1062" s="989"/>
      <c r="OLN1062" s="989"/>
      <c r="OLO1062" s="989"/>
      <c r="OLP1062" s="989"/>
      <c r="OLQ1062" s="989"/>
      <c r="OLR1062" s="989"/>
      <c r="OLS1062" s="989"/>
      <c r="OLT1062" s="989"/>
      <c r="OLU1062" s="989"/>
      <c r="OLV1062" s="989"/>
      <c r="OLW1062" s="989"/>
      <c r="OLX1062" s="989"/>
      <c r="OLY1062" s="989"/>
      <c r="OLZ1062" s="989"/>
      <c r="OMA1062" s="989"/>
      <c r="OMB1062" s="989"/>
      <c r="OMC1062" s="989"/>
      <c r="OMD1062" s="989"/>
      <c r="OME1062" s="989"/>
      <c r="OMF1062" s="989"/>
      <c r="OMG1062" s="989"/>
      <c r="OMH1062" s="989"/>
      <c r="OMI1062" s="989"/>
      <c r="OMJ1062" s="989"/>
      <c r="OMK1062" s="989"/>
      <c r="OML1062" s="989"/>
      <c r="OMM1062" s="989"/>
      <c r="OMN1062" s="989"/>
      <c r="OMO1062" s="989"/>
      <c r="OMP1062" s="989"/>
      <c r="OMQ1062" s="989"/>
      <c r="OMR1062" s="989"/>
      <c r="OMS1062" s="989"/>
      <c r="OMT1062" s="989"/>
      <c r="OMU1062" s="989"/>
      <c r="OMV1062" s="989"/>
      <c r="OMW1062" s="989"/>
      <c r="OMX1062" s="989"/>
      <c r="OMY1062" s="989"/>
      <c r="OMZ1062" s="989"/>
      <c r="ONA1062" s="989"/>
      <c r="ONB1062" s="989"/>
      <c r="ONC1062" s="989"/>
      <c r="OND1062" s="989"/>
      <c r="ONE1062" s="989"/>
      <c r="ONF1062" s="989"/>
      <c r="ONG1062" s="989"/>
      <c r="ONH1062" s="989"/>
      <c r="ONI1062" s="989"/>
      <c r="ONJ1062" s="989"/>
      <c r="ONK1062" s="989"/>
      <c r="ONL1062" s="989"/>
      <c r="ONM1062" s="989"/>
      <c r="ONN1062" s="989"/>
      <c r="ONO1062" s="989"/>
      <c r="ONP1062" s="989"/>
      <c r="ONQ1062" s="989"/>
      <c r="ONR1062" s="989"/>
      <c r="ONS1062" s="989"/>
      <c r="ONT1062" s="989"/>
      <c r="ONU1062" s="989"/>
      <c r="ONV1062" s="989"/>
      <c r="ONW1062" s="989"/>
      <c r="ONX1062" s="989"/>
      <c r="ONY1062" s="989"/>
      <c r="ONZ1062" s="989"/>
      <c r="OOA1062" s="989"/>
      <c r="OOB1062" s="989"/>
      <c r="OOC1062" s="989"/>
      <c r="OOD1062" s="989"/>
      <c r="OOE1062" s="989"/>
      <c r="OOF1062" s="989"/>
      <c r="OOG1062" s="989"/>
      <c r="OOH1062" s="989"/>
      <c r="OOI1062" s="989"/>
      <c r="OOJ1062" s="989"/>
      <c r="OOK1062" s="989"/>
      <c r="OOL1062" s="989"/>
      <c r="OOM1062" s="989"/>
      <c r="OON1062" s="989"/>
      <c r="OOO1062" s="989"/>
      <c r="OOP1062" s="989"/>
      <c r="OOQ1062" s="989"/>
      <c r="OOR1062" s="989"/>
      <c r="OOS1062" s="989"/>
      <c r="OOT1062" s="989"/>
      <c r="OOU1062" s="989"/>
      <c r="OOV1062" s="989"/>
      <c r="OOW1062" s="989"/>
      <c r="OOX1062" s="989"/>
      <c r="OOY1062" s="989"/>
      <c r="OOZ1062" s="989"/>
      <c r="OPA1062" s="989"/>
      <c r="OPB1062" s="989"/>
      <c r="OPC1062" s="989"/>
      <c r="OPD1062" s="989"/>
      <c r="OPE1062" s="989"/>
      <c r="OPF1062" s="989"/>
      <c r="OPG1062" s="989"/>
      <c r="OPH1062" s="989"/>
      <c r="OPI1062" s="989"/>
      <c r="OPJ1062" s="989"/>
      <c r="OPK1062" s="989"/>
      <c r="OPL1062" s="989"/>
      <c r="OPM1062" s="989"/>
      <c r="OPN1062" s="989"/>
      <c r="OPO1062" s="989"/>
      <c r="OPP1062" s="989"/>
      <c r="OPQ1062" s="989"/>
      <c r="OPR1062" s="989"/>
      <c r="OPS1062" s="989"/>
      <c r="OPT1062" s="989"/>
      <c r="OPU1062" s="989"/>
      <c r="OPV1062" s="989"/>
      <c r="OPW1062" s="989"/>
      <c r="OPX1062" s="989"/>
      <c r="OPY1062" s="989"/>
      <c r="OPZ1062" s="989"/>
      <c r="OQA1062" s="989"/>
      <c r="OQB1062" s="989"/>
      <c r="OQC1062" s="989"/>
      <c r="OQD1062" s="989"/>
      <c r="OQE1062" s="989"/>
      <c r="OQF1062" s="989"/>
      <c r="OQG1062" s="989"/>
      <c r="OQH1062" s="989"/>
      <c r="OQI1062" s="989"/>
      <c r="OQJ1062" s="989"/>
      <c r="OQK1062" s="989"/>
      <c r="OQL1062" s="989"/>
      <c r="OQM1062" s="989"/>
      <c r="OQN1062" s="989"/>
      <c r="OQO1062" s="989"/>
      <c r="OQP1062" s="989"/>
      <c r="OQQ1062" s="989"/>
      <c r="OQR1062" s="989"/>
      <c r="OQS1062" s="989"/>
      <c r="OQT1062" s="989"/>
      <c r="OQU1062" s="989"/>
      <c r="OQV1062" s="989"/>
      <c r="OQW1062" s="989"/>
      <c r="OQX1062" s="989"/>
      <c r="OQY1062" s="989"/>
      <c r="OQZ1062" s="989"/>
      <c r="ORA1062" s="989"/>
      <c r="ORB1062" s="989"/>
      <c r="ORC1062" s="989"/>
      <c r="ORD1062" s="989"/>
      <c r="ORE1062" s="989"/>
      <c r="ORF1062" s="989"/>
      <c r="ORG1062" s="989"/>
      <c r="ORH1062" s="989"/>
      <c r="ORI1062" s="989"/>
      <c r="ORJ1062" s="989"/>
      <c r="ORK1062" s="989"/>
      <c r="ORL1062" s="989"/>
      <c r="ORM1062" s="989"/>
      <c r="ORN1062" s="989"/>
      <c r="ORO1062" s="989"/>
      <c r="ORP1062" s="989"/>
      <c r="ORQ1062" s="989"/>
      <c r="ORR1062" s="989"/>
      <c r="ORS1062" s="989"/>
      <c r="ORT1062" s="989"/>
      <c r="ORU1062" s="989"/>
      <c r="ORV1062" s="989"/>
      <c r="ORW1062" s="989"/>
      <c r="ORX1062" s="989"/>
      <c r="ORY1062" s="989"/>
      <c r="ORZ1062" s="989"/>
      <c r="OSA1062" s="989"/>
      <c r="OSB1062" s="989"/>
      <c r="OSC1062" s="989"/>
      <c r="OSD1062" s="989"/>
      <c r="OSE1062" s="989"/>
      <c r="OSF1062" s="989"/>
      <c r="OSG1062" s="989"/>
      <c r="OSH1062" s="989"/>
      <c r="OSI1062" s="989"/>
      <c r="OSJ1062" s="989"/>
      <c r="OSK1062" s="989"/>
      <c r="OSL1062" s="989"/>
      <c r="OSM1062" s="989"/>
      <c r="OSN1062" s="989"/>
      <c r="OSO1062" s="989"/>
      <c r="OSP1062" s="989"/>
      <c r="OSQ1062" s="989"/>
      <c r="OSR1062" s="989"/>
      <c r="OSS1062" s="989"/>
      <c r="OST1062" s="989"/>
      <c r="OSU1062" s="989"/>
      <c r="OSV1062" s="989"/>
      <c r="OSW1062" s="989"/>
      <c r="OSX1062" s="989"/>
      <c r="OSY1062" s="989"/>
      <c r="OSZ1062" s="989"/>
      <c r="OTA1062" s="989"/>
      <c r="OTB1062" s="989"/>
      <c r="OTC1062" s="989"/>
      <c r="OTD1062" s="989"/>
      <c r="OTE1062" s="989"/>
      <c r="OTF1062" s="989"/>
      <c r="OTG1062" s="989"/>
      <c r="OTH1062" s="989"/>
      <c r="OTI1062" s="989"/>
      <c r="OTJ1062" s="989"/>
      <c r="OTK1062" s="989"/>
      <c r="OTL1062" s="989"/>
      <c r="OTM1062" s="989"/>
      <c r="OTN1062" s="989"/>
      <c r="OTO1062" s="989"/>
      <c r="OTP1062" s="989"/>
      <c r="OTQ1062" s="989"/>
      <c r="OTR1062" s="989"/>
      <c r="OTS1062" s="989"/>
      <c r="OTT1062" s="989"/>
      <c r="OTU1062" s="989"/>
      <c r="OTV1062" s="989"/>
      <c r="OTW1062" s="989"/>
      <c r="OTX1062" s="989"/>
      <c r="OTY1062" s="989"/>
      <c r="OTZ1062" s="989"/>
      <c r="OUA1062" s="989"/>
      <c r="OUB1062" s="989"/>
      <c r="OUC1062" s="989"/>
      <c r="OUD1062" s="989"/>
      <c r="OUE1062" s="989"/>
      <c r="OUF1062" s="989"/>
      <c r="OUG1062" s="989"/>
      <c r="OUH1062" s="989"/>
      <c r="OUI1062" s="989"/>
      <c r="OUJ1062" s="989"/>
      <c r="OUK1062" s="989"/>
      <c r="OUL1062" s="989"/>
      <c r="OUM1062" s="989"/>
      <c r="OUN1062" s="989"/>
      <c r="OUO1062" s="989"/>
      <c r="OUP1062" s="989"/>
      <c r="OUQ1062" s="989"/>
      <c r="OUR1062" s="989"/>
      <c r="OUS1062" s="989"/>
      <c r="OUT1062" s="989"/>
      <c r="OUU1062" s="989"/>
      <c r="OUV1062" s="989"/>
      <c r="OUW1062" s="989"/>
      <c r="OUX1062" s="989"/>
      <c r="OUY1062" s="989"/>
      <c r="OUZ1062" s="989"/>
      <c r="OVA1062" s="989"/>
      <c r="OVB1062" s="989"/>
      <c r="OVC1062" s="989"/>
      <c r="OVD1062" s="989"/>
      <c r="OVE1062" s="989"/>
      <c r="OVF1062" s="989"/>
      <c r="OVG1062" s="989"/>
      <c r="OVH1062" s="989"/>
      <c r="OVI1062" s="989"/>
      <c r="OVJ1062" s="989"/>
      <c r="OVK1062" s="989"/>
      <c r="OVL1062" s="989"/>
      <c r="OVM1062" s="989"/>
      <c r="OVN1062" s="989"/>
      <c r="OVO1062" s="989"/>
      <c r="OVP1062" s="989"/>
      <c r="OVQ1062" s="989"/>
      <c r="OVR1062" s="989"/>
      <c r="OVS1062" s="989"/>
      <c r="OVT1062" s="989"/>
      <c r="OVU1062" s="989"/>
      <c r="OVV1062" s="989"/>
      <c r="OVW1062" s="989"/>
      <c r="OVX1062" s="989"/>
      <c r="OVY1062" s="989"/>
      <c r="OVZ1062" s="989"/>
      <c r="OWA1062" s="989"/>
      <c r="OWB1062" s="989"/>
      <c r="OWC1062" s="989"/>
      <c r="OWD1062" s="989"/>
      <c r="OWE1062" s="989"/>
      <c r="OWF1062" s="989"/>
      <c r="OWG1062" s="989"/>
      <c r="OWH1062" s="989"/>
      <c r="OWI1062" s="989"/>
      <c r="OWJ1062" s="989"/>
      <c r="OWK1062" s="989"/>
      <c r="OWL1062" s="989"/>
      <c r="OWM1062" s="989"/>
      <c r="OWN1062" s="989"/>
      <c r="OWO1062" s="989"/>
      <c r="OWP1062" s="989"/>
      <c r="OWQ1062" s="989"/>
      <c r="OWR1062" s="989"/>
      <c r="OWS1062" s="989"/>
      <c r="OWT1062" s="989"/>
      <c r="OWU1062" s="989"/>
      <c r="OWV1062" s="989"/>
      <c r="OWW1062" s="989"/>
      <c r="OWX1062" s="989"/>
      <c r="OWY1062" s="989"/>
      <c r="OWZ1062" s="989"/>
      <c r="OXA1062" s="989"/>
      <c r="OXB1062" s="989"/>
      <c r="OXC1062" s="989"/>
      <c r="OXD1062" s="989"/>
      <c r="OXE1062" s="989"/>
      <c r="OXF1062" s="989"/>
      <c r="OXG1062" s="989"/>
      <c r="OXH1062" s="989"/>
      <c r="OXI1062" s="989"/>
      <c r="OXJ1062" s="989"/>
      <c r="OXK1062" s="989"/>
      <c r="OXL1062" s="989"/>
      <c r="OXM1062" s="989"/>
      <c r="OXN1062" s="989"/>
      <c r="OXO1062" s="989"/>
      <c r="OXP1062" s="989"/>
      <c r="OXQ1062" s="989"/>
      <c r="OXR1062" s="989"/>
      <c r="OXS1062" s="989"/>
      <c r="OXT1062" s="989"/>
      <c r="OXU1062" s="989"/>
      <c r="OXV1062" s="989"/>
      <c r="OXW1062" s="989"/>
      <c r="OXX1062" s="989"/>
      <c r="OXY1062" s="989"/>
      <c r="OXZ1062" s="989"/>
      <c r="OYA1062" s="989"/>
      <c r="OYB1062" s="989"/>
      <c r="OYC1062" s="989"/>
      <c r="OYD1062" s="989"/>
      <c r="OYE1062" s="989"/>
      <c r="OYF1062" s="989"/>
      <c r="OYG1062" s="989"/>
      <c r="OYH1062" s="989"/>
      <c r="OYI1062" s="989"/>
      <c r="OYJ1062" s="989"/>
      <c r="OYK1062" s="989"/>
      <c r="OYL1062" s="989"/>
      <c r="OYM1062" s="989"/>
      <c r="OYN1062" s="989"/>
      <c r="OYO1062" s="989"/>
      <c r="OYP1062" s="989"/>
      <c r="OYQ1062" s="989"/>
      <c r="OYR1062" s="989"/>
      <c r="OYS1062" s="989"/>
      <c r="OYT1062" s="989"/>
      <c r="OYU1062" s="989"/>
      <c r="OYV1062" s="989"/>
      <c r="OYW1062" s="989"/>
      <c r="OYX1062" s="989"/>
      <c r="OYY1062" s="989"/>
      <c r="OYZ1062" s="989"/>
      <c r="OZA1062" s="989"/>
      <c r="OZB1062" s="989"/>
      <c r="OZC1062" s="989"/>
      <c r="OZD1062" s="989"/>
      <c r="OZE1062" s="989"/>
      <c r="OZF1062" s="989"/>
      <c r="OZG1062" s="989"/>
      <c r="OZH1062" s="989"/>
      <c r="OZI1062" s="989"/>
      <c r="OZJ1062" s="989"/>
      <c r="OZK1062" s="989"/>
      <c r="OZL1062" s="989"/>
      <c r="OZM1062" s="989"/>
      <c r="OZN1062" s="989"/>
      <c r="OZO1062" s="989"/>
      <c r="OZP1062" s="989"/>
      <c r="OZQ1062" s="989"/>
      <c r="OZR1062" s="989"/>
      <c r="OZS1062" s="989"/>
      <c r="OZT1062" s="989"/>
      <c r="OZU1062" s="989"/>
      <c r="OZV1062" s="989"/>
      <c r="OZW1062" s="989"/>
      <c r="OZX1062" s="989"/>
      <c r="OZY1062" s="989"/>
      <c r="OZZ1062" s="989"/>
      <c r="PAA1062" s="989"/>
      <c r="PAB1062" s="989"/>
      <c r="PAC1062" s="989"/>
      <c r="PAD1062" s="989"/>
      <c r="PAE1062" s="989"/>
      <c r="PAF1062" s="989"/>
      <c r="PAG1062" s="989"/>
      <c r="PAH1062" s="989"/>
      <c r="PAI1062" s="989"/>
      <c r="PAJ1062" s="989"/>
      <c r="PAK1062" s="989"/>
      <c r="PAL1062" s="989"/>
      <c r="PAM1062" s="989"/>
      <c r="PAN1062" s="989"/>
      <c r="PAO1062" s="989"/>
      <c r="PAP1062" s="989"/>
      <c r="PAQ1062" s="989"/>
      <c r="PAR1062" s="989"/>
      <c r="PAS1062" s="989"/>
      <c r="PAT1062" s="989"/>
      <c r="PAU1062" s="989"/>
      <c r="PAV1062" s="989"/>
      <c r="PAW1062" s="989"/>
      <c r="PAX1062" s="989"/>
      <c r="PAY1062" s="989"/>
      <c r="PAZ1062" s="989"/>
      <c r="PBA1062" s="989"/>
      <c r="PBB1062" s="989"/>
      <c r="PBC1062" s="989"/>
      <c r="PBD1062" s="989"/>
      <c r="PBE1062" s="989"/>
      <c r="PBF1062" s="989"/>
      <c r="PBG1062" s="989"/>
      <c r="PBH1062" s="989"/>
      <c r="PBI1062" s="989"/>
      <c r="PBJ1062" s="989"/>
      <c r="PBK1062" s="989"/>
      <c r="PBL1062" s="989"/>
      <c r="PBM1062" s="989"/>
      <c r="PBN1062" s="989"/>
      <c r="PBO1062" s="989"/>
      <c r="PBP1062" s="989"/>
      <c r="PBQ1062" s="989"/>
      <c r="PBR1062" s="989"/>
      <c r="PBS1062" s="989"/>
      <c r="PBT1062" s="989"/>
      <c r="PBU1062" s="989"/>
      <c r="PBV1062" s="989"/>
      <c r="PBW1062" s="989"/>
      <c r="PBX1062" s="989"/>
      <c r="PBY1062" s="989"/>
      <c r="PBZ1062" s="989"/>
      <c r="PCA1062" s="989"/>
      <c r="PCB1062" s="989"/>
      <c r="PCC1062" s="989"/>
      <c r="PCD1062" s="989"/>
      <c r="PCE1062" s="989"/>
      <c r="PCF1062" s="989"/>
      <c r="PCG1062" s="989"/>
      <c r="PCH1062" s="989"/>
      <c r="PCI1062" s="989"/>
      <c r="PCJ1062" s="989"/>
      <c r="PCK1062" s="989"/>
      <c r="PCL1062" s="989"/>
      <c r="PCM1062" s="989"/>
      <c r="PCN1062" s="989"/>
      <c r="PCO1062" s="989"/>
      <c r="PCP1062" s="989"/>
      <c r="PCQ1062" s="989"/>
      <c r="PCR1062" s="989"/>
      <c r="PCS1062" s="989"/>
      <c r="PCT1062" s="989"/>
      <c r="PCU1062" s="989"/>
      <c r="PCV1062" s="989"/>
      <c r="PCW1062" s="989"/>
      <c r="PCX1062" s="989"/>
      <c r="PCY1062" s="989"/>
      <c r="PCZ1062" s="989"/>
      <c r="PDA1062" s="989"/>
      <c r="PDB1062" s="989"/>
      <c r="PDC1062" s="989"/>
      <c r="PDD1062" s="989"/>
      <c r="PDE1062" s="989"/>
      <c r="PDF1062" s="989"/>
      <c r="PDG1062" s="989"/>
      <c r="PDH1062" s="989"/>
      <c r="PDI1062" s="989"/>
      <c r="PDJ1062" s="989"/>
      <c r="PDK1062" s="989"/>
      <c r="PDL1062" s="989"/>
      <c r="PDM1062" s="989"/>
      <c r="PDN1062" s="989"/>
      <c r="PDO1062" s="989"/>
      <c r="PDP1062" s="989"/>
      <c r="PDQ1062" s="989"/>
      <c r="PDR1062" s="989"/>
      <c r="PDS1062" s="989"/>
      <c r="PDT1062" s="989"/>
      <c r="PDU1062" s="989"/>
      <c r="PDV1062" s="989"/>
      <c r="PDW1062" s="989"/>
      <c r="PDX1062" s="989"/>
      <c r="PDY1062" s="989"/>
      <c r="PDZ1062" s="989"/>
      <c r="PEA1062" s="989"/>
      <c r="PEB1062" s="989"/>
      <c r="PEC1062" s="989"/>
      <c r="PED1062" s="989"/>
      <c r="PEE1062" s="989"/>
      <c r="PEF1062" s="989"/>
      <c r="PEG1062" s="989"/>
      <c r="PEH1062" s="989"/>
      <c r="PEI1062" s="989"/>
      <c r="PEJ1062" s="989"/>
      <c r="PEK1062" s="989"/>
      <c r="PEL1062" s="989"/>
      <c r="PEM1062" s="989"/>
      <c r="PEN1062" s="989"/>
      <c r="PEO1062" s="989"/>
      <c r="PEP1062" s="989"/>
      <c r="PEQ1062" s="989"/>
      <c r="PER1062" s="989"/>
      <c r="PES1062" s="989"/>
      <c r="PET1062" s="989"/>
      <c r="PEU1062" s="989"/>
      <c r="PEV1062" s="989"/>
      <c r="PEW1062" s="989"/>
      <c r="PEX1062" s="989"/>
      <c r="PEY1062" s="989"/>
      <c r="PEZ1062" s="989"/>
      <c r="PFA1062" s="989"/>
      <c r="PFB1062" s="989"/>
      <c r="PFC1062" s="989"/>
      <c r="PFD1062" s="989"/>
      <c r="PFE1062" s="989"/>
      <c r="PFF1062" s="989"/>
      <c r="PFG1062" s="989"/>
      <c r="PFH1062" s="989"/>
      <c r="PFI1062" s="989"/>
      <c r="PFJ1062" s="989"/>
      <c r="PFK1062" s="989"/>
      <c r="PFL1062" s="989"/>
      <c r="PFM1062" s="989"/>
      <c r="PFN1062" s="989"/>
      <c r="PFO1062" s="989"/>
      <c r="PFP1062" s="989"/>
      <c r="PFQ1062" s="989"/>
      <c r="PFR1062" s="989"/>
      <c r="PFS1062" s="989"/>
      <c r="PFT1062" s="989"/>
      <c r="PFU1062" s="989"/>
      <c r="PFV1062" s="989"/>
      <c r="PFW1062" s="989"/>
      <c r="PFX1062" s="989"/>
      <c r="PFY1062" s="989"/>
      <c r="PFZ1062" s="989"/>
      <c r="PGA1062" s="989"/>
      <c r="PGB1062" s="989"/>
      <c r="PGC1062" s="989"/>
      <c r="PGD1062" s="989"/>
      <c r="PGE1062" s="989"/>
      <c r="PGF1062" s="989"/>
      <c r="PGG1062" s="989"/>
      <c r="PGH1062" s="989"/>
      <c r="PGI1062" s="989"/>
      <c r="PGJ1062" s="989"/>
      <c r="PGK1062" s="989"/>
      <c r="PGL1062" s="989"/>
      <c r="PGM1062" s="989"/>
      <c r="PGN1062" s="989"/>
      <c r="PGO1062" s="989"/>
      <c r="PGP1062" s="989"/>
      <c r="PGQ1062" s="989"/>
      <c r="PGR1062" s="989"/>
      <c r="PGS1062" s="989"/>
      <c r="PGT1062" s="989"/>
      <c r="PGU1062" s="989"/>
      <c r="PGV1062" s="989"/>
      <c r="PGW1062" s="989"/>
      <c r="PGX1062" s="989"/>
      <c r="PGY1062" s="989"/>
      <c r="PGZ1062" s="989"/>
      <c r="PHA1062" s="989"/>
      <c r="PHB1062" s="989"/>
      <c r="PHC1062" s="989"/>
      <c r="PHD1062" s="989"/>
      <c r="PHE1062" s="989"/>
      <c r="PHF1062" s="989"/>
      <c r="PHG1062" s="989"/>
      <c r="PHH1062" s="989"/>
      <c r="PHI1062" s="989"/>
      <c r="PHJ1062" s="989"/>
      <c r="PHK1062" s="989"/>
      <c r="PHL1062" s="989"/>
      <c r="PHM1062" s="989"/>
      <c r="PHN1062" s="989"/>
      <c r="PHO1062" s="989"/>
      <c r="PHP1062" s="989"/>
      <c r="PHQ1062" s="989"/>
      <c r="PHR1062" s="989"/>
      <c r="PHS1062" s="989"/>
      <c r="PHT1062" s="989"/>
      <c r="PHU1062" s="989"/>
      <c r="PHV1062" s="989"/>
      <c r="PHW1062" s="989"/>
      <c r="PHX1062" s="989"/>
      <c r="PHY1062" s="989"/>
      <c r="PHZ1062" s="989"/>
      <c r="PIA1062" s="989"/>
      <c r="PIB1062" s="989"/>
      <c r="PIC1062" s="989"/>
      <c r="PID1062" s="989"/>
      <c r="PIE1062" s="989"/>
      <c r="PIF1062" s="989"/>
      <c r="PIG1062" s="989"/>
      <c r="PIH1062" s="989"/>
      <c r="PII1062" s="989"/>
      <c r="PIJ1062" s="989"/>
      <c r="PIK1062" s="989"/>
      <c r="PIL1062" s="989"/>
      <c r="PIM1062" s="989"/>
      <c r="PIN1062" s="989"/>
      <c r="PIO1062" s="989"/>
      <c r="PIP1062" s="989"/>
      <c r="PIQ1062" s="989"/>
      <c r="PIR1062" s="989"/>
      <c r="PIS1062" s="989"/>
      <c r="PIT1062" s="989"/>
      <c r="PIU1062" s="989"/>
      <c r="PIV1062" s="989"/>
      <c r="PIW1062" s="989"/>
      <c r="PIX1062" s="989"/>
      <c r="PIY1062" s="989"/>
      <c r="PIZ1062" s="989"/>
      <c r="PJA1062" s="989"/>
      <c r="PJB1062" s="989"/>
      <c r="PJC1062" s="989"/>
      <c r="PJD1062" s="989"/>
      <c r="PJE1062" s="989"/>
      <c r="PJF1062" s="989"/>
      <c r="PJG1062" s="989"/>
      <c r="PJH1062" s="989"/>
      <c r="PJI1062" s="989"/>
      <c r="PJJ1062" s="989"/>
      <c r="PJK1062" s="989"/>
      <c r="PJL1062" s="989"/>
      <c r="PJM1062" s="989"/>
      <c r="PJN1062" s="989"/>
      <c r="PJO1062" s="989"/>
      <c r="PJP1062" s="989"/>
      <c r="PJQ1062" s="989"/>
      <c r="PJR1062" s="989"/>
      <c r="PJS1062" s="989"/>
      <c r="PJT1062" s="989"/>
      <c r="PJU1062" s="989"/>
      <c r="PJV1062" s="989"/>
      <c r="PJW1062" s="989"/>
      <c r="PJX1062" s="989"/>
      <c r="PJY1062" s="989"/>
      <c r="PJZ1062" s="989"/>
      <c r="PKA1062" s="989"/>
      <c r="PKB1062" s="989"/>
      <c r="PKC1062" s="989"/>
      <c r="PKD1062" s="989"/>
      <c r="PKE1062" s="989"/>
      <c r="PKF1062" s="989"/>
      <c r="PKG1062" s="989"/>
      <c r="PKH1062" s="989"/>
      <c r="PKI1062" s="989"/>
      <c r="PKJ1062" s="989"/>
      <c r="PKK1062" s="989"/>
      <c r="PKL1062" s="989"/>
      <c r="PKM1062" s="989"/>
      <c r="PKN1062" s="989"/>
      <c r="PKO1062" s="989"/>
      <c r="PKP1062" s="989"/>
      <c r="PKQ1062" s="989"/>
      <c r="PKR1062" s="989"/>
      <c r="PKS1062" s="989"/>
      <c r="PKT1062" s="989"/>
      <c r="PKU1062" s="989"/>
      <c r="PKV1062" s="989"/>
      <c r="PKW1062" s="989"/>
      <c r="PKX1062" s="989"/>
      <c r="PKY1062" s="989"/>
      <c r="PKZ1062" s="989"/>
      <c r="PLA1062" s="989"/>
      <c r="PLB1062" s="989"/>
      <c r="PLC1062" s="989"/>
      <c r="PLD1062" s="989"/>
      <c r="PLE1062" s="989"/>
      <c r="PLF1062" s="989"/>
      <c r="PLG1062" s="989"/>
      <c r="PLH1062" s="989"/>
      <c r="PLI1062" s="989"/>
      <c r="PLJ1062" s="989"/>
      <c r="PLK1062" s="989"/>
      <c r="PLL1062" s="989"/>
      <c r="PLM1062" s="989"/>
      <c r="PLN1062" s="989"/>
      <c r="PLO1062" s="989"/>
      <c r="PLP1062" s="989"/>
      <c r="PLQ1062" s="989"/>
      <c r="PLR1062" s="989"/>
      <c r="PLS1062" s="989"/>
      <c r="PLT1062" s="989"/>
      <c r="PLU1062" s="989"/>
      <c r="PLV1062" s="989"/>
      <c r="PLW1062" s="989"/>
      <c r="PLX1062" s="989"/>
      <c r="PLY1062" s="989"/>
      <c r="PLZ1062" s="989"/>
      <c r="PMA1062" s="989"/>
      <c r="PMB1062" s="989"/>
      <c r="PMC1062" s="989"/>
      <c r="PMD1062" s="989"/>
      <c r="PME1062" s="989"/>
      <c r="PMF1062" s="989"/>
      <c r="PMG1062" s="989"/>
      <c r="PMH1062" s="989"/>
      <c r="PMI1062" s="989"/>
      <c r="PMJ1062" s="989"/>
      <c r="PMK1062" s="989"/>
      <c r="PML1062" s="989"/>
      <c r="PMM1062" s="989"/>
      <c r="PMN1062" s="989"/>
      <c r="PMO1062" s="989"/>
      <c r="PMP1062" s="989"/>
      <c r="PMQ1062" s="989"/>
      <c r="PMR1062" s="989"/>
      <c r="PMS1062" s="989"/>
      <c r="PMT1062" s="989"/>
      <c r="PMU1062" s="989"/>
      <c r="PMV1062" s="989"/>
      <c r="PMW1062" s="989"/>
      <c r="PMX1062" s="989"/>
      <c r="PMY1062" s="989"/>
      <c r="PMZ1062" s="989"/>
      <c r="PNA1062" s="989"/>
      <c r="PNB1062" s="989"/>
      <c r="PNC1062" s="989"/>
      <c r="PND1062" s="989"/>
      <c r="PNE1062" s="989"/>
      <c r="PNF1062" s="989"/>
      <c r="PNG1062" s="989"/>
      <c r="PNH1062" s="989"/>
      <c r="PNI1062" s="989"/>
      <c r="PNJ1062" s="989"/>
      <c r="PNK1062" s="989"/>
      <c r="PNL1062" s="989"/>
      <c r="PNM1062" s="989"/>
      <c r="PNN1062" s="989"/>
      <c r="PNO1062" s="989"/>
      <c r="PNP1062" s="989"/>
      <c r="PNQ1062" s="989"/>
      <c r="PNR1062" s="989"/>
      <c r="PNS1062" s="989"/>
      <c r="PNT1062" s="989"/>
      <c r="PNU1062" s="989"/>
      <c r="PNV1062" s="989"/>
      <c r="PNW1062" s="989"/>
      <c r="PNX1062" s="989"/>
      <c r="PNY1062" s="989"/>
      <c r="PNZ1062" s="989"/>
      <c r="POA1062" s="989"/>
      <c r="POB1062" s="989"/>
      <c r="POC1062" s="989"/>
      <c r="POD1062" s="989"/>
      <c r="POE1062" s="989"/>
      <c r="POF1062" s="989"/>
      <c r="POG1062" s="989"/>
      <c r="POH1062" s="989"/>
      <c r="POI1062" s="989"/>
      <c r="POJ1062" s="989"/>
      <c r="POK1062" s="989"/>
      <c r="POL1062" s="989"/>
      <c r="POM1062" s="989"/>
      <c r="PON1062" s="989"/>
      <c r="POO1062" s="989"/>
      <c r="POP1062" s="989"/>
      <c r="POQ1062" s="989"/>
      <c r="POR1062" s="989"/>
      <c r="POS1062" s="989"/>
      <c r="POT1062" s="989"/>
      <c r="POU1062" s="989"/>
      <c r="POV1062" s="989"/>
      <c r="POW1062" s="989"/>
      <c r="POX1062" s="989"/>
      <c r="POY1062" s="989"/>
      <c r="POZ1062" s="989"/>
      <c r="PPA1062" s="989"/>
      <c r="PPB1062" s="989"/>
      <c r="PPC1062" s="989"/>
      <c r="PPD1062" s="989"/>
      <c r="PPE1062" s="989"/>
      <c r="PPF1062" s="989"/>
      <c r="PPG1062" s="989"/>
      <c r="PPH1062" s="989"/>
      <c r="PPI1062" s="989"/>
      <c r="PPJ1062" s="989"/>
      <c r="PPK1062" s="989"/>
      <c r="PPL1062" s="989"/>
      <c r="PPM1062" s="989"/>
      <c r="PPN1062" s="989"/>
      <c r="PPO1062" s="989"/>
      <c r="PPP1062" s="989"/>
      <c r="PPQ1062" s="989"/>
      <c r="PPR1062" s="989"/>
      <c r="PPS1062" s="989"/>
      <c r="PPT1062" s="989"/>
      <c r="PPU1062" s="989"/>
      <c r="PPV1062" s="989"/>
      <c r="PPW1062" s="989"/>
      <c r="PPX1062" s="989"/>
      <c r="PPY1062" s="989"/>
      <c r="PPZ1062" s="989"/>
      <c r="PQA1062" s="989"/>
      <c r="PQB1062" s="989"/>
      <c r="PQC1062" s="989"/>
      <c r="PQD1062" s="989"/>
      <c r="PQE1062" s="989"/>
      <c r="PQF1062" s="989"/>
      <c r="PQG1062" s="989"/>
      <c r="PQH1062" s="989"/>
      <c r="PQI1062" s="989"/>
      <c r="PQJ1062" s="989"/>
      <c r="PQK1062" s="989"/>
      <c r="PQL1062" s="989"/>
      <c r="PQM1062" s="989"/>
      <c r="PQN1062" s="989"/>
      <c r="PQO1062" s="989"/>
      <c r="PQP1062" s="989"/>
      <c r="PQQ1062" s="989"/>
      <c r="PQR1062" s="989"/>
      <c r="PQS1062" s="989"/>
      <c r="PQT1062" s="989"/>
      <c r="PQU1062" s="989"/>
      <c r="PQV1062" s="989"/>
      <c r="PQW1062" s="989"/>
      <c r="PQX1062" s="989"/>
      <c r="PQY1062" s="989"/>
      <c r="PQZ1062" s="989"/>
      <c r="PRA1062" s="989"/>
      <c r="PRB1062" s="989"/>
      <c r="PRC1062" s="989"/>
      <c r="PRD1062" s="989"/>
      <c r="PRE1062" s="989"/>
      <c r="PRF1062" s="989"/>
      <c r="PRG1062" s="989"/>
      <c r="PRH1062" s="989"/>
      <c r="PRI1062" s="989"/>
      <c r="PRJ1062" s="989"/>
      <c r="PRK1062" s="989"/>
      <c r="PRL1062" s="989"/>
      <c r="PRM1062" s="989"/>
      <c r="PRN1062" s="989"/>
      <c r="PRO1062" s="989"/>
      <c r="PRP1062" s="989"/>
      <c r="PRQ1062" s="989"/>
      <c r="PRR1062" s="989"/>
      <c r="PRS1062" s="989"/>
      <c r="PRT1062" s="989"/>
      <c r="PRU1062" s="989"/>
      <c r="PRV1062" s="989"/>
      <c r="PRW1062" s="989"/>
      <c r="PRX1062" s="989"/>
      <c r="PRY1062" s="989"/>
      <c r="PRZ1062" s="989"/>
      <c r="PSA1062" s="989"/>
      <c r="PSB1062" s="989"/>
      <c r="PSC1062" s="989"/>
      <c r="PSD1062" s="989"/>
      <c r="PSE1062" s="989"/>
      <c r="PSF1062" s="989"/>
      <c r="PSG1062" s="989"/>
      <c r="PSH1062" s="989"/>
      <c r="PSI1062" s="989"/>
      <c r="PSJ1062" s="989"/>
      <c r="PSK1062" s="989"/>
      <c r="PSL1062" s="989"/>
      <c r="PSM1062" s="989"/>
      <c r="PSN1062" s="989"/>
      <c r="PSO1062" s="989"/>
      <c r="PSP1062" s="989"/>
      <c r="PSQ1062" s="989"/>
      <c r="PSR1062" s="989"/>
      <c r="PSS1062" s="989"/>
      <c r="PST1062" s="989"/>
      <c r="PSU1062" s="989"/>
      <c r="PSV1062" s="989"/>
      <c r="PSW1062" s="989"/>
      <c r="PSX1062" s="989"/>
      <c r="PSY1062" s="989"/>
      <c r="PSZ1062" s="989"/>
      <c r="PTA1062" s="989"/>
      <c r="PTB1062" s="989"/>
      <c r="PTC1062" s="989"/>
      <c r="PTD1062" s="989"/>
      <c r="PTE1062" s="989"/>
      <c r="PTF1062" s="989"/>
      <c r="PTG1062" s="989"/>
      <c r="PTH1062" s="989"/>
      <c r="PTI1062" s="989"/>
      <c r="PTJ1062" s="989"/>
      <c r="PTK1062" s="989"/>
      <c r="PTL1062" s="989"/>
      <c r="PTM1062" s="989"/>
      <c r="PTN1062" s="989"/>
      <c r="PTO1062" s="989"/>
      <c r="PTP1062" s="989"/>
      <c r="PTQ1062" s="989"/>
      <c r="PTR1062" s="989"/>
      <c r="PTS1062" s="989"/>
      <c r="PTT1062" s="989"/>
      <c r="PTU1062" s="989"/>
      <c r="PTV1062" s="989"/>
      <c r="PTW1062" s="989"/>
      <c r="PTX1062" s="989"/>
      <c r="PTY1062" s="989"/>
      <c r="PTZ1062" s="989"/>
      <c r="PUA1062" s="989"/>
      <c r="PUB1062" s="989"/>
      <c r="PUC1062" s="989"/>
      <c r="PUD1062" s="989"/>
      <c r="PUE1062" s="989"/>
      <c r="PUF1062" s="989"/>
      <c r="PUG1062" s="989"/>
      <c r="PUH1062" s="989"/>
      <c r="PUI1062" s="989"/>
      <c r="PUJ1062" s="989"/>
      <c r="PUK1062" s="989"/>
      <c r="PUL1062" s="989"/>
      <c r="PUM1062" s="989"/>
      <c r="PUN1062" s="989"/>
      <c r="PUO1062" s="989"/>
      <c r="PUP1062" s="989"/>
      <c r="PUQ1062" s="989"/>
      <c r="PUR1062" s="989"/>
      <c r="PUS1062" s="989"/>
      <c r="PUT1062" s="989"/>
      <c r="PUU1062" s="989"/>
      <c r="PUV1062" s="989"/>
      <c r="PUW1062" s="989"/>
      <c r="PUX1062" s="989"/>
      <c r="PUY1062" s="989"/>
      <c r="PUZ1062" s="989"/>
      <c r="PVA1062" s="989"/>
      <c r="PVB1062" s="989"/>
      <c r="PVC1062" s="989"/>
      <c r="PVD1062" s="989"/>
      <c r="PVE1062" s="989"/>
      <c r="PVF1062" s="989"/>
      <c r="PVG1062" s="989"/>
      <c r="PVH1062" s="989"/>
      <c r="PVI1062" s="989"/>
      <c r="PVJ1062" s="989"/>
      <c r="PVK1062" s="989"/>
      <c r="PVL1062" s="989"/>
      <c r="PVM1062" s="989"/>
      <c r="PVN1062" s="989"/>
      <c r="PVO1062" s="989"/>
      <c r="PVP1062" s="989"/>
      <c r="PVQ1062" s="989"/>
      <c r="PVR1062" s="989"/>
      <c r="PVS1062" s="989"/>
      <c r="PVT1062" s="989"/>
      <c r="PVU1062" s="989"/>
      <c r="PVV1062" s="989"/>
      <c r="PVW1062" s="989"/>
      <c r="PVX1062" s="989"/>
      <c r="PVY1062" s="989"/>
      <c r="PVZ1062" s="989"/>
      <c r="PWA1062" s="989"/>
      <c r="PWB1062" s="989"/>
      <c r="PWC1062" s="989"/>
      <c r="PWD1062" s="989"/>
      <c r="PWE1062" s="989"/>
      <c r="PWF1062" s="989"/>
      <c r="PWG1062" s="989"/>
      <c r="PWH1062" s="989"/>
      <c r="PWI1062" s="989"/>
      <c r="PWJ1062" s="989"/>
      <c r="PWK1062" s="989"/>
      <c r="PWL1062" s="989"/>
      <c r="PWM1062" s="989"/>
      <c r="PWN1062" s="989"/>
      <c r="PWO1062" s="989"/>
      <c r="PWP1062" s="989"/>
      <c r="PWQ1062" s="989"/>
      <c r="PWR1062" s="989"/>
      <c r="PWS1062" s="989"/>
      <c r="PWT1062" s="989"/>
      <c r="PWU1062" s="989"/>
      <c r="PWV1062" s="989"/>
      <c r="PWW1062" s="989"/>
      <c r="PWX1062" s="989"/>
      <c r="PWY1062" s="989"/>
      <c r="PWZ1062" s="989"/>
      <c r="PXA1062" s="989"/>
      <c r="PXB1062" s="989"/>
      <c r="PXC1062" s="989"/>
      <c r="PXD1062" s="989"/>
      <c r="PXE1062" s="989"/>
      <c r="PXF1062" s="989"/>
      <c r="PXG1062" s="989"/>
      <c r="PXH1062" s="989"/>
      <c r="PXI1062" s="989"/>
      <c r="PXJ1062" s="989"/>
      <c r="PXK1062" s="989"/>
      <c r="PXL1062" s="989"/>
      <c r="PXM1062" s="989"/>
      <c r="PXN1062" s="989"/>
      <c r="PXO1062" s="989"/>
      <c r="PXP1062" s="989"/>
      <c r="PXQ1062" s="989"/>
      <c r="PXR1062" s="989"/>
      <c r="PXS1062" s="989"/>
      <c r="PXT1062" s="989"/>
      <c r="PXU1062" s="989"/>
      <c r="PXV1062" s="989"/>
      <c r="PXW1062" s="989"/>
      <c r="PXX1062" s="989"/>
      <c r="PXY1062" s="989"/>
      <c r="PXZ1062" s="989"/>
      <c r="PYA1062" s="989"/>
      <c r="PYB1062" s="989"/>
      <c r="PYC1062" s="989"/>
      <c r="PYD1062" s="989"/>
      <c r="PYE1062" s="989"/>
      <c r="PYF1062" s="989"/>
      <c r="PYG1062" s="989"/>
      <c r="PYH1062" s="989"/>
      <c r="PYI1062" s="989"/>
      <c r="PYJ1062" s="989"/>
      <c r="PYK1062" s="989"/>
      <c r="PYL1062" s="989"/>
      <c r="PYM1062" s="989"/>
      <c r="PYN1062" s="989"/>
      <c r="PYO1062" s="989"/>
      <c r="PYP1062" s="989"/>
      <c r="PYQ1062" s="989"/>
      <c r="PYR1062" s="989"/>
      <c r="PYS1062" s="989"/>
      <c r="PYT1062" s="989"/>
      <c r="PYU1062" s="989"/>
      <c r="PYV1062" s="989"/>
      <c r="PYW1062" s="989"/>
      <c r="PYX1062" s="989"/>
      <c r="PYY1062" s="989"/>
      <c r="PYZ1062" s="989"/>
      <c r="PZA1062" s="989"/>
      <c r="PZB1062" s="989"/>
      <c r="PZC1062" s="989"/>
      <c r="PZD1062" s="989"/>
      <c r="PZE1062" s="989"/>
      <c r="PZF1062" s="989"/>
      <c r="PZG1062" s="989"/>
      <c r="PZH1062" s="989"/>
      <c r="PZI1062" s="989"/>
      <c r="PZJ1062" s="989"/>
      <c r="PZK1062" s="989"/>
      <c r="PZL1062" s="989"/>
      <c r="PZM1062" s="989"/>
      <c r="PZN1062" s="989"/>
      <c r="PZO1062" s="989"/>
      <c r="PZP1062" s="989"/>
      <c r="PZQ1062" s="989"/>
      <c r="PZR1062" s="989"/>
      <c r="PZS1062" s="989"/>
      <c r="PZT1062" s="989"/>
      <c r="PZU1062" s="989"/>
      <c r="PZV1062" s="989"/>
      <c r="PZW1062" s="989"/>
      <c r="PZX1062" s="989"/>
      <c r="PZY1062" s="989"/>
      <c r="PZZ1062" s="989"/>
      <c r="QAA1062" s="989"/>
      <c r="QAB1062" s="989"/>
      <c r="QAC1062" s="989"/>
      <c r="QAD1062" s="989"/>
      <c r="QAE1062" s="989"/>
      <c r="QAF1062" s="989"/>
      <c r="QAG1062" s="989"/>
      <c r="QAH1062" s="989"/>
      <c r="QAI1062" s="989"/>
      <c r="QAJ1062" s="989"/>
      <c r="QAK1062" s="989"/>
      <c r="QAL1062" s="989"/>
      <c r="QAM1062" s="989"/>
      <c r="QAN1062" s="989"/>
      <c r="QAO1062" s="989"/>
      <c r="QAP1062" s="989"/>
      <c r="QAQ1062" s="989"/>
      <c r="QAR1062" s="989"/>
      <c r="QAS1062" s="989"/>
      <c r="QAT1062" s="989"/>
      <c r="QAU1062" s="989"/>
      <c r="QAV1062" s="989"/>
      <c r="QAW1062" s="989"/>
      <c r="QAX1062" s="989"/>
      <c r="QAY1062" s="989"/>
      <c r="QAZ1062" s="989"/>
      <c r="QBA1062" s="989"/>
      <c r="QBB1062" s="989"/>
      <c r="QBC1062" s="989"/>
      <c r="QBD1062" s="989"/>
      <c r="QBE1062" s="989"/>
      <c r="QBF1062" s="989"/>
      <c r="QBG1062" s="989"/>
      <c r="QBH1062" s="989"/>
      <c r="QBI1062" s="989"/>
      <c r="QBJ1062" s="989"/>
      <c r="QBK1062" s="989"/>
      <c r="QBL1062" s="989"/>
      <c r="QBM1062" s="989"/>
      <c r="QBN1062" s="989"/>
      <c r="QBO1062" s="989"/>
      <c r="QBP1062" s="989"/>
      <c r="QBQ1062" s="989"/>
      <c r="QBR1062" s="989"/>
      <c r="QBS1062" s="989"/>
      <c r="QBT1062" s="989"/>
      <c r="QBU1062" s="989"/>
      <c r="QBV1062" s="989"/>
      <c r="QBW1062" s="989"/>
      <c r="QBX1062" s="989"/>
      <c r="QBY1062" s="989"/>
      <c r="QBZ1062" s="989"/>
      <c r="QCA1062" s="989"/>
      <c r="QCB1062" s="989"/>
      <c r="QCC1062" s="989"/>
      <c r="QCD1062" s="989"/>
      <c r="QCE1062" s="989"/>
      <c r="QCF1062" s="989"/>
      <c r="QCG1062" s="989"/>
      <c r="QCH1062" s="989"/>
      <c r="QCI1062" s="989"/>
      <c r="QCJ1062" s="989"/>
      <c r="QCK1062" s="989"/>
      <c r="QCL1062" s="989"/>
      <c r="QCM1062" s="989"/>
      <c r="QCN1062" s="989"/>
      <c r="QCO1062" s="989"/>
      <c r="QCP1062" s="989"/>
      <c r="QCQ1062" s="989"/>
      <c r="QCR1062" s="989"/>
      <c r="QCS1062" s="989"/>
      <c r="QCT1062" s="989"/>
      <c r="QCU1062" s="989"/>
      <c r="QCV1062" s="989"/>
      <c r="QCW1062" s="989"/>
      <c r="QCX1062" s="989"/>
      <c r="QCY1062" s="989"/>
      <c r="QCZ1062" s="989"/>
      <c r="QDA1062" s="989"/>
      <c r="QDB1062" s="989"/>
      <c r="QDC1062" s="989"/>
      <c r="QDD1062" s="989"/>
      <c r="QDE1062" s="989"/>
      <c r="QDF1062" s="989"/>
      <c r="QDG1062" s="989"/>
      <c r="QDH1062" s="989"/>
      <c r="QDI1062" s="989"/>
      <c r="QDJ1062" s="989"/>
      <c r="QDK1062" s="989"/>
      <c r="QDL1062" s="989"/>
      <c r="QDM1062" s="989"/>
      <c r="QDN1062" s="989"/>
      <c r="QDO1062" s="989"/>
      <c r="QDP1062" s="989"/>
      <c r="QDQ1062" s="989"/>
      <c r="QDR1062" s="989"/>
      <c r="QDS1062" s="989"/>
      <c r="QDT1062" s="989"/>
      <c r="QDU1062" s="989"/>
      <c r="QDV1062" s="989"/>
      <c r="QDW1062" s="989"/>
      <c r="QDX1062" s="989"/>
      <c r="QDY1062" s="989"/>
      <c r="QDZ1062" s="989"/>
      <c r="QEA1062" s="989"/>
      <c r="QEB1062" s="989"/>
      <c r="QEC1062" s="989"/>
      <c r="QED1062" s="989"/>
      <c r="QEE1062" s="989"/>
      <c r="QEF1062" s="989"/>
      <c r="QEG1062" s="989"/>
      <c r="QEH1062" s="989"/>
      <c r="QEI1062" s="989"/>
      <c r="QEJ1062" s="989"/>
      <c r="QEK1062" s="989"/>
      <c r="QEL1062" s="989"/>
      <c r="QEM1062" s="989"/>
      <c r="QEN1062" s="989"/>
      <c r="QEO1062" s="989"/>
      <c r="QEP1062" s="989"/>
      <c r="QEQ1062" s="989"/>
      <c r="QER1062" s="989"/>
      <c r="QES1062" s="989"/>
      <c r="QET1062" s="989"/>
      <c r="QEU1062" s="989"/>
      <c r="QEV1062" s="989"/>
      <c r="QEW1062" s="989"/>
      <c r="QEX1062" s="989"/>
      <c r="QEY1062" s="989"/>
      <c r="QEZ1062" s="989"/>
      <c r="QFA1062" s="989"/>
      <c r="QFB1062" s="989"/>
      <c r="QFC1062" s="989"/>
      <c r="QFD1062" s="989"/>
      <c r="QFE1062" s="989"/>
      <c r="QFF1062" s="989"/>
      <c r="QFG1062" s="989"/>
      <c r="QFH1062" s="989"/>
      <c r="QFI1062" s="989"/>
      <c r="QFJ1062" s="989"/>
      <c r="QFK1062" s="989"/>
      <c r="QFL1062" s="989"/>
      <c r="QFM1062" s="989"/>
      <c r="QFN1062" s="989"/>
      <c r="QFO1062" s="989"/>
      <c r="QFP1062" s="989"/>
      <c r="QFQ1062" s="989"/>
      <c r="QFR1062" s="989"/>
      <c r="QFS1062" s="989"/>
      <c r="QFT1062" s="989"/>
      <c r="QFU1062" s="989"/>
      <c r="QFV1062" s="989"/>
      <c r="QFW1062" s="989"/>
      <c r="QFX1062" s="989"/>
      <c r="QFY1062" s="989"/>
      <c r="QFZ1062" s="989"/>
      <c r="QGA1062" s="989"/>
      <c r="QGB1062" s="989"/>
      <c r="QGC1062" s="989"/>
      <c r="QGD1062" s="989"/>
      <c r="QGE1062" s="989"/>
      <c r="QGF1062" s="989"/>
      <c r="QGG1062" s="989"/>
      <c r="QGH1062" s="989"/>
      <c r="QGI1062" s="989"/>
      <c r="QGJ1062" s="989"/>
      <c r="QGK1062" s="989"/>
      <c r="QGL1062" s="989"/>
      <c r="QGM1062" s="989"/>
      <c r="QGN1062" s="989"/>
      <c r="QGO1062" s="989"/>
      <c r="QGP1062" s="989"/>
      <c r="QGQ1062" s="989"/>
      <c r="QGR1062" s="989"/>
      <c r="QGS1062" s="989"/>
      <c r="QGT1062" s="989"/>
      <c r="QGU1062" s="989"/>
      <c r="QGV1062" s="989"/>
      <c r="QGW1062" s="989"/>
      <c r="QGX1062" s="989"/>
      <c r="QGY1062" s="989"/>
      <c r="QGZ1062" s="989"/>
      <c r="QHA1062" s="989"/>
      <c r="QHB1062" s="989"/>
      <c r="QHC1062" s="989"/>
      <c r="QHD1062" s="989"/>
      <c r="QHE1062" s="989"/>
      <c r="QHF1062" s="989"/>
      <c r="QHG1062" s="989"/>
      <c r="QHH1062" s="989"/>
      <c r="QHI1062" s="989"/>
      <c r="QHJ1062" s="989"/>
      <c r="QHK1062" s="989"/>
      <c r="QHL1062" s="989"/>
      <c r="QHM1062" s="989"/>
      <c r="QHN1062" s="989"/>
      <c r="QHO1062" s="989"/>
      <c r="QHP1062" s="989"/>
      <c r="QHQ1062" s="989"/>
      <c r="QHR1062" s="989"/>
      <c r="QHS1062" s="989"/>
      <c r="QHT1062" s="989"/>
      <c r="QHU1062" s="989"/>
      <c r="QHV1062" s="989"/>
      <c r="QHW1062" s="989"/>
      <c r="QHX1062" s="989"/>
      <c r="QHY1062" s="989"/>
      <c r="QHZ1062" s="989"/>
      <c r="QIA1062" s="989"/>
      <c r="QIB1062" s="989"/>
      <c r="QIC1062" s="989"/>
      <c r="QID1062" s="989"/>
      <c r="QIE1062" s="989"/>
      <c r="QIF1062" s="989"/>
      <c r="QIG1062" s="989"/>
      <c r="QIH1062" s="989"/>
      <c r="QII1062" s="989"/>
      <c r="QIJ1062" s="989"/>
      <c r="QIK1062" s="989"/>
      <c r="QIL1062" s="989"/>
      <c r="QIM1062" s="989"/>
      <c r="QIN1062" s="989"/>
      <c r="QIO1062" s="989"/>
      <c r="QIP1062" s="989"/>
      <c r="QIQ1062" s="989"/>
      <c r="QIR1062" s="989"/>
      <c r="QIS1062" s="989"/>
      <c r="QIT1062" s="989"/>
      <c r="QIU1062" s="989"/>
      <c r="QIV1062" s="989"/>
      <c r="QIW1062" s="989"/>
      <c r="QIX1062" s="989"/>
      <c r="QIY1062" s="989"/>
      <c r="QIZ1062" s="989"/>
      <c r="QJA1062" s="989"/>
      <c r="QJB1062" s="989"/>
      <c r="QJC1062" s="989"/>
      <c r="QJD1062" s="989"/>
      <c r="QJE1062" s="989"/>
      <c r="QJF1062" s="989"/>
      <c r="QJG1062" s="989"/>
      <c r="QJH1062" s="989"/>
      <c r="QJI1062" s="989"/>
      <c r="QJJ1062" s="989"/>
      <c r="QJK1062" s="989"/>
      <c r="QJL1062" s="989"/>
      <c r="QJM1062" s="989"/>
      <c r="QJN1062" s="989"/>
      <c r="QJO1062" s="989"/>
      <c r="QJP1062" s="989"/>
      <c r="QJQ1062" s="989"/>
      <c r="QJR1062" s="989"/>
      <c r="QJS1062" s="989"/>
      <c r="QJT1062" s="989"/>
      <c r="QJU1062" s="989"/>
      <c r="QJV1062" s="989"/>
      <c r="QJW1062" s="989"/>
      <c r="QJX1062" s="989"/>
      <c r="QJY1062" s="989"/>
      <c r="QJZ1062" s="989"/>
      <c r="QKA1062" s="989"/>
      <c r="QKB1062" s="989"/>
      <c r="QKC1062" s="989"/>
      <c r="QKD1062" s="989"/>
      <c r="QKE1062" s="989"/>
      <c r="QKF1062" s="989"/>
      <c r="QKG1062" s="989"/>
      <c r="QKH1062" s="989"/>
      <c r="QKI1062" s="989"/>
      <c r="QKJ1062" s="989"/>
      <c r="QKK1062" s="989"/>
      <c r="QKL1062" s="989"/>
      <c r="QKM1062" s="989"/>
      <c r="QKN1062" s="989"/>
      <c r="QKO1062" s="989"/>
      <c r="QKP1062" s="989"/>
      <c r="QKQ1062" s="989"/>
      <c r="QKR1062" s="989"/>
      <c r="QKS1062" s="989"/>
      <c r="QKT1062" s="989"/>
      <c r="QKU1062" s="989"/>
      <c r="QKV1062" s="989"/>
      <c r="QKW1062" s="989"/>
      <c r="QKX1062" s="989"/>
      <c r="QKY1062" s="989"/>
      <c r="QKZ1062" s="989"/>
      <c r="QLA1062" s="989"/>
      <c r="QLB1062" s="989"/>
      <c r="QLC1062" s="989"/>
      <c r="QLD1062" s="989"/>
      <c r="QLE1062" s="989"/>
      <c r="QLF1062" s="989"/>
      <c r="QLG1062" s="989"/>
      <c r="QLH1062" s="989"/>
      <c r="QLI1062" s="989"/>
      <c r="QLJ1062" s="989"/>
      <c r="QLK1062" s="989"/>
      <c r="QLL1062" s="989"/>
      <c r="QLM1062" s="989"/>
      <c r="QLN1062" s="989"/>
      <c r="QLO1062" s="989"/>
      <c r="QLP1062" s="989"/>
      <c r="QLQ1062" s="989"/>
      <c r="QLR1062" s="989"/>
      <c r="QLS1062" s="989"/>
      <c r="QLT1062" s="989"/>
      <c r="QLU1062" s="989"/>
      <c r="QLV1062" s="989"/>
      <c r="QLW1062" s="989"/>
      <c r="QLX1062" s="989"/>
      <c r="QLY1062" s="989"/>
      <c r="QLZ1062" s="989"/>
      <c r="QMA1062" s="989"/>
      <c r="QMB1062" s="989"/>
      <c r="QMC1062" s="989"/>
      <c r="QMD1062" s="989"/>
      <c r="QME1062" s="989"/>
      <c r="QMF1062" s="989"/>
      <c r="QMG1062" s="989"/>
      <c r="QMH1062" s="989"/>
      <c r="QMI1062" s="989"/>
      <c r="QMJ1062" s="989"/>
      <c r="QMK1062" s="989"/>
      <c r="QML1062" s="989"/>
      <c r="QMM1062" s="989"/>
      <c r="QMN1062" s="989"/>
      <c r="QMO1062" s="989"/>
      <c r="QMP1062" s="989"/>
      <c r="QMQ1062" s="989"/>
      <c r="QMR1062" s="989"/>
      <c r="QMS1062" s="989"/>
      <c r="QMT1062" s="989"/>
      <c r="QMU1062" s="989"/>
      <c r="QMV1062" s="989"/>
      <c r="QMW1062" s="989"/>
      <c r="QMX1062" s="989"/>
      <c r="QMY1062" s="989"/>
      <c r="QMZ1062" s="989"/>
      <c r="QNA1062" s="989"/>
      <c r="QNB1062" s="989"/>
      <c r="QNC1062" s="989"/>
      <c r="QND1062" s="989"/>
      <c r="QNE1062" s="989"/>
      <c r="QNF1062" s="989"/>
      <c r="QNG1062" s="989"/>
      <c r="QNH1062" s="989"/>
      <c r="QNI1062" s="989"/>
      <c r="QNJ1062" s="989"/>
      <c r="QNK1062" s="989"/>
      <c r="QNL1062" s="989"/>
      <c r="QNM1062" s="989"/>
      <c r="QNN1062" s="989"/>
      <c r="QNO1062" s="989"/>
      <c r="QNP1062" s="989"/>
      <c r="QNQ1062" s="989"/>
      <c r="QNR1062" s="989"/>
      <c r="QNS1062" s="989"/>
      <c r="QNT1062" s="989"/>
      <c r="QNU1062" s="989"/>
      <c r="QNV1062" s="989"/>
      <c r="QNW1062" s="989"/>
      <c r="QNX1062" s="989"/>
      <c r="QNY1062" s="989"/>
      <c r="QNZ1062" s="989"/>
      <c r="QOA1062" s="989"/>
      <c r="QOB1062" s="989"/>
      <c r="QOC1062" s="989"/>
      <c r="QOD1062" s="989"/>
      <c r="QOE1062" s="989"/>
      <c r="QOF1062" s="989"/>
      <c r="QOG1062" s="989"/>
      <c r="QOH1062" s="989"/>
      <c r="QOI1062" s="989"/>
      <c r="QOJ1062" s="989"/>
      <c r="QOK1062" s="989"/>
      <c r="QOL1062" s="989"/>
      <c r="QOM1062" s="989"/>
      <c r="QON1062" s="989"/>
      <c r="QOO1062" s="989"/>
      <c r="QOP1062" s="989"/>
      <c r="QOQ1062" s="989"/>
      <c r="QOR1062" s="989"/>
      <c r="QOS1062" s="989"/>
      <c r="QOT1062" s="989"/>
      <c r="QOU1062" s="989"/>
      <c r="QOV1062" s="989"/>
      <c r="QOW1062" s="989"/>
      <c r="QOX1062" s="989"/>
      <c r="QOY1062" s="989"/>
      <c r="QOZ1062" s="989"/>
      <c r="QPA1062" s="989"/>
      <c r="QPB1062" s="989"/>
      <c r="QPC1062" s="989"/>
      <c r="QPD1062" s="989"/>
      <c r="QPE1062" s="989"/>
      <c r="QPF1062" s="989"/>
      <c r="QPG1062" s="989"/>
      <c r="QPH1062" s="989"/>
      <c r="QPI1062" s="989"/>
      <c r="QPJ1062" s="989"/>
      <c r="QPK1062" s="989"/>
      <c r="QPL1062" s="989"/>
      <c r="QPM1062" s="989"/>
      <c r="QPN1062" s="989"/>
      <c r="QPO1062" s="989"/>
      <c r="QPP1062" s="989"/>
      <c r="QPQ1062" s="989"/>
      <c r="QPR1062" s="989"/>
      <c r="QPS1062" s="989"/>
      <c r="QPT1062" s="989"/>
      <c r="QPU1062" s="989"/>
      <c r="QPV1062" s="989"/>
      <c r="QPW1062" s="989"/>
      <c r="QPX1062" s="989"/>
      <c r="QPY1062" s="989"/>
      <c r="QPZ1062" s="989"/>
      <c r="QQA1062" s="989"/>
      <c r="QQB1062" s="989"/>
      <c r="QQC1062" s="989"/>
      <c r="QQD1062" s="989"/>
      <c r="QQE1062" s="989"/>
      <c r="QQF1062" s="989"/>
      <c r="QQG1062" s="989"/>
      <c r="QQH1062" s="989"/>
      <c r="QQI1062" s="989"/>
      <c r="QQJ1062" s="989"/>
      <c r="QQK1062" s="989"/>
      <c r="QQL1062" s="989"/>
      <c r="QQM1062" s="989"/>
      <c r="QQN1062" s="989"/>
      <c r="QQO1062" s="989"/>
      <c r="QQP1062" s="989"/>
      <c r="QQQ1062" s="989"/>
      <c r="QQR1062" s="989"/>
      <c r="QQS1062" s="989"/>
      <c r="QQT1062" s="989"/>
      <c r="QQU1062" s="989"/>
      <c r="QQV1062" s="989"/>
      <c r="QQW1062" s="989"/>
      <c r="QQX1062" s="989"/>
      <c r="QQY1062" s="989"/>
      <c r="QQZ1062" s="989"/>
      <c r="QRA1062" s="989"/>
      <c r="QRB1062" s="989"/>
      <c r="QRC1062" s="989"/>
      <c r="QRD1062" s="989"/>
      <c r="QRE1062" s="989"/>
      <c r="QRF1062" s="989"/>
      <c r="QRG1062" s="989"/>
      <c r="QRH1062" s="989"/>
      <c r="QRI1062" s="989"/>
      <c r="QRJ1062" s="989"/>
      <c r="QRK1062" s="989"/>
      <c r="QRL1062" s="989"/>
      <c r="QRM1062" s="989"/>
      <c r="QRN1062" s="989"/>
      <c r="QRO1062" s="989"/>
      <c r="QRP1062" s="989"/>
      <c r="QRQ1062" s="989"/>
      <c r="QRR1062" s="989"/>
      <c r="QRS1062" s="989"/>
      <c r="QRT1062" s="989"/>
      <c r="QRU1062" s="989"/>
      <c r="QRV1062" s="989"/>
      <c r="QRW1062" s="989"/>
      <c r="QRX1062" s="989"/>
      <c r="QRY1062" s="989"/>
      <c r="QRZ1062" s="989"/>
      <c r="QSA1062" s="989"/>
      <c r="QSB1062" s="989"/>
      <c r="QSC1062" s="989"/>
      <c r="QSD1062" s="989"/>
      <c r="QSE1062" s="989"/>
      <c r="QSF1062" s="989"/>
      <c r="QSG1062" s="989"/>
      <c r="QSH1062" s="989"/>
      <c r="QSI1062" s="989"/>
      <c r="QSJ1062" s="989"/>
      <c r="QSK1062" s="989"/>
      <c r="QSL1062" s="989"/>
      <c r="QSM1062" s="989"/>
      <c r="QSN1062" s="989"/>
      <c r="QSO1062" s="989"/>
      <c r="QSP1062" s="989"/>
      <c r="QSQ1062" s="989"/>
      <c r="QSR1062" s="989"/>
      <c r="QSS1062" s="989"/>
      <c r="QST1062" s="989"/>
      <c r="QSU1062" s="989"/>
      <c r="QSV1062" s="989"/>
      <c r="QSW1062" s="989"/>
      <c r="QSX1062" s="989"/>
      <c r="QSY1062" s="989"/>
      <c r="QSZ1062" s="989"/>
      <c r="QTA1062" s="989"/>
      <c r="QTB1062" s="989"/>
      <c r="QTC1062" s="989"/>
      <c r="QTD1062" s="989"/>
      <c r="QTE1062" s="989"/>
      <c r="QTF1062" s="989"/>
      <c r="QTG1062" s="989"/>
      <c r="QTH1062" s="989"/>
      <c r="QTI1062" s="989"/>
      <c r="QTJ1062" s="989"/>
      <c r="QTK1062" s="989"/>
      <c r="QTL1062" s="989"/>
      <c r="QTM1062" s="989"/>
      <c r="QTN1062" s="989"/>
      <c r="QTO1062" s="989"/>
      <c r="QTP1062" s="989"/>
      <c r="QTQ1062" s="989"/>
      <c r="QTR1062" s="989"/>
      <c r="QTS1062" s="989"/>
      <c r="QTT1062" s="989"/>
      <c r="QTU1062" s="989"/>
      <c r="QTV1062" s="989"/>
      <c r="QTW1062" s="989"/>
      <c r="QTX1062" s="989"/>
      <c r="QTY1062" s="989"/>
      <c r="QTZ1062" s="989"/>
      <c r="QUA1062" s="989"/>
      <c r="QUB1062" s="989"/>
      <c r="QUC1062" s="989"/>
      <c r="QUD1062" s="989"/>
      <c r="QUE1062" s="989"/>
      <c r="QUF1062" s="989"/>
      <c r="QUG1062" s="989"/>
      <c r="QUH1062" s="989"/>
      <c r="QUI1062" s="989"/>
      <c r="QUJ1062" s="989"/>
      <c r="QUK1062" s="989"/>
      <c r="QUL1062" s="989"/>
      <c r="QUM1062" s="989"/>
      <c r="QUN1062" s="989"/>
      <c r="QUO1062" s="989"/>
      <c r="QUP1062" s="989"/>
      <c r="QUQ1062" s="989"/>
      <c r="QUR1062" s="989"/>
      <c r="QUS1062" s="989"/>
      <c r="QUT1062" s="989"/>
      <c r="QUU1062" s="989"/>
      <c r="QUV1062" s="989"/>
      <c r="QUW1062" s="989"/>
      <c r="QUX1062" s="989"/>
      <c r="QUY1062" s="989"/>
      <c r="QUZ1062" s="989"/>
      <c r="QVA1062" s="989"/>
      <c r="QVB1062" s="989"/>
      <c r="QVC1062" s="989"/>
      <c r="QVD1062" s="989"/>
      <c r="QVE1062" s="989"/>
      <c r="QVF1062" s="989"/>
      <c r="QVG1062" s="989"/>
      <c r="QVH1062" s="989"/>
      <c r="QVI1062" s="989"/>
      <c r="QVJ1062" s="989"/>
      <c r="QVK1062" s="989"/>
      <c r="QVL1062" s="989"/>
      <c r="QVM1062" s="989"/>
      <c r="QVN1062" s="989"/>
      <c r="QVO1062" s="989"/>
      <c r="QVP1062" s="989"/>
      <c r="QVQ1062" s="989"/>
      <c r="QVR1062" s="989"/>
      <c r="QVS1062" s="989"/>
      <c r="QVT1062" s="989"/>
      <c r="QVU1062" s="989"/>
      <c r="QVV1062" s="989"/>
      <c r="QVW1062" s="989"/>
      <c r="QVX1062" s="989"/>
      <c r="QVY1062" s="989"/>
      <c r="QVZ1062" s="989"/>
      <c r="QWA1062" s="989"/>
      <c r="QWB1062" s="989"/>
      <c r="QWC1062" s="989"/>
      <c r="QWD1062" s="989"/>
      <c r="QWE1062" s="989"/>
      <c r="QWF1062" s="989"/>
      <c r="QWG1062" s="989"/>
      <c r="QWH1062" s="989"/>
      <c r="QWI1062" s="989"/>
      <c r="QWJ1062" s="989"/>
      <c r="QWK1062" s="989"/>
      <c r="QWL1062" s="989"/>
      <c r="QWM1062" s="989"/>
      <c r="QWN1062" s="989"/>
      <c r="QWO1062" s="989"/>
      <c r="QWP1062" s="989"/>
      <c r="QWQ1062" s="989"/>
      <c r="QWR1062" s="989"/>
      <c r="QWS1062" s="989"/>
      <c r="QWT1062" s="989"/>
      <c r="QWU1062" s="989"/>
      <c r="QWV1062" s="989"/>
      <c r="QWW1062" s="989"/>
      <c r="QWX1062" s="989"/>
      <c r="QWY1062" s="989"/>
      <c r="QWZ1062" s="989"/>
      <c r="QXA1062" s="989"/>
      <c r="QXB1062" s="989"/>
      <c r="QXC1062" s="989"/>
      <c r="QXD1062" s="989"/>
      <c r="QXE1062" s="989"/>
      <c r="QXF1062" s="989"/>
      <c r="QXG1062" s="989"/>
      <c r="QXH1062" s="989"/>
      <c r="QXI1062" s="989"/>
      <c r="QXJ1062" s="989"/>
      <c r="QXK1062" s="989"/>
      <c r="QXL1062" s="989"/>
      <c r="QXM1062" s="989"/>
      <c r="QXN1062" s="989"/>
      <c r="QXO1062" s="989"/>
      <c r="QXP1062" s="989"/>
      <c r="QXQ1062" s="989"/>
      <c r="QXR1062" s="989"/>
      <c r="QXS1062" s="989"/>
      <c r="QXT1062" s="989"/>
      <c r="QXU1062" s="989"/>
      <c r="QXV1062" s="989"/>
      <c r="QXW1062" s="989"/>
      <c r="QXX1062" s="989"/>
      <c r="QXY1062" s="989"/>
      <c r="QXZ1062" s="989"/>
      <c r="QYA1062" s="989"/>
      <c r="QYB1062" s="989"/>
      <c r="QYC1062" s="989"/>
      <c r="QYD1062" s="989"/>
      <c r="QYE1062" s="989"/>
      <c r="QYF1062" s="989"/>
      <c r="QYG1062" s="989"/>
      <c r="QYH1062" s="989"/>
      <c r="QYI1062" s="989"/>
      <c r="QYJ1062" s="989"/>
      <c r="QYK1062" s="989"/>
      <c r="QYL1062" s="989"/>
      <c r="QYM1062" s="989"/>
      <c r="QYN1062" s="989"/>
      <c r="QYO1062" s="989"/>
      <c r="QYP1062" s="989"/>
      <c r="QYQ1062" s="989"/>
      <c r="QYR1062" s="989"/>
      <c r="QYS1062" s="989"/>
      <c r="QYT1062" s="989"/>
      <c r="QYU1062" s="989"/>
      <c r="QYV1062" s="989"/>
      <c r="QYW1062" s="989"/>
      <c r="QYX1062" s="989"/>
      <c r="QYY1062" s="989"/>
      <c r="QYZ1062" s="989"/>
      <c r="QZA1062" s="989"/>
      <c r="QZB1062" s="989"/>
      <c r="QZC1062" s="989"/>
      <c r="QZD1062" s="989"/>
      <c r="QZE1062" s="989"/>
      <c r="QZF1062" s="989"/>
      <c r="QZG1062" s="989"/>
      <c r="QZH1062" s="989"/>
      <c r="QZI1062" s="989"/>
      <c r="QZJ1062" s="989"/>
      <c r="QZK1062" s="989"/>
      <c r="QZL1062" s="989"/>
      <c r="QZM1062" s="989"/>
      <c r="QZN1062" s="989"/>
      <c r="QZO1062" s="989"/>
      <c r="QZP1062" s="989"/>
      <c r="QZQ1062" s="989"/>
      <c r="QZR1062" s="989"/>
      <c r="QZS1062" s="989"/>
      <c r="QZT1062" s="989"/>
      <c r="QZU1062" s="989"/>
      <c r="QZV1062" s="989"/>
      <c r="QZW1062" s="989"/>
      <c r="QZX1062" s="989"/>
      <c r="QZY1062" s="989"/>
      <c r="QZZ1062" s="989"/>
      <c r="RAA1062" s="989"/>
      <c r="RAB1062" s="989"/>
      <c r="RAC1062" s="989"/>
      <c r="RAD1062" s="989"/>
      <c r="RAE1062" s="989"/>
      <c r="RAF1062" s="989"/>
      <c r="RAG1062" s="989"/>
      <c r="RAH1062" s="989"/>
      <c r="RAI1062" s="989"/>
      <c r="RAJ1062" s="989"/>
      <c r="RAK1062" s="989"/>
      <c r="RAL1062" s="989"/>
      <c r="RAM1062" s="989"/>
      <c r="RAN1062" s="989"/>
      <c r="RAO1062" s="989"/>
      <c r="RAP1062" s="989"/>
      <c r="RAQ1062" s="989"/>
      <c r="RAR1062" s="989"/>
      <c r="RAS1062" s="989"/>
      <c r="RAT1062" s="989"/>
      <c r="RAU1062" s="989"/>
      <c r="RAV1062" s="989"/>
      <c r="RAW1062" s="989"/>
      <c r="RAX1062" s="989"/>
      <c r="RAY1062" s="989"/>
      <c r="RAZ1062" s="989"/>
      <c r="RBA1062" s="989"/>
      <c r="RBB1062" s="989"/>
      <c r="RBC1062" s="989"/>
      <c r="RBD1062" s="989"/>
      <c r="RBE1062" s="989"/>
      <c r="RBF1062" s="989"/>
      <c r="RBG1062" s="989"/>
      <c r="RBH1062" s="989"/>
      <c r="RBI1062" s="989"/>
      <c r="RBJ1062" s="989"/>
      <c r="RBK1062" s="989"/>
      <c r="RBL1062" s="989"/>
      <c r="RBM1062" s="989"/>
      <c r="RBN1062" s="989"/>
      <c r="RBO1062" s="989"/>
      <c r="RBP1062" s="989"/>
      <c r="RBQ1062" s="989"/>
      <c r="RBR1062" s="989"/>
      <c r="RBS1062" s="989"/>
      <c r="RBT1062" s="989"/>
      <c r="RBU1062" s="989"/>
      <c r="RBV1062" s="989"/>
      <c r="RBW1062" s="989"/>
      <c r="RBX1062" s="989"/>
      <c r="RBY1062" s="989"/>
      <c r="RBZ1062" s="989"/>
      <c r="RCA1062" s="989"/>
      <c r="RCB1062" s="989"/>
      <c r="RCC1062" s="989"/>
      <c r="RCD1062" s="989"/>
      <c r="RCE1062" s="989"/>
      <c r="RCF1062" s="989"/>
      <c r="RCG1062" s="989"/>
      <c r="RCH1062" s="989"/>
      <c r="RCI1062" s="989"/>
      <c r="RCJ1062" s="989"/>
      <c r="RCK1062" s="989"/>
      <c r="RCL1062" s="989"/>
      <c r="RCM1062" s="989"/>
      <c r="RCN1062" s="989"/>
      <c r="RCO1062" s="989"/>
      <c r="RCP1062" s="989"/>
      <c r="RCQ1062" s="989"/>
      <c r="RCR1062" s="989"/>
      <c r="RCS1062" s="989"/>
      <c r="RCT1062" s="989"/>
      <c r="RCU1062" s="989"/>
      <c r="RCV1062" s="989"/>
      <c r="RCW1062" s="989"/>
      <c r="RCX1062" s="989"/>
      <c r="RCY1062" s="989"/>
      <c r="RCZ1062" s="989"/>
      <c r="RDA1062" s="989"/>
      <c r="RDB1062" s="989"/>
      <c r="RDC1062" s="989"/>
      <c r="RDD1062" s="989"/>
      <c r="RDE1062" s="989"/>
      <c r="RDF1062" s="989"/>
      <c r="RDG1062" s="989"/>
      <c r="RDH1062" s="989"/>
      <c r="RDI1062" s="989"/>
      <c r="RDJ1062" s="989"/>
      <c r="RDK1062" s="989"/>
      <c r="RDL1062" s="989"/>
      <c r="RDM1062" s="989"/>
      <c r="RDN1062" s="989"/>
      <c r="RDO1062" s="989"/>
      <c r="RDP1062" s="989"/>
      <c r="RDQ1062" s="989"/>
      <c r="RDR1062" s="989"/>
      <c r="RDS1062" s="989"/>
      <c r="RDT1062" s="989"/>
      <c r="RDU1062" s="989"/>
      <c r="RDV1062" s="989"/>
      <c r="RDW1062" s="989"/>
      <c r="RDX1062" s="989"/>
      <c r="RDY1062" s="989"/>
      <c r="RDZ1062" s="989"/>
      <c r="REA1062" s="989"/>
      <c r="REB1062" s="989"/>
      <c r="REC1062" s="989"/>
      <c r="RED1062" s="989"/>
      <c r="REE1062" s="989"/>
      <c r="REF1062" s="989"/>
      <c r="REG1062" s="989"/>
      <c r="REH1062" s="989"/>
      <c r="REI1062" s="989"/>
      <c r="REJ1062" s="989"/>
      <c r="REK1062" s="989"/>
      <c r="REL1062" s="989"/>
      <c r="REM1062" s="989"/>
      <c r="REN1062" s="989"/>
      <c r="REO1062" s="989"/>
      <c r="REP1062" s="989"/>
      <c r="REQ1062" s="989"/>
      <c r="RER1062" s="989"/>
      <c r="RES1062" s="989"/>
      <c r="RET1062" s="989"/>
      <c r="REU1062" s="989"/>
      <c r="REV1062" s="989"/>
      <c r="REW1062" s="989"/>
      <c r="REX1062" s="989"/>
      <c r="REY1062" s="989"/>
      <c r="REZ1062" s="989"/>
      <c r="RFA1062" s="989"/>
      <c r="RFB1062" s="989"/>
      <c r="RFC1062" s="989"/>
      <c r="RFD1062" s="989"/>
      <c r="RFE1062" s="989"/>
      <c r="RFF1062" s="989"/>
      <c r="RFG1062" s="989"/>
      <c r="RFH1062" s="989"/>
      <c r="RFI1062" s="989"/>
      <c r="RFJ1062" s="989"/>
      <c r="RFK1062" s="989"/>
      <c r="RFL1062" s="989"/>
      <c r="RFM1062" s="989"/>
      <c r="RFN1062" s="989"/>
      <c r="RFO1062" s="989"/>
      <c r="RFP1062" s="989"/>
      <c r="RFQ1062" s="989"/>
      <c r="RFR1062" s="989"/>
      <c r="RFS1062" s="989"/>
      <c r="RFT1062" s="989"/>
      <c r="RFU1062" s="989"/>
      <c r="RFV1062" s="989"/>
      <c r="RFW1062" s="989"/>
      <c r="RFX1062" s="989"/>
      <c r="RFY1062" s="989"/>
      <c r="RFZ1062" s="989"/>
      <c r="RGA1062" s="989"/>
      <c r="RGB1062" s="989"/>
      <c r="RGC1062" s="989"/>
      <c r="RGD1062" s="989"/>
      <c r="RGE1062" s="989"/>
      <c r="RGF1062" s="989"/>
      <c r="RGG1062" s="989"/>
      <c r="RGH1062" s="989"/>
      <c r="RGI1062" s="989"/>
      <c r="RGJ1062" s="989"/>
      <c r="RGK1062" s="989"/>
      <c r="RGL1062" s="989"/>
      <c r="RGM1062" s="989"/>
      <c r="RGN1062" s="989"/>
      <c r="RGO1062" s="989"/>
      <c r="RGP1062" s="989"/>
      <c r="RGQ1062" s="989"/>
      <c r="RGR1062" s="989"/>
      <c r="RGS1062" s="989"/>
      <c r="RGT1062" s="989"/>
      <c r="RGU1062" s="989"/>
      <c r="RGV1062" s="989"/>
      <c r="RGW1062" s="989"/>
      <c r="RGX1062" s="989"/>
      <c r="RGY1062" s="989"/>
      <c r="RGZ1062" s="989"/>
      <c r="RHA1062" s="989"/>
      <c r="RHB1062" s="989"/>
      <c r="RHC1062" s="989"/>
      <c r="RHD1062" s="989"/>
      <c r="RHE1062" s="989"/>
      <c r="RHF1062" s="989"/>
      <c r="RHG1062" s="989"/>
      <c r="RHH1062" s="989"/>
      <c r="RHI1062" s="989"/>
      <c r="RHJ1062" s="989"/>
      <c r="RHK1062" s="989"/>
      <c r="RHL1062" s="989"/>
      <c r="RHM1062" s="989"/>
      <c r="RHN1062" s="989"/>
      <c r="RHO1062" s="989"/>
      <c r="RHP1062" s="989"/>
      <c r="RHQ1062" s="989"/>
      <c r="RHR1062" s="989"/>
      <c r="RHS1062" s="989"/>
      <c r="RHT1062" s="989"/>
      <c r="RHU1062" s="989"/>
      <c r="RHV1062" s="989"/>
      <c r="RHW1062" s="989"/>
      <c r="RHX1062" s="989"/>
      <c r="RHY1062" s="989"/>
      <c r="RHZ1062" s="989"/>
      <c r="RIA1062" s="989"/>
      <c r="RIB1062" s="989"/>
      <c r="RIC1062" s="989"/>
      <c r="RID1062" s="989"/>
      <c r="RIE1062" s="989"/>
      <c r="RIF1062" s="989"/>
      <c r="RIG1062" s="989"/>
      <c r="RIH1062" s="989"/>
      <c r="RII1062" s="989"/>
      <c r="RIJ1062" s="989"/>
      <c r="RIK1062" s="989"/>
      <c r="RIL1062" s="989"/>
      <c r="RIM1062" s="989"/>
      <c r="RIN1062" s="989"/>
      <c r="RIO1062" s="989"/>
      <c r="RIP1062" s="989"/>
      <c r="RIQ1062" s="989"/>
      <c r="RIR1062" s="989"/>
      <c r="RIS1062" s="989"/>
      <c r="RIT1062" s="989"/>
      <c r="RIU1062" s="989"/>
      <c r="RIV1062" s="989"/>
      <c r="RIW1062" s="989"/>
      <c r="RIX1062" s="989"/>
      <c r="RIY1062" s="989"/>
      <c r="RIZ1062" s="989"/>
      <c r="RJA1062" s="989"/>
      <c r="RJB1062" s="989"/>
      <c r="RJC1062" s="989"/>
      <c r="RJD1062" s="989"/>
      <c r="RJE1062" s="989"/>
      <c r="RJF1062" s="989"/>
      <c r="RJG1062" s="989"/>
      <c r="RJH1062" s="989"/>
      <c r="RJI1062" s="989"/>
      <c r="RJJ1062" s="989"/>
      <c r="RJK1062" s="989"/>
      <c r="RJL1062" s="989"/>
      <c r="RJM1062" s="989"/>
      <c r="RJN1062" s="989"/>
      <c r="RJO1062" s="989"/>
      <c r="RJP1062" s="989"/>
      <c r="RJQ1062" s="989"/>
      <c r="RJR1062" s="989"/>
      <c r="RJS1062" s="989"/>
      <c r="RJT1062" s="989"/>
      <c r="RJU1062" s="989"/>
      <c r="RJV1062" s="989"/>
      <c r="RJW1062" s="989"/>
      <c r="RJX1062" s="989"/>
      <c r="RJY1062" s="989"/>
      <c r="RJZ1062" s="989"/>
      <c r="RKA1062" s="989"/>
      <c r="RKB1062" s="989"/>
      <c r="RKC1062" s="989"/>
      <c r="RKD1062" s="989"/>
      <c r="RKE1062" s="989"/>
      <c r="RKF1062" s="989"/>
      <c r="RKG1062" s="989"/>
      <c r="RKH1062" s="989"/>
      <c r="RKI1062" s="989"/>
      <c r="RKJ1062" s="989"/>
      <c r="RKK1062" s="989"/>
      <c r="RKL1062" s="989"/>
      <c r="RKM1062" s="989"/>
      <c r="RKN1062" s="989"/>
      <c r="RKO1062" s="989"/>
      <c r="RKP1062" s="989"/>
      <c r="RKQ1062" s="989"/>
      <c r="RKR1062" s="989"/>
      <c r="RKS1062" s="989"/>
      <c r="RKT1062" s="989"/>
      <c r="RKU1062" s="989"/>
      <c r="RKV1062" s="989"/>
      <c r="RKW1062" s="989"/>
      <c r="RKX1062" s="989"/>
      <c r="RKY1062" s="989"/>
      <c r="RKZ1062" s="989"/>
      <c r="RLA1062" s="989"/>
      <c r="RLB1062" s="989"/>
      <c r="RLC1062" s="989"/>
      <c r="RLD1062" s="989"/>
      <c r="RLE1062" s="989"/>
      <c r="RLF1062" s="989"/>
      <c r="RLG1062" s="989"/>
      <c r="RLH1062" s="989"/>
      <c r="RLI1062" s="989"/>
      <c r="RLJ1062" s="989"/>
      <c r="RLK1062" s="989"/>
      <c r="RLL1062" s="989"/>
      <c r="RLM1062" s="989"/>
      <c r="RLN1062" s="989"/>
      <c r="RLO1062" s="989"/>
      <c r="RLP1062" s="989"/>
      <c r="RLQ1062" s="989"/>
      <c r="RLR1062" s="989"/>
      <c r="RLS1062" s="989"/>
      <c r="RLT1062" s="989"/>
      <c r="RLU1062" s="989"/>
      <c r="RLV1062" s="989"/>
      <c r="RLW1062" s="989"/>
      <c r="RLX1062" s="989"/>
      <c r="RLY1062" s="989"/>
      <c r="RLZ1062" s="989"/>
      <c r="RMA1062" s="989"/>
      <c r="RMB1062" s="989"/>
      <c r="RMC1062" s="989"/>
      <c r="RMD1062" s="989"/>
      <c r="RME1062" s="989"/>
      <c r="RMF1062" s="989"/>
      <c r="RMG1062" s="989"/>
      <c r="RMH1062" s="989"/>
      <c r="RMI1062" s="989"/>
      <c r="RMJ1062" s="989"/>
      <c r="RMK1062" s="989"/>
      <c r="RML1062" s="989"/>
      <c r="RMM1062" s="989"/>
      <c r="RMN1062" s="989"/>
      <c r="RMO1062" s="989"/>
      <c r="RMP1062" s="989"/>
      <c r="RMQ1062" s="989"/>
      <c r="RMR1062" s="989"/>
      <c r="RMS1062" s="989"/>
      <c r="RMT1062" s="989"/>
      <c r="RMU1062" s="989"/>
      <c r="RMV1062" s="989"/>
      <c r="RMW1062" s="989"/>
      <c r="RMX1062" s="989"/>
      <c r="RMY1062" s="989"/>
      <c r="RMZ1062" s="989"/>
      <c r="RNA1062" s="989"/>
      <c r="RNB1062" s="989"/>
      <c r="RNC1062" s="989"/>
      <c r="RND1062" s="989"/>
      <c r="RNE1062" s="989"/>
      <c r="RNF1062" s="989"/>
      <c r="RNG1062" s="989"/>
      <c r="RNH1062" s="989"/>
      <c r="RNI1062" s="989"/>
      <c r="RNJ1062" s="989"/>
      <c r="RNK1062" s="989"/>
      <c r="RNL1062" s="989"/>
      <c r="RNM1062" s="989"/>
      <c r="RNN1062" s="989"/>
      <c r="RNO1062" s="989"/>
      <c r="RNP1062" s="989"/>
      <c r="RNQ1062" s="989"/>
      <c r="RNR1062" s="989"/>
      <c r="RNS1062" s="989"/>
      <c r="RNT1062" s="989"/>
      <c r="RNU1062" s="989"/>
      <c r="RNV1062" s="989"/>
      <c r="RNW1062" s="989"/>
      <c r="RNX1062" s="989"/>
      <c r="RNY1062" s="989"/>
      <c r="RNZ1062" s="989"/>
      <c r="ROA1062" s="989"/>
      <c r="ROB1062" s="989"/>
      <c r="ROC1062" s="989"/>
      <c r="ROD1062" s="989"/>
      <c r="ROE1062" s="989"/>
      <c r="ROF1062" s="989"/>
      <c r="ROG1062" s="989"/>
      <c r="ROH1062" s="989"/>
      <c r="ROI1062" s="989"/>
      <c r="ROJ1062" s="989"/>
      <c r="ROK1062" s="989"/>
      <c r="ROL1062" s="989"/>
      <c r="ROM1062" s="989"/>
      <c r="RON1062" s="989"/>
      <c r="ROO1062" s="989"/>
      <c r="ROP1062" s="989"/>
      <c r="ROQ1062" s="989"/>
      <c r="ROR1062" s="989"/>
      <c r="ROS1062" s="989"/>
      <c r="ROT1062" s="989"/>
      <c r="ROU1062" s="989"/>
      <c r="ROV1062" s="989"/>
      <c r="ROW1062" s="989"/>
      <c r="ROX1062" s="989"/>
      <c r="ROY1062" s="989"/>
      <c r="ROZ1062" s="989"/>
      <c r="RPA1062" s="989"/>
      <c r="RPB1062" s="989"/>
      <c r="RPC1062" s="989"/>
      <c r="RPD1062" s="989"/>
      <c r="RPE1062" s="989"/>
      <c r="RPF1062" s="989"/>
      <c r="RPG1062" s="989"/>
      <c r="RPH1062" s="989"/>
      <c r="RPI1062" s="989"/>
      <c r="RPJ1062" s="989"/>
      <c r="RPK1062" s="989"/>
      <c r="RPL1062" s="989"/>
      <c r="RPM1062" s="989"/>
      <c r="RPN1062" s="989"/>
      <c r="RPO1062" s="989"/>
      <c r="RPP1062" s="989"/>
      <c r="RPQ1062" s="989"/>
      <c r="RPR1062" s="989"/>
      <c r="RPS1062" s="989"/>
      <c r="RPT1062" s="989"/>
      <c r="RPU1062" s="989"/>
      <c r="RPV1062" s="989"/>
      <c r="RPW1062" s="989"/>
      <c r="RPX1062" s="989"/>
      <c r="RPY1062" s="989"/>
      <c r="RPZ1062" s="989"/>
      <c r="RQA1062" s="989"/>
      <c r="RQB1062" s="989"/>
      <c r="RQC1062" s="989"/>
      <c r="RQD1062" s="989"/>
      <c r="RQE1062" s="989"/>
      <c r="RQF1062" s="989"/>
      <c r="RQG1062" s="989"/>
      <c r="RQH1062" s="989"/>
      <c r="RQI1062" s="989"/>
      <c r="RQJ1062" s="989"/>
      <c r="RQK1062" s="989"/>
      <c r="RQL1062" s="989"/>
      <c r="RQM1062" s="989"/>
      <c r="RQN1062" s="989"/>
      <c r="RQO1062" s="989"/>
      <c r="RQP1062" s="989"/>
      <c r="RQQ1062" s="989"/>
      <c r="RQR1062" s="989"/>
      <c r="RQS1062" s="989"/>
      <c r="RQT1062" s="989"/>
      <c r="RQU1062" s="989"/>
      <c r="RQV1062" s="989"/>
      <c r="RQW1062" s="989"/>
      <c r="RQX1062" s="989"/>
      <c r="RQY1062" s="989"/>
      <c r="RQZ1062" s="989"/>
      <c r="RRA1062" s="989"/>
      <c r="RRB1062" s="989"/>
      <c r="RRC1062" s="989"/>
      <c r="RRD1062" s="989"/>
      <c r="RRE1062" s="989"/>
      <c r="RRF1062" s="989"/>
      <c r="RRG1062" s="989"/>
      <c r="RRH1062" s="989"/>
      <c r="RRI1062" s="989"/>
      <c r="RRJ1062" s="989"/>
      <c r="RRK1062" s="989"/>
      <c r="RRL1062" s="989"/>
      <c r="RRM1062" s="989"/>
      <c r="RRN1062" s="989"/>
      <c r="RRO1062" s="989"/>
      <c r="RRP1062" s="989"/>
      <c r="RRQ1062" s="989"/>
      <c r="RRR1062" s="989"/>
      <c r="RRS1062" s="989"/>
      <c r="RRT1062" s="989"/>
      <c r="RRU1062" s="989"/>
      <c r="RRV1062" s="989"/>
      <c r="RRW1062" s="989"/>
      <c r="RRX1062" s="989"/>
      <c r="RRY1062" s="989"/>
      <c r="RRZ1062" s="989"/>
      <c r="RSA1062" s="989"/>
      <c r="RSB1062" s="989"/>
      <c r="RSC1062" s="989"/>
      <c r="RSD1062" s="989"/>
      <c r="RSE1062" s="989"/>
      <c r="RSF1062" s="989"/>
      <c r="RSG1062" s="989"/>
      <c r="RSH1062" s="989"/>
      <c r="RSI1062" s="989"/>
      <c r="RSJ1062" s="989"/>
      <c r="RSK1062" s="989"/>
      <c r="RSL1062" s="989"/>
      <c r="RSM1062" s="989"/>
      <c r="RSN1062" s="989"/>
      <c r="RSO1062" s="989"/>
      <c r="RSP1062" s="989"/>
      <c r="RSQ1062" s="989"/>
      <c r="RSR1062" s="989"/>
      <c r="RSS1062" s="989"/>
      <c r="RST1062" s="989"/>
      <c r="RSU1062" s="989"/>
      <c r="RSV1062" s="989"/>
      <c r="RSW1062" s="989"/>
      <c r="RSX1062" s="989"/>
      <c r="RSY1062" s="989"/>
      <c r="RSZ1062" s="989"/>
      <c r="RTA1062" s="989"/>
      <c r="RTB1062" s="989"/>
      <c r="RTC1062" s="989"/>
      <c r="RTD1062" s="989"/>
      <c r="RTE1062" s="989"/>
      <c r="RTF1062" s="989"/>
      <c r="RTG1062" s="989"/>
      <c r="RTH1062" s="989"/>
      <c r="RTI1062" s="989"/>
      <c r="RTJ1062" s="989"/>
      <c r="RTK1062" s="989"/>
      <c r="RTL1062" s="989"/>
      <c r="RTM1062" s="989"/>
      <c r="RTN1062" s="989"/>
      <c r="RTO1062" s="989"/>
      <c r="RTP1062" s="989"/>
      <c r="RTQ1062" s="989"/>
      <c r="RTR1062" s="989"/>
      <c r="RTS1062" s="989"/>
      <c r="RTT1062" s="989"/>
      <c r="RTU1062" s="989"/>
      <c r="RTV1062" s="989"/>
      <c r="RTW1062" s="989"/>
      <c r="RTX1062" s="989"/>
      <c r="RTY1062" s="989"/>
      <c r="RTZ1062" s="989"/>
      <c r="RUA1062" s="989"/>
      <c r="RUB1062" s="989"/>
      <c r="RUC1062" s="989"/>
      <c r="RUD1062" s="989"/>
      <c r="RUE1062" s="989"/>
      <c r="RUF1062" s="989"/>
      <c r="RUG1062" s="989"/>
      <c r="RUH1062" s="989"/>
      <c r="RUI1062" s="989"/>
      <c r="RUJ1062" s="989"/>
      <c r="RUK1062" s="989"/>
      <c r="RUL1062" s="989"/>
      <c r="RUM1062" s="989"/>
      <c r="RUN1062" s="989"/>
      <c r="RUO1062" s="989"/>
      <c r="RUP1062" s="989"/>
      <c r="RUQ1062" s="989"/>
      <c r="RUR1062" s="989"/>
      <c r="RUS1062" s="989"/>
      <c r="RUT1062" s="989"/>
      <c r="RUU1062" s="989"/>
      <c r="RUV1062" s="989"/>
      <c r="RUW1062" s="989"/>
      <c r="RUX1062" s="989"/>
      <c r="RUY1062" s="989"/>
      <c r="RUZ1062" s="989"/>
      <c r="RVA1062" s="989"/>
      <c r="RVB1062" s="989"/>
      <c r="RVC1062" s="989"/>
      <c r="RVD1062" s="989"/>
      <c r="RVE1062" s="989"/>
      <c r="RVF1062" s="989"/>
      <c r="RVG1062" s="989"/>
      <c r="RVH1062" s="989"/>
      <c r="RVI1062" s="989"/>
      <c r="RVJ1062" s="989"/>
      <c r="RVK1062" s="989"/>
      <c r="RVL1062" s="989"/>
      <c r="RVM1062" s="989"/>
      <c r="RVN1062" s="989"/>
      <c r="RVO1062" s="989"/>
      <c r="RVP1062" s="989"/>
      <c r="RVQ1062" s="989"/>
      <c r="RVR1062" s="989"/>
      <c r="RVS1062" s="989"/>
      <c r="RVT1062" s="989"/>
      <c r="RVU1062" s="989"/>
      <c r="RVV1062" s="989"/>
      <c r="RVW1062" s="989"/>
      <c r="RVX1062" s="989"/>
      <c r="RVY1062" s="989"/>
      <c r="RVZ1062" s="989"/>
      <c r="RWA1062" s="989"/>
      <c r="RWB1062" s="989"/>
      <c r="RWC1062" s="989"/>
      <c r="RWD1062" s="989"/>
      <c r="RWE1062" s="989"/>
      <c r="RWF1062" s="989"/>
      <c r="RWG1062" s="989"/>
      <c r="RWH1062" s="989"/>
      <c r="RWI1062" s="989"/>
      <c r="RWJ1062" s="989"/>
      <c r="RWK1062" s="989"/>
      <c r="RWL1062" s="989"/>
      <c r="RWM1062" s="989"/>
      <c r="RWN1062" s="989"/>
      <c r="RWO1062" s="989"/>
      <c r="RWP1062" s="989"/>
      <c r="RWQ1062" s="989"/>
      <c r="RWR1062" s="989"/>
      <c r="RWS1062" s="989"/>
      <c r="RWT1062" s="989"/>
      <c r="RWU1062" s="989"/>
      <c r="RWV1062" s="989"/>
      <c r="RWW1062" s="989"/>
      <c r="RWX1062" s="989"/>
      <c r="RWY1062" s="989"/>
      <c r="RWZ1062" s="989"/>
      <c r="RXA1062" s="989"/>
      <c r="RXB1062" s="989"/>
      <c r="RXC1062" s="989"/>
      <c r="RXD1062" s="989"/>
      <c r="RXE1062" s="989"/>
      <c r="RXF1062" s="989"/>
      <c r="RXG1062" s="989"/>
      <c r="RXH1062" s="989"/>
      <c r="RXI1062" s="989"/>
      <c r="RXJ1062" s="989"/>
      <c r="RXK1062" s="989"/>
      <c r="RXL1062" s="989"/>
      <c r="RXM1062" s="989"/>
      <c r="RXN1062" s="989"/>
      <c r="RXO1062" s="989"/>
      <c r="RXP1062" s="989"/>
      <c r="RXQ1062" s="989"/>
      <c r="RXR1062" s="989"/>
      <c r="RXS1062" s="989"/>
      <c r="RXT1062" s="989"/>
      <c r="RXU1062" s="989"/>
      <c r="RXV1062" s="989"/>
      <c r="RXW1062" s="989"/>
      <c r="RXX1062" s="989"/>
      <c r="RXY1062" s="989"/>
      <c r="RXZ1062" s="989"/>
      <c r="RYA1062" s="989"/>
      <c r="RYB1062" s="989"/>
      <c r="RYC1062" s="989"/>
      <c r="RYD1062" s="989"/>
      <c r="RYE1062" s="989"/>
      <c r="RYF1062" s="989"/>
      <c r="RYG1062" s="989"/>
      <c r="RYH1062" s="989"/>
      <c r="RYI1062" s="989"/>
      <c r="RYJ1062" s="989"/>
      <c r="RYK1062" s="989"/>
      <c r="RYL1062" s="989"/>
      <c r="RYM1062" s="989"/>
      <c r="RYN1062" s="989"/>
      <c r="RYO1062" s="989"/>
      <c r="RYP1062" s="989"/>
      <c r="RYQ1062" s="989"/>
      <c r="RYR1062" s="989"/>
      <c r="RYS1062" s="989"/>
      <c r="RYT1062" s="989"/>
      <c r="RYU1062" s="989"/>
      <c r="RYV1062" s="989"/>
      <c r="RYW1062" s="989"/>
      <c r="RYX1062" s="989"/>
      <c r="RYY1062" s="989"/>
      <c r="RYZ1062" s="989"/>
      <c r="RZA1062" s="989"/>
      <c r="RZB1062" s="989"/>
      <c r="RZC1062" s="989"/>
      <c r="RZD1062" s="989"/>
      <c r="RZE1062" s="989"/>
      <c r="RZF1062" s="989"/>
      <c r="RZG1062" s="989"/>
      <c r="RZH1062" s="989"/>
      <c r="RZI1062" s="989"/>
      <c r="RZJ1062" s="989"/>
      <c r="RZK1062" s="989"/>
      <c r="RZL1062" s="989"/>
      <c r="RZM1062" s="989"/>
      <c r="RZN1062" s="989"/>
      <c r="RZO1062" s="989"/>
      <c r="RZP1062" s="989"/>
      <c r="RZQ1062" s="989"/>
      <c r="RZR1062" s="989"/>
      <c r="RZS1062" s="989"/>
      <c r="RZT1062" s="989"/>
      <c r="RZU1062" s="989"/>
      <c r="RZV1062" s="989"/>
      <c r="RZW1062" s="989"/>
      <c r="RZX1062" s="989"/>
      <c r="RZY1062" s="989"/>
      <c r="RZZ1062" s="989"/>
      <c r="SAA1062" s="989"/>
      <c r="SAB1062" s="989"/>
      <c r="SAC1062" s="989"/>
      <c r="SAD1062" s="989"/>
      <c r="SAE1062" s="989"/>
      <c r="SAF1062" s="989"/>
      <c r="SAG1062" s="989"/>
      <c r="SAH1062" s="989"/>
      <c r="SAI1062" s="989"/>
      <c r="SAJ1062" s="989"/>
      <c r="SAK1062" s="989"/>
      <c r="SAL1062" s="989"/>
      <c r="SAM1062" s="989"/>
      <c r="SAN1062" s="989"/>
      <c r="SAO1062" s="989"/>
      <c r="SAP1062" s="989"/>
      <c r="SAQ1062" s="989"/>
      <c r="SAR1062" s="989"/>
      <c r="SAS1062" s="989"/>
      <c r="SAT1062" s="989"/>
      <c r="SAU1062" s="989"/>
      <c r="SAV1062" s="989"/>
      <c r="SAW1062" s="989"/>
      <c r="SAX1062" s="989"/>
      <c r="SAY1062" s="989"/>
      <c r="SAZ1062" s="989"/>
      <c r="SBA1062" s="989"/>
      <c r="SBB1062" s="989"/>
      <c r="SBC1062" s="989"/>
      <c r="SBD1062" s="989"/>
      <c r="SBE1062" s="989"/>
      <c r="SBF1062" s="989"/>
      <c r="SBG1062" s="989"/>
      <c r="SBH1062" s="989"/>
      <c r="SBI1062" s="989"/>
      <c r="SBJ1062" s="989"/>
      <c r="SBK1062" s="989"/>
      <c r="SBL1062" s="989"/>
      <c r="SBM1062" s="989"/>
      <c r="SBN1062" s="989"/>
      <c r="SBO1062" s="989"/>
      <c r="SBP1062" s="989"/>
      <c r="SBQ1062" s="989"/>
      <c r="SBR1062" s="989"/>
      <c r="SBS1062" s="989"/>
      <c r="SBT1062" s="989"/>
      <c r="SBU1062" s="989"/>
      <c r="SBV1062" s="989"/>
      <c r="SBW1062" s="989"/>
      <c r="SBX1062" s="989"/>
      <c r="SBY1062" s="989"/>
      <c r="SBZ1062" s="989"/>
      <c r="SCA1062" s="989"/>
      <c r="SCB1062" s="989"/>
      <c r="SCC1062" s="989"/>
      <c r="SCD1062" s="989"/>
      <c r="SCE1062" s="989"/>
      <c r="SCF1062" s="989"/>
      <c r="SCG1062" s="989"/>
      <c r="SCH1062" s="989"/>
      <c r="SCI1062" s="989"/>
      <c r="SCJ1062" s="989"/>
      <c r="SCK1062" s="989"/>
      <c r="SCL1062" s="989"/>
      <c r="SCM1062" s="989"/>
      <c r="SCN1062" s="989"/>
      <c r="SCO1062" s="989"/>
      <c r="SCP1062" s="989"/>
      <c r="SCQ1062" s="989"/>
      <c r="SCR1062" s="989"/>
      <c r="SCS1062" s="989"/>
      <c r="SCT1062" s="989"/>
      <c r="SCU1062" s="989"/>
      <c r="SCV1062" s="989"/>
      <c r="SCW1062" s="989"/>
      <c r="SCX1062" s="989"/>
      <c r="SCY1062" s="989"/>
      <c r="SCZ1062" s="989"/>
      <c r="SDA1062" s="989"/>
      <c r="SDB1062" s="989"/>
      <c r="SDC1062" s="989"/>
      <c r="SDD1062" s="989"/>
      <c r="SDE1062" s="989"/>
      <c r="SDF1062" s="989"/>
      <c r="SDG1062" s="989"/>
      <c r="SDH1062" s="989"/>
      <c r="SDI1062" s="989"/>
      <c r="SDJ1062" s="989"/>
      <c r="SDK1062" s="989"/>
      <c r="SDL1062" s="989"/>
      <c r="SDM1062" s="989"/>
      <c r="SDN1062" s="989"/>
      <c r="SDO1062" s="989"/>
      <c r="SDP1062" s="989"/>
      <c r="SDQ1062" s="989"/>
      <c r="SDR1062" s="989"/>
      <c r="SDS1062" s="989"/>
      <c r="SDT1062" s="989"/>
      <c r="SDU1062" s="989"/>
      <c r="SDV1062" s="989"/>
      <c r="SDW1062" s="989"/>
      <c r="SDX1062" s="989"/>
      <c r="SDY1062" s="989"/>
      <c r="SDZ1062" s="989"/>
      <c r="SEA1062" s="989"/>
      <c r="SEB1062" s="989"/>
      <c r="SEC1062" s="989"/>
      <c r="SED1062" s="989"/>
      <c r="SEE1062" s="989"/>
      <c r="SEF1062" s="989"/>
      <c r="SEG1062" s="989"/>
      <c r="SEH1062" s="989"/>
      <c r="SEI1062" s="989"/>
      <c r="SEJ1062" s="989"/>
      <c r="SEK1062" s="989"/>
      <c r="SEL1062" s="989"/>
      <c r="SEM1062" s="989"/>
      <c r="SEN1062" s="989"/>
      <c r="SEO1062" s="989"/>
      <c r="SEP1062" s="989"/>
      <c r="SEQ1062" s="989"/>
      <c r="SER1062" s="989"/>
      <c r="SES1062" s="989"/>
      <c r="SET1062" s="989"/>
      <c r="SEU1062" s="989"/>
      <c r="SEV1062" s="989"/>
      <c r="SEW1062" s="989"/>
      <c r="SEX1062" s="989"/>
      <c r="SEY1062" s="989"/>
      <c r="SEZ1062" s="989"/>
      <c r="SFA1062" s="989"/>
      <c r="SFB1062" s="989"/>
      <c r="SFC1062" s="989"/>
      <c r="SFD1062" s="989"/>
      <c r="SFE1062" s="989"/>
      <c r="SFF1062" s="989"/>
      <c r="SFG1062" s="989"/>
      <c r="SFH1062" s="989"/>
      <c r="SFI1062" s="989"/>
      <c r="SFJ1062" s="989"/>
      <c r="SFK1062" s="989"/>
      <c r="SFL1062" s="989"/>
      <c r="SFM1062" s="989"/>
      <c r="SFN1062" s="989"/>
      <c r="SFO1062" s="989"/>
      <c r="SFP1062" s="989"/>
      <c r="SFQ1062" s="989"/>
      <c r="SFR1062" s="989"/>
      <c r="SFS1062" s="989"/>
      <c r="SFT1062" s="989"/>
      <c r="SFU1062" s="989"/>
      <c r="SFV1062" s="989"/>
      <c r="SFW1062" s="989"/>
      <c r="SFX1062" s="989"/>
      <c r="SFY1062" s="989"/>
      <c r="SFZ1062" s="989"/>
      <c r="SGA1062" s="989"/>
      <c r="SGB1062" s="989"/>
      <c r="SGC1062" s="989"/>
      <c r="SGD1062" s="989"/>
      <c r="SGE1062" s="989"/>
      <c r="SGF1062" s="989"/>
      <c r="SGG1062" s="989"/>
      <c r="SGH1062" s="989"/>
      <c r="SGI1062" s="989"/>
      <c r="SGJ1062" s="989"/>
      <c r="SGK1062" s="989"/>
      <c r="SGL1062" s="989"/>
      <c r="SGM1062" s="989"/>
      <c r="SGN1062" s="989"/>
      <c r="SGO1062" s="989"/>
      <c r="SGP1062" s="989"/>
      <c r="SGQ1062" s="989"/>
      <c r="SGR1062" s="989"/>
      <c r="SGS1062" s="989"/>
      <c r="SGT1062" s="989"/>
      <c r="SGU1062" s="989"/>
      <c r="SGV1062" s="989"/>
      <c r="SGW1062" s="989"/>
      <c r="SGX1062" s="989"/>
      <c r="SGY1062" s="989"/>
      <c r="SGZ1062" s="989"/>
      <c r="SHA1062" s="989"/>
      <c r="SHB1062" s="989"/>
      <c r="SHC1062" s="989"/>
      <c r="SHD1062" s="989"/>
      <c r="SHE1062" s="989"/>
      <c r="SHF1062" s="989"/>
      <c r="SHG1062" s="989"/>
      <c r="SHH1062" s="989"/>
      <c r="SHI1062" s="989"/>
      <c r="SHJ1062" s="989"/>
      <c r="SHK1062" s="989"/>
      <c r="SHL1062" s="989"/>
      <c r="SHM1062" s="989"/>
      <c r="SHN1062" s="989"/>
      <c r="SHO1062" s="989"/>
      <c r="SHP1062" s="989"/>
      <c r="SHQ1062" s="989"/>
      <c r="SHR1062" s="989"/>
      <c r="SHS1062" s="989"/>
      <c r="SHT1062" s="989"/>
      <c r="SHU1062" s="989"/>
      <c r="SHV1062" s="989"/>
      <c r="SHW1062" s="989"/>
      <c r="SHX1062" s="989"/>
      <c r="SHY1062" s="989"/>
      <c r="SHZ1062" s="989"/>
      <c r="SIA1062" s="989"/>
      <c r="SIB1062" s="989"/>
      <c r="SIC1062" s="989"/>
      <c r="SID1062" s="989"/>
      <c r="SIE1062" s="989"/>
      <c r="SIF1062" s="989"/>
      <c r="SIG1062" s="989"/>
      <c r="SIH1062" s="989"/>
      <c r="SII1062" s="989"/>
      <c r="SIJ1062" s="989"/>
      <c r="SIK1062" s="989"/>
      <c r="SIL1062" s="989"/>
      <c r="SIM1062" s="989"/>
      <c r="SIN1062" s="989"/>
      <c r="SIO1062" s="989"/>
      <c r="SIP1062" s="989"/>
      <c r="SIQ1062" s="989"/>
      <c r="SIR1062" s="989"/>
      <c r="SIS1062" s="989"/>
      <c r="SIT1062" s="989"/>
      <c r="SIU1062" s="989"/>
      <c r="SIV1062" s="989"/>
      <c r="SIW1062" s="989"/>
      <c r="SIX1062" s="989"/>
      <c r="SIY1062" s="989"/>
      <c r="SIZ1062" s="989"/>
      <c r="SJA1062" s="989"/>
      <c r="SJB1062" s="989"/>
      <c r="SJC1062" s="989"/>
      <c r="SJD1062" s="989"/>
      <c r="SJE1062" s="989"/>
      <c r="SJF1062" s="989"/>
      <c r="SJG1062" s="989"/>
      <c r="SJH1062" s="989"/>
      <c r="SJI1062" s="989"/>
      <c r="SJJ1062" s="989"/>
      <c r="SJK1062" s="989"/>
      <c r="SJL1062" s="989"/>
      <c r="SJM1062" s="989"/>
      <c r="SJN1062" s="989"/>
      <c r="SJO1062" s="989"/>
      <c r="SJP1062" s="989"/>
      <c r="SJQ1062" s="989"/>
      <c r="SJR1062" s="989"/>
      <c r="SJS1062" s="989"/>
      <c r="SJT1062" s="989"/>
      <c r="SJU1062" s="989"/>
      <c r="SJV1062" s="989"/>
      <c r="SJW1062" s="989"/>
      <c r="SJX1062" s="989"/>
      <c r="SJY1062" s="989"/>
      <c r="SJZ1062" s="989"/>
      <c r="SKA1062" s="989"/>
      <c r="SKB1062" s="989"/>
      <c r="SKC1062" s="989"/>
      <c r="SKD1062" s="989"/>
      <c r="SKE1062" s="989"/>
      <c r="SKF1062" s="989"/>
      <c r="SKG1062" s="989"/>
      <c r="SKH1062" s="989"/>
      <c r="SKI1062" s="989"/>
      <c r="SKJ1062" s="989"/>
      <c r="SKK1062" s="989"/>
      <c r="SKL1062" s="989"/>
      <c r="SKM1062" s="989"/>
      <c r="SKN1062" s="989"/>
      <c r="SKO1062" s="989"/>
      <c r="SKP1062" s="989"/>
      <c r="SKQ1062" s="989"/>
      <c r="SKR1062" s="989"/>
      <c r="SKS1062" s="989"/>
      <c r="SKT1062" s="989"/>
      <c r="SKU1062" s="989"/>
      <c r="SKV1062" s="989"/>
      <c r="SKW1062" s="989"/>
      <c r="SKX1062" s="989"/>
      <c r="SKY1062" s="989"/>
      <c r="SKZ1062" s="989"/>
      <c r="SLA1062" s="989"/>
      <c r="SLB1062" s="989"/>
      <c r="SLC1062" s="989"/>
      <c r="SLD1062" s="989"/>
      <c r="SLE1062" s="989"/>
      <c r="SLF1062" s="989"/>
      <c r="SLG1062" s="989"/>
      <c r="SLH1062" s="989"/>
      <c r="SLI1062" s="989"/>
      <c r="SLJ1062" s="989"/>
      <c r="SLK1062" s="989"/>
      <c r="SLL1062" s="989"/>
      <c r="SLM1062" s="989"/>
      <c r="SLN1062" s="989"/>
      <c r="SLO1062" s="989"/>
      <c r="SLP1062" s="989"/>
      <c r="SLQ1062" s="989"/>
      <c r="SLR1062" s="989"/>
      <c r="SLS1062" s="989"/>
      <c r="SLT1062" s="989"/>
      <c r="SLU1062" s="989"/>
      <c r="SLV1062" s="989"/>
      <c r="SLW1062" s="989"/>
      <c r="SLX1062" s="989"/>
      <c r="SLY1062" s="989"/>
      <c r="SLZ1062" s="989"/>
      <c r="SMA1062" s="989"/>
      <c r="SMB1062" s="989"/>
      <c r="SMC1062" s="989"/>
      <c r="SMD1062" s="989"/>
      <c r="SME1062" s="989"/>
      <c r="SMF1062" s="989"/>
      <c r="SMG1062" s="989"/>
      <c r="SMH1062" s="989"/>
      <c r="SMI1062" s="989"/>
      <c r="SMJ1062" s="989"/>
      <c r="SMK1062" s="989"/>
      <c r="SML1062" s="989"/>
      <c r="SMM1062" s="989"/>
      <c r="SMN1062" s="989"/>
      <c r="SMO1062" s="989"/>
      <c r="SMP1062" s="989"/>
      <c r="SMQ1062" s="989"/>
      <c r="SMR1062" s="989"/>
      <c r="SMS1062" s="989"/>
      <c r="SMT1062" s="989"/>
      <c r="SMU1062" s="989"/>
      <c r="SMV1062" s="989"/>
      <c r="SMW1062" s="989"/>
      <c r="SMX1062" s="989"/>
      <c r="SMY1062" s="989"/>
      <c r="SMZ1062" s="989"/>
      <c r="SNA1062" s="989"/>
      <c r="SNB1062" s="989"/>
      <c r="SNC1062" s="989"/>
      <c r="SND1062" s="989"/>
      <c r="SNE1062" s="989"/>
      <c r="SNF1062" s="989"/>
      <c r="SNG1062" s="989"/>
      <c r="SNH1062" s="989"/>
      <c r="SNI1062" s="989"/>
      <c r="SNJ1062" s="989"/>
      <c r="SNK1062" s="989"/>
      <c r="SNL1062" s="989"/>
      <c r="SNM1062" s="989"/>
      <c r="SNN1062" s="989"/>
      <c r="SNO1062" s="989"/>
      <c r="SNP1062" s="989"/>
      <c r="SNQ1062" s="989"/>
      <c r="SNR1062" s="989"/>
      <c r="SNS1062" s="989"/>
      <c r="SNT1062" s="989"/>
      <c r="SNU1062" s="989"/>
      <c r="SNV1062" s="989"/>
      <c r="SNW1062" s="989"/>
      <c r="SNX1062" s="989"/>
      <c r="SNY1062" s="989"/>
      <c r="SNZ1062" s="989"/>
      <c r="SOA1062" s="989"/>
      <c r="SOB1062" s="989"/>
      <c r="SOC1062" s="989"/>
      <c r="SOD1062" s="989"/>
      <c r="SOE1062" s="989"/>
      <c r="SOF1062" s="989"/>
      <c r="SOG1062" s="989"/>
      <c r="SOH1062" s="989"/>
      <c r="SOI1062" s="989"/>
      <c r="SOJ1062" s="989"/>
      <c r="SOK1062" s="989"/>
      <c r="SOL1062" s="989"/>
      <c r="SOM1062" s="989"/>
      <c r="SON1062" s="989"/>
      <c r="SOO1062" s="989"/>
      <c r="SOP1062" s="989"/>
      <c r="SOQ1062" s="989"/>
      <c r="SOR1062" s="989"/>
      <c r="SOS1062" s="989"/>
      <c r="SOT1062" s="989"/>
      <c r="SOU1062" s="989"/>
      <c r="SOV1062" s="989"/>
      <c r="SOW1062" s="989"/>
      <c r="SOX1062" s="989"/>
      <c r="SOY1062" s="989"/>
      <c r="SOZ1062" s="989"/>
      <c r="SPA1062" s="989"/>
      <c r="SPB1062" s="989"/>
      <c r="SPC1062" s="989"/>
      <c r="SPD1062" s="989"/>
      <c r="SPE1062" s="989"/>
      <c r="SPF1062" s="989"/>
      <c r="SPG1062" s="989"/>
      <c r="SPH1062" s="989"/>
      <c r="SPI1062" s="989"/>
      <c r="SPJ1062" s="989"/>
      <c r="SPK1062" s="989"/>
      <c r="SPL1062" s="989"/>
      <c r="SPM1062" s="989"/>
      <c r="SPN1062" s="989"/>
      <c r="SPO1062" s="989"/>
      <c r="SPP1062" s="989"/>
      <c r="SPQ1062" s="989"/>
      <c r="SPR1062" s="989"/>
      <c r="SPS1062" s="989"/>
      <c r="SPT1062" s="989"/>
      <c r="SPU1062" s="989"/>
      <c r="SPV1062" s="989"/>
      <c r="SPW1062" s="989"/>
      <c r="SPX1062" s="989"/>
      <c r="SPY1062" s="989"/>
      <c r="SPZ1062" s="989"/>
      <c r="SQA1062" s="989"/>
      <c r="SQB1062" s="989"/>
      <c r="SQC1062" s="989"/>
      <c r="SQD1062" s="989"/>
      <c r="SQE1062" s="989"/>
      <c r="SQF1062" s="989"/>
      <c r="SQG1062" s="989"/>
      <c r="SQH1062" s="989"/>
      <c r="SQI1062" s="989"/>
      <c r="SQJ1062" s="989"/>
      <c r="SQK1062" s="989"/>
      <c r="SQL1062" s="989"/>
      <c r="SQM1062" s="989"/>
      <c r="SQN1062" s="989"/>
      <c r="SQO1062" s="989"/>
      <c r="SQP1062" s="989"/>
      <c r="SQQ1062" s="989"/>
      <c r="SQR1062" s="989"/>
      <c r="SQS1062" s="989"/>
      <c r="SQT1062" s="989"/>
      <c r="SQU1062" s="989"/>
      <c r="SQV1062" s="989"/>
      <c r="SQW1062" s="989"/>
      <c r="SQX1062" s="989"/>
      <c r="SQY1062" s="989"/>
      <c r="SQZ1062" s="989"/>
      <c r="SRA1062" s="989"/>
      <c r="SRB1062" s="989"/>
      <c r="SRC1062" s="989"/>
      <c r="SRD1062" s="989"/>
      <c r="SRE1062" s="989"/>
      <c r="SRF1062" s="989"/>
      <c r="SRG1062" s="989"/>
      <c r="SRH1062" s="989"/>
      <c r="SRI1062" s="989"/>
      <c r="SRJ1062" s="989"/>
      <c r="SRK1062" s="989"/>
      <c r="SRL1062" s="989"/>
      <c r="SRM1062" s="989"/>
      <c r="SRN1062" s="989"/>
      <c r="SRO1062" s="989"/>
      <c r="SRP1062" s="989"/>
      <c r="SRQ1062" s="989"/>
      <c r="SRR1062" s="989"/>
      <c r="SRS1062" s="989"/>
      <c r="SRT1062" s="989"/>
      <c r="SRU1062" s="989"/>
      <c r="SRV1062" s="989"/>
      <c r="SRW1062" s="989"/>
      <c r="SRX1062" s="989"/>
      <c r="SRY1062" s="989"/>
      <c r="SRZ1062" s="989"/>
      <c r="SSA1062" s="989"/>
      <c r="SSB1062" s="989"/>
      <c r="SSC1062" s="989"/>
      <c r="SSD1062" s="989"/>
      <c r="SSE1062" s="989"/>
      <c r="SSF1062" s="989"/>
      <c r="SSG1062" s="989"/>
      <c r="SSH1062" s="989"/>
      <c r="SSI1062" s="989"/>
      <c r="SSJ1062" s="989"/>
      <c r="SSK1062" s="989"/>
      <c r="SSL1062" s="989"/>
      <c r="SSM1062" s="989"/>
      <c r="SSN1062" s="989"/>
      <c r="SSO1062" s="989"/>
      <c r="SSP1062" s="989"/>
      <c r="SSQ1062" s="989"/>
      <c r="SSR1062" s="989"/>
      <c r="SSS1062" s="989"/>
      <c r="SST1062" s="989"/>
      <c r="SSU1062" s="989"/>
      <c r="SSV1062" s="989"/>
      <c r="SSW1062" s="989"/>
      <c r="SSX1062" s="989"/>
      <c r="SSY1062" s="989"/>
      <c r="SSZ1062" s="989"/>
      <c r="STA1062" s="989"/>
      <c r="STB1062" s="989"/>
      <c r="STC1062" s="989"/>
      <c r="STD1062" s="989"/>
      <c r="STE1062" s="989"/>
      <c r="STF1062" s="989"/>
      <c r="STG1062" s="989"/>
      <c r="STH1062" s="989"/>
      <c r="STI1062" s="989"/>
      <c r="STJ1062" s="989"/>
      <c r="STK1062" s="989"/>
      <c r="STL1062" s="989"/>
      <c r="STM1062" s="989"/>
      <c r="STN1062" s="989"/>
      <c r="STO1062" s="989"/>
      <c r="STP1062" s="989"/>
      <c r="STQ1062" s="989"/>
      <c r="STR1062" s="989"/>
      <c r="STS1062" s="989"/>
      <c r="STT1062" s="989"/>
      <c r="STU1062" s="989"/>
      <c r="STV1062" s="989"/>
      <c r="STW1062" s="989"/>
      <c r="STX1062" s="989"/>
      <c r="STY1062" s="989"/>
      <c r="STZ1062" s="989"/>
      <c r="SUA1062" s="989"/>
      <c r="SUB1062" s="989"/>
      <c r="SUC1062" s="989"/>
      <c r="SUD1062" s="989"/>
      <c r="SUE1062" s="989"/>
      <c r="SUF1062" s="989"/>
      <c r="SUG1062" s="989"/>
      <c r="SUH1062" s="989"/>
      <c r="SUI1062" s="989"/>
      <c r="SUJ1062" s="989"/>
      <c r="SUK1062" s="989"/>
      <c r="SUL1062" s="989"/>
      <c r="SUM1062" s="989"/>
      <c r="SUN1062" s="989"/>
      <c r="SUO1062" s="989"/>
      <c r="SUP1062" s="989"/>
      <c r="SUQ1062" s="989"/>
      <c r="SUR1062" s="989"/>
      <c r="SUS1062" s="989"/>
      <c r="SUT1062" s="989"/>
      <c r="SUU1062" s="989"/>
      <c r="SUV1062" s="989"/>
      <c r="SUW1062" s="989"/>
      <c r="SUX1062" s="989"/>
      <c r="SUY1062" s="989"/>
      <c r="SUZ1062" s="989"/>
      <c r="SVA1062" s="989"/>
      <c r="SVB1062" s="989"/>
      <c r="SVC1062" s="989"/>
      <c r="SVD1062" s="989"/>
      <c r="SVE1062" s="989"/>
      <c r="SVF1062" s="989"/>
      <c r="SVG1062" s="989"/>
      <c r="SVH1062" s="989"/>
      <c r="SVI1062" s="989"/>
      <c r="SVJ1062" s="989"/>
      <c r="SVK1062" s="989"/>
      <c r="SVL1062" s="989"/>
      <c r="SVM1062" s="989"/>
      <c r="SVN1062" s="989"/>
      <c r="SVO1062" s="989"/>
      <c r="SVP1062" s="989"/>
      <c r="SVQ1062" s="989"/>
      <c r="SVR1062" s="989"/>
      <c r="SVS1062" s="989"/>
      <c r="SVT1062" s="989"/>
      <c r="SVU1062" s="989"/>
      <c r="SVV1062" s="989"/>
      <c r="SVW1062" s="989"/>
      <c r="SVX1062" s="989"/>
      <c r="SVY1062" s="989"/>
      <c r="SVZ1062" s="989"/>
      <c r="SWA1062" s="989"/>
      <c r="SWB1062" s="989"/>
      <c r="SWC1062" s="989"/>
      <c r="SWD1062" s="989"/>
      <c r="SWE1062" s="989"/>
      <c r="SWF1062" s="989"/>
      <c r="SWG1062" s="989"/>
      <c r="SWH1062" s="989"/>
      <c r="SWI1062" s="989"/>
      <c r="SWJ1062" s="989"/>
      <c r="SWK1062" s="989"/>
      <c r="SWL1062" s="989"/>
      <c r="SWM1062" s="989"/>
      <c r="SWN1062" s="989"/>
      <c r="SWO1062" s="989"/>
      <c r="SWP1062" s="989"/>
      <c r="SWQ1062" s="989"/>
      <c r="SWR1062" s="989"/>
      <c r="SWS1062" s="989"/>
      <c r="SWT1062" s="989"/>
      <c r="SWU1062" s="989"/>
      <c r="SWV1062" s="989"/>
      <c r="SWW1062" s="989"/>
      <c r="SWX1062" s="989"/>
      <c r="SWY1062" s="989"/>
      <c r="SWZ1062" s="989"/>
      <c r="SXA1062" s="989"/>
      <c r="SXB1062" s="989"/>
      <c r="SXC1062" s="989"/>
      <c r="SXD1062" s="989"/>
      <c r="SXE1062" s="989"/>
      <c r="SXF1062" s="989"/>
      <c r="SXG1062" s="989"/>
      <c r="SXH1062" s="989"/>
      <c r="SXI1062" s="989"/>
      <c r="SXJ1062" s="989"/>
      <c r="SXK1062" s="989"/>
      <c r="SXL1062" s="989"/>
      <c r="SXM1062" s="989"/>
      <c r="SXN1062" s="989"/>
      <c r="SXO1062" s="989"/>
      <c r="SXP1062" s="989"/>
      <c r="SXQ1062" s="989"/>
      <c r="SXR1062" s="989"/>
      <c r="SXS1062" s="989"/>
      <c r="SXT1062" s="989"/>
      <c r="SXU1062" s="989"/>
      <c r="SXV1062" s="989"/>
      <c r="SXW1062" s="989"/>
      <c r="SXX1062" s="989"/>
      <c r="SXY1062" s="989"/>
      <c r="SXZ1062" s="989"/>
      <c r="SYA1062" s="989"/>
      <c r="SYB1062" s="989"/>
      <c r="SYC1062" s="989"/>
      <c r="SYD1062" s="989"/>
      <c r="SYE1062" s="989"/>
      <c r="SYF1062" s="989"/>
      <c r="SYG1062" s="989"/>
      <c r="SYH1062" s="989"/>
      <c r="SYI1062" s="989"/>
      <c r="SYJ1062" s="989"/>
      <c r="SYK1062" s="989"/>
      <c r="SYL1062" s="989"/>
      <c r="SYM1062" s="989"/>
      <c r="SYN1062" s="989"/>
      <c r="SYO1062" s="989"/>
      <c r="SYP1062" s="989"/>
      <c r="SYQ1062" s="989"/>
      <c r="SYR1062" s="989"/>
      <c r="SYS1062" s="989"/>
      <c r="SYT1062" s="989"/>
      <c r="SYU1062" s="989"/>
      <c r="SYV1062" s="989"/>
      <c r="SYW1062" s="989"/>
      <c r="SYX1062" s="989"/>
      <c r="SYY1062" s="989"/>
      <c r="SYZ1062" s="989"/>
      <c r="SZA1062" s="989"/>
      <c r="SZB1062" s="989"/>
      <c r="SZC1062" s="989"/>
      <c r="SZD1062" s="989"/>
      <c r="SZE1062" s="989"/>
      <c r="SZF1062" s="989"/>
      <c r="SZG1062" s="989"/>
      <c r="SZH1062" s="989"/>
      <c r="SZI1062" s="989"/>
      <c r="SZJ1062" s="989"/>
      <c r="SZK1062" s="989"/>
      <c r="SZL1062" s="989"/>
      <c r="SZM1062" s="989"/>
      <c r="SZN1062" s="989"/>
      <c r="SZO1062" s="989"/>
      <c r="SZP1062" s="989"/>
      <c r="SZQ1062" s="989"/>
      <c r="SZR1062" s="989"/>
      <c r="SZS1062" s="989"/>
      <c r="SZT1062" s="989"/>
      <c r="SZU1062" s="989"/>
      <c r="SZV1062" s="989"/>
      <c r="SZW1062" s="989"/>
      <c r="SZX1062" s="989"/>
      <c r="SZY1062" s="989"/>
      <c r="SZZ1062" s="989"/>
      <c r="TAA1062" s="989"/>
      <c r="TAB1062" s="989"/>
      <c r="TAC1062" s="989"/>
      <c r="TAD1062" s="989"/>
      <c r="TAE1062" s="989"/>
      <c r="TAF1062" s="989"/>
      <c r="TAG1062" s="989"/>
      <c r="TAH1062" s="989"/>
      <c r="TAI1062" s="989"/>
      <c r="TAJ1062" s="989"/>
      <c r="TAK1062" s="989"/>
      <c r="TAL1062" s="989"/>
      <c r="TAM1062" s="989"/>
      <c r="TAN1062" s="989"/>
      <c r="TAO1062" s="989"/>
      <c r="TAP1062" s="989"/>
      <c r="TAQ1062" s="989"/>
      <c r="TAR1062" s="989"/>
      <c r="TAS1062" s="989"/>
      <c r="TAT1062" s="989"/>
      <c r="TAU1062" s="989"/>
      <c r="TAV1062" s="989"/>
      <c r="TAW1062" s="989"/>
      <c r="TAX1062" s="989"/>
      <c r="TAY1062" s="989"/>
      <c r="TAZ1062" s="989"/>
      <c r="TBA1062" s="989"/>
      <c r="TBB1062" s="989"/>
      <c r="TBC1062" s="989"/>
      <c r="TBD1062" s="989"/>
      <c r="TBE1062" s="989"/>
      <c r="TBF1062" s="989"/>
      <c r="TBG1062" s="989"/>
      <c r="TBH1062" s="989"/>
      <c r="TBI1062" s="989"/>
      <c r="TBJ1062" s="989"/>
      <c r="TBK1062" s="989"/>
      <c r="TBL1062" s="989"/>
      <c r="TBM1062" s="989"/>
      <c r="TBN1062" s="989"/>
      <c r="TBO1062" s="989"/>
      <c r="TBP1062" s="989"/>
      <c r="TBQ1062" s="989"/>
      <c r="TBR1062" s="989"/>
      <c r="TBS1062" s="989"/>
      <c r="TBT1062" s="989"/>
      <c r="TBU1062" s="989"/>
      <c r="TBV1062" s="989"/>
      <c r="TBW1062" s="989"/>
      <c r="TBX1062" s="989"/>
      <c r="TBY1062" s="989"/>
      <c r="TBZ1062" s="989"/>
      <c r="TCA1062" s="989"/>
      <c r="TCB1062" s="989"/>
      <c r="TCC1062" s="989"/>
      <c r="TCD1062" s="989"/>
      <c r="TCE1062" s="989"/>
      <c r="TCF1062" s="989"/>
      <c r="TCG1062" s="989"/>
      <c r="TCH1062" s="989"/>
      <c r="TCI1062" s="989"/>
      <c r="TCJ1062" s="989"/>
      <c r="TCK1062" s="989"/>
      <c r="TCL1062" s="989"/>
      <c r="TCM1062" s="989"/>
      <c r="TCN1062" s="989"/>
      <c r="TCO1062" s="989"/>
      <c r="TCP1062" s="989"/>
      <c r="TCQ1062" s="989"/>
      <c r="TCR1062" s="989"/>
      <c r="TCS1062" s="989"/>
      <c r="TCT1062" s="989"/>
      <c r="TCU1062" s="989"/>
      <c r="TCV1062" s="989"/>
      <c r="TCW1062" s="989"/>
      <c r="TCX1062" s="989"/>
      <c r="TCY1062" s="989"/>
      <c r="TCZ1062" s="989"/>
      <c r="TDA1062" s="989"/>
      <c r="TDB1062" s="989"/>
      <c r="TDC1062" s="989"/>
      <c r="TDD1062" s="989"/>
      <c r="TDE1062" s="989"/>
      <c r="TDF1062" s="989"/>
      <c r="TDG1062" s="989"/>
      <c r="TDH1062" s="989"/>
      <c r="TDI1062" s="989"/>
      <c r="TDJ1062" s="989"/>
      <c r="TDK1062" s="989"/>
      <c r="TDL1062" s="989"/>
      <c r="TDM1062" s="989"/>
      <c r="TDN1062" s="989"/>
      <c r="TDO1062" s="989"/>
      <c r="TDP1062" s="989"/>
      <c r="TDQ1062" s="989"/>
      <c r="TDR1062" s="989"/>
      <c r="TDS1062" s="989"/>
      <c r="TDT1062" s="989"/>
      <c r="TDU1062" s="989"/>
      <c r="TDV1062" s="989"/>
      <c r="TDW1062" s="989"/>
      <c r="TDX1062" s="989"/>
      <c r="TDY1062" s="989"/>
      <c r="TDZ1062" s="989"/>
      <c r="TEA1062" s="989"/>
      <c r="TEB1062" s="989"/>
      <c r="TEC1062" s="989"/>
      <c r="TED1062" s="989"/>
      <c r="TEE1062" s="989"/>
      <c r="TEF1062" s="989"/>
      <c r="TEG1062" s="989"/>
      <c r="TEH1062" s="989"/>
      <c r="TEI1062" s="989"/>
      <c r="TEJ1062" s="989"/>
      <c r="TEK1062" s="989"/>
      <c r="TEL1062" s="989"/>
      <c r="TEM1062" s="989"/>
      <c r="TEN1062" s="989"/>
      <c r="TEO1062" s="989"/>
      <c r="TEP1062" s="989"/>
      <c r="TEQ1062" s="989"/>
      <c r="TER1062" s="989"/>
      <c r="TES1062" s="989"/>
      <c r="TET1062" s="989"/>
      <c r="TEU1062" s="989"/>
      <c r="TEV1062" s="989"/>
      <c r="TEW1062" s="989"/>
      <c r="TEX1062" s="989"/>
      <c r="TEY1062" s="989"/>
      <c r="TEZ1062" s="989"/>
      <c r="TFA1062" s="989"/>
      <c r="TFB1062" s="989"/>
      <c r="TFC1062" s="989"/>
      <c r="TFD1062" s="989"/>
      <c r="TFE1062" s="989"/>
      <c r="TFF1062" s="989"/>
      <c r="TFG1062" s="989"/>
      <c r="TFH1062" s="989"/>
      <c r="TFI1062" s="989"/>
      <c r="TFJ1062" s="989"/>
      <c r="TFK1062" s="989"/>
      <c r="TFL1062" s="989"/>
      <c r="TFM1062" s="989"/>
      <c r="TFN1062" s="989"/>
      <c r="TFO1062" s="989"/>
      <c r="TFP1062" s="989"/>
      <c r="TFQ1062" s="989"/>
      <c r="TFR1062" s="989"/>
      <c r="TFS1062" s="989"/>
      <c r="TFT1062" s="989"/>
      <c r="TFU1062" s="989"/>
      <c r="TFV1062" s="989"/>
      <c r="TFW1062" s="989"/>
      <c r="TFX1062" s="989"/>
      <c r="TFY1062" s="989"/>
      <c r="TFZ1062" s="989"/>
      <c r="TGA1062" s="989"/>
      <c r="TGB1062" s="989"/>
      <c r="TGC1062" s="989"/>
      <c r="TGD1062" s="989"/>
      <c r="TGE1062" s="989"/>
      <c r="TGF1062" s="989"/>
      <c r="TGG1062" s="989"/>
      <c r="TGH1062" s="989"/>
      <c r="TGI1062" s="989"/>
      <c r="TGJ1062" s="989"/>
      <c r="TGK1062" s="989"/>
      <c r="TGL1062" s="989"/>
      <c r="TGM1062" s="989"/>
      <c r="TGN1062" s="989"/>
      <c r="TGO1062" s="989"/>
      <c r="TGP1062" s="989"/>
      <c r="TGQ1062" s="989"/>
      <c r="TGR1062" s="989"/>
      <c r="TGS1062" s="989"/>
      <c r="TGT1062" s="989"/>
      <c r="TGU1062" s="989"/>
      <c r="TGV1062" s="989"/>
      <c r="TGW1062" s="989"/>
      <c r="TGX1062" s="989"/>
      <c r="TGY1062" s="989"/>
      <c r="TGZ1062" s="989"/>
      <c r="THA1062" s="989"/>
      <c r="THB1062" s="989"/>
      <c r="THC1062" s="989"/>
      <c r="THD1062" s="989"/>
      <c r="THE1062" s="989"/>
      <c r="THF1062" s="989"/>
      <c r="THG1062" s="989"/>
      <c r="THH1062" s="989"/>
      <c r="THI1062" s="989"/>
      <c r="THJ1062" s="989"/>
      <c r="THK1062" s="989"/>
      <c r="THL1062" s="989"/>
      <c r="THM1062" s="989"/>
      <c r="THN1062" s="989"/>
      <c r="THO1062" s="989"/>
      <c r="THP1062" s="989"/>
      <c r="THQ1062" s="989"/>
      <c r="THR1062" s="989"/>
      <c r="THS1062" s="989"/>
      <c r="THT1062" s="989"/>
      <c r="THU1062" s="989"/>
      <c r="THV1062" s="989"/>
      <c r="THW1062" s="989"/>
      <c r="THX1062" s="989"/>
      <c r="THY1062" s="989"/>
      <c r="THZ1062" s="989"/>
      <c r="TIA1062" s="989"/>
      <c r="TIB1062" s="989"/>
      <c r="TIC1062" s="989"/>
      <c r="TID1062" s="989"/>
      <c r="TIE1062" s="989"/>
      <c r="TIF1062" s="989"/>
      <c r="TIG1062" s="989"/>
      <c r="TIH1062" s="989"/>
      <c r="TII1062" s="989"/>
      <c r="TIJ1062" s="989"/>
      <c r="TIK1062" s="989"/>
      <c r="TIL1062" s="989"/>
      <c r="TIM1062" s="989"/>
      <c r="TIN1062" s="989"/>
      <c r="TIO1062" s="989"/>
      <c r="TIP1062" s="989"/>
      <c r="TIQ1062" s="989"/>
      <c r="TIR1062" s="989"/>
      <c r="TIS1062" s="989"/>
      <c r="TIT1062" s="989"/>
      <c r="TIU1062" s="989"/>
      <c r="TIV1062" s="989"/>
      <c r="TIW1062" s="989"/>
      <c r="TIX1062" s="989"/>
      <c r="TIY1062" s="989"/>
      <c r="TIZ1062" s="989"/>
      <c r="TJA1062" s="989"/>
      <c r="TJB1062" s="989"/>
      <c r="TJC1062" s="989"/>
      <c r="TJD1062" s="989"/>
      <c r="TJE1062" s="989"/>
      <c r="TJF1062" s="989"/>
      <c r="TJG1062" s="989"/>
      <c r="TJH1062" s="989"/>
      <c r="TJI1062" s="989"/>
      <c r="TJJ1062" s="989"/>
      <c r="TJK1062" s="989"/>
      <c r="TJL1062" s="989"/>
      <c r="TJM1062" s="989"/>
      <c r="TJN1062" s="989"/>
      <c r="TJO1062" s="989"/>
      <c r="TJP1062" s="989"/>
      <c r="TJQ1062" s="989"/>
      <c r="TJR1062" s="989"/>
      <c r="TJS1062" s="989"/>
      <c r="TJT1062" s="989"/>
      <c r="TJU1062" s="989"/>
      <c r="TJV1062" s="989"/>
      <c r="TJW1062" s="989"/>
      <c r="TJX1062" s="989"/>
      <c r="TJY1062" s="989"/>
      <c r="TJZ1062" s="989"/>
      <c r="TKA1062" s="989"/>
      <c r="TKB1062" s="989"/>
      <c r="TKC1062" s="989"/>
      <c r="TKD1062" s="989"/>
      <c r="TKE1062" s="989"/>
      <c r="TKF1062" s="989"/>
      <c r="TKG1062" s="989"/>
      <c r="TKH1062" s="989"/>
      <c r="TKI1062" s="989"/>
      <c r="TKJ1062" s="989"/>
      <c r="TKK1062" s="989"/>
      <c r="TKL1062" s="989"/>
      <c r="TKM1062" s="989"/>
      <c r="TKN1062" s="989"/>
      <c r="TKO1062" s="989"/>
      <c r="TKP1062" s="989"/>
      <c r="TKQ1062" s="989"/>
      <c r="TKR1062" s="989"/>
      <c r="TKS1062" s="989"/>
      <c r="TKT1062" s="989"/>
      <c r="TKU1062" s="989"/>
      <c r="TKV1062" s="989"/>
      <c r="TKW1062" s="989"/>
      <c r="TKX1062" s="989"/>
      <c r="TKY1062" s="989"/>
      <c r="TKZ1062" s="989"/>
      <c r="TLA1062" s="989"/>
      <c r="TLB1062" s="989"/>
      <c r="TLC1062" s="989"/>
      <c r="TLD1062" s="989"/>
      <c r="TLE1062" s="989"/>
      <c r="TLF1062" s="989"/>
      <c r="TLG1062" s="989"/>
      <c r="TLH1062" s="989"/>
      <c r="TLI1062" s="989"/>
      <c r="TLJ1062" s="989"/>
      <c r="TLK1062" s="989"/>
      <c r="TLL1062" s="989"/>
      <c r="TLM1062" s="989"/>
      <c r="TLN1062" s="989"/>
      <c r="TLO1062" s="989"/>
      <c r="TLP1062" s="989"/>
      <c r="TLQ1062" s="989"/>
      <c r="TLR1062" s="989"/>
      <c r="TLS1062" s="989"/>
      <c r="TLT1062" s="989"/>
      <c r="TLU1062" s="989"/>
      <c r="TLV1062" s="989"/>
      <c r="TLW1062" s="989"/>
      <c r="TLX1062" s="989"/>
      <c r="TLY1062" s="989"/>
      <c r="TLZ1062" s="989"/>
      <c r="TMA1062" s="989"/>
      <c r="TMB1062" s="989"/>
      <c r="TMC1062" s="989"/>
      <c r="TMD1062" s="989"/>
      <c r="TME1062" s="989"/>
      <c r="TMF1062" s="989"/>
      <c r="TMG1062" s="989"/>
      <c r="TMH1062" s="989"/>
      <c r="TMI1062" s="989"/>
      <c r="TMJ1062" s="989"/>
      <c r="TMK1062" s="989"/>
      <c r="TML1062" s="989"/>
      <c r="TMM1062" s="989"/>
      <c r="TMN1062" s="989"/>
      <c r="TMO1062" s="989"/>
      <c r="TMP1062" s="989"/>
      <c r="TMQ1062" s="989"/>
      <c r="TMR1062" s="989"/>
      <c r="TMS1062" s="989"/>
      <c r="TMT1062" s="989"/>
      <c r="TMU1062" s="989"/>
      <c r="TMV1062" s="989"/>
      <c r="TMW1062" s="989"/>
      <c r="TMX1062" s="989"/>
      <c r="TMY1062" s="989"/>
      <c r="TMZ1062" s="989"/>
      <c r="TNA1062" s="989"/>
      <c r="TNB1062" s="989"/>
      <c r="TNC1062" s="989"/>
      <c r="TND1062" s="989"/>
      <c r="TNE1062" s="989"/>
      <c r="TNF1062" s="989"/>
      <c r="TNG1062" s="989"/>
      <c r="TNH1062" s="989"/>
      <c r="TNI1062" s="989"/>
      <c r="TNJ1062" s="989"/>
      <c r="TNK1062" s="989"/>
      <c r="TNL1062" s="989"/>
      <c r="TNM1062" s="989"/>
      <c r="TNN1062" s="989"/>
      <c r="TNO1062" s="989"/>
      <c r="TNP1062" s="989"/>
      <c r="TNQ1062" s="989"/>
      <c r="TNR1062" s="989"/>
      <c r="TNS1062" s="989"/>
      <c r="TNT1062" s="989"/>
      <c r="TNU1062" s="989"/>
      <c r="TNV1062" s="989"/>
      <c r="TNW1062" s="989"/>
      <c r="TNX1062" s="989"/>
      <c r="TNY1062" s="989"/>
      <c r="TNZ1062" s="989"/>
      <c r="TOA1062" s="989"/>
      <c r="TOB1062" s="989"/>
      <c r="TOC1062" s="989"/>
      <c r="TOD1062" s="989"/>
      <c r="TOE1062" s="989"/>
      <c r="TOF1062" s="989"/>
      <c r="TOG1062" s="989"/>
      <c r="TOH1062" s="989"/>
      <c r="TOI1062" s="989"/>
      <c r="TOJ1062" s="989"/>
      <c r="TOK1062" s="989"/>
      <c r="TOL1062" s="989"/>
      <c r="TOM1062" s="989"/>
      <c r="TON1062" s="989"/>
      <c r="TOO1062" s="989"/>
      <c r="TOP1062" s="989"/>
      <c r="TOQ1062" s="989"/>
      <c r="TOR1062" s="989"/>
      <c r="TOS1062" s="989"/>
      <c r="TOT1062" s="989"/>
      <c r="TOU1062" s="989"/>
      <c r="TOV1062" s="989"/>
      <c r="TOW1062" s="989"/>
      <c r="TOX1062" s="989"/>
      <c r="TOY1062" s="989"/>
      <c r="TOZ1062" s="989"/>
      <c r="TPA1062" s="989"/>
      <c r="TPB1062" s="989"/>
      <c r="TPC1062" s="989"/>
      <c r="TPD1062" s="989"/>
      <c r="TPE1062" s="989"/>
      <c r="TPF1062" s="989"/>
      <c r="TPG1062" s="989"/>
      <c r="TPH1062" s="989"/>
      <c r="TPI1062" s="989"/>
      <c r="TPJ1062" s="989"/>
      <c r="TPK1062" s="989"/>
      <c r="TPL1062" s="989"/>
      <c r="TPM1062" s="989"/>
      <c r="TPN1062" s="989"/>
      <c r="TPO1062" s="989"/>
      <c r="TPP1062" s="989"/>
      <c r="TPQ1062" s="989"/>
      <c r="TPR1062" s="989"/>
      <c r="TPS1062" s="989"/>
      <c r="TPT1062" s="989"/>
      <c r="TPU1062" s="989"/>
      <c r="TPV1062" s="989"/>
      <c r="TPW1062" s="989"/>
      <c r="TPX1062" s="989"/>
      <c r="TPY1062" s="989"/>
      <c r="TPZ1062" s="989"/>
      <c r="TQA1062" s="989"/>
      <c r="TQB1062" s="989"/>
      <c r="TQC1062" s="989"/>
      <c r="TQD1062" s="989"/>
      <c r="TQE1062" s="989"/>
      <c r="TQF1062" s="989"/>
      <c r="TQG1062" s="989"/>
      <c r="TQH1062" s="989"/>
      <c r="TQI1062" s="989"/>
      <c r="TQJ1062" s="989"/>
      <c r="TQK1062" s="989"/>
      <c r="TQL1062" s="989"/>
      <c r="TQM1062" s="989"/>
      <c r="TQN1062" s="989"/>
      <c r="TQO1062" s="989"/>
      <c r="TQP1062" s="989"/>
      <c r="TQQ1062" s="989"/>
      <c r="TQR1062" s="989"/>
      <c r="TQS1062" s="989"/>
      <c r="TQT1062" s="989"/>
      <c r="TQU1062" s="989"/>
      <c r="TQV1062" s="989"/>
      <c r="TQW1062" s="989"/>
      <c r="TQX1062" s="989"/>
      <c r="TQY1062" s="989"/>
      <c r="TQZ1062" s="989"/>
      <c r="TRA1062" s="989"/>
      <c r="TRB1062" s="989"/>
      <c r="TRC1062" s="989"/>
      <c r="TRD1062" s="989"/>
      <c r="TRE1062" s="989"/>
      <c r="TRF1062" s="989"/>
      <c r="TRG1062" s="989"/>
      <c r="TRH1062" s="989"/>
      <c r="TRI1062" s="989"/>
      <c r="TRJ1062" s="989"/>
      <c r="TRK1062" s="989"/>
      <c r="TRL1062" s="989"/>
      <c r="TRM1062" s="989"/>
      <c r="TRN1062" s="989"/>
      <c r="TRO1062" s="989"/>
      <c r="TRP1062" s="989"/>
      <c r="TRQ1062" s="989"/>
      <c r="TRR1062" s="989"/>
      <c r="TRS1062" s="989"/>
      <c r="TRT1062" s="989"/>
      <c r="TRU1062" s="989"/>
      <c r="TRV1062" s="989"/>
      <c r="TRW1062" s="989"/>
      <c r="TRX1062" s="989"/>
      <c r="TRY1062" s="989"/>
      <c r="TRZ1062" s="989"/>
      <c r="TSA1062" s="989"/>
      <c r="TSB1062" s="989"/>
      <c r="TSC1062" s="989"/>
      <c r="TSD1062" s="989"/>
      <c r="TSE1062" s="989"/>
      <c r="TSF1062" s="989"/>
      <c r="TSG1062" s="989"/>
      <c r="TSH1062" s="989"/>
      <c r="TSI1062" s="989"/>
      <c r="TSJ1062" s="989"/>
      <c r="TSK1062" s="989"/>
      <c r="TSL1062" s="989"/>
      <c r="TSM1062" s="989"/>
      <c r="TSN1062" s="989"/>
      <c r="TSO1062" s="989"/>
      <c r="TSP1062" s="989"/>
      <c r="TSQ1062" s="989"/>
      <c r="TSR1062" s="989"/>
      <c r="TSS1062" s="989"/>
      <c r="TST1062" s="989"/>
      <c r="TSU1062" s="989"/>
      <c r="TSV1062" s="989"/>
      <c r="TSW1062" s="989"/>
      <c r="TSX1062" s="989"/>
      <c r="TSY1062" s="989"/>
      <c r="TSZ1062" s="989"/>
      <c r="TTA1062" s="989"/>
      <c r="TTB1062" s="989"/>
      <c r="TTC1062" s="989"/>
      <c r="TTD1062" s="989"/>
      <c r="TTE1062" s="989"/>
      <c r="TTF1062" s="989"/>
      <c r="TTG1062" s="989"/>
      <c r="TTH1062" s="989"/>
      <c r="TTI1062" s="989"/>
      <c r="TTJ1062" s="989"/>
      <c r="TTK1062" s="989"/>
      <c r="TTL1062" s="989"/>
      <c r="TTM1062" s="989"/>
      <c r="TTN1062" s="989"/>
      <c r="TTO1062" s="989"/>
      <c r="TTP1062" s="989"/>
      <c r="TTQ1062" s="989"/>
      <c r="TTR1062" s="989"/>
      <c r="TTS1062" s="989"/>
      <c r="TTT1062" s="989"/>
      <c r="TTU1062" s="989"/>
      <c r="TTV1062" s="989"/>
      <c r="TTW1062" s="989"/>
      <c r="TTX1062" s="989"/>
      <c r="TTY1062" s="989"/>
      <c r="TTZ1062" s="989"/>
      <c r="TUA1062" s="989"/>
      <c r="TUB1062" s="989"/>
      <c r="TUC1062" s="989"/>
      <c r="TUD1062" s="989"/>
      <c r="TUE1062" s="989"/>
      <c r="TUF1062" s="989"/>
      <c r="TUG1062" s="989"/>
      <c r="TUH1062" s="989"/>
      <c r="TUI1062" s="989"/>
      <c r="TUJ1062" s="989"/>
      <c r="TUK1062" s="989"/>
      <c r="TUL1062" s="989"/>
      <c r="TUM1062" s="989"/>
      <c r="TUN1062" s="989"/>
      <c r="TUO1062" s="989"/>
      <c r="TUP1062" s="989"/>
      <c r="TUQ1062" s="989"/>
      <c r="TUR1062" s="989"/>
      <c r="TUS1062" s="989"/>
      <c r="TUT1062" s="989"/>
      <c r="TUU1062" s="989"/>
      <c r="TUV1062" s="989"/>
      <c r="TUW1062" s="989"/>
      <c r="TUX1062" s="989"/>
      <c r="TUY1062" s="989"/>
      <c r="TUZ1062" s="989"/>
      <c r="TVA1062" s="989"/>
      <c r="TVB1062" s="989"/>
      <c r="TVC1062" s="989"/>
      <c r="TVD1062" s="989"/>
      <c r="TVE1062" s="989"/>
      <c r="TVF1062" s="989"/>
      <c r="TVG1062" s="989"/>
      <c r="TVH1062" s="989"/>
      <c r="TVI1062" s="989"/>
      <c r="TVJ1062" s="989"/>
      <c r="TVK1062" s="989"/>
      <c r="TVL1062" s="989"/>
      <c r="TVM1062" s="989"/>
      <c r="TVN1062" s="989"/>
      <c r="TVO1062" s="989"/>
      <c r="TVP1062" s="989"/>
      <c r="TVQ1062" s="989"/>
      <c r="TVR1062" s="989"/>
      <c r="TVS1062" s="989"/>
      <c r="TVT1062" s="989"/>
      <c r="TVU1062" s="989"/>
      <c r="TVV1062" s="989"/>
      <c r="TVW1062" s="989"/>
      <c r="TVX1062" s="989"/>
      <c r="TVY1062" s="989"/>
      <c r="TVZ1062" s="989"/>
      <c r="TWA1062" s="989"/>
      <c r="TWB1062" s="989"/>
      <c r="TWC1062" s="989"/>
      <c r="TWD1062" s="989"/>
      <c r="TWE1062" s="989"/>
      <c r="TWF1062" s="989"/>
      <c r="TWG1062" s="989"/>
      <c r="TWH1062" s="989"/>
      <c r="TWI1062" s="989"/>
      <c r="TWJ1062" s="989"/>
      <c r="TWK1062" s="989"/>
      <c r="TWL1062" s="989"/>
      <c r="TWM1062" s="989"/>
      <c r="TWN1062" s="989"/>
      <c r="TWO1062" s="989"/>
      <c r="TWP1062" s="989"/>
      <c r="TWQ1062" s="989"/>
      <c r="TWR1062" s="989"/>
      <c r="TWS1062" s="989"/>
      <c r="TWT1062" s="989"/>
      <c r="TWU1062" s="989"/>
      <c r="TWV1062" s="989"/>
      <c r="TWW1062" s="989"/>
      <c r="TWX1062" s="989"/>
      <c r="TWY1062" s="989"/>
      <c r="TWZ1062" s="989"/>
      <c r="TXA1062" s="989"/>
      <c r="TXB1062" s="989"/>
      <c r="TXC1062" s="989"/>
      <c r="TXD1062" s="989"/>
      <c r="TXE1062" s="989"/>
      <c r="TXF1062" s="989"/>
      <c r="TXG1062" s="989"/>
      <c r="TXH1062" s="989"/>
      <c r="TXI1062" s="989"/>
      <c r="TXJ1062" s="989"/>
      <c r="TXK1062" s="989"/>
      <c r="TXL1062" s="989"/>
      <c r="TXM1062" s="989"/>
      <c r="TXN1062" s="989"/>
      <c r="TXO1062" s="989"/>
      <c r="TXP1062" s="989"/>
      <c r="TXQ1062" s="989"/>
      <c r="TXR1062" s="989"/>
      <c r="TXS1062" s="989"/>
      <c r="TXT1062" s="989"/>
      <c r="TXU1062" s="989"/>
      <c r="TXV1062" s="989"/>
      <c r="TXW1062" s="989"/>
      <c r="TXX1062" s="989"/>
      <c r="TXY1062" s="989"/>
      <c r="TXZ1062" s="989"/>
      <c r="TYA1062" s="989"/>
      <c r="TYB1062" s="989"/>
      <c r="TYC1062" s="989"/>
      <c r="TYD1062" s="989"/>
      <c r="TYE1062" s="989"/>
      <c r="TYF1062" s="989"/>
      <c r="TYG1062" s="989"/>
      <c r="TYH1062" s="989"/>
      <c r="TYI1062" s="989"/>
      <c r="TYJ1062" s="989"/>
      <c r="TYK1062" s="989"/>
      <c r="TYL1062" s="989"/>
      <c r="TYM1062" s="989"/>
      <c r="TYN1062" s="989"/>
      <c r="TYO1062" s="989"/>
      <c r="TYP1062" s="989"/>
      <c r="TYQ1062" s="989"/>
      <c r="TYR1062" s="989"/>
      <c r="TYS1062" s="989"/>
      <c r="TYT1062" s="989"/>
      <c r="TYU1062" s="989"/>
      <c r="TYV1062" s="989"/>
      <c r="TYW1062" s="989"/>
      <c r="TYX1062" s="989"/>
      <c r="TYY1062" s="989"/>
      <c r="TYZ1062" s="989"/>
      <c r="TZA1062" s="989"/>
      <c r="TZB1062" s="989"/>
      <c r="TZC1062" s="989"/>
      <c r="TZD1062" s="989"/>
      <c r="TZE1062" s="989"/>
      <c r="TZF1062" s="989"/>
      <c r="TZG1062" s="989"/>
      <c r="TZH1062" s="989"/>
      <c r="TZI1062" s="989"/>
      <c r="TZJ1062" s="989"/>
      <c r="TZK1062" s="989"/>
      <c r="TZL1062" s="989"/>
      <c r="TZM1062" s="989"/>
      <c r="TZN1062" s="989"/>
      <c r="TZO1062" s="989"/>
      <c r="TZP1062" s="989"/>
      <c r="TZQ1062" s="989"/>
      <c r="TZR1062" s="989"/>
      <c r="TZS1062" s="989"/>
      <c r="TZT1062" s="989"/>
      <c r="TZU1062" s="989"/>
      <c r="TZV1062" s="989"/>
      <c r="TZW1062" s="989"/>
      <c r="TZX1062" s="989"/>
      <c r="TZY1062" s="989"/>
      <c r="TZZ1062" s="989"/>
      <c r="UAA1062" s="989"/>
      <c r="UAB1062" s="989"/>
      <c r="UAC1062" s="989"/>
      <c r="UAD1062" s="989"/>
      <c r="UAE1062" s="989"/>
      <c r="UAF1062" s="989"/>
      <c r="UAG1062" s="989"/>
      <c r="UAH1062" s="989"/>
      <c r="UAI1062" s="989"/>
      <c r="UAJ1062" s="989"/>
      <c r="UAK1062" s="989"/>
      <c r="UAL1062" s="989"/>
      <c r="UAM1062" s="989"/>
      <c r="UAN1062" s="989"/>
      <c r="UAO1062" s="989"/>
      <c r="UAP1062" s="989"/>
      <c r="UAQ1062" s="989"/>
      <c r="UAR1062" s="989"/>
      <c r="UAS1062" s="989"/>
      <c r="UAT1062" s="989"/>
      <c r="UAU1062" s="989"/>
      <c r="UAV1062" s="989"/>
      <c r="UAW1062" s="989"/>
      <c r="UAX1062" s="989"/>
      <c r="UAY1062" s="989"/>
      <c r="UAZ1062" s="989"/>
      <c r="UBA1062" s="989"/>
      <c r="UBB1062" s="989"/>
      <c r="UBC1062" s="989"/>
      <c r="UBD1062" s="989"/>
      <c r="UBE1062" s="989"/>
      <c r="UBF1062" s="989"/>
      <c r="UBG1062" s="989"/>
      <c r="UBH1062" s="989"/>
      <c r="UBI1062" s="989"/>
      <c r="UBJ1062" s="989"/>
      <c r="UBK1062" s="989"/>
      <c r="UBL1062" s="989"/>
      <c r="UBM1062" s="989"/>
      <c r="UBN1062" s="989"/>
      <c r="UBO1062" s="989"/>
      <c r="UBP1062" s="989"/>
      <c r="UBQ1062" s="989"/>
      <c r="UBR1062" s="989"/>
      <c r="UBS1062" s="989"/>
      <c r="UBT1062" s="989"/>
      <c r="UBU1062" s="989"/>
      <c r="UBV1062" s="989"/>
      <c r="UBW1062" s="989"/>
      <c r="UBX1062" s="989"/>
      <c r="UBY1062" s="989"/>
      <c r="UBZ1062" s="989"/>
      <c r="UCA1062" s="989"/>
      <c r="UCB1062" s="989"/>
      <c r="UCC1062" s="989"/>
      <c r="UCD1062" s="989"/>
      <c r="UCE1062" s="989"/>
      <c r="UCF1062" s="989"/>
      <c r="UCG1062" s="989"/>
      <c r="UCH1062" s="989"/>
      <c r="UCI1062" s="989"/>
      <c r="UCJ1062" s="989"/>
      <c r="UCK1062" s="989"/>
      <c r="UCL1062" s="989"/>
      <c r="UCM1062" s="989"/>
      <c r="UCN1062" s="989"/>
      <c r="UCO1062" s="989"/>
      <c r="UCP1062" s="989"/>
      <c r="UCQ1062" s="989"/>
      <c r="UCR1062" s="989"/>
      <c r="UCS1062" s="989"/>
      <c r="UCT1062" s="989"/>
      <c r="UCU1062" s="989"/>
      <c r="UCV1062" s="989"/>
      <c r="UCW1062" s="989"/>
      <c r="UCX1062" s="989"/>
      <c r="UCY1062" s="989"/>
      <c r="UCZ1062" s="989"/>
      <c r="UDA1062" s="989"/>
      <c r="UDB1062" s="989"/>
      <c r="UDC1062" s="989"/>
      <c r="UDD1062" s="989"/>
      <c r="UDE1062" s="989"/>
      <c r="UDF1062" s="989"/>
      <c r="UDG1062" s="989"/>
      <c r="UDH1062" s="989"/>
      <c r="UDI1062" s="989"/>
      <c r="UDJ1062" s="989"/>
      <c r="UDK1062" s="989"/>
      <c r="UDL1062" s="989"/>
      <c r="UDM1062" s="989"/>
      <c r="UDN1062" s="989"/>
      <c r="UDO1062" s="989"/>
      <c r="UDP1062" s="989"/>
      <c r="UDQ1062" s="989"/>
      <c r="UDR1062" s="989"/>
      <c r="UDS1062" s="989"/>
      <c r="UDT1062" s="989"/>
      <c r="UDU1062" s="989"/>
      <c r="UDV1062" s="989"/>
      <c r="UDW1062" s="989"/>
      <c r="UDX1062" s="989"/>
      <c r="UDY1062" s="989"/>
      <c r="UDZ1062" s="989"/>
      <c r="UEA1062" s="989"/>
      <c r="UEB1062" s="989"/>
      <c r="UEC1062" s="989"/>
      <c r="UED1062" s="989"/>
      <c r="UEE1062" s="989"/>
      <c r="UEF1062" s="989"/>
      <c r="UEG1062" s="989"/>
      <c r="UEH1062" s="989"/>
      <c r="UEI1062" s="989"/>
      <c r="UEJ1062" s="989"/>
      <c r="UEK1062" s="989"/>
      <c r="UEL1062" s="989"/>
      <c r="UEM1062" s="989"/>
      <c r="UEN1062" s="989"/>
      <c r="UEO1062" s="989"/>
      <c r="UEP1062" s="989"/>
      <c r="UEQ1062" s="989"/>
      <c r="UER1062" s="989"/>
      <c r="UES1062" s="989"/>
      <c r="UET1062" s="989"/>
      <c r="UEU1062" s="989"/>
      <c r="UEV1062" s="989"/>
      <c r="UEW1062" s="989"/>
      <c r="UEX1062" s="989"/>
      <c r="UEY1062" s="989"/>
      <c r="UEZ1062" s="989"/>
      <c r="UFA1062" s="989"/>
      <c r="UFB1062" s="989"/>
      <c r="UFC1062" s="989"/>
      <c r="UFD1062" s="989"/>
      <c r="UFE1062" s="989"/>
      <c r="UFF1062" s="989"/>
      <c r="UFG1062" s="989"/>
      <c r="UFH1062" s="989"/>
      <c r="UFI1062" s="989"/>
      <c r="UFJ1062" s="989"/>
      <c r="UFK1062" s="989"/>
      <c r="UFL1062" s="989"/>
      <c r="UFM1062" s="989"/>
      <c r="UFN1062" s="989"/>
      <c r="UFO1062" s="989"/>
      <c r="UFP1062" s="989"/>
      <c r="UFQ1062" s="989"/>
      <c r="UFR1062" s="989"/>
      <c r="UFS1062" s="989"/>
      <c r="UFT1062" s="989"/>
      <c r="UFU1062" s="989"/>
      <c r="UFV1062" s="989"/>
      <c r="UFW1062" s="989"/>
      <c r="UFX1062" s="989"/>
      <c r="UFY1062" s="989"/>
      <c r="UFZ1062" s="989"/>
      <c r="UGA1062" s="989"/>
      <c r="UGB1062" s="989"/>
      <c r="UGC1062" s="989"/>
      <c r="UGD1062" s="989"/>
      <c r="UGE1062" s="989"/>
      <c r="UGF1062" s="989"/>
      <c r="UGG1062" s="989"/>
      <c r="UGH1062" s="989"/>
      <c r="UGI1062" s="989"/>
      <c r="UGJ1062" s="989"/>
      <c r="UGK1062" s="989"/>
      <c r="UGL1062" s="989"/>
      <c r="UGM1062" s="989"/>
      <c r="UGN1062" s="989"/>
      <c r="UGO1062" s="989"/>
      <c r="UGP1062" s="989"/>
      <c r="UGQ1062" s="989"/>
      <c r="UGR1062" s="989"/>
      <c r="UGS1062" s="989"/>
      <c r="UGT1062" s="989"/>
      <c r="UGU1062" s="989"/>
      <c r="UGV1062" s="989"/>
      <c r="UGW1062" s="989"/>
      <c r="UGX1062" s="989"/>
      <c r="UGY1062" s="989"/>
      <c r="UGZ1062" s="989"/>
      <c r="UHA1062" s="989"/>
      <c r="UHB1062" s="989"/>
      <c r="UHC1062" s="989"/>
      <c r="UHD1062" s="989"/>
      <c r="UHE1062" s="989"/>
      <c r="UHF1062" s="989"/>
      <c r="UHG1062" s="989"/>
      <c r="UHH1062" s="989"/>
      <c r="UHI1062" s="989"/>
      <c r="UHJ1062" s="989"/>
      <c r="UHK1062" s="989"/>
      <c r="UHL1062" s="989"/>
      <c r="UHM1062" s="989"/>
      <c r="UHN1062" s="989"/>
      <c r="UHO1062" s="989"/>
      <c r="UHP1062" s="989"/>
      <c r="UHQ1062" s="989"/>
      <c r="UHR1062" s="989"/>
      <c r="UHS1062" s="989"/>
      <c r="UHT1062" s="989"/>
      <c r="UHU1062" s="989"/>
      <c r="UHV1062" s="989"/>
      <c r="UHW1062" s="989"/>
      <c r="UHX1062" s="989"/>
      <c r="UHY1062" s="989"/>
      <c r="UHZ1062" s="989"/>
      <c r="UIA1062" s="989"/>
      <c r="UIB1062" s="989"/>
      <c r="UIC1062" s="989"/>
      <c r="UID1062" s="989"/>
      <c r="UIE1062" s="989"/>
      <c r="UIF1062" s="989"/>
      <c r="UIG1062" s="989"/>
      <c r="UIH1062" s="989"/>
      <c r="UII1062" s="989"/>
      <c r="UIJ1062" s="989"/>
      <c r="UIK1062" s="989"/>
      <c r="UIL1062" s="989"/>
      <c r="UIM1062" s="989"/>
      <c r="UIN1062" s="989"/>
      <c r="UIO1062" s="989"/>
      <c r="UIP1062" s="989"/>
      <c r="UIQ1062" s="989"/>
      <c r="UIR1062" s="989"/>
      <c r="UIS1062" s="989"/>
      <c r="UIT1062" s="989"/>
      <c r="UIU1062" s="989"/>
      <c r="UIV1062" s="989"/>
      <c r="UIW1062" s="989"/>
      <c r="UIX1062" s="989"/>
      <c r="UIY1062" s="989"/>
      <c r="UIZ1062" s="989"/>
      <c r="UJA1062" s="989"/>
      <c r="UJB1062" s="989"/>
      <c r="UJC1062" s="989"/>
      <c r="UJD1062" s="989"/>
      <c r="UJE1062" s="989"/>
      <c r="UJF1062" s="989"/>
      <c r="UJG1062" s="989"/>
      <c r="UJH1062" s="989"/>
      <c r="UJI1062" s="989"/>
      <c r="UJJ1062" s="989"/>
      <c r="UJK1062" s="989"/>
      <c r="UJL1062" s="989"/>
      <c r="UJM1062" s="989"/>
      <c r="UJN1062" s="989"/>
      <c r="UJO1062" s="989"/>
      <c r="UJP1062" s="989"/>
      <c r="UJQ1062" s="989"/>
      <c r="UJR1062" s="989"/>
      <c r="UJS1062" s="989"/>
      <c r="UJT1062" s="989"/>
      <c r="UJU1062" s="989"/>
      <c r="UJV1062" s="989"/>
      <c r="UJW1062" s="989"/>
      <c r="UJX1062" s="989"/>
      <c r="UJY1062" s="989"/>
      <c r="UJZ1062" s="989"/>
      <c r="UKA1062" s="989"/>
      <c r="UKB1062" s="989"/>
      <c r="UKC1062" s="989"/>
      <c r="UKD1062" s="989"/>
      <c r="UKE1062" s="989"/>
      <c r="UKF1062" s="989"/>
      <c r="UKG1062" s="989"/>
      <c r="UKH1062" s="989"/>
      <c r="UKI1062" s="989"/>
      <c r="UKJ1062" s="989"/>
      <c r="UKK1062" s="989"/>
      <c r="UKL1062" s="989"/>
      <c r="UKM1062" s="989"/>
      <c r="UKN1062" s="989"/>
      <c r="UKO1062" s="989"/>
      <c r="UKP1062" s="989"/>
      <c r="UKQ1062" s="989"/>
      <c r="UKR1062" s="989"/>
      <c r="UKS1062" s="989"/>
      <c r="UKT1062" s="989"/>
      <c r="UKU1062" s="989"/>
      <c r="UKV1062" s="989"/>
      <c r="UKW1062" s="989"/>
      <c r="UKX1062" s="989"/>
      <c r="UKY1062" s="989"/>
      <c r="UKZ1062" s="989"/>
      <c r="ULA1062" s="989"/>
      <c r="ULB1062" s="989"/>
      <c r="ULC1062" s="989"/>
      <c r="ULD1062" s="989"/>
      <c r="ULE1062" s="989"/>
      <c r="ULF1062" s="989"/>
      <c r="ULG1062" s="989"/>
      <c r="ULH1062" s="989"/>
      <c r="ULI1062" s="989"/>
      <c r="ULJ1062" s="989"/>
      <c r="ULK1062" s="989"/>
      <c r="ULL1062" s="989"/>
      <c r="ULM1062" s="989"/>
      <c r="ULN1062" s="989"/>
      <c r="ULO1062" s="989"/>
      <c r="ULP1062" s="989"/>
      <c r="ULQ1062" s="989"/>
      <c r="ULR1062" s="989"/>
      <c r="ULS1062" s="989"/>
      <c r="ULT1062" s="989"/>
      <c r="ULU1062" s="989"/>
      <c r="ULV1062" s="989"/>
      <c r="ULW1062" s="989"/>
      <c r="ULX1062" s="989"/>
      <c r="ULY1062" s="989"/>
      <c r="ULZ1062" s="989"/>
      <c r="UMA1062" s="989"/>
      <c r="UMB1062" s="989"/>
      <c r="UMC1062" s="989"/>
      <c r="UMD1062" s="989"/>
      <c r="UME1062" s="989"/>
      <c r="UMF1062" s="989"/>
      <c r="UMG1062" s="989"/>
      <c r="UMH1062" s="989"/>
      <c r="UMI1062" s="989"/>
      <c r="UMJ1062" s="989"/>
      <c r="UMK1062" s="989"/>
      <c r="UML1062" s="989"/>
      <c r="UMM1062" s="989"/>
      <c r="UMN1062" s="989"/>
      <c r="UMO1062" s="989"/>
      <c r="UMP1062" s="989"/>
      <c r="UMQ1062" s="989"/>
      <c r="UMR1062" s="989"/>
      <c r="UMS1062" s="989"/>
      <c r="UMT1062" s="989"/>
      <c r="UMU1062" s="989"/>
      <c r="UMV1062" s="989"/>
      <c r="UMW1062" s="989"/>
      <c r="UMX1062" s="989"/>
      <c r="UMY1062" s="989"/>
      <c r="UMZ1062" s="989"/>
      <c r="UNA1062" s="989"/>
      <c r="UNB1062" s="989"/>
      <c r="UNC1062" s="989"/>
      <c r="UND1062" s="989"/>
      <c r="UNE1062" s="989"/>
      <c r="UNF1062" s="989"/>
      <c r="UNG1062" s="989"/>
      <c r="UNH1062" s="989"/>
      <c r="UNI1062" s="989"/>
      <c r="UNJ1062" s="989"/>
      <c r="UNK1062" s="989"/>
      <c r="UNL1062" s="989"/>
      <c r="UNM1062" s="989"/>
      <c r="UNN1062" s="989"/>
      <c r="UNO1062" s="989"/>
      <c r="UNP1062" s="989"/>
      <c r="UNQ1062" s="989"/>
      <c r="UNR1062" s="989"/>
      <c r="UNS1062" s="989"/>
      <c r="UNT1062" s="989"/>
      <c r="UNU1062" s="989"/>
      <c r="UNV1062" s="989"/>
      <c r="UNW1062" s="989"/>
      <c r="UNX1062" s="989"/>
      <c r="UNY1062" s="989"/>
      <c r="UNZ1062" s="989"/>
      <c r="UOA1062" s="989"/>
      <c r="UOB1062" s="989"/>
      <c r="UOC1062" s="989"/>
      <c r="UOD1062" s="989"/>
      <c r="UOE1062" s="989"/>
      <c r="UOF1062" s="989"/>
      <c r="UOG1062" s="989"/>
      <c r="UOH1062" s="989"/>
      <c r="UOI1062" s="989"/>
      <c r="UOJ1062" s="989"/>
      <c r="UOK1062" s="989"/>
      <c r="UOL1062" s="989"/>
      <c r="UOM1062" s="989"/>
      <c r="UON1062" s="989"/>
      <c r="UOO1062" s="989"/>
      <c r="UOP1062" s="989"/>
      <c r="UOQ1062" s="989"/>
      <c r="UOR1062" s="989"/>
      <c r="UOS1062" s="989"/>
      <c r="UOT1062" s="989"/>
      <c r="UOU1062" s="989"/>
      <c r="UOV1062" s="989"/>
      <c r="UOW1062" s="989"/>
      <c r="UOX1062" s="989"/>
      <c r="UOY1062" s="989"/>
      <c r="UOZ1062" s="989"/>
      <c r="UPA1062" s="989"/>
      <c r="UPB1062" s="989"/>
      <c r="UPC1062" s="989"/>
      <c r="UPD1062" s="989"/>
      <c r="UPE1062" s="989"/>
      <c r="UPF1062" s="989"/>
      <c r="UPG1062" s="989"/>
      <c r="UPH1062" s="989"/>
      <c r="UPI1062" s="989"/>
      <c r="UPJ1062" s="989"/>
      <c r="UPK1062" s="989"/>
      <c r="UPL1062" s="989"/>
      <c r="UPM1062" s="989"/>
      <c r="UPN1062" s="989"/>
      <c r="UPO1062" s="989"/>
      <c r="UPP1062" s="989"/>
      <c r="UPQ1062" s="989"/>
      <c r="UPR1062" s="989"/>
      <c r="UPS1062" s="989"/>
      <c r="UPT1062" s="989"/>
      <c r="UPU1062" s="989"/>
      <c r="UPV1062" s="989"/>
      <c r="UPW1062" s="989"/>
      <c r="UPX1062" s="989"/>
      <c r="UPY1062" s="989"/>
      <c r="UPZ1062" s="989"/>
      <c r="UQA1062" s="989"/>
      <c r="UQB1062" s="989"/>
      <c r="UQC1062" s="989"/>
      <c r="UQD1062" s="989"/>
      <c r="UQE1062" s="989"/>
      <c r="UQF1062" s="989"/>
      <c r="UQG1062" s="989"/>
      <c r="UQH1062" s="989"/>
      <c r="UQI1062" s="989"/>
      <c r="UQJ1062" s="989"/>
      <c r="UQK1062" s="989"/>
      <c r="UQL1062" s="989"/>
      <c r="UQM1062" s="989"/>
      <c r="UQN1062" s="989"/>
      <c r="UQO1062" s="989"/>
      <c r="UQP1062" s="989"/>
      <c r="UQQ1062" s="989"/>
      <c r="UQR1062" s="989"/>
      <c r="UQS1062" s="989"/>
      <c r="UQT1062" s="989"/>
      <c r="UQU1062" s="989"/>
      <c r="UQV1062" s="989"/>
      <c r="UQW1062" s="989"/>
      <c r="UQX1062" s="989"/>
      <c r="UQY1062" s="989"/>
      <c r="UQZ1062" s="989"/>
      <c r="URA1062" s="989"/>
      <c r="URB1062" s="989"/>
      <c r="URC1062" s="989"/>
      <c r="URD1062" s="989"/>
      <c r="URE1062" s="989"/>
      <c r="URF1062" s="989"/>
      <c r="URG1062" s="989"/>
      <c r="URH1062" s="989"/>
      <c r="URI1062" s="989"/>
      <c r="URJ1062" s="989"/>
      <c r="URK1062" s="989"/>
      <c r="URL1062" s="989"/>
      <c r="URM1062" s="989"/>
      <c r="URN1062" s="989"/>
      <c r="URO1062" s="989"/>
      <c r="URP1062" s="989"/>
      <c r="URQ1062" s="989"/>
      <c r="URR1062" s="989"/>
      <c r="URS1062" s="989"/>
      <c r="URT1062" s="989"/>
      <c r="URU1062" s="989"/>
      <c r="URV1062" s="989"/>
      <c r="URW1062" s="989"/>
      <c r="URX1062" s="989"/>
      <c r="URY1062" s="989"/>
      <c r="URZ1062" s="989"/>
      <c r="USA1062" s="989"/>
      <c r="USB1062" s="989"/>
      <c r="USC1062" s="989"/>
      <c r="USD1062" s="989"/>
      <c r="USE1062" s="989"/>
      <c r="USF1062" s="989"/>
      <c r="USG1062" s="989"/>
      <c r="USH1062" s="989"/>
      <c r="USI1062" s="989"/>
      <c r="USJ1062" s="989"/>
      <c r="USK1062" s="989"/>
      <c r="USL1062" s="989"/>
      <c r="USM1062" s="989"/>
      <c r="USN1062" s="989"/>
      <c r="USO1062" s="989"/>
      <c r="USP1062" s="989"/>
      <c r="USQ1062" s="989"/>
      <c r="USR1062" s="989"/>
      <c r="USS1062" s="989"/>
      <c r="UST1062" s="989"/>
      <c r="USU1062" s="989"/>
      <c r="USV1062" s="989"/>
      <c r="USW1062" s="989"/>
      <c r="USX1062" s="989"/>
      <c r="USY1062" s="989"/>
      <c r="USZ1062" s="989"/>
      <c r="UTA1062" s="989"/>
      <c r="UTB1062" s="989"/>
      <c r="UTC1062" s="989"/>
      <c r="UTD1062" s="989"/>
      <c r="UTE1062" s="989"/>
      <c r="UTF1062" s="989"/>
      <c r="UTG1062" s="989"/>
      <c r="UTH1062" s="989"/>
      <c r="UTI1062" s="989"/>
      <c r="UTJ1062" s="989"/>
      <c r="UTK1062" s="989"/>
      <c r="UTL1062" s="989"/>
      <c r="UTM1062" s="989"/>
      <c r="UTN1062" s="989"/>
      <c r="UTO1062" s="989"/>
      <c r="UTP1062" s="989"/>
      <c r="UTQ1062" s="989"/>
      <c r="UTR1062" s="989"/>
      <c r="UTS1062" s="989"/>
      <c r="UTT1062" s="989"/>
      <c r="UTU1062" s="989"/>
      <c r="UTV1062" s="989"/>
      <c r="UTW1062" s="989"/>
      <c r="UTX1062" s="989"/>
      <c r="UTY1062" s="989"/>
      <c r="UTZ1062" s="989"/>
      <c r="UUA1062" s="989"/>
      <c r="UUB1062" s="989"/>
      <c r="UUC1062" s="989"/>
      <c r="UUD1062" s="989"/>
      <c r="UUE1062" s="989"/>
      <c r="UUF1062" s="989"/>
      <c r="UUG1062" s="989"/>
      <c r="UUH1062" s="989"/>
      <c r="UUI1062" s="989"/>
      <c r="UUJ1062" s="989"/>
      <c r="UUK1062" s="989"/>
      <c r="UUL1062" s="989"/>
      <c r="UUM1062" s="989"/>
      <c r="UUN1062" s="989"/>
      <c r="UUO1062" s="989"/>
      <c r="UUP1062" s="989"/>
      <c r="UUQ1062" s="989"/>
      <c r="UUR1062" s="989"/>
      <c r="UUS1062" s="989"/>
      <c r="UUT1062" s="989"/>
      <c r="UUU1062" s="989"/>
      <c r="UUV1062" s="989"/>
      <c r="UUW1062" s="989"/>
      <c r="UUX1062" s="989"/>
      <c r="UUY1062" s="989"/>
      <c r="UUZ1062" s="989"/>
      <c r="UVA1062" s="989"/>
      <c r="UVB1062" s="989"/>
      <c r="UVC1062" s="989"/>
      <c r="UVD1062" s="989"/>
      <c r="UVE1062" s="989"/>
      <c r="UVF1062" s="989"/>
      <c r="UVG1062" s="989"/>
      <c r="UVH1062" s="989"/>
      <c r="UVI1062" s="989"/>
      <c r="UVJ1062" s="989"/>
      <c r="UVK1062" s="989"/>
      <c r="UVL1062" s="989"/>
      <c r="UVM1062" s="989"/>
      <c r="UVN1062" s="989"/>
      <c r="UVO1062" s="989"/>
      <c r="UVP1062" s="989"/>
      <c r="UVQ1062" s="989"/>
      <c r="UVR1062" s="989"/>
      <c r="UVS1062" s="989"/>
      <c r="UVT1062" s="989"/>
      <c r="UVU1062" s="989"/>
      <c r="UVV1062" s="989"/>
      <c r="UVW1062" s="989"/>
      <c r="UVX1062" s="989"/>
      <c r="UVY1062" s="989"/>
      <c r="UVZ1062" s="989"/>
      <c r="UWA1062" s="989"/>
      <c r="UWB1062" s="989"/>
      <c r="UWC1062" s="989"/>
      <c r="UWD1062" s="989"/>
      <c r="UWE1062" s="989"/>
      <c r="UWF1062" s="989"/>
      <c r="UWG1062" s="989"/>
      <c r="UWH1062" s="989"/>
      <c r="UWI1062" s="989"/>
      <c r="UWJ1062" s="989"/>
      <c r="UWK1062" s="989"/>
      <c r="UWL1062" s="989"/>
      <c r="UWM1062" s="989"/>
      <c r="UWN1062" s="989"/>
      <c r="UWO1062" s="989"/>
      <c r="UWP1062" s="989"/>
      <c r="UWQ1062" s="989"/>
      <c r="UWR1062" s="989"/>
      <c r="UWS1062" s="989"/>
      <c r="UWT1062" s="989"/>
      <c r="UWU1062" s="989"/>
      <c r="UWV1062" s="989"/>
      <c r="UWW1062" s="989"/>
      <c r="UWX1062" s="989"/>
      <c r="UWY1062" s="989"/>
      <c r="UWZ1062" s="989"/>
      <c r="UXA1062" s="989"/>
      <c r="UXB1062" s="989"/>
      <c r="UXC1062" s="989"/>
      <c r="UXD1062" s="989"/>
      <c r="UXE1062" s="989"/>
      <c r="UXF1062" s="989"/>
      <c r="UXG1062" s="989"/>
      <c r="UXH1062" s="989"/>
      <c r="UXI1062" s="989"/>
      <c r="UXJ1062" s="989"/>
      <c r="UXK1062" s="989"/>
      <c r="UXL1062" s="989"/>
      <c r="UXM1062" s="989"/>
      <c r="UXN1062" s="989"/>
      <c r="UXO1062" s="989"/>
      <c r="UXP1062" s="989"/>
      <c r="UXQ1062" s="989"/>
      <c r="UXR1062" s="989"/>
      <c r="UXS1062" s="989"/>
      <c r="UXT1062" s="989"/>
      <c r="UXU1062" s="989"/>
      <c r="UXV1062" s="989"/>
      <c r="UXW1062" s="989"/>
      <c r="UXX1062" s="989"/>
      <c r="UXY1062" s="989"/>
      <c r="UXZ1062" s="989"/>
      <c r="UYA1062" s="989"/>
      <c r="UYB1062" s="989"/>
      <c r="UYC1062" s="989"/>
      <c r="UYD1062" s="989"/>
      <c r="UYE1062" s="989"/>
      <c r="UYF1062" s="989"/>
      <c r="UYG1062" s="989"/>
      <c r="UYH1062" s="989"/>
      <c r="UYI1062" s="989"/>
      <c r="UYJ1062" s="989"/>
      <c r="UYK1062" s="989"/>
      <c r="UYL1062" s="989"/>
      <c r="UYM1062" s="989"/>
      <c r="UYN1062" s="989"/>
      <c r="UYO1062" s="989"/>
      <c r="UYP1062" s="989"/>
      <c r="UYQ1062" s="989"/>
      <c r="UYR1062" s="989"/>
      <c r="UYS1062" s="989"/>
      <c r="UYT1062" s="989"/>
      <c r="UYU1062" s="989"/>
      <c r="UYV1062" s="989"/>
      <c r="UYW1062" s="989"/>
      <c r="UYX1062" s="989"/>
      <c r="UYY1062" s="989"/>
      <c r="UYZ1062" s="989"/>
      <c r="UZA1062" s="989"/>
      <c r="UZB1062" s="989"/>
      <c r="UZC1062" s="989"/>
      <c r="UZD1062" s="989"/>
      <c r="UZE1062" s="989"/>
      <c r="UZF1062" s="989"/>
      <c r="UZG1062" s="989"/>
      <c r="UZH1062" s="989"/>
      <c r="UZI1062" s="989"/>
      <c r="UZJ1062" s="989"/>
      <c r="UZK1062" s="989"/>
      <c r="UZL1062" s="989"/>
      <c r="UZM1062" s="989"/>
      <c r="UZN1062" s="989"/>
      <c r="UZO1062" s="989"/>
      <c r="UZP1062" s="989"/>
      <c r="UZQ1062" s="989"/>
      <c r="UZR1062" s="989"/>
      <c r="UZS1062" s="989"/>
      <c r="UZT1062" s="989"/>
      <c r="UZU1062" s="989"/>
      <c r="UZV1062" s="989"/>
      <c r="UZW1062" s="989"/>
      <c r="UZX1062" s="989"/>
      <c r="UZY1062" s="989"/>
      <c r="UZZ1062" s="989"/>
      <c r="VAA1062" s="989"/>
      <c r="VAB1062" s="989"/>
      <c r="VAC1062" s="989"/>
      <c r="VAD1062" s="989"/>
      <c r="VAE1062" s="989"/>
      <c r="VAF1062" s="989"/>
      <c r="VAG1062" s="989"/>
      <c r="VAH1062" s="989"/>
      <c r="VAI1062" s="989"/>
      <c r="VAJ1062" s="989"/>
      <c r="VAK1062" s="989"/>
      <c r="VAL1062" s="989"/>
      <c r="VAM1062" s="989"/>
      <c r="VAN1062" s="989"/>
      <c r="VAO1062" s="989"/>
      <c r="VAP1062" s="989"/>
      <c r="VAQ1062" s="989"/>
      <c r="VAR1062" s="989"/>
      <c r="VAS1062" s="989"/>
      <c r="VAT1062" s="989"/>
      <c r="VAU1062" s="989"/>
      <c r="VAV1062" s="989"/>
      <c r="VAW1062" s="989"/>
      <c r="VAX1062" s="989"/>
      <c r="VAY1062" s="989"/>
      <c r="VAZ1062" s="989"/>
      <c r="VBA1062" s="989"/>
      <c r="VBB1062" s="989"/>
      <c r="VBC1062" s="989"/>
      <c r="VBD1062" s="989"/>
      <c r="VBE1062" s="989"/>
      <c r="VBF1062" s="989"/>
      <c r="VBG1062" s="989"/>
      <c r="VBH1062" s="989"/>
      <c r="VBI1062" s="989"/>
      <c r="VBJ1062" s="989"/>
      <c r="VBK1062" s="989"/>
      <c r="VBL1062" s="989"/>
      <c r="VBM1062" s="989"/>
      <c r="VBN1062" s="989"/>
      <c r="VBO1062" s="989"/>
      <c r="VBP1062" s="989"/>
      <c r="VBQ1062" s="989"/>
      <c r="VBR1062" s="989"/>
      <c r="VBS1062" s="989"/>
      <c r="VBT1062" s="989"/>
      <c r="VBU1062" s="989"/>
      <c r="VBV1062" s="989"/>
      <c r="VBW1062" s="989"/>
      <c r="VBX1062" s="989"/>
      <c r="VBY1062" s="989"/>
      <c r="VBZ1062" s="989"/>
      <c r="VCA1062" s="989"/>
      <c r="VCB1062" s="989"/>
      <c r="VCC1062" s="989"/>
      <c r="VCD1062" s="989"/>
      <c r="VCE1062" s="989"/>
      <c r="VCF1062" s="989"/>
      <c r="VCG1062" s="989"/>
      <c r="VCH1062" s="989"/>
      <c r="VCI1062" s="989"/>
      <c r="VCJ1062" s="989"/>
      <c r="VCK1062" s="989"/>
      <c r="VCL1062" s="989"/>
      <c r="VCM1062" s="989"/>
      <c r="VCN1062" s="989"/>
      <c r="VCO1062" s="989"/>
      <c r="VCP1062" s="989"/>
      <c r="VCQ1062" s="989"/>
      <c r="VCR1062" s="989"/>
      <c r="VCS1062" s="989"/>
      <c r="VCT1062" s="989"/>
      <c r="VCU1062" s="989"/>
      <c r="VCV1062" s="989"/>
      <c r="VCW1062" s="989"/>
      <c r="VCX1062" s="989"/>
      <c r="VCY1062" s="989"/>
      <c r="VCZ1062" s="989"/>
      <c r="VDA1062" s="989"/>
      <c r="VDB1062" s="989"/>
      <c r="VDC1062" s="989"/>
      <c r="VDD1062" s="989"/>
      <c r="VDE1062" s="989"/>
      <c r="VDF1062" s="989"/>
      <c r="VDG1062" s="989"/>
      <c r="VDH1062" s="989"/>
      <c r="VDI1062" s="989"/>
      <c r="VDJ1062" s="989"/>
      <c r="VDK1062" s="989"/>
      <c r="VDL1062" s="989"/>
      <c r="VDM1062" s="989"/>
      <c r="VDN1062" s="989"/>
      <c r="VDO1062" s="989"/>
      <c r="VDP1062" s="989"/>
      <c r="VDQ1062" s="989"/>
      <c r="VDR1062" s="989"/>
      <c r="VDS1062" s="989"/>
      <c r="VDT1062" s="989"/>
      <c r="VDU1062" s="989"/>
      <c r="VDV1062" s="989"/>
      <c r="VDW1062" s="989"/>
      <c r="VDX1062" s="989"/>
      <c r="VDY1062" s="989"/>
      <c r="VDZ1062" s="989"/>
      <c r="VEA1062" s="989"/>
      <c r="VEB1062" s="989"/>
      <c r="VEC1062" s="989"/>
      <c r="VED1062" s="989"/>
      <c r="VEE1062" s="989"/>
      <c r="VEF1062" s="989"/>
      <c r="VEG1062" s="989"/>
      <c r="VEH1062" s="989"/>
      <c r="VEI1062" s="989"/>
      <c r="VEJ1062" s="989"/>
      <c r="VEK1062" s="989"/>
      <c r="VEL1062" s="989"/>
      <c r="VEM1062" s="989"/>
      <c r="VEN1062" s="989"/>
      <c r="VEO1062" s="989"/>
      <c r="VEP1062" s="989"/>
      <c r="VEQ1062" s="989"/>
      <c r="VER1062" s="989"/>
      <c r="VES1062" s="989"/>
      <c r="VET1062" s="989"/>
      <c r="VEU1062" s="989"/>
      <c r="VEV1062" s="989"/>
      <c r="VEW1062" s="989"/>
      <c r="VEX1062" s="989"/>
      <c r="VEY1062" s="989"/>
      <c r="VEZ1062" s="989"/>
      <c r="VFA1062" s="989"/>
      <c r="VFB1062" s="989"/>
      <c r="VFC1062" s="989"/>
      <c r="VFD1062" s="989"/>
      <c r="VFE1062" s="989"/>
      <c r="VFF1062" s="989"/>
      <c r="VFG1062" s="989"/>
      <c r="VFH1062" s="989"/>
      <c r="VFI1062" s="989"/>
      <c r="VFJ1062" s="989"/>
      <c r="VFK1062" s="989"/>
      <c r="VFL1062" s="989"/>
      <c r="VFM1062" s="989"/>
      <c r="VFN1062" s="989"/>
      <c r="VFO1062" s="989"/>
      <c r="VFP1062" s="989"/>
      <c r="VFQ1062" s="989"/>
      <c r="VFR1062" s="989"/>
      <c r="VFS1062" s="989"/>
      <c r="VFT1062" s="989"/>
      <c r="VFU1062" s="989"/>
      <c r="VFV1062" s="989"/>
      <c r="VFW1062" s="989"/>
      <c r="VFX1062" s="989"/>
      <c r="VFY1062" s="989"/>
      <c r="VFZ1062" s="989"/>
      <c r="VGA1062" s="989"/>
      <c r="VGB1062" s="989"/>
      <c r="VGC1062" s="989"/>
      <c r="VGD1062" s="989"/>
      <c r="VGE1062" s="989"/>
      <c r="VGF1062" s="989"/>
      <c r="VGG1062" s="989"/>
      <c r="VGH1062" s="989"/>
      <c r="VGI1062" s="989"/>
      <c r="VGJ1062" s="989"/>
      <c r="VGK1062" s="989"/>
      <c r="VGL1062" s="989"/>
      <c r="VGM1062" s="989"/>
      <c r="VGN1062" s="989"/>
      <c r="VGO1062" s="989"/>
      <c r="VGP1062" s="989"/>
      <c r="VGQ1062" s="989"/>
      <c r="VGR1062" s="989"/>
      <c r="VGS1062" s="989"/>
      <c r="VGT1062" s="989"/>
      <c r="VGU1062" s="989"/>
      <c r="VGV1062" s="989"/>
      <c r="VGW1062" s="989"/>
      <c r="VGX1062" s="989"/>
      <c r="VGY1062" s="989"/>
      <c r="VGZ1062" s="989"/>
      <c r="VHA1062" s="989"/>
      <c r="VHB1062" s="989"/>
      <c r="VHC1062" s="989"/>
      <c r="VHD1062" s="989"/>
      <c r="VHE1062" s="989"/>
      <c r="VHF1062" s="989"/>
      <c r="VHG1062" s="989"/>
      <c r="VHH1062" s="989"/>
      <c r="VHI1062" s="989"/>
      <c r="VHJ1062" s="989"/>
      <c r="VHK1062" s="989"/>
      <c r="VHL1062" s="989"/>
      <c r="VHM1062" s="989"/>
      <c r="VHN1062" s="989"/>
      <c r="VHO1062" s="989"/>
      <c r="VHP1062" s="989"/>
      <c r="VHQ1062" s="989"/>
      <c r="VHR1062" s="989"/>
      <c r="VHS1062" s="989"/>
      <c r="VHT1062" s="989"/>
      <c r="VHU1062" s="989"/>
      <c r="VHV1062" s="989"/>
      <c r="VHW1062" s="989"/>
      <c r="VHX1062" s="989"/>
      <c r="VHY1062" s="989"/>
      <c r="VHZ1062" s="989"/>
      <c r="VIA1062" s="989"/>
      <c r="VIB1062" s="989"/>
      <c r="VIC1062" s="989"/>
      <c r="VID1062" s="989"/>
      <c r="VIE1062" s="989"/>
      <c r="VIF1062" s="989"/>
      <c r="VIG1062" s="989"/>
      <c r="VIH1062" s="989"/>
      <c r="VII1062" s="989"/>
      <c r="VIJ1062" s="989"/>
      <c r="VIK1062" s="989"/>
      <c r="VIL1062" s="989"/>
      <c r="VIM1062" s="989"/>
      <c r="VIN1062" s="989"/>
      <c r="VIO1062" s="989"/>
      <c r="VIP1062" s="989"/>
      <c r="VIQ1062" s="989"/>
      <c r="VIR1062" s="989"/>
      <c r="VIS1062" s="989"/>
      <c r="VIT1062" s="989"/>
      <c r="VIU1062" s="989"/>
      <c r="VIV1062" s="989"/>
      <c r="VIW1062" s="989"/>
      <c r="VIX1062" s="989"/>
      <c r="VIY1062" s="989"/>
      <c r="VIZ1062" s="989"/>
      <c r="VJA1062" s="989"/>
      <c r="VJB1062" s="989"/>
      <c r="VJC1062" s="989"/>
      <c r="VJD1062" s="989"/>
      <c r="VJE1062" s="989"/>
      <c r="VJF1062" s="989"/>
      <c r="VJG1062" s="989"/>
      <c r="VJH1062" s="989"/>
      <c r="VJI1062" s="989"/>
      <c r="VJJ1062" s="989"/>
      <c r="VJK1062" s="989"/>
      <c r="VJL1062" s="989"/>
      <c r="VJM1062" s="989"/>
      <c r="VJN1062" s="989"/>
      <c r="VJO1062" s="989"/>
      <c r="VJP1062" s="989"/>
      <c r="VJQ1062" s="989"/>
      <c r="VJR1062" s="989"/>
      <c r="VJS1062" s="989"/>
      <c r="VJT1062" s="989"/>
      <c r="VJU1062" s="989"/>
      <c r="VJV1062" s="989"/>
      <c r="VJW1062" s="989"/>
      <c r="VJX1062" s="989"/>
      <c r="VJY1062" s="989"/>
      <c r="VJZ1062" s="989"/>
      <c r="VKA1062" s="989"/>
      <c r="VKB1062" s="989"/>
      <c r="VKC1062" s="989"/>
      <c r="VKD1062" s="989"/>
      <c r="VKE1062" s="989"/>
      <c r="VKF1062" s="989"/>
      <c r="VKG1062" s="989"/>
      <c r="VKH1062" s="989"/>
      <c r="VKI1062" s="989"/>
      <c r="VKJ1062" s="989"/>
      <c r="VKK1062" s="989"/>
      <c r="VKL1062" s="989"/>
      <c r="VKM1062" s="989"/>
      <c r="VKN1062" s="989"/>
      <c r="VKO1062" s="989"/>
      <c r="VKP1062" s="989"/>
      <c r="VKQ1062" s="989"/>
      <c r="VKR1062" s="989"/>
      <c r="VKS1062" s="989"/>
      <c r="VKT1062" s="989"/>
      <c r="VKU1062" s="989"/>
      <c r="VKV1062" s="989"/>
      <c r="VKW1062" s="989"/>
      <c r="VKX1062" s="989"/>
      <c r="VKY1062" s="989"/>
      <c r="VKZ1062" s="989"/>
      <c r="VLA1062" s="989"/>
      <c r="VLB1062" s="989"/>
      <c r="VLC1062" s="989"/>
      <c r="VLD1062" s="989"/>
      <c r="VLE1062" s="989"/>
      <c r="VLF1062" s="989"/>
      <c r="VLG1062" s="989"/>
      <c r="VLH1062" s="989"/>
      <c r="VLI1062" s="989"/>
      <c r="VLJ1062" s="989"/>
      <c r="VLK1062" s="989"/>
      <c r="VLL1062" s="989"/>
      <c r="VLM1062" s="989"/>
      <c r="VLN1062" s="989"/>
      <c r="VLO1062" s="989"/>
      <c r="VLP1062" s="989"/>
      <c r="VLQ1062" s="989"/>
      <c r="VLR1062" s="989"/>
      <c r="VLS1062" s="989"/>
      <c r="VLT1062" s="989"/>
      <c r="VLU1062" s="989"/>
      <c r="VLV1062" s="989"/>
      <c r="VLW1062" s="989"/>
      <c r="VLX1062" s="989"/>
      <c r="VLY1062" s="989"/>
      <c r="VLZ1062" s="989"/>
      <c r="VMA1062" s="989"/>
      <c r="VMB1062" s="989"/>
      <c r="VMC1062" s="989"/>
      <c r="VMD1062" s="989"/>
      <c r="VME1062" s="989"/>
      <c r="VMF1062" s="989"/>
      <c r="VMG1062" s="989"/>
      <c r="VMH1062" s="989"/>
      <c r="VMI1062" s="989"/>
      <c r="VMJ1062" s="989"/>
      <c r="VMK1062" s="989"/>
      <c r="VML1062" s="989"/>
      <c r="VMM1062" s="989"/>
      <c r="VMN1062" s="989"/>
      <c r="VMO1062" s="989"/>
      <c r="VMP1062" s="989"/>
      <c r="VMQ1062" s="989"/>
      <c r="VMR1062" s="989"/>
      <c r="VMS1062" s="989"/>
      <c r="VMT1062" s="989"/>
      <c r="VMU1062" s="989"/>
      <c r="VMV1062" s="989"/>
      <c r="VMW1062" s="989"/>
      <c r="VMX1062" s="989"/>
      <c r="VMY1062" s="989"/>
      <c r="VMZ1062" s="989"/>
      <c r="VNA1062" s="989"/>
      <c r="VNB1062" s="989"/>
      <c r="VNC1062" s="989"/>
      <c r="VND1062" s="989"/>
      <c r="VNE1062" s="989"/>
      <c r="VNF1062" s="989"/>
      <c r="VNG1062" s="989"/>
      <c r="VNH1062" s="989"/>
      <c r="VNI1062" s="989"/>
      <c r="VNJ1062" s="989"/>
      <c r="VNK1062" s="989"/>
      <c r="VNL1062" s="989"/>
      <c r="VNM1062" s="989"/>
      <c r="VNN1062" s="989"/>
      <c r="VNO1062" s="989"/>
      <c r="VNP1062" s="989"/>
      <c r="VNQ1062" s="989"/>
      <c r="VNR1062" s="989"/>
      <c r="VNS1062" s="989"/>
      <c r="VNT1062" s="989"/>
      <c r="VNU1062" s="989"/>
      <c r="VNV1062" s="989"/>
      <c r="VNW1062" s="989"/>
      <c r="VNX1062" s="989"/>
      <c r="VNY1062" s="989"/>
      <c r="VNZ1062" s="989"/>
      <c r="VOA1062" s="989"/>
      <c r="VOB1062" s="989"/>
      <c r="VOC1062" s="989"/>
      <c r="VOD1062" s="989"/>
      <c r="VOE1062" s="989"/>
      <c r="VOF1062" s="989"/>
      <c r="VOG1062" s="989"/>
      <c r="VOH1062" s="989"/>
      <c r="VOI1062" s="989"/>
      <c r="VOJ1062" s="989"/>
      <c r="VOK1062" s="989"/>
      <c r="VOL1062" s="989"/>
      <c r="VOM1062" s="989"/>
      <c r="VON1062" s="989"/>
      <c r="VOO1062" s="989"/>
      <c r="VOP1062" s="989"/>
      <c r="VOQ1062" s="989"/>
      <c r="VOR1062" s="989"/>
      <c r="VOS1062" s="989"/>
      <c r="VOT1062" s="989"/>
      <c r="VOU1062" s="989"/>
      <c r="VOV1062" s="989"/>
      <c r="VOW1062" s="989"/>
      <c r="VOX1062" s="989"/>
      <c r="VOY1062" s="989"/>
      <c r="VOZ1062" s="989"/>
      <c r="VPA1062" s="989"/>
      <c r="VPB1062" s="989"/>
      <c r="VPC1062" s="989"/>
      <c r="VPD1062" s="989"/>
      <c r="VPE1062" s="989"/>
      <c r="VPF1062" s="989"/>
      <c r="VPG1062" s="989"/>
      <c r="VPH1062" s="989"/>
      <c r="VPI1062" s="989"/>
      <c r="VPJ1062" s="989"/>
      <c r="VPK1062" s="989"/>
      <c r="VPL1062" s="989"/>
      <c r="VPM1062" s="989"/>
      <c r="VPN1062" s="989"/>
      <c r="VPO1062" s="989"/>
      <c r="VPP1062" s="989"/>
      <c r="VPQ1062" s="989"/>
      <c r="VPR1062" s="989"/>
      <c r="VPS1062" s="989"/>
      <c r="VPT1062" s="989"/>
      <c r="VPU1062" s="989"/>
      <c r="VPV1062" s="989"/>
      <c r="VPW1062" s="989"/>
      <c r="VPX1062" s="989"/>
      <c r="VPY1062" s="989"/>
      <c r="VPZ1062" s="989"/>
      <c r="VQA1062" s="989"/>
      <c r="VQB1062" s="989"/>
      <c r="VQC1062" s="989"/>
      <c r="VQD1062" s="989"/>
      <c r="VQE1062" s="989"/>
      <c r="VQF1062" s="989"/>
      <c r="VQG1062" s="989"/>
      <c r="VQH1062" s="989"/>
      <c r="VQI1062" s="989"/>
      <c r="VQJ1062" s="989"/>
      <c r="VQK1062" s="989"/>
      <c r="VQL1062" s="989"/>
      <c r="VQM1062" s="989"/>
      <c r="VQN1062" s="989"/>
      <c r="VQO1062" s="989"/>
      <c r="VQP1062" s="989"/>
      <c r="VQQ1062" s="989"/>
      <c r="VQR1062" s="989"/>
      <c r="VQS1062" s="989"/>
      <c r="VQT1062" s="989"/>
      <c r="VQU1062" s="989"/>
      <c r="VQV1062" s="989"/>
      <c r="VQW1062" s="989"/>
      <c r="VQX1062" s="989"/>
      <c r="VQY1062" s="989"/>
      <c r="VQZ1062" s="989"/>
      <c r="VRA1062" s="989"/>
      <c r="VRB1062" s="989"/>
      <c r="VRC1062" s="989"/>
      <c r="VRD1062" s="989"/>
      <c r="VRE1062" s="989"/>
      <c r="VRF1062" s="989"/>
      <c r="VRG1062" s="989"/>
      <c r="VRH1062" s="989"/>
      <c r="VRI1062" s="989"/>
      <c r="VRJ1062" s="989"/>
      <c r="VRK1062" s="989"/>
      <c r="VRL1062" s="989"/>
      <c r="VRM1062" s="989"/>
      <c r="VRN1062" s="989"/>
      <c r="VRO1062" s="989"/>
      <c r="VRP1062" s="989"/>
      <c r="VRQ1062" s="989"/>
      <c r="VRR1062" s="989"/>
      <c r="VRS1062" s="989"/>
      <c r="VRT1062" s="989"/>
      <c r="VRU1062" s="989"/>
      <c r="VRV1062" s="989"/>
      <c r="VRW1062" s="989"/>
      <c r="VRX1062" s="989"/>
      <c r="VRY1062" s="989"/>
      <c r="VRZ1062" s="989"/>
      <c r="VSA1062" s="989"/>
      <c r="VSB1062" s="989"/>
      <c r="VSC1062" s="989"/>
      <c r="VSD1062" s="989"/>
      <c r="VSE1062" s="989"/>
      <c r="VSF1062" s="989"/>
      <c r="VSG1062" s="989"/>
      <c r="VSH1062" s="989"/>
      <c r="VSI1062" s="989"/>
      <c r="VSJ1062" s="989"/>
      <c r="VSK1062" s="989"/>
      <c r="VSL1062" s="989"/>
      <c r="VSM1062" s="989"/>
      <c r="VSN1062" s="989"/>
      <c r="VSO1062" s="989"/>
      <c r="VSP1062" s="989"/>
      <c r="VSQ1062" s="989"/>
      <c r="VSR1062" s="989"/>
      <c r="VSS1062" s="989"/>
      <c r="VST1062" s="989"/>
      <c r="VSU1062" s="989"/>
      <c r="VSV1062" s="989"/>
      <c r="VSW1062" s="989"/>
      <c r="VSX1062" s="989"/>
      <c r="VSY1062" s="989"/>
      <c r="VSZ1062" s="989"/>
      <c r="VTA1062" s="989"/>
      <c r="VTB1062" s="989"/>
      <c r="VTC1062" s="989"/>
      <c r="VTD1062" s="989"/>
      <c r="VTE1062" s="989"/>
      <c r="VTF1062" s="989"/>
      <c r="VTG1062" s="989"/>
      <c r="VTH1062" s="989"/>
      <c r="VTI1062" s="989"/>
      <c r="VTJ1062" s="989"/>
      <c r="VTK1062" s="989"/>
      <c r="VTL1062" s="989"/>
      <c r="VTM1062" s="989"/>
      <c r="VTN1062" s="989"/>
      <c r="VTO1062" s="989"/>
      <c r="VTP1062" s="989"/>
      <c r="VTQ1062" s="989"/>
      <c r="VTR1062" s="989"/>
      <c r="VTS1062" s="989"/>
      <c r="VTT1062" s="989"/>
      <c r="VTU1062" s="989"/>
      <c r="VTV1062" s="989"/>
      <c r="VTW1062" s="989"/>
      <c r="VTX1062" s="989"/>
      <c r="VTY1062" s="989"/>
      <c r="VTZ1062" s="989"/>
      <c r="VUA1062" s="989"/>
      <c r="VUB1062" s="989"/>
      <c r="VUC1062" s="989"/>
      <c r="VUD1062" s="989"/>
      <c r="VUE1062" s="989"/>
      <c r="VUF1062" s="989"/>
      <c r="VUG1062" s="989"/>
      <c r="VUH1062" s="989"/>
      <c r="VUI1062" s="989"/>
      <c r="VUJ1062" s="989"/>
      <c r="VUK1062" s="989"/>
      <c r="VUL1062" s="989"/>
      <c r="VUM1062" s="989"/>
      <c r="VUN1062" s="989"/>
      <c r="VUO1062" s="989"/>
      <c r="VUP1062" s="989"/>
      <c r="VUQ1062" s="989"/>
      <c r="VUR1062" s="989"/>
      <c r="VUS1062" s="989"/>
      <c r="VUT1062" s="989"/>
      <c r="VUU1062" s="989"/>
      <c r="VUV1062" s="989"/>
      <c r="VUW1062" s="989"/>
      <c r="VUX1062" s="989"/>
      <c r="VUY1062" s="989"/>
      <c r="VUZ1062" s="989"/>
      <c r="VVA1062" s="989"/>
      <c r="VVB1062" s="989"/>
      <c r="VVC1062" s="989"/>
      <c r="VVD1062" s="989"/>
      <c r="VVE1062" s="989"/>
      <c r="VVF1062" s="989"/>
      <c r="VVG1062" s="989"/>
      <c r="VVH1062" s="989"/>
      <c r="VVI1062" s="989"/>
      <c r="VVJ1062" s="989"/>
      <c r="VVK1062" s="989"/>
      <c r="VVL1062" s="989"/>
      <c r="VVM1062" s="989"/>
      <c r="VVN1062" s="989"/>
      <c r="VVO1062" s="989"/>
      <c r="VVP1062" s="989"/>
      <c r="VVQ1062" s="989"/>
      <c r="VVR1062" s="989"/>
      <c r="VVS1062" s="989"/>
      <c r="VVT1062" s="989"/>
      <c r="VVU1062" s="989"/>
      <c r="VVV1062" s="989"/>
      <c r="VVW1062" s="989"/>
      <c r="VVX1062" s="989"/>
      <c r="VVY1062" s="989"/>
      <c r="VVZ1062" s="989"/>
      <c r="VWA1062" s="989"/>
      <c r="VWB1062" s="989"/>
      <c r="VWC1062" s="989"/>
      <c r="VWD1062" s="989"/>
      <c r="VWE1062" s="989"/>
      <c r="VWF1062" s="989"/>
      <c r="VWG1062" s="989"/>
      <c r="VWH1062" s="989"/>
      <c r="VWI1062" s="989"/>
      <c r="VWJ1062" s="989"/>
      <c r="VWK1062" s="989"/>
      <c r="VWL1062" s="989"/>
      <c r="VWM1062" s="989"/>
      <c r="VWN1062" s="989"/>
      <c r="VWO1062" s="989"/>
      <c r="VWP1062" s="989"/>
      <c r="VWQ1062" s="989"/>
      <c r="VWR1062" s="989"/>
      <c r="VWS1062" s="989"/>
      <c r="VWT1062" s="989"/>
      <c r="VWU1062" s="989"/>
      <c r="VWV1062" s="989"/>
      <c r="VWW1062" s="989"/>
      <c r="VWX1062" s="989"/>
      <c r="VWY1062" s="989"/>
      <c r="VWZ1062" s="989"/>
      <c r="VXA1062" s="989"/>
      <c r="VXB1062" s="989"/>
      <c r="VXC1062" s="989"/>
      <c r="VXD1062" s="989"/>
      <c r="VXE1062" s="989"/>
      <c r="VXF1062" s="989"/>
      <c r="VXG1062" s="989"/>
      <c r="VXH1062" s="989"/>
      <c r="VXI1062" s="989"/>
      <c r="VXJ1062" s="989"/>
      <c r="VXK1062" s="989"/>
      <c r="VXL1062" s="989"/>
      <c r="VXM1062" s="989"/>
      <c r="VXN1062" s="989"/>
      <c r="VXO1062" s="989"/>
      <c r="VXP1062" s="989"/>
      <c r="VXQ1062" s="989"/>
      <c r="VXR1062" s="989"/>
      <c r="VXS1062" s="989"/>
      <c r="VXT1062" s="989"/>
      <c r="VXU1062" s="989"/>
      <c r="VXV1062" s="989"/>
      <c r="VXW1062" s="989"/>
      <c r="VXX1062" s="989"/>
      <c r="VXY1062" s="989"/>
      <c r="VXZ1062" s="989"/>
      <c r="VYA1062" s="989"/>
      <c r="VYB1062" s="989"/>
      <c r="VYC1062" s="989"/>
      <c r="VYD1062" s="989"/>
      <c r="VYE1062" s="989"/>
      <c r="VYF1062" s="989"/>
      <c r="VYG1062" s="989"/>
      <c r="VYH1062" s="989"/>
      <c r="VYI1062" s="989"/>
      <c r="VYJ1062" s="989"/>
      <c r="VYK1062" s="989"/>
      <c r="VYL1062" s="989"/>
      <c r="VYM1062" s="989"/>
      <c r="VYN1062" s="989"/>
      <c r="VYO1062" s="989"/>
      <c r="VYP1062" s="989"/>
      <c r="VYQ1062" s="989"/>
      <c r="VYR1062" s="989"/>
      <c r="VYS1062" s="989"/>
      <c r="VYT1062" s="989"/>
      <c r="VYU1062" s="989"/>
      <c r="VYV1062" s="989"/>
      <c r="VYW1062" s="989"/>
      <c r="VYX1062" s="989"/>
      <c r="VYY1062" s="989"/>
      <c r="VYZ1062" s="989"/>
      <c r="VZA1062" s="989"/>
      <c r="VZB1062" s="989"/>
      <c r="VZC1062" s="989"/>
      <c r="VZD1062" s="989"/>
      <c r="VZE1062" s="989"/>
      <c r="VZF1062" s="989"/>
      <c r="VZG1062" s="989"/>
      <c r="VZH1062" s="989"/>
      <c r="VZI1062" s="989"/>
      <c r="VZJ1062" s="989"/>
      <c r="VZK1062" s="989"/>
      <c r="VZL1062" s="989"/>
      <c r="VZM1062" s="989"/>
      <c r="VZN1062" s="989"/>
      <c r="VZO1062" s="989"/>
      <c r="VZP1062" s="989"/>
      <c r="VZQ1062" s="989"/>
      <c r="VZR1062" s="989"/>
      <c r="VZS1062" s="989"/>
      <c r="VZT1062" s="989"/>
      <c r="VZU1062" s="989"/>
      <c r="VZV1062" s="989"/>
      <c r="VZW1062" s="989"/>
      <c r="VZX1062" s="989"/>
      <c r="VZY1062" s="989"/>
      <c r="VZZ1062" s="989"/>
      <c r="WAA1062" s="989"/>
      <c r="WAB1062" s="989"/>
      <c r="WAC1062" s="989"/>
      <c r="WAD1062" s="989"/>
      <c r="WAE1062" s="989"/>
      <c r="WAF1062" s="989"/>
      <c r="WAG1062" s="989"/>
      <c r="WAH1062" s="989"/>
      <c r="WAI1062" s="989"/>
      <c r="WAJ1062" s="989"/>
      <c r="WAK1062" s="989"/>
      <c r="WAL1062" s="989"/>
      <c r="WAM1062" s="989"/>
      <c r="WAN1062" s="989"/>
      <c r="WAO1062" s="989"/>
      <c r="WAP1062" s="989"/>
      <c r="WAQ1062" s="989"/>
      <c r="WAR1062" s="989"/>
      <c r="WAS1062" s="989"/>
      <c r="WAT1062" s="989"/>
      <c r="WAU1062" s="989"/>
      <c r="WAV1062" s="989"/>
      <c r="WAW1062" s="989"/>
      <c r="WAX1062" s="989"/>
      <c r="WAY1062" s="989"/>
      <c r="WAZ1062" s="989"/>
      <c r="WBA1062" s="989"/>
      <c r="WBB1062" s="989"/>
      <c r="WBC1062" s="989"/>
      <c r="WBD1062" s="989"/>
      <c r="WBE1062" s="989"/>
      <c r="WBF1062" s="989"/>
      <c r="WBG1062" s="989"/>
      <c r="WBH1062" s="989"/>
      <c r="WBI1062" s="989"/>
      <c r="WBJ1062" s="989"/>
      <c r="WBK1062" s="989"/>
      <c r="WBL1062" s="989"/>
      <c r="WBM1062" s="989"/>
      <c r="WBN1062" s="989"/>
      <c r="WBO1062" s="989"/>
      <c r="WBP1062" s="989"/>
      <c r="WBQ1062" s="989"/>
      <c r="WBR1062" s="989"/>
      <c r="WBS1062" s="989"/>
      <c r="WBT1062" s="989"/>
      <c r="WBU1062" s="989"/>
      <c r="WBV1062" s="989"/>
      <c r="WBW1062" s="989"/>
      <c r="WBX1062" s="989"/>
      <c r="WBY1062" s="989"/>
      <c r="WBZ1062" s="989"/>
      <c r="WCA1062" s="989"/>
      <c r="WCB1062" s="989"/>
      <c r="WCC1062" s="989"/>
      <c r="WCD1062" s="989"/>
      <c r="WCE1062" s="989"/>
      <c r="WCF1062" s="989"/>
      <c r="WCG1062" s="989"/>
      <c r="WCH1062" s="989"/>
      <c r="WCI1062" s="989"/>
      <c r="WCJ1062" s="989"/>
      <c r="WCK1062" s="989"/>
      <c r="WCL1062" s="989"/>
      <c r="WCM1062" s="989"/>
      <c r="WCN1062" s="989"/>
      <c r="WCO1062" s="989"/>
      <c r="WCP1062" s="989"/>
      <c r="WCQ1062" s="989"/>
      <c r="WCR1062" s="989"/>
      <c r="WCS1062" s="989"/>
      <c r="WCT1062" s="989"/>
      <c r="WCU1062" s="989"/>
      <c r="WCV1062" s="989"/>
      <c r="WCW1062" s="989"/>
      <c r="WCX1062" s="989"/>
      <c r="WCY1062" s="989"/>
      <c r="WCZ1062" s="989"/>
      <c r="WDA1062" s="989"/>
      <c r="WDB1062" s="989"/>
      <c r="WDC1062" s="989"/>
      <c r="WDD1062" s="989"/>
      <c r="WDE1062" s="989"/>
      <c r="WDF1062" s="989"/>
      <c r="WDG1062" s="989"/>
      <c r="WDH1062" s="989"/>
      <c r="WDI1062" s="989"/>
      <c r="WDJ1062" s="989"/>
      <c r="WDK1062" s="989"/>
      <c r="WDL1062" s="989"/>
      <c r="WDM1062" s="989"/>
      <c r="WDN1062" s="989"/>
      <c r="WDO1062" s="989"/>
      <c r="WDP1062" s="989"/>
      <c r="WDQ1062" s="989"/>
      <c r="WDR1062" s="989"/>
      <c r="WDS1062" s="989"/>
      <c r="WDT1062" s="989"/>
      <c r="WDU1062" s="989"/>
      <c r="WDV1062" s="989"/>
      <c r="WDW1062" s="989"/>
      <c r="WDX1062" s="989"/>
      <c r="WDY1062" s="989"/>
      <c r="WDZ1062" s="989"/>
      <c r="WEA1062" s="989"/>
      <c r="WEB1062" s="989"/>
      <c r="WEC1062" s="989"/>
      <c r="WED1062" s="989"/>
      <c r="WEE1062" s="989"/>
      <c r="WEF1062" s="989"/>
      <c r="WEG1062" s="989"/>
      <c r="WEH1062" s="989"/>
      <c r="WEI1062" s="989"/>
      <c r="WEJ1062" s="989"/>
      <c r="WEK1062" s="989"/>
      <c r="WEL1062" s="989"/>
      <c r="WEM1062" s="989"/>
      <c r="WEN1062" s="989"/>
      <c r="WEO1062" s="989"/>
      <c r="WEP1062" s="989"/>
      <c r="WEQ1062" s="989"/>
      <c r="WER1062" s="989"/>
      <c r="WES1062" s="989"/>
      <c r="WET1062" s="989"/>
      <c r="WEU1062" s="989"/>
      <c r="WEV1062" s="989"/>
      <c r="WEW1062" s="989"/>
      <c r="WEX1062" s="989"/>
      <c r="WEY1062" s="989"/>
      <c r="WEZ1062" s="989"/>
      <c r="WFA1062" s="989"/>
      <c r="WFB1062" s="989"/>
      <c r="WFC1062" s="989"/>
      <c r="WFD1062" s="989"/>
      <c r="WFE1062" s="989"/>
      <c r="WFF1062" s="989"/>
      <c r="WFG1062" s="989"/>
      <c r="WFH1062" s="989"/>
      <c r="WFI1062" s="989"/>
      <c r="WFJ1062" s="989"/>
      <c r="WFK1062" s="989"/>
      <c r="WFL1062" s="989"/>
      <c r="WFM1062" s="989"/>
      <c r="WFN1062" s="989"/>
      <c r="WFO1062" s="989"/>
      <c r="WFP1062" s="989"/>
      <c r="WFQ1062" s="989"/>
      <c r="WFR1062" s="989"/>
      <c r="WFS1062" s="989"/>
      <c r="WFT1062" s="989"/>
      <c r="WFU1062" s="989"/>
      <c r="WFV1062" s="989"/>
      <c r="WFW1062" s="989"/>
      <c r="WFX1062" s="989"/>
      <c r="WFY1062" s="989"/>
      <c r="WFZ1062" s="989"/>
      <c r="WGA1062" s="989"/>
      <c r="WGB1062" s="989"/>
      <c r="WGC1062" s="989"/>
      <c r="WGD1062" s="989"/>
      <c r="WGE1062" s="989"/>
      <c r="WGF1062" s="989"/>
      <c r="WGG1062" s="989"/>
      <c r="WGH1062" s="989"/>
      <c r="WGI1062" s="989"/>
      <c r="WGJ1062" s="989"/>
      <c r="WGK1062" s="989"/>
      <c r="WGL1062" s="989"/>
      <c r="WGM1062" s="989"/>
      <c r="WGN1062" s="989"/>
      <c r="WGO1062" s="989"/>
      <c r="WGP1062" s="989"/>
      <c r="WGQ1062" s="989"/>
      <c r="WGR1062" s="989"/>
      <c r="WGS1062" s="989"/>
      <c r="WGT1062" s="989"/>
      <c r="WGU1062" s="989"/>
      <c r="WGV1062" s="989"/>
      <c r="WGW1062" s="989"/>
      <c r="WGX1062" s="989"/>
      <c r="WGY1062" s="989"/>
      <c r="WGZ1062" s="989"/>
      <c r="WHA1062" s="989"/>
      <c r="WHB1062" s="989"/>
      <c r="WHC1062" s="989"/>
      <c r="WHD1062" s="989"/>
      <c r="WHE1062" s="989"/>
      <c r="WHF1062" s="989"/>
      <c r="WHG1062" s="989"/>
      <c r="WHH1062" s="989"/>
      <c r="WHI1062" s="989"/>
      <c r="WHJ1062" s="989"/>
      <c r="WHK1062" s="989"/>
      <c r="WHL1062" s="989"/>
      <c r="WHM1062" s="989"/>
      <c r="WHN1062" s="989"/>
      <c r="WHO1062" s="989"/>
      <c r="WHP1062" s="989"/>
      <c r="WHQ1062" s="989"/>
      <c r="WHR1062" s="989"/>
      <c r="WHS1062" s="989"/>
      <c r="WHT1062" s="989"/>
      <c r="WHU1062" s="989"/>
      <c r="WHV1062" s="989"/>
      <c r="WHW1062" s="989"/>
      <c r="WHX1062" s="989"/>
      <c r="WHY1062" s="989"/>
      <c r="WHZ1062" s="989"/>
      <c r="WIA1062" s="989"/>
      <c r="WIB1062" s="989"/>
      <c r="WIC1062" s="989"/>
      <c r="WID1062" s="989"/>
      <c r="WIE1062" s="989"/>
      <c r="WIF1062" s="989"/>
      <c r="WIG1062" s="989"/>
      <c r="WIH1062" s="989"/>
      <c r="WII1062" s="989"/>
      <c r="WIJ1062" s="989"/>
      <c r="WIK1062" s="989"/>
      <c r="WIL1062" s="989"/>
      <c r="WIM1062" s="989"/>
      <c r="WIN1062" s="989"/>
      <c r="WIO1062" s="989"/>
      <c r="WIP1062" s="989"/>
      <c r="WIQ1062" s="989"/>
      <c r="WIR1062" s="989"/>
      <c r="WIS1062" s="989"/>
      <c r="WIT1062" s="989"/>
      <c r="WIU1062" s="989"/>
      <c r="WIV1062" s="989"/>
      <c r="WIW1062" s="989"/>
      <c r="WIX1062" s="989"/>
      <c r="WIY1062" s="989"/>
      <c r="WIZ1062" s="989"/>
      <c r="WJA1062" s="989"/>
      <c r="WJB1062" s="989"/>
      <c r="WJC1062" s="989"/>
      <c r="WJD1062" s="989"/>
      <c r="WJE1062" s="989"/>
      <c r="WJF1062" s="989"/>
      <c r="WJG1062" s="989"/>
      <c r="WJH1062" s="989"/>
      <c r="WJI1062" s="989"/>
      <c r="WJJ1062" s="989"/>
      <c r="WJK1062" s="989"/>
      <c r="WJL1062" s="989"/>
      <c r="WJM1062" s="989"/>
      <c r="WJN1062" s="989"/>
      <c r="WJO1062" s="989"/>
      <c r="WJP1062" s="989"/>
      <c r="WJQ1062" s="989"/>
      <c r="WJR1062" s="989"/>
      <c r="WJS1062" s="989"/>
      <c r="WJT1062" s="989"/>
      <c r="WJU1062" s="989"/>
      <c r="WJV1062" s="989"/>
      <c r="WJW1062" s="989"/>
      <c r="WJX1062" s="989"/>
      <c r="WJY1062" s="989"/>
      <c r="WJZ1062" s="989"/>
      <c r="WKA1062" s="989"/>
      <c r="WKB1062" s="989"/>
      <c r="WKC1062" s="989"/>
      <c r="WKD1062" s="989"/>
      <c r="WKE1062" s="989"/>
      <c r="WKF1062" s="989"/>
      <c r="WKG1062" s="989"/>
      <c r="WKH1062" s="989"/>
      <c r="WKI1062" s="989"/>
      <c r="WKJ1062" s="989"/>
      <c r="WKK1062" s="989"/>
      <c r="WKL1062" s="989"/>
      <c r="WKM1062" s="989"/>
      <c r="WKN1062" s="989"/>
      <c r="WKO1062" s="989"/>
      <c r="WKP1062" s="989"/>
      <c r="WKQ1062" s="989"/>
      <c r="WKR1062" s="989"/>
      <c r="WKS1062" s="989"/>
      <c r="WKT1062" s="989"/>
      <c r="WKU1062" s="989"/>
      <c r="WKV1062" s="989"/>
      <c r="WKW1062" s="989"/>
      <c r="WKX1062" s="989"/>
      <c r="WKY1062" s="989"/>
      <c r="WKZ1062" s="989"/>
      <c r="WLA1062" s="989"/>
      <c r="WLB1062" s="989"/>
      <c r="WLC1062" s="989"/>
      <c r="WLD1062" s="989"/>
      <c r="WLE1062" s="989"/>
      <c r="WLF1062" s="989"/>
      <c r="WLG1062" s="989"/>
      <c r="WLH1062" s="989"/>
      <c r="WLI1062" s="989"/>
      <c r="WLJ1062" s="989"/>
      <c r="WLK1062" s="989"/>
      <c r="WLL1062" s="989"/>
      <c r="WLM1062" s="989"/>
      <c r="WLN1062" s="989"/>
      <c r="WLO1062" s="989"/>
      <c r="WLP1062" s="989"/>
      <c r="WLQ1062" s="989"/>
      <c r="WLR1062" s="989"/>
      <c r="WLS1062" s="989"/>
      <c r="WLT1062" s="989"/>
      <c r="WLU1062" s="989"/>
      <c r="WLV1062" s="989"/>
      <c r="WLW1062" s="989"/>
      <c r="WLX1062" s="989"/>
      <c r="WLY1062" s="989"/>
      <c r="WLZ1062" s="989"/>
      <c r="WMA1062" s="989"/>
      <c r="WMB1062" s="989"/>
      <c r="WMC1062" s="989"/>
      <c r="WMD1062" s="989"/>
      <c r="WME1062" s="989"/>
      <c r="WMF1062" s="989"/>
      <c r="WMG1062" s="989"/>
      <c r="WMH1062" s="989"/>
      <c r="WMI1062" s="989"/>
      <c r="WMJ1062" s="989"/>
      <c r="WMK1062" s="989"/>
      <c r="WML1062" s="989"/>
      <c r="WMM1062" s="989"/>
      <c r="WMN1062" s="989"/>
      <c r="WMO1062" s="989"/>
      <c r="WMP1062" s="989"/>
      <c r="WMQ1062" s="989"/>
      <c r="WMR1062" s="989"/>
      <c r="WMS1062" s="989"/>
      <c r="WMT1062" s="989"/>
      <c r="WMU1062" s="989"/>
      <c r="WMV1062" s="989"/>
      <c r="WMW1062" s="989"/>
      <c r="WMX1062" s="989"/>
      <c r="WMY1062" s="989"/>
      <c r="WMZ1062" s="989"/>
      <c r="WNA1062" s="989"/>
      <c r="WNB1062" s="989"/>
      <c r="WNC1062" s="989"/>
      <c r="WND1062" s="989"/>
      <c r="WNE1062" s="989"/>
      <c r="WNF1062" s="989"/>
      <c r="WNG1062" s="989"/>
      <c r="WNH1062" s="989"/>
      <c r="WNI1062" s="989"/>
      <c r="WNJ1062" s="989"/>
      <c r="WNK1062" s="989"/>
      <c r="WNL1062" s="989"/>
      <c r="WNM1062" s="989"/>
      <c r="WNN1062" s="989"/>
      <c r="WNO1062" s="989"/>
      <c r="WNP1062" s="989"/>
      <c r="WNQ1062" s="989"/>
      <c r="WNR1062" s="989"/>
      <c r="WNS1062" s="989"/>
      <c r="WNT1062" s="989"/>
      <c r="WNU1062" s="989"/>
      <c r="WNV1062" s="989"/>
      <c r="WNW1062" s="989"/>
      <c r="WNX1062" s="989"/>
      <c r="WNY1062" s="989"/>
      <c r="WNZ1062" s="989"/>
      <c r="WOA1062" s="989"/>
      <c r="WOB1062" s="989"/>
      <c r="WOC1062" s="989"/>
      <c r="WOD1062" s="989"/>
      <c r="WOE1062" s="989"/>
      <c r="WOF1062" s="989"/>
      <c r="WOG1062" s="989"/>
      <c r="WOH1062" s="989"/>
      <c r="WOI1062" s="989"/>
      <c r="WOJ1062" s="989"/>
      <c r="WOK1062" s="989"/>
      <c r="WOL1062" s="989"/>
      <c r="WOM1062" s="989"/>
      <c r="WON1062" s="989"/>
      <c r="WOO1062" s="989"/>
      <c r="WOP1062" s="989"/>
      <c r="WOQ1062" s="989"/>
      <c r="WOR1062" s="989"/>
      <c r="WOS1062" s="989"/>
      <c r="WOT1062" s="989"/>
      <c r="WOU1062" s="989"/>
      <c r="WOV1062" s="989"/>
      <c r="WOW1062" s="989"/>
      <c r="WOX1062" s="989"/>
      <c r="WOY1062" s="989"/>
      <c r="WOZ1062" s="989"/>
      <c r="WPA1062" s="989"/>
      <c r="WPB1062" s="989"/>
      <c r="WPC1062" s="989"/>
      <c r="WPD1062" s="989"/>
      <c r="WPE1062" s="989"/>
      <c r="WPF1062" s="989"/>
      <c r="WPG1062" s="989"/>
      <c r="WPH1062" s="989"/>
      <c r="WPI1062" s="989"/>
      <c r="WPJ1062" s="989"/>
      <c r="WPK1062" s="989"/>
      <c r="WPL1062" s="989"/>
      <c r="WPM1062" s="989"/>
      <c r="WPN1062" s="989"/>
      <c r="WPO1062" s="989"/>
      <c r="WPP1062" s="989"/>
      <c r="WPQ1062" s="989"/>
      <c r="WPR1062" s="989"/>
      <c r="WPS1062" s="989"/>
      <c r="WPT1062" s="989"/>
      <c r="WPU1062" s="989"/>
      <c r="WPV1062" s="989"/>
      <c r="WPW1062" s="989"/>
      <c r="WPX1062" s="989"/>
      <c r="WPY1062" s="989"/>
      <c r="WPZ1062" s="989"/>
      <c r="WQA1062" s="989"/>
      <c r="WQB1062" s="989"/>
      <c r="WQC1062" s="989"/>
      <c r="WQD1062" s="989"/>
      <c r="WQE1062" s="989"/>
      <c r="WQF1062" s="989"/>
      <c r="WQG1062" s="989"/>
      <c r="WQH1062" s="989"/>
      <c r="WQI1062" s="989"/>
      <c r="WQJ1062" s="989"/>
      <c r="WQK1062" s="989"/>
      <c r="WQL1062" s="989"/>
      <c r="WQM1062" s="989"/>
      <c r="WQN1062" s="989"/>
      <c r="WQO1062" s="989"/>
      <c r="WQP1062" s="989"/>
      <c r="WQQ1062" s="989"/>
      <c r="WQR1062" s="989"/>
      <c r="WQS1062" s="989"/>
      <c r="WQT1062" s="989"/>
      <c r="WQU1062" s="989"/>
      <c r="WQV1062" s="989"/>
      <c r="WQW1062" s="989"/>
      <c r="WQX1062" s="989"/>
      <c r="WQY1062" s="989"/>
      <c r="WQZ1062" s="989"/>
      <c r="WRA1062" s="989"/>
      <c r="WRB1062" s="989"/>
      <c r="WRC1062" s="989"/>
      <c r="WRD1062" s="989"/>
      <c r="WRE1062" s="989"/>
      <c r="WRF1062" s="989"/>
      <c r="WRG1062" s="989"/>
      <c r="WRH1062" s="989"/>
      <c r="WRI1062" s="989"/>
      <c r="WRJ1062" s="989"/>
      <c r="WRK1062" s="989"/>
      <c r="WRL1062" s="989"/>
      <c r="WRM1062" s="989"/>
      <c r="WRN1062" s="989"/>
      <c r="WRO1062" s="989"/>
      <c r="WRP1062" s="989"/>
      <c r="WRQ1062" s="989"/>
      <c r="WRR1062" s="989"/>
      <c r="WRS1062" s="989"/>
      <c r="WRT1062" s="989"/>
      <c r="WRU1062" s="989"/>
      <c r="WRV1062" s="989"/>
      <c r="WRW1062" s="989"/>
      <c r="WRX1062" s="989"/>
      <c r="WRY1062" s="989"/>
      <c r="WRZ1062" s="989"/>
      <c r="WSA1062" s="989"/>
      <c r="WSB1062" s="989"/>
      <c r="WSC1062" s="989"/>
      <c r="WSD1062" s="989"/>
      <c r="WSE1062" s="989"/>
      <c r="WSF1062" s="989"/>
      <c r="WSG1062" s="989"/>
      <c r="WSH1062" s="989"/>
      <c r="WSI1062" s="989"/>
      <c r="WSJ1062" s="989"/>
      <c r="WSK1062" s="989"/>
      <c r="WSL1062" s="989"/>
      <c r="WSM1062" s="989"/>
      <c r="WSN1062" s="989"/>
      <c r="WSO1062" s="989"/>
      <c r="WSP1062" s="989"/>
      <c r="WSQ1062" s="989"/>
      <c r="WSR1062" s="989"/>
      <c r="WSS1062" s="989"/>
      <c r="WST1062" s="989"/>
      <c r="WSU1062" s="989"/>
      <c r="WSV1062" s="989"/>
      <c r="WSW1062" s="989"/>
      <c r="WSX1062" s="989"/>
      <c r="WSY1062" s="989"/>
      <c r="WSZ1062" s="989"/>
      <c r="WTA1062" s="989"/>
      <c r="WTB1062" s="989"/>
      <c r="WTC1062" s="989"/>
      <c r="WTD1062" s="989"/>
      <c r="WTE1062" s="989"/>
      <c r="WTF1062" s="989"/>
      <c r="WTG1062" s="989"/>
      <c r="WTH1062" s="989"/>
      <c r="WTI1062" s="989"/>
      <c r="WTJ1062" s="989"/>
      <c r="WTK1062" s="989"/>
      <c r="WTL1062" s="989"/>
      <c r="WTM1062" s="989"/>
      <c r="WTN1062" s="989"/>
      <c r="WTO1062" s="989"/>
      <c r="WTP1062" s="989"/>
      <c r="WTQ1062" s="989"/>
      <c r="WTR1062" s="989"/>
      <c r="WTS1062" s="989"/>
      <c r="WTT1062" s="989"/>
      <c r="WTU1062" s="989"/>
      <c r="WTV1062" s="989"/>
      <c r="WTW1062" s="989"/>
      <c r="WTX1062" s="989"/>
      <c r="WTY1062" s="989"/>
      <c r="WTZ1062" s="989"/>
      <c r="WUA1062" s="989"/>
      <c r="WUB1062" s="989"/>
      <c r="WUC1062" s="989"/>
      <c r="WUD1062" s="989"/>
      <c r="WUE1062" s="989"/>
      <c r="WUF1062" s="989"/>
      <c r="WUG1062" s="989"/>
      <c r="WUH1062" s="989"/>
      <c r="WUI1062" s="989"/>
      <c r="WUJ1062" s="989"/>
      <c r="WUK1062" s="989"/>
      <c r="WUL1062" s="989"/>
      <c r="WUM1062" s="989"/>
      <c r="WUN1062" s="989"/>
      <c r="WUO1062" s="989"/>
      <c r="WUP1062" s="989"/>
      <c r="WUQ1062" s="989"/>
      <c r="WUR1062" s="989"/>
      <c r="WUS1062" s="989"/>
      <c r="WUT1062" s="989"/>
      <c r="WUU1062" s="989"/>
      <c r="WUV1062" s="989"/>
      <c r="WUW1062" s="989"/>
      <c r="WUX1062" s="989"/>
      <c r="WUY1062" s="989"/>
      <c r="WUZ1062" s="989"/>
      <c r="WVA1062" s="989"/>
      <c r="WVB1062" s="989"/>
      <c r="WVC1062" s="989"/>
      <c r="WVD1062" s="989"/>
      <c r="WVE1062" s="989"/>
      <c r="WVF1062" s="989"/>
      <c r="WVG1062" s="989"/>
      <c r="WVH1062" s="989"/>
      <c r="WVI1062" s="989"/>
      <c r="WVJ1062" s="989"/>
      <c r="WVK1062" s="989"/>
      <c r="WVL1062" s="989"/>
      <c r="WVM1062" s="989"/>
      <c r="WVN1062" s="989"/>
      <c r="WVO1062" s="989"/>
      <c r="WVP1062" s="989"/>
      <c r="WVQ1062" s="989"/>
      <c r="WVR1062" s="989"/>
      <c r="WVS1062" s="989"/>
      <c r="WVT1062" s="989"/>
      <c r="WVU1062" s="989"/>
      <c r="WVV1062" s="989"/>
      <c r="WVW1062" s="989"/>
      <c r="WVX1062" s="989"/>
      <c r="WVY1062" s="989"/>
      <c r="WVZ1062" s="989"/>
      <c r="WWA1062" s="989"/>
      <c r="WWB1062" s="989"/>
      <c r="WWC1062" s="989"/>
      <c r="WWD1062" s="989"/>
      <c r="WWE1062" s="989"/>
      <c r="WWF1062" s="989"/>
      <c r="WWG1062" s="989"/>
      <c r="WWH1062" s="989"/>
      <c r="WWI1062" s="989"/>
      <c r="WWJ1062" s="989"/>
      <c r="WWK1062" s="989"/>
      <c r="WWL1062" s="989"/>
      <c r="WWM1062" s="989"/>
      <c r="WWN1062" s="989"/>
      <c r="WWO1062" s="989"/>
      <c r="WWP1062" s="989"/>
      <c r="WWQ1062" s="989"/>
      <c r="WWR1062" s="989"/>
      <c r="WWS1062" s="989"/>
      <c r="WWT1062" s="989"/>
      <c r="WWU1062" s="989"/>
      <c r="WWV1062" s="989"/>
      <c r="WWW1062" s="989"/>
      <c r="WWX1062" s="989"/>
      <c r="WWY1062" s="989"/>
      <c r="WWZ1062" s="989"/>
      <c r="WXA1062" s="989"/>
      <c r="WXB1062" s="989"/>
      <c r="WXC1062" s="989"/>
      <c r="WXD1062" s="989"/>
      <c r="WXE1062" s="989"/>
      <c r="WXF1062" s="989"/>
      <c r="WXG1062" s="989"/>
      <c r="WXH1062" s="989"/>
      <c r="WXI1062" s="989"/>
      <c r="WXJ1062" s="989"/>
      <c r="WXK1062" s="989"/>
      <c r="WXL1062" s="989"/>
      <c r="WXM1062" s="989"/>
      <c r="WXN1062" s="989"/>
      <c r="WXO1062" s="989"/>
      <c r="WXP1062" s="989"/>
      <c r="WXQ1062" s="989"/>
      <c r="WXR1062" s="989"/>
      <c r="WXS1062" s="989"/>
      <c r="WXT1062" s="989"/>
      <c r="WXU1062" s="989"/>
      <c r="WXV1062" s="989"/>
      <c r="WXW1062" s="989"/>
      <c r="WXX1062" s="989"/>
      <c r="WXY1062" s="989"/>
      <c r="WXZ1062" s="989"/>
      <c r="WYA1062" s="989"/>
      <c r="WYB1062" s="989"/>
      <c r="WYC1062" s="989"/>
      <c r="WYD1062" s="989"/>
      <c r="WYE1062" s="989"/>
      <c r="WYF1062" s="989"/>
      <c r="WYG1062" s="989"/>
      <c r="WYH1062" s="989"/>
      <c r="WYI1062" s="989"/>
      <c r="WYJ1062" s="989"/>
      <c r="WYK1062" s="989"/>
      <c r="WYL1062" s="989"/>
      <c r="WYM1062" s="989"/>
      <c r="WYN1062" s="989"/>
      <c r="WYO1062" s="989"/>
      <c r="WYP1062" s="989"/>
      <c r="WYQ1062" s="989"/>
      <c r="WYR1062" s="989"/>
      <c r="WYS1062" s="989"/>
      <c r="WYT1062" s="989"/>
      <c r="WYU1062" s="989"/>
      <c r="WYV1062" s="989"/>
      <c r="WYW1062" s="989"/>
      <c r="WYX1062" s="989"/>
      <c r="WYY1062" s="989"/>
      <c r="WYZ1062" s="989"/>
      <c r="WZA1062" s="989"/>
      <c r="WZB1062" s="989"/>
      <c r="WZC1062" s="989"/>
      <c r="WZD1062" s="989"/>
      <c r="WZE1062" s="989"/>
      <c r="WZF1062" s="989"/>
      <c r="WZG1062" s="989"/>
      <c r="WZH1062" s="989"/>
      <c r="WZI1062" s="989"/>
      <c r="WZJ1062" s="989"/>
      <c r="WZK1062" s="989"/>
      <c r="WZL1062" s="989"/>
      <c r="WZM1062" s="989"/>
      <c r="WZN1062" s="989"/>
      <c r="WZO1062" s="989"/>
      <c r="WZP1062" s="989"/>
      <c r="WZQ1062" s="989"/>
      <c r="WZR1062" s="989"/>
      <c r="WZS1062" s="989"/>
      <c r="WZT1062" s="989"/>
      <c r="WZU1062" s="989"/>
      <c r="WZV1062" s="989"/>
      <c r="WZW1062" s="989"/>
      <c r="WZX1062" s="989"/>
      <c r="WZY1062" s="989"/>
      <c r="WZZ1062" s="989"/>
      <c r="XAA1062" s="989"/>
      <c r="XAB1062" s="989"/>
      <c r="XAC1062" s="989"/>
      <c r="XAD1062" s="989"/>
      <c r="XAE1062" s="989"/>
      <c r="XAF1062" s="989"/>
      <c r="XAG1062" s="989"/>
      <c r="XAH1062" s="989"/>
      <c r="XAI1062" s="989"/>
      <c r="XAJ1062" s="989"/>
      <c r="XAK1062" s="989"/>
      <c r="XAL1062" s="989"/>
      <c r="XAM1062" s="989"/>
      <c r="XAN1062" s="989"/>
      <c r="XAO1062" s="989"/>
      <c r="XAP1062" s="989"/>
      <c r="XAQ1062" s="989"/>
      <c r="XAR1062" s="989"/>
      <c r="XAS1062" s="989"/>
      <c r="XAT1062" s="989"/>
      <c r="XAU1062" s="989"/>
      <c r="XAV1062" s="989"/>
      <c r="XAW1062" s="989"/>
      <c r="XAX1062" s="989"/>
      <c r="XAY1062" s="989"/>
      <c r="XAZ1062" s="989"/>
      <c r="XBA1062" s="989"/>
      <c r="XBB1062" s="989"/>
      <c r="XBC1062" s="989"/>
      <c r="XBD1062" s="989"/>
      <c r="XBE1062" s="989"/>
      <c r="XBF1062" s="989"/>
      <c r="XBG1062" s="989"/>
      <c r="XBH1062" s="989"/>
      <c r="XBI1062" s="989"/>
      <c r="XBJ1062" s="989"/>
      <c r="XBK1062" s="989"/>
      <c r="XBL1062" s="989"/>
      <c r="XBM1062" s="989"/>
      <c r="XBN1062" s="989"/>
      <c r="XBO1062" s="989"/>
      <c r="XBP1062" s="989"/>
      <c r="XBQ1062" s="989"/>
      <c r="XBR1062" s="989"/>
      <c r="XBS1062" s="989"/>
      <c r="XBT1062" s="989"/>
      <c r="XBU1062" s="989"/>
      <c r="XBV1062" s="989"/>
      <c r="XBW1062" s="989"/>
      <c r="XBX1062" s="989"/>
      <c r="XBY1062" s="989"/>
      <c r="XBZ1062" s="989"/>
      <c r="XCA1062" s="989"/>
      <c r="XCB1062" s="989"/>
      <c r="XCC1062" s="989"/>
      <c r="XCD1062" s="989"/>
      <c r="XCE1062" s="989"/>
      <c r="XCF1062" s="989"/>
      <c r="XCG1062" s="989"/>
      <c r="XCH1062" s="989"/>
      <c r="XCI1062" s="989"/>
      <c r="XCJ1062" s="989"/>
      <c r="XCK1062" s="989"/>
      <c r="XCL1062" s="989"/>
      <c r="XCM1062" s="989"/>
      <c r="XCN1062" s="989"/>
      <c r="XCO1062" s="989"/>
      <c r="XCP1062" s="989"/>
      <c r="XCQ1062" s="989"/>
      <c r="XCR1062" s="989"/>
      <c r="XCS1062" s="989"/>
      <c r="XCT1062" s="989"/>
      <c r="XCU1062" s="989"/>
      <c r="XCV1062" s="989"/>
      <c r="XCW1062" s="989"/>
      <c r="XCX1062" s="989"/>
      <c r="XCY1062" s="989"/>
      <c r="XCZ1062" s="989"/>
      <c r="XDA1062" s="989"/>
      <c r="XDB1062" s="989"/>
      <c r="XDC1062" s="989"/>
      <c r="XDD1062" s="989"/>
      <c r="XDE1062" s="989"/>
      <c r="XDF1062" s="989"/>
      <c r="XDG1062" s="989"/>
      <c r="XDH1062" s="989"/>
      <c r="XDI1062" s="989"/>
      <c r="XDJ1062" s="989"/>
      <c r="XDK1062" s="989"/>
      <c r="XDL1062" s="989"/>
      <c r="XDM1062" s="989"/>
      <c r="XDN1062" s="989"/>
      <c r="XDO1062" s="989"/>
      <c r="XDP1062" s="989"/>
      <c r="XDQ1062" s="989"/>
      <c r="XDR1062" s="989"/>
      <c r="XDS1062" s="989"/>
      <c r="XDT1062" s="989"/>
      <c r="XDU1062" s="989"/>
      <c r="XDV1062" s="989"/>
      <c r="XDW1062" s="989"/>
      <c r="XDX1062" s="989"/>
      <c r="XDY1062" s="989"/>
      <c r="XDZ1062" s="989"/>
      <c r="XEA1062" s="989"/>
      <c r="XEB1062" s="989"/>
      <c r="XEC1062" s="989"/>
      <c r="XED1062" s="989"/>
      <c r="XEE1062" s="989"/>
      <c r="XEF1062" s="989"/>
      <c r="XEG1062" s="989"/>
      <c r="XEH1062" s="989"/>
      <c r="XEI1062" s="989"/>
      <c r="XEJ1062" s="989"/>
      <c r="XEK1062" s="989"/>
      <c r="XEL1062" s="42"/>
      <c r="XEM1062" s="42"/>
      <c r="XEN1062" s="42"/>
      <c r="XEO1062" s="42"/>
      <c r="XEP1062" s="42"/>
      <c r="XEQ1062" s="42"/>
      <c r="XER1062" s="42"/>
      <c r="XES1062" s="2431"/>
      <c r="XET1062" s="2431"/>
      <c r="XEU1062" s="2431"/>
      <c r="XEV1062" s="2431"/>
      <c r="XEW1062" s="2431"/>
      <c r="XEX1062" s="2431"/>
      <c r="XEY1062" s="2431"/>
      <c r="XEZ1062" s="2431"/>
      <c r="XFA1062" s="2431"/>
      <c r="XFB1062" s="2431"/>
      <c r="XFC1062" s="2431"/>
    </row>
    <row r="1063" ht="25" customHeight="1" spans="1:1024 1025:16384">
      <c r="A1063" s="989"/>
      <c r="B1063" s="990"/>
      <c r="D1063" s="2445">
        <v>5</v>
      </c>
      <c r="E1063" s="2445" t="s">
        <v>3325</v>
      </c>
      <c r="F1063" s="2440"/>
      <c r="G1063" s="2441"/>
      <c r="H1063" s="2441"/>
      <c r="I1063" s="1658"/>
      <c r="J1063" s="1658"/>
      <c r="K1063" s="2446" t="s">
        <v>3326</v>
      </c>
      <c r="L1063" s="2447">
        <v>211</v>
      </c>
      <c r="M1063" s="2453">
        <v>0.0185</v>
      </c>
      <c r="N1063" s="2453">
        <v>0.043</v>
      </c>
      <c r="O1063" s="2454">
        <f>(N1063-M1063)*211</f>
        <v>5.1695</v>
      </c>
      <c r="P1063" s="2449">
        <f>(N1063-M1063)/M1063</f>
        <v>1.32432432432432</v>
      </c>
      <c r="Q1063" s="2450"/>
      <c r="R1063" s="989"/>
      <c r="S1063" s="989"/>
      <c r="T1063" s="42"/>
      <c r="U1063" s="42"/>
      <c r="V1063" s="42"/>
      <c r="W1063" s="2163"/>
      <c r="X1063" s="42"/>
      <c r="Y1063" s="989"/>
      <c r="Z1063" s="42"/>
      <c r="AA1063" s="42"/>
      <c r="AB1063" s="2163"/>
      <c r="AC1063" s="989"/>
      <c r="AD1063" s="989"/>
      <c r="AE1063" s="989"/>
      <c r="AF1063" s="989"/>
      <c r="AG1063" s="989"/>
      <c r="AH1063" s="989"/>
      <c r="AI1063" s="989"/>
      <c r="AJ1063" s="989"/>
      <c r="AK1063" s="989"/>
      <c r="AL1063" s="989"/>
      <c r="AM1063" s="989"/>
      <c r="AN1063" s="989"/>
      <c r="AO1063" s="989"/>
      <c r="AP1063" s="989"/>
      <c r="AQ1063" s="989"/>
      <c r="AR1063" s="989"/>
      <c r="AS1063" s="989"/>
      <c r="AT1063" s="989"/>
      <c r="AU1063" s="989"/>
      <c r="AV1063" s="989"/>
      <c r="AW1063" s="989"/>
      <c r="AX1063" s="989"/>
      <c r="AY1063" s="989"/>
      <c r="AZ1063" s="989"/>
      <c r="BA1063" s="989"/>
      <c r="BB1063" s="989"/>
      <c r="BC1063" s="989"/>
      <c r="BD1063" s="989"/>
      <c r="BE1063" s="989"/>
      <c r="BF1063" s="989"/>
      <c r="BG1063" s="989"/>
      <c r="BH1063" s="989"/>
      <c r="BI1063" s="989"/>
      <c r="BJ1063" s="989"/>
      <c r="BK1063" s="989"/>
      <c r="BL1063" s="989"/>
      <c r="BM1063" s="989"/>
      <c r="BN1063" s="989"/>
      <c r="BO1063" s="989"/>
      <c r="BP1063" s="989"/>
      <c r="BQ1063" s="989"/>
      <c r="BR1063" s="989"/>
      <c r="BS1063" s="989"/>
      <c r="BT1063" s="989"/>
      <c r="BU1063" s="989"/>
      <c r="BV1063" s="989"/>
      <c r="BW1063" s="989"/>
      <c r="BX1063" s="989"/>
      <c r="BY1063" s="989"/>
      <c r="BZ1063" s="989"/>
      <c r="CA1063" s="989"/>
      <c r="CB1063" s="989"/>
      <c r="CC1063" s="989"/>
      <c r="CD1063" s="989"/>
      <c r="CE1063" s="989"/>
      <c r="CF1063" s="989"/>
      <c r="CG1063" s="989"/>
      <c r="CH1063" s="989"/>
      <c r="CI1063" s="989"/>
      <c r="CJ1063" s="989"/>
      <c r="CK1063" s="989"/>
      <c r="CL1063" s="989"/>
      <c r="CM1063" s="989"/>
      <c r="CN1063" s="989"/>
      <c r="CO1063" s="989"/>
      <c r="CP1063" s="989"/>
      <c r="CQ1063" s="989"/>
      <c r="CR1063" s="989"/>
      <c r="CS1063" s="989"/>
      <c r="CT1063" s="989"/>
      <c r="CU1063" s="989"/>
      <c r="CV1063" s="989"/>
      <c r="CW1063" s="989"/>
      <c r="CX1063" s="989"/>
      <c r="CY1063" s="989"/>
      <c r="CZ1063" s="989"/>
      <c r="DA1063" s="989"/>
      <c r="DB1063" s="989"/>
      <c r="DC1063" s="989"/>
      <c r="DD1063" s="989"/>
      <c r="DE1063" s="989"/>
      <c r="DF1063" s="989"/>
      <c r="DG1063" s="989"/>
      <c r="DH1063" s="989"/>
      <c r="DI1063" s="989"/>
      <c r="DJ1063" s="989"/>
      <c r="DK1063" s="989"/>
      <c r="DL1063" s="989"/>
      <c r="DM1063" s="989"/>
      <c r="DN1063" s="989"/>
      <c r="DO1063" s="989"/>
      <c r="DP1063" s="989"/>
      <c r="DQ1063" s="989"/>
      <c r="DR1063" s="989"/>
      <c r="DS1063" s="989"/>
      <c r="DT1063" s="989"/>
      <c r="DU1063" s="989"/>
      <c r="DV1063" s="989"/>
      <c r="DW1063" s="989"/>
      <c r="DX1063" s="989"/>
      <c r="DY1063" s="989"/>
      <c r="DZ1063" s="989"/>
      <c r="EA1063" s="989"/>
      <c r="EB1063" s="989"/>
      <c r="EC1063" s="989"/>
      <c r="ED1063" s="989"/>
      <c r="EE1063" s="989"/>
      <c r="EF1063" s="989"/>
      <c r="EG1063" s="989"/>
      <c r="EH1063" s="989"/>
      <c r="EI1063" s="989"/>
      <c r="EJ1063" s="989"/>
      <c r="EK1063" s="989"/>
      <c r="EL1063" s="989"/>
      <c r="EM1063" s="989"/>
      <c r="EN1063" s="989"/>
      <c r="EO1063" s="989"/>
      <c r="EP1063" s="989"/>
      <c r="EQ1063" s="989"/>
      <c r="ER1063" s="989"/>
      <c r="ES1063" s="989"/>
      <c r="ET1063" s="989"/>
      <c r="EU1063" s="989"/>
      <c r="EV1063" s="989"/>
      <c r="EW1063" s="989"/>
      <c r="EX1063" s="989"/>
      <c r="EY1063" s="989"/>
      <c r="EZ1063" s="989"/>
      <c r="FA1063" s="989"/>
      <c r="FB1063" s="989"/>
      <c r="FC1063" s="989"/>
      <c r="FD1063" s="989"/>
      <c r="FE1063" s="989"/>
      <c r="FF1063" s="989"/>
      <c r="FG1063" s="989"/>
      <c r="FH1063" s="989"/>
      <c r="FI1063" s="989"/>
      <c r="FJ1063" s="989"/>
      <c r="FK1063" s="989"/>
      <c r="FL1063" s="989"/>
      <c r="FM1063" s="989"/>
      <c r="FN1063" s="989"/>
      <c r="FO1063" s="989"/>
      <c r="FP1063" s="989"/>
      <c r="FQ1063" s="989"/>
      <c r="FR1063" s="989"/>
      <c r="FS1063" s="989"/>
      <c r="FT1063" s="989"/>
      <c r="FU1063" s="989"/>
      <c r="FV1063" s="989"/>
      <c r="FW1063" s="989"/>
      <c r="FX1063" s="989"/>
      <c r="FY1063" s="989"/>
      <c r="FZ1063" s="989"/>
      <c r="GA1063" s="989"/>
      <c r="GB1063" s="989"/>
      <c r="GC1063" s="989"/>
      <c r="GD1063" s="989"/>
      <c r="GE1063" s="989"/>
      <c r="GF1063" s="989"/>
      <c r="GG1063" s="989"/>
      <c r="GH1063" s="989"/>
      <c r="GI1063" s="989"/>
      <c r="GJ1063" s="989"/>
      <c r="GK1063" s="989"/>
      <c r="GL1063" s="989"/>
      <c r="GM1063" s="989"/>
      <c r="GN1063" s="989"/>
      <c r="GO1063" s="989"/>
      <c r="GP1063" s="989"/>
      <c r="GQ1063" s="989"/>
      <c r="GR1063" s="989"/>
      <c r="GS1063" s="989"/>
      <c r="GT1063" s="989"/>
      <c r="GU1063" s="989"/>
      <c r="GV1063" s="989"/>
      <c r="GW1063" s="989"/>
      <c r="GX1063" s="989"/>
      <c r="GY1063" s="989"/>
      <c r="GZ1063" s="989"/>
      <c r="HA1063" s="989"/>
      <c r="HB1063" s="989"/>
      <c r="HC1063" s="989"/>
      <c r="HD1063" s="989"/>
      <c r="HE1063" s="989"/>
      <c r="HF1063" s="989"/>
      <c r="HG1063" s="989"/>
      <c r="HH1063" s="989"/>
      <c r="HI1063" s="989"/>
      <c r="HJ1063" s="989"/>
      <c r="HK1063" s="989"/>
      <c r="HL1063" s="989"/>
      <c r="HM1063" s="989"/>
      <c r="HN1063" s="989"/>
      <c r="HO1063" s="989"/>
      <c r="HP1063" s="989"/>
      <c r="HQ1063" s="989"/>
      <c r="HR1063" s="989"/>
      <c r="HS1063" s="989"/>
      <c r="HT1063" s="989"/>
      <c r="HU1063" s="989"/>
      <c r="HV1063" s="989"/>
      <c r="HW1063" s="989"/>
      <c r="HX1063" s="989"/>
      <c r="HY1063" s="989"/>
      <c r="HZ1063" s="989"/>
      <c r="IA1063" s="989"/>
      <c r="IB1063" s="989"/>
      <c r="IC1063" s="989"/>
      <c r="ID1063" s="989"/>
      <c r="IE1063" s="989"/>
      <c r="IF1063" s="989"/>
      <c r="IG1063" s="989"/>
      <c r="IH1063" s="989"/>
      <c r="II1063" s="989"/>
      <c r="IJ1063" s="989"/>
      <c r="IK1063" s="989"/>
      <c r="IL1063" s="989"/>
      <c r="IM1063" s="989"/>
      <c r="IN1063" s="989"/>
      <c r="IO1063" s="989"/>
      <c r="IP1063" s="989"/>
      <c r="IQ1063" s="989"/>
      <c r="IR1063" s="989"/>
      <c r="IS1063" s="989"/>
      <c r="IT1063" s="989"/>
      <c r="IU1063" s="989"/>
      <c r="IV1063" s="989"/>
      <c r="IW1063" s="989"/>
      <c r="IX1063" s="989"/>
      <c r="IY1063" s="989"/>
      <c r="IZ1063" s="989"/>
      <c r="JA1063" s="989"/>
      <c r="JB1063" s="989"/>
      <c r="JC1063" s="989"/>
      <c r="JD1063" s="989"/>
      <c r="JE1063" s="989"/>
      <c r="JF1063" s="989"/>
      <c r="JG1063" s="989"/>
      <c r="JH1063" s="989"/>
      <c r="JI1063" s="989"/>
      <c r="JJ1063" s="989"/>
      <c r="JK1063" s="989"/>
      <c r="JL1063" s="989"/>
      <c r="JM1063" s="989"/>
      <c r="JN1063" s="989"/>
      <c r="JO1063" s="989"/>
      <c r="JP1063" s="989"/>
      <c r="JQ1063" s="989"/>
      <c r="JR1063" s="989"/>
      <c r="JS1063" s="989"/>
      <c r="JT1063" s="989"/>
      <c r="JU1063" s="989"/>
      <c r="JV1063" s="989"/>
      <c r="JW1063" s="989"/>
      <c r="JX1063" s="989"/>
      <c r="JY1063" s="989"/>
      <c r="JZ1063" s="989"/>
      <c r="KA1063" s="989"/>
      <c r="KB1063" s="989"/>
      <c r="KC1063" s="989"/>
      <c r="KD1063" s="989"/>
      <c r="KE1063" s="989"/>
      <c r="KF1063" s="989"/>
      <c r="KG1063" s="989"/>
      <c r="KH1063" s="989"/>
      <c r="KI1063" s="989"/>
      <c r="KJ1063" s="989"/>
      <c r="KK1063" s="989"/>
      <c r="KL1063" s="989"/>
      <c r="KM1063" s="989"/>
      <c r="KN1063" s="989"/>
      <c r="KO1063" s="989"/>
      <c r="KP1063" s="989"/>
      <c r="KQ1063" s="989"/>
      <c r="KR1063" s="989"/>
      <c r="KS1063" s="989"/>
      <c r="KT1063" s="989"/>
      <c r="KU1063" s="989"/>
      <c r="KV1063" s="989"/>
      <c r="KW1063" s="989"/>
      <c r="KX1063" s="989"/>
      <c r="KY1063" s="989"/>
      <c r="KZ1063" s="989"/>
      <c r="LA1063" s="989"/>
      <c r="LB1063" s="989"/>
      <c r="LC1063" s="989"/>
      <c r="LD1063" s="989"/>
      <c r="LE1063" s="989"/>
      <c r="LF1063" s="989"/>
      <c r="LG1063" s="989"/>
      <c r="LH1063" s="989"/>
      <c r="LI1063" s="989"/>
      <c r="LJ1063" s="989"/>
      <c r="LK1063" s="989"/>
      <c r="LL1063" s="989"/>
      <c r="LM1063" s="989"/>
      <c r="LN1063" s="989"/>
      <c r="LO1063" s="989"/>
      <c r="LP1063" s="989"/>
      <c r="LQ1063" s="989"/>
      <c r="LR1063" s="989"/>
      <c r="LS1063" s="989"/>
      <c r="LT1063" s="989"/>
      <c r="LU1063" s="989"/>
      <c r="LV1063" s="989"/>
      <c r="LW1063" s="989"/>
      <c r="LX1063" s="989"/>
      <c r="LY1063" s="989"/>
      <c r="LZ1063" s="989"/>
      <c r="MA1063" s="989"/>
      <c r="MB1063" s="989"/>
      <c r="MC1063" s="989"/>
      <c r="MD1063" s="989"/>
      <c r="ME1063" s="989"/>
      <c r="MF1063" s="989"/>
      <c r="MG1063" s="989"/>
      <c r="MH1063" s="989"/>
      <c r="MI1063" s="989"/>
      <c r="MJ1063" s="989"/>
      <c r="MK1063" s="989"/>
      <c r="ML1063" s="989"/>
      <c r="MM1063" s="989"/>
      <c r="MN1063" s="989"/>
      <c r="MO1063" s="989"/>
      <c r="MP1063" s="989"/>
      <c r="MQ1063" s="989"/>
      <c r="MR1063" s="989"/>
      <c r="MS1063" s="989"/>
      <c r="MT1063" s="989"/>
      <c r="MU1063" s="989"/>
      <c r="MV1063" s="989"/>
      <c r="MW1063" s="989"/>
      <c r="MX1063" s="989"/>
      <c r="MY1063" s="989"/>
      <c r="MZ1063" s="989"/>
      <c r="NA1063" s="989"/>
      <c r="NB1063" s="989"/>
      <c r="NC1063" s="989"/>
      <c r="ND1063" s="989"/>
      <c r="NE1063" s="989"/>
      <c r="NF1063" s="989"/>
      <c r="NG1063" s="989"/>
      <c r="NH1063" s="989"/>
      <c r="NI1063" s="989"/>
      <c r="NJ1063" s="989"/>
      <c r="NK1063" s="989"/>
      <c r="NL1063" s="989"/>
      <c r="NM1063" s="989"/>
      <c r="NN1063" s="989"/>
      <c r="NO1063" s="989"/>
      <c r="NP1063" s="989"/>
      <c r="NQ1063" s="989"/>
      <c r="NR1063" s="989"/>
      <c r="NS1063" s="989"/>
      <c r="NT1063" s="989"/>
      <c r="NU1063" s="989"/>
      <c r="NV1063" s="989"/>
      <c r="NW1063" s="989"/>
      <c r="NX1063" s="989"/>
      <c r="NY1063" s="989"/>
      <c r="NZ1063" s="989"/>
      <c r="OA1063" s="989"/>
      <c r="OB1063" s="989"/>
      <c r="OC1063" s="989"/>
      <c r="OD1063" s="989"/>
      <c r="OE1063" s="989"/>
      <c r="OF1063" s="989"/>
      <c r="OG1063" s="989"/>
      <c r="OH1063" s="989"/>
      <c r="OI1063" s="989"/>
      <c r="OJ1063" s="989"/>
      <c r="OK1063" s="989"/>
      <c r="OL1063" s="989"/>
      <c r="OM1063" s="989"/>
      <c r="ON1063" s="989"/>
      <c r="OO1063" s="989"/>
      <c r="OP1063" s="989"/>
      <c r="OQ1063" s="989"/>
      <c r="OR1063" s="989"/>
      <c r="OS1063" s="989"/>
      <c r="OT1063" s="989"/>
      <c r="OU1063" s="989"/>
      <c r="OV1063" s="989"/>
      <c r="OW1063" s="989"/>
      <c r="OX1063" s="989"/>
      <c r="OY1063" s="989"/>
      <c r="OZ1063" s="989"/>
      <c r="PA1063" s="989"/>
      <c r="PB1063" s="989"/>
      <c r="PC1063" s="989"/>
      <c r="PD1063" s="989"/>
      <c r="PE1063" s="989"/>
      <c r="PF1063" s="989"/>
      <c r="PG1063" s="989"/>
      <c r="PH1063" s="989"/>
      <c r="PI1063" s="989"/>
      <c r="PJ1063" s="989"/>
      <c r="PK1063" s="989"/>
      <c r="PL1063" s="989"/>
      <c r="PM1063" s="989"/>
      <c r="PN1063" s="989"/>
      <c r="PO1063" s="989"/>
      <c r="PP1063" s="989"/>
      <c r="PQ1063" s="989"/>
      <c r="PR1063" s="989"/>
      <c r="PS1063" s="989"/>
      <c r="PT1063" s="989"/>
      <c r="PU1063" s="989"/>
      <c r="PV1063" s="989"/>
      <c r="PW1063" s="989"/>
      <c r="PX1063" s="989"/>
      <c r="PY1063" s="989"/>
      <c r="PZ1063" s="989"/>
      <c r="QA1063" s="989"/>
      <c r="QB1063" s="989"/>
      <c r="QC1063" s="989"/>
      <c r="QD1063" s="989"/>
      <c r="QE1063" s="989"/>
      <c r="QF1063" s="989"/>
      <c r="QG1063" s="989"/>
      <c r="QH1063" s="989"/>
      <c r="QI1063" s="989"/>
      <c r="QJ1063" s="989"/>
      <c r="QK1063" s="989"/>
      <c r="QL1063" s="989"/>
      <c r="QM1063" s="989"/>
      <c r="QN1063" s="989"/>
      <c r="QO1063" s="989"/>
      <c r="QP1063" s="989"/>
      <c r="QQ1063" s="989"/>
      <c r="QR1063" s="989"/>
      <c r="QS1063" s="989"/>
      <c r="QT1063" s="989"/>
      <c r="QU1063" s="989"/>
      <c r="QV1063" s="989"/>
      <c r="QW1063" s="989"/>
      <c r="QX1063" s="989"/>
      <c r="QY1063" s="989"/>
      <c r="QZ1063" s="989"/>
      <c r="RA1063" s="989"/>
      <c r="RB1063" s="989"/>
      <c r="RC1063" s="989"/>
      <c r="RD1063" s="989"/>
      <c r="RE1063" s="989"/>
      <c r="RF1063" s="989"/>
      <c r="RG1063" s="989"/>
      <c r="RH1063" s="989"/>
      <c r="RI1063" s="989"/>
      <c r="RJ1063" s="989"/>
      <c r="RK1063" s="989"/>
      <c r="RL1063" s="989"/>
      <c r="RM1063" s="989"/>
      <c r="RN1063" s="989"/>
      <c r="RO1063" s="989"/>
      <c r="RP1063" s="989"/>
      <c r="RQ1063" s="989"/>
      <c r="RR1063" s="989"/>
      <c r="RS1063" s="989"/>
      <c r="RT1063" s="989"/>
      <c r="RU1063" s="989"/>
      <c r="RV1063" s="989"/>
      <c r="RW1063" s="989"/>
      <c r="RX1063" s="989"/>
      <c r="RY1063" s="989"/>
      <c r="RZ1063" s="989"/>
      <c r="SA1063" s="989"/>
      <c r="SB1063" s="989"/>
      <c r="SC1063" s="989"/>
      <c r="SD1063" s="989"/>
      <c r="SE1063" s="989"/>
      <c r="SF1063" s="989"/>
      <c r="SG1063" s="989"/>
      <c r="SH1063" s="989"/>
      <c r="SI1063" s="989"/>
      <c r="SJ1063" s="989"/>
      <c r="SK1063" s="989"/>
      <c r="SL1063" s="989"/>
      <c r="SM1063" s="989"/>
      <c r="SN1063" s="989"/>
      <c r="SO1063" s="989"/>
      <c r="SP1063" s="989"/>
      <c r="SQ1063" s="989"/>
      <c r="SR1063" s="989"/>
      <c r="SS1063" s="989"/>
      <c r="ST1063" s="989"/>
      <c r="SU1063" s="989"/>
      <c r="SV1063" s="989"/>
      <c r="SW1063" s="989"/>
      <c r="SX1063" s="989"/>
      <c r="SY1063" s="989"/>
      <c r="SZ1063" s="989"/>
      <c r="TA1063" s="989"/>
      <c r="TB1063" s="989"/>
      <c r="TC1063" s="989"/>
      <c r="TD1063" s="989"/>
      <c r="TE1063" s="989"/>
      <c r="TF1063" s="989"/>
      <c r="TG1063" s="989"/>
      <c r="TH1063" s="989"/>
      <c r="TI1063" s="989"/>
      <c r="TJ1063" s="989"/>
      <c r="TK1063" s="989"/>
      <c r="TL1063" s="989"/>
      <c r="TM1063" s="989"/>
      <c r="TN1063" s="989"/>
      <c r="TO1063" s="989"/>
      <c r="TP1063" s="989"/>
      <c r="TQ1063" s="989"/>
      <c r="TR1063" s="989"/>
      <c r="TS1063" s="989"/>
      <c r="TT1063" s="989"/>
      <c r="TU1063" s="989"/>
      <c r="TV1063" s="989"/>
      <c r="TW1063" s="989"/>
      <c r="TX1063" s="989"/>
      <c r="TY1063" s="989"/>
      <c r="TZ1063" s="989"/>
      <c r="UA1063" s="989"/>
      <c r="UB1063" s="989"/>
      <c r="UC1063" s="989"/>
      <c r="UD1063" s="989"/>
      <c r="UE1063" s="989"/>
      <c r="UF1063" s="989"/>
      <c r="UG1063" s="989"/>
      <c r="UH1063" s="989"/>
      <c r="UI1063" s="989"/>
      <c r="UJ1063" s="989"/>
      <c r="UK1063" s="989"/>
      <c r="UL1063" s="989"/>
      <c r="UM1063" s="989"/>
      <c r="UN1063" s="989"/>
      <c r="UO1063" s="989"/>
      <c r="UP1063" s="989"/>
      <c r="UQ1063" s="989"/>
      <c r="UR1063" s="989"/>
      <c r="US1063" s="989"/>
      <c r="UT1063" s="989"/>
      <c r="UU1063" s="989"/>
      <c r="UV1063" s="989"/>
      <c r="UW1063" s="989"/>
      <c r="UX1063" s="989"/>
      <c r="UY1063" s="989"/>
      <c r="UZ1063" s="989"/>
      <c r="VA1063" s="989"/>
      <c r="VB1063" s="989"/>
      <c r="VC1063" s="989"/>
      <c r="VD1063" s="989"/>
      <c r="VE1063" s="989"/>
      <c r="VF1063" s="989"/>
      <c r="VG1063" s="989"/>
      <c r="VH1063" s="989"/>
      <c r="VI1063" s="989"/>
      <c r="VJ1063" s="989"/>
      <c r="VK1063" s="989"/>
      <c r="VL1063" s="989"/>
      <c r="VM1063" s="989"/>
      <c r="VN1063" s="989"/>
      <c r="VO1063" s="989"/>
      <c r="VP1063" s="989"/>
      <c r="VQ1063" s="989"/>
      <c r="VR1063" s="989"/>
      <c r="VS1063" s="989"/>
      <c r="VT1063" s="989"/>
      <c r="VU1063" s="989"/>
      <c r="VV1063" s="989"/>
      <c r="VW1063" s="989"/>
      <c r="VX1063" s="989"/>
      <c r="VY1063" s="989"/>
      <c r="VZ1063" s="989"/>
      <c r="WA1063" s="989"/>
      <c r="WB1063" s="989"/>
      <c r="WC1063" s="989"/>
      <c r="WD1063" s="989"/>
      <c r="WE1063" s="989"/>
      <c r="WF1063" s="989"/>
      <c r="WG1063" s="989"/>
      <c r="WH1063" s="989"/>
      <c r="WI1063" s="989"/>
      <c r="WJ1063" s="989"/>
      <c r="WK1063" s="989"/>
      <c r="WL1063" s="989"/>
      <c r="WM1063" s="989"/>
      <c r="WN1063" s="989"/>
      <c r="WO1063" s="989"/>
      <c r="WP1063" s="989"/>
      <c r="WQ1063" s="989"/>
      <c r="WR1063" s="989"/>
      <c r="WS1063" s="989"/>
      <c r="WT1063" s="989"/>
      <c r="WU1063" s="989"/>
      <c r="WV1063" s="989"/>
      <c r="WW1063" s="989"/>
      <c r="WX1063" s="989"/>
      <c r="WY1063" s="989"/>
      <c r="WZ1063" s="989"/>
      <c r="XA1063" s="989"/>
      <c r="XB1063" s="989"/>
      <c r="XC1063" s="989"/>
      <c r="XD1063" s="989"/>
      <c r="XE1063" s="989"/>
      <c r="XF1063" s="989"/>
      <c r="XG1063" s="989"/>
      <c r="XH1063" s="989"/>
      <c r="XI1063" s="989"/>
      <c r="XJ1063" s="989"/>
      <c r="XK1063" s="989"/>
      <c r="XL1063" s="989"/>
      <c r="XM1063" s="989"/>
      <c r="XN1063" s="989"/>
      <c r="XO1063" s="989"/>
      <c r="XP1063" s="989"/>
      <c r="XQ1063" s="989"/>
      <c r="XR1063" s="989"/>
      <c r="XS1063" s="989"/>
      <c r="XT1063" s="989"/>
      <c r="XU1063" s="989"/>
      <c r="XV1063" s="989"/>
      <c r="XW1063" s="989"/>
      <c r="XX1063" s="989"/>
      <c r="XY1063" s="989"/>
      <c r="XZ1063" s="989"/>
      <c r="YA1063" s="989"/>
      <c r="YB1063" s="989"/>
      <c r="YC1063" s="989"/>
      <c r="YD1063" s="989"/>
      <c r="YE1063" s="989"/>
      <c r="YF1063" s="989"/>
      <c r="YG1063" s="989"/>
      <c r="YH1063" s="989"/>
      <c r="YI1063" s="989"/>
      <c r="YJ1063" s="989"/>
      <c r="YK1063" s="989"/>
      <c r="YL1063" s="989"/>
      <c r="YM1063" s="989"/>
      <c r="YN1063" s="989"/>
      <c r="YO1063" s="989"/>
      <c r="YP1063" s="989"/>
      <c r="YQ1063" s="989"/>
      <c r="YR1063" s="989"/>
      <c r="YS1063" s="989"/>
      <c r="YT1063" s="989"/>
      <c r="YU1063" s="989"/>
      <c r="YV1063" s="989"/>
      <c r="YW1063" s="989"/>
      <c r="YX1063" s="989"/>
      <c r="YY1063" s="989"/>
      <c r="YZ1063" s="989"/>
      <c r="ZA1063" s="989"/>
      <c r="ZB1063" s="989"/>
      <c r="ZC1063" s="989"/>
      <c r="ZD1063" s="989"/>
      <c r="ZE1063" s="989"/>
      <c r="ZF1063" s="989"/>
      <c r="ZG1063" s="989"/>
      <c r="ZH1063" s="989"/>
      <c r="ZI1063" s="989"/>
      <c r="ZJ1063" s="989"/>
      <c r="ZK1063" s="989"/>
      <c r="ZL1063" s="989"/>
      <c r="ZM1063" s="989"/>
      <c r="ZN1063" s="989"/>
      <c r="ZO1063" s="989"/>
      <c r="ZP1063" s="989"/>
      <c r="ZQ1063" s="989"/>
      <c r="ZR1063" s="989"/>
      <c r="ZS1063" s="989"/>
      <c r="ZT1063" s="989"/>
      <c r="ZU1063" s="989"/>
      <c r="ZV1063" s="989"/>
      <c r="ZW1063" s="989"/>
      <c r="ZX1063" s="989"/>
      <c r="ZY1063" s="989"/>
      <c r="ZZ1063" s="989"/>
      <c r="AAA1063" s="989"/>
      <c r="AAB1063" s="989"/>
      <c r="AAC1063" s="989"/>
      <c r="AAD1063" s="989"/>
      <c r="AAE1063" s="989"/>
      <c r="AAF1063" s="989"/>
      <c r="AAG1063" s="989"/>
      <c r="AAH1063" s="989"/>
      <c r="AAI1063" s="989"/>
      <c r="AAJ1063" s="989"/>
      <c r="AAK1063" s="989"/>
      <c r="AAL1063" s="989"/>
      <c r="AAM1063" s="989"/>
      <c r="AAN1063" s="989"/>
      <c r="AAO1063" s="989"/>
      <c r="AAP1063" s="989"/>
      <c r="AAQ1063" s="989"/>
      <c r="AAR1063" s="989"/>
      <c r="AAS1063" s="989"/>
      <c r="AAT1063" s="989"/>
      <c r="AAU1063" s="989"/>
      <c r="AAV1063" s="989"/>
      <c r="AAW1063" s="989"/>
      <c r="AAX1063" s="989"/>
      <c r="AAY1063" s="989"/>
      <c r="AAZ1063" s="989"/>
      <c r="ABA1063" s="989"/>
      <c r="ABB1063" s="989"/>
      <c r="ABC1063" s="989"/>
      <c r="ABD1063" s="989"/>
      <c r="ABE1063" s="989"/>
      <c r="ABF1063" s="989"/>
      <c r="ABG1063" s="989"/>
      <c r="ABH1063" s="989"/>
      <c r="ABI1063" s="989"/>
      <c r="ABJ1063" s="989"/>
      <c r="ABK1063" s="989"/>
      <c r="ABL1063" s="989"/>
      <c r="ABM1063" s="989"/>
      <c r="ABN1063" s="989"/>
      <c r="ABO1063" s="989"/>
      <c r="ABP1063" s="989"/>
      <c r="ABQ1063" s="989"/>
      <c r="ABR1063" s="989"/>
      <c r="ABS1063" s="989"/>
      <c r="ABT1063" s="989"/>
      <c r="ABU1063" s="989"/>
      <c r="ABV1063" s="989"/>
      <c r="ABW1063" s="989"/>
      <c r="ABX1063" s="989"/>
      <c r="ABY1063" s="989"/>
      <c r="ABZ1063" s="989"/>
      <c r="ACA1063" s="989"/>
      <c r="ACB1063" s="989"/>
      <c r="ACC1063" s="989"/>
      <c r="ACD1063" s="989"/>
      <c r="ACE1063" s="989"/>
      <c r="ACF1063" s="989"/>
      <c r="ACG1063" s="989"/>
      <c r="ACH1063" s="989"/>
      <c r="ACI1063" s="989"/>
      <c r="ACJ1063" s="989"/>
      <c r="ACK1063" s="989"/>
      <c r="ACL1063" s="989"/>
      <c r="ACM1063" s="989"/>
      <c r="ACN1063" s="989"/>
      <c r="ACO1063" s="989"/>
      <c r="ACP1063" s="989"/>
      <c r="ACQ1063" s="989"/>
      <c r="ACR1063" s="989"/>
      <c r="ACS1063" s="989"/>
      <c r="ACT1063" s="989"/>
      <c r="ACU1063" s="989"/>
      <c r="ACV1063" s="989"/>
      <c r="ACW1063" s="989"/>
      <c r="ACX1063" s="989"/>
      <c r="ACY1063" s="989"/>
      <c r="ACZ1063" s="989"/>
      <c r="ADA1063" s="989"/>
      <c r="ADB1063" s="989"/>
      <c r="ADC1063" s="989"/>
      <c r="ADD1063" s="989"/>
      <c r="ADE1063" s="989"/>
      <c r="ADF1063" s="989"/>
      <c r="ADG1063" s="989"/>
      <c r="ADH1063" s="989"/>
      <c r="ADI1063" s="989"/>
      <c r="ADJ1063" s="989"/>
      <c r="ADK1063" s="989"/>
      <c r="ADL1063" s="989"/>
      <c r="ADM1063" s="989"/>
      <c r="ADN1063" s="989"/>
      <c r="ADO1063" s="989"/>
      <c r="ADP1063" s="989"/>
      <c r="ADQ1063" s="989"/>
      <c r="ADR1063" s="989"/>
      <c r="ADS1063" s="989"/>
      <c r="ADT1063" s="989"/>
      <c r="ADU1063" s="989"/>
      <c r="ADV1063" s="989"/>
      <c r="ADW1063" s="989"/>
      <c r="ADX1063" s="989"/>
      <c r="ADY1063" s="989"/>
      <c r="ADZ1063" s="989"/>
      <c r="AEA1063" s="989"/>
      <c r="AEB1063" s="989"/>
      <c r="AEC1063" s="989"/>
      <c r="AED1063" s="989"/>
      <c r="AEE1063" s="989"/>
      <c r="AEF1063" s="989"/>
      <c r="AEG1063" s="989"/>
      <c r="AEH1063" s="989"/>
      <c r="AEI1063" s="989"/>
      <c r="AEJ1063" s="989"/>
      <c r="AEK1063" s="989"/>
      <c r="AEL1063" s="989"/>
      <c r="AEM1063" s="989"/>
      <c r="AEN1063" s="989"/>
      <c r="AEO1063" s="989"/>
      <c r="AEP1063" s="989"/>
      <c r="AEQ1063" s="989"/>
      <c r="AER1063" s="989"/>
      <c r="AES1063" s="989"/>
      <c r="AET1063" s="989"/>
      <c r="AEU1063" s="989"/>
      <c r="AEV1063" s="989"/>
      <c r="AEW1063" s="989"/>
      <c r="AEX1063" s="989"/>
      <c r="AEY1063" s="989"/>
      <c r="AEZ1063" s="989"/>
      <c r="AFA1063" s="989"/>
      <c r="AFB1063" s="989"/>
      <c r="AFC1063" s="989"/>
      <c r="AFD1063" s="989"/>
      <c r="AFE1063" s="989"/>
      <c r="AFF1063" s="989"/>
      <c r="AFG1063" s="989"/>
      <c r="AFH1063" s="989"/>
      <c r="AFI1063" s="989"/>
      <c r="AFJ1063" s="989"/>
      <c r="AFK1063" s="989"/>
      <c r="AFL1063" s="989"/>
      <c r="AFM1063" s="989"/>
      <c r="AFN1063" s="989"/>
      <c r="AFO1063" s="989"/>
      <c r="AFP1063" s="989"/>
      <c r="AFQ1063" s="989"/>
      <c r="AFR1063" s="989"/>
      <c r="AFS1063" s="989"/>
      <c r="AFT1063" s="989"/>
      <c r="AFU1063" s="989"/>
      <c r="AFV1063" s="989"/>
      <c r="AFW1063" s="989"/>
      <c r="AFX1063" s="989"/>
      <c r="AFY1063" s="989"/>
      <c r="AFZ1063" s="989"/>
      <c r="AGA1063" s="989"/>
      <c r="AGB1063" s="989"/>
      <c r="AGC1063" s="989"/>
      <c r="AGD1063" s="989"/>
      <c r="AGE1063" s="989"/>
      <c r="AGF1063" s="989"/>
      <c r="AGG1063" s="989"/>
      <c r="AGH1063" s="989"/>
      <c r="AGI1063" s="989"/>
      <c r="AGJ1063" s="989"/>
      <c r="AGK1063" s="989"/>
      <c r="AGL1063" s="989"/>
      <c r="AGM1063" s="989"/>
      <c r="AGN1063" s="989"/>
      <c r="AGO1063" s="989"/>
      <c r="AGP1063" s="989"/>
      <c r="AGQ1063" s="989"/>
      <c r="AGR1063" s="989"/>
      <c r="AGS1063" s="989"/>
      <c r="AGT1063" s="989"/>
      <c r="AGU1063" s="989"/>
      <c r="AGV1063" s="989"/>
      <c r="AGW1063" s="989"/>
      <c r="AGX1063" s="989"/>
      <c r="AGY1063" s="989"/>
      <c r="AGZ1063" s="989"/>
      <c r="AHA1063" s="989"/>
      <c r="AHB1063" s="989"/>
      <c r="AHC1063" s="989"/>
      <c r="AHD1063" s="989"/>
      <c r="AHE1063" s="989"/>
      <c r="AHF1063" s="989"/>
      <c r="AHG1063" s="989"/>
      <c r="AHH1063" s="989"/>
      <c r="AHI1063" s="989"/>
      <c r="AHJ1063" s="989"/>
      <c r="AHK1063" s="989"/>
      <c r="AHL1063" s="989"/>
      <c r="AHM1063" s="989"/>
      <c r="AHN1063" s="989"/>
      <c r="AHO1063" s="989"/>
      <c r="AHP1063" s="989"/>
      <c r="AHQ1063" s="989"/>
      <c r="AHR1063" s="989"/>
      <c r="AHS1063" s="989"/>
      <c r="AHT1063" s="989"/>
      <c r="AHU1063" s="989"/>
      <c r="AHV1063" s="989"/>
      <c r="AHW1063" s="989"/>
      <c r="AHX1063" s="989"/>
      <c r="AHY1063" s="989"/>
      <c r="AHZ1063" s="989"/>
      <c r="AIA1063" s="989"/>
      <c r="AIB1063" s="989"/>
      <c r="AIC1063" s="989"/>
      <c r="AID1063" s="989"/>
      <c r="AIE1063" s="989"/>
      <c r="AIF1063" s="989"/>
      <c r="AIG1063" s="989"/>
      <c r="AIH1063" s="989"/>
      <c r="AII1063" s="989"/>
      <c r="AIJ1063" s="989"/>
      <c r="AIK1063" s="989"/>
      <c r="AIL1063" s="989"/>
      <c r="AIM1063" s="989"/>
      <c r="AIN1063" s="989"/>
      <c r="AIO1063" s="989"/>
      <c r="AIP1063" s="989"/>
      <c r="AIQ1063" s="989"/>
      <c r="AIR1063" s="989"/>
      <c r="AIS1063" s="989"/>
      <c r="AIT1063" s="989"/>
      <c r="AIU1063" s="989"/>
      <c r="AIV1063" s="989"/>
      <c r="AIW1063" s="989"/>
      <c r="AIX1063" s="989"/>
      <c r="AIY1063" s="989"/>
      <c r="AIZ1063" s="989"/>
      <c r="AJA1063" s="989"/>
      <c r="AJB1063" s="989"/>
      <c r="AJC1063" s="989"/>
      <c r="AJD1063" s="989"/>
      <c r="AJE1063" s="989"/>
      <c r="AJF1063" s="989"/>
      <c r="AJG1063" s="989"/>
      <c r="AJH1063" s="989"/>
      <c r="AJI1063" s="989"/>
      <c r="AJJ1063" s="989"/>
      <c r="AJK1063" s="989"/>
      <c r="AJL1063" s="989"/>
      <c r="AJM1063" s="989"/>
      <c r="AJN1063" s="989"/>
      <c r="AJO1063" s="989"/>
      <c r="AJP1063" s="989"/>
      <c r="AJQ1063" s="989"/>
      <c r="AJR1063" s="989"/>
      <c r="AJS1063" s="989"/>
      <c r="AJT1063" s="989"/>
      <c r="AJU1063" s="989"/>
      <c r="AJV1063" s="989"/>
      <c r="AJW1063" s="989"/>
      <c r="AJX1063" s="989"/>
      <c r="AJY1063" s="989"/>
      <c r="AJZ1063" s="989"/>
      <c r="AKA1063" s="989"/>
      <c r="AKB1063" s="989"/>
      <c r="AKC1063" s="989"/>
      <c r="AKD1063" s="989"/>
      <c r="AKE1063" s="989"/>
      <c r="AKF1063" s="989"/>
      <c r="AKG1063" s="989"/>
      <c r="AKH1063" s="989"/>
      <c r="AKI1063" s="989"/>
      <c r="AKJ1063" s="989"/>
      <c r="AKK1063" s="989"/>
      <c r="AKL1063" s="989"/>
      <c r="AKM1063" s="989"/>
      <c r="AKN1063" s="989"/>
      <c r="AKO1063" s="989"/>
      <c r="AKP1063" s="989"/>
      <c r="AKQ1063" s="989"/>
      <c r="AKR1063" s="989"/>
      <c r="AKS1063" s="989"/>
      <c r="AKT1063" s="989"/>
      <c r="AKU1063" s="989"/>
      <c r="AKV1063" s="989"/>
      <c r="AKW1063" s="989"/>
      <c r="AKX1063" s="989"/>
      <c r="AKY1063" s="989"/>
      <c r="AKZ1063" s="989"/>
      <c r="ALA1063" s="989"/>
      <c r="ALB1063" s="989"/>
      <c r="ALC1063" s="989"/>
      <c r="ALD1063" s="989"/>
      <c r="ALE1063" s="989"/>
      <c r="ALF1063" s="989"/>
      <c r="ALG1063" s="989"/>
      <c r="ALH1063" s="989"/>
      <c r="ALI1063" s="989"/>
      <c r="ALJ1063" s="989"/>
      <c r="ALK1063" s="989"/>
      <c r="ALL1063" s="989"/>
      <c r="ALM1063" s="989"/>
      <c r="ALN1063" s="989"/>
      <c r="ALO1063" s="989"/>
      <c r="ALP1063" s="989"/>
      <c r="ALQ1063" s="989"/>
      <c r="ALR1063" s="989"/>
      <c r="ALS1063" s="989"/>
      <c r="ALT1063" s="989"/>
      <c r="ALU1063" s="989"/>
      <c r="ALV1063" s="989"/>
      <c r="ALW1063" s="989"/>
      <c r="ALX1063" s="989"/>
      <c r="ALY1063" s="989"/>
      <c r="ALZ1063" s="989"/>
      <c r="AMA1063" s="989"/>
      <c r="AMB1063" s="989"/>
      <c r="AMC1063" s="989"/>
      <c r="AMD1063" s="989"/>
      <c r="AME1063" s="989"/>
      <c r="AMF1063" s="989"/>
      <c r="AMG1063" s="989"/>
      <c r="AMH1063" s="989"/>
      <c r="AMI1063" s="989"/>
      <c r="AMJ1063" s="989"/>
      <c r="AMK1063" s="989"/>
      <c r="AML1063" s="989"/>
      <c r="AMM1063" s="989"/>
      <c r="AMN1063" s="989"/>
      <c r="AMO1063" s="989"/>
      <c r="AMP1063" s="989"/>
      <c r="AMQ1063" s="989"/>
      <c r="AMR1063" s="989"/>
      <c r="AMS1063" s="989"/>
      <c r="AMT1063" s="989"/>
      <c r="AMU1063" s="989"/>
      <c r="AMV1063" s="989"/>
      <c r="AMW1063" s="989"/>
      <c r="AMX1063" s="989"/>
      <c r="AMY1063" s="989"/>
      <c r="AMZ1063" s="989"/>
      <c r="ANA1063" s="989"/>
      <c r="ANB1063" s="989"/>
      <c r="ANC1063" s="989"/>
      <c r="AND1063" s="989"/>
      <c r="ANE1063" s="989"/>
      <c r="ANF1063" s="989"/>
      <c r="ANG1063" s="989"/>
      <c r="ANH1063" s="989"/>
      <c r="ANI1063" s="989"/>
      <c r="ANJ1063" s="989"/>
      <c r="ANK1063" s="989"/>
      <c r="ANL1063" s="989"/>
      <c r="ANM1063" s="989"/>
      <c r="ANN1063" s="989"/>
      <c r="ANO1063" s="989"/>
      <c r="ANP1063" s="989"/>
      <c r="ANQ1063" s="989"/>
      <c r="ANR1063" s="989"/>
      <c r="ANS1063" s="989"/>
      <c r="ANT1063" s="989"/>
      <c r="ANU1063" s="989"/>
      <c r="ANV1063" s="989"/>
      <c r="ANW1063" s="989"/>
      <c r="ANX1063" s="989"/>
      <c r="ANY1063" s="989"/>
      <c r="ANZ1063" s="989"/>
      <c r="AOA1063" s="989"/>
      <c r="AOB1063" s="989"/>
      <c r="AOC1063" s="989"/>
      <c r="AOD1063" s="989"/>
      <c r="AOE1063" s="989"/>
      <c r="AOF1063" s="989"/>
      <c r="AOG1063" s="989"/>
      <c r="AOH1063" s="989"/>
      <c r="AOI1063" s="989"/>
      <c r="AOJ1063" s="989"/>
      <c r="AOK1063" s="989"/>
      <c r="AOL1063" s="989"/>
      <c r="AOM1063" s="989"/>
      <c r="AON1063" s="989"/>
      <c r="AOO1063" s="989"/>
      <c r="AOP1063" s="989"/>
      <c r="AOQ1063" s="989"/>
      <c r="AOR1063" s="989"/>
      <c r="AOS1063" s="989"/>
      <c r="AOT1063" s="989"/>
      <c r="AOU1063" s="989"/>
      <c r="AOV1063" s="989"/>
      <c r="AOW1063" s="989"/>
      <c r="AOX1063" s="989"/>
      <c r="AOY1063" s="989"/>
      <c r="AOZ1063" s="989"/>
      <c r="APA1063" s="989"/>
      <c r="APB1063" s="989"/>
      <c r="APC1063" s="989"/>
      <c r="APD1063" s="989"/>
      <c r="APE1063" s="989"/>
      <c r="APF1063" s="989"/>
      <c r="APG1063" s="989"/>
      <c r="APH1063" s="989"/>
      <c r="API1063" s="989"/>
      <c r="APJ1063" s="989"/>
      <c r="APK1063" s="989"/>
      <c r="APL1063" s="989"/>
      <c r="APM1063" s="989"/>
      <c r="APN1063" s="989"/>
      <c r="APO1063" s="989"/>
      <c r="APP1063" s="989"/>
      <c r="APQ1063" s="989"/>
      <c r="APR1063" s="989"/>
      <c r="APS1063" s="989"/>
      <c r="APT1063" s="989"/>
      <c r="APU1063" s="989"/>
      <c r="APV1063" s="989"/>
      <c r="APW1063" s="989"/>
      <c r="APX1063" s="989"/>
      <c r="APY1063" s="989"/>
      <c r="APZ1063" s="989"/>
      <c r="AQA1063" s="989"/>
      <c r="AQB1063" s="989"/>
      <c r="AQC1063" s="989"/>
      <c r="AQD1063" s="989"/>
      <c r="AQE1063" s="989"/>
      <c r="AQF1063" s="989"/>
      <c r="AQG1063" s="989"/>
      <c r="AQH1063" s="989"/>
      <c r="AQI1063" s="989"/>
      <c r="AQJ1063" s="989"/>
      <c r="AQK1063" s="989"/>
      <c r="AQL1063" s="989"/>
      <c r="AQM1063" s="989"/>
      <c r="AQN1063" s="989"/>
      <c r="AQO1063" s="989"/>
      <c r="AQP1063" s="989"/>
      <c r="AQQ1063" s="989"/>
      <c r="AQR1063" s="989"/>
      <c r="AQS1063" s="989"/>
      <c r="AQT1063" s="989"/>
      <c r="AQU1063" s="989"/>
      <c r="AQV1063" s="989"/>
      <c r="AQW1063" s="989"/>
      <c r="AQX1063" s="989"/>
      <c r="AQY1063" s="989"/>
      <c r="AQZ1063" s="989"/>
      <c r="ARA1063" s="989"/>
      <c r="ARB1063" s="989"/>
      <c r="ARC1063" s="989"/>
      <c r="ARD1063" s="989"/>
      <c r="ARE1063" s="989"/>
      <c r="ARF1063" s="989"/>
      <c r="ARG1063" s="989"/>
      <c r="ARH1063" s="989"/>
      <c r="ARI1063" s="989"/>
      <c r="ARJ1063" s="989"/>
      <c r="ARK1063" s="989"/>
      <c r="ARL1063" s="989"/>
      <c r="ARM1063" s="989"/>
      <c r="ARN1063" s="989"/>
      <c r="ARO1063" s="989"/>
      <c r="ARP1063" s="989"/>
      <c r="ARQ1063" s="989"/>
      <c r="ARR1063" s="989"/>
      <c r="ARS1063" s="989"/>
      <c r="ART1063" s="989"/>
      <c r="ARU1063" s="989"/>
      <c r="ARV1063" s="989"/>
      <c r="ARW1063" s="989"/>
      <c r="ARX1063" s="989"/>
      <c r="ARY1063" s="989"/>
      <c r="ARZ1063" s="989"/>
      <c r="ASA1063" s="989"/>
      <c r="ASB1063" s="989"/>
      <c r="ASC1063" s="989"/>
      <c r="ASD1063" s="989"/>
      <c r="ASE1063" s="989"/>
      <c r="ASF1063" s="989"/>
      <c r="ASG1063" s="989"/>
      <c r="ASH1063" s="989"/>
      <c r="ASI1063" s="989"/>
      <c r="ASJ1063" s="989"/>
      <c r="ASK1063" s="989"/>
      <c r="ASL1063" s="989"/>
      <c r="ASM1063" s="989"/>
      <c r="ASN1063" s="989"/>
      <c r="ASO1063" s="989"/>
      <c r="ASP1063" s="989"/>
      <c r="ASQ1063" s="989"/>
      <c r="ASR1063" s="989"/>
      <c r="ASS1063" s="989"/>
      <c r="AST1063" s="989"/>
      <c r="ASU1063" s="989"/>
      <c r="ASV1063" s="989"/>
      <c r="ASW1063" s="989"/>
      <c r="ASX1063" s="989"/>
      <c r="ASY1063" s="989"/>
      <c r="ASZ1063" s="989"/>
      <c r="ATA1063" s="989"/>
      <c r="ATB1063" s="989"/>
      <c r="ATC1063" s="989"/>
      <c r="ATD1063" s="989"/>
      <c r="ATE1063" s="989"/>
      <c r="ATF1063" s="989"/>
      <c r="ATG1063" s="989"/>
      <c r="ATH1063" s="989"/>
      <c r="ATI1063" s="989"/>
      <c r="ATJ1063" s="989"/>
      <c r="ATK1063" s="989"/>
      <c r="ATL1063" s="989"/>
      <c r="ATM1063" s="989"/>
      <c r="ATN1063" s="989"/>
      <c r="ATO1063" s="989"/>
      <c r="ATP1063" s="989"/>
      <c r="ATQ1063" s="989"/>
      <c r="ATR1063" s="989"/>
      <c r="ATS1063" s="989"/>
      <c r="ATT1063" s="989"/>
      <c r="ATU1063" s="989"/>
      <c r="ATV1063" s="989"/>
      <c r="ATW1063" s="989"/>
      <c r="ATX1063" s="989"/>
      <c r="ATY1063" s="989"/>
      <c r="ATZ1063" s="989"/>
      <c r="AUA1063" s="989"/>
      <c r="AUB1063" s="989"/>
      <c r="AUC1063" s="989"/>
      <c r="AUD1063" s="989"/>
      <c r="AUE1063" s="989"/>
      <c r="AUF1063" s="989"/>
      <c r="AUG1063" s="989"/>
      <c r="AUH1063" s="989"/>
      <c r="AUI1063" s="989"/>
      <c r="AUJ1063" s="989"/>
      <c r="AUK1063" s="989"/>
      <c r="AUL1063" s="989"/>
      <c r="AUM1063" s="989"/>
      <c r="AUN1063" s="989"/>
      <c r="AUO1063" s="989"/>
      <c r="AUP1063" s="989"/>
      <c r="AUQ1063" s="989"/>
      <c r="AUR1063" s="989"/>
      <c r="AUS1063" s="989"/>
      <c r="AUT1063" s="989"/>
      <c r="AUU1063" s="989"/>
      <c r="AUV1063" s="989"/>
      <c r="AUW1063" s="989"/>
      <c r="AUX1063" s="989"/>
      <c r="AUY1063" s="989"/>
      <c r="AUZ1063" s="989"/>
      <c r="AVA1063" s="989"/>
      <c r="AVB1063" s="989"/>
      <c r="AVC1063" s="989"/>
      <c r="AVD1063" s="989"/>
      <c r="AVE1063" s="989"/>
      <c r="AVF1063" s="989"/>
      <c r="AVG1063" s="989"/>
      <c r="AVH1063" s="989"/>
      <c r="AVI1063" s="989"/>
      <c r="AVJ1063" s="989"/>
      <c r="AVK1063" s="989"/>
      <c r="AVL1063" s="989"/>
      <c r="AVM1063" s="989"/>
      <c r="AVN1063" s="989"/>
      <c r="AVO1063" s="989"/>
      <c r="AVP1063" s="989"/>
      <c r="AVQ1063" s="989"/>
      <c r="AVR1063" s="989"/>
      <c r="AVS1063" s="989"/>
      <c r="AVT1063" s="989"/>
      <c r="AVU1063" s="989"/>
      <c r="AVV1063" s="989"/>
      <c r="AVW1063" s="989"/>
      <c r="AVX1063" s="989"/>
      <c r="AVY1063" s="989"/>
      <c r="AVZ1063" s="989"/>
      <c r="AWA1063" s="989"/>
      <c r="AWB1063" s="989"/>
      <c r="AWC1063" s="989"/>
      <c r="AWD1063" s="989"/>
      <c r="AWE1063" s="989"/>
      <c r="AWF1063" s="989"/>
      <c r="AWG1063" s="989"/>
      <c r="AWH1063" s="989"/>
      <c r="AWI1063" s="989"/>
      <c r="AWJ1063" s="989"/>
      <c r="AWK1063" s="989"/>
      <c r="AWL1063" s="989"/>
      <c r="AWM1063" s="989"/>
      <c r="AWN1063" s="989"/>
      <c r="AWO1063" s="989"/>
      <c r="AWP1063" s="989"/>
      <c r="AWQ1063" s="989"/>
      <c r="AWR1063" s="989"/>
      <c r="AWS1063" s="989"/>
      <c r="AWT1063" s="989"/>
      <c r="AWU1063" s="989"/>
      <c r="AWV1063" s="989"/>
      <c r="AWW1063" s="989"/>
      <c r="AWX1063" s="989"/>
      <c r="AWY1063" s="989"/>
      <c r="AWZ1063" s="989"/>
      <c r="AXA1063" s="989"/>
      <c r="AXB1063" s="989"/>
      <c r="AXC1063" s="989"/>
      <c r="AXD1063" s="989"/>
      <c r="AXE1063" s="989"/>
      <c r="AXF1063" s="989"/>
      <c r="AXG1063" s="989"/>
      <c r="AXH1063" s="989"/>
      <c r="AXI1063" s="989"/>
      <c r="AXJ1063" s="989"/>
      <c r="AXK1063" s="989"/>
      <c r="AXL1063" s="989"/>
      <c r="AXM1063" s="989"/>
      <c r="AXN1063" s="989"/>
      <c r="AXO1063" s="989"/>
      <c r="AXP1063" s="989"/>
      <c r="AXQ1063" s="989"/>
      <c r="AXR1063" s="989"/>
      <c r="AXS1063" s="989"/>
      <c r="AXT1063" s="989"/>
      <c r="AXU1063" s="989"/>
      <c r="AXV1063" s="989"/>
      <c r="AXW1063" s="989"/>
      <c r="AXX1063" s="989"/>
      <c r="AXY1063" s="989"/>
      <c r="AXZ1063" s="989"/>
      <c r="AYA1063" s="989"/>
      <c r="AYB1063" s="989"/>
      <c r="AYC1063" s="989"/>
      <c r="AYD1063" s="989"/>
      <c r="AYE1063" s="989"/>
      <c r="AYF1063" s="989"/>
      <c r="AYG1063" s="989"/>
      <c r="AYH1063" s="989"/>
      <c r="AYI1063" s="989"/>
      <c r="AYJ1063" s="989"/>
      <c r="AYK1063" s="989"/>
      <c r="AYL1063" s="989"/>
      <c r="AYM1063" s="989"/>
      <c r="AYN1063" s="989"/>
      <c r="AYO1063" s="989"/>
      <c r="AYP1063" s="989"/>
      <c r="AYQ1063" s="989"/>
      <c r="AYR1063" s="989"/>
      <c r="AYS1063" s="989"/>
      <c r="AYT1063" s="989"/>
      <c r="AYU1063" s="989"/>
      <c r="AYV1063" s="989"/>
      <c r="AYW1063" s="989"/>
      <c r="AYX1063" s="989"/>
      <c r="AYY1063" s="989"/>
      <c r="AYZ1063" s="989"/>
      <c r="AZA1063" s="989"/>
      <c r="AZB1063" s="989"/>
      <c r="AZC1063" s="989"/>
      <c r="AZD1063" s="989"/>
      <c r="AZE1063" s="989"/>
      <c r="AZF1063" s="989"/>
      <c r="AZG1063" s="989"/>
      <c r="AZH1063" s="989"/>
      <c r="AZI1063" s="989"/>
      <c r="AZJ1063" s="989"/>
      <c r="AZK1063" s="989"/>
      <c r="AZL1063" s="989"/>
      <c r="AZM1063" s="989"/>
      <c r="AZN1063" s="989"/>
      <c r="AZO1063" s="989"/>
      <c r="AZP1063" s="989"/>
      <c r="AZQ1063" s="989"/>
      <c r="AZR1063" s="989"/>
      <c r="AZS1063" s="989"/>
      <c r="AZT1063" s="989"/>
      <c r="AZU1063" s="989"/>
      <c r="AZV1063" s="989"/>
      <c r="AZW1063" s="989"/>
      <c r="AZX1063" s="989"/>
      <c r="AZY1063" s="989"/>
      <c r="AZZ1063" s="989"/>
      <c r="BAA1063" s="989"/>
      <c r="BAB1063" s="989"/>
      <c r="BAC1063" s="989"/>
      <c r="BAD1063" s="989"/>
      <c r="BAE1063" s="989"/>
      <c r="BAF1063" s="989"/>
      <c r="BAG1063" s="989"/>
      <c r="BAH1063" s="989"/>
      <c r="BAI1063" s="989"/>
      <c r="BAJ1063" s="989"/>
      <c r="BAK1063" s="989"/>
      <c r="BAL1063" s="989"/>
      <c r="BAM1063" s="989"/>
      <c r="BAN1063" s="989"/>
      <c r="BAO1063" s="989"/>
      <c r="BAP1063" s="989"/>
      <c r="BAQ1063" s="989"/>
      <c r="BAR1063" s="989"/>
      <c r="BAS1063" s="989"/>
      <c r="BAT1063" s="989"/>
      <c r="BAU1063" s="989"/>
      <c r="BAV1063" s="989"/>
      <c r="BAW1063" s="989"/>
      <c r="BAX1063" s="989"/>
      <c r="BAY1063" s="989"/>
      <c r="BAZ1063" s="989"/>
      <c r="BBA1063" s="989"/>
      <c r="BBB1063" s="989"/>
      <c r="BBC1063" s="989"/>
      <c r="BBD1063" s="989"/>
      <c r="BBE1063" s="989"/>
      <c r="BBF1063" s="989"/>
      <c r="BBG1063" s="989"/>
      <c r="BBH1063" s="989"/>
      <c r="BBI1063" s="989"/>
      <c r="BBJ1063" s="989"/>
      <c r="BBK1063" s="989"/>
      <c r="BBL1063" s="989"/>
      <c r="BBM1063" s="989"/>
      <c r="BBN1063" s="989"/>
      <c r="BBO1063" s="989"/>
      <c r="BBP1063" s="989"/>
      <c r="BBQ1063" s="989"/>
      <c r="BBR1063" s="989"/>
      <c r="BBS1063" s="989"/>
      <c r="BBT1063" s="989"/>
      <c r="BBU1063" s="989"/>
      <c r="BBV1063" s="989"/>
      <c r="BBW1063" s="989"/>
      <c r="BBX1063" s="989"/>
      <c r="BBY1063" s="989"/>
      <c r="BBZ1063" s="989"/>
      <c r="BCA1063" s="989"/>
      <c r="BCB1063" s="989"/>
      <c r="BCC1063" s="989"/>
      <c r="BCD1063" s="989"/>
      <c r="BCE1063" s="989"/>
      <c r="BCF1063" s="989"/>
      <c r="BCG1063" s="989"/>
      <c r="BCH1063" s="989"/>
      <c r="BCI1063" s="989"/>
      <c r="BCJ1063" s="989"/>
      <c r="BCK1063" s="989"/>
      <c r="BCL1063" s="989"/>
      <c r="BCM1063" s="989"/>
      <c r="BCN1063" s="989"/>
      <c r="BCO1063" s="989"/>
      <c r="BCP1063" s="989"/>
      <c r="BCQ1063" s="989"/>
      <c r="BCR1063" s="989"/>
      <c r="BCS1063" s="989"/>
      <c r="BCT1063" s="989"/>
      <c r="BCU1063" s="989"/>
      <c r="BCV1063" s="989"/>
      <c r="BCW1063" s="989"/>
      <c r="BCX1063" s="989"/>
      <c r="BCY1063" s="989"/>
      <c r="BCZ1063" s="989"/>
      <c r="BDA1063" s="989"/>
      <c r="BDB1063" s="989"/>
      <c r="BDC1063" s="989"/>
      <c r="BDD1063" s="989"/>
      <c r="BDE1063" s="989"/>
      <c r="BDF1063" s="989"/>
      <c r="BDG1063" s="989"/>
      <c r="BDH1063" s="989"/>
      <c r="BDI1063" s="989"/>
      <c r="BDJ1063" s="989"/>
      <c r="BDK1063" s="989"/>
      <c r="BDL1063" s="989"/>
      <c r="BDM1063" s="989"/>
      <c r="BDN1063" s="989"/>
      <c r="BDO1063" s="989"/>
      <c r="BDP1063" s="989"/>
      <c r="BDQ1063" s="989"/>
      <c r="BDR1063" s="989"/>
      <c r="BDS1063" s="989"/>
      <c r="BDT1063" s="989"/>
      <c r="BDU1063" s="989"/>
      <c r="BDV1063" s="989"/>
      <c r="BDW1063" s="989"/>
      <c r="BDX1063" s="989"/>
      <c r="BDY1063" s="989"/>
      <c r="BDZ1063" s="989"/>
      <c r="BEA1063" s="989"/>
      <c r="BEB1063" s="989"/>
      <c r="BEC1063" s="989"/>
      <c r="BED1063" s="989"/>
      <c r="BEE1063" s="989"/>
      <c r="BEF1063" s="989"/>
      <c r="BEG1063" s="989"/>
      <c r="BEH1063" s="989"/>
      <c r="BEI1063" s="989"/>
      <c r="BEJ1063" s="989"/>
      <c r="BEK1063" s="989"/>
      <c r="BEL1063" s="989"/>
      <c r="BEM1063" s="989"/>
      <c r="BEN1063" s="989"/>
      <c r="BEO1063" s="989"/>
      <c r="BEP1063" s="989"/>
      <c r="BEQ1063" s="989"/>
      <c r="BER1063" s="989"/>
      <c r="BES1063" s="989"/>
      <c r="BET1063" s="989"/>
      <c r="BEU1063" s="989"/>
      <c r="BEV1063" s="989"/>
      <c r="BEW1063" s="989"/>
      <c r="BEX1063" s="989"/>
      <c r="BEY1063" s="989"/>
      <c r="BEZ1063" s="989"/>
      <c r="BFA1063" s="989"/>
      <c r="BFB1063" s="989"/>
      <c r="BFC1063" s="989"/>
      <c r="BFD1063" s="989"/>
      <c r="BFE1063" s="989"/>
      <c r="BFF1063" s="989"/>
      <c r="BFG1063" s="989"/>
      <c r="BFH1063" s="989"/>
      <c r="BFI1063" s="989"/>
      <c r="BFJ1063" s="989"/>
      <c r="BFK1063" s="989"/>
      <c r="BFL1063" s="989"/>
      <c r="BFM1063" s="989"/>
      <c r="BFN1063" s="989"/>
      <c r="BFO1063" s="989"/>
      <c r="BFP1063" s="989"/>
      <c r="BFQ1063" s="989"/>
      <c r="BFR1063" s="989"/>
      <c r="BFS1063" s="989"/>
      <c r="BFT1063" s="989"/>
      <c r="BFU1063" s="989"/>
      <c r="BFV1063" s="989"/>
      <c r="BFW1063" s="989"/>
      <c r="BFX1063" s="989"/>
      <c r="BFY1063" s="989"/>
      <c r="BFZ1063" s="989"/>
      <c r="BGA1063" s="989"/>
      <c r="BGB1063" s="989"/>
      <c r="BGC1063" s="989"/>
      <c r="BGD1063" s="989"/>
      <c r="BGE1063" s="989"/>
      <c r="BGF1063" s="989"/>
      <c r="BGG1063" s="989"/>
      <c r="BGH1063" s="989"/>
      <c r="BGI1063" s="989"/>
      <c r="BGJ1063" s="989"/>
      <c r="BGK1063" s="989"/>
      <c r="BGL1063" s="989"/>
      <c r="BGM1063" s="989"/>
      <c r="BGN1063" s="989"/>
      <c r="BGO1063" s="989"/>
      <c r="BGP1063" s="989"/>
      <c r="BGQ1063" s="989"/>
      <c r="BGR1063" s="989"/>
      <c r="BGS1063" s="989"/>
      <c r="BGT1063" s="989"/>
      <c r="BGU1063" s="989"/>
      <c r="BGV1063" s="989"/>
      <c r="BGW1063" s="989"/>
      <c r="BGX1063" s="989"/>
      <c r="BGY1063" s="989"/>
      <c r="BGZ1063" s="989"/>
      <c r="BHA1063" s="989"/>
      <c r="BHB1063" s="989"/>
      <c r="BHC1063" s="989"/>
      <c r="BHD1063" s="989"/>
      <c r="BHE1063" s="989"/>
      <c r="BHF1063" s="989"/>
      <c r="BHG1063" s="989"/>
      <c r="BHH1063" s="989"/>
      <c r="BHI1063" s="989"/>
      <c r="BHJ1063" s="989"/>
      <c r="BHK1063" s="989"/>
      <c r="BHL1063" s="989"/>
      <c r="BHM1063" s="989"/>
      <c r="BHN1063" s="989"/>
      <c r="BHO1063" s="989"/>
      <c r="BHP1063" s="989"/>
      <c r="BHQ1063" s="989"/>
      <c r="BHR1063" s="989"/>
      <c r="BHS1063" s="989"/>
      <c r="BHT1063" s="989"/>
      <c r="BHU1063" s="989"/>
      <c r="BHV1063" s="989"/>
      <c r="BHW1063" s="989"/>
      <c r="BHX1063" s="989"/>
      <c r="BHY1063" s="989"/>
      <c r="BHZ1063" s="989"/>
      <c r="BIA1063" s="989"/>
      <c r="BIB1063" s="989"/>
      <c r="BIC1063" s="989"/>
      <c r="BID1063" s="989"/>
      <c r="BIE1063" s="989"/>
      <c r="BIF1063" s="989"/>
      <c r="BIG1063" s="989"/>
      <c r="BIH1063" s="989"/>
      <c r="BII1063" s="989"/>
      <c r="BIJ1063" s="989"/>
      <c r="BIK1063" s="989"/>
      <c r="BIL1063" s="989"/>
      <c r="BIM1063" s="989"/>
      <c r="BIN1063" s="989"/>
      <c r="BIO1063" s="989"/>
      <c r="BIP1063" s="989"/>
      <c r="BIQ1063" s="989"/>
      <c r="BIR1063" s="989"/>
      <c r="BIS1063" s="989"/>
      <c r="BIT1063" s="989"/>
      <c r="BIU1063" s="989"/>
      <c r="BIV1063" s="989"/>
      <c r="BIW1063" s="989"/>
      <c r="BIX1063" s="989"/>
      <c r="BIY1063" s="989"/>
      <c r="BIZ1063" s="989"/>
      <c r="BJA1063" s="989"/>
      <c r="BJB1063" s="989"/>
      <c r="BJC1063" s="989"/>
      <c r="BJD1063" s="989"/>
      <c r="BJE1063" s="989"/>
      <c r="BJF1063" s="989"/>
      <c r="BJG1063" s="989"/>
      <c r="BJH1063" s="989"/>
      <c r="BJI1063" s="989"/>
      <c r="BJJ1063" s="989"/>
      <c r="BJK1063" s="989"/>
      <c r="BJL1063" s="989"/>
      <c r="BJM1063" s="989"/>
      <c r="BJN1063" s="989"/>
      <c r="BJO1063" s="989"/>
      <c r="BJP1063" s="989"/>
      <c r="BJQ1063" s="989"/>
      <c r="BJR1063" s="989"/>
      <c r="BJS1063" s="989"/>
      <c r="BJT1063" s="989"/>
      <c r="BJU1063" s="989"/>
      <c r="BJV1063" s="989"/>
      <c r="BJW1063" s="989"/>
      <c r="BJX1063" s="989"/>
      <c r="BJY1063" s="989"/>
      <c r="BJZ1063" s="989"/>
      <c r="BKA1063" s="989"/>
      <c r="BKB1063" s="989"/>
      <c r="BKC1063" s="989"/>
      <c r="BKD1063" s="989"/>
      <c r="BKE1063" s="989"/>
      <c r="BKF1063" s="989"/>
      <c r="BKG1063" s="989"/>
      <c r="BKH1063" s="989"/>
      <c r="BKI1063" s="989"/>
      <c r="BKJ1063" s="989"/>
      <c r="BKK1063" s="989"/>
      <c r="BKL1063" s="989"/>
      <c r="BKM1063" s="989"/>
      <c r="BKN1063" s="989"/>
      <c r="BKO1063" s="989"/>
      <c r="BKP1063" s="989"/>
      <c r="BKQ1063" s="989"/>
      <c r="BKR1063" s="989"/>
      <c r="BKS1063" s="989"/>
      <c r="BKT1063" s="989"/>
      <c r="BKU1063" s="989"/>
      <c r="BKV1063" s="989"/>
      <c r="BKW1063" s="989"/>
      <c r="BKX1063" s="989"/>
      <c r="BKY1063" s="989"/>
      <c r="BKZ1063" s="989"/>
      <c r="BLA1063" s="989"/>
      <c r="BLB1063" s="989"/>
      <c r="BLC1063" s="989"/>
      <c r="BLD1063" s="989"/>
      <c r="BLE1063" s="989"/>
      <c r="BLF1063" s="989"/>
      <c r="BLG1063" s="989"/>
      <c r="BLH1063" s="989"/>
      <c r="BLI1063" s="989"/>
      <c r="BLJ1063" s="989"/>
      <c r="BLK1063" s="989"/>
      <c r="BLL1063" s="989"/>
      <c r="BLM1063" s="989"/>
      <c r="BLN1063" s="989"/>
      <c r="BLO1063" s="989"/>
      <c r="BLP1063" s="989"/>
      <c r="BLQ1063" s="989"/>
      <c r="BLR1063" s="989"/>
      <c r="BLS1063" s="989"/>
      <c r="BLT1063" s="989"/>
      <c r="BLU1063" s="989"/>
      <c r="BLV1063" s="989"/>
      <c r="BLW1063" s="989"/>
      <c r="BLX1063" s="989"/>
      <c r="BLY1063" s="989"/>
      <c r="BLZ1063" s="989"/>
      <c r="BMA1063" s="989"/>
      <c r="BMB1063" s="989"/>
      <c r="BMC1063" s="989"/>
      <c r="BMD1063" s="989"/>
      <c r="BME1063" s="989"/>
      <c r="BMF1063" s="989"/>
      <c r="BMG1063" s="989"/>
      <c r="BMH1063" s="989"/>
      <c r="BMI1063" s="989"/>
      <c r="BMJ1063" s="989"/>
      <c r="BMK1063" s="989"/>
      <c r="BML1063" s="989"/>
      <c r="BMM1063" s="989"/>
      <c r="BMN1063" s="989"/>
      <c r="BMO1063" s="989"/>
      <c r="BMP1063" s="989"/>
      <c r="BMQ1063" s="989"/>
      <c r="BMR1063" s="989"/>
      <c r="BMS1063" s="989"/>
      <c r="BMT1063" s="989"/>
      <c r="BMU1063" s="989"/>
      <c r="BMV1063" s="989"/>
      <c r="BMW1063" s="989"/>
      <c r="BMX1063" s="989"/>
      <c r="BMY1063" s="989"/>
      <c r="BMZ1063" s="989"/>
      <c r="BNA1063" s="989"/>
      <c r="BNB1063" s="989"/>
      <c r="BNC1063" s="989"/>
      <c r="BND1063" s="989"/>
      <c r="BNE1063" s="989"/>
      <c r="BNF1063" s="989"/>
      <c r="BNG1063" s="989"/>
      <c r="BNH1063" s="989"/>
      <c r="BNI1063" s="989"/>
      <c r="BNJ1063" s="989"/>
      <c r="BNK1063" s="989"/>
      <c r="BNL1063" s="989"/>
      <c r="BNM1063" s="989"/>
      <c r="BNN1063" s="989"/>
      <c r="BNO1063" s="989"/>
      <c r="BNP1063" s="989"/>
      <c r="BNQ1063" s="989"/>
      <c r="BNR1063" s="989"/>
      <c r="BNS1063" s="989"/>
      <c r="BNT1063" s="989"/>
      <c r="BNU1063" s="989"/>
      <c r="BNV1063" s="989"/>
      <c r="BNW1063" s="989"/>
      <c r="BNX1063" s="989"/>
      <c r="BNY1063" s="989"/>
      <c r="BNZ1063" s="989"/>
      <c r="BOA1063" s="989"/>
      <c r="BOB1063" s="989"/>
      <c r="BOC1063" s="989"/>
      <c r="BOD1063" s="989"/>
      <c r="BOE1063" s="989"/>
      <c r="BOF1063" s="989"/>
      <c r="BOG1063" s="989"/>
      <c r="BOH1063" s="989"/>
      <c r="BOI1063" s="989"/>
      <c r="BOJ1063" s="989"/>
      <c r="BOK1063" s="989"/>
      <c r="BOL1063" s="989"/>
      <c r="BOM1063" s="989"/>
      <c r="BON1063" s="989"/>
      <c r="BOO1063" s="989"/>
      <c r="BOP1063" s="989"/>
      <c r="BOQ1063" s="989"/>
      <c r="BOR1063" s="989"/>
      <c r="BOS1063" s="989"/>
      <c r="BOT1063" s="989"/>
      <c r="BOU1063" s="989"/>
      <c r="BOV1063" s="989"/>
      <c r="BOW1063" s="989"/>
      <c r="BOX1063" s="989"/>
      <c r="BOY1063" s="989"/>
      <c r="BOZ1063" s="989"/>
      <c r="BPA1063" s="989"/>
      <c r="BPB1063" s="989"/>
      <c r="BPC1063" s="989"/>
      <c r="BPD1063" s="989"/>
      <c r="BPE1063" s="989"/>
      <c r="BPF1063" s="989"/>
      <c r="BPG1063" s="989"/>
      <c r="BPH1063" s="989"/>
      <c r="BPI1063" s="989"/>
      <c r="BPJ1063" s="989"/>
      <c r="BPK1063" s="989"/>
      <c r="BPL1063" s="989"/>
      <c r="BPM1063" s="989"/>
      <c r="BPN1063" s="989"/>
      <c r="BPO1063" s="989"/>
      <c r="BPP1063" s="989"/>
      <c r="BPQ1063" s="989"/>
      <c r="BPR1063" s="989"/>
      <c r="BPS1063" s="989"/>
      <c r="BPT1063" s="989"/>
      <c r="BPU1063" s="989"/>
      <c r="BPV1063" s="989"/>
      <c r="BPW1063" s="989"/>
      <c r="BPX1063" s="989"/>
      <c r="BPY1063" s="989"/>
      <c r="BPZ1063" s="989"/>
      <c r="BQA1063" s="989"/>
      <c r="BQB1063" s="989"/>
      <c r="BQC1063" s="989"/>
      <c r="BQD1063" s="989"/>
      <c r="BQE1063" s="989"/>
      <c r="BQF1063" s="989"/>
      <c r="BQG1063" s="989"/>
      <c r="BQH1063" s="989"/>
      <c r="BQI1063" s="989"/>
      <c r="BQJ1063" s="989"/>
      <c r="BQK1063" s="989"/>
      <c r="BQL1063" s="989"/>
      <c r="BQM1063" s="989"/>
      <c r="BQN1063" s="989"/>
      <c r="BQO1063" s="989"/>
      <c r="BQP1063" s="989"/>
      <c r="BQQ1063" s="989"/>
      <c r="BQR1063" s="989"/>
      <c r="BQS1063" s="989"/>
      <c r="BQT1063" s="989"/>
      <c r="BQU1063" s="989"/>
      <c r="BQV1063" s="989"/>
      <c r="BQW1063" s="989"/>
      <c r="BQX1063" s="989"/>
      <c r="BQY1063" s="989"/>
      <c r="BQZ1063" s="989"/>
      <c r="BRA1063" s="989"/>
      <c r="BRB1063" s="989"/>
      <c r="BRC1063" s="989"/>
      <c r="BRD1063" s="989"/>
      <c r="BRE1063" s="989"/>
      <c r="BRF1063" s="989"/>
      <c r="BRG1063" s="989"/>
      <c r="BRH1063" s="989"/>
      <c r="BRI1063" s="989"/>
      <c r="BRJ1063" s="989"/>
      <c r="BRK1063" s="989"/>
      <c r="BRL1063" s="989"/>
      <c r="BRM1063" s="989"/>
      <c r="BRN1063" s="989"/>
      <c r="BRO1063" s="989"/>
      <c r="BRP1063" s="989"/>
      <c r="BRQ1063" s="989"/>
      <c r="BRR1063" s="989"/>
      <c r="BRS1063" s="989"/>
      <c r="BRT1063" s="989"/>
      <c r="BRU1063" s="989"/>
      <c r="BRV1063" s="989"/>
      <c r="BRW1063" s="989"/>
      <c r="BRX1063" s="989"/>
      <c r="BRY1063" s="989"/>
      <c r="BRZ1063" s="989"/>
      <c r="BSA1063" s="989"/>
      <c r="BSB1063" s="989"/>
      <c r="BSC1063" s="989"/>
      <c r="BSD1063" s="989"/>
      <c r="BSE1063" s="989"/>
      <c r="BSF1063" s="989"/>
      <c r="BSG1063" s="989"/>
      <c r="BSH1063" s="989"/>
      <c r="BSI1063" s="989"/>
      <c r="BSJ1063" s="989"/>
      <c r="BSK1063" s="989"/>
      <c r="BSL1063" s="989"/>
      <c r="BSM1063" s="989"/>
      <c r="BSN1063" s="989"/>
      <c r="BSO1063" s="989"/>
      <c r="BSP1063" s="989"/>
      <c r="BSQ1063" s="989"/>
      <c r="BSR1063" s="989"/>
      <c r="BSS1063" s="989"/>
      <c r="BST1063" s="989"/>
      <c r="BSU1063" s="989"/>
      <c r="BSV1063" s="989"/>
      <c r="BSW1063" s="989"/>
      <c r="BSX1063" s="989"/>
      <c r="BSY1063" s="989"/>
      <c r="BSZ1063" s="989"/>
      <c r="BTA1063" s="989"/>
      <c r="BTB1063" s="989"/>
      <c r="BTC1063" s="989"/>
      <c r="BTD1063" s="989"/>
      <c r="BTE1063" s="989"/>
      <c r="BTF1063" s="989"/>
      <c r="BTG1063" s="989"/>
      <c r="BTH1063" s="989"/>
      <c r="BTI1063" s="989"/>
      <c r="BTJ1063" s="989"/>
      <c r="BTK1063" s="989"/>
      <c r="BTL1063" s="989"/>
      <c r="BTM1063" s="989"/>
      <c r="BTN1063" s="989"/>
      <c r="BTO1063" s="989"/>
      <c r="BTP1063" s="989"/>
      <c r="BTQ1063" s="989"/>
      <c r="BTR1063" s="989"/>
      <c r="BTS1063" s="989"/>
      <c r="BTT1063" s="989"/>
      <c r="BTU1063" s="989"/>
      <c r="BTV1063" s="989"/>
      <c r="BTW1063" s="989"/>
      <c r="BTX1063" s="989"/>
      <c r="BTY1063" s="989"/>
      <c r="BTZ1063" s="989"/>
      <c r="BUA1063" s="989"/>
      <c r="BUB1063" s="989"/>
      <c r="BUC1063" s="989"/>
      <c r="BUD1063" s="989"/>
      <c r="BUE1063" s="989"/>
      <c r="BUF1063" s="989"/>
      <c r="BUG1063" s="989"/>
      <c r="BUH1063" s="989"/>
      <c r="BUI1063" s="989"/>
      <c r="BUJ1063" s="989"/>
      <c r="BUK1063" s="989"/>
      <c r="BUL1063" s="989"/>
      <c r="BUM1063" s="989"/>
      <c r="BUN1063" s="989"/>
      <c r="BUO1063" s="989"/>
      <c r="BUP1063" s="989"/>
      <c r="BUQ1063" s="989"/>
      <c r="BUR1063" s="989"/>
      <c r="BUS1063" s="989"/>
      <c r="BUT1063" s="989"/>
      <c r="BUU1063" s="989"/>
      <c r="BUV1063" s="989"/>
      <c r="BUW1063" s="989"/>
      <c r="BUX1063" s="989"/>
      <c r="BUY1063" s="989"/>
      <c r="BUZ1063" s="989"/>
      <c r="BVA1063" s="989"/>
      <c r="BVB1063" s="989"/>
      <c r="BVC1063" s="989"/>
      <c r="BVD1063" s="989"/>
      <c r="BVE1063" s="989"/>
      <c r="BVF1063" s="989"/>
      <c r="BVG1063" s="989"/>
      <c r="BVH1063" s="989"/>
      <c r="BVI1063" s="989"/>
      <c r="BVJ1063" s="989"/>
      <c r="BVK1063" s="989"/>
      <c r="BVL1063" s="989"/>
      <c r="BVM1063" s="989"/>
      <c r="BVN1063" s="989"/>
      <c r="BVO1063" s="989"/>
      <c r="BVP1063" s="989"/>
      <c r="BVQ1063" s="989"/>
      <c r="BVR1063" s="989"/>
      <c r="BVS1063" s="989"/>
      <c r="BVT1063" s="989"/>
      <c r="BVU1063" s="989"/>
      <c r="BVV1063" s="989"/>
      <c r="BVW1063" s="989"/>
      <c r="BVX1063" s="989"/>
      <c r="BVY1063" s="989"/>
      <c r="BVZ1063" s="989"/>
      <c r="BWA1063" s="989"/>
      <c r="BWB1063" s="989"/>
      <c r="BWC1063" s="989"/>
      <c r="BWD1063" s="989"/>
      <c r="BWE1063" s="989"/>
      <c r="BWF1063" s="989"/>
      <c r="BWG1063" s="989"/>
      <c r="BWH1063" s="989"/>
      <c r="BWI1063" s="989"/>
      <c r="BWJ1063" s="989"/>
      <c r="BWK1063" s="989"/>
      <c r="BWL1063" s="989"/>
      <c r="BWM1063" s="989"/>
      <c r="BWN1063" s="989"/>
      <c r="BWO1063" s="989"/>
      <c r="BWP1063" s="989"/>
      <c r="BWQ1063" s="989"/>
      <c r="BWR1063" s="989"/>
      <c r="BWS1063" s="989"/>
      <c r="BWT1063" s="989"/>
      <c r="BWU1063" s="989"/>
      <c r="BWV1063" s="989"/>
      <c r="BWW1063" s="989"/>
      <c r="BWX1063" s="989"/>
      <c r="BWY1063" s="989"/>
      <c r="BWZ1063" s="989"/>
      <c r="BXA1063" s="989"/>
      <c r="BXB1063" s="989"/>
      <c r="BXC1063" s="989"/>
      <c r="BXD1063" s="989"/>
      <c r="BXE1063" s="989"/>
      <c r="BXF1063" s="989"/>
      <c r="BXG1063" s="989"/>
      <c r="BXH1063" s="989"/>
      <c r="BXI1063" s="989"/>
      <c r="BXJ1063" s="989"/>
      <c r="BXK1063" s="989"/>
      <c r="BXL1063" s="989"/>
      <c r="BXM1063" s="989"/>
      <c r="BXN1063" s="989"/>
      <c r="BXO1063" s="989"/>
      <c r="BXP1063" s="989"/>
      <c r="BXQ1063" s="989"/>
      <c r="BXR1063" s="989"/>
      <c r="BXS1063" s="989"/>
      <c r="BXT1063" s="989"/>
      <c r="BXU1063" s="989"/>
      <c r="BXV1063" s="989"/>
      <c r="BXW1063" s="989"/>
      <c r="BXX1063" s="989"/>
      <c r="BXY1063" s="989"/>
      <c r="BXZ1063" s="989"/>
      <c r="BYA1063" s="989"/>
      <c r="BYB1063" s="989"/>
      <c r="BYC1063" s="989"/>
      <c r="BYD1063" s="989"/>
      <c r="BYE1063" s="989"/>
      <c r="BYF1063" s="989"/>
      <c r="BYG1063" s="989"/>
      <c r="BYH1063" s="989"/>
      <c r="BYI1063" s="989"/>
      <c r="BYJ1063" s="989"/>
      <c r="BYK1063" s="989"/>
      <c r="BYL1063" s="989"/>
      <c r="BYM1063" s="989"/>
      <c r="BYN1063" s="989"/>
      <c r="BYO1063" s="989"/>
      <c r="BYP1063" s="989"/>
      <c r="BYQ1063" s="989"/>
      <c r="BYR1063" s="989"/>
      <c r="BYS1063" s="989"/>
      <c r="BYT1063" s="989"/>
      <c r="BYU1063" s="989"/>
      <c r="BYV1063" s="989"/>
      <c r="BYW1063" s="989"/>
      <c r="BYX1063" s="989"/>
      <c r="BYY1063" s="989"/>
      <c r="BYZ1063" s="989"/>
      <c r="BZA1063" s="989"/>
      <c r="BZB1063" s="989"/>
      <c r="BZC1063" s="989"/>
      <c r="BZD1063" s="989"/>
      <c r="BZE1063" s="989"/>
      <c r="BZF1063" s="989"/>
      <c r="BZG1063" s="989"/>
      <c r="BZH1063" s="989"/>
      <c r="BZI1063" s="989"/>
      <c r="BZJ1063" s="989"/>
      <c r="BZK1063" s="989"/>
      <c r="BZL1063" s="989"/>
      <c r="BZM1063" s="989"/>
      <c r="BZN1063" s="989"/>
      <c r="BZO1063" s="989"/>
      <c r="BZP1063" s="989"/>
      <c r="BZQ1063" s="989"/>
      <c r="BZR1063" s="989"/>
      <c r="BZS1063" s="989"/>
      <c r="BZT1063" s="989"/>
      <c r="BZU1063" s="989"/>
      <c r="BZV1063" s="989"/>
      <c r="BZW1063" s="989"/>
      <c r="BZX1063" s="989"/>
      <c r="BZY1063" s="989"/>
      <c r="BZZ1063" s="989"/>
      <c r="CAA1063" s="989"/>
      <c r="CAB1063" s="989"/>
      <c r="CAC1063" s="989"/>
      <c r="CAD1063" s="989"/>
      <c r="CAE1063" s="989"/>
      <c r="CAF1063" s="989"/>
      <c r="CAG1063" s="989"/>
      <c r="CAH1063" s="989"/>
      <c r="CAI1063" s="989"/>
      <c r="CAJ1063" s="989"/>
      <c r="CAK1063" s="989"/>
      <c r="CAL1063" s="989"/>
      <c r="CAM1063" s="989"/>
      <c r="CAN1063" s="989"/>
      <c r="CAO1063" s="989"/>
      <c r="CAP1063" s="989"/>
      <c r="CAQ1063" s="989"/>
      <c r="CAR1063" s="989"/>
      <c r="CAS1063" s="989"/>
      <c r="CAT1063" s="989"/>
      <c r="CAU1063" s="989"/>
      <c r="CAV1063" s="989"/>
      <c r="CAW1063" s="989"/>
      <c r="CAX1063" s="989"/>
      <c r="CAY1063" s="989"/>
      <c r="CAZ1063" s="989"/>
      <c r="CBA1063" s="989"/>
      <c r="CBB1063" s="989"/>
      <c r="CBC1063" s="989"/>
      <c r="CBD1063" s="989"/>
      <c r="CBE1063" s="989"/>
      <c r="CBF1063" s="989"/>
      <c r="CBG1063" s="989"/>
      <c r="CBH1063" s="989"/>
      <c r="CBI1063" s="989"/>
      <c r="CBJ1063" s="989"/>
      <c r="CBK1063" s="989"/>
      <c r="CBL1063" s="989"/>
      <c r="CBM1063" s="989"/>
      <c r="CBN1063" s="989"/>
      <c r="CBO1063" s="989"/>
      <c r="CBP1063" s="989"/>
      <c r="CBQ1063" s="989"/>
      <c r="CBR1063" s="989"/>
      <c r="CBS1063" s="989"/>
      <c r="CBT1063" s="989"/>
      <c r="CBU1063" s="989"/>
      <c r="CBV1063" s="989"/>
      <c r="CBW1063" s="989"/>
      <c r="CBX1063" s="989"/>
      <c r="CBY1063" s="989"/>
      <c r="CBZ1063" s="989"/>
      <c r="CCA1063" s="989"/>
      <c r="CCB1063" s="989"/>
      <c r="CCC1063" s="989"/>
      <c r="CCD1063" s="989"/>
      <c r="CCE1063" s="989"/>
      <c r="CCF1063" s="989"/>
      <c r="CCG1063" s="989"/>
      <c r="CCH1063" s="989"/>
      <c r="CCI1063" s="989"/>
      <c r="CCJ1063" s="989"/>
      <c r="CCK1063" s="989"/>
      <c r="CCL1063" s="989"/>
      <c r="CCM1063" s="989"/>
      <c r="CCN1063" s="989"/>
      <c r="CCO1063" s="989"/>
      <c r="CCP1063" s="989"/>
      <c r="CCQ1063" s="989"/>
      <c r="CCR1063" s="989"/>
      <c r="CCS1063" s="989"/>
      <c r="CCT1063" s="989"/>
      <c r="CCU1063" s="989"/>
      <c r="CCV1063" s="989"/>
      <c r="CCW1063" s="989"/>
      <c r="CCX1063" s="989"/>
      <c r="CCY1063" s="989"/>
      <c r="CCZ1063" s="989"/>
      <c r="CDA1063" s="989"/>
      <c r="CDB1063" s="989"/>
      <c r="CDC1063" s="989"/>
      <c r="CDD1063" s="989"/>
      <c r="CDE1063" s="989"/>
      <c r="CDF1063" s="989"/>
      <c r="CDG1063" s="989"/>
      <c r="CDH1063" s="989"/>
      <c r="CDI1063" s="989"/>
      <c r="CDJ1063" s="989"/>
      <c r="CDK1063" s="989"/>
      <c r="CDL1063" s="989"/>
      <c r="CDM1063" s="989"/>
      <c r="CDN1063" s="989"/>
      <c r="CDO1063" s="989"/>
      <c r="CDP1063" s="989"/>
      <c r="CDQ1063" s="989"/>
      <c r="CDR1063" s="989"/>
      <c r="CDS1063" s="989"/>
      <c r="CDT1063" s="989"/>
      <c r="CDU1063" s="989"/>
      <c r="CDV1063" s="989"/>
      <c r="CDW1063" s="989"/>
      <c r="CDX1063" s="989"/>
      <c r="CDY1063" s="989"/>
      <c r="CDZ1063" s="989"/>
      <c r="CEA1063" s="989"/>
      <c r="CEB1063" s="989"/>
      <c r="CEC1063" s="989"/>
      <c r="CED1063" s="989"/>
      <c r="CEE1063" s="989"/>
      <c r="CEF1063" s="989"/>
      <c r="CEG1063" s="989"/>
      <c r="CEH1063" s="989"/>
      <c r="CEI1063" s="989"/>
      <c r="CEJ1063" s="989"/>
      <c r="CEK1063" s="989"/>
      <c r="CEL1063" s="989"/>
      <c r="CEM1063" s="989"/>
      <c r="CEN1063" s="989"/>
      <c r="CEO1063" s="989"/>
      <c r="CEP1063" s="989"/>
      <c r="CEQ1063" s="989"/>
      <c r="CER1063" s="989"/>
      <c r="CES1063" s="989"/>
      <c r="CET1063" s="989"/>
      <c r="CEU1063" s="989"/>
      <c r="CEV1063" s="989"/>
      <c r="CEW1063" s="989"/>
      <c r="CEX1063" s="989"/>
      <c r="CEY1063" s="989"/>
      <c r="CEZ1063" s="989"/>
      <c r="CFA1063" s="989"/>
      <c r="CFB1063" s="989"/>
      <c r="CFC1063" s="989"/>
      <c r="CFD1063" s="989"/>
      <c r="CFE1063" s="989"/>
      <c r="CFF1063" s="989"/>
      <c r="CFG1063" s="989"/>
      <c r="CFH1063" s="989"/>
      <c r="CFI1063" s="989"/>
      <c r="CFJ1063" s="989"/>
      <c r="CFK1063" s="989"/>
      <c r="CFL1063" s="989"/>
      <c r="CFM1063" s="989"/>
      <c r="CFN1063" s="989"/>
      <c r="CFO1063" s="989"/>
      <c r="CFP1063" s="989"/>
      <c r="CFQ1063" s="989"/>
      <c r="CFR1063" s="989"/>
      <c r="CFS1063" s="989"/>
      <c r="CFT1063" s="989"/>
      <c r="CFU1063" s="989"/>
      <c r="CFV1063" s="989"/>
      <c r="CFW1063" s="989"/>
      <c r="CFX1063" s="989"/>
      <c r="CFY1063" s="989"/>
      <c r="CFZ1063" s="989"/>
      <c r="CGA1063" s="989"/>
      <c r="CGB1063" s="989"/>
      <c r="CGC1063" s="989"/>
      <c r="CGD1063" s="989"/>
      <c r="CGE1063" s="989"/>
      <c r="CGF1063" s="989"/>
      <c r="CGG1063" s="989"/>
      <c r="CGH1063" s="989"/>
      <c r="CGI1063" s="989"/>
      <c r="CGJ1063" s="989"/>
      <c r="CGK1063" s="989"/>
      <c r="CGL1063" s="989"/>
      <c r="CGM1063" s="989"/>
      <c r="CGN1063" s="989"/>
      <c r="CGO1063" s="989"/>
      <c r="CGP1063" s="989"/>
      <c r="CGQ1063" s="989"/>
      <c r="CGR1063" s="989"/>
      <c r="CGS1063" s="989"/>
      <c r="CGT1063" s="989"/>
      <c r="CGU1063" s="989"/>
      <c r="CGV1063" s="989"/>
      <c r="CGW1063" s="989"/>
      <c r="CGX1063" s="989"/>
      <c r="CGY1063" s="989"/>
      <c r="CGZ1063" s="989"/>
      <c r="CHA1063" s="989"/>
      <c r="CHB1063" s="989"/>
      <c r="CHC1063" s="989"/>
      <c r="CHD1063" s="989"/>
      <c r="CHE1063" s="989"/>
      <c r="CHF1063" s="989"/>
      <c r="CHG1063" s="989"/>
      <c r="CHH1063" s="989"/>
      <c r="CHI1063" s="989"/>
      <c r="CHJ1063" s="989"/>
      <c r="CHK1063" s="989"/>
      <c r="CHL1063" s="989"/>
      <c r="CHM1063" s="989"/>
      <c r="CHN1063" s="989"/>
      <c r="CHO1063" s="989"/>
      <c r="CHP1063" s="989"/>
      <c r="CHQ1063" s="989"/>
      <c r="CHR1063" s="989"/>
      <c r="CHS1063" s="989"/>
      <c r="CHT1063" s="989"/>
      <c r="CHU1063" s="989"/>
      <c r="CHV1063" s="989"/>
      <c r="CHW1063" s="989"/>
      <c r="CHX1063" s="989"/>
      <c r="CHY1063" s="989"/>
      <c r="CHZ1063" s="989"/>
      <c r="CIA1063" s="989"/>
      <c r="CIB1063" s="989"/>
      <c r="CIC1063" s="989"/>
      <c r="CID1063" s="989"/>
      <c r="CIE1063" s="989"/>
      <c r="CIF1063" s="989"/>
      <c r="CIG1063" s="989"/>
      <c r="CIH1063" s="989"/>
      <c r="CII1063" s="989"/>
      <c r="CIJ1063" s="989"/>
      <c r="CIK1063" s="989"/>
      <c r="CIL1063" s="989"/>
      <c r="CIM1063" s="989"/>
      <c r="CIN1063" s="989"/>
      <c r="CIO1063" s="989"/>
      <c r="CIP1063" s="989"/>
      <c r="CIQ1063" s="989"/>
      <c r="CIR1063" s="989"/>
      <c r="CIS1063" s="989"/>
      <c r="CIT1063" s="989"/>
      <c r="CIU1063" s="989"/>
      <c r="CIV1063" s="989"/>
      <c r="CIW1063" s="989"/>
      <c r="CIX1063" s="989"/>
      <c r="CIY1063" s="989"/>
      <c r="CIZ1063" s="989"/>
      <c r="CJA1063" s="989"/>
      <c r="CJB1063" s="989"/>
      <c r="CJC1063" s="989"/>
      <c r="CJD1063" s="989"/>
      <c r="CJE1063" s="989"/>
      <c r="CJF1063" s="989"/>
      <c r="CJG1063" s="989"/>
      <c r="CJH1063" s="989"/>
      <c r="CJI1063" s="989"/>
      <c r="CJJ1063" s="989"/>
      <c r="CJK1063" s="989"/>
      <c r="CJL1063" s="989"/>
      <c r="CJM1063" s="989"/>
      <c r="CJN1063" s="989"/>
      <c r="CJO1063" s="989"/>
      <c r="CJP1063" s="989"/>
      <c r="CJQ1063" s="989"/>
      <c r="CJR1063" s="989"/>
      <c r="CJS1063" s="989"/>
      <c r="CJT1063" s="989"/>
      <c r="CJU1063" s="989"/>
      <c r="CJV1063" s="989"/>
      <c r="CJW1063" s="989"/>
      <c r="CJX1063" s="989"/>
      <c r="CJY1063" s="989"/>
      <c r="CJZ1063" s="989"/>
      <c r="CKA1063" s="989"/>
      <c r="CKB1063" s="989"/>
      <c r="CKC1063" s="989"/>
      <c r="CKD1063" s="989"/>
      <c r="CKE1063" s="989"/>
      <c r="CKF1063" s="989"/>
      <c r="CKG1063" s="989"/>
      <c r="CKH1063" s="989"/>
      <c r="CKI1063" s="989"/>
      <c r="CKJ1063" s="989"/>
      <c r="CKK1063" s="989"/>
      <c r="CKL1063" s="989"/>
      <c r="CKM1063" s="989"/>
      <c r="CKN1063" s="989"/>
      <c r="CKO1063" s="989"/>
      <c r="CKP1063" s="989"/>
      <c r="CKQ1063" s="989"/>
      <c r="CKR1063" s="989"/>
      <c r="CKS1063" s="989"/>
      <c r="CKT1063" s="989"/>
      <c r="CKU1063" s="989"/>
      <c r="CKV1063" s="989"/>
      <c r="CKW1063" s="989"/>
      <c r="CKX1063" s="989"/>
      <c r="CKY1063" s="989"/>
      <c r="CKZ1063" s="989"/>
      <c r="CLA1063" s="989"/>
      <c r="CLB1063" s="989"/>
      <c r="CLC1063" s="989"/>
      <c r="CLD1063" s="989"/>
      <c r="CLE1063" s="989"/>
      <c r="CLF1063" s="989"/>
      <c r="CLG1063" s="989"/>
      <c r="CLH1063" s="989"/>
      <c r="CLI1063" s="989"/>
      <c r="CLJ1063" s="989"/>
      <c r="CLK1063" s="989"/>
      <c r="CLL1063" s="989"/>
      <c r="CLM1063" s="989"/>
      <c r="CLN1063" s="989"/>
      <c r="CLO1063" s="989"/>
      <c r="CLP1063" s="989"/>
      <c r="CLQ1063" s="989"/>
      <c r="CLR1063" s="989"/>
      <c r="CLS1063" s="989"/>
      <c r="CLT1063" s="989"/>
      <c r="CLU1063" s="989"/>
      <c r="CLV1063" s="989"/>
      <c r="CLW1063" s="989"/>
      <c r="CLX1063" s="989"/>
      <c r="CLY1063" s="989"/>
      <c r="CLZ1063" s="989"/>
      <c r="CMA1063" s="989"/>
      <c r="CMB1063" s="989"/>
      <c r="CMC1063" s="989"/>
      <c r="CMD1063" s="989"/>
      <c r="CME1063" s="989"/>
      <c r="CMF1063" s="989"/>
      <c r="CMG1063" s="989"/>
      <c r="CMH1063" s="989"/>
      <c r="CMI1063" s="989"/>
      <c r="CMJ1063" s="989"/>
      <c r="CMK1063" s="989"/>
      <c r="CML1063" s="989"/>
      <c r="CMM1063" s="989"/>
      <c r="CMN1063" s="989"/>
      <c r="CMO1063" s="989"/>
      <c r="CMP1063" s="989"/>
      <c r="CMQ1063" s="989"/>
      <c r="CMR1063" s="989"/>
      <c r="CMS1063" s="989"/>
      <c r="CMT1063" s="989"/>
      <c r="CMU1063" s="989"/>
      <c r="CMV1063" s="989"/>
      <c r="CMW1063" s="989"/>
      <c r="CMX1063" s="989"/>
      <c r="CMY1063" s="989"/>
      <c r="CMZ1063" s="989"/>
      <c r="CNA1063" s="989"/>
      <c r="CNB1063" s="989"/>
      <c r="CNC1063" s="989"/>
      <c r="CND1063" s="989"/>
      <c r="CNE1063" s="989"/>
      <c r="CNF1063" s="989"/>
      <c r="CNG1063" s="989"/>
      <c r="CNH1063" s="989"/>
      <c r="CNI1063" s="989"/>
      <c r="CNJ1063" s="989"/>
      <c r="CNK1063" s="989"/>
      <c r="CNL1063" s="989"/>
      <c r="CNM1063" s="989"/>
      <c r="CNN1063" s="989"/>
      <c r="CNO1063" s="989"/>
      <c r="CNP1063" s="989"/>
      <c r="CNQ1063" s="989"/>
      <c r="CNR1063" s="989"/>
      <c r="CNS1063" s="989"/>
      <c r="CNT1063" s="989"/>
      <c r="CNU1063" s="989"/>
      <c r="CNV1063" s="989"/>
      <c r="CNW1063" s="989"/>
      <c r="CNX1063" s="989"/>
      <c r="CNY1063" s="989"/>
      <c r="CNZ1063" s="989"/>
      <c r="COA1063" s="989"/>
      <c r="COB1063" s="989"/>
      <c r="COC1063" s="989"/>
      <c r="COD1063" s="989"/>
      <c r="COE1063" s="989"/>
      <c r="COF1063" s="989"/>
      <c r="COG1063" s="989"/>
      <c r="COH1063" s="989"/>
      <c r="COI1063" s="989"/>
      <c r="COJ1063" s="989"/>
      <c r="COK1063" s="989"/>
      <c r="COL1063" s="989"/>
      <c r="COM1063" s="989"/>
      <c r="CON1063" s="989"/>
      <c r="COO1063" s="989"/>
      <c r="COP1063" s="989"/>
      <c r="COQ1063" s="989"/>
      <c r="COR1063" s="989"/>
      <c r="COS1063" s="989"/>
      <c r="COT1063" s="989"/>
      <c r="COU1063" s="989"/>
      <c r="COV1063" s="989"/>
      <c r="COW1063" s="989"/>
      <c r="COX1063" s="989"/>
      <c r="COY1063" s="989"/>
      <c r="COZ1063" s="989"/>
      <c r="CPA1063" s="989"/>
      <c r="CPB1063" s="989"/>
      <c r="CPC1063" s="989"/>
      <c r="CPD1063" s="989"/>
      <c r="CPE1063" s="989"/>
      <c r="CPF1063" s="989"/>
      <c r="CPG1063" s="989"/>
      <c r="CPH1063" s="989"/>
      <c r="CPI1063" s="989"/>
      <c r="CPJ1063" s="989"/>
      <c r="CPK1063" s="989"/>
      <c r="CPL1063" s="989"/>
      <c r="CPM1063" s="989"/>
      <c r="CPN1063" s="989"/>
      <c r="CPO1063" s="989"/>
      <c r="CPP1063" s="989"/>
      <c r="CPQ1063" s="989"/>
      <c r="CPR1063" s="989"/>
      <c r="CPS1063" s="989"/>
      <c r="CPT1063" s="989"/>
      <c r="CPU1063" s="989"/>
      <c r="CPV1063" s="989"/>
      <c r="CPW1063" s="989"/>
      <c r="CPX1063" s="989"/>
      <c r="CPY1063" s="989"/>
      <c r="CPZ1063" s="989"/>
      <c r="CQA1063" s="989"/>
      <c r="CQB1063" s="989"/>
      <c r="CQC1063" s="989"/>
      <c r="CQD1063" s="989"/>
      <c r="CQE1063" s="989"/>
      <c r="CQF1063" s="989"/>
      <c r="CQG1063" s="989"/>
      <c r="CQH1063" s="989"/>
      <c r="CQI1063" s="989"/>
      <c r="CQJ1063" s="989"/>
      <c r="CQK1063" s="989"/>
      <c r="CQL1063" s="989"/>
      <c r="CQM1063" s="989"/>
      <c r="CQN1063" s="989"/>
      <c r="CQO1063" s="989"/>
      <c r="CQP1063" s="989"/>
      <c r="CQQ1063" s="989"/>
      <c r="CQR1063" s="989"/>
      <c r="CQS1063" s="989"/>
      <c r="CQT1063" s="989"/>
      <c r="CQU1063" s="989"/>
      <c r="CQV1063" s="989"/>
      <c r="CQW1063" s="989"/>
      <c r="CQX1063" s="989"/>
      <c r="CQY1063" s="989"/>
      <c r="CQZ1063" s="989"/>
      <c r="CRA1063" s="989"/>
      <c r="CRB1063" s="989"/>
      <c r="CRC1063" s="989"/>
      <c r="CRD1063" s="989"/>
      <c r="CRE1063" s="989"/>
      <c r="CRF1063" s="989"/>
      <c r="CRG1063" s="989"/>
      <c r="CRH1063" s="989"/>
      <c r="CRI1063" s="989"/>
      <c r="CRJ1063" s="989"/>
      <c r="CRK1063" s="989"/>
      <c r="CRL1063" s="989"/>
      <c r="CRM1063" s="989"/>
      <c r="CRN1063" s="989"/>
      <c r="CRO1063" s="989"/>
      <c r="CRP1063" s="989"/>
      <c r="CRQ1063" s="989"/>
      <c r="CRR1063" s="989"/>
      <c r="CRS1063" s="989"/>
      <c r="CRT1063" s="989"/>
      <c r="CRU1063" s="989"/>
      <c r="CRV1063" s="989"/>
      <c r="CRW1063" s="989"/>
      <c r="CRX1063" s="989"/>
      <c r="CRY1063" s="989"/>
      <c r="CRZ1063" s="989"/>
      <c r="CSA1063" s="989"/>
      <c r="CSB1063" s="989"/>
      <c r="CSC1063" s="989"/>
      <c r="CSD1063" s="989"/>
      <c r="CSE1063" s="989"/>
      <c r="CSF1063" s="989"/>
      <c r="CSG1063" s="989"/>
      <c r="CSH1063" s="989"/>
      <c r="CSI1063" s="989"/>
      <c r="CSJ1063" s="989"/>
      <c r="CSK1063" s="989"/>
      <c r="CSL1063" s="989"/>
      <c r="CSM1063" s="989"/>
      <c r="CSN1063" s="989"/>
      <c r="CSO1063" s="989"/>
      <c r="CSP1063" s="989"/>
      <c r="CSQ1063" s="989"/>
      <c r="CSR1063" s="989"/>
      <c r="CSS1063" s="989"/>
      <c r="CST1063" s="989"/>
      <c r="CSU1063" s="989"/>
      <c r="CSV1063" s="989"/>
      <c r="CSW1063" s="989"/>
      <c r="CSX1063" s="989"/>
      <c r="CSY1063" s="989"/>
      <c r="CSZ1063" s="989"/>
      <c r="CTA1063" s="989"/>
      <c r="CTB1063" s="989"/>
      <c r="CTC1063" s="989"/>
      <c r="CTD1063" s="989"/>
      <c r="CTE1063" s="989"/>
      <c r="CTF1063" s="989"/>
      <c r="CTG1063" s="989"/>
      <c r="CTH1063" s="989"/>
      <c r="CTI1063" s="989"/>
      <c r="CTJ1063" s="989"/>
      <c r="CTK1063" s="989"/>
      <c r="CTL1063" s="989"/>
      <c r="CTM1063" s="989"/>
      <c r="CTN1063" s="989"/>
      <c r="CTO1063" s="989"/>
      <c r="CTP1063" s="989"/>
      <c r="CTQ1063" s="989"/>
      <c r="CTR1063" s="989"/>
      <c r="CTS1063" s="989"/>
      <c r="CTT1063" s="989"/>
      <c r="CTU1063" s="989"/>
      <c r="CTV1063" s="989"/>
      <c r="CTW1063" s="989"/>
      <c r="CTX1063" s="989"/>
      <c r="CTY1063" s="989"/>
      <c r="CTZ1063" s="989"/>
      <c r="CUA1063" s="989"/>
      <c r="CUB1063" s="989"/>
      <c r="CUC1063" s="989"/>
      <c r="CUD1063" s="989"/>
      <c r="CUE1063" s="989"/>
      <c r="CUF1063" s="989"/>
      <c r="CUG1063" s="989"/>
      <c r="CUH1063" s="989"/>
      <c r="CUI1063" s="989"/>
      <c r="CUJ1063" s="989"/>
      <c r="CUK1063" s="989"/>
      <c r="CUL1063" s="989"/>
      <c r="CUM1063" s="989"/>
      <c r="CUN1063" s="989"/>
      <c r="CUO1063" s="989"/>
      <c r="CUP1063" s="989"/>
      <c r="CUQ1063" s="989"/>
      <c r="CUR1063" s="989"/>
      <c r="CUS1063" s="989"/>
      <c r="CUT1063" s="989"/>
      <c r="CUU1063" s="989"/>
      <c r="CUV1063" s="989"/>
      <c r="CUW1063" s="989"/>
      <c r="CUX1063" s="989"/>
      <c r="CUY1063" s="989"/>
      <c r="CUZ1063" s="989"/>
      <c r="CVA1063" s="989"/>
      <c r="CVB1063" s="989"/>
      <c r="CVC1063" s="989"/>
      <c r="CVD1063" s="989"/>
      <c r="CVE1063" s="989"/>
      <c r="CVF1063" s="989"/>
      <c r="CVG1063" s="989"/>
      <c r="CVH1063" s="989"/>
      <c r="CVI1063" s="989"/>
      <c r="CVJ1063" s="989"/>
      <c r="CVK1063" s="989"/>
      <c r="CVL1063" s="989"/>
      <c r="CVM1063" s="989"/>
      <c r="CVN1063" s="989"/>
      <c r="CVO1063" s="989"/>
      <c r="CVP1063" s="989"/>
      <c r="CVQ1063" s="989"/>
      <c r="CVR1063" s="989"/>
      <c r="CVS1063" s="989"/>
      <c r="CVT1063" s="989"/>
      <c r="CVU1063" s="989"/>
      <c r="CVV1063" s="989"/>
      <c r="CVW1063" s="989"/>
      <c r="CVX1063" s="989"/>
      <c r="CVY1063" s="989"/>
      <c r="CVZ1063" s="989"/>
      <c r="CWA1063" s="989"/>
      <c r="CWB1063" s="989"/>
      <c r="CWC1063" s="989"/>
      <c r="CWD1063" s="989"/>
      <c r="CWE1063" s="989"/>
      <c r="CWF1063" s="989"/>
      <c r="CWG1063" s="989"/>
      <c r="CWH1063" s="989"/>
      <c r="CWI1063" s="989"/>
      <c r="CWJ1063" s="989"/>
      <c r="CWK1063" s="989"/>
      <c r="CWL1063" s="989"/>
      <c r="CWM1063" s="989"/>
      <c r="CWN1063" s="989"/>
      <c r="CWO1063" s="989"/>
      <c r="CWP1063" s="989"/>
      <c r="CWQ1063" s="989"/>
      <c r="CWR1063" s="989"/>
      <c r="CWS1063" s="989"/>
      <c r="CWT1063" s="989"/>
      <c r="CWU1063" s="989"/>
      <c r="CWV1063" s="989"/>
      <c r="CWW1063" s="989"/>
      <c r="CWX1063" s="989"/>
      <c r="CWY1063" s="989"/>
      <c r="CWZ1063" s="989"/>
      <c r="CXA1063" s="989"/>
      <c r="CXB1063" s="989"/>
      <c r="CXC1063" s="989"/>
      <c r="CXD1063" s="989"/>
      <c r="CXE1063" s="989"/>
      <c r="CXF1063" s="989"/>
      <c r="CXG1063" s="989"/>
      <c r="CXH1063" s="989"/>
      <c r="CXI1063" s="989"/>
      <c r="CXJ1063" s="989"/>
      <c r="CXK1063" s="989"/>
      <c r="CXL1063" s="989"/>
      <c r="CXM1063" s="989"/>
      <c r="CXN1063" s="989"/>
      <c r="CXO1063" s="989"/>
      <c r="CXP1063" s="989"/>
      <c r="CXQ1063" s="989"/>
      <c r="CXR1063" s="989"/>
      <c r="CXS1063" s="989"/>
      <c r="CXT1063" s="989"/>
      <c r="CXU1063" s="989"/>
      <c r="CXV1063" s="989"/>
      <c r="CXW1063" s="989"/>
      <c r="CXX1063" s="989"/>
      <c r="CXY1063" s="989"/>
      <c r="CXZ1063" s="989"/>
      <c r="CYA1063" s="989"/>
      <c r="CYB1063" s="989"/>
      <c r="CYC1063" s="989"/>
      <c r="CYD1063" s="989"/>
      <c r="CYE1063" s="989"/>
      <c r="CYF1063" s="989"/>
      <c r="CYG1063" s="989"/>
      <c r="CYH1063" s="989"/>
      <c r="CYI1063" s="989"/>
      <c r="CYJ1063" s="989"/>
      <c r="CYK1063" s="989"/>
      <c r="CYL1063" s="989"/>
      <c r="CYM1063" s="989"/>
      <c r="CYN1063" s="989"/>
      <c r="CYO1063" s="989"/>
      <c r="CYP1063" s="989"/>
      <c r="CYQ1063" s="989"/>
      <c r="CYR1063" s="989"/>
      <c r="CYS1063" s="989"/>
      <c r="CYT1063" s="989"/>
      <c r="CYU1063" s="989"/>
      <c r="CYV1063" s="989"/>
      <c r="CYW1063" s="989"/>
      <c r="CYX1063" s="989"/>
      <c r="CYY1063" s="989"/>
      <c r="CYZ1063" s="989"/>
      <c r="CZA1063" s="989"/>
      <c r="CZB1063" s="989"/>
      <c r="CZC1063" s="989"/>
      <c r="CZD1063" s="989"/>
      <c r="CZE1063" s="989"/>
      <c r="CZF1063" s="989"/>
      <c r="CZG1063" s="989"/>
      <c r="CZH1063" s="989"/>
      <c r="CZI1063" s="989"/>
      <c r="CZJ1063" s="989"/>
      <c r="CZK1063" s="989"/>
      <c r="CZL1063" s="989"/>
      <c r="CZM1063" s="989"/>
      <c r="CZN1063" s="989"/>
      <c r="CZO1063" s="989"/>
      <c r="CZP1063" s="989"/>
      <c r="CZQ1063" s="989"/>
      <c r="CZR1063" s="989"/>
      <c r="CZS1063" s="989"/>
      <c r="CZT1063" s="989"/>
      <c r="CZU1063" s="989"/>
      <c r="CZV1063" s="989"/>
      <c r="CZW1063" s="989"/>
      <c r="CZX1063" s="989"/>
      <c r="CZY1063" s="989"/>
      <c r="CZZ1063" s="989"/>
      <c r="DAA1063" s="989"/>
      <c r="DAB1063" s="989"/>
      <c r="DAC1063" s="989"/>
      <c r="DAD1063" s="989"/>
      <c r="DAE1063" s="989"/>
      <c r="DAF1063" s="989"/>
      <c r="DAG1063" s="989"/>
      <c r="DAH1063" s="989"/>
      <c r="DAI1063" s="989"/>
      <c r="DAJ1063" s="989"/>
      <c r="DAK1063" s="989"/>
      <c r="DAL1063" s="989"/>
      <c r="DAM1063" s="989"/>
      <c r="DAN1063" s="989"/>
      <c r="DAO1063" s="989"/>
      <c r="DAP1063" s="989"/>
      <c r="DAQ1063" s="989"/>
      <c r="DAR1063" s="989"/>
      <c r="DAS1063" s="989"/>
      <c r="DAT1063" s="989"/>
      <c r="DAU1063" s="989"/>
      <c r="DAV1063" s="989"/>
      <c r="DAW1063" s="989"/>
      <c r="DAX1063" s="989"/>
      <c r="DAY1063" s="989"/>
      <c r="DAZ1063" s="989"/>
      <c r="DBA1063" s="989"/>
      <c r="DBB1063" s="989"/>
      <c r="DBC1063" s="989"/>
      <c r="DBD1063" s="989"/>
      <c r="DBE1063" s="989"/>
      <c r="DBF1063" s="989"/>
      <c r="DBG1063" s="989"/>
      <c r="DBH1063" s="989"/>
      <c r="DBI1063" s="989"/>
      <c r="DBJ1063" s="989"/>
      <c r="DBK1063" s="989"/>
      <c r="DBL1063" s="989"/>
      <c r="DBM1063" s="989"/>
      <c r="DBN1063" s="989"/>
      <c r="DBO1063" s="989"/>
      <c r="DBP1063" s="989"/>
      <c r="DBQ1063" s="989"/>
      <c r="DBR1063" s="989"/>
      <c r="DBS1063" s="989"/>
      <c r="DBT1063" s="989"/>
      <c r="DBU1063" s="989"/>
      <c r="DBV1063" s="989"/>
      <c r="DBW1063" s="989"/>
      <c r="DBX1063" s="989"/>
      <c r="DBY1063" s="989"/>
      <c r="DBZ1063" s="989"/>
      <c r="DCA1063" s="989"/>
      <c r="DCB1063" s="989"/>
      <c r="DCC1063" s="989"/>
      <c r="DCD1063" s="989"/>
      <c r="DCE1063" s="989"/>
      <c r="DCF1063" s="989"/>
      <c r="DCG1063" s="989"/>
      <c r="DCH1063" s="989"/>
      <c r="DCI1063" s="989"/>
      <c r="DCJ1063" s="989"/>
      <c r="DCK1063" s="989"/>
      <c r="DCL1063" s="989"/>
      <c r="DCM1063" s="989"/>
      <c r="DCN1063" s="989"/>
      <c r="DCO1063" s="989"/>
      <c r="DCP1063" s="989"/>
      <c r="DCQ1063" s="989"/>
      <c r="DCR1063" s="989"/>
      <c r="DCS1063" s="989"/>
      <c r="DCT1063" s="989"/>
      <c r="DCU1063" s="989"/>
      <c r="DCV1063" s="989"/>
      <c r="DCW1063" s="989"/>
      <c r="DCX1063" s="989"/>
      <c r="DCY1063" s="989"/>
      <c r="DCZ1063" s="989"/>
      <c r="DDA1063" s="989"/>
      <c r="DDB1063" s="989"/>
      <c r="DDC1063" s="989"/>
      <c r="DDD1063" s="989"/>
      <c r="DDE1063" s="989"/>
      <c r="DDF1063" s="989"/>
      <c r="DDG1063" s="989"/>
      <c r="DDH1063" s="989"/>
      <c r="DDI1063" s="989"/>
      <c r="DDJ1063" s="989"/>
      <c r="DDK1063" s="989"/>
      <c r="DDL1063" s="989"/>
      <c r="DDM1063" s="989"/>
      <c r="DDN1063" s="989"/>
      <c r="DDO1063" s="989"/>
      <c r="DDP1063" s="989"/>
      <c r="DDQ1063" s="989"/>
      <c r="DDR1063" s="989"/>
      <c r="DDS1063" s="989"/>
      <c r="DDT1063" s="989"/>
      <c r="DDU1063" s="989"/>
      <c r="DDV1063" s="989"/>
      <c r="DDW1063" s="989"/>
      <c r="DDX1063" s="989"/>
      <c r="DDY1063" s="989"/>
      <c r="DDZ1063" s="989"/>
      <c r="DEA1063" s="989"/>
      <c r="DEB1063" s="989"/>
      <c r="DEC1063" s="989"/>
      <c r="DED1063" s="989"/>
      <c r="DEE1063" s="989"/>
      <c r="DEF1063" s="989"/>
      <c r="DEG1063" s="989"/>
      <c r="DEH1063" s="989"/>
      <c r="DEI1063" s="989"/>
      <c r="DEJ1063" s="989"/>
      <c r="DEK1063" s="989"/>
      <c r="DEL1063" s="989"/>
      <c r="DEM1063" s="989"/>
      <c r="DEN1063" s="989"/>
      <c r="DEO1063" s="989"/>
      <c r="DEP1063" s="989"/>
      <c r="DEQ1063" s="989"/>
      <c r="DER1063" s="989"/>
      <c r="DES1063" s="989"/>
      <c r="DET1063" s="989"/>
      <c r="DEU1063" s="989"/>
      <c r="DEV1063" s="989"/>
      <c r="DEW1063" s="989"/>
      <c r="DEX1063" s="989"/>
      <c r="DEY1063" s="989"/>
      <c r="DEZ1063" s="989"/>
      <c r="DFA1063" s="989"/>
      <c r="DFB1063" s="989"/>
      <c r="DFC1063" s="989"/>
      <c r="DFD1063" s="989"/>
      <c r="DFE1063" s="989"/>
      <c r="DFF1063" s="989"/>
      <c r="DFG1063" s="989"/>
      <c r="DFH1063" s="989"/>
      <c r="DFI1063" s="989"/>
      <c r="DFJ1063" s="989"/>
      <c r="DFK1063" s="989"/>
      <c r="DFL1063" s="989"/>
      <c r="DFM1063" s="989"/>
      <c r="DFN1063" s="989"/>
      <c r="DFO1063" s="989"/>
      <c r="DFP1063" s="989"/>
      <c r="DFQ1063" s="989"/>
      <c r="DFR1063" s="989"/>
      <c r="DFS1063" s="989"/>
      <c r="DFT1063" s="989"/>
      <c r="DFU1063" s="989"/>
      <c r="DFV1063" s="989"/>
      <c r="DFW1063" s="989"/>
      <c r="DFX1063" s="989"/>
      <c r="DFY1063" s="989"/>
      <c r="DFZ1063" s="989"/>
      <c r="DGA1063" s="989"/>
      <c r="DGB1063" s="989"/>
      <c r="DGC1063" s="989"/>
      <c r="DGD1063" s="989"/>
      <c r="DGE1063" s="989"/>
      <c r="DGF1063" s="989"/>
      <c r="DGG1063" s="989"/>
      <c r="DGH1063" s="989"/>
      <c r="DGI1063" s="989"/>
      <c r="DGJ1063" s="989"/>
      <c r="DGK1063" s="989"/>
      <c r="DGL1063" s="989"/>
      <c r="DGM1063" s="989"/>
      <c r="DGN1063" s="989"/>
      <c r="DGO1063" s="989"/>
      <c r="DGP1063" s="989"/>
      <c r="DGQ1063" s="989"/>
      <c r="DGR1063" s="989"/>
      <c r="DGS1063" s="989"/>
      <c r="DGT1063" s="989"/>
      <c r="DGU1063" s="989"/>
      <c r="DGV1063" s="989"/>
      <c r="DGW1063" s="989"/>
      <c r="DGX1063" s="989"/>
      <c r="DGY1063" s="989"/>
      <c r="DGZ1063" s="989"/>
      <c r="DHA1063" s="989"/>
      <c r="DHB1063" s="989"/>
      <c r="DHC1063" s="989"/>
      <c r="DHD1063" s="989"/>
      <c r="DHE1063" s="989"/>
      <c r="DHF1063" s="989"/>
      <c r="DHG1063" s="989"/>
      <c r="DHH1063" s="989"/>
      <c r="DHI1063" s="989"/>
      <c r="DHJ1063" s="989"/>
      <c r="DHK1063" s="989"/>
      <c r="DHL1063" s="989"/>
      <c r="DHM1063" s="989"/>
      <c r="DHN1063" s="989"/>
      <c r="DHO1063" s="989"/>
      <c r="DHP1063" s="989"/>
      <c r="DHQ1063" s="989"/>
      <c r="DHR1063" s="989"/>
      <c r="DHS1063" s="989"/>
      <c r="DHT1063" s="989"/>
      <c r="DHU1063" s="989"/>
      <c r="DHV1063" s="989"/>
      <c r="DHW1063" s="989"/>
      <c r="DHX1063" s="989"/>
      <c r="DHY1063" s="989"/>
      <c r="DHZ1063" s="989"/>
      <c r="DIA1063" s="989"/>
      <c r="DIB1063" s="989"/>
      <c r="DIC1063" s="989"/>
      <c r="DID1063" s="989"/>
      <c r="DIE1063" s="989"/>
      <c r="DIF1063" s="989"/>
      <c r="DIG1063" s="989"/>
      <c r="DIH1063" s="989"/>
      <c r="DII1063" s="989"/>
      <c r="DIJ1063" s="989"/>
      <c r="DIK1063" s="989"/>
      <c r="DIL1063" s="989"/>
      <c r="DIM1063" s="989"/>
      <c r="DIN1063" s="989"/>
      <c r="DIO1063" s="989"/>
      <c r="DIP1063" s="989"/>
      <c r="DIQ1063" s="989"/>
      <c r="DIR1063" s="989"/>
      <c r="DIS1063" s="989"/>
      <c r="DIT1063" s="989"/>
      <c r="DIU1063" s="989"/>
      <c r="DIV1063" s="989"/>
      <c r="DIW1063" s="989"/>
      <c r="DIX1063" s="989"/>
      <c r="DIY1063" s="989"/>
      <c r="DIZ1063" s="989"/>
      <c r="DJA1063" s="989"/>
      <c r="DJB1063" s="989"/>
      <c r="DJC1063" s="989"/>
      <c r="DJD1063" s="989"/>
      <c r="DJE1063" s="989"/>
      <c r="DJF1063" s="989"/>
      <c r="DJG1063" s="989"/>
      <c r="DJH1063" s="989"/>
      <c r="DJI1063" s="989"/>
      <c r="DJJ1063" s="989"/>
      <c r="DJK1063" s="989"/>
      <c r="DJL1063" s="989"/>
      <c r="DJM1063" s="989"/>
      <c r="DJN1063" s="989"/>
      <c r="DJO1063" s="989"/>
      <c r="DJP1063" s="989"/>
      <c r="DJQ1063" s="989"/>
      <c r="DJR1063" s="989"/>
      <c r="DJS1063" s="989"/>
      <c r="DJT1063" s="989"/>
      <c r="DJU1063" s="989"/>
      <c r="DJV1063" s="989"/>
      <c r="DJW1063" s="989"/>
      <c r="DJX1063" s="989"/>
      <c r="DJY1063" s="989"/>
      <c r="DJZ1063" s="989"/>
      <c r="DKA1063" s="989"/>
      <c r="DKB1063" s="989"/>
      <c r="DKC1063" s="989"/>
      <c r="DKD1063" s="989"/>
      <c r="DKE1063" s="989"/>
      <c r="DKF1063" s="989"/>
      <c r="DKG1063" s="989"/>
      <c r="DKH1063" s="989"/>
      <c r="DKI1063" s="989"/>
      <c r="DKJ1063" s="989"/>
      <c r="DKK1063" s="989"/>
      <c r="DKL1063" s="989"/>
      <c r="DKM1063" s="989"/>
      <c r="DKN1063" s="989"/>
      <c r="DKO1063" s="989"/>
      <c r="DKP1063" s="989"/>
      <c r="DKQ1063" s="989"/>
      <c r="DKR1063" s="989"/>
      <c r="DKS1063" s="989"/>
      <c r="DKT1063" s="989"/>
      <c r="DKU1063" s="989"/>
      <c r="DKV1063" s="989"/>
      <c r="DKW1063" s="989"/>
      <c r="DKX1063" s="989"/>
      <c r="DKY1063" s="989"/>
      <c r="DKZ1063" s="989"/>
      <c r="DLA1063" s="989"/>
      <c r="DLB1063" s="989"/>
      <c r="DLC1063" s="989"/>
      <c r="DLD1063" s="989"/>
      <c r="DLE1063" s="989"/>
      <c r="DLF1063" s="989"/>
      <c r="DLG1063" s="989"/>
      <c r="DLH1063" s="989"/>
      <c r="DLI1063" s="989"/>
      <c r="DLJ1063" s="989"/>
      <c r="DLK1063" s="989"/>
      <c r="DLL1063" s="989"/>
      <c r="DLM1063" s="989"/>
      <c r="DLN1063" s="989"/>
      <c r="DLO1063" s="989"/>
      <c r="DLP1063" s="989"/>
      <c r="DLQ1063" s="989"/>
      <c r="DLR1063" s="989"/>
      <c r="DLS1063" s="989"/>
      <c r="DLT1063" s="989"/>
      <c r="DLU1063" s="989"/>
      <c r="DLV1063" s="989"/>
      <c r="DLW1063" s="989"/>
      <c r="DLX1063" s="989"/>
      <c r="DLY1063" s="989"/>
      <c r="DLZ1063" s="989"/>
      <c r="DMA1063" s="989"/>
      <c r="DMB1063" s="989"/>
      <c r="DMC1063" s="989"/>
      <c r="DMD1063" s="989"/>
      <c r="DME1063" s="989"/>
      <c r="DMF1063" s="989"/>
      <c r="DMG1063" s="989"/>
      <c r="DMH1063" s="989"/>
      <c r="DMI1063" s="989"/>
      <c r="DMJ1063" s="989"/>
      <c r="DMK1063" s="989"/>
      <c r="DML1063" s="989"/>
      <c r="DMM1063" s="989"/>
      <c r="DMN1063" s="989"/>
      <c r="DMO1063" s="989"/>
      <c r="DMP1063" s="989"/>
      <c r="DMQ1063" s="989"/>
      <c r="DMR1063" s="989"/>
      <c r="DMS1063" s="989"/>
      <c r="DMT1063" s="989"/>
      <c r="DMU1063" s="989"/>
      <c r="DMV1063" s="989"/>
      <c r="DMW1063" s="989"/>
      <c r="DMX1063" s="989"/>
      <c r="DMY1063" s="989"/>
      <c r="DMZ1063" s="989"/>
      <c r="DNA1063" s="989"/>
      <c r="DNB1063" s="989"/>
      <c r="DNC1063" s="989"/>
      <c r="DND1063" s="989"/>
      <c r="DNE1063" s="989"/>
      <c r="DNF1063" s="989"/>
      <c r="DNG1063" s="989"/>
      <c r="DNH1063" s="989"/>
      <c r="DNI1063" s="989"/>
      <c r="DNJ1063" s="989"/>
      <c r="DNK1063" s="989"/>
      <c r="DNL1063" s="989"/>
      <c r="DNM1063" s="989"/>
      <c r="DNN1063" s="989"/>
      <c r="DNO1063" s="989"/>
      <c r="DNP1063" s="989"/>
      <c r="DNQ1063" s="989"/>
      <c r="DNR1063" s="989"/>
      <c r="DNS1063" s="989"/>
      <c r="DNT1063" s="989"/>
      <c r="DNU1063" s="989"/>
      <c r="DNV1063" s="989"/>
      <c r="DNW1063" s="989"/>
      <c r="DNX1063" s="989"/>
      <c r="DNY1063" s="989"/>
      <c r="DNZ1063" s="989"/>
      <c r="DOA1063" s="989"/>
      <c r="DOB1063" s="989"/>
      <c r="DOC1063" s="989"/>
      <c r="DOD1063" s="989"/>
      <c r="DOE1063" s="989"/>
      <c r="DOF1063" s="989"/>
      <c r="DOG1063" s="989"/>
      <c r="DOH1063" s="989"/>
      <c r="DOI1063" s="989"/>
      <c r="DOJ1063" s="989"/>
      <c r="DOK1063" s="989"/>
      <c r="DOL1063" s="989"/>
      <c r="DOM1063" s="989"/>
      <c r="DON1063" s="989"/>
      <c r="DOO1063" s="989"/>
      <c r="DOP1063" s="989"/>
      <c r="DOQ1063" s="989"/>
      <c r="DOR1063" s="989"/>
      <c r="DOS1063" s="989"/>
      <c r="DOT1063" s="989"/>
      <c r="DOU1063" s="989"/>
      <c r="DOV1063" s="989"/>
      <c r="DOW1063" s="989"/>
      <c r="DOX1063" s="989"/>
      <c r="DOY1063" s="989"/>
      <c r="DOZ1063" s="989"/>
      <c r="DPA1063" s="989"/>
      <c r="DPB1063" s="989"/>
      <c r="DPC1063" s="989"/>
      <c r="DPD1063" s="989"/>
      <c r="DPE1063" s="989"/>
      <c r="DPF1063" s="989"/>
      <c r="DPG1063" s="989"/>
      <c r="DPH1063" s="989"/>
      <c r="DPI1063" s="989"/>
      <c r="DPJ1063" s="989"/>
      <c r="DPK1063" s="989"/>
      <c r="DPL1063" s="989"/>
      <c r="DPM1063" s="989"/>
      <c r="DPN1063" s="989"/>
      <c r="DPO1063" s="989"/>
      <c r="DPP1063" s="989"/>
      <c r="DPQ1063" s="989"/>
      <c r="DPR1063" s="989"/>
      <c r="DPS1063" s="989"/>
      <c r="DPT1063" s="989"/>
      <c r="DPU1063" s="989"/>
      <c r="DPV1063" s="989"/>
      <c r="DPW1063" s="989"/>
      <c r="DPX1063" s="989"/>
      <c r="DPY1063" s="989"/>
      <c r="DPZ1063" s="989"/>
      <c r="DQA1063" s="989"/>
      <c r="DQB1063" s="989"/>
      <c r="DQC1063" s="989"/>
      <c r="DQD1063" s="989"/>
      <c r="DQE1063" s="989"/>
      <c r="DQF1063" s="989"/>
      <c r="DQG1063" s="989"/>
      <c r="DQH1063" s="989"/>
      <c r="DQI1063" s="989"/>
      <c r="DQJ1063" s="989"/>
      <c r="DQK1063" s="989"/>
      <c r="DQL1063" s="989"/>
      <c r="DQM1063" s="989"/>
      <c r="DQN1063" s="989"/>
      <c r="DQO1063" s="989"/>
      <c r="DQP1063" s="989"/>
      <c r="DQQ1063" s="989"/>
      <c r="DQR1063" s="989"/>
      <c r="DQS1063" s="989"/>
      <c r="DQT1063" s="989"/>
      <c r="DQU1063" s="989"/>
      <c r="DQV1063" s="989"/>
      <c r="DQW1063" s="989"/>
      <c r="DQX1063" s="989"/>
      <c r="DQY1063" s="989"/>
      <c r="DQZ1063" s="989"/>
      <c r="DRA1063" s="989"/>
      <c r="DRB1063" s="989"/>
      <c r="DRC1063" s="989"/>
      <c r="DRD1063" s="989"/>
      <c r="DRE1063" s="989"/>
      <c r="DRF1063" s="989"/>
      <c r="DRG1063" s="989"/>
      <c r="DRH1063" s="989"/>
      <c r="DRI1063" s="989"/>
      <c r="DRJ1063" s="989"/>
      <c r="DRK1063" s="989"/>
      <c r="DRL1063" s="989"/>
      <c r="DRM1063" s="989"/>
      <c r="DRN1063" s="989"/>
      <c r="DRO1063" s="989"/>
      <c r="DRP1063" s="989"/>
      <c r="DRQ1063" s="989"/>
      <c r="DRR1063" s="989"/>
      <c r="DRS1063" s="989"/>
      <c r="DRT1063" s="989"/>
      <c r="DRU1063" s="989"/>
      <c r="DRV1063" s="989"/>
      <c r="DRW1063" s="989"/>
      <c r="DRX1063" s="989"/>
      <c r="DRY1063" s="989"/>
      <c r="DRZ1063" s="989"/>
      <c r="DSA1063" s="989"/>
      <c r="DSB1063" s="989"/>
      <c r="DSC1063" s="989"/>
      <c r="DSD1063" s="989"/>
      <c r="DSE1063" s="989"/>
      <c r="DSF1063" s="989"/>
      <c r="DSG1063" s="989"/>
      <c r="DSH1063" s="989"/>
      <c r="DSI1063" s="989"/>
      <c r="DSJ1063" s="989"/>
      <c r="DSK1063" s="989"/>
      <c r="DSL1063" s="989"/>
      <c r="DSM1063" s="989"/>
      <c r="DSN1063" s="989"/>
      <c r="DSO1063" s="989"/>
      <c r="DSP1063" s="989"/>
      <c r="DSQ1063" s="989"/>
      <c r="DSR1063" s="989"/>
      <c r="DSS1063" s="989"/>
      <c r="DST1063" s="989"/>
      <c r="DSU1063" s="989"/>
      <c r="DSV1063" s="989"/>
      <c r="DSW1063" s="989"/>
      <c r="DSX1063" s="989"/>
      <c r="DSY1063" s="989"/>
      <c r="DSZ1063" s="989"/>
      <c r="DTA1063" s="989"/>
      <c r="DTB1063" s="989"/>
      <c r="DTC1063" s="989"/>
      <c r="DTD1063" s="989"/>
      <c r="DTE1063" s="989"/>
      <c r="DTF1063" s="989"/>
      <c r="DTG1063" s="989"/>
      <c r="DTH1063" s="989"/>
      <c r="DTI1063" s="989"/>
      <c r="DTJ1063" s="989"/>
      <c r="DTK1063" s="989"/>
      <c r="DTL1063" s="989"/>
      <c r="DTM1063" s="989"/>
      <c r="DTN1063" s="989"/>
      <c r="DTO1063" s="989"/>
      <c r="DTP1063" s="989"/>
      <c r="DTQ1063" s="989"/>
      <c r="DTR1063" s="989"/>
      <c r="DTS1063" s="989"/>
      <c r="DTT1063" s="989"/>
      <c r="DTU1063" s="989"/>
      <c r="DTV1063" s="989"/>
      <c r="DTW1063" s="989"/>
      <c r="DTX1063" s="989"/>
      <c r="DTY1063" s="989"/>
      <c r="DTZ1063" s="989"/>
      <c r="DUA1063" s="989"/>
      <c r="DUB1063" s="989"/>
      <c r="DUC1063" s="989"/>
      <c r="DUD1063" s="989"/>
      <c r="DUE1063" s="989"/>
      <c r="DUF1063" s="989"/>
      <c r="DUG1063" s="989"/>
      <c r="DUH1063" s="989"/>
      <c r="DUI1063" s="989"/>
      <c r="DUJ1063" s="989"/>
      <c r="DUK1063" s="989"/>
      <c r="DUL1063" s="989"/>
      <c r="DUM1063" s="989"/>
      <c r="DUN1063" s="989"/>
      <c r="DUO1063" s="989"/>
      <c r="DUP1063" s="989"/>
      <c r="DUQ1063" s="989"/>
      <c r="DUR1063" s="989"/>
      <c r="DUS1063" s="989"/>
      <c r="DUT1063" s="989"/>
      <c r="DUU1063" s="989"/>
      <c r="DUV1063" s="989"/>
      <c r="DUW1063" s="989"/>
      <c r="DUX1063" s="989"/>
      <c r="DUY1063" s="989"/>
      <c r="DUZ1063" s="989"/>
      <c r="DVA1063" s="989"/>
      <c r="DVB1063" s="989"/>
      <c r="DVC1063" s="989"/>
      <c r="DVD1063" s="989"/>
      <c r="DVE1063" s="989"/>
      <c r="DVF1063" s="989"/>
      <c r="DVG1063" s="989"/>
      <c r="DVH1063" s="989"/>
      <c r="DVI1063" s="989"/>
      <c r="DVJ1063" s="989"/>
      <c r="DVK1063" s="989"/>
      <c r="DVL1063" s="989"/>
      <c r="DVM1063" s="989"/>
      <c r="DVN1063" s="989"/>
      <c r="DVO1063" s="989"/>
      <c r="DVP1063" s="989"/>
      <c r="DVQ1063" s="989"/>
      <c r="DVR1063" s="989"/>
      <c r="DVS1063" s="989"/>
      <c r="DVT1063" s="989"/>
      <c r="DVU1063" s="989"/>
      <c r="DVV1063" s="989"/>
      <c r="DVW1063" s="989"/>
      <c r="DVX1063" s="989"/>
      <c r="DVY1063" s="989"/>
      <c r="DVZ1063" s="989"/>
      <c r="DWA1063" s="989"/>
      <c r="DWB1063" s="989"/>
      <c r="DWC1063" s="989"/>
      <c r="DWD1063" s="989"/>
      <c r="DWE1063" s="989"/>
      <c r="DWF1063" s="989"/>
      <c r="DWG1063" s="989"/>
      <c r="DWH1063" s="989"/>
      <c r="DWI1063" s="989"/>
      <c r="DWJ1063" s="989"/>
      <c r="DWK1063" s="989"/>
      <c r="DWL1063" s="989"/>
      <c r="DWM1063" s="989"/>
      <c r="DWN1063" s="989"/>
      <c r="DWO1063" s="989"/>
      <c r="DWP1063" s="989"/>
      <c r="DWQ1063" s="989"/>
      <c r="DWR1063" s="989"/>
      <c r="DWS1063" s="989"/>
      <c r="DWT1063" s="989"/>
      <c r="DWU1063" s="989"/>
      <c r="DWV1063" s="989"/>
      <c r="DWW1063" s="989"/>
      <c r="DWX1063" s="989"/>
      <c r="DWY1063" s="989"/>
      <c r="DWZ1063" s="989"/>
      <c r="DXA1063" s="989"/>
      <c r="DXB1063" s="989"/>
      <c r="DXC1063" s="989"/>
      <c r="DXD1063" s="989"/>
      <c r="DXE1063" s="989"/>
      <c r="DXF1063" s="989"/>
      <c r="DXG1063" s="989"/>
      <c r="DXH1063" s="989"/>
      <c r="DXI1063" s="989"/>
      <c r="DXJ1063" s="989"/>
      <c r="DXK1063" s="989"/>
      <c r="DXL1063" s="989"/>
      <c r="DXM1063" s="989"/>
      <c r="DXN1063" s="989"/>
      <c r="DXO1063" s="989"/>
      <c r="DXP1063" s="989"/>
      <c r="DXQ1063" s="989"/>
      <c r="DXR1063" s="989"/>
      <c r="DXS1063" s="989"/>
      <c r="DXT1063" s="989"/>
      <c r="DXU1063" s="989"/>
      <c r="DXV1063" s="989"/>
      <c r="DXW1063" s="989"/>
      <c r="DXX1063" s="989"/>
      <c r="DXY1063" s="989"/>
      <c r="DXZ1063" s="989"/>
      <c r="DYA1063" s="989"/>
      <c r="DYB1063" s="989"/>
      <c r="DYC1063" s="989"/>
      <c r="DYD1063" s="989"/>
      <c r="DYE1063" s="989"/>
      <c r="DYF1063" s="989"/>
      <c r="DYG1063" s="989"/>
      <c r="DYH1063" s="989"/>
      <c r="DYI1063" s="989"/>
      <c r="DYJ1063" s="989"/>
      <c r="DYK1063" s="989"/>
      <c r="DYL1063" s="989"/>
      <c r="DYM1063" s="989"/>
      <c r="DYN1063" s="989"/>
      <c r="DYO1063" s="989"/>
      <c r="DYP1063" s="989"/>
      <c r="DYQ1063" s="989"/>
      <c r="DYR1063" s="989"/>
      <c r="DYS1063" s="989"/>
      <c r="DYT1063" s="989"/>
      <c r="DYU1063" s="989"/>
      <c r="DYV1063" s="989"/>
      <c r="DYW1063" s="989"/>
      <c r="DYX1063" s="989"/>
      <c r="DYY1063" s="989"/>
      <c r="DYZ1063" s="989"/>
      <c r="DZA1063" s="989"/>
      <c r="DZB1063" s="989"/>
      <c r="DZC1063" s="989"/>
      <c r="DZD1063" s="989"/>
      <c r="DZE1063" s="989"/>
      <c r="DZF1063" s="989"/>
      <c r="DZG1063" s="989"/>
      <c r="DZH1063" s="989"/>
      <c r="DZI1063" s="989"/>
      <c r="DZJ1063" s="989"/>
      <c r="DZK1063" s="989"/>
      <c r="DZL1063" s="989"/>
      <c r="DZM1063" s="989"/>
      <c r="DZN1063" s="989"/>
      <c r="DZO1063" s="989"/>
      <c r="DZP1063" s="989"/>
      <c r="DZQ1063" s="989"/>
      <c r="DZR1063" s="989"/>
      <c r="DZS1063" s="989"/>
      <c r="DZT1063" s="989"/>
      <c r="DZU1063" s="989"/>
      <c r="DZV1063" s="989"/>
      <c r="DZW1063" s="989"/>
      <c r="DZX1063" s="989"/>
      <c r="DZY1063" s="989"/>
      <c r="DZZ1063" s="989"/>
      <c r="EAA1063" s="989"/>
      <c r="EAB1063" s="989"/>
      <c r="EAC1063" s="989"/>
      <c r="EAD1063" s="989"/>
      <c r="EAE1063" s="989"/>
      <c r="EAF1063" s="989"/>
      <c r="EAG1063" s="989"/>
      <c r="EAH1063" s="989"/>
      <c r="EAI1063" s="989"/>
      <c r="EAJ1063" s="989"/>
      <c r="EAK1063" s="989"/>
      <c r="EAL1063" s="989"/>
      <c r="EAM1063" s="989"/>
      <c r="EAN1063" s="989"/>
      <c r="EAO1063" s="989"/>
      <c r="EAP1063" s="989"/>
      <c r="EAQ1063" s="989"/>
      <c r="EAR1063" s="989"/>
      <c r="EAS1063" s="989"/>
      <c r="EAT1063" s="989"/>
      <c r="EAU1063" s="989"/>
      <c r="EAV1063" s="989"/>
      <c r="EAW1063" s="989"/>
      <c r="EAX1063" s="989"/>
      <c r="EAY1063" s="989"/>
      <c r="EAZ1063" s="989"/>
      <c r="EBA1063" s="989"/>
      <c r="EBB1063" s="989"/>
      <c r="EBC1063" s="989"/>
      <c r="EBD1063" s="989"/>
      <c r="EBE1063" s="989"/>
      <c r="EBF1063" s="989"/>
      <c r="EBG1063" s="989"/>
      <c r="EBH1063" s="989"/>
      <c r="EBI1063" s="989"/>
      <c r="EBJ1063" s="989"/>
      <c r="EBK1063" s="989"/>
      <c r="EBL1063" s="989"/>
      <c r="EBM1063" s="989"/>
      <c r="EBN1063" s="989"/>
      <c r="EBO1063" s="989"/>
      <c r="EBP1063" s="989"/>
      <c r="EBQ1063" s="989"/>
      <c r="EBR1063" s="989"/>
      <c r="EBS1063" s="989"/>
      <c r="EBT1063" s="989"/>
      <c r="EBU1063" s="989"/>
      <c r="EBV1063" s="989"/>
      <c r="EBW1063" s="989"/>
      <c r="EBX1063" s="989"/>
      <c r="EBY1063" s="989"/>
      <c r="EBZ1063" s="989"/>
      <c r="ECA1063" s="989"/>
      <c r="ECB1063" s="989"/>
      <c r="ECC1063" s="989"/>
      <c r="ECD1063" s="989"/>
      <c r="ECE1063" s="989"/>
      <c r="ECF1063" s="989"/>
      <c r="ECG1063" s="989"/>
      <c r="ECH1063" s="989"/>
      <c r="ECI1063" s="989"/>
      <c r="ECJ1063" s="989"/>
      <c r="ECK1063" s="989"/>
      <c r="ECL1063" s="989"/>
      <c r="ECM1063" s="989"/>
      <c r="ECN1063" s="989"/>
      <c r="ECO1063" s="989"/>
      <c r="ECP1063" s="989"/>
      <c r="ECQ1063" s="989"/>
      <c r="ECR1063" s="989"/>
      <c r="ECS1063" s="989"/>
      <c r="ECT1063" s="989"/>
      <c r="ECU1063" s="989"/>
      <c r="ECV1063" s="989"/>
      <c r="ECW1063" s="989"/>
      <c r="ECX1063" s="989"/>
      <c r="ECY1063" s="989"/>
      <c r="ECZ1063" s="989"/>
      <c r="EDA1063" s="989"/>
      <c r="EDB1063" s="989"/>
      <c r="EDC1063" s="989"/>
      <c r="EDD1063" s="989"/>
      <c r="EDE1063" s="989"/>
      <c r="EDF1063" s="989"/>
      <c r="EDG1063" s="989"/>
      <c r="EDH1063" s="989"/>
      <c r="EDI1063" s="989"/>
      <c r="EDJ1063" s="989"/>
      <c r="EDK1063" s="989"/>
      <c r="EDL1063" s="989"/>
      <c r="EDM1063" s="989"/>
      <c r="EDN1063" s="989"/>
      <c r="EDO1063" s="989"/>
      <c r="EDP1063" s="989"/>
      <c r="EDQ1063" s="989"/>
      <c r="EDR1063" s="989"/>
      <c r="EDS1063" s="989"/>
      <c r="EDT1063" s="989"/>
      <c r="EDU1063" s="989"/>
      <c r="EDV1063" s="989"/>
      <c r="EDW1063" s="989"/>
      <c r="EDX1063" s="989"/>
      <c r="EDY1063" s="989"/>
      <c r="EDZ1063" s="989"/>
      <c r="EEA1063" s="989"/>
      <c r="EEB1063" s="989"/>
      <c r="EEC1063" s="989"/>
      <c r="EED1063" s="989"/>
      <c r="EEE1063" s="989"/>
      <c r="EEF1063" s="989"/>
      <c r="EEG1063" s="989"/>
      <c r="EEH1063" s="989"/>
      <c r="EEI1063" s="989"/>
      <c r="EEJ1063" s="989"/>
      <c r="EEK1063" s="989"/>
      <c r="EEL1063" s="989"/>
      <c r="EEM1063" s="989"/>
      <c r="EEN1063" s="989"/>
      <c r="EEO1063" s="989"/>
      <c r="EEP1063" s="989"/>
      <c r="EEQ1063" s="989"/>
      <c r="EER1063" s="989"/>
      <c r="EES1063" s="989"/>
      <c r="EET1063" s="989"/>
      <c r="EEU1063" s="989"/>
      <c r="EEV1063" s="989"/>
      <c r="EEW1063" s="989"/>
      <c r="EEX1063" s="989"/>
      <c r="EEY1063" s="989"/>
      <c r="EEZ1063" s="989"/>
      <c r="EFA1063" s="989"/>
      <c r="EFB1063" s="989"/>
      <c r="EFC1063" s="989"/>
      <c r="EFD1063" s="989"/>
      <c r="EFE1063" s="989"/>
      <c r="EFF1063" s="989"/>
      <c r="EFG1063" s="989"/>
      <c r="EFH1063" s="989"/>
      <c r="EFI1063" s="989"/>
      <c r="EFJ1063" s="989"/>
      <c r="EFK1063" s="989"/>
      <c r="EFL1063" s="989"/>
      <c r="EFM1063" s="989"/>
      <c r="EFN1063" s="989"/>
      <c r="EFO1063" s="989"/>
      <c r="EFP1063" s="989"/>
      <c r="EFQ1063" s="989"/>
      <c r="EFR1063" s="989"/>
      <c r="EFS1063" s="989"/>
      <c r="EFT1063" s="989"/>
      <c r="EFU1063" s="989"/>
      <c r="EFV1063" s="989"/>
      <c r="EFW1063" s="989"/>
      <c r="EFX1063" s="989"/>
      <c r="EFY1063" s="989"/>
      <c r="EFZ1063" s="989"/>
      <c r="EGA1063" s="989"/>
      <c r="EGB1063" s="989"/>
      <c r="EGC1063" s="989"/>
      <c r="EGD1063" s="989"/>
      <c r="EGE1063" s="989"/>
      <c r="EGF1063" s="989"/>
      <c r="EGG1063" s="989"/>
      <c r="EGH1063" s="989"/>
      <c r="EGI1063" s="989"/>
      <c r="EGJ1063" s="989"/>
      <c r="EGK1063" s="989"/>
      <c r="EGL1063" s="989"/>
      <c r="EGM1063" s="989"/>
      <c r="EGN1063" s="989"/>
      <c r="EGO1063" s="989"/>
      <c r="EGP1063" s="989"/>
      <c r="EGQ1063" s="989"/>
      <c r="EGR1063" s="989"/>
      <c r="EGS1063" s="989"/>
      <c r="EGT1063" s="989"/>
      <c r="EGU1063" s="989"/>
      <c r="EGV1063" s="989"/>
      <c r="EGW1063" s="989"/>
      <c r="EGX1063" s="989"/>
      <c r="EGY1063" s="989"/>
      <c r="EGZ1063" s="989"/>
      <c r="EHA1063" s="989"/>
      <c r="EHB1063" s="989"/>
      <c r="EHC1063" s="989"/>
      <c r="EHD1063" s="989"/>
      <c r="EHE1063" s="989"/>
      <c r="EHF1063" s="989"/>
      <c r="EHG1063" s="989"/>
      <c r="EHH1063" s="989"/>
      <c r="EHI1063" s="989"/>
      <c r="EHJ1063" s="989"/>
      <c r="EHK1063" s="989"/>
      <c r="EHL1063" s="989"/>
      <c r="EHM1063" s="989"/>
      <c r="EHN1063" s="989"/>
      <c r="EHO1063" s="989"/>
      <c r="EHP1063" s="989"/>
      <c r="EHQ1063" s="989"/>
      <c r="EHR1063" s="989"/>
      <c r="EHS1063" s="989"/>
      <c r="EHT1063" s="989"/>
      <c r="EHU1063" s="989"/>
      <c r="EHV1063" s="989"/>
      <c r="EHW1063" s="989"/>
      <c r="EHX1063" s="989"/>
      <c r="EHY1063" s="989"/>
      <c r="EHZ1063" s="989"/>
      <c r="EIA1063" s="989"/>
      <c r="EIB1063" s="989"/>
      <c r="EIC1063" s="989"/>
      <c r="EID1063" s="989"/>
      <c r="EIE1063" s="989"/>
      <c r="EIF1063" s="989"/>
      <c r="EIG1063" s="989"/>
      <c r="EIH1063" s="989"/>
      <c r="EII1063" s="989"/>
      <c r="EIJ1063" s="989"/>
      <c r="EIK1063" s="989"/>
      <c r="EIL1063" s="989"/>
      <c r="EIM1063" s="989"/>
      <c r="EIN1063" s="989"/>
      <c r="EIO1063" s="989"/>
      <c r="EIP1063" s="989"/>
      <c r="EIQ1063" s="989"/>
      <c r="EIR1063" s="989"/>
      <c r="EIS1063" s="989"/>
      <c r="EIT1063" s="989"/>
      <c r="EIU1063" s="989"/>
      <c r="EIV1063" s="989"/>
      <c r="EIW1063" s="989"/>
      <c r="EIX1063" s="989"/>
      <c r="EIY1063" s="989"/>
      <c r="EIZ1063" s="989"/>
      <c r="EJA1063" s="989"/>
      <c r="EJB1063" s="989"/>
      <c r="EJC1063" s="989"/>
      <c r="EJD1063" s="989"/>
      <c r="EJE1063" s="989"/>
      <c r="EJF1063" s="989"/>
      <c r="EJG1063" s="989"/>
      <c r="EJH1063" s="989"/>
      <c r="EJI1063" s="989"/>
      <c r="EJJ1063" s="989"/>
      <c r="EJK1063" s="989"/>
      <c r="EJL1063" s="989"/>
      <c r="EJM1063" s="989"/>
      <c r="EJN1063" s="989"/>
      <c r="EJO1063" s="989"/>
      <c r="EJP1063" s="989"/>
      <c r="EJQ1063" s="989"/>
      <c r="EJR1063" s="989"/>
      <c r="EJS1063" s="989"/>
      <c r="EJT1063" s="989"/>
      <c r="EJU1063" s="989"/>
      <c r="EJV1063" s="989"/>
      <c r="EJW1063" s="989"/>
      <c r="EJX1063" s="989"/>
      <c r="EJY1063" s="989"/>
      <c r="EJZ1063" s="989"/>
      <c r="EKA1063" s="989"/>
      <c r="EKB1063" s="989"/>
      <c r="EKC1063" s="989"/>
      <c r="EKD1063" s="989"/>
      <c r="EKE1063" s="989"/>
      <c r="EKF1063" s="989"/>
      <c r="EKG1063" s="989"/>
      <c r="EKH1063" s="989"/>
      <c r="EKI1063" s="989"/>
      <c r="EKJ1063" s="989"/>
      <c r="EKK1063" s="989"/>
      <c r="EKL1063" s="989"/>
      <c r="EKM1063" s="989"/>
      <c r="EKN1063" s="989"/>
      <c r="EKO1063" s="989"/>
      <c r="EKP1063" s="989"/>
      <c r="EKQ1063" s="989"/>
      <c r="EKR1063" s="989"/>
      <c r="EKS1063" s="989"/>
      <c r="EKT1063" s="989"/>
      <c r="EKU1063" s="989"/>
      <c r="EKV1063" s="989"/>
      <c r="EKW1063" s="989"/>
      <c r="EKX1063" s="989"/>
      <c r="EKY1063" s="989"/>
      <c r="EKZ1063" s="989"/>
      <c r="ELA1063" s="989"/>
      <c r="ELB1063" s="989"/>
      <c r="ELC1063" s="989"/>
      <c r="ELD1063" s="989"/>
      <c r="ELE1063" s="989"/>
      <c r="ELF1063" s="989"/>
      <c r="ELG1063" s="989"/>
      <c r="ELH1063" s="989"/>
      <c r="ELI1063" s="989"/>
      <c r="ELJ1063" s="989"/>
      <c r="ELK1063" s="989"/>
      <c r="ELL1063" s="989"/>
      <c r="ELM1063" s="989"/>
      <c r="ELN1063" s="989"/>
      <c r="ELO1063" s="989"/>
      <c r="ELP1063" s="989"/>
      <c r="ELQ1063" s="989"/>
      <c r="ELR1063" s="989"/>
      <c r="ELS1063" s="989"/>
      <c r="ELT1063" s="989"/>
      <c r="ELU1063" s="989"/>
      <c r="ELV1063" s="989"/>
      <c r="ELW1063" s="989"/>
      <c r="ELX1063" s="989"/>
      <c r="ELY1063" s="989"/>
      <c r="ELZ1063" s="989"/>
      <c r="EMA1063" s="989"/>
      <c r="EMB1063" s="989"/>
      <c r="EMC1063" s="989"/>
      <c r="EMD1063" s="989"/>
      <c r="EME1063" s="989"/>
      <c r="EMF1063" s="989"/>
      <c r="EMG1063" s="989"/>
      <c r="EMH1063" s="989"/>
      <c r="EMI1063" s="989"/>
      <c r="EMJ1063" s="989"/>
      <c r="EMK1063" s="989"/>
      <c r="EML1063" s="989"/>
      <c r="EMM1063" s="989"/>
      <c r="EMN1063" s="989"/>
      <c r="EMO1063" s="989"/>
      <c r="EMP1063" s="989"/>
      <c r="EMQ1063" s="989"/>
      <c r="EMR1063" s="989"/>
      <c r="EMS1063" s="989"/>
      <c r="EMT1063" s="989"/>
      <c r="EMU1063" s="989"/>
      <c r="EMV1063" s="989"/>
      <c r="EMW1063" s="989"/>
      <c r="EMX1063" s="989"/>
      <c r="EMY1063" s="989"/>
      <c r="EMZ1063" s="989"/>
      <c r="ENA1063" s="989"/>
      <c r="ENB1063" s="989"/>
      <c r="ENC1063" s="989"/>
      <c r="END1063" s="989"/>
      <c r="ENE1063" s="989"/>
      <c r="ENF1063" s="989"/>
      <c r="ENG1063" s="989"/>
      <c r="ENH1063" s="989"/>
      <c r="ENI1063" s="989"/>
      <c r="ENJ1063" s="989"/>
      <c r="ENK1063" s="989"/>
      <c r="ENL1063" s="989"/>
      <c r="ENM1063" s="989"/>
      <c r="ENN1063" s="989"/>
      <c r="ENO1063" s="989"/>
      <c r="ENP1063" s="989"/>
      <c r="ENQ1063" s="989"/>
      <c r="ENR1063" s="989"/>
      <c r="ENS1063" s="989"/>
      <c r="ENT1063" s="989"/>
      <c r="ENU1063" s="989"/>
      <c r="ENV1063" s="989"/>
      <c r="ENW1063" s="989"/>
      <c r="ENX1063" s="989"/>
      <c r="ENY1063" s="989"/>
      <c r="ENZ1063" s="989"/>
      <c r="EOA1063" s="989"/>
      <c r="EOB1063" s="989"/>
      <c r="EOC1063" s="989"/>
      <c r="EOD1063" s="989"/>
      <c r="EOE1063" s="989"/>
      <c r="EOF1063" s="989"/>
      <c r="EOG1063" s="989"/>
      <c r="EOH1063" s="989"/>
      <c r="EOI1063" s="989"/>
      <c r="EOJ1063" s="989"/>
      <c r="EOK1063" s="989"/>
      <c r="EOL1063" s="989"/>
      <c r="EOM1063" s="989"/>
      <c r="EON1063" s="989"/>
      <c r="EOO1063" s="989"/>
      <c r="EOP1063" s="989"/>
      <c r="EOQ1063" s="989"/>
      <c r="EOR1063" s="989"/>
      <c r="EOS1063" s="989"/>
      <c r="EOT1063" s="989"/>
      <c r="EOU1063" s="989"/>
      <c r="EOV1063" s="989"/>
      <c r="EOW1063" s="989"/>
      <c r="EOX1063" s="989"/>
      <c r="EOY1063" s="989"/>
      <c r="EOZ1063" s="989"/>
      <c r="EPA1063" s="989"/>
      <c r="EPB1063" s="989"/>
      <c r="EPC1063" s="989"/>
      <c r="EPD1063" s="989"/>
      <c r="EPE1063" s="989"/>
      <c r="EPF1063" s="989"/>
      <c r="EPG1063" s="989"/>
      <c r="EPH1063" s="989"/>
      <c r="EPI1063" s="989"/>
      <c r="EPJ1063" s="989"/>
      <c r="EPK1063" s="989"/>
      <c r="EPL1063" s="989"/>
      <c r="EPM1063" s="989"/>
      <c r="EPN1063" s="989"/>
      <c r="EPO1063" s="989"/>
      <c r="EPP1063" s="989"/>
      <c r="EPQ1063" s="989"/>
      <c r="EPR1063" s="989"/>
      <c r="EPS1063" s="989"/>
      <c r="EPT1063" s="989"/>
      <c r="EPU1063" s="989"/>
      <c r="EPV1063" s="989"/>
      <c r="EPW1063" s="989"/>
      <c r="EPX1063" s="989"/>
      <c r="EPY1063" s="989"/>
      <c r="EPZ1063" s="989"/>
      <c r="EQA1063" s="989"/>
      <c r="EQB1063" s="989"/>
      <c r="EQC1063" s="989"/>
      <c r="EQD1063" s="989"/>
      <c r="EQE1063" s="989"/>
      <c r="EQF1063" s="989"/>
      <c r="EQG1063" s="989"/>
      <c r="EQH1063" s="989"/>
      <c r="EQI1063" s="989"/>
      <c r="EQJ1063" s="989"/>
      <c r="EQK1063" s="989"/>
      <c r="EQL1063" s="989"/>
      <c r="EQM1063" s="989"/>
      <c r="EQN1063" s="989"/>
      <c r="EQO1063" s="989"/>
      <c r="EQP1063" s="989"/>
      <c r="EQQ1063" s="989"/>
      <c r="EQR1063" s="989"/>
      <c r="EQS1063" s="989"/>
      <c r="EQT1063" s="989"/>
      <c r="EQU1063" s="989"/>
      <c r="EQV1063" s="989"/>
      <c r="EQW1063" s="989"/>
      <c r="EQX1063" s="989"/>
      <c r="EQY1063" s="989"/>
      <c r="EQZ1063" s="989"/>
      <c r="ERA1063" s="989"/>
      <c r="ERB1063" s="989"/>
      <c r="ERC1063" s="989"/>
      <c r="ERD1063" s="989"/>
      <c r="ERE1063" s="989"/>
      <c r="ERF1063" s="989"/>
      <c r="ERG1063" s="989"/>
      <c r="ERH1063" s="989"/>
      <c r="ERI1063" s="989"/>
      <c r="ERJ1063" s="989"/>
      <c r="ERK1063" s="989"/>
      <c r="ERL1063" s="989"/>
      <c r="ERM1063" s="989"/>
      <c r="ERN1063" s="989"/>
      <c r="ERO1063" s="989"/>
      <c r="ERP1063" s="989"/>
      <c r="ERQ1063" s="989"/>
      <c r="ERR1063" s="989"/>
      <c r="ERS1063" s="989"/>
      <c r="ERT1063" s="989"/>
      <c r="ERU1063" s="989"/>
      <c r="ERV1063" s="989"/>
      <c r="ERW1063" s="989"/>
      <c r="ERX1063" s="989"/>
      <c r="ERY1063" s="989"/>
      <c r="ERZ1063" s="989"/>
      <c r="ESA1063" s="989"/>
      <c r="ESB1063" s="989"/>
      <c r="ESC1063" s="989"/>
      <c r="ESD1063" s="989"/>
      <c r="ESE1063" s="989"/>
      <c r="ESF1063" s="989"/>
      <c r="ESG1063" s="989"/>
      <c r="ESH1063" s="989"/>
      <c r="ESI1063" s="989"/>
      <c r="ESJ1063" s="989"/>
      <c r="ESK1063" s="989"/>
      <c r="ESL1063" s="989"/>
      <c r="ESM1063" s="989"/>
      <c r="ESN1063" s="989"/>
      <c r="ESO1063" s="989"/>
      <c r="ESP1063" s="989"/>
      <c r="ESQ1063" s="989"/>
      <c r="ESR1063" s="989"/>
      <c r="ESS1063" s="989"/>
      <c r="EST1063" s="989"/>
      <c r="ESU1063" s="989"/>
      <c r="ESV1063" s="989"/>
      <c r="ESW1063" s="989"/>
      <c r="ESX1063" s="989"/>
      <c r="ESY1063" s="989"/>
      <c r="ESZ1063" s="989"/>
      <c r="ETA1063" s="989"/>
      <c r="ETB1063" s="989"/>
      <c r="ETC1063" s="989"/>
      <c r="ETD1063" s="989"/>
      <c r="ETE1063" s="989"/>
      <c r="ETF1063" s="989"/>
      <c r="ETG1063" s="989"/>
      <c r="ETH1063" s="989"/>
      <c r="ETI1063" s="989"/>
      <c r="ETJ1063" s="989"/>
      <c r="ETK1063" s="989"/>
      <c r="ETL1063" s="989"/>
      <c r="ETM1063" s="989"/>
      <c r="ETN1063" s="989"/>
      <c r="ETO1063" s="989"/>
      <c r="ETP1063" s="989"/>
      <c r="ETQ1063" s="989"/>
      <c r="ETR1063" s="989"/>
      <c r="ETS1063" s="989"/>
      <c r="ETT1063" s="989"/>
      <c r="ETU1063" s="989"/>
      <c r="ETV1063" s="989"/>
      <c r="ETW1063" s="989"/>
      <c r="ETX1063" s="989"/>
      <c r="ETY1063" s="989"/>
      <c r="ETZ1063" s="989"/>
      <c r="EUA1063" s="989"/>
      <c r="EUB1063" s="989"/>
      <c r="EUC1063" s="989"/>
      <c r="EUD1063" s="989"/>
      <c r="EUE1063" s="989"/>
      <c r="EUF1063" s="989"/>
      <c r="EUG1063" s="989"/>
      <c r="EUH1063" s="989"/>
      <c r="EUI1063" s="989"/>
      <c r="EUJ1063" s="989"/>
      <c r="EUK1063" s="989"/>
      <c r="EUL1063" s="989"/>
      <c r="EUM1063" s="989"/>
      <c r="EUN1063" s="989"/>
      <c r="EUO1063" s="989"/>
      <c r="EUP1063" s="989"/>
      <c r="EUQ1063" s="989"/>
      <c r="EUR1063" s="989"/>
      <c r="EUS1063" s="989"/>
      <c r="EUT1063" s="989"/>
      <c r="EUU1063" s="989"/>
      <c r="EUV1063" s="989"/>
      <c r="EUW1063" s="989"/>
      <c r="EUX1063" s="989"/>
      <c r="EUY1063" s="989"/>
      <c r="EUZ1063" s="989"/>
      <c r="EVA1063" s="989"/>
      <c r="EVB1063" s="989"/>
      <c r="EVC1063" s="989"/>
      <c r="EVD1063" s="989"/>
      <c r="EVE1063" s="989"/>
      <c r="EVF1063" s="989"/>
      <c r="EVG1063" s="989"/>
      <c r="EVH1063" s="989"/>
      <c r="EVI1063" s="989"/>
      <c r="EVJ1063" s="989"/>
      <c r="EVK1063" s="989"/>
      <c r="EVL1063" s="989"/>
      <c r="EVM1063" s="989"/>
      <c r="EVN1063" s="989"/>
      <c r="EVO1063" s="989"/>
      <c r="EVP1063" s="989"/>
      <c r="EVQ1063" s="989"/>
      <c r="EVR1063" s="989"/>
      <c r="EVS1063" s="989"/>
      <c r="EVT1063" s="989"/>
      <c r="EVU1063" s="989"/>
      <c r="EVV1063" s="989"/>
      <c r="EVW1063" s="989"/>
      <c r="EVX1063" s="989"/>
      <c r="EVY1063" s="989"/>
      <c r="EVZ1063" s="989"/>
      <c r="EWA1063" s="989"/>
      <c r="EWB1063" s="989"/>
      <c r="EWC1063" s="989"/>
      <c r="EWD1063" s="989"/>
      <c r="EWE1063" s="989"/>
      <c r="EWF1063" s="989"/>
      <c r="EWG1063" s="989"/>
      <c r="EWH1063" s="989"/>
      <c r="EWI1063" s="989"/>
      <c r="EWJ1063" s="989"/>
      <c r="EWK1063" s="989"/>
      <c r="EWL1063" s="989"/>
      <c r="EWM1063" s="989"/>
      <c r="EWN1063" s="989"/>
      <c r="EWO1063" s="989"/>
      <c r="EWP1063" s="989"/>
      <c r="EWQ1063" s="989"/>
      <c r="EWR1063" s="989"/>
      <c r="EWS1063" s="989"/>
      <c r="EWT1063" s="989"/>
      <c r="EWU1063" s="989"/>
      <c r="EWV1063" s="989"/>
      <c r="EWW1063" s="989"/>
      <c r="EWX1063" s="989"/>
      <c r="EWY1063" s="989"/>
      <c r="EWZ1063" s="989"/>
      <c r="EXA1063" s="989"/>
      <c r="EXB1063" s="989"/>
      <c r="EXC1063" s="989"/>
      <c r="EXD1063" s="989"/>
      <c r="EXE1063" s="989"/>
      <c r="EXF1063" s="989"/>
      <c r="EXG1063" s="989"/>
      <c r="EXH1063" s="989"/>
      <c r="EXI1063" s="989"/>
      <c r="EXJ1063" s="989"/>
      <c r="EXK1063" s="989"/>
      <c r="EXL1063" s="989"/>
      <c r="EXM1063" s="989"/>
      <c r="EXN1063" s="989"/>
      <c r="EXO1063" s="989"/>
      <c r="EXP1063" s="989"/>
      <c r="EXQ1063" s="989"/>
      <c r="EXR1063" s="989"/>
      <c r="EXS1063" s="989"/>
      <c r="EXT1063" s="989"/>
      <c r="EXU1063" s="989"/>
      <c r="EXV1063" s="989"/>
      <c r="EXW1063" s="989"/>
      <c r="EXX1063" s="989"/>
      <c r="EXY1063" s="989"/>
      <c r="EXZ1063" s="989"/>
      <c r="EYA1063" s="989"/>
      <c r="EYB1063" s="989"/>
      <c r="EYC1063" s="989"/>
      <c r="EYD1063" s="989"/>
      <c r="EYE1063" s="989"/>
      <c r="EYF1063" s="989"/>
      <c r="EYG1063" s="989"/>
      <c r="EYH1063" s="989"/>
      <c r="EYI1063" s="989"/>
      <c r="EYJ1063" s="989"/>
      <c r="EYK1063" s="989"/>
      <c r="EYL1063" s="989"/>
      <c r="EYM1063" s="989"/>
      <c r="EYN1063" s="989"/>
      <c r="EYO1063" s="989"/>
      <c r="EYP1063" s="989"/>
      <c r="EYQ1063" s="989"/>
      <c r="EYR1063" s="989"/>
      <c r="EYS1063" s="989"/>
      <c r="EYT1063" s="989"/>
      <c r="EYU1063" s="989"/>
      <c r="EYV1063" s="989"/>
      <c r="EYW1063" s="989"/>
      <c r="EYX1063" s="989"/>
      <c r="EYY1063" s="989"/>
      <c r="EYZ1063" s="989"/>
      <c r="EZA1063" s="989"/>
      <c r="EZB1063" s="989"/>
      <c r="EZC1063" s="989"/>
      <c r="EZD1063" s="989"/>
      <c r="EZE1063" s="989"/>
      <c r="EZF1063" s="989"/>
      <c r="EZG1063" s="989"/>
      <c r="EZH1063" s="989"/>
      <c r="EZI1063" s="989"/>
      <c r="EZJ1063" s="989"/>
      <c r="EZK1063" s="989"/>
      <c r="EZL1063" s="989"/>
      <c r="EZM1063" s="989"/>
      <c r="EZN1063" s="989"/>
      <c r="EZO1063" s="989"/>
      <c r="EZP1063" s="989"/>
      <c r="EZQ1063" s="989"/>
      <c r="EZR1063" s="989"/>
      <c r="EZS1063" s="989"/>
      <c r="EZT1063" s="989"/>
      <c r="EZU1063" s="989"/>
      <c r="EZV1063" s="989"/>
      <c r="EZW1063" s="989"/>
      <c r="EZX1063" s="989"/>
      <c r="EZY1063" s="989"/>
      <c r="EZZ1063" s="989"/>
      <c r="FAA1063" s="989"/>
      <c r="FAB1063" s="989"/>
      <c r="FAC1063" s="989"/>
      <c r="FAD1063" s="989"/>
      <c r="FAE1063" s="989"/>
      <c r="FAF1063" s="989"/>
      <c r="FAG1063" s="989"/>
      <c r="FAH1063" s="989"/>
      <c r="FAI1063" s="989"/>
      <c r="FAJ1063" s="989"/>
      <c r="FAK1063" s="989"/>
      <c r="FAL1063" s="989"/>
      <c r="FAM1063" s="989"/>
      <c r="FAN1063" s="989"/>
      <c r="FAO1063" s="989"/>
      <c r="FAP1063" s="989"/>
      <c r="FAQ1063" s="989"/>
      <c r="FAR1063" s="989"/>
      <c r="FAS1063" s="989"/>
      <c r="FAT1063" s="989"/>
      <c r="FAU1063" s="989"/>
      <c r="FAV1063" s="989"/>
      <c r="FAW1063" s="989"/>
      <c r="FAX1063" s="989"/>
      <c r="FAY1063" s="989"/>
      <c r="FAZ1063" s="989"/>
      <c r="FBA1063" s="989"/>
      <c r="FBB1063" s="989"/>
      <c r="FBC1063" s="989"/>
      <c r="FBD1063" s="989"/>
      <c r="FBE1063" s="989"/>
      <c r="FBF1063" s="989"/>
      <c r="FBG1063" s="989"/>
      <c r="FBH1063" s="989"/>
      <c r="FBI1063" s="989"/>
      <c r="FBJ1063" s="989"/>
      <c r="FBK1063" s="989"/>
      <c r="FBL1063" s="989"/>
      <c r="FBM1063" s="989"/>
      <c r="FBN1063" s="989"/>
      <c r="FBO1063" s="989"/>
      <c r="FBP1063" s="989"/>
      <c r="FBQ1063" s="989"/>
      <c r="FBR1063" s="989"/>
      <c r="FBS1063" s="989"/>
      <c r="FBT1063" s="989"/>
      <c r="FBU1063" s="989"/>
      <c r="FBV1063" s="989"/>
      <c r="FBW1063" s="989"/>
      <c r="FBX1063" s="989"/>
      <c r="FBY1063" s="989"/>
      <c r="FBZ1063" s="989"/>
      <c r="FCA1063" s="989"/>
      <c r="FCB1063" s="989"/>
      <c r="FCC1063" s="989"/>
      <c r="FCD1063" s="989"/>
      <c r="FCE1063" s="989"/>
      <c r="FCF1063" s="989"/>
      <c r="FCG1063" s="989"/>
      <c r="FCH1063" s="989"/>
      <c r="FCI1063" s="989"/>
      <c r="FCJ1063" s="989"/>
      <c r="FCK1063" s="989"/>
      <c r="FCL1063" s="989"/>
      <c r="FCM1063" s="989"/>
      <c r="FCN1063" s="989"/>
      <c r="FCO1063" s="989"/>
      <c r="FCP1063" s="989"/>
      <c r="FCQ1063" s="989"/>
      <c r="FCR1063" s="989"/>
      <c r="FCS1063" s="989"/>
      <c r="FCT1063" s="989"/>
      <c r="FCU1063" s="989"/>
      <c r="FCV1063" s="989"/>
      <c r="FCW1063" s="989"/>
      <c r="FCX1063" s="989"/>
      <c r="FCY1063" s="989"/>
      <c r="FCZ1063" s="989"/>
      <c r="FDA1063" s="989"/>
      <c r="FDB1063" s="989"/>
      <c r="FDC1063" s="989"/>
      <c r="FDD1063" s="989"/>
      <c r="FDE1063" s="989"/>
      <c r="FDF1063" s="989"/>
      <c r="FDG1063" s="989"/>
      <c r="FDH1063" s="989"/>
      <c r="FDI1063" s="989"/>
      <c r="FDJ1063" s="989"/>
      <c r="FDK1063" s="989"/>
      <c r="FDL1063" s="989"/>
      <c r="FDM1063" s="989"/>
      <c r="FDN1063" s="989"/>
      <c r="FDO1063" s="989"/>
      <c r="FDP1063" s="989"/>
      <c r="FDQ1063" s="989"/>
      <c r="FDR1063" s="989"/>
      <c r="FDS1063" s="989"/>
      <c r="FDT1063" s="989"/>
      <c r="FDU1063" s="989"/>
      <c r="FDV1063" s="989"/>
      <c r="FDW1063" s="989"/>
      <c r="FDX1063" s="989"/>
      <c r="FDY1063" s="989"/>
      <c r="FDZ1063" s="989"/>
      <c r="FEA1063" s="989"/>
      <c r="FEB1063" s="989"/>
      <c r="FEC1063" s="989"/>
      <c r="FED1063" s="989"/>
      <c r="FEE1063" s="989"/>
      <c r="FEF1063" s="989"/>
      <c r="FEG1063" s="989"/>
      <c r="FEH1063" s="989"/>
      <c r="FEI1063" s="989"/>
      <c r="FEJ1063" s="989"/>
      <c r="FEK1063" s="989"/>
      <c r="FEL1063" s="989"/>
      <c r="FEM1063" s="989"/>
      <c r="FEN1063" s="989"/>
      <c r="FEO1063" s="989"/>
      <c r="FEP1063" s="989"/>
      <c r="FEQ1063" s="989"/>
      <c r="FER1063" s="989"/>
      <c r="FES1063" s="989"/>
      <c r="FET1063" s="989"/>
      <c r="FEU1063" s="989"/>
      <c r="FEV1063" s="989"/>
      <c r="FEW1063" s="989"/>
      <c r="FEX1063" s="989"/>
      <c r="FEY1063" s="989"/>
      <c r="FEZ1063" s="989"/>
      <c r="FFA1063" s="989"/>
      <c r="FFB1063" s="989"/>
      <c r="FFC1063" s="989"/>
      <c r="FFD1063" s="989"/>
      <c r="FFE1063" s="989"/>
      <c r="FFF1063" s="989"/>
      <c r="FFG1063" s="989"/>
      <c r="FFH1063" s="989"/>
      <c r="FFI1063" s="989"/>
      <c r="FFJ1063" s="989"/>
      <c r="FFK1063" s="989"/>
      <c r="FFL1063" s="989"/>
      <c r="FFM1063" s="989"/>
      <c r="FFN1063" s="989"/>
      <c r="FFO1063" s="989"/>
      <c r="FFP1063" s="989"/>
      <c r="FFQ1063" s="989"/>
      <c r="FFR1063" s="989"/>
      <c r="FFS1063" s="989"/>
      <c r="FFT1063" s="989"/>
      <c r="FFU1063" s="989"/>
      <c r="FFV1063" s="989"/>
      <c r="FFW1063" s="989"/>
      <c r="FFX1063" s="989"/>
      <c r="FFY1063" s="989"/>
      <c r="FFZ1063" s="989"/>
      <c r="FGA1063" s="989"/>
      <c r="FGB1063" s="989"/>
      <c r="FGC1063" s="989"/>
      <c r="FGD1063" s="989"/>
      <c r="FGE1063" s="989"/>
      <c r="FGF1063" s="989"/>
      <c r="FGG1063" s="989"/>
      <c r="FGH1063" s="989"/>
      <c r="FGI1063" s="989"/>
      <c r="FGJ1063" s="989"/>
      <c r="FGK1063" s="989"/>
      <c r="FGL1063" s="989"/>
      <c r="FGM1063" s="989"/>
      <c r="FGN1063" s="989"/>
      <c r="FGO1063" s="989"/>
      <c r="FGP1063" s="989"/>
      <c r="FGQ1063" s="989"/>
      <c r="FGR1063" s="989"/>
      <c r="FGS1063" s="989"/>
      <c r="FGT1063" s="989"/>
      <c r="FGU1063" s="989"/>
      <c r="FGV1063" s="989"/>
      <c r="FGW1063" s="989"/>
      <c r="FGX1063" s="989"/>
      <c r="FGY1063" s="989"/>
      <c r="FGZ1063" s="989"/>
      <c r="FHA1063" s="989"/>
      <c r="FHB1063" s="989"/>
      <c r="FHC1063" s="989"/>
      <c r="FHD1063" s="989"/>
      <c r="FHE1063" s="989"/>
      <c r="FHF1063" s="989"/>
      <c r="FHG1063" s="989"/>
      <c r="FHH1063" s="989"/>
      <c r="FHI1063" s="989"/>
      <c r="FHJ1063" s="989"/>
      <c r="FHK1063" s="989"/>
      <c r="FHL1063" s="989"/>
      <c r="FHM1063" s="989"/>
      <c r="FHN1063" s="989"/>
      <c r="FHO1063" s="989"/>
      <c r="FHP1063" s="989"/>
      <c r="FHQ1063" s="989"/>
      <c r="FHR1063" s="989"/>
      <c r="FHS1063" s="989"/>
      <c r="FHT1063" s="989"/>
      <c r="FHU1063" s="989"/>
      <c r="FHV1063" s="989"/>
      <c r="FHW1063" s="989"/>
      <c r="FHX1063" s="989"/>
      <c r="FHY1063" s="989"/>
      <c r="FHZ1063" s="989"/>
      <c r="FIA1063" s="989"/>
      <c r="FIB1063" s="989"/>
      <c r="FIC1063" s="989"/>
      <c r="FID1063" s="989"/>
      <c r="FIE1063" s="989"/>
      <c r="FIF1063" s="989"/>
      <c r="FIG1063" s="989"/>
      <c r="FIH1063" s="989"/>
      <c r="FII1063" s="989"/>
      <c r="FIJ1063" s="989"/>
      <c r="FIK1063" s="989"/>
      <c r="FIL1063" s="989"/>
      <c r="FIM1063" s="989"/>
      <c r="FIN1063" s="989"/>
      <c r="FIO1063" s="989"/>
      <c r="FIP1063" s="989"/>
      <c r="FIQ1063" s="989"/>
      <c r="FIR1063" s="989"/>
      <c r="FIS1063" s="989"/>
      <c r="FIT1063" s="989"/>
      <c r="FIU1063" s="989"/>
      <c r="FIV1063" s="989"/>
      <c r="FIW1063" s="989"/>
      <c r="FIX1063" s="989"/>
      <c r="FIY1063" s="989"/>
      <c r="FIZ1063" s="989"/>
      <c r="FJA1063" s="989"/>
      <c r="FJB1063" s="989"/>
      <c r="FJC1063" s="989"/>
      <c r="FJD1063" s="989"/>
      <c r="FJE1063" s="989"/>
      <c r="FJF1063" s="989"/>
      <c r="FJG1063" s="989"/>
      <c r="FJH1063" s="989"/>
      <c r="FJI1063" s="989"/>
      <c r="FJJ1063" s="989"/>
      <c r="FJK1063" s="989"/>
      <c r="FJL1063" s="989"/>
      <c r="FJM1063" s="989"/>
      <c r="FJN1063" s="989"/>
      <c r="FJO1063" s="989"/>
      <c r="FJP1063" s="989"/>
      <c r="FJQ1063" s="989"/>
      <c r="FJR1063" s="989"/>
      <c r="FJS1063" s="989"/>
      <c r="FJT1063" s="989"/>
      <c r="FJU1063" s="989"/>
      <c r="FJV1063" s="989"/>
      <c r="FJW1063" s="989"/>
      <c r="FJX1063" s="989"/>
      <c r="FJY1063" s="989"/>
      <c r="FJZ1063" s="989"/>
      <c r="FKA1063" s="989"/>
      <c r="FKB1063" s="989"/>
      <c r="FKC1063" s="989"/>
      <c r="FKD1063" s="989"/>
      <c r="FKE1063" s="989"/>
      <c r="FKF1063" s="989"/>
      <c r="FKG1063" s="989"/>
      <c r="FKH1063" s="989"/>
      <c r="FKI1063" s="989"/>
      <c r="FKJ1063" s="989"/>
      <c r="FKK1063" s="989"/>
      <c r="FKL1063" s="989"/>
      <c r="FKM1063" s="989"/>
      <c r="FKN1063" s="989"/>
      <c r="FKO1063" s="989"/>
      <c r="FKP1063" s="989"/>
      <c r="FKQ1063" s="989"/>
      <c r="FKR1063" s="989"/>
      <c r="FKS1063" s="989"/>
      <c r="FKT1063" s="989"/>
      <c r="FKU1063" s="989"/>
      <c r="FKV1063" s="989"/>
      <c r="FKW1063" s="989"/>
      <c r="FKX1063" s="989"/>
      <c r="FKY1063" s="989"/>
      <c r="FKZ1063" s="989"/>
      <c r="FLA1063" s="989"/>
      <c r="FLB1063" s="989"/>
      <c r="FLC1063" s="989"/>
      <c r="FLD1063" s="989"/>
      <c r="FLE1063" s="989"/>
      <c r="FLF1063" s="989"/>
      <c r="FLG1063" s="989"/>
      <c r="FLH1063" s="989"/>
      <c r="FLI1063" s="989"/>
      <c r="FLJ1063" s="989"/>
      <c r="FLK1063" s="989"/>
      <c r="FLL1063" s="989"/>
      <c r="FLM1063" s="989"/>
      <c r="FLN1063" s="989"/>
      <c r="FLO1063" s="989"/>
      <c r="FLP1063" s="989"/>
      <c r="FLQ1063" s="989"/>
      <c r="FLR1063" s="989"/>
      <c r="FLS1063" s="989"/>
      <c r="FLT1063" s="989"/>
      <c r="FLU1063" s="989"/>
      <c r="FLV1063" s="989"/>
      <c r="FLW1063" s="989"/>
      <c r="FLX1063" s="989"/>
      <c r="FLY1063" s="989"/>
      <c r="FLZ1063" s="989"/>
      <c r="FMA1063" s="989"/>
      <c r="FMB1063" s="989"/>
      <c r="FMC1063" s="989"/>
      <c r="FMD1063" s="989"/>
      <c r="FME1063" s="989"/>
      <c r="FMF1063" s="989"/>
      <c r="FMG1063" s="989"/>
      <c r="FMH1063" s="989"/>
      <c r="FMI1063" s="989"/>
      <c r="FMJ1063" s="989"/>
      <c r="FMK1063" s="989"/>
      <c r="FML1063" s="989"/>
      <c r="FMM1063" s="989"/>
      <c r="FMN1063" s="989"/>
      <c r="FMO1063" s="989"/>
      <c r="FMP1063" s="989"/>
      <c r="FMQ1063" s="989"/>
      <c r="FMR1063" s="989"/>
      <c r="FMS1063" s="989"/>
      <c r="FMT1063" s="989"/>
      <c r="FMU1063" s="989"/>
      <c r="FMV1063" s="989"/>
      <c r="FMW1063" s="989"/>
      <c r="FMX1063" s="989"/>
      <c r="FMY1063" s="989"/>
      <c r="FMZ1063" s="989"/>
      <c r="FNA1063" s="989"/>
      <c r="FNB1063" s="989"/>
      <c r="FNC1063" s="989"/>
      <c r="FND1063" s="989"/>
      <c r="FNE1063" s="989"/>
      <c r="FNF1063" s="989"/>
      <c r="FNG1063" s="989"/>
      <c r="FNH1063" s="989"/>
      <c r="FNI1063" s="989"/>
      <c r="FNJ1063" s="989"/>
      <c r="FNK1063" s="989"/>
      <c r="FNL1063" s="989"/>
      <c r="FNM1063" s="989"/>
      <c r="FNN1063" s="989"/>
      <c r="FNO1063" s="989"/>
      <c r="FNP1063" s="989"/>
      <c r="FNQ1063" s="989"/>
      <c r="FNR1063" s="989"/>
      <c r="FNS1063" s="989"/>
      <c r="FNT1063" s="989"/>
      <c r="FNU1063" s="989"/>
      <c r="FNV1063" s="989"/>
      <c r="FNW1063" s="989"/>
      <c r="FNX1063" s="989"/>
      <c r="FNY1063" s="989"/>
      <c r="FNZ1063" s="989"/>
      <c r="FOA1063" s="989"/>
      <c r="FOB1063" s="989"/>
      <c r="FOC1063" s="989"/>
      <c r="FOD1063" s="989"/>
      <c r="FOE1063" s="989"/>
      <c r="FOF1063" s="989"/>
      <c r="FOG1063" s="989"/>
      <c r="FOH1063" s="989"/>
      <c r="FOI1063" s="989"/>
      <c r="FOJ1063" s="989"/>
      <c r="FOK1063" s="989"/>
      <c r="FOL1063" s="989"/>
      <c r="FOM1063" s="989"/>
      <c r="FON1063" s="989"/>
      <c r="FOO1063" s="989"/>
      <c r="FOP1063" s="989"/>
      <c r="FOQ1063" s="989"/>
      <c r="FOR1063" s="989"/>
      <c r="FOS1063" s="989"/>
      <c r="FOT1063" s="989"/>
      <c r="FOU1063" s="989"/>
      <c r="FOV1063" s="989"/>
      <c r="FOW1063" s="989"/>
      <c r="FOX1063" s="989"/>
      <c r="FOY1063" s="989"/>
      <c r="FOZ1063" s="989"/>
      <c r="FPA1063" s="989"/>
      <c r="FPB1063" s="989"/>
      <c r="FPC1063" s="989"/>
      <c r="FPD1063" s="989"/>
      <c r="FPE1063" s="989"/>
      <c r="FPF1063" s="989"/>
      <c r="FPG1063" s="989"/>
      <c r="FPH1063" s="989"/>
      <c r="FPI1063" s="989"/>
      <c r="FPJ1063" s="989"/>
      <c r="FPK1063" s="989"/>
      <c r="FPL1063" s="989"/>
      <c r="FPM1063" s="989"/>
      <c r="FPN1063" s="989"/>
      <c r="FPO1063" s="989"/>
      <c r="FPP1063" s="989"/>
      <c r="FPQ1063" s="989"/>
      <c r="FPR1063" s="989"/>
      <c r="FPS1063" s="989"/>
      <c r="FPT1063" s="989"/>
      <c r="FPU1063" s="989"/>
      <c r="FPV1063" s="989"/>
      <c r="FPW1063" s="989"/>
      <c r="FPX1063" s="989"/>
      <c r="FPY1063" s="989"/>
      <c r="FPZ1063" s="989"/>
      <c r="FQA1063" s="989"/>
      <c r="FQB1063" s="989"/>
      <c r="FQC1063" s="989"/>
      <c r="FQD1063" s="989"/>
      <c r="FQE1063" s="989"/>
      <c r="FQF1063" s="989"/>
      <c r="FQG1063" s="989"/>
      <c r="FQH1063" s="989"/>
      <c r="FQI1063" s="989"/>
      <c r="FQJ1063" s="989"/>
      <c r="FQK1063" s="989"/>
      <c r="FQL1063" s="989"/>
      <c r="FQM1063" s="989"/>
      <c r="FQN1063" s="989"/>
      <c r="FQO1063" s="989"/>
      <c r="FQP1063" s="989"/>
      <c r="FQQ1063" s="989"/>
      <c r="FQR1063" s="989"/>
      <c r="FQS1063" s="989"/>
      <c r="FQT1063" s="989"/>
      <c r="FQU1063" s="989"/>
      <c r="FQV1063" s="989"/>
      <c r="FQW1063" s="989"/>
      <c r="FQX1063" s="989"/>
      <c r="FQY1063" s="989"/>
      <c r="FQZ1063" s="989"/>
      <c r="FRA1063" s="989"/>
      <c r="FRB1063" s="989"/>
      <c r="FRC1063" s="989"/>
      <c r="FRD1063" s="989"/>
      <c r="FRE1063" s="989"/>
      <c r="FRF1063" s="989"/>
      <c r="FRG1063" s="989"/>
      <c r="FRH1063" s="989"/>
      <c r="FRI1063" s="989"/>
      <c r="FRJ1063" s="989"/>
      <c r="FRK1063" s="989"/>
      <c r="FRL1063" s="989"/>
      <c r="FRM1063" s="989"/>
      <c r="FRN1063" s="989"/>
      <c r="FRO1063" s="989"/>
      <c r="FRP1063" s="989"/>
      <c r="FRQ1063" s="989"/>
      <c r="FRR1063" s="989"/>
      <c r="FRS1063" s="989"/>
      <c r="FRT1063" s="989"/>
      <c r="FRU1063" s="989"/>
      <c r="FRV1063" s="989"/>
      <c r="FRW1063" s="989"/>
      <c r="FRX1063" s="989"/>
      <c r="FRY1063" s="989"/>
      <c r="FRZ1063" s="989"/>
      <c r="FSA1063" s="989"/>
      <c r="FSB1063" s="989"/>
      <c r="FSC1063" s="989"/>
      <c r="FSD1063" s="989"/>
      <c r="FSE1063" s="989"/>
      <c r="FSF1063" s="989"/>
      <c r="FSG1063" s="989"/>
      <c r="FSH1063" s="989"/>
      <c r="FSI1063" s="989"/>
      <c r="FSJ1063" s="989"/>
      <c r="FSK1063" s="989"/>
      <c r="FSL1063" s="989"/>
      <c r="FSM1063" s="989"/>
      <c r="FSN1063" s="989"/>
      <c r="FSO1063" s="989"/>
      <c r="FSP1063" s="989"/>
      <c r="FSQ1063" s="989"/>
      <c r="FSR1063" s="989"/>
      <c r="FSS1063" s="989"/>
      <c r="FST1063" s="989"/>
      <c r="FSU1063" s="989"/>
      <c r="FSV1063" s="989"/>
      <c r="FSW1063" s="989"/>
      <c r="FSX1063" s="989"/>
      <c r="FSY1063" s="989"/>
      <c r="FSZ1063" s="989"/>
      <c r="FTA1063" s="989"/>
      <c r="FTB1063" s="989"/>
      <c r="FTC1063" s="989"/>
      <c r="FTD1063" s="989"/>
      <c r="FTE1063" s="989"/>
      <c r="FTF1063" s="989"/>
      <c r="FTG1063" s="989"/>
      <c r="FTH1063" s="989"/>
      <c r="FTI1063" s="989"/>
      <c r="FTJ1063" s="989"/>
      <c r="FTK1063" s="989"/>
      <c r="FTL1063" s="989"/>
      <c r="FTM1063" s="989"/>
      <c r="FTN1063" s="989"/>
      <c r="FTO1063" s="989"/>
      <c r="FTP1063" s="989"/>
      <c r="FTQ1063" s="989"/>
      <c r="FTR1063" s="989"/>
      <c r="FTS1063" s="989"/>
      <c r="FTT1063" s="989"/>
      <c r="FTU1063" s="989"/>
      <c r="FTV1063" s="989"/>
      <c r="FTW1063" s="989"/>
      <c r="FTX1063" s="989"/>
      <c r="FTY1063" s="989"/>
      <c r="FTZ1063" s="989"/>
      <c r="FUA1063" s="989"/>
      <c r="FUB1063" s="989"/>
      <c r="FUC1063" s="989"/>
      <c r="FUD1063" s="989"/>
      <c r="FUE1063" s="989"/>
      <c r="FUF1063" s="989"/>
      <c r="FUG1063" s="989"/>
      <c r="FUH1063" s="989"/>
      <c r="FUI1063" s="989"/>
      <c r="FUJ1063" s="989"/>
      <c r="FUK1063" s="989"/>
      <c r="FUL1063" s="989"/>
      <c r="FUM1063" s="989"/>
      <c r="FUN1063" s="989"/>
      <c r="FUO1063" s="989"/>
      <c r="FUP1063" s="989"/>
      <c r="FUQ1063" s="989"/>
      <c r="FUR1063" s="989"/>
      <c r="FUS1063" s="989"/>
      <c r="FUT1063" s="989"/>
      <c r="FUU1063" s="989"/>
      <c r="FUV1063" s="989"/>
      <c r="FUW1063" s="989"/>
      <c r="FUX1063" s="989"/>
      <c r="FUY1063" s="989"/>
      <c r="FUZ1063" s="989"/>
      <c r="FVA1063" s="989"/>
      <c r="FVB1063" s="989"/>
      <c r="FVC1063" s="989"/>
      <c r="FVD1063" s="989"/>
      <c r="FVE1063" s="989"/>
      <c r="FVF1063" s="989"/>
      <c r="FVG1063" s="989"/>
      <c r="FVH1063" s="989"/>
      <c r="FVI1063" s="989"/>
      <c r="FVJ1063" s="989"/>
      <c r="FVK1063" s="989"/>
      <c r="FVL1063" s="989"/>
      <c r="FVM1063" s="989"/>
      <c r="FVN1063" s="989"/>
      <c r="FVO1063" s="989"/>
      <c r="FVP1063" s="989"/>
      <c r="FVQ1063" s="989"/>
      <c r="FVR1063" s="989"/>
      <c r="FVS1063" s="989"/>
      <c r="FVT1063" s="989"/>
      <c r="FVU1063" s="989"/>
      <c r="FVV1063" s="989"/>
      <c r="FVW1063" s="989"/>
      <c r="FVX1063" s="989"/>
      <c r="FVY1063" s="989"/>
      <c r="FVZ1063" s="989"/>
      <c r="FWA1063" s="989"/>
      <c r="FWB1063" s="989"/>
      <c r="FWC1063" s="989"/>
      <c r="FWD1063" s="989"/>
      <c r="FWE1063" s="989"/>
      <c r="FWF1063" s="989"/>
      <c r="FWG1063" s="989"/>
      <c r="FWH1063" s="989"/>
      <c r="FWI1063" s="989"/>
      <c r="FWJ1063" s="989"/>
      <c r="FWK1063" s="989"/>
      <c r="FWL1063" s="989"/>
      <c r="FWM1063" s="989"/>
      <c r="FWN1063" s="989"/>
      <c r="FWO1063" s="989"/>
      <c r="FWP1063" s="989"/>
      <c r="FWQ1063" s="989"/>
      <c r="FWR1063" s="989"/>
      <c r="FWS1063" s="989"/>
      <c r="FWT1063" s="989"/>
      <c r="FWU1063" s="989"/>
      <c r="FWV1063" s="989"/>
      <c r="FWW1063" s="989"/>
      <c r="FWX1063" s="989"/>
      <c r="FWY1063" s="989"/>
      <c r="FWZ1063" s="989"/>
      <c r="FXA1063" s="989"/>
      <c r="FXB1063" s="989"/>
      <c r="FXC1063" s="989"/>
      <c r="FXD1063" s="989"/>
      <c r="FXE1063" s="989"/>
      <c r="FXF1063" s="989"/>
      <c r="FXG1063" s="989"/>
      <c r="FXH1063" s="989"/>
      <c r="FXI1063" s="989"/>
      <c r="FXJ1063" s="989"/>
      <c r="FXK1063" s="989"/>
      <c r="FXL1063" s="989"/>
      <c r="FXM1063" s="989"/>
      <c r="FXN1063" s="989"/>
      <c r="FXO1063" s="989"/>
      <c r="FXP1063" s="989"/>
      <c r="FXQ1063" s="989"/>
      <c r="FXR1063" s="989"/>
      <c r="FXS1063" s="989"/>
      <c r="FXT1063" s="989"/>
      <c r="FXU1063" s="989"/>
      <c r="FXV1063" s="989"/>
      <c r="FXW1063" s="989"/>
      <c r="FXX1063" s="989"/>
      <c r="FXY1063" s="989"/>
      <c r="FXZ1063" s="989"/>
      <c r="FYA1063" s="989"/>
      <c r="FYB1063" s="989"/>
      <c r="FYC1063" s="989"/>
      <c r="FYD1063" s="989"/>
      <c r="FYE1063" s="989"/>
      <c r="FYF1063" s="989"/>
      <c r="FYG1063" s="989"/>
      <c r="FYH1063" s="989"/>
      <c r="FYI1063" s="989"/>
      <c r="FYJ1063" s="989"/>
      <c r="FYK1063" s="989"/>
      <c r="FYL1063" s="989"/>
      <c r="FYM1063" s="989"/>
      <c r="FYN1063" s="989"/>
      <c r="FYO1063" s="989"/>
      <c r="FYP1063" s="989"/>
      <c r="FYQ1063" s="989"/>
      <c r="FYR1063" s="989"/>
      <c r="FYS1063" s="989"/>
      <c r="FYT1063" s="989"/>
      <c r="FYU1063" s="989"/>
      <c r="FYV1063" s="989"/>
      <c r="FYW1063" s="989"/>
      <c r="FYX1063" s="989"/>
      <c r="FYY1063" s="989"/>
      <c r="FYZ1063" s="989"/>
      <c r="FZA1063" s="989"/>
      <c r="FZB1063" s="989"/>
      <c r="FZC1063" s="989"/>
      <c r="FZD1063" s="989"/>
      <c r="FZE1063" s="989"/>
      <c r="FZF1063" s="989"/>
      <c r="FZG1063" s="989"/>
      <c r="FZH1063" s="989"/>
      <c r="FZI1063" s="989"/>
      <c r="FZJ1063" s="989"/>
      <c r="FZK1063" s="989"/>
      <c r="FZL1063" s="989"/>
      <c r="FZM1063" s="989"/>
      <c r="FZN1063" s="989"/>
      <c r="FZO1063" s="989"/>
      <c r="FZP1063" s="989"/>
      <c r="FZQ1063" s="989"/>
      <c r="FZR1063" s="989"/>
      <c r="FZS1063" s="989"/>
      <c r="FZT1063" s="989"/>
      <c r="FZU1063" s="989"/>
      <c r="FZV1063" s="989"/>
      <c r="FZW1063" s="989"/>
      <c r="FZX1063" s="989"/>
      <c r="FZY1063" s="989"/>
      <c r="FZZ1063" s="989"/>
      <c r="GAA1063" s="989"/>
      <c r="GAB1063" s="989"/>
      <c r="GAC1063" s="989"/>
      <c r="GAD1063" s="989"/>
      <c r="GAE1063" s="989"/>
      <c r="GAF1063" s="989"/>
      <c r="GAG1063" s="989"/>
      <c r="GAH1063" s="989"/>
      <c r="GAI1063" s="989"/>
      <c r="GAJ1063" s="989"/>
      <c r="GAK1063" s="989"/>
      <c r="GAL1063" s="989"/>
      <c r="GAM1063" s="989"/>
      <c r="GAN1063" s="989"/>
      <c r="GAO1063" s="989"/>
      <c r="GAP1063" s="989"/>
      <c r="GAQ1063" s="989"/>
      <c r="GAR1063" s="989"/>
      <c r="GAS1063" s="989"/>
      <c r="GAT1063" s="989"/>
      <c r="GAU1063" s="989"/>
      <c r="GAV1063" s="989"/>
      <c r="GAW1063" s="989"/>
      <c r="GAX1063" s="989"/>
      <c r="GAY1063" s="989"/>
      <c r="GAZ1063" s="989"/>
      <c r="GBA1063" s="989"/>
      <c r="GBB1063" s="989"/>
      <c r="GBC1063" s="989"/>
      <c r="GBD1063" s="989"/>
      <c r="GBE1063" s="989"/>
      <c r="GBF1063" s="989"/>
      <c r="GBG1063" s="989"/>
      <c r="GBH1063" s="989"/>
      <c r="GBI1063" s="989"/>
      <c r="GBJ1063" s="989"/>
      <c r="GBK1063" s="989"/>
      <c r="GBL1063" s="989"/>
      <c r="GBM1063" s="989"/>
      <c r="GBN1063" s="989"/>
      <c r="GBO1063" s="989"/>
      <c r="GBP1063" s="989"/>
      <c r="GBQ1063" s="989"/>
      <c r="GBR1063" s="989"/>
      <c r="GBS1063" s="989"/>
      <c r="GBT1063" s="989"/>
      <c r="GBU1063" s="989"/>
      <c r="GBV1063" s="989"/>
      <c r="GBW1063" s="989"/>
      <c r="GBX1063" s="989"/>
      <c r="GBY1063" s="989"/>
      <c r="GBZ1063" s="989"/>
      <c r="GCA1063" s="989"/>
      <c r="GCB1063" s="989"/>
      <c r="GCC1063" s="989"/>
      <c r="GCD1063" s="989"/>
      <c r="GCE1063" s="989"/>
      <c r="GCF1063" s="989"/>
      <c r="GCG1063" s="989"/>
      <c r="GCH1063" s="989"/>
      <c r="GCI1063" s="989"/>
      <c r="GCJ1063" s="989"/>
      <c r="GCK1063" s="989"/>
      <c r="GCL1063" s="989"/>
      <c r="GCM1063" s="989"/>
      <c r="GCN1063" s="989"/>
      <c r="GCO1063" s="989"/>
      <c r="GCP1063" s="989"/>
      <c r="GCQ1063" s="989"/>
      <c r="GCR1063" s="989"/>
      <c r="GCS1063" s="989"/>
      <c r="GCT1063" s="989"/>
      <c r="GCU1063" s="989"/>
      <c r="GCV1063" s="989"/>
      <c r="GCW1063" s="989"/>
      <c r="GCX1063" s="989"/>
      <c r="GCY1063" s="989"/>
      <c r="GCZ1063" s="989"/>
      <c r="GDA1063" s="989"/>
      <c r="GDB1063" s="989"/>
      <c r="GDC1063" s="989"/>
      <c r="GDD1063" s="989"/>
      <c r="GDE1063" s="989"/>
      <c r="GDF1063" s="989"/>
      <c r="GDG1063" s="989"/>
      <c r="GDH1063" s="989"/>
      <c r="GDI1063" s="989"/>
      <c r="GDJ1063" s="989"/>
      <c r="GDK1063" s="989"/>
      <c r="GDL1063" s="989"/>
      <c r="GDM1063" s="989"/>
      <c r="GDN1063" s="989"/>
      <c r="GDO1063" s="989"/>
      <c r="GDP1063" s="989"/>
      <c r="GDQ1063" s="989"/>
      <c r="GDR1063" s="989"/>
      <c r="GDS1063" s="989"/>
      <c r="GDT1063" s="989"/>
      <c r="GDU1063" s="989"/>
      <c r="GDV1063" s="989"/>
      <c r="GDW1063" s="989"/>
      <c r="GDX1063" s="989"/>
      <c r="GDY1063" s="989"/>
      <c r="GDZ1063" s="989"/>
      <c r="GEA1063" s="989"/>
      <c r="GEB1063" s="989"/>
      <c r="GEC1063" s="989"/>
      <c r="GED1063" s="989"/>
      <c r="GEE1063" s="989"/>
      <c r="GEF1063" s="989"/>
      <c r="GEG1063" s="989"/>
      <c r="GEH1063" s="989"/>
      <c r="GEI1063" s="989"/>
      <c r="GEJ1063" s="989"/>
      <c r="GEK1063" s="989"/>
      <c r="GEL1063" s="989"/>
      <c r="GEM1063" s="989"/>
      <c r="GEN1063" s="989"/>
      <c r="GEO1063" s="989"/>
      <c r="GEP1063" s="989"/>
      <c r="GEQ1063" s="989"/>
      <c r="GER1063" s="989"/>
      <c r="GES1063" s="989"/>
      <c r="GET1063" s="989"/>
      <c r="GEU1063" s="989"/>
      <c r="GEV1063" s="989"/>
      <c r="GEW1063" s="989"/>
      <c r="GEX1063" s="989"/>
      <c r="GEY1063" s="989"/>
      <c r="GEZ1063" s="989"/>
      <c r="GFA1063" s="989"/>
      <c r="GFB1063" s="989"/>
      <c r="GFC1063" s="989"/>
      <c r="GFD1063" s="989"/>
      <c r="GFE1063" s="989"/>
      <c r="GFF1063" s="989"/>
      <c r="GFG1063" s="989"/>
      <c r="GFH1063" s="989"/>
      <c r="GFI1063" s="989"/>
      <c r="GFJ1063" s="989"/>
      <c r="GFK1063" s="989"/>
      <c r="GFL1063" s="989"/>
      <c r="GFM1063" s="989"/>
      <c r="GFN1063" s="989"/>
      <c r="GFO1063" s="989"/>
      <c r="GFP1063" s="989"/>
      <c r="GFQ1063" s="989"/>
      <c r="GFR1063" s="989"/>
      <c r="GFS1063" s="989"/>
      <c r="GFT1063" s="989"/>
      <c r="GFU1063" s="989"/>
      <c r="GFV1063" s="989"/>
      <c r="GFW1063" s="989"/>
      <c r="GFX1063" s="989"/>
      <c r="GFY1063" s="989"/>
      <c r="GFZ1063" s="989"/>
      <c r="GGA1063" s="989"/>
      <c r="GGB1063" s="989"/>
      <c r="GGC1063" s="989"/>
      <c r="GGD1063" s="989"/>
      <c r="GGE1063" s="989"/>
      <c r="GGF1063" s="989"/>
      <c r="GGG1063" s="989"/>
      <c r="GGH1063" s="989"/>
      <c r="GGI1063" s="989"/>
      <c r="GGJ1063" s="989"/>
      <c r="GGK1063" s="989"/>
      <c r="GGL1063" s="989"/>
      <c r="GGM1063" s="989"/>
      <c r="GGN1063" s="989"/>
      <c r="GGO1063" s="989"/>
      <c r="GGP1063" s="989"/>
      <c r="GGQ1063" s="989"/>
      <c r="GGR1063" s="989"/>
      <c r="GGS1063" s="989"/>
      <c r="GGT1063" s="989"/>
      <c r="GGU1063" s="989"/>
      <c r="GGV1063" s="989"/>
      <c r="GGW1063" s="989"/>
      <c r="GGX1063" s="989"/>
      <c r="GGY1063" s="989"/>
      <c r="GGZ1063" s="989"/>
      <c r="GHA1063" s="989"/>
      <c r="GHB1063" s="989"/>
      <c r="GHC1063" s="989"/>
      <c r="GHD1063" s="989"/>
      <c r="GHE1063" s="989"/>
      <c r="GHF1063" s="989"/>
      <c r="GHG1063" s="989"/>
      <c r="GHH1063" s="989"/>
      <c r="GHI1063" s="989"/>
      <c r="GHJ1063" s="989"/>
      <c r="GHK1063" s="989"/>
      <c r="GHL1063" s="989"/>
      <c r="GHM1063" s="989"/>
      <c r="GHN1063" s="989"/>
      <c r="GHO1063" s="989"/>
      <c r="GHP1063" s="989"/>
      <c r="GHQ1063" s="989"/>
      <c r="GHR1063" s="989"/>
      <c r="GHS1063" s="989"/>
      <c r="GHT1063" s="989"/>
      <c r="GHU1063" s="989"/>
      <c r="GHV1063" s="989"/>
      <c r="GHW1063" s="989"/>
      <c r="GHX1063" s="989"/>
      <c r="GHY1063" s="989"/>
      <c r="GHZ1063" s="989"/>
      <c r="GIA1063" s="989"/>
      <c r="GIB1063" s="989"/>
      <c r="GIC1063" s="989"/>
      <c r="GID1063" s="989"/>
      <c r="GIE1063" s="989"/>
      <c r="GIF1063" s="989"/>
      <c r="GIG1063" s="989"/>
      <c r="GIH1063" s="989"/>
      <c r="GII1063" s="989"/>
      <c r="GIJ1063" s="989"/>
      <c r="GIK1063" s="989"/>
      <c r="GIL1063" s="989"/>
      <c r="GIM1063" s="989"/>
      <c r="GIN1063" s="989"/>
      <c r="GIO1063" s="989"/>
      <c r="GIP1063" s="989"/>
      <c r="GIQ1063" s="989"/>
      <c r="GIR1063" s="989"/>
      <c r="GIS1063" s="989"/>
      <c r="GIT1063" s="989"/>
      <c r="GIU1063" s="989"/>
      <c r="GIV1063" s="989"/>
      <c r="GIW1063" s="989"/>
      <c r="GIX1063" s="989"/>
      <c r="GIY1063" s="989"/>
      <c r="GIZ1063" s="989"/>
      <c r="GJA1063" s="989"/>
      <c r="GJB1063" s="989"/>
      <c r="GJC1063" s="989"/>
      <c r="GJD1063" s="989"/>
      <c r="GJE1063" s="989"/>
      <c r="GJF1063" s="989"/>
      <c r="GJG1063" s="989"/>
      <c r="GJH1063" s="989"/>
      <c r="GJI1063" s="989"/>
      <c r="GJJ1063" s="989"/>
      <c r="GJK1063" s="989"/>
      <c r="GJL1063" s="989"/>
      <c r="GJM1063" s="989"/>
      <c r="GJN1063" s="989"/>
      <c r="GJO1063" s="989"/>
      <c r="GJP1063" s="989"/>
      <c r="GJQ1063" s="989"/>
      <c r="GJR1063" s="989"/>
      <c r="GJS1063" s="989"/>
      <c r="GJT1063" s="989"/>
      <c r="GJU1063" s="989"/>
      <c r="GJV1063" s="989"/>
      <c r="GJW1063" s="989"/>
      <c r="GJX1063" s="989"/>
      <c r="GJY1063" s="989"/>
      <c r="GJZ1063" s="989"/>
      <c r="GKA1063" s="989"/>
      <c r="GKB1063" s="989"/>
      <c r="GKC1063" s="989"/>
      <c r="GKD1063" s="989"/>
      <c r="GKE1063" s="989"/>
      <c r="GKF1063" s="989"/>
      <c r="GKG1063" s="989"/>
      <c r="GKH1063" s="989"/>
      <c r="GKI1063" s="989"/>
      <c r="GKJ1063" s="989"/>
      <c r="GKK1063" s="989"/>
      <c r="GKL1063" s="989"/>
      <c r="GKM1063" s="989"/>
      <c r="GKN1063" s="989"/>
      <c r="GKO1063" s="989"/>
      <c r="GKP1063" s="989"/>
      <c r="GKQ1063" s="989"/>
      <c r="GKR1063" s="989"/>
      <c r="GKS1063" s="989"/>
      <c r="GKT1063" s="989"/>
      <c r="GKU1063" s="989"/>
      <c r="GKV1063" s="989"/>
      <c r="GKW1063" s="989"/>
      <c r="GKX1063" s="989"/>
      <c r="GKY1063" s="989"/>
      <c r="GKZ1063" s="989"/>
      <c r="GLA1063" s="989"/>
      <c r="GLB1063" s="989"/>
      <c r="GLC1063" s="989"/>
      <c r="GLD1063" s="989"/>
      <c r="GLE1063" s="989"/>
      <c r="GLF1063" s="989"/>
      <c r="GLG1063" s="989"/>
      <c r="GLH1063" s="989"/>
      <c r="GLI1063" s="989"/>
      <c r="GLJ1063" s="989"/>
      <c r="GLK1063" s="989"/>
      <c r="GLL1063" s="989"/>
      <c r="GLM1063" s="989"/>
      <c r="GLN1063" s="989"/>
      <c r="GLO1063" s="989"/>
      <c r="GLP1063" s="989"/>
      <c r="GLQ1063" s="989"/>
      <c r="GLR1063" s="989"/>
      <c r="GLS1063" s="989"/>
      <c r="GLT1063" s="989"/>
      <c r="GLU1063" s="989"/>
      <c r="GLV1063" s="989"/>
      <c r="GLW1063" s="989"/>
      <c r="GLX1063" s="989"/>
      <c r="GLY1063" s="989"/>
      <c r="GLZ1063" s="989"/>
      <c r="GMA1063" s="989"/>
      <c r="GMB1063" s="989"/>
      <c r="GMC1063" s="989"/>
      <c r="GMD1063" s="989"/>
      <c r="GME1063" s="989"/>
      <c r="GMF1063" s="989"/>
      <c r="GMG1063" s="989"/>
      <c r="GMH1063" s="989"/>
      <c r="GMI1063" s="989"/>
      <c r="GMJ1063" s="989"/>
      <c r="GMK1063" s="989"/>
      <c r="GML1063" s="989"/>
      <c r="GMM1063" s="989"/>
      <c r="GMN1063" s="989"/>
      <c r="GMO1063" s="989"/>
      <c r="GMP1063" s="989"/>
      <c r="GMQ1063" s="989"/>
      <c r="GMR1063" s="989"/>
      <c r="GMS1063" s="989"/>
      <c r="GMT1063" s="989"/>
      <c r="GMU1063" s="989"/>
      <c r="GMV1063" s="989"/>
      <c r="GMW1063" s="989"/>
      <c r="GMX1063" s="989"/>
      <c r="GMY1063" s="989"/>
      <c r="GMZ1063" s="989"/>
      <c r="GNA1063" s="989"/>
      <c r="GNB1063" s="989"/>
      <c r="GNC1063" s="989"/>
      <c r="GND1063" s="989"/>
      <c r="GNE1063" s="989"/>
      <c r="GNF1063" s="989"/>
      <c r="GNG1063" s="989"/>
      <c r="GNH1063" s="989"/>
      <c r="GNI1063" s="989"/>
      <c r="GNJ1063" s="989"/>
      <c r="GNK1063" s="989"/>
      <c r="GNL1063" s="989"/>
      <c r="GNM1063" s="989"/>
      <c r="GNN1063" s="989"/>
      <c r="GNO1063" s="989"/>
      <c r="GNP1063" s="989"/>
      <c r="GNQ1063" s="989"/>
      <c r="GNR1063" s="989"/>
      <c r="GNS1063" s="989"/>
      <c r="GNT1063" s="989"/>
      <c r="GNU1063" s="989"/>
      <c r="GNV1063" s="989"/>
      <c r="GNW1063" s="989"/>
      <c r="GNX1063" s="989"/>
      <c r="GNY1063" s="989"/>
      <c r="GNZ1063" s="989"/>
      <c r="GOA1063" s="989"/>
      <c r="GOB1063" s="989"/>
      <c r="GOC1063" s="989"/>
      <c r="GOD1063" s="989"/>
      <c r="GOE1063" s="989"/>
      <c r="GOF1063" s="989"/>
      <c r="GOG1063" s="989"/>
      <c r="GOH1063" s="989"/>
      <c r="GOI1063" s="989"/>
      <c r="GOJ1063" s="989"/>
      <c r="GOK1063" s="989"/>
      <c r="GOL1063" s="989"/>
      <c r="GOM1063" s="989"/>
      <c r="GON1063" s="989"/>
      <c r="GOO1063" s="989"/>
      <c r="GOP1063" s="989"/>
      <c r="GOQ1063" s="989"/>
      <c r="GOR1063" s="989"/>
      <c r="GOS1063" s="989"/>
      <c r="GOT1063" s="989"/>
      <c r="GOU1063" s="989"/>
      <c r="GOV1063" s="989"/>
      <c r="GOW1063" s="989"/>
      <c r="GOX1063" s="989"/>
      <c r="GOY1063" s="989"/>
      <c r="GOZ1063" s="989"/>
      <c r="GPA1063" s="989"/>
      <c r="GPB1063" s="989"/>
      <c r="GPC1063" s="989"/>
      <c r="GPD1063" s="989"/>
      <c r="GPE1063" s="989"/>
      <c r="GPF1063" s="989"/>
      <c r="GPG1063" s="989"/>
      <c r="GPH1063" s="989"/>
      <c r="GPI1063" s="989"/>
      <c r="GPJ1063" s="989"/>
      <c r="GPK1063" s="989"/>
      <c r="GPL1063" s="989"/>
      <c r="GPM1063" s="989"/>
      <c r="GPN1063" s="989"/>
      <c r="GPO1063" s="989"/>
      <c r="GPP1063" s="989"/>
      <c r="GPQ1063" s="989"/>
      <c r="GPR1063" s="989"/>
      <c r="GPS1063" s="989"/>
      <c r="GPT1063" s="989"/>
      <c r="GPU1063" s="989"/>
      <c r="GPV1063" s="989"/>
      <c r="GPW1063" s="989"/>
      <c r="GPX1063" s="989"/>
      <c r="GPY1063" s="989"/>
      <c r="GPZ1063" s="989"/>
      <c r="GQA1063" s="989"/>
      <c r="GQB1063" s="989"/>
      <c r="GQC1063" s="989"/>
      <c r="GQD1063" s="989"/>
      <c r="GQE1063" s="989"/>
      <c r="GQF1063" s="989"/>
      <c r="GQG1063" s="989"/>
      <c r="GQH1063" s="989"/>
      <c r="GQI1063" s="989"/>
      <c r="GQJ1063" s="989"/>
      <c r="GQK1063" s="989"/>
      <c r="GQL1063" s="989"/>
      <c r="GQM1063" s="989"/>
      <c r="GQN1063" s="989"/>
      <c r="GQO1063" s="989"/>
      <c r="GQP1063" s="989"/>
      <c r="GQQ1063" s="989"/>
      <c r="GQR1063" s="989"/>
      <c r="GQS1063" s="989"/>
      <c r="GQT1063" s="989"/>
      <c r="GQU1063" s="989"/>
      <c r="GQV1063" s="989"/>
      <c r="GQW1063" s="989"/>
      <c r="GQX1063" s="989"/>
      <c r="GQY1063" s="989"/>
      <c r="GQZ1063" s="989"/>
      <c r="GRA1063" s="989"/>
      <c r="GRB1063" s="989"/>
      <c r="GRC1063" s="989"/>
      <c r="GRD1063" s="989"/>
      <c r="GRE1063" s="989"/>
      <c r="GRF1063" s="989"/>
      <c r="GRG1063" s="989"/>
      <c r="GRH1063" s="989"/>
      <c r="GRI1063" s="989"/>
      <c r="GRJ1063" s="989"/>
      <c r="GRK1063" s="989"/>
      <c r="GRL1063" s="989"/>
      <c r="GRM1063" s="989"/>
      <c r="GRN1063" s="989"/>
      <c r="GRO1063" s="989"/>
      <c r="GRP1063" s="989"/>
      <c r="GRQ1063" s="989"/>
      <c r="GRR1063" s="989"/>
      <c r="GRS1063" s="989"/>
      <c r="GRT1063" s="989"/>
      <c r="GRU1063" s="989"/>
      <c r="GRV1063" s="989"/>
      <c r="GRW1063" s="989"/>
      <c r="GRX1063" s="989"/>
      <c r="GRY1063" s="989"/>
      <c r="GRZ1063" s="989"/>
      <c r="GSA1063" s="989"/>
      <c r="GSB1063" s="989"/>
      <c r="GSC1063" s="989"/>
      <c r="GSD1063" s="989"/>
      <c r="GSE1063" s="989"/>
      <c r="GSF1063" s="989"/>
      <c r="GSG1063" s="989"/>
      <c r="GSH1063" s="989"/>
      <c r="GSI1063" s="989"/>
      <c r="GSJ1063" s="989"/>
      <c r="GSK1063" s="989"/>
      <c r="GSL1063" s="989"/>
      <c r="GSM1063" s="989"/>
      <c r="GSN1063" s="989"/>
      <c r="GSO1063" s="989"/>
      <c r="GSP1063" s="989"/>
      <c r="GSQ1063" s="989"/>
      <c r="GSR1063" s="989"/>
      <c r="GSS1063" s="989"/>
      <c r="GST1063" s="989"/>
      <c r="GSU1063" s="989"/>
      <c r="GSV1063" s="989"/>
      <c r="GSW1063" s="989"/>
      <c r="GSX1063" s="989"/>
      <c r="GSY1063" s="989"/>
      <c r="GSZ1063" s="989"/>
      <c r="GTA1063" s="989"/>
      <c r="GTB1063" s="989"/>
      <c r="GTC1063" s="989"/>
      <c r="GTD1063" s="989"/>
      <c r="GTE1063" s="989"/>
      <c r="GTF1063" s="989"/>
      <c r="GTG1063" s="989"/>
      <c r="GTH1063" s="989"/>
      <c r="GTI1063" s="989"/>
      <c r="GTJ1063" s="989"/>
      <c r="GTK1063" s="989"/>
      <c r="GTL1063" s="989"/>
      <c r="GTM1063" s="989"/>
      <c r="GTN1063" s="989"/>
      <c r="GTO1063" s="989"/>
      <c r="GTP1063" s="989"/>
      <c r="GTQ1063" s="989"/>
      <c r="GTR1063" s="989"/>
      <c r="GTS1063" s="989"/>
      <c r="GTT1063" s="989"/>
      <c r="GTU1063" s="989"/>
      <c r="GTV1063" s="989"/>
      <c r="GTW1063" s="989"/>
      <c r="GTX1063" s="989"/>
      <c r="GTY1063" s="989"/>
      <c r="GTZ1063" s="989"/>
      <c r="GUA1063" s="989"/>
      <c r="GUB1063" s="989"/>
      <c r="GUC1063" s="989"/>
      <c r="GUD1063" s="989"/>
      <c r="GUE1063" s="989"/>
      <c r="GUF1063" s="989"/>
      <c r="GUG1063" s="989"/>
      <c r="GUH1063" s="989"/>
      <c r="GUI1063" s="989"/>
      <c r="GUJ1063" s="989"/>
      <c r="GUK1063" s="989"/>
      <c r="GUL1063" s="989"/>
      <c r="GUM1063" s="989"/>
      <c r="GUN1063" s="989"/>
      <c r="GUO1063" s="989"/>
      <c r="GUP1063" s="989"/>
      <c r="GUQ1063" s="989"/>
      <c r="GUR1063" s="989"/>
      <c r="GUS1063" s="989"/>
      <c r="GUT1063" s="989"/>
      <c r="GUU1063" s="989"/>
      <c r="GUV1063" s="989"/>
      <c r="GUW1063" s="989"/>
      <c r="GUX1063" s="989"/>
      <c r="GUY1063" s="989"/>
      <c r="GUZ1063" s="989"/>
      <c r="GVA1063" s="989"/>
      <c r="GVB1063" s="989"/>
      <c r="GVC1063" s="989"/>
      <c r="GVD1063" s="989"/>
      <c r="GVE1063" s="989"/>
      <c r="GVF1063" s="989"/>
      <c r="GVG1063" s="989"/>
      <c r="GVH1063" s="989"/>
      <c r="GVI1063" s="989"/>
      <c r="GVJ1063" s="989"/>
      <c r="GVK1063" s="989"/>
      <c r="GVL1063" s="989"/>
      <c r="GVM1063" s="989"/>
      <c r="GVN1063" s="989"/>
      <c r="GVO1063" s="989"/>
      <c r="GVP1063" s="989"/>
      <c r="GVQ1063" s="989"/>
      <c r="GVR1063" s="989"/>
      <c r="GVS1063" s="989"/>
      <c r="GVT1063" s="989"/>
      <c r="GVU1063" s="989"/>
      <c r="GVV1063" s="989"/>
      <c r="GVW1063" s="989"/>
      <c r="GVX1063" s="989"/>
      <c r="GVY1063" s="989"/>
      <c r="GVZ1063" s="989"/>
      <c r="GWA1063" s="989"/>
      <c r="GWB1063" s="989"/>
      <c r="GWC1063" s="989"/>
      <c r="GWD1063" s="989"/>
      <c r="GWE1063" s="989"/>
      <c r="GWF1063" s="989"/>
      <c r="GWG1063" s="989"/>
      <c r="GWH1063" s="989"/>
      <c r="GWI1063" s="989"/>
      <c r="GWJ1063" s="989"/>
      <c r="GWK1063" s="989"/>
      <c r="GWL1063" s="989"/>
      <c r="GWM1063" s="989"/>
      <c r="GWN1063" s="989"/>
      <c r="GWO1063" s="989"/>
      <c r="GWP1063" s="989"/>
      <c r="GWQ1063" s="989"/>
      <c r="GWR1063" s="989"/>
      <c r="GWS1063" s="989"/>
      <c r="GWT1063" s="989"/>
      <c r="GWU1063" s="989"/>
      <c r="GWV1063" s="989"/>
      <c r="GWW1063" s="989"/>
      <c r="GWX1063" s="989"/>
      <c r="GWY1063" s="989"/>
      <c r="GWZ1063" s="989"/>
      <c r="GXA1063" s="989"/>
      <c r="GXB1063" s="989"/>
      <c r="GXC1063" s="989"/>
      <c r="GXD1063" s="989"/>
      <c r="GXE1063" s="989"/>
      <c r="GXF1063" s="989"/>
      <c r="GXG1063" s="989"/>
      <c r="GXH1063" s="989"/>
      <c r="GXI1063" s="989"/>
      <c r="GXJ1063" s="989"/>
      <c r="GXK1063" s="989"/>
      <c r="GXL1063" s="989"/>
      <c r="GXM1063" s="989"/>
      <c r="GXN1063" s="989"/>
      <c r="GXO1063" s="989"/>
      <c r="GXP1063" s="989"/>
      <c r="GXQ1063" s="989"/>
      <c r="GXR1063" s="989"/>
      <c r="GXS1063" s="989"/>
      <c r="GXT1063" s="989"/>
      <c r="GXU1063" s="989"/>
      <c r="GXV1063" s="989"/>
      <c r="GXW1063" s="989"/>
      <c r="GXX1063" s="989"/>
      <c r="GXY1063" s="989"/>
      <c r="GXZ1063" s="989"/>
      <c r="GYA1063" s="989"/>
      <c r="GYB1063" s="989"/>
      <c r="GYC1063" s="989"/>
      <c r="GYD1063" s="989"/>
      <c r="GYE1063" s="989"/>
      <c r="GYF1063" s="989"/>
      <c r="GYG1063" s="989"/>
      <c r="GYH1063" s="989"/>
      <c r="GYI1063" s="989"/>
      <c r="GYJ1063" s="989"/>
      <c r="GYK1063" s="989"/>
      <c r="GYL1063" s="989"/>
      <c r="GYM1063" s="989"/>
      <c r="GYN1063" s="989"/>
      <c r="GYO1063" s="989"/>
      <c r="GYP1063" s="989"/>
      <c r="GYQ1063" s="989"/>
      <c r="GYR1063" s="989"/>
      <c r="GYS1063" s="989"/>
      <c r="GYT1063" s="989"/>
      <c r="GYU1063" s="989"/>
      <c r="GYV1063" s="989"/>
      <c r="GYW1063" s="989"/>
      <c r="GYX1063" s="989"/>
      <c r="GYY1063" s="989"/>
      <c r="GYZ1063" s="989"/>
      <c r="GZA1063" s="989"/>
      <c r="GZB1063" s="989"/>
      <c r="GZC1063" s="989"/>
      <c r="GZD1063" s="989"/>
      <c r="GZE1063" s="989"/>
      <c r="GZF1063" s="989"/>
      <c r="GZG1063" s="989"/>
      <c r="GZH1063" s="989"/>
      <c r="GZI1063" s="989"/>
      <c r="GZJ1063" s="989"/>
      <c r="GZK1063" s="989"/>
      <c r="GZL1063" s="989"/>
      <c r="GZM1063" s="989"/>
      <c r="GZN1063" s="989"/>
      <c r="GZO1063" s="989"/>
      <c r="GZP1063" s="989"/>
      <c r="GZQ1063" s="989"/>
      <c r="GZR1063" s="989"/>
      <c r="GZS1063" s="989"/>
      <c r="GZT1063" s="989"/>
      <c r="GZU1063" s="989"/>
      <c r="GZV1063" s="989"/>
      <c r="GZW1063" s="989"/>
      <c r="GZX1063" s="989"/>
      <c r="GZY1063" s="989"/>
      <c r="GZZ1063" s="989"/>
      <c r="HAA1063" s="989"/>
      <c r="HAB1063" s="989"/>
      <c r="HAC1063" s="989"/>
      <c r="HAD1063" s="989"/>
      <c r="HAE1063" s="989"/>
      <c r="HAF1063" s="989"/>
      <c r="HAG1063" s="989"/>
      <c r="HAH1063" s="989"/>
      <c r="HAI1063" s="989"/>
      <c r="HAJ1063" s="989"/>
      <c r="HAK1063" s="989"/>
      <c r="HAL1063" s="989"/>
      <c r="HAM1063" s="989"/>
      <c r="HAN1063" s="989"/>
      <c r="HAO1063" s="989"/>
      <c r="HAP1063" s="989"/>
      <c r="HAQ1063" s="989"/>
      <c r="HAR1063" s="989"/>
      <c r="HAS1063" s="989"/>
      <c r="HAT1063" s="989"/>
      <c r="HAU1063" s="989"/>
      <c r="HAV1063" s="989"/>
      <c r="HAW1063" s="989"/>
      <c r="HAX1063" s="989"/>
      <c r="HAY1063" s="989"/>
      <c r="HAZ1063" s="989"/>
      <c r="HBA1063" s="989"/>
      <c r="HBB1063" s="989"/>
      <c r="HBC1063" s="989"/>
      <c r="HBD1063" s="989"/>
      <c r="HBE1063" s="989"/>
      <c r="HBF1063" s="989"/>
      <c r="HBG1063" s="989"/>
      <c r="HBH1063" s="989"/>
      <c r="HBI1063" s="989"/>
      <c r="HBJ1063" s="989"/>
      <c r="HBK1063" s="989"/>
      <c r="HBL1063" s="989"/>
      <c r="HBM1063" s="989"/>
      <c r="HBN1063" s="989"/>
      <c r="HBO1063" s="989"/>
      <c r="HBP1063" s="989"/>
      <c r="HBQ1063" s="989"/>
      <c r="HBR1063" s="989"/>
      <c r="HBS1063" s="989"/>
      <c r="HBT1063" s="989"/>
      <c r="HBU1063" s="989"/>
      <c r="HBV1063" s="989"/>
      <c r="HBW1063" s="989"/>
      <c r="HBX1063" s="989"/>
      <c r="HBY1063" s="989"/>
      <c r="HBZ1063" s="989"/>
      <c r="HCA1063" s="989"/>
      <c r="HCB1063" s="989"/>
      <c r="HCC1063" s="989"/>
      <c r="HCD1063" s="989"/>
      <c r="HCE1063" s="989"/>
      <c r="HCF1063" s="989"/>
      <c r="HCG1063" s="989"/>
      <c r="HCH1063" s="989"/>
      <c r="HCI1063" s="989"/>
      <c r="HCJ1063" s="989"/>
      <c r="HCK1063" s="989"/>
      <c r="HCL1063" s="989"/>
      <c r="HCM1063" s="989"/>
      <c r="HCN1063" s="989"/>
      <c r="HCO1063" s="989"/>
      <c r="HCP1063" s="989"/>
      <c r="HCQ1063" s="989"/>
      <c r="HCR1063" s="989"/>
      <c r="HCS1063" s="989"/>
      <c r="HCT1063" s="989"/>
      <c r="HCU1063" s="989"/>
      <c r="HCV1063" s="989"/>
      <c r="HCW1063" s="989"/>
      <c r="HCX1063" s="989"/>
      <c r="HCY1063" s="989"/>
      <c r="HCZ1063" s="989"/>
      <c r="HDA1063" s="989"/>
      <c r="HDB1063" s="989"/>
      <c r="HDC1063" s="989"/>
      <c r="HDD1063" s="989"/>
      <c r="HDE1063" s="989"/>
      <c r="HDF1063" s="989"/>
      <c r="HDG1063" s="989"/>
      <c r="HDH1063" s="989"/>
      <c r="HDI1063" s="989"/>
      <c r="HDJ1063" s="989"/>
      <c r="HDK1063" s="989"/>
      <c r="HDL1063" s="989"/>
      <c r="HDM1063" s="989"/>
      <c r="HDN1063" s="989"/>
      <c r="HDO1063" s="989"/>
      <c r="HDP1063" s="989"/>
      <c r="HDQ1063" s="989"/>
      <c r="HDR1063" s="989"/>
      <c r="HDS1063" s="989"/>
      <c r="HDT1063" s="989"/>
      <c r="HDU1063" s="989"/>
      <c r="HDV1063" s="989"/>
      <c r="HDW1063" s="989"/>
      <c r="HDX1063" s="989"/>
      <c r="HDY1063" s="989"/>
      <c r="HDZ1063" s="989"/>
      <c r="HEA1063" s="989"/>
      <c r="HEB1063" s="989"/>
      <c r="HEC1063" s="989"/>
      <c r="HED1063" s="989"/>
      <c r="HEE1063" s="989"/>
      <c r="HEF1063" s="989"/>
      <c r="HEG1063" s="989"/>
      <c r="HEH1063" s="989"/>
      <c r="HEI1063" s="989"/>
      <c r="HEJ1063" s="989"/>
      <c r="HEK1063" s="989"/>
      <c r="HEL1063" s="989"/>
      <c r="HEM1063" s="989"/>
      <c r="HEN1063" s="989"/>
      <c r="HEO1063" s="989"/>
      <c r="HEP1063" s="989"/>
      <c r="HEQ1063" s="989"/>
      <c r="HER1063" s="989"/>
      <c r="HES1063" s="989"/>
      <c r="HET1063" s="989"/>
      <c r="HEU1063" s="989"/>
      <c r="HEV1063" s="989"/>
      <c r="HEW1063" s="989"/>
      <c r="HEX1063" s="989"/>
      <c r="HEY1063" s="989"/>
      <c r="HEZ1063" s="989"/>
      <c r="HFA1063" s="989"/>
      <c r="HFB1063" s="989"/>
      <c r="HFC1063" s="989"/>
      <c r="HFD1063" s="989"/>
      <c r="HFE1063" s="989"/>
      <c r="HFF1063" s="989"/>
      <c r="HFG1063" s="989"/>
      <c r="HFH1063" s="989"/>
      <c r="HFI1063" s="989"/>
      <c r="HFJ1063" s="989"/>
      <c r="HFK1063" s="989"/>
      <c r="HFL1063" s="989"/>
      <c r="HFM1063" s="989"/>
      <c r="HFN1063" s="989"/>
      <c r="HFO1063" s="989"/>
      <c r="HFP1063" s="989"/>
      <c r="HFQ1063" s="989"/>
      <c r="HFR1063" s="989"/>
      <c r="HFS1063" s="989"/>
      <c r="HFT1063" s="989"/>
      <c r="HFU1063" s="989"/>
      <c r="HFV1063" s="989"/>
      <c r="HFW1063" s="989"/>
      <c r="HFX1063" s="989"/>
      <c r="HFY1063" s="989"/>
      <c r="HFZ1063" s="989"/>
      <c r="HGA1063" s="989"/>
      <c r="HGB1063" s="989"/>
      <c r="HGC1063" s="989"/>
      <c r="HGD1063" s="989"/>
      <c r="HGE1063" s="989"/>
      <c r="HGF1063" s="989"/>
      <c r="HGG1063" s="989"/>
      <c r="HGH1063" s="989"/>
      <c r="HGI1063" s="989"/>
      <c r="HGJ1063" s="989"/>
      <c r="HGK1063" s="989"/>
      <c r="HGL1063" s="989"/>
      <c r="HGM1063" s="989"/>
      <c r="HGN1063" s="989"/>
      <c r="HGO1063" s="989"/>
      <c r="HGP1063" s="989"/>
      <c r="HGQ1063" s="989"/>
      <c r="HGR1063" s="989"/>
      <c r="HGS1063" s="989"/>
      <c r="HGT1063" s="989"/>
      <c r="HGU1063" s="989"/>
      <c r="HGV1063" s="989"/>
      <c r="HGW1063" s="989"/>
      <c r="HGX1063" s="989"/>
      <c r="HGY1063" s="989"/>
      <c r="HGZ1063" s="989"/>
      <c r="HHA1063" s="989"/>
      <c r="HHB1063" s="989"/>
      <c r="HHC1063" s="989"/>
      <c r="HHD1063" s="989"/>
      <c r="HHE1063" s="989"/>
      <c r="HHF1063" s="989"/>
      <c r="HHG1063" s="989"/>
      <c r="HHH1063" s="989"/>
      <c r="HHI1063" s="989"/>
      <c r="HHJ1063" s="989"/>
      <c r="HHK1063" s="989"/>
      <c r="HHL1063" s="989"/>
      <c r="HHM1063" s="989"/>
      <c r="HHN1063" s="989"/>
      <c r="HHO1063" s="989"/>
      <c r="HHP1063" s="989"/>
      <c r="HHQ1063" s="989"/>
      <c r="HHR1063" s="989"/>
      <c r="HHS1063" s="989"/>
      <c r="HHT1063" s="989"/>
      <c r="HHU1063" s="989"/>
      <c r="HHV1063" s="989"/>
      <c r="HHW1063" s="989"/>
      <c r="HHX1063" s="989"/>
      <c r="HHY1063" s="989"/>
      <c r="HHZ1063" s="989"/>
      <c r="HIA1063" s="989"/>
      <c r="HIB1063" s="989"/>
      <c r="HIC1063" s="989"/>
      <c r="HID1063" s="989"/>
      <c r="HIE1063" s="989"/>
      <c r="HIF1063" s="989"/>
      <c r="HIG1063" s="989"/>
      <c r="HIH1063" s="989"/>
      <c r="HII1063" s="989"/>
      <c r="HIJ1063" s="989"/>
      <c r="HIK1063" s="989"/>
      <c r="HIL1063" s="989"/>
      <c r="HIM1063" s="989"/>
      <c r="HIN1063" s="989"/>
      <c r="HIO1063" s="989"/>
      <c r="HIP1063" s="989"/>
      <c r="HIQ1063" s="989"/>
      <c r="HIR1063" s="989"/>
      <c r="HIS1063" s="989"/>
      <c r="HIT1063" s="989"/>
      <c r="HIU1063" s="989"/>
      <c r="HIV1063" s="989"/>
      <c r="HIW1063" s="989"/>
      <c r="HIX1063" s="989"/>
      <c r="HIY1063" s="989"/>
      <c r="HIZ1063" s="989"/>
      <c r="HJA1063" s="989"/>
      <c r="HJB1063" s="989"/>
      <c r="HJC1063" s="989"/>
      <c r="HJD1063" s="989"/>
      <c r="HJE1063" s="989"/>
      <c r="HJF1063" s="989"/>
      <c r="HJG1063" s="989"/>
      <c r="HJH1063" s="989"/>
      <c r="HJI1063" s="989"/>
      <c r="HJJ1063" s="989"/>
      <c r="HJK1063" s="989"/>
      <c r="HJL1063" s="989"/>
      <c r="HJM1063" s="989"/>
      <c r="HJN1063" s="989"/>
      <c r="HJO1063" s="989"/>
      <c r="HJP1063" s="989"/>
      <c r="HJQ1063" s="989"/>
      <c r="HJR1063" s="989"/>
      <c r="HJS1063" s="989"/>
      <c r="HJT1063" s="989"/>
      <c r="HJU1063" s="989"/>
      <c r="HJV1063" s="989"/>
      <c r="HJW1063" s="989"/>
      <c r="HJX1063" s="989"/>
      <c r="HJY1063" s="989"/>
      <c r="HJZ1063" s="989"/>
      <c r="HKA1063" s="989"/>
      <c r="HKB1063" s="989"/>
      <c r="HKC1063" s="989"/>
      <c r="HKD1063" s="989"/>
      <c r="HKE1063" s="989"/>
      <c r="HKF1063" s="989"/>
      <c r="HKG1063" s="989"/>
      <c r="HKH1063" s="989"/>
      <c r="HKI1063" s="989"/>
      <c r="HKJ1063" s="989"/>
      <c r="HKK1063" s="989"/>
      <c r="HKL1063" s="989"/>
      <c r="HKM1063" s="989"/>
      <c r="HKN1063" s="989"/>
      <c r="HKO1063" s="989"/>
      <c r="HKP1063" s="989"/>
      <c r="HKQ1063" s="989"/>
      <c r="HKR1063" s="989"/>
      <c r="HKS1063" s="989"/>
      <c r="HKT1063" s="989"/>
      <c r="HKU1063" s="989"/>
      <c r="HKV1063" s="989"/>
      <c r="HKW1063" s="989"/>
      <c r="HKX1063" s="989"/>
      <c r="HKY1063" s="989"/>
      <c r="HKZ1063" s="989"/>
      <c r="HLA1063" s="989"/>
      <c r="HLB1063" s="989"/>
      <c r="HLC1063" s="989"/>
      <c r="HLD1063" s="989"/>
      <c r="HLE1063" s="989"/>
      <c r="HLF1063" s="989"/>
      <c r="HLG1063" s="989"/>
      <c r="HLH1063" s="989"/>
      <c r="HLI1063" s="989"/>
      <c r="HLJ1063" s="989"/>
      <c r="HLK1063" s="989"/>
      <c r="HLL1063" s="989"/>
      <c r="HLM1063" s="989"/>
      <c r="HLN1063" s="989"/>
      <c r="HLO1063" s="989"/>
      <c r="HLP1063" s="989"/>
      <c r="HLQ1063" s="989"/>
      <c r="HLR1063" s="989"/>
      <c r="HLS1063" s="989"/>
      <c r="HLT1063" s="989"/>
      <c r="HLU1063" s="989"/>
      <c r="HLV1063" s="989"/>
      <c r="HLW1063" s="989"/>
      <c r="HLX1063" s="989"/>
      <c r="HLY1063" s="989"/>
      <c r="HLZ1063" s="989"/>
      <c r="HMA1063" s="989"/>
      <c r="HMB1063" s="989"/>
      <c r="HMC1063" s="989"/>
      <c r="HMD1063" s="989"/>
      <c r="HME1063" s="989"/>
      <c r="HMF1063" s="989"/>
      <c r="HMG1063" s="989"/>
      <c r="HMH1063" s="989"/>
      <c r="HMI1063" s="989"/>
      <c r="HMJ1063" s="989"/>
      <c r="HMK1063" s="989"/>
      <c r="HML1063" s="989"/>
      <c r="HMM1063" s="989"/>
      <c r="HMN1063" s="989"/>
      <c r="HMO1063" s="989"/>
      <c r="HMP1063" s="989"/>
      <c r="HMQ1063" s="989"/>
      <c r="HMR1063" s="989"/>
      <c r="HMS1063" s="989"/>
      <c r="HMT1063" s="989"/>
      <c r="HMU1063" s="989"/>
      <c r="HMV1063" s="989"/>
      <c r="HMW1063" s="989"/>
      <c r="HMX1063" s="989"/>
      <c r="HMY1063" s="989"/>
      <c r="HMZ1063" s="989"/>
      <c r="HNA1063" s="989"/>
      <c r="HNB1063" s="989"/>
      <c r="HNC1063" s="989"/>
      <c r="HND1063" s="989"/>
      <c r="HNE1063" s="989"/>
      <c r="HNF1063" s="989"/>
      <c r="HNG1063" s="989"/>
      <c r="HNH1063" s="989"/>
      <c r="HNI1063" s="989"/>
      <c r="HNJ1063" s="989"/>
      <c r="HNK1063" s="989"/>
      <c r="HNL1063" s="989"/>
      <c r="HNM1063" s="989"/>
      <c r="HNN1063" s="989"/>
      <c r="HNO1063" s="989"/>
      <c r="HNP1063" s="989"/>
      <c r="HNQ1063" s="989"/>
      <c r="HNR1063" s="989"/>
      <c r="HNS1063" s="989"/>
      <c r="HNT1063" s="989"/>
      <c r="HNU1063" s="989"/>
      <c r="HNV1063" s="989"/>
      <c r="HNW1063" s="989"/>
      <c r="HNX1063" s="989"/>
      <c r="HNY1063" s="989"/>
      <c r="HNZ1063" s="989"/>
      <c r="HOA1063" s="989"/>
      <c r="HOB1063" s="989"/>
      <c r="HOC1063" s="989"/>
      <c r="HOD1063" s="989"/>
      <c r="HOE1063" s="989"/>
      <c r="HOF1063" s="989"/>
      <c r="HOG1063" s="989"/>
      <c r="HOH1063" s="989"/>
      <c r="HOI1063" s="989"/>
      <c r="HOJ1063" s="989"/>
      <c r="HOK1063" s="989"/>
      <c r="HOL1063" s="989"/>
      <c r="HOM1063" s="989"/>
      <c r="HON1063" s="989"/>
      <c r="HOO1063" s="989"/>
      <c r="HOP1063" s="989"/>
      <c r="HOQ1063" s="989"/>
      <c r="HOR1063" s="989"/>
      <c r="HOS1063" s="989"/>
      <c r="HOT1063" s="989"/>
      <c r="HOU1063" s="989"/>
      <c r="HOV1063" s="989"/>
      <c r="HOW1063" s="989"/>
      <c r="HOX1063" s="989"/>
      <c r="HOY1063" s="989"/>
      <c r="HOZ1063" s="989"/>
      <c r="HPA1063" s="989"/>
      <c r="HPB1063" s="989"/>
      <c r="HPC1063" s="989"/>
      <c r="HPD1063" s="989"/>
      <c r="HPE1063" s="989"/>
      <c r="HPF1063" s="989"/>
      <c r="HPG1063" s="989"/>
      <c r="HPH1063" s="989"/>
      <c r="HPI1063" s="989"/>
      <c r="HPJ1063" s="989"/>
      <c r="HPK1063" s="989"/>
      <c r="HPL1063" s="989"/>
      <c r="HPM1063" s="989"/>
      <c r="HPN1063" s="989"/>
      <c r="HPO1063" s="989"/>
      <c r="HPP1063" s="989"/>
      <c r="HPQ1063" s="989"/>
      <c r="HPR1063" s="989"/>
      <c r="HPS1063" s="989"/>
      <c r="HPT1063" s="989"/>
      <c r="HPU1063" s="989"/>
      <c r="HPV1063" s="989"/>
      <c r="HPW1063" s="989"/>
      <c r="HPX1063" s="989"/>
      <c r="HPY1063" s="989"/>
      <c r="HPZ1063" s="989"/>
      <c r="HQA1063" s="989"/>
      <c r="HQB1063" s="989"/>
      <c r="HQC1063" s="989"/>
      <c r="HQD1063" s="989"/>
      <c r="HQE1063" s="989"/>
      <c r="HQF1063" s="989"/>
      <c r="HQG1063" s="989"/>
      <c r="HQH1063" s="989"/>
      <c r="HQI1063" s="989"/>
      <c r="HQJ1063" s="989"/>
      <c r="HQK1063" s="989"/>
      <c r="HQL1063" s="989"/>
      <c r="HQM1063" s="989"/>
      <c r="HQN1063" s="989"/>
      <c r="HQO1063" s="989"/>
      <c r="HQP1063" s="989"/>
      <c r="HQQ1063" s="989"/>
      <c r="HQR1063" s="989"/>
      <c r="HQS1063" s="989"/>
      <c r="HQT1063" s="989"/>
      <c r="HQU1063" s="989"/>
      <c r="HQV1063" s="989"/>
      <c r="HQW1063" s="989"/>
      <c r="HQX1063" s="989"/>
      <c r="HQY1063" s="989"/>
      <c r="HQZ1063" s="989"/>
      <c r="HRA1063" s="989"/>
      <c r="HRB1063" s="989"/>
      <c r="HRC1063" s="989"/>
      <c r="HRD1063" s="989"/>
      <c r="HRE1063" s="989"/>
      <c r="HRF1063" s="989"/>
      <c r="HRG1063" s="989"/>
      <c r="HRH1063" s="989"/>
      <c r="HRI1063" s="989"/>
      <c r="HRJ1063" s="989"/>
      <c r="HRK1063" s="989"/>
      <c r="HRL1063" s="989"/>
      <c r="HRM1063" s="989"/>
      <c r="HRN1063" s="989"/>
      <c r="HRO1063" s="989"/>
      <c r="HRP1063" s="989"/>
      <c r="HRQ1063" s="989"/>
      <c r="HRR1063" s="989"/>
      <c r="HRS1063" s="989"/>
      <c r="HRT1063" s="989"/>
      <c r="HRU1063" s="989"/>
      <c r="HRV1063" s="989"/>
      <c r="HRW1063" s="989"/>
      <c r="HRX1063" s="989"/>
      <c r="HRY1063" s="989"/>
      <c r="HRZ1063" s="989"/>
      <c r="HSA1063" s="989"/>
      <c r="HSB1063" s="989"/>
      <c r="HSC1063" s="989"/>
      <c r="HSD1063" s="989"/>
      <c r="HSE1063" s="989"/>
      <c r="HSF1063" s="989"/>
      <c r="HSG1063" s="989"/>
      <c r="HSH1063" s="989"/>
      <c r="HSI1063" s="989"/>
      <c r="HSJ1063" s="989"/>
      <c r="HSK1063" s="989"/>
      <c r="HSL1063" s="989"/>
      <c r="HSM1063" s="989"/>
      <c r="HSN1063" s="989"/>
      <c r="HSO1063" s="989"/>
      <c r="HSP1063" s="989"/>
      <c r="HSQ1063" s="989"/>
      <c r="HSR1063" s="989"/>
      <c r="HSS1063" s="989"/>
      <c r="HST1063" s="989"/>
      <c r="HSU1063" s="989"/>
      <c r="HSV1063" s="989"/>
      <c r="HSW1063" s="989"/>
      <c r="HSX1063" s="989"/>
      <c r="HSY1063" s="989"/>
      <c r="HSZ1063" s="989"/>
      <c r="HTA1063" s="989"/>
      <c r="HTB1063" s="989"/>
      <c r="HTC1063" s="989"/>
      <c r="HTD1063" s="989"/>
      <c r="HTE1063" s="989"/>
      <c r="HTF1063" s="989"/>
      <c r="HTG1063" s="989"/>
      <c r="HTH1063" s="989"/>
      <c r="HTI1063" s="989"/>
      <c r="HTJ1063" s="989"/>
      <c r="HTK1063" s="989"/>
      <c r="HTL1063" s="989"/>
      <c r="HTM1063" s="989"/>
      <c r="HTN1063" s="989"/>
      <c r="HTO1063" s="989"/>
      <c r="HTP1063" s="989"/>
      <c r="HTQ1063" s="989"/>
      <c r="HTR1063" s="989"/>
      <c r="HTS1063" s="989"/>
      <c r="HTT1063" s="989"/>
      <c r="HTU1063" s="989"/>
      <c r="HTV1063" s="989"/>
      <c r="HTW1063" s="989"/>
      <c r="HTX1063" s="989"/>
      <c r="HTY1063" s="989"/>
      <c r="HTZ1063" s="989"/>
      <c r="HUA1063" s="989"/>
      <c r="HUB1063" s="989"/>
      <c r="HUC1063" s="989"/>
      <c r="HUD1063" s="989"/>
      <c r="HUE1063" s="989"/>
      <c r="HUF1063" s="989"/>
      <c r="HUG1063" s="989"/>
      <c r="HUH1063" s="989"/>
      <c r="HUI1063" s="989"/>
      <c r="HUJ1063" s="989"/>
      <c r="HUK1063" s="989"/>
      <c r="HUL1063" s="989"/>
      <c r="HUM1063" s="989"/>
      <c r="HUN1063" s="989"/>
      <c r="HUO1063" s="989"/>
      <c r="HUP1063" s="989"/>
      <c r="HUQ1063" s="989"/>
      <c r="HUR1063" s="989"/>
      <c r="HUS1063" s="989"/>
      <c r="HUT1063" s="989"/>
      <c r="HUU1063" s="989"/>
      <c r="HUV1063" s="989"/>
      <c r="HUW1063" s="989"/>
      <c r="HUX1063" s="989"/>
      <c r="HUY1063" s="989"/>
      <c r="HUZ1063" s="989"/>
      <c r="HVA1063" s="989"/>
      <c r="HVB1063" s="989"/>
      <c r="HVC1063" s="989"/>
      <c r="HVD1063" s="989"/>
      <c r="HVE1063" s="989"/>
      <c r="HVF1063" s="989"/>
      <c r="HVG1063" s="989"/>
      <c r="HVH1063" s="989"/>
      <c r="HVI1063" s="989"/>
      <c r="HVJ1063" s="989"/>
      <c r="HVK1063" s="989"/>
      <c r="HVL1063" s="989"/>
      <c r="HVM1063" s="989"/>
      <c r="HVN1063" s="989"/>
      <c r="HVO1063" s="989"/>
      <c r="HVP1063" s="989"/>
      <c r="HVQ1063" s="989"/>
      <c r="HVR1063" s="989"/>
      <c r="HVS1063" s="989"/>
      <c r="HVT1063" s="989"/>
      <c r="HVU1063" s="989"/>
      <c r="HVV1063" s="989"/>
      <c r="HVW1063" s="989"/>
      <c r="HVX1063" s="989"/>
      <c r="HVY1063" s="989"/>
      <c r="HVZ1063" s="989"/>
      <c r="HWA1063" s="989"/>
      <c r="HWB1063" s="989"/>
      <c r="HWC1063" s="989"/>
      <c r="HWD1063" s="989"/>
      <c r="HWE1063" s="989"/>
      <c r="HWF1063" s="989"/>
      <c r="HWG1063" s="989"/>
      <c r="HWH1063" s="989"/>
      <c r="HWI1063" s="989"/>
      <c r="HWJ1063" s="989"/>
      <c r="HWK1063" s="989"/>
      <c r="HWL1063" s="989"/>
      <c r="HWM1063" s="989"/>
      <c r="HWN1063" s="989"/>
      <c r="HWO1063" s="989"/>
      <c r="HWP1063" s="989"/>
      <c r="HWQ1063" s="989"/>
      <c r="HWR1063" s="989"/>
      <c r="HWS1063" s="989"/>
      <c r="HWT1063" s="989"/>
      <c r="HWU1063" s="989"/>
      <c r="HWV1063" s="989"/>
      <c r="HWW1063" s="989"/>
      <c r="HWX1063" s="989"/>
      <c r="HWY1063" s="989"/>
      <c r="HWZ1063" s="989"/>
      <c r="HXA1063" s="989"/>
      <c r="HXB1063" s="989"/>
      <c r="HXC1063" s="989"/>
      <c r="HXD1063" s="989"/>
      <c r="HXE1063" s="989"/>
      <c r="HXF1063" s="989"/>
      <c r="HXG1063" s="989"/>
      <c r="HXH1063" s="989"/>
      <c r="HXI1063" s="989"/>
      <c r="HXJ1063" s="989"/>
      <c r="HXK1063" s="989"/>
      <c r="HXL1063" s="989"/>
      <c r="HXM1063" s="989"/>
      <c r="HXN1063" s="989"/>
      <c r="HXO1063" s="989"/>
      <c r="HXP1063" s="989"/>
      <c r="HXQ1063" s="989"/>
      <c r="HXR1063" s="989"/>
      <c r="HXS1063" s="989"/>
      <c r="HXT1063" s="989"/>
      <c r="HXU1063" s="989"/>
      <c r="HXV1063" s="989"/>
      <c r="HXW1063" s="989"/>
      <c r="HXX1063" s="989"/>
      <c r="HXY1063" s="989"/>
      <c r="HXZ1063" s="989"/>
      <c r="HYA1063" s="989"/>
      <c r="HYB1063" s="989"/>
      <c r="HYC1063" s="989"/>
      <c r="HYD1063" s="989"/>
      <c r="HYE1063" s="989"/>
      <c r="HYF1063" s="989"/>
      <c r="HYG1063" s="989"/>
      <c r="HYH1063" s="989"/>
      <c r="HYI1063" s="989"/>
      <c r="HYJ1063" s="989"/>
      <c r="HYK1063" s="989"/>
      <c r="HYL1063" s="989"/>
      <c r="HYM1063" s="989"/>
      <c r="HYN1063" s="989"/>
      <c r="HYO1063" s="989"/>
      <c r="HYP1063" s="989"/>
      <c r="HYQ1063" s="989"/>
      <c r="HYR1063" s="989"/>
      <c r="HYS1063" s="989"/>
      <c r="HYT1063" s="989"/>
      <c r="HYU1063" s="989"/>
      <c r="HYV1063" s="989"/>
      <c r="HYW1063" s="989"/>
      <c r="HYX1063" s="989"/>
      <c r="HYY1063" s="989"/>
      <c r="HYZ1063" s="989"/>
      <c r="HZA1063" s="989"/>
      <c r="HZB1063" s="989"/>
      <c r="HZC1063" s="989"/>
      <c r="HZD1063" s="989"/>
      <c r="HZE1063" s="989"/>
      <c r="HZF1063" s="989"/>
      <c r="HZG1063" s="989"/>
      <c r="HZH1063" s="989"/>
      <c r="HZI1063" s="989"/>
      <c r="HZJ1063" s="989"/>
      <c r="HZK1063" s="989"/>
      <c r="HZL1063" s="989"/>
      <c r="HZM1063" s="989"/>
      <c r="HZN1063" s="989"/>
      <c r="HZO1063" s="989"/>
      <c r="HZP1063" s="989"/>
      <c r="HZQ1063" s="989"/>
      <c r="HZR1063" s="989"/>
      <c r="HZS1063" s="989"/>
      <c r="HZT1063" s="989"/>
      <c r="HZU1063" s="989"/>
      <c r="HZV1063" s="989"/>
      <c r="HZW1063" s="989"/>
      <c r="HZX1063" s="989"/>
      <c r="HZY1063" s="989"/>
      <c r="HZZ1063" s="989"/>
      <c r="IAA1063" s="989"/>
      <c r="IAB1063" s="989"/>
      <c r="IAC1063" s="989"/>
      <c r="IAD1063" s="989"/>
      <c r="IAE1063" s="989"/>
      <c r="IAF1063" s="989"/>
      <c r="IAG1063" s="989"/>
      <c r="IAH1063" s="989"/>
      <c r="IAI1063" s="989"/>
      <c r="IAJ1063" s="989"/>
      <c r="IAK1063" s="989"/>
      <c r="IAL1063" s="989"/>
      <c r="IAM1063" s="989"/>
      <c r="IAN1063" s="989"/>
      <c r="IAO1063" s="989"/>
      <c r="IAP1063" s="989"/>
      <c r="IAQ1063" s="989"/>
      <c r="IAR1063" s="989"/>
      <c r="IAS1063" s="989"/>
      <c r="IAT1063" s="989"/>
      <c r="IAU1063" s="989"/>
      <c r="IAV1063" s="989"/>
      <c r="IAW1063" s="989"/>
      <c r="IAX1063" s="989"/>
      <c r="IAY1063" s="989"/>
      <c r="IAZ1063" s="989"/>
      <c r="IBA1063" s="989"/>
      <c r="IBB1063" s="989"/>
      <c r="IBC1063" s="989"/>
      <c r="IBD1063" s="989"/>
      <c r="IBE1063" s="989"/>
      <c r="IBF1063" s="989"/>
      <c r="IBG1063" s="989"/>
      <c r="IBH1063" s="989"/>
      <c r="IBI1063" s="989"/>
      <c r="IBJ1063" s="989"/>
      <c r="IBK1063" s="989"/>
      <c r="IBL1063" s="989"/>
      <c r="IBM1063" s="989"/>
      <c r="IBN1063" s="989"/>
      <c r="IBO1063" s="989"/>
      <c r="IBP1063" s="989"/>
      <c r="IBQ1063" s="989"/>
      <c r="IBR1063" s="989"/>
      <c r="IBS1063" s="989"/>
      <c r="IBT1063" s="989"/>
      <c r="IBU1063" s="989"/>
      <c r="IBV1063" s="989"/>
      <c r="IBW1063" s="989"/>
      <c r="IBX1063" s="989"/>
      <c r="IBY1063" s="989"/>
      <c r="IBZ1063" s="989"/>
      <c r="ICA1063" s="989"/>
      <c r="ICB1063" s="989"/>
      <c r="ICC1063" s="989"/>
      <c r="ICD1063" s="989"/>
      <c r="ICE1063" s="989"/>
      <c r="ICF1063" s="989"/>
      <c r="ICG1063" s="989"/>
      <c r="ICH1063" s="989"/>
      <c r="ICI1063" s="989"/>
      <c r="ICJ1063" s="989"/>
      <c r="ICK1063" s="989"/>
      <c r="ICL1063" s="989"/>
      <c r="ICM1063" s="989"/>
      <c r="ICN1063" s="989"/>
      <c r="ICO1063" s="989"/>
      <c r="ICP1063" s="989"/>
      <c r="ICQ1063" s="989"/>
      <c r="ICR1063" s="989"/>
      <c r="ICS1063" s="989"/>
      <c r="ICT1063" s="989"/>
      <c r="ICU1063" s="989"/>
      <c r="ICV1063" s="989"/>
      <c r="ICW1063" s="989"/>
      <c r="ICX1063" s="989"/>
      <c r="ICY1063" s="989"/>
      <c r="ICZ1063" s="989"/>
      <c r="IDA1063" s="989"/>
      <c r="IDB1063" s="989"/>
      <c r="IDC1063" s="989"/>
      <c r="IDD1063" s="989"/>
      <c r="IDE1063" s="989"/>
      <c r="IDF1063" s="989"/>
      <c r="IDG1063" s="989"/>
      <c r="IDH1063" s="989"/>
      <c r="IDI1063" s="989"/>
      <c r="IDJ1063" s="989"/>
      <c r="IDK1063" s="989"/>
      <c r="IDL1063" s="989"/>
      <c r="IDM1063" s="989"/>
      <c r="IDN1063" s="989"/>
      <c r="IDO1063" s="989"/>
      <c r="IDP1063" s="989"/>
      <c r="IDQ1063" s="989"/>
      <c r="IDR1063" s="989"/>
      <c r="IDS1063" s="989"/>
      <c r="IDT1063" s="989"/>
      <c r="IDU1063" s="989"/>
      <c r="IDV1063" s="989"/>
      <c r="IDW1063" s="989"/>
      <c r="IDX1063" s="989"/>
      <c r="IDY1063" s="989"/>
      <c r="IDZ1063" s="989"/>
      <c r="IEA1063" s="989"/>
      <c r="IEB1063" s="989"/>
      <c r="IEC1063" s="989"/>
      <c r="IED1063" s="989"/>
      <c r="IEE1063" s="989"/>
      <c r="IEF1063" s="989"/>
      <c r="IEG1063" s="989"/>
      <c r="IEH1063" s="989"/>
      <c r="IEI1063" s="989"/>
      <c r="IEJ1063" s="989"/>
      <c r="IEK1063" s="989"/>
      <c r="IEL1063" s="989"/>
      <c r="IEM1063" s="989"/>
      <c r="IEN1063" s="989"/>
      <c r="IEO1063" s="989"/>
      <c r="IEP1063" s="989"/>
      <c r="IEQ1063" s="989"/>
      <c r="IER1063" s="989"/>
      <c r="IES1063" s="989"/>
      <c r="IET1063" s="989"/>
      <c r="IEU1063" s="989"/>
      <c r="IEV1063" s="989"/>
      <c r="IEW1063" s="989"/>
      <c r="IEX1063" s="989"/>
      <c r="IEY1063" s="989"/>
      <c r="IEZ1063" s="989"/>
      <c r="IFA1063" s="989"/>
      <c r="IFB1063" s="989"/>
      <c r="IFC1063" s="989"/>
      <c r="IFD1063" s="989"/>
      <c r="IFE1063" s="989"/>
      <c r="IFF1063" s="989"/>
      <c r="IFG1063" s="989"/>
      <c r="IFH1063" s="989"/>
      <c r="IFI1063" s="989"/>
      <c r="IFJ1063" s="989"/>
      <c r="IFK1063" s="989"/>
      <c r="IFL1063" s="989"/>
      <c r="IFM1063" s="989"/>
      <c r="IFN1063" s="989"/>
      <c r="IFO1063" s="989"/>
      <c r="IFP1063" s="989"/>
      <c r="IFQ1063" s="989"/>
      <c r="IFR1063" s="989"/>
      <c r="IFS1063" s="989"/>
      <c r="IFT1063" s="989"/>
      <c r="IFU1063" s="989"/>
      <c r="IFV1063" s="989"/>
      <c r="IFW1063" s="989"/>
      <c r="IFX1063" s="989"/>
      <c r="IFY1063" s="989"/>
      <c r="IFZ1063" s="989"/>
      <c r="IGA1063" s="989"/>
      <c r="IGB1063" s="989"/>
      <c r="IGC1063" s="989"/>
      <c r="IGD1063" s="989"/>
      <c r="IGE1063" s="989"/>
      <c r="IGF1063" s="989"/>
      <c r="IGG1063" s="989"/>
      <c r="IGH1063" s="989"/>
      <c r="IGI1063" s="989"/>
      <c r="IGJ1063" s="989"/>
      <c r="IGK1063" s="989"/>
      <c r="IGL1063" s="989"/>
      <c r="IGM1063" s="989"/>
      <c r="IGN1063" s="989"/>
      <c r="IGO1063" s="989"/>
      <c r="IGP1063" s="989"/>
      <c r="IGQ1063" s="989"/>
      <c r="IGR1063" s="989"/>
      <c r="IGS1063" s="989"/>
      <c r="IGT1063" s="989"/>
      <c r="IGU1063" s="989"/>
      <c r="IGV1063" s="989"/>
      <c r="IGW1063" s="989"/>
      <c r="IGX1063" s="989"/>
      <c r="IGY1063" s="989"/>
      <c r="IGZ1063" s="989"/>
      <c r="IHA1063" s="989"/>
      <c r="IHB1063" s="989"/>
      <c r="IHC1063" s="989"/>
      <c r="IHD1063" s="989"/>
      <c r="IHE1063" s="989"/>
      <c r="IHF1063" s="989"/>
      <c r="IHG1063" s="989"/>
      <c r="IHH1063" s="989"/>
      <c r="IHI1063" s="989"/>
      <c r="IHJ1063" s="989"/>
      <c r="IHK1063" s="989"/>
      <c r="IHL1063" s="989"/>
      <c r="IHM1063" s="989"/>
      <c r="IHN1063" s="989"/>
      <c r="IHO1063" s="989"/>
      <c r="IHP1063" s="989"/>
      <c r="IHQ1063" s="989"/>
      <c r="IHR1063" s="989"/>
      <c r="IHS1063" s="989"/>
      <c r="IHT1063" s="989"/>
      <c r="IHU1063" s="989"/>
      <c r="IHV1063" s="989"/>
      <c r="IHW1063" s="989"/>
      <c r="IHX1063" s="989"/>
      <c r="IHY1063" s="989"/>
      <c r="IHZ1063" s="989"/>
      <c r="IIA1063" s="989"/>
      <c r="IIB1063" s="989"/>
      <c r="IIC1063" s="989"/>
      <c r="IID1063" s="989"/>
      <c r="IIE1063" s="989"/>
      <c r="IIF1063" s="989"/>
      <c r="IIG1063" s="989"/>
      <c r="IIH1063" s="989"/>
      <c r="III1063" s="989"/>
      <c r="IIJ1063" s="989"/>
      <c r="IIK1063" s="989"/>
      <c r="IIL1063" s="989"/>
      <c r="IIM1063" s="989"/>
      <c r="IIN1063" s="989"/>
      <c r="IIO1063" s="989"/>
      <c r="IIP1063" s="989"/>
      <c r="IIQ1063" s="989"/>
      <c r="IIR1063" s="989"/>
      <c r="IIS1063" s="989"/>
      <c r="IIT1063" s="989"/>
      <c r="IIU1063" s="989"/>
      <c r="IIV1063" s="989"/>
      <c r="IIW1063" s="989"/>
      <c r="IIX1063" s="989"/>
      <c r="IIY1063" s="989"/>
      <c r="IIZ1063" s="989"/>
      <c r="IJA1063" s="989"/>
      <c r="IJB1063" s="989"/>
      <c r="IJC1063" s="989"/>
      <c r="IJD1063" s="989"/>
      <c r="IJE1063" s="989"/>
      <c r="IJF1063" s="989"/>
      <c r="IJG1063" s="989"/>
      <c r="IJH1063" s="989"/>
      <c r="IJI1063" s="989"/>
      <c r="IJJ1063" s="989"/>
      <c r="IJK1063" s="989"/>
      <c r="IJL1063" s="989"/>
      <c r="IJM1063" s="989"/>
      <c r="IJN1063" s="989"/>
      <c r="IJO1063" s="989"/>
      <c r="IJP1063" s="989"/>
      <c r="IJQ1063" s="989"/>
      <c r="IJR1063" s="989"/>
      <c r="IJS1063" s="989"/>
      <c r="IJT1063" s="989"/>
      <c r="IJU1063" s="989"/>
      <c r="IJV1063" s="989"/>
      <c r="IJW1063" s="989"/>
      <c r="IJX1063" s="989"/>
      <c r="IJY1063" s="989"/>
      <c r="IJZ1063" s="989"/>
      <c r="IKA1063" s="989"/>
      <c r="IKB1063" s="989"/>
      <c r="IKC1063" s="989"/>
      <c r="IKD1063" s="989"/>
      <c r="IKE1063" s="989"/>
      <c r="IKF1063" s="989"/>
      <c r="IKG1063" s="989"/>
      <c r="IKH1063" s="989"/>
      <c r="IKI1063" s="989"/>
      <c r="IKJ1063" s="989"/>
      <c r="IKK1063" s="989"/>
      <c r="IKL1063" s="989"/>
      <c r="IKM1063" s="989"/>
      <c r="IKN1063" s="989"/>
      <c r="IKO1063" s="989"/>
      <c r="IKP1063" s="989"/>
      <c r="IKQ1063" s="989"/>
      <c r="IKR1063" s="989"/>
      <c r="IKS1063" s="989"/>
      <c r="IKT1063" s="989"/>
      <c r="IKU1063" s="989"/>
      <c r="IKV1063" s="989"/>
      <c r="IKW1063" s="989"/>
      <c r="IKX1063" s="989"/>
      <c r="IKY1063" s="989"/>
      <c r="IKZ1063" s="989"/>
      <c r="ILA1063" s="989"/>
      <c r="ILB1063" s="989"/>
      <c r="ILC1063" s="989"/>
      <c r="ILD1063" s="989"/>
      <c r="ILE1063" s="989"/>
      <c r="ILF1063" s="989"/>
      <c r="ILG1063" s="989"/>
      <c r="ILH1063" s="989"/>
      <c r="ILI1063" s="989"/>
      <c r="ILJ1063" s="989"/>
      <c r="ILK1063" s="989"/>
      <c r="ILL1063" s="989"/>
      <c r="ILM1063" s="989"/>
      <c r="ILN1063" s="989"/>
      <c r="ILO1063" s="989"/>
      <c r="ILP1063" s="989"/>
      <c r="ILQ1063" s="989"/>
      <c r="ILR1063" s="989"/>
      <c r="ILS1063" s="989"/>
      <c r="ILT1063" s="989"/>
      <c r="ILU1063" s="989"/>
      <c r="ILV1063" s="989"/>
      <c r="ILW1063" s="989"/>
      <c r="ILX1063" s="989"/>
      <c r="ILY1063" s="989"/>
      <c r="ILZ1063" s="989"/>
      <c r="IMA1063" s="989"/>
      <c r="IMB1063" s="989"/>
      <c r="IMC1063" s="989"/>
      <c r="IMD1063" s="989"/>
      <c r="IME1063" s="989"/>
      <c r="IMF1063" s="989"/>
      <c r="IMG1063" s="989"/>
      <c r="IMH1063" s="989"/>
      <c r="IMI1063" s="989"/>
      <c r="IMJ1063" s="989"/>
      <c r="IMK1063" s="989"/>
      <c r="IML1063" s="989"/>
      <c r="IMM1063" s="989"/>
      <c r="IMN1063" s="989"/>
      <c r="IMO1063" s="989"/>
      <c r="IMP1063" s="989"/>
      <c r="IMQ1063" s="989"/>
      <c r="IMR1063" s="989"/>
      <c r="IMS1063" s="989"/>
      <c r="IMT1063" s="989"/>
      <c r="IMU1063" s="989"/>
      <c r="IMV1063" s="989"/>
      <c r="IMW1063" s="989"/>
      <c r="IMX1063" s="989"/>
      <c r="IMY1063" s="989"/>
      <c r="IMZ1063" s="989"/>
      <c r="INA1063" s="989"/>
      <c r="INB1063" s="989"/>
      <c r="INC1063" s="989"/>
      <c r="IND1063" s="989"/>
      <c r="INE1063" s="989"/>
      <c r="INF1063" s="989"/>
      <c r="ING1063" s="989"/>
      <c r="INH1063" s="989"/>
      <c r="INI1063" s="989"/>
      <c r="INJ1063" s="989"/>
      <c r="INK1063" s="989"/>
      <c r="INL1063" s="989"/>
      <c r="INM1063" s="989"/>
      <c r="INN1063" s="989"/>
      <c r="INO1063" s="989"/>
      <c r="INP1063" s="989"/>
      <c r="INQ1063" s="989"/>
      <c r="INR1063" s="989"/>
      <c r="INS1063" s="989"/>
      <c r="INT1063" s="989"/>
      <c r="INU1063" s="989"/>
      <c r="INV1063" s="989"/>
      <c r="INW1063" s="989"/>
      <c r="INX1063" s="989"/>
      <c r="INY1063" s="989"/>
      <c r="INZ1063" s="989"/>
      <c r="IOA1063" s="989"/>
      <c r="IOB1063" s="989"/>
      <c r="IOC1063" s="989"/>
      <c r="IOD1063" s="989"/>
      <c r="IOE1063" s="989"/>
      <c r="IOF1063" s="989"/>
      <c r="IOG1063" s="989"/>
      <c r="IOH1063" s="989"/>
      <c r="IOI1063" s="989"/>
      <c r="IOJ1063" s="989"/>
      <c r="IOK1063" s="989"/>
      <c r="IOL1063" s="989"/>
      <c r="IOM1063" s="989"/>
      <c r="ION1063" s="989"/>
      <c r="IOO1063" s="989"/>
      <c r="IOP1063" s="989"/>
      <c r="IOQ1063" s="989"/>
      <c r="IOR1063" s="989"/>
      <c r="IOS1063" s="989"/>
      <c r="IOT1063" s="989"/>
      <c r="IOU1063" s="989"/>
      <c r="IOV1063" s="989"/>
      <c r="IOW1063" s="989"/>
      <c r="IOX1063" s="989"/>
      <c r="IOY1063" s="989"/>
      <c r="IOZ1063" s="989"/>
      <c r="IPA1063" s="989"/>
      <c r="IPB1063" s="989"/>
      <c r="IPC1063" s="989"/>
      <c r="IPD1063" s="989"/>
      <c r="IPE1063" s="989"/>
      <c r="IPF1063" s="989"/>
      <c r="IPG1063" s="989"/>
      <c r="IPH1063" s="989"/>
      <c r="IPI1063" s="989"/>
      <c r="IPJ1063" s="989"/>
      <c r="IPK1063" s="989"/>
      <c r="IPL1063" s="989"/>
      <c r="IPM1063" s="989"/>
      <c r="IPN1063" s="989"/>
      <c r="IPO1063" s="989"/>
      <c r="IPP1063" s="989"/>
      <c r="IPQ1063" s="989"/>
      <c r="IPR1063" s="989"/>
      <c r="IPS1063" s="989"/>
      <c r="IPT1063" s="989"/>
      <c r="IPU1063" s="989"/>
      <c r="IPV1063" s="989"/>
      <c r="IPW1063" s="989"/>
      <c r="IPX1063" s="989"/>
      <c r="IPY1063" s="989"/>
      <c r="IPZ1063" s="989"/>
      <c r="IQA1063" s="989"/>
      <c r="IQB1063" s="989"/>
      <c r="IQC1063" s="989"/>
      <c r="IQD1063" s="989"/>
      <c r="IQE1063" s="989"/>
      <c r="IQF1063" s="989"/>
      <c r="IQG1063" s="989"/>
      <c r="IQH1063" s="989"/>
      <c r="IQI1063" s="989"/>
      <c r="IQJ1063" s="989"/>
      <c r="IQK1063" s="989"/>
      <c r="IQL1063" s="989"/>
      <c r="IQM1063" s="989"/>
      <c r="IQN1063" s="989"/>
      <c r="IQO1063" s="989"/>
      <c r="IQP1063" s="989"/>
      <c r="IQQ1063" s="989"/>
      <c r="IQR1063" s="989"/>
      <c r="IQS1063" s="989"/>
      <c r="IQT1063" s="989"/>
      <c r="IQU1063" s="989"/>
      <c r="IQV1063" s="989"/>
      <c r="IQW1063" s="989"/>
      <c r="IQX1063" s="989"/>
      <c r="IQY1063" s="989"/>
      <c r="IQZ1063" s="989"/>
      <c r="IRA1063" s="989"/>
      <c r="IRB1063" s="989"/>
      <c r="IRC1063" s="989"/>
      <c r="IRD1063" s="989"/>
      <c r="IRE1063" s="989"/>
      <c r="IRF1063" s="989"/>
      <c r="IRG1063" s="989"/>
      <c r="IRH1063" s="989"/>
      <c r="IRI1063" s="989"/>
      <c r="IRJ1063" s="989"/>
      <c r="IRK1063" s="989"/>
      <c r="IRL1063" s="989"/>
      <c r="IRM1063" s="989"/>
      <c r="IRN1063" s="989"/>
      <c r="IRO1063" s="989"/>
      <c r="IRP1063" s="989"/>
      <c r="IRQ1063" s="989"/>
      <c r="IRR1063" s="989"/>
      <c r="IRS1063" s="989"/>
      <c r="IRT1063" s="989"/>
      <c r="IRU1063" s="989"/>
      <c r="IRV1063" s="989"/>
      <c r="IRW1063" s="989"/>
      <c r="IRX1063" s="989"/>
      <c r="IRY1063" s="989"/>
      <c r="IRZ1063" s="989"/>
      <c r="ISA1063" s="989"/>
      <c r="ISB1063" s="989"/>
      <c r="ISC1063" s="989"/>
      <c r="ISD1063" s="989"/>
      <c r="ISE1063" s="989"/>
      <c r="ISF1063" s="989"/>
      <c r="ISG1063" s="989"/>
      <c r="ISH1063" s="989"/>
      <c r="ISI1063" s="989"/>
      <c r="ISJ1063" s="989"/>
      <c r="ISK1063" s="989"/>
      <c r="ISL1063" s="989"/>
      <c r="ISM1063" s="989"/>
      <c r="ISN1063" s="989"/>
      <c r="ISO1063" s="989"/>
      <c r="ISP1063" s="989"/>
      <c r="ISQ1063" s="989"/>
      <c r="ISR1063" s="989"/>
      <c r="ISS1063" s="989"/>
      <c r="IST1063" s="989"/>
      <c r="ISU1063" s="989"/>
      <c r="ISV1063" s="989"/>
      <c r="ISW1063" s="989"/>
      <c r="ISX1063" s="989"/>
      <c r="ISY1063" s="989"/>
      <c r="ISZ1063" s="989"/>
      <c r="ITA1063" s="989"/>
      <c r="ITB1063" s="989"/>
      <c r="ITC1063" s="989"/>
      <c r="ITD1063" s="989"/>
      <c r="ITE1063" s="989"/>
      <c r="ITF1063" s="989"/>
      <c r="ITG1063" s="989"/>
      <c r="ITH1063" s="989"/>
      <c r="ITI1063" s="989"/>
      <c r="ITJ1063" s="989"/>
      <c r="ITK1063" s="989"/>
      <c r="ITL1063" s="989"/>
      <c r="ITM1063" s="989"/>
      <c r="ITN1063" s="989"/>
      <c r="ITO1063" s="989"/>
      <c r="ITP1063" s="989"/>
      <c r="ITQ1063" s="989"/>
      <c r="ITR1063" s="989"/>
      <c r="ITS1063" s="989"/>
      <c r="ITT1063" s="989"/>
      <c r="ITU1063" s="989"/>
      <c r="ITV1063" s="989"/>
      <c r="ITW1063" s="989"/>
      <c r="ITX1063" s="989"/>
      <c r="ITY1063" s="989"/>
      <c r="ITZ1063" s="989"/>
      <c r="IUA1063" s="989"/>
      <c r="IUB1063" s="989"/>
      <c r="IUC1063" s="989"/>
      <c r="IUD1063" s="989"/>
      <c r="IUE1063" s="989"/>
      <c r="IUF1063" s="989"/>
      <c r="IUG1063" s="989"/>
      <c r="IUH1063" s="989"/>
      <c r="IUI1063" s="989"/>
      <c r="IUJ1063" s="989"/>
      <c r="IUK1063" s="989"/>
      <c r="IUL1063" s="989"/>
      <c r="IUM1063" s="989"/>
      <c r="IUN1063" s="989"/>
      <c r="IUO1063" s="989"/>
      <c r="IUP1063" s="989"/>
      <c r="IUQ1063" s="989"/>
      <c r="IUR1063" s="989"/>
      <c r="IUS1063" s="989"/>
      <c r="IUT1063" s="989"/>
      <c r="IUU1063" s="989"/>
      <c r="IUV1063" s="989"/>
      <c r="IUW1063" s="989"/>
      <c r="IUX1063" s="989"/>
      <c r="IUY1063" s="989"/>
      <c r="IUZ1063" s="989"/>
      <c r="IVA1063" s="989"/>
      <c r="IVB1063" s="989"/>
      <c r="IVC1063" s="989"/>
      <c r="IVD1063" s="989"/>
      <c r="IVE1063" s="989"/>
      <c r="IVF1063" s="989"/>
      <c r="IVG1063" s="989"/>
      <c r="IVH1063" s="989"/>
      <c r="IVI1063" s="989"/>
      <c r="IVJ1063" s="989"/>
      <c r="IVK1063" s="989"/>
      <c r="IVL1063" s="989"/>
      <c r="IVM1063" s="989"/>
      <c r="IVN1063" s="989"/>
      <c r="IVO1063" s="989"/>
      <c r="IVP1063" s="989"/>
      <c r="IVQ1063" s="989"/>
      <c r="IVR1063" s="989"/>
      <c r="IVS1063" s="989"/>
      <c r="IVT1063" s="989"/>
      <c r="IVU1063" s="989"/>
      <c r="IVV1063" s="989"/>
      <c r="IVW1063" s="989"/>
      <c r="IVX1063" s="989"/>
      <c r="IVY1063" s="989"/>
      <c r="IVZ1063" s="989"/>
      <c r="IWA1063" s="989"/>
      <c r="IWB1063" s="989"/>
      <c r="IWC1063" s="989"/>
      <c r="IWD1063" s="989"/>
      <c r="IWE1063" s="989"/>
      <c r="IWF1063" s="989"/>
      <c r="IWG1063" s="989"/>
      <c r="IWH1063" s="989"/>
      <c r="IWI1063" s="989"/>
      <c r="IWJ1063" s="989"/>
      <c r="IWK1063" s="989"/>
      <c r="IWL1063" s="989"/>
      <c r="IWM1063" s="989"/>
      <c r="IWN1063" s="989"/>
      <c r="IWO1063" s="989"/>
      <c r="IWP1063" s="989"/>
      <c r="IWQ1063" s="989"/>
      <c r="IWR1063" s="989"/>
      <c r="IWS1063" s="989"/>
      <c r="IWT1063" s="989"/>
      <c r="IWU1063" s="989"/>
      <c r="IWV1063" s="989"/>
      <c r="IWW1063" s="989"/>
      <c r="IWX1063" s="989"/>
      <c r="IWY1063" s="989"/>
      <c r="IWZ1063" s="989"/>
      <c r="IXA1063" s="989"/>
      <c r="IXB1063" s="989"/>
      <c r="IXC1063" s="989"/>
      <c r="IXD1063" s="989"/>
      <c r="IXE1063" s="989"/>
      <c r="IXF1063" s="989"/>
      <c r="IXG1063" s="989"/>
      <c r="IXH1063" s="989"/>
      <c r="IXI1063" s="989"/>
      <c r="IXJ1063" s="989"/>
      <c r="IXK1063" s="989"/>
      <c r="IXL1063" s="989"/>
      <c r="IXM1063" s="989"/>
      <c r="IXN1063" s="989"/>
      <c r="IXO1063" s="989"/>
      <c r="IXP1063" s="989"/>
      <c r="IXQ1063" s="989"/>
      <c r="IXR1063" s="989"/>
      <c r="IXS1063" s="989"/>
      <c r="IXT1063" s="989"/>
      <c r="IXU1063" s="989"/>
      <c r="IXV1063" s="989"/>
      <c r="IXW1063" s="989"/>
      <c r="IXX1063" s="989"/>
      <c r="IXY1063" s="989"/>
      <c r="IXZ1063" s="989"/>
      <c r="IYA1063" s="989"/>
      <c r="IYB1063" s="989"/>
      <c r="IYC1063" s="989"/>
      <c r="IYD1063" s="989"/>
      <c r="IYE1063" s="989"/>
      <c r="IYF1063" s="989"/>
      <c r="IYG1063" s="989"/>
      <c r="IYH1063" s="989"/>
      <c r="IYI1063" s="989"/>
      <c r="IYJ1063" s="989"/>
      <c r="IYK1063" s="989"/>
      <c r="IYL1063" s="989"/>
      <c r="IYM1063" s="989"/>
      <c r="IYN1063" s="989"/>
      <c r="IYO1063" s="989"/>
      <c r="IYP1063" s="989"/>
      <c r="IYQ1063" s="989"/>
      <c r="IYR1063" s="989"/>
      <c r="IYS1063" s="989"/>
      <c r="IYT1063" s="989"/>
      <c r="IYU1063" s="989"/>
      <c r="IYV1063" s="989"/>
      <c r="IYW1063" s="989"/>
      <c r="IYX1063" s="989"/>
      <c r="IYY1063" s="989"/>
      <c r="IYZ1063" s="989"/>
      <c r="IZA1063" s="989"/>
      <c r="IZB1063" s="989"/>
      <c r="IZC1063" s="989"/>
      <c r="IZD1063" s="989"/>
      <c r="IZE1063" s="989"/>
      <c r="IZF1063" s="989"/>
      <c r="IZG1063" s="989"/>
      <c r="IZH1063" s="989"/>
      <c r="IZI1063" s="989"/>
      <c r="IZJ1063" s="989"/>
      <c r="IZK1063" s="989"/>
      <c r="IZL1063" s="989"/>
      <c r="IZM1063" s="989"/>
      <c r="IZN1063" s="989"/>
      <c r="IZO1063" s="989"/>
      <c r="IZP1063" s="989"/>
      <c r="IZQ1063" s="989"/>
      <c r="IZR1063" s="989"/>
      <c r="IZS1063" s="989"/>
      <c r="IZT1063" s="989"/>
      <c r="IZU1063" s="989"/>
      <c r="IZV1063" s="989"/>
      <c r="IZW1063" s="989"/>
      <c r="IZX1063" s="989"/>
      <c r="IZY1063" s="989"/>
      <c r="IZZ1063" s="989"/>
      <c r="JAA1063" s="989"/>
      <c r="JAB1063" s="989"/>
      <c r="JAC1063" s="989"/>
      <c r="JAD1063" s="989"/>
      <c r="JAE1063" s="989"/>
      <c r="JAF1063" s="989"/>
      <c r="JAG1063" s="989"/>
      <c r="JAH1063" s="989"/>
      <c r="JAI1063" s="989"/>
      <c r="JAJ1063" s="989"/>
      <c r="JAK1063" s="989"/>
      <c r="JAL1063" s="989"/>
      <c r="JAM1063" s="989"/>
      <c r="JAN1063" s="989"/>
      <c r="JAO1063" s="989"/>
      <c r="JAP1063" s="989"/>
      <c r="JAQ1063" s="989"/>
      <c r="JAR1063" s="989"/>
      <c r="JAS1063" s="989"/>
      <c r="JAT1063" s="989"/>
      <c r="JAU1063" s="989"/>
      <c r="JAV1063" s="989"/>
      <c r="JAW1063" s="989"/>
      <c r="JAX1063" s="989"/>
      <c r="JAY1063" s="989"/>
      <c r="JAZ1063" s="989"/>
      <c r="JBA1063" s="989"/>
      <c r="JBB1063" s="989"/>
      <c r="JBC1063" s="989"/>
      <c r="JBD1063" s="989"/>
      <c r="JBE1063" s="989"/>
      <c r="JBF1063" s="989"/>
      <c r="JBG1063" s="989"/>
      <c r="JBH1063" s="989"/>
      <c r="JBI1063" s="989"/>
      <c r="JBJ1063" s="989"/>
      <c r="JBK1063" s="989"/>
      <c r="JBL1063" s="989"/>
      <c r="JBM1063" s="989"/>
      <c r="JBN1063" s="989"/>
      <c r="JBO1063" s="989"/>
      <c r="JBP1063" s="989"/>
      <c r="JBQ1063" s="989"/>
      <c r="JBR1063" s="989"/>
      <c r="JBS1063" s="989"/>
      <c r="JBT1063" s="989"/>
      <c r="JBU1063" s="989"/>
      <c r="JBV1063" s="989"/>
      <c r="JBW1063" s="989"/>
      <c r="JBX1063" s="989"/>
      <c r="JBY1063" s="989"/>
      <c r="JBZ1063" s="989"/>
      <c r="JCA1063" s="989"/>
      <c r="JCB1063" s="989"/>
      <c r="JCC1063" s="989"/>
      <c r="JCD1063" s="989"/>
      <c r="JCE1063" s="989"/>
      <c r="JCF1063" s="989"/>
      <c r="JCG1063" s="989"/>
      <c r="JCH1063" s="989"/>
      <c r="JCI1063" s="989"/>
      <c r="JCJ1063" s="989"/>
      <c r="JCK1063" s="989"/>
      <c r="JCL1063" s="989"/>
      <c r="JCM1063" s="989"/>
      <c r="JCN1063" s="989"/>
      <c r="JCO1063" s="989"/>
      <c r="JCP1063" s="989"/>
      <c r="JCQ1063" s="989"/>
      <c r="JCR1063" s="989"/>
      <c r="JCS1063" s="989"/>
      <c r="JCT1063" s="989"/>
      <c r="JCU1063" s="989"/>
      <c r="JCV1063" s="989"/>
      <c r="JCW1063" s="989"/>
      <c r="JCX1063" s="989"/>
      <c r="JCY1063" s="989"/>
      <c r="JCZ1063" s="989"/>
      <c r="JDA1063" s="989"/>
      <c r="JDB1063" s="989"/>
      <c r="JDC1063" s="989"/>
      <c r="JDD1063" s="989"/>
      <c r="JDE1063" s="989"/>
      <c r="JDF1063" s="989"/>
      <c r="JDG1063" s="989"/>
      <c r="JDH1063" s="989"/>
      <c r="JDI1063" s="989"/>
      <c r="JDJ1063" s="989"/>
      <c r="JDK1063" s="989"/>
      <c r="JDL1063" s="989"/>
      <c r="JDM1063" s="989"/>
      <c r="JDN1063" s="989"/>
      <c r="JDO1063" s="989"/>
      <c r="JDP1063" s="989"/>
      <c r="JDQ1063" s="989"/>
      <c r="JDR1063" s="989"/>
      <c r="JDS1063" s="989"/>
      <c r="JDT1063" s="989"/>
      <c r="JDU1063" s="989"/>
      <c r="JDV1063" s="989"/>
      <c r="JDW1063" s="989"/>
      <c r="JDX1063" s="989"/>
      <c r="JDY1063" s="989"/>
      <c r="JDZ1063" s="989"/>
      <c r="JEA1063" s="989"/>
      <c r="JEB1063" s="989"/>
      <c r="JEC1063" s="989"/>
      <c r="JED1063" s="989"/>
      <c r="JEE1063" s="989"/>
      <c r="JEF1063" s="989"/>
      <c r="JEG1063" s="989"/>
      <c r="JEH1063" s="989"/>
      <c r="JEI1063" s="989"/>
      <c r="JEJ1063" s="989"/>
      <c r="JEK1063" s="989"/>
      <c r="JEL1063" s="989"/>
      <c r="JEM1063" s="989"/>
      <c r="JEN1063" s="989"/>
      <c r="JEO1063" s="989"/>
      <c r="JEP1063" s="989"/>
      <c r="JEQ1063" s="989"/>
      <c r="JER1063" s="989"/>
      <c r="JES1063" s="989"/>
      <c r="JET1063" s="989"/>
      <c r="JEU1063" s="989"/>
      <c r="JEV1063" s="989"/>
      <c r="JEW1063" s="989"/>
      <c r="JEX1063" s="989"/>
      <c r="JEY1063" s="989"/>
      <c r="JEZ1063" s="989"/>
      <c r="JFA1063" s="989"/>
      <c r="JFB1063" s="989"/>
      <c r="JFC1063" s="989"/>
      <c r="JFD1063" s="989"/>
      <c r="JFE1063" s="989"/>
      <c r="JFF1063" s="989"/>
      <c r="JFG1063" s="989"/>
      <c r="JFH1063" s="989"/>
      <c r="JFI1063" s="989"/>
      <c r="JFJ1063" s="989"/>
      <c r="JFK1063" s="989"/>
      <c r="JFL1063" s="989"/>
      <c r="JFM1063" s="989"/>
      <c r="JFN1063" s="989"/>
      <c r="JFO1063" s="989"/>
      <c r="JFP1063" s="989"/>
      <c r="JFQ1063" s="989"/>
      <c r="JFR1063" s="989"/>
      <c r="JFS1063" s="989"/>
      <c r="JFT1063" s="989"/>
      <c r="JFU1063" s="989"/>
      <c r="JFV1063" s="989"/>
      <c r="JFW1063" s="989"/>
      <c r="JFX1063" s="989"/>
      <c r="JFY1063" s="989"/>
      <c r="JFZ1063" s="989"/>
      <c r="JGA1063" s="989"/>
      <c r="JGB1063" s="989"/>
      <c r="JGC1063" s="989"/>
      <c r="JGD1063" s="989"/>
      <c r="JGE1063" s="989"/>
      <c r="JGF1063" s="989"/>
      <c r="JGG1063" s="989"/>
      <c r="JGH1063" s="989"/>
      <c r="JGI1063" s="989"/>
      <c r="JGJ1063" s="989"/>
      <c r="JGK1063" s="989"/>
      <c r="JGL1063" s="989"/>
      <c r="JGM1063" s="989"/>
      <c r="JGN1063" s="989"/>
      <c r="JGO1063" s="989"/>
      <c r="JGP1063" s="989"/>
      <c r="JGQ1063" s="989"/>
      <c r="JGR1063" s="989"/>
      <c r="JGS1063" s="989"/>
      <c r="JGT1063" s="989"/>
      <c r="JGU1063" s="989"/>
      <c r="JGV1063" s="989"/>
      <c r="JGW1063" s="989"/>
      <c r="JGX1063" s="989"/>
      <c r="JGY1063" s="989"/>
      <c r="JGZ1063" s="989"/>
      <c r="JHA1063" s="989"/>
      <c r="JHB1063" s="989"/>
      <c r="JHC1063" s="989"/>
      <c r="JHD1063" s="989"/>
      <c r="JHE1063" s="989"/>
      <c r="JHF1063" s="989"/>
      <c r="JHG1063" s="989"/>
      <c r="JHH1063" s="989"/>
      <c r="JHI1063" s="989"/>
      <c r="JHJ1063" s="989"/>
      <c r="JHK1063" s="989"/>
      <c r="JHL1063" s="989"/>
      <c r="JHM1063" s="989"/>
      <c r="JHN1063" s="989"/>
      <c r="JHO1063" s="989"/>
      <c r="JHP1063" s="989"/>
      <c r="JHQ1063" s="989"/>
      <c r="JHR1063" s="989"/>
      <c r="JHS1063" s="989"/>
      <c r="JHT1063" s="989"/>
      <c r="JHU1063" s="989"/>
      <c r="JHV1063" s="989"/>
      <c r="JHW1063" s="989"/>
      <c r="JHX1063" s="989"/>
      <c r="JHY1063" s="989"/>
      <c r="JHZ1063" s="989"/>
      <c r="JIA1063" s="989"/>
      <c r="JIB1063" s="989"/>
      <c r="JIC1063" s="989"/>
      <c r="JID1063" s="989"/>
      <c r="JIE1063" s="989"/>
      <c r="JIF1063" s="989"/>
      <c r="JIG1063" s="989"/>
      <c r="JIH1063" s="989"/>
      <c r="JII1063" s="989"/>
      <c r="JIJ1063" s="989"/>
      <c r="JIK1063" s="989"/>
      <c r="JIL1063" s="989"/>
      <c r="JIM1063" s="989"/>
      <c r="JIN1063" s="989"/>
      <c r="JIO1063" s="989"/>
      <c r="JIP1063" s="989"/>
      <c r="JIQ1063" s="989"/>
      <c r="JIR1063" s="989"/>
      <c r="JIS1063" s="989"/>
      <c r="JIT1063" s="989"/>
      <c r="JIU1063" s="989"/>
      <c r="JIV1063" s="989"/>
      <c r="JIW1063" s="989"/>
      <c r="JIX1063" s="989"/>
      <c r="JIY1063" s="989"/>
      <c r="JIZ1063" s="989"/>
      <c r="JJA1063" s="989"/>
      <c r="JJB1063" s="989"/>
      <c r="JJC1063" s="989"/>
      <c r="JJD1063" s="989"/>
      <c r="JJE1063" s="989"/>
      <c r="JJF1063" s="989"/>
      <c r="JJG1063" s="989"/>
      <c r="JJH1063" s="989"/>
      <c r="JJI1063" s="989"/>
      <c r="JJJ1063" s="989"/>
      <c r="JJK1063" s="989"/>
      <c r="JJL1063" s="989"/>
      <c r="JJM1063" s="989"/>
      <c r="JJN1063" s="989"/>
      <c r="JJO1063" s="989"/>
      <c r="JJP1063" s="989"/>
      <c r="JJQ1063" s="989"/>
      <c r="JJR1063" s="989"/>
      <c r="JJS1063" s="989"/>
      <c r="JJT1063" s="989"/>
      <c r="JJU1063" s="989"/>
      <c r="JJV1063" s="989"/>
      <c r="JJW1063" s="989"/>
      <c r="JJX1063" s="989"/>
      <c r="JJY1063" s="989"/>
      <c r="JJZ1063" s="989"/>
      <c r="JKA1063" s="989"/>
      <c r="JKB1063" s="989"/>
      <c r="JKC1063" s="989"/>
      <c r="JKD1063" s="989"/>
      <c r="JKE1063" s="989"/>
      <c r="JKF1063" s="989"/>
      <c r="JKG1063" s="989"/>
      <c r="JKH1063" s="989"/>
      <c r="JKI1063" s="989"/>
      <c r="JKJ1063" s="989"/>
      <c r="JKK1063" s="989"/>
      <c r="JKL1063" s="989"/>
      <c r="JKM1063" s="989"/>
      <c r="JKN1063" s="989"/>
      <c r="JKO1063" s="989"/>
      <c r="JKP1063" s="989"/>
      <c r="JKQ1063" s="989"/>
      <c r="JKR1063" s="989"/>
      <c r="JKS1063" s="989"/>
      <c r="JKT1063" s="989"/>
      <c r="JKU1063" s="989"/>
      <c r="JKV1063" s="989"/>
      <c r="JKW1063" s="989"/>
      <c r="JKX1063" s="989"/>
      <c r="JKY1063" s="989"/>
      <c r="JKZ1063" s="989"/>
      <c r="JLA1063" s="989"/>
      <c r="JLB1063" s="989"/>
      <c r="JLC1063" s="989"/>
      <c r="JLD1063" s="989"/>
      <c r="JLE1063" s="989"/>
      <c r="JLF1063" s="989"/>
      <c r="JLG1063" s="989"/>
      <c r="JLH1063" s="989"/>
      <c r="JLI1063" s="989"/>
      <c r="JLJ1063" s="989"/>
      <c r="JLK1063" s="989"/>
      <c r="JLL1063" s="989"/>
      <c r="JLM1063" s="989"/>
      <c r="JLN1063" s="989"/>
      <c r="JLO1063" s="989"/>
      <c r="JLP1063" s="989"/>
      <c r="JLQ1063" s="989"/>
      <c r="JLR1063" s="989"/>
      <c r="JLS1063" s="989"/>
      <c r="JLT1063" s="989"/>
      <c r="JLU1063" s="989"/>
      <c r="JLV1063" s="989"/>
      <c r="JLW1063" s="989"/>
      <c r="JLX1063" s="989"/>
      <c r="JLY1063" s="989"/>
      <c r="JLZ1063" s="989"/>
      <c r="JMA1063" s="989"/>
      <c r="JMB1063" s="989"/>
      <c r="JMC1063" s="989"/>
      <c r="JMD1063" s="989"/>
      <c r="JME1063" s="989"/>
      <c r="JMF1063" s="989"/>
      <c r="JMG1063" s="989"/>
      <c r="JMH1063" s="989"/>
      <c r="JMI1063" s="989"/>
      <c r="JMJ1063" s="989"/>
      <c r="JMK1063" s="989"/>
      <c r="JML1063" s="989"/>
      <c r="JMM1063" s="989"/>
      <c r="JMN1063" s="989"/>
      <c r="JMO1063" s="989"/>
      <c r="JMP1063" s="989"/>
      <c r="JMQ1063" s="989"/>
      <c r="JMR1063" s="989"/>
      <c r="JMS1063" s="989"/>
      <c r="JMT1063" s="989"/>
      <c r="JMU1063" s="989"/>
      <c r="JMV1063" s="989"/>
      <c r="JMW1063" s="989"/>
      <c r="JMX1063" s="989"/>
      <c r="JMY1063" s="989"/>
      <c r="JMZ1063" s="989"/>
      <c r="JNA1063" s="989"/>
      <c r="JNB1063" s="989"/>
      <c r="JNC1063" s="989"/>
      <c r="JND1063" s="989"/>
      <c r="JNE1063" s="989"/>
      <c r="JNF1063" s="989"/>
      <c r="JNG1063" s="989"/>
      <c r="JNH1063" s="989"/>
      <c r="JNI1063" s="989"/>
      <c r="JNJ1063" s="989"/>
      <c r="JNK1063" s="989"/>
      <c r="JNL1063" s="989"/>
      <c r="JNM1063" s="989"/>
      <c r="JNN1063" s="989"/>
      <c r="JNO1063" s="989"/>
      <c r="JNP1063" s="989"/>
      <c r="JNQ1063" s="989"/>
      <c r="JNR1063" s="989"/>
      <c r="JNS1063" s="989"/>
      <c r="JNT1063" s="989"/>
      <c r="JNU1063" s="989"/>
      <c r="JNV1063" s="989"/>
      <c r="JNW1063" s="989"/>
      <c r="JNX1063" s="989"/>
      <c r="JNY1063" s="989"/>
      <c r="JNZ1063" s="989"/>
      <c r="JOA1063" s="989"/>
      <c r="JOB1063" s="989"/>
      <c r="JOC1063" s="989"/>
      <c r="JOD1063" s="989"/>
      <c r="JOE1063" s="989"/>
      <c r="JOF1063" s="989"/>
      <c r="JOG1063" s="989"/>
      <c r="JOH1063" s="989"/>
      <c r="JOI1063" s="989"/>
      <c r="JOJ1063" s="989"/>
      <c r="JOK1063" s="989"/>
      <c r="JOL1063" s="989"/>
      <c r="JOM1063" s="989"/>
      <c r="JON1063" s="989"/>
      <c r="JOO1063" s="989"/>
      <c r="JOP1063" s="989"/>
      <c r="JOQ1063" s="989"/>
      <c r="JOR1063" s="989"/>
      <c r="JOS1063" s="989"/>
      <c r="JOT1063" s="989"/>
      <c r="JOU1063" s="989"/>
      <c r="JOV1063" s="989"/>
      <c r="JOW1063" s="989"/>
      <c r="JOX1063" s="989"/>
      <c r="JOY1063" s="989"/>
      <c r="JOZ1063" s="989"/>
      <c r="JPA1063" s="989"/>
      <c r="JPB1063" s="989"/>
      <c r="JPC1063" s="989"/>
      <c r="JPD1063" s="989"/>
      <c r="JPE1063" s="989"/>
      <c r="JPF1063" s="989"/>
      <c r="JPG1063" s="989"/>
      <c r="JPH1063" s="989"/>
      <c r="JPI1063" s="989"/>
      <c r="JPJ1063" s="989"/>
      <c r="JPK1063" s="989"/>
      <c r="JPL1063" s="989"/>
      <c r="JPM1063" s="989"/>
      <c r="JPN1063" s="989"/>
      <c r="JPO1063" s="989"/>
      <c r="JPP1063" s="989"/>
      <c r="JPQ1063" s="989"/>
      <c r="JPR1063" s="989"/>
      <c r="JPS1063" s="989"/>
      <c r="JPT1063" s="989"/>
      <c r="JPU1063" s="989"/>
      <c r="JPV1063" s="989"/>
      <c r="JPW1063" s="989"/>
      <c r="JPX1063" s="989"/>
      <c r="JPY1063" s="989"/>
      <c r="JPZ1063" s="989"/>
      <c r="JQA1063" s="989"/>
      <c r="JQB1063" s="989"/>
      <c r="JQC1063" s="989"/>
      <c r="JQD1063" s="989"/>
      <c r="JQE1063" s="989"/>
      <c r="JQF1063" s="989"/>
      <c r="JQG1063" s="989"/>
      <c r="JQH1063" s="989"/>
      <c r="JQI1063" s="989"/>
      <c r="JQJ1063" s="989"/>
      <c r="JQK1063" s="989"/>
      <c r="JQL1063" s="989"/>
      <c r="JQM1063" s="989"/>
      <c r="JQN1063" s="989"/>
      <c r="JQO1063" s="989"/>
      <c r="JQP1063" s="989"/>
      <c r="JQQ1063" s="989"/>
      <c r="JQR1063" s="989"/>
      <c r="JQS1063" s="989"/>
      <c r="JQT1063" s="989"/>
      <c r="JQU1063" s="989"/>
      <c r="JQV1063" s="989"/>
      <c r="JQW1063" s="989"/>
      <c r="JQX1063" s="989"/>
      <c r="JQY1063" s="989"/>
      <c r="JQZ1063" s="989"/>
      <c r="JRA1063" s="989"/>
      <c r="JRB1063" s="989"/>
      <c r="JRC1063" s="989"/>
      <c r="JRD1063" s="989"/>
      <c r="JRE1063" s="989"/>
      <c r="JRF1063" s="989"/>
      <c r="JRG1063" s="989"/>
      <c r="JRH1063" s="989"/>
      <c r="JRI1063" s="989"/>
      <c r="JRJ1063" s="989"/>
      <c r="JRK1063" s="989"/>
      <c r="JRL1063" s="989"/>
      <c r="JRM1063" s="989"/>
      <c r="JRN1063" s="989"/>
      <c r="JRO1063" s="989"/>
      <c r="JRP1063" s="989"/>
      <c r="JRQ1063" s="989"/>
      <c r="JRR1063" s="989"/>
      <c r="JRS1063" s="989"/>
      <c r="JRT1063" s="989"/>
      <c r="JRU1063" s="989"/>
      <c r="JRV1063" s="989"/>
      <c r="JRW1063" s="989"/>
      <c r="JRX1063" s="989"/>
      <c r="JRY1063" s="989"/>
      <c r="JRZ1063" s="989"/>
      <c r="JSA1063" s="989"/>
      <c r="JSB1063" s="989"/>
      <c r="JSC1063" s="989"/>
      <c r="JSD1063" s="989"/>
      <c r="JSE1063" s="989"/>
      <c r="JSF1063" s="989"/>
      <c r="JSG1063" s="989"/>
      <c r="JSH1063" s="989"/>
      <c r="JSI1063" s="989"/>
      <c r="JSJ1063" s="989"/>
      <c r="JSK1063" s="989"/>
      <c r="JSL1063" s="989"/>
      <c r="JSM1063" s="989"/>
      <c r="JSN1063" s="989"/>
      <c r="JSO1063" s="989"/>
      <c r="JSP1063" s="989"/>
      <c r="JSQ1063" s="989"/>
      <c r="JSR1063" s="989"/>
      <c r="JSS1063" s="989"/>
      <c r="JST1063" s="989"/>
      <c r="JSU1063" s="989"/>
      <c r="JSV1063" s="989"/>
      <c r="JSW1063" s="989"/>
      <c r="JSX1063" s="989"/>
      <c r="JSY1063" s="989"/>
      <c r="JSZ1063" s="989"/>
      <c r="JTA1063" s="989"/>
      <c r="JTB1063" s="989"/>
      <c r="JTC1063" s="989"/>
      <c r="JTD1063" s="989"/>
      <c r="JTE1063" s="989"/>
      <c r="JTF1063" s="989"/>
      <c r="JTG1063" s="989"/>
      <c r="JTH1063" s="989"/>
      <c r="JTI1063" s="989"/>
      <c r="JTJ1063" s="989"/>
      <c r="JTK1063" s="989"/>
      <c r="JTL1063" s="989"/>
      <c r="JTM1063" s="989"/>
      <c r="JTN1063" s="989"/>
      <c r="JTO1063" s="989"/>
      <c r="JTP1063" s="989"/>
      <c r="JTQ1063" s="989"/>
      <c r="JTR1063" s="989"/>
      <c r="JTS1063" s="989"/>
      <c r="JTT1063" s="989"/>
      <c r="JTU1063" s="989"/>
      <c r="JTV1063" s="989"/>
      <c r="JTW1063" s="989"/>
      <c r="JTX1063" s="989"/>
      <c r="JTY1063" s="989"/>
      <c r="JTZ1063" s="989"/>
      <c r="JUA1063" s="989"/>
      <c r="JUB1063" s="989"/>
      <c r="JUC1063" s="989"/>
      <c r="JUD1063" s="989"/>
      <c r="JUE1063" s="989"/>
      <c r="JUF1063" s="989"/>
      <c r="JUG1063" s="989"/>
      <c r="JUH1063" s="989"/>
      <c r="JUI1063" s="989"/>
      <c r="JUJ1063" s="989"/>
      <c r="JUK1063" s="989"/>
      <c r="JUL1063" s="989"/>
      <c r="JUM1063" s="989"/>
      <c r="JUN1063" s="989"/>
      <c r="JUO1063" s="989"/>
      <c r="JUP1063" s="989"/>
      <c r="JUQ1063" s="989"/>
      <c r="JUR1063" s="989"/>
      <c r="JUS1063" s="989"/>
      <c r="JUT1063" s="989"/>
      <c r="JUU1063" s="989"/>
      <c r="JUV1063" s="989"/>
      <c r="JUW1063" s="989"/>
      <c r="JUX1063" s="989"/>
      <c r="JUY1063" s="989"/>
      <c r="JUZ1063" s="989"/>
      <c r="JVA1063" s="989"/>
      <c r="JVB1063" s="989"/>
      <c r="JVC1063" s="989"/>
      <c r="JVD1063" s="989"/>
      <c r="JVE1063" s="989"/>
      <c r="JVF1063" s="989"/>
      <c r="JVG1063" s="989"/>
      <c r="JVH1063" s="989"/>
      <c r="JVI1063" s="989"/>
      <c r="JVJ1063" s="989"/>
      <c r="JVK1063" s="989"/>
      <c r="JVL1063" s="989"/>
      <c r="JVM1063" s="989"/>
      <c r="JVN1063" s="989"/>
      <c r="JVO1063" s="989"/>
      <c r="JVP1063" s="989"/>
      <c r="JVQ1063" s="989"/>
      <c r="JVR1063" s="989"/>
      <c r="JVS1063" s="989"/>
      <c r="JVT1063" s="989"/>
      <c r="JVU1063" s="989"/>
      <c r="JVV1063" s="989"/>
      <c r="JVW1063" s="989"/>
      <c r="JVX1063" s="989"/>
      <c r="JVY1063" s="989"/>
      <c r="JVZ1063" s="989"/>
      <c r="JWA1063" s="989"/>
      <c r="JWB1063" s="989"/>
      <c r="JWC1063" s="989"/>
      <c r="JWD1063" s="989"/>
      <c r="JWE1063" s="989"/>
      <c r="JWF1063" s="989"/>
      <c r="JWG1063" s="989"/>
      <c r="JWH1063" s="989"/>
      <c r="JWI1063" s="989"/>
      <c r="JWJ1063" s="989"/>
      <c r="JWK1063" s="989"/>
      <c r="JWL1063" s="989"/>
      <c r="JWM1063" s="989"/>
      <c r="JWN1063" s="989"/>
      <c r="JWO1063" s="989"/>
      <c r="JWP1063" s="989"/>
      <c r="JWQ1063" s="989"/>
      <c r="JWR1063" s="989"/>
      <c r="JWS1063" s="989"/>
      <c r="JWT1063" s="989"/>
      <c r="JWU1063" s="989"/>
      <c r="JWV1063" s="989"/>
      <c r="JWW1063" s="989"/>
      <c r="JWX1063" s="989"/>
      <c r="JWY1063" s="989"/>
      <c r="JWZ1063" s="989"/>
      <c r="JXA1063" s="989"/>
      <c r="JXB1063" s="989"/>
      <c r="JXC1063" s="989"/>
      <c r="JXD1063" s="989"/>
      <c r="JXE1063" s="989"/>
      <c r="JXF1063" s="989"/>
      <c r="JXG1063" s="989"/>
      <c r="JXH1063" s="989"/>
      <c r="JXI1063" s="989"/>
      <c r="JXJ1063" s="989"/>
      <c r="JXK1063" s="989"/>
      <c r="JXL1063" s="989"/>
      <c r="JXM1063" s="989"/>
      <c r="JXN1063" s="989"/>
      <c r="JXO1063" s="989"/>
      <c r="JXP1063" s="989"/>
      <c r="JXQ1063" s="989"/>
      <c r="JXR1063" s="989"/>
      <c r="JXS1063" s="989"/>
      <c r="JXT1063" s="989"/>
      <c r="JXU1063" s="989"/>
      <c r="JXV1063" s="989"/>
      <c r="JXW1063" s="989"/>
      <c r="JXX1063" s="989"/>
      <c r="JXY1063" s="989"/>
      <c r="JXZ1063" s="989"/>
      <c r="JYA1063" s="989"/>
      <c r="JYB1063" s="989"/>
      <c r="JYC1063" s="989"/>
      <c r="JYD1063" s="989"/>
      <c r="JYE1063" s="989"/>
      <c r="JYF1063" s="989"/>
      <c r="JYG1063" s="989"/>
      <c r="JYH1063" s="989"/>
      <c r="JYI1063" s="989"/>
      <c r="JYJ1063" s="989"/>
      <c r="JYK1063" s="989"/>
      <c r="JYL1063" s="989"/>
      <c r="JYM1063" s="989"/>
      <c r="JYN1063" s="989"/>
      <c r="JYO1063" s="989"/>
      <c r="JYP1063" s="989"/>
      <c r="JYQ1063" s="989"/>
      <c r="JYR1063" s="989"/>
      <c r="JYS1063" s="989"/>
      <c r="JYT1063" s="989"/>
      <c r="JYU1063" s="989"/>
      <c r="JYV1063" s="989"/>
      <c r="JYW1063" s="989"/>
      <c r="JYX1063" s="989"/>
      <c r="JYY1063" s="989"/>
      <c r="JYZ1063" s="989"/>
      <c r="JZA1063" s="989"/>
      <c r="JZB1063" s="989"/>
      <c r="JZC1063" s="989"/>
      <c r="JZD1063" s="989"/>
      <c r="JZE1063" s="989"/>
      <c r="JZF1063" s="989"/>
      <c r="JZG1063" s="989"/>
      <c r="JZH1063" s="989"/>
      <c r="JZI1063" s="989"/>
      <c r="JZJ1063" s="989"/>
      <c r="JZK1063" s="989"/>
      <c r="JZL1063" s="989"/>
      <c r="JZM1063" s="989"/>
      <c r="JZN1063" s="989"/>
      <c r="JZO1063" s="989"/>
      <c r="JZP1063" s="989"/>
      <c r="JZQ1063" s="989"/>
      <c r="JZR1063" s="989"/>
      <c r="JZS1063" s="989"/>
      <c r="JZT1063" s="989"/>
      <c r="JZU1063" s="989"/>
      <c r="JZV1063" s="989"/>
      <c r="JZW1063" s="989"/>
      <c r="JZX1063" s="989"/>
      <c r="JZY1063" s="989"/>
      <c r="JZZ1063" s="989"/>
      <c r="KAA1063" s="989"/>
      <c r="KAB1063" s="989"/>
      <c r="KAC1063" s="989"/>
      <c r="KAD1063" s="989"/>
      <c r="KAE1063" s="989"/>
      <c r="KAF1063" s="989"/>
      <c r="KAG1063" s="989"/>
      <c r="KAH1063" s="989"/>
      <c r="KAI1063" s="989"/>
      <c r="KAJ1063" s="989"/>
      <c r="KAK1063" s="989"/>
      <c r="KAL1063" s="989"/>
      <c r="KAM1063" s="989"/>
      <c r="KAN1063" s="989"/>
      <c r="KAO1063" s="989"/>
      <c r="KAP1063" s="989"/>
      <c r="KAQ1063" s="989"/>
      <c r="KAR1063" s="989"/>
      <c r="KAS1063" s="989"/>
      <c r="KAT1063" s="989"/>
      <c r="KAU1063" s="989"/>
      <c r="KAV1063" s="989"/>
      <c r="KAW1063" s="989"/>
      <c r="KAX1063" s="989"/>
      <c r="KAY1063" s="989"/>
      <c r="KAZ1063" s="989"/>
      <c r="KBA1063" s="989"/>
      <c r="KBB1063" s="989"/>
      <c r="KBC1063" s="989"/>
      <c r="KBD1063" s="989"/>
      <c r="KBE1063" s="989"/>
      <c r="KBF1063" s="989"/>
      <c r="KBG1063" s="989"/>
      <c r="KBH1063" s="989"/>
      <c r="KBI1063" s="989"/>
      <c r="KBJ1063" s="989"/>
      <c r="KBK1063" s="989"/>
      <c r="KBL1063" s="989"/>
      <c r="KBM1063" s="989"/>
      <c r="KBN1063" s="989"/>
      <c r="KBO1063" s="989"/>
      <c r="KBP1063" s="989"/>
      <c r="KBQ1063" s="989"/>
      <c r="KBR1063" s="989"/>
      <c r="KBS1063" s="989"/>
      <c r="KBT1063" s="989"/>
      <c r="KBU1063" s="989"/>
      <c r="KBV1063" s="989"/>
      <c r="KBW1063" s="989"/>
      <c r="KBX1063" s="989"/>
      <c r="KBY1063" s="989"/>
      <c r="KBZ1063" s="989"/>
      <c r="KCA1063" s="989"/>
      <c r="KCB1063" s="989"/>
      <c r="KCC1063" s="989"/>
      <c r="KCD1063" s="989"/>
      <c r="KCE1063" s="989"/>
      <c r="KCF1063" s="989"/>
      <c r="KCG1063" s="989"/>
      <c r="KCH1063" s="989"/>
      <c r="KCI1063" s="989"/>
      <c r="KCJ1063" s="989"/>
      <c r="KCK1063" s="989"/>
      <c r="KCL1063" s="989"/>
      <c r="KCM1063" s="989"/>
      <c r="KCN1063" s="989"/>
      <c r="KCO1063" s="989"/>
      <c r="KCP1063" s="989"/>
      <c r="KCQ1063" s="989"/>
      <c r="KCR1063" s="989"/>
      <c r="KCS1063" s="989"/>
      <c r="KCT1063" s="989"/>
      <c r="KCU1063" s="989"/>
      <c r="KCV1063" s="989"/>
      <c r="KCW1063" s="989"/>
      <c r="KCX1063" s="989"/>
      <c r="KCY1063" s="989"/>
      <c r="KCZ1063" s="989"/>
      <c r="KDA1063" s="989"/>
      <c r="KDB1063" s="989"/>
      <c r="KDC1063" s="989"/>
      <c r="KDD1063" s="989"/>
      <c r="KDE1063" s="989"/>
      <c r="KDF1063" s="989"/>
      <c r="KDG1063" s="989"/>
      <c r="KDH1063" s="989"/>
      <c r="KDI1063" s="989"/>
      <c r="KDJ1063" s="989"/>
      <c r="KDK1063" s="989"/>
      <c r="KDL1063" s="989"/>
      <c r="KDM1063" s="989"/>
      <c r="KDN1063" s="989"/>
      <c r="KDO1063" s="989"/>
      <c r="KDP1063" s="989"/>
      <c r="KDQ1063" s="989"/>
      <c r="KDR1063" s="989"/>
      <c r="KDS1063" s="989"/>
      <c r="KDT1063" s="989"/>
      <c r="KDU1063" s="989"/>
      <c r="KDV1063" s="989"/>
      <c r="KDW1063" s="989"/>
      <c r="KDX1063" s="989"/>
      <c r="KDY1063" s="989"/>
      <c r="KDZ1063" s="989"/>
      <c r="KEA1063" s="989"/>
      <c r="KEB1063" s="989"/>
      <c r="KEC1063" s="989"/>
      <c r="KED1063" s="989"/>
      <c r="KEE1063" s="989"/>
      <c r="KEF1063" s="989"/>
      <c r="KEG1063" s="989"/>
      <c r="KEH1063" s="989"/>
      <c r="KEI1063" s="989"/>
      <c r="KEJ1063" s="989"/>
      <c r="KEK1063" s="989"/>
      <c r="KEL1063" s="989"/>
      <c r="KEM1063" s="989"/>
      <c r="KEN1063" s="989"/>
      <c r="KEO1063" s="989"/>
      <c r="KEP1063" s="989"/>
      <c r="KEQ1063" s="989"/>
      <c r="KER1063" s="989"/>
      <c r="KES1063" s="989"/>
      <c r="KET1063" s="989"/>
      <c r="KEU1063" s="989"/>
      <c r="KEV1063" s="989"/>
      <c r="KEW1063" s="989"/>
      <c r="KEX1063" s="989"/>
      <c r="KEY1063" s="989"/>
      <c r="KEZ1063" s="989"/>
      <c r="KFA1063" s="989"/>
      <c r="KFB1063" s="989"/>
      <c r="KFC1063" s="989"/>
      <c r="KFD1063" s="989"/>
      <c r="KFE1063" s="989"/>
      <c r="KFF1063" s="989"/>
      <c r="KFG1063" s="989"/>
      <c r="KFH1063" s="989"/>
      <c r="KFI1063" s="989"/>
      <c r="KFJ1063" s="989"/>
      <c r="KFK1063" s="989"/>
      <c r="KFL1063" s="989"/>
      <c r="KFM1063" s="989"/>
      <c r="KFN1063" s="989"/>
      <c r="KFO1063" s="989"/>
      <c r="KFP1063" s="989"/>
      <c r="KFQ1063" s="989"/>
      <c r="KFR1063" s="989"/>
      <c r="KFS1063" s="989"/>
      <c r="KFT1063" s="989"/>
      <c r="KFU1063" s="989"/>
      <c r="KFV1063" s="989"/>
      <c r="KFW1063" s="989"/>
      <c r="KFX1063" s="989"/>
      <c r="KFY1063" s="989"/>
      <c r="KFZ1063" s="989"/>
      <c r="KGA1063" s="989"/>
      <c r="KGB1063" s="989"/>
      <c r="KGC1063" s="989"/>
      <c r="KGD1063" s="989"/>
      <c r="KGE1063" s="989"/>
      <c r="KGF1063" s="989"/>
      <c r="KGG1063" s="989"/>
      <c r="KGH1063" s="989"/>
      <c r="KGI1063" s="989"/>
      <c r="KGJ1063" s="989"/>
      <c r="KGK1063" s="989"/>
      <c r="KGL1063" s="989"/>
      <c r="KGM1063" s="989"/>
      <c r="KGN1063" s="989"/>
      <c r="KGO1063" s="989"/>
      <c r="KGP1063" s="989"/>
      <c r="KGQ1063" s="989"/>
      <c r="KGR1063" s="989"/>
      <c r="KGS1063" s="989"/>
      <c r="KGT1063" s="989"/>
      <c r="KGU1063" s="989"/>
      <c r="KGV1063" s="989"/>
      <c r="KGW1063" s="989"/>
      <c r="KGX1063" s="989"/>
      <c r="KGY1063" s="989"/>
      <c r="KGZ1063" s="989"/>
      <c r="KHA1063" s="989"/>
      <c r="KHB1063" s="989"/>
      <c r="KHC1063" s="989"/>
      <c r="KHD1063" s="989"/>
      <c r="KHE1063" s="989"/>
      <c r="KHF1063" s="989"/>
      <c r="KHG1063" s="989"/>
      <c r="KHH1063" s="989"/>
      <c r="KHI1063" s="989"/>
      <c r="KHJ1063" s="989"/>
      <c r="KHK1063" s="989"/>
      <c r="KHL1063" s="989"/>
      <c r="KHM1063" s="989"/>
      <c r="KHN1063" s="989"/>
      <c r="KHO1063" s="989"/>
      <c r="KHP1063" s="989"/>
      <c r="KHQ1063" s="989"/>
      <c r="KHR1063" s="989"/>
      <c r="KHS1063" s="989"/>
      <c r="KHT1063" s="989"/>
      <c r="KHU1063" s="989"/>
      <c r="KHV1063" s="989"/>
      <c r="KHW1063" s="989"/>
      <c r="KHX1063" s="989"/>
      <c r="KHY1063" s="989"/>
      <c r="KHZ1063" s="989"/>
      <c r="KIA1063" s="989"/>
      <c r="KIB1063" s="989"/>
      <c r="KIC1063" s="989"/>
      <c r="KID1063" s="989"/>
      <c r="KIE1063" s="989"/>
      <c r="KIF1063" s="989"/>
      <c r="KIG1063" s="989"/>
      <c r="KIH1063" s="989"/>
      <c r="KII1063" s="989"/>
      <c r="KIJ1063" s="989"/>
      <c r="KIK1063" s="989"/>
      <c r="KIL1063" s="989"/>
      <c r="KIM1063" s="989"/>
      <c r="KIN1063" s="989"/>
      <c r="KIO1063" s="989"/>
      <c r="KIP1063" s="989"/>
      <c r="KIQ1063" s="989"/>
      <c r="KIR1063" s="989"/>
      <c r="KIS1063" s="989"/>
      <c r="KIT1063" s="989"/>
      <c r="KIU1063" s="989"/>
      <c r="KIV1063" s="989"/>
      <c r="KIW1063" s="989"/>
      <c r="KIX1063" s="989"/>
      <c r="KIY1063" s="989"/>
      <c r="KIZ1063" s="989"/>
      <c r="KJA1063" s="989"/>
      <c r="KJB1063" s="989"/>
      <c r="KJC1063" s="989"/>
      <c r="KJD1063" s="989"/>
      <c r="KJE1063" s="989"/>
      <c r="KJF1063" s="989"/>
      <c r="KJG1063" s="989"/>
      <c r="KJH1063" s="989"/>
      <c r="KJI1063" s="989"/>
      <c r="KJJ1063" s="989"/>
      <c r="KJK1063" s="989"/>
      <c r="KJL1063" s="989"/>
      <c r="KJM1063" s="989"/>
      <c r="KJN1063" s="989"/>
      <c r="KJO1063" s="989"/>
      <c r="KJP1063" s="989"/>
      <c r="KJQ1063" s="989"/>
      <c r="KJR1063" s="989"/>
      <c r="KJS1063" s="989"/>
      <c r="KJT1063" s="989"/>
      <c r="KJU1063" s="989"/>
      <c r="KJV1063" s="989"/>
      <c r="KJW1063" s="989"/>
      <c r="KJX1063" s="989"/>
      <c r="KJY1063" s="989"/>
      <c r="KJZ1063" s="989"/>
      <c r="KKA1063" s="989"/>
      <c r="KKB1063" s="989"/>
      <c r="KKC1063" s="989"/>
      <c r="KKD1063" s="989"/>
      <c r="KKE1063" s="989"/>
      <c r="KKF1063" s="989"/>
      <c r="KKG1063" s="989"/>
      <c r="KKH1063" s="989"/>
      <c r="KKI1063" s="989"/>
      <c r="KKJ1063" s="989"/>
      <c r="KKK1063" s="989"/>
      <c r="KKL1063" s="989"/>
      <c r="KKM1063" s="989"/>
      <c r="KKN1063" s="989"/>
      <c r="KKO1063" s="989"/>
      <c r="KKP1063" s="989"/>
      <c r="KKQ1063" s="989"/>
      <c r="KKR1063" s="989"/>
      <c r="KKS1063" s="989"/>
      <c r="KKT1063" s="989"/>
      <c r="KKU1063" s="989"/>
      <c r="KKV1063" s="989"/>
      <c r="KKW1063" s="989"/>
      <c r="KKX1063" s="989"/>
      <c r="KKY1063" s="989"/>
      <c r="KKZ1063" s="989"/>
      <c r="KLA1063" s="989"/>
      <c r="KLB1063" s="989"/>
      <c r="KLC1063" s="989"/>
      <c r="KLD1063" s="989"/>
      <c r="KLE1063" s="989"/>
      <c r="KLF1063" s="989"/>
      <c r="KLG1063" s="989"/>
      <c r="KLH1063" s="989"/>
      <c r="KLI1063" s="989"/>
      <c r="KLJ1063" s="989"/>
      <c r="KLK1063" s="989"/>
      <c r="KLL1063" s="989"/>
      <c r="KLM1063" s="989"/>
      <c r="KLN1063" s="989"/>
      <c r="KLO1063" s="989"/>
      <c r="KLP1063" s="989"/>
      <c r="KLQ1063" s="989"/>
      <c r="KLR1063" s="989"/>
      <c r="KLS1063" s="989"/>
      <c r="KLT1063" s="989"/>
      <c r="KLU1063" s="989"/>
      <c r="KLV1063" s="989"/>
      <c r="KLW1063" s="989"/>
      <c r="KLX1063" s="989"/>
      <c r="KLY1063" s="989"/>
      <c r="KLZ1063" s="989"/>
      <c r="KMA1063" s="989"/>
      <c r="KMB1063" s="989"/>
      <c r="KMC1063" s="989"/>
      <c r="KMD1063" s="989"/>
      <c r="KME1063" s="989"/>
      <c r="KMF1063" s="989"/>
      <c r="KMG1063" s="989"/>
      <c r="KMH1063" s="989"/>
      <c r="KMI1063" s="989"/>
      <c r="KMJ1063" s="989"/>
      <c r="KMK1063" s="989"/>
      <c r="KML1063" s="989"/>
      <c r="KMM1063" s="989"/>
      <c r="KMN1063" s="989"/>
      <c r="KMO1063" s="989"/>
      <c r="KMP1063" s="989"/>
      <c r="KMQ1063" s="989"/>
      <c r="KMR1063" s="989"/>
      <c r="KMS1063" s="989"/>
      <c r="KMT1063" s="989"/>
      <c r="KMU1063" s="989"/>
      <c r="KMV1063" s="989"/>
      <c r="KMW1063" s="989"/>
      <c r="KMX1063" s="989"/>
      <c r="KMY1063" s="989"/>
      <c r="KMZ1063" s="989"/>
      <c r="KNA1063" s="989"/>
      <c r="KNB1063" s="989"/>
      <c r="KNC1063" s="989"/>
      <c r="KND1063" s="989"/>
      <c r="KNE1063" s="989"/>
      <c r="KNF1063" s="989"/>
      <c r="KNG1063" s="989"/>
      <c r="KNH1063" s="989"/>
      <c r="KNI1063" s="989"/>
      <c r="KNJ1063" s="989"/>
      <c r="KNK1063" s="989"/>
      <c r="KNL1063" s="989"/>
      <c r="KNM1063" s="989"/>
      <c r="KNN1063" s="989"/>
      <c r="KNO1063" s="989"/>
      <c r="KNP1063" s="989"/>
      <c r="KNQ1063" s="989"/>
      <c r="KNR1063" s="989"/>
      <c r="KNS1063" s="989"/>
      <c r="KNT1063" s="989"/>
      <c r="KNU1063" s="989"/>
      <c r="KNV1063" s="989"/>
      <c r="KNW1063" s="989"/>
      <c r="KNX1063" s="989"/>
      <c r="KNY1063" s="989"/>
      <c r="KNZ1063" s="989"/>
      <c r="KOA1063" s="989"/>
      <c r="KOB1063" s="989"/>
      <c r="KOC1063" s="989"/>
      <c r="KOD1063" s="989"/>
      <c r="KOE1063" s="989"/>
      <c r="KOF1063" s="989"/>
      <c r="KOG1063" s="989"/>
      <c r="KOH1063" s="989"/>
      <c r="KOI1063" s="989"/>
      <c r="KOJ1063" s="989"/>
      <c r="KOK1063" s="989"/>
      <c r="KOL1063" s="989"/>
      <c r="KOM1063" s="989"/>
      <c r="KON1063" s="989"/>
      <c r="KOO1063" s="989"/>
      <c r="KOP1063" s="989"/>
      <c r="KOQ1063" s="989"/>
      <c r="KOR1063" s="989"/>
      <c r="KOS1063" s="989"/>
      <c r="KOT1063" s="989"/>
      <c r="KOU1063" s="989"/>
      <c r="KOV1063" s="989"/>
      <c r="KOW1063" s="989"/>
      <c r="KOX1063" s="989"/>
      <c r="KOY1063" s="989"/>
      <c r="KOZ1063" s="989"/>
      <c r="KPA1063" s="989"/>
      <c r="KPB1063" s="989"/>
      <c r="KPC1063" s="989"/>
      <c r="KPD1063" s="989"/>
      <c r="KPE1063" s="989"/>
      <c r="KPF1063" s="989"/>
      <c r="KPG1063" s="989"/>
      <c r="KPH1063" s="989"/>
      <c r="KPI1063" s="989"/>
      <c r="KPJ1063" s="989"/>
      <c r="KPK1063" s="989"/>
      <c r="KPL1063" s="989"/>
      <c r="KPM1063" s="989"/>
      <c r="KPN1063" s="989"/>
      <c r="KPO1063" s="989"/>
      <c r="KPP1063" s="989"/>
      <c r="KPQ1063" s="989"/>
      <c r="KPR1063" s="989"/>
      <c r="KPS1063" s="989"/>
      <c r="KPT1063" s="989"/>
      <c r="KPU1063" s="989"/>
      <c r="KPV1063" s="989"/>
      <c r="KPW1063" s="989"/>
      <c r="KPX1063" s="989"/>
      <c r="KPY1063" s="989"/>
      <c r="KPZ1063" s="989"/>
      <c r="KQA1063" s="989"/>
      <c r="KQB1063" s="989"/>
      <c r="KQC1063" s="989"/>
      <c r="KQD1063" s="989"/>
      <c r="KQE1063" s="989"/>
      <c r="KQF1063" s="989"/>
      <c r="KQG1063" s="989"/>
      <c r="KQH1063" s="989"/>
      <c r="KQI1063" s="989"/>
      <c r="KQJ1063" s="989"/>
      <c r="KQK1063" s="989"/>
      <c r="KQL1063" s="989"/>
      <c r="KQM1063" s="989"/>
      <c r="KQN1063" s="989"/>
      <c r="KQO1063" s="989"/>
      <c r="KQP1063" s="989"/>
      <c r="KQQ1063" s="989"/>
      <c r="KQR1063" s="989"/>
      <c r="KQS1063" s="989"/>
      <c r="KQT1063" s="989"/>
      <c r="KQU1063" s="989"/>
      <c r="KQV1063" s="989"/>
      <c r="KQW1063" s="989"/>
      <c r="KQX1063" s="989"/>
      <c r="KQY1063" s="989"/>
      <c r="KQZ1063" s="989"/>
      <c r="KRA1063" s="989"/>
      <c r="KRB1063" s="989"/>
      <c r="KRC1063" s="989"/>
      <c r="KRD1063" s="989"/>
      <c r="KRE1063" s="989"/>
      <c r="KRF1063" s="989"/>
      <c r="KRG1063" s="989"/>
      <c r="KRH1063" s="989"/>
      <c r="KRI1063" s="989"/>
      <c r="KRJ1063" s="989"/>
      <c r="KRK1063" s="989"/>
      <c r="KRL1063" s="989"/>
      <c r="KRM1063" s="989"/>
      <c r="KRN1063" s="989"/>
      <c r="KRO1063" s="989"/>
      <c r="KRP1063" s="989"/>
      <c r="KRQ1063" s="989"/>
      <c r="KRR1063" s="989"/>
      <c r="KRS1063" s="989"/>
      <c r="KRT1063" s="989"/>
      <c r="KRU1063" s="989"/>
      <c r="KRV1063" s="989"/>
      <c r="KRW1063" s="989"/>
      <c r="KRX1063" s="989"/>
      <c r="KRY1063" s="989"/>
      <c r="KRZ1063" s="989"/>
      <c r="KSA1063" s="989"/>
      <c r="KSB1063" s="989"/>
      <c r="KSC1063" s="989"/>
      <c r="KSD1063" s="989"/>
      <c r="KSE1063" s="989"/>
      <c r="KSF1063" s="989"/>
      <c r="KSG1063" s="989"/>
      <c r="KSH1063" s="989"/>
      <c r="KSI1063" s="989"/>
      <c r="KSJ1063" s="989"/>
      <c r="KSK1063" s="989"/>
      <c r="KSL1063" s="989"/>
      <c r="KSM1063" s="989"/>
      <c r="KSN1063" s="989"/>
      <c r="KSO1063" s="989"/>
      <c r="KSP1063" s="989"/>
      <c r="KSQ1063" s="989"/>
      <c r="KSR1063" s="989"/>
      <c r="KSS1063" s="989"/>
      <c r="KST1063" s="989"/>
      <c r="KSU1063" s="989"/>
      <c r="KSV1063" s="989"/>
      <c r="KSW1063" s="989"/>
      <c r="KSX1063" s="989"/>
      <c r="KSY1063" s="989"/>
      <c r="KSZ1063" s="989"/>
      <c r="KTA1063" s="989"/>
      <c r="KTB1063" s="989"/>
      <c r="KTC1063" s="989"/>
      <c r="KTD1063" s="989"/>
      <c r="KTE1063" s="989"/>
      <c r="KTF1063" s="989"/>
      <c r="KTG1063" s="989"/>
      <c r="KTH1063" s="989"/>
      <c r="KTI1063" s="989"/>
      <c r="KTJ1063" s="989"/>
      <c r="KTK1063" s="989"/>
      <c r="KTL1063" s="989"/>
      <c r="KTM1063" s="989"/>
      <c r="KTN1063" s="989"/>
      <c r="KTO1063" s="989"/>
      <c r="KTP1063" s="989"/>
      <c r="KTQ1063" s="989"/>
      <c r="KTR1063" s="989"/>
      <c r="KTS1063" s="989"/>
      <c r="KTT1063" s="989"/>
      <c r="KTU1063" s="989"/>
      <c r="KTV1063" s="989"/>
      <c r="KTW1063" s="989"/>
      <c r="KTX1063" s="989"/>
      <c r="KTY1063" s="989"/>
      <c r="KTZ1063" s="989"/>
      <c r="KUA1063" s="989"/>
      <c r="KUB1063" s="989"/>
      <c r="KUC1063" s="989"/>
      <c r="KUD1063" s="989"/>
      <c r="KUE1063" s="989"/>
      <c r="KUF1063" s="989"/>
      <c r="KUG1063" s="989"/>
      <c r="KUH1063" s="989"/>
      <c r="KUI1063" s="989"/>
      <c r="KUJ1063" s="989"/>
      <c r="KUK1063" s="989"/>
      <c r="KUL1063" s="989"/>
      <c r="KUM1063" s="989"/>
      <c r="KUN1063" s="989"/>
      <c r="KUO1063" s="989"/>
      <c r="KUP1063" s="989"/>
      <c r="KUQ1063" s="989"/>
      <c r="KUR1063" s="989"/>
      <c r="KUS1063" s="989"/>
      <c r="KUT1063" s="989"/>
      <c r="KUU1063" s="989"/>
      <c r="KUV1063" s="989"/>
      <c r="KUW1063" s="989"/>
      <c r="KUX1063" s="989"/>
      <c r="KUY1063" s="989"/>
      <c r="KUZ1063" s="989"/>
      <c r="KVA1063" s="989"/>
      <c r="KVB1063" s="989"/>
      <c r="KVC1063" s="989"/>
      <c r="KVD1063" s="989"/>
      <c r="KVE1063" s="989"/>
      <c r="KVF1063" s="989"/>
      <c r="KVG1063" s="989"/>
      <c r="KVH1063" s="989"/>
      <c r="KVI1063" s="989"/>
      <c r="KVJ1063" s="989"/>
      <c r="KVK1063" s="989"/>
      <c r="KVL1063" s="989"/>
      <c r="KVM1063" s="989"/>
      <c r="KVN1063" s="989"/>
      <c r="KVO1063" s="989"/>
      <c r="KVP1063" s="989"/>
      <c r="KVQ1063" s="989"/>
      <c r="KVR1063" s="989"/>
      <c r="KVS1063" s="989"/>
      <c r="KVT1063" s="989"/>
      <c r="KVU1063" s="989"/>
      <c r="KVV1063" s="989"/>
      <c r="KVW1063" s="989"/>
      <c r="KVX1063" s="989"/>
      <c r="KVY1063" s="989"/>
      <c r="KVZ1063" s="989"/>
      <c r="KWA1063" s="989"/>
      <c r="KWB1063" s="989"/>
      <c r="KWC1063" s="989"/>
      <c r="KWD1063" s="989"/>
      <c r="KWE1063" s="989"/>
      <c r="KWF1063" s="989"/>
      <c r="KWG1063" s="989"/>
      <c r="KWH1063" s="989"/>
      <c r="KWI1063" s="989"/>
      <c r="KWJ1063" s="989"/>
      <c r="KWK1063" s="989"/>
      <c r="KWL1063" s="989"/>
      <c r="KWM1063" s="989"/>
      <c r="KWN1063" s="989"/>
      <c r="KWO1063" s="989"/>
      <c r="KWP1063" s="989"/>
      <c r="KWQ1063" s="989"/>
      <c r="KWR1063" s="989"/>
      <c r="KWS1063" s="989"/>
      <c r="KWT1063" s="989"/>
      <c r="KWU1063" s="989"/>
      <c r="KWV1063" s="989"/>
      <c r="KWW1063" s="989"/>
      <c r="KWX1063" s="989"/>
      <c r="KWY1063" s="989"/>
      <c r="KWZ1063" s="989"/>
      <c r="KXA1063" s="989"/>
      <c r="KXB1063" s="989"/>
      <c r="KXC1063" s="989"/>
      <c r="KXD1063" s="989"/>
      <c r="KXE1063" s="989"/>
      <c r="KXF1063" s="989"/>
      <c r="KXG1063" s="989"/>
      <c r="KXH1063" s="989"/>
      <c r="KXI1063" s="989"/>
      <c r="KXJ1063" s="989"/>
      <c r="KXK1063" s="989"/>
      <c r="KXL1063" s="989"/>
      <c r="KXM1063" s="989"/>
      <c r="KXN1063" s="989"/>
      <c r="KXO1063" s="989"/>
      <c r="KXP1063" s="989"/>
      <c r="KXQ1063" s="989"/>
      <c r="KXR1063" s="989"/>
      <c r="KXS1063" s="989"/>
      <c r="KXT1063" s="989"/>
      <c r="KXU1063" s="989"/>
      <c r="KXV1063" s="989"/>
      <c r="KXW1063" s="989"/>
      <c r="KXX1063" s="989"/>
      <c r="KXY1063" s="989"/>
      <c r="KXZ1063" s="989"/>
      <c r="KYA1063" s="989"/>
      <c r="KYB1063" s="989"/>
      <c r="KYC1063" s="989"/>
      <c r="KYD1063" s="989"/>
      <c r="KYE1063" s="989"/>
      <c r="KYF1063" s="989"/>
      <c r="KYG1063" s="989"/>
      <c r="KYH1063" s="989"/>
      <c r="KYI1063" s="989"/>
      <c r="KYJ1063" s="989"/>
      <c r="KYK1063" s="989"/>
      <c r="KYL1063" s="989"/>
      <c r="KYM1063" s="989"/>
      <c r="KYN1063" s="989"/>
      <c r="KYO1063" s="989"/>
      <c r="KYP1063" s="989"/>
      <c r="KYQ1063" s="989"/>
      <c r="KYR1063" s="989"/>
      <c r="KYS1063" s="989"/>
      <c r="KYT1063" s="989"/>
      <c r="KYU1063" s="989"/>
      <c r="KYV1063" s="989"/>
      <c r="KYW1063" s="989"/>
      <c r="KYX1063" s="989"/>
      <c r="KYY1063" s="989"/>
      <c r="KYZ1063" s="989"/>
      <c r="KZA1063" s="989"/>
      <c r="KZB1063" s="989"/>
      <c r="KZC1063" s="989"/>
      <c r="KZD1063" s="989"/>
      <c r="KZE1063" s="989"/>
      <c r="KZF1063" s="989"/>
      <c r="KZG1063" s="989"/>
      <c r="KZH1063" s="989"/>
      <c r="KZI1063" s="989"/>
      <c r="KZJ1063" s="989"/>
      <c r="KZK1063" s="989"/>
      <c r="KZL1063" s="989"/>
      <c r="KZM1063" s="989"/>
      <c r="KZN1063" s="989"/>
      <c r="KZO1063" s="989"/>
      <c r="KZP1063" s="989"/>
      <c r="KZQ1063" s="989"/>
      <c r="KZR1063" s="989"/>
      <c r="KZS1063" s="989"/>
      <c r="KZT1063" s="989"/>
      <c r="KZU1063" s="989"/>
      <c r="KZV1063" s="989"/>
      <c r="KZW1063" s="989"/>
      <c r="KZX1063" s="989"/>
      <c r="KZY1063" s="989"/>
      <c r="KZZ1063" s="989"/>
      <c r="LAA1063" s="989"/>
      <c r="LAB1063" s="989"/>
      <c r="LAC1063" s="989"/>
      <c r="LAD1063" s="989"/>
      <c r="LAE1063" s="989"/>
      <c r="LAF1063" s="989"/>
      <c r="LAG1063" s="989"/>
      <c r="LAH1063" s="989"/>
      <c r="LAI1063" s="989"/>
      <c r="LAJ1063" s="989"/>
      <c r="LAK1063" s="989"/>
      <c r="LAL1063" s="989"/>
      <c r="LAM1063" s="989"/>
      <c r="LAN1063" s="989"/>
      <c r="LAO1063" s="989"/>
      <c r="LAP1063" s="989"/>
      <c r="LAQ1063" s="989"/>
      <c r="LAR1063" s="989"/>
      <c r="LAS1063" s="989"/>
      <c r="LAT1063" s="989"/>
      <c r="LAU1063" s="989"/>
      <c r="LAV1063" s="989"/>
      <c r="LAW1063" s="989"/>
      <c r="LAX1063" s="989"/>
      <c r="LAY1063" s="989"/>
      <c r="LAZ1063" s="989"/>
      <c r="LBA1063" s="989"/>
      <c r="LBB1063" s="989"/>
      <c r="LBC1063" s="989"/>
      <c r="LBD1063" s="989"/>
      <c r="LBE1063" s="989"/>
      <c r="LBF1063" s="989"/>
      <c r="LBG1063" s="989"/>
      <c r="LBH1063" s="989"/>
      <c r="LBI1063" s="989"/>
      <c r="LBJ1063" s="989"/>
      <c r="LBK1063" s="989"/>
      <c r="LBL1063" s="989"/>
      <c r="LBM1063" s="989"/>
      <c r="LBN1063" s="989"/>
      <c r="LBO1063" s="989"/>
      <c r="LBP1063" s="989"/>
      <c r="LBQ1063" s="989"/>
      <c r="LBR1063" s="989"/>
      <c r="LBS1063" s="989"/>
      <c r="LBT1063" s="989"/>
      <c r="LBU1063" s="989"/>
      <c r="LBV1063" s="989"/>
      <c r="LBW1063" s="989"/>
      <c r="LBX1063" s="989"/>
      <c r="LBY1063" s="989"/>
      <c r="LBZ1063" s="989"/>
      <c r="LCA1063" s="989"/>
      <c r="LCB1063" s="989"/>
      <c r="LCC1063" s="989"/>
      <c r="LCD1063" s="989"/>
      <c r="LCE1063" s="989"/>
      <c r="LCF1063" s="989"/>
      <c r="LCG1063" s="989"/>
      <c r="LCH1063" s="989"/>
      <c r="LCI1063" s="989"/>
      <c r="LCJ1063" s="989"/>
      <c r="LCK1063" s="989"/>
      <c r="LCL1063" s="989"/>
      <c r="LCM1063" s="989"/>
      <c r="LCN1063" s="989"/>
      <c r="LCO1063" s="989"/>
      <c r="LCP1063" s="989"/>
      <c r="LCQ1063" s="989"/>
      <c r="LCR1063" s="989"/>
      <c r="LCS1063" s="989"/>
      <c r="LCT1063" s="989"/>
      <c r="LCU1063" s="989"/>
      <c r="LCV1063" s="989"/>
      <c r="LCW1063" s="989"/>
      <c r="LCX1063" s="989"/>
      <c r="LCY1063" s="989"/>
      <c r="LCZ1063" s="989"/>
      <c r="LDA1063" s="989"/>
      <c r="LDB1063" s="989"/>
      <c r="LDC1063" s="989"/>
      <c r="LDD1063" s="989"/>
      <c r="LDE1063" s="989"/>
      <c r="LDF1063" s="989"/>
      <c r="LDG1063" s="989"/>
      <c r="LDH1063" s="989"/>
      <c r="LDI1063" s="989"/>
      <c r="LDJ1063" s="989"/>
      <c r="LDK1063" s="989"/>
      <c r="LDL1063" s="989"/>
      <c r="LDM1063" s="989"/>
      <c r="LDN1063" s="989"/>
      <c r="LDO1063" s="989"/>
      <c r="LDP1063" s="989"/>
      <c r="LDQ1063" s="989"/>
      <c r="LDR1063" s="989"/>
      <c r="LDS1063" s="989"/>
      <c r="LDT1063" s="989"/>
      <c r="LDU1063" s="989"/>
      <c r="LDV1063" s="989"/>
      <c r="LDW1063" s="989"/>
      <c r="LDX1063" s="989"/>
      <c r="LDY1063" s="989"/>
      <c r="LDZ1063" s="989"/>
      <c r="LEA1063" s="989"/>
      <c r="LEB1063" s="989"/>
      <c r="LEC1063" s="989"/>
      <c r="LED1063" s="989"/>
      <c r="LEE1063" s="989"/>
      <c r="LEF1063" s="989"/>
      <c r="LEG1063" s="989"/>
      <c r="LEH1063" s="989"/>
      <c r="LEI1063" s="989"/>
      <c r="LEJ1063" s="989"/>
      <c r="LEK1063" s="989"/>
      <c r="LEL1063" s="989"/>
      <c r="LEM1063" s="989"/>
      <c r="LEN1063" s="989"/>
      <c r="LEO1063" s="989"/>
      <c r="LEP1063" s="989"/>
      <c r="LEQ1063" s="989"/>
      <c r="LER1063" s="989"/>
      <c r="LES1063" s="989"/>
      <c r="LET1063" s="989"/>
      <c r="LEU1063" s="989"/>
      <c r="LEV1063" s="989"/>
      <c r="LEW1063" s="989"/>
      <c r="LEX1063" s="989"/>
      <c r="LEY1063" s="989"/>
      <c r="LEZ1063" s="989"/>
      <c r="LFA1063" s="989"/>
      <c r="LFB1063" s="989"/>
      <c r="LFC1063" s="989"/>
      <c r="LFD1063" s="989"/>
      <c r="LFE1063" s="989"/>
      <c r="LFF1063" s="989"/>
      <c r="LFG1063" s="989"/>
      <c r="LFH1063" s="989"/>
      <c r="LFI1063" s="989"/>
      <c r="LFJ1063" s="989"/>
      <c r="LFK1063" s="989"/>
      <c r="LFL1063" s="989"/>
      <c r="LFM1063" s="989"/>
      <c r="LFN1063" s="989"/>
      <c r="LFO1063" s="989"/>
      <c r="LFP1063" s="989"/>
      <c r="LFQ1063" s="989"/>
      <c r="LFR1063" s="989"/>
      <c r="LFS1063" s="989"/>
      <c r="LFT1063" s="989"/>
      <c r="LFU1063" s="989"/>
      <c r="LFV1063" s="989"/>
      <c r="LFW1063" s="989"/>
      <c r="LFX1063" s="989"/>
      <c r="LFY1063" s="989"/>
      <c r="LFZ1063" s="989"/>
      <c r="LGA1063" s="989"/>
      <c r="LGB1063" s="989"/>
      <c r="LGC1063" s="989"/>
      <c r="LGD1063" s="989"/>
      <c r="LGE1063" s="989"/>
      <c r="LGF1063" s="989"/>
      <c r="LGG1063" s="989"/>
      <c r="LGH1063" s="989"/>
      <c r="LGI1063" s="989"/>
      <c r="LGJ1063" s="989"/>
      <c r="LGK1063" s="989"/>
      <c r="LGL1063" s="989"/>
      <c r="LGM1063" s="989"/>
      <c r="LGN1063" s="989"/>
      <c r="LGO1063" s="989"/>
      <c r="LGP1063" s="989"/>
      <c r="LGQ1063" s="989"/>
      <c r="LGR1063" s="989"/>
      <c r="LGS1063" s="989"/>
      <c r="LGT1063" s="989"/>
      <c r="LGU1063" s="989"/>
      <c r="LGV1063" s="989"/>
      <c r="LGW1063" s="989"/>
      <c r="LGX1063" s="989"/>
      <c r="LGY1063" s="989"/>
      <c r="LGZ1063" s="989"/>
      <c r="LHA1063" s="989"/>
      <c r="LHB1063" s="989"/>
      <c r="LHC1063" s="989"/>
      <c r="LHD1063" s="989"/>
      <c r="LHE1063" s="989"/>
      <c r="LHF1063" s="989"/>
      <c r="LHG1063" s="989"/>
      <c r="LHH1063" s="989"/>
      <c r="LHI1063" s="989"/>
      <c r="LHJ1063" s="989"/>
      <c r="LHK1063" s="989"/>
      <c r="LHL1063" s="989"/>
      <c r="LHM1063" s="989"/>
      <c r="LHN1063" s="989"/>
      <c r="LHO1063" s="989"/>
      <c r="LHP1063" s="989"/>
      <c r="LHQ1063" s="989"/>
      <c r="LHR1063" s="989"/>
      <c r="LHS1063" s="989"/>
      <c r="LHT1063" s="989"/>
      <c r="LHU1063" s="989"/>
      <c r="LHV1063" s="989"/>
      <c r="LHW1063" s="989"/>
      <c r="LHX1063" s="989"/>
      <c r="LHY1063" s="989"/>
      <c r="LHZ1063" s="989"/>
      <c r="LIA1063" s="989"/>
      <c r="LIB1063" s="989"/>
      <c r="LIC1063" s="989"/>
      <c r="LID1063" s="989"/>
      <c r="LIE1063" s="989"/>
      <c r="LIF1063" s="989"/>
      <c r="LIG1063" s="989"/>
      <c r="LIH1063" s="989"/>
      <c r="LII1063" s="989"/>
      <c r="LIJ1063" s="989"/>
      <c r="LIK1063" s="989"/>
      <c r="LIL1063" s="989"/>
      <c r="LIM1063" s="989"/>
      <c r="LIN1063" s="989"/>
      <c r="LIO1063" s="989"/>
      <c r="LIP1063" s="989"/>
      <c r="LIQ1063" s="989"/>
      <c r="LIR1063" s="989"/>
      <c r="LIS1063" s="989"/>
      <c r="LIT1063" s="989"/>
      <c r="LIU1063" s="989"/>
      <c r="LIV1063" s="989"/>
      <c r="LIW1063" s="989"/>
      <c r="LIX1063" s="989"/>
      <c r="LIY1063" s="989"/>
      <c r="LIZ1063" s="989"/>
      <c r="LJA1063" s="989"/>
      <c r="LJB1063" s="989"/>
      <c r="LJC1063" s="989"/>
      <c r="LJD1063" s="989"/>
      <c r="LJE1063" s="989"/>
      <c r="LJF1063" s="989"/>
      <c r="LJG1063" s="989"/>
      <c r="LJH1063" s="989"/>
      <c r="LJI1063" s="989"/>
      <c r="LJJ1063" s="989"/>
      <c r="LJK1063" s="989"/>
      <c r="LJL1063" s="989"/>
      <c r="LJM1063" s="989"/>
      <c r="LJN1063" s="989"/>
      <c r="LJO1063" s="989"/>
      <c r="LJP1063" s="989"/>
      <c r="LJQ1063" s="989"/>
      <c r="LJR1063" s="989"/>
      <c r="LJS1063" s="989"/>
      <c r="LJT1063" s="989"/>
      <c r="LJU1063" s="989"/>
      <c r="LJV1063" s="989"/>
      <c r="LJW1063" s="989"/>
      <c r="LJX1063" s="989"/>
      <c r="LJY1063" s="989"/>
      <c r="LJZ1063" s="989"/>
      <c r="LKA1063" s="989"/>
      <c r="LKB1063" s="989"/>
      <c r="LKC1063" s="989"/>
      <c r="LKD1063" s="989"/>
      <c r="LKE1063" s="989"/>
      <c r="LKF1063" s="989"/>
      <c r="LKG1063" s="989"/>
      <c r="LKH1063" s="989"/>
      <c r="LKI1063" s="989"/>
      <c r="LKJ1063" s="989"/>
      <c r="LKK1063" s="989"/>
      <c r="LKL1063" s="989"/>
      <c r="LKM1063" s="989"/>
      <c r="LKN1063" s="989"/>
      <c r="LKO1063" s="989"/>
      <c r="LKP1063" s="989"/>
      <c r="LKQ1063" s="989"/>
      <c r="LKR1063" s="989"/>
      <c r="LKS1063" s="989"/>
      <c r="LKT1063" s="989"/>
      <c r="LKU1063" s="989"/>
      <c r="LKV1063" s="989"/>
      <c r="LKW1063" s="989"/>
      <c r="LKX1063" s="989"/>
      <c r="LKY1063" s="989"/>
      <c r="LKZ1063" s="989"/>
      <c r="LLA1063" s="989"/>
      <c r="LLB1063" s="989"/>
      <c r="LLC1063" s="989"/>
      <c r="LLD1063" s="989"/>
      <c r="LLE1063" s="989"/>
      <c r="LLF1063" s="989"/>
      <c r="LLG1063" s="989"/>
      <c r="LLH1063" s="989"/>
      <c r="LLI1063" s="989"/>
      <c r="LLJ1063" s="989"/>
      <c r="LLK1063" s="989"/>
      <c r="LLL1063" s="989"/>
      <c r="LLM1063" s="989"/>
      <c r="LLN1063" s="989"/>
      <c r="LLO1063" s="989"/>
      <c r="LLP1063" s="989"/>
      <c r="LLQ1063" s="989"/>
      <c r="LLR1063" s="989"/>
      <c r="LLS1063" s="989"/>
      <c r="LLT1063" s="989"/>
      <c r="LLU1063" s="989"/>
      <c r="LLV1063" s="989"/>
      <c r="LLW1063" s="989"/>
      <c r="LLX1063" s="989"/>
      <c r="LLY1063" s="989"/>
      <c r="LLZ1063" s="989"/>
      <c r="LMA1063" s="989"/>
      <c r="LMB1063" s="989"/>
      <c r="LMC1063" s="989"/>
      <c r="LMD1063" s="989"/>
      <c r="LME1063" s="989"/>
      <c r="LMF1063" s="989"/>
      <c r="LMG1063" s="989"/>
      <c r="LMH1063" s="989"/>
      <c r="LMI1063" s="989"/>
      <c r="LMJ1063" s="989"/>
      <c r="LMK1063" s="989"/>
      <c r="LML1063" s="989"/>
      <c r="LMM1063" s="989"/>
      <c r="LMN1063" s="989"/>
      <c r="LMO1063" s="989"/>
      <c r="LMP1063" s="989"/>
      <c r="LMQ1063" s="989"/>
      <c r="LMR1063" s="989"/>
      <c r="LMS1063" s="989"/>
      <c r="LMT1063" s="989"/>
      <c r="LMU1063" s="989"/>
      <c r="LMV1063" s="989"/>
      <c r="LMW1063" s="989"/>
      <c r="LMX1063" s="989"/>
      <c r="LMY1063" s="989"/>
      <c r="LMZ1063" s="989"/>
      <c r="LNA1063" s="989"/>
      <c r="LNB1063" s="989"/>
      <c r="LNC1063" s="989"/>
      <c r="LND1063" s="989"/>
      <c r="LNE1063" s="989"/>
      <c r="LNF1063" s="989"/>
      <c r="LNG1063" s="989"/>
      <c r="LNH1063" s="989"/>
      <c r="LNI1063" s="989"/>
      <c r="LNJ1063" s="989"/>
      <c r="LNK1063" s="989"/>
      <c r="LNL1063" s="989"/>
      <c r="LNM1063" s="989"/>
      <c r="LNN1063" s="989"/>
      <c r="LNO1063" s="989"/>
      <c r="LNP1063" s="989"/>
      <c r="LNQ1063" s="989"/>
      <c r="LNR1063" s="989"/>
      <c r="LNS1063" s="989"/>
      <c r="LNT1063" s="989"/>
      <c r="LNU1063" s="989"/>
      <c r="LNV1063" s="989"/>
      <c r="LNW1063" s="989"/>
      <c r="LNX1063" s="989"/>
      <c r="LNY1063" s="989"/>
      <c r="LNZ1063" s="989"/>
      <c r="LOA1063" s="989"/>
      <c r="LOB1063" s="989"/>
      <c r="LOC1063" s="989"/>
      <c r="LOD1063" s="989"/>
      <c r="LOE1063" s="989"/>
      <c r="LOF1063" s="989"/>
      <c r="LOG1063" s="989"/>
      <c r="LOH1063" s="989"/>
      <c r="LOI1063" s="989"/>
      <c r="LOJ1063" s="989"/>
      <c r="LOK1063" s="989"/>
      <c r="LOL1063" s="989"/>
      <c r="LOM1063" s="989"/>
      <c r="LON1063" s="989"/>
      <c r="LOO1063" s="989"/>
      <c r="LOP1063" s="989"/>
      <c r="LOQ1063" s="989"/>
      <c r="LOR1063" s="989"/>
      <c r="LOS1063" s="989"/>
      <c r="LOT1063" s="989"/>
      <c r="LOU1063" s="989"/>
      <c r="LOV1063" s="989"/>
      <c r="LOW1063" s="989"/>
      <c r="LOX1063" s="989"/>
      <c r="LOY1063" s="989"/>
      <c r="LOZ1063" s="989"/>
      <c r="LPA1063" s="989"/>
      <c r="LPB1063" s="989"/>
      <c r="LPC1063" s="989"/>
      <c r="LPD1063" s="989"/>
      <c r="LPE1063" s="989"/>
      <c r="LPF1063" s="989"/>
      <c r="LPG1063" s="989"/>
      <c r="LPH1063" s="989"/>
      <c r="LPI1063" s="989"/>
      <c r="LPJ1063" s="989"/>
      <c r="LPK1063" s="989"/>
      <c r="LPL1063" s="989"/>
      <c r="LPM1063" s="989"/>
      <c r="LPN1063" s="989"/>
      <c r="LPO1063" s="989"/>
      <c r="LPP1063" s="989"/>
      <c r="LPQ1063" s="989"/>
      <c r="LPR1063" s="989"/>
      <c r="LPS1063" s="989"/>
      <c r="LPT1063" s="989"/>
      <c r="LPU1063" s="989"/>
      <c r="LPV1063" s="989"/>
      <c r="LPW1063" s="989"/>
      <c r="LPX1063" s="989"/>
      <c r="LPY1063" s="989"/>
      <c r="LPZ1063" s="989"/>
      <c r="LQA1063" s="989"/>
      <c r="LQB1063" s="989"/>
      <c r="LQC1063" s="989"/>
      <c r="LQD1063" s="989"/>
      <c r="LQE1063" s="989"/>
      <c r="LQF1063" s="989"/>
      <c r="LQG1063" s="989"/>
      <c r="LQH1063" s="989"/>
      <c r="LQI1063" s="989"/>
      <c r="LQJ1063" s="989"/>
      <c r="LQK1063" s="989"/>
      <c r="LQL1063" s="989"/>
      <c r="LQM1063" s="989"/>
      <c r="LQN1063" s="989"/>
      <c r="LQO1063" s="989"/>
      <c r="LQP1063" s="989"/>
      <c r="LQQ1063" s="989"/>
      <c r="LQR1063" s="989"/>
      <c r="LQS1063" s="989"/>
      <c r="LQT1063" s="989"/>
      <c r="LQU1063" s="989"/>
      <c r="LQV1063" s="989"/>
      <c r="LQW1063" s="989"/>
      <c r="LQX1063" s="989"/>
      <c r="LQY1063" s="989"/>
      <c r="LQZ1063" s="989"/>
      <c r="LRA1063" s="989"/>
      <c r="LRB1063" s="989"/>
      <c r="LRC1063" s="989"/>
      <c r="LRD1063" s="989"/>
      <c r="LRE1063" s="989"/>
      <c r="LRF1063" s="989"/>
      <c r="LRG1063" s="989"/>
      <c r="LRH1063" s="989"/>
      <c r="LRI1063" s="989"/>
      <c r="LRJ1063" s="989"/>
      <c r="LRK1063" s="989"/>
      <c r="LRL1063" s="989"/>
      <c r="LRM1063" s="989"/>
      <c r="LRN1063" s="989"/>
      <c r="LRO1063" s="989"/>
      <c r="LRP1063" s="989"/>
      <c r="LRQ1063" s="989"/>
      <c r="LRR1063" s="989"/>
      <c r="LRS1063" s="989"/>
      <c r="LRT1063" s="989"/>
      <c r="LRU1063" s="989"/>
      <c r="LRV1063" s="989"/>
      <c r="LRW1063" s="989"/>
      <c r="LRX1063" s="989"/>
      <c r="LRY1063" s="989"/>
      <c r="LRZ1063" s="989"/>
      <c r="LSA1063" s="989"/>
      <c r="LSB1063" s="989"/>
      <c r="LSC1063" s="989"/>
      <c r="LSD1063" s="989"/>
      <c r="LSE1063" s="989"/>
      <c r="LSF1063" s="989"/>
      <c r="LSG1063" s="989"/>
      <c r="LSH1063" s="989"/>
      <c r="LSI1063" s="989"/>
      <c r="LSJ1063" s="989"/>
      <c r="LSK1063" s="989"/>
      <c r="LSL1063" s="989"/>
      <c r="LSM1063" s="989"/>
      <c r="LSN1063" s="989"/>
      <c r="LSO1063" s="989"/>
      <c r="LSP1063" s="989"/>
      <c r="LSQ1063" s="989"/>
      <c r="LSR1063" s="989"/>
      <c r="LSS1063" s="989"/>
      <c r="LST1063" s="989"/>
      <c r="LSU1063" s="989"/>
      <c r="LSV1063" s="989"/>
      <c r="LSW1063" s="989"/>
      <c r="LSX1063" s="989"/>
      <c r="LSY1063" s="989"/>
      <c r="LSZ1063" s="989"/>
      <c r="LTA1063" s="989"/>
      <c r="LTB1063" s="989"/>
      <c r="LTC1063" s="989"/>
      <c r="LTD1063" s="989"/>
      <c r="LTE1063" s="989"/>
      <c r="LTF1063" s="989"/>
      <c r="LTG1063" s="989"/>
      <c r="LTH1063" s="989"/>
      <c r="LTI1063" s="989"/>
      <c r="LTJ1063" s="989"/>
      <c r="LTK1063" s="989"/>
      <c r="LTL1063" s="989"/>
      <c r="LTM1063" s="989"/>
      <c r="LTN1063" s="989"/>
      <c r="LTO1063" s="989"/>
      <c r="LTP1063" s="989"/>
      <c r="LTQ1063" s="989"/>
      <c r="LTR1063" s="989"/>
      <c r="LTS1063" s="989"/>
      <c r="LTT1063" s="989"/>
      <c r="LTU1063" s="989"/>
      <c r="LTV1063" s="989"/>
      <c r="LTW1063" s="989"/>
      <c r="LTX1063" s="989"/>
      <c r="LTY1063" s="989"/>
      <c r="LTZ1063" s="989"/>
      <c r="LUA1063" s="989"/>
      <c r="LUB1063" s="989"/>
      <c r="LUC1063" s="989"/>
      <c r="LUD1063" s="989"/>
      <c r="LUE1063" s="989"/>
      <c r="LUF1063" s="989"/>
      <c r="LUG1063" s="989"/>
      <c r="LUH1063" s="989"/>
      <c r="LUI1063" s="989"/>
      <c r="LUJ1063" s="989"/>
      <c r="LUK1063" s="989"/>
      <c r="LUL1063" s="989"/>
      <c r="LUM1063" s="989"/>
      <c r="LUN1063" s="989"/>
      <c r="LUO1063" s="989"/>
      <c r="LUP1063" s="989"/>
      <c r="LUQ1063" s="989"/>
      <c r="LUR1063" s="989"/>
      <c r="LUS1063" s="989"/>
      <c r="LUT1063" s="989"/>
      <c r="LUU1063" s="989"/>
      <c r="LUV1063" s="989"/>
      <c r="LUW1063" s="989"/>
      <c r="LUX1063" s="989"/>
      <c r="LUY1063" s="989"/>
      <c r="LUZ1063" s="989"/>
      <c r="LVA1063" s="989"/>
      <c r="LVB1063" s="989"/>
      <c r="LVC1063" s="989"/>
      <c r="LVD1063" s="989"/>
      <c r="LVE1063" s="989"/>
      <c r="LVF1063" s="989"/>
      <c r="LVG1063" s="989"/>
      <c r="LVH1063" s="989"/>
      <c r="LVI1063" s="989"/>
      <c r="LVJ1063" s="989"/>
      <c r="LVK1063" s="989"/>
      <c r="LVL1063" s="989"/>
      <c r="LVM1063" s="989"/>
      <c r="LVN1063" s="989"/>
      <c r="LVO1063" s="989"/>
      <c r="LVP1063" s="989"/>
      <c r="LVQ1063" s="989"/>
      <c r="LVR1063" s="989"/>
      <c r="LVS1063" s="989"/>
      <c r="LVT1063" s="989"/>
      <c r="LVU1063" s="989"/>
      <c r="LVV1063" s="989"/>
      <c r="LVW1063" s="989"/>
      <c r="LVX1063" s="989"/>
      <c r="LVY1063" s="989"/>
      <c r="LVZ1063" s="989"/>
      <c r="LWA1063" s="989"/>
      <c r="LWB1063" s="989"/>
      <c r="LWC1063" s="989"/>
      <c r="LWD1063" s="989"/>
      <c r="LWE1063" s="989"/>
      <c r="LWF1063" s="989"/>
      <c r="LWG1063" s="989"/>
      <c r="LWH1063" s="989"/>
      <c r="LWI1063" s="989"/>
      <c r="LWJ1063" s="989"/>
      <c r="LWK1063" s="989"/>
      <c r="LWL1063" s="989"/>
      <c r="LWM1063" s="989"/>
      <c r="LWN1063" s="989"/>
      <c r="LWO1063" s="989"/>
      <c r="LWP1063" s="989"/>
      <c r="LWQ1063" s="989"/>
      <c r="LWR1063" s="989"/>
      <c r="LWS1063" s="989"/>
      <c r="LWT1063" s="989"/>
      <c r="LWU1063" s="989"/>
      <c r="LWV1063" s="989"/>
      <c r="LWW1063" s="989"/>
      <c r="LWX1063" s="989"/>
      <c r="LWY1063" s="989"/>
      <c r="LWZ1063" s="989"/>
      <c r="LXA1063" s="989"/>
      <c r="LXB1063" s="989"/>
      <c r="LXC1063" s="989"/>
      <c r="LXD1063" s="989"/>
      <c r="LXE1063" s="989"/>
      <c r="LXF1063" s="989"/>
      <c r="LXG1063" s="989"/>
      <c r="LXH1063" s="989"/>
      <c r="LXI1063" s="989"/>
      <c r="LXJ1063" s="989"/>
      <c r="LXK1063" s="989"/>
      <c r="LXL1063" s="989"/>
      <c r="LXM1063" s="989"/>
      <c r="LXN1063" s="989"/>
      <c r="LXO1063" s="989"/>
      <c r="LXP1063" s="989"/>
      <c r="LXQ1063" s="989"/>
      <c r="LXR1063" s="989"/>
      <c r="LXS1063" s="989"/>
      <c r="LXT1063" s="989"/>
      <c r="LXU1063" s="989"/>
      <c r="LXV1063" s="989"/>
      <c r="LXW1063" s="989"/>
      <c r="LXX1063" s="989"/>
      <c r="LXY1063" s="989"/>
      <c r="LXZ1063" s="989"/>
      <c r="LYA1063" s="989"/>
      <c r="LYB1063" s="989"/>
      <c r="LYC1063" s="989"/>
      <c r="LYD1063" s="989"/>
      <c r="LYE1063" s="989"/>
      <c r="LYF1063" s="989"/>
      <c r="LYG1063" s="989"/>
      <c r="LYH1063" s="989"/>
      <c r="LYI1063" s="989"/>
      <c r="LYJ1063" s="989"/>
      <c r="LYK1063" s="989"/>
      <c r="LYL1063" s="989"/>
      <c r="LYM1063" s="989"/>
      <c r="LYN1063" s="989"/>
      <c r="LYO1063" s="989"/>
      <c r="LYP1063" s="989"/>
      <c r="LYQ1063" s="989"/>
      <c r="LYR1063" s="989"/>
      <c r="LYS1063" s="989"/>
      <c r="LYT1063" s="989"/>
      <c r="LYU1063" s="989"/>
      <c r="LYV1063" s="989"/>
      <c r="LYW1063" s="989"/>
      <c r="LYX1063" s="989"/>
      <c r="LYY1063" s="989"/>
      <c r="LYZ1063" s="989"/>
      <c r="LZA1063" s="989"/>
      <c r="LZB1063" s="989"/>
      <c r="LZC1063" s="989"/>
      <c r="LZD1063" s="989"/>
      <c r="LZE1063" s="989"/>
      <c r="LZF1063" s="989"/>
      <c r="LZG1063" s="989"/>
      <c r="LZH1063" s="989"/>
      <c r="LZI1063" s="989"/>
      <c r="LZJ1063" s="989"/>
      <c r="LZK1063" s="989"/>
      <c r="LZL1063" s="989"/>
      <c r="LZM1063" s="989"/>
      <c r="LZN1063" s="989"/>
      <c r="LZO1063" s="989"/>
      <c r="LZP1063" s="989"/>
      <c r="LZQ1063" s="989"/>
      <c r="LZR1063" s="989"/>
      <c r="LZS1063" s="989"/>
      <c r="LZT1063" s="989"/>
      <c r="LZU1063" s="989"/>
      <c r="LZV1063" s="989"/>
      <c r="LZW1063" s="989"/>
      <c r="LZX1063" s="989"/>
      <c r="LZY1063" s="989"/>
      <c r="LZZ1063" s="989"/>
      <c r="MAA1063" s="989"/>
      <c r="MAB1063" s="989"/>
      <c r="MAC1063" s="989"/>
      <c r="MAD1063" s="989"/>
      <c r="MAE1063" s="989"/>
      <c r="MAF1063" s="989"/>
      <c r="MAG1063" s="989"/>
      <c r="MAH1063" s="989"/>
      <c r="MAI1063" s="989"/>
      <c r="MAJ1063" s="989"/>
      <c r="MAK1063" s="989"/>
      <c r="MAL1063" s="989"/>
      <c r="MAM1063" s="989"/>
      <c r="MAN1063" s="989"/>
      <c r="MAO1063" s="989"/>
      <c r="MAP1063" s="989"/>
      <c r="MAQ1063" s="989"/>
      <c r="MAR1063" s="989"/>
      <c r="MAS1063" s="989"/>
      <c r="MAT1063" s="989"/>
      <c r="MAU1063" s="989"/>
      <c r="MAV1063" s="989"/>
      <c r="MAW1063" s="989"/>
      <c r="MAX1063" s="989"/>
      <c r="MAY1063" s="989"/>
      <c r="MAZ1063" s="989"/>
      <c r="MBA1063" s="989"/>
      <c r="MBB1063" s="989"/>
      <c r="MBC1063" s="989"/>
      <c r="MBD1063" s="989"/>
      <c r="MBE1063" s="989"/>
      <c r="MBF1063" s="989"/>
      <c r="MBG1063" s="989"/>
      <c r="MBH1063" s="989"/>
      <c r="MBI1063" s="989"/>
      <c r="MBJ1063" s="989"/>
      <c r="MBK1063" s="989"/>
      <c r="MBL1063" s="989"/>
      <c r="MBM1063" s="989"/>
      <c r="MBN1063" s="989"/>
      <c r="MBO1063" s="989"/>
      <c r="MBP1063" s="989"/>
      <c r="MBQ1063" s="989"/>
      <c r="MBR1063" s="989"/>
      <c r="MBS1063" s="989"/>
      <c r="MBT1063" s="989"/>
      <c r="MBU1063" s="989"/>
      <c r="MBV1063" s="989"/>
      <c r="MBW1063" s="989"/>
      <c r="MBX1063" s="989"/>
      <c r="MBY1063" s="989"/>
      <c r="MBZ1063" s="989"/>
      <c r="MCA1063" s="989"/>
      <c r="MCB1063" s="989"/>
      <c r="MCC1063" s="989"/>
      <c r="MCD1063" s="989"/>
      <c r="MCE1063" s="989"/>
      <c r="MCF1063" s="989"/>
      <c r="MCG1063" s="989"/>
      <c r="MCH1063" s="989"/>
      <c r="MCI1063" s="989"/>
      <c r="MCJ1063" s="989"/>
      <c r="MCK1063" s="989"/>
      <c r="MCL1063" s="989"/>
      <c r="MCM1063" s="989"/>
      <c r="MCN1063" s="989"/>
      <c r="MCO1063" s="989"/>
      <c r="MCP1063" s="989"/>
      <c r="MCQ1063" s="989"/>
      <c r="MCR1063" s="989"/>
      <c r="MCS1063" s="989"/>
      <c r="MCT1063" s="989"/>
      <c r="MCU1063" s="989"/>
      <c r="MCV1063" s="989"/>
      <c r="MCW1063" s="989"/>
      <c r="MCX1063" s="989"/>
      <c r="MCY1063" s="989"/>
      <c r="MCZ1063" s="989"/>
      <c r="MDA1063" s="989"/>
      <c r="MDB1063" s="989"/>
      <c r="MDC1063" s="989"/>
      <c r="MDD1063" s="989"/>
      <c r="MDE1063" s="989"/>
      <c r="MDF1063" s="989"/>
      <c r="MDG1063" s="989"/>
      <c r="MDH1063" s="989"/>
      <c r="MDI1063" s="989"/>
      <c r="MDJ1063" s="989"/>
      <c r="MDK1063" s="989"/>
      <c r="MDL1063" s="989"/>
      <c r="MDM1063" s="989"/>
      <c r="MDN1063" s="989"/>
      <c r="MDO1063" s="989"/>
      <c r="MDP1063" s="989"/>
      <c r="MDQ1063" s="989"/>
      <c r="MDR1063" s="989"/>
      <c r="MDS1063" s="989"/>
      <c r="MDT1063" s="989"/>
      <c r="MDU1063" s="989"/>
      <c r="MDV1063" s="989"/>
      <c r="MDW1063" s="989"/>
      <c r="MDX1063" s="989"/>
      <c r="MDY1063" s="989"/>
      <c r="MDZ1063" s="989"/>
      <c r="MEA1063" s="989"/>
      <c r="MEB1063" s="989"/>
      <c r="MEC1063" s="989"/>
      <c r="MED1063" s="989"/>
      <c r="MEE1063" s="989"/>
      <c r="MEF1063" s="989"/>
      <c r="MEG1063" s="989"/>
      <c r="MEH1063" s="989"/>
      <c r="MEI1063" s="989"/>
      <c r="MEJ1063" s="989"/>
      <c r="MEK1063" s="989"/>
      <c r="MEL1063" s="989"/>
      <c r="MEM1063" s="989"/>
      <c r="MEN1063" s="989"/>
      <c r="MEO1063" s="989"/>
      <c r="MEP1063" s="989"/>
      <c r="MEQ1063" s="989"/>
      <c r="MER1063" s="989"/>
      <c r="MES1063" s="989"/>
      <c r="MET1063" s="989"/>
      <c r="MEU1063" s="989"/>
      <c r="MEV1063" s="989"/>
      <c r="MEW1063" s="989"/>
      <c r="MEX1063" s="989"/>
      <c r="MEY1063" s="989"/>
      <c r="MEZ1063" s="989"/>
      <c r="MFA1063" s="989"/>
      <c r="MFB1063" s="989"/>
      <c r="MFC1063" s="989"/>
      <c r="MFD1063" s="989"/>
      <c r="MFE1063" s="989"/>
      <c r="MFF1063" s="989"/>
      <c r="MFG1063" s="989"/>
      <c r="MFH1063" s="989"/>
      <c r="MFI1063" s="989"/>
      <c r="MFJ1063" s="989"/>
      <c r="MFK1063" s="989"/>
      <c r="MFL1063" s="989"/>
      <c r="MFM1063" s="989"/>
      <c r="MFN1063" s="989"/>
      <c r="MFO1063" s="989"/>
      <c r="MFP1063" s="989"/>
      <c r="MFQ1063" s="989"/>
      <c r="MFR1063" s="989"/>
      <c r="MFS1063" s="989"/>
      <c r="MFT1063" s="989"/>
      <c r="MFU1063" s="989"/>
      <c r="MFV1063" s="989"/>
      <c r="MFW1063" s="989"/>
      <c r="MFX1063" s="989"/>
      <c r="MFY1063" s="989"/>
      <c r="MFZ1063" s="989"/>
      <c r="MGA1063" s="989"/>
      <c r="MGB1063" s="989"/>
      <c r="MGC1063" s="989"/>
      <c r="MGD1063" s="989"/>
      <c r="MGE1063" s="989"/>
      <c r="MGF1063" s="989"/>
      <c r="MGG1063" s="989"/>
      <c r="MGH1063" s="989"/>
      <c r="MGI1063" s="989"/>
      <c r="MGJ1063" s="989"/>
      <c r="MGK1063" s="989"/>
      <c r="MGL1063" s="989"/>
      <c r="MGM1063" s="989"/>
      <c r="MGN1063" s="989"/>
      <c r="MGO1063" s="989"/>
      <c r="MGP1063" s="989"/>
      <c r="MGQ1063" s="989"/>
      <c r="MGR1063" s="989"/>
      <c r="MGS1063" s="989"/>
      <c r="MGT1063" s="989"/>
      <c r="MGU1063" s="989"/>
      <c r="MGV1063" s="989"/>
      <c r="MGW1063" s="989"/>
      <c r="MGX1063" s="989"/>
      <c r="MGY1063" s="989"/>
      <c r="MGZ1063" s="989"/>
      <c r="MHA1063" s="989"/>
      <c r="MHB1063" s="989"/>
      <c r="MHC1063" s="989"/>
      <c r="MHD1063" s="989"/>
      <c r="MHE1063" s="989"/>
      <c r="MHF1063" s="989"/>
      <c r="MHG1063" s="989"/>
      <c r="MHH1063" s="989"/>
      <c r="MHI1063" s="989"/>
      <c r="MHJ1063" s="989"/>
      <c r="MHK1063" s="989"/>
      <c r="MHL1063" s="989"/>
      <c r="MHM1063" s="989"/>
      <c r="MHN1063" s="989"/>
      <c r="MHO1063" s="989"/>
      <c r="MHP1063" s="989"/>
      <c r="MHQ1063" s="989"/>
      <c r="MHR1063" s="989"/>
      <c r="MHS1063" s="989"/>
      <c r="MHT1063" s="989"/>
      <c r="MHU1063" s="989"/>
      <c r="MHV1063" s="989"/>
      <c r="MHW1063" s="989"/>
      <c r="MHX1063" s="989"/>
      <c r="MHY1063" s="989"/>
      <c r="MHZ1063" s="989"/>
      <c r="MIA1063" s="989"/>
      <c r="MIB1063" s="989"/>
      <c r="MIC1063" s="989"/>
      <c r="MID1063" s="989"/>
      <c r="MIE1063" s="989"/>
      <c r="MIF1063" s="989"/>
      <c r="MIG1063" s="989"/>
      <c r="MIH1063" s="989"/>
      <c r="MII1063" s="989"/>
      <c r="MIJ1063" s="989"/>
      <c r="MIK1063" s="989"/>
      <c r="MIL1063" s="989"/>
      <c r="MIM1063" s="989"/>
      <c r="MIN1063" s="989"/>
      <c r="MIO1063" s="989"/>
      <c r="MIP1063" s="989"/>
      <c r="MIQ1063" s="989"/>
      <c r="MIR1063" s="989"/>
      <c r="MIS1063" s="989"/>
      <c r="MIT1063" s="989"/>
      <c r="MIU1063" s="989"/>
      <c r="MIV1063" s="989"/>
      <c r="MIW1063" s="989"/>
      <c r="MIX1063" s="989"/>
      <c r="MIY1063" s="989"/>
      <c r="MIZ1063" s="989"/>
      <c r="MJA1063" s="989"/>
      <c r="MJB1063" s="989"/>
      <c r="MJC1063" s="989"/>
      <c r="MJD1063" s="989"/>
      <c r="MJE1063" s="989"/>
      <c r="MJF1063" s="989"/>
      <c r="MJG1063" s="989"/>
      <c r="MJH1063" s="989"/>
      <c r="MJI1063" s="989"/>
      <c r="MJJ1063" s="989"/>
      <c r="MJK1063" s="989"/>
      <c r="MJL1063" s="989"/>
      <c r="MJM1063" s="989"/>
      <c r="MJN1063" s="989"/>
      <c r="MJO1063" s="989"/>
      <c r="MJP1063" s="989"/>
      <c r="MJQ1063" s="989"/>
      <c r="MJR1063" s="989"/>
      <c r="MJS1063" s="989"/>
      <c r="MJT1063" s="989"/>
      <c r="MJU1063" s="989"/>
      <c r="MJV1063" s="989"/>
      <c r="MJW1063" s="989"/>
      <c r="MJX1063" s="989"/>
      <c r="MJY1063" s="989"/>
      <c r="MJZ1063" s="989"/>
      <c r="MKA1063" s="989"/>
      <c r="MKB1063" s="989"/>
      <c r="MKC1063" s="989"/>
      <c r="MKD1063" s="989"/>
      <c r="MKE1063" s="989"/>
      <c r="MKF1063" s="989"/>
      <c r="MKG1063" s="989"/>
      <c r="MKH1063" s="989"/>
      <c r="MKI1063" s="989"/>
      <c r="MKJ1063" s="989"/>
      <c r="MKK1063" s="989"/>
      <c r="MKL1063" s="989"/>
      <c r="MKM1063" s="989"/>
      <c r="MKN1063" s="989"/>
      <c r="MKO1063" s="989"/>
      <c r="MKP1063" s="989"/>
      <c r="MKQ1063" s="989"/>
      <c r="MKR1063" s="989"/>
      <c r="MKS1063" s="989"/>
      <c r="MKT1063" s="989"/>
      <c r="MKU1063" s="989"/>
      <c r="MKV1063" s="989"/>
      <c r="MKW1063" s="989"/>
      <c r="MKX1063" s="989"/>
      <c r="MKY1063" s="989"/>
      <c r="MKZ1063" s="989"/>
      <c r="MLA1063" s="989"/>
      <c r="MLB1063" s="989"/>
      <c r="MLC1063" s="989"/>
      <c r="MLD1063" s="989"/>
      <c r="MLE1063" s="989"/>
      <c r="MLF1063" s="989"/>
      <c r="MLG1063" s="989"/>
      <c r="MLH1063" s="989"/>
      <c r="MLI1063" s="989"/>
      <c r="MLJ1063" s="989"/>
      <c r="MLK1063" s="989"/>
      <c r="MLL1063" s="989"/>
      <c r="MLM1063" s="989"/>
      <c r="MLN1063" s="989"/>
      <c r="MLO1063" s="989"/>
      <c r="MLP1063" s="989"/>
      <c r="MLQ1063" s="989"/>
      <c r="MLR1063" s="989"/>
      <c r="MLS1063" s="989"/>
      <c r="MLT1063" s="989"/>
      <c r="MLU1063" s="989"/>
      <c r="MLV1063" s="989"/>
      <c r="MLW1063" s="989"/>
      <c r="MLX1063" s="989"/>
      <c r="MLY1063" s="989"/>
      <c r="MLZ1063" s="989"/>
      <c r="MMA1063" s="989"/>
      <c r="MMB1063" s="989"/>
      <c r="MMC1063" s="989"/>
      <c r="MMD1063" s="989"/>
      <c r="MME1063" s="989"/>
      <c r="MMF1063" s="989"/>
      <c r="MMG1063" s="989"/>
      <c r="MMH1063" s="989"/>
      <c r="MMI1063" s="989"/>
      <c r="MMJ1063" s="989"/>
      <c r="MMK1063" s="989"/>
      <c r="MML1063" s="989"/>
      <c r="MMM1063" s="989"/>
      <c r="MMN1063" s="989"/>
      <c r="MMO1063" s="989"/>
      <c r="MMP1063" s="989"/>
      <c r="MMQ1063" s="989"/>
      <c r="MMR1063" s="989"/>
      <c r="MMS1063" s="989"/>
      <c r="MMT1063" s="989"/>
      <c r="MMU1063" s="989"/>
      <c r="MMV1063" s="989"/>
      <c r="MMW1063" s="989"/>
      <c r="MMX1063" s="989"/>
      <c r="MMY1063" s="989"/>
      <c r="MMZ1063" s="989"/>
      <c r="MNA1063" s="989"/>
      <c r="MNB1063" s="989"/>
      <c r="MNC1063" s="989"/>
      <c r="MND1063" s="989"/>
      <c r="MNE1063" s="989"/>
      <c r="MNF1063" s="989"/>
      <c r="MNG1063" s="989"/>
      <c r="MNH1063" s="989"/>
      <c r="MNI1063" s="989"/>
      <c r="MNJ1063" s="989"/>
      <c r="MNK1063" s="989"/>
      <c r="MNL1063" s="989"/>
      <c r="MNM1063" s="989"/>
      <c r="MNN1063" s="989"/>
      <c r="MNO1063" s="989"/>
      <c r="MNP1063" s="989"/>
      <c r="MNQ1063" s="989"/>
      <c r="MNR1063" s="989"/>
      <c r="MNS1063" s="989"/>
      <c r="MNT1063" s="989"/>
      <c r="MNU1063" s="989"/>
      <c r="MNV1063" s="989"/>
      <c r="MNW1063" s="989"/>
      <c r="MNX1063" s="989"/>
      <c r="MNY1063" s="989"/>
      <c r="MNZ1063" s="989"/>
      <c r="MOA1063" s="989"/>
      <c r="MOB1063" s="989"/>
      <c r="MOC1063" s="989"/>
      <c r="MOD1063" s="989"/>
      <c r="MOE1063" s="989"/>
      <c r="MOF1063" s="989"/>
      <c r="MOG1063" s="989"/>
      <c r="MOH1063" s="989"/>
      <c r="MOI1063" s="989"/>
      <c r="MOJ1063" s="989"/>
      <c r="MOK1063" s="989"/>
      <c r="MOL1063" s="989"/>
      <c r="MOM1063" s="989"/>
      <c r="MON1063" s="989"/>
      <c r="MOO1063" s="989"/>
      <c r="MOP1063" s="989"/>
      <c r="MOQ1063" s="989"/>
      <c r="MOR1063" s="989"/>
      <c r="MOS1063" s="989"/>
      <c r="MOT1063" s="989"/>
      <c r="MOU1063" s="989"/>
      <c r="MOV1063" s="989"/>
      <c r="MOW1063" s="989"/>
      <c r="MOX1063" s="989"/>
      <c r="MOY1063" s="989"/>
      <c r="MOZ1063" s="989"/>
      <c r="MPA1063" s="989"/>
      <c r="MPB1063" s="989"/>
      <c r="MPC1063" s="989"/>
      <c r="MPD1063" s="989"/>
      <c r="MPE1063" s="989"/>
      <c r="MPF1063" s="989"/>
      <c r="MPG1063" s="989"/>
      <c r="MPH1063" s="989"/>
      <c r="MPI1063" s="989"/>
      <c r="MPJ1063" s="989"/>
      <c r="MPK1063" s="989"/>
      <c r="MPL1063" s="989"/>
      <c r="MPM1063" s="989"/>
      <c r="MPN1063" s="989"/>
      <c r="MPO1063" s="989"/>
      <c r="MPP1063" s="989"/>
      <c r="MPQ1063" s="989"/>
      <c r="MPR1063" s="989"/>
      <c r="MPS1063" s="989"/>
      <c r="MPT1063" s="989"/>
      <c r="MPU1063" s="989"/>
      <c r="MPV1063" s="989"/>
      <c r="MPW1063" s="989"/>
      <c r="MPX1063" s="989"/>
      <c r="MPY1063" s="989"/>
      <c r="MPZ1063" s="989"/>
      <c r="MQA1063" s="989"/>
      <c r="MQB1063" s="989"/>
      <c r="MQC1063" s="989"/>
      <c r="MQD1063" s="989"/>
      <c r="MQE1063" s="989"/>
      <c r="MQF1063" s="989"/>
      <c r="MQG1063" s="989"/>
      <c r="MQH1063" s="989"/>
      <c r="MQI1063" s="989"/>
      <c r="MQJ1063" s="989"/>
      <c r="MQK1063" s="989"/>
      <c r="MQL1063" s="989"/>
      <c r="MQM1063" s="989"/>
      <c r="MQN1063" s="989"/>
      <c r="MQO1063" s="989"/>
      <c r="MQP1063" s="989"/>
      <c r="MQQ1063" s="989"/>
      <c r="MQR1063" s="989"/>
      <c r="MQS1063" s="989"/>
      <c r="MQT1063" s="989"/>
      <c r="MQU1063" s="989"/>
      <c r="MQV1063" s="989"/>
      <c r="MQW1063" s="989"/>
      <c r="MQX1063" s="989"/>
      <c r="MQY1063" s="989"/>
      <c r="MQZ1063" s="989"/>
      <c r="MRA1063" s="989"/>
      <c r="MRB1063" s="989"/>
      <c r="MRC1063" s="989"/>
      <c r="MRD1063" s="989"/>
      <c r="MRE1063" s="989"/>
      <c r="MRF1063" s="989"/>
      <c r="MRG1063" s="989"/>
      <c r="MRH1063" s="989"/>
      <c r="MRI1063" s="989"/>
      <c r="MRJ1063" s="989"/>
      <c r="MRK1063" s="989"/>
      <c r="MRL1063" s="989"/>
      <c r="MRM1063" s="989"/>
      <c r="MRN1063" s="989"/>
      <c r="MRO1063" s="989"/>
      <c r="MRP1063" s="989"/>
      <c r="MRQ1063" s="989"/>
      <c r="MRR1063" s="989"/>
      <c r="MRS1063" s="989"/>
      <c r="MRT1063" s="989"/>
      <c r="MRU1063" s="989"/>
      <c r="MRV1063" s="989"/>
      <c r="MRW1063" s="989"/>
      <c r="MRX1063" s="989"/>
      <c r="MRY1063" s="989"/>
      <c r="MRZ1063" s="989"/>
      <c r="MSA1063" s="989"/>
      <c r="MSB1063" s="989"/>
      <c r="MSC1063" s="989"/>
      <c r="MSD1063" s="989"/>
      <c r="MSE1063" s="989"/>
      <c r="MSF1063" s="989"/>
      <c r="MSG1063" s="989"/>
      <c r="MSH1063" s="989"/>
      <c r="MSI1063" s="989"/>
      <c r="MSJ1063" s="989"/>
      <c r="MSK1063" s="989"/>
      <c r="MSL1063" s="989"/>
      <c r="MSM1063" s="989"/>
      <c r="MSN1063" s="989"/>
      <c r="MSO1063" s="989"/>
      <c r="MSP1063" s="989"/>
      <c r="MSQ1063" s="989"/>
      <c r="MSR1063" s="989"/>
      <c r="MSS1063" s="989"/>
      <c r="MST1063" s="989"/>
      <c r="MSU1063" s="989"/>
      <c r="MSV1063" s="989"/>
      <c r="MSW1063" s="989"/>
      <c r="MSX1063" s="989"/>
      <c r="MSY1063" s="989"/>
      <c r="MSZ1063" s="989"/>
      <c r="MTA1063" s="989"/>
      <c r="MTB1063" s="989"/>
      <c r="MTC1063" s="989"/>
      <c r="MTD1063" s="989"/>
      <c r="MTE1063" s="989"/>
      <c r="MTF1063" s="989"/>
      <c r="MTG1063" s="989"/>
      <c r="MTH1063" s="989"/>
      <c r="MTI1063" s="989"/>
      <c r="MTJ1063" s="989"/>
      <c r="MTK1063" s="989"/>
      <c r="MTL1063" s="989"/>
      <c r="MTM1063" s="989"/>
      <c r="MTN1063" s="989"/>
      <c r="MTO1063" s="989"/>
      <c r="MTP1063" s="989"/>
      <c r="MTQ1063" s="989"/>
      <c r="MTR1063" s="989"/>
      <c r="MTS1063" s="989"/>
      <c r="MTT1063" s="989"/>
      <c r="MTU1063" s="989"/>
      <c r="MTV1063" s="989"/>
      <c r="MTW1063" s="989"/>
      <c r="MTX1063" s="989"/>
      <c r="MTY1063" s="989"/>
      <c r="MTZ1063" s="989"/>
      <c r="MUA1063" s="989"/>
      <c r="MUB1063" s="989"/>
      <c r="MUC1063" s="989"/>
      <c r="MUD1063" s="989"/>
      <c r="MUE1063" s="989"/>
      <c r="MUF1063" s="989"/>
      <c r="MUG1063" s="989"/>
      <c r="MUH1063" s="989"/>
      <c r="MUI1063" s="989"/>
      <c r="MUJ1063" s="989"/>
      <c r="MUK1063" s="989"/>
      <c r="MUL1063" s="989"/>
      <c r="MUM1063" s="989"/>
      <c r="MUN1063" s="989"/>
      <c r="MUO1063" s="989"/>
      <c r="MUP1063" s="989"/>
      <c r="MUQ1063" s="989"/>
      <c r="MUR1063" s="989"/>
      <c r="MUS1063" s="989"/>
      <c r="MUT1063" s="989"/>
      <c r="MUU1063" s="989"/>
      <c r="MUV1063" s="989"/>
      <c r="MUW1063" s="989"/>
      <c r="MUX1063" s="989"/>
      <c r="MUY1063" s="989"/>
      <c r="MUZ1063" s="989"/>
      <c r="MVA1063" s="989"/>
      <c r="MVB1063" s="989"/>
      <c r="MVC1063" s="989"/>
      <c r="MVD1063" s="989"/>
      <c r="MVE1063" s="989"/>
      <c r="MVF1063" s="989"/>
      <c r="MVG1063" s="989"/>
      <c r="MVH1063" s="989"/>
      <c r="MVI1063" s="989"/>
      <c r="MVJ1063" s="989"/>
      <c r="MVK1063" s="989"/>
      <c r="MVL1063" s="989"/>
      <c r="MVM1063" s="989"/>
      <c r="MVN1063" s="989"/>
      <c r="MVO1063" s="989"/>
      <c r="MVP1063" s="989"/>
      <c r="MVQ1063" s="989"/>
      <c r="MVR1063" s="989"/>
      <c r="MVS1063" s="989"/>
      <c r="MVT1063" s="989"/>
      <c r="MVU1063" s="989"/>
      <c r="MVV1063" s="989"/>
      <c r="MVW1063" s="989"/>
      <c r="MVX1063" s="989"/>
      <c r="MVY1063" s="989"/>
      <c r="MVZ1063" s="989"/>
      <c r="MWA1063" s="989"/>
      <c r="MWB1063" s="989"/>
      <c r="MWC1063" s="989"/>
      <c r="MWD1063" s="989"/>
      <c r="MWE1063" s="989"/>
      <c r="MWF1063" s="989"/>
      <c r="MWG1063" s="989"/>
      <c r="MWH1063" s="989"/>
      <c r="MWI1063" s="989"/>
      <c r="MWJ1063" s="989"/>
      <c r="MWK1063" s="989"/>
      <c r="MWL1063" s="989"/>
      <c r="MWM1063" s="989"/>
      <c r="MWN1063" s="989"/>
      <c r="MWO1063" s="989"/>
      <c r="MWP1063" s="989"/>
      <c r="MWQ1063" s="989"/>
      <c r="MWR1063" s="989"/>
      <c r="MWS1063" s="989"/>
      <c r="MWT1063" s="989"/>
      <c r="MWU1063" s="989"/>
      <c r="MWV1063" s="989"/>
      <c r="MWW1063" s="989"/>
      <c r="MWX1063" s="989"/>
      <c r="MWY1063" s="989"/>
      <c r="MWZ1063" s="989"/>
      <c r="MXA1063" s="989"/>
      <c r="MXB1063" s="989"/>
      <c r="MXC1063" s="989"/>
      <c r="MXD1063" s="989"/>
      <c r="MXE1063" s="989"/>
      <c r="MXF1063" s="989"/>
      <c r="MXG1063" s="989"/>
      <c r="MXH1063" s="989"/>
      <c r="MXI1063" s="989"/>
      <c r="MXJ1063" s="989"/>
      <c r="MXK1063" s="989"/>
      <c r="MXL1063" s="989"/>
      <c r="MXM1063" s="989"/>
      <c r="MXN1063" s="989"/>
      <c r="MXO1063" s="989"/>
      <c r="MXP1063" s="989"/>
      <c r="MXQ1063" s="989"/>
      <c r="MXR1063" s="989"/>
      <c r="MXS1063" s="989"/>
      <c r="MXT1063" s="989"/>
      <c r="MXU1063" s="989"/>
      <c r="MXV1063" s="989"/>
      <c r="MXW1063" s="989"/>
      <c r="MXX1063" s="989"/>
      <c r="MXY1063" s="989"/>
      <c r="MXZ1063" s="989"/>
      <c r="MYA1063" s="989"/>
      <c r="MYB1063" s="989"/>
      <c r="MYC1063" s="989"/>
      <c r="MYD1063" s="989"/>
      <c r="MYE1063" s="989"/>
      <c r="MYF1063" s="989"/>
      <c r="MYG1063" s="989"/>
      <c r="MYH1063" s="989"/>
      <c r="MYI1063" s="989"/>
      <c r="MYJ1063" s="989"/>
      <c r="MYK1063" s="989"/>
      <c r="MYL1063" s="989"/>
      <c r="MYM1063" s="989"/>
      <c r="MYN1063" s="989"/>
      <c r="MYO1063" s="989"/>
      <c r="MYP1063" s="989"/>
      <c r="MYQ1063" s="989"/>
      <c r="MYR1063" s="989"/>
      <c r="MYS1063" s="989"/>
      <c r="MYT1063" s="989"/>
      <c r="MYU1063" s="989"/>
      <c r="MYV1063" s="989"/>
      <c r="MYW1063" s="989"/>
      <c r="MYX1063" s="989"/>
      <c r="MYY1063" s="989"/>
      <c r="MYZ1063" s="989"/>
      <c r="MZA1063" s="989"/>
      <c r="MZB1063" s="989"/>
      <c r="MZC1063" s="989"/>
      <c r="MZD1063" s="989"/>
      <c r="MZE1063" s="989"/>
      <c r="MZF1063" s="989"/>
      <c r="MZG1063" s="989"/>
      <c r="MZH1063" s="989"/>
      <c r="MZI1063" s="989"/>
      <c r="MZJ1063" s="989"/>
      <c r="MZK1063" s="989"/>
      <c r="MZL1063" s="989"/>
      <c r="MZM1063" s="989"/>
      <c r="MZN1063" s="989"/>
      <c r="MZO1063" s="989"/>
      <c r="MZP1063" s="989"/>
      <c r="MZQ1063" s="989"/>
      <c r="MZR1063" s="989"/>
      <c r="MZS1063" s="989"/>
      <c r="MZT1063" s="989"/>
      <c r="MZU1063" s="989"/>
      <c r="MZV1063" s="989"/>
      <c r="MZW1063" s="989"/>
      <c r="MZX1063" s="989"/>
      <c r="MZY1063" s="989"/>
      <c r="MZZ1063" s="989"/>
      <c r="NAA1063" s="989"/>
      <c r="NAB1063" s="989"/>
      <c r="NAC1063" s="989"/>
      <c r="NAD1063" s="989"/>
      <c r="NAE1063" s="989"/>
      <c r="NAF1063" s="989"/>
      <c r="NAG1063" s="989"/>
      <c r="NAH1063" s="989"/>
      <c r="NAI1063" s="989"/>
      <c r="NAJ1063" s="989"/>
      <c r="NAK1063" s="989"/>
      <c r="NAL1063" s="989"/>
      <c r="NAM1063" s="989"/>
      <c r="NAN1063" s="989"/>
      <c r="NAO1063" s="989"/>
      <c r="NAP1063" s="989"/>
      <c r="NAQ1063" s="989"/>
      <c r="NAR1063" s="989"/>
      <c r="NAS1063" s="989"/>
      <c r="NAT1063" s="989"/>
      <c r="NAU1063" s="989"/>
      <c r="NAV1063" s="989"/>
      <c r="NAW1063" s="989"/>
      <c r="NAX1063" s="989"/>
      <c r="NAY1063" s="989"/>
      <c r="NAZ1063" s="989"/>
      <c r="NBA1063" s="989"/>
      <c r="NBB1063" s="989"/>
      <c r="NBC1063" s="989"/>
      <c r="NBD1063" s="989"/>
      <c r="NBE1063" s="989"/>
      <c r="NBF1063" s="989"/>
      <c r="NBG1063" s="989"/>
      <c r="NBH1063" s="989"/>
      <c r="NBI1063" s="989"/>
      <c r="NBJ1063" s="989"/>
      <c r="NBK1063" s="989"/>
      <c r="NBL1063" s="989"/>
      <c r="NBM1063" s="989"/>
      <c r="NBN1063" s="989"/>
      <c r="NBO1063" s="989"/>
      <c r="NBP1063" s="989"/>
      <c r="NBQ1063" s="989"/>
      <c r="NBR1063" s="989"/>
      <c r="NBS1063" s="989"/>
      <c r="NBT1063" s="989"/>
      <c r="NBU1063" s="989"/>
      <c r="NBV1063" s="989"/>
      <c r="NBW1063" s="989"/>
      <c r="NBX1063" s="989"/>
      <c r="NBY1063" s="989"/>
      <c r="NBZ1063" s="989"/>
      <c r="NCA1063" s="989"/>
      <c r="NCB1063" s="989"/>
      <c r="NCC1063" s="989"/>
      <c r="NCD1063" s="989"/>
      <c r="NCE1063" s="989"/>
      <c r="NCF1063" s="989"/>
      <c r="NCG1063" s="989"/>
      <c r="NCH1063" s="989"/>
      <c r="NCI1063" s="989"/>
      <c r="NCJ1063" s="989"/>
      <c r="NCK1063" s="989"/>
      <c r="NCL1063" s="989"/>
      <c r="NCM1063" s="989"/>
      <c r="NCN1063" s="989"/>
      <c r="NCO1063" s="989"/>
      <c r="NCP1063" s="989"/>
      <c r="NCQ1063" s="989"/>
      <c r="NCR1063" s="989"/>
      <c r="NCS1063" s="989"/>
      <c r="NCT1063" s="989"/>
      <c r="NCU1063" s="989"/>
      <c r="NCV1063" s="989"/>
      <c r="NCW1063" s="989"/>
      <c r="NCX1063" s="989"/>
      <c r="NCY1063" s="989"/>
      <c r="NCZ1063" s="989"/>
      <c r="NDA1063" s="989"/>
      <c r="NDB1063" s="989"/>
      <c r="NDC1063" s="989"/>
      <c r="NDD1063" s="989"/>
      <c r="NDE1063" s="989"/>
      <c r="NDF1063" s="989"/>
      <c r="NDG1063" s="989"/>
      <c r="NDH1063" s="989"/>
      <c r="NDI1063" s="989"/>
      <c r="NDJ1063" s="989"/>
      <c r="NDK1063" s="989"/>
      <c r="NDL1063" s="989"/>
      <c r="NDM1063" s="989"/>
      <c r="NDN1063" s="989"/>
      <c r="NDO1063" s="989"/>
      <c r="NDP1063" s="989"/>
      <c r="NDQ1063" s="989"/>
      <c r="NDR1063" s="989"/>
      <c r="NDS1063" s="989"/>
      <c r="NDT1063" s="989"/>
      <c r="NDU1063" s="989"/>
      <c r="NDV1063" s="989"/>
      <c r="NDW1063" s="989"/>
      <c r="NDX1063" s="989"/>
      <c r="NDY1063" s="989"/>
      <c r="NDZ1063" s="989"/>
      <c r="NEA1063" s="989"/>
      <c r="NEB1063" s="989"/>
      <c r="NEC1063" s="989"/>
      <c r="NED1063" s="989"/>
      <c r="NEE1063" s="989"/>
      <c r="NEF1063" s="989"/>
      <c r="NEG1063" s="989"/>
      <c r="NEH1063" s="989"/>
      <c r="NEI1063" s="989"/>
      <c r="NEJ1063" s="989"/>
      <c r="NEK1063" s="989"/>
      <c r="NEL1063" s="989"/>
      <c r="NEM1063" s="989"/>
      <c r="NEN1063" s="989"/>
      <c r="NEO1063" s="989"/>
      <c r="NEP1063" s="989"/>
      <c r="NEQ1063" s="989"/>
      <c r="NER1063" s="989"/>
      <c r="NES1063" s="989"/>
      <c r="NET1063" s="989"/>
      <c r="NEU1063" s="989"/>
      <c r="NEV1063" s="989"/>
      <c r="NEW1063" s="989"/>
      <c r="NEX1063" s="989"/>
      <c r="NEY1063" s="989"/>
      <c r="NEZ1063" s="989"/>
      <c r="NFA1063" s="989"/>
      <c r="NFB1063" s="989"/>
      <c r="NFC1063" s="989"/>
      <c r="NFD1063" s="989"/>
      <c r="NFE1063" s="989"/>
      <c r="NFF1063" s="989"/>
      <c r="NFG1063" s="989"/>
      <c r="NFH1063" s="989"/>
      <c r="NFI1063" s="989"/>
      <c r="NFJ1063" s="989"/>
      <c r="NFK1063" s="989"/>
      <c r="NFL1063" s="989"/>
      <c r="NFM1063" s="989"/>
      <c r="NFN1063" s="989"/>
      <c r="NFO1063" s="989"/>
      <c r="NFP1063" s="989"/>
      <c r="NFQ1063" s="989"/>
      <c r="NFR1063" s="989"/>
      <c r="NFS1063" s="989"/>
      <c r="NFT1063" s="989"/>
      <c r="NFU1063" s="989"/>
      <c r="NFV1063" s="989"/>
      <c r="NFW1063" s="989"/>
      <c r="NFX1063" s="989"/>
      <c r="NFY1063" s="989"/>
      <c r="NFZ1063" s="989"/>
      <c r="NGA1063" s="989"/>
      <c r="NGB1063" s="989"/>
      <c r="NGC1063" s="989"/>
      <c r="NGD1063" s="989"/>
      <c r="NGE1063" s="989"/>
      <c r="NGF1063" s="989"/>
      <c r="NGG1063" s="989"/>
      <c r="NGH1063" s="989"/>
      <c r="NGI1063" s="989"/>
      <c r="NGJ1063" s="989"/>
      <c r="NGK1063" s="989"/>
      <c r="NGL1063" s="989"/>
      <c r="NGM1063" s="989"/>
      <c r="NGN1063" s="989"/>
      <c r="NGO1063" s="989"/>
      <c r="NGP1063" s="989"/>
      <c r="NGQ1063" s="989"/>
      <c r="NGR1063" s="989"/>
      <c r="NGS1063" s="989"/>
      <c r="NGT1063" s="989"/>
      <c r="NGU1063" s="989"/>
      <c r="NGV1063" s="989"/>
      <c r="NGW1063" s="989"/>
      <c r="NGX1063" s="989"/>
      <c r="NGY1063" s="989"/>
      <c r="NGZ1063" s="989"/>
      <c r="NHA1063" s="989"/>
      <c r="NHB1063" s="989"/>
      <c r="NHC1063" s="989"/>
      <c r="NHD1063" s="989"/>
      <c r="NHE1063" s="989"/>
      <c r="NHF1063" s="989"/>
      <c r="NHG1063" s="989"/>
      <c r="NHH1063" s="989"/>
      <c r="NHI1063" s="989"/>
      <c r="NHJ1063" s="989"/>
      <c r="NHK1063" s="989"/>
      <c r="NHL1063" s="989"/>
      <c r="NHM1063" s="989"/>
      <c r="NHN1063" s="989"/>
      <c r="NHO1063" s="989"/>
      <c r="NHP1063" s="989"/>
      <c r="NHQ1063" s="989"/>
      <c r="NHR1063" s="989"/>
      <c r="NHS1063" s="989"/>
      <c r="NHT1063" s="989"/>
      <c r="NHU1063" s="989"/>
      <c r="NHV1063" s="989"/>
      <c r="NHW1063" s="989"/>
      <c r="NHX1063" s="989"/>
      <c r="NHY1063" s="989"/>
      <c r="NHZ1063" s="989"/>
      <c r="NIA1063" s="989"/>
      <c r="NIB1063" s="989"/>
      <c r="NIC1063" s="989"/>
      <c r="NID1063" s="989"/>
      <c r="NIE1063" s="989"/>
      <c r="NIF1063" s="989"/>
      <c r="NIG1063" s="989"/>
      <c r="NIH1063" s="989"/>
      <c r="NII1063" s="989"/>
      <c r="NIJ1063" s="989"/>
      <c r="NIK1063" s="989"/>
      <c r="NIL1063" s="989"/>
      <c r="NIM1063" s="989"/>
      <c r="NIN1063" s="989"/>
      <c r="NIO1063" s="989"/>
      <c r="NIP1063" s="989"/>
      <c r="NIQ1063" s="989"/>
      <c r="NIR1063" s="989"/>
      <c r="NIS1063" s="989"/>
      <c r="NIT1063" s="989"/>
      <c r="NIU1063" s="989"/>
      <c r="NIV1063" s="989"/>
      <c r="NIW1063" s="989"/>
      <c r="NIX1063" s="989"/>
      <c r="NIY1063" s="989"/>
      <c r="NIZ1063" s="989"/>
      <c r="NJA1063" s="989"/>
      <c r="NJB1063" s="989"/>
      <c r="NJC1063" s="989"/>
      <c r="NJD1063" s="989"/>
      <c r="NJE1063" s="989"/>
      <c r="NJF1063" s="989"/>
      <c r="NJG1063" s="989"/>
      <c r="NJH1063" s="989"/>
      <c r="NJI1063" s="989"/>
      <c r="NJJ1063" s="989"/>
      <c r="NJK1063" s="989"/>
      <c r="NJL1063" s="989"/>
      <c r="NJM1063" s="989"/>
      <c r="NJN1063" s="989"/>
      <c r="NJO1063" s="989"/>
      <c r="NJP1063" s="989"/>
      <c r="NJQ1063" s="989"/>
      <c r="NJR1063" s="989"/>
      <c r="NJS1063" s="989"/>
      <c r="NJT1063" s="989"/>
      <c r="NJU1063" s="989"/>
      <c r="NJV1063" s="989"/>
      <c r="NJW1063" s="989"/>
      <c r="NJX1063" s="989"/>
      <c r="NJY1063" s="989"/>
      <c r="NJZ1063" s="989"/>
      <c r="NKA1063" s="989"/>
      <c r="NKB1063" s="989"/>
      <c r="NKC1063" s="989"/>
      <c r="NKD1063" s="989"/>
      <c r="NKE1063" s="989"/>
      <c r="NKF1063" s="989"/>
      <c r="NKG1063" s="989"/>
      <c r="NKH1063" s="989"/>
      <c r="NKI1063" s="989"/>
      <c r="NKJ1063" s="989"/>
      <c r="NKK1063" s="989"/>
      <c r="NKL1063" s="989"/>
      <c r="NKM1063" s="989"/>
      <c r="NKN1063" s="989"/>
      <c r="NKO1063" s="989"/>
      <c r="NKP1063" s="989"/>
      <c r="NKQ1063" s="989"/>
      <c r="NKR1063" s="989"/>
      <c r="NKS1063" s="989"/>
      <c r="NKT1063" s="989"/>
      <c r="NKU1063" s="989"/>
      <c r="NKV1063" s="989"/>
      <c r="NKW1063" s="989"/>
      <c r="NKX1063" s="989"/>
      <c r="NKY1063" s="989"/>
      <c r="NKZ1063" s="989"/>
      <c r="NLA1063" s="989"/>
      <c r="NLB1063" s="989"/>
      <c r="NLC1063" s="989"/>
      <c r="NLD1063" s="989"/>
      <c r="NLE1063" s="989"/>
      <c r="NLF1063" s="989"/>
      <c r="NLG1063" s="989"/>
      <c r="NLH1063" s="989"/>
      <c r="NLI1063" s="989"/>
      <c r="NLJ1063" s="989"/>
      <c r="NLK1063" s="989"/>
      <c r="NLL1063" s="989"/>
      <c r="NLM1063" s="989"/>
      <c r="NLN1063" s="989"/>
      <c r="NLO1063" s="989"/>
      <c r="NLP1063" s="989"/>
      <c r="NLQ1063" s="989"/>
      <c r="NLR1063" s="989"/>
      <c r="NLS1063" s="989"/>
      <c r="NLT1063" s="989"/>
      <c r="NLU1063" s="989"/>
      <c r="NLV1063" s="989"/>
      <c r="NLW1063" s="989"/>
      <c r="NLX1063" s="989"/>
      <c r="NLY1063" s="989"/>
      <c r="NLZ1063" s="989"/>
      <c r="NMA1063" s="989"/>
      <c r="NMB1063" s="989"/>
      <c r="NMC1063" s="989"/>
      <c r="NMD1063" s="989"/>
      <c r="NME1063" s="989"/>
      <c r="NMF1063" s="989"/>
      <c r="NMG1063" s="989"/>
      <c r="NMH1063" s="989"/>
      <c r="NMI1063" s="989"/>
      <c r="NMJ1063" s="989"/>
      <c r="NMK1063" s="989"/>
      <c r="NML1063" s="989"/>
      <c r="NMM1063" s="989"/>
      <c r="NMN1063" s="989"/>
      <c r="NMO1063" s="989"/>
      <c r="NMP1063" s="989"/>
      <c r="NMQ1063" s="989"/>
      <c r="NMR1063" s="989"/>
      <c r="NMS1063" s="989"/>
      <c r="NMT1063" s="989"/>
      <c r="NMU1063" s="989"/>
      <c r="NMV1063" s="989"/>
      <c r="NMW1063" s="989"/>
      <c r="NMX1063" s="989"/>
      <c r="NMY1063" s="989"/>
      <c r="NMZ1063" s="989"/>
      <c r="NNA1063" s="989"/>
      <c r="NNB1063" s="989"/>
      <c r="NNC1063" s="989"/>
      <c r="NND1063" s="989"/>
      <c r="NNE1063" s="989"/>
      <c r="NNF1063" s="989"/>
      <c r="NNG1063" s="989"/>
      <c r="NNH1063" s="989"/>
      <c r="NNI1063" s="989"/>
      <c r="NNJ1063" s="989"/>
      <c r="NNK1063" s="989"/>
      <c r="NNL1063" s="989"/>
      <c r="NNM1063" s="989"/>
      <c r="NNN1063" s="989"/>
      <c r="NNO1063" s="989"/>
      <c r="NNP1063" s="989"/>
      <c r="NNQ1063" s="989"/>
      <c r="NNR1063" s="989"/>
      <c r="NNS1063" s="989"/>
      <c r="NNT1063" s="989"/>
      <c r="NNU1063" s="989"/>
      <c r="NNV1063" s="989"/>
      <c r="NNW1063" s="989"/>
      <c r="NNX1063" s="989"/>
      <c r="NNY1063" s="989"/>
      <c r="NNZ1063" s="989"/>
      <c r="NOA1063" s="989"/>
      <c r="NOB1063" s="989"/>
      <c r="NOC1063" s="989"/>
      <c r="NOD1063" s="989"/>
      <c r="NOE1063" s="989"/>
      <c r="NOF1063" s="989"/>
      <c r="NOG1063" s="989"/>
      <c r="NOH1063" s="989"/>
      <c r="NOI1063" s="989"/>
      <c r="NOJ1063" s="989"/>
      <c r="NOK1063" s="989"/>
      <c r="NOL1063" s="989"/>
      <c r="NOM1063" s="989"/>
      <c r="NON1063" s="989"/>
      <c r="NOO1063" s="989"/>
      <c r="NOP1063" s="989"/>
      <c r="NOQ1063" s="989"/>
      <c r="NOR1063" s="989"/>
      <c r="NOS1063" s="989"/>
      <c r="NOT1063" s="989"/>
      <c r="NOU1063" s="989"/>
      <c r="NOV1063" s="989"/>
      <c r="NOW1063" s="989"/>
      <c r="NOX1063" s="989"/>
      <c r="NOY1063" s="989"/>
      <c r="NOZ1063" s="989"/>
      <c r="NPA1063" s="989"/>
      <c r="NPB1063" s="989"/>
      <c r="NPC1063" s="989"/>
      <c r="NPD1063" s="989"/>
      <c r="NPE1063" s="989"/>
      <c r="NPF1063" s="989"/>
      <c r="NPG1063" s="989"/>
      <c r="NPH1063" s="989"/>
      <c r="NPI1063" s="989"/>
      <c r="NPJ1063" s="989"/>
      <c r="NPK1063" s="989"/>
      <c r="NPL1063" s="989"/>
      <c r="NPM1063" s="989"/>
      <c r="NPN1063" s="989"/>
      <c r="NPO1063" s="989"/>
      <c r="NPP1063" s="989"/>
      <c r="NPQ1063" s="989"/>
      <c r="NPR1063" s="989"/>
      <c r="NPS1063" s="989"/>
      <c r="NPT1063" s="989"/>
      <c r="NPU1063" s="989"/>
      <c r="NPV1063" s="989"/>
      <c r="NPW1063" s="989"/>
      <c r="NPX1063" s="989"/>
      <c r="NPY1063" s="989"/>
      <c r="NPZ1063" s="989"/>
      <c r="NQA1063" s="989"/>
      <c r="NQB1063" s="989"/>
      <c r="NQC1063" s="989"/>
      <c r="NQD1063" s="989"/>
      <c r="NQE1063" s="989"/>
      <c r="NQF1063" s="989"/>
      <c r="NQG1063" s="989"/>
      <c r="NQH1063" s="989"/>
      <c r="NQI1063" s="989"/>
      <c r="NQJ1063" s="989"/>
      <c r="NQK1063" s="989"/>
      <c r="NQL1063" s="989"/>
      <c r="NQM1063" s="989"/>
      <c r="NQN1063" s="989"/>
      <c r="NQO1063" s="989"/>
      <c r="NQP1063" s="989"/>
      <c r="NQQ1063" s="989"/>
      <c r="NQR1063" s="989"/>
      <c r="NQS1063" s="989"/>
      <c r="NQT1063" s="989"/>
      <c r="NQU1063" s="989"/>
      <c r="NQV1063" s="989"/>
      <c r="NQW1063" s="989"/>
      <c r="NQX1063" s="989"/>
      <c r="NQY1063" s="989"/>
      <c r="NQZ1063" s="989"/>
      <c r="NRA1063" s="989"/>
      <c r="NRB1063" s="989"/>
      <c r="NRC1063" s="989"/>
      <c r="NRD1063" s="989"/>
      <c r="NRE1063" s="989"/>
      <c r="NRF1063" s="989"/>
      <c r="NRG1063" s="989"/>
      <c r="NRH1063" s="989"/>
      <c r="NRI1063" s="989"/>
      <c r="NRJ1063" s="989"/>
      <c r="NRK1063" s="989"/>
      <c r="NRL1063" s="989"/>
      <c r="NRM1063" s="989"/>
      <c r="NRN1063" s="989"/>
      <c r="NRO1063" s="989"/>
      <c r="NRP1063" s="989"/>
      <c r="NRQ1063" s="989"/>
      <c r="NRR1063" s="989"/>
      <c r="NRS1063" s="989"/>
      <c r="NRT1063" s="989"/>
      <c r="NRU1063" s="989"/>
      <c r="NRV1063" s="989"/>
      <c r="NRW1063" s="989"/>
      <c r="NRX1063" s="989"/>
      <c r="NRY1063" s="989"/>
      <c r="NRZ1063" s="989"/>
      <c r="NSA1063" s="989"/>
      <c r="NSB1063" s="989"/>
      <c r="NSC1063" s="989"/>
      <c r="NSD1063" s="989"/>
      <c r="NSE1063" s="989"/>
      <c r="NSF1063" s="989"/>
      <c r="NSG1063" s="989"/>
      <c r="NSH1063" s="989"/>
      <c r="NSI1063" s="989"/>
      <c r="NSJ1063" s="989"/>
      <c r="NSK1063" s="989"/>
      <c r="NSL1063" s="989"/>
      <c r="NSM1063" s="989"/>
      <c r="NSN1063" s="989"/>
      <c r="NSO1063" s="989"/>
      <c r="NSP1063" s="989"/>
      <c r="NSQ1063" s="989"/>
      <c r="NSR1063" s="989"/>
      <c r="NSS1063" s="989"/>
      <c r="NST1063" s="989"/>
      <c r="NSU1063" s="989"/>
      <c r="NSV1063" s="989"/>
      <c r="NSW1063" s="989"/>
      <c r="NSX1063" s="989"/>
      <c r="NSY1063" s="989"/>
      <c r="NSZ1063" s="989"/>
      <c r="NTA1063" s="989"/>
      <c r="NTB1063" s="989"/>
      <c r="NTC1063" s="989"/>
      <c r="NTD1063" s="989"/>
      <c r="NTE1063" s="989"/>
      <c r="NTF1063" s="989"/>
      <c r="NTG1063" s="989"/>
      <c r="NTH1063" s="989"/>
      <c r="NTI1063" s="989"/>
      <c r="NTJ1063" s="989"/>
      <c r="NTK1063" s="989"/>
      <c r="NTL1063" s="989"/>
      <c r="NTM1063" s="989"/>
      <c r="NTN1063" s="989"/>
      <c r="NTO1063" s="989"/>
      <c r="NTP1063" s="989"/>
      <c r="NTQ1063" s="989"/>
      <c r="NTR1063" s="989"/>
      <c r="NTS1063" s="989"/>
      <c r="NTT1063" s="989"/>
      <c r="NTU1063" s="989"/>
      <c r="NTV1063" s="989"/>
      <c r="NTW1063" s="989"/>
      <c r="NTX1063" s="989"/>
      <c r="NTY1063" s="989"/>
      <c r="NTZ1063" s="989"/>
      <c r="NUA1063" s="989"/>
      <c r="NUB1063" s="989"/>
      <c r="NUC1063" s="989"/>
      <c r="NUD1063" s="989"/>
      <c r="NUE1063" s="989"/>
      <c r="NUF1063" s="989"/>
      <c r="NUG1063" s="989"/>
      <c r="NUH1063" s="989"/>
      <c r="NUI1063" s="989"/>
      <c r="NUJ1063" s="989"/>
      <c r="NUK1063" s="989"/>
      <c r="NUL1063" s="989"/>
      <c r="NUM1063" s="989"/>
      <c r="NUN1063" s="989"/>
      <c r="NUO1063" s="989"/>
      <c r="NUP1063" s="989"/>
      <c r="NUQ1063" s="989"/>
      <c r="NUR1063" s="989"/>
      <c r="NUS1063" s="989"/>
      <c r="NUT1063" s="989"/>
      <c r="NUU1063" s="989"/>
      <c r="NUV1063" s="989"/>
      <c r="NUW1063" s="989"/>
      <c r="NUX1063" s="989"/>
      <c r="NUY1063" s="989"/>
      <c r="NUZ1063" s="989"/>
      <c r="NVA1063" s="989"/>
      <c r="NVB1063" s="989"/>
      <c r="NVC1063" s="989"/>
      <c r="NVD1063" s="989"/>
      <c r="NVE1063" s="989"/>
      <c r="NVF1063" s="989"/>
      <c r="NVG1063" s="989"/>
      <c r="NVH1063" s="989"/>
      <c r="NVI1063" s="989"/>
      <c r="NVJ1063" s="989"/>
      <c r="NVK1063" s="989"/>
      <c r="NVL1063" s="989"/>
      <c r="NVM1063" s="989"/>
      <c r="NVN1063" s="989"/>
      <c r="NVO1063" s="989"/>
      <c r="NVP1063" s="989"/>
      <c r="NVQ1063" s="989"/>
      <c r="NVR1063" s="989"/>
      <c r="NVS1063" s="989"/>
      <c r="NVT1063" s="989"/>
      <c r="NVU1063" s="989"/>
      <c r="NVV1063" s="989"/>
      <c r="NVW1063" s="989"/>
      <c r="NVX1063" s="989"/>
      <c r="NVY1063" s="989"/>
      <c r="NVZ1063" s="989"/>
      <c r="NWA1063" s="989"/>
      <c r="NWB1063" s="989"/>
      <c r="NWC1063" s="989"/>
      <c r="NWD1063" s="989"/>
      <c r="NWE1063" s="989"/>
      <c r="NWF1063" s="989"/>
      <c r="NWG1063" s="989"/>
      <c r="NWH1063" s="989"/>
      <c r="NWI1063" s="989"/>
      <c r="NWJ1063" s="989"/>
      <c r="NWK1063" s="989"/>
      <c r="NWL1063" s="989"/>
      <c r="NWM1063" s="989"/>
      <c r="NWN1063" s="989"/>
      <c r="NWO1063" s="989"/>
      <c r="NWP1063" s="989"/>
      <c r="NWQ1063" s="989"/>
      <c r="NWR1063" s="989"/>
      <c r="NWS1063" s="989"/>
      <c r="NWT1063" s="989"/>
      <c r="NWU1063" s="989"/>
      <c r="NWV1063" s="989"/>
      <c r="NWW1063" s="989"/>
      <c r="NWX1063" s="989"/>
      <c r="NWY1063" s="989"/>
      <c r="NWZ1063" s="989"/>
      <c r="NXA1063" s="989"/>
      <c r="NXB1063" s="989"/>
      <c r="NXC1063" s="989"/>
      <c r="NXD1063" s="989"/>
      <c r="NXE1063" s="989"/>
      <c r="NXF1063" s="989"/>
      <c r="NXG1063" s="989"/>
      <c r="NXH1063" s="989"/>
      <c r="NXI1063" s="989"/>
      <c r="NXJ1063" s="989"/>
      <c r="NXK1063" s="989"/>
      <c r="NXL1063" s="989"/>
      <c r="NXM1063" s="989"/>
      <c r="NXN1063" s="989"/>
      <c r="NXO1063" s="989"/>
      <c r="NXP1063" s="989"/>
      <c r="NXQ1063" s="989"/>
      <c r="NXR1063" s="989"/>
      <c r="NXS1063" s="989"/>
      <c r="NXT1063" s="989"/>
      <c r="NXU1063" s="989"/>
      <c r="NXV1063" s="989"/>
      <c r="NXW1063" s="989"/>
      <c r="NXX1063" s="989"/>
      <c r="NXY1063" s="989"/>
      <c r="NXZ1063" s="989"/>
      <c r="NYA1063" s="989"/>
      <c r="NYB1063" s="989"/>
      <c r="NYC1063" s="989"/>
      <c r="NYD1063" s="989"/>
      <c r="NYE1063" s="989"/>
      <c r="NYF1063" s="989"/>
      <c r="NYG1063" s="989"/>
      <c r="NYH1063" s="989"/>
      <c r="NYI1063" s="989"/>
      <c r="NYJ1063" s="989"/>
      <c r="NYK1063" s="989"/>
      <c r="NYL1063" s="989"/>
      <c r="NYM1063" s="989"/>
      <c r="NYN1063" s="989"/>
      <c r="NYO1063" s="989"/>
      <c r="NYP1063" s="989"/>
      <c r="NYQ1063" s="989"/>
      <c r="NYR1063" s="989"/>
      <c r="NYS1063" s="989"/>
      <c r="NYT1063" s="989"/>
      <c r="NYU1063" s="989"/>
      <c r="NYV1063" s="989"/>
      <c r="NYW1063" s="989"/>
      <c r="NYX1063" s="989"/>
      <c r="NYY1063" s="989"/>
      <c r="NYZ1063" s="989"/>
      <c r="NZA1063" s="989"/>
      <c r="NZB1063" s="989"/>
      <c r="NZC1063" s="989"/>
      <c r="NZD1063" s="989"/>
      <c r="NZE1063" s="989"/>
      <c r="NZF1063" s="989"/>
      <c r="NZG1063" s="989"/>
      <c r="NZH1063" s="989"/>
      <c r="NZI1063" s="989"/>
      <c r="NZJ1063" s="989"/>
      <c r="NZK1063" s="989"/>
      <c r="NZL1063" s="989"/>
      <c r="NZM1063" s="989"/>
      <c r="NZN1063" s="989"/>
      <c r="NZO1063" s="989"/>
      <c r="NZP1063" s="989"/>
      <c r="NZQ1063" s="989"/>
      <c r="NZR1063" s="989"/>
      <c r="NZS1063" s="989"/>
      <c r="NZT1063" s="989"/>
      <c r="NZU1063" s="989"/>
      <c r="NZV1063" s="989"/>
      <c r="NZW1063" s="989"/>
      <c r="NZX1063" s="989"/>
      <c r="NZY1063" s="989"/>
      <c r="NZZ1063" s="989"/>
      <c r="OAA1063" s="989"/>
      <c r="OAB1063" s="989"/>
      <c r="OAC1063" s="989"/>
      <c r="OAD1063" s="989"/>
      <c r="OAE1063" s="989"/>
      <c r="OAF1063" s="989"/>
      <c r="OAG1063" s="989"/>
      <c r="OAH1063" s="989"/>
      <c r="OAI1063" s="989"/>
      <c r="OAJ1063" s="989"/>
      <c r="OAK1063" s="989"/>
      <c r="OAL1063" s="989"/>
      <c r="OAM1063" s="989"/>
      <c r="OAN1063" s="989"/>
      <c r="OAO1063" s="989"/>
      <c r="OAP1063" s="989"/>
      <c r="OAQ1063" s="989"/>
      <c r="OAR1063" s="989"/>
      <c r="OAS1063" s="989"/>
      <c r="OAT1063" s="989"/>
      <c r="OAU1063" s="989"/>
      <c r="OAV1063" s="989"/>
      <c r="OAW1063" s="989"/>
      <c r="OAX1063" s="989"/>
      <c r="OAY1063" s="989"/>
      <c r="OAZ1063" s="989"/>
      <c r="OBA1063" s="989"/>
      <c r="OBB1063" s="989"/>
      <c r="OBC1063" s="989"/>
      <c r="OBD1063" s="989"/>
      <c r="OBE1063" s="989"/>
      <c r="OBF1063" s="989"/>
      <c r="OBG1063" s="989"/>
      <c r="OBH1063" s="989"/>
      <c r="OBI1063" s="989"/>
      <c r="OBJ1063" s="989"/>
      <c r="OBK1063" s="989"/>
      <c r="OBL1063" s="989"/>
      <c r="OBM1063" s="989"/>
      <c r="OBN1063" s="989"/>
      <c r="OBO1063" s="989"/>
      <c r="OBP1063" s="989"/>
      <c r="OBQ1063" s="989"/>
      <c r="OBR1063" s="989"/>
      <c r="OBS1063" s="989"/>
      <c r="OBT1063" s="989"/>
      <c r="OBU1063" s="989"/>
      <c r="OBV1063" s="989"/>
      <c r="OBW1063" s="989"/>
      <c r="OBX1063" s="989"/>
      <c r="OBY1063" s="989"/>
      <c r="OBZ1063" s="989"/>
      <c r="OCA1063" s="989"/>
      <c r="OCB1063" s="989"/>
      <c r="OCC1063" s="989"/>
      <c r="OCD1063" s="989"/>
      <c r="OCE1063" s="989"/>
      <c r="OCF1063" s="989"/>
      <c r="OCG1063" s="989"/>
      <c r="OCH1063" s="989"/>
      <c r="OCI1063" s="989"/>
      <c r="OCJ1063" s="989"/>
      <c r="OCK1063" s="989"/>
      <c r="OCL1063" s="989"/>
      <c r="OCM1063" s="989"/>
      <c r="OCN1063" s="989"/>
      <c r="OCO1063" s="989"/>
      <c r="OCP1063" s="989"/>
      <c r="OCQ1063" s="989"/>
      <c r="OCR1063" s="989"/>
      <c r="OCS1063" s="989"/>
      <c r="OCT1063" s="989"/>
      <c r="OCU1063" s="989"/>
      <c r="OCV1063" s="989"/>
      <c r="OCW1063" s="989"/>
      <c r="OCX1063" s="989"/>
      <c r="OCY1063" s="989"/>
      <c r="OCZ1063" s="989"/>
      <c r="ODA1063" s="989"/>
      <c r="ODB1063" s="989"/>
      <c r="ODC1063" s="989"/>
      <c r="ODD1063" s="989"/>
      <c r="ODE1063" s="989"/>
      <c r="ODF1063" s="989"/>
      <c r="ODG1063" s="989"/>
      <c r="ODH1063" s="989"/>
      <c r="ODI1063" s="989"/>
      <c r="ODJ1063" s="989"/>
      <c r="ODK1063" s="989"/>
      <c r="ODL1063" s="989"/>
      <c r="ODM1063" s="989"/>
      <c r="ODN1063" s="989"/>
      <c r="ODO1063" s="989"/>
      <c r="ODP1063" s="989"/>
      <c r="ODQ1063" s="989"/>
      <c r="ODR1063" s="989"/>
      <c r="ODS1063" s="989"/>
      <c r="ODT1063" s="989"/>
      <c r="ODU1063" s="989"/>
      <c r="ODV1063" s="989"/>
      <c r="ODW1063" s="989"/>
      <c r="ODX1063" s="989"/>
      <c r="ODY1063" s="989"/>
      <c r="ODZ1063" s="989"/>
      <c r="OEA1063" s="989"/>
      <c r="OEB1063" s="989"/>
      <c r="OEC1063" s="989"/>
      <c r="OED1063" s="989"/>
      <c r="OEE1063" s="989"/>
      <c r="OEF1063" s="989"/>
      <c r="OEG1063" s="989"/>
      <c r="OEH1063" s="989"/>
      <c r="OEI1063" s="989"/>
      <c r="OEJ1063" s="989"/>
      <c r="OEK1063" s="989"/>
      <c r="OEL1063" s="989"/>
      <c r="OEM1063" s="989"/>
      <c r="OEN1063" s="989"/>
      <c r="OEO1063" s="989"/>
      <c r="OEP1063" s="989"/>
      <c r="OEQ1063" s="989"/>
      <c r="OER1063" s="989"/>
      <c r="OES1063" s="989"/>
      <c r="OET1063" s="989"/>
      <c r="OEU1063" s="989"/>
      <c r="OEV1063" s="989"/>
      <c r="OEW1063" s="989"/>
      <c r="OEX1063" s="989"/>
      <c r="OEY1063" s="989"/>
      <c r="OEZ1063" s="989"/>
      <c r="OFA1063" s="989"/>
      <c r="OFB1063" s="989"/>
      <c r="OFC1063" s="989"/>
      <c r="OFD1063" s="989"/>
      <c r="OFE1063" s="989"/>
      <c r="OFF1063" s="989"/>
      <c r="OFG1063" s="989"/>
      <c r="OFH1063" s="989"/>
      <c r="OFI1063" s="989"/>
      <c r="OFJ1063" s="989"/>
      <c r="OFK1063" s="989"/>
      <c r="OFL1063" s="989"/>
      <c r="OFM1063" s="989"/>
      <c r="OFN1063" s="989"/>
      <c r="OFO1063" s="989"/>
      <c r="OFP1063" s="989"/>
      <c r="OFQ1063" s="989"/>
      <c r="OFR1063" s="989"/>
      <c r="OFS1063" s="989"/>
      <c r="OFT1063" s="989"/>
      <c r="OFU1063" s="989"/>
      <c r="OFV1063" s="989"/>
      <c r="OFW1063" s="989"/>
      <c r="OFX1063" s="989"/>
      <c r="OFY1063" s="989"/>
      <c r="OFZ1063" s="989"/>
      <c r="OGA1063" s="989"/>
      <c r="OGB1063" s="989"/>
      <c r="OGC1063" s="989"/>
      <c r="OGD1063" s="989"/>
      <c r="OGE1063" s="989"/>
      <c r="OGF1063" s="989"/>
      <c r="OGG1063" s="989"/>
      <c r="OGH1063" s="989"/>
      <c r="OGI1063" s="989"/>
      <c r="OGJ1063" s="989"/>
      <c r="OGK1063" s="989"/>
      <c r="OGL1063" s="989"/>
      <c r="OGM1063" s="989"/>
      <c r="OGN1063" s="989"/>
      <c r="OGO1063" s="989"/>
      <c r="OGP1063" s="989"/>
      <c r="OGQ1063" s="989"/>
      <c r="OGR1063" s="989"/>
      <c r="OGS1063" s="989"/>
      <c r="OGT1063" s="989"/>
      <c r="OGU1063" s="989"/>
      <c r="OGV1063" s="989"/>
      <c r="OGW1063" s="989"/>
      <c r="OGX1063" s="989"/>
      <c r="OGY1063" s="989"/>
      <c r="OGZ1063" s="989"/>
      <c r="OHA1063" s="989"/>
      <c r="OHB1063" s="989"/>
      <c r="OHC1063" s="989"/>
      <c r="OHD1063" s="989"/>
      <c r="OHE1063" s="989"/>
      <c r="OHF1063" s="989"/>
      <c r="OHG1063" s="989"/>
      <c r="OHH1063" s="989"/>
      <c r="OHI1063" s="989"/>
      <c r="OHJ1063" s="989"/>
      <c r="OHK1063" s="989"/>
      <c r="OHL1063" s="989"/>
      <c r="OHM1063" s="989"/>
      <c r="OHN1063" s="989"/>
      <c r="OHO1063" s="989"/>
      <c r="OHP1063" s="989"/>
      <c r="OHQ1063" s="989"/>
      <c r="OHR1063" s="989"/>
      <c r="OHS1063" s="989"/>
      <c r="OHT1063" s="989"/>
      <c r="OHU1063" s="989"/>
      <c r="OHV1063" s="989"/>
      <c r="OHW1063" s="989"/>
      <c r="OHX1063" s="989"/>
      <c r="OHY1063" s="989"/>
      <c r="OHZ1063" s="989"/>
      <c r="OIA1063" s="989"/>
      <c r="OIB1063" s="989"/>
      <c r="OIC1063" s="989"/>
      <c r="OID1063" s="989"/>
      <c r="OIE1063" s="989"/>
      <c r="OIF1063" s="989"/>
      <c r="OIG1063" s="989"/>
      <c r="OIH1063" s="989"/>
      <c r="OII1063" s="989"/>
      <c r="OIJ1063" s="989"/>
      <c r="OIK1063" s="989"/>
      <c r="OIL1063" s="989"/>
      <c r="OIM1063" s="989"/>
      <c r="OIN1063" s="989"/>
      <c r="OIO1063" s="989"/>
      <c r="OIP1063" s="989"/>
      <c r="OIQ1063" s="989"/>
      <c r="OIR1063" s="989"/>
      <c r="OIS1063" s="989"/>
      <c r="OIT1063" s="989"/>
      <c r="OIU1063" s="989"/>
      <c r="OIV1063" s="989"/>
      <c r="OIW1063" s="989"/>
      <c r="OIX1063" s="989"/>
      <c r="OIY1063" s="989"/>
      <c r="OIZ1063" s="989"/>
      <c r="OJA1063" s="989"/>
      <c r="OJB1063" s="989"/>
      <c r="OJC1063" s="989"/>
      <c r="OJD1063" s="989"/>
      <c r="OJE1063" s="989"/>
      <c r="OJF1063" s="989"/>
      <c r="OJG1063" s="989"/>
      <c r="OJH1063" s="989"/>
      <c r="OJI1063" s="989"/>
      <c r="OJJ1063" s="989"/>
      <c r="OJK1063" s="989"/>
      <c r="OJL1063" s="989"/>
      <c r="OJM1063" s="989"/>
      <c r="OJN1063" s="989"/>
      <c r="OJO1063" s="989"/>
      <c r="OJP1063" s="989"/>
      <c r="OJQ1063" s="989"/>
      <c r="OJR1063" s="989"/>
      <c r="OJS1063" s="989"/>
      <c r="OJT1063" s="989"/>
      <c r="OJU1063" s="989"/>
      <c r="OJV1063" s="989"/>
      <c r="OJW1063" s="989"/>
      <c r="OJX1063" s="989"/>
      <c r="OJY1063" s="989"/>
      <c r="OJZ1063" s="989"/>
      <c r="OKA1063" s="989"/>
      <c r="OKB1063" s="989"/>
      <c r="OKC1063" s="989"/>
      <c r="OKD1063" s="989"/>
      <c r="OKE1063" s="989"/>
      <c r="OKF1063" s="989"/>
      <c r="OKG1063" s="989"/>
      <c r="OKH1063" s="989"/>
      <c r="OKI1063" s="989"/>
      <c r="OKJ1063" s="989"/>
      <c r="OKK1063" s="989"/>
      <c r="OKL1063" s="989"/>
      <c r="OKM1063" s="989"/>
      <c r="OKN1063" s="989"/>
      <c r="OKO1063" s="989"/>
      <c r="OKP1063" s="989"/>
      <c r="OKQ1063" s="989"/>
      <c r="OKR1063" s="989"/>
      <c r="OKS1063" s="989"/>
      <c r="OKT1063" s="989"/>
      <c r="OKU1063" s="989"/>
      <c r="OKV1063" s="989"/>
      <c r="OKW1063" s="989"/>
      <c r="OKX1063" s="989"/>
      <c r="OKY1063" s="989"/>
      <c r="OKZ1063" s="989"/>
      <c r="OLA1063" s="989"/>
      <c r="OLB1063" s="989"/>
      <c r="OLC1063" s="989"/>
      <c r="OLD1063" s="989"/>
      <c r="OLE1063" s="989"/>
      <c r="OLF1063" s="989"/>
      <c r="OLG1063" s="989"/>
      <c r="OLH1063" s="989"/>
      <c r="OLI1063" s="989"/>
      <c r="OLJ1063" s="989"/>
      <c r="OLK1063" s="989"/>
      <c r="OLL1063" s="989"/>
      <c r="OLM1063" s="989"/>
      <c r="OLN1063" s="989"/>
      <c r="OLO1063" s="989"/>
      <c r="OLP1063" s="989"/>
      <c r="OLQ1063" s="989"/>
      <c r="OLR1063" s="989"/>
      <c r="OLS1063" s="989"/>
      <c r="OLT1063" s="989"/>
      <c r="OLU1063" s="989"/>
      <c r="OLV1063" s="989"/>
      <c r="OLW1063" s="989"/>
      <c r="OLX1063" s="989"/>
      <c r="OLY1063" s="989"/>
      <c r="OLZ1063" s="989"/>
      <c r="OMA1063" s="989"/>
      <c r="OMB1063" s="989"/>
      <c r="OMC1063" s="989"/>
      <c r="OMD1063" s="989"/>
      <c r="OME1063" s="989"/>
      <c r="OMF1063" s="989"/>
      <c r="OMG1063" s="989"/>
      <c r="OMH1063" s="989"/>
      <c r="OMI1063" s="989"/>
      <c r="OMJ1063" s="989"/>
      <c r="OMK1063" s="989"/>
      <c r="OML1063" s="989"/>
      <c r="OMM1063" s="989"/>
      <c r="OMN1063" s="989"/>
      <c r="OMO1063" s="989"/>
      <c r="OMP1063" s="989"/>
      <c r="OMQ1063" s="989"/>
      <c r="OMR1063" s="989"/>
      <c r="OMS1063" s="989"/>
      <c r="OMT1063" s="989"/>
      <c r="OMU1063" s="989"/>
      <c r="OMV1063" s="989"/>
      <c r="OMW1063" s="989"/>
      <c r="OMX1063" s="989"/>
      <c r="OMY1063" s="989"/>
      <c r="OMZ1063" s="989"/>
      <c r="ONA1063" s="989"/>
      <c r="ONB1063" s="989"/>
      <c r="ONC1063" s="989"/>
      <c r="OND1063" s="989"/>
      <c r="ONE1063" s="989"/>
      <c r="ONF1063" s="989"/>
      <c r="ONG1063" s="989"/>
      <c r="ONH1063" s="989"/>
      <c r="ONI1063" s="989"/>
      <c r="ONJ1063" s="989"/>
      <c r="ONK1063" s="989"/>
      <c r="ONL1063" s="989"/>
      <c r="ONM1063" s="989"/>
      <c r="ONN1063" s="989"/>
      <c r="ONO1063" s="989"/>
      <c r="ONP1063" s="989"/>
      <c r="ONQ1063" s="989"/>
      <c r="ONR1063" s="989"/>
      <c r="ONS1063" s="989"/>
      <c r="ONT1063" s="989"/>
      <c r="ONU1063" s="989"/>
      <c r="ONV1063" s="989"/>
      <c r="ONW1063" s="989"/>
      <c r="ONX1063" s="989"/>
      <c r="ONY1063" s="989"/>
      <c r="ONZ1063" s="989"/>
      <c r="OOA1063" s="989"/>
      <c r="OOB1063" s="989"/>
      <c r="OOC1063" s="989"/>
      <c r="OOD1063" s="989"/>
      <c r="OOE1063" s="989"/>
      <c r="OOF1063" s="989"/>
      <c r="OOG1063" s="989"/>
      <c r="OOH1063" s="989"/>
      <c r="OOI1063" s="989"/>
      <c r="OOJ1063" s="989"/>
      <c r="OOK1063" s="989"/>
      <c r="OOL1063" s="989"/>
      <c r="OOM1063" s="989"/>
      <c r="OON1063" s="989"/>
      <c r="OOO1063" s="989"/>
      <c r="OOP1063" s="989"/>
      <c r="OOQ1063" s="989"/>
      <c r="OOR1063" s="989"/>
      <c r="OOS1063" s="989"/>
      <c r="OOT1063" s="989"/>
      <c r="OOU1063" s="989"/>
      <c r="OOV1063" s="989"/>
      <c r="OOW1063" s="989"/>
      <c r="OOX1063" s="989"/>
      <c r="OOY1063" s="989"/>
      <c r="OOZ1063" s="989"/>
      <c r="OPA1063" s="989"/>
      <c r="OPB1063" s="989"/>
      <c r="OPC1063" s="989"/>
      <c r="OPD1063" s="989"/>
      <c r="OPE1063" s="989"/>
      <c r="OPF1063" s="989"/>
      <c r="OPG1063" s="989"/>
      <c r="OPH1063" s="989"/>
      <c r="OPI1063" s="989"/>
      <c r="OPJ1063" s="989"/>
      <c r="OPK1063" s="989"/>
      <c r="OPL1063" s="989"/>
      <c r="OPM1063" s="989"/>
      <c r="OPN1063" s="989"/>
      <c r="OPO1063" s="989"/>
      <c r="OPP1063" s="989"/>
      <c r="OPQ1063" s="989"/>
      <c r="OPR1063" s="989"/>
      <c r="OPS1063" s="989"/>
      <c r="OPT1063" s="989"/>
      <c r="OPU1063" s="989"/>
      <c r="OPV1063" s="989"/>
      <c r="OPW1063" s="989"/>
      <c r="OPX1063" s="989"/>
      <c r="OPY1063" s="989"/>
      <c r="OPZ1063" s="989"/>
      <c r="OQA1063" s="989"/>
      <c r="OQB1063" s="989"/>
      <c r="OQC1063" s="989"/>
      <c r="OQD1063" s="989"/>
      <c r="OQE1063" s="989"/>
      <c r="OQF1063" s="989"/>
      <c r="OQG1063" s="989"/>
      <c r="OQH1063" s="989"/>
      <c r="OQI1063" s="989"/>
      <c r="OQJ1063" s="989"/>
      <c r="OQK1063" s="989"/>
      <c r="OQL1063" s="989"/>
      <c r="OQM1063" s="989"/>
      <c r="OQN1063" s="989"/>
      <c r="OQO1063" s="989"/>
      <c r="OQP1063" s="989"/>
      <c r="OQQ1063" s="989"/>
      <c r="OQR1063" s="989"/>
      <c r="OQS1063" s="989"/>
      <c r="OQT1063" s="989"/>
      <c r="OQU1063" s="989"/>
      <c r="OQV1063" s="989"/>
      <c r="OQW1063" s="989"/>
      <c r="OQX1063" s="989"/>
      <c r="OQY1063" s="989"/>
      <c r="OQZ1063" s="989"/>
      <c r="ORA1063" s="989"/>
      <c r="ORB1063" s="989"/>
      <c r="ORC1063" s="989"/>
      <c r="ORD1063" s="989"/>
      <c r="ORE1063" s="989"/>
      <c r="ORF1063" s="989"/>
      <c r="ORG1063" s="989"/>
      <c r="ORH1063" s="989"/>
      <c r="ORI1063" s="989"/>
      <c r="ORJ1063" s="989"/>
      <c r="ORK1063" s="989"/>
      <c r="ORL1063" s="989"/>
      <c r="ORM1063" s="989"/>
      <c r="ORN1063" s="989"/>
      <c r="ORO1063" s="989"/>
      <c r="ORP1063" s="989"/>
      <c r="ORQ1063" s="989"/>
      <c r="ORR1063" s="989"/>
      <c r="ORS1063" s="989"/>
      <c r="ORT1063" s="989"/>
      <c r="ORU1063" s="989"/>
      <c r="ORV1063" s="989"/>
      <c r="ORW1063" s="989"/>
      <c r="ORX1063" s="989"/>
      <c r="ORY1063" s="989"/>
      <c r="ORZ1063" s="989"/>
      <c r="OSA1063" s="989"/>
      <c r="OSB1063" s="989"/>
      <c r="OSC1063" s="989"/>
      <c r="OSD1063" s="989"/>
      <c r="OSE1063" s="989"/>
      <c r="OSF1063" s="989"/>
      <c r="OSG1063" s="989"/>
      <c r="OSH1063" s="989"/>
      <c r="OSI1063" s="989"/>
      <c r="OSJ1063" s="989"/>
      <c r="OSK1063" s="989"/>
      <c r="OSL1063" s="989"/>
      <c r="OSM1063" s="989"/>
      <c r="OSN1063" s="989"/>
      <c r="OSO1063" s="989"/>
      <c r="OSP1063" s="989"/>
      <c r="OSQ1063" s="989"/>
      <c r="OSR1063" s="989"/>
      <c r="OSS1063" s="989"/>
      <c r="OST1063" s="989"/>
      <c r="OSU1063" s="989"/>
      <c r="OSV1063" s="989"/>
      <c r="OSW1063" s="989"/>
      <c r="OSX1063" s="989"/>
      <c r="OSY1063" s="989"/>
      <c r="OSZ1063" s="989"/>
      <c r="OTA1063" s="989"/>
      <c r="OTB1063" s="989"/>
      <c r="OTC1063" s="989"/>
      <c r="OTD1063" s="989"/>
      <c r="OTE1063" s="989"/>
      <c r="OTF1063" s="989"/>
      <c r="OTG1063" s="989"/>
      <c r="OTH1063" s="989"/>
      <c r="OTI1063" s="989"/>
      <c r="OTJ1063" s="989"/>
      <c r="OTK1063" s="989"/>
      <c r="OTL1063" s="989"/>
      <c r="OTM1063" s="989"/>
      <c r="OTN1063" s="989"/>
      <c r="OTO1063" s="989"/>
      <c r="OTP1063" s="989"/>
      <c r="OTQ1063" s="989"/>
      <c r="OTR1063" s="989"/>
      <c r="OTS1063" s="989"/>
      <c r="OTT1063" s="989"/>
      <c r="OTU1063" s="989"/>
      <c r="OTV1063" s="989"/>
      <c r="OTW1063" s="989"/>
      <c r="OTX1063" s="989"/>
      <c r="OTY1063" s="989"/>
      <c r="OTZ1063" s="989"/>
      <c r="OUA1063" s="989"/>
      <c r="OUB1063" s="989"/>
      <c r="OUC1063" s="989"/>
      <c r="OUD1063" s="989"/>
      <c r="OUE1063" s="989"/>
      <c r="OUF1063" s="989"/>
      <c r="OUG1063" s="989"/>
      <c r="OUH1063" s="989"/>
      <c r="OUI1063" s="989"/>
      <c r="OUJ1063" s="989"/>
      <c r="OUK1063" s="989"/>
      <c r="OUL1063" s="989"/>
      <c r="OUM1063" s="989"/>
      <c r="OUN1063" s="989"/>
      <c r="OUO1063" s="989"/>
      <c r="OUP1063" s="989"/>
      <c r="OUQ1063" s="989"/>
      <c r="OUR1063" s="989"/>
      <c r="OUS1063" s="989"/>
      <c r="OUT1063" s="989"/>
      <c r="OUU1063" s="989"/>
      <c r="OUV1063" s="989"/>
      <c r="OUW1063" s="989"/>
      <c r="OUX1063" s="989"/>
      <c r="OUY1063" s="989"/>
      <c r="OUZ1063" s="989"/>
      <c r="OVA1063" s="989"/>
      <c r="OVB1063" s="989"/>
      <c r="OVC1063" s="989"/>
      <c r="OVD1063" s="989"/>
      <c r="OVE1063" s="989"/>
      <c r="OVF1063" s="989"/>
      <c r="OVG1063" s="989"/>
      <c r="OVH1063" s="989"/>
      <c r="OVI1063" s="989"/>
      <c r="OVJ1063" s="989"/>
      <c r="OVK1063" s="989"/>
      <c r="OVL1063" s="989"/>
      <c r="OVM1063" s="989"/>
      <c r="OVN1063" s="989"/>
      <c r="OVO1063" s="989"/>
      <c r="OVP1063" s="989"/>
      <c r="OVQ1063" s="989"/>
      <c r="OVR1063" s="989"/>
      <c r="OVS1063" s="989"/>
      <c r="OVT1063" s="989"/>
      <c r="OVU1063" s="989"/>
      <c r="OVV1063" s="989"/>
      <c r="OVW1063" s="989"/>
      <c r="OVX1063" s="989"/>
      <c r="OVY1063" s="989"/>
      <c r="OVZ1063" s="989"/>
      <c r="OWA1063" s="989"/>
      <c r="OWB1063" s="989"/>
      <c r="OWC1063" s="989"/>
      <c r="OWD1063" s="989"/>
      <c r="OWE1063" s="989"/>
      <c r="OWF1063" s="989"/>
      <c r="OWG1063" s="989"/>
      <c r="OWH1063" s="989"/>
      <c r="OWI1063" s="989"/>
      <c r="OWJ1063" s="989"/>
      <c r="OWK1063" s="989"/>
      <c r="OWL1063" s="989"/>
      <c r="OWM1063" s="989"/>
      <c r="OWN1063" s="989"/>
      <c r="OWO1063" s="989"/>
      <c r="OWP1063" s="989"/>
      <c r="OWQ1063" s="989"/>
      <c r="OWR1063" s="989"/>
      <c r="OWS1063" s="989"/>
      <c r="OWT1063" s="989"/>
      <c r="OWU1063" s="989"/>
      <c r="OWV1063" s="989"/>
      <c r="OWW1063" s="989"/>
      <c r="OWX1063" s="989"/>
      <c r="OWY1063" s="989"/>
      <c r="OWZ1063" s="989"/>
      <c r="OXA1063" s="989"/>
      <c r="OXB1063" s="989"/>
      <c r="OXC1063" s="989"/>
      <c r="OXD1063" s="989"/>
      <c r="OXE1063" s="989"/>
      <c r="OXF1063" s="989"/>
      <c r="OXG1063" s="989"/>
      <c r="OXH1063" s="989"/>
      <c r="OXI1063" s="989"/>
      <c r="OXJ1063" s="989"/>
      <c r="OXK1063" s="989"/>
      <c r="OXL1063" s="989"/>
      <c r="OXM1063" s="989"/>
      <c r="OXN1063" s="989"/>
      <c r="OXO1063" s="989"/>
      <c r="OXP1063" s="989"/>
      <c r="OXQ1063" s="989"/>
      <c r="OXR1063" s="989"/>
      <c r="OXS1063" s="989"/>
      <c r="OXT1063" s="989"/>
      <c r="OXU1063" s="989"/>
      <c r="OXV1063" s="989"/>
      <c r="OXW1063" s="989"/>
      <c r="OXX1063" s="989"/>
      <c r="OXY1063" s="989"/>
      <c r="OXZ1063" s="989"/>
      <c r="OYA1063" s="989"/>
      <c r="OYB1063" s="989"/>
      <c r="OYC1063" s="989"/>
      <c r="OYD1063" s="989"/>
      <c r="OYE1063" s="989"/>
      <c r="OYF1063" s="989"/>
      <c r="OYG1063" s="989"/>
      <c r="OYH1063" s="989"/>
      <c r="OYI1063" s="989"/>
      <c r="OYJ1063" s="989"/>
      <c r="OYK1063" s="989"/>
      <c r="OYL1063" s="989"/>
      <c r="OYM1063" s="989"/>
      <c r="OYN1063" s="989"/>
      <c r="OYO1063" s="989"/>
      <c r="OYP1063" s="989"/>
      <c r="OYQ1063" s="989"/>
      <c r="OYR1063" s="989"/>
      <c r="OYS1063" s="989"/>
      <c r="OYT1063" s="989"/>
      <c r="OYU1063" s="989"/>
      <c r="OYV1063" s="989"/>
      <c r="OYW1063" s="989"/>
      <c r="OYX1063" s="989"/>
      <c r="OYY1063" s="989"/>
      <c r="OYZ1063" s="989"/>
      <c r="OZA1063" s="989"/>
      <c r="OZB1063" s="989"/>
      <c r="OZC1063" s="989"/>
      <c r="OZD1063" s="989"/>
      <c r="OZE1063" s="989"/>
      <c r="OZF1063" s="989"/>
      <c r="OZG1063" s="989"/>
      <c r="OZH1063" s="989"/>
      <c r="OZI1063" s="989"/>
      <c r="OZJ1063" s="989"/>
      <c r="OZK1063" s="989"/>
      <c r="OZL1063" s="989"/>
      <c r="OZM1063" s="989"/>
      <c r="OZN1063" s="989"/>
      <c r="OZO1063" s="989"/>
      <c r="OZP1063" s="989"/>
      <c r="OZQ1063" s="989"/>
      <c r="OZR1063" s="989"/>
      <c r="OZS1063" s="989"/>
      <c r="OZT1063" s="989"/>
      <c r="OZU1063" s="989"/>
      <c r="OZV1063" s="989"/>
      <c r="OZW1063" s="989"/>
      <c r="OZX1063" s="989"/>
      <c r="OZY1063" s="989"/>
      <c r="OZZ1063" s="989"/>
      <c r="PAA1063" s="989"/>
      <c r="PAB1063" s="989"/>
      <c r="PAC1063" s="989"/>
      <c r="PAD1063" s="989"/>
      <c r="PAE1063" s="989"/>
      <c r="PAF1063" s="989"/>
      <c r="PAG1063" s="989"/>
      <c r="PAH1063" s="989"/>
      <c r="PAI1063" s="989"/>
      <c r="PAJ1063" s="989"/>
      <c r="PAK1063" s="989"/>
      <c r="PAL1063" s="989"/>
      <c r="PAM1063" s="989"/>
      <c r="PAN1063" s="989"/>
      <c r="PAO1063" s="989"/>
      <c r="PAP1063" s="989"/>
      <c r="PAQ1063" s="989"/>
      <c r="PAR1063" s="989"/>
      <c r="PAS1063" s="989"/>
      <c r="PAT1063" s="989"/>
      <c r="PAU1063" s="989"/>
      <c r="PAV1063" s="989"/>
      <c r="PAW1063" s="989"/>
      <c r="PAX1063" s="989"/>
      <c r="PAY1063" s="989"/>
      <c r="PAZ1063" s="989"/>
      <c r="PBA1063" s="989"/>
      <c r="PBB1063" s="989"/>
      <c r="PBC1063" s="989"/>
      <c r="PBD1063" s="989"/>
      <c r="PBE1063" s="989"/>
      <c r="PBF1063" s="989"/>
      <c r="PBG1063" s="989"/>
      <c r="PBH1063" s="989"/>
      <c r="PBI1063" s="989"/>
      <c r="PBJ1063" s="989"/>
      <c r="PBK1063" s="989"/>
      <c r="PBL1063" s="989"/>
      <c r="PBM1063" s="989"/>
      <c r="PBN1063" s="989"/>
      <c r="PBO1063" s="989"/>
      <c r="PBP1063" s="989"/>
      <c r="PBQ1063" s="989"/>
      <c r="PBR1063" s="989"/>
      <c r="PBS1063" s="989"/>
      <c r="PBT1063" s="989"/>
      <c r="PBU1063" s="989"/>
      <c r="PBV1063" s="989"/>
      <c r="PBW1063" s="989"/>
      <c r="PBX1063" s="989"/>
      <c r="PBY1063" s="989"/>
      <c r="PBZ1063" s="989"/>
      <c r="PCA1063" s="989"/>
      <c r="PCB1063" s="989"/>
      <c r="PCC1063" s="989"/>
      <c r="PCD1063" s="989"/>
      <c r="PCE1063" s="989"/>
      <c r="PCF1063" s="989"/>
      <c r="PCG1063" s="989"/>
      <c r="PCH1063" s="989"/>
      <c r="PCI1063" s="989"/>
      <c r="PCJ1063" s="989"/>
      <c r="PCK1063" s="989"/>
      <c r="PCL1063" s="989"/>
      <c r="PCM1063" s="989"/>
      <c r="PCN1063" s="989"/>
      <c r="PCO1063" s="989"/>
      <c r="PCP1063" s="989"/>
      <c r="PCQ1063" s="989"/>
      <c r="PCR1063" s="989"/>
      <c r="PCS1063" s="989"/>
      <c r="PCT1063" s="989"/>
      <c r="PCU1063" s="989"/>
      <c r="PCV1063" s="989"/>
      <c r="PCW1063" s="989"/>
      <c r="PCX1063" s="989"/>
      <c r="PCY1063" s="989"/>
      <c r="PCZ1063" s="989"/>
      <c r="PDA1063" s="989"/>
      <c r="PDB1063" s="989"/>
      <c r="PDC1063" s="989"/>
      <c r="PDD1063" s="989"/>
      <c r="PDE1063" s="989"/>
      <c r="PDF1063" s="989"/>
      <c r="PDG1063" s="989"/>
      <c r="PDH1063" s="989"/>
      <c r="PDI1063" s="989"/>
      <c r="PDJ1063" s="989"/>
      <c r="PDK1063" s="989"/>
      <c r="PDL1063" s="989"/>
      <c r="PDM1063" s="989"/>
      <c r="PDN1063" s="989"/>
      <c r="PDO1063" s="989"/>
      <c r="PDP1063" s="989"/>
      <c r="PDQ1063" s="989"/>
      <c r="PDR1063" s="989"/>
      <c r="PDS1063" s="989"/>
      <c r="PDT1063" s="989"/>
      <c r="PDU1063" s="989"/>
      <c r="PDV1063" s="989"/>
      <c r="PDW1063" s="989"/>
      <c r="PDX1063" s="989"/>
      <c r="PDY1063" s="989"/>
      <c r="PDZ1063" s="989"/>
      <c r="PEA1063" s="989"/>
      <c r="PEB1063" s="989"/>
      <c r="PEC1063" s="989"/>
      <c r="PED1063" s="989"/>
      <c r="PEE1063" s="989"/>
      <c r="PEF1063" s="989"/>
      <c r="PEG1063" s="989"/>
      <c r="PEH1063" s="989"/>
      <c r="PEI1063" s="989"/>
      <c r="PEJ1063" s="989"/>
      <c r="PEK1063" s="989"/>
      <c r="PEL1063" s="989"/>
      <c r="PEM1063" s="989"/>
      <c r="PEN1063" s="989"/>
      <c r="PEO1063" s="989"/>
      <c r="PEP1063" s="989"/>
      <c r="PEQ1063" s="989"/>
      <c r="PER1063" s="989"/>
      <c r="PES1063" s="989"/>
      <c r="PET1063" s="989"/>
      <c r="PEU1063" s="989"/>
      <c r="PEV1063" s="989"/>
      <c r="PEW1063" s="989"/>
      <c r="PEX1063" s="989"/>
      <c r="PEY1063" s="989"/>
      <c r="PEZ1063" s="989"/>
      <c r="PFA1063" s="989"/>
      <c r="PFB1063" s="989"/>
      <c r="PFC1063" s="989"/>
      <c r="PFD1063" s="989"/>
      <c r="PFE1063" s="989"/>
      <c r="PFF1063" s="989"/>
      <c r="PFG1063" s="989"/>
      <c r="PFH1063" s="989"/>
      <c r="PFI1063" s="989"/>
      <c r="PFJ1063" s="989"/>
      <c r="PFK1063" s="989"/>
      <c r="PFL1063" s="989"/>
      <c r="PFM1063" s="989"/>
      <c r="PFN1063" s="989"/>
      <c r="PFO1063" s="989"/>
      <c r="PFP1063" s="989"/>
      <c r="PFQ1063" s="989"/>
      <c r="PFR1063" s="989"/>
      <c r="PFS1063" s="989"/>
      <c r="PFT1063" s="989"/>
      <c r="PFU1063" s="989"/>
      <c r="PFV1063" s="989"/>
      <c r="PFW1063" s="989"/>
      <c r="PFX1063" s="989"/>
      <c r="PFY1063" s="989"/>
      <c r="PFZ1063" s="989"/>
      <c r="PGA1063" s="989"/>
      <c r="PGB1063" s="989"/>
      <c r="PGC1063" s="989"/>
      <c r="PGD1063" s="989"/>
      <c r="PGE1063" s="989"/>
      <c r="PGF1063" s="989"/>
      <c r="PGG1063" s="989"/>
      <c r="PGH1063" s="989"/>
      <c r="PGI1063" s="989"/>
      <c r="PGJ1063" s="989"/>
      <c r="PGK1063" s="989"/>
      <c r="PGL1063" s="989"/>
      <c r="PGM1063" s="989"/>
      <c r="PGN1063" s="989"/>
      <c r="PGO1063" s="989"/>
      <c r="PGP1063" s="989"/>
      <c r="PGQ1063" s="989"/>
      <c r="PGR1063" s="989"/>
      <c r="PGS1063" s="989"/>
      <c r="PGT1063" s="989"/>
      <c r="PGU1063" s="989"/>
      <c r="PGV1063" s="989"/>
      <c r="PGW1063" s="989"/>
      <c r="PGX1063" s="989"/>
      <c r="PGY1063" s="989"/>
      <c r="PGZ1063" s="989"/>
      <c r="PHA1063" s="989"/>
      <c r="PHB1063" s="989"/>
      <c r="PHC1063" s="989"/>
      <c r="PHD1063" s="989"/>
      <c r="PHE1063" s="989"/>
      <c r="PHF1063" s="989"/>
      <c r="PHG1063" s="989"/>
      <c r="PHH1063" s="989"/>
      <c r="PHI1063" s="989"/>
      <c r="PHJ1063" s="989"/>
      <c r="PHK1063" s="989"/>
      <c r="PHL1063" s="989"/>
      <c r="PHM1063" s="989"/>
      <c r="PHN1063" s="989"/>
      <c r="PHO1063" s="989"/>
      <c r="PHP1063" s="989"/>
      <c r="PHQ1063" s="989"/>
      <c r="PHR1063" s="989"/>
      <c r="PHS1063" s="989"/>
      <c r="PHT1063" s="989"/>
      <c r="PHU1063" s="989"/>
      <c r="PHV1063" s="989"/>
      <c r="PHW1063" s="989"/>
      <c r="PHX1063" s="989"/>
      <c r="PHY1063" s="989"/>
      <c r="PHZ1063" s="989"/>
      <c r="PIA1063" s="989"/>
      <c r="PIB1063" s="989"/>
      <c r="PIC1063" s="989"/>
      <c r="PID1063" s="989"/>
      <c r="PIE1063" s="989"/>
      <c r="PIF1063" s="989"/>
      <c r="PIG1063" s="989"/>
      <c r="PIH1063" s="989"/>
      <c r="PII1063" s="989"/>
      <c r="PIJ1063" s="989"/>
      <c r="PIK1063" s="989"/>
      <c r="PIL1063" s="989"/>
      <c r="PIM1063" s="989"/>
      <c r="PIN1063" s="989"/>
      <c r="PIO1063" s="989"/>
      <c r="PIP1063" s="989"/>
      <c r="PIQ1063" s="989"/>
      <c r="PIR1063" s="989"/>
      <c r="PIS1063" s="989"/>
      <c r="PIT1063" s="989"/>
      <c r="PIU1063" s="989"/>
      <c r="PIV1063" s="989"/>
      <c r="PIW1063" s="989"/>
      <c r="PIX1063" s="989"/>
      <c r="PIY1063" s="989"/>
      <c r="PIZ1063" s="989"/>
      <c r="PJA1063" s="989"/>
      <c r="PJB1063" s="989"/>
      <c r="PJC1063" s="989"/>
      <c r="PJD1063" s="989"/>
      <c r="PJE1063" s="989"/>
      <c r="PJF1063" s="989"/>
      <c r="PJG1063" s="989"/>
      <c r="PJH1063" s="989"/>
      <c r="PJI1063" s="989"/>
      <c r="PJJ1063" s="989"/>
      <c r="PJK1063" s="989"/>
      <c r="PJL1063" s="989"/>
      <c r="PJM1063" s="989"/>
      <c r="PJN1063" s="989"/>
      <c r="PJO1063" s="989"/>
      <c r="PJP1063" s="989"/>
      <c r="PJQ1063" s="989"/>
      <c r="PJR1063" s="989"/>
      <c r="PJS1063" s="989"/>
      <c r="PJT1063" s="989"/>
      <c r="PJU1063" s="989"/>
      <c r="PJV1063" s="989"/>
      <c r="PJW1063" s="989"/>
      <c r="PJX1063" s="989"/>
      <c r="PJY1063" s="989"/>
      <c r="PJZ1063" s="989"/>
      <c r="PKA1063" s="989"/>
      <c r="PKB1063" s="989"/>
      <c r="PKC1063" s="989"/>
      <c r="PKD1063" s="989"/>
      <c r="PKE1063" s="989"/>
      <c r="PKF1063" s="989"/>
      <c r="PKG1063" s="989"/>
      <c r="PKH1063" s="989"/>
      <c r="PKI1063" s="989"/>
      <c r="PKJ1063" s="989"/>
      <c r="PKK1063" s="989"/>
      <c r="PKL1063" s="989"/>
      <c r="PKM1063" s="989"/>
      <c r="PKN1063" s="989"/>
      <c r="PKO1063" s="989"/>
      <c r="PKP1063" s="989"/>
      <c r="PKQ1063" s="989"/>
      <c r="PKR1063" s="989"/>
      <c r="PKS1063" s="989"/>
      <c r="PKT1063" s="989"/>
      <c r="PKU1063" s="989"/>
      <c r="PKV1063" s="989"/>
      <c r="PKW1063" s="989"/>
      <c r="PKX1063" s="989"/>
      <c r="PKY1063" s="989"/>
      <c r="PKZ1063" s="989"/>
      <c r="PLA1063" s="989"/>
      <c r="PLB1063" s="989"/>
      <c r="PLC1063" s="989"/>
      <c r="PLD1063" s="989"/>
      <c r="PLE1063" s="989"/>
      <c r="PLF1063" s="989"/>
      <c r="PLG1063" s="989"/>
      <c r="PLH1063" s="989"/>
      <c r="PLI1063" s="989"/>
      <c r="PLJ1063" s="989"/>
      <c r="PLK1063" s="989"/>
      <c r="PLL1063" s="989"/>
      <c r="PLM1063" s="989"/>
      <c r="PLN1063" s="989"/>
      <c r="PLO1063" s="989"/>
      <c r="PLP1063" s="989"/>
      <c r="PLQ1063" s="989"/>
      <c r="PLR1063" s="989"/>
      <c r="PLS1063" s="989"/>
      <c r="PLT1063" s="989"/>
      <c r="PLU1063" s="989"/>
      <c r="PLV1063" s="989"/>
      <c r="PLW1063" s="989"/>
      <c r="PLX1063" s="989"/>
      <c r="PLY1063" s="989"/>
      <c r="PLZ1063" s="989"/>
      <c r="PMA1063" s="989"/>
      <c r="PMB1063" s="989"/>
      <c r="PMC1063" s="989"/>
      <c r="PMD1063" s="989"/>
      <c r="PME1063" s="989"/>
      <c r="PMF1063" s="989"/>
      <c r="PMG1063" s="989"/>
      <c r="PMH1063" s="989"/>
      <c r="PMI1063" s="989"/>
      <c r="PMJ1063" s="989"/>
      <c r="PMK1063" s="989"/>
      <c r="PML1063" s="989"/>
      <c r="PMM1063" s="989"/>
      <c r="PMN1063" s="989"/>
      <c r="PMO1063" s="989"/>
      <c r="PMP1063" s="989"/>
      <c r="PMQ1063" s="989"/>
      <c r="PMR1063" s="989"/>
      <c r="PMS1063" s="989"/>
      <c r="PMT1063" s="989"/>
      <c r="PMU1063" s="989"/>
      <c r="PMV1063" s="989"/>
      <c r="PMW1063" s="989"/>
      <c r="PMX1063" s="989"/>
      <c r="PMY1063" s="989"/>
      <c r="PMZ1063" s="989"/>
      <c r="PNA1063" s="989"/>
      <c r="PNB1063" s="989"/>
      <c r="PNC1063" s="989"/>
      <c r="PND1063" s="989"/>
      <c r="PNE1063" s="989"/>
      <c r="PNF1063" s="989"/>
      <c r="PNG1063" s="989"/>
      <c r="PNH1063" s="989"/>
      <c r="PNI1063" s="989"/>
      <c r="PNJ1063" s="989"/>
      <c r="PNK1063" s="989"/>
      <c r="PNL1063" s="989"/>
      <c r="PNM1063" s="989"/>
      <c r="PNN1063" s="989"/>
      <c r="PNO1063" s="989"/>
      <c r="PNP1063" s="989"/>
      <c r="PNQ1063" s="989"/>
      <c r="PNR1063" s="989"/>
      <c r="PNS1063" s="989"/>
      <c r="PNT1063" s="989"/>
      <c r="PNU1063" s="989"/>
      <c r="PNV1063" s="989"/>
      <c r="PNW1063" s="989"/>
      <c r="PNX1063" s="989"/>
      <c r="PNY1063" s="989"/>
      <c r="PNZ1063" s="989"/>
      <c r="POA1063" s="989"/>
      <c r="POB1063" s="989"/>
      <c r="POC1063" s="989"/>
      <c r="POD1063" s="989"/>
      <c r="POE1063" s="989"/>
      <c r="POF1063" s="989"/>
      <c r="POG1063" s="989"/>
      <c r="POH1063" s="989"/>
      <c r="POI1063" s="989"/>
      <c r="POJ1063" s="989"/>
      <c r="POK1063" s="989"/>
      <c r="POL1063" s="989"/>
      <c r="POM1063" s="989"/>
      <c r="PON1063" s="989"/>
      <c r="POO1063" s="989"/>
      <c r="POP1063" s="989"/>
      <c r="POQ1063" s="989"/>
      <c r="POR1063" s="989"/>
      <c r="POS1063" s="989"/>
      <c r="POT1063" s="989"/>
      <c r="POU1063" s="989"/>
      <c r="POV1063" s="989"/>
      <c r="POW1063" s="989"/>
      <c r="POX1063" s="989"/>
      <c r="POY1063" s="989"/>
      <c r="POZ1063" s="989"/>
      <c r="PPA1063" s="989"/>
      <c r="PPB1063" s="989"/>
      <c r="PPC1063" s="989"/>
      <c r="PPD1063" s="989"/>
      <c r="PPE1063" s="989"/>
      <c r="PPF1063" s="989"/>
      <c r="PPG1063" s="989"/>
      <c r="PPH1063" s="989"/>
      <c r="PPI1063" s="989"/>
      <c r="PPJ1063" s="989"/>
      <c r="PPK1063" s="989"/>
      <c r="PPL1063" s="989"/>
      <c r="PPM1063" s="989"/>
      <c r="PPN1063" s="989"/>
      <c r="PPO1063" s="989"/>
      <c r="PPP1063" s="989"/>
      <c r="PPQ1063" s="989"/>
      <c r="PPR1063" s="989"/>
      <c r="PPS1063" s="989"/>
      <c r="PPT1063" s="989"/>
      <c r="PPU1063" s="989"/>
      <c r="PPV1063" s="989"/>
      <c r="PPW1063" s="989"/>
      <c r="PPX1063" s="989"/>
      <c r="PPY1063" s="989"/>
      <c r="PPZ1063" s="989"/>
      <c r="PQA1063" s="989"/>
      <c r="PQB1063" s="989"/>
      <c r="PQC1063" s="989"/>
      <c r="PQD1063" s="989"/>
      <c r="PQE1063" s="989"/>
      <c r="PQF1063" s="989"/>
      <c r="PQG1063" s="989"/>
      <c r="PQH1063" s="989"/>
      <c r="PQI1063" s="989"/>
      <c r="PQJ1063" s="989"/>
      <c r="PQK1063" s="989"/>
      <c r="PQL1063" s="989"/>
      <c r="PQM1063" s="989"/>
      <c r="PQN1063" s="989"/>
      <c r="PQO1063" s="989"/>
      <c r="PQP1063" s="989"/>
      <c r="PQQ1063" s="989"/>
      <c r="PQR1063" s="989"/>
      <c r="PQS1063" s="989"/>
      <c r="PQT1063" s="989"/>
      <c r="PQU1063" s="989"/>
      <c r="PQV1063" s="989"/>
      <c r="PQW1063" s="989"/>
      <c r="PQX1063" s="989"/>
      <c r="PQY1063" s="989"/>
      <c r="PQZ1063" s="989"/>
      <c r="PRA1063" s="989"/>
      <c r="PRB1063" s="989"/>
      <c r="PRC1063" s="989"/>
      <c r="PRD1063" s="989"/>
      <c r="PRE1063" s="989"/>
      <c r="PRF1063" s="989"/>
      <c r="PRG1063" s="989"/>
      <c r="PRH1063" s="989"/>
      <c r="PRI1063" s="989"/>
      <c r="PRJ1063" s="989"/>
      <c r="PRK1063" s="989"/>
      <c r="PRL1063" s="989"/>
      <c r="PRM1063" s="989"/>
      <c r="PRN1063" s="989"/>
      <c r="PRO1063" s="989"/>
      <c r="PRP1063" s="989"/>
      <c r="PRQ1063" s="989"/>
      <c r="PRR1063" s="989"/>
      <c r="PRS1063" s="989"/>
      <c r="PRT1063" s="989"/>
      <c r="PRU1063" s="989"/>
      <c r="PRV1063" s="989"/>
      <c r="PRW1063" s="989"/>
      <c r="PRX1063" s="989"/>
      <c r="PRY1063" s="989"/>
      <c r="PRZ1063" s="989"/>
      <c r="PSA1063" s="989"/>
      <c r="PSB1063" s="989"/>
      <c r="PSC1063" s="989"/>
      <c r="PSD1063" s="989"/>
      <c r="PSE1063" s="989"/>
      <c r="PSF1063" s="989"/>
      <c r="PSG1063" s="989"/>
      <c r="PSH1063" s="989"/>
      <c r="PSI1063" s="989"/>
      <c r="PSJ1063" s="989"/>
      <c r="PSK1063" s="989"/>
      <c r="PSL1063" s="989"/>
      <c r="PSM1063" s="989"/>
      <c r="PSN1063" s="989"/>
      <c r="PSO1063" s="989"/>
      <c r="PSP1063" s="989"/>
      <c r="PSQ1063" s="989"/>
      <c r="PSR1063" s="989"/>
      <c r="PSS1063" s="989"/>
      <c r="PST1063" s="989"/>
      <c r="PSU1063" s="989"/>
      <c r="PSV1063" s="989"/>
      <c r="PSW1063" s="989"/>
      <c r="PSX1063" s="989"/>
      <c r="PSY1063" s="989"/>
      <c r="PSZ1063" s="989"/>
      <c r="PTA1063" s="989"/>
      <c r="PTB1063" s="989"/>
      <c r="PTC1063" s="989"/>
      <c r="PTD1063" s="989"/>
      <c r="PTE1063" s="989"/>
      <c r="PTF1063" s="989"/>
      <c r="PTG1063" s="989"/>
      <c r="PTH1063" s="989"/>
      <c r="PTI1063" s="989"/>
      <c r="PTJ1063" s="989"/>
      <c r="PTK1063" s="989"/>
      <c r="PTL1063" s="989"/>
      <c r="PTM1063" s="989"/>
      <c r="PTN1063" s="989"/>
      <c r="PTO1063" s="989"/>
      <c r="PTP1063" s="989"/>
      <c r="PTQ1063" s="989"/>
      <c r="PTR1063" s="989"/>
      <c r="PTS1063" s="989"/>
      <c r="PTT1063" s="989"/>
      <c r="PTU1063" s="989"/>
      <c r="PTV1063" s="989"/>
      <c r="PTW1063" s="989"/>
      <c r="PTX1063" s="989"/>
      <c r="PTY1063" s="989"/>
      <c r="PTZ1063" s="989"/>
      <c r="PUA1063" s="989"/>
      <c r="PUB1063" s="989"/>
      <c r="PUC1063" s="989"/>
      <c r="PUD1063" s="989"/>
      <c r="PUE1063" s="989"/>
      <c r="PUF1063" s="989"/>
      <c r="PUG1063" s="989"/>
      <c r="PUH1063" s="989"/>
      <c r="PUI1063" s="989"/>
      <c r="PUJ1063" s="989"/>
      <c r="PUK1063" s="989"/>
      <c r="PUL1063" s="989"/>
      <c r="PUM1063" s="989"/>
      <c r="PUN1063" s="989"/>
      <c r="PUO1063" s="989"/>
      <c r="PUP1063" s="989"/>
      <c r="PUQ1063" s="989"/>
      <c r="PUR1063" s="989"/>
      <c r="PUS1063" s="989"/>
      <c r="PUT1063" s="989"/>
      <c r="PUU1063" s="989"/>
      <c r="PUV1063" s="989"/>
      <c r="PUW1063" s="989"/>
      <c r="PUX1063" s="989"/>
      <c r="PUY1063" s="989"/>
      <c r="PUZ1063" s="989"/>
      <c r="PVA1063" s="989"/>
      <c r="PVB1063" s="989"/>
      <c r="PVC1063" s="989"/>
      <c r="PVD1063" s="989"/>
      <c r="PVE1063" s="989"/>
      <c r="PVF1063" s="989"/>
      <c r="PVG1063" s="989"/>
      <c r="PVH1063" s="989"/>
      <c r="PVI1063" s="989"/>
      <c r="PVJ1063" s="989"/>
      <c r="PVK1063" s="989"/>
      <c r="PVL1063" s="989"/>
      <c r="PVM1063" s="989"/>
      <c r="PVN1063" s="989"/>
      <c r="PVO1063" s="989"/>
      <c r="PVP1063" s="989"/>
      <c r="PVQ1063" s="989"/>
      <c r="PVR1063" s="989"/>
      <c r="PVS1063" s="989"/>
      <c r="PVT1063" s="989"/>
      <c r="PVU1063" s="989"/>
      <c r="PVV1063" s="989"/>
      <c r="PVW1063" s="989"/>
      <c r="PVX1063" s="989"/>
      <c r="PVY1063" s="989"/>
      <c r="PVZ1063" s="989"/>
      <c r="PWA1063" s="989"/>
      <c r="PWB1063" s="989"/>
      <c r="PWC1063" s="989"/>
      <c r="PWD1063" s="989"/>
      <c r="PWE1063" s="989"/>
      <c r="PWF1063" s="989"/>
      <c r="PWG1063" s="989"/>
      <c r="PWH1063" s="989"/>
      <c r="PWI1063" s="989"/>
      <c r="PWJ1063" s="989"/>
      <c r="PWK1063" s="989"/>
      <c r="PWL1063" s="989"/>
      <c r="PWM1063" s="989"/>
      <c r="PWN1063" s="989"/>
      <c r="PWO1063" s="989"/>
      <c r="PWP1063" s="989"/>
      <c r="PWQ1063" s="989"/>
      <c r="PWR1063" s="989"/>
      <c r="PWS1063" s="989"/>
      <c r="PWT1063" s="989"/>
      <c r="PWU1063" s="989"/>
      <c r="PWV1063" s="989"/>
      <c r="PWW1063" s="989"/>
      <c r="PWX1063" s="989"/>
      <c r="PWY1063" s="989"/>
      <c r="PWZ1063" s="989"/>
      <c r="PXA1063" s="989"/>
      <c r="PXB1063" s="989"/>
      <c r="PXC1063" s="989"/>
      <c r="PXD1063" s="989"/>
      <c r="PXE1063" s="989"/>
      <c r="PXF1063" s="989"/>
      <c r="PXG1063" s="989"/>
      <c r="PXH1063" s="989"/>
      <c r="PXI1063" s="989"/>
      <c r="PXJ1063" s="989"/>
      <c r="PXK1063" s="989"/>
      <c r="PXL1063" s="989"/>
      <c r="PXM1063" s="989"/>
      <c r="PXN1063" s="989"/>
      <c r="PXO1063" s="989"/>
      <c r="PXP1063" s="989"/>
      <c r="PXQ1063" s="989"/>
      <c r="PXR1063" s="989"/>
      <c r="PXS1063" s="989"/>
      <c r="PXT1063" s="989"/>
      <c r="PXU1063" s="989"/>
      <c r="PXV1063" s="989"/>
      <c r="PXW1063" s="989"/>
      <c r="PXX1063" s="989"/>
      <c r="PXY1063" s="989"/>
      <c r="PXZ1063" s="989"/>
      <c r="PYA1063" s="989"/>
      <c r="PYB1063" s="989"/>
      <c r="PYC1063" s="989"/>
      <c r="PYD1063" s="989"/>
      <c r="PYE1063" s="989"/>
      <c r="PYF1063" s="989"/>
      <c r="PYG1063" s="989"/>
      <c r="PYH1063" s="989"/>
      <c r="PYI1063" s="989"/>
      <c r="PYJ1063" s="989"/>
      <c r="PYK1063" s="989"/>
      <c r="PYL1063" s="989"/>
      <c r="PYM1063" s="989"/>
      <c r="PYN1063" s="989"/>
      <c r="PYO1063" s="989"/>
      <c r="PYP1063" s="989"/>
      <c r="PYQ1063" s="989"/>
      <c r="PYR1063" s="989"/>
      <c r="PYS1063" s="989"/>
      <c r="PYT1063" s="989"/>
      <c r="PYU1063" s="989"/>
      <c r="PYV1063" s="989"/>
      <c r="PYW1063" s="989"/>
      <c r="PYX1063" s="989"/>
      <c r="PYY1063" s="989"/>
      <c r="PYZ1063" s="989"/>
      <c r="PZA1063" s="989"/>
      <c r="PZB1063" s="989"/>
      <c r="PZC1063" s="989"/>
      <c r="PZD1063" s="989"/>
      <c r="PZE1063" s="989"/>
      <c r="PZF1063" s="989"/>
      <c r="PZG1063" s="989"/>
      <c r="PZH1063" s="989"/>
      <c r="PZI1063" s="989"/>
      <c r="PZJ1063" s="989"/>
      <c r="PZK1063" s="989"/>
      <c r="PZL1063" s="989"/>
      <c r="PZM1063" s="989"/>
      <c r="PZN1063" s="989"/>
      <c r="PZO1063" s="989"/>
      <c r="PZP1063" s="989"/>
      <c r="PZQ1063" s="989"/>
      <c r="PZR1063" s="989"/>
      <c r="PZS1063" s="989"/>
      <c r="PZT1063" s="989"/>
      <c r="PZU1063" s="989"/>
      <c r="PZV1063" s="989"/>
      <c r="PZW1063" s="989"/>
      <c r="PZX1063" s="989"/>
      <c r="PZY1063" s="989"/>
      <c r="PZZ1063" s="989"/>
      <c r="QAA1063" s="989"/>
      <c r="QAB1063" s="989"/>
      <c r="QAC1063" s="989"/>
      <c r="QAD1063" s="989"/>
      <c r="QAE1063" s="989"/>
      <c r="QAF1063" s="989"/>
      <c r="QAG1063" s="989"/>
      <c r="QAH1063" s="989"/>
      <c r="QAI1063" s="989"/>
      <c r="QAJ1063" s="989"/>
      <c r="QAK1063" s="989"/>
      <c r="QAL1063" s="989"/>
      <c r="QAM1063" s="989"/>
      <c r="QAN1063" s="989"/>
      <c r="QAO1063" s="989"/>
      <c r="QAP1063" s="989"/>
      <c r="QAQ1063" s="989"/>
      <c r="QAR1063" s="989"/>
      <c r="QAS1063" s="989"/>
      <c r="QAT1063" s="989"/>
      <c r="QAU1063" s="989"/>
      <c r="QAV1063" s="989"/>
      <c r="QAW1063" s="989"/>
      <c r="QAX1063" s="989"/>
      <c r="QAY1063" s="989"/>
      <c r="QAZ1063" s="989"/>
      <c r="QBA1063" s="989"/>
      <c r="QBB1063" s="989"/>
      <c r="QBC1063" s="989"/>
      <c r="QBD1063" s="989"/>
      <c r="QBE1063" s="989"/>
      <c r="QBF1063" s="989"/>
      <c r="QBG1063" s="989"/>
      <c r="QBH1063" s="989"/>
      <c r="QBI1063" s="989"/>
      <c r="QBJ1063" s="989"/>
      <c r="QBK1063" s="989"/>
      <c r="QBL1063" s="989"/>
      <c r="QBM1063" s="989"/>
      <c r="QBN1063" s="989"/>
      <c r="QBO1063" s="989"/>
      <c r="QBP1063" s="989"/>
      <c r="QBQ1063" s="989"/>
      <c r="QBR1063" s="989"/>
      <c r="QBS1063" s="989"/>
      <c r="QBT1063" s="989"/>
      <c r="QBU1063" s="989"/>
      <c r="QBV1063" s="989"/>
      <c r="QBW1063" s="989"/>
      <c r="QBX1063" s="989"/>
      <c r="QBY1063" s="989"/>
      <c r="QBZ1063" s="989"/>
      <c r="QCA1063" s="989"/>
      <c r="QCB1063" s="989"/>
      <c r="QCC1063" s="989"/>
      <c r="QCD1063" s="989"/>
      <c r="QCE1063" s="989"/>
      <c r="QCF1063" s="989"/>
      <c r="QCG1063" s="989"/>
      <c r="QCH1063" s="989"/>
      <c r="QCI1063" s="989"/>
      <c r="QCJ1063" s="989"/>
      <c r="QCK1063" s="989"/>
      <c r="QCL1063" s="989"/>
      <c r="QCM1063" s="989"/>
      <c r="QCN1063" s="989"/>
      <c r="QCO1063" s="989"/>
      <c r="QCP1063" s="989"/>
      <c r="QCQ1063" s="989"/>
      <c r="QCR1063" s="989"/>
      <c r="QCS1063" s="989"/>
      <c r="QCT1063" s="989"/>
      <c r="QCU1063" s="989"/>
      <c r="QCV1063" s="989"/>
      <c r="QCW1063" s="989"/>
      <c r="QCX1063" s="989"/>
      <c r="QCY1063" s="989"/>
      <c r="QCZ1063" s="989"/>
      <c r="QDA1063" s="989"/>
      <c r="QDB1063" s="989"/>
      <c r="QDC1063" s="989"/>
      <c r="QDD1063" s="989"/>
      <c r="QDE1063" s="989"/>
      <c r="QDF1063" s="989"/>
      <c r="QDG1063" s="989"/>
      <c r="QDH1063" s="989"/>
      <c r="QDI1063" s="989"/>
      <c r="QDJ1063" s="989"/>
      <c r="QDK1063" s="989"/>
      <c r="QDL1063" s="989"/>
      <c r="QDM1063" s="989"/>
      <c r="QDN1063" s="989"/>
      <c r="QDO1063" s="989"/>
      <c r="QDP1063" s="989"/>
      <c r="QDQ1063" s="989"/>
      <c r="QDR1063" s="989"/>
      <c r="QDS1063" s="989"/>
      <c r="QDT1063" s="989"/>
      <c r="QDU1063" s="989"/>
      <c r="QDV1063" s="989"/>
      <c r="QDW1063" s="989"/>
      <c r="QDX1063" s="989"/>
      <c r="QDY1063" s="989"/>
      <c r="QDZ1063" s="989"/>
      <c r="QEA1063" s="989"/>
      <c r="QEB1063" s="989"/>
      <c r="QEC1063" s="989"/>
      <c r="QED1063" s="989"/>
      <c r="QEE1063" s="989"/>
      <c r="QEF1063" s="989"/>
      <c r="QEG1063" s="989"/>
      <c r="QEH1063" s="989"/>
      <c r="QEI1063" s="989"/>
      <c r="QEJ1063" s="989"/>
      <c r="QEK1063" s="989"/>
      <c r="QEL1063" s="989"/>
      <c r="QEM1063" s="989"/>
      <c r="QEN1063" s="989"/>
      <c r="QEO1063" s="989"/>
      <c r="QEP1063" s="989"/>
      <c r="QEQ1063" s="989"/>
      <c r="QER1063" s="989"/>
      <c r="QES1063" s="989"/>
      <c r="QET1063" s="989"/>
      <c r="QEU1063" s="989"/>
      <c r="QEV1063" s="989"/>
      <c r="QEW1063" s="989"/>
      <c r="QEX1063" s="989"/>
      <c r="QEY1063" s="989"/>
      <c r="QEZ1063" s="989"/>
      <c r="QFA1063" s="989"/>
      <c r="QFB1063" s="989"/>
      <c r="QFC1063" s="989"/>
      <c r="QFD1063" s="989"/>
      <c r="QFE1063" s="989"/>
      <c r="QFF1063" s="989"/>
      <c r="QFG1063" s="989"/>
      <c r="QFH1063" s="989"/>
      <c r="QFI1063" s="989"/>
      <c r="QFJ1063" s="989"/>
      <c r="QFK1063" s="989"/>
      <c r="QFL1063" s="989"/>
      <c r="QFM1063" s="989"/>
      <c r="QFN1063" s="989"/>
      <c r="QFO1063" s="989"/>
      <c r="QFP1063" s="989"/>
      <c r="QFQ1063" s="989"/>
      <c r="QFR1063" s="989"/>
      <c r="QFS1063" s="989"/>
      <c r="QFT1063" s="989"/>
      <c r="QFU1063" s="989"/>
      <c r="QFV1063" s="989"/>
      <c r="QFW1063" s="989"/>
      <c r="QFX1063" s="989"/>
      <c r="QFY1063" s="989"/>
      <c r="QFZ1063" s="989"/>
      <c r="QGA1063" s="989"/>
      <c r="QGB1063" s="989"/>
      <c r="QGC1063" s="989"/>
      <c r="QGD1063" s="989"/>
      <c r="QGE1063" s="989"/>
      <c r="QGF1063" s="989"/>
      <c r="QGG1063" s="989"/>
      <c r="QGH1063" s="989"/>
      <c r="QGI1063" s="989"/>
      <c r="QGJ1063" s="989"/>
      <c r="QGK1063" s="989"/>
      <c r="QGL1063" s="989"/>
      <c r="QGM1063" s="989"/>
      <c r="QGN1063" s="989"/>
      <c r="QGO1063" s="989"/>
      <c r="QGP1063" s="989"/>
      <c r="QGQ1063" s="989"/>
      <c r="QGR1063" s="989"/>
      <c r="QGS1063" s="989"/>
      <c r="QGT1063" s="989"/>
      <c r="QGU1063" s="989"/>
      <c r="QGV1063" s="989"/>
      <c r="QGW1063" s="989"/>
      <c r="QGX1063" s="989"/>
      <c r="QGY1063" s="989"/>
      <c r="QGZ1063" s="989"/>
      <c r="QHA1063" s="989"/>
      <c r="QHB1063" s="989"/>
      <c r="QHC1063" s="989"/>
      <c r="QHD1063" s="989"/>
      <c r="QHE1063" s="989"/>
      <c r="QHF1063" s="989"/>
      <c r="QHG1063" s="989"/>
      <c r="QHH1063" s="989"/>
      <c r="QHI1063" s="989"/>
      <c r="QHJ1063" s="989"/>
      <c r="QHK1063" s="989"/>
      <c r="QHL1063" s="989"/>
      <c r="QHM1063" s="989"/>
      <c r="QHN1063" s="989"/>
      <c r="QHO1063" s="989"/>
      <c r="QHP1063" s="989"/>
      <c r="QHQ1063" s="989"/>
      <c r="QHR1063" s="989"/>
      <c r="QHS1063" s="989"/>
      <c r="QHT1063" s="989"/>
      <c r="QHU1063" s="989"/>
      <c r="QHV1063" s="989"/>
      <c r="QHW1063" s="989"/>
      <c r="QHX1063" s="989"/>
      <c r="QHY1063" s="989"/>
      <c r="QHZ1063" s="989"/>
      <c r="QIA1063" s="989"/>
      <c r="QIB1063" s="989"/>
      <c r="QIC1063" s="989"/>
      <c r="QID1063" s="989"/>
      <c r="QIE1063" s="989"/>
      <c r="QIF1063" s="989"/>
      <c r="QIG1063" s="989"/>
      <c r="QIH1063" s="989"/>
      <c r="QII1063" s="989"/>
      <c r="QIJ1063" s="989"/>
      <c r="QIK1063" s="989"/>
      <c r="QIL1063" s="989"/>
      <c r="QIM1063" s="989"/>
      <c r="QIN1063" s="989"/>
      <c r="QIO1063" s="989"/>
      <c r="QIP1063" s="989"/>
      <c r="QIQ1063" s="989"/>
      <c r="QIR1063" s="989"/>
      <c r="QIS1063" s="989"/>
      <c r="QIT1063" s="989"/>
      <c r="QIU1063" s="989"/>
      <c r="QIV1063" s="989"/>
      <c r="QIW1063" s="989"/>
      <c r="QIX1063" s="989"/>
      <c r="QIY1063" s="989"/>
      <c r="QIZ1063" s="989"/>
      <c r="QJA1063" s="989"/>
      <c r="QJB1063" s="989"/>
      <c r="QJC1063" s="989"/>
      <c r="QJD1063" s="989"/>
      <c r="QJE1063" s="989"/>
      <c r="QJF1063" s="989"/>
      <c r="QJG1063" s="989"/>
      <c r="QJH1063" s="989"/>
      <c r="QJI1063" s="989"/>
      <c r="QJJ1063" s="989"/>
      <c r="QJK1063" s="989"/>
      <c r="QJL1063" s="989"/>
      <c r="QJM1063" s="989"/>
      <c r="QJN1063" s="989"/>
      <c r="QJO1063" s="989"/>
      <c r="QJP1063" s="989"/>
      <c r="QJQ1063" s="989"/>
      <c r="QJR1063" s="989"/>
      <c r="QJS1063" s="989"/>
      <c r="QJT1063" s="989"/>
      <c r="QJU1063" s="989"/>
      <c r="QJV1063" s="989"/>
      <c r="QJW1063" s="989"/>
      <c r="QJX1063" s="989"/>
      <c r="QJY1063" s="989"/>
      <c r="QJZ1063" s="989"/>
      <c r="QKA1063" s="989"/>
      <c r="QKB1063" s="989"/>
      <c r="QKC1063" s="989"/>
      <c r="QKD1063" s="989"/>
      <c r="QKE1063" s="989"/>
      <c r="QKF1063" s="989"/>
      <c r="QKG1063" s="989"/>
      <c r="QKH1063" s="989"/>
      <c r="QKI1063" s="989"/>
      <c r="QKJ1063" s="989"/>
      <c r="QKK1063" s="989"/>
      <c r="QKL1063" s="989"/>
      <c r="QKM1063" s="989"/>
      <c r="QKN1063" s="989"/>
      <c r="QKO1063" s="989"/>
      <c r="QKP1063" s="989"/>
      <c r="QKQ1063" s="989"/>
      <c r="QKR1063" s="989"/>
      <c r="QKS1063" s="989"/>
      <c r="QKT1063" s="989"/>
      <c r="QKU1063" s="989"/>
      <c r="QKV1063" s="989"/>
      <c r="QKW1063" s="989"/>
      <c r="QKX1063" s="989"/>
      <c r="QKY1063" s="989"/>
      <c r="QKZ1063" s="989"/>
      <c r="QLA1063" s="989"/>
      <c r="QLB1063" s="989"/>
      <c r="QLC1063" s="989"/>
      <c r="QLD1063" s="989"/>
      <c r="QLE1063" s="989"/>
      <c r="QLF1063" s="989"/>
      <c r="QLG1063" s="989"/>
      <c r="QLH1063" s="989"/>
      <c r="QLI1063" s="989"/>
      <c r="QLJ1063" s="989"/>
      <c r="QLK1063" s="989"/>
      <c r="QLL1063" s="989"/>
      <c r="QLM1063" s="989"/>
      <c r="QLN1063" s="989"/>
      <c r="QLO1063" s="989"/>
      <c r="QLP1063" s="989"/>
      <c r="QLQ1063" s="989"/>
      <c r="QLR1063" s="989"/>
      <c r="QLS1063" s="989"/>
      <c r="QLT1063" s="989"/>
      <c r="QLU1063" s="989"/>
      <c r="QLV1063" s="989"/>
      <c r="QLW1063" s="989"/>
      <c r="QLX1063" s="989"/>
      <c r="QLY1063" s="989"/>
      <c r="QLZ1063" s="989"/>
      <c r="QMA1063" s="989"/>
      <c r="QMB1063" s="989"/>
      <c r="QMC1063" s="989"/>
      <c r="QMD1063" s="989"/>
      <c r="QME1063" s="989"/>
      <c r="QMF1063" s="989"/>
      <c r="QMG1063" s="989"/>
      <c r="QMH1063" s="989"/>
      <c r="QMI1063" s="989"/>
      <c r="QMJ1063" s="989"/>
      <c r="QMK1063" s="989"/>
      <c r="QML1063" s="989"/>
      <c r="QMM1063" s="989"/>
      <c r="QMN1063" s="989"/>
      <c r="QMO1063" s="989"/>
      <c r="QMP1063" s="989"/>
      <c r="QMQ1063" s="989"/>
      <c r="QMR1063" s="989"/>
      <c r="QMS1063" s="989"/>
      <c r="QMT1063" s="989"/>
      <c r="QMU1063" s="989"/>
      <c r="QMV1063" s="989"/>
      <c r="QMW1063" s="989"/>
      <c r="QMX1063" s="989"/>
      <c r="QMY1063" s="989"/>
      <c r="QMZ1063" s="989"/>
      <c r="QNA1063" s="989"/>
      <c r="QNB1063" s="989"/>
      <c r="QNC1063" s="989"/>
      <c r="QND1063" s="989"/>
      <c r="QNE1063" s="989"/>
      <c r="QNF1063" s="989"/>
      <c r="QNG1063" s="989"/>
      <c r="QNH1063" s="989"/>
      <c r="QNI1063" s="989"/>
      <c r="QNJ1063" s="989"/>
      <c r="QNK1063" s="989"/>
      <c r="QNL1063" s="989"/>
      <c r="QNM1063" s="989"/>
      <c r="QNN1063" s="989"/>
      <c r="QNO1063" s="989"/>
      <c r="QNP1063" s="989"/>
      <c r="QNQ1063" s="989"/>
      <c r="QNR1063" s="989"/>
      <c r="QNS1063" s="989"/>
      <c r="QNT1063" s="989"/>
      <c r="QNU1063" s="989"/>
      <c r="QNV1063" s="989"/>
      <c r="QNW1063" s="989"/>
      <c r="QNX1063" s="989"/>
      <c r="QNY1063" s="989"/>
      <c r="QNZ1063" s="989"/>
      <c r="QOA1063" s="989"/>
      <c r="QOB1063" s="989"/>
      <c r="QOC1063" s="989"/>
      <c r="QOD1063" s="989"/>
      <c r="QOE1063" s="989"/>
      <c r="QOF1063" s="989"/>
      <c r="QOG1063" s="989"/>
      <c r="QOH1063" s="989"/>
      <c r="QOI1063" s="989"/>
      <c r="QOJ1063" s="989"/>
      <c r="QOK1063" s="989"/>
      <c r="QOL1063" s="989"/>
      <c r="QOM1063" s="989"/>
      <c r="QON1063" s="989"/>
      <c r="QOO1063" s="989"/>
      <c r="QOP1063" s="989"/>
      <c r="QOQ1063" s="989"/>
      <c r="QOR1063" s="989"/>
      <c r="QOS1063" s="989"/>
      <c r="QOT1063" s="989"/>
      <c r="QOU1063" s="989"/>
      <c r="QOV1063" s="989"/>
      <c r="QOW1063" s="989"/>
      <c r="QOX1063" s="989"/>
      <c r="QOY1063" s="989"/>
      <c r="QOZ1063" s="989"/>
      <c r="QPA1063" s="989"/>
      <c r="QPB1063" s="989"/>
      <c r="QPC1063" s="989"/>
      <c r="QPD1063" s="989"/>
      <c r="QPE1063" s="989"/>
      <c r="QPF1063" s="989"/>
      <c r="QPG1063" s="989"/>
      <c r="QPH1063" s="989"/>
      <c r="QPI1063" s="989"/>
      <c r="QPJ1063" s="989"/>
      <c r="QPK1063" s="989"/>
      <c r="QPL1063" s="989"/>
      <c r="QPM1063" s="989"/>
      <c r="QPN1063" s="989"/>
      <c r="QPO1063" s="989"/>
      <c r="QPP1063" s="989"/>
      <c r="QPQ1063" s="989"/>
      <c r="QPR1063" s="989"/>
      <c r="QPS1063" s="989"/>
      <c r="QPT1063" s="989"/>
      <c r="QPU1063" s="989"/>
      <c r="QPV1063" s="989"/>
      <c r="QPW1063" s="989"/>
      <c r="QPX1063" s="989"/>
      <c r="QPY1063" s="989"/>
      <c r="QPZ1063" s="989"/>
      <c r="QQA1063" s="989"/>
      <c r="QQB1063" s="989"/>
      <c r="QQC1063" s="989"/>
      <c r="QQD1063" s="989"/>
      <c r="QQE1063" s="989"/>
      <c r="QQF1063" s="989"/>
      <c r="QQG1063" s="989"/>
      <c r="QQH1063" s="989"/>
      <c r="QQI1063" s="989"/>
      <c r="QQJ1063" s="989"/>
      <c r="QQK1063" s="989"/>
      <c r="QQL1063" s="989"/>
      <c r="QQM1063" s="989"/>
      <c r="QQN1063" s="989"/>
      <c r="QQO1063" s="989"/>
      <c r="QQP1063" s="989"/>
      <c r="QQQ1063" s="989"/>
      <c r="QQR1063" s="989"/>
      <c r="QQS1063" s="989"/>
      <c r="QQT1063" s="989"/>
      <c r="QQU1063" s="989"/>
      <c r="QQV1063" s="989"/>
      <c r="QQW1063" s="989"/>
      <c r="QQX1063" s="989"/>
      <c r="QQY1063" s="989"/>
      <c r="QQZ1063" s="989"/>
      <c r="QRA1063" s="989"/>
      <c r="QRB1063" s="989"/>
      <c r="QRC1063" s="989"/>
      <c r="QRD1063" s="989"/>
      <c r="QRE1063" s="989"/>
      <c r="QRF1063" s="989"/>
      <c r="QRG1063" s="989"/>
      <c r="QRH1063" s="989"/>
      <c r="QRI1063" s="989"/>
      <c r="QRJ1063" s="989"/>
      <c r="QRK1063" s="989"/>
      <c r="QRL1063" s="989"/>
      <c r="QRM1063" s="989"/>
      <c r="QRN1063" s="989"/>
      <c r="QRO1063" s="989"/>
      <c r="QRP1063" s="989"/>
      <c r="QRQ1063" s="989"/>
      <c r="QRR1063" s="989"/>
      <c r="QRS1063" s="989"/>
      <c r="QRT1063" s="989"/>
      <c r="QRU1063" s="989"/>
      <c r="QRV1063" s="989"/>
      <c r="QRW1063" s="989"/>
      <c r="QRX1063" s="989"/>
      <c r="QRY1063" s="989"/>
      <c r="QRZ1063" s="989"/>
      <c r="QSA1063" s="989"/>
      <c r="QSB1063" s="989"/>
      <c r="QSC1063" s="989"/>
      <c r="QSD1063" s="989"/>
      <c r="QSE1063" s="989"/>
      <c r="QSF1063" s="989"/>
      <c r="QSG1063" s="989"/>
      <c r="QSH1063" s="989"/>
      <c r="QSI1063" s="989"/>
      <c r="QSJ1063" s="989"/>
      <c r="QSK1063" s="989"/>
      <c r="QSL1063" s="989"/>
      <c r="QSM1063" s="989"/>
      <c r="QSN1063" s="989"/>
      <c r="QSO1063" s="989"/>
      <c r="QSP1063" s="989"/>
      <c r="QSQ1063" s="989"/>
      <c r="QSR1063" s="989"/>
      <c r="QSS1063" s="989"/>
      <c r="QST1063" s="989"/>
      <c r="QSU1063" s="989"/>
      <c r="QSV1063" s="989"/>
      <c r="QSW1063" s="989"/>
      <c r="QSX1063" s="989"/>
      <c r="QSY1063" s="989"/>
      <c r="QSZ1063" s="989"/>
      <c r="QTA1063" s="989"/>
      <c r="QTB1063" s="989"/>
      <c r="QTC1063" s="989"/>
      <c r="QTD1063" s="989"/>
      <c r="QTE1063" s="989"/>
      <c r="QTF1063" s="989"/>
      <c r="QTG1063" s="989"/>
      <c r="QTH1063" s="989"/>
      <c r="QTI1063" s="989"/>
      <c r="QTJ1063" s="989"/>
      <c r="QTK1063" s="989"/>
      <c r="QTL1063" s="989"/>
      <c r="QTM1063" s="989"/>
      <c r="QTN1063" s="989"/>
      <c r="QTO1063" s="989"/>
      <c r="QTP1063" s="989"/>
      <c r="QTQ1063" s="989"/>
      <c r="QTR1063" s="989"/>
      <c r="QTS1063" s="989"/>
      <c r="QTT1063" s="989"/>
      <c r="QTU1063" s="989"/>
      <c r="QTV1063" s="989"/>
      <c r="QTW1063" s="989"/>
      <c r="QTX1063" s="989"/>
      <c r="QTY1063" s="989"/>
      <c r="QTZ1063" s="989"/>
      <c r="QUA1063" s="989"/>
      <c r="QUB1063" s="989"/>
      <c r="QUC1063" s="989"/>
      <c r="QUD1063" s="989"/>
      <c r="QUE1063" s="989"/>
      <c r="QUF1063" s="989"/>
      <c r="QUG1063" s="989"/>
      <c r="QUH1063" s="989"/>
      <c r="QUI1063" s="989"/>
      <c r="QUJ1063" s="989"/>
      <c r="QUK1063" s="989"/>
      <c r="QUL1063" s="989"/>
      <c r="QUM1063" s="989"/>
      <c r="QUN1063" s="989"/>
      <c r="QUO1063" s="989"/>
      <c r="QUP1063" s="989"/>
      <c r="QUQ1063" s="989"/>
      <c r="QUR1063" s="989"/>
      <c r="QUS1063" s="989"/>
      <c r="QUT1063" s="989"/>
      <c r="QUU1063" s="989"/>
      <c r="QUV1063" s="989"/>
      <c r="QUW1063" s="989"/>
      <c r="QUX1063" s="989"/>
      <c r="QUY1063" s="989"/>
      <c r="QUZ1063" s="989"/>
      <c r="QVA1063" s="989"/>
      <c r="QVB1063" s="989"/>
      <c r="QVC1063" s="989"/>
      <c r="QVD1063" s="989"/>
      <c r="QVE1063" s="989"/>
      <c r="QVF1063" s="989"/>
      <c r="QVG1063" s="989"/>
      <c r="QVH1063" s="989"/>
      <c r="QVI1063" s="989"/>
      <c r="QVJ1063" s="989"/>
      <c r="QVK1063" s="989"/>
      <c r="QVL1063" s="989"/>
      <c r="QVM1063" s="989"/>
      <c r="QVN1063" s="989"/>
      <c r="QVO1063" s="989"/>
      <c r="QVP1063" s="989"/>
      <c r="QVQ1063" s="989"/>
      <c r="QVR1063" s="989"/>
      <c r="QVS1063" s="989"/>
      <c r="QVT1063" s="989"/>
      <c r="QVU1063" s="989"/>
      <c r="QVV1063" s="989"/>
      <c r="QVW1063" s="989"/>
      <c r="QVX1063" s="989"/>
      <c r="QVY1063" s="989"/>
      <c r="QVZ1063" s="989"/>
      <c r="QWA1063" s="989"/>
      <c r="QWB1063" s="989"/>
      <c r="QWC1063" s="989"/>
      <c r="QWD1063" s="989"/>
      <c r="QWE1063" s="989"/>
      <c r="QWF1063" s="989"/>
      <c r="QWG1063" s="989"/>
      <c r="QWH1063" s="989"/>
      <c r="QWI1063" s="989"/>
      <c r="QWJ1063" s="989"/>
      <c r="QWK1063" s="989"/>
      <c r="QWL1063" s="989"/>
      <c r="QWM1063" s="989"/>
      <c r="QWN1063" s="989"/>
      <c r="QWO1063" s="989"/>
      <c r="QWP1063" s="989"/>
      <c r="QWQ1063" s="989"/>
      <c r="QWR1063" s="989"/>
      <c r="QWS1063" s="989"/>
      <c r="QWT1063" s="989"/>
      <c r="QWU1063" s="989"/>
      <c r="QWV1063" s="989"/>
      <c r="QWW1063" s="989"/>
      <c r="QWX1063" s="989"/>
      <c r="QWY1063" s="989"/>
      <c r="QWZ1063" s="989"/>
      <c r="QXA1063" s="989"/>
      <c r="QXB1063" s="989"/>
      <c r="QXC1063" s="989"/>
      <c r="QXD1063" s="989"/>
      <c r="QXE1063" s="989"/>
      <c r="QXF1063" s="989"/>
      <c r="QXG1063" s="989"/>
      <c r="QXH1063" s="989"/>
      <c r="QXI1063" s="989"/>
      <c r="QXJ1063" s="989"/>
      <c r="QXK1063" s="989"/>
      <c r="QXL1063" s="989"/>
      <c r="QXM1063" s="989"/>
      <c r="QXN1063" s="989"/>
      <c r="QXO1063" s="989"/>
      <c r="QXP1063" s="989"/>
      <c r="QXQ1063" s="989"/>
      <c r="QXR1063" s="989"/>
      <c r="QXS1063" s="989"/>
      <c r="QXT1063" s="989"/>
      <c r="QXU1063" s="989"/>
      <c r="QXV1063" s="989"/>
      <c r="QXW1063" s="989"/>
      <c r="QXX1063" s="989"/>
      <c r="QXY1063" s="989"/>
      <c r="QXZ1063" s="989"/>
      <c r="QYA1063" s="989"/>
      <c r="QYB1063" s="989"/>
      <c r="QYC1063" s="989"/>
      <c r="QYD1063" s="989"/>
      <c r="QYE1063" s="989"/>
      <c r="QYF1063" s="989"/>
      <c r="QYG1063" s="989"/>
      <c r="QYH1063" s="989"/>
      <c r="QYI1063" s="989"/>
      <c r="QYJ1063" s="989"/>
      <c r="QYK1063" s="989"/>
      <c r="QYL1063" s="989"/>
      <c r="QYM1063" s="989"/>
      <c r="QYN1063" s="989"/>
      <c r="QYO1063" s="989"/>
      <c r="QYP1063" s="989"/>
      <c r="QYQ1063" s="989"/>
      <c r="QYR1063" s="989"/>
      <c r="QYS1063" s="989"/>
      <c r="QYT1063" s="989"/>
      <c r="QYU1063" s="989"/>
      <c r="QYV1063" s="989"/>
      <c r="QYW1063" s="989"/>
      <c r="QYX1063" s="989"/>
      <c r="QYY1063" s="989"/>
      <c r="QYZ1063" s="989"/>
      <c r="QZA1063" s="989"/>
      <c r="QZB1063" s="989"/>
      <c r="QZC1063" s="989"/>
      <c r="QZD1063" s="989"/>
      <c r="QZE1063" s="989"/>
      <c r="QZF1063" s="989"/>
      <c r="QZG1063" s="989"/>
      <c r="QZH1063" s="989"/>
      <c r="QZI1063" s="989"/>
      <c r="QZJ1063" s="989"/>
      <c r="QZK1063" s="989"/>
      <c r="QZL1063" s="989"/>
      <c r="QZM1063" s="989"/>
      <c r="QZN1063" s="989"/>
      <c r="QZO1063" s="989"/>
      <c r="QZP1063" s="989"/>
      <c r="QZQ1063" s="989"/>
      <c r="QZR1063" s="989"/>
      <c r="QZS1063" s="989"/>
      <c r="QZT1063" s="989"/>
      <c r="QZU1063" s="989"/>
      <c r="QZV1063" s="989"/>
      <c r="QZW1063" s="989"/>
      <c r="QZX1063" s="989"/>
      <c r="QZY1063" s="989"/>
      <c r="QZZ1063" s="989"/>
      <c r="RAA1063" s="989"/>
      <c r="RAB1063" s="989"/>
      <c r="RAC1063" s="989"/>
      <c r="RAD1063" s="989"/>
      <c r="RAE1063" s="989"/>
      <c r="RAF1063" s="989"/>
      <c r="RAG1063" s="989"/>
      <c r="RAH1063" s="989"/>
      <c r="RAI1063" s="989"/>
      <c r="RAJ1063" s="989"/>
      <c r="RAK1063" s="989"/>
      <c r="RAL1063" s="989"/>
      <c r="RAM1063" s="989"/>
      <c r="RAN1063" s="989"/>
      <c r="RAO1063" s="989"/>
      <c r="RAP1063" s="989"/>
      <c r="RAQ1063" s="989"/>
      <c r="RAR1063" s="989"/>
      <c r="RAS1063" s="989"/>
      <c r="RAT1063" s="989"/>
      <c r="RAU1063" s="989"/>
      <c r="RAV1063" s="989"/>
      <c r="RAW1063" s="989"/>
      <c r="RAX1063" s="989"/>
      <c r="RAY1063" s="989"/>
      <c r="RAZ1063" s="989"/>
      <c r="RBA1063" s="989"/>
      <c r="RBB1063" s="989"/>
      <c r="RBC1063" s="989"/>
      <c r="RBD1063" s="989"/>
      <c r="RBE1063" s="989"/>
      <c r="RBF1063" s="989"/>
      <c r="RBG1063" s="989"/>
      <c r="RBH1063" s="989"/>
      <c r="RBI1063" s="989"/>
      <c r="RBJ1063" s="989"/>
      <c r="RBK1063" s="989"/>
      <c r="RBL1063" s="989"/>
      <c r="RBM1063" s="989"/>
      <c r="RBN1063" s="989"/>
      <c r="RBO1063" s="989"/>
      <c r="RBP1063" s="989"/>
      <c r="RBQ1063" s="989"/>
      <c r="RBR1063" s="989"/>
      <c r="RBS1063" s="989"/>
      <c r="RBT1063" s="989"/>
      <c r="RBU1063" s="989"/>
      <c r="RBV1063" s="989"/>
      <c r="RBW1063" s="989"/>
      <c r="RBX1063" s="989"/>
      <c r="RBY1063" s="989"/>
      <c r="RBZ1063" s="989"/>
      <c r="RCA1063" s="989"/>
      <c r="RCB1063" s="989"/>
      <c r="RCC1063" s="989"/>
      <c r="RCD1063" s="989"/>
      <c r="RCE1063" s="989"/>
      <c r="RCF1063" s="989"/>
      <c r="RCG1063" s="989"/>
      <c r="RCH1063" s="989"/>
      <c r="RCI1063" s="989"/>
      <c r="RCJ1063" s="989"/>
      <c r="RCK1063" s="989"/>
      <c r="RCL1063" s="989"/>
      <c r="RCM1063" s="989"/>
      <c r="RCN1063" s="989"/>
      <c r="RCO1063" s="989"/>
      <c r="RCP1063" s="989"/>
      <c r="RCQ1063" s="989"/>
      <c r="RCR1063" s="989"/>
      <c r="RCS1063" s="989"/>
      <c r="RCT1063" s="989"/>
      <c r="RCU1063" s="989"/>
      <c r="RCV1063" s="989"/>
      <c r="RCW1063" s="989"/>
      <c r="RCX1063" s="989"/>
      <c r="RCY1063" s="989"/>
      <c r="RCZ1063" s="989"/>
      <c r="RDA1063" s="989"/>
      <c r="RDB1063" s="989"/>
      <c r="RDC1063" s="989"/>
      <c r="RDD1063" s="989"/>
      <c r="RDE1063" s="989"/>
      <c r="RDF1063" s="989"/>
      <c r="RDG1063" s="989"/>
      <c r="RDH1063" s="989"/>
      <c r="RDI1063" s="989"/>
      <c r="RDJ1063" s="989"/>
      <c r="RDK1063" s="989"/>
      <c r="RDL1063" s="989"/>
      <c r="RDM1063" s="989"/>
      <c r="RDN1063" s="989"/>
      <c r="RDO1063" s="989"/>
      <c r="RDP1063" s="989"/>
      <c r="RDQ1063" s="989"/>
      <c r="RDR1063" s="989"/>
      <c r="RDS1063" s="989"/>
      <c r="RDT1063" s="989"/>
      <c r="RDU1063" s="989"/>
      <c r="RDV1063" s="989"/>
      <c r="RDW1063" s="989"/>
      <c r="RDX1063" s="989"/>
      <c r="RDY1063" s="989"/>
      <c r="RDZ1063" s="989"/>
      <c r="REA1063" s="989"/>
      <c r="REB1063" s="989"/>
      <c r="REC1063" s="989"/>
      <c r="RED1063" s="989"/>
      <c r="REE1063" s="989"/>
      <c r="REF1063" s="989"/>
      <c r="REG1063" s="989"/>
      <c r="REH1063" s="989"/>
      <c r="REI1063" s="989"/>
      <c r="REJ1063" s="989"/>
      <c r="REK1063" s="989"/>
      <c r="REL1063" s="989"/>
      <c r="REM1063" s="989"/>
      <c r="REN1063" s="989"/>
      <c r="REO1063" s="989"/>
      <c r="REP1063" s="989"/>
      <c r="REQ1063" s="989"/>
      <c r="RER1063" s="989"/>
      <c r="RES1063" s="989"/>
      <c r="RET1063" s="989"/>
      <c r="REU1063" s="989"/>
      <c r="REV1063" s="989"/>
      <c r="REW1063" s="989"/>
      <c r="REX1063" s="989"/>
      <c r="REY1063" s="989"/>
      <c r="REZ1063" s="989"/>
      <c r="RFA1063" s="989"/>
      <c r="RFB1063" s="989"/>
      <c r="RFC1063" s="989"/>
      <c r="RFD1063" s="989"/>
      <c r="RFE1063" s="989"/>
      <c r="RFF1063" s="989"/>
      <c r="RFG1063" s="989"/>
      <c r="RFH1063" s="989"/>
      <c r="RFI1063" s="989"/>
      <c r="RFJ1063" s="989"/>
      <c r="RFK1063" s="989"/>
      <c r="RFL1063" s="989"/>
      <c r="RFM1063" s="989"/>
      <c r="RFN1063" s="989"/>
      <c r="RFO1063" s="989"/>
      <c r="RFP1063" s="989"/>
      <c r="RFQ1063" s="989"/>
      <c r="RFR1063" s="989"/>
      <c r="RFS1063" s="989"/>
      <c r="RFT1063" s="989"/>
      <c r="RFU1063" s="989"/>
      <c r="RFV1063" s="989"/>
      <c r="RFW1063" s="989"/>
      <c r="RFX1063" s="989"/>
      <c r="RFY1063" s="989"/>
      <c r="RFZ1063" s="989"/>
      <c r="RGA1063" s="989"/>
      <c r="RGB1063" s="989"/>
      <c r="RGC1063" s="989"/>
      <c r="RGD1063" s="989"/>
      <c r="RGE1063" s="989"/>
      <c r="RGF1063" s="989"/>
      <c r="RGG1063" s="989"/>
      <c r="RGH1063" s="989"/>
      <c r="RGI1063" s="989"/>
      <c r="RGJ1063" s="989"/>
      <c r="RGK1063" s="989"/>
      <c r="RGL1063" s="989"/>
      <c r="RGM1063" s="989"/>
      <c r="RGN1063" s="989"/>
      <c r="RGO1063" s="989"/>
      <c r="RGP1063" s="989"/>
      <c r="RGQ1063" s="989"/>
      <c r="RGR1063" s="989"/>
      <c r="RGS1063" s="989"/>
      <c r="RGT1063" s="989"/>
      <c r="RGU1063" s="989"/>
      <c r="RGV1063" s="989"/>
      <c r="RGW1063" s="989"/>
      <c r="RGX1063" s="989"/>
      <c r="RGY1063" s="989"/>
      <c r="RGZ1063" s="989"/>
      <c r="RHA1063" s="989"/>
      <c r="RHB1063" s="989"/>
      <c r="RHC1063" s="989"/>
      <c r="RHD1063" s="989"/>
      <c r="RHE1063" s="989"/>
      <c r="RHF1063" s="989"/>
      <c r="RHG1063" s="989"/>
      <c r="RHH1063" s="989"/>
      <c r="RHI1063" s="989"/>
      <c r="RHJ1063" s="989"/>
      <c r="RHK1063" s="989"/>
      <c r="RHL1063" s="989"/>
      <c r="RHM1063" s="989"/>
      <c r="RHN1063" s="989"/>
      <c r="RHO1063" s="989"/>
      <c r="RHP1063" s="989"/>
      <c r="RHQ1063" s="989"/>
      <c r="RHR1063" s="989"/>
      <c r="RHS1063" s="989"/>
      <c r="RHT1063" s="989"/>
      <c r="RHU1063" s="989"/>
      <c r="RHV1063" s="989"/>
      <c r="RHW1063" s="989"/>
      <c r="RHX1063" s="989"/>
      <c r="RHY1063" s="989"/>
      <c r="RHZ1063" s="989"/>
      <c r="RIA1063" s="989"/>
      <c r="RIB1063" s="989"/>
      <c r="RIC1063" s="989"/>
      <c r="RID1063" s="989"/>
      <c r="RIE1063" s="989"/>
      <c r="RIF1063" s="989"/>
      <c r="RIG1063" s="989"/>
      <c r="RIH1063" s="989"/>
      <c r="RII1063" s="989"/>
      <c r="RIJ1063" s="989"/>
      <c r="RIK1063" s="989"/>
      <c r="RIL1063" s="989"/>
      <c r="RIM1063" s="989"/>
      <c r="RIN1063" s="989"/>
      <c r="RIO1063" s="989"/>
      <c r="RIP1063" s="989"/>
      <c r="RIQ1063" s="989"/>
      <c r="RIR1063" s="989"/>
      <c r="RIS1063" s="989"/>
      <c r="RIT1063" s="989"/>
      <c r="RIU1063" s="989"/>
      <c r="RIV1063" s="989"/>
      <c r="RIW1063" s="989"/>
      <c r="RIX1063" s="989"/>
      <c r="RIY1063" s="989"/>
      <c r="RIZ1063" s="989"/>
      <c r="RJA1063" s="989"/>
      <c r="RJB1063" s="989"/>
      <c r="RJC1063" s="989"/>
      <c r="RJD1063" s="989"/>
      <c r="RJE1063" s="989"/>
      <c r="RJF1063" s="989"/>
      <c r="RJG1063" s="989"/>
      <c r="RJH1063" s="989"/>
      <c r="RJI1063" s="989"/>
      <c r="RJJ1063" s="989"/>
      <c r="RJK1063" s="989"/>
      <c r="RJL1063" s="989"/>
      <c r="RJM1063" s="989"/>
      <c r="RJN1063" s="989"/>
      <c r="RJO1063" s="989"/>
      <c r="RJP1063" s="989"/>
      <c r="RJQ1063" s="989"/>
      <c r="RJR1063" s="989"/>
      <c r="RJS1063" s="989"/>
      <c r="RJT1063" s="989"/>
      <c r="RJU1063" s="989"/>
      <c r="RJV1063" s="989"/>
      <c r="RJW1063" s="989"/>
      <c r="RJX1063" s="989"/>
      <c r="RJY1063" s="989"/>
      <c r="RJZ1063" s="989"/>
      <c r="RKA1063" s="989"/>
      <c r="RKB1063" s="989"/>
      <c r="RKC1063" s="989"/>
      <c r="RKD1063" s="989"/>
      <c r="RKE1063" s="989"/>
      <c r="RKF1063" s="989"/>
      <c r="RKG1063" s="989"/>
      <c r="RKH1063" s="989"/>
      <c r="RKI1063" s="989"/>
      <c r="RKJ1063" s="989"/>
      <c r="RKK1063" s="989"/>
      <c r="RKL1063" s="989"/>
      <c r="RKM1063" s="989"/>
      <c r="RKN1063" s="989"/>
      <c r="RKO1063" s="989"/>
      <c r="RKP1063" s="989"/>
      <c r="RKQ1063" s="989"/>
      <c r="RKR1063" s="989"/>
      <c r="RKS1063" s="989"/>
      <c r="RKT1063" s="989"/>
      <c r="RKU1063" s="989"/>
      <c r="RKV1063" s="989"/>
      <c r="RKW1063" s="989"/>
      <c r="RKX1063" s="989"/>
      <c r="RKY1063" s="989"/>
      <c r="RKZ1063" s="989"/>
      <c r="RLA1063" s="989"/>
      <c r="RLB1063" s="989"/>
      <c r="RLC1063" s="989"/>
      <c r="RLD1063" s="989"/>
      <c r="RLE1063" s="989"/>
      <c r="RLF1063" s="989"/>
      <c r="RLG1063" s="989"/>
      <c r="RLH1063" s="989"/>
      <c r="RLI1063" s="989"/>
      <c r="RLJ1063" s="989"/>
      <c r="RLK1063" s="989"/>
      <c r="RLL1063" s="989"/>
      <c r="RLM1063" s="989"/>
      <c r="RLN1063" s="989"/>
      <c r="RLO1063" s="989"/>
      <c r="RLP1063" s="989"/>
      <c r="RLQ1063" s="989"/>
      <c r="RLR1063" s="989"/>
      <c r="RLS1063" s="989"/>
      <c r="RLT1063" s="989"/>
      <c r="RLU1063" s="989"/>
      <c r="RLV1063" s="989"/>
      <c r="RLW1063" s="989"/>
      <c r="RLX1063" s="989"/>
      <c r="RLY1063" s="989"/>
      <c r="RLZ1063" s="989"/>
      <c r="RMA1063" s="989"/>
      <c r="RMB1063" s="989"/>
      <c r="RMC1063" s="989"/>
      <c r="RMD1063" s="989"/>
      <c r="RME1063" s="989"/>
      <c r="RMF1063" s="989"/>
      <c r="RMG1063" s="989"/>
      <c r="RMH1063" s="989"/>
      <c r="RMI1063" s="989"/>
      <c r="RMJ1063" s="989"/>
      <c r="RMK1063" s="989"/>
      <c r="RML1063" s="989"/>
      <c r="RMM1063" s="989"/>
      <c r="RMN1063" s="989"/>
      <c r="RMO1063" s="989"/>
      <c r="RMP1063" s="989"/>
      <c r="RMQ1063" s="989"/>
      <c r="RMR1063" s="989"/>
      <c r="RMS1063" s="989"/>
      <c r="RMT1063" s="989"/>
      <c r="RMU1063" s="989"/>
      <c r="RMV1063" s="989"/>
      <c r="RMW1063" s="989"/>
      <c r="RMX1063" s="989"/>
      <c r="RMY1063" s="989"/>
      <c r="RMZ1063" s="989"/>
      <c r="RNA1063" s="989"/>
      <c r="RNB1063" s="989"/>
      <c r="RNC1063" s="989"/>
      <c r="RND1063" s="989"/>
      <c r="RNE1063" s="989"/>
      <c r="RNF1063" s="989"/>
      <c r="RNG1063" s="989"/>
      <c r="RNH1063" s="989"/>
      <c r="RNI1063" s="989"/>
      <c r="RNJ1063" s="989"/>
      <c r="RNK1063" s="989"/>
      <c r="RNL1063" s="989"/>
      <c r="RNM1063" s="989"/>
      <c r="RNN1063" s="989"/>
      <c r="RNO1063" s="989"/>
      <c r="RNP1063" s="989"/>
      <c r="RNQ1063" s="989"/>
      <c r="RNR1063" s="989"/>
      <c r="RNS1063" s="989"/>
      <c r="RNT1063" s="989"/>
      <c r="RNU1063" s="989"/>
      <c r="RNV1063" s="989"/>
      <c r="RNW1063" s="989"/>
      <c r="RNX1063" s="989"/>
      <c r="RNY1063" s="989"/>
      <c r="RNZ1063" s="989"/>
      <c r="ROA1063" s="989"/>
      <c r="ROB1063" s="989"/>
      <c r="ROC1063" s="989"/>
      <c r="ROD1063" s="989"/>
      <c r="ROE1063" s="989"/>
      <c r="ROF1063" s="989"/>
      <c r="ROG1063" s="989"/>
      <c r="ROH1063" s="989"/>
      <c r="ROI1063" s="989"/>
      <c r="ROJ1063" s="989"/>
      <c r="ROK1063" s="989"/>
      <c r="ROL1063" s="989"/>
      <c r="ROM1063" s="989"/>
      <c r="RON1063" s="989"/>
      <c r="ROO1063" s="989"/>
      <c r="ROP1063" s="989"/>
      <c r="ROQ1063" s="989"/>
      <c r="ROR1063" s="989"/>
      <c r="ROS1063" s="989"/>
      <c r="ROT1063" s="989"/>
      <c r="ROU1063" s="989"/>
      <c r="ROV1063" s="989"/>
      <c r="ROW1063" s="989"/>
      <c r="ROX1063" s="989"/>
      <c r="ROY1063" s="989"/>
      <c r="ROZ1063" s="989"/>
      <c r="RPA1063" s="989"/>
      <c r="RPB1063" s="989"/>
      <c r="RPC1063" s="989"/>
      <c r="RPD1063" s="989"/>
      <c r="RPE1063" s="989"/>
      <c r="RPF1063" s="989"/>
      <c r="RPG1063" s="989"/>
      <c r="RPH1063" s="989"/>
      <c r="RPI1063" s="989"/>
      <c r="RPJ1063" s="989"/>
      <c r="RPK1063" s="989"/>
      <c r="RPL1063" s="989"/>
      <c r="RPM1063" s="989"/>
      <c r="RPN1063" s="989"/>
      <c r="RPO1063" s="989"/>
      <c r="RPP1063" s="989"/>
      <c r="RPQ1063" s="989"/>
      <c r="RPR1063" s="989"/>
      <c r="RPS1063" s="989"/>
      <c r="RPT1063" s="989"/>
      <c r="RPU1063" s="989"/>
      <c r="RPV1063" s="989"/>
      <c r="RPW1063" s="989"/>
      <c r="RPX1063" s="989"/>
      <c r="RPY1063" s="989"/>
      <c r="RPZ1063" s="989"/>
      <c r="RQA1063" s="989"/>
      <c r="RQB1063" s="989"/>
      <c r="RQC1063" s="989"/>
      <c r="RQD1063" s="989"/>
      <c r="RQE1063" s="989"/>
      <c r="RQF1063" s="989"/>
      <c r="RQG1063" s="989"/>
      <c r="RQH1063" s="989"/>
      <c r="RQI1063" s="989"/>
      <c r="RQJ1063" s="989"/>
      <c r="RQK1063" s="989"/>
      <c r="RQL1063" s="989"/>
      <c r="RQM1063" s="989"/>
      <c r="RQN1063" s="989"/>
      <c r="RQO1063" s="989"/>
      <c r="RQP1063" s="989"/>
      <c r="RQQ1063" s="989"/>
      <c r="RQR1063" s="989"/>
      <c r="RQS1063" s="989"/>
      <c r="RQT1063" s="989"/>
      <c r="RQU1063" s="989"/>
      <c r="RQV1063" s="989"/>
      <c r="RQW1063" s="989"/>
      <c r="RQX1063" s="989"/>
      <c r="RQY1063" s="989"/>
      <c r="RQZ1063" s="989"/>
      <c r="RRA1063" s="989"/>
      <c r="RRB1063" s="989"/>
      <c r="RRC1063" s="989"/>
      <c r="RRD1063" s="989"/>
      <c r="RRE1063" s="989"/>
      <c r="RRF1063" s="989"/>
      <c r="RRG1063" s="989"/>
      <c r="RRH1063" s="989"/>
      <c r="RRI1063" s="989"/>
      <c r="RRJ1063" s="989"/>
      <c r="RRK1063" s="989"/>
      <c r="RRL1063" s="989"/>
      <c r="RRM1063" s="989"/>
      <c r="RRN1063" s="989"/>
      <c r="RRO1063" s="989"/>
      <c r="RRP1063" s="989"/>
      <c r="RRQ1063" s="989"/>
      <c r="RRR1063" s="989"/>
      <c r="RRS1063" s="989"/>
      <c r="RRT1063" s="989"/>
      <c r="RRU1063" s="989"/>
      <c r="RRV1063" s="989"/>
      <c r="RRW1063" s="989"/>
      <c r="RRX1063" s="989"/>
      <c r="RRY1063" s="989"/>
      <c r="RRZ1063" s="989"/>
      <c r="RSA1063" s="989"/>
      <c r="RSB1063" s="989"/>
      <c r="RSC1063" s="989"/>
      <c r="RSD1063" s="989"/>
      <c r="RSE1063" s="989"/>
      <c r="RSF1063" s="989"/>
      <c r="RSG1063" s="989"/>
      <c r="RSH1063" s="989"/>
      <c r="RSI1063" s="989"/>
      <c r="RSJ1063" s="989"/>
      <c r="RSK1063" s="989"/>
      <c r="RSL1063" s="989"/>
      <c r="RSM1063" s="989"/>
      <c r="RSN1063" s="989"/>
      <c r="RSO1063" s="989"/>
      <c r="RSP1063" s="989"/>
      <c r="RSQ1063" s="989"/>
      <c r="RSR1063" s="989"/>
      <c r="RSS1063" s="989"/>
      <c r="RST1063" s="989"/>
      <c r="RSU1063" s="989"/>
      <c r="RSV1063" s="989"/>
      <c r="RSW1063" s="989"/>
      <c r="RSX1063" s="989"/>
      <c r="RSY1063" s="989"/>
      <c r="RSZ1063" s="989"/>
      <c r="RTA1063" s="989"/>
      <c r="RTB1063" s="989"/>
      <c r="RTC1063" s="989"/>
      <c r="RTD1063" s="989"/>
      <c r="RTE1063" s="989"/>
      <c r="RTF1063" s="989"/>
      <c r="RTG1063" s="989"/>
      <c r="RTH1063" s="989"/>
      <c r="RTI1063" s="989"/>
      <c r="RTJ1063" s="989"/>
      <c r="RTK1063" s="989"/>
      <c r="RTL1063" s="989"/>
      <c r="RTM1063" s="989"/>
      <c r="RTN1063" s="989"/>
      <c r="RTO1063" s="989"/>
      <c r="RTP1063" s="989"/>
      <c r="RTQ1063" s="989"/>
      <c r="RTR1063" s="989"/>
      <c r="RTS1063" s="989"/>
      <c r="RTT1063" s="989"/>
      <c r="RTU1063" s="989"/>
      <c r="RTV1063" s="989"/>
      <c r="RTW1063" s="989"/>
      <c r="RTX1063" s="989"/>
      <c r="RTY1063" s="989"/>
      <c r="RTZ1063" s="989"/>
      <c r="RUA1063" s="989"/>
      <c r="RUB1063" s="989"/>
      <c r="RUC1063" s="989"/>
      <c r="RUD1063" s="989"/>
      <c r="RUE1063" s="989"/>
      <c r="RUF1063" s="989"/>
      <c r="RUG1063" s="989"/>
      <c r="RUH1063" s="989"/>
      <c r="RUI1063" s="989"/>
      <c r="RUJ1063" s="989"/>
      <c r="RUK1063" s="989"/>
      <c r="RUL1063" s="989"/>
      <c r="RUM1063" s="989"/>
      <c r="RUN1063" s="989"/>
      <c r="RUO1063" s="989"/>
      <c r="RUP1063" s="989"/>
      <c r="RUQ1063" s="989"/>
      <c r="RUR1063" s="989"/>
      <c r="RUS1063" s="989"/>
      <c r="RUT1063" s="989"/>
      <c r="RUU1063" s="989"/>
      <c r="RUV1063" s="989"/>
      <c r="RUW1063" s="989"/>
      <c r="RUX1063" s="989"/>
      <c r="RUY1063" s="989"/>
      <c r="RUZ1063" s="989"/>
      <c r="RVA1063" s="989"/>
      <c r="RVB1063" s="989"/>
      <c r="RVC1063" s="989"/>
      <c r="RVD1063" s="989"/>
      <c r="RVE1063" s="989"/>
      <c r="RVF1063" s="989"/>
      <c r="RVG1063" s="989"/>
      <c r="RVH1063" s="989"/>
      <c r="RVI1063" s="989"/>
      <c r="RVJ1063" s="989"/>
      <c r="RVK1063" s="989"/>
      <c r="RVL1063" s="989"/>
      <c r="RVM1063" s="989"/>
      <c r="RVN1063" s="989"/>
      <c r="RVO1063" s="989"/>
      <c r="RVP1063" s="989"/>
      <c r="RVQ1063" s="989"/>
      <c r="RVR1063" s="989"/>
      <c r="RVS1063" s="989"/>
      <c r="RVT1063" s="989"/>
      <c r="RVU1063" s="989"/>
      <c r="RVV1063" s="989"/>
      <c r="RVW1063" s="989"/>
      <c r="RVX1063" s="989"/>
      <c r="RVY1063" s="989"/>
      <c r="RVZ1063" s="989"/>
      <c r="RWA1063" s="989"/>
      <c r="RWB1063" s="989"/>
      <c r="RWC1063" s="989"/>
      <c r="RWD1063" s="989"/>
      <c r="RWE1063" s="989"/>
      <c r="RWF1063" s="989"/>
      <c r="RWG1063" s="989"/>
      <c r="RWH1063" s="989"/>
      <c r="RWI1063" s="989"/>
      <c r="RWJ1063" s="989"/>
      <c r="RWK1063" s="989"/>
      <c r="RWL1063" s="989"/>
      <c r="RWM1063" s="989"/>
      <c r="RWN1063" s="989"/>
      <c r="RWO1063" s="989"/>
      <c r="RWP1063" s="989"/>
      <c r="RWQ1063" s="989"/>
      <c r="RWR1063" s="989"/>
      <c r="RWS1063" s="989"/>
      <c r="RWT1063" s="989"/>
      <c r="RWU1063" s="989"/>
      <c r="RWV1063" s="989"/>
      <c r="RWW1063" s="989"/>
      <c r="RWX1063" s="989"/>
      <c r="RWY1063" s="989"/>
      <c r="RWZ1063" s="989"/>
      <c r="RXA1063" s="989"/>
      <c r="RXB1063" s="989"/>
      <c r="RXC1063" s="989"/>
      <c r="RXD1063" s="989"/>
      <c r="RXE1063" s="989"/>
      <c r="RXF1063" s="989"/>
      <c r="RXG1063" s="989"/>
      <c r="RXH1063" s="989"/>
      <c r="RXI1063" s="989"/>
      <c r="RXJ1063" s="989"/>
      <c r="RXK1063" s="989"/>
      <c r="RXL1063" s="989"/>
      <c r="RXM1063" s="989"/>
      <c r="RXN1063" s="989"/>
      <c r="RXO1063" s="989"/>
      <c r="RXP1063" s="989"/>
      <c r="RXQ1063" s="989"/>
      <c r="RXR1063" s="989"/>
      <c r="RXS1063" s="989"/>
      <c r="RXT1063" s="989"/>
      <c r="RXU1063" s="989"/>
      <c r="RXV1063" s="989"/>
      <c r="RXW1063" s="989"/>
      <c r="RXX1063" s="989"/>
      <c r="RXY1063" s="989"/>
      <c r="RXZ1063" s="989"/>
      <c r="RYA1063" s="989"/>
      <c r="RYB1063" s="989"/>
      <c r="RYC1063" s="989"/>
      <c r="RYD1063" s="989"/>
      <c r="RYE1063" s="989"/>
      <c r="RYF1063" s="989"/>
      <c r="RYG1063" s="989"/>
      <c r="RYH1063" s="989"/>
      <c r="RYI1063" s="989"/>
      <c r="RYJ1063" s="989"/>
      <c r="RYK1063" s="989"/>
      <c r="RYL1063" s="989"/>
      <c r="RYM1063" s="989"/>
      <c r="RYN1063" s="989"/>
      <c r="RYO1063" s="989"/>
      <c r="RYP1063" s="989"/>
      <c r="RYQ1063" s="989"/>
      <c r="RYR1063" s="989"/>
      <c r="RYS1063" s="989"/>
      <c r="RYT1063" s="989"/>
      <c r="RYU1063" s="989"/>
      <c r="RYV1063" s="989"/>
      <c r="RYW1063" s="989"/>
      <c r="RYX1063" s="989"/>
      <c r="RYY1063" s="989"/>
      <c r="RYZ1063" s="989"/>
      <c r="RZA1063" s="989"/>
      <c r="RZB1063" s="989"/>
      <c r="RZC1063" s="989"/>
      <c r="RZD1063" s="989"/>
      <c r="RZE1063" s="989"/>
      <c r="RZF1063" s="989"/>
      <c r="RZG1063" s="989"/>
      <c r="RZH1063" s="989"/>
      <c r="RZI1063" s="989"/>
      <c r="RZJ1063" s="989"/>
      <c r="RZK1063" s="989"/>
      <c r="RZL1063" s="989"/>
      <c r="RZM1063" s="989"/>
      <c r="RZN1063" s="989"/>
      <c r="RZO1063" s="989"/>
      <c r="RZP1063" s="989"/>
      <c r="RZQ1063" s="989"/>
      <c r="RZR1063" s="989"/>
      <c r="RZS1063" s="989"/>
      <c r="RZT1063" s="989"/>
      <c r="RZU1063" s="989"/>
      <c r="RZV1063" s="989"/>
      <c r="RZW1063" s="989"/>
      <c r="RZX1063" s="989"/>
      <c r="RZY1063" s="989"/>
      <c r="RZZ1063" s="989"/>
      <c r="SAA1063" s="989"/>
      <c r="SAB1063" s="989"/>
      <c r="SAC1063" s="989"/>
      <c r="SAD1063" s="989"/>
      <c r="SAE1063" s="989"/>
      <c r="SAF1063" s="989"/>
      <c r="SAG1063" s="989"/>
      <c r="SAH1063" s="989"/>
      <c r="SAI1063" s="989"/>
      <c r="SAJ1063" s="989"/>
      <c r="SAK1063" s="989"/>
      <c r="SAL1063" s="989"/>
      <c r="SAM1063" s="989"/>
      <c r="SAN1063" s="989"/>
      <c r="SAO1063" s="989"/>
      <c r="SAP1063" s="989"/>
      <c r="SAQ1063" s="989"/>
      <c r="SAR1063" s="989"/>
      <c r="SAS1063" s="989"/>
      <c r="SAT1063" s="989"/>
      <c r="SAU1063" s="989"/>
      <c r="SAV1063" s="989"/>
      <c r="SAW1063" s="989"/>
      <c r="SAX1063" s="989"/>
      <c r="SAY1063" s="989"/>
      <c r="SAZ1063" s="989"/>
      <c r="SBA1063" s="989"/>
      <c r="SBB1063" s="989"/>
      <c r="SBC1063" s="989"/>
      <c r="SBD1063" s="989"/>
      <c r="SBE1063" s="989"/>
      <c r="SBF1063" s="989"/>
      <c r="SBG1063" s="989"/>
      <c r="SBH1063" s="989"/>
      <c r="SBI1063" s="989"/>
      <c r="SBJ1063" s="989"/>
      <c r="SBK1063" s="989"/>
      <c r="SBL1063" s="989"/>
      <c r="SBM1063" s="989"/>
      <c r="SBN1063" s="989"/>
      <c r="SBO1063" s="989"/>
      <c r="SBP1063" s="989"/>
      <c r="SBQ1063" s="989"/>
      <c r="SBR1063" s="989"/>
      <c r="SBS1063" s="989"/>
      <c r="SBT1063" s="989"/>
      <c r="SBU1063" s="989"/>
      <c r="SBV1063" s="989"/>
      <c r="SBW1063" s="989"/>
      <c r="SBX1063" s="989"/>
      <c r="SBY1063" s="989"/>
      <c r="SBZ1063" s="989"/>
      <c r="SCA1063" s="989"/>
      <c r="SCB1063" s="989"/>
      <c r="SCC1063" s="989"/>
      <c r="SCD1063" s="989"/>
      <c r="SCE1063" s="989"/>
      <c r="SCF1063" s="989"/>
      <c r="SCG1063" s="989"/>
      <c r="SCH1063" s="989"/>
      <c r="SCI1063" s="989"/>
      <c r="SCJ1063" s="989"/>
      <c r="SCK1063" s="989"/>
      <c r="SCL1063" s="989"/>
      <c r="SCM1063" s="989"/>
      <c r="SCN1063" s="989"/>
      <c r="SCO1063" s="989"/>
      <c r="SCP1063" s="989"/>
      <c r="SCQ1063" s="989"/>
      <c r="SCR1063" s="989"/>
      <c r="SCS1063" s="989"/>
      <c r="SCT1063" s="989"/>
      <c r="SCU1063" s="989"/>
      <c r="SCV1063" s="989"/>
      <c r="SCW1063" s="989"/>
      <c r="SCX1063" s="989"/>
      <c r="SCY1063" s="989"/>
      <c r="SCZ1063" s="989"/>
      <c r="SDA1063" s="989"/>
      <c r="SDB1063" s="989"/>
      <c r="SDC1063" s="989"/>
      <c r="SDD1063" s="989"/>
      <c r="SDE1063" s="989"/>
      <c r="SDF1063" s="989"/>
      <c r="SDG1063" s="989"/>
      <c r="SDH1063" s="989"/>
      <c r="SDI1063" s="989"/>
      <c r="SDJ1063" s="989"/>
      <c r="SDK1063" s="989"/>
      <c r="SDL1063" s="989"/>
      <c r="SDM1063" s="989"/>
      <c r="SDN1063" s="989"/>
      <c r="SDO1063" s="989"/>
      <c r="SDP1063" s="989"/>
      <c r="SDQ1063" s="989"/>
      <c r="SDR1063" s="989"/>
      <c r="SDS1063" s="989"/>
      <c r="SDT1063" s="989"/>
      <c r="SDU1063" s="989"/>
      <c r="SDV1063" s="989"/>
      <c r="SDW1063" s="989"/>
      <c r="SDX1063" s="989"/>
      <c r="SDY1063" s="989"/>
      <c r="SDZ1063" s="989"/>
      <c r="SEA1063" s="989"/>
      <c r="SEB1063" s="989"/>
      <c r="SEC1063" s="989"/>
      <c r="SED1063" s="989"/>
      <c r="SEE1063" s="989"/>
      <c r="SEF1063" s="989"/>
      <c r="SEG1063" s="989"/>
      <c r="SEH1063" s="989"/>
      <c r="SEI1063" s="989"/>
      <c r="SEJ1063" s="989"/>
      <c r="SEK1063" s="989"/>
      <c r="SEL1063" s="989"/>
      <c r="SEM1063" s="989"/>
      <c r="SEN1063" s="989"/>
      <c r="SEO1063" s="989"/>
      <c r="SEP1063" s="989"/>
      <c r="SEQ1063" s="989"/>
      <c r="SER1063" s="989"/>
      <c r="SES1063" s="989"/>
      <c r="SET1063" s="989"/>
      <c r="SEU1063" s="989"/>
      <c r="SEV1063" s="989"/>
      <c r="SEW1063" s="989"/>
      <c r="SEX1063" s="989"/>
      <c r="SEY1063" s="989"/>
      <c r="SEZ1063" s="989"/>
      <c r="SFA1063" s="989"/>
      <c r="SFB1063" s="989"/>
      <c r="SFC1063" s="989"/>
      <c r="SFD1063" s="989"/>
      <c r="SFE1063" s="989"/>
      <c r="SFF1063" s="989"/>
      <c r="SFG1063" s="989"/>
      <c r="SFH1063" s="989"/>
      <c r="SFI1063" s="989"/>
      <c r="SFJ1063" s="989"/>
      <c r="SFK1063" s="989"/>
      <c r="SFL1063" s="989"/>
      <c r="SFM1063" s="989"/>
      <c r="SFN1063" s="989"/>
      <c r="SFO1063" s="989"/>
      <c r="SFP1063" s="989"/>
      <c r="SFQ1063" s="989"/>
      <c r="SFR1063" s="989"/>
      <c r="SFS1063" s="989"/>
      <c r="SFT1063" s="989"/>
      <c r="SFU1063" s="989"/>
      <c r="SFV1063" s="989"/>
      <c r="SFW1063" s="989"/>
      <c r="SFX1063" s="989"/>
      <c r="SFY1063" s="989"/>
      <c r="SFZ1063" s="989"/>
      <c r="SGA1063" s="989"/>
      <c r="SGB1063" s="989"/>
      <c r="SGC1063" s="989"/>
      <c r="SGD1063" s="989"/>
      <c r="SGE1063" s="989"/>
      <c r="SGF1063" s="989"/>
      <c r="SGG1063" s="989"/>
      <c r="SGH1063" s="989"/>
      <c r="SGI1063" s="989"/>
      <c r="SGJ1063" s="989"/>
      <c r="SGK1063" s="989"/>
      <c r="SGL1063" s="989"/>
      <c r="SGM1063" s="989"/>
      <c r="SGN1063" s="989"/>
      <c r="SGO1063" s="989"/>
      <c r="SGP1063" s="989"/>
      <c r="SGQ1063" s="989"/>
      <c r="SGR1063" s="989"/>
      <c r="SGS1063" s="989"/>
      <c r="SGT1063" s="989"/>
      <c r="SGU1063" s="989"/>
      <c r="SGV1063" s="989"/>
      <c r="SGW1063" s="989"/>
      <c r="SGX1063" s="989"/>
      <c r="SGY1063" s="989"/>
      <c r="SGZ1063" s="989"/>
      <c r="SHA1063" s="989"/>
      <c r="SHB1063" s="989"/>
      <c r="SHC1063" s="989"/>
      <c r="SHD1063" s="989"/>
      <c r="SHE1063" s="989"/>
      <c r="SHF1063" s="989"/>
      <c r="SHG1063" s="989"/>
      <c r="SHH1063" s="989"/>
      <c r="SHI1063" s="989"/>
      <c r="SHJ1063" s="989"/>
      <c r="SHK1063" s="989"/>
      <c r="SHL1063" s="989"/>
      <c r="SHM1063" s="989"/>
      <c r="SHN1063" s="989"/>
      <c r="SHO1063" s="989"/>
      <c r="SHP1063" s="989"/>
      <c r="SHQ1063" s="989"/>
      <c r="SHR1063" s="989"/>
      <c r="SHS1063" s="989"/>
      <c r="SHT1063" s="989"/>
      <c r="SHU1063" s="989"/>
      <c r="SHV1063" s="989"/>
      <c r="SHW1063" s="989"/>
      <c r="SHX1063" s="989"/>
      <c r="SHY1063" s="989"/>
      <c r="SHZ1063" s="989"/>
      <c r="SIA1063" s="989"/>
      <c r="SIB1063" s="989"/>
      <c r="SIC1063" s="989"/>
      <c r="SID1063" s="989"/>
      <c r="SIE1063" s="989"/>
      <c r="SIF1063" s="989"/>
      <c r="SIG1063" s="989"/>
      <c r="SIH1063" s="989"/>
      <c r="SII1063" s="989"/>
      <c r="SIJ1063" s="989"/>
      <c r="SIK1063" s="989"/>
      <c r="SIL1063" s="989"/>
      <c r="SIM1063" s="989"/>
      <c r="SIN1063" s="989"/>
      <c r="SIO1063" s="989"/>
      <c r="SIP1063" s="989"/>
      <c r="SIQ1063" s="989"/>
      <c r="SIR1063" s="989"/>
      <c r="SIS1063" s="989"/>
      <c r="SIT1063" s="989"/>
      <c r="SIU1063" s="989"/>
      <c r="SIV1063" s="989"/>
      <c r="SIW1063" s="989"/>
      <c r="SIX1063" s="989"/>
      <c r="SIY1063" s="989"/>
      <c r="SIZ1063" s="989"/>
      <c r="SJA1063" s="989"/>
      <c r="SJB1063" s="989"/>
      <c r="SJC1063" s="989"/>
      <c r="SJD1063" s="989"/>
      <c r="SJE1063" s="989"/>
      <c r="SJF1063" s="989"/>
      <c r="SJG1063" s="989"/>
      <c r="SJH1063" s="989"/>
      <c r="SJI1063" s="989"/>
      <c r="SJJ1063" s="989"/>
      <c r="SJK1063" s="989"/>
      <c r="SJL1063" s="989"/>
      <c r="SJM1063" s="989"/>
      <c r="SJN1063" s="989"/>
      <c r="SJO1063" s="989"/>
      <c r="SJP1063" s="989"/>
      <c r="SJQ1063" s="989"/>
      <c r="SJR1063" s="989"/>
      <c r="SJS1063" s="989"/>
      <c r="SJT1063" s="989"/>
      <c r="SJU1063" s="989"/>
      <c r="SJV1063" s="989"/>
      <c r="SJW1063" s="989"/>
      <c r="SJX1063" s="989"/>
      <c r="SJY1063" s="989"/>
      <c r="SJZ1063" s="989"/>
      <c r="SKA1063" s="989"/>
      <c r="SKB1063" s="989"/>
      <c r="SKC1063" s="989"/>
      <c r="SKD1063" s="989"/>
      <c r="SKE1063" s="989"/>
      <c r="SKF1063" s="989"/>
      <c r="SKG1063" s="989"/>
      <c r="SKH1063" s="989"/>
      <c r="SKI1063" s="989"/>
      <c r="SKJ1063" s="989"/>
      <c r="SKK1063" s="989"/>
      <c r="SKL1063" s="989"/>
      <c r="SKM1063" s="989"/>
      <c r="SKN1063" s="989"/>
      <c r="SKO1063" s="989"/>
      <c r="SKP1063" s="989"/>
      <c r="SKQ1063" s="989"/>
      <c r="SKR1063" s="989"/>
      <c r="SKS1063" s="989"/>
      <c r="SKT1063" s="989"/>
      <c r="SKU1063" s="989"/>
      <c r="SKV1063" s="989"/>
      <c r="SKW1063" s="989"/>
      <c r="SKX1063" s="989"/>
      <c r="SKY1063" s="989"/>
      <c r="SKZ1063" s="989"/>
      <c r="SLA1063" s="989"/>
      <c r="SLB1063" s="989"/>
      <c r="SLC1063" s="989"/>
      <c r="SLD1063" s="989"/>
      <c r="SLE1063" s="989"/>
      <c r="SLF1063" s="989"/>
      <c r="SLG1063" s="989"/>
      <c r="SLH1063" s="989"/>
      <c r="SLI1063" s="989"/>
      <c r="SLJ1063" s="989"/>
      <c r="SLK1063" s="989"/>
      <c r="SLL1063" s="989"/>
      <c r="SLM1063" s="989"/>
      <c r="SLN1063" s="989"/>
      <c r="SLO1063" s="989"/>
      <c r="SLP1063" s="989"/>
      <c r="SLQ1063" s="989"/>
      <c r="SLR1063" s="989"/>
      <c r="SLS1063" s="989"/>
      <c r="SLT1063" s="989"/>
      <c r="SLU1063" s="989"/>
      <c r="SLV1063" s="989"/>
      <c r="SLW1063" s="989"/>
      <c r="SLX1063" s="989"/>
      <c r="SLY1063" s="989"/>
      <c r="SLZ1063" s="989"/>
      <c r="SMA1063" s="989"/>
      <c r="SMB1063" s="989"/>
      <c r="SMC1063" s="989"/>
      <c r="SMD1063" s="989"/>
      <c r="SME1063" s="989"/>
      <c r="SMF1063" s="989"/>
      <c r="SMG1063" s="989"/>
      <c r="SMH1063" s="989"/>
      <c r="SMI1063" s="989"/>
      <c r="SMJ1063" s="989"/>
      <c r="SMK1063" s="989"/>
      <c r="SML1063" s="989"/>
      <c r="SMM1063" s="989"/>
      <c r="SMN1063" s="989"/>
      <c r="SMO1063" s="989"/>
      <c r="SMP1063" s="989"/>
      <c r="SMQ1063" s="989"/>
      <c r="SMR1063" s="989"/>
      <c r="SMS1063" s="989"/>
      <c r="SMT1063" s="989"/>
      <c r="SMU1063" s="989"/>
      <c r="SMV1063" s="989"/>
      <c r="SMW1063" s="989"/>
      <c r="SMX1063" s="989"/>
      <c r="SMY1063" s="989"/>
      <c r="SMZ1063" s="989"/>
      <c r="SNA1063" s="989"/>
      <c r="SNB1063" s="989"/>
      <c r="SNC1063" s="989"/>
      <c r="SND1063" s="989"/>
      <c r="SNE1063" s="989"/>
      <c r="SNF1063" s="989"/>
      <c r="SNG1063" s="989"/>
      <c r="SNH1063" s="989"/>
      <c r="SNI1063" s="989"/>
      <c r="SNJ1063" s="989"/>
      <c r="SNK1063" s="989"/>
      <c r="SNL1063" s="989"/>
      <c r="SNM1063" s="989"/>
      <c r="SNN1063" s="989"/>
      <c r="SNO1063" s="989"/>
      <c r="SNP1063" s="989"/>
      <c r="SNQ1063" s="989"/>
      <c r="SNR1063" s="989"/>
      <c r="SNS1063" s="989"/>
      <c r="SNT1063" s="989"/>
      <c r="SNU1063" s="989"/>
      <c r="SNV1063" s="989"/>
      <c r="SNW1063" s="989"/>
      <c r="SNX1063" s="989"/>
      <c r="SNY1063" s="989"/>
      <c r="SNZ1063" s="989"/>
      <c r="SOA1063" s="989"/>
      <c r="SOB1063" s="989"/>
      <c r="SOC1063" s="989"/>
      <c r="SOD1063" s="989"/>
      <c r="SOE1063" s="989"/>
      <c r="SOF1063" s="989"/>
      <c r="SOG1063" s="989"/>
      <c r="SOH1063" s="989"/>
      <c r="SOI1063" s="989"/>
      <c r="SOJ1063" s="989"/>
      <c r="SOK1063" s="989"/>
      <c r="SOL1063" s="989"/>
      <c r="SOM1063" s="989"/>
      <c r="SON1063" s="989"/>
      <c r="SOO1063" s="989"/>
      <c r="SOP1063" s="989"/>
      <c r="SOQ1063" s="989"/>
      <c r="SOR1063" s="989"/>
      <c r="SOS1063" s="989"/>
      <c r="SOT1063" s="989"/>
      <c r="SOU1063" s="989"/>
      <c r="SOV1063" s="989"/>
      <c r="SOW1063" s="989"/>
      <c r="SOX1063" s="989"/>
      <c r="SOY1063" s="989"/>
      <c r="SOZ1063" s="989"/>
      <c r="SPA1063" s="989"/>
      <c r="SPB1063" s="989"/>
      <c r="SPC1063" s="989"/>
      <c r="SPD1063" s="989"/>
      <c r="SPE1063" s="989"/>
      <c r="SPF1063" s="989"/>
      <c r="SPG1063" s="989"/>
      <c r="SPH1063" s="989"/>
      <c r="SPI1063" s="989"/>
      <c r="SPJ1063" s="989"/>
      <c r="SPK1063" s="989"/>
      <c r="SPL1063" s="989"/>
      <c r="SPM1063" s="989"/>
      <c r="SPN1063" s="989"/>
      <c r="SPO1063" s="989"/>
      <c r="SPP1063" s="989"/>
      <c r="SPQ1063" s="989"/>
      <c r="SPR1063" s="989"/>
      <c r="SPS1063" s="989"/>
      <c r="SPT1063" s="989"/>
      <c r="SPU1063" s="989"/>
      <c r="SPV1063" s="989"/>
      <c r="SPW1063" s="989"/>
      <c r="SPX1063" s="989"/>
      <c r="SPY1063" s="989"/>
      <c r="SPZ1063" s="989"/>
      <c r="SQA1063" s="989"/>
      <c r="SQB1063" s="989"/>
      <c r="SQC1063" s="989"/>
      <c r="SQD1063" s="989"/>
      <c r="SQE1063" s="989"/>
      <c r="SQF1063" s="989"/>
      <c r="SQG1063" s="989"/>
      <c r="SQH1063" s="989"/>
      <c r="SQI1063" s="989"/>
      <c r="SQJ1063" s="989"/>
      <c r="SQK1063" s="989"/>
      <c r="SQL1063" s="989"/>
      <c r="SQM1063" s="989"/>
      <c r="SQN1063" s="989"/>
      <c r="SQO1063" s="989"/>
      <c r="SQP1063" s="989"/>
      <c r="SQQ1063" s="989"/>
      <c r="SQR1063" s="989"/>
      <c r="SQS1063" s="989"/>
      <c r="SQT1063" s="989"/>
      <c r="SQU1063" s="989"/>
      <c r="SQV1063" s="989"/>
      <c r="SQW1063" s="989"/>
      <c r="SQX1063" s="989"/>
      <c r="SQY1063" s="989"/>
      <c r="SQZ1063" s="989"/>
      <c r="SRA1063" s="989"/>
      <c r="SRB1063" s="989"/>
      <c r="SRC1063" s="989"/>
      <c r="SRD1063" s="989"/>
      <c r="SRE1063" s="989"/>
      <c r="SRF1063" s="989"/>
      <c r="SRG1063" s="989"/>
      <c r="SRH1063" s="989"/>
      <c r="SRI1063" s="989"/>
      <c r="SRJ1063" s="989"/>
      <c r="SRK1063" s="989"/>
      <c r="SRL1063" s="989"/>
      <c r="SRM1063" s="989"/>
      <c r="SRN1063" s="989"/>
      <c r="SRO1063" s="989"/>
      <c r="SRP1063" s="989"/>
      <c r="SRQ1063" s="989"/>
      <c r="SRR1063" s="989"/>
      <c r="SRS1063" s="989"/>
      <c r="SRT1063" s="989"/>
      <c r="SRU1063" s="989"/>
      <c r="SRV1063" s="989"/>
      <c r="SRW1063" s="989"/>
      <c r="SRX1063" s="989"/>
      <c r="SRY1063" s="989"/>
      <c r="SRZ1063" s="989"/>
      <c r="SSA1063" s="989"/>
      <c r="SSB1063" s="989"/>
      <c r="SSC1063" s="989"/>
      <c r="SSD1063" s="989"/>
      <c r="SSE1063" s="989"/>
      <c r="SSF1063" s="989"/>
      <c r="SSG1063" s="989"/>
      <c r="SSH1063" s="989"/>
      <c r="SSI1063" s="989"/>
      <c r="SSJ1063" s="989"/>
      <c r="SSK1063" s="989"/>
      <c r="SSL1063" s="989"/>
      <c r="SSM1063" s="989"/>
      <c r="SSN1063" s="989"/>
      <c r="SSO1063" s="989"/>
      <c r="SSP1063" s="989"/>
      <c r="SSQ1063" s="989"/>
      <c r="SSR1063" s="989"/>
      <c r="SSS1063" s="989"/>
      <c r="SST1063" s="989"/>
      <c r="SSU1063" s="989"/>
      <c r="SSV1063" s="989"/>
      <c r="SSW1063" s="989"/>
      <c r="SSX1063" s="989"/>
      <c r="SSY1063" s="989"/>
      <c r="SSZ1063" s="989"/>
      <c r="STA1063" s="989"/>
      <c r="STB1063" s="989"/>
      <c r="STC1063" s="989"/>
      <c r="STD1063" s="989"/>
      <c r="STE1063" s="989"/>
      <c r="STF1063" s="989"/>
      <c r="STG1063" s="989"/>
      <c r="STH1063" s="989"/>
      <c r="STI1063" s="989"/>
      <c r="STJ1063" s="989"/>
      <c r="STK1063" s="989"/>
      <c r="STL1063" s="989"/>
      <c r="STM1063" s="989"/>
      <c r="STN1063" s="989"/>
      <c r="STO1063" s="989"/>
      <c r="STP1063" s="989"/>
      <c r="STQ1063" s="989"/>
      <c r="STR1063" s="989"/>
      <c r="STS1063" s="989"/>
      <c r="STT1063" s="989"/>
      <c r="STU1063" s="989"/>
      <c r="STV1063" s="989"/>
      <c r="STW1063" s="989"/>
      <c r="STX1063" s="989"/>
      <c r="STY1063" s="989"/>
      <c r="STZ1063" s="989"/>
      <c r="SUA1063" s="989"/>
      <c r="SUB1063" s="989"/>
      <c r="SUC1063" s="989"/>
      <c r="SUD1063" s="989"/>
      <c r="SUE1063" s="989"/>
      <c r="SUF1063" s="989"/>
      <c r="SUG1063" s="989"/>
      <c r="SUH1063" s="989"/>
      <c r="SUI1063" s="989"/>
      <c r="SUJ1063" s="989"/>
      <c r="SUK1063" s="989"/>
      <c r="SUL1063" s="989"/>
      <c r="SUM1063" s="989"/>
      <c r="SUN1063" s="989"/>
      <c r="SUO1063" s="989"/>
      <c r="SUP1063" s="989"/>
      <c r="SUQ1063" s="989"/>
      <c r="SUR1063" s="989"/>
      <c r="SUS1063" s="989"/>
      <c r="SUT1063" s="989"/>
      <c r="SUU1063" s="989"/>
      <c r="SUV1063" s="989"/>
      <c r="SUW1063" s="989"/>
      <c r="SUX1063" s="989"/>
      <c r="SUY1063" s="989"/>
      <c r="SUZ1063" s="989"/>
      <c r="SVA1063" s="989"/>
      <c r="SVB1063" s="989"/>
      <c r="SVC1063" s="989"/>
      <c r="SVD1063" s="989"/>
      <c r="SVE1063" s="989"/>
      <c r="SVF1063" s="989"/>
      <c r="SVG1063" s="989"/>
      <c r="SVH1063" s="989"/>
      <c r="SVI1063" s="989"/>
      <c r="SVJ1063" s="989"/>
      <c r="SVK1063" s="989"/>
      <c r="SVL1063" s="989"/>
      <c r="SVM1063" s="989"/>
      <c r="SVN1063" s="989"/>
      <c r="SVO1063" s="989"/>
      <c r="SVP1063" s="989"/>
      <c r="SVQ1063" s="989"/>
      <c r="SVR1063" s="989"/>
      <c r="SVS1063" s="989"/>
      <c r="SVT1063" s="989"/>
      <c r="SVU1063" s="989"/>
      <c r="SVV1063" s="989"/>
      <c r="SVW1063" s="989"/>
      <c r="SVX1063" s="989"/>
      <c r="SVY1063" s="989"/>
      <c r="SVZ1063" s="989"/>
      <c r="SWA1063" s="989"/>
      <c r="SWB1063" s="989"/>
      <c r="SWC1063" s="989"/>
      <c r="SWD1063" s="989"/>
      <c r="SWE1063" s="989"/>
      <c r="SWF1063" s="989"/>
      <c r="SWG1063" s="989"/>
      <c r="SWH1063" s="989"/>
      <c r="SWI1063" s="989"/>
      <c r="SWJ1063" s="989"/>
      <c r="SWK1063" s="989"/>
      <c r="SWL1063" s="989"/>
      <c r="SWM1063" s="989"/>
      <c r="SWN1063" s="989"/>
      <c r="SWO1063" s="989"/>
      <c r="SWP1063" s="989"/>
      <c r="SWQ1063" s="989"/>
      <c r="SWR1063" s="989"/>
      <c r="SWS1063" s="989"/>
      <c r="SWT1063" s="989"/>
      <c r="SWU1063" s="989"/>
      <c r="SWV1063" s="989"/>
      <c r="SWW1063" s="989"/>
      <c r="SWX1063" s="989"/>
      <c r="SWY1063" s="989"/>
      <c r="SWZ1063" s="989"/>
      <c r="SXA1063" s="989"/>
      <c r="SXB1063" s="989"/>
      <c r="SXC1063" s="989"/>
      <c r="SXD1063" s="989"/>
      <c r="SXE1063" s="989"/>
      <c r="SXF1063" s="989"/>
      <c r="SXG1063" s="989"/>
      <c r="SXH1063" s="989"/>
      <c r="SXI1063" s="989"/>
      <c r="SXJ1063" s="989"/>
      <c r="SXK1063" s="989"/>
      <c r="SXL1063" s="989"/>
      <c r="SXM1063" s="989"/>
      <c r="SXN1063" s="989"/>
      <c r="SXO1063" s="989"/>
      <c r="SXP1063" s="989"/>
      <c r="SXQ1063" s="989"/>
      <c r="SXR1063" s="989"/>
      <c r="SXS1063" s="989"/>
      <c r="SXT1063" s="989"/>
      <c r="SXU1063" s="989"/>
      <c r="SXV1063" s="989"/>
      <c r="SXW1063" s="989"/>
      <c r="SXX1063" s="989"/>
      <c r="SXY1063" s="989"/>
      <c r="SXZ1063" s="989"/>
      <c r="SYA1063" s="989"/>
      <c r="SYB1063" s="989"/>
      <c r="SYC1063" s="989"/>
      <c r="SYD1063" s="989"/>
      <c r="SYE1063" s="989"/>
      <c r="SYF1063" s="989"/>
      <c r="SYG1063" s="989"/>
      <c r="SYH1063" s="989"/>
      <c r="SYI1063" s="989"/>
      <c r="SYJ1063" s="989"/>
      <c r="SYK1063" s="989"/>
      <c r="SYL1063" s="989"/>
      <c r="SYM1063" s="989"/>
      <c r="SYN1063" s="989"/>
      <c r="SYO1063" s="989"/>
      <c r="SYP1063" s="989"/>
      <c r="SYQ1063" s="989"/>
      <c r="SYR1063" s="989"/>
      <c r="SYS1063" s="989"/>
      <c r="SYT1063" s="989"/>
      <c r="SYU1063" s="989"/>
      <c r="SYV1063" s="989"/>
      <c r="SYW1063" s="989"/>
      <c r="SYX1063" s="989"/>
      <c r="SYY1063" s="989"/>
      <c r="SYZ1063" s="989"/>
      <c r="SZA1063" s="989"/>
      <c r="SZB1063" s="989"/>
      <c r="SZC1063" s="989"/>
      <c r="SZD1063" s="989"/>
      <c r="SZE1063" s="989"/>
      <c r="SZF1063" s="989"/>
      <c r="SZG1063" s="989"/>
      <c r="SZH1063" s="989"/>
      <c r="SZI1063" s="989"/>
      <c r="SZJ1063" s="989"/>
      <c r="SZK1063" s="989"/>
      <c r="SZL1063" s="989"/>
      <c r="SZM1063" s="989"/>
      <c r="SZN1063" s="989"/>
      <c r="SZO1063" s="989"/>
      <c r="SZP1063" s="989"/>
      <c r="SZQ1063" s="989"/>
      <c r="SZR1063" s="989"/>
      <c r="SZS1063" s="989"/>
      <c r="SZT1063" s="989"/>
      <c r="SZU1063" s="989"/>
      <c r="SZV1063" s="989"/>
      <c r="SZW1063" s="989"/>
      <c r="SZX1063" s="989"/>
      <c r="SZY1063" s="989"/>
      <c r="SZZ1063" s="989"/>
      <c r="TAA1063" s="989"/>
      <c r="TAB1063" s="989"/>
      <c r="TAC1063" s="989"/>
      <c r="TAD1063" s="989"/>
      <c r="TAE1063" s="989"/>
      <c r="TAF1063" s="989"/>
      <c r="TAG1063" s="989"/>
      <c r="TAH1063" s="989"/>
      <c r="TAI1063" s="989"/>
      <c r="TAJ1063" s="989"/>
      <c r="TAK1063" s="989"/>
      <c r="TAL1063" s="989"/>
      <c r="TAM1063" s="989"/>
      <c r="TAN1063" s="989"/>
      <c r="TAO1063" s="989"/>
      <c r="TAP1063" s="989"/>
      <c r="TAQ1063" s="989"/>
      <c r="TAR1063" s="989"/>
      <c r="TAS1063" s="989"/>
      <c r="TAT1063" s="989"/>
      <c r="TAU1063" s="989"/>
      <c r="TAV1063" s="989"/>
      <c r="TAW1063" s="989"/>
      <c r="TAX1063" s="989"/>
      <c r="TAY1063" s="989"/>
      <c r="TAZ1063" s="989"/>
      <c r="TBA1063" s="989"/>
      <c r="TBB1063" s="989"/>
      <c r="TBC1063" s="989"/>
      <c r="TBD1063" s="989"/>
      <c r="TBE1063" s="989"/>
      <c r="TBF1063" s="989"/>
      <c r="TBG1063" s="989"/>
      <c r="TBH1063" s="989"/>
      <c r="TBI1063" s="989"/>
      <c r="TBJ1063" s="989"/>
      <c r="TBK1063" s="989"/>
      <c r="TBL1063" s="989"/>
      <c r="TBM1063" s="989"/>
      <c r="TBN1063" s="989"/>
      <c r="TBO1063" s="989"/>
      <c r="TBP1063" s="989"/>
      <c r="TBQ1063" s="989"/>
      <c r="TBR1063" s="989"/>
      <c r="TBS1063" s="989"/>
      <c r="TBT1063" s="989"/>
      <c r="TBU1063" s="989"/>
      <c r="TBV1063" s="989"/>
      <c r="TBW1063" s="989"/>
      <c r="TBX1063" s="989"/>
      <c r="TBY1063" s="989"/>
      <c r="TBZ1063" s="989"/>
      <c r="TCA1063" s="989"/>
      <c r="TCB1063" s="989"/>
      <c r="TCC1063" s="989"/>
      <c r="TCD1063" s="989"/>
      <c r="TCE1063" s="989"/>
      <c r="TCF1063" s="989"/>
      <c r="TCG1063" s="989"/>
      <c r="TCH1063" s="989"/>
      <c r="TCI1063" s="989"/>
      <c r="TCJ1063" s="989"/>
      <c r="TCK1063" s="989"/>
      <c r="TCL1063" s="989"/>
      <c r="TCM1063" s="989"/>
      <c r="TCN1063" s="989"/>
      <c r="TCO1063" s="989"/>
      <c r="TCP1063" s="989"/>
      <c r="TCQ1063" s="989"/>
      <c r="TCR1063" s="989"/>
      <c r="TCS1063" s="989"/>
      <c r="TCT1063" s="989"/>
      <c r="TCU1063" s="989"/>
      <c r="TCV1063" s="989"/>
      <c r="TCW1063" s="989"/>
      <c r="TCX1063" s="989"/>
      <c r="TCY1063" s="989"/>
      <c r="TCZ1063" s="989"/>
      <c r="TDA1063" s="989"/>
      <c r="TDB1063" s="989"/>
      <c r="TDC1063" s="989"/>
      <c r="TDD1063" s="989"/>
      <c r="TDE1063" s="989"/>
      <c r="TDF1063" s="989"/>
      <c r="TDG1063" s="989"/>
      <c r="TDH1063" s="989"/>
      <c r="TDI1063" s="989"/>
      <c r="TDJ1063" s="989"/>
      <c r="TDK1063" s="989"/>
      <c r="TDL1063" s="989"/>
      <c r="TDM1063" s="989"/>
      <c r="TDN1063" s="989"/>
      <c r="TDO1063" s="989"/>
      <c r="TDP1063" s="989"/>
      <c r="TDQ1063" s="989"/>
      <c r="TDR1063" s="989"/>
      <c r="TDS1063" s="989"/>
      <c r="TDT1063" s="989"/>
      <c r="TDU1063" s="989"/>
      <c r="TDV1063" s="989"/>
      <c r="TDW1063" s="989"/>
      <c r="TDX1063" s="989"/>
      <c r="TDY1063" s="989"/>
      <c r="TDZ1063" s="989"/>
      <c r="TEA1063" s="989"/>
      <c r="TEB1063" s="989"/>
      <c r="TEC1063" s="989"/>
      <c r="TED1063" s="989"/>
      <c r="TEE1063" s="989"/>
      <c r="TEF1063" s="989"/>
      <c r="TEG1063" s="989"/>
      <c r="TEH1063" s="989"/>
      <c r="TEI1063" s="989"/>
      <c r="TEJ1063" s="989"/>
      <c r="TEK1063" s="989"/>
      <c r="TEL1063" s="989"/>
      <c r="TEM1063" s="989"/>
      <c r="TEN1063" s="989"/>
      <c r="TEO1063" s="989"/>
      <c r="TEP1063" s="989"/>
      <c r="TEQ1063" s="989"/>
      <c r="TER1063" s="989"/>
      <c r="TES1063" s="989"/>
      <c r="TET1063" s="989"/>
      <c r="TEU1063" s="989"/>
      <c r="TEV1063" s="989"/>
      <c r="TEW1063" s="989"/>
      <c r="TEX1063" s="989"/>
      <c r="TEY1063" s="989"/>
      <c r="TEZ1063" s="989"/>
      <c r="TFA1063" s="989"/>
      <c r="TFB1063" s="989"/>
      <c r="TFC1063" s="989"/>
      <c r="TFD1063" s="989"/>
      <c r="TFE1063" s="989"/>
      <c r="TFF1063" s="989"/>
      <c r="TFG1063" s="989"/>
      <c r="TFH1063" s="989"/>
      <c r="TFI1063" s="989"/>
      <c r="TFJ1063" s="989"/>
      <c r="TFK1063" s="989"/>
      <c r="TFL1063" s="989"/>
      <c r="TFM1063" s="989"/>
      <c r="TFN1063" s="989"/>
      <c r="TFO1063" s="989"/>
      <c r="TFP1063" s="989"/>
      <c r="TFQ1063" s="989"/>
      <c r="TFR1063" s="989"/>
      <c r="TFS1063" s="989"/>
      <c r="TFT1063" s="989"/>
      <c r="TFU1063" s="989"/>
      <c r="TFV1063" s="989"/>
      <c r="TFW1063" s="989"/>
      <c r="TFX1063" s="989"/>
      <c r="TFY1063" s="989"/>
      <c r="TFZ1063" s="989"/>
      <c r="TGA1063" s="989"/>
      <c r="TGB1063" s="989"/>
      <c r="TGC1063" s="989"/>
      <c r="TGD1063" s="989"/>
      <c r="TGE1063" s="989"/>
      <c r="TGF1063" s="989"/>
      <c r="TGG1063" s="989"/>
      <c r="TGH1063" s="989"/>
      <c r="TGI1063" s="989"/>
      <c r="TGJ1063" s="989"/>
      <c r="TGK1063" s="989"/>
      <c r="TGL1063" s="989"/>
      <c r="TGM1063" s="989"/>
      <c r="TGN1063" s="989"/>
      <c r="TGO1063" s="989"/>
      <c r="TGP1063" s="989"/>
      <c r="TGQ1063" s="989"/>
      <c r="TGR1063" s="989"/>
      <c r="TGS1063" s="989"/>
      <c r="TGT1063" s="989"/>
      <c r="TGU1063" s="989"/>
      <c r="TGV1063" s="989"/>
      <c r="TGW1063" s="989"/>
      <c r="TGX1063" s="989"/>
      <c r="TGY1063" s="989"/>
      <c r="TGZ1063" s="989"/>
      <c r="THA1063" s="989"/>
      <c r="THB1063" s="989"/>
      <c r="THC1063" s="989"/>
      <c r="THD1063" s="989"/>
      <c r="THE1063" s="989"/>
      <c r="THF1063" s="989"/>
      <c r="THG1063" s="989"/>
      <c r="THH1063" s="989"/>
      <c r="THI1063" s="989"/>
      <c r="THJ1063" s="989"/>
      <c r="THK1063" s="989"/>
      <c r="THL1063" s="989"/>
      <c r="THM1063" s="989"/>
      <c r="THN1063" s="989"/>
      <c r="THO1063" s="989"/>
      <c r="THP1063" s="989"/>
      <c r="THQ1063" s="989"/>
      <c r="THR1063" s="989"/>
      <c r="THS1063" s="989"/>
      <c r="THT1063" s="989"/>
      <c r="THU1063" s="989"/>
      <c r="THV1063" s="989"/>
      <c r="THW1063" s="989"/>
      <c r="THX1063" s="989"/>
      <c r="THY1063" s="989"/>
      <c r="THZ1063" s="989"/>
      <c r="TIA1063" s="989"/>
      <c r="TIB1063" s="989"/>
      <c r="TIC1063" s="989"/>
      <c r="TID1063" s="989"/>
      <c r="TIE1063" s="989"/>
      <c r="TIF1063" s="989"/>
      <c r="TIG1063" s="989"/>
      <c r="TIH1063" s="989"/>
      <c r="TII1063" s="989"/>
      <c r="TIJ1063" s="989"/>
      <c r="TIK1063" s="989"/>
      <c r="TIL1063" s="989"/>
      <c r="TIM1063" s="989"/>
      <c r="TIN1063" s="989"/>
      <c r="TIO1063" s="989"/>
      <c r="TIP1063" s="989"/>
      <c r="TIQ1063" s="989"/>
      <c r="TIR1063" s="989"/>
      <c r="TIS1063" s="989"/>
      <c r="TIT1063" s="989"/>
      <c r="TIU1063" s="989"/>
      <c r="TIV1063" s="989"/>
      <c r="TIW1063" s="989"/>
      <c r="TIX1063" s="989"/>
      <c r="TIY1063" s="989"/>
      <c r="TIZ1063" s="989"/>
      <c r="TJA1063" s="989"/>
      <c r="TJB1063" s="989"/>
      <c r="TJC1063" s="989"/>
      <c r="TJD1063" s="989"/>
      <c r="TJE1063" s="989"/>
      <c r="TJF1063" s="989"/>
      <c r="TJG1063" s="989"/>
      <c r="TJH1063" s="989"/>
      <c r="TJI1063" s="989"/>
      <c r="TJJ1063" s="989"/>
      <c r="TJK1063" s="989"/>
      <c r="TJL1063" s="989"/>
      <c r="TJM1063" s="989"/>
      <c r="TJN1063" s="989"/>
      <c r="TJO1063" s="989"/>
      <c r="TJP1063" s="989"/>
      <c r="TJQ1063" s="989"/>
      <c r="TJR1063" s="989"/>
      <c r="TJS1063" s="989"/>
      <c r="TJT1063" s="989"/>
      <c r="TJU1063" s="989"/>
      <c r="TJV1063" s="989"/>
      <c r="TJW1063" s="989"/>
      <c r="TJX1063" s="989"/>
      <c r="TJY1063" s="989"/>
      <c r="TJZ1063" s="989"/>
      <c r="TKA1063" s="989"/>
      <c r="TKB1063" s="989"/>
      <c r="TKC1063" s="989"/>
      <c r="TKD1063" s="989"/>
      <c r="TKE1063" s="989"/>
      <c r="TKF1063" s="989"/>
      <c r="TKG1063" s="989"/>
      <c r="TKH1063" s="989"/>
      <c r="TKI1063" s="989"/>
      <c r="TKJ1063" s="989"/>
      <c r="TKK1063" s="989"/>
      <c r="TKL1063" s="989"/>
      <c r="TKM1063" s="989"/>
      <c r="TKN1063" s="989"/>
      <c r="TKO1063" s="989"/>
      <c r="TKP1063" s="989"/>
      <c r="TKQ1063" s="989"/>
      <c r="TKR1063" s="989"/>
      <c r="TKS1063" s="989"/>
      <c r="TKT1063" s="989"/>
      <c r="TKU1063" s="989"/>
      <c r="TKV1063" s="989"/>
      <c r="TKW1063" s="989"/>
      <c r="TKX1063" s="989"/>
      <c r="TKY1063" s="989"/>
      <c r="TKZ1063" s="989"/>
      <c r="TLA1063" s="989"/>
      <c r="TLB1063" s="989"/>
      <c r="TLC1063" s="989"/>
      <c r="TLD1063" s="989"/>
      <c r="TLE1063" s="989"/>
      <c r="TLF1063" s="989"/>
      <c r="TLG1063" s="989"/>
      <c r="TLH1063" s="989"/>
      <c r="TLI1063" s="989"/>
      <c r="TLJ1063" s="989"/>
      <c r="TLK1063" s="989"/>
      <c r="TLL1063" s="989"/>
      <c r="TLM1063" s="989"/>
      <c r="TLN1063" s="989"/>
      <c r="TLO1063" s="989"/>
      <c r="TLP1063" s="989"/>
      <c r="TLQ1063" s="989"/>
      <c r="TLR1063" s="989"/>
      <c r="TLS1063" s="989"/>
      <c r="TLT1063" s="989"/>
      <c r="TLU1063" s="989"/>
      <c r="TLV1063" s="989"/>
      <c r="TLW1063" s="989"/>
      <c r="TLX1063" s="989"/>
      <c r="TLY1063" s="989"/>
      <c r="TLZ1063" s="989"/>
      <c r="TMA1063" s="989"/>
      <c r="TMB1063" s="989"/>
      <c r="TMC1063" s="989"/>
      <c r="TMD1063" s="989"/>
      <c r="TME1063" s="989"/>
      <c r="TMF1063" s="989"/>
      <c r="TMG1063" s="989"/>
      <c r="TMH1063" s="989"/>
      <c r="TMI1063" s="989"/>
      <c r="TMJ1063" s="989"/>
      <c r="TMK1063" s="989"/>
      <c r="TML1063" s="989"/>
      <c r="TMM1063" s="989"/>
      <c r="TMN1063" s="989"/>
      <c r="TMO1063" s="989"/>
      <c r="TMP1063" s="989"/>
      <c r="TMQ1063" s="989"/>
      <c r="TMR1063" s="989"/>
      <c r="TMS1063" s="989"/>
      <c r="TMT1063" s="989"/>
      <c r="TMU1063" s="989"/>
      <c r="TMV1063" s="989"/>
      <c r="TMW1063" s="989"/>
      <c r="TMX1063" s="989"/>
      <c r="TMY1063" s="989"/>
      <c r="TMZ1063" s="989"/>
      <c r="TNA1063" s="989"/>
      <c r="TNB1063" s="989"/>
      <c r="TNC1063" s="989"/>
      <c r="TND1063" s="989"/>
      <c r="TNE1063" s="989"/>
      <c r="TNF1063" s="989"/>
      <c r="TNG1063" s="989"/>
      <c r="TNH1063" s="989"/>
      <c r="TNI1063" s="989"/>
      <c r="TNJ1063" s="989"/>
      <c r="TNK1063" s="989"/>
      <c r="TNL1063" s="989"/>
      <c r="TNM1063" s="989"/>
      <c r="TNN1063" s="989"/>
      <c r="TNO1063" s="989"/>
      <c r="TNP1063" s="989"/>
      <c r="TNQ1063" s="989"/>
      <c r="TNR1063" s="989"/>
      <c r="TNS1063" s="989"/>
      <c r="TNT1063" s="989"/>
      <c r="TNU1063" s="989"/>
      <c r="TNV1063" s="989"/>
      <c r="TNW1063" s="989"/>
      <c r="TNX1063" s="989"/>
      <c r="TNY1063" s="989"/>
      <c r="TNZ1063" s="989"/>
      <c r="TOA1063" s="989"/>
      <c r="TOB1063" s="989"/>
      <c r="TOC1063" s="989"/>
      <c r="TOD1063" s="989"/>
      <c r="TOE1063" s="989"/>
      <c r="TOF1063" s="989"/>
      <c r="TOG1063" s="989"/>
      <c r="TOH1063" s="989"/>
      <c r="TOI1063" s="989"/>
      <c r="TOJ1063" s="989"/>
      <c r="TOK1063" s="989"/>
      <c r="TOL1063" s="989"/>
      <c r="TOM1063" s="989"/>
      <c r="TON1063" s="989"/>
      <c r="TOO1063" s="989"/>
      <c r="TOP1063" s="989"/>
      <c r="TOQ1063" s="989"/>
      <c r="TOR1063" s="989"/>
      <c r="TOS1063" s="989"/>
      <c r="TOT1063" s="989"/>
      <c r="TOU1063" s="989"/>
      <c r="TOV1063" s="989"/>
      <c r="TOW1063" s="989"/>
      <c r="TOX1063" s="989"/>
      <c r="TOY1063" s="989"/>
      <c r="TOZ1063" s="989"/>
      <c r="TPA1063" s="989"/>
      <c r="TPB1063" s="989"/>
      <c r="TPC1063" s="989"/>
      <c r="TPD1063" s="989"/>
      <c r="TPE1063" s="989"/>
      <c r="TPF1063" s="989"/>
      <c r="TPG1063" s="989"/>
      <c r="TPH1063" s="989"/>
      <c r="TPI1063" s="989"/>
      <c r="TPJ1063" s="989"/>
      <c r="TPK1063" s="989"/>
      <c r="TPL1063" s="989"/>
      <c r="TPM1063" s="989"/>
      <c r="TPN1063" s="989"/>
      <c r="TPO1063" s="989"/>
      <c r="TPP1063" s="989"/>
      <c r="TPQ1063" s="989"/>
      <c r="TPR1063" s="989"/>
      <c r="TPS1063" s="989"/>
      <c r="TPT1063" s="989"/>
      <c r="TPU1063" s="989"/>
      <c r="TPV1063" s="989"/>
      <c r="TPW1063" s="989"/>
      <c r="TPX1063" s="989"/>
      <c r="TPY1063" s="989"/>
      <c r="TPZ1063" s="989"/>
      <c r="TQA1063" s="989"/>
      <c r="TQB1063" s="989"/>
      <c r="TQC1063" s="989"/>
      <c r="TQD1063" s="989"/>
      <c r="TQE1063" s="989"/>
      <c r="TQF1063" s="989"/>
      <c r="TQG1063" s="989"/>
      <c r="TQH1063" s="989"/>
      <c r="TQI1063" s="989"/>
      <c r="TQJ1063" s="989"/>
      <c r="TQK1063" s="989"/>
      <c r="TQL1063" s="989"/>
      <c r="TQM1063" s="989"/>
      <c r="TQN1063" s="989"/>
      <c r="TQO1063" s="989"/>
      <c r="TQP1063" s="989"/>
      <c r="TQQ1063" s="989"/>
      <c r="TQR1063" s="989"/>
      <c r="TQS1063" s="989"/>
      <c r="TQT1063" s="989"/>
      <c r="TQU1063" s="989"/>
      <c r="TQV1063" s="989"/>
      <c r="TQW1063" s="989"/>
      <c r="TQX1063" s="989"/>
      <c r="TQY1063" s="989"/>
      <c r="TQZ1063" s="989"/>
      <c r="TRA1063" s="989"/>
      <c r="TRB1063" s="989"/>
      <c r="TRC1063" s="989"/>
      <c r="TRD1063" s="989"/>
      <c r="TRE1063" s="989"/>
      <c r="TRF1063" s="989"/>
      <c r="TRG1063" s="989"/>
      <c r="TRH1063" s="989"/>
      <c r="TRI1063" s="989"/>
      <c r="TRJ1063" s="989"/>
      <c r="TRK1063" s="989"/>
      <c r="TRL1063" s="989"/>
      <c r="TRM1063" s="989"/>
      <c r="TRN1063" s="989"/>
      <c r="TRO1063" s="989"/>
      <c r="TRP1063" s="989"/>
      <c r="TRQ1063" s="989"/>
      <c r="TRR1063" s="989"/>
      <c r="TRS1063" s="989"/>
      <c r="TRT1063" s="989"/>
      <c r="TRU1063" s="989"/>
      <c r="TRV1063" s="989"/>
      <c r="TRW1063" s="989"/>
      <c r="TRX1063" s="989"/>
      <c r="TRY1063" s="989"/>
      <c r="TRZ1063" s="989"/>
      <c r="TSA1063" s="989"/>
      <c r="TSB1063" s="989"/>
      <c r="TSC1063" s="989"/>
      <c r="TSD1063" s="989"/>
      <c r="TSE1063" s="989"/>
      <c r="TSF1063" s="989"/>
      <c r="TSG1063" s="989"/>
      <c r="TSH1063" s="989"/>
      <c r="TSI1063" s="989"/>
      <c r="TSJ1063" s="989"/>
      <c r="TSK1063" s="989"/>
      <c r="TSL1063" s="989"/>
      <c r="TSM1063" s="989"/>
      <c r="TSN1063" s="989"/>
      <c r="TSO1063" s="989"/>
      <c r="TSP1063" s="989"/>
      <c r="TSQ1063" s="989"/>
      <c r="TSR1063" s="989"/>
      <c r="TSS1063" s="989"/>
      <c r="TST1063" s="989"/>
      <c r="TSU1063" s="989"/>
      <c r="TSV1063" s="989"/>
      <c r="TSW1063" s="989"/>
      <c r="TSX1063" s="989"/>
      <c r="TSY1063" s="989"/>
      <c r="TSZ1063" s="989"/>
      <c r="TTA1063" s="989"/>
      <c r="TTB1063" s="989"/>
      <c r="TTC1063" s="989"/>
      <c r="TTD1063" s="989"/>
      <c r="TTE1063" s="989"/>
      <c r="TTF1063" s="989"/>
      <c r="TTG1063" s="989"/>
      <c r="TTH1063" s="989"/>
      <c r="TTI1063" s="989"/>
      <c r="TTJ1063" s="989"/>
      <c r="TTK1063" s="989"/>
      <c r="TTL1063" s="989"/>
      <c r="TTM1063" s="989"/>
      <c r="TTN1063" s="989"/>
      <c r="TTO1063" s="989"/>
      <c r="TTP1063" s="989"/>
      <c r="TTQ1063" s="989"/>
      <c r="TTR1063" s="989"/>
      <c r="TTS1063" s="989"/>
      <c r="TTT1063" s="989"/>
      <c r="TTU1063" s="989"/>
      <c r="TTV1063" s="989"/>
      <c r="TTW1063" s="989"/>
      <c r="TTX1063" s="989"/>
      <c r="TTY1063" s="989"/>
      <c r="TTZ1063" s="989"/>
      <c r="TUA1063" s="989"/>
      <c r="TUB1063" s="989"/>
      <c r="TUC1063" s="989"/>
      <c r="TUD1063" s="989"/>
      <c r="TUE1063" s="989"/>
      <c r="TUF1063" s="989"/>
      <c r="TUG1063" s="989"/>
      <c r="TUH1063" s="989"/>
      <c r="TUI1063" s="989"/>
      <c r="TUJ1063" s="989"/>
      <c r="TUK1063" s="989"/>
      <c r="TUL1063" s="989"/>
      <c r="TUM1063" s="989"/>
      <c r="TUN1063" s="989"/>
      <c r="TUO1063" s="989"/>
      <c r="TUP1063" s="989"/>
      <c r="TUQ1063" s="989"/>
      <c r="TUR1063" s="989"/>
      <c r="TUS1063" s="989"/>
      <c r="TUT1063" s="989"/>
      <c r="TUU1063" s="989"/>
      <c r="TUV1063" s="989"/>
      <c r="TUW1063" s="989"/>
      <c r="TUX1063" s="989"/>
      <c r="TUY1063" s="989"/>
      <c r="TUZ1063" s="989"/>
      <c r="TVA1063" s="989"/>
      <c r="TVB1063" s="989"/>
      <c r="TVC1063" s="989"/>
      <c r="TVD1063" s="989"/>
      <c r="TVE1063" s="989"/>
      <c r="TVF1063" s="989"/>
      <c r="TVG1063" s="989"/>
      <c r="TVH1063" s="989"/>
      <c r="TVI1063" s="989"/>
      <c r="TVJ1063" s="989"/>
      <c r="TVK1063" s="989"/>
      <c r="TVL1063" s="989"/>
      <c r="TVM1063" s="989"/>
      <c r="TVN1063" s="989"/>
      <c r="TVO1063" s="989"/>
      <c r="TVP1063" s="989"/>
      <c r="TVQ1063" s="989"/>
      <c r="TVR1063" s="989"/>
      <c r="TVS1063" s="989"/>
      <c r="TVT1063" s="989"/>
      <c r="TVU1063" s="989"/>
      <c r="TVV1063" s="989"/>
      <c r="TVW1063" s="989"/>
      <c r="TVX1063" s="989"/>
      <c r="TVY1063" s="989"/>
      <c r="TVZ1063" s="989"/>
      <c r="TWA1063" s="989"/>
      <c r="TWB1063" s="989"/>
      <c r="TWC1063" s="989"/>
      <c r="TWD1063" s="989"/>
      <c r="TWE1063" s="989"/>
      <c r="TWF1063" s="989"/>
      <c r="TWG1063" s="989"/>
      <c r="TWH1063" s="989"/>
      <c r="TWI1063" s="989"/>
      <c r="TWJ1063" s="989"/>
      <c r="TWK1063" s="989"/>
      <c r="TWL1063" s="989"/>
      <c r="TWM1063" s="989"/>
      <c r="TWN1063" s="989"/>
      <c r="TWO1063" s="989"/>
      <c r="TWP1063" s="989"/>
      <c r="TWQ1063" s="989"/>
      <c r="TWR1063" s="989"/>
      <c r="TWS1063" s="989"/>
      <c r="TWT1063" s="989"/>
      <c r="TWU1063" s="989"/>
      <c r="TWV1063" s="989"/>
      <c r="TWW1063" s="989"/>
      <c r="TWX1063" s="989"/>
      <c r="TWY1063" s="989"/>
      <c r="TWZ1063" s="989"/>
      <c r="TXA1063" s="989"/>
      <c r="TXB1063" s="989"/>
      <c r="TXC1063" s="989"/>
      <c r="TXD1063" s="989"/>
      <c r="TXE1063" s="989"/>
      <c r="TXF1063" s="989"/>
      <c r="TXG1063" s="989"/>
      <c r="TXH1063" s="989"/>
      <c r="TXI1063" s="989"/>
      <c r="TXJ1063" s="989"/>
      <c r="TXK1063" s="989"/>
      <c r="TXL1063" s="989"/>
      <c r="TXM1063" s="989"/>
      <c r="TXN1063" s="989"/>
      <c r="TXO1063" s="989"/>
      <c r="TXP1063" s="989"/>
      <c r="TXQ1063" s="989"/>
      <c r="TXR1063" s="989"/>
      <c r="TXS1063" s="989"/>
      <c r="TXT1063" s="989"/>
      <c r="TXU1063" s="989"/>
      <c r="TXV1063" s="989"/>
      <c r="TXW1063" s="989"/>
      <c r="TXX1063" s="989"/>
      <c r="TXY1063" s="989"/>
      <c r="TXZ1063" s="989"/>
      <c r="TYA1063" s="989"/>
      <c r="TYB1063" s="989"/>
      <c r="TYC1063" s="989"/>
      <c r="TYD1063" s="989"/>
      <c r="TYE1063" s="989"/>
      <c r="TYF1063" s="989"/>
      <c r="TYG1063" s="989"/>
      <c r="TYH1063" s="989"/>
      <c r="TYI1063" s="989"/>
      <c r="TYJ1063" s="989"/>
      <c r="TYK1063" s="989"/>
      <c r="TYL1063" s="989"/>
      <c r="TYM1063" s="989"/>
      <c r="TYN1063" s="989"/>
      <c r="TYO1063" s="989"/>
      <c r="TYP1063" s="989"/>
      <c r="TYQ1063" s="989"/>
      <c r="TYR1063" s="989"/>
      <c r="TYS1063" s="989"/>
      <c r="TYT1063" s="989"/>
      <c r="TYU1063" s="989"/>
      <c r="TYV1063" s="989"/>
      <c r="TYW1063" s="989"/>
      <c r="TYX1063" s="989"/>
      <c r="TYY1063" s="989"/>
      <c r="TYZ1063" s="989"/>
      <c r="TZA1063" s="989"/>
      <c r="TZB1063" s="989"/>
      <c r="TZC1063" s="989"/>
      <c r="TZD1063" s="989"/>
      <c r="TZE1063" s="989"/>
      <c r="TZF1063" s="989"/>
      <c r="TZG1063" s="989"/>
      <c r="TZH1063" s="989"/>
      <c r="TZI1063" s="989"/>
      <c r="TZJ1063" s="989"/>
      <c r="TZK1063" s="989"/>
      <c r="TZL1063" s="989"/>
      <c r="TZM1063" s="989"/>
      <c r="TZN1063" s="989"/>
      <c r="TZO1063" s="989"/>
      <c r="TZP1063" s="989"/>
      <c r="TZQ1063" s="989"/>
      <c r="TZR1063" s="989"/>
      <c r="TZS1063" s="989"/>
      <c r="TZT1063" s="989"/>
      <c r="TZU1063" s="989"/>
      <c r="TZV1063" s="989"/>
      <c r="TZW1063" s="989"/>
      <c r="TZX1063" s="989"/>
      <c r="TZY1063" s="989"/>
      <c r="TZZ1063" s="989"/>
      <c r="UAA1063" s="989"/>
      <c r="UAB1063" s="989"/>
      <c r="UAC1063" s="989"/>
      <c r="UAD1063" s="989"/>
      <c r="UAE1063" s="989"/>
      <c r="UAF1063" s="989"/>
      <c r="UAG1063" s="989"/>
      <c r="UAH1063" s="989"/>
      <c r="UAI1063" s="989"/>
      <c r="UAJ1063" s="989"/>
      <c r="UAK1063" s="989"/>
      <c r="UAL1063" s="989"/>
      <c r="UAM1063" s="989"/>
      <c r="UAN1063" s="989"/>
      <c r="UAO1063" s="989"/>
      <c r="UAP1063" s="989"/>
      <c r="UAQ1063" s="989"/>
      <c r="UAR1063" s="989"/>
      <c r="UAS1063" s="989"/>
      <c r="UAT1063" s="989"/>
      <c r="UAU1063" s="989"/>
      <c r="UAV1063" s="989"/>
      <c r="UAW1063" s="989"/>
      <c r="UAX1063" s="989"/>
      <c r="UAY1063" s="989"/>
      <c r="UAZ1063" s="989"/>
      <c r="UBA1063" s="989"/>
      <c r="UBB1063" s="989"/>
      <c r="UBC1063" s="989"/>
      <c r="UBD1063" s="989"/>
      <c r="UBE1063" s="989"/>
      <c r="UBF1063" s="989"/>
      <c r="UBG1063" s="989"/>
      <c r="UBH1063" s="989"/>
      <c r="UBI1063" s="989"/>
      <c r="UBJ1063" s="989"/>
      <c r="UBK1063" s="989"/>
      <c r="UBL1063" s="989"/>
      <c r="UBM1063" s="989"/>
      <c r="UBN1063" s="989"/>
      <c r="UBO1063" s="989"/>
      <c r="UBP1063" s="989"/>
      <c r="UBQ1063" s="989"/>
      <c r="UBR1063" s="989"/>
      <c r="UBS1063" s="989"/>
      <c r="UBT1063" s="989"/>
      <c r="UBU1063" s="989"/>
      <c r="UBV1063" s="989"/>
      <c r="UBW1063" s="989"/>
      <c r="UBX1063" s="989"/>
      <c r="UBY1063" s="989"/>
      <c r="UBZ1063" s="989"/>
      <c r="UCA1063" s="989"/>
      <c r="UCB1063" s="989"/>
      <c r="UCC1063" s="989"/>
      <c r="UCD1063" s="989"/>
      <c r="UCE1063" s="989"/>
      <c r="UCF1063" s="989"/>
      <c r="UCG1063" s="989"/>
      <c r="UCH1063" s="989"/>
      <c r="UCI1063" s="989"/>
      <c r="UCJ1063" s="989"/>
      <c r="UCK1063" s="989"/>
      <c r="UCL1063" s="989"/>
      <c r="UCM1063" s="989"/>
      <c r="UCN1063" s="989"/>
      <c r="UCO1063" s="989"/>
      <c r="UCP1063" s="989"/>
      <c r="UCQ1063" s="989"/>
      <c r="UCR1063" s="989"/>
      <c r="UCS1063" s="989"/>
      <c r="UCT1063" s="989"/>
      <c r="UCU1063" s="989"/>
      <c r="UCV1063" s="989"/>
      <c r="UCW1063" s="989"/>
      <c r="UCX1063" s="989"/>
      <c r="UCY1063" s="989"/>
      <c r="UCZ1063" s="989"/>
      <c r="UDA1063" s="989"/>
      <c r="UDB1063" s="989"/>
      <c r="UDC1063" s="989"/>
      <c r="UDD1063" s="989"/>
      <c r="UDE1063" s="989"/>
      <c r="UDF1063" s="989"/>
      <c r="UDG1063" s="989"/>
      <c r="UDH1063" s="989"/>
      <c r="UDI1063" s="989"/>
      <c r="UDJ1063" s="989"/>
      <c r="UDK1063" s="989"/>
      <c r="UDL1063" s="989"/>
      <c r="UDM1063" s="989"/>
      <c r="UDN1063" s="989"/>
      <c r="UDO1063" s="989"/>
      <c r="UDP1063" s="989"/>
      <c r="UDQ1063" s="989"/>
      <c r="UDR1063" s="989"/>
      <c r="UDS1063" s="989"/>
      <c r="UDT1063" s="989"/>
      <c r="UDU1063" s="989"/>
      <c r="UDV1063" s="989"/>
      <c r="UDW1063" s="989"/>
      <c r="UDX1063" s="989"/>
      <c r="UDY1063" s="989"/>
      <c r="UDZ1063" s="989"/>
      <c r="UEA1063" s="989"/>
      <c r="UEB1063" s="989"/>
      <c r="UEC1063" s="989"/>
      <c r="UED1063" s="989"/>
      <c r="UEE1063" s="989"/>
      <c r="UEF1063" s="989"/>
      <c r="UEG1063" s="989"/>
      <c r="UEH1063" s="989"/>
      <c r="UEI1063" s="989"/>
      <c r="UEJ1063" s="989"/>
      <c r="UEK1063" s="989"/>
      <c r="UEL1063" s="989"/>
      <c r="UEM1063" s="989"/>
      <c r="UEN1063" s="989"/>
      <c r="UEO1063" s="989"/>
      <c r="UEP1063" s="989"/>
      <c r="UEQ1063" s="989"/>
      <c r="UER1063" s="989"/>
      <c r="UES1063" s="989"/>
      <c r="UET1063" s="989"/>
      <c r="UEU1063" s="989"/>
      <c r="UEV1063" s="989"/>
      <c r="UEW1063" s="989"/>
      <c r="UEX1063" s="989"/>
      <c r="UEY1063" s="989"/>
      <c r="UEZ1063" s="989"/>
      <c r="UFA1063" s="989"/>
      <c r="UFB1063" s="989"/>
      <c r="UFC1063" s="989"/>
      <c r="UFD1063" s="989"/>
      <c r="UFE1063" s="989"/>
      <c r="UFF1063" s="989"/>
      <c r="UFG1063" s="989"/>
      <c r="UFH1063" s="989"/>
      <c r="UFI1063" s="989"/>
      <c r="UFJ1063" s="989"/>
      <c r="UFK1063" s="989"/>
      <c r="UFL1063" s="989"/>
      <c r="UFM1063" s="989"/>
      <c r="UFN1063" s="989"/>
      <c r="UFO1063" s="989"/>
      <c r="UFP1063" s="989"/>
      <c r="UFQ1063" s="989"/>
      <c r="UFR1063" s="989"/>
      <c r="UFS1063" s="989"/>
      <c r="UFT1063" s="989"/>
      <c r="UFU1063" s="989"/>
      <c r="UFV1063" s="989"/>
      <c r="UFW1063" s="989"/>
      <c r="UFX1063" s="989"/>
      <c r="UFY1063" s="989"/>
      <c r="UFZ1063" s="989"/>
      <c r="UGA1063" s="989"/>
      <c r="UGB1063" s="989"/>
      <c r="UGC1063" s="989"/>
      <c r="UGD1063" s="989"/>
      <c r="UGE1063" s="989"/>
      <c r="UGF1063" s="989"/>
      <c r="UGG1063" s="989"/>
      <c r="UGH1063" s="989"/>
      <c r="UGI1063" s="989"/>
      <c r="UGJ1063" s="989"/>
      <c r="UGK1063" s="989"/>
      <c r="UGL1063" s="989"/>
      <c r="UGM1063" s="989"/>
      <c r="UGN1063" s="989"/>
      <c r="UGO1063" s="989"/>
      <c r="UGP1063" s="989"/>
      <c r="UGQ1063" s="989"/>
      <c r="UGR1063" s="989"/>
      <c r="UGS1063" s="989"/>
      <c r="UGT1063" s="989"/>
      <c r="UGU1063" s="989"/>
      <c r="UGV1063" s="989"/>
      <c r="UGW1063" s="989"/>
      <c r="UGX1063" s="989"/>
      <c r="UGY1063" s="989"/>
      <c r="UGZ1063" s="989"/>
      <c r="UHA1063" s="989"/>
      <c r="UHB1063" s="989"/>
      <c r="UHC1063" s="989"/>
      <c r="UHD1063" s="989"/>
      <c r="UHE1063" s="989"/>
      <c r="UHF1063" s="989"/>
      <c r="UHG1063" s="989"/>
      <c r="UHH1063" s="989"/>
      <c r="UHI1063" s="989"/>
      <c r="UHJ1063" s="989"/>
      <c r="UHK1063" s="989"/>
      <c r="UHL1063" s="989"/>
      <c r="UHM1063" s="989"/>
      <c r="UHN1063" s="989"/>
      <c r="UHO1063" s="989"/>
      <c r="UHP1063" s="989"/>
      <c r="UHQ1063" s="989"/>
      <c r="UHR1063" s="989"/>
      <c r="UHS1063" s="989"/>
      <c r="UHT1063" s="989"/>
      <c r="UHU1063" s="989"/>
      <c r="UHV1063" s="989"/>
      <c r="UHW1063" s="989"/>
      <c r="UHX1063" s="989"/>
      <c r="UHY1063" s="989"/>
      <c r="UHZ1063" s="989"/>
      <c r="UIA1063" s="989"/>
      <c r="UIB1063" s="989"/>
      <c r="UIC1063" s="989"/>
      <c r="UID1063" s="989"/>
      <c r="UIE1063" s="989"/>
      <c r="UIF1063" s="989"/>
      <c r="UIG1063" s="989"/>
      <c r="UIH1063" s="989"/>
      <c r="UII1063" s="989"/>
      <c r="UIJ1063" s="989"/>
      <c r="UIK1063" s="989"/>
      <c r="UIL1063" s="989"/>
      <c r="UIM1063" s="989"/>
      <c r="UIN1063" s="989"/>
      <c r="UIO1063" s="989"/>
      <c r="UIP1063" s="989"/>
      <c r="UIQ1063" s="989"/>
      <c r="UIR1063" s="989"/>
      <c r="UIS1063" s="989"/>
      <c r="UIT1063" s="989"/>
      <c r="UIU1063" s="989"/>
      <c r="UIV1063" s="989"/>
      <c r="UIW1063" s="989"/>
      <c r="UIX1063" s="989"/>
      <c r="UIY1063" s="989"/>
      <c r="UIZ1063" s="989"/>
      <c r="UJA1063" s="989"/>
      <c r="UJB1063" s="989"/>
      <c r="UJC1063" s="989"/>
      <c r="UJD1063" s="989"/>
      <c r="UJE1063" s="989"/>
      <c r="UJF1063" s="989"/>
      <c r="UJG1063" s="989"/>
      <c r="UJH1063" s="989"/>
      <c r="UJI1063" s="989"/>
      <c r="UJJ1063" s="989"/>
      <c r="UJK1063" s="989"/>
      <c r="UJL1063" s="989"/>
      <c r="UJM1063" s="989"/>
      <c r="UJN1063" s="989"/>
      <c r="UJO1063" s="989"/>
      <c r="UJP1063" s="989"/>
      <c r="UJQ1063" s="989"/>
      <c r="UJR1063" s="989"/>
      <c r="UJS1063" s="989"/>
      <c r="UJT1063" s="989"/>
      <c r="UJU1063" s="989"/>
      <c r="UJV1063" s="989"/>
      <c r="UJW1063" s="989"/>
      <c r="UJX1063" s="989"/>
      <c r="UJY1063" s="989"/>
      <c r="UJZ1063" s="989"/>
      <c r="UKA1063" s="989"/>
      <c r="UKB1063" s="989"/>
      <c r="UKC1063" s="989"/>
      <c r="UKD1063" s="989"/>
      <c r="UKE1063" s="989"/>
      <c r="UKF1063" s="989"/>
      <c r="UKG1063" s="989"/>
      <c r="UKH1063" s="989"/>
      <c r="UKI1063" s="989"/>
      <c r="UKJ1063" s="989"/>
      <c r="UKK1063" s="989"/>
      <c r="UKL1063" s="989"/>
      <c r="UKM1063" s="989"/>
      <c r="UKN1063" s="989"/>
      <c r="UKO1063" s="989"/>
      <c r="UKP1063" s="989"/>
      <c r="UKQ1063" s="989"/>
      <c r="UKR1063" s="989"/>
      <c r="UKS1063" s="989"/>
      <c r="UKT1063" s="989"/>
      <c r="UKU1063" s="989"/>
      <c r="UKV1063" s="989"/>
      <c r="UKW1063" s="989"/>
      <c r="UKX1063" s="989"/>
      <c r="UKY1063" s="989"/>
      <c r="UKZ1063" s="989"/>
      <c r="ULA1063" s="989"/>
      <c r="ULB1063" s="989"/>
      <c r="ULC1063" s="989"/>
      <c r="ULD1063" s="989"/>
      <c r="ULE1063" s="989"/>
      <c r="ULF1063" s="989"/>
      <c r="ULG1063" s="989"/>
      <c r="ULH1063" s="989"/>
      <c r="ULI1063" s="989"/>
      <c r="ULJ1063" s="989"/>
      <c r="ULK1063" s="989"/>
      <c r="ULL1063" s="989"/>
      <c r="ULM1063" s="989"/>
      <c r="ULN1063" s="989"/>
      <c r="ULO1063" s="989"/>
      <c r="ULP1063" s="989"/>
      <c r="ULQ1063" s="989"/>
      <c r="ULR1063" s="989"/>
      <c r="ULS1063" s="989"/>
      <c r="ULT1063" s="989"/>
      <c r="ULU1063" s="989"/>
      <c r="ULV1063" s="989"/>
      <c r="ULW1063" s="989"/>
      <c r="ULX1063" s="989"/>
      <c r="ULY1063" s="989"/>
      <c r="ULZ1063" s="989"/>
      <c r="UMA1063" s="989"/>
      <c r="UMB1063" s="989"/>
      <c r="UMC1063" s="989"/>
      <c r="UMD1063" s="989"/>
      <c r="UME1063" s="989"/>
      <c r="UMF1063" s="989"/>
      <c r="UMG1063" s="989"/>
      <c r="UMH1063" s="989"/>
      <c r="UMI1063" s="989"/>
      <c r="UMJ1063" s="989"/>
      <c r="UMK1063" s="989"/>
      <c r="UML1063" s="989"/>
      <c r="UMM1063" s="989"/>
      <c r="UMN1063" s="989"/>
      <c r="UMO1063" s="989"/>
      <c r="UMP1063" s="989"/>
      <c r="UMQ1063" s="989"/>
      <c r="UMR1063" s="989"/>
      <c r="UMS1063" s="989"/>
      <c r="UMT1063" s="989"/>
      <c r="UMU1063" s="989"/>
      <c r="UMV1063" s="989"/>
      <c r="UMW1063" s="989"/>
      <c r="UMX1063" s="989"/>
      <c r="UMY1063" s="989"/>
      <c r="UMZ1063" s="989"/>
      <c r="UNA1063" s="989"/>
      <c r="UNB1063" s="989"/>
      <c r="UNC1063" s="989"/>
      <c r="UND1063" s="989"/>
      <c r="UNE1063" s="989"/>
      <c r="UNF1063" s="989"/>
      <c r="UNG1063" s="989"/>
      <c r="UNH1063" s="989"/>
      <c r="UNI1063" s="989"/>
      <c r="UNJ1063" s="989"/>
      <c r="UNK1063" s="989"/>
      <c r="UNL1063" s="989"/>
      <c r="UNM1063" s="989"/>
      <c r="UNN1063" s="989"/>
      <c r="UNO1063" s="989"/>
      <c r="UNP1063" s="989"/>
      <c r="UNQ1063" s="989"/>
      <c r="UNR1063" s="989"/>
      <c r="UNS1063" s="989"/>
      <c r="UNT1063" s="989"/>
      <c r="UNU1063" s="989"/>
      <c r="UNV1063" s="989"/>
      <c r="UNW1063" s="989"/>
      <c r="UNX1063" s="989"/>
      <c r="UNY1063" s="989"/>
      <c r="UNZ1063" s="989"/>
      <c r="UOA1063" s="989"/>
      <c r="UOB1063" s="989"/>
      <c r="UOC1063" s="989"/>
      <c r="UOD1063" s="989"/>
      <c r="UOE1063" s="989"/>
      <c r="UOF1063" s="989"/>
      <c r="UOG1063" s="989"/>
      <c r="UOH1063" s="989"/>
      <c r="UOI1063" s="989"/>
      <c r="UOJ1063" s="989"/>
      <c r="UOK1063" s="989"/>
      <c r="UOL1063" s="989"/>
      <c r="UOM1063" s="989"/>
      <c r="UON1063" s="989"/>
      <c r="UOO1063" s="989"/>
      <c r="UOP1063" s="989"/>
      <c r="UOQ1063" s="989"/>
      <c r="UOR1063" s="989"/>
      <c r="UOS1063" s="989"/>
      <c r="UOT1063" s="989"/>
      <c r="UOU1063" s="989"/>
      <c r="UOV1063" s="989"/>
      <c r="UOW1063" s="989"/>
      <c r="UOX1063" s="989"/>
      <c r="UOY1063" s="989"/>
      <c r="UOZ1063" s="989"/>
      <c r="UPA1063" s="989"/>
      <c r="UPB1063" s="989"/>
      <c r="UPC1063" s="989"/>
      <c r="UPD1063" s="989"/>
      <c r="UPE1063" s="989"/>
      <c r="UPF1063" s="989"/>
      <c r="UPG1063" s="989"/>
      <c r="UPH1063" s="989"/>
      <c r="UPI1063" s="989"/>
      <c r="UPJ1063" s="989"/>
      <c r="UPK1063" s="989"/>
      <c r="UPL1063" s="989"/>
      <c r="UPM1063" s="989"/>
      <c r="UPN1063" s="989"/>
      <c r="UPO1063" s="989"/>
      <c r="UPP1063" s="989"/>
      <c r="UPQ1063" s="989"/>
      <c r="UPR1063" s="989"/>
      <c r="UPS1063" s="989"/>
      <c r="UPT1063" s="989"/>
      <c r="UPU1063" s="989"/>
      <c r="UPV1063" s="989"/>
      <c r="UPW1063" s="989"/>
      <c r="UPX1063" s="989"/>
      <c r="UPY1063" s="989"/>
      <c r="UPZ1063" s="989"/>
      <c r="UQA1063" s="989"/>
      <c r="UQB1063" s="989"/>
      <c r="UQC1063" s="989"/>
      <c r="UQD1063" s="989"/>
      <c r="UQE1063" s="989"/>
      <c r="UQF1063" s="989"/>
      <c r="UQG1063" s="989"/>
      <c r="UQH1063" s="989"/>
      <c r="UQI1063" s="989"/>
      <c r="UQJ1063" s="989"/>
      <c r="UQK1063" s="989"/>
      <c r="UQL1063" s="989"/>
      <c r="UQM1063" s="989"/>
      <c r="UQN1063" s="989"/>
      <c r="UQO1063" s="989"/>
      <c r="UQP1063" s="989"/>
      <c r="UQQ1063" s="989"/>
      <c r="UQR1063" s="989"/>
      <c r="UQS1063" s="989"/>
      <c r="UQT1063" s="989"/>
      <c r="UQU1063" s="989"/>
      <c r="UQV1063" s="989"/>
      <c r="UQW1063" s="989"/>
      <c r="UQX1063" s="989"/>
      <c r="UQY1063" s="989"/>
      <c r="UQZ1063" s="989"/>
      <c r="URA1063" s="989"/>
      <c r="URB1063" s="989"/>
      <c r="URC1063" s="989"/>
      <c r="URD1063" s="989"/>
      <c r="URE1063" s="989"/>
      <c r="URF1063" s="989"/>
      <c r="URG1063" s="989"/>
      <c r="URH1063" s="989"/>
      <c r="URI1063" s="989"/>
      <c r="URJ1063" s="989"/>
      <c r="URK1063" s="989"/>
      <c r="URL1063" s="989"/>
      <c r="URM1063" s="989"/>
      <c r="URN1063" s="989"/>
      <c r="URO1063" s="989"/>
      <c r="URP1063" s="989"/>
      <c r="URQ1063" s="989"/>
      <c r="URR1063" s="989"/>
      <c r="URS1063" s="989"/>
      <c r="URT1063" s="989"/>
      <c r="URU1063" s="989"/>
      <c r="URV1063" s="989"/>
      <c r="URW1063" s="989"/>
      <c r="URX1063" s="989"/>
      <c r="URY1063" s="989"/>
      <c r="URZ1063" s="989"/>
      <c r="USA1063" s="989"/>
      <c r="USB1063" s="989"/>
      <c r="USC1063" s="989"/>
      <c r="USD1063" s="989"/>
      <c r="USE1063" s="989"/>
      <c r="USF1063" s="989"/>
      <c r="USG1063" s="989"/>
      <c r="USH1063" s="989"/>
      <c r="USI1063" s="989"/>
      <c r="USJ1063" s="989"/>
      <c r="USK1063" s="989"/>
      <c r="USL1063" s="989"/>
      <c r="USM1063" s="989"/>
      <c r="USN1063" s="989"/>
      <c r="USO1063" s="989"/>
      <c r="USP1063" s="989"/>
      <c r="USQ1063" s="989"/>
      <c r="USR1063" s="989"/>
      <c r="USS1063" s="989"/>
      <c r="UST1063" s="989"/>
      <c r="USU1063" s="989"/>
      <c r="USV1063" s="989"/>
      <c r="USW1063" s="989"/>
      <c r="USX1063" s="989"/>
      <c r="USY1063" s="989"/>
      <c r="USZ1063" s="989"/>
      <c r="UTA1063" s="989"/>
      <c r="UTB1063" s="989"/>
      <c r="UTC1063" s="989"/>
      <c r="UTD1063" s="989"/>
      <c r="UTE1063" s="989"/>
      <c r="UTF1063" s="989"/>
      <c r="UTG1063" s="989"/>
      <c r="UTH1063" s="989"/>
      <c r="UTI1063" s="989"/>
      <c r="UTJ1063" s="989"/>
      <c r="UTK1063" s="989"/>
      <c r="UTL1063" s="989"/>
      <c r="UTM1063" s="989"/>
      <c r="UTN1063" s="989"/>
      <c r="UTO1063" s="989"/>
      <c r="UTP1063" s="989"/>
      <c r="UTQ1063" s="989"/>
      <c r="UTR1063" s="989"/>
      <c r="UTS1063" s="989"/>
      <c r="UTT1063" s="989"/>
      <c r="UTU1063" s="989"/>
      <c r="UTV1063" s="989"/>
      <c r="UTW1063" s="989"/>
      <c r="UTX1063" s="989"/>
      <c r="UTY1063" s="989"/>
      <c r="UTZ1063" s="989"/>
      <c r="UUA1063" s="989"/>
      <c r="UUB1063" s="989"/>
      <c r="UUC1063" s="989"/>
      <c r="UUD1063" s="989"/>
      <c r="UUE1063" s="989"/>
      <c r="UUF1063" s="989"/>
      <c r="UUG1063" s="989"/>
      <c r="UUH1063" s="989"/>
      <c r="UUI1063" s="989"/>
      <c r="UUJ1063" s="989"/>
      <c r="UUK1063" s="989"/>
      <c r="UUL1063" s="989"/>
      <c r="UUM1063" s="989"/>
      <c r="UUN1063" s="989"/>
      <c r="UUO1063" s="989"/>
      <c r="UUP1063" s="989"/>
      <c r="UUQ1063" s="989"/>
      <c r="UUR1063" s="989"/>
      <c r="UUS1063" s="989"/>
      <c r="UUT1063" s="989"/>
      <c r="UUU1063" s="989"/>
      <c r="UUV1063" s="989"/>
      <c r="UUW1063" s="989"/>
      <c r="UUX1063" s="989"/>
      <c r="UUY1063" s="989"/>
      <c r="UUZ1063" s="989"/>
      <c r="UVA1063" s="989"/>
      <c r="UVB1063" s="989"/>
      <c r="UVC1063" s="989"/>
      <c r="UVD1063" s="989"/>
      <c r="UVE1063" s="989"/>
      <c r="UVF1063" s="989"/>
      <c r="UVG1063" s="989"/>
      <c r="UVH1063" s="989"/>
      <c r="UVI1063" s="989"/>
      <c r="UVJ1063" s="989"/>
      <c r="UVK1063" s="989"/>
      <c r="UVL1063" s="989"/>
      <c r="UVM1063" s="989"/>
      <c r="UVN1063" s="989"/>
      <c r="UVO1063" s="989"/>
      <c r="UVP1063" s="989"/>
      <c r="UVQ1063" s="989"/>
      <c r="UVR1063" s="989"/>
      <c r="UVS1063" s="989"/>
      <c r="UVT1063" s="989"/>
      <c r="UVU1063" s="989"/>
      <c r="UVV1063" s="989"/>
      <c r="UVW1063" s="989"/>
      <c r="UVX1063" s="989"/>
      <c r="UVY1063" s="989"/>
      <c r="UVZ1063" s="989"/>
      <c r="UWA1063" s="989"/>
      <c r="UWB1063" s="989"/>
      <c r="UWC1063" s="989"/>
      <c r="UWD1063" s="989"/>
      <c r="UWE1063" s="989"/>
      <c r="UWF1063" s="989"/>
      <c r="UWG1063" s="989"/>
      <c r="UWH1063" s="989"/>
      <c r="UWI1063" s="989"/>
      <c r="UWJ1063" s="989"/>
      <c r="UWK1063" s="989"/>
      <c r="UWL1063" s="989"/>
      <c r="UWM1063" s="989"/>
      <c r="UWN1063" s="989"/>
      <c r="UWO1063" s="989"/>
      <c r="UWP1063" s="989"/>
      <c r="UWQ1063" s="989"/>
      <c r="UWR1063" s="989"/>
      <c r="UWS1063" s="989"/>
      <c r="UWT1063" s="989"/>
      <c r="UWU1063" s="989"/>
      <c r="UWV1063" s="989"/>
      <c r="UWW1063" s="989"/>
      <c r="UWX1063" s="989"/>
      <c r="UWY1063" s="989"/>
      <c r="UWZ1063" s="989"/>
      <c r="UXA1063" s="989"/>
      <c r="UXB1063" s="989"/>
      <c r="UXC1063" s="989"/>
      <c r="UXD1063" s="989"/>
      <c r="UXE1063" s="989"/>
      <c r="UXF1063" s="989"/>
      <c r="UXG1063" s="989"/>
      <c r="UXH1063" s="989"/>
      <c r="UXI1063" s="989"/>
      <c r="UXJ1063" s="989"/>
      <c r="UXK1063" s="989"/>
      <c r="UXL1063" s="989"/>
      <c r="UXM1063" s="989"/>
      <c r="UXN1063" s="989"/>
      <c r="UXO1063" s="989"/>
      <c r="UXP1063" s="989"/>
      <c r="UXQ1063" s="989"/>
      <c r="UXR1063" s="989"/>
      <c r="UXS1063" s="989"/>
      <c r="UXT1063" s="989"/>
      <c r="UXU1063" s="989"/>
      <c r="UXV1063" s="989"/>
      <c r="UXW1063" s="989"/>
      <c r="UXX1063" s="989"/>
      <c r="UXY1063" s="989"/>
      <c r="UXZ1063" s="989"/>
      <c r="UYA1063" s="989"/>
      <c r="UYB1063" s="989"/>
      <c r="UYC1063" s="989"/>
      <c r="UYD1063" s="989"/>
      <c r="UYE1063" s="989"/>
      <c r="UYF1063" s="989"/>
      <c r="UYG1063" s="989"/>
      <c r="UYH1063" s="989"/>
      <c r="UYI1063" s="989"/>
      <c r="UYJ1063" s="989"/>
      <c r="UYK1063" s="989"/>
      <c r="UYL1063" s="989"/>
      <c r="UYM1063" s="989"/>
      <c r="UYN1063" s="989"/>
      <c r="UYO1063" s="989"/>
      <c r="UYP1063" s="989"/>
      <c r="UYQ1063" s="989"/>
      <c r="UYR1063" s="989"/>
      <c r="UYS1063" s="989"/>
      <c r="UYT1063" s="989"/>
      <c r="UYU1063" s="989"/>
      <c r="UYV1063" s="989"/>
      <c r="UYW1063" s="989"/>
      <c r="UYX1063" s="989"/>
      <c r="UYY1063" s="989"/>
      <c r="UYZ1063" s="989"/>
      <c r="UZA1063" s="989"/>
      <c r="UZB1063" s="989"/>
      <c r="UZC1063" s="989"/>
      <c r="UZD1063" s="989"/>
      <c r="UZE1063" s="989"/>
      <c r="UZF1063" s="989"/>
      <c r="UZG1063" s="989"/>
      <c r="UZH1063" s="989"/>
      <c r="UZI1063" s="989"/>
      <c r="UZJ1063" s="989"/>
      <c r="UZK1063" s="989"/>
      <c r="UZL1063" s="989"/>
      <c r="UZM1063" s="989"/>
      <c r="UZN1063" s="989"/>
      <c r="UZO1063" s="989"/>
      <c r="UZP1063" s="989"/>
      <c r="UZQ1063" s="989"/>
      <c r="UZR1063" s="989"/>
      <c r="UZS1063" s="989"/>
      <c r="UZT1063" s="989"/>
      <c r="UZU1063" s="989"/>
      <c r="UZV1063" s="989"/>
      <c r="UZW1063" s="989"/>
      <c r="UZX1063" s="989"/>
      <c r="UZY1063" s="989"/>
      <c r="UZZ1063" s="989"/>
      <c r="VAA1063" s="989"/>
      <c r="VAB1063" s="989"/>
      <c r="VAC1063" s="989"/>
      <c r="VAD1063" s="989"/>
      <c r="VAE1063" s="989"/>
      <c r="VAF1063" s="989"/>
      <c r="VAG1063" s="989"/>
      <c r="VAH1063" s="989"/>
      <c r="VAI1063" s="989"/>
      <c r="VAJ1063" s="989"/>
      <c r="VAK1063" s="989"/>
      <c r="VAL1063" s="989"/>
      <c r="VAM1063" s="989"/>
      <c r="VAN1063" s="989"/>
      <c r="VAO1063" s="989"/>
      <c r="VAP1063" s="989"/>
      <c r="VAQ1063" s="989"/>
      <c r="VAR1063" s="989"/>
      <c r="VAS1063" s="989"/>
      <c r="VAT1063" s="989"/>
      <c r="VAU1063" s="989"/>
      <c r="VAV1063" s="989"/>
      <c r="VAW1063" s="989"/>
      <c r="VAX1063" s="989"/>
      <c r="VAY1063" s="989"/>
      <c r="VAZ1063" s="989"/>
      <c r="VBA1063" s="989"/>
      <c r="VBB1063" s="989"/>
      <c r="VBC1063" s="989"/>
      <c r="VBD1063" s="989"/>
      <c r="VBE1063" s="989"/>
      <c r="VBF1063" s="989"/>
      <c r="VBG1063" s="989"/>
      <c r="VBH1063" s="989"/>
      <c r="VBI1063" s="989"/>
      <c r="VBJ1063" s="989"/>
      <c r="VBK1063" s="989"/>
      <c r="VBL1063" s="989"/>
      <c r="VBM1063" s="989"/>
      <c r="VBN1063" s="989"/>
      <c r="VBO1063" s="989"/>
      <c r="VBP1063" s="989"/>
      <c r="VBQ1063" s="989"/>
      <c r="VBR1063" s="989"/>
      <c r="VBS1063" s="989"/>
      <c r="VBT1063" s="989"/>
      <c r="VBU1063" s="989"/>
      <c r="VBV1063" s="989"/>
      <c r="VBW1063" s="989"/>
      <c r="VBX1063" s="989"/>
      <c r="VBY1063" s="989"/>
      <c r="VBZ1063" s="989"/>
      <c r="VCA1063" s="989"/>
      <c r="VCB1063" s="989"/>
      <c r="VCC1063" s="989"/>
      <c r="VCD1063" s="989"/>
      <c r="VCE1063" s="989"/>
      <c r="VCF1063" s="989"/>
      <c r="VCG1063" s="989"/>
      <c r="VCH1063" s="989"/>
      <c r="VCI1063" s="989"/>
      <c r="VCJ1063" s="989"/>
      <c r="VCK1063" s="989"/>
      <c r="VCL1063" s="989"/>
      <c r="VCM1063" s="989"/>
      <c r="VCN1063" s="989"/>
      <c r="VCO1063" s="989"/>
      <c r="VCP1063" s="989"/>
      <c r="VCQ1063" s="989"/>
      <c r="VCR1063" s="989"/>
      <c r="VCS1063" s="989"/>
      <c r="VCT1063" s="989"/>
      <c r="VCU1063" s="989"/>
      <c r="VCV1063" s="989"/>
      <c r="VCW1063" s="989"/>
      <c r="VCX1063" s="989"/>
      <c r="VCY1063" s="989"/>
      <c r="VCZ1063" s="989"/>
      <c r="VDA1063" s="989"/>
      <c r="VDB1063" s="989"/>
      <c r="VDC1063" s="989"/>
      <c r="VDD1063" s="989"/>
      <c r="VDE1063" s="989"/>
      <c r="VDF1063" s="989"/>
      <c r="VDG1063" s="989"/>
      <c r="VDH1063" s="989"/>
      <c r="VDI1063" s="989"/>
      <c r="VDJ1063" s="989"/>
      <c r="VDK1063" s="989"/>
      <c r="VDL1063" s="989"/>
      <c r="VDM1063" s="989"/>
      <c r="VDN1063" s="989"/>
      <c r="VDO1063" s="989"/>
      <c r="VDP1063" s="989"/>
      <c r="VDQ1063" s="989"/>
      <c r="VDR1063" s="989"/>
      <c r="VDS1063" s="989"/>
      <c r="VDT1063" s="989"/>
      <c r="VDU1063" s="989"/>
      <c r="VDV1063" s="989"/>
      <c r="VDW1063" s="989"/>
      <c r="VDX1063" s="989"/>
      <c r="VDY1063" s="989"/>
      <c r="VDZ1063" s="989"/>
      <c r="VEA1063" s="989"/>
      <c r="VEB1063" s="989"/>
      <c r="VEC1063" s="989"/>
      <c r="VED1063" s="989"/>
      <c r="VEE1063" s="989"/>
      <c r="VEF1063" s="989"/>
      <c r="VEG1063" s="989"/>
      <c r="VEH1063" s="989"/>
      <c r="VEI1063" s="989"/>
      <c r="VEJ1063" s="989"/>
      <c r="VEK1063" s="989"/>
      <c r="VEL1063" s="989"/>
      <c r="VEM1063" s="989"/>
      <c r="VEN1063" s="989"/>
      <c r="VEO1063" s="989"/>
      <c r="VEP1063" s="989"/>
      <c r="VEQ1063" s="989"/>
      <c r="VER1063" s="989"/>
      <c r="VES1063" s="989"/>
      <c r="VET1063" s="989"/>
      <c r="VEU1063" s="989"/>
      <c r="VEV1063" s="989"/>
      <c r="VEW1063" s="989"/>
      <c r="VEX1063" s="989"/>
      <c r="VEY1063" s="989"/>
      <c r="VEZ1063" s="989"/>
      <c r="VFA1063" s="989"/>
      <c r="VFB1063" s="989"/>
      <c r="VFC1063" s="989"/>
      <c r="VFD1063" s="989"/>
      <c r="VFE1063" s="989"/>
      <c r="VFF1063" s="989"/>
      <c r="VFG1063" s="989"/>
      <c r="VFH1063" s="989"/>
      <c r="VFI1063" s="989"/>
      <c r="VFJ1063" s="989"/>
      <c r="VFK1063" s="989"/>
      <c r="VFL1063" s="989"/>
      <c r="VFM1063" s="989"/>
      <c r="VFN1063" s="989"/>
      <c r="VFO1063" s="989"/>
      <c r="VFP1063" s="989"/>
      <c r="VFQ1063" s="989"/>
      <c r="VFR1063" s="989"/>
      <c r="VFS1063" s="989"/>
      <c r="VFT1063" s="989"/>
      <c r="VFU1063" s="989"/>
      <c r="VFV1063" s="989"/>
      <c r="VFW1063" s="989"/>
      <c r="VFX1063" s="989"/>
      <c r="VFY1063" s="989"/>
      <c r="VFZ1063" s="989"/>
      <c r="VGA1063" s="989"/>
      <c r="VGB1063" s="989"/>
      <c r="VGC1063" s="989"/>
      <c r="VGD1063" s="989"/>
      <c r="VGE1063" s="989"/>
      <c r="VGF1063" s="989"/>
      <c r="VGG1063" s="989"/>
      <c r="VGH1063" s="989"/>
      <c r="VGI1063" s="989"/>
      <c r="VGJ1063" s="989"/>
      <c r="VGK1063" s="989"/>
      <c r="VGL1063" s="989"/>
      <c r="VGM1063" s="989"/>
      <c r="VGN1063" s="989"/>
      <c r="VGO1063" s="989"/>
      <c r="VGP1063" s="989"/>
      <c r="VGQ1063" s="989"/>
      <c r="VGR1063" s="989"/>
      <c r="VGS1063" s="989"/>
      <c r="VGT1063" s="989"/>
      <c r="VGU1063" s="989"/>
      <c r="VGV1063" s="989"/>
      <c r="VGW1063" s="989"/>
      <c r="VGX1063" s="989"/>
      <c r="VGY1063" s="989"/>
      <c r="VGZ1063" s="989"/>
      <c r="VHA1063" s="989"/>
      <c r="VHB1063" s="989"/>
      <c r="VHC1063" s="989"/>
      <c r="VHD1063" s="989"/>
      <c r="VHE1063" s="989"/>
      <c r="VHF1063" s="989"/>
      <c r="VHG1063" s="989"/>
      <c r="VHH1063" s="989"/>
      <c r="VHI1063" s="989"/>
      <c r="VHJ1063" s="989"/>
      <c r="VHK1063" s="989"/>
      <c r="VHL1063" s="989"/>
      <c r="VHM1063" s="989"/>
      <c r="VHN1063" s="989"/>
      <c r="VHO1063" s="989"/>
      <c r="VHP1063" s="989"/>
      <c r="VHQ1063" s="989"/>
      <c r="VHR1063" s="989"/>
      <c r="VHS1063" s="989"/>
      <c r="VHT1063" s="989"/>
      <c r="VHU1063" s="989"/>
      <c r="VHV1063" s="989"/>
      <c r="VHW1063" s="989"/>
      <c r="VHX1063" s="989"/>
      <c r="VHY1063" s="989"/>
      <c r="VHZ1063" s="989"/>
      <c r="VIA1063" s="989"/>
      <c r="VIB1063" s="989"/>
      <c r="VIC1063" s="989"/>
      <c r="VID1063" s="989"/>
      <c r="VIE1063" s="989"/>
      <c r="VIF1063" s="989"/>
      <c r="VIG1063" s="989"/>
      <c r="VIH1063" s="989"/>
      <c r="VII1063" s="989"/>
      <c r="VIJ1063" s="989"/>
      <c r="VIK1063" s="989"/>
      <c r="VIL1063" s="989"/>
      <c r="VIM1063" s="989"/>
      <c r="VIN1063" s="989"/>
      <c r="VIO1063" s="989"/>
      <c r="VIP1063" s="989"/>
      <c r="VIQ1063" s="989"/>
      <c r="VIR1063" s="989"/>
      <c r="VIS1063" s="989"/>
      <c r="VIT1063" s="989"/>
      <c r="VIU1063" s="989"/>
      <c r="VIV1063" s="989"/>
      <c r="VIW1063" s="989"/>
      <c r="VIX1063" s="989"/>
      <c r="VIY1063" s="989"/>
      <c r="VIZ1063" s="989"/>
      <c r="VJA1063" s="989"/>
      <c r="VJB1063" s="989"/>
      <c r="VJC1063" s="989"/>
      <c r="VJD1063" s="989"/>
      <c r="VJE1063" s="989"/>
      <c r="VJF1063" s="989"/>
      <c r="VJG1063" s="989"/>
      <c r="VJH1063" s="989"/>
      <c r="VJI1063" s="989"/>
      <c r="VJJ1063" s="989"/>
      <c r="VJK1063" s="989"/>
      <c r="VJL1063" s="989"/>
      <c r="VJM1063" s="989"/>
      <c r="VJN1063" s="989"/>
      <c r="VJO1063" s="989"/>
      <c r="VJP1063" s="989"/>
      <c r="VJQ1063" s="989"/>
      <c r="VJR1063" s="989"/>
      <c r="VJS1063" s="989"/>
      <c r="VJT1063" s="989"/>
      <c r="VJU1063" s="989"/>
      <c r="VJV1063" s="989"/>
      <c r="VJW1063" s="989"/>
      <c r="VJX1063" s="989"/>
      <c r="VJY1063" s="989"/>
      <c r="VJZ1063" s="989"/>
      <c r="VKA1063" s="989"/>
      <c r="VKB1063" s="989"/>
      <c r="VKC1063" s="989"/>
      <c r="VKD1063" s="989"/>
      <c r="VKE1063" s="989"/>
      <c r="VKF1063" s="989"/>
      <c r="VKG1063" s="989"/>
      <c r="VKH1063" s="989"/>
      <c r="VKI1063" s="989"/>
      <c r="VKJ1063" s="989"/>
      <c r="VKK1063" s="989"/>
      <c r="VKL1063" s="989"/>
      <c r="VKM1063" s="989"/>
      <c r="VKN1063" s="989"/>
      <c r="VKO1063" s="989"/>
      <c r="VKP1063" s="989"/>
      <c r="VKQ1063" s="989"/>
      <c r="VKR1063" s="989"/>
      <c r="VKS1063" s="989"/>
      <c r="VKT1063" s="989"/>
      <c r="VKU1063" s="989"/>
      <c r="VKV1063" s="989"/>
      <c r="VKW1063" s="989"/>
      <c r="VKX1063" s="989"/>
      <c r="VKY1063" s="989"/>
      <c r="VKZ1063" s="989"/>
      <c r="VLA1063" s="989"/>
      <c r="VLB1063" s="989"/>
      <c r="VLC1063" s="989"/>
      <c r="VLD1063" s="989"/>
      <c r="VLE1063" s="989"/>
      <c r="VLF1063" s="989"/>
      <c r="VLG1063" s="989"/>
      <c r="VLH1063" s="989"/>
      <c r="VLI1063" s="989"/>
      <c r="VLJ1063" s="989"/>
      <c r="VLK1063" s="989"/>
      <c r="VLL1063" s="989"/>
      <c r="VLM1063" s="989"/>
      <c r="VLN1063" s="989"/>
      <c r="VLO1063" s="989"/>
      <c r="VLP1063" s="989"/>
      <c r="VLQ1063" s="989"/>
      <c r="VLR1063" s="989"/>
      <c r="VLS1063" s="989"/>
      <c r="VLT1063" s="989"/>
      <c r="VLU1063" s="989"/>
      <c r="VLV1063" s="989"/>
      <c r="VLW1063" s="989"/>
      <c r="VLX1063" s="989"/>
      <c r="VLY1063" s="989"/>
      <c r="VLZ1063" s="989"/>
      <c r="VMA1063" s="989"/>
      <c r="VMB1063" s="989"/>
      <c r="VMC1063" s="989"/>
      <c r="VMD1063" s="989"/>
      <c r="VME1063" s="989"/>
      <c r="VMF1063" s="989"/>
      <c r="VMG1063" s="989"/>
      <c r="VMH1063" s="989"/>
      <c r="VMI1063" s="989"/>
      <c r="VMJ1063" s="989"/>
      <c r="VMK1063" s="989"/>
      <c r="VML1063" s="989"/>
      <c r="VMM1063" s="989"/>
      <c r="VMN1063" s="989"/>
      <c r="VMO1063" s="989"/>
      <c r="VMP1063" s="989"/>
      <c r="VMQ1063" s="989"/>
      <c r="VMR1063" s="989"/>
      <c r="VMS1063" s="989"/>
      <c r="VMT1063" s="989"/>
      <c r="VMU1063" s="989"/>
      <c r="VMV1063" s="989"/>
      <c r="VMW1063" s="989"/>
      <c r="VMX1063" s="989"/>
      <c r="VMY1063" s="989"/>
      <c r="VMZ1063" s="989"/>
      <c r="VNA1063" s="989"/>
      <c r="VNB1063" s="989"/>
      <c r="VNC1063" s="989"/>
      <c r="VND1063" s="989"/>
      <c r="VNE1063" s="989"/>
      <c r="VNF1063" s="989"/>
      <c r="VNG1063" s="989"/>
      <c r="VNH1063" s="989"/>
      <c r="VNI1063" s="989"/>
      <c r="VNJ1063" s="989"/>
      <c r="VNK1063" s="989"/>
      <c r="VNL1063" s="989"/>
      <c r="VNM1063" s="989"/>
      <c r="VNN1063" s="989"/>
      <c r="VNO1063" s="989"/>
      <c r="VNP1063" s="989"/>
      <c r="VNQ1063" s="989"/>
      <c r="VNR1063" s="989"/>
      <c r="VNS1063" s="989"/>
      <c r="VNT1063" s="989"/>
      <c r="VNU1063" s="989"/>
      <c r="VNV1063" s="989"/>
      <c r="VNW1063" s="989"/>
      <c r="VNX1063" s="989"/>
      <c r="VNY1063" s="989"/>
      <c r="VNZ1063" s="989"/>
      <c r="VOA1063" s="989"/>
      <c r="VOB1063" s="989"/>
      <c r="VOC1063" s="989"/>
      <c r="VOD1063" s="989"/>
      <c r="VOE1063" s="989"/>
      <c r="VOF1063" s="989"/>
      <c r="VOG1063" s="989"/>
      <c r="VOH1063" s="989"/>
      <c r="VOI1063" s="989"/>
      <c r="VOJ1063" s="989"/>
      <c r="VOK1063" s="989"/>
      <c r="VOL1063" s="989"/>
      <c r="VOM1063" s="989"/>
      <c r="VON1063" s="989"/>
      <c r="VOO1063" s="989"/>
      <c r="VOP1063" s="989"/>
      <c r="VOQ1063" s="989"/>
      <c r="VOR1063" s="989"/>
      <c r="VOS1063" s="989"/>
      <c r="VOT1063" s="989"/>
      <c r="VOU1063" s="989"/>
      <c r="VOV1063" s="989"/>
      <c r="VOW1063" s="989"/>
      <c r="VOX1063" s="989"/>
      <c r="VOY1063" s="989"/>
      <c r="VOZ1063" s="989"/>
      <c r="VPA1063" s="989"/>
      <c r="VPB1063" s="989"/>
      <c r="VPC1063" s="989"/>
      <c r="VPD1063" s="989"/>
      <c r="VPE1063" s="989"/>
      <c r="VPF1063" s="989"/>
      <c r="VPG1063" s="989"/>
      <c r="VPH1063" s="989"/>
      <c r="VPI1063" s="989"/>
      <c r="VPJ1063" s="989"/>
      <c r="VPK1063" s="989"/>
      <c r="VPL1063" s="989"/>
      <c r="VPM1063" s="989"/>
      <c r="VPN1063" s="989"/>
      <c r="VPO1063" s="989"/>
      <c r="VPP1063" s="989"/>
      <c r="VPQ1063" s="989"/>
      <c r="VPR1063" s="989"/>
      <c r="VPS1063" s="989"/>
      <c r="VPT1063" s="989"/>
      <c r="VPU1063" s="989"/>
      <c r="VPV1063" s="989"/>
      <c r="VPW1063" s="989"/>
      <c r="VPX1063" s="989"/>
      <c r="VPY1063" s="989"/>
      <c r="VPZ1063" s="989"/>
      <c r="VQA1063" s="989"/>
      <c r="VQB1063" s="989"/>
      <c r="VQC1063" s="989"/>
      <c r="VQD1063" s="989"/>
      <c r="VQE1063" s="989"/>
      <c r="VQF1063" s="989"/>
      <c r="VQG1063" s="989"/>
      <c r="VQH1063" s="989"/>
      <c r="VQI1063" s="989"/>
      <c r="VQJ1063" s="989"/>
      <c r="VQK1063" s="989"/>
      <c r="VQL1063" s="989"/>
      <c r="VQM1063" s="989"/>
      <c r="VQN1063" s="989"/>
      <c r="VQO1063" s="989"/>
      <c r="VQP1063" s="989"/>
      <c r="VQQ1063" s="989"/>
      <c r="VQR1063" s="989"/>
      <c r="VQS1063" s="989"/>
      <c r="VQT1063" s="989"/>
      <c r="VQU1063" s="989"/>
      <c r="VQV1063" s="989"/>
      <c r="VQW1063" s="989"/>
      <c r="VQX1063" s="989"/>
      <c r="VQY1063" s="989"/>
      <c r="VQZ1063" s="989"/>
      <c r="VRA1063" s="989"/>
      <c r="VRB1063" s="989"/>
      <c r="VRC1063" s="989"/>
      <c r="VRD1063" s="989"/>
      <c r="VRE1063" s="989"/>
      <c r="VRF1063" s="989"/>
      <c r="VRG1063" s="989"/>
      <c r="VRH1063" s="989"/>
      <c r="VRI1063" s="989"/>
      <c r="VRJ1063" s="989"/>
      <c r="VRK1063" s="989"/>
      <c r="VRL1063" s="989"/>
      <c r="VRM1063" s="989"/>
      <c r="VRN1063" s="989"/>
      <c r="VRO1063" s="989"/>
      <c r="VRP1063" s="989"/>
      <c r="VRQ1063" s="989"/>
      <c r="VRR1063" s="989"/>
      <c r="VRS1063" s="989"/>
      <c r="VRT1063" s="989"/>
      <c r="VRU1063" s="989"/>
      <c r="VRV1063" s="989"/>
      <c r="VRW1063" s="989"/>
      <c r="VRX1063" s="989"/>
      <c r="VRY1063" s="989"/>
      <c r="VRZ1063" s="989"/>
      <c r="VSA1063" s="989"/>
      <c r="VSB1063" s="989"/>
      <c r="VSC1063" s="989"/>
      <c r="VSD1063" s="989"/>
      <c r="VSE1063" s="989"/>
      <c r="VSF1063" s="989"/>
      <c r="VSG1063" s="989"/>
      <c r="VSH1063" s="989"/>
      <c r="VSI1063" s="989"/>
      <c r="VSJ1063" s="989"/>
      <c r="VSK1063" s="989"/>
      <c r="VSL1063" s="989"/>
      <c r="VSM1063" s="989"/>
      <c r="VSN1063" s="989"/>
      <c r="VSO1063" s="989"/>
      <c r="VSP1063" s="989"/>
      <c r="VSQ1063" s="989"/>
      <c r="VSR1063" s="989"/>
      <c r="VSS1063" s="989"/>
      <c r="VST1063" s="989"/>
      <c r="VSU1063" s="989"/>
      <c r="VSV1063" s="989"/>
      <c r="VSW1063" s="989"/>
      <c r="VSX1063" s="989"/>
      <c r="VSY1063" s="989"/>
      <c r="VSZ1063" s="989"/>
      <c r="VTA1063" s="989"/>
      <c r="VTB1063" s="989"/>
      <c r="VTC1063" s="989"/>
      <c r="VTD1063" s="989"/>
      <c r="VTE1063" s="989"/>
      <c r="VTF1063" s="989"/>
      <c r="VTG1063" s="989"/>
      <c r="VTH1063" s="989"/>
      <c r="VTI1063" s="989"/>
      <c r="VTJ1063" s="989"/>
      <c r="VTK1063" s="989"/>
      <c r="VTL1063" s="989"/>
      <c r="VTM1063" s="989"/>
      <c r="VTN1063" s="989"/>
      <c r="VTO1063" s="989"/>
      <c r="VTP1063" s="989"/>
      <c r="VTQ1063" s="989"/>
      <c r="VTR1063" s="989"/>
      <c r="VTS1063" s="989"/>
      <c r="VTT1063" s="989"/>
      <c r="VTU1063" s="989"/>
      <c r="VTV1063" s="989"/>
      <c r="VTW1063" s="989"/>
      <c r="VTX1063" s="989"/>
      <c r="VTY1063" s="989"/>
      <c r="VTZ1063" s="989"/>
      <c r="VUA1063" s="989"/>
      <c r="VUB1063" s="989"/>
      <c r="VUC1063" s="989"/>
      <c r="VUD1063" s="989"/>
      <c r="VUE1063" s="989"/>
      <c r="VUF1063" s="989"/>
      <c r="VUG1063" s="989"/>
      <c r="VUH1063" s="989"/>
      <c r="VUI1063" s="989"/>
      <c r="VUJ1063" s="989"/>
      <c r="VUK1063" s="989"/>
      <c r="VUL1063" s="989"/>
      <c r="VUM1063" s="989"/>
      <c r="VUN1063" s="989"/>
      <c r="VUO1063" s="989"/>
      <c r="VUP1063" s="989"/>
      <c r="VUQ1063" s="989"/>
      <c r="VUR1063" s="989"/>
      <c r="VUS1063" s="989"/>
      <c r="VUT1063" s="989"/>
      <c r="VUU1063" s="989"/>
      <c r="VUV1063" s="989"/>
      <c r="VUW1063" s="989"/>
      <c r="VUX1063" s="989"/>
      <c r="VUY1063" s="989"/>
      <c r="VUZ1063" s="989"/>
      <c r="VVA1063" s="989"/>
      <c r="VVB1063" s="989"/>
      <c r="VVC1063" s="989"/>
      <c r="VVD1063" s="989"/>
      <c r="VVE1063" s="989"/>
      <c r="VVF1063" s="989"/>
      <c r="VVG1063" s="989"/>
      <c r="VVH1063" s="989"/>
      <c r="VVI1063" s="989"/>
      <c r="VVJ1063" s="989"/>
      <c r="VVK1063" s="989"/>
      <c r="VVL1063" s="989"/>
      <c r="VVM1063" s="989"/>
      <c r="VVN1063" s="989"/>
      <c r="VVO1063" s="989"/>
      <c r="VVP1063" s="989"/>
      <c r="VVQ1063" s="989"/>
      <c r="VVR1063" s="989"/>
      <c r="VVS1063" s="989"/>
      <c r="VVT1063" s="989"/>
      <c r="VVU1063" s="989"/>
      <c r="VVV1063" s="989"/>
      <c r="VVW1063" s="989"/>
      <c r="VVX1063" s="989"/>
      <c r="VVY1063" s="989"/>
      <c r="VVZ1063" s="989"/>
      <c r="VWA1063" s="989"/>
      <c r="VWB1063" s="989"/>
      <c r="VWC1063" s="989"/>
      <c r="VWD1063" s="989"/>
      <c r="VWE1063" s="989"/>
      <c r="VWF1063" s="989"/>
      <c r="VWG1063" s="989"/>
      <c r="VWH1063" s="989"/>
      <c r="VWI1063" s="989"/>
      <c r="VWJ1063" s="989"/>
      <c r="VWK1063" s="989"/>
      <c r="VWL1063" s="989"/>
      <c r="VWM1063" s="989"/>
      <c r="VWN1063" s="989"/>
      <c r="VWO1063" s="989"/>
      <c r="VWP1063" s="989"/>
      <c r="VWQ1063" s="989"/>
      <c r="VWR1063" s="989"/>
      <c r="VWS1063" s="989"/>
      <c r="VWT1063" s="989"/>
      <c r="VWU1063" s="989"/>
      <c r="VWV1063" s="989"/>
      <c r="VWW1063" s="989"/>
      <c r="VWX1063" s="989"/>
      <c r="VWY1063" s="989"/>
      <c r="VWZ1063" s="989"/>
      <c r="VXA1063" s="989"/>
      <c r="VXB1063" s="989"/>
      <c r="VXC1063" s="989"/>
      <c r="VXD1063" s="989"/>
      <c r="VXE1063" s="989"/>
      <c r="VXF1063" s="989"/>
      <c r="VXG1063" s="989"/>
      <c r="VXH1063" s="989"/>
      <c r="VXI1063" s="989"/>
      <c r="VXJ1063" s="989"/>
      <c r="VXK1063" s="989"/>
      <c r="VXL1063" s="989"/>
      <c r="VXM1063" s="989"/>
      <c r="VXN1063" s="989"/>
      <c r="VXO1063" s="989"/>
      <c r="VXP1063" s="989"/>
      <c r="VXQ1063" s="989"/>
      <c r="VXR1063" s="989"/>
      <c r="VXS1063" s="989"/>
      <c r="VXT1063" s="989"/>
      <c r="VXU1063" s="989"/>
      <c r="VXV1063" s="989"/>
      <c r="VXW1063" s="989"/>
      <c r="VXX1063" s="989"/>
      <c r="VXY1063" s="989"/>
      <c r="VXZ1063" s="989"/>
      <c r="VYA1063" s="989"/>
      <c r="VYB1063" s="989"/>
      <c r="VYC1063" s="989"/>
      <c r="VYD1063" s="989"/>
      <c r="VYE1063" s="989"/>
      <c r="VYF1063" s="989"/>
      <c r="VYG1063" s="989"/>
      <c r="VYH1063" s="989"/>
      <c r="VYI1063" s="989"/>
      <c r="VYJ1063" s="989"/>
      <c r="VYK1063" s="989"/>
      <c r="VYL1063" s="989"/>
      <c r="VYM1063" s="989"/>
      <c r="VYN1063" s="989"/>
      <c r="VYO1063" s="989"/>
      <c r="VYP1063" s="989"/>
      <c r="VYQ1063" s="989"/>
      <c r="VYR1063" s="989"/>
      <c r="VYS1063" s="989"/>
      <c r="VYT1063" s="989"/>
      <c r="VYU1063" s="989"/>
      <c r="VYV1063" s="989"/>
      <c r="VYW1063" s="989"/>
      <c r="VYX1063" s="989"/>
      <c r="VYY1063" s="989"/>
      <c r="VYZ1063" s="989"/>
      <c r="VZA1063" s="989"/>
      <c r="VZB1063" s="989"/>
      <c r="VZC1063" s="989"/>
      <c r="VZD1063" s="989"/>
      <c r="VZE1063" s="989"/>
      <c r="VZF1063" s="989"/>
      <c r="VZG1063" s="989"/>
      <c r="VZH1063" s="989"/>
      <c r="VZI1063" s="989"/>
      <c r="VZJ1063" s="989"/>
      <c r="VZK1063" s="989"/>
      <c r="VZL1063" s="989"/>
      <c r="VZM1063" s="989"/>
      <c r="VZN1063" s="989"/>
      <c r="VZO1063" s="989"/>
      <c r="VZP1063" s="989"/>
      <c r="VZQ1063" s="989"/>
      <c r="VZR1063" s="989"/>
      <c r="VZS1063" s="989"/>
      <c r="VZT1063" s="989"/>
      <c r="VZU1063" s="989"/>
      <c r="VZV1063" s="989"/>
      <c r="VZW1063" s="989"/>
      <c r="VZX1063" s="989"/>
      <c r="VZY1063" s="989"/>
      <c r="VZZ1063" s="989"/>
      <c r="WAA1063" s="989"/>
      <c r="WAB1063" s="989"/>
      <c r="WAC1063" s="989"/>
      <c r="WAD1063" s="989"/>
      <c r="WAE1063" s="989"/>
      <c r="WAF1063" s="989"/>
      <c r="WAG1063" s="989"/>
      <c r="WAH1063" s="989"/>
      <c r="WAI1063" s="989"/>
      <c r="WAJ1063" s="989"/>
      <c r="WAK1063" s="989"/>
      <c r="WAL1063" s="989"/>
      <c r="WAM1063" s="989"/>
      <c r="WAN1063" s="989"/>
      <c r="WAO1063" s="989"/>
      <c r="WAP1063" s="989"/>
      <c r="WAQ1063" s="989"/>
      <c r="WAR1063" s="989"/>
      <c r="WAS1063" s="989"/>
      <c r="WAT1063" s="989"/>
      <c r="WAU1063" s="989"/>
      <c r="WAV1063" s="989"/>
      <c r="WAW1063" s="989"/>
      <c r="WAX1063" s="989"/>
      <c r="WAY1063" s="989"/>
      <c r="WAZ1063" s="989"/>
      <c r="WBA1063" s="989"/>
      <c r="WBB1063" s="989"/>
      <c r="WBC1063" s="989"/>
      <c r="WBD1063" s="989"/>
      <c r="WBE1063" s="989"/>
      <c r="WBF1063" s="989"/>
      <c r="WBG1063" s="989"/>
      <c r="WBH1063" s="989"/>
      <c r="WBI1063" s="989"/>
      <c r="WBJ1063" s="989"/>
      <c r="WBK1063" s="989"/>
      <c r="WBL1063" s="989"/>
      <c r="WBM1063" s="989"/>
      <c r="WBN1063" s="989"/>
      <c r="WBO1063" s="989"/>
      <c r="WBP1063" s="989"/>
      <c r="WBQ1063" s="989"/>
      <c r="WBR1063" s="989"/>
      <c r="WBS1063" s="989"/>
      <c r="WBT1063" s="989"/>
      <c r="WBU1063" s="989"/>
      <c r="WBV1063" s="989"/>
      <c r="WBW1063" s="989"/>
      <c r="WBX1063" s="989"/>
      <c r="WBY1063" s="989"/>
      <c r="WBZ1063" s="989"/>
      <c r="WCA1063" s="989"/>
      <c r="WCB1063" s="989"/>
      <c r="WCC1063" s="989"/>
      <c r="WCD1063" s="989"/>
      <c r="WCE1063" s="989"/>
      <c r="WCF1063" s="989"/>
      <c r="WCG1063" s="989"/>
      <c r="WCH1063" s="989"/>
      <c r="WCI1063" s="989"/>
      <c r="WCJ1063" s="989"/>
      <c r="WCK1063" s="989"/>
      <c r="WCL1063" s="989"/>
      <c r="WCM1063" s="989"/>
      <c r="WCN1063" s="989"/>
      <c r="WCO1063" s="989"/>
      <c r="WCP1063" s="989"/>
      <c r="WCQ1063" s="989"/>
      <c r="WCR1063" s="989"/>
      <c r="WCS1063" s="989"/>
      <c r="WCT1063" s="989"/>
      <c r="WCU1063" s="989"/>
      <c r="WCV1063" s="989"/>
      <c r="WCW1063" s="989"/>
      <c r="WCX1063" s="989"/>
      <c r="WCY1063" s="989"/>
      <c r="WCZ1063" s="989"/>
      <c r="WDA1063" s="989"/>
      <c r="WDB1063" s="989"/>
      <c r="WDC1063" s="989"/>
      <c r="WDD1063" s="989"/>
      <c r="WDE1063" s="989"/>
      <c r="WDF1063" s="989"/>
      <c r="WDG1063" s="989"/>
      <c r="WDH1063" s="989"/>
      <c r="WDI1063" s="989"/>
      <c r="WDJ1063" s="989"/>
      <c r="WDK1063" s="989"/>
      <c r="WDL1063" s="989"/>
      <c r="WDM1063" s="989"/>
      <c r="WDN1063" s="989"/>
      <c r="WDO1063" s="989"/>
      <c r="WDP1063" s="989"/>
      <c r="WDQ1063" s="989"/>
      <c r="WDR1063" s="989"/>
      <c r="WDS1063" s="989"/>
      <c r="WDT1063" s="989"/>
      <c r="WDU1063" s="989"/>
      <c r="WDV1063" s="989"/>
      <c r="WDW1063" s="989"/>
      <c r="WDX1063" s="989"/>
      <c r="WDY1063" s="989"/>
      <c r="WDZ1063" s="989"/>
      <c r="WEA1063" s="989"/>
      <c r="WEB1063" s="989"/>
      <c r="WEC1063" s="989"/>
      <c r="WED1063" s="989"/>
      <c r="WEE1063" s="989"/>
      <c r="WEF1063" s="989"/>
      <c r="WEG1063" s="989"/>
      <c r="WEH1063" s="989"/>
      <c r="WEI1063" s="989"/>
      <c r="WEJ1063" s="989"/>
      <c r="WEK1063" s="989"/>
      <c r="WEL1063" s="989"/>
      <c r="WEM1063" s="989"/>
      <c r="WEN1063" s="989"/>
      <c r="WEO1063" s="989"/>
      <c r="WEP1063" s="989"/>
      <c r="WEQ1063" s="989"/>
      <c r="WER1063" s="989"/>
      <c r="WES1063" s="989"/>
      <c r="WET1063" s="989"/>
      <c r="WEU1063" s="989"/>
      <c r="WEV1063" s="989"/>
      <c r="WEW1063" s="989"/>
      <c r="WEX1063" s="989"/>
      <c r="WEY1063" s="989"/>
      <c r="WEZ1063" s="989"/>
      <c r="WFA1063" s="989"/>
      <c r="WFB1063" s="989"/>
      <c r="WFC1063" s="989"/>
      <c r="WFD1063" s="989"/>
      <c r="WFE1063" s="989"/>
      <c r="WFF1063" s="989"/>
      <c r="WFG1063" s="989"/>
      <c r="WFH1063" s="989"/>
      <c r="WFI1063" s="989"/>
      <c r="WFJ1063" s="989"/>
      <c r="WFK1063" s="989"/>
      <c r="WFL1063" s="989"/>
      <c r="WFM1063" s="989"/>
      <c r="WFN1063" s="989"/>
      <c r="WFO1063" s="989"/>
      <c r="WFP1063" s="989"/>
      <c r="WFQ1063" s="989"/>
      <c r="WFR1063" s="989"/>
      <c r="WFS1063" s="989"/>
      <c r="WFT1063" s="989"/>
      <c r="WFU1063" s="989"/>
      <c r="WFV1063" s="989"/>
      <c r="WFW1063" s="989"/>
      <c r="WFX1063" s="989"/>
      <c r="WFY1063" s="989"/>
      <c r="WFZ1063" s="989"/>
      <c r="WGA1063" s="989"/>
      <c r="WGB1063" s="989"/>
      <c r="WGC1063" s="989"/>
      <c r="WGD1063" s="989"/>
      <c r="WGE1063" s="989"/>
      <c r="WGF1063" s="989"/>
      <c r="WGG1063" s="989"/>
      <c r="WGH1063" s="989"/>
      <c r="WGI1063" s="989"/>
      <c r="WGJ1063" s="989"/>
      <c r="WGK1063" s="989"/>
      <c r="WGL1063" s="989"/>
      <c r="WGM1063" s="989"/>
      <c r="WGN1063" s="989"/>
      <c r="WGO1063" s="989"/>
      <c r="WGP1063" s="989"/>
      <c r="WGQ1063" s="989"/>
      <c r="WGR1063" s="989"/>
      <c r="WGS1063" s="989"/>
      <c r="WGT1063" s="989"/>
      <c r="WGU1063" s="989"/>
      <c r="WGV1063" s="989"/>
      <c r="WGW1063" s="989"/>
      <c r="WGX1063" s="989"/>
      <c r="WGY1063" s="989"/>
      <c r="WGZ1063" s="989"/>
      <c r="WHA1063" s="989"/>
      <c r="WHB1063" s="989"/>
      <c r="WHC1063" s="989"/>
      <c r="WHD1063" s="989"/>
      <c r="WHE1063" s="989"/>
      <c r="WHF1063" s="989"/>
      <c r="WHG1063" s="989"/>
      <c r="WHH1063" s="989"/>
      <c r="WHI1063" s="989"/>
      <c r="WHJ1063" s="989"/>
      <c r="WHK1063" s="989"/>
      <c r="WHL1063" s="989"/>
      <c r="WHM1063" s="989"/>
      <c r="WHN1063" s="989"/>
      <c r="WHO1063" s="989"/>
      <c r="WHP1063" s="989"/>
      <c r="WHQ1063" s="989"/>
      <c r="WHR1063" s="989"/>
      <c r="WHS1063" s="989"/>
      <c r="WHT1063" s="989"/>
      <c r="WHU1063" s="989"/>
      <c r="WHV1063" s="989"/>
      <c r="WHW1063" s="989"/>
      <c r="WHX1063" s="989"/>
      <c r="WHY1063" s="989"/>
      <c r="WHZ1063" s="989"/>
      <c r="WIA1063" s="989"/>
      <c r="WIB1063" s="989"/>
      <c r="WIC1063" s="989"/>
      <c r="WID1063" s="989"/>
      <c r="WIE1063" s="989"/>
      <c r="WIF1063" s="989"/>
      <c r="WIG1063" s="989"/>
      <c r="WIH1063" s="989"/>
      <c r="WII1063" s="989"/>
      <c r="WIJ1063" s="989"/>
      <c r="WIK1063" s="989"/>
      <c r="WIL1063" s="989"/>
      <c r="WIM1063" s="989"/>
      <c r="WIN1063" s="989"/>
      <c r="WIO1063" s="989"/>
      <c r="WIP1063" s="989"/>
      <c r="WIQ1063" s="989"/>
      <c r="WIR1063" s="989"/>
      <c r="WIS1063" s="989"/>
      <c r="WIT1063" s="989"/>
      <c r="WIU1063" s="989"/>
      <c r="WIV1063" s="989"/>
      <c r="WIW1063" s="989"/>
      <c r="WIX1063" s="989"/>
      <c r="WIY1063" s="989"/>
      <c r="WIZ1063" s="989"/>
      <c r="WJA1063" s="989"/>
      <c r="WJB1063" s="989"/>
      <c r="WJC1063" s="989"/>
      <c r="WJD1063" s="989"/>
      <c r="WJE1063" s="989"/>
      <c r="WJF1063" s="989"/>
      <c r="WJG1063" s="989"/>
      <c r="WJH1063" s="989"/>
      <c r="WJI1063" s="989"/>
      <c r="WJJ1063" s="989"/>
      <c r="WJK1063" s="989"/>
      <c r="WJL1063" s="989"/>
      <c r="WJM1063" s="989"/>
      <c r="WJN1063" s="989"/>
      <c r="WJO1063" s="989"/>
      <c r="WJP1063" s="989"/>
      <c r="WJQ1063" s="989"/>
      <c r="WJR1063" s="989"/>
      <c r="WJS1063" s="989"/>
      <c r="WJT1063" s="989"/>
      <c r="WJU1063" s="989"/>
      <c r="WJV1063" s="989"/>
      <c r="WJW1063" s="989"/>
      <c r="WJX1063" s="989"/>
      <c r="WJY1063" s="989"/>
      <c r="WJZ1063" s="989"/>
      <c r="WKA1063" s="989"/>
      <c r="WKB1063" s="989"/>
      <c r="WKC1063" s="989"/>
      <c r="WKD1063" s="989"/>
      <c r="WKE1063" s="989"/>
      <c r="WKF1063" s="989"/>
      <c r="WKG1063" s="989"/>
      <c r="WKH1063" s="989"/>
      <c r="WKI1063" s="989"/>
      <c r="WKJ1063" s="989"/>
      <c r="WKK1063" s="989"/>
      <c r="WKL1063" s="989"/>
      <c r="WKM1063" s="989"/>
      <c r="WKN1063" s="989"/>
      <c r="WKO1063" s="989"/>
      <c r="WKP1063" s="989"/>
      <c r="WKQ1063" s="989"/>
      <c r="WKR1063" s="989"/>
      <c r="WKS1063" s="989"/>
      <c r="WKT1063" s="989"/>
      <c r="WKU1063" s="989"/>
      <c r="WKV1063" s="989"/>
      <c r="WKW1063" s="989"/>
      <c r="WKX1063" s="989"/>
      <c r="WKY1063" s="989"/>
      <c r="WKZ1063" s="989"/>
      <c r="WLA1063" s="989"/>
      <c r="WLB1063" s="989"/>
      <c r="WLC1063" s="989"/>
      <c r="WLD1063" s="989"/>
      <c r="WLE1063" s="989"/>
      <c r="WLF1063" s="989"/>
      <c r="WLG1063" s="989"/>
      <c r="WLH1063" s="989"/>
      <c r="WLI1063" s="989"/>
      <c r="WLJ1063" s="989"/>
      <c r="WLK1063" s="989"/>
      <c r="WLL1063" s="989"/>
      <c r="WLM1063" s="989"/>
      <c r="WLN1063" s="989"/>
      <c r="WLO1063" s="989"/>
      <c r="WLP1063" s="989"/>
      <c r="WLQ1063" s="989"/>
      <c r="WLR1063" s="989"/>
      <c r="WLS1063" s="989"/>
      <c r="WLT1063" s="989"/>
      <c r="WLU1063" s="989"/>
      <c r="WLV1063" s="989"/>
      <c r="WLW1063" s="989"/>
      <c r="WLX1063" s="989"/>
      <c r="WLY1063" s="989"/>
      <c r="WLZ1063" s="989"/>
      <c r="WMA1063" s="989"/>
      <c r="WMB1063" s="989"/>
      <c r="WMC1063" s="989"/>
      <c r="WMD1063" s="989"/>
      <c r="WME1063" s="989"/>
      <c r="WMF1063" s="989"/>
      <c r="WMG1063" s="989"/>
      <c r="WMH1063" s="989"/>
      <c r="WMI1063" s="989"/>
      <c r="WMJ1063" s="989"/>
      <c r="WMK1063" s="989"/>
      <c r="WML1063" s="989"/>
      <c r="WMM1063" s="989"/>
      <c r="WMN1063" s="989"/>
      <c r="WMO1063" s="989"/>
      <c r="WMP1063" s="989"/>
      <c r="WMQ1063" s="989"/>
      <c r="WMR1063" s="989"/>
      <c r="WMS1063" s="989"/>
      <c r="WMT1063" s="989"/>
      <c r="WMU1063" s="989"/>
      <c r="WMV1063" s="989"/>
      <c r="WMW1063" s="989"/>
      <c r="WMX1063" s="989"/>
      <c r="WMY1063" s="989"/>
      <c r="WMZ1063" s="989"/>
      <c r="WNA1063" s="989"/>
      <c r="WNB1063" s="989"/>
      <c r="WNC1063" s="989"/>
      <c r="WND1063" s="989"/>
      <c r="WNE1063" s="989"/>
      <c r="WNF1063" s="989"/>
      <c r="WNG1063" s="989"/>
      <c r="WNH1063" s="989"/>
      <c r="WNI1063" s="989"/>
      <c r="WNJ1063" s="989"/>
      <c r="WNK1063" s="989"/>
      <c r="WNL1063" s="989"/>
      <c r="WNM1063" s="989"/>
      <c r="WNN1063" s="989"/>
      <c r="WNO1063" s="989"/>
      <c r="WNP1063" s="989"/>
      <c r="WNQ1063" s="989"/>
      <c r="WNR1063" s="989"/>
      <c r="WNS1063" s="989"/>
      <c r="WNT1063" s="989"/>
      <c r="WNU1063" s="989"/>
      <c r="WNV1063" s="989"/>
      <c r="WNW1063" s="989"/>
      <c r="WNX1063" s="989"/>
      <c r="WNY1063" s="989"/>
      <c r="WNZ1063" s="989"/>
      <c r="WOA1063" s="989"/>
      <c r="WOB1063" s="989"/>
      <c r="WOC1063" s="989"/>
      <c r="WOD1063" s="989"/>
      <c r="WOE1063" s="989"/>
      <c r="WOF1063" s="989"/>
      <c r="WOG1063" s="989"/>
      <c r="WOH1063" s="989"/>
      <c r="WOI1063" s="989"/>
      <c r="WOJ1063" s="989"/>
      <c r="WOK1063" s="989"/>
      <c r="WOL1063" s="989"/>
      <c r="WOM1063" s="989"/>
      <c r="WON1063" s="989"/>
      <c r="WOO1063" s="989"/>
      <c r="WOP1063" s="989"/>
      <c r="WOQ1063" s="989"/>
      <c r="WOR1063" s="989"/>
      <c r="WOS1063" s="989"/>
      <c r="WOT1063" s="989"/>
      <c r="WOU1063" s="989"/>
      <c r="WOV1063" s="989"/>
      <c r="WOW1063" s="989"/>
      <c r="WOX1063" s="989"/>
      <c r="WOY1063" s="989"/>
      <c r="WOZ1063" s="989"/>
      <c r="WPA1063" s="989"/>
      <c r="WPB1063" s="989"/>
      <c r="WPC1063" s="989"/>
      <c r="WPD1063" s="989"/>
      <c r="WPE1063" s="989"/>
      <c r="WPF1063" s="989"/>
      <c r="WPG1063" s="989"/>
      <c r="WPH1063" s="989"/>
      <c r="WPI1063" s="989"/>
      <c r="WPJ1063" s="989"/>
      <c r="WPK1063" s="989"/>
      <c r="WPL1063" s="989"/>
      <c r="WPM1063" s="989"/>
      <c r="WPN1063" s="989"/>
      <c r="WPO1063" s="989"/>
      <c r="WPP1063" s="989"/>
      <c r="WPQ1063" s="989"/>
      <c r="WPR1063" s="989"/>
      <c r="WPS1063" s="989"/>
      <c r="WPT1063" s="989"/>
      <c r="WPU1063" s="989"/>
      <c r="WPV1063" s="989"/>
      <c r="WPW1063" s="989"/>
      <c r="WPX1063" s="989"/>
      <c r="WPY1063" s="989"/>
      <c r="WPZ1063" s="989"/>
      <c r="WQA1063" s="989"/>
      <c r="WQB1063" s="989"/>
      <c r="WQC1063" s="989"/>
      <c r="WQD1063" s="989"/>
      <c r="WQE1063" s="989"/>
      <c r="WQF1063" s="989"/>
      <c r="WQG1063" s="989"/>
      <c r="WQH1063" s="989"/>
      <c r="WQI1063" s="989"/>
      <c r="WQJ1063" s="989"/>
      <c r="WQK1063" s="989"/>
      <c r="WQL1063" s="989"/>
      <c r="WQM1063" s="989"/>
      <c r="WQN1063" s="989"/>
      <c r="WQO1063" s="989"/>
      <c r="WQP1063" s="989"/>
      <c r="WQQ1063" s="989"/>
      <c r="WQR1063" s="989"/>
      <c r="WQS1063" s="989"/>
      <c r="WQT1063" s="989"/>
      <c r="WQU1063" s="989"/>
      <c r="WQV1063" s="989"/>
      <c r="WQW1063" s="989"/>
      <c r="WQX1063" s="989"/>
      <c r="WQY1063" s="989"/>
      <c r="WQZ1063" s="989"/>
      <c r="WRA1063" s="989"/>
      <c r="WRB1063" s="989"/>
      <c r="WRC1063" s="989"/>
      <c r="WRD1063" s="989"/>
      <c r="WRE1063" s="989"/>
      <c r="WRF1063" s="989"/>
      <c r="WRG1063" s="989"/>
      <c r="WRH1063" s="989"/>
      <c r="WRI1063" s="989"/>
      <c r="WRJ1063" s="989"/>
      <c r="WRK1063" s="989"/>
      <c r="WRL1063" s="989"/>
      <c r="WRM1063" s="989"/>
      <c r="WRN1063" s="989"/>
      <c r="WRO1063" s="989"/>
      <c r="WRP1063" s="989"/>
      <c r="WRQ1063" s="989"/>
      <c r="WRR1063" s="989"/>
      <c r="WRS1063" s="989"/>
      <c r="WRT1063" s="989"/>
      <c r="WRU1063" s="989"/>
      <c r="WRV1063" s="989"/>
      <c r="WRW1063" s="989"/>
      <c r="WRX1063" s="989"/>
      <c r="WRY1063" s="989"/>
      <c r="WRZ1063" s="989"/>
      <c r="WSA1063" s="989"/>
      <c r="WSB1063" s="989"/>
      <c r="WSC1063" s="989"/>
      <c r="WSD1063" s="989"/>
      <c r="WSE1063" s="989"/>
      <c r="WSF1063" s="989"/>
      <c r="WSG1063" s="989"/>
      <c r="WSH1063" s="989"/>
      <c r="WSI1063" s="989"/>
      <c r="WSJ1063" s="989"/>
      <c r="WSK1063" s="989"/>
      <c r="WSL1063" s="989"/>
      <c r="WSM1063" s="989"/>
      <c r="WSN1063" s="989"/>
      <c r="WSO1063" s="989"/>
      <c r="WSP1063" s="989"/>
      <c r="WSQ1063" s="989"/>
      <c r="WSR1063" s="989"/>
      <c r="WSS1063" s="989"/>
      <c r="WST1063" s="989"/>
      <c r="WSU1063" s="989"/>
      <c r="WSV1063" s="989"/>
      <c r="WSW1063" s="989"/>
      <c r="WSX1063" s="989"/>
      <c r="WSY1063" s="989"/>
      <c r="WSZ1063" s="989"/>
      <c r="WTA1063" s="989"/>
      <c r="WTB1063" s="989"/>
      <c r="WTC1063" s="989"/>
      <c r="WTD1063" s="989"/>
      <c r="WTE1063" s="989"/>
      <c r="WTF1063" s="989"/>
      <c r="WTG1063" s="989"/>
      <c r="WTH1063" s="989"/>
      <c r="WTI1063" s="989"/>
      <c r="WTJ1063" s="989"/>
      <c r="WTK1063" s="989"/>
      <c r="WTL1063" s="989"/>
      <c r="WTM1063" s="989"/>
      <c r="WTN1063" s="989"/>
      <c r="WTO1063" s="989"/>
      <c r="WTP1063" s="989"/>
      <c r="WTQ1063" s="989"/>
      <c r="WTR1063" s="989"/>
      <c r="WTS1063" s="989"/>
      <c r="WTT1063" s="989"/>
      <c r="WTU1063" s="989"/>
      <c r="WTV1063" s="989"/>
      <c r="WTW1063" s="989"/>
      <c r="WTX1063" s="989"/>
      <c r="WTY1063" s="989"/>
      <c r="WTZ1063" s="989"/>
      <c r="WUA1063" s="989"/>
      <c r="WUB1063" s="989"/>
      <c r="WUC1063" s="989"/>
      <c r="WUD1063" s="989"/>
      <c r="WUE1063" s="989"/>
      <c r="WUF1063" s="989"/>
      <c r="WUG1063" s="989"/>
      <c r="WUH1063" s="989"/>
      <c r="WUI1063" s="989"/>
      <c r="WUJ1063" s="989"/>
      <c r="WUK1063" s="989"/>
      <c r="WUL1063" s="989"/>
      <c r="WUM1063" s="989"/>
      <c r="WUN1063" s="989"/>
      <c r="WUO1063" s="989"/>
      <c r="WUP1063" s="989"/>
      <c r="WUQ1063" s="989"/>
      <c r="WUR1063" s="989"/>
      <c r="WUS1063" s="989"/>
      <c r="WUT1063" s="989"/>
      <c r="WUU1063" s="989"/>
      <c r="WUV1063" s="989"/>
      <c r="WUW1063" s="989"/>
      <c r="WUX1063" s="989"/>
      <c r="WUY1063" s="989"/>
      <c r="WUZ1063" s="989"/>
      <c r="WVA1063" s="989"/>
      <c r="WVB1063" s="989"/>
      <c r="WVC1063" s="989"/>
      <c r="WVD1063" s="989"/>
      <c r="WVE1063" s="989"/>
      <c r="WVF1063" s="989"/>
      <c r="WVG1063" s="989"/>
      <c r="WVH1063" s="989"/>
      <c r="WVI1063" s="989"/>
      <c r="WVJ1063" s="989"/>
      <c r="WVK1063" s="989"/>
      <c r="WVL1063" s="989"/>
      <c r="WVM1063" s="989"/>
      <c r="WVN1063" s="989"/>
      <c r="WVO1063" s="989"/>
      <c r="WVP1063" s="989"/>
      <c r="WVQ1063" s="989"/>
      <c r="WVR1063" s="989"/>
      <c r="WVS1063" s="989"/>
      <c r="WVT1063" s="989"/>
      <c r="WVU1063" s="989"/>
      <c r="WVV1063" s="989"/>
      <c r="WVW1063" s="989"/>
      <c r="WVX1063" s="989"/>
      <c r="WVY1063" s="989"/>
      <c r="WVZ1063" s="989"/>
      <c r="WWA1063" s="989"/>
      <c r="WWB1063" s="989"/>
      <c r="WWC1063" s="989"/>
      <c r="WWD1063" s="989"/>
      <c r="WWE1063" s="989"/>
      <c r="WWF1063" s="989"/>
      <c r="WWG1063" s="989"/>
      <c r="WWH1063" s="989"/>
      <c r="WWI1063" s="989"/>
      <c r="WWJ1063" s="989"/>
      <c r="WWK1063" s="989"/>
      <c r="WWL1063" s="989"/>
      <c r="WWM1063" s="989"/>
      <c r="WWN1063" s="989"/>
      <c r="WWO1063" s="989"/>
      <c r="WWP1063" s="989"/>
      <c r="WWQ1063" s="989"/>
      <c r="WWR1063" s="989"/>
      <c r="WWS1063" s="989"/>
      <c r="WWT1063" s="989"/>
      <c r="WWU1063" s="989"/>
      <c r="WWV1063" s="989"/>
      <c r="WWW1063" s="989"/>
      <c r="WWX1063" s="989"/>
      <c r="WWY1063" s="989"/>
      <c r="WWZ1063" s="989"/>
      <c r="WXA1063" s="989"/>
      <c r="WXB1063" s="989"/>
      <c r="WXC1063" s="989"/>
      <c r="WXD1063" s="989"/>
      <c r="WXE1063" s="989"/>
      <c r="WXF1063" s="989"/>
      <c r="WXG1063" s="989"/>
      <c r="WXH1063" s="989"/>
      <c r="WXI1063" s="989"/>
      <c r="WXJ1063" s="989"/>
      <c r="WXK1063" s="989"/>
      <c r="WXL1063" s="989"/>
      <c r="WXM1063" s="989"/>
      <c r="WXN1063" s="989"/>
      <c r="WXO1063" s="989"/>
      <c r="WXP1063" s="989"/>
      <c r="WXQ1063" s="989"/>
      <c r="WXR1063" s="989"/>
      <c r="WXS1063" s="989"/>
      <c r="WXT1063" s="989"/>
      <c r="WXU1063" s="989"/>
      <c r="WXV1063" s="989"/>
      <c r="WXW1063" s="989"/>
      <c r="WXX1063" s="989"/>
      <c r="WXY1063" s="989"/>
      <c r="WXZ1063" s="989"/>
      <c r="WYA1063" s="989"/>
      <c r="WYB1063" s="989"/>
      <c r="WYC1063" s="989"/>
      <c r="WYD1063" s="989"/>
      <c r="WYE1063" s="989"/>
      <c r="WYF1063" s="989"/>
      <c r="WYG1063" s="989"/>
      <c r="WYH1063" s="989"/>
      <c r="WYI1063" s="989"/>
      <c r="WYJ1063" s="989"/>
      <c r="WYK1063" s="989"/>
      <c r="WYL1063" s="989"/>
      <c r="WYM1063" s="989"/>
      <c r="WYN1063" s="989"/>
      <c r="WYO1063" s="989"/>
      <c r="WYP1063" s="989"/>
      <c r="WYQ1063" s="989"/>
      <c r="WYR1063" s="989"/>
      <c r="WYS1063" s="989"/>
      <c r="WYT1063" s="989"/>
      <c r="WYU1063" s="989"/>
      <c r="WYV1063" s="989"/>
      <c r="WYW1063" s="989"/>
      <c r="WYX1063" s="989"/>
      <c r="WYY1063" s="989"/>
      <c r="WYZ1063" s="989"/>
      <c r="WZA1063" s="989"/>
      <c r="WZB1063" s="989"/>
      <c r="WZC1063" s="989"/>
      <c r="WZD1063" s="989"/>
      <c r="WZE1063" s="989"/>
      <c r="WZF1063" s="989"/>
      <c r="WZG1063" s="989"/>
      <c r="WZH1063" s="989"/>
      <c r="WZI1063" s="989"/>
      <c r="WZJ1063" s="989"/>
      <c r="WZK1063" s="989"/>
      <c r="WZL1063" s="989"/>
      <c r="WZM1063" s="989"/>
      <c r="WZN1063" s="989"/>
      <c r="WZO1063" s="989"/>
      <c r="WZP1063" s="989"/>
      <c r="WZQ1063" s="989"/>
      <c r="WZR1063" s="989"/>
      <c r="WZS1063" s="989"/>
      <c r="WZT1063" s="989"/>
      <c r="WZU1063" s="989"/>
      <c r="WZV1063" s="989"/>
      <c r="WZW1063" s="989"/>
      <c r="WZX1063" s="989"/>
      <c r="WZY1063" s="989"/>
      <c r="WZZ1063" s="989"/>
      <c r="XAA1063" s="989"/>
      <c r="XAB1063" s="989"/>
      <c r="XAC1063" s="989"/>
      <c r="XAD1063" s="989"/>
      <c r="XAE1063" s="989"/>
      <c r="XAF1063" s="989"/>
      <c r="XAG1063" s="989"/>
      <c r="XAH1063" s="989"/>
      <c r="XAI1063" s="989"/>
      <c r="XAJ1063" s="989"/>
      <c r="XAK1063" s="989"/>
      <c r="XAL1063" s="989"/>
      <c r="XAM1063" s="989"/>
      <c r="XAN1063" s="989"/>
      <c r="XAO1063" s="989"/>
      <c r="XAP1063" s="989"/>
      <c r="XAQ1063" s="989"/>
      <c r="XAR1063" s="989"/>
      <c r="XAS1063" s="989"/>
      <c r="XAT1063" s="989"/>
      <c r="XAU1063" s="989"/>
      <c r="XAV1063" s="989"/>
      <c r="XAW1063" s="989"/>
      <c r="XAX1063" s="989"/>
      <c r="XAY1063" s="989"/>
      <c r="XAZ1063" s="989"/>
      <c r="XBA1063" s="989"/>
      <c r="XBB1063" s="989"/>
      <c r="XBC1063" s="989"/>
      <c r="XBD1063" s="989"/>
      <c r="XBE1063" s="989"/>
      <c r="XBF1063" s="989"/>
      <c r="XBG1063" s="989"/>
      <c r="XBH1063" s="989"/>
      <c r="XBI1063" s="989"/>
      <c r="XBJ1063" s="989"/>
      <c r="XBK1063" s="989"/>
      <c r="XBL1063" s="989"/>
      <c r="XBM1063" s="989"/>
      <c r="XBN1063" s="989"/>
      <c r="XBO1063" s="989"/>
      <c r="XBP1063" s="989"/>
      <c r="XBQ1063" s="989"/>
      <c r="XBR1063" s="989"/>
      <c r="XBS1063" s="989"/>
      <c r="XBT1063" s="989"/>
      <c r="XBU1063" s="989"/>
      <c r="XBV1063" s="989"/>
      <c r="XBW1063" s="989"/>
      <c r="XBX1063" s="989"/>
      <c r="XBY1063" s="989"/>
      <c r="XBZ1063" s="989"/>
      <c r="XCA1063" s="989"/>
      <c r="XCB1063" s="989"/>
      <c r="XCC1063" s="989"/>
      <c r="XCD1063" s="989"/>
      <c r="XCE1063" s="989"/>
      <c r="XCF1063" s="989"/>
      <c r="XCG1063" s="989"/>
      <c r="XCH1063" s="989"/>
      <c r="XCI1063" s="989"/>
      <c r="XCJ1063" s="989"/>
      <c r="XCK1063" s="989"/>
      <c r="XCL1063" s="989"/>
      <c r="XCM1063" s="989"/>
      <c r="XCN1063" s="989"/>
      <c r="XCO1063" s="989"/>
      <c r="XCP1063" s="989"/>
      <c r="XCQ1063" s="989"/>
      <c r="XCR1063" s="989"/>
      <c r="XCS1063" s="989"/>
      <c r="XCT1063" s="989"/>
      <c r="XCU1063" s="989"/>
      <c r="XCV1063" s="989"/>
      <c r="XCW1063" s="989"/>
      <c r="XCX1063" s="989"/>
      <c r="XCY1063" s="989"/>
      <c r="XCZ1063" s="989"/>
      <c r="XDA1063" s="989"/>
      <c r="XDB1063" s="989"/>
      <c r="XDC1063" s="989"/>
      <c r="XDD1063" s="989"/>
      <c r="XDE1063" s="989"/>
      <c r="XDF1063" s="989"/>
      <c r="XDG1063" s="989"/>
      <c r="XDH1063" s="989"/>
      <c r="XDI1063" s="989"/>
      <c r="XDJ1063" s="989"/>
      <c r="XDK1063" s="989"/>
      <c r="XDL1063" s="989"/>
      <c r="XDM1063" s="989"/>
      <c r="XDN1063" s="989"/>
      <c r="XDO1063" s="989"/>
      <c r="XDP1063" s="989"/>
      <c r="XDQ1063" s="989"/>
      <c r="XDR1063" s="989"/>
      <c r="XDS1063" s="989"/>
      <c r="XDT1063" s="989"/>
      <c r="XDU1063" s="989"/>
      <c r="XDV1063" s="989"/>
      <c r="XDW1063" s="989"/>
      <c r="XDX1063" s="989"/>
      <c r="XDY1063" s="989"/>
      <c r="XDZ1063" s="989"/>
      <c r="XEA1063" s="989"/>
      <c r="XEB1063" s="989"/>
      <c r="XEC1063" s="989"/>
      <c r="XED1063" s="989"/>
      <c r="XEE1063" s="989"/>
      <c r="XEF1063" s="989"/>
      <c r="XEG1063" s="989"/>
      <c r="XEH1063" s="989"/>
      <c r="XEI1063" s="989"/>
      <c r="XEJ1063" s="989"/>
      <c r="XEK1063" s="989"/>
      <c r="XEL1063" s="42"/>
      <c r="XEM1063" s="42"/>
      <c r="XEN1063" s="42"/>
      <c r="XEO1063" s="42"/>
      <c r="XEP1063" s="42"/>
      <c r="XEQ1063" s="42"/>
      <c r="XER1063" s="42"/>
      <c r="XES1063" s="2431"/>
      <c r="XET1063" s="2431"/>
      <c r="XEU1063" s="2431"/>
      <c r="XEV1063" s="2431"/>
      <c r="XEW1063" s="2431"/>
      <c r="XEX1063" s="2431"/>
      <c r="XEY1063" s="2431"/>
      <c r="XEZ1063" s="2431"/>
      <c r="XFA1063" s="2431"/>
      <c r="XFB1063" s="2431"/>
      <c r="XFC1063" s="2431"/>
    </row>
    <row r="1064" ht="25" customHeight="1" spans="1:1024 1025:16384">
      <c r="D1064" s="2445">
        <v>6</v>
      </c>
      <c r="E1064" s="2445" t="s">
        <v>3327</v>
      </c>
      <c r="F1064" s="2440"/>
      <c r="G1064" s="2441"/>
      <c r="H1064" s="2441"/>
      <c r="I1064" s="1658"/>
      <c r="J1064" s="1658"/>
      <c r="K1064" s="2446" t="s">
        <v>3328</v>
      </c>
      <c r="L1064" s="2447">
        <v>104</v>
      </c>
      <c r="M1064" s="2453">
        <v>0.0038</v>
      </c>
      <c r="N1064" s="2453">
        <v>0.008</v>
      </c>
      <c r="O1064" s="2454">
        <f>(N1064-M1064)*L1064</f>
        <v>0.4368</v>
      </c>
      <c r="P1064" s="2449">
        <f>(N1064-M1064)/M1064</f>
        <v>1.10526315789474</v>
      </c>
      <c r="Q1064" s="2450"/>
    </row>
    <row r="1065" ht="25" customHeight="1" spans="1:1024 1025:16384">
      <c r="D1065" s="2445">
        <v>7</v>
      </c>
      <c r="E1065" s="2445" t="s">
        <v>3329</v>
      </c>
      <c r="F1065" s="2440"/>
      <c r="G1065" s="2441"/>
      <c r="H1065" s="2441"/>
      <c r="I1065" s="1658"/>
      <c r="J1065" s="1658"/>
      <c r="K1065" s="2446" t="s">
        <v>3328</v>
      </c>
      <c r="L1065" s="2447">
        <v>44</v>
      </c>
      <c r="M1065" s="2453">
        <v>0.05</v>
      </c>
      <c r="N1065" s="2453">
        <v>0.09</v>
      </c>
      <c r="O1065" s="2454">
        <f>(N1065-M1065)*44</f>
        <v>1.76</v>
      </c>
      <c r="P1065" s="2455">
        <f>(N1065-M1065)/0.05</f>
        <v>0.8</v>
      </c>
      <c r="Q1065" s="2450"/>
    </row>
    <row r="1066" ht="25" customHeight="1" spans="1:1024 1025:16384">
      <c r="D1066" s="2445">
        <v>8</v>
      </c>
      <c r="E1066" s="2445" t="s">
        <v>3330</v>
      </c>
      <c r="F1066" s="2440"/>
      <c r="G1066" s="2441"/>
      <c r="H1066" s="2441"/>
      <c r="I1066" s="1658"/>
      <c r="J1066" s="1658"/>
      <c r="K1066" s="2446" t="s">
        <v>3331</v>
      </c>
      <c r="L1066" s="2447">
        <v>52</v>
      </c>
      <c r="M1066" s="2453">
        <v>0.0035</v>
      </c>
      <c r="N1066" s="2453">
        <v>0.007</v>
      </c>
      <c r="O1066" s="2454">
        <f>(N1066-M1066)*52</f>
        <v>0.182</v>
      </c>
      <c r="P1066" s="2449">
        <f>(N1066-M1066)/M1066</f>
        <v>1</v>
      </c>
      <c r="Q1066" s="2450"/>
    </row>
    <row r="1067" ht="25" customHeight="1" spans="1:1024 1025:16384">
      <c r="A1067" s="989"/>
      <c r="B1067" s="990"/>
      <c r="D1067" s="2445">
        <v>9</v>
      </c>
      <c r="E1067" s="2445" t="s">
        <v>3332</v>
      </c>
      <c r="F1067" s="2440"/>
      <c r="G1067" s="2441"/>
      <c r="H1067" s="2441"/>
      <c r="I1067" s="1658"/>
      <c r="J1067" s="1658"/>
      <c r="K1067" s="2446" t="s">
        <v>3333</v>
      </c>
      <c r="L1067" s="2447">
        <v>36</v>
      </c>
      <c r="M1067" s="2453">
        <v>0.0052</v>
      </c>
      <c r="N1067" s="2453">
        <v>0.008</v>
      </c>
      <c r="O1067" s="2454">
        <f>(N1067-M1067)*36</f>
        <v>0.1008</v>
      </c>
      <c r="P1067" s="2449">
        <f>(N1067-M1067)/M1067</f>
        <v>0.538461538461539</v>
      </c>
      <c r="Q1067" s="2450"/>
      <c r="S1067" s="989"/>
      <c r="T1067" s="989"/>
      <c r="U1067" s="42"/>
      <c r="V1067" s="42"/>
      <c r="W1067" s="42"/>
      <c r="X1067" s="2163"/>
      <c r="Y1067" s="42"/>
      <c r="Z1067" s="989"/>
      <c r="AA1067" s="42"/>
      <c r="AB1067" s="42"/>
      <c r="AC1067" s="2163"/>
      <c r="AD1067" s="989"/>
      <c r="AE1067" s="989"/>
      <c r="AF1067" s="989"/>
      <c r="AG1067" s="989"/>
      <c r="AH1067" s="989"/>
      <c r="AI1067" s="989"/>
      <c r="AJ1067" s="989"/>
      <c r="AK1067" s="989"/>
      <c r="AL1067" s="989"/>
      <c r="AM1067" s="989"/>
      <c r="AN1067" s="989"/>
      <c r="AO1067" s="989"/>
      <c r="AP1067" s="989"/>
      <c r="AQ1067" s="989"/>
      <c r="AR1067" s="989"/>
      <c r="AS1067" s="989"/>
      <c r="AT1067" s="989"/>
      <c r="AU1067" s="989"/>
      <c r="AV1067" s="989"/>
      <c r="AW1067" s="989"/>
      <c r="AX1067" s="989"/>
      <c r="AY1067" s="989"/>
      <c r="AZ1067" s="989"/>
      <c r="BA1067" s="989"/>
      <c r="BB1067" s="989"/>
      <c r="BC1067" s="989"/>
      <c r="BD1067" s="989"/>
      <c r="BE1067" s="989"/>
      <c r="BF1067" s="989"/>
      <c r="BG1067" s="989"/>
      <c r="BH1067" s="989"/>
      <c r="BI1067" s="989"/>
      <c r="BJ1067" s="989"/>
      <c r="BK1067" s="989"/>
      <c r="BL1067" s="989"/>
      <c r="BM1067" s="989"/>
      <c r="BN1067" s="989"/>
      <c r="BO1067" s="989"/>
      <c r="BP1067" s="989"/>
      <c r="BQ1067" s="989"/>
      <c r="BR1067" s="989"/>
      <c r="BS1067" s="989"/>
      <c r="BT1067" s="989"/>
      <c r="BU1067" s="989"/>
      <c r="BV1067" s="989"/>
      <c r="BW1067" s="989"/>
      <c r="BX1067" s="989"/>
      <c r="BY1067" s="989"/>
      <c r="BZ1067" s="989"/>
      <c r="CA1067" s="989"/>
      <c r="CB1067" s="989"/>
      <c r="CC1067" s="989"/>
      <c r="CD1067" s="989"/>
      <c r="CE1067" s="989"/>
      <c r="CF1067" s="989"/>
      <c r="CG1067" s="989"/>
      <c r="CH1067" s="989"/>
      <c r="CI1067" s="989"/>
      <c r="CJ1067" s="989"/>
      <c r="CK1067" s="989"/>
      <c r="CL1067" s="989"/>
      <c r="CM1067" s="989"/>
      <c r="CN1067" s="989"/>
      <c r="CO1067" s="989"/>
      <c r="CP1067" s="989"/>
      <c r="CQ1067" s="989"/>
      <c r="CR1067" s="989"/>
      <c r="CS1067" s="989"/>
      <c r="CT1067" s="989"/>
      <c r="CU1067" s="989"/>
      <c r="CV1067" s="989"/>
      <c r="CW1067" s="989"/>
      <c r="CX1067" s="989"/>
      <c r="CY1067" s="989"/>
      <c r="CZ1067" s="989"/>
      <c r="DA1067" s="989"/>
      <c r="DB1067" s="989"/>
      <c r="DC1067" s="989"/>
      <c r="DD1067" s="989"/>
      <c r="DE1067" s="989"/>
      <c r="DF1067" s="989"/>
      <c r="DG1067" s="989"/>
      <c r="DH1067" s="989"/>
      <c r="DI1067" s="989"/>
      <c r="DJ1067" s="989"/>
      <c r="DK1067" s="989"/>
      <c r="DL1067" s="989"/>
      <c r="DM1067" s="989"/>
      <c r="DN1067" s="989"/>
      <c r="DO1067" s="989"/>
      <c r="DP1067" s="989"/>
      <c r="DQ1067" s="989"/>
      <c r="DR1067" s="989"/>
      <c r="DS1067" s="989"/>
      <c r="DT1067" s="989"/>
      <c r="DU1067" s="989"/>
      <c r="DV1067" s="989"/>
      <c r="DW1067" s="989"/>
      <c r="DX1067" s="989"/>
      <c r="DY1067" s="989"/>
      <c r="DZ1067" s="989"/>
      <c r="EA1067" s="989"/>
      <c r="EB1067" s="989"/>
      <c r="EC1067" s="989"/>
      <c r="ED1067" s="989"/>
      <c r="EE1067" s="989"/>
      <c r="EF1067" s="989"/>
      <c r="EG1067" s="989"/>
      <c r="EH1067" s="989"/>
      <c r="EI1067" s="989"/>
      <c r="EJ1067" s="989"/>
      <c r="EK1067" s="989"/>
      <c r="EL1067" s="989"/>
      <c r="EM1067" s="989"/>
      <c r="EN1067" s="989"/>
      <c r="EO1067" s="989"/>
      <c r="EP1067" s="989"/>
      <c r="EQ1067" s="989"/>
      <c r="ER1067" s="989"/>
      <c r="ES1067" s="989"/>
      <c r="ET1067" s="989"/>
      <c r="EU1067" s="989"/>
      <c r="EV1067" s="989"/>
      <c r="EW1067" s="989"/>
      <c r="EX1067" s="989"/>
      <c r="EY1067" s="989"/>
      <c r="EZ1067" s="989"/>
      <c r="FA1067" s="989"/>
      <c r="FB1067" s="989"/>
      <c r="FC1067" s="989"/>
      <c r="FD1067" s="989"/>
      <c r="FE1067" s="989"/>
      <c r="FF1067" s="989"/>
      <c r="FG1067" s="989"/>
      <c r="FH1067" s="989"/>
      <c r="FI1067" s="989"/>
      <c r="FJ1067" s="989"/>
      <c r="FK1067" s="989"/>
      <c r="FL1067" s="989"/>
      <c r="FM1067" s="989"/>
      <c r="FN1067" s="989"/>
      <c r="FO1067" s="989"/>
      <c r="FP1067" s="989"/>
      <c r="FQ1067" s="989"/>
      <c r="FR1067" s="989"/>
      <c r="FS1067" s="989"/>
      <c r="FT1067" s="989"/>
      <c r="FU1067" s="989"/>
      <c r="FV1067" s="989"/>
      <c r="FW1067" s="989"/>
      <c r="FX1067" s="989"/>
      <c r="FY1067" s="989"/>
      <c r="FZ1067" s="989"/>
      <c r="GA1067" s="989"/>
      <c r="GB1067" s="989"/>
      <c r="GC1067" s="989"/>
      <c r="GD1067" s="989"/>
      <c r="GE1067" s="989"/>
      <c r="GF1067" s="989"/>
      <c r="GG1067" s="989"/>
      <c r="GH1067" s="989"/>
      <c r="GI1067" s="989"/>
      <c r="GJ1067" s="989"/>
      <c r="GK1067" s="989"/>
      <c r="GL1067" s="989"/>
      <c r="GM1067" s="989"/>
      <c r="GN1067" s="989"/>
      <c r="GO1067" s="989"/>
      <c r="GP1067" s="989"/>
      <c r="GQ1067" s="989"/>
      <c r="GR1067" s="989"/>
      <c r="GS1067" s="989"/>
      <c r="GT1067" s="989"/>
      <c r="GU1067" s="989"/>
      <c r="GV1067" s="989"/>
      <c r="GW1067" s="989"/>
      <c r="GX1067" s="989"/>
      <c r="GY1067" s="989"/>
      <c r="GZ1067" s="989"/>
      <c r="HA1067" s="989"/>
      <c r="HB1067" s="989"/>
      <c r="HC1067" s="989"/>
      <c r="HD1067" s="989"/>
      <c r="HE1067" s="989"/>
      <c r="HF1067" s="989"/>
      <c r="HG1067" s="989"/>
      <c r="HH1067" s="989"/>
      <c r="HI1067" s="989"/>
      <c r="HJ1067" s="989"/>
      <c r="HK1067" s="989"/>
      <c r="HL1067" s="989"/>
      <c r="HM1067" s="989"/>
      <c r="HN1067" s="989"/>
      <c r="HO1067" s="989"/>
      <c r="HP1067" s="989"/>
      <c r="HQ1067" s="989"/>
      <c r="HR1067" s="989"/>
      <c r="HS1067" s="989"/>
      <c r="HT1067" s="989"/>
      <c r="HU1067" s="989"/>
      <c r="HV1067" s="989"/>
      <c r="HW1067" s="989"/>
      <c r="HX1067" s="989"/>
      <c r="HY1067" s="989"/>
      <c r="HZ1067" s="989"/>
      <c r="IA1067" s="989"/>
      <c r="IB1067" s="989"/>
      <c r="IC1067" s="989"/>
      <c r="ID1067" s="989"/>
      <c r="IE1067" s="989"/>
      <c r="IF1067" s="989"/>
      <c r="IG1067" s="989"/>
      <c r="IH1067" s="989"/>
      <c r="II1067" s="989"/>
      <c r="IJ1067" s="989"/>
      <c r="IK1067" s="989"/>
      <c r="IL1067" s="989"/>
      <c r="IM1067" s="989"/>
      <c r="IN1067" s="989"/>
      <c r="IO1067" s="989"/>
      <c r="IP1067" s="989"/>
      <c r="IQ1067" s="989"/>
      <c r="IR1067" s="989"/>
      <c r="IS1067" s="989"/>
      <c r="IT1067" s="989"/>
      <c r="IU1067" s="989"/>
      <c r="IV1067" s="989"/>
      <c r="IW1067" s="989"/>
      <c r="IX1067" s="989"/>
      <c r="IY1067" s="989"/>
      <c r="IZ1067" s="989"/>
      <c r="JA1067" s="989"/>
      <c r="JB1067" s="989"/>
      <c r="JC1067" s="989"/>
      <c r="JD1067" s="989"/>
      <c r="JE1067" s="989"/>
      <c r="JF1067" s="989"/>
      <c r="JG1067" s="989"/>
      <c r="JH1067" s="989"/>
      <c r="JI1067" s="989"/>
      <c r="JJ1067" s="989"/>
      <c r="JK1067" s="989"/>
      <c r="JL1067" s="989"/>
      <c r="JM1067" s="989"/>
      <c r="JN1067" s="989"/>
      <c r="JO1067" s="989"/>
      <c r="JP1067" s="989"/>
      <c r="JQ1067" s="989"/>
      <c r="JR1067" s="989"/>
      <c r="JS1067" s="989"/>
      <c r="JT1067" s="989"/>
      <c r="JU1067" s="989"/>
      <c r="JV1067" s="989"/>
      <c r="JW1067" s="989"/>
      <c r="JX1067" s="989"/>
      <c r="JY1067" s="989"/>
      <c r="JZ1067" s="989"/>
      <c r="KA1067" s="989"/>
      <c r="KB1067" s="989"/>
      <c r="KC1067" s="989"/>
      <c r="KD1067" s="989"/>
      <c r="KE1067" s="989"/>
      <c r="KF1067" s="989"/>
      <c r="KG1067" s="989"/>
      <c r="KH1067" s="989"/>
      <c r="KI1067" s="989"/>
      <c r="KJ1067" s="989"/>
      <c r="KK1067" s="989"/>
      <c r="KL1067" s="989"/>
      <c r="KM1067" s="989"/>
      <c r="KN1067" s="989"/>
      <c r="KO1067" s="989"/>
      <c r="KP1067" s="989"/>
      <c r="KQ1067" s="989"/>
      <c r="KR1067" s="989"/>
      <c r="KS1067" s="989"/>
      <c r="KT1067" s="989"/>
      <c r="KU1067" s="989"/>
      <c r="KV1067" s="989"/>
      <c r="KW1067" s="989"/>
      <c r="KX1067" s="989"/>
      <c r="KY1067" s="989"/>
      <c r="KZ1067" s="989"/>
      <c r="LA1067" s="989"/>
      <c r="LB1067" s="989"/>
      <c r="LC1067" s="989"/>
      <c r="LD1067" s="989"/>
      <c r="LE1067" s="989"/>
      <c r="LF1067" s="989"/>
      <c r="LG1067" s="989"/>
      <c r="LH1067" s="989"/>
      <c r="LI1067" s="989"/>
      <c r="LJ1067" s="989"/>
      <c r="LK1067" s="989"/>
      <c r="LL1067" s="989"/>
      <c r="LM1067" s="989"/>
      <c r="LN1067" s="989"/>
      <c r="LO1067" s="989"/>
      <c r="LP1067" s="989"/>
      <c r="LQ1067" s="989"/>
      <c r="LR1067" s="989"/>
      <c r="LS1067" s="989"/>
      <c r="LT1067" s="989"/>
      <c r="LU1067" s="989"/>
      <c r="LV1067" s="989"/>
      <c r="LW1067" s="989"/>
      <c r="LX1067" s="989"/>
      <c r="LY1067" s="989"/>
      <c r="LZ1067" s="989"/>
      <c r="MA1067" s="989"/>
      <c r="MB1067" s="989"/>
      <c r="MC1067" s="989"/>
      <c r="MD1067" s="989"/>
      <c r="ME1067" s="989"/>
      <c r="MF1067" s="989"/>
      <c r="MG1067" s="989"/>
      <c r="MH1067" s="989"/>
      <c r="MI1067" s="989"/>
      <c r="MJ1067" s="989"/>
      <c r="MK1067" s="989"/>
      <c r="ML1067" s="989"/>
      <c r="MM1067" s="989"/>
      <c r="MN1067" s="989"/>
      <c r="MO1067" s="989"/>
      <c r="MP1067" s="989"/>
      <c r="MQ1067" s="989"/>
      <c r="MR1067" s="989"/>
      <c r="MS1067" s="989"/>
      <c r="MT1067" s="989"/>
      <c r="MU1067" s="989"/>
      <c r="MV1067" s="989"/>
      <c r="MW1067" s="989"/>
      <c r="MX1067" s="989"/>
      <c r="MY1067" s="989"/>
      <c r="MZ1067" s="989"/>
      <c r="NA1067" s="989"/>
      <c r="NB1067" s="989"/>
      <c r="NC1067" s="989"/>
      <c r="ND1067" s="989"/>
      <c r="NE1067" s="989"/>
      <c r="NF1067" s="989"/>
      <c r="NG1067" s="989"/>
      <c r="NH1067" s="989"/>
      <c r="NI1067" s="989"/>
      <c r="NJ1067" s="989"/>
      <c r="NK1067" s="989"/>
      <c r="NL1067" s="989"/>
      <c r="NM1067" s="989"/>
      <c r="NN1067" s="989"/>
      <c r="NO1067" s="989"/>
      <c r="NP1067" s="989"/>
      <c r="NQ1067" s="989"/>
      <c r="NR1067" s="989"/>
      <c r="NS1067" s="989"/>
      <c r="NT1067" s="989"/>
      <c r="NU1067" s="989"/>
      <c r="NV1067" s="989"/>
      <c r="NW1067" s="989"/>
      <c r="NX1067" s="989"/>
      <c r="NY1067" s="989"/>
      <c r="NZ1067" s="989"/>
      <c r="OA1067" s="989"/>
      <c r="OB1067" s="989"/>
      <c r="OC1067" s="989"/>
      <c r="OD1067" s="989"/>
      <c r="OE1067" s="989"/>
      <c r="OF1067" s="989"/>
      <c r="OG1067" s="989"/>
      <c r="OH1067" s="989"/>
      <c r="OI1067" s="989"/>
      <c r="OJ1067" s="989"/>
      <c r="OK1067" s="989"/>
      <c r="OL1067" s="989"/>
      <c r="OM1067" s="989"/>
      <c r="ON1067" s="989"/>
      <c r="OO1067" s="989"/>
      <c r="OP1067" s="989"/>
      <c r="OQ1067" s="989"/>
      <c r="OR1067" s="989"/>
      <c r="OS1067" s="989"/>
      <c r="OT1067" s="989"/>
      <c r="OU1067" s="989"/>
      <c r="OV1067" s="989"/>
      <c r="OW1067" s="989"/>
      <c r="OX1067" s="989"/>
      <c r="OY1067" s="989"/>
      <c r="OZ1067" s="989"/>
      <c r="PA1067" s="989"/>
      <c r="PB1067" s="989"/>
      <c r="PC1067" s="989"/>
      <c r="PD1067" s="989"/>
      <c r="PE1067" s="989"/>
      <c r="PF1067" s="989"/>
      <c r="PG1067" s="989"/>
      <c r="PH1067" s="989"/>
      <c r="PI1067" s="989"/>
      <c r="PJ1067" s="989"/>
      <c r="PK1067" s="989"/>
      <c r="PL1067" s="989"/>
      <c r="PM1067" s="989"/>
      <c r="PN1067" s="989"/>
      <c r="PO1067" s="989"/>
      <c r="PP1067" s="989"/>
      <c r="PQ1067" s="989"/>
      <c r="PR1067" s="989"/>
      <c r="PS1067" s="989"/>
      <c r="PT1067" s="989"/>
      <c r="PU1067" s="989"/>
      <c r="PV1067" s="989"/>
      <c r="PW1067" s="989"/>
      <c r="PX1067" s="989"/>
      <c r="PY1067" s="989"/>
      <c r="PZ1067" s="989"/>
      <c r="QA1067" s="989"/>
      <c r="QB1067" s="989"/>
      <c r="QC1067" s="989"/>
      <c r="QD1067" s="989"/>
      <c r="QE1067" s="989"/>
      <c r="QF1067" s="989"/>
      <c r="QG1067" s="989"/>
      <c r="QH1067" s="989"/>
      <c r="QI1067" s="989"/>
      <c r="QJ1067" s="989"/>
      <c r="QK1067" s="989"/>
      <c r="QL1067" s="989"/>
      <c r="QM1067" s="989"/>
      <c r="QN1067" s="989"/>
      <c r="QO1067" s="989"/>
      <c r="QP1067" s="989"/>
      <c r="QQ1067" s="989"/>
      <c r="QR1067" s="989"/>
      <c r="QS1067" s="989"/>
      <c r="QT1067" s="989"/>
      <c r="QU1067" s="989"/>
      <c r="QV1067" s="989"/>
      <c r="QW1067" s="989"/>
      <c r="QX1067" s="989"/>
      <c r="QY1067" s="989"/>
      <c r="QZ1067" s="989"/>
      <c r="RA1067" s="989"/>
      <c r="RB1067" s="989"/>
      <c r="RC1067" s="989"/>
      <c r="RD1067" s="989"/>
      <c r="RE1067" s="989"/>
      <c r="RF1067" s="989"/>
      <c r="RG1067" s="989"/>
      <c r="RH1067" s="989"/>
      <c r="RI1067" s="989"/>
      <c r="RJ1067" s="989"/>
      <c r="RK1067" s="989"/>
      <c r="RL1067" s="989"/>
      <c r="RM1067" s="989"/>
      <c r="RN1067" s="989"/>
      <c r="RO1067" s="989"/>
      <c r="RP1067" s="989"/>
      <c r="RQ1067" s="989"/>
      <c r="RR1067" s="989"/>
      <c r="RS1067" s="989"/>
      <c r="RT1067" s="989"/>
      <c r="RU1067" s="989"/>
      <c r="RV1067" s="989"/>
      <c r="RW1067" s="989"/>
      <c r="RX1067" s="989"/>
      <c r="RY1067" s="989"/>
      <c r="RZ1067" s="989"/>
      <c r="SA1067" s="989"/>
      <c r="SB1067" s="989"/>
      <c r="SC1067" s="989"/>
      <c r="SD1067" s="989"/>
      <c r="SE1067" s="989"/>
      <c r="SF1067" s="989"/>
      <c r="SG1067" s="989"/>
      <c r="SH1067" s="989"/>
      <c r="SI1067" s="989"/>
      <c r="SJ1067" s="989"/>
      <c r="SK1067" s="989"/>
      <c r="SL1067" s="989"/>
      <c r="SM1067" s="989"/>
      <c r="SN1067" s="989"/>
      <c r="SO1067" s="989"/>
      <c r="SP1067" s="989"/>
      <c r="SQ1067" s="989"/>
      <c r="SR1067" s="989"/>
      <c r="SS1067" s="989"/>
      <c r="ST1067" s="989"/>
      <c r="SU1067" s="989"/>
      <c r="SV1067" s="989"/>
      <c r="SW1067" s="989"/>
      <c r="SX1067" s="989"/>
      <c r="SY1067" s="989"/>
      <c r="SZ1067" s="989"/>
      <c r="TA1067" s="989"/>
      <c r="TB1067" s="989"/>
      <c r="TC1067" s="989"/>
      <c r="TD1067" s="989"/>
      <c r="TE1067" s="989"/>
      <c r="TF1067" s="989"/>
      <c r="TG1067" s="989"/>
      <c r="TH1067" s="989"/>
      <c r="TI1067" s="989"/>
      <c r="TJ1067" s="989"/>
      <c r="TK1067" s="989"/>
      <c r="TL1067" s="989"/>
      <c r="TM1067" s="989"/>
      <c r="TN1067" s="989"/>
      <c r="TO1067" s="989"/>
      <c r="TP1067" s="989"/>
      <c r="TQ1067" s="989"/>
      <c r="TR1067" s="989"/>
      <c r="TS1067" s="989"/>
      <c r="TT1067" s="989"/>
      <c r="TU1067" s="989"/>
      <c r="TV1067" s="989"/>
      <c r="TW1067" s="989"/>
      <c r="TX1067" s="989"/>
      <c r="TY1067" s="989"/>
      <c r="TZ1067" s="989"/>
      <c r="UA1067" s="989"/>
      <c r="UB1067" s="989"/>
      <c r="UC1067" s="989"/>
      <c r="UD1067" s="989"/>
      <c r="UE1067" s="989"/>
      <c r="UF1067" s="989"/>
      <c r="UG1067" s="989"/>
      <c r="UH1067" s="989"/>
      <c r="UI1067" s="989"/>
      <c r="UJ1067" s="989"/>
      <c r="UK1067" s="989"/>
      <c r="UL1067" s="989"/>
      <c r="UM1067" s="989"/>
      <c r="UN1067" s="989"/>
      <c r="UO1067" s="989"/>
      <c r="UP1067" s="989"/>
      <c r="UQ1067" s="989"/>
      <c r="UR1067" s="989"/>
      <c r="US1067" s="989"/>
      <c r="UT1067" s="989"/>
      <c r="UU1067" s="989"/>
      <c r="UV1067" s="989"/>
      <c r="UW1067" s="989"/>
      <c r="UX1067" s="989"/>
      <c r="UY1067" s="989"/>
      <c r="UZ1067" s="989"/>
      <c r="VA1067" s="989"/>
      <c r="VB1067" s="989"/>
      <c r="VC1067" s="989"/>
      <c r="VD1067" s="989"/>
      <c r="VE1067" s="989"/>
      <c r="VF1067" s="989"/>
      <c r="VG1067" s="989"/>
      <c r="VH1067" s="989"/>
      <c r="VI1067" s="989"/>
      <c r="VJ1067" s="989"/>
      <c r="VK1067" s="989"/>
      <c r="VL1067" s="989"/>
      <c r="VM1067" s="989"/>
      <c r="VN1067" s="989"/>
      <c r="VO1067" s="989"/>
      <c r="VP1067" s="989"/>
      <c r="VQ1067" s="989"/>
      <c r="VR1067" s="989"/>
      <c r="VS1067" s="989"/>
      <c r="VT1067" s="989"/>
      <c r="VU1067" s="989"/>
      <c r="VV1067" s="989"/>
      <c r="VW1067" s="989"/>
      <c r="VX1067" s="989"/>
      <c r="VY1067" s="989"/>
      <c r="VZ1067" s="989"/>
      <c r="WA1067" s="989"/>
      <c r="WB1067" s="989"/>
      <c r="WC1067" s="989"/>
      <c r="WD1067" s="989"/>
      <c r="WE1067" s="989"/>
      <c r="WF1067" s="989"/>
      <c r="WG1067" s="989"/>
      <c r="WH1067" s="989"/>
      <c r="WI1067" s="989"/>
      <c r="WJ1067" s="989"/>
      <c r="WK1067" s="989"/>
      <c r="WL1067" s="989"/>
      <c r="WM1067" s="989"/>
      <c r="WN1067" s="989"/>
      <c r="WO1067" s="989"/>
      <c r="WP1067" s="989"/>
      <c r="WQ1067" s="989"/>
      <c r="WR1067" s="989"/>
      <c r="WS1067" s="989"/>
      <c r="WT1067" s="989"/>
      <c r="WU1067" s="989"/>
      <c r="WV1067" s="989"/>
      <c r="WW1067" s="989"/>
      <c r="WX1067" s="989"/>
      <c r="WY1067" s="989"/>
      <c r="WZ1067" s="989"/>
      <c r="XA1067" s="989"/>
      <c r="XB1067" s="989"/>
      <c r="XC1067" s="989"/>
      <c r="XD1067" s="989"/>
      <c r="XE1067" s="989"/>
      <c r="XF1067" s="989"/>
      <c r="XG1067" s="989"/>
      <c r="XH1067" s="989"/>
      <c r="XI1067" s="989"/>
      <c r="XJ1067" s="989"/>
      <c r="XK1067" s="989"/>
      <c r="XL1067" s="989"/>
      <c r="XM1067" s="989"/>
      <c r="XN1067" s="989"/>
      <c r="XO1067" s="989"/>
      <c r="XP1067" s="989"/>
      <c r="XQ1067" s="989"/>
      <c r="XR1067" s="989"/>
      <c r="XS1067" s="989"/>
      <c r="XT1067" s="989"/>
      <c r="XU1067" s="989"/>
      <c r="XV1067" s="989"/>
      <c r="XW1067" s="989"/>
      <c r="XX1067" s="989"/>
      <c r="XY1067" s="989"/>
      <c r="XZ1067" s="989"/>
      <c r="YA1067" s="989"/>
      <c r="YB1067" s="989"/>
      <c r="YC1067" s="989"/>
      <c r="YD1067" s="989"/>
      <c r="YE1067" s="989"/>
      <c r="YF1067" s="989"/>
      <c r="YG1067" s="989"/>
      <c r="YH1067" s="989"/>
      <c r="YI1067" s="989"/>
      <c r="YJ1067" s="989"/>
      <c r="YK1067" s="989"/>
      <c r="YL1067" s="989"/>
      <c r="YM1067" s="989"/>
      <c r="YN1067" s="989"/>
      <c r="YO1067" s="989"/>
      <c r="YP1067" s="989"/>
      <c r="YQ1067" s="989"/>
      <c r="YR1067" s="989"/>
      <c r="YS1067" s="989"/>
      <c r="YT1067" s="989"/>
      <c r="YU1067" s="989"/>
      <c r="YV1067" s="989"/>
      <c r="YW1067" s="989"/>
      <c r="YX1067" s="989"/>
      <c r="YY1067" s="989"/>
      <c r="YZ1067" s="989"/>
      <c r="ZA1067" s="989"/>
      <c r="ZB1067" s="989"/>
      <c r="ZC1067" s="989"/>
      <c r="ZD1067" s="989"/>
      <c r="ZE1067" s="989"/>
      <c r="ZF1067" s="989"/>
      <c r="ZG1067" s="989"/>
      <c r="ZH1067" s="989"/>
      <c r="ZI1067" s="989"/>
      <c r="ZJ1067" s="989"/>
      <c r="ZK1067" s="989"/>
      <c r="ZL1067" s="989"/>
      <c r="ZM1067" s="989"/>
      <c r="ZN1067" s="989"/>
      <c r="ZO1067" s="989"/>
      <c r="ZP1067" s="989"/>
      <c r="ZQ1067" s="989"/>
      <c r="ZR1067" s="989"/>
      <c r="ZS1067" s="989"/>
      <c r="ZT1067" s="989"/>
      <c r="ZU1067" s="989"/>
      <c r="ZV1067" s="989"/>
      <c r="ZW1067" s="989"/>
      <c r="ZX1067" s="989"/>
      <c r="ZY1067" s="989"/>
      <c r="ZZ1067" s="989"/>
      <c r="AAA1067" s="989"/>
      <c r="AAB1067" s="989"/>
      <c r="AAC1067" s="989"/>
      <c r="AAD1067" s="989"/>
      <c r="AAE1067" s="989"/>
      <c r="AAF1067" s="989"/>
      <c r="AAG1067" s="989"/>
      <c r="AAH1067" s="989"/>
      <c r="AAI1067" s="989"/>
      <c r="AAJ1067" s="989"/>
      <c r="AAK1067" s="989"/>
      <c r="AAL1067" s="989"/>
      <c r="AAM1067" s="989"/>
      <c r="AAN1067" s="989"/>
      <c r="AAO1067" s="989"/>
      <c r="AAP1067" s="989"/>
      <c r="AAQ1067" s="989"/>
      <c r="AAR1067" s="989"/>
      <c r="AAS1067" s="989"/>
      <c r="AAT1067" s="989"/>
      <c r="AAU1067" s="989"/>
      <c r="AAV1067" s="989"/>
      <c r="AAW1067" s="989"/>
      <c r="AAX1067" s="989"/>
      <c r="AAY1067" s="989"/>
      <c r="AAZ1067" s="989"/>
      <c r="ABA1067" s="989"/>
      <c r="ABB1067" s="989"/>
      <c r="ABC1067" s="989"/>
      <c r="ABD1067" s="989"/>
      <c r="ABE1067" s="989"/>
      <c r="ABF1067" s="989"/>
      <c r="ABG1067" s="989"/>
      <c r="ABH1067" s="989"/>
      <c r="ABI1067" s="989"/>
      <c r="ABJ1067" s="989"/>
      <c r="ABK1067" s="989"/>
      <c r="ABL1067" s="989"/>
      <c r="ABM1067" s="989"/>
      <c r="ABN1067" s="989"/>
      <c r="ABO1067" s="989"/>
      <c r="ABP1067" s="989"/>
      <c r="ABQ1067" s="989"/>
      <c r="ABR1067" s="989"/>
      <c r="ABS1067" s="989"/>
      <c r="ABT1067" s="989"/>
      <c r="ABU1067" s="989"/>
      <c r="ABV1067" s="989"/>
      <c r="ABW1067" s="989"/>
      <c r="ABX1067" s="989"/>
      <c r="ABY1067" s="989"/>
      <c r="ABZ1067" s="989"/>
      <c r="ACA1067" s="989"/>
      <c r="ACB1067" s="989"/>
      <c r="ACC1067" s="989"/>
      <c r="ACD1067" s="989"/>
      <c r="ACE1067" s="989"/>
      <c r="ACF1067" s="989"/>
      <c r="ACG1067" s="989"/>
      <c r="ACH1067" s="989"/>
      <c r="ACI1067" s="989"/>
      <c r="ACJ1067" s="989"/>
      <c r="ACK1067" s="989"/>
      <c r="ACL1067" s="989"/>
      <c r="ACM1067" s="989"/>
      <c r="ACN1067" s="989"/>
      <c r="ACO1067" s="989"/>
      <c r="ACP1067" s="989"/>
      <c r="ACQ1067" s="989"/>
      <c r="ACR1067" s="989"/>
      <c r="ACS1067" s="989"/>
      <c r="ACT1067" s="989"/>
      <c r="ACU1067" s="989"/>
      <c r="ACV1067" s="989"/>
      <c r="ACW1067" s="989"/>
      <c r="ACX1067" s="989"/>
      <c r="ACY1067" s="989"/>
      <c r="ACZ1067" s="989"/>
      <c r="ADA1067" s="989"/>
      <c r="ADB1067" s="989"/>
      <c r="ADC1067" s="989"/>
      <c r="ADD1067" s="989"/>
      <c r="ADE1067" s="989"/>
      <c r="ADF1067" s="989"/>
      <c r="ADG1067" s="989"/>
      <c r="ADH1067" s="989"/>
      <c r="ADI1067" s="989"/>
      <c r="ADJ1067" s="989"/>
      <c r="ADK1067" s="989"/>
      <c r="ADL1067" s="989"/>
      <c r="ADM1067" s="989"/>
      <c r="ADN1067" s="989"/>
      <c r="ADO1067" s="989"/>
      <c r="ADP1067" s="989"/>
      <c r="ADQ1067" s="989"/>
      <c r="ADR1067" s="989"/>
      <c r="ADS1067" s="989"/>
      <c r="ADT1067" s="989"/>
      <c r="ADU1067" s="989"/>
      <c r="ADV1067" s="989"/>
      <c r="ADW1067" s="989"/>
      <c r="ADX1067" s="989"/>
      <c r="ADY1067" s="989"/>
      <c r="ADZ1067" s="989"/>
      <c r="AEA1067" s="989"/>
      <c r="AEB1067" s="989"/>
      <c r="AEC1067" s="989"/>
      <c r="AED1067" s="989"/>
      <c r="AEE1067" s="989"/>
      <c r="AEF1067" s="989"/>
      <c r="AEG1067" s="989"/>
      <c r="AEH1067" s="989"/>
      <c r="AEI1067" s="989"/>
      <c r="AEJ1067" s="989"/>
      <c r="AEK1067" s="989"/>
      <c r="AEL1067" s="989"/>
      <c r="AEM1067" s="989"/>
      <c r="AEN1067" s="989"/>
      <c r="AEO1067" s="989"/>
      <c r="AEP1067" s="989"/>
      <c r="AEQ1067" s="989"/>
      <c r="AER1067" s="989"/>
      <c r="AES1067" s="989"/>
      <c r="AET1067" s="989"/>
      <c r="AEU1067" s="989"/>
      <c r="AEV1067" s="989"/>
      <c r="AEW1067" s="989"/>
      <c r="AEX1067" s="989"/>
      <c r="AEY1067" s="989"/>
      <c r="AEZ1067" s="989"/>
      <c r="AFA1067" s="989"/>
      <c r="AFB1067" s="989"/>
      <c r="AFC1067" s="989"/>
      <c r="AFD1067" s="989"/>
      <c r="AFE1067" s="989"/>
      <c r="AFF1067" s="989"/>
      <c r="AFG1067" s="989"/>
      <c r="AFH1067" s="989"/>
      <c r="AFI1067" s="989"/>
      <c r="AFJ1067" s="989"/>
      <c r="AFK1067" s="989"/>
      <c r="AFL1067" s="989"/>
      <c r="AFM1067" s="989"/>
      <c r="AFN1067" s="989"/>
      <c r="AFO1067" s="989"/>
      <c r="AFP1067" s="989"/>
      <c r="AFQ1067" s="989"/>
      <c r="AFR1067" s="989"/>
      <c r="AFS1067" s="989"/>
      <c r="AFT1067" s="989"/>
      <c r="AFU1067" s="989"/>
      <c r="AFV1067" s="989"/>
      <c r="AFW1067" s="989"/>
      <c r="AFX1067" s="989"/>
      <c r="AFY1067" s="989"/>
      <c r="AFZ1067" s="989"/>
      <c r="AGA1067" s="989"/>
      <c r="AGB1067" s="989"/>
      <c r="AGC1067" s="989"/>
      <c r="AGD1067" s="989"/>
      <c r="AGE1067" s="989"/>
      <c r="AGF1067" s="989"/>
      <c r="AGG1067" s="989"/>
      <c r="AGH1067" s="989"/>
      <c r="AGI1067" s="989"/>
      <c r="AGJ1067" s="989"/>
      <c r="AGK1067" s="989"/>
      <c r="AGL1067" s="989"/>
      <c r="AGM1067" s="989"/>
      <c r="AGN1067" s="989"/>
      <c r="AGO1067" s="989"/>
      <c r="AGP1067" s="989"/>
      <c r="AGQ1067" s="989"/>
      <c r="AGR1067" s="989"/>
      <c r="AGS1067" s="989"/>
      <c r="AGT1067" s="989"/>
      <c r="AGU1067" s="989"/>
      <c r="AGV1067" s="989"/>
      <c r="AGW1067" s="989"/>
      <c r="AGX1067" s="989"/>
      <c r="AGY1067" s="989"/>
      <c r="AGZ1067" s="989"/>
      <c r="AHA1067" s="989"/>
      <c r="AHB1067" s="989"/>
      <c r="AHC1067" s="989"/>
      <c r="AHD1067" s="989"/>
      <c r="AHE1067" s="989"/>
      <c r="AHF1067" s="989"/>
      <c r="AHG1067" s="989"/>
      <c r="AHH1067" s="989"/>
      <c r="AHI1067" s="989"/>
      <c r="AHJ1067" s="989"/>
      <c r="AHK1067" s="989"/>
      <c r="AHL1067" s="989"/>
      <c r="AHM1067" s="989"/>
      <c r="AHN1067" s="989"/>
      <c r="AHO1067" s="989"/>
      <c r="AHP1067" s="989"/>
      <c r="AHQ1067" s="989"/>
      <c r="AHR1067" s="989"/>
      <c r="AHS1067" s="989"/>
      <c r="AHT1067" s="989"/>
      <c r="AHU1067" s="989"/>
      <c r="AHV1067" s="989"/>
      <c r="AHW1067" s="989"/>
      <c r="AHX1067" s="989"/>
      <c r="AHY1067" s="989"/>
      <c r="AHZ1067" s="989"/>
      <c r="AIA1067" s="989"/>
      <c r="AIB1067" s="989"/>
      <c r="AIC1067" s="989"/>
      <c r="AID1067" s="989"/>
      <c r="AIE1067" s="989"/>
      <c r="AIF1067" s="989"/>
      <c r="AIG1067" s="989"/>
      <c r="AIH1067" s="989"/>
      <c r="AII1067" s="989"/>
      <c r="AIJ1067" s="989"/>
      <c r="AIK1067" s="989"/>
      <c r="AIL1067" s="989"/>
      <c r="AIM1067" s="989"/>
      <c r="AIN1067" s="989"/>
      <c r="AIO1067" s="989"/>
      <c r="AIP1067" s="989"/>
      <c r="AIQ1067" s="989"/>
      <c r="AIR1067" s="989"/>
      <c r="AIS1067" s="989"/>
      <c r="AIT1067" s="989"/>
      <c r="AIU1067" s="989"/>
      <c r="AIV1067" s="989"/>
      <c r="AIW1067" s="989"/>
      <c r="AIX1067" s="989"/>
      <c r="AIY1067" s="989"/>
      <c r="AIZ1067" s="989"/>
      <c r="AJA1067" s="989"/>
      <c r="AJB1067" s="989"/>
      <c r="AJC1067" s="989"/>
      <c r="AJD1067" s="989"/>
      <c r="AJE1067" s="989"/>
      <c r="AJF1067" s="989"/>
      <c r="AJG1067" s="989"/>
      <c r="AJH1067" s="989"/>
      <c r="AJI1067" s="989"/>
      <c r="AJJ1067" s="989"/>
      <c r="AJK1067" s="989"/>
      <c r="AJL1067" s="989"/>
      <c r="AJM1067" s="989"/>
      <c r="AJN1067" s="989"/>
      <c r="AJO1067" s="989"/>
      <c r="AJP1067" s="989"/>
      <c r="AJQ1067" s="989"/>
      <c r="AJR1067" s="989"/>
      <c r="AJS1067" s="989"/>
      <c r="AJT1067" s="989"/>
      <c r="AJU1067" s="989"/>
      <c r="AJV1067" s="989"/>
      <c r="AJW1067" s="989"/>
      <c r="AJX1067" s="989"/>
      <c r="AJY1067" s="989"/>
      <c r="AJZ1067" s="989"/>
      <c r="AKA1067" s="989"/>
      <c r="AKB1067" s="989"/>
      <c r="AKC1067" s="989"/>
      <c r="AKD1067" s="989"/>
      <c r="AKE1067" s="989"/>
      <c r="AKF1067" s="989"/>
      <c r="AKG1067" s="989"/>
      <c r="AKH1067" s="989"/>
      <c r="AKI1067" s="989"/>
      <c r="AKJ1067" s="989"/>
      <c r="AKK1067" s="989"/>
      <c r="AKL1067" s="989"/>
      <c r="AKM1067" s="989"/>
      <c r="AKN1067" s="989"/>
      <c r="AKO1067" s="989"/>
      <c r="AKP1067" s="989"/>
      <c r="AKQ1067" s="989"/>
      <c r="AKR1067" s="989"/>
      <c r="AKS1067" s="989"/>
      <c r="AKT1067" s="989"/>
      <c r="AKU1067" s="989"/>
      <c r="AKV1067" s="989"/>
      <c r="AKW1067" s="989"/>
      <c r="AKX1067" s="989"/>
      <c r="AKY1067" s="989"/>
      <c r="AKZ1067" s="989"/>
      <c r="ALA1067" s="989"/>
      <c r="ALB1067" s="989"/>
      <c r="ALC1067" s="989"/>
      <c r="ALD1067" s="989"/>
      <c r="ALE1067" s="989"/>
      <c r="ALF1067" s="989"/>
      <c r="ALG1067" s="989"/>
      <c r="ALH1067" s="989"/>
      <c r="ALI1067" s="989"/>
      <c r="ALJ1067" s="989"/>
      <c r="ALK1067" s="989"/>
      <c r="ALL1067" s="989"/>
      <c r="ALM1067" s="989"/>
      <c r="ALN1067" s="989"/>
      <c r="ALO1067" s="989"/>
      <c r="ALP1067" s="989"/>
      <c r="ALQ1067" s="989"/>
      <c r="ALR1067" s="989"/>
      <c r="ALS1067" s="989"/>
      <c r="ALT1067" s="989"/>
      <c r="ALU1067" s="989"/>
      <c r="ALV1067" s="989"/>
      <c r="ALW1067" s="989"/>
      <c r="ALX1067" s="989"/>
      <c r="ALY1067" s="989"/>
      <c r="ALZ1067" s="989"/>
      <c r="AMA1067" s="989"/>
      <c r="AMB1067" s="989"/>
      <c r="AMC1067" s="989"/>
      <c r="AMD1067" s="989"/>
      <c r="AME1067" s="989"/>
      <c r="AMF1067" s="989"/>
      <c r="AMG1067" s="989"/>
      <c r="AMH1067" s="989"/>
      <c r="AMI1067" s="989"/>
      <c r="AMJ1067" s="989"/>
      <c r="AMK1067" s="989"/>
      <c r="AML1067" s="989"/>
      <c r="AMM1067" s="989"/>
      <c r="AMN1067" s="989"/>
      <c r="AMO1067" s="989"/>
      <c r="AMP1067" s="989"/>
      <c r="AMQ1067" s="989"/>
      <c r="AMR1067" s="989"/>
      <c r="AMS1067" s="989"/>
      <c r="AMT1067" s="989"/>
      <c r="AMU1067" s="989"/>
      <c r="AMV1067" s="989"/>
      <c r="AMW1067" s="989"/>
      <c r="AMX1067" s="989"/>
      <c r="AMY1067" s="989"/>
      <c r="AMZ1067" s="989"/>
      <c r="ANA1067" s="989"/>
      <c r="ANB1067" s="989"/>
      <c r="ANC1067" s="989"/>
      <c r="AND1067" s="989"/>
      <c r="ANE1067" s="989"/>
      <c r="ANF1067" s="989"/>
      <c r="ANG1067" s="989"/>
      <c r="ANH1067" s="989"/>
      <c r="ANI1067" s="989"/>
      <c r="ANJ1067" s="989"/>
      <c r="ANK1067" s="989"/>
      <c r="ANL1067" s="989"/>
      <c r="ANM1067" s="989"/>
      <c r="ANN1067" s="989"/>
      <c r="ANO1067" s="989"/>
      <c r="ANP1067" s="989"/>
      <c r="ANQ1067" s="989"/>
      <c r="ANR1067" s="989"/>
      <c r="ANS1067" s="989"/>
      <c r="ANT1067" s="989"/>
      <c r="ANU1067" s="989"/>
      <c r="ANV1067" s="989"/>
      <c r="ANW1067" s="989"/>
      <c r="ANX1067" s="989"/>
      <c r="ANY1067" s="989"/>
      <c r="ANZ1067" s="989"/>
      <c r="AOA1067" s="989"/>
      <c r="AOB1067" s="989"/>
      <c r="AOC1067" s="989"/>
      <c r="AOD1067" s="989"/>
      <c r="AOE1067" s="989"/>
      <c r="AOF1067" s="989"/>
      <c r="AOG1067" s="989"/>
      <c r="AOH1067" s="989"/>
      <c r="AOI1067" s="989"/>
      <c r="AOJ1067" s="989"/>
      <c r="AOK1067" s="989"/>
      <c r="AOL1067" s="989"/>
      <c r="AOM1067" s="989"/>
      <c r="AON1067" s="989"/>
      <c r="AOO1067" s="989"/>
      <c r="AOP1067" s="989"/>
      <c r="AOQ1067" s="989"/>
      <c r="AOR1067" s="989"/>
      <c r="AOS1067" s="989"/>
      <c r="AOT1067" s="989"/>
      <c r="AOU1067" s="989"/>
      <c r="AOV1067" s="989"/>
      <c r="AOW1067" s="989"/>
      <c r="AOX1067" s="989"/>
      <c r="AOY1067" s="989"/>
      <c r="AOZ1067" s="989"/>
      <c r="APA1067" s="989"/>
      <c r="APB1067" s="989"/>
      <c r="APC1067" s="989"/>
      <c r="APD1067" s="989"/>
      <c r="APE1067" s="989"/>
      <c r="APF1067" s="989"/>
      <c r="APG1067" s="989"/>
      <c r="APH1067" s="989"/>
      <c r="API1067" s="989"/>
      <c r="APJ1067" s="989"/>
      <c r="APK1067" s="989"/>
      <c r="APL1067" s="989"/>
      <c r="APM1067" s="989"/>
      <c r="APN1067" s="989"/>
      <c r="APO1067" s="989"/>
      <c r="APP1067" s="989"/>
      <c r="APQ1067" s="989"/>
      <c r="APR1067" s="989"/>
      <c r="APS1067" s="989"/>
      <c r="APT1067" s="989"/>
      <c r="APU1067" s="989"/>
      <c r="APV1067" s="989"/>
      <c r="APW1067" s="989"/>
      <c r="APX1067" s="989"/>
      <c r="APY1067" s="989"/>
      <c r="APZ1067" s="989"/>
      <c r="AQA1067" s="989"/>
      <c r="AQB1067" s="989"/>
      <c r="AQC1067" s="989"/>
      <c r="AQD1067" s="989"/>
      <c r="AQE1067" s="989"/>
      <c r="AQF1067" s="989"/>
      <c r="AQG1067" s="989"/>
      <c r="AQH1067" s="989"/>
      <c r="AQI1067" s="989"/>
      <c r="AQJ1067" s="989"/>
      <c r="AQK1067" s="989"/>
      <c r="AQL1067" s="989"/>
      <c r="AQM1067" s="989"/>
      <c r="AQN1067" s="989"/>
      <c r="AQO1067" s="989"/>
      <c r="AQP1067" s="989"/>
      <c r="AQQ1067" s="989"/>
      <c r="AQR1067" s="989"/>
      <c r="AQS1067" s="989"/>
      <c r="AQT1067" s="989"/>
      <c r="AQU1067" s="989"/>
      <c r="AQV1067" s="989"/>
      <c r="AQW1067" s="989"/>
      <c r="AQX1067" s="989"/>
      <c r="AQY1067" s="989"/>
      <c r="AQZ1067" s="989"/>
      <c r="ARA1067" s="989"/>
      <c r="ARB1067" s="989"/>
      <c r="ARC1067" s="989"/>
      <c r="ARD1067" s="989"/>
      <c r="ARE1067" s="989"/>
      <c r="ARF1067" s="989"/>
      <c r="ARG1067" s="989"/>
      <c r="ARH1067" s="989"/>
      <c r="ARI1067" s="989"/>
      <c r="ARJ1067" s="989"/>
      <c r="ARK1067" s="989"/>
      <c r="ARL1067" s="989"/>
      <c r="ARM1067" s="989"/>
      <c r="ARN1067" s="989"/>
      <c r="ARO1067" s="989"/>
      <c r="ARP1067" s="989"/>
      <c r="ARQ1067" s="989"/>
      <c r="ARR1067" s="989"/>
      <c r="ARS1067" s="989"/>
      <c r="ART1067" s="989"/>
      <c r="ARU1067" s="989"/>
      <c r="ARV1067" s="989"/>
      <c r="ARW1067" s="989"/>
      <c r="ARX1067" s="989"/>
      <c r="ARY1067" s="989"/>
      <c r="ARZ1067" s="989"/>
      <c r="ASA1067" s="989"/>
      <c r="ASB1067" s="989"/>
      <c r="ASC1067" s="989"/>
      <c r="ASD1067" s="989"/>
      <c r="ASE1067" s="989"/>
      <c r="ASF1067" s="989"/>
      <c r="ASG1067" s="989"/>
      <c r="ASH1067" s="989"/>
      <c r="ASI1067" s="989"/>
      <c r="ASJ1067" s="989"/>
      <c r="ASK1067" s="989"/>
      <c r="ASL1067" s="989"/>
      <c r="ASM1067" s="989"/>
      <c r="ASN1067" s="989"/>
      <c r="ASO1067" s="989"/>
      <c r="ASP1067" s="989"/>
      <c r="ASQ1067" s="989"/>
      <c r="ASR1067" s="989"/>
      <c r="ASS1067" s="989"/>
      <c r="AST1067" s="989"/>
      <c r="ASU1067" s="989"/>
      <c r="ASV1067" s="989"/>
      <c r="ASW1067" s="989"/>
      <c r="ASX1067" s="989"/>
      <c r="ASY1067" s="989"/>
      <c r="ASZ1067" s="989"/>
      <c r="ATA1067" s="989"/>
      <c r="ATB1067" s="989"/>
      <c r="ATC1067" s="989"/>
      <c r="ATD1067" s="989"/>
      <c r="ATE1067" s="989"/>
      <c r="ATF1067" s="989"/>
      <c r="ATG1067" s="989"/>
      <c r="ATH1067" s="989"/>
      <c r="ATI1067" s="989"/>
      <c r="ATJ1067" s="989"/>
      <c r="ATK1067" s="989"/>
      <c r="ATL1067" s="989"/>
      <c r="ATM1067" s="989"/>
      <c r="ATN1067" s="989"/>
      <c r="ATO1067" s="989"/>
      <c r="ATP1067" s="989"/>
      <c r="ATQ1067" s="989"/>
      <c r="ATR1067" s="989"/>
      <c r="ATS1067" s="989"/>
      <c r="ATT1067" s="989"/>
      <c r="ATU1067" s="989"/>
      <c r="ATV1067" s="989"/>
      <c r="ATW1067" s="989"/>
      <c r="ATX1067" s="989"/>
      <c r="ATY1067" s="989"/>
      <c r="ATZ1067" s="989"/>
      <c r="AUA1067" s="989"/>
      <c r="AUB1067" s="989"/>
      <c r="AUC1067" s="989"/>
      <c r="AUD1067" s="989"/>
      <c r="AUE1067" s="989"/>
      <c r="AUF1067" s="989"/>
      <c r="AUG1067" s="989"/>
      <c r="AUH1067" s="989"/>
      <c r="AUI1067" s="989"/>
      <c r="AUJ1067" s="989"/>
      <c r="AUK1067" s="989"/>
      <c r="AUL1067" s="989"/>
      <c r="AUM1067" s="989"/>
      <c r="AUN1067" s="989"/>
      <c r="AUO1067" s="989"/>
      <c r="AUP1067" s="989"/>
      <c r="AUQ1067" s="989"/>
      <c r="AUR1067" s="989"/>
      <c r="AUS1067" s="989"/>
      <c r="AUT1067" s="989"/>
      <c r="AUU1067" s="989"/>
      <c r="AUV1067" s="989"/>
      <c r="AUW1067" s="989"/>
      <c r="AUX1067" s="989"/>
      <c r="AUY1067" s="989"/>
      <c r="AUZ1067" s="989"/>
      <c r="AVA1067" s="989"/>
      <c r="AVB1067" s="989"/>
      <c r="AVC1067" s="989"/>
      <c r="AVD1067" s="989"/>
      <c r="AVE1067" s="989"/>
      <c r="AVF1067" s="989"/>
      <c r="AVG1067" s="989"/>
      <c r="AVH1067" s="989"/>
      <c r="AVI1067" s="989"/>
      <c r="AVJ1067" s="989"/>
      <c r="AVK1067" s="989"/>
      <c r="AVL1067" s="989"/>
      <c r="AVM1067" s="989"/>
      <c r="AVN1067" s="989"/>
      <c r="AVO1067" s="989"/>
      <c r="AVP1067" s="989"/>
      <c r="AVQ1067" s="989"/>
      <c r="AVR1067" s="989"/>
      <c r="AVS1067" s="989"/>
      <c r="AVT1067" s="989"/>
      <c r="AVU1067" s="989"/>
      <c r="AVV1067" s="989"/>
      <c r="AVW1067" s="989"/>
      <c r="AVX1067" s="989"/>
      <c r="AVY1067" s="989"/>
      <c r="AVZ1067" s="989"/>
      <c r="AWA1067" s="989"/>
      <c r="AWB1067" s="989"/>
      <c r="AWC1067" s="989"/>
      <c r="AWD1067" s="989"/>
      <c r="AWE1067" s="989"/>
      <c r="AWF1067" s="989"/>
      <c r="AWG1067" s="989"/>
      <c r="AWH1067" s="989"/>
      <c r="AWI1067" s="989"/>
      <c r="AWJ1067" s="989"/>
      <c r="AWK1067" s="989"/>
      <c r="AWL1067" s="989"/>
      <c r="AWM1067" s="989"/>
      <c r="AWN1067" s="989"/>
      <c r="AWO1067" s="989"/>
      <c r="AWP1067" s="989"/>
      <c r="AWQ1067" s="989"/>
      <c r="AWR1067" s="989"/>
      <c r="AWS1067" s="989"/>
      <c r="AWT1067" s="989"/>
      <c r="AWU1067" s="989"/>
      <c r="AWV1067" s="989"/>
      <c r="AWW1067" s="989"/>
      <c r="AWX1067" s="989"/>
      <c r="AWY1067" s="989"/>
      <c r="AWZ1067" s="989"/>
      <c r="AXA1067" s="989"/>
      <c r="AXB1067" s="989"/>
      <c r="AXC1067" s="989"/>
      <c r="AXD1067" s="989"/>
      <c r="AXE1067" s="989"/>
      <c r="AXF1067" s="989"/>
      <c r="AXG1067" s="989"/>
      <c r="AXH1067" s="989"/>
      <c r="AXI1067" s="989"/>
      <c r="AXJ1067" s="989"/>
      <c r="AXK1067" s="989"/>
      <c r="AXL1067" s="989"/>
      <c r="AXM1067" s="989"/>
      <c r="AXN1067" s="989"/>
      <c r="AXO1067" s="989"/>
      <c r="AXP1067" s="989"/>
      <c r="AXQ1067" s="989"/>
      <c r="AXR1067" s="989"/>
      <c r="AXS1067" s="989"/>
      <c r="AXT1067" s="989"/>
      <c r="AXU1067" s="989"/>
      <c r="AXV1067" s="989"/>
      <c r="AXW1067" s="989"/>
      <c r="AXX1067" s="989"/>
      <c r="AXY1067" s="989"/>
      <c r="AXZ1067" s="989"/>
      <c r="AYA1067" s="989"/>
      <c r="AYB1067" s="989"/>
      <c r="AYC1067" s="989"/>
      <c r="AYD1067" s="989"/>
      <c r="AYE1067" s="989"/>
      <c r="AYF1067" s="989"/>
      <c r="AYG1067" s="989"/>
      <c r="AYH1067" s="989"/>
      <c r="AYI1067" s="989"/>
      <c r="AYJ1067" s="989"/>
      <c r="AYK1067" s="989"/>
      <c r="AYL1067" s="989"/>
      <c r="AYM1067" s="989"/>
      <c r="AYN1067" s="989"/>
      <c r="AYO1067" s="989"/>
      <c r="AYP1067" s="989"/>
      <c r="AYQ1067" s="989"/>
      <c r="AYR1067" s="989"/>
      <c r="AYS1067" s="989"/>
      <c r="AYT1067" s="989"/>
      <c r="AYU1067" s="989"/>
      <c r="AYV1067" s="989"/>
      <c r="AYW1067" s="989"/>
      <c r="AYX1067" s="989"/>
      <c r="AYY1067" s="989"/>
      <c r="AYZ1067" s="989"/>
      <c r="AZA1067" s="989"/>
      <c r="AZB1067" s="989"/>
      <c r="AZC1067" s="989"/>
      <c r="AZD1067" s="989"/>
      <c r="AZE1067" s="989"/>
      <c r="AZF1067" s="989"/>
      <c r="AZG1067" s="989"/>
      <c r="AZH1067" s="989"/>
      <c r="AZI1067" s="989"/>
      <c r="AZJ1067" s="989"/>
      <c r="AZK1067" s="989"/>
      <c r="AZL1067" s="989"/>
      <c r="AZM1067" s="989"/>
      <c r="AZN1067" s="989"/>
      <c r="AZO1067" s="989"/>
      <c r="AZP1067" s="989"/>
      <c r="AZQ1067" s="989"/>
      <c r="AZR1067" s="989"/>
      <c r="AZS1067" s="989"/>
      <c r="AZT1067" s="989"/>
      <c r="AZU1067" s="989"/>
      <c r="AZV1067" s="989"/>
      <c r="AZW1067" s="989"/>
      <c r="AZX1067" s="989"/>
      <c r="AZY1067" s="989"/>
      <c r="AZZ1067" s="989"/>
      <c r="BAA1067" s="989"/>
      <c r="BAB1067" s="989"/>
      <c r="BAC1067" s="989"/>
      <c r="BAD1067" s="989"/>
      <c r="BAE1067" s="989"/>
      <c r="BAF1067" s="989"/>
      <c r="BAG1067" s="989"/>
      <c r="BAH1067" s="989"/>
      <c r="BAI1067" s="989"/>
      <c r="BAJ1067" s="989"/>
      <c r="BAK1067" s="989"/>
      <c r="BAL1067" s="989"/>
      <c r="BAM1067" s="989"/>
      <c r="BAN1067" s="989"/>
      <c r="BAO1067" s="989"/>
      <c r="BAP1067" s="989"/>
      <c r="BAQ1067" s="989"/>
      <c r="BAR1067" s="989"/>
      <c r="BAS1067" s="989"/>
      <c r="BAT1067" s="989"/>
      <c r="BAU1067" s="989"/>
      <c r="BAV1067" s="989"/>
      <c r="BAW1067" s="989"/>
      <c r="BAX1067" s="989"/>
      <c r="BAY1067" s="989"/>
      <c r="BAZ1067" s="989"/>
      <c r="BBA1067" s="989"/>
      <c r="BBB1067" s="989"/>
      <c r="BBC1067" s="989"/>
      <c r="BBD1067" s="989"/>
      <c r="BBE1067" s="989"/>
      <c r="BBF1067" s="989"/>
      <c r="BBG1067" s="989"/>
      <c r="BBH1067" s="989"/>
      <c r="BBI1067" s="989"/>
      <c r="BBJ1067" s="989"/>
      <c r="BBK1067" s="989"/>
      <c r="BBL1067" s="989"/>
      <c r="BBM1067" s="989"/>
      <c r="BBN1067" s="989"/>
      <c r="BBO1067" s="989"/>
      <c r="BBP1067" s="989"/>
      <c r="BBQ1067" s="989"/>
      <c r="BBR1067" s="989"/>
      <c r="BBS1067" s="989"/>
      <c r="BBT1067" s="989"/>
      <c r="BBU1067" s="989"/>
      <c r="BBV1067" s="989"/>
      <c r="BBW1067" s="989"/>
      <c r="BBX1067" s="989"/>
      <c r="BBY1067" s="989"/>
      <c r="BBZ1067" s="989"/>
      <c r="BCA1067" s="989"/>
      <c r="BCB1067" s="989"/>
      <c r="BCC1067" s="989"/>
      <c r="BCD1067" s="989"/>
      <c r="BCE1067" s="989"/>
      <c r="BCF1067" s="989"/>
      <c r="BCG1067" s="989"/>
      <c r="BCH1067" s="989"/>
      <c r="BCI1067" s="989"/>
      <c r="BCJ1067" s="989"/>
      <c r="BCK1067" s="989"/>
      <c r="BCL1067" s="989"/>
      <c r="BCM1067" s="989"/>
      <c r="BCN1067" s="989"/>
      <c r="BCO1067" s="989"/>
      <c r="BCP1067" s="989"/>
      <c r="BCQ1067" s="989"/>
      <c r="BCR1067" s="989"/>
      <c r="BCS1067" s="989"/>
      <c r="BCT1067" s="989"/>
      <c r="BCU1067" s="989"/>
      <c r="BCV1067" s="989"/>
      <c r="BCW1067" s="989"/>
      <c r="BCX1067" s="989"/>
      <c r="BCY1067" s="989"/>
      <c r="BCZ1067" s="989"/>
      <c r="BDA1067" s="989"/>
      <c r="BDB1067" s="989"/>
      <c r="BDC1067" s="989"/>
      <c r="BDD1067" s="989"/>
      <c r="BDE1067" s="989"/>
      <c r="BDF1067" s="989"/>
      <c r="BDG1067" s="989"/>
      <c r="BDH1067" s="989"/>
      <c r="BDI1067" s="989"/>
      <c r="BDJ1067" s="989"/>
      <c r="BDK1067" s="989"/>
      <c r="BDL1067" s="989"/>
      <c r="BDM1067" s="989"/>
      <c r="BDN1067" s="989"/>
      <c r="BDO1067" s="989"/>
      <c r="BDP1067" s="989"/>
      <c r="BDQ1067" s="989"/>
      <c r="BDR1067" s="989"/>
      <c r="BDS1067" s="989"/>
      <c r="BDT1067" s="989"/>
      <c r="BDU1067" s="989"/>
      <c r="BDV1067" s="989"/>
      <c r="BDW1067" s="989"/>
      <c r="BDX1067" s="989"/>
      <c r="BDY1067" s="989"/>
      <c r="BDZ1067" s="989"/>
      <c r="BEA1067" s="989"/>
      <c r="BEB1067" s="989"/>
      <c r="BEC1067" s="989"/>
      <c r="BED1067" s="989"/>
      <c r="BEE1067" s="989"/>
      <c r="BEF1067" s="989"/>
      <c r="BEG1067" s="989"/>
      <c r="BEH1067" s="989"/>
      <c r="BEI1067" s="989"/>
      <c r="BEJ1067" s="989"/>
      <c r="BEK1067" s="989"/>
      <c r="BEL1067" s="989"/>
      <c r="BEM1067" s="989"/>
      <c r="BEN1067" s="989"/>
      <c r="BEO1067" s="989"/>
      <c r="BEP1067" s="989"/>
      <c r="BEQ1067" s="989"/>
      <c r="BER1067" s="989"/>
      <c r="BES1067" s="989"/>
      <c r="BET1067" s="989"/>
      <c r="BEU1067" s="989"/>
      <c r="BEV1067" s="989"/>
      <c r="BEW1067" s="989"/>
      <c r="BEX1067" s="989"/>
      <c r="BEY1067" s="989"/>
      <c r="BEZ1067" s="989"/>
      <c r="BFA1067" s="989"/>
      <c r="BFB1067" s="989"/>
      <c r="BFC1067" s="989"/>
      <c r="BFD1067" s="989"/>
      <c r="BFE1067" s="989"/>
      <c r="BFF1067" s="989"/>
      <c r="BFG1067" s="989"/>
      <c r="BFH1067" s="989"/>
      <c r="BFI1067" s="989"/>
      <c r="BFJ1067" s="989"/>
      <c r="BFK1067" s="989"/>
      <c r="BFL1067" s="989"/>
      <c r="BFM1067" s="989"/>
      <c r="BFN1067" s="989"/>
      <c r="BFO1067" s="989"/>
      <c r="BFP1067" s="989"/>
      <c r="BFQ1067" s="989"/>
      <c r="BFR1067" s="989"/>
      <c r="BFS1067" s="989"/>
      <c r="BFT1067" s="989"/>
      <c r="BFU1067" s="989"/>
      <c r="BFV1067" s="989"/>
      <c r="BFW1067" s="989"/>
      <c r="BFX1067" s="989"/>
      <c r="BFY1067" s="989"/>
      <c r="BFZ1067" s="989"/>
      <c r="BGA1067" s="989"/>
      <c r="BGB1067" s="989"/>
      <c r="BGC1067" s="989"/>
      <c r="BGD1067" s="989"/>
      <c r="BGE1067" s="989"/>
      <c r="BGF1067" s="989"/>
      <c r="BGG1067" s="989"/>
      <c r="BGH1067" s="989"/>
      <c r="BGI1067" s="989"/>
      <c r="BGJ1067" s="989"/>
      <c r="BGK1067" s="989"/>
      <c r="BGL1067" s="989"/>
      <c r="BGM1067" s="989"/>
      <c r="BGN1067" s="989"/>
      <c r="BGO1067" s="989"/>
      <c r="BGP1067" s="989"/>
      <c r="BGQ1067" s="989"/>
      <c r="BGR1067" s="989"/>
      <c r="BGS1067" s="989"/>
      <c r="BGT1067" s="989"/>
      <c r="BGU1067" s="989"/>
      <c r="BGV1067" s="989"/>
      <c r="BGW1067" s="989"/>
      <c r="BGX1067" s="989"/>
      <c r="BGY1067" s="989"/>
      <c r="BGZ1067" s="989"/>
      <c r="BHA1067" s="989"/>
      <c r="BHB1067" s="989"/>
      <c r="BHC1067" s="989"/>
      <c r="BHD1067" s="989"/>
      <c r="BHE1067" s="989"/>
      <c r="BHF1067" s="989"/>
      <c r="BHG1067" s="989"/>
      <c r="BHH1067" s="989"/>
      <c r="BHI1067" s="989"/>
      <c r="BHJ1067" s="989"/>
      <c r="BHK1067" s="989"/>
      <c r="BHL1067" s="989"/>
      <c r="BHM1067" s="989"/>
      <c r="BHN1067" s="989"/>
      <c r="BHO1067" s="989"/>
      <c r="BHP1067" s="989"/>
      <c r="BHQ1067" s="989"/>
      <c r="BHR1067" s="989"/>
      <c r="BHS1067" s="989"/>
      <c r="BHT1067" s="989"/>
      <c r="BHU1067" s="989"/>
      <c r="BHV1067" s="989"/>
      <c r="BHW1067" s="989"/>
      <c r="BHX1067" s="989"/>
      <c r="BHY1067" s="989"/>
      <c r="BHZ1067" s="989"/>
      <c r="BIA1067" s="989"/>
      <c r="BIB1067" s="989"/>
      <c r="BIC1067" s="989"/>
      <c r="BID1067" s="989"/>
      <c r="BIE1067" s="989"/>
      <c r="BIF1067" s="989"/>
      <c r="BIG1067" s="989"/>
      <c r="BIH1067" s="989"/>
      <c r="BII1067" s="989"/>
      <c r="BIJ1067" s="989"/>
      <c r="BIK1067" s="989"/>
      <c r="BIL1067" s="989"/>
      <c r="BIM1067" s="989"/>
      <c r="BIN1067" s="989"/>
      <c r="BIO1067" s="989"/>
      <c r="BIP1067" s="989"/>
      <c r="BIQ1067" s="989"/>
      <c r="BIR1067" s="989"/>
      <c r="BIS1067" s="989"/>
      <c r="BIT1067" s="989"/>
      <c r="BIU1067" s="989"/>
      <c r="BIV1067" s="989"/>
      <c r="BIW1067" s="989"/>
      <c r="BIX1067" s="989"/>
      <c r="BIY1067" s="989"/>
      <c r="BIZ1067" s="989"/>
      <c r="BJA1067" s="989"/>
      <c r="BJB1067" s="989"/>
      <c r="BJC1067" s="989"/>
      <c r="BJD1067" s="989"/>
      <c r="BJE1067" s="989"/>
      <c r="BJF1067" s="989"/>
      <c r="BJG1067" s="989"/>
      <c r="BJH1067" s="989"/>
      <c r="BJI1067" s="989"/>
      <c r="BJJ1067" s="989"/>
      <c r="BJK1067" s="989"/>
      <c r="BJL1067" s="989"/>
      <c r="BJM1067" s="989"/>
      <c r="BJN1067" s="989"/>
      <c r="BJO1067" s="989"/>
      <c r="BJP1067" s="989"/>
      <c r="BJQ1067" s="989"/>
      <c r="BJR1067" s="989"/>
      <c r="BJS1067" s="989"/>
      <c r="BJT1067" s="989"/>
      <c r="BJU1067" s="989"/>
      <c r="BJV1067" s="989"/>
      <c r="BJW1067" s="989"/>
      <c r="BJX1067" s="989"/>
      <c r="BJY1067" s="989"/>
      <c r="BJZ1067" s="989"/>
      <c r="BKA1067" s="989"/>
      <c r="BKB1067" s="989"/>
      <c r="BKC1067" s="989"/>
      <c r="BKD1067" s="989"/>
      <c r="BKE1067" s="989"/>
      <c r="BKF1067" s="989"/>
      <c r="BKG1067" s="989"/>
      <c r="BKH1067" s="989"/>
      <c r="BKI1067" s="989"/>
      <c r="BKJ1067" s="989"/>
      <c r="BKK1067" s="989"/>
      <c r="BKL1067" s="989"/>
      <c r="BKM1067" s="989"/>
      <c r="BKN1067" s="989"/>
      <c r="BKO1067" s="989"/>
      <c r="BKP1067" s="989"/>
      <c r="BKQ1067" s="989"/>
      <c r="BKR1067" s="989"/>
      <c r="BKS1067" s="989"/>
      <c r="BKT1067" s="989"/>
      <c r="BKU1067" s="989"/>
      <c r="BKV1067" s="989"/>
      <c r="BKW1067" s="989"/>
      <c r="BKX1067" s="989"/>
      <c r="BKY1067" s="989"/>
      <c r="BKZ1067" s="989"/>
      <c r="BLA1067" s="989"/>
      <c r="BLB1067" s="989"/>
      <c r="BLC1067" s="989"/>
      <c r="BLD1067" s="989"/>
      <c r="BLE1067" s="989"/>
      <c r="BLF1067" s="989"/>
      <c r="BLG1067" s="989"/>
      <c r="BLH1067" s="989"/>
      <c r="BLI1067" s="989"/>
      <c r="BLJ1067" s="989"/>
      <c r="BLK1067" s="989"/>
      <c r="BLL1067" s="989"/>
      <c r="BLM1067" s="989"/>
      <c r="BLN1067" s="989"/>
      <c r="BLO1067" s="989"/>
      <c r="BLP1067" s="989"/>
      <c r="BLQ1067" s="989"/>
      <c r="BLR1067" s="989"/>
      <c r="BLS1067" s="989"/>
      <c r="BLT1067" s="989"/>
      <c r="BLU1067" s="989"/>
      <c r="BLV1067" s="989"/>
      <c r="BLW1067" s="989"/>
      <c r="BLX1067" s="989"/>
      <c r="BLY1067" s="989"/>
      <c r="BLZ1067" s="989"/>
      <c r="BMA1067" s="989"/>
      <c r="BMB1067" s="989"/>
      <c r="BMC1067" s="989"/>
      <c r="BMD1067" s="989"/>
      <c r="BME1067" s="989"/>
      <c r="BMF1067" s="989"/>
      <c r="BMG1067" s="989"/>
      <c r="BMH1067" s="989"/>
      <c r="BMI1067" s="989"/>
      <c r="BMJ1067" s="989"/>
      <c r="BMK1067" s="989"/>
      <c r="BML1067" s="989"/>
      <c r="BMM1067" s="989"/>
      <c r="BMN1067" s="989"/>
      <c r="BMO1067" s="989"/>
      <c r="BMP1067" s="989"/>
      <c r="BMQ1067" s="989"/>
      <c r="BMR1067" s="989"/>
      <c r="BMS1067" s="989"/>
      <c r="BMT1067" s="989"/>
      <c r="BMU1067" s="989"/>
      <c r="BMV1067" s="989"/>
      <c r="BMW1067" s="989"/>
      <c r="BMX1067" s="989"/>
      <c r="BMY1067" s="989"/>
      <c r="BMZ1067" s="989"/>
      <c r="BNA1067" s="989"/>
      <c r="BNB1067" s="989"/>
      <c r="BNC1067" s="989"/>
      <c r="BND1067" s="989"/>
      <c r="BNE1067" s="989"/>
      <c r="BNF1067" s="989"/>
      <c r="BNG1067" s="989"/>
      <c r="BNH1067" s="989"/>
      <c r="BNI1067" s="989"/>
      <c r="BNJ1067" s="989"/>
      <c r="BNK1067" s="989"/>
      <c r="BNL1067" s="989"/>
      <c r="BNM1067" s="989"/>
      <c r="BNN1067" s="989"/>
      <c r="BNO1067" s="989"/>
      <c r="BNP1067" s="989"/>
      <c r="BNQ1067" s="989"/>
      <c r="BNR1067" s="989"/>
      <c r="BNS1067" s="989"/>
      <c r="BNT1067" s="989"/>
      <c r="BNU1067" s="989"/>
      <c r="BNV1067" s="989"/>
      <c r="BNW1067" s="989"/>
      <c r="BNX1067" s="989"/>
      <c r="BNY1067" s="989"/>
      <c r="BNZ1067" s="989"/>
      <c r="BOA1067" s="989"/>
      <c r="BOB1067" s="989"/>
      <c r="BOC1067" s="989"/>
      <c r="BOD1067" s="989"/>
      <c r="BOE1067" s="989"/>
      <c r="BOF1067" s="989"/>
      <c r="BOG1067" s="989"/>
      <c r="BOH1067" s="989"/>
      <c r="BOI1067" s="989"/>
      <c r="BOJ1067" s="989"/>
      <c r="BOK1067" s="989"/>
      <c r="BOL1067" s="989"/>
      <c r="BOM1067" s="989"/>
      <c r="BON1067" s="989"/>
      <c r="BOO1067" s="989"/>
      <c r="BOP1067" s="989"/>
      <c r="BOQ1067" s="989"/>
      <c r="BOR1067" s="989"/>
      <c r="BOS1067" s="989"/>
      <c r="BOT1067" s="989"/>
      <c r="BOU1067" s="989"/>
      <c r="BOV1067" s="989"/>
      <c r="BOW1067" s="989"/>
      <c r="BOX1067" s="989"/>
      <c r="BOY1067" s="989"/>
      <c r="BOZ1067" s="989"/>
      <c r="BPA1067" s="989"/>
      <c r="BPB1067" s="989"/>
      <c r="BPC1067" s="989"/>
      <c r="BPD1067" s="989"/>
      <c r="BPE1067" s="989"/>
      <c r="BPF1067" s="989"/>
      <c r="BPG1067" s="989"/>
      <c r="BPH1067" s="989"/>
      <c r="BPI1067" s="989"/>
      <c r="BPJ1067" s="989"/>
      <c r="BPK1067" s="989"/>
      <c r="BPL1067" s="989"/>
      <c r="BPM1067" s="989"/>
      <c r="BPN1067" s="989"/>
      <c r="BPO1067" s="989"/>
      <c r="BPP1067" s="989"/>
      <c r="BPQ1067" s="989"/>
      <c r="BPR1067" s="989"/>
      <c r="BPS1067" s="989"/>
      <c r="BPT1067" s="989"/>
      <c r="BPU1067" s="989"/>
      <c r="BPV1067" s="989"/>
      <c r="BPW1067" s="989"/>
      <c r="BPX1067" s="989"/>
      <c r="BPY1067" s="989"/>
      <c r="BPZ1067" s="989"/>
      <c r="BQA1067" s="989"/>
      <c r="BQB1067" s="989"/>
      <c r="BQC1067" s="989"/>
      <c r="BQD1067" s="989"/>
      <c r="BQE1067" s="989"/>
      <c r="BQF1067" s="989"/>
      <c r="BQG1067" s="989"/>
      <c r="BQH1067" s="989"/>
      <c r="BQI1067" s="989"/>
      <c r="BQJ1067" s="989"/>
      <c r="BQK1067" s="989"/>
      <c r="BQL1067" s="989"/>
      <c r="BQM1067" s="989"/>
      <c r="BQN1067" s="989"/>
      <c r="BQO1067" s="989"/>
      <c r="BQP1067" s="989"/>
      <c r="BQQ1067" s="989"/>
      <c r="BQR1067" s="989"/>
      <c r="BQS1067" s="989"/>
      <c r="BQT1067" s="989"/>
      <c r="BQU1067" s="989"/>
      <c r="BQV1067" s="989"/>
      <c r="BQW1067" s="989"/>
      <c r="BQX1067" s="989"/>
      <c r="BQY1067" s="989"/>
      <c r="BQZ1067" s="989"/>
      <c r="BRA1067" s="989"/>
      <c r="BRB1067" s="989"/>
      <c r="BRC1067" s="989"/>
      <c r="BRD1067" s="989"/>
      <c r="BRE1067" s="989"/>
      <c r="BRF1067" s="989"/>
      <c r="BRG1067" s="989"/>
      <c r="BRH1067" s="989"/>
      <c r="BRI1067" s="989"/>
      <c r="BRJ1067" s="989"/>
      <c r="BRK1067" s="989"/>
      <c r="BRL1067" s="989"/>
      <c r="BRM1067" s="989"/>
      <c r="BRN1067" s="989"/>
      <c r="BRO1067" s="989"/>
      <c r="BRP1067" s="989"/>
      <c r="BRQ1067" s="989"/>
      <c r="BRR1067" s="989"/>
      <c r="BRS1067" s="989"/>
      <c r="BRT1067" s="989"/>
      <c r="BRU1067" s="989"/>
      <c r="BRV1067" s="989"/>
      <c r="BRW1067" s="989"/>
      <c r="BRX1067" s="989"/>
      <c r="BRY1067" s="989"/>
      <c r="BRZ1067" s="989"/>
      <c r="BSA1067" s="989"/>
      <c r="BSB1067" s="989"/>
      <c r="BSC1067" s="989"/>
      <c r="BSD1067" s="989"/>
      <c r="BSE1067" s="989"/>
      <c r="BSF1067" s="989"/>
      <c r="BSG1067" s="989"/>
      <c r="BSH1067" s="989"/>
      <c r="BSI1067" s="989"/>
      <c r="BSJ1067" s="989"/>
      <c r="BSK1067" s="989"/>
      <c r="BSL1067" s="989"/>
      <c r="BSM1067" s="989"/>
      <c r="BSN1067" s="989"/>
      <c r="BSO1067" s="989"/>
      <c r="BSP1067" s="989"/>
      <c r="BSQ1067" s="989"/>
      <c r="BSR1067" s="989"/>
      <c r="BSS1067" s="989"/>
      <c r="BST1067" s="989"/>
      <c r="BSU1067" s="989"/>
      <c r="BSV1067" s="989"/>
      <c r="BSW1067" s="989"/>
      <c r="BSX1067" s="989"/>
      <c r="BSY1067" s="989"/>
      <c r="BSZ1067" s="989"/>
      <c r="BTA1067" s="989"/>
      <c r="BTB1067" s="989"/>
      <c r="BTC1067" s="989"/>
      <c r="BTD1067" s="989"/>
      <c r="BTE1067" s="989"/>
      <c r="BTF1067" s="989"/>
      <c r="BTG1067" s="989"/>
      <c r="BTH1067" s="989"/>
      <c r="BTI1067" s="989"/>
      <c r="BTJ1067" s="989"/>
      <c r="BTK1067" s="989"/>
      <c r="BTL1067" s="989"/>
      <c r="BTM1067" s="989"/>
      <c r="BTN1067" s="989"/>
      <c r="BTO1067" s="989"/>
      <c r="BTP1067" s="989"/>
      <c r="BTQ1067" s="989"/>
      <c r="BTR1067" s="989"/>
      <c r="BTS1067" s="989"/>
      <c r="BTT1067" s="989"/>
      <c r="BTU1067" s="989"/>
      <c r="BTV1067" s="989"/>
      <c r="BTW1067" s="989"/>
      <c r="BTX1067" s="989"/>
      <c r="BTY1067" s="989"/>
      <c r="BTZ1067" s="989"/>
      <c r="BUA1067" s="989"/>
      <c r="BUB1067" s="989"/>
      <c r="BUC1067" s="989"/>
      <c r="BUD1067" s="989"/>
      <c r="BUE1067" s="989"/>
      <c r="BUF1067" s="989"/>
      <c r="BUG1067" s="989"/>
      <c r="BUH1067" s="989"/>
      <c r="BUI1067" s="989"/>
      <c r="BUJ1067" s="989"/>
      <c r="BUK1067" s="989"/>
      <c r="BUL1067" s="989"/>
      <c r="BUM1067" s="989"/>
      <c r="BUN1067" s="989"/>
      <c r="BUO1067" s="989"/>
      <c r="BUP1067" s="989"/>
      <c r="BUQ1067" s="989"/>
      <c r="BUR1067" s="989"/>
      <c r="BUS1067" s="989"/>
      <c r="BUT1067" s="989"/>
      <c r="BUU1067" s="989"/>
      <c r="BUV1067" s="989"/>
      <c r="BUW1067" s="989"/>
      <c r="BUX1067" s="989"/>
      <c r="BUY1067" s="989"/>
      <c r="BUZ1067" s="989"/>
      <c r="BVA1067" s="989"/>
      <c r="BVB1067" s="989"/>
      <c r="BVC1067" s="989"/>
      <c r="BVD1067" s="989"/>
      <c r="BVE1067" s="989"/>
      <c r="BVF1067" s="989"/>
      <c r="BVG1067" s="989"/>
      <c r="BVH1067" s="989"/>
      <c r="BVI1067" s="989"/>
      <c r="BVJ1067" s="989"/>
      <c r="BVK1067" s="989"/>
      <c r="BVL1067" s="989"/>
      <c r="BVM1067" s="989"/>
      <c r="BVN1067" s="989"/>
      <c r="BVO1067" s="989"/>
      <c r="BVP1067" s="989"/>
      <c r="BVQ1067" s="989"/>
      <c r="BVR1067" s="989"/>
      <c r="BVS1067" s="989"/>
      <c r="BVT1067" s="989"/>
      <c r="BVU1067" s="989"/>
      <c r="BVV1067" s="989"/>
      <c r="BVW1067" s="989"/>
      <c r="BVX1067" s="989"/>
      <c r="BVY1067" s="989"/>
      <c r="BVZ1067" s="989"/>
      <c r="BWA1067" s="989"/>
      <c r="BWB1067" s="989"/>
      <c r="BWC1067" s="989"/>
      <c r="BWD1067" s="989"/>
      <c r="BWE1067" s="989"/>
      <c r="BWF1067" s="989"/>
      <c r="BWG1067" s="989"/>
      <c r="BWH1067" s="989"/>
      <c r="BWI1067" s="989"/>
      <c r="BWJ1067" s="989"/>
      <c r="BWK1067" s="989"/>
      <c r="BWL1067" s="989"/>
      <c r="BWM1067" s="989"/>
      <c r="BWN1067" s="989"/>
      <c r="BWO1067" s="989"/>
      <c r="BWP1067" s="989"/>
      <c r="BWQ1067" s="989"/>
      <c r="BWR1067" s="989"/>
      <c r="BWS1067" s="989"/>
      <c r="BWT1067" s="989"/>
      <c r="BWU1067" s="989"/>
      <c r="BWV1067" s="989"/>
      <c r="BWW1067" s="989"/>
      <c r="BWX1067" s="989"/>
      <c r="BWY1067" s="989"/>
      <c r="BWZ1067" s="989"/>
      <c r="BXA1067" s="989"/>
      <c r="BXB1067" s="989"/>
      <c r="BXC1067" s="989"/>
      <c r="BXD1067" s="989"/>
      <c r="BXE1067" s="989"/>
      <c r="BXF1067" s="989"/>
      <c r="BXG1067" s="989"/>
      <c r="BXH1067" s="989"/>
      <c r="BXI1067" s="989"/>
      <c r="BXJ1067" s="989"/>
      <c r="BXK1067" s="989"/>
      <c r="BXL1067" s="989"/>
      <c r="BXM1067" s="989"/>
      <c r="BXN1067" s="989"/>
      <c r="BXO1067" s="989"/>
      <c r="BXP1067" s="989"/>
      <c r="BXQ1067" s="989"/>
      <c r="BXR1067" s="989"/>
      <c r="BXS1067" s="989"/>
      <c r="BXT1067" s="989"/>
      <c r="BXU1067" s="989"/>
      <c r="BXV1067" s="989"/>
      <c r="BXW1067" s="989"/>
      <c r="BXX1067" s="989"/>
      <c r="BXY1067" s="989"/>
      <c r="BXZ1067" s="989"/>
      <c r="BYA1067" s="989"/>
      <c r="BYB1067" s="989"/>
      <c r="BYC1067" s="989"/>
      <c r="BYD1067" s="989"/>
      <c r="BYE1067" s="989"/>
      <c r="BYF1067" s="989"/>
      <c r="BYG1067" s="989"/>
      <c r="BYH1067" s="989"/>
      <c r="BYI1067" s="989"/>
      <c r="BYJ1067" s="989"/>
      <c r="BYK1067" s="989"/>
      <c r="BYL1067" s="989"/>
      <c r="BYM1067" s="989"/>
      <c r="BYN1067" s="989"/>
      <c r="BYO1067" s="989"/>
      <c r="BYP1067" s="989"/>
      <c r="BYQ1067" s="989"/>
      <c r="BYR1067" s="989"/>
      <c r="BYS1067" s="989"/>
      <c r="BYT1067" s="989"/>
      <c r="BYU1067" s="989"/>
      <c r="BYV1067" s="989"/>
      <c r="BYW1067" s="989"/>
      <c r="BYX1067" s="989"/>
      <c r="BYY1067" s="989"/>
      <c r="BYZ1067" s="989"/>
      <c r="BZA1067" s="989"/>
      <c r="BZB1067" s="989"/>
      <c r="BZC1067" s="989"/>
      <c r="BZD1067" s="989"/>
      <c r="BZE1067" s="989"/>
      <c r="BZF1067" s="989"/>
      <c r="BZG1067" s="989"/>
      <c r="BZH1067" s="989"/>
      <c r="BZI1067" s="989"/>
      <c r="BZJ1067" s="989"/>
      <c r="BZK1067" s="989"/>
      <c r="BZL1067" s="989"/>
      <c r="BZM1067" s="989"/>
      <c r="BZN1067" s="989"/>
      <c r="BZO1067" s="989"/>
      <c r="BZP1067" s="989"/>
      <c r="BZQ1067" s="989"/>
      <c r="BZR1067" s="989"/>
      <c r="BZS1067" s="989"/>
      <c r="BZT1067" s="989"/>
      <c r="BZU1067" s="989"/>
      <c r="BZV1067" s="989"/>
      <c r="BZW1067" s="989"/>
      <c r="BZX1067" s="989"/>
      <c r="BZY1067" s="989"/>
      <c r="BZZ1067" s="989"/>
      <c r="CAA1067" s="989"/>
      <c r="CAB1067" s="989"/>
      <c r="CAC1067" s="989"/>
      <c r="CAD1067" s="989"/>
      <c r="CAE1067" s="989"/>
      <c r="CAF1067" s="989"/>
      <c r="CAG1067" s="989"/>
      <c r="CAH1067" s="989"/>
      <c r="CAI1067" s="989"/>
      <c r="CAJ1067" s="989"/>
      <c r="CAK1067" s="989"/>
      <c r="CAL1067" s="989"/>
      <c r="CAM1067" s="989"/>
      <c r="CAN1067" s="989"/>
      <c r="CAO1067" s="989"/>
      <c r="CAP1067" s="989"/>
      <c r="CAQ1067" s="989"/>
      <c r="CAR1067" s="989"/>
      <c r="CAS1067" s="989"/>
      <c r="CAT1067" s="989"/>
      <c r="CAU1067" s="989"/>
      <c r="CAV1067" s="989"/>
      <c r="CAW1067" s="989"/>
      <c r="CAX1067" s="989"/>
      <c r="CAY1067" s="989"/>
      <c r="CAZ1067" s="989"/>
      <c r="CBA1067" s="989"/>
      <c r="CBB1067" s="989"/>
      <c r="CBC1067" s="989"/>
      <c r="CBD1067" s="989"/>
      <c r="CBE1067" s="989"/>
      <c r="CBF1067" s="989"/>
      <c r="CBG1067" s="989"/>
      <c r="CBH1067" s="989"/>
      <c r="CBI1067" s="989"/>
      <c r="CBJ1067" s="989"/>
      <c r="CBK1067" s="989"/>
      <c r="CBL1067" s="989"/>
      <c r="CBM1067" s="989"/>
      <c r="CBN1067" s="989"/>
      <c r="CBO1067" s="989"/>
      <c r="CBP1067" s="989"/>
      <c r="CBQ1067" s="989"/>
      <c r="CBR1067" s="989"/>
      <c r="CBS1067" s="989"/>
      <c r="CBT1067" s="989"/>
      <c r="CBU1067" s="989"/>
      <c r="CBV1067" s="989"/>
      <c r="CBW1067" s="989"/>
      <c r="CBX1067" s="989"/>
      <c r="CBY1067" s="989"/>
      <c r="CBZ1067" s="989"/>
      <c r="CCA1067" s="989"/>
      <c r="CCB1067" s="989"/>
      <c r="CCC1067" s="989"/>
      <c r="CCD1067" s="989"/>
      <c r="CCE1067" s="989"/>
      <c r="CCF1067" s="989"/>
      <c r="CCG1067" s="989"/>
      <c r="CCH1067" s="989"/>
      <c r="CCI1067" s="989"/>
      <c r="CCJ1067" s="989"/>
      <c r="CCK1067" s="989"/>
      <c r="CCL1067" s="989"/>
      <c r="CCM1067" s="989"/>
      <c r="CCN1067" s="989"/>
      <c r="CCO1067" s="989"/>
      <c r="CCP1067" s="989"/>
      <c r="CCQ1067" s="989"/>
      <c r="CCR1067" s="989"/>
      <c r="CCS1067" s="989"/>
      <c r="CCT1067" s="989"/>
      <c r="CCU1067" s="989"/>
      <c r="CCV1067" s="989"/>
      <c r="CCW1067" s="989"/>
      <c r="CCX1067" s="989"/>
      <c r="CCY1067" s="989"/>
      <c r="CCZ1067" s="989"/>
      <c r="CDA1067" s="989"/>
      <c r="CDB1067" s="989"/>
      <c r="CDC1067" s="989"/>
      <c r="CDD1067" s="989"/>
      <c r="CDE1067" s="989"/>
      <c r="CDF1067" s="989"/>
      <c r="CDG1067" s="989"/>
      <c r="CDH1067" s="989"/>
      <c r="CDI1067" s="989"/>
      <c r="CDJ1067" s="989"/>
      <c r="CDK1067" s="989"/>
      <c r="CDL1067" s="989"/>
      <c r="CDM1067" s="989"/>
      <c r="CDN1067" s="989"/>
      <c r="CDO1067" s="989"/>
      <c r="CDP1067" s="989"/>
      <c r="CDQ1067" s="989"/>
      <c r="CDR1067" s="989"/>
      <c r="CDS1067" s="989"/>
      <c r="CDT1067" s="989"/>
      <c r="CDU1067" s="989"/>
      <c r="CDV1067" s="989"/>
      <c r="CDW1067" s="989"/>
      <c r="CDX1067" s="989"/>
      <c r="CDY1067" s="989"/>
      <c r="CDZ1067" s="989"/>
      <c r="CEA1067" s="989"/>
      <c r="CEB1067" s="989"/>
      <c r="CEC1067" s="989"/>
      <c r="CED1067" s="989"/>
      <c r="CEE1067" s="989"/>
      <c r="CEF1067" s="989"/>
      <c r="CEG1067" s="989"/>
      <c r="CEH1067" s="989"/>
      <c r="CEI1067" s="989"/>
      <c r="CEJ1067" s="989"/>
      <c r="CEK1067" s="989"/>
      <c r="CEL1067" s="989"/>
      <c r="CEM1067" s="989"/>
      <c r="CEN1067" s="989"/>
      <c r="CEO1067" s="989"/>
      <c r="CEP1067" s="989"/>
      <c r="CEQ1067" s="989"/>
      <c r="CER1067" s="989"/>
      <c r="CES1067" s="989"/>
      <c r="CET1067" s="989"/>
      <c r="CEU1067" s="989"/>
      <c r="CEV1067" s="989"/>
      <c r="CEW1067" s="989"/>
      <c r="CEX1067" s="989"/>
      <c r="CEY1067" s="989"/>
      <c r="CEZ1067" s="989"/>
      <c r="CFA1067" s="989"/>
      <c r="CFB1067" s="989"/>
      <c r="CFC1067" s="989"/>
      <c r="CFD1067" s="989"/>
      <c r="CFE1067" s="989"/>
      <c r="CFF1067" s="989"/>
      <c r="CFG1067" s="989"/>
      <c r="CFH1067" s="989"/>
      <c r="CFI1067" s="989"/>
      <c r="CFJ1067" s="989"/>
      <c r="CFK1067" s="989"/>
      <c r="CFL1067" s="989"/>
      <c r="CFM1067" s="989"/>
      <c r="CFN1067" s="989"/>
      <c r="CFO1067" s="989"/>
      <c r="CFP1067" s="989"/>
      <c r="CFQ1067" s="989"/>
      <c r="CFR1067" s="989"/>
      <c r="CFS1067" s="989"/>
      <c r="CFT1067" s="989"/>
      <c r="CFU1067" s="989"/>
      <c r="CFV1067" s="989"/>
      <c r="CFW1067" s="989"/>
      <c r="CFX1067" s="989"/>
      <c r="CFY1067" s="989"/>
      <c r="CFZ1067" s="989"/>
      <c r="CGA1067" s="989"/>
      <c r="CGB1067" s="989"/>
      <c r="CGC1067" s="989"/>
      <c r="CGD1067" s="989"/>
      <c r="CGE1067" s="989"/>
      <c r="CGF1067" s="989"/>
      <c r="CGG1067" s="989"/>
      <c r="CGH1067" s="989"/>
      <c r="CGI1067" s="989"/>
      <c r="CGJ1067" s="989"/>
      <c r="CGK1067" s="989"/>
      <c r="CGL1067" s="989"/>
      <c r="CGM1067" s="989"/>
      <c r="CGN1067" s="989"/>
      <c r="CGO1067" s="989"/>
      <c r="CGP1067" s="989"/>
      <c r="CGQ1067" s="989"/>
      <c r="CGR1067" s="989"/>
      <c r="CGS1067" s="989"/>
      <c r="CGT1067" s="989"/>
      <c r="CGU1067" s="989"/>
      <c r="CGV1067" s="989"/>
      <c r="CGW1067" s="989"/>
      <c r="CGX1067" s="989"/>
      <c r="CGY1067" s="989"/>
      <c r="CGZ1067" s="989"/>
      <c r="CHA1067" s="989"/>
      <c r="CHB1067" s="989"/>
      <c r="CHC1067" s="989"/>
      <c r="CHD1067" s="989"/>
      <c r="CHE1067" s="989"/>
      <c r="CHF1067" s="989"/>
      <c r="CHG1067" s="989"/>
      <c r="CHH1067" s="989"/>
      <c r="CHI1067" s="989"/>
      <c r="CHJ1067" s="989"/>
      <c r="CHK1067" s="989"/>
      <c r="CHL1067" s="989"/>
      <c r="CHM1067" s="989"/>
      <c r="CHN1067" s="989"/>
      <c r="CHO1067" s="989"/>
      <c r="CHP1067" s="989"/>
      <c r="CHQ1067" s="989"/>
      <c r="CHR1067" s="989"/>
      <c r="CHS1067" s="989"/>
      <c r="CHT1067" s="989"/>
      <c r="CHU1067" s="989"/>
      <c r="CHV1067" s="989"/>
      <c r="CHW1067" s="989"/>
      <c r="CHX1067" s="989"/>
      <c r="CHY1067" s="989"/>
      <c r="CHZ1067" s="989"/>
      <c r="CIA1067" s="989"/>
      <c r="CIB1067" s="989"/>
      <c r="CIC1067" s="989"/>
      <c r="CID1067" s="989"/>
      <c r="CIE1067" s="989"/>
      <c r="CIF1067" s="989"/>
      <c r="CIG1067" s="989"/>
      <c r="CIH1067" s="989"/>
      <c r="CII1067" s="989"/>
      <c r="CIJ1067" s="989"/>
      <c r="CIK1067" s="989"/>
      <c r="CIL1067" s="989"/>
      <c r="CIM1067" s="989"/>
      <c r="CIN1067" s="989"/>
      <c r="CIO1067" s="989"/>
      <c r="CIP1067" s="989"/>
      <c r="CIQ1067" s="989"/>
      <c r="CIR1067" s="989"/>
      <c r="CIS1067" s="989"/>
      <c r="CIT1067" s="989"/>
      <c r="CIU1067" s="989"/>
      <c r="CIV1067" s="989"/>
      <c r="CIW1067" s="989"/>
      <c r="CIX1067" s="989"/>
      <c r="CIY1067" s="989"/>
      <c r="CIZ1067" s="989"/>
      <c r="CJA1067" s="989"/>
      <c r="CJB1067" s="989"/>
      <c r="CJC1067" s="989"/>
      <c r="CJD1067" s="989"/>
      <c r="CJE1067" s="989"/>
      <c r="CJF1067" s="989"/>
      <c r="CJG1067" s="989"/>
      <c r="CJH1067" s="989"/>
      <c r="CJI1067" s="989"/>
      <c r="CJJ1067" s="989"/>
      <c r="CJK1067" s="989"/>
      <c r="CJL1067" s="989"/>
      <c r="CJM1067" s="989"/>
      <c r="CJN1067" s="989"/>
      <c r="CJO1067" s="989"/>
      <c r="CJP1067" s="989"/>
      <c r="CJQ1067" s="989"/>
      <c r="CJR1067" s="989"/>
      <c r="CJS1067" s="989"/>
      <c r="CJT1067" s="989"/>
      <c r="CJU1067" s="989"/>
      <c r="CJV1067" s="989"/>
      <c r="CJW1067" s="989"/>
      <c r="CJX1067" s="989"/>
      <c r="CJY1067" s="989"/>
      <c r="CJZ1067" s="989"/>
      <c r="CKA1067" s="989"/>
      <c r="CKB1067" s="989"/>
      <c r="CKC1067" s="989"/>
      <c r="CKD1067" s="989"/>
      <c r="CKE1067" s="989"/>
      <c r="CKF1067" s="989"/>
      <c r="CKG1067" s="989"/>
      <c r="CKH1067" s="989"/>
      <c r="CKI1067" s="989"/>
      <c r="CKJ1067" s="989"/>
      <c r="CKK1067" s="989"/>
      <c r="CKL1067" s="989"/>
      <c r="CKM1067" s="989"/>
      <c r="CKN1067" s="989"/>
      <c r="CKO1067" s="989"/>
      <c r="CKP1067" s="989"/>
      <c r="CKQ1067" s="989"/>
      <c r="CKR1067" s="989"/>
      <c r="CKS1067" s="989"/>
      <c r="CKT1067" s="989"/>
      <c r="CKU1067" s="989"/>
      <c r="CKV1067" s="989"/>
      <c r="CKW1067" s="989"/>
      <c r="CKX1067" s="989"/>
      <c r="CKY1067" s="989"/>
      <c r="CKZ1067" s="989"/>
      <c r="CLA1067" s="989"/>
      <c r="CLB1067" s="989"/>
      <c r="CLC1067" s="989"/>
      <c r="CLD1067" s="989"/>
      <c r="CLE1067" s="989"/>
      <c r="CLF1067" s="989"/>
      <c r="CLG1067" s="989"/>
      <c r="CLH1067" s="989"/>
      <c r="CLI1067" s="989"/>
      <c r="CLJ1067" s="989"/>
      <c r="CLK1067" s="989"/>
      <c r="CLL1067" s="989"/>
      <c r="CLM1067" s="989"/>
      <c r="CLN1067" s="989"/>
      <c r="CLO1067" s="989"/>
      <c r="CLP1067" s="989"/>
      <c r="CLQ1067" s="989"/>
      <c r="CLR1067" s="989"/>
      <c r="CLS1067" s="989"/>
      <c r="CLT1067" s="989"/>
      <c r="CLU1067" s="989"/>
      <c r="CLV1067" s="989"/>
      <c r="CLW1067" s="989"/>
      <c r="CLX1067" s="989"/>
      <c r="CLY1067" s="989"/>
      <c r="CLZ1067" s="989"/>
      <c r="CMA1067" s="989"/>
      <c r="CMB1067" s="989"/>
      <c r="CMC1067" s="989"/>
      <c r="CMD1067" s="989"/>
      <c r="CME1067" s="989"/>
      <c r="CMF1067" s="989"/>
      <c r="CMG1067" s="989"/>
      <c r="CMH1067" s="989"/>
      <c r="CMI1067" s="989"/>
      <c r="CMJ1067" s="989"/>
      <c r="CMK1067" s="989"/>
      <c r="CML1067" s="989"/>
      <c r="CMM1067" s="989"/>
      <c r="CMN1067" s="989"/>
      <c r="CMO1067" s="989"/>
      <c r="CMP1067" s="989"/>
      <c r="CMQ1067" s="989"/>
      <c r="CMR1067" s="989"/>
      <c r="CMS1067" s="989"/>
      <c r="CMT1067" s="989"/>
      <c r="CMU1067" s="989"/>
      <c r="CMV1067" s="989"/>
      <c r="CMW1067" s="989"/>
      <c r="CMX1067" s="989"/>
      <c r="CMY1067" s="989"/>
      <c r="CMZ1067" s="989"/>
      <c r="CNA1067" s="989"/>
      <c r="CNB1067" s="989"/>
      <c r="CNC1067" s="989"/>
      <c r="CND1067" s="989"/>
      <c r="CNE1067" s="989"/>
      <c r="CNF1067" s="989"/>
      <c r="CNG1067" s="989"/>
      <c r="CNH1067" s="989"/>
      <c r="CNI1067" s="989"/>
      <c r="CNJ1067" s="989"/>
      <c r="CNK1067" s="989"/>
      <c r="CNL1067" s="989"/>
      <c r="CNM1067" s="989"/>
      <c r="CNN1067" s="989"/>
      <c r="CNO1067" s="989"/>
      <c r="CNP1067" s="989"/>
      <c r="CNQ1067" s="989"/>
      <c r="CNR1067" s="989"/>
      <c r="CNS1067" s="989"/>
      <c r="CNT1067" s="989"/>
      <c r="CNU1067" s="989"/>
      <c r="CNV1067" s="989"/>
      <c r="CNW1067" s="989"/>
      <c r="CNX1067" s="989"/>
      <c r="CNY1067" s="989"/>
      <c r="CNZ1067" s="989"/>
      <c r="COA1067" s="989"/>
      <c r="COB1067" s="989"/>
      <c r="COC1067" s="989"/>
      <c r="COD1067" s="989"/>
      <c r="COE1067" s="989"/>
      <c r="COF1067" s="989"/>
      <c r="COG1067" s="989"/>
      <c r="COH1067" s="989"/>
      <c r="COI1067" s="989"/>
      <c r="COJ1067" s="989"/>
      <c r="COK1067" s="989"/>
      <c r="COL1067" s="989"/>
      <c r="COM1067" s="989"/>
      <c r="CON1067" s="989"/>
      <c r="COO1067" s="989"/>
      <c r="COP1067" s="989"/>
      <c r="COQ1067" s="989"/>
      <c r="COR1067" s="989"/>
      <c r="COS1067" s="989"/>
      <c r="COT1067" s="989"/>
      <c r="COU1067" s="989"/>
      <c r="COV1067" s="989"/>
      <c r="COW1067" s="989"/>
      <c r="COX1067" s="989"/>
      <c r="COY1067" s="989"/>
      <c r="COZ1067" s="989"/>
      <c r="CPA1067" s="989"/>
      <c r="CPB1067" s="989"/>
      <c r="CPC1067" s="989"/>
      <c r="CPD1067" s="989"/>
      <c r="CPE1067" s="989"/>
      <c r="CPF1067" s="989"/>
      <c r="CPG1067" s="989"/>
      <c r="CPH1067" s="989"/>
      <c r="CPI1067" s="989"/>
      <c r="CPJ1067" s="989"/>
      <c r="CPK1067" s="989"/>
      <c r="CPL1067" s="989"/>
      <c r="CPM1067" s="989"/>
      <c r="CPN1067" s="989"/>
      <c r="CPO1067" s="989"/>
      <c r="CPP1067" s="989"/>
      <c r="CPQ1067" s="989"/>
      <c r="CPR1067" s="989"/>
      <c r="CPS1067" s="989"/>
      <c r="CPT1067" s="989"/>
      <c r="CPU1067" s="989"/>
      <c r="CPV1067" s="989"/>
      <c r="CPW1067" s="989"/>
      <c r="CPX1067" s="989"/>
      <c r="CPY1067" s="989"/>
      <c r="CPZ1067" s="989"/>
      <c r="CQA1067" s="989"/>
      <c r="CQB1067" s="989"/>
      <c r="CQC1067" s="989"/>
      <c r="CQD1067" s="989"/>
      <c r="CQE1067" s="989"/>
      <c r="CQF1067" s="989"/>
      <c r="CQG1067" s="989"/>
      <c r="CQH1067" s="989"/>
      <c r="CQI1067" s="989"/>
      <c r="CQJ1067" s="989"/>
      <c r="CQK1067" s="989"/>
      <c r="CQL1067" s="989"/>
      <c r="CQM1067" s="989"/>
      <c r="CQN1067" s="989"/>
      <c r="CQO1067" s="989"/>
      <c r="CQP1067" s="989"/>
      <c r="CQQ1067" s="989"/>
      <c r="CQR1067" s="989"/>
      <c r="CQS1067" s="989"/>
      <c r="CQT1067" s="989"/>
      <c r="CQU1067" s="989"/>
      <c r="CQV1067" s="989"/>
      <c r="CQW1067" s="989"/>
      <c r="CQX1067" s="989"/>
      <c r="CQY1067" s="989"/>
      <c r="CQZ1067" s="989"/>
      <c r="CRA1067" s="989"/>
      <c r="CRB1067" s="989"/>
      <c r="CRC1067" s="989"/>
      <c r="CRD1067" s="989"/>
      <c r="CRE1067" s="989"/>
      <c r="CRF1067" s="989"/>
      <c r="CRG1067" s="989"/>
      <c r="CRH1067" s="989"/>
      <c r="CRI1067" s="989"/>
      <c r="CRJ1067" s="989"/>
      <c r="CRK1067" s="989"/>
      <c r="CRL1067" s="989"/>
      <c r="CRM1067" s="989"/>
      <c r="CRN1067" s="989"/>
      <c r="CRO1067" s="989"/>
      <c r="CRP1067" s="989"/>
      <c r="CRQ1067" s="989"/>
      <c r="CRR1067" s="989"/>
      <c r="CRS1067" s="989"/>
      <c r="CRT1067" s="989"/>
      <c r="CRU1067" s="989"/>
      <c r="CRV1067" s="989"/>
      <c r="CRW1067" s="989"/>
      <c r="CRX1067" s="989"/>
      <c r="CRY1067" s="989"/>
      <c r="CRZ1067" s="989"/>
      <c r="CSA1067" s="989"/>
      <c r="CSB1067" s="989"/>
      <c r="CSC1067" s="989"/>
      <c r="CSD1067" s="989"/>
      <c r="CSE1067" s="989"/>
      <c r="CSF1067" s="989"/>
      <c r="CSG1067" s="989"/>
      <c r="CSH1067" s="989"/>
      <c r="CSI1067" s="989"/>
      <c r="CSJ1067" s="989"/>
      <c r="CSK1067" s="989"/>
      <c r="CSL1067" s="989"/>
      <c r="CSM1067" s="989"/>
      <c r="CSN1067" s="989"/>
      <c r="CSO1067" s="989"/>
      <c r="CSP1067" s="989"/>
      <c r="CSQ1067" s="989"/>
      <c r="CSR1067" s="989"/>
      <c r="CSS1067" s="989"/>
      <c r="CST1067" s="989"/>
      <c r="CSU1067" s="989"/>
      <c r="CSV1067" s="989"/>
      <c r="CSW1067" s="989"/>
      <c r="CSX1067" s="989"/>
      <c r="CSY1067" s="989"/>
      <c r="CSZ1067" s="989"/>
      <c r="CTA1067" s="989"/>
      <c r="CTB1067" s="989"/>
      <c r="CTC1067" s="989"/>
      <c r="CTD1067" s="989"/>
      <c r="CTE1067" s="989"/>
      <c r="CTF1067" s="989"/>
      <c r="CTG1067" s="989"/>
      <c r="CTH1067" s="989"/>
      <c r="CTI1067" s="989"/>
      <c r="CTJ1067" s="989"/>
      <c r="CTK1067" s="989"/>
      <c r="CTL1067" s="989"/>
      <c r="CTM1067" s="989"/>
      <c r="CTN1067" s="989"/>
      <c r="CTO1067" s="989"/>
      <c r="CTP1067" s="989"/>
      <c r="CTQ1067" s="989"/>
      <c r="CTR1067" s="989"/>
      <c r="CTS1067" s="989"/>
      <c r="CTT1067" s="989"/>
      <c r="CTU1067" s="989"/>
      <c r="CTV1067" s="989"/>
      <c r="CTW1067" s="989"/>
      <c r="CTX1067" s="989"/>
      <c r="CTY1067" s="989"/>
      <c r="CTZ1067" s="989"/>
      <c r="CUA1067" s="989"/>
      <c r="CUB1067" s="989"/>
      <c r="CUC1067" s="989"/>
      <c r="CUD1067" s="989"/>
      <c r="CUE1067" s="989"/>
      <c r="CUF1067" s="989"/>
      <c r="CUG1067" s="989"/>
      <c r="CUH1067" s="989"/>
      <c r="CUI1067" s="989"/>
      <c r="CUJ1067" s="989"/>
      <c r="CUK1067" s="989"/>
      <c r="CUL1067" s="989"/>
      <c r="CUM1067" s="989"/>
      <c r="CUN1067" s="989"/>
      <c r="CUO1067" s="989"/>
      <c r="CUP1067" s="989"/>
      <c r="CUQ1067" s="989"/>
      <c r="CUR1067" s="989"/>
      <c r="CUS1067" s="989"/>
      <c r="CUT1067" s="989"/>
      <c r="CUU1067" s="989"/>
      <c r="CUV1067" s="989"/>
      <c r="CUW1067" s="989"/>
      <c r="CUX1067" s="989"/>
      <c r="CUY1067" s="989"/>
      <c r="CUZ1067" s="989"/>
      <c r="CVA1067" s="989"/>
      <c r="CVB1067" s="989"/>
      <c r="CVC1067" s="989"/>
      <c r="CVD1067" s="989"/>
      <c r="CVE1067" s="989"/>
      <c r="CVF1067" s="989"/>
      <c r="CVG1067" s="989"/>
      <c r="CVH1067" s="989"/>
      <c r="CVI1067" s="989"/>
      <c r="CVJ1067" s="989"/>
      <c r="CVK1067" s="989"/>
      <c r="CVL1067" s="989"/>
      <c r="CVM1067" s="989"/>
      <c r="CVN1067" s="989"/>
      <c r="CVO1067" s="989"/>
      <c r="CVP1067" s="989"/>
      <c r="CVQ1067" s="989"/>
      <c r="CVR1067" s="989"/>
      <c r="CVS1067" s="989"/>
      <c r="CVT1067" s="989"/>
      <c r="CVU1067" s="989"/>
      <c r="CVV1067" s="989"/>
      <c r="CVW1067" s="989"/>
      <c r="CVX1067" s="989"/>
      <c r="CVY1067" s="989"/>
      <c r="CVZ1067" s="989"/>
      <c r="CWA1067" s="989"/>
      <c r="CWB1067" s="989"/>
      <c r="CWC1067" s="989"/>
      <c r="CWD1067" s="989"/>
      <c r="CWE1067" s="989"/>
      <c r="CWF1067" s="989"/>
      <c r="CWG1067" s="989"/>
      <c r="CWH1067" s="989"/>
      <c r="CWI1067" s="989"/>
      <c r="CWJ1067" s="989"/>
      <c r="CWK1067" s="989"/>
      <c r="CWL1067" s="989"/>
      <c r="CWM1067" s="989"/>
      <c r="CWN1067" s="989"/>
      <c r="CWO1067" s="989"/>
      <c r="CWP1067" s="989"/>
      <c r="CWQ1067" s="989"/>
      <c r="CWR1067" s="989"/>
      <c r="CWS1067" s="989"/>
      <c r="CWT1067" s="989"/>
      <c r="CWU1067" s="989"/>
      <c r="CWV1067" s="989"/>
      <c r="CWW1067" s="989"/>
      <c r="CWX1067" s="989"/>
      <c r="CWY1067" s="989"/>
      <c r="CWZ1067" s="989"/>
      <c r="CXA1067" s="989"/>
      <c r="CXB1067" s="989"/>
      <c r="CXC1067" s="989"/>
      <c r="CXD1067" s="989"/>
      <c r="CXE1067" s="989"/>
      <c r="CXF1067" s="989"/>
      <c r="CXG1067" s="989"/>
      <c r="CXH1067" s="989"/>
      <c r="CXI1067" s="989"/>
      <c r="CXJ1067" s="989"/>
      <c r="CXK1067" s="989"/>
      <c r="CXL1067" s="989"/>
      <c r="CXM1067" s="989"/>
      <c r="CXN1067" s="989"/>
      <c r="CXO1067" s="989"/>
      <c r="CXP1067" s="989"/>
      <c r="CXQ1067" s="989"/>
      <c r="CXR1067" s="989"/>
      <c r="CXS1067" s="989"/>
      <c r="CXT1067" s="989"/>
      <c r="CXU1067" s="989"/>
      <c r="CXV1067" s="989"/>
      <c r="CXW1067" s="989"/>
      <c r="CXX1067" s="989"/>
      <c r="CXY1067" s="989"/>
      <c r="CXZ1067" s="989"/>
      <c r="CYA1067" s="989"/>
      <c r="CYB1067" s="989"/>
      <c r="CYC1067" s="989"/>
      <c r="CYD1067" s="989"/>
      <c r="CYE1067" s="989"/>
      <c r="CYF1067" s="989"/>
      <c r="CYG1067" s="989"/>
      <c r="CYH1067" s="989"/>
      <c r="CYI1067" s="989"/>
      <c r="CYJ1067" s="989"/>
      <c r="CYK1067" s="989"/>
      <c r="CYL1067" s="989"/>
      <c r="CYM1067" s="989"/>
      <c r="CYN1067" s="989"/>
      <c r="CYO1067" s="989"/>
      <c r="CYP1067" s="989"/>
      <c r="CYQ1067" s="989"/>
      <c r="CYR1067" s="989"/>
      <c r="CYS1067" s="989"/>
      <c r="CYT1067" s="989"/>
      <c r="CYU1067" s="989"/>
      <c r="CYV1067" s="989"/>
      <c r="CYW1067" s="989"/>
      <c r="CYX1067" s="989"/>
      <c r="CYY1067" s="989"/>
      <c r="CYZ1067" s="989"/>
      <c r="CZA1067" s="989"/>
      <c r="CZB1067" s="989"/>
      <c r="CZC1067" s="989"/>
      <c r="CZD1067" s="989"/>
      <c r="CZE1067" s="989"/>
      <c r="CZF1067" s="989"/>
      <c r="CZG1067" s="989"/>
      <c r="CZH1067" s="989"/>
      <c r="CZI1067" s="989"/>
      <c r="CZJ1067" s="989"/>
      <c r="CZK1067" s="989"/>
      <c r="CZL1067" s="989"/>
      <c r="CZM1067" s="989"/>
      <c r="CZN1067" s="989"/>
      <c r="CZO1067" s="989"/>
      <c r="CZP1067" s="989"/>
      <c r="CZQ1067" s="989"/>
      <c r="CZR1067" s="989"/>
      <c r="CZS1067" s="989"/>
      <c r="CZT1067" s="989"/>
      <c r="CZU1067" s="989"/>
      <c r="CZV1067" s="989"/>
      <c r="CZW1067" s="989"/>
      <c r="CZX1067" s="989"/>
      <c r="CZY1067" s="989"/>
      <c r="CZZ1067" s="989"/>
      <c r="DAA1067" s="989"/>
      <c r="DAB1067" s="989"/>
      <c r="DAC1067" s="989"/>
      <c r="DAD1067" s="989"/>
      <c r="DAE1067" s="989"/>
      <c r="DAF1067" s="989"/>
      <c r="DAG1067" s="989"/>
      <c r="DAH1067" s="989"/>
      <c r="DAI1067" s="989"/>
      <c r="DAJ1067" s="989"/>
      <c r="DAK1067" s="989"/>
      <c r="DAL1067" s="989"/>
      <c r="DAM1067" s="989"/>
      <c r="DAN1067" s="989"/>
      <c r="DAO1067" s="989"/>
      <c r="DAP1067" s="989"/>
      <c r="DAQ1067" s="989"/>
      <c r="DAR1067" s="989"/>
      <c r="DAS1067" s="989"/>
      <c r="DAT1067" s="989"/>
      <c r="DAU1067" s="989"/>
      <c r="DAV1067" s="989"/>
      <c r="DAW1067" s="989"/>
      <c r="DAX1067" s="989"/>
      <c r="DAY1067" s="989"/>
      <c r="DAZ1067" s="989"/>
      <c r="DBA1067" s="989"/>
      <c r="DBB1067" s="989"/>
      <c r="DBC1067" s="989"/>
      <c r="DBD1067" s="989"/>
      <c r="DBE1067" s="989"/>
      <c r="DBF1067" s="989"/>
      <c r="DBG1067" s="989"/>
      <c r="DBH1067" s="989"/>
      <c r="DBI1067" s="989"/>
      <c r="DBJ1067" s="989"/>
      <c r="DBK1067" s="989"/>
      <c r="DBL1067" s="989"/>
      <c r="DBM1067" s="989"/>
      <c r="DBN1067" s="989"/>
      <c r="DBO1067" s="989"/>
      <c r="DBP1067" s="989"/>
      <c r="DBQ1067" s="989"/>
      <c r="DBR1067" s="989"/>
      <c r="DBS1067" s="989"/>
      <c r="DBT1067" s="989"/>
      <c r="DBU1067" s="989"/>
      <c r="DBV1067" s="989"/>
      <c r="DBW1067" s="989"/>
      <c r="DBX1067" s="989"/>
      <c r="DBY1067" s="989"/>
      <c r="DBZ1067" s="989"/>
      <c r="DCA1067" s="989"/>
      <c r="DCB1067" s="989"/>
      <c r="DCC1067" s="989"/>
      <c r="DCD1067" s="989"/>
      <c r="DCE1067" s="989"/>
      <c r="DCF1067" s="989"/>
      <c r="DCG1067" s="989"/>
      <c r="DCH1067" s="989"/>
      <c r="DCI1067" s="989"/>
      <c r="DCJ1067" s="989"/>
      <c r="DCK1067" s="989"/>
      <c r="DCL1067" s="989"/>
      <c r="DCM1067" s="989"/>
      <c r="DCN1067" s="989"/>
      <c r="DCO1067" s="989"/>
      <c r="DCP1067" s="989"/>
      <c r="DCQ1067" s="989"/>
      <c r="DCR1067" s="989"/>
      <c r="DCS1067" s="989"/>
      <c r="DCT1067" s="989"/>
      <c r="DCU1067" s="989"/>
      <c r="DCV1067" s="989"/>
      <c r="DCW1067" s="989"/>
      <c r="DCX1067" s="989"/>
      <c r="DCY1067" s="989"/>
      <c r="DCZ1067" s="989"/>
      <c r="DDA1067" s="989"/>
      <c r="DDB1067" s="989"/>
      <c r="DDC1067" s="989"/>
      <c r="DDD1067" s="989"/>
      <c r="DDE1067" s="989"/>
      <c r="DDF1067" s="989"/>
      <c r="DDG1067" s="989"/>
      <c r="DDH1067" s="989"/>
      <c r="DDI1067" s="989"/>
      <c r="DDJ1067" s="989"/>
      <c r="DDK1067" s="989"/>
      <c r="DDL1067" s="989"/>
      <c r="DDM1067" s="989"/>
      <c r="DDN1067" s="989"/>
      <c r="DDO1067" s="989"/>
      <c r="DDP1067" s="989"/>
      <c r="DDQ1067" s="989"/>
      <c r="DDR1067" s="989"/>
      <c r="DDS1067" s="989"/>
      <c r="DDT1067" s="989"/>
      <c r="DDU1067" s="989"/>
      <c r="DDV1067" s="989"/>
      <c r="DDW1067" s="989"/>
      <c r="DDX1067" s="989"/>
      <c r="DDY1067" s="989"/>
      <c r="DDZ1067" s="989"/>
      <c r="DEA1067" s="989"/>
      <c r="DEB1067" s="989"/>
      <c r="DEC1067" s="989"/>
      <c r="DED1067" s="989"/>
      <c r="DEE1067" s="989"/>
      <c r="DEF1067" s="989"/>
      <c r="DEG1067" s="989"/>
      <c r="DEH1067" s="989"/>
      <c r="DEI1067" s="989"/>
      <c r="DEJ1067" s="989"/>
      <c r="DEK1067" s="989"/>
      <c r="DEL1067" s="989"/>
      <c r="DEM1067" s="989"/>
      <c r="DEN1067" s="989"/>
      <c r="DEO1067" s="989"/>
      <c r="DEP1067" s="989"/>
      <c r="DEQ1067" s="989"/>
      <c r="DER1067" s="989"/>
      <c r="DES1067" s="989"/>
      <c r="DET1067" s="989"/>
      <c r="DEU1067" s="989"/>
      <c r="DEV1067" s="989"/>
      <c r="DEW1067" s="989"/>
      <c r="DEX1067" s="989"/>
      <c r="DEY1067" s="989"/>
      <c r="DEZ1067" s="989"/>
      <c r="DFA1067" s="989"/>
      <c r="DFB1067" s="989"/>
      <c r="DFC1067" s="989"/>
      <c r="DFD1067" s="989"/>
      <c r="DFE1067" s="989"/>
      <c r="DFF1067" s="989"/>
      <c r="DFG1067" s="989"/>
      <c r="DFH1067" s="989"/>
      <c r="DFI1067" s="989"/>
      <c r="DFJ1067" s="989"/>
      <c r="DFK1067" s="989"/>
      <c r="DFL1067" s="989"/>
      <c r="DFM1067" s="989"/>
      <c r="DFN1067" s="989"/>
      <c r="DFO1067" s="989"/>
      <c r="DFP1067" s="989"/>
      <c r="DFQ1067" s="989"/>
      <c r="DFR1067" s="989"/>
      <c r="DFS1067" s="989"/>
      <c r="DFT1067" s="989"/>
      <c r="DFU1067" s="989"/>
      <c r="DFV1067" s="989"/>
      <c r="DFW1067" s="989"/>
      <c r="DFX1067" s="989"/>
      <c r="DFY1067" s="989"/>
      <c r="DFZ1067" s="989"/>
      <c r="DGA1067" s="989"/>
      <c r="DGB1067" s="989"/>
      <c r="DGC1067" s="989"/>
      <c r="DGD1067" s="989"/>
      <c r="DGE1067" s="989"/>
      <c r="DGF1067" s="989"/>
      <c r="DGG1067" s="989"/>
      <c r="DGH1067" s="989"/>
      <c r="DGI1067" s="989"/>
      <c r="DGJ1067" s="989"/>
      <c r="DGK1067" s="989"/>
      <c r="DGL1067" s="989"/>
      <c r="DGM1067" s="989"/>
      <c r="DGN1067" s="989"/>
      <c r="DGO1067" s="989"/>
      <c r="DGP1067" s="989"/>
      <c r="DGQ1067" s="989"/>
      <c r="DGR1067" s="989"/>
      <c r="DGS1067" s="989"/>
      <c r="DGT1067" s="989"/>
      <c r="DGU1067" s="989"/>
      <c r="DGV1067" s="989"/>
      <c r="DGW1067" s="989"/>
      <c r="DGX1067" s="989"/>
      <c r="DGY1067" s="989"/>
      <c r="DGZ1067" s="989"/>
      <c r="DHA1067" s="989"/>
      <c r="DHB1067" s="989"/>
      <c r="DHC1067" s="989"/>
      <c r="DHD1067" s="989"/>
      <c r="DHE1067" s="989"/>
      <c r="DHF1067" s="989"/>
      <c r="DHG1067" s="989"/>
      <c r="DHH1067" s="989"/>
      <c r="DHI1067" s="989"/>
      <c r="DHJ1067" s="989"/>
      <c r="DHK1067" s="989"/>
      <c r="DHL1067" s="989"/>
      <c r="DHM1067" s="989"/>
      <c r="DHN1067" s="989"/>
      <c r="DHO1067" s="989"/>
      <c r="DHP1067" s="989"/>
      <c r="DHQ1067" s="989"/>
      <c r="DHR1067" s="989"/>
      <c r="DHS1067" s="989"/>
      <c r="DHT1067" s="989"/>
      <c r="DHU1067" s="989"/>
      <c r="DHV1067" s="989"/>
      <c r="DHW1067" s="989"/>
      <c r="DHX1067" s="989"/>
      <c r="DHY1067" s="989"/>
      <c r="DHZ1067" s="989"/>
      <c r="DIA1067" s="989"/>
      <c r="DIB1067" s="989"/>
      <c r="DIC1067" s="989"/>
      <c r="DID1067" s="989"/>
      <c r="DIE1067" s="989"/>
      <c r="DIF1067" s="989"/>
      <c r="DIG1067" s="989"/>
      <c r="DIH1067" s="989"/>
      <c r="DII1067" s="989"/>
      <c r="DIJ1067" s="989"/>
      <c r="DIK1067" s="989"/>
      <c r="DIL1067" s="989"/>
      <c r="DIM1067" s="989"/>
      <c r="DIN1067" s="989"/>
      <c r="DIO1067" s="989"/>
      <c r="DIP1067" s="989"/>
      <c r="DIQ1067" s="989"/>
      <c r="DIR1067" s="989"/>
      <c r="DIS1067" s="989"/>
      <c r="DIT1067" s="989"/>
      <c r="DIU1067" s="989"/>
      <c r="DIV1067" s="989"/>
      <c r="DIW1067" s="989"/>
      <c r="DIX1067" s="989"/>
      <c r="DIY1067" s="989"/>
      <c r="DIZ1067" s="989"/>
      <c r="DJA1067" s="989"/>
      <c r="DJB1067" s="989"/>
      <c r="DJC1067" s="989"/>
      <c r="DJD1067" s="989"/>
      <c r="DJE1067" s="989"/>
      <c r="DJF1067" s="989"/>
      <c r="DJG1067" s="989"/>
      <c r="DJH1067" s="989"/>
      <c r="DJI1067" s="989"/>
      <c r="DJJ1067" s="989"/>
      <c r="DJK1067" s="989"/>
      <c r="DJL1067" s="989"/>
      <c r="DJM1067" s="989"/>
      <c r="DJN1067" s="989"/>
      <c r="DJO1067" s="989"/>
      <c r="DJP1067" s="989"/>
      <c r="DJQ1067" s="989"/>
      <c r="DJR1067" s="989"/>
      <c r="DJS1067" s="989"/>
      <c r="DJT1067" s="989"/>
      <c r="DJU1067" s="989"/>
      <c r="DJV1067" s="989"/>
      <c r="DJW1067" s="989"/>
      <c r="DJX1067" s="989"/>
      <c r="DJY1067" s="989"/>
      <c r="DJZ1067" s="989"/>
      <c r="DKA1067" s="989"/>
      <c r="DKB1067" s="989"/>
      <c r="DKC1067" s="989"/>
      <c r="DKD1067" s="989"/>
      <c r="DKE1067" s="989"/>
      <c r="DKF1067" s="989"/>
      <c r="DKG1067" s="989"/>
      <c r="DKH1067" s="989"/>
      <c r="DKI1067" s="989"/>
      <c r="DKJ1067" s="989"/>
      <c r="DKK1067" s="989"/>
      <c r="DKL1067" s="989"/>
      <c r="DKM1067" s="989"/>
      <c r="DKN1067" s="989"/>
      <c r="DKO1067" s="989"/>
      <c r="DKP1067" s="989"/>
      <c r="DKQ1067" s="989"/>
      <c r="DKR1067" s="989"/>
      <c r="DKS1067" s="989"/>
      <c r="DKT1067" s="989"/>
      <c r="DKU1067" s="989"/>
      <c r="DKV1067" s="989"/>
      <c r="DKW1067" s="989"/>
      <c r="DKX1067" s="989"/>
      <c r="DKY1067" s="989"/>
      <c r="DKZ1067" s="989"/>
      <c r="DLA1067" s="989"/>
      <c r="DLB1067" s="989"/>
      <c r="DLC1067" s="989"/>
      <c r="DLD1067" s="989"/>
      <c r="DLE1067" s="989"/>
      <c r="DLF1067" s="989"/>
      <c r="DLG1067" s="989"/>
      <c r="DLH1067" s="989"/>
      <c r="DLI1067" s="989"/>
      <c r="DLJ1067" s="989"/>
      <c r="DLK1067" s="989"/>
      <c r="DLL1067" s="989"/>
      <c r="DLM1067" s="989"/>
      <c r="DLN1067" s="989"/>
      <c r="DLO1067" s="989"/>
      <c r="DLP1067" s="989"/>
      <c r="DLQ1067" s="989"/>
      <c r="DLR1067" s="989"/>
      <c r="DLS1067" s="989"/>
      <c r="DLT1067" s="989"/>
      <c r="DLU1067" s="989"/>
      <c r="DLV1067" s="989"/>
      <c r="DLW1067" s="989"/>
      <c r="DLX1067" s="989"/>
      <c r="DLY1067" s="989"/>
      <c r="DLZ1067" s="989"/>
      <c r="DMA1067" s="989"/>
      <c r="DMB1067" s="989"/>
      <c r="DMC1067" s="989"/>
      <c r="DMD1067" s="989"/>
      <c r="DME1067" s="989"/>
      <c r="DMF1067" s="989"/>
      <c r="DMG1067" s="989"/>
      <c r="DMH1067" s="989"/>
      <c r="DMI1067" s="989"/>
      <c r="DMJ1067" s="989"/>
      <c r="DMK1067" s="989"/>
      <c r="DML1067" s="989"/>
      <c r="DMM1067" s="989"/>
      <c r="DMN1067" s="989"/>
      <c r="DMO1067" s="989"/>
      <c r="DMP1067" s="989"/>
      <c r="DMQ1067" s="989"/>
      <c r="DMR1067" s="989"/>
      <c r="DMS1067" s="989"/>
      <c r="DMT1067" s="989"/>
      <c r="DMU1067" s="989"/>
      <c r="DMV1067" s="989"/>
      <c r="DMW1067" s="989"/>
      <c r="DMX1067" s="989"/>
      <c r="DMY1067" s="989"/>
      <c r="DMZ1067" s="989"/>
      <c r="DNA1067" s="989"/>
      <c r="DNB1067" s="989"/>
      <c r="DNC1067" s="989"/>
      <c r="DND1067" s="989"/>
      <c r="DNE1067" s="989"/>
      <c r="DNF1067" s="989"/>
      <c r="DNG1067" s="989"/>
      <c r="DNH1067" s="989"/>
      <c r="DNI1067" s="989"/>
      <c r="DNJ1067" s="989"/>
      <c r="DNK1067" s="989"/>
      <c r="DNL1067" s="989"/>
      <c r="DNM1067" s="989"/>
      <c r="DNN1067" s="989"/>
      <c r="DNO1067" s="989"/>
      <c r="DNP1067" s="989"/>
      <c r="DNQ1067" s="989"/>
      <c r="DNR1067" s="989"/>
      <c r="DNS1067" s="989"/>
      <c r="DNT1067" s="989"/>
      <c r="DNU1067" s="989"/>
      <c r="DNV1067" s="989"/>
      <c r="DNW1067" s="989"/>
      <c r="DNX1067" s="989"/>
      <c r="DNY1067" s="989"/>
      <c r="DNZ1067" s="989"/>
      <c r="DOA1067" s="989"/>
      <c r="DOB1067" s="989"/>
      <c r="DOC1067" s="989"/>
      <c r="DOD1067" s="989"/>
      <c r="DOE1067" s="989"/>
      <c r="DOF1067" s="989"/>
      <c r="DOG1067" s="989"/>
      <c r="DOH1067" s="989"/>
      <c r="DOI1067" s="989"/>
      <c r="DOJ1067" s="989"/>
      <c r="DOK1067" s="989"/>
      <c r="DOL1067" s="989"/>
      <c r="DOM1067" s="989"/>
      <c r="DON1067" s="989"/>
      <c r="DOO1067" s="989"/>
      <c r="DOP1067" s="989"/>
      <c r="DOQ1067" s="989"/>
      <c r="DOR1067" s="989"/>
      <c r="DOS1067" s="989"/>
      <c r="DOT1067" s="989"/>
      <c r="DOU1067" s="989"/>
      <c r="DOV1067" s="989"/>
      <c r="DOW1067" s="989"/>
      <c r="DOX1067" s="989"/>
      <c r="DOY1067" s="989"/>
      <c r="DOZ1067" s="989"/>
      <c r="DPA1067" s="989"/>
      <c r="DPB1067" s="989"/>
      <c r="DPC1067" s="989"/>
      <c r="DPD1067" s="989"/>
      <c r="DPE1067" s="989"/>
      <c r="DPF1067" s="989"/>
      <c r="DPG1067" s="989"/>
      <c r="DPH1067" s="989"/>
      <c r="DPI1067" s="989"/>
      <c r="DPJ1067" s="989"/>
      <c r="DPK1067" s="989"/>
      <c r="DPL1067" s="989"/>
      <c r="DPM1067" s="989"/>
      <c r="DPN1067" s="989"/>
      <c r="DPO1067" s="989"/>
      <c r="DPP1067" s="989"/>
      <c r="DPQ1067" s="989"/>
      <c r="DPR1067" s="989"/>
      <c r="DPS1067" s="989"/>
      <c r="DPT1067" s="989"/>
      <c r="DPU1067" s="989"/>
      <c r="DPV1067" s="989"/>
      <c r="DPW1067" s="989"/>
      <c r="DPX1067" s="989"/>
      <c r="DPY1067" s="989"/>
      <c r="DPZ1067" s="989"/>
      <c r="DQA1067" s="989"/>
      <c r="DQB1067" s="989"/>
      <c r="DQC1067" s="989"/>
      <c r="DQD1067" s="989"/>
      <c r="DQE1067" s="989"/>
      <c r="DQF1067" s="989"/>
      <c r="DQG1067" s="989"/>
      <c r="DQH1067" s="989"/>
      <c r="DQI1067" s="989"/>
      <c r="DQJ1067" s="989"/>
      <c r="DQK1067" s="989"/>
      <c r="DQL1067" s="989"/>
      <c r="DQM1067" s="989"/>
      <c r="DQN1067" s="989"/>
      <c r="DQO1067" s="989"/>
      <c r="DQP1067" s="989"/>
      <c r="DQQ1067" s="989"/>
      <c r="DQR1067" s="989"/>
      <c r="DQS1067" s="989"/>
      <c r="DQT1067" s="989"/>
      <c r="DQU1067" s="989"/>
      <c r="DQV1067" s="989"/>
      <c r="DQW1067" s="989"/>
      <c r="DQX1067" s="989"/>
      <c r="DQY1067" s="989"/>
      <c r="DQZ1067" s="989"/>
      <c r="DRA1067" s="989"/>
      <c r="DRB1067" s="989"/>
      <c r="DRC1067" s="989"/>
      <c r="DRD1067" s="989"/>
      <c r="DRE1067" s="989"/>
      <c r="DRF1067" s="989"/>
      <c r="DRG1067" s="989"/>
      <c r="DRH1067" s="989"/>
      <c r="DRI1067" s="989"/>
      <c r="DRJ1067" s="989"/>
      <c r="DRK1067" s="989"/>
      <c r="DRL1067" s="989"/>
      <c r="DRM1067" s="989"/>
      <c r="DRN1067" s="989"/>
      <c r="DRO1067" s="989"/>
      <c r="DRP1067" s="989"/>
      <c r="DRQ1067" s="989"/>
      <c r="DRR1067" s="989"/>
      <c r="DRS1067" s="989"/>
      <c r="DRT1067" s="989"/>
      <c r="DRU1067" s="989"/>
      <c r="DRV1067" s="989"/>
      <c r="DRW1067" s="989"/>
      <c r="DRX1067" s="989"/>
      <c r="DRY1067" s="989"/>
      <c r="DRZ1067" s="989"/>
      <c r="DSA1067" s="989"/>
      <c r="DSB1067" s="989"/>
      <c r="DSC1067" s="989"/>
      <c r="DSD1067" s="989"/>
      <c r="DSE1067" s="989"/>
      <c r="DSF1067" s="989"/>
      <c r="DSG1067" s="989"/>
      <c r="DSH1067" s="989"/>
      <c r="DSI1067" s="989"/>
      <c r="DSJ1067" s="989"/>
      <c r="DSK1067" s="989"/>
      <c r="DSL1067" s="989"/>
      <c r="DSM1067" s="989"/>
      <c r="DSN1067" s="989"/>
      <c r="DSO1067" s="989"/>
      <c r="DSP1067" s="989"/>
      <c r="DSQ1067" s="989"/>
      <c r="DSR1067" s="989"/>
      <c r="DSS1067" s="989"/>
      <c r="DST1067" s="989"/>
      <c r="DSU1067" s="989"/>
      <c r="DSV1067" s="989"/>
      <c r="DSW1067" s="989"/>
      <c r="DSX1067" s="989"/>
      <c r="DSY1067" s="989"/>
      <c r="DSZ1067" s="989"/>
      <c r="DTA1067" s="989"/>
      <c r="DTB1067" s="989"/>
      <c r="DTC1067" s="989"/>
      <c r="DTD1067" s="989"/>
      <c r="DTE1067" s="989"/>
      <c r="DTF1067" s="989"/>
      <c r="DTG1067" s="989"/>
      <c r="DTH1067" s="989"/>
      <c r="DTI1067" s="989"/>
      <c r="DTJ1067" s="989"/>
      <c r="DTK1067" s="989"/>
      <c r="DTL1067" s="989"/>
      <c r="DTM1067" s="989"/>
      <c r="DTN1067" s="989"/>
      <c r="DTO1067" s="989"/>
      <c r="DTP1067" s="989"/>
      <c r="DTQ1067" s="989"/>
      <c r="DTR1067" s="989"/>
      <c r="DTS1067" s="989"/>
      <c r="DTT1067" s="989"/>
      <c r="DTU1067" s="989"/>
      <c r="DTV1067" s="989"/>
      <c r="DTW1067" s="989"/>
      <c r="DTX1067" s="989"/>
      <c r="DTY1067" s="989"/>
      <c r="DTZ1067" s="989"/>
      <c r="DUA1067" s="989"/>
      <c r="DUB1067" s="989"/>
      <c r="DUC1067" s="989"/>
      <c r="DUD1067" s="989"/>
      <c r="DUE1067" s="989"/>
      <c r="DUF1067" s="989"/>
      <c r="DUG1067" s="989"/>
      <c r="DUH1067" s="989"/>
      <c r="DUI1067" s="989"/>
      <c r="DUJ1067" s="989"/>
      <c r="DUK1067" s="989"/>
      <c r="DUL1067" s="989"/>
      <c r="DUM1067" s="989"/>
      <c r="DUN1067" s="989"/>
      <c r="DUO1067" s="989"/>
      <c r="DUP1067" s="989"/>
      <c r="DUQ1067" s="989"/>
      <c r="DUR1067" s="989"/>
      <c r="DUS1067" s="989"/>
      <c r="DUT1067" s="989"/>
      <c r="DUU1067" s="989"/>
      <c r="DUV1067" s="989"/>
      <c r="DUW1067" s="989"/>
      <c r="DUX1067" s="989"/>
      <c r="DUY1067" s="989"/>
      <c r="DUZ1067" s="989"/>
      <c r="DVA1067" s="989"/>
      <c r="DVB1067" s="989"/>
      <c r="DVC1067" s="989"/>
      <c r="DVD1067" s="989"/>
      <c r="DVE1067" s="989"/>
      <c r="DVF1067" s="989"/>
      <c r="DVG1067" s="989"/>
      <c r="DVH1067" s="989"/>
      <c r="DVI1067" s="989"/>
      <c r="DVJ1067" s="989"/>
      <c r="DVK1067" s="989"/>
      <c r="DVL1067" s="989"/>
      <c r="DVM1067" s="989"/>
      <c r="DVN1067" s="989"/>
      <c r="DVO1067" s="989"/>
      <c r="DVP1067" s="989"/>
      <c r="DVQ1067" s="989"/>
      <c r="DVR1067" s="989"/>
      <c r="DVS1067" s="989"/>
      <c r="DVT1067" s="989"/>
      <c r="DVU1067" s="989"/>
      <c r="DVV1067" s="989"/>
      <c r="DVW1067" s="989"/>
      <c r="DVX1067" s="989"/>
      <c r="DVY1067" s="989"/>
      <c r="DVZ1067" s="989"/>
      <c r="DWA1067" s="989"/>
      <c r="DWB1067" s="989"/>
      <c r="DWC1067" s="989"/>
      <c r="DWD1067" s="989"/>
      <c r="DWE1067" s="989"/>
      <c r="DWF1067" s="989"/>
      <c r="DWG1067" s="989"/>
      <c r="DWH1067" s="989"/>
      <c r="DWI1067" s="989"/>
      <c r="DWJ1067" s="989"/>
      <c r="DWK1067" s="989"/>
      <c r="DWL1067" s="989"/>
      <c r="DWM1067" s="989"/>
      <c r="DWN1067" s="989"/>
      <c r="DWO1067" s="989"/>
      <c r="DWP1067" s="989"/>
      <c r="DWQ1067" s="989"/>
      <c r="DWR1067" s="989"/>
      <c r="DWS1067" s="989"/>
      <c r="DWT1067" s="989"/>
      <c r="DWU1067" s="989"/>
      <c r="DWV1067" s="989"/>
      <c r="DWW1067" s="989"/>
      <c r="DWX1067" s="989"/>
      <c r="DWY1067" s="989"/>
      <c r="DWZ1067" s="989"/>
      <c r="DXA1067" s="989"/>
      <c r="DXB1067" s="989"/>
      <c r="DXC1067" s="989"/>
      <c r="DXD1067" s="989"/>
      <c r="DXE1067" s="989"/>
      <c r="DXF1067" s="989"/>
      <c r="DXG1067" s="989"/>
      <c r="DXH1067" s="989"/>
      <c r="DXI1067" s="989"/>
      <c r="DXJ1067" s="989"/>
      <c r="DXK1067" s="989"/>
      <c r="DXL1067" s="989"/>
      <c r="DXM1067" s="989"/>
      <c r="DXN1067" s="989"/>
      <c r="DXO1067" s="989"/>
      <c r="DXP1067" s="989"/>
      <c r="DXQ1067" s="989"/>
      <c r="DXR1067" s="989"/>
      <c r="DXS1067" s="989"/>
      <c r="DXT1067" s="989"/>
      <c r="DXU1067" s="989"/>
      <c r="DXV1067" s="989"/>
      <c r="DXW1067" s="989"/>
      <c r="DXX1067" s="989"/>
      <c r="DXY1067" s="989"/>
      <c r="DXZ1067" s="989"/>
      <c r="DYA1067" s="989"/>
      <c r="DYB1067" s="989"/>
      <c r="DYC1067" s="989"/>
      <c r="DYD1067" s="989"/>
      <c r="DYE1067" s="989"/>
      <c r="DYF1067" s="989"/>
      <c r="DYG1067" s="989"/>
      <c r="DYH1067" s="989"/>
      <c r="DYI1067" s="989"/>
      <c r="DYJ1067" s="989"/>
      <c r="DYK1067" s="989"/>
      <c r="DYL1067" s="989"/>
      <c r="DYM1067" s="989"/>
      <c r="DYN1067" s="989"/>
      <c r="DYO1067" s="989"/>
      <c r="DYP1067" s="989"/>
      <c r="DYQ1067" s="989"/>
      <c r="DYR1067" s="989"/>
      <c r="DYS1067" s="989"/>
      <c r="DYT1067" s="989"/>
      <c r="DYU1067" s="989"/>
      <c r="DYV1067" s="989"/>
      <c r="DYW1067" s="989"/>
      <c r="DYX1067" s="989"/>
      <c r="DYY1067" s="989"/>
      <c r="DYZ1067" s="989"/>
      <c r="DZA1067" s="989"/>
      <c r="DZB1067" s="989"/>
      <c r="DZC1067" s="989"/>
      <c r="DZD1067" s="989"/>
      <c r="DZE1067" s="989"/>
      <c r="DZF1067" s="989"/>
      <c r="DZG1067" s="989"/>
      <c r="DZH1067" s="989"/>
      <c r="DZI1067" s="989"/>
      <c r="DZJ1067" s="989"/>
      <c r="DZK1067" s="989"/>
      <c r="DZL1067" s="989"/>
      <c r="DZM1067" s="989"/>
      <c r="DZN1067" s="989"/>
      <c r="DZO1067" s="989"/>
      <c r="DZP1067" s="989"/>
      <c r="DZQ1067" s="989"/>
      <c r="DZR1067" s="989"/>
      <c r="DZS1067" s="989"/>
      <c r="DZT1067" s="989"/>
      <c r="DZU1067" s="989"/>
      <c r="DZV1067" s="989"/>
      <c r="DZW1067" s="989"/>
      <c r="DZX1067" s="989"/>
      <c r="DZY1067" s="989"/>
      <c r="DZZ1067" s="989"/>
      <c r="EAA1067" s="989"/>
      <c r="EAB1067" s="989"/>
      <c r="EAC1067" s="989"/>
      <c r="EAD1067" s="989"/>
      <c r="EAE1067" s="989"/>
      <c r="EAF1067" s="989"/>
      <c r="EAG1067" s="989"/>
      <c r="EAH1067" s="989"/>
      <c r="EAI1067" s="989"/>
      <c r="EAJ1067" s="989"/>
      <c r="EAK1067" s="989"/>
      <c r="EAL1067" s="989"/>
      <c r="EAM1067" s="989"/>
      <c r="EAN1067" s="989"/>
      <c r="EAO1067" s="989"/>
      <c r="EAP1067" s="989"/>
      <c r="EAQ1067" s="989"/>
      <c r="EAR1067" s="989"/>
      <c r="EAS1067" s="989"/>
      <c r="EAT1067" s="989"/>
      <c r="EAU1067" s="989"/>
      <c r="EAV1067" s="989"/>
      <c r="EAW1067" s="989"/>
      <c r="EAX1067" s="989"/>
      <c r="EAY1067" s="989"/>
      <c r="EAZ1067" s="989"/>
      <c r="EBA1067" s="989"/>
      <c r="EBB1067" s="989"/>
      <c r="EBC1067" s="989"/>
      <c r="EBD1067" s="989"/>
      <c r="EBE1067" s="989"/>
      <c r="EBF1067" s="989"/>
      <c r="EBG1067" s="989"/>
      <c r="EBH1067" s="989"/>
      <c r="EBI1067" s="989"/>
      <c r="EBJ1067" s="989"/>
      <c r="EBK1067" s="989"/>
      <c r="EBL1067" s="989"/>
      <c r="EBM1067" s="989"/>
      <c r="EBN1067" s="989"/>
      <c r="EBO1067" s="989"/>
      <c r="EBP1067" s="989"/>
      <c r="EBQ1067" s="989"/>
      <c r="EBR1067" s="989"/>
      <c r="EBS1067" s="989"/>
      <c r="EBT1067" s="989"/>
      <c r="EBU1067" s="989"/>
      <c r="EBV1067" s="989"/>
      <c r="EBW1067" s="989"/>
      <c r="EBX1067" s="989"/>
      <c r="EBY1067" s="989"/>
      <c r="EBZ1067" s="989"/>
      <c r="ECA1067" s="989"/>
      <c r="ECB1067" s="989"/>
      <c r="ECC1067" s="989"/>
      <c r="ECD1067" s="989"/>
      <c r="ECE1067" s="989"/>
      <c r="ECF1067" s="989"/>
      <c r="ECG1067" s="989"/>
      <c r="ECH1067" s="989"/>
      <c r="ECI1067" s="989"/>
      <c r="ECJ1067" s="989"/>
      <c r="ECK1067" s="989"/>
      <c r="ECL1067" s="989"/>
      <c r="ECM1067" s="989"/>
      <c r="ECN1067" s="989"/>
      <c r="ECO1067" s="989"/>
      <c r="ECP1067" s="989"/>
      <c r="ECQ1067" s="989"/>
      <c r="ECR1067" s="989"/>
      <c r="ECS1067" s="989"/>
      <c r="ECT1067" s="989"/>
      <c r="ECU1067" s="989"/>
      <c r="ECV1067" s="989"/>
      <c r="ECW1067" s="989"/>
      <c r="ECX1067" s="989"/>
      <c r="ECY1067" s="989"/>
      <c r="ECZ1067" s="989"/>
      <c r="EDA1067" s="989"/>
      <c r="EDB1067" s="989"/>
      <c r="EDC1067" s="989"/>
      <c r="EDD1067" s="989"/>
      <c r="EDE1067" s="989"/>
      <c r="EDF1067" s="989"/>
      <c r="EDG1067" s="989"/>
      <c r="EDH1067" s="989"/>
      <c r="EDI1067" s="989"/>
      <c r="EDJ1067" s="989"/>
      <c r="EDK1067" s="989"/>
      <c r="EDL1067" s="989"/>
      <c r="EDM1067" s="989"/>
      <c r="EDN1067" s="989"/>
      <c r="EDO1067" s="989"/>
      <c r="EDP1067" s="989"/>
      <c r="EDQ1067" s="989"/>
      <c r="EDR1067" s="989"/>
      <c r="EDS1067" s="989"/>
      <c r="EDT1067" s="989"/>
      <c r="EDU1067" s="989"/>
      <c r="EDV1067" s="989"/>
      <c r="EDW1067" s="989"/>
      <c r="EDX1067" s="989"/>
      <c r="EDY1067" s="989"/>
      <c r="EDZ1067" s="989"/>
      <c r="EEA1067" s="989"/>
      <c r="EEB1067" s="989"/>
      <c r="EEC1067" s="989"/>
      <c r="EED1067" s="989"/>
      <c r="EEE1067" s="989"/>
      <c r="EEF1067" s="989"/>
      <c r="EEG1067" s="989"/>
      <c r="EEH1067" s="989"/>
      <c r="EEI1067" s="989"/>
      <c r="EEJ1067" s="989"/>
      <c r="EEK1067" s="989"/>
      <c r="EEL1067" s="989"/>
      <c r="EEM1067" s="989"/>
      <c r="EEN1067" s="989"/>
      <c r="EEO1067" s="989"/>
      <c r="EEP1067" s="989"/>
      <c r="EEQ1067" s="989"/>
      <c r="EER1067" s="989"/>
      <c r="EES1067" s="989"/>
      <c r="EET1067" s="989"/>
      <c r="EEU1067" s="989"/>
      <c r="EEV1067" s="989"/>
      <c r="EEW1067" s="989"/>
      <c r="EEX1067" s="989"/>
      <c r="EEY1067" s="989"/>
      <c r="EEZ1067" s="989"/>
      <c r="EFA1067" s="989"/>
      <c r="EFB1067" s="989"/>
      <c r="EFC1067" s="989"/>
      <c r="EFD1067" s="989"/>
      <c r="EFE1067" s="989"/>
      <c r="EFF1067" s="989"/>
      <c r="EFG1067" s="989"/>
      <c r="EFH1067" s="989"/>
      <c r="EFI1067" s="989"/>
      <c r="EFJ1067" s="989"/>
      <c r="EFK1067" s="989"/>
      <c r="EFL1067" s="989"/>
      <c r="EFM1067" s="989"/>
      <c r="EFN1067" s="989"/>
      <c r="EFO1067" s="989"/>
      <c r="EFP1067" s="989"/>
      <c r="EFQ1067" s="989"/>
      <c r="EFR1067" s="989"/>
      <c r="EFS1067" s="989"/>
      <c r="EFT1067" s="989"/>
      <c r="EFU1067" s="989"/>
      <c r="EFV1067" s="989"/>
      <c r="EFW1067" s="989"/>
      <c r="EFX1067" s="989"/>
      <c r="EFY1067" s="989"/>
      <c r="EFZ1067" s="989"/>
      <c r="EGA1067" s="989"/>
      <c r="EGB1067" s="989"/>
      <c r="EGC1067" s="989"/>
      <c r="EGD1067" s="989"/>
      <c r="EGE1067" s="989"/>
      <c r="EGF1067" s="989"/>
      <c r="EGG1067" s="989"/>
      <c r="EGH1067" s="989"/>
      <c r="EGI1067" s="989"/>
      <c r="EGJ1067" s="989"/>
      <c r="EGK1067" s="989"/>
      <c r="EGL1067" s="989"/>
      <c r="EGM1067" s="989"/>
      <c r="EGN1067" s="989"/>
      <c r="EGO1067" s="989"/>
      <c r="EGP1067" s="989"/>
      <c r="EGQ1067" s="989"/>
      <c r="EGR1067" s="989"/>
      <c r="EGS1067" s="989"/>
      <c r="EGT1067" s="989"/>
      <c r="EGU1067" s="989"/>
      <c r="EGV1067" s="989"/>
      <c r="EGW1067" s="989"/>
      <c r="EGX1067" s="989"/>
      <c r="EGY1067" s="989"/>
      <c r="EGZ1067" s="989"/>
      <c r="EHA1067" s="989"/>
      <c r="EHB1067" s="989"/>
      <c r="EHC1067" s="989"/>
      <c r="EHD1067" s="989"/>
      <c r="EHE1067" s="989"/>
      <c r="EHF1067" s="989"/>
      <c r="EHG1067" s="989"/>
      <c r="EHH1067" s="989"/>
      <c r="EHI1067" s="989"/>
      <c r="EHJ1067" s="989"/>
      <c r="EHK1067" s="989"/>
      <c r="EHL1067" s="989"/>
      <c r="EHM1067" s="989"/>
      <c r="EHN1067" s="989"/>
      <c r="EHO1067" s="989"/>
      <c r="EHP1067" s="989"/>
      <c r="EHQ1067" s="989"/>
      <c r="EHR1067" s="989"/>
      <c r="EHS1067" s="989"/>
      <c r="EHT1067" s="989"/>
      <c r="EHU1067" s="989"/>
      <c r="EHV1067" s="989"/>
      <c r="EHW1067" s="989"/>
      <c r="EHX1067" s="989"/>
      <c r="EHY1067" s="989"/>
      <c r="EHZ1067" s="989"/>
      <c r="EIA1067" s="989"/>
      <c r="EIB1067" s="989"/>
      <c r="EIC1067" s="989"/>
      <c r="EID1067" s="989"/>
      <c r="EIE1067" s="989"/>
      <c r="EIF1067" s="989"/>
      <c r="EIG1067" s="989"/>
      <c r="EIH1067" s="989"/>
      <c r="EII1067" s="989"/>
      <c r="EIJ1067" s="989"/>
      <c r="EIK1067" s="989"/>
      <c r="EIL1067" s="989"/>
      <c r="EIM1067" s="989"/>
      <c r="EIN1067" s="989"/>
      <c r="EIO1067" s="989"/>
      <c r="EIP1067" s="989"/>
      <c r="EIQ1067" s="989"/>
      <c r="EIR1067" s="989"/>
      <c r="EIS1067" s="989"/>
      <c r="EIT1067" s="989"/>
      <c r="EIU1067" s="989"/>
      <c r="EIV1067" s="989"/>
      <c r="EIW1067" s="989"/>
      <c r="EIX1067" s="989"/>
      <c r="EIY1067" s="989"/>
      <c r="EIZ1067" s="989"/>
      <c r="EJA1067" s="989"/>
      <c r="EJB1067" s="989"/>
      <c r="EJC1067" s="989"/>
      <c r="EJD1067" s="989"/>
      <c r="EJE1067" s="989"/>
      <c r="EJF1067" s="989"/>
      <c r="EJG1067" s="989"/>
      <c r="EJH1067" s="989"/>
      <c r="EJI1067" s="989"/>
      <c r="EJJ1067" s="989"/>
      <c r="EJK1067" s="989"/>
      <c r="EJL1067" s="989"/>
      <c r="EJM1067" s="989"/>
      <c r="EJN1067" s="989"/>
      <c r="EJO1067" s="989"/>
      <c r="EJP1067" s="989"/>
      <c r="EJQ1067" s="989"/>
      <c r="EJR1067" s="989"/>
      <c r="EJS1067" s="989"/>
      <c r="EJT1067" s="989"/>
      <c r="EJU1067" s="989"/>
      <c r="EJV1067" s="989"/>
      <c r="EJW1067" s="989"/>
      <c r="EJX1067" s="989"/>
      <c r="EJY1067" s="989"/>
      <c r="EJZ1067" s="989"/>
      <c r="EKA1067" s="989"/>
      <c r="EKB1067" s="989"/>
      <c r="EKC1067" s="989"/>
      <c r="EKD1067" s="989"/>
      <c r="EKE1067" s="989"/>
      <c r="EKF1067" s="989"/>
      <c r="EKG1067" s="989"/>
      <c r="EKH1067" s="989"/>
      <c r="EKI1067" s="989"/>
      <c r="EKJ1067" s="989"/>
      <c r="EKK1067" s="989"/>
      <c r="EKL1067" s="989"/>
      <c r="EKM1067" s="989"/>
      <c r="EKN1067" s="989"/>
      <c r="EKO1067" s="989"/>
      <c r="EKP1067" s="989"/>
      <c r="EKQ1067" s="989"/>
      <c r="EKR1067" s="989"/>
      <c r="EKS1067" s="989"/>
      <c r="EKT1067" s="989"/>
      <c r="EKU1067" s="989"/>
      <c r="EKV1067" s="989"/>
      <c r="EKW1067" s="989"/>
      <c r="EKX1067" s="989"/>
      <c r="EKY1067" s="989"/>
      <c r="EKZ1067" s="989"/>
      <c r="ELA1067" s="989"/>
      <c r="ELB1067" s="989"/>
      <c r="ELC1067" s="989"/>
      <c r="ELD1067" s="989"/>
      <c r="ELE1067" s="989"/>
      <c r="ELF1067" s="989"/>
      <c r="ELG1067" s="989"/>
      <c r="ELH1067" s="989"/>
      <c r="ELI1067" s="989"/>
      <c r="ELJ1067" s="989"/>
      <c r="ELK1067" s="989"/>
      <c r="ELL1067" s="989"/>
      <c r="ELM1067" s="989"/>
      <c r="ELN1067" s="989"/>
      <c r="ELO1067" s="989"/>
      <c r="ELP1067" s="989"/>
      <c r="ELQ1067" s="989"/>
      <c r="ELR1067" s="989"/>
      <c r="ELS1067" s="989"/>
      <c r="ELT1067" s="989"/>
      <c r="ELU1067" s="989"/>
      <c r="ELV1067" s="989"/>
      <c r="ELW1067" s="989"/>
      <c r="ELX1067" s="989"/>
      <c r="ELY1067" s="989"/>
      <c r="ELZ1067" s="989"/>
      <c r="EMA1067" s="989"/>
      <c r="EMB1067" s="989"/>
      <c r="EMC1067" s="989"/>
      <c r="EMD1067" s="989"/>
      <c r="EME1067" s="989"/>
      <c r="EMF1067" s="989"/>
      <c r="EMG1067" s="989"/>
      <c r="EMH1067" s="989"/>
      <c r="EMI1067" s="989"/>
      <c r="EMJ1067" s="989"/>
      <c r="EMK1067" s="989"/>
      <c r="EML1067" s="989"/>
      <c r="EMM1067" s="989"/>
      <c r="EMN1067" s="989"/>
      <c r="EMO1067" s="989"/>
      <c r="EMP1067" s="989"/>
      <c r="EMQ1067" s="989"/>
      <c r="EMR1067" s="989"/>
      <c r="EMS1067" s="989"/>
      <c r="EMT1067" s="989"/>
      <c r="EMU1067" s="989"/>
      <c r="EMV1067" s="989"/>
      <c r="EMW1067" s="989"/>
      <c r="EMX1067" s="989"/>
      <c r="EMY1067" s="989"/>
      <c r="EMZ1067" s="989"/>
      <c r="ENA1067" s="989"/>
      <c r="ENB1067" s="989"/>
      <c r="ENC1067" s="989"/>
      <c r="END1067" s="989"/>
      <c r="ENE1067" s="989"/>
      <c r="ENF1067" s="989"/>
      <c r="ENG1067" s="989"/>
      <c r="ENH1067" s="989"/>
      <c r="ENI1067" s="989"/>
      <c r="ENJ1067" s="989"/>
      <c r="ENK1067" s="989"/>
      <c r="ENL1067" s="989"/>
      <c r="ENM1067" s="989"/>
      <c r="ENN1067" s="989"/>
      <c r="ENO1067" s="989"/>
      <c r="ENP1067" s="989"/>
      <c r="ENQ1067" s="989"/>
      <c r="ENR1067" s="989"/>
      <c r="ENS1067" s="989"/>
      <c r="ENT1067" s="989"/>
      <c r="ENU1067" s="989"/>
      <c r="ENV1067" s="989"/>
      <c r="ENW1067" s="989"/>
      <c r="ENX1067" s="989"/>
      <c r="ENY1067" s="989"/>
      <c r="ENZ1067" s="989"/>
      <c r="EOA1067" s="989"/>
      <c r="EOB1067" s="989"/>
      <c r="EOC1067" s="989"/>
      <c r="EOD1067" s="989"/>
      <c r="EOE1067" s="989"/>
      <c r="EOF1067" s="989"/>
      <c r="EOG1067" s="989"/>
      <c r="EOH1067" s="989"/>
      <c r="EOI1067" s="989"/>
      <c r="EOJ1067" s="989"/>
      <c r="EOK1067" s="989"/>
      <c r="EOL1067" s="989"/>
      <c r="EOM1067" s="989"/>
      <c r="EON1067" s="989"/>
      <c r="EOO1067" s="989"/>
      <c r="EOP1067" s="989"/>
      <c r="EOQ1067" s="989"/>
      <c r="EOR1067" s="989"/>
      <c r="EOS1067" s="989"/>
      <c r="EOT1067" s="989"/>
      <c r="EOU1067" s="989"/>
      <c r="EOV1067" s="989"/>
      <c r="EOW1067" s="989"/>
      <c r="EOX1067" s="989"/>
      <c r="EOY1067" s="989"/>
      <c r="EOZ1067" s="989"/>
      <c r="EPA1067" s="989"/>
      <c r="EPB1067" s="989"/>
      <c r="EPC1067" s="989"/>
      <c r="EPD1067" s="989"/>
      <c r="EPE1067" s="989"/>
      <c r="EPF1067" s="989"/>
      <c r="EPG1067" s="989"/>
      <c r="EPH1067" s="989"/>
      <c r="EPI1067" s="989"/>
      <c r="EPJ1067" s="989"/>
      <c r="EPK1067" s="989"/>
      <c r="EPL1067" s="989"/>
      <c r="EPM1067" s="989"/>
      <c r="EPN1067" s="989"/>
      <c r="EPO1067" s="989"/>
      <c r="EPP1067" s="989"/>
      <c r="EPQ1067" s="989"/>
      <c r="EPR1067" s="989"/>
      <c r="EPS1067" s="989"/>
      <c r="EPT1067" s="989"/>
      <c r="EPU1067" s="989"/>
      <c r="EPV1067" s="989"/>
      <c r="EPW1067" s="989"/>
      <c r="EPX1067" s="989"/>
      <c r="EPY1067" s="989"/>
      <c r="EPZ1067" s="989"/>
      <c r="EQA1067" s="989"/>
      <c r="EQB1067" s="989"/>
      <c r="EQC1067" s="989"/>
      <c r="EQD1067" s="989"/>
      <c r="EQE1067" s="989"/>
      <c r="EQF1067" s="989"/>
      <c r="EQG1067" s="989"/>
      <c r="EQH1067" s="989"/>
      <c r="EQI1067" s="989"/>
      <c r="EQJ1067" s="989"/>
      <c r="EQK1067" s="989"/>
      <c r="EQL1067" s="989"/>
      <c r="EQM1067" s="989"/>
      <c r="EQN1067" s="989"/>
      <c r="EQO1067" s="989"/>
      <c r="EQP1067" s="989"/>
      <c r="EQQ1067" s="989"/>
      <c r="EQR1067" s="989"/>
      <c r="EQS1067" s="989"/>
      <c r="EQT1067" s="989"/>
      <c r="EQU1067" s="989"/>
      <c r="EQV1067" s="989"/>
      <c r="EQW1067" s="989"/>
      <c r="EQX1067" s="989"/>
      <c r="EQY1067" s="989"/>
      <c r="EQZ1067" s="989"/>
      <c r="ERA1067" s="989"/>
      <c r="ERB1067" s="989"/>
      <c r="ERC1067" s="989"/>
      <c r="ERD1067" s="989"/>
      <c r="ERE1067" s="989"/>
      <c r="ERF1067" s="989"/>
      <c r="ERG1067" s="989"/>
      <c r="ERH1067" s="989"/>
      <c r="ERI1067" s="989"/>
      <c r="ERJ1067" s="989"/>
      <c r="ERK1067" s="989"/>
      <c r="ERL1067" s="989"/>
      <c r="ERM1067" s="989"/>
      <c r="ERN1067" s="989"/>
      <c r="ERO1067" s="989"/>
      <c r="ERP1067" s="989"/>
      <c r="ERQ1067" s="989"/>
      <c r="ERR1067" s="989"/>
      <c r="ERS1067" s="989"/>
      <c r="ERT1067" s="989"/>
      <c r="ERU1067" s="989"/>
      <c r="ERV1067" s="989"/>
      <c r="ERW1067" s="989"/>
      <c r="ERX1067" s="989"/>
      <c r="ERY1067" s="989"/>
      <c r="ERZ1067" s="989"/>
      <c r="ESA1067" s="989"/>
      <c r="ESB1067" s="989"/>
      <c r="ESC1067" s="989"/>
      <c r="ESD1067" s="989"/>
      <c r="ESE1067" s="989"/>
      <c r="ESF1067" s="989"/>
      <c r="ESG1067" s="989"/>
      <c r="ESH1067" s="989"/>
      <c r="ESI1067" s="989"/>
      <c r="ESJ1067" s="989"/>
      <c r="ESK1067" s="989"/>
      <c r="ESL1067" s="989"/>
      <c r="ESM1067" s="989"/>
      <c r="ESN1067" s="989"/>
      <c r="ESO1067" s="989"/>
      <c r="ESP1067" s="989"/>
      <c r="ESQ1067" s="989"/>
      <c r="ESR1067" s="989"/>
      <c r="ESS1067" s="989"/>
      <c r="EST1067" s="989"/>
      <c r="ESU1067" s="989"/>
      <c r="ESV1067" s="989"/>
      <c r="ESW1067" s="989"/>
      <c r="ESX1067" s="989"/>
      <c r="ESY1067" s="989"/>
      <c r="ESZ1067" s="989"/>
      <c r="ETA1067" s="989"/>
      <c r="ETB1067" s="989"/>
      <c r="ETC1067" s="989"/>
      <c r="ETD1067" s="989"/>
      <c r="ETE1067" s="989"/>
      <c r="ETF1067" s="989"/>
      <c r="ETG1067" s="989"/>
      <c r="ETH1067" s="989"/>
      <c r="ETI1067" s="989"/>
      <c r="ETJ1067" s="989"/>
      <c r="ETK1067" s="989"/>
      <c r="ETL1067" s="989"/>
      <c r="ETM1067" s="989"/>
      <c r="ETN1067" s="989"/>
      <c r="ETO1067" s="989"/>
      <c r="ETP1067" s="989"/>
      <c r="ETQ1067" s="989"/>
      <c r="ETR1067" s="989"/>
      <c r="ETS1067" s="989"/>
      <c r="ETT1067" s="989"/>
      <c r="ETU1067" s="989"/>
      <c r="ETV1067" s="989"/>
      <c r="ETW1067" s="989"/>
      <c r="ETX1067" s="989"/>
      <c r="ETY1067" s="989"/>
      <c r="ETZ1067" s="989"/>
      <c r="EUA1067" s="989"/>
      <c r="EUB1067" s="989"/>
      <c r="EUC1067" s="989"/>
      <c r="EUD1067" s="989"/>
      <c r="EUE1067" s="989"/>
      <c r="EUF1067" s="989"/>
      <c r="EUG1067" s="989"/>
      <c r="EUH1067" s="989"/>
      <c r="EUI1067" s="989"/>
      <c r="EUJ1067" s="989"/>
      <c r="EUK1067" s="989"/>
      <c r="EUL1067" s="989"/>
      <c r="EUM1067" s="989"/>
      <c r="EUN1067" s="989"/>
      <c r="EUO1067" s="989"/>
      <c r="EUP1067" s="989"/>
      <c r="EUQ1067" s="989"/>
      <c r="EUR1067" s="989"/>
      <c r="EUS1067" s="989"/>
      <c r="EUT1067" s="989"/>
      <c r="EUU1067" s="989"/>
      <c r="EUV1067" s="989"/>
      <c r="EUW1067" s="989"/>
      <c r="EUX1067" s="989"/>
      <c r="EUY1067" s="989"/>
      <c r="EUZ1067" s="989"/>
      <c r="EVA1067" s="989"/>
      <c r="EVB1067" s="989"/>
      <c r="EVC1067" s="989"/>
      <c r="EVD1067" s="989"/>
      <c r="EVE1067" s="989"/>
      <c r="EVF1067" s="989"/>
      <c r="EVG1067" s="989"/>
      <c r="EVH1067" s="989"/>
      <c r="EVI1067" s="989"/>
      <c r="EVJ1067" s="989"/>
      <c r="EVK1067" s="989"/>
      <c r="EVL1067" s="989"/>
      <c r="EVM1067" s="989"/>
      <c r="EVN1067" s="989"/>
      <c r="EVO1067" s="989"/>
      <c r="EVP1067" s="989"/>
      <c r="EVQ1067" s="989"/>
      <c r="EVR1067" s="989"/>
      <c r="EVS1067" s="989"/>
      <c r="EVT1067" s="989"/>
      <c r="EVU1067" s="989"/>
      <c r="EVV1067" s="989"/>
      <c r="EVW1067" s="989"/>
      <c r="EVX1067" s="989"/>
      <c r="EVY1067" s="989"/>
      <c r="EVZ1067" s="989"/>
      <c r="EWA1067" s="989"/>
      <c r="EWB1067" s="989"/>
      <c r="EWC1067" s="989"/>
      <c r="EWD1067" s="989"/>
      <c r="EWE1067" s="989"/>
      <c r="EWF1067" s="989"/>
      <c r="EWG1067" s="989"/>
      <c r="EWH1067" s="989"/>
      <c r="EWI1067" s="989"/>
      <c r="EWJ1067" s="989"/>
      <c r="EWK1067" s="989"/>
      <c r="EWL1067" s="989"/>
      <c r="EWM1067" s="989"/>
      <c r="EWN1067" s="989"/>
      <c r="EWO1067" s="989"/>
      <c r="EWP1067" s="989"/>
      <c r="EWQ1067" s="989"/>
      <c r="EWR1067" s="989"/>
      <c r="EWS1067" s="989"/>
      <c r="EWT1067" s="989"/>
      <c r="EWU1067" s="989"/>
      <c r="EWV1067" s="989"/>
      <c r="EWW1067" s="989"/>
      <c r="EWX1067" s="989"/>
      <c r="EWY1067" s="989"/>
      <c r="EWZ1067" s="989"/>
      <c r="EXA1067" s="989"/>
      <c r="EXB1067" s="989"/>
      <c r="EXC1067" s="989"/>
      <c r="EXD1067" s="989"/>
      <c r="EXE1067" s="989"/>
      <c r="EXF1067" s="989"/>
      <c r="EXG1067" s="989"/>
      <c r="EXH1067" s="989"/>
      <c r="EXI1067" s="989"/>
      <c r="EXJ1067" s="989"/>
      <c r="EXK1067" s="989"/>
      <c r="EXL1067" s="989"/>
      <c r="EXM1067" s="989"/>
      <c r="EXN1067" s="989"/>
      <c r="EXO1067" s="989"/>
      <c r="EXP1067" s="989"/>
      <c r="EXQ1067" s="989"/>
      <c r="EXR1067" s="989"/>
      <c r="EXS1067" s="989"/>
      <c r="EXT1067" s="989"/>
      <c r="EXU1067" s="989"/>
      <c r="EXV1067" s="989"/>
      <c r="EXW1067" s="989"/>
      <c r="EXX1067" s="989"/>
      <c r="EXY1067" s="989"/>
      <c r="EXZ1067" s="989"/>
      <c r="EYA1067" s="989"/>
      <c r="EYB1067" s="989"/>
      <c r="EYC1067" s="989"/>
      <c r="EYD1067" s="989"/>
      <c r="EYE1067" s="989"/>
      <c r="EYF1067" s="989"/>
      <c r="EYG1067" s="989"/>
      <c r="EYH1067" s="989"/>
      <c r="EYI1067" s="989"/>
      <c r="EYJ1067" s="989"/>
      <c r="EYK1067" s="989"/>
      <c r="EYL1067" s="989"/>
      <c r="EYM1067" s="989"/>
      <c r="EYN1067" s="989"/>
      <c r="EYO1067" s="989"/>
      <c r="EYP1067" s="989"/>
      <c r="EYQ1067" s="989"/>
      <c r="EYR1067" s="989"/>
      <c r="EYS1067" s="989"/>
      <c r="EYT1067" s="989"/>
      <c r="EYU1067" s="989"/>
      <c r="EYV1067" s="989"/>
      <c r="EYW1067" s="989"/>
      <c r="EYX1067" s="989"/>
      <c r="EYY1067" s="989"/>
      <c r="EYZ1067" s="989"/>
      <c r="EZA1067" s="989"/>
      <c r="EZB1067" s="989"/>
      <c r="EZC1067" s="989"/>
      <c r="EZD1067" s="989"/>
      <c r="EZE1067" s="989"/>
      <c r="EZF1067" s="989"/>
      <c r="EZG1067" s="989"/>
      <c r="EZH1067" s="989"/>
      <c r="EZI1067" s="989"/>
      <c r="EZJ1067" s="989"/>
      <c r="EZK1067" s="989"/>
      <c r="EZL1067" s="989"/>
      <c r="EZM1067" s="989"/>
      <c r="EZN1067" s="989"/>
      <c r="EZO1067" s="989"/>
      <c r="EZP1067" s="989"/>
      <c r="EZQ1067" s="989"/>
      <c r="EZR1067" s="989"/>
      <c r="EZS1067" s="989"/>
      <c r="EZT1067" s="989"/>
      <c r="EZU1067" s="989"/>
      <c r="EZV1067" s="989"/>
      <c r="EZW1067" s="989"/>
      <c r="EZX1067" s="989"/>
      <c r="EZY1067" s="989"/>
      <c r="EZZ1067" s="989"/>
      <c r="FAA1067" s="989"/>
      <c r="FAB1067" s="989"/>
      <c r="FAC1067" s="989"/>
      <c r="FAD1067" s="989"/>
      <c r="FAE1067" s="989"/>
      <c r="FAF1067" s="989"/>
      <c r="FAG1067" s="989"/>
      <c r="FAH1067" s="989"/>
      <c r="FAI1067" s="989"/>
      <c r="FAJ1067" s="989"/>
      <c r="FAK1067" s="989"/>
      <c r="FAL1067" s="989"/>
      <c r="FAM1067" s="989"/>
      <c r="FAN1067" s="989"/>
      <c r="FAO1067" s="989"/>
      <c r="FAP1067" s="989"/>
      <c r="FAQ1067" s="989"/>
      <c r="FAR1067" s="989"/>
      <c r="FAS1067" s="989"/>
      <c r="FAT1067" s="989"/>
      <c r="FAU1067" s="989"/>
      <c r="FAV1067" s="989"/>
      <c r="FAW1067" s="989"/>
      <c r="FAX1067" s="989"/>
      <c r="FAY1067" s="989"/>
      <c r="FAZ1067" s="989"/>
      <c r="FBA1067" s="989"/>
      <c r="FBB1067" s="989"/>
      <c r="FBC1067" s="989"/>
      <c r="FBD1067" s="989"/>
      <c r="FBE1067" s="989"/>
      <c r="FBF1067" s="989"/>
      <c r="FBG1067" s="989"/>
      <c r="FBH1067" s="989"/>
      <c r="FBI1067" s="989"/>
      <c r="FBJ1067" s="989"/>
      <c r="FBK1067" s="989"/>
      <c r="FBL1067" s="989"/>
      <c r="FBM1067" s="989"/>
      <c r="FBN1067" s="989"/>
      <c r="FBO1067" s="989"/>
      <c r="FBP1067" s="989"/>
      <c r="FBQ1067" s="989"/>
      <c r="FBR1067" s="989"/>
      <c r="FBS1067" s="989"/>
      <c r="FBT1067" s="989"/>
      <c r="FBU1067" s="989"/>
      <c r="FBV1067" s="989"/>
      <c r="FBW1067" s="989"/>
      <c r="FBX1067" s="989"/>
      <c r="FBY1067" s="989"/>
      <c r="FBZ1067" s="989"/>
      <c r="FCA1067" s="989"/>
      <c r="FCB1067" s="989"/>
      <c r="FCC1067" s="989"/>
      <c r="FCD1067" s="989"/>
      <c r="FCE1067" s="989"/>
      <c r="FCF1067" s="989"/>
      <c r="FCG1067" s="989"/>
      <c r="FCH1067" s="989"/>
      <c r="FCI1067" s="989"/>
      <c r="FCJ1067" s="989"/>
      <c r="FCK1067" s="989"/>
      <c r="FCL1067" s="989"/>
      <c r="FCM1067" s="989"/>
      <c r="FCN1067" s="989"/>
      <c r="FCO1067" s="989"/>
      <c r="FCP1067" s="989"/>
      <c r="FCQ1067" s="989"/>
      <c r="FCR1067" s="989"/>
      <c r="FCS1067" s="989"/>
      <c r="FCT1067" s="989"/>
      <c r="FCU1067" s="989"/>
      <c r="FCV1067" s="989"/>
      <c r="FCW1067" s="989"/>
      <c r="FCX1067" s="989"/>
      <c r="FCY1067" s="989"/>
      <c r="FCZ1067" s="989"/>
      <c r="FDA1067" s="989"/>
      <c r="FDB1067" s="989"/>
      <c r="FDC1067" s="989"/>
      <c r="FDD1067" s="989"/>
      <c r="FDE1067" s="989"/>
      <c r="FDF1067" s="989"/>
      <c r="FDG1067" s="989"/>
      <c r="FDH1067" s="989"/>
      <c r="FDI1067" s="989"/>
      <c r="FDJ1067" s="989"/>
      <c r="FDK1067" s="989"/>
      <c r="FDL1067" s="989"/>
      <c r="FDM1067" s="989"/>
      <c r="FDN1067" s="989"/>
      <c r="FDO1067" s="989"/>
      <c r="FDP1067" s="989"/>
      <c r="FDQ1067" s="989"/>
      <c r="FDR1067" s="989"/>
      <c r="FDS1067" s="989"/>
      <c r="FDT1067" s="989"/>
      <c r="FDU1067" s="989"/>
      <c r="FDV1067" s="989"/>
      <c r="FDW1067" s="989"/>
      <c r="FDX1067" s="989"/>
      <c r="FDY1067" s="989"/>
      <c r="FDZ1067" s="989"/>
      <c r="FEA1067" s="989"/>
      <c r="FEB1067" s="989"/>
      <c r="FEC1067" s="989"/>
      <c r="FED1067" s="989"/>
      <c r="FEE1067" s="989"/>
      <c r="FEF1067" s="989"/>
      <c r="FEG1067" s="989"/>
      <c r="FEH1067" s="989"/>
      <c r="FEI1067" s="989"/>
      <c r="FEJ1067" s="989"/>
      <c r="FEK1067" s="989"/>
      <c r="FEL1067" s="989"/>
      <c r="FEM1067" s="989"/>
      <c r="FEN1067" s="989"/>
      <c r="FEO1067" s="989"/>
      <c r="FEP1067" s="989"/>
      <c r="FEQ1067" s="989"/>
      <c r="FER1067" s="989"/>
      <c r="FES1067" s="989"/>
      <c r="FET1067" s="989"/>
      <c r="FEU1067" s="989"/>
      <c r="FEV1067" s="989"/>
      <c r="FEW1067" s="989"/>
      <c r="FEX1067" s="989"/>
      <c r="FEY1067" s="989"/>
      <c r="FEZ1067" s="989"/>
      <c r="FFA1067" s="989"/>
      <c r="FFB1067" s="989"/>
      <c r="FFC1067" s="989"/>
      <c r="FFD1067" s="989"/>
      <c r="FFE1067" s="989"/>
      <c r="FFF1067" s="989"/>
      <c r="FFG1067" s="989"/>
      <c r="FFH1067" s="989"/>
      <c r="FFI1067" s="989"/>
      <c r="FFJ1067" s="989"/>
      <c r="FFK1067" s="989"/>
      <c r="FFL1067" s="989"/>
      <c r="FFM1067" s="989"/>
      <c r="FFN1067" s="989"/>
      <c r="FFO1067" s="989"/>
      <c r="FFP1067" s="989"/>
      <c r="FFQ1067" s="989"/>
      <c r="FFR1067" s="989"/>
      <c r="FFS1067" s="989"/>
      <c r="FFT1067" s="989"/>
      <c r="FFU1067" s="989"/>
      <c r="FFV1067" s="989"/>
      <c r="FFW1067" s="989"/>
      <c r="FFX1067" s="989"/>
      <c r="FFY1067" s="989"/>
      <c r="FFZ1067" s="989"/>
      <c r="FGA1067" s="989"/>
      <c r="FGB1067" s="989"/>
      <c r="FGC1067" s="989"/>
      <c r="FGD1067" s="989"/>
      <c r="FGE1067" s="989"/>
      <c r="FGF1067" s="989"/>
      <c r="FGG1067" s="989"/>
      <c r="FGH1067" s="989"/>
      <c r="FGI1067" s="989"/>
      <c r="FGJ1067" s="989"/>
      <c r="FGK1067" s="989"/>
      <c r="FGL1067" s="989"/>
      <c r="FGM1067" s="989"/>
      <c r="FGN1067" s="989"/>
      <c r="FGO1067" s="989"/>
      <c r="FGP1067" s="989"/>
      <c r="FGQ1067" s="989"/>
      <c r="FGR1067" s="989"/>
      <c r="FGS1067" s="989"/>
      <c r="FGT1067" s="989"/>
      <c r="FGU1067" s="989"/>
      <c r="FGV1067" s="989"/>
      <c r="FGW1067" s="989"/>
      <c r="FGX1067" s="989"/>
      <c r="FGY1067" s="989"/>
      <c r="FGZ1067" s="989"/>
      <c r="FHA1067" s="989"/>
      <c r="FHB1067" s="989"/>
      <c r="FHC1067" s="989"/>
      <c r="FHD1067" s="989"/>
      <c r="FHE1067" s="989"/>
      <c r="FHF1067" s="989"/>
      <c r="FHG1067" s="989"/>
      <c r="FHH1067" s="989"/>
      <c r="FHI1067" s="989"/>
      <c r="FHJ1067" s="989"/>
      <c r="FHK1067" s="989"/>
      <c r="FHL1067" s="989"/>
      <c r="FHM1067" s="989"/>
      <c r="FHN1067" s="989"/>
      <c r="FHO1067" s="989"/>
      <c r="FHP1067" s="989"/>
      <c r="FHQ1067" s="989"/>
      <c r="FHR1067" s="989"/>
      <c r="FHS1067" s="989"/>
      <c r="FHT1067" s="989"/>
      <c r="FHU1067" s="989"/>
      <c r="FHV1067" s="989"/>
      <c r="FHW1067" s="989"/>
      <c r="FHX1067" s="989"/>
      <c r="FHY1067" s="989"/>
      <c r="FHZ1067" s="989"/>
      <c r="FIA1067" s="989"/>
      <c r="FIB1067" s="989"/>
      <c r="FIC1067" s="989"/>
      <c r="FID1067" s="989"/>
      <c r="FIE1067" s="989"/>
      <c r="FIF1067" s="989"/>
      <c r="FIG1067" s="989"/>
      <c r="FIH1067" s="989"/>
      <c r="FII1067" s="989"/>
      <c r="FIJ1067" s="989"/>
      <c r="FIK1067" s="989"/>
      <c r="FIL1067" s="989"/>
      <c r="FIM1067" s="989"/>
      <c r="FIN1067" s="989"/>
      <c r="FIO1067" s="989"/>
      <c r="FIP1067" s="989"/>
      <c r="FIQ1067" s="989"/>
      <c r="FIR1067" s="989"/>
      <c r="FIS1067" s="989"/>
      <c r="FIT1067" s="989"/>
      <c r="FIU1067" s="989"/>
      <c r="FIV1067" s="989"/>
      <c r="FIW1067" s="989"/>
      <c r="FIX1067" s="989"/>
      <c r="FIY1067" s="989"/>
      <c r="FIZ1067" s="989"/>
      <c r="FJA1067" s="989"/>
      <c r="FJB1067" s="989"/>
      <c r="FJC1067" s="989"/>
      <c r="FJD1067" s="989"/>
      <c r="FJE1067" s="989"/>
      <c r="FJF1067" s="989"/>
      <c r="FJG1067" s="989"/>
      <c r="FJH1067" s="989"/>
      <c r="FJI1067" s="989"/>
      <c r="FJJ1067" s="989"/>
      <c r="FJK1067" s="989"/>
      <c r="FJL1067" s="989"/>
      <c r="FJM1067" s="989"/>
      <c r="FJN1067" s="989"/>
      <c r="FJO1067" s="989"/>
      <c r="FJP1067" s="989"/>
      <c r="FJQ1067" s="989"/>
      <c r="FJR1067" s="989"/>
      <c r="FJS1067" s="989"/>
      <c r="FJT1067" s="989"/>
      <c r="FJU1067" s="989"/>
      <c r="FJV1067" s="989"/>
      <c r="FJW1067" s="989"/>
      <c r="FJX1067" s="989"/>
      <c r="FJY1067" s="989"/>
      <c r="FJZ1067" s="989"/>
      <c r="FKA1067" s="989"/>
      <c r="FKB1067" s="989"/>
      <c r="FKC1067" s="989"/>
      <c r="FKD1067" s="989"/>
      <c r="FKE1067" s="989"/>
      <c r="FKF1067" s="989"/>
      <c r="FKG1067" s="989"/>
      <c r="FKH1067" s="989"/>
      <c r="FKI1067" s="989"/>
      <c r="FKJ1067" s="989"/>
      <c r="FKK1067" s="989"/>
      <c r="FKL1067" s="989"/>
      <c r="FKM1067" s="989"/>
      <c r="FKN1067" s="989"/>
      <c r="FKO1067" s="989"/>
      <c r="FKP1067" s="989"/>
      <c r="FKQ1067" s="989"/>
      <c r="FKR1067" s="989"/>
      <c r="FKS1067" s="989"/>
      <c r="FKT1067" s="989"/>
      <c r="FKU1067" s="989"/>
      <c r="FKV1067" s="989"/>
      <c r="FKW1067" s="989"/>
      <c r="FKX1067" s="989"/>
      <c r="FKY1067" s="989"/>
      <c r="FKZ1067" s="989"/>
      <c r="FLA1067" s="989"/>
      <c r="FLB1067" s="989"/>
      <c r="FLC1067" s="989"/>
      <c r="FLD1067" s="989"/>
      <c r="FLE1067" s="989"/>
      <c r="FLF1067" s="989"/>
      <c r="FLG1067" s="989"/>
      <c r="FLH1067" s="989"/>
      <c r="FLI1067" s="989"/>
      <c r="FLJ1067" s="989"/>
      <c r="FLK1067" s="989"/>
      <c r="FLL1067" s="989"/>
      <c r="FLM1067" s="989"/>
      <c r="FLN1067" s="989"/>
      <c r="FLO1067" s="989"/>
      <c r="FLP1067" s="989"/>
      <c r="FLQ1067" s="989"/>
      <c r="FLR1067" s="989"/>
      <c r="FLS1067" s="989"/>
      <c r="FLT1067" s="989"/>
      <c r="FLU1067" s="989"/>
      <c r="FLV1067" s="989"/>
      <c r="FLW1067" s="989"/>
      <c r="FLX1067" s="989"/>
      <c r="FLY1067" s="989"/>
      <c r="FLZ1067" s="989"/>
      <c r="FMA1067" s="989"/>
      <c r="FMB1067" s="989"/>
      <c r="FMC1067" s="989"/>
      <c r="FMD1067" s="989"/>
      <c r="FME1067" s="989"/>
      <c r="FMF1067" s="989"/>
      <c r="FMG1067" s="989"/>
      <c r="FMH1067" s="989"/>
      <c r="FMI1067" s="989"/>
      <c r="FMJ1067" s="989"/>
      <c r="FMK1067" s="989"/>
      <c r="FML1067" s="989"/>
      <c r="FMM1067" s="989"/>
      <c r="FMN1067" s="989"/>
      <c r="FMO1067" s="989"/>
      <c r="FMP1067" s="989"/>
      <c r="FMQ1067" s="989"/>
      <c r="FMR1067" s="989"/>
      <c r="FMS1067" s="989"/>
      <c r="FMT1067" s="989"/>
      <c r="FMU1067" s="989"/>
      <c r="FMV1067" s="989"/>
      <c r="FMW1067" s="989"/>
      <c r="FMX1067" s="989"/>
      <c r="FMY1067" s="989"/>
      <c r="FMZ1067" s="989"/>
      <c r="FNA1067" s="989"/>
      <c r="FNB1067" s="989"/>
      <c r="FNC1067" s="989"/>
      <c r="FND1067" s="989"/>
      <c r="FNE1067" s="989"/>
      <c r="FNF1067" s="989"/>
      <c r="FNG1067" s="989"/>
      <c r="FNH1067" s="989"/>
      <c r="FNI1067" s="989"/>
      <c r="FNJ1067" s="989"/>
      <c r="FNK1067" s="989"/>
      <c r="FNL1067" s="989"/>
      <c r="FNM1067" s="989"/>
      <c r="FNN1067" s="989"/>
      <c r="FNO1067" s="989"/>
      <c r="FNP1067" s="989"/>
      <c r="FNQ1067" s="989"/>
      <c r="FNR1067" s="989"/>
      <c r="FNS1067" s="989"/>
      <c r="FNT1067" s="989"/>
      <c r="FNU1067" s="989"/>
      <c r="FNV1067" s="989"/>
      <c r="FNW1067" s="989"/>
      <c r="FNX1067" s="989"/>
      <c r="FNY1067" s="989"/>
      <c r="FNZ1067" s="989"/>
      <c r="FOA1067" s="989"/>
      <c r="FOB1067" s="989"/>
      <c r="FOC1067" s="989"/>
      <c r="FOD1067" s="989"/>
      <c r="FOE1067" s="989"/>
      <c r="FOF1067" s="989"/>
      <c r="FOG1067" s="989"/>
      <c r="FOH1067" s="989"/>
      <c r="FOI1067" s="989"/>
      <c r="FOJ1067" s="989"/>
      <c r="FOK1067" s="989"/>
      <c r="FOL1067" s="989"/>
      <c r="FOM1067" s="989"/>
      <c r="FON1067" s="989"/>
      <c r="FOO1067" s="989"/>
      <c r="FOP1067" s="989"/>
      <c r="FOQ1067" s="989"/>
      <c r="FOR1067" s="989"/>
      <c r="FOS1067" s="989"/>
      <c r="FOT1067" s="989"/>
      <c r="FOU1067" s="989"/>
      <c r="FOV1067" s="989"/>
      <c r="FOW1067" s="989"/>
      <c r="FOX1067" s="989"/>
      <c r="FOY1067" s="989"/>
      <c r="FOZ1067" s="989"/>
      <c r="FPA1067" s="989"/>
      <c r="FPB1067" s="989"/>
      <c r="FPC1067" s="989"/>
      <c r="FPD1067" s="989"/>
      <c r="FPE1067" s="989"/>
      <c r="FPF1067" s="989"/>
      <c r="FPG1067" s="989"/>
      <c r="FPH1067" s="989"/>
      <c r="FPI1067" s="989"/>
      <c r="FPJ1067" s="989"/>
      <c r="FPK1067" s="989"/>
      <c r="FPL1067" s="989"/>
      <c r="FPM1067" s="989"/>
      <c r="FPN1067" s="989"/>
      <c r="FPO1067" s="989"/>
      <c r="FPP1067" s="989"/>
      <c r="FPQ1067" s="989"/>
      <c r="FPR1067" s="989"/>
      <c r="FPS1067" s="989"/>
      <c r="FPT1067" s="989"/>
      <c r="FPU1067" s="989"/>
      <c r="FPV1067" s="989"/>
      <c r="FPW1067" s="989"/>
      <c r="FPX1067" s="989"/>
      <c r="FPY1067" s="989"/>
      <c r="FPZ1067" s="989"/>
      <c r="FQA1067" s="989"/>
      <c r="FQB1067" s="989"/>
      <c r="FQC1067" s="989"/>
      <c r="FQD1067" s="989"/>
      <c r="FQE1067" s="989"/>
      <c r="FQF1067" s="989"/>
      <c r="FQG1067" s="989"/>
      <c r="FQH1067" s="989"/>
      <c r="FQI1067" s="989"/>
      <c r="FQJ1067" s="989"/>
      <c r="FQK1067" s="989"/>
      <c r="FQL1067" s="989"/>
      <c r="FQM1067" s="989"/>
      <c r="FQN1067" s="989"/>
      <c r="FQO1067" s="989"/>
      <c r="FQP1067" s="989"/>
      <c r="FQQ1067" s="989"/>
      <c r="FQR1067" s="989"/>
      <c r="FQS1067" s="989"/>
      <c r="FQT1067" s="989"/>
      <c r="FQU1067" s="989"/>
      <c r="FQV1067" s="989"/>
      <c r="FQW1067" s="989"/>
      <c r="FQX1067" s="989"/>
      <c r="FQY1067" s="989"/>
      <c r="FQZ1067" s="989"/>
      <c r="FRA1067" s="989"/>
      <c r="FRB1067" s="989"/>
      <c r="FRC1067" s="989"/>
      <c r="FRD1067" s="989"/>
      <c r="FRE1067" s="989"/>
      <c r="FRF1067" s="989"/>
      <c r="FRG1067" s="989"/>
      <c r="FRH1067" s="989"/>
      <c r="FRI1067" s="989"/>
      <c r="FRJ1067" s="989"/>
      <c r="FRK1067" s="989"/>
      <c r="FRL1067" s="989"/>
      <c r="FRM1067" s="989"/>
      <c r="FRN1067" s="989"/>
      <c r="FRO1067" s="989"/>
      <c r="FRP1067" s="989"/>
      <c r="FRQ1067" s="989"/>
      <c r="FRR1067" s="989"/>
      <c r="FRS1067" s="989"/>
      <c r="FRT1067" s="989"/>
      <c r="FRU1067" s="989"/>
      <c r="FRV1067" s="989"/>
      <c r="FRW1067" s="989"/>
      <c r="FRX1067" s="989"/>
      <c r="FRY1067" s="989"/>
      <c r="FRZ1067" s="989"/>
      <c r="FSA1067" s="989"/>
      <c r="FSB1067" s="989"/>
      <c r="FSC1067" s="989"/>
      <c r="FSD1067" s="989"/>
      <c r="FSE1067" s="989"/>
      <c r="FSF1067" s="989"/>
      <c r="FSG1067" s="989"/>
      <c r="FSH1067" s="989"/>
      <c r="FSI1067" s="989"/>
      <c r="FSJ1067" s="989"/>
      <c r="FSK1067" s="989"/>
      <c r="FSL1067" s="989"/>
      <c r="FSM1067" s="989"/>
      <c r="FSN1067" s="989"/>
      <c r="FSO1067" s="989"/>
      <c r="FSP1067" s="989"/>
      <c r="FSQ1067" s="989"/>
      <c r="FSR1067" s="989"/>
      <c r="FSS1067" s="989"/>
      <c r="FST1067" s="989"/>
      <c r="FSU1067" s="989"/>
      <c r="FSV1067" s="989"/>
      <c r="FSW1067" s="989"/>
      <c r="FSX1067" s="989"/>
      <c r="FSY1067" s="989"/>
      <c r="FSZ1067" s="989"/>
      <c r="FTA1067" s="989"/>
      <c r="FTB1067" s="989"/>
      <c r="FTC1067" s="989"/>
      <c r="FTD1067" s="989"/>
      <c r="FTE1067" s="989"/>
      <c r="FTF1067" s="989"/>
      <c r="FTG1067" s="989"/>
      <c r="FTH1067" s="989"/>
      <c r="FTI1067" s="989"/>
      <c r="FTJ1067" s="989"/>
      <c r="FTK1067" s="989"/>
      <c r="FTL1067" s="989"/>
      <c r="FTM1067" s="989"/>
      <c r="FTN1067" s="989"/>
      <c r="FTO1067" s="989"/>
      <c r="FTP1067" s="989"/>
      <c r="FTQ1067" s="989"/>
      <c r="FTR1067" s="989"/>
      <c r="FTS1067" s="989"/>
      <c r="FTT1067" s="989"/>
      <c r="FTU1067" s="989"/>
      <c r="FTV1067" s="989"/>
      <c r="FTW1067" s="989"/>
      <c r="FTX1067" s="989"/>
      <c r="FTY1067" s="989"/>
      <c r="FTZ1067" s="989"/>
      <c r="FUA1067" s="989"/>
      <c r="FUB1067" s="989"/>
      <c r="FUC1067" s="989"/>
      <c r="FUD1067" s="989"/>
      <c r="FUE1067" s="989"/>
      <c r="FUF1067" s="989"/>
      <c r="FUG1067" s="989"/>
      <c r="FUH1067" s="989"/>
      <c r="FUI1067" s="989"/>
      <c r="FUJ1067" s="989"/>
      <c r="FUK1067" s="989"/>
      <c r="FUL1067" s="989"/>
      <c r="FUM1067" s="989"/>
      <c r="FUN1067" s="989"/>
      <c r="FUO1067" s="989"/>
      <c r="FUP1067" s="989"/>
      <c r="FUQ1067" s="989"/>
      <c r="FUR1067" s="989"/>
      <c r="FUS1067" s="989"/>
      <c r="FUT1067" s="989"/>
      <c r="FUU1067" s="989"/>
      <c r="FUV1067" s="989"/>
      <c r="FUW1067" s="989"/>
      <c r="FUX1067" s="989"/>
      <c r="FUY1067" s="989"/>
      <c r="FUZ1067" s="989"/>
      <c r="FVA1067" s="989"/>
      <c r="FVB1067" s="989"/>
      <c r="FVC1067" s="989"/>
      <c r="FVD1067" s="989"/>
      <c r="FVE1067" s="989"/>
      <c r="FVF1067" s="989"/>
      <c r="FVG1067" s="989"/>
      <c r="FVH1067" s="989"/>
      <c r="FVI1067" s="989"/>
      <c r="FVJ1067" s="989"/>
      <c r="FVK1067" s="989"/>
      <c r="FVL1067" s="989"/>
      <c r="FVM1067" s="989"/>
      <c r="FVN1067" s="989"/>
      <c r="FVO1067" s="989"/>
      <c r="FVP1067" s="989"/>
      <c r="FVQ1067" s="989"/>
      <c r="FVR1067" s="989"/>
      <c r="FVS1067" s="989"/>
      <c r="FVT1067" s="989"/>
      <c r="FVU1067" s="989"/>
      <c r="FVV1067" s="989"/>
      <c r="FVW1067" s="989"/>
      <c r="FVX1067" s="989"/>
      <c r="FVY1067" s="989"/>
      <c r="FVZ1067" s="989"/>
      <c r="FWA1067" s="989"/>
      <c r="FWB1067" s="989"/>
      <c r="FWC1067" s="989"/>
      <c r="FWD1067" s="989"/>
      <c r="FWE1067" s="989"/>
      <c r="FWF1067" s="989"/>
      <c r="FWG1067" s="989"/>
      <c r="FWH1067" s="989"/>
      <c r="FWI1067" s="989"/>
      <c r="FWJ1067" s="989"/>
      <c r="FWK1067" s="989"/>
      <c r="FWL1067" s="989"/>
      <c r="FWM1067" s="989"/>
      <c r="FWN1067" s="989"/>
      <c r="FWO1067" s="989"/>
      <c r="FWP1067" s="989"/>
      <c r="FWQ1067" s="989"/>
      <c r="FWR1067" s="989"/>
      <c r="FWS1067" s="989"/>
      <c r="FWT1067" s="989"/>
      <c r="FWU1067" s="989"/>
      <c r="FWV1067" s="989"/>
      <c r="FWW1067" s="989"/>
      <c r="FWX1067" s="989"/>
      <c r="FWY1067" s="989"/>
      <c r="FWZ1067" s="989"/>
      <c r="FXA1067" s="989"/>
      <c r="FXB1067" s="989"/>
      <c r="FXC1067" s="989"/>
      <c r="FXD1067" s="989"/>
      <c r="FXE1067" s="989"/>
      <c r="FXF1067" s="989"/>
      <c r="FXG1067" s="989"/>
      <c r="FXH1067" s="989"/>
      <c r="FXI1067" s="989"/>
      <c r="FXJ1067" s="989"/>
      <c r="FXK1067" s="989"/>
      <c r="FXL1067" s="989"/>
      <c r="FXM1067" s="989"/>
      <c r="FXN1067" s="989"/>
      <c r="FXO1067" s="989"/>
      <c r="FXP1067" s="989"/>
      <c r="FXQ1067" s="989"/>
      <c r="FXR1067" s="989"/>
      <c r="FXS1067" s="989"/>
      <c r="FXT1067" s="989"/>
      <c r="FXU1067" s="989"/>
      <c r="FXV1067" s="989"/>
      <c r="FXW1067" s="989"/>
      <c r="FXX1067" s="989"/>
      <c r="FXY1067" s="989"/>
      <c r="FXZ1067" s="989"/>
      <c r="FYA1067" s="989"/>
      <c r="FYB1067" s="989"/>
      <c r="FYC1067" s="989"/>
      <c r="FYD1067" s="989"/>
      <c r="FYE1067" s="989"/>
      <c r="FYF1067" s="989"/>
      <c r="FYG1067" s="989"/>
      <c r="FYH1067" s="989"/>
      <c r="FYI1067" s="989"/>
      <c r="FYJ1067" s="989"/>
      <c r="FYK1067" s="989"/>
      <c r="FYL1067" s="989"/>
      <c r="FYM1067" s="989"/>
      <c r="FYN1067" s="989"/>
      <c r="FYO1067" s="989"/>
      <c r="FYP1067" s="989"/>
      <c r="FYQ1067" s="989"/>
      <c r="FYR1067" s="989"/>
      <c r="FYS1067" s="989"/>
      <c r="FYT1067" s="989"/>
      <c r="FYU1067" s="989"/>
      <c r="FYV1067" s="989"/>
      <c r="FYW1067" s="989"/>
      <c r="FYX1067" s="989"/>
      <c r="FYY1067" s="989"/>
      <c r="FYZ1067" s="989"/>
      <c r="FZA1067" s="989"/>
      <c r="FZB1067" s="989"/>
      <c r="FZC1067" s="989"/>
      <c r="FZD1067" s="989"/>
      <c r="FZE1067" s="989"/>
      <c r="FZF1067" s="989"/>
      <c r="FZG1067" s="989"/>
      <c r="FZH1067" s="989"/>
      <c r="FZI1067" s="989"/>
      <c r="FZJ1067" s="989"/>
      <c r="FZK1067" s="989"/>
      <c r="FZL1067" s="989"/>
      <c r="FZM1067" s="989"/>
      <c r="FZN1067" s="989"/>
      <c r="FZO1067" s="989"/>
      <c r="FZP1067" s="989"/>
      <c r="FZQ1067" s="989"/>
      <c r="FZR1067" s="989"/>
      <c r="FZS1067" s="989"/>
      <c r="FZT1067" s="989"/>
      <c r="FZU1067" s="989"/>
      <c r="FZV1067" s="989"/>
      <c r="FZW1067" s="989"/>
      <c r="FZX1067" s="989"/>
      <c r="FZY1067" s="989"/>
      <c r="FZZ1067" s="989"/>
      <c r="GAA1067" s="989"/>
      <c r="GAB1067" s="989"/>
      <c r="GAC1067" s="989"/>
      <c r="GAD1067" s="989"/>
      <c r="GAE1067" s="989"/>
      <c r="GAF1067" s="989"/>
      <c r="GAG1067" s="989"/>
      <c r="GAH1067" s="989"/>
      <c r="GAI1067" s="989"/>
      <c r="GAJ1067" s="989"/>
      <c r="GAK1067" s="989"/>
      <c r="GAL1067" s="989"/>
      <c r="GAM1067" s="989"/>
      <c r="GAN1067" s="989"/>
      <c r="GAO1067" s="989"/>
      <c r="GAP1067" s="989"/>
      <c r="GAQ1067" s="989"/>
      <c r="GAR1067" s="989"/>
      <c r="GAS1067" s="989"/>
      <c r="GAT1067" s="989"/>
      <c r="GAU1067" s="989"/>
      <c r="GAV1067" s="989"/>
      <c r="GAW1067" s="989"/>
      <c r="GAX1067" s="989"/>
      <c r="GAY1067" s="989"/>
      <c r="GAZ1067" s="989"/>
      <c r="GBA1067" s="989"/>
      <c r="GBB1067" s="989"/>
      <c r="GBC1067" s="989"/>
      <c r="GBD1067" s="989"/>
      <c r="GBE1067" s="989"/>
      <c r="GBF1067" s="989"/>
      <c r="GBG1067" s="989"/>
      <c r="GBH1067" s="989"/>
      <c r="GBI1067" s="989"/>
      <c r="GBJ1067" s="989"/>
      <c r="GBK1067" s="989"/>
      <c r="GBL1067" s="989"/>
      <c r="GBM1067" s="989"/>
      <c r="GBN1067" s="989"/>
      <c r="GBO1067" s="989"/>
      <c r="GBP1067" s="989"/>
      <c r="GBQ1067" s="989"/>
      <c r="GBR1067" s="989"/>
      <c r="GBS1067" s="989"/>
      <c r="GBT1067" s="989"/>
      <c r="GBU1067" s="989"/>
      <c r="GBV1067" s="989"/>
      <c r="GBW1067" s="989"/>
      <c r="GBX1067" s="989"/>
      <c r="GBY1067" s="989"/>
      <c r="GBZ1067" s="989"/>
      <c r="GCA1067" s="989"/>
      <c r="GCB1067" s="989"/>
      <c r="GCC1067" s="989"/>
      <c r="GCD1067" s="989"/>
      <c r="GCE1067" s="989"/>
      <c r="GCF1067" s="989"/>
      <c r="GCG1067" s="989"/>
      <c r="GCH1067" s="989"/>
      <c r="GCI1067" s="989"/>
      <c r="GCJ1067" s="989"/>
      <c r="GCK1067" s="989"/>
      <c r="GCL1067" s="989"/>
      <c r="GCM1067" s="989"/>
      <c r="GCN1067" s="989"/>
      <c r="GCO1067" s="989"/>
      <c r="GCP1067" s="989"/>
      <c r="GCQ1067" s="989"/>
      <c r="GCR1067" s="989"/>
      <c r="GCS1067" s="989"/>
      <c r="GCT1067" s="989"/>
      <c r="GCU1067" s="989"/>
      <c r="GCV1067" s="989"/>
      <c r="GCW1067" s="989"/>
      <c r="GCX1067" s="989"/>
      <c r="GCY1067" s="989"/>
      <c r="GCZ1067" s="989"/>
      <c r="GDA1067" s="989"/>
      <c r="GDB1067" s="989"/>
      <c r="GDC1067" s="989"/>
      <c r="GDD1067" s="989"/>
      <c r="GDE1067" s="989"/>
      <c r="GDF1067" s="989"/>
      <c r="GDG1067" s="989"/>
      <c r="GDH1067" s="989"/>
      <c r="GDI1067" s="989"/>
      <c r="GDJ1067" s="989"/>
      <c r="GDK1067" s="989"/>
      <c r="GDL1067" s="989"/>
      <c r="GDM1067" s="989"/>
      <c r="GDN1067" s="989"/>
      <c r="GDO1067" s="989"/>
      <c r="GDP1067" s="989"/>
      <c r="GDQ1067" s="989"/>
      <c r="GDR1067" s="989"/>
      <c r="GDS1067" s="989"/>
      <c r="GDT1067" s="989"/>
      <c r="GDU1067" s="989"/>
      <c r="GDV1067" s="989"/>
      <c r="GDW1067" s="989"/>
      <c r="GDX1067" s="989"/>
      <c r="GDY1067" s="989"/>
      <c r="GDZ1067" s="989"/>
      <c r="GEA1067" s="989"/>
      <c r="GEB1067" s="989"/>
      <c r="GEC1067" s="989"/>
      <c r="GED1067" s="989"/>
      <c r="GEE1067" s="989"/>
      <c r="GEF1067" s="989"/>
      <c r="GEG1067" s="989"/>
      <c r="GEH1067" s="989"/>
      <c r="GEI1067" s="989"/>
      <c r="GEJ1067" s="989"/>
      <c r="GEK1067" s="989"/>
      <c r="GEL1067" s="989"/>
      <c r="GEM1067" s="989"/>
      <c r="GEN1067" s="989"/>
      <c r="GEO1067" s="989"/>
      <c r="GEP1067" s="989"/>
      <c r="GEQ1067" s="989"/>
      <c r="GER1067" s="989"/>
      <c r="GES1067" s="989"/>
      <c r="GET1067" s="989"/>
      <c r="GEU1067" s="989"/>
      <c r="GEV1067" s="989"/>
      <c r="GEW1067" s="989"/>
      <c r="GEX1067" s="989"/>
      <c r="GEY1067" s="989"/>
      <c r="GEZ1067" s="989"/>
      <c r="GFA1067" s="989"/>
      <c r="GFB1067" s="989"/>
      <c r="GFC1067" s="989"/>
      <c r="GFD1067" s="989"/>
      <c r="GFE1067" s="989"/>
      <c r="GFF1067" s="989"/>
      <c r="GFG1067" s="989"/>
      <c r="GFH1067" s="989"/>
      <c r="GFI1067" s="989"/>
      <c r="GFJ1067" s="989"/>
      <c r="GFK1067" s="989"/>
      <c r="GFL1067" s="989"/>
      <c r="GFM1067" s="989"/>
      <c r="GFN1067" s="989"/>
      <c r="GFO1067" s="989"/>
      <c r="GFP1067" s="989"/>
      <c r="GFQ1067" s="989"/>
      <c r="GFR1067" s="989"/>
      <c r="GFS1067" s="989"/>
      <c r="GFT1067" s="989"/>
      <c r="GFU1067" s="989"/>
      <c r="GFV1067" s="989"/>
      <c r="GFW1067" s="989"/>
      <c r="GFX1067" s="989"/>
      <c r="GFY1067" s="989"/>
      <c r="GFZ1067" s="989"/>
      <c r="GGA1067" s="989"/>
      <c r="GGB1067" s="989"/>
      <c r="GGC1067" s="989"/>
      <c r="GGD1067" s="989"/>
      <c r="GGE1067" s="989"/>
      <c r="GGF1067" s="989"/>
      <c r="GGG1067" s="989"/>
      <c r="GGH1067" s="989"/>
      <c r="GGI1067" s="989"/>
      <c r="GGJ1067" s="989"/>
      <c r="GGK1067" s="989"/>
      <c r="GGL1067" s="989"/>
      <c r="GGM1067" s="989"/>
      <c r="GGN1067" s="989"/>
      <c r="GGO1067" s="989"/>
      <c r="GGP1067" s="989"/>
      <c r="GGQ1067" s="989"/>
      <c r="GGR1067" s="989"/>
      <c r="GGS1067" s="989"/>
      <c r="GGT1067" s="989"/>
      <c r="GGU1067" s="989"/>
      <c r="GGV1067" s="989"/>
      <c r="GGW1067" s="989"/>
      <c r="GGX1067" s="989"/>
      <c r="GGY1067" s="989"/>
      <c r="GGZ1067" s="989"/>
      <c r="GHA1067" s="989"/>
      <c r="GHB1067" s="989"/>
      <c r="GHC1067" s="989"/>
      <c r="GHD1067" s="989"/>
      <c r="GHE1067" s="989"/>
      <c r="GHF1067" s="989"/>
      <c r="GHG1067" s="989"/>
      <c r="GHH1067" s="989"/>
      <c r="GHI1067" s="989"/>
      <c r="GHJ1067" s="989"/>
      <c r="GHK1067" s="989"/>
      <c r="GHL1067" s="989"/>
      <c r="GHM1067" s="989"/>
      <c r="GHN1067" s="989"/>
      <c r="GHO1067" s="989"/>
      <c r="GHP1067" s="989"/>
      <c r="GHQ1067" s="989"/>
      <c r="GHR1067" s="989"/>
      <c r="GHS1067" s="989"/>
      <c r="GHT1067" s="989"/>
      <c r="GHU1067" s="989"/>
      <c r="GHV1067" s="989"/>
      <c r="GHW1067" s="989"/>
      <c r="GHX1067" s="989"/>
      <c r="GHY1067" s="989"/>
      <c r="GHZ1067" s="989"/>
      <c r="GIA1067" s="989"/>
      <c r="GIB1067" s="989"/>
      <c r="GIC1067" s="989"/>
      <c r="GID1067" s="989"/>
      <c r="GIE1067" s="989"/>
      <c r="GIF1067" s="989"/>
      <c r="GIG1067" s="989"/>
      <c r="GIH1067" s="989"/>
      <c r="GII1067" s="989"/>
      <c r="GIJ1067" s="989"/>
      <c r="GIK1067" s="989"/>
      <c r="GIL1067" s="989"/>
      <c r="GIM1067" s="989"/>
      <c r="GIN1067" s="989"/>
      <c r="GIO1067" s="989"/>
      <c r="GIP1067" s="989"/>
      <c r="GIQ1067" s="989"/>
      <c r="GIR1067" s="989"/>
      <c r="GIS1067" s="989"/>
      <c r="GIT1067" s="989"/>
      <c r="GIU1067" s="989"/>
      <c r="GIV1067" s="989"/>
      <c r="GIW1067" s="989"/>
      <c r="GIX1067" s="989"/>
      <c r="GIY1067" s="989"/>
      <c r="GIZ1067" s="989"/>
      <c r="GJA1067" s="989"/>
      <c r="GJB1067" s="989"/>
      <c r="GJC1067" s="989"/>
      <c r="GJD1067" s="989"/>
      <c r="GJE1067" s="989"/>
      <c r="GJF1067" s="989"/>
      <c r="GJG1067" s="989"/>
      <c r="GJH1067" s="989"/>
      <c r="GJI1067" s="989"/>
      <c r="GJJ1067" s="989"/>
      <c r="GJK1067" s="989"/>
      <c r="GJL1067" s="989"/>
      <c r="GJM1067" s="989"/>
      <c r="GJN1067" s="989"/>
      <c r="GJO1067" s="989"/>
      <c r="GJP1067" s="989"/>
      <c r="GJQ1067" s="989"/>
      <c r="GJR1067" s="989"/>
      <c r="GJS1067" s="989"/>
      <c r="GJT1067" s="989"/>
      <c r="GJU1067" s="989"/>
      <c r="GJV1067" s="989"/>
      <c r="GJW1067" s="989"/>
      <c r="GJX1067" s="989"/>
      <c r="GJY1067" s="989"/>
      <c r="GJZ1067" s="989"/>
      <c r="GKA1067" s="989"/>
      <c r="GKB1067" s="989"/>
      <c r="GKC1067" s="989"/>
      <c r="GKD1067" s="989"/>
      <c r="GKE1067" s="989"/>
      <c r="GKF1067" s="989"/>
      <c r="GKG1067" s="989"/>
      <c r="GKH1067" s="989"/>
      <c r="GKI1067" s="989"/>
      <c r="GKJ1067" s="989"/>
      <c r="GKK1067" s="989"/>
      <c r="GKL1067" s="989"/>
      <c r="GKM1067" s="989"/>
      <c r="GKN1067" s="989"/>
      <c r="GKO1067" s="989"/>
      <c r="GKP1067" s="989"/>
      <c r="GKQ1067" s="989"/>
      <c r="GKR1067" s="989"/>
      <c r="GKS1067" s="989"/>
      <c r="GKT1067" s="989"/>
      <c r="GKU1067" s="989"/>
      <c r="GKV1067" s="989"/>
      <c r="GKW1067" s="989"/>
      <c r="GKX1067" s="989"/>
      <c r="GKY1067" s="989"/>
      <c r="GKZ1067" s="989"/>
      <c r="GLA1067" s="989"/>
      <c r="GLB1067" s="989"/>
      <c r="GLC1067" s="989"/>
      <c r="GLD1067" s="989"/>
      <c r="GLE1067" s="989"/>
      <c r="GLF1067" s="989"/>
      <c r="GLG1067" s="989"/>
      <c r="GLH1067" s="989"/>
      <c r="GLI1067" s="989"/>
      <c r="GLJ1067" s="989"/>
      <c r="GLK1067" s="989"/>
      <c r="GLL1067" s="989"/>
      <c r="GLM1067" s="989"/>
      <c r="GLN1067" s="989"/>
      <c r="GLO1067" s="989"/>
      <c r="GLP1067" s="989"/>
      <c r="GLQ1067" s="989"/>
      <c r="GLR1067" s="989"/>
      <c r="GLS1067" s="989"/>
      <c r="GLT1067" s="989"/>
      <c r="GLU1067" s="989"/>
      <c r="GLV1067" s="989"/>
      <c r="GLW1067" s="989"/>
      <c r="GLX1067" s="989"/>
      <c r="GLY1067" s="989"/>
      <c r="GLZ1067" s="989"/>
      <c r="GMA1067" s="989"/>
      <c r="GMB1067" s="989"/>
      <c r="GMC1067" s="989"/>
      <c r="GMD1067" s="989"/>
      <c r="GME1067" s="989"/>
      <c r="GMF1067" s="989"/>
      <c r="GMG1067" s="989"/>
      <c r="GMH1067" s="989"/>
      <c r="GMI1067" s="989"/>
      <c r="GMJ1067" s="989"/>
      <c r="GMK1067" s="989"/>
      <c r="GML1067" s="989"/>
      <c r="GMM1067" s="989"/>
      <c r="GMN1067" s="989"/>
      <c r="GMO1067" s="989"/>
      <c r="GMP1067" s="989"/>
      <c r="GMQ1067" s="989"/>
      <c r="GMR1067" s="989"/>
      <c r="GMS1067" s="989"/>
      <c r="GMT1067" s="989"/>
      <c r="GMU1067" s="989"/>
      <c r="GMV1067" s="989"/>
      <c r="GMW1067" s="989"/>
      <c r="GMX1067" s="989"/>
      <c r="GMY1067" s="989"/>
      <c r="GMZ1067" s="989"/>
      <c r="GNA1067" s="989"/>
      <c r="GNB1067" s="989"/>
      <c r="GNC1067" s="989"/>
      <c r="GND1067" s="989"/>
      <c r="GNE1067" s="989"/>
      <c r="GNF1067" s="989"/>
      <c r="GNG1067" s="989"/>
      <c r="GNH1067" s="989"/>
      <c r="GNI1067" s="989"/>
      <c r="GNJ1067" s="989"/>
      <c r="GNK1067" s="989"/>
      <c r="GNL1067" s="989"/>
      <c r="GNM1067" s="989"/>
      <c r="GNN1067" s="989"/>
      <c r="GNO1067" s="989"/>
      <c r="GNP1067" s="989"/>
      <c r="GNQ1067" s="989"/>
      <c r="GNR1067" s="989"/>
      <c r="GNS1067" s="989"/>
      <c r="GNT1067" s="989"/>
      <c r="GNU1067" s="989"/>
      <c r="GNV1067" s="989"/>
      <c r="GNW1067" s="989"/>
      <c r="GNX1067" s="989"/>
      <c r="GNY1067" s="989"/>
      <c r="GNZ1067" s="989"/>
      <c r="GOA1067" s="989"/>
      <c r="GOB1067" s="989"/>
      <c r="GOC1067" s="989"/>
      <c r="GOD1067" s="989"/>
      <c r="GOE1067" s="989"/>
      <c r="GOF1067" s="989"/>
      <c r="GOG1067" s="989"/>
      <c r="GOH1067" s="989"/>
      <c r="GOI1067" s="989"/>
      <c r="GOJ1067" s="989"/>
      <c r="GOK1067" s="989"/>
      <c r="GOL1067" s="989"/>
      <c r="GOM1067" s="989"/>
      <c r="GON1067" s="989"/>
      <c r="GOO1067" s="989"/>
      <c r="GOP1067" s="989"/>
      <c r="GOQ1067" s="989"/>
      <c r="GOR1067" s="989"/>
      <c r="GOS1067" s="989"/>
      <c r="GOT1067" s="989"/>
      <c r="GOU1067" s="989"/>
      <c r="GOV1067" s="989"/>
      <c r="GOW1067" s="989"/>
      <c r="GOX1067" s="989"/>
      <c r="GOY1067" s="989"/>
      <c r="GOZ1067" s="989"/>
      <c r="GPA1067" s="989"/>
      <c r="GPB1067" s="989"/>
      <c r="GPC1067" s="989"/>
      <c r="GPD1067" s="989"/>
      <c r="GPE1067" s="989"/>
      <c r="GPF1067" s="989"/>
      <c r="GPG1067" s="989"/>
      <c r="GPH1067" s="989"/>
      <c r="GPI1067" s="989"/>
      <c r="GPJ1067" s="989"/>
      <c r="GPK1067" s="989"/>
      <c r="GPL1067" s="989"/>
      <c r="GPM1067" s="989"/>
      <c r="GPN1067" s="989"/>
      <c r="GPO1067" s="989"/>
      <c r="GPP1067" s="989"/>
      <c r="GPQ1067" s="989"/>
      <c r="GPR1067" s="989"/>
      <c r="GPS1067" s="989"/>
      <c r="GPT1067" s="989"/>
      <c r="GPU1067" s="989"/>
      <c r="GPV1067" s="989"/>
      <c r="GPW1067" s="989"/>
      <c r="GPX1067" s="989"/>
      <c r="GPY1067" s="989"/>
      <c r="GPZ1067" s="989"/>
      <c r="GQA1067" s="989"/>
      <c r="GQB1067" s="989"/>
      <c r="GQC1067" s="989"/>
      <c r="GQD1067" s="989"/>
      <c r="GQE1067" s="989"/>
      <c r="GQF1067" s="989"/>
      <c r="GQG1067" s="989"/>
      <c r="GQH1067" s="989"/>
      <c r="GQI1067" s="989"/>
      <c r="GQJ1067" s="989"/>
      <c r="GQK1067" s="989"/>
      <c r="GQL1067" s="989"/>
      <c r="GQM1067" s="989"/>
      <c r="GQN1067" s="989"/>
      <c r="GQO1067" s="989"/>
      <c r="GQP1067" s="989"/>
      <c r="GQQ1067" s="989"/>
      <c r="GQR1067" s="989"/>
      <c r="GQS1067" s="989"/>
      <c r="GQT1067" s="989"/>
      <c r="GQU1067" s="989"/>
      <c r="GQV1067" s="989"/>
      <c r="GQW1067" s="989"/>
      <c r="GQX1067" s="989"/>
      <c r="GQY1067" s="989"/>
      <c r="GQZ1067" s="989"/>
      <c r="GRA1067" s="989"/>
      <c r="GRB1067" s="989"/>
      <c r="GRC1067" s="989"/>
      <c r="GRD1067" s="989"/>
      <c r="GRE1067" s="989"/>
      <c r="GRF1067" s="989"/>
      <c r="GRG1067" s="989"/>
      <c r="GRH1067" s="989"/>
      <c r="GRI1067" s="989"/>
      <c r="GRJ1067" s="989"/>
      <c r="GRK1067" s="989"/>
      <c r="GRL1067" s="989"/>
      <c r="GRM1067" s="989"/>
      <c r="GRN1067" s="989"/>
      <c r="GRO1067" s="989"/>
      <c r="GRP1067" s="989"/>
      <c r="GRQ1067" s="989"/>
      <c r="GRR1067" s="989"/>
      <c r="GRS1067" s="989"/>
      <c r="GRT1067" s="989"/>
      <c r="GRU1067" s="989"/>
      <c r="GRV1067" s="989"/>
      <c r="GRW1067" s="989"/>
      <c r="GRX1067" s="989"/>
      <c r="GRY1067" s="989"/>
      <c r="GRZ1067" s="989"/>
      <c r="GSA1067" s="989"/>
      <c r="GSB1067" s="989"/>
      <c r="GSC1067" s="989"/>
      <c r="GSD1067" s="989"/>
      <c r="GSE1067" s="989"/>
      <c r="GSF1067" s="989"/>
      <c r="GSG1067" s="989"/>
      <c r="GSH1067" s="989"/>
      <c r="GSI1067" s="989"/>
      <c r="GSJ1067" s="989"/>
      <c r="GSK1067" s="989"/>
      <c r="GSL1067" s="989"/>
      <c r="GSM1067" s="989"/>
      <c r="GSN1067" s="989"/>
      <c r="GSO1067" s="989"/>
      <c r="GSP1067" s="989"/>
      <c r="GSQ1067" s="989"/>
      <c r="GSR1067" s="989"/>
      <c r="GSS1067" s="989"/>
      <c r="GST1067" s="989"/>
      <c r="GSU1067" s="989"/>
      <c r="GSV1067" s="989"/>
      <c r="GSW1067" s="989"/>
      <c r="GSX1067" s="989"/>
      <c r="GSY1067" s="989"/>
      <c r="GSZ1067" s="989"/>
      <c r="GTA1067" s="989"/>
      <c r="GTB1067" s="989"/>
      <c r="GTC1067" s="989"/>
      <c r="GTD1067" s="989"/>
      <c r="GTE1067" s="989"/>
      <c r="GTF1067" s="989"/>
      <c r="GTG1067" s="989"/>
      <c r="GTH1067" s="989"/>
      <c r="GTI1067" s="989"/>
      <c r="GTJ1067" s="989"/>
      <c r="GTK1067" s="989"/>
      <c r="GTL1067" s="989"/>
      <c r="GTM1067" s="989"/>
      <c r="GTN1067" s="989"/>
      <c r="GTO1067" s="989"/>
      <c r="GTP1067" s="989"/>
      <c r="GTQ1067" s="989"/>
      <c r="GTR1067" s="989"/>
      <c r="GTS1067" s="989"/>
      <c r="GTT1067" s="989"/>
      <c r="GTU1067" s="989"/>
      <c r="GTV1067" s="989"/>
      <c r="GTW1067" s="989"/>
      <c r="GTX1067" s="989"/>
      <c r="GTY1067" s="989"/>
      <c r="GTZ1067" s="989"/>
      <c r="GUA1067" s="989"/>
      <c r="GUB1067" s="989"/>
      <c r="GUC1067" s="989"/>
      <c r="GUD1067" s="989"/>
      <c r="GUE1067" s="989"/>
      <c r="GUF1067" s="989"/>
      <c r="GUG1067" s="989"/>
      <c r="GUH1067" s="989"/>
      <c r="GUI1067" s="989"/>
      <c r="GUJ1067" s="989"/>
      <c r="GUK1067" s="989"/>
      <c r="GUL1067" s="989"/>
      <c r="GUM1067" s="989"/>
      <c r="GUN1067" s="989"/>
      <c r="GUO1067" s="989"/>
      <c r="GUP1067" s="989"/>
      <c r="GUQ1067" s="989"/>
      <c r="GUR1067" s="989"/>
      <c r="GUS1067" s="989"/>
      <c r="GUT1067" s="989"/>
      <c r="GUU1067" s="989"/>
      <c r="GUV1067" s="989"/>
      <c r="GUW1067" s="989"/>
      <c r="GUX1067" s="989"/>
      <c r="GUY1067" s="989"/>
      <c r="GUZ1067" s="989"/>
      <c r="GVA1067" s="989"/>
      <c r="GVB1067" s="989"/>
      <c r="GVC1067" s="989"/>
      <c r="GVD1067" s="989"/>
      <c r="GVE1067" s="989"/>
      <c r="GVF1067" s="989"/>
      <c r="GVG1067" s="989"/>
      <c r="GVH1067" s="989"/>
      <c r="GVI1067" s="989"/>
      <c r="GVJ1067" s="989"/>
      <c r="GVK1067" s="989"/>
      <c r="GVL1067" s="989"/>
      <c r="GVM1067" s="989"/>
      <c r="GVN1067" s="989"/>
      <c r="GVO1067" s="989"/>
      <c r="GVP1067" s="989"/>
      <c r="GVQ1067" s="989"/>
      <c r="GVR1067" s="989"/>
      <c r="GVS1067" s="989"/>
      <c r="GVT1067" s="989"/>
      <c r="GVU1067" s="989"/>
      <c r="GVV1067" s="989"/>
      <c r="GVW1067" s="989"/>
      <c r="GVX1067" s="989"/>
      <c r="GVY1067" s="989"/>
      <c r="GVZ1067" s="989"/>
      <c r="GWA1067" s="989"/>
      <c r="GWB1067" s="989"/>
      <c r="GWC1067" s="989"/>
      <c r="GWD1067" s="989"/>
      <c r="GWE1067" s="989"/>
      <c r="GWF1067" s="989"/>
      <c r="GWG1067" s="989"/>
      <c r="GWH1067" s="989"/>
      <c r="GWI1067" s="989"/>
      <c r="GWJ1067" s="989"/>
      <c r="GWK1067" s="989"/>
      <c r="GWL1067" s="989"/>
      <c r="GWM1067" s="989"/>
      <c r="GWN1067" s="989"/>
      <c r="GWO1067" s="989"/>
      <c r="GWP1067" s="989"/>
      <c r="GWQ1067" s="989"/>
      <c r="GWR1067" s="989"/>
      <c r="GWS1067" s="989"/>
      <c r="GWT1067" s="989"/>
      <c r="GWU1067" s="989"/>
      <c r="GWV1067" s="989"/>
      <c r="GWW1067" s="989"/>
      <c r="GWX1067" s="989"/>
      <c r="GWY1067" s="989"/>
      <c r="GWZ1067" s="989"/>
      <c r="GXA1067" s="989"/>
      <c r="GXB1067" s="989"/>
      <c r="GXC1067" s="989"/>
      <c r="GXD1067" s="989"/>
      <c r="GXE1067" s="989"/>
      <c r="GXF1067" s="989"/>
      <c r="GXG1067" s="989"/>
      <c r="GXH1067" s="989"/>
      <c r="GXI1067" s="989"/>
      <c r="GXJ1067" s="989"/>
      <c r="GXK1067" s="989"/>
      <c r="GXL1067" s="989"/>
      <c r="GXM1067" s="989"/>
      <c r="GXN1067" s="989"/>
      <c r="GXO1067" s="989"/>
      <c r="GXP1067" s="989"/>
      <c r="GXQ1067" s="989"/>
      <c r="GXR1067" s="989"/>
      <c r="GXS1067" s="989"/>
      <c r="GXT1067" s="989"/>
      <c r="GXU1067" s="989"/>
      <c r="GXV1067" s="989"/>
      <c r="GXW1067" s="989"/>
      <c r="GXX1067" s="989"/>
      <c r="GXY1067" s="989"/>
      <c r="GXZ1067" s="989"/>
      <c r="GYA1067" s="989"/>
      <c r="GYB1067" s="989"/>
      <c r="GYC1067" s="989"/>
      <c r="GYD1067" s="989"/>
      <c r="GYE1067" s="989"/>
      <c r="GYF1067" s="989"/>
      <c r="GYG1067" s="989"/>
      <c r="GYH1067" s="989"/>
      <c r="GYI1067" s="989"/>
      <c r="GYJ1067" s="989"/>
      <c r="GYK1067" s="989"/>
      <c r="GYL1067" s="989"/>
      <c r="GYM1067" s="989"/>
      <c r="GYN1067" s="989"/>
      <c r="GYO1067" s="989"/>
      <c r="GYP1067" s="989"/>
      <c r="GYQ1067" s="989"/>
      <c r="GYR1067" s="989"/>
      <c r="GYS1067" s="989"/>
      <c r="GYT1067" s="989"/>
      <c r="GYU1067" s="989"/>
      <c r="GYV1067" s="989"/>
      <c r="GYW1067" s="989"/>
      <c r="GYX1067" s="989"/>
      <c r="GYY1067" s="989"/>
      <c r="GYZ1067" s="989"/>
      <c r="GZA1067" s="989"/>
      <c r="GZB1067" s="989"/>
      <c r="GZC1067" s="989"/>
      <c r="GZD1067" s="989"/>
      <c r="GZE1067" s="989"/>
      <c r="GZF1067" s="989"/>
      <c r="GZG1067" s="989"/>
      <c r="GZH1067" s="989"/>
      <c r="GZI1067" s="989"/>
      <c r="GZJ1067" s="989"/>
      <c r="GZK1067" s="989"/>
      <c r="GZL1067" s="989"/>
      <c r="GZM1067" s="989"/>
      <c r="GZN1067" s="989"/>
      <c r="GZO1067" s="989"/>
      <c r="GZP1067" s="989"/>
      <c r="GZQ1067" s="989"/>
      <c r="GZR1067" s="989"/>
      <c r="GZS1067" s="989"/>
      <c r="GZT1067" s="989"/>
      <c r="GZU1067" s="989"/>
      <c r="GZV1067" s="989"/>
      <c r="GZW1067" s="989"/>
      <c r="GZX1067" s="989"/>
      <c r="GZY1067" s="989"/>
      <c r="GZZ1067" s="989"/>
      <c r="HAA1067" s="989"/>
      <c r="HAB1067" s="989"/>
      <c r="HAC1067" s="989"/>
      <c r="HAD1067" s="989"/>
      <c r="HAE1067" s="989"/>
      <c r="HAF1067" s="989"/>
      <c r="HAG1067" s="989"/>
      <c r="HAH1067" s="989"/>
      <c r="HAI1067" s="989"/>
      <c r="HAJ1067" s="989"/>
      <c r="HAK1067" s="989"/>
      <c r="HAL1067" s="989"/>
      <c r="HAM1067" s="989"/>
      <c r="HAN1067" s="989"/>
      <c r="HAO1067" s="989"/>
      <c r="HAP1067" s="989"/>
      <c r="HAQ1067" s="989"/>
      <c r="HAR1067" s="989"/>
      <c r="HAS1067" s="989"/>
      <c r="HAT1067" s="989"/>
      <c r="HAU1067" s="989"/>
      <c r="HAV1067" s="989"/>
      <c r="HAW1067" s="989"/>
      <c r="HAX1067" s="989"/>
      <c r="HAY1067" s="989"/>
      <c r="HAZ1067" s="989"/>
      <c r="HBA1067" s="989"/>
      <c r="HBB1067" s="989"/>
      <c r="HBC1067" s="989"/>
      <c r="HBD1067" s="989"/>
      <c r="HBE1067" s="989"/>
      <c r="HBF1067" s="989"/>
      <c r="HBG1067" s="989"/>
      <c r="HBH1067" s="989"/>
      <c r="HBI1067" s="989"/>
      <c r="HBJ1067" s="989"/>
      <c r="HBK1067" s="989"/>
      <c r="HBL1067" s="989"/>
      <c r="HBM1067" s="989"/>
      <c r="HBN1067" s="989"/>
      <c r="HBO1067" s="989"/>
      <c r="HBP1067" s="989"/>
      <c r="HBQ1067" s="989"/>
      <c r="HBR1067" s="989"/>
      <c r="HBS1067" s="989"/>
      <c r="HBT1067" s="989"/>
      <c r="HBU1067" s="989"/>
      <c r="HBV1067" s="989"/>
      <c r="HBW1067" s="989"/>
      <c r="HBX1067" s="989"/>
      <c r="HBY1067" s="989"/>
      <c r="HBZ1067" s="989"/>
      <c r="HCA1067" s="989"/>
      <c r="HCB1067" s="989"/>
      <c r="HCC1067" s="989"/>
      <c r="HCD1067" s="989"/>
      <c r="HCE1067" s="989"/>
      <c r="HCF1067" s="989"/>
      <c r="HCG1067" s="989"/>
      <c r="HCH1067" s="989"/>
      <c r="HCI1067" s="989"/>
      <c r="HCJ1067" s="989"/>
      <c r="HCK1067" s="989"/>
      <c r="HCL1067" s="989"/>
      <c r="HCM1067" s="989"/>
      <c r="HCN1067" s="989"/>
      <c r="HCO1067" s="989"/>
      <c r="HCP1067" s="989"/>
      <c r="HCQ1067" s="989"/>
      <c r="HCR1067" s="989"/>
      <c r="HCS1067" s="989"/>
      <c r="HCT1067" s="989"/>
      <c r="HCU1067" s="989"/>
      <c r="HCV1067" s="989"/>
      <c r="HCW1067" s="989"/>
      <c r="HCX1067" s="989"/>
      <c r="HCY1067" s="989"/>
      <c r="HCZ1067" s="989"/>
      <c r="HDA1067" s="989"/>
      <c r="HDB1067" s="989"/>
      <c r="HDC1067" s="989"/>
      <c r="HDD1067" s="989"/>
      <c r="HDE1067" s="989"/>
      <c r="HDF1067" s="989"/>
      <c r="HDG1067" s="989"/>
      <c r="HDH1067" s="989"/>
      <c r="HDI1067" s="989"/>
      <c r="HDJ1067" s="989"/>
      <c r="HDK1067" s="989"/>
      <c r="HDL1067" s="989"/>
      <c r="HDM1067" s="989"/>
      <c r="HDN1067" s="989"/>
      <c r="HDO1067" s="989"/>
      <c r="HDP1067" s="989"/>
      <c r="HDQ1067" s="989"/>
      <c r="HDR1067" s="989"/>
      <c r="HDS1067" s="989"/>
      <c r="HDT1067" s="989"/>
      <c r="HDU1067" s="989"/>
      <c r="HDV1067" s="989"/>
      <c r="HDW1067" s="989"/>
      <c r="HDX1067" s="989"/>
      <c r="HDY1067" s="989"/>
      <c r="HDZ1067" s="989"/>
      <c r="HEA1067" s="989"/>
      <c r="HEB1067" s="989"/>
      <c r="HEC1067" s="989"/>
      <c r="HED1067" s="989"/>
      <c r="HEE1067" s="989"/>
      <c r="HEF1067" s="989"/>
      <c r="HEG1067" s="989"/>
      <c r="HEH1067" s="989"/>
      <c r="HEI1067" s="989"/>
      <c r="HEJ1067" s="989"/>
      <c r="HEK1067" s="989"/>
      <c r="HEL1067" s="989"/>
      <c r="HEM1067" s="989"/>
      <c r="HEN1067" s="989"/>
      <c r="HEO1067" s="989"/>
      <c r="HEP1067" s="989"/>
      <c r="HEQ1067" s="989"/>
      <c r="HER1067" s="989"/>
      <c r="HES1067" s="989"/>
      <c r="HET1067" s="989"/>
      <c r="HEU1067" s="989"/>
      <c r="HEV1067" s="989"/>
      <c r="HEW1067" s="989"/>
      <c r="HEX1067" s="989"/>
      <c r="HEY1067" s="989"/>
      <c r="HEZ1067" s="989"/>
      <c r="HFA1067" s="989"/>
      <c r="HFB1067" s="989"/>
      <c r="HFC1067" s="989"/>
      <c r="HFD1067" s="989"/>
      <c r="HFE1067" s="989"/>
      <c r="HFF1067" s="989"/>
      <c r="HFG1067" s="989"/>
      <c r="HFH1067" s="989"/>
      <c r="HFI1067" s="989"/>
      <c r="HFJ1067" s="989"/>
      <c r="HFK1067" s="989"/>
      <c r="HFL1067" s="989"/>
      <c r="HFM1067" s="989"/>
      <c r="HFN1067" s="989"/>
      <c r="HFO1067" s="989"/>
      <c r="HFP1067" s="989"/>
      <c r="HFQ1067" s="989"/>
      <c r="HFR1067" s="989"/>
      <c r="HFS1067" s="989"/>
      <c r="HFT1067" s="989"/>
      <c r="HFU1067" s="989"/>
      <c r="HFV1067" s="989"/>
      <c r="HFW1067" s="989"/>
      <c r="HFX1067" s="989"/>
      <c r="HFY1067" s="989"/>
      <c r="HFZ1067" s="989"/>
      <c r="HGA1067" s="989"/>
      <c r="HGB1067" s="989"/>
      <c r="HGC1067" s="989"/>
      <c r="HGD1067" s="989"/>
      <c r="HGE1067" s="989"/>
      <c r="HGF1067" s="989"/>
      <c r="HGG1067" s="989"/>
      <c r="HGH1067" s="989"/>
      <c r="HGI1067" s="989"/>
      <c r="HGJ1067" s="989"/>
      <c r="HGK1067" s="989"/>
      <c r="HGL1067" s="989"/>
      <c r="HGM1067" s="989"/>
      <c r="HGN1067" s="989"/>
      <c r="HGO1067" s="989"/>
      <c r="HGP1067" s="989"/>
      <c r="HGQ1067" s="989"/>
      <c r="HGR1067" s="989"/>
      <c r="HGS1067" s="989"/>
      <c r="HGT1067" s="989"/>
      <c r="HGU1067" s="989"/>
      <c r="HGV1067" s="989"/>
      <c r="HGW1067" s="989"/>
      <c r="HGX1067" s="989"/>
      <c r="HGY1067" s="989"/>
      <c r="HGZ1067" s="989"/>
      <c r="HHA1067" s="989"/>
      <c r="HHB1067" s="989"/>
      <c r="HHC1067" s="989"/>
      <c r="HHD1067" s="989"/>
      <c r="HHE1067" s="989"/>
      <c r="HHF1067" s="989"/>
      <c r="HHG1067" s="989"/>
      <c r="HHH1067" s="989"/>
      <c r="HHI1067" s="989"/>
      <c r="HHJ1067" s="989"/>
      <c r="HHK1067" s="989"/>
      <c r="HHL1067" s="989"/>
      <c r="HHM1067" s="989"/>
      <c r="HHN1067" s="989"/>
      <c r="HHO1067" s="989"/>
      <c r="HHP1067" s="989"/>
      <c r="HHQ1067" s="989"/>
      <c r="HHR1067" s="989"/>
      <c r="HHS1067" s="989"/>
      <c r="HHT1067" s="989"/>
      <c r="HHU1067" s="989"/>
      <c r="HHV1067" s="989"/>
      <c r="HHW1067" s="989"/>
      <c r="HHX1067" s="989"/>
      <c r="HHY1067" s="989"/>
      <c r="HHZ1067" s="989"/>
      <c r="HIA1067" s="989"/>
      <c r="HIB1067" s="989"/>
      <c r="HIC1067" s="989"/>
      <c r="HID1067" s="989"/>
      <c r="HIE1067" s="989"/>
      <c r="HIF1067" s="989"/>
      <c r="HIG1067" s="989"/>
      <c r="HIH1067" s="989"/>
      <c r="HII1067" s="989"/>
      <c r="HIJ1067" s="989"/>
      <c r="HIK1067" s="989"/>
      <c r="HIL1067" s="989"/>
      <c r="HIM1067" s="989"/>
      <c r="HIN1067" s="989"/>
      <c r="HIO1067" s="989"/>
      <c r="HIP1067" s="989"/>
      <c r="HIQ1067" s="989"/>
      <c r="HIR1067" s="989"/>
      <c r="HIS1067" s="989"/>
      <c r="HIT1067" s="989"/>
      <c r="HIU1067" s="989"/>
      <c r="HIV1067" s="989"/>
      <c r="HIW1067" s="989"/>
      <c r="HIX1067" s="989"/>
      <c r="HIY1067" s="989"/>
      <c r="HIZ1067" s="989"/>
      <c r="HJA1067" s="989"/>
      <c r="HJB1067" s="989"/>
      <c r="HJC1067" s="989"/>
      <c r="HJD1067" s="989"/>
      <c r="HJE1067" s="989"/>
      <c r="HJF1067" s="989"/>
      <c r="HJG1067" s="989"/>
      <c r="HJH1067" s="989"/>
      <c r="HJI1067" s="989"/>
      <c r="HJJ1067" s="989"/>
      <c r="HJK1067" s="989"/>
      <c r="HJL1067" s="989"/>
      <c r="HJM1067" s="989"/>
      <c r="HJN1067" s="989"/>
      <c r="HJO1067" s="989"/>
      <c r="HJP1067" s="989"/>
      <c r="HJQ1067" s="989"/>
      <c r="HJR1067" s="989"/>
      <c r="HJS1067" s="989"/>
      <c r="HJT1067" s="989"/>
      <c r="HJU1067" s="989"/>
      <c r="HJV1067" s="989"/>
      <c r="HJW1067" s="989"/>
      <c r="HJX1067" s="989"/>
      <c r="HJY1067" s="989"/>
      <c r="HJZ1067" s="989"/>
      <c r="HKA1067" s="989"/>
      <c r="HKB1067" s="989"/>
      <c r="HKC1067" s="989"/>
      <c r="HKD1067" s="989"/>
      <c r="HKE1067" s="989"/>
      <c r="HKF1067" s="989"/>
      <c r="HKG1067" s="989"/>
      <c r="HKH1067" s="989"/>
      <c r="HKI1067" s="989"/>
      <c r="HKJ1067" s="989"/>
      <c r="HKK1067" s="989"/>
      <c r="HKL1067" s="989"/>
      <c r="HKM1067" s="989"/>
      <c r="HKN1067" s="989"/>
      <c r="HKO1067" s="989"/>
      <c r="HKP1067" s="989"/>
      <c r="HKQ1067" s="989"/>
      <c r="HKR1067" s="989"/>
      <c r="HKS1067" s="989"/>
      <c r="HKT1067" s="989"/>
      <c r="HKU1067" s="989"/>
      <c r="HKV1067" s="989"/>
      <c r="HKW1067" s="989"/>
      <c r="HKX1067" s="989"/>
      <c r="HKY1067" s="989"/>
      <c r="HKZ1067" s="989"/>
      <c r="HLA1067" s="989"/>
      <c r="HLB1067" s="989"/>
      <c r="HLC1067" s="989"/>
      <c r="HLD1067" s="989"/>
      <c r="HLE1067" s="989"/>
      <c r="HLF1067" s="989"/>
      <c r="HLG1067" s="989"/>
      <c r="HLH1067" s="989"/>
      <c r="HLI1067" s="989"/>
      <c r="HLJ1067" s="989"/>
      <c r="HLK1067" s="989"/>
      <c r="HLL1067" s="989"/>
      <c r="HLM1067" s="989"/>
      <c r="HLN1067" s="989"/>
      <c r="HLO1067" s="989"/>
      <c r="HLP1067" s="989"/>
      <c r="HLQ1067" s="989"/>
      <c r="HLR1067" s="989"/>
      <c r="HLS1067" s="989"/>
      <c r="HLT1067" s="989"/>
      <c r="HLU1067" s="989"/>
      <c r="HLV1067" s="989"/>
      <c r="HLW1067" s="989"/>
      <c r="HLX1067" s="989"/>
      <c r="HLY1067" s="989"/>
      <c r="HLZ1067" s="989"/>
      <c r="HMA1067" s="989"/>
      <c r="HMB1067" s="989"/>
      <c r="HMC1067" s="989"/>
      <c r="HMD1067" s="989"/>
      <c r="HME1067" s="989"/>
      <c r="HMF1067" s="989"/>
      <c r="HMG1067" s="989"/>
      <c r="HMH1067" s="989"/>
      <c r="HMI1067" s="989"/>
      <c r="HMJ1067" s="989"/>
      <c r="HMK1067" s="989"/>
      <c r="HML1067" s="989"/>
      <c r="HMM1067" s="989"/>
      <c r="HMN1067" s="989"/>
      <c r="HMO1067" s="989"/>
      <c r="HMP1067" s="989"/>
      <c r="HMQ1067" s="989"/>
      <c r="HMR1067" s="989"/>
      <c r="HMS1067" s="989"/>
      <c r="HMT1067" s="989"/>
      <c r="HMU1067" s="989"/>
      <c r="HMV1067" s="989"/>
      <c r="HMW1067" s="989"/>
      <c r="HMX1067" s="989"/>
      <c r="HMY1067" s="989"/>
      <c r="HMZ1067" s="989"/>
      <c r="HNA1067" s="989"/>
      <c r="HNB1067" s="989"/>
      <c r="HNC1067" s="989"/>
      <c r="HND1067" s="989"/>
      <c r="HNE1067" s="989"/>
      <c r="HNF1067" s="989"/>
      <c r="HNG1067" s="989"/>
      <c r="HNH1067" s="989"/>
      <c r="HNI1067" s="989"/>
      <c r="HNJ1067" s="989"/>
      <c r="HNK1067" s="989"/>
      <c r="HNL1067" s="989"/>
      <c r="HNM1067" s="989"/>
      <c r="HNN1067" s="989"/>
      <c r="HNO1067" s="989"/>
      <c r="HNP1067" s="989"/>
      <c r="HNQ1067" s="989"/>
      <c r="HNR1067" s="989"/>
      <c r="HNS1067" s="989"/>
      <c r="HNT1067" s="989"/>
      <c r="HNU1067" s="989"/>
      <c r="HNV1067" s="989"/>
      <c r="HNW1067" s="989"/>
      <c r="HNX1067" s="989"/>
      <c r="HNY1067" s="989"/>
      <c r="HNZ1067" s="989"/>
      <c r="HOA1067" s="989"/>
      <c r="HOB1067" s="989"/>
      <c r="HOC1067" s="989"/>
      <c r="HOD1067" s="989"/>
      <c r="HOE1067" s="989"/>
      <c r="HOF1067" s="989"/>
      <c r="HOG1067" s="989"/>
      <c r="HOH1067" s="989"/>
      <c r="HOI1067" s="989"/>
      <c r="HOJ1067" s="989"/>
      <c r="HOK1067" s="989"/>
      <c r="HOL1067" s="989"/>
      <c r="HOM1067" s="989"/>
      <c r="HON1067" s="989"/>
      <c r="HOO1067" s="989"/>
      <c r="HOP1067" s="989"/>
      <c r="HOQ1067" s="989"/>
      <c r="HOR1067" s="989"/>
      <c r="HOS1067" s="989"/>
      <c r="HOT1067" s="989"/>
      <c r="HOU1067" s="989"/>
      <c r="HOV1067" s="989"/>
      <c r="HOW1067" s="989"/>
      <c r="HOX1067" s="989"/>
      <c r="HOY1067" s="989"/>
      <c r="HOZ1067" s="989"/>
      <c r="HPA1067" s="989"/>
      <c r="HPB1067" s="989"/>
      <c r="HPC1067" s="989"/>
      <c r="HPD1067" s="989"/>
      <c r="HPE1067" s="989"/>
      <c r="HPF1067" s="989"/>
      <c r="HPG1067" s="989"/>
      <c r="HPH1067" s="989"/>
      <c r="HPI1067" s="989"/>
      <c r="HPJ1067" s="989"/>
      <c r="HPK1067" s="989"/>
      <c r="HPL1067" s="989"/>
      <c r="HPM1067" s="989"/>
      <c r="HPN1067" s="989"/>
      <c r="HPO1067" s="989"/>
      <c r="HPP1067" s="989"/>
      <c r="HPQ1067" s="989"/>
      <c r="HPR1067" s="989"/>
      <c r="HPS1067" s="989"/>
      <c r="HPT1067" s="989"/>
      <c r="HPU1067" s="989"/>
      <c r="HPV1067" s="989"/>
      <c r="HPW1067" s="989"/>
      <c r="HPX1067" s="989"/>
      <c r="HPY1067" s="989"/>
      <c r="HPZ1067" s="989"/>
      <c r="HQA1067" s="989"/>
      <c r="HQB1067" s="989"/>
      <c r="HQC1067" s="989"/>
      <c r="HQD1067" s="989"/>
      <c r="HQE1067" s="989"/>
      <c r="HQF1067" s="989"/>
      <c r="HQG1067" s="989"/>
      <c r="HQH1067" s="989"/>
      <c r="HQI1067" s="989"/>
      <c r="HQJ1067" s="989"/>
      <c r="HQK1067" s="989"/>
      <c r="HQL1067" s="989"/>
      <c r="HQM1067" s="989"/>
      <c r="HQN1067" s="989"/>
      <c r="HQO1067" s="989"/>
      <c r="HQP1067" s="989"/>
      <c r="HQQ1067" s="989"/>
      <c r="HQR1067" s="989"/>
      <c r="HQS1067" s="989"/>
      <c r="HQT1067" s="989"/>
      <c r="HQU1067" s="989"/>
      <c r="HQV1067" s="989"/>
      <c r="HQW1067" s="989"/>
      <c r="HQX1067" s="989"/>
      <c r="HQY1067" s="989"/>
      <c r="HQZ1067" s="989"/>
      <c r="HRA1067" s="989"/>
      <c r="HRB1067" s="989"/>
      <c r="HRC1067" s="989"/>
      <c r="HRD1067" s="989"/>
      <c r="HRE1067" s="989"/>
      <c r="HRF1067" s="989"/>
      <c r="HRG1067" s="989"/>
      <c r="HRH1067" s="989"/>
      <c r="HRI1067" s="989"/>
      <c r="HRJ1067" s="989"/>
      <c r="HRK1067" s="989"/>
      <c r="HRL1067" s="989"/>
      <c r="HRM1067" s="989"/>
      <c r="HRN1067" s="989"/>
      <c r="HRO1067" s="989"/>
      <c r="HRP1067" s="989"/>
      <c r="HRQ1067" s="989"/>
      <c r="HRR1067" s="989"/>
      <c r="HRS1067" s="989"/>
      <c r="HRT1067" s="989"/>
      <c r="HRU1067" s="989"/>
      <c r="HRV1067" s="989"/>
      <c r="HRW1067" s="989"/>
      <c r="HRX1067" s="989"/>
      <c r="HRY1067" s="989"/>
      <c r="HRZ1067" s="989"/>
      <c r="HSA1067" s="989"/>
      <c r="HSB1067" s="989"/>
      <c r="HSC1067" s="989"/>
      <c r="HSD1067" s="989"/>
      <c r="HSE1067" s="989"/>
      <c r="HSF1067" s="989"/>
      <c r="HSG1067" s="989"/>
      <c r="HSH1067" s="989"/>
      <c r="HSI1067" s="989"/>
      <c r="HSJ1067" s="989"/>
      <c r="HSK1067" s="989"/>
      <c r="HSL1067" s="989"/>
      <c r="HSM1067" s="989"/>
      <c r="HSN1067" s="989"/>
      <c r="HSO1067" s="989"/>
      <c r="HSP1067" s="989"/>
      <c r="HSQ1067" s="989"/>
      <c r="HSR1067" s="989"/>
      <c r="HSS1067" s="989"/>
      <c r="HST1067" s="989"/>
      <c r="HSU1067" s="989"/>
      <c r="HSV1067" s="989"/>
      <c r="HSW1067" s="989"/>
      <c r="HSX1067" s="989"/>
      <c r="HSY1067" s="989"/>
      <c r="HSZ1067" s="989"/>
      <c r="HTA1067" s="989"/>
      <c r="HTB1067" s="989"/>
      <c r="HTC1067" s="989"/>
      <c r="HTD1067" s="989"/>
      <c r="HTE1067" s="989"/>
      <c r="HTF1067" s="989"/>
      <c r="HTG1067" s="989"/>
      <c r="HTH1067" s="989"/>
      <c r="HTI1067" s="989"/>
      <c r="HTJ1067" s="989"/>
      <c r="HTK1067" s="989"/>
      <c r="HTL1067" s="989"/>
      <c r="HTM1067" s="989"/>
      <c r="HTN1067" s="989"/>
      <c r="HTO1067" s="989"/>
      <c r="HTP1067" s="989"/>
      <c r="HTQ1067" s="989"/>
      <c r="HTR1067" s="989"/>
      <c r="HTS1067" s="989"/>
      <c r="HTT1067" s="989"/>
      <c r="HTU1067" s="989"/>
      <c r="HTV1067" s="989"/>
      <c r="HTW1067" s="989"/>
      <c r="HTX1067" s="989"/>
      <c r="HTY1067" s="989"/>
      <c r="HTZ1067" s="989"/>
      <c r="HUA1067" s="989"/>
      <c r="HUB1067" s="989"/>
      <c r="HUC1067" s="989"/>
      <c r="HUD1067" s="989"/>
      <c r="HUE1067" s="989"/>
      <c r="HUF1067" s="989"/>
      <c r="HUG1067" s="989"/>
      <c r="HUH1067" s="989"/>
      <c r="HUI1067" s="989"/>
      <c r="HUJ1067" s="989"/>
      <c r="HUK1067" s="989"/>
      <c r="HUL1067" s="989"/>
      <c r="HUM1067" s="989"/>
      <c r="HUN1067" s="989"/>
      <c r="HUO1067" s="989"/>
      <c r="HUP1067" s="989"/>
      <c r="HUQ1067" s="989"/>
      <c r="HUR1067" s="989"/>
      <c r="HUS1067" s="989"/>
      <c r="HUT1067" s="989"/>
      <c r="HUU1067" s="989"/>
      <c r="HUV1067" s="989"/>
      <c r="HUW1067" s="989"/>
      <c r="HUX1067" s="989"/>
      <c r="HUY1067" s="989"/>
      <c r="HUZ1067" s="989"/>
      <c r="HVA1067" s="989"/>
      <c r="HVB1067" s="989"/>
      <c r="HVC1067" s="989"/>
      <c r="HVD1067" s="989"/>
      <c r="HVE1067" s="989"/>
      <c r="HVF1067" s="989"/>
      <c r="HVG1067" s="989"/>
      <c r="HVH1067" s="989"/>
      <c r="HVI1067" s="989"/>
      <c r="HVJ1067" s="989"/>
      <c r="HVK1067" s="989"/>
      <c r="HVL1067" s="989"/>
      <c r="HVM1067" s="989"/>
      <c r="HVN1067" s="989"/>
      <c r="HVO1067" s="989"/>
      <c r="HVP1067" s="989"/>
      <c r="HVQ1067" s="989"/>
      <c r="HVR1067" s="989"/>
      <c r="HVS1067" s="989"/>
      <c r="HVT1067" s="989"/>
      <c r="HVU1067" s="989"/>
      <c r="HVV1067" s="989"/>
      <c r="HVW1067" s="989"/>
      <c r="HVX1067" s="989"/>
      <c r="HVY1067" s="989"/>
      <c r="HVZ1067" s="989"/>
      <c r="HWA1067" s="989"/>
      <c r="HWB1067" s="989"/>
      <c r="HWC1067" s="989"/>
      <c r="HWD1067" s="989"/>
      <c r="HWE1067" s="989"/>
      <c r="HWF1067" s="989"/>
      <c r="HWG1067" s="989"/>
      <c r="HWH1067" s="989"/>
      <c r="HWI1067" s="989"/>
      <c r="HWJ1067" s="989"/>
      <c r="HWK1067" s="989"/>
      <c r="HWL1067" s="989"/>
      <c r="HWM1067" s="989"/>
      <c r="HWN1067" s="989"/>
      <c r="HWO1067" s="989"/>
      <c r="HWP1067" s="989"/>
      <c r="HWQ1067" s="989"/>
      <c r="HWR1067" s="989"/>
      <c r="HWS1067" s="989"/>
      <c r="HWT1067" s="989"/>
      <c r="HWU1067" s="989"/>
      <c r="HWV1067" s="989"/>
      <c r="HWW1067" s="989"/>
      <c r="HWX1067" s="989"/>
      <c r="HWY1067" s="989"/>
      <c r="HWZ1067" s="989"/>
      <c r="HXA1067" s="989"/>
      <c r="HXB1067" s="989"/>
      <c r="HXC1067" s="989"/>
      <c r="HXD1067" s="989"/>
      <c r="HXE1067" s="989"/>
      <c r="HXF1067" s="989"/>
      <c r="HXG1067" s="989"/>
      <c r="HXH1067" s="989"/>
      <c r="HXI1067" s="989"/>
      <c r="HXJ1067" s="989"/>
      <c r="HXK1067" s="989"/>
      <c r="HXL1067" s="989"/>
      <c r="HXM1067" s="989"/>
      <c r="HXN1067" s="989"/>
      <c r="HXO1067" s="989"/>
      <c r="HXP1067" s="989"/>
      <c r="HXQ1067" s="989"/>
      <c r="HXR1067" s="989"/>
      <c r="HXS1067" s="989"/>
      <c r="HXT1067" s="989"/>
      <c r="HXU1067" s="989"/>
      <c r="HXV1067" s="989"/>
      <c r="HXW1067" s="989"/>
      <c r="HXX1067" s="989"/>
      <c r="HXY1067" s="989"/>
      <c r="HXZ1067" s="989"/>
      <c r="HYA1067" s="989"/>
      <c r="HYB1067" s="989"/>
      <c r="HYC1067" s="989"/>
      <c r="HYD1067" s="989"/>
      <c r="HYE1067" s="989"/>
      <c r="HYF1067" s="989"/>
      <c r="HYG1067" s="989"/>
      <c r="HYH1067" s="989"/>
      <c r="HYI1067" s="989"/>
      <c r="HYJ1067" s="989"/>
      <c r="HYK1067" s="989"/>
      <c r="HYL1067" s="989"/>
      <c r="HYM1067" s="989"/>
      <c r="HYN1067" s="989"/>
      <c r="HYO1067" s="989"/>
      <c r="HYP1067" s="989"/>
      <c r="HYQ1067" s="989"/>
      <c r="HYR1067" s="989"/>
      <c r="HYS1067" s="989"/>
      <c r="HYT1067" s="989"/>
      <c r="HYU1067" s="989"/>
      <c r="HYV1067" s="989"/>
      <c r="HYW1067" s="989"/>
      <c r="HYX1067" s="989"/>
      <c r="HYY1067" s="989"/>
      <c r="HYZ1067" s="989"/>
      <c r="HZA1067" s="989"/>
      <c r="HZB1067" s="989"/>
      <c r="HZC1067" s="989"/>
      <c r="HZD1067" s="989"/>
      <c r="HZE1067" s="989"/>
      <c r="HZF1067" s="989"/>
      <c r="HZG1067" s="989"/>
      <c r="HZH1067" s="989"/>
      <c r="HZI1067" s="989"/>
      <c r="HZJ1067" s="989"/>
      <c r="HZK1067" s="989"/>
      <c r="HZL1067" s="989"/>
      <c r="HZM1067" s="989"/>
      <c r="HZN1067" s="989"/>
      <c r="HZO1067" s="989"/>
      <c r="HZP1067" s="989"/>
      <c r="HZQ1067" s="989"/>
      <c r="HZR1067" s="989"/>
      <c r="HZS1067" s="989"/>
      <c r="HZT1067" s="989"/>
      <c r="HZU1067" s="989"/>
      <c r="HZV1067" s="989"/>
      <c r="HZW1067" s="989"/>
      <c r="HZX1067" s="989"/>
      <c r="HZY1067" s="989"/>
      <c r="HZZ1067" s="989"/>
      <c r="IAA1067" s="989"/>
      <c r="IAB1067" s="989"/>
      <c r="IAC1067" s="989"/>
      <c r="IAD1067" s="989"/>
      <c r="IAE1067" s="989"/>
      <c r="IAF1067" s="989"/>
      <c r="IAG1067" s="989"/>
      <c r="IAH1067" s="989"/>
      <c r="IAI1067" s="989"/>
      <c r="IAJ1067" s="989"/>
      <c r="IAK1067" s="989"/>
      <c r="IAL1067" s="989"/>
      <c r="IAM1067" s="989"/>
      <c r="IAN1067" s="989"/>
      <c r="IAO1067" s="989"/>
      <c r="IAP1067" s="989"/>
      <c r="IAQ1067" s="989"/>
      <c r="IAR1067" s="989"/>
      <c r="IAS1067" s="989"/>
      <c r="IAT1067" s="989"/>
      <c r="IAU1067" s="989"/>
      <c r="IAV1067" s="989"/>
      <c r="IAW1067" s="989"/>
      <c r="IAX1067" s="989"/>
      <c r="IAY1067" s="989"/>
      <c r="IAZ1067" s="989"/>
      <c r="IBA1067" s="989"/>
      <c r="IBB1067" s="989"/>
      <c r="IBC1067" s="989"/>
      <c r="IBD1067" s="989"/>
      <c r="IBE1067" s="989"/>
      <c r="IBF1067" s="989"/>
      <c r="IBG1067" s="989"/>
      <c r="IBH1067" s="989"/>
      <c r="IBI1067" s="989"/>
      <c r="IBJ1067" s="989"/>
      <c r="IBK1067" s="989"/>
      <c r="IBL1067" s="989"/>
      <c r="IBM1067" s="989"/>
      <c r="IBN1067" s="989"/>
      <c r="IBO1067" s="989"/>
      <c r="IBP1067" s="989"/>
      <c r="IBQ1067" s="989"/>
      <c r="IBR1067" s="989"/>
      <c r="IBS1067" s="989"/>
      <c r="IBT1067" s="989"/>
      <c r="IBU1067" s="989"/>
      <c r="IBV1067" s="989"/>
      <c r="IBW1067" s="989"/>
      <c r="IBX1067" s="989"/>
      <c r="IBY1067" s="989"/>
      <c r="IBZ1067" s="989"/>
      <c r="ICA1067" s="989"/>
      <c r="ICB1067" s="989"/>
      <c r="ICC1067" s="989"/>
      <c r="ICD1067" s="989"/>
      <c r="ICE1067" s="989"/>
      <c r="ICF1067" s="989"/>
      <c r="ICG1067" s="989"/>
      <c r="ICH1067" s="989"/>
      <c r="ICI1067" s="989"/>
      <c r="ICJ1067" s="989"/>
      <c r="ICK1067" s="989"/>
      <c r="ICL1067" s="989"/>
      <c r="ICM1067" s="989"/>
      <c r="ICN1067" s="989"/>
      <c r="ICO1067" s="989"/>
      <c r="ICP1067" s="989"/>
      <c r="ICQ1067" s="989"/>
      <c r="ICR1067" s="989"/>
      <c r="ICS1067" s="989"/>
      <c r="ICT1067" s="989"/>
      <c r="ICU1067" s="989"/>
      <c r="ICV1067" s="989"/>
      <c r="ICW1067" s="989"/>
      <c r="ICX1067" s="989"/>
      <c r="ICY1067" s="989"/>
      <c r="ICZ1067" s="989"/>
      <c r="IDA1067" s="989"/>
      <c r="IDB1067" s="989"/>
      <c r="IDC1067" s="989"/>
      <c r="IDD1067" s="989"/>
      <c r="IDE1067" s="989"/>
      <c r="IDF1067" s="989"/>
      <c r="IDG1067" s="989"/>
      <c r="IDH1067" s="989"/>
      <c r="IDI1067" s="989"/>
      <c r="IDJ1067" s="989"/>
      <c r="IDK1067" s="989"/>
      <c r="IDL1067" s="989"/>
      <c r="IDM1067" s="989"/>
      <c r="IDN1067" s="989"/>
      <c r="IDO1067" s="989"/>
      <c r="IDP1067" s="989"/>
      <c r="IDQ1067" s="989"/>
      <c r="IDR1067" s="989"/>
      <c r="IDS1067" s="989"/>
      <c r="IDT1067" s="989"/>
      <c r="IDU1067" s="989"/>
      <c r="IDV1067" s="989"/>
      <c r="IDW1067" s="989"/>
      <c r="IDX1067" s="989"/>
      <c r="IDY1067" s="989"/>
      <c r="IDZ1067" s="989"/>
      <c r="IEA1067" s="989"/>
      <c r="IEB1067" s="989"/>
      <c r="IEC1067" s="989"/>
      <c r="IED1067" s="989"/>
      <c r="IEE1067" s="989"/>
      <c r="IEF1067" s="989"/>
      <c r="IEG1067" s="989"/>
      <c r="IEH1067" s="989"/>
      <c r="IEI1067" s="989"/>
      <c r="IEJ1067" s="989"/>
      <c r="IEK1067" s="989"/>
      <c r="IEL1067" s="989"/>
      <c r="IEM1067" s="989"/>
      <c r="IEN1067" s="989"/>
      <c r="IEO1067" s="989"/>
      <c r="IEP1067" s="989"/>
      <c r="IEQ1067" s="989"/>
      <c r="IER1067" s="989"/>
      <c r="IES1067" s="989"/>
      <c r="IET1067" s="989"/>
      <c r="IEU1067" s="989"/>
      <c r="IEV1067" s="989"/>
      <c r="IEW1067" s="989"/>
      <c r="IEX1067" s="989"/>
      <c r="IEY1067" s="989"/>
      <c r="IEZ1067" s="989"/>
      <c r="IFA1067" s="989"/>
      <c r="IFB1067" s="989"/>
      <c r="IFC1067" s="989"/>
      <c r="IFD1067" s="989"/>
      <c r="IFE1067" s="989"/>
      <c r="IFF1067" s="989"/>
      <c r="IFG1067" s="989"/>
      <c r="IFH1067" s="989"/>
      <c r="IFI1067" s="989"/>
      <c r="IFJ1067" s="989"/>
      <c r="IFK1067" s="989"/>
      <c r="IFL1067" s="989"/>
      <c r="IFM1067" s="989"/>
      <c r="IFN1067" s="989"/>
      <c r="IFO1067" s="989"/>
      <c r="IFP1067" s="989"/>
      <c r="IFQ1067" s="989"/>
      <c r="IFR1067" s="989"/>
      <c r="IFS1067" s="989"/>
      <c r="IFT1067" s="989"/>
      <c r="IFU1067" s="989"/>
      <c r="IFV1067" s="989"/>
      <c r="IFW1067" s="989"/>
      <c r="IFX1067" s="989"/>
      <c r="IFY1067" s="989"/>
      <c r="IFZ1067" s="989"/>
      <c r="IGA1067" s="989"/>
      <c r="IGB1067" s="989"/>
      <c r="IGC1067" s="989"/>
      <c r="IGD1067" s="989"/>
      <c r="IGE1067" s="989"/>
      <c r="IGF1067" s="989"/>
      <c r="IGG1067" s="989"/>
      <c r="IGH1067" s="989"/>
      <c r="IGI1067" s="989"/>
      <c r="IGJ1067" s="989"/>
      <c r="IGK1067" s="989"/>
      <c r="IGL1067" s="989"/>
      <c r="IGM1067" s="989"/>
      <c r="IGN1067" s="989"/>
      <c r="IGO1067" s="989"/>
      <c r="IGP1067" s="989"/>
      <c r="IGQ1067" s="989"/>
      <c r="IGR1067" s="989"/>
      <c r="IGS1067" s="989"/>
      <c r="IGT1067" s="989"/>
      <c r="IGU1067" s="989"/>
      <c r="IGV1067" s="989"/>
      <c r="IGW1067" s="989"/>
      <c r="IGX1067" s="989"/>
      <c r="IGY1067" s="989"/>
      <c r="IGZ1067" s="989"/>
      <c r="IHA1067" s="989"/>
      <c r="IHB1067" s="989"/>
      <c r="IHC1067" s="989"/>
      <c r="IHD1067" s="989"/>
      <c r="IHE1067" s="989"/>
      <c r="IHF1067" s="989"/>
      <c r="IHG1067" s="989"/>
      <c r="IHH1067" s="989"/>
      <c r="IHI1067" s="989"/>
      <c r="IHJ1067" s="989"/>
      <c r="IHK1067" s="989"/>
      <c r="IHL1067" s="989"/>
      <c r="IHM1067" s="989"/>
      <c r="IHN1067" s="989"/>
      <c r="IHO1067" s="989"/>
      <c r="IHP1067" s="989"/>
      <c r="IHQ1067" s="989"/>
      <c r="IHR1067" s="989"/>
      <c r="IHS1067" s="989"/>
      <c r="IHT1067" s="989"/>
      <c r="IHU1067" s="989"/>
      <c r="IHV1067" s="989"/>
      <c r="IHW1067" s="989"/>
      <c r="IHX1067" s="989"/>
      <c r="IHY1067" s="989"/>
      <c r="IHZ1067" s="989"/>
      <c r="IIA1067" s="989"/>
      <c r="IIB1067" s="989"/>
      <c r="IIC1067" s="989"/>
      <c r="IID1067" s="989"/>
      <c r="IIE1067" s="989"/>
      <c r="IIF1067" s="989"/>
      <c r="IIG1067" s="989"/>
      <c r="IIH1067" s="989"/>
      <c r="III1067" s="989"/>
      <c r="IIJ1067" s="989"/>
      <c r="IIK1067" s="989"/>
      <c r="IIL1067" s="989"/>
      <c r="IIM1067" s="989"/>
      <c r="IIN1067" s="989"/>
      <c r="IIO1067" s="989"/>
      <c r="IIP1067" s="989"/>
      <c r="IIQ1067" s="989"/>
      <c r="IIR1067" s="989"/>
      <c r="IIS1067" s="989"/>
      <c r="IIT1067" s="989"/>
      <c r="IIU1067" s="989"/>
      <c r="IIV1067" s="989"/>
      <c r="IIW1067" s="989"/>
      <c r="IIX1067" s="989"/>
      <c r="IIY1067" s="989"/>
      <c r="IIZ1067" s="989"/>
      <c r="IJA1067" s="989"/>
      <c r="IJB1067" s="989"/>
      <c r="IJC1067" s="989"/>
      <c r="IJD1067" s="989"/>
      <c r="IJE1067" s="989"/>
      <c r="IJF1067" s="989"/>
      <c r="IJG1067" s="989"/>
      <c r="IJH1067" s="989"/>
      <c r="IJI1067" s="989"/>
      <c r="IJJ1067" s="989"/>
      <c r="IJK1067" s="989"/>
      <c r="IJL1067" s="989"/>
      <c r="IJM1067" s="989"/>
      <c r="IJN1067" s="989"/>
      <c r="IJO1067" s="989"/>
      <c r="IJP1067" s="989"/>
      <c r="IJQ1067" s="989"/>
      <c r="IJR1067" s="989"/>
      <c r="IJS1067" s="989"/>
      <c r="IJT1067" s="989"/>
      <c r="IJU1067" s="989"/>
      <c r="IJV1067" s="989"/>
      <c r="IJW1067" s="989"/>
      <c r="IJX1067" s="989"/>
      <c r="IJY1067" s="989"/>
      <c r="IJZ1067" s="989"/>
      <c r="IKA1067" s="989"/>
      <c r="IKB1067" s="989"/>
      <c r="IKC1067" s="989"/>
      <c r="IKD1067" s="989"/>
      <c r="IKE1067" s="989"/>
      <c r="IKF1067" s="989"/>
      <c r="IKG1067" s="989"/>
      <c r="IKH1067" s="989"/>
      <c r="IKI1067" s="989"/>
      <c r="IKJ1067" s="989"/>
      <c r="IKK1067" s="989"/>
      <c r="IKL1067" s="989"/>
      <c r="IKM1067" s="989"/>
      <c r="IKN1067" s="989"/>
      <c r="IKO1067" s="989"/>
      <c r="IKP1067" s="989"/>
      <c r="IKQ1067" s="989"/>
      <c r="IKR1067" s="989"/>
      <c r="IKS1067" s="989"/>
      <c r="IKT1067" s="989"/>
      <c r="IKU1067" s="989"/>
      <c r="IKV1067" s="989"/>
      <c r="IKW1067" s="989"/>
      <c r="IKX1067" s="989"/>
      <c r="IKY1067" s="989"/>
      <c r="IKZ1067" s="989"/>
      <c r="ILA1067" s="989"/>
      <c r="ILB1067" s="989"/>
      <c r="ILC1067" s="989"/>
      <c r="ILD1067" s="989"/>
      <c r="ILE1067" s="989"/>
      <c r="ILF1067" s="989"/>
      <c r="ILG1067" s="989"/>
      <c r="ILH1067" s="989"/>
      <c r="ILI1067" s="989"/>
      <c r="ILJ1067" s="989"/>
      <c r="ILK1067" s="989"/>
      <c r="ILL1067" s="989"/>
      <c r="ILM1067" s="989"/>
      <c r="ILN1067" s="989"/>
      <c r="ILO1067" s="989"/>
      <c r="ILP1067" s="989"/>
      <c r="ILQ1067" s="989"/>
      <c r="ILR1067" s="989"/>
      <c r="ILS1067" s="989"/>
      <c r="ILT1067" s="989"/>
      <c r="ILU1067" s="989"/>
      <c r="ILV1067" s="989"/>
      <c r="ILW1067" s="989"/>
      <c r="ILX1067" s="989"/>
      <c r="ILY1067" s="989"/>
      <c r="ILZ1067" s="989"/>
      <c r="IMA1067" s="989"/>
      <c r="IMB1067" s="989"/>
      <c r="IMC1067" s="989"/>
      <c r="IMD1067" s="989"/>
      <c r="IME1067" s="989"/>
      <c r="IMF1067" s="989"/>
      <c r="IMG1067" s="989"/>
      <c r="IMH1067" s="989"/>
      <c r="IMI1067" s="989"/>
      <c r="IMJ1067" s="989"/>
      <c r="IMK1067" s="989"/>
      <c r="IML1067" s="989"/>
      <c r="IMM1067" s="989"/>
      <c r="IMN1067" s="989"/>
      <c r="IMO1067" s="989"/>
      <c r="IMP1067" s="989"/>
      <c r="IMQ1067" s="989"/>
      <c r="IMR1067" s="989"/>
      <c r="IMS1067" s="989"/>
      <c r="IMT1067" s="989"/>
      <c r="IMU1067" s="989"/>
      <c r="IMV1067" s="989"/>
      <c r="IMW1067" s="989"/>
      <c r="IMX1067" s="989"/>
      <c r="IMY1067" s="989"/>
      <c r="IMZ1067" s="989"/>
      <c r="INA1067" s="989"/>
      <c r="INB1067" s="989"/>
      <c r="INC1067" s="989"/>
      <c r="IND1067" s="989"/>
      <c r="INE1067" s="989"/>
      <c r="INF1067" s="989"/>
      <c r="ING1067" s="989"/>
      <c r="INH1067" s="989"/>
      <c r="INI1067" s="989"/>
      <c r="INJ1067" s="989"/>
      <c r="INK1067" s="989"/>
      <c r="INL1067" s="989"/>
      <c r="INM1067" s="989"/>
      <c r="INN1067" s="989"/>
      <c r="INO1067" s="989"/>
      <c r="INP1067" s="989"/>
      <c r="INQ1067" s="989"/>
      <c r="INR1067" s="989"/>
      <c r="INS1067" s="989"/>
      <c r="INT1067" s="989"/>
      <c r="INU1067" s="989"/>
      <c r="INV1067" s="989"/>
      <c r="INW1067" s="989"/>
      <c r="INX1067" s="989"/>
      <c r="INY1067" s="989"/>
      <c r="INZ1067" s="989"/>
      <c r="IOA1067" s="989"/>
      <c r="IOB1067" s="989"/>
      <c r="IOC1067" s="989"/>
      <c r="IOD1067" s="989"/>
      <c r="IOE1067" s="989"/>
      <c r="IOF1067" s="989"/>
      <c r="IOG1067" s="989"/>
      <c r="IOH1067" s="989"/>
      <c r="IOI1067" s="989"/>
      <c r="IOJ1067" s="989"/>
      <c r="IOK1067" s="989"/>
      <c r="IOL1067" s="989"/>
      <c r="IOM1067" s="989"/>
      <c r="ION1067" s="989"/>
      <c r="IOO1067" s="989"/>
      <c r="IOP1067" s="989"/>
      <c r="IOQ1067" s="989"/>
      <c r="IOR1067" s="989"/>
      <c r="IOS1067" s="989"/>
      <c r="IOT1067" s="989"/>
      <c r="IOU1067" s="989"/>
      <c r="IOV1067" s="989"/>
      <c r="IOW1067" s="989"/>
      <c r="IOX1067" s="989"/>
      <c r="IOY1067" s="989"/>
      <c r="IOZ1067" s="989"/>
      <c r="IPA1067" s="989"/>
      <c r="IPB1067" s="989"/>
      <c r="IPC1067" s="989"/>
      <c r="IPD1067" s="989"/>
      <c r="IPE1067" s="989"/>
      <c r="IPF1067" s="989"/>
      <c r="IPG1067" s="989"/>
      <c r="IPH1067" s="989"/>
      <c r="IPI1067" s="989"/>
      <c r="IPJ1067" s="989"/>
      <c r="IPK1067" s="989"/>
      <c r="IPL1067" s="989"/>
      <c r="IPM1067" s="989"/>
      <c r="IPN1067" s="989"/>
      <c r="IPO1067" s="989"/>
      <c r="IPP1067" s="989"/>
      <c r="IPQ1067" s="989"/>
      <c r="IPR1067" s="989"/>
      <c r="IPS1067" s="989"/>
      <c r="IPT1067" s="989"/>
      <c r="IPU1067" s="989"/>
      <c r="IPV1067" s="989"/>
      <c r="IPW1067" s="989"/>
      <c r="IPX1067" s="989"/>
      <c r="IPY1067" s="989"/>
      <c r="IPZ1067" s="989"/>
      <c r="IQA1067" s="989"/>
      <c r="IQB1067" s="989"/>
      <c r="IQC1067" s="989"/>
      <c r="IQD1067" s="989"/>
      <c r="IQE1067" s="989"/>
      <c r="IQF1067" s="989"/>
      <c r="IQG1067" s="989"/>
      <c r="IQH1067" s="989"/>
      <c r="IQI1067" s="989"/>
      <c r="IQJ1067" s="989"/>
      <c r="IQK1067" s="989"/>
      <c r="IQL1067" s="989"/>
      <c r="IQM1067" s="989"/>
      <c r="IQN1067" s="989"/>
      <c r="IQO1067" s="989"/>
      <c r="IQP1067" s="989"/>
      <c r="IQQ1067" s="989"/>
      <c r="IQR1067" s="989"/>
      <c r="IQS1067" s="989"/>
      <c r="IQT1067" s="989"/>
      <c r="IQU1067" s="989"/>
      <c r="IQV1067" s="989"/>
      <c r="IQW1067" s="989"/>
      <c r="IQX1067" s="989"/>
      <c r="IQY1067" s="989"/>
      <c r="IQZ1067" s="989"/>
      <c r="IRA1067" s="989"/>
      <c r="IRB1067" s="989"/>
      <c r="IRC1067" s="989"/>
      <c r="IRD1067" s="989"/>
      <c r="IRE1067" s="989"/>
      <c r="IRF1067" s="989"/>
      <c r="IRG1067" s="989"/>
      <c r="IRH1067" s="989"/>
      <c r="IRI1067" s="989"/>
      <c r="IRJ1067" s="989"/>
      <c r="IRK1067" s="989"/>
      <c r="IRL1067" s="989"/>
      <c r="IRM1067" s="989"/>
      <c r="IRN1067" s="989"/>
      <c r="IRO1067" s="989"/>
      <c r="IRP1067" s="989"/>
      <c r="IRQ1067" s="989"/>
      <c r="IRR1067" s="989"/>
      <c r="IRS1067" s="989"/>
      <c r="IRT1067" s="989"/>
      <c r="IRU1067" s="989"/>
      <c r="IRV1067" s="989"/>
      <c r="IRW1067" s="989"/>
      <c r="IRX1067" s="989"/>
      <c r="IRY1067" s="989"/>
      <c r="IRZ1067" s="989"/>
      <c r="ISA1067" s="989"/>
      <c r="ISB1067" s="989"/>
      <c r="ISC1067" s="989"/>
      <c r="ISD1067" s="989"/>
      <c r="ISE1067" s="989"/>
      <c r="ISF1067" s="989"/>
      <c r="ISG1067" s="989"/>
      <c r="ISH1067" s="989"/>
      <c r="ISI1067" s="989"/>
      <c r="ISJ1067" s="989"/>
      <c r="ISK1067" s="989"/>
      <c r="ISL1067" s="989"/>
      <c r="ISM1067" s="989"/>
      <c r="ISN1067" s="989"/>
      <c r="ISO1067" s="989"/>
      <c r="ISP1067" s="989"/>
      <c r="ISQ1067" s="989"/>
      <c r="ISR1067" s="989"/>
      <c r="ISS1067" s="989"/>
      <c r="IST1067" s="989"/>
      <c r="ISU1067" s="989"/>
      <c r="ISV1067" s="989"/>
      <c r="ISW1067" s="989"/>
      <c r="ISX1067" s="989"/>
      <c r="ISY1067" s="989"/>
      <c r="ISZ1067" s="989"/>
      <c r="ITA1067" s="989"/>
      <c r="ITB1067" s="989"/>
      <c r="ITC1067" s="989"/>
      <c r="ITD1067" s="989"/>
      <c r="ITE1067" s="989"/>
      <c r="ITF1067" s="989"/>
      <c r="ITG1067" s="989"/>
      <c r="ITH1067" s="989"/>
      <c r="ITI1067" s="989"/>
      <c r="ITJ1067" s="989"/>
      <c r="ITK1067" s="989"/>
      <c r="ITL1067" s="989"/>
      <c r="ITM1067" s="989"/>
      <c r="ITN1067" s="989"/>
      <c r="ITO1067" s="989"/>
      <c r="ITP1067" s="989"/>
      <c r="ITQ1067" s="989"/>
      <c r="ITR1067" s="989"/>
      <c r="ITS1067" s="989"/>
      <c r="ITT1067" s="989"/>
      <c r="ITU1067" s="989"/>
      <c r="ITV1067" s="989"/>
      <c r="ITW1067" s="989"/>
      <c r="ITX1067" s="989"/>
      <c r="ITY1067" s="989"/>
      <c r="ITZ1067" s="989"/>
      <c r="IUA1067" s="989"/>
      <c r="IUB1067" s="989"/>
      <c r="IUC1067" s="989"/>
      <c r="IUD1067" s="989"/>
      <c r="IUE1067" s="989"/>
      <c r="IUF1067" s="989"/>
      <c r="IUG1067" s="989"/>
      <c r="IUH1067" s="989"/>
      <c r="IUI1067" s="989"/>
      <c r="IUJ1067" s="989"/>
      <c r="IUK1067" s="989"/>
      <c r="IUL1067" s="989"/>
      <c r="IUM1067" s="989"/>
      <c r="IUN1067" s="989"/>
      <c r="IUO1067" s="989"/>
      <c r="IUP1067" s="989"/>
      <c r="IUQ1067" s="989"/>
      <c r="IUR1067" s="989"/>
      <c r="IUS1067" s="989"/>
      <c r="IUT1067" s="989"/>
      <c r="IUU1067" s="989"/>
      <c r="IUV1067" s="989"/>
      <c r="IUW1067" s="989"/>
      <c r="IUX1067" s="989"/>
      <c r="IUY1067" s="989"/>
      <c r="IUZ1067" s="989"/>
      <c r="IVA1067" s="989"/>
      <c r="IVB1067" s="989"/>
      <c r="IVC1067" s="989"/>
      <c r="IVD1067" s="989"/>
      <c r="IVE1067" s="989"/>
      <c r="IVF1067" s="989"/>
      <c r="IVG1067" s="989"/>
      <c r="IVH1067" s="989"/>
      <c r="IVI1067" s="989"/>
      <c r="IVJ1067" s="989"/>
      <c r="IVK1067" s="989"/>
      <c r="IVL1067" s="989"/>
      <c r="IVM1067" s="989"/>
      <c r="IVN1067" s="989"/>
      <c r="IVO1067" s="989"/>
      <c r="IVP1067" s="989"/>
      <c r="IVQ1067" s="989"/>
      <c r="IVR1067" s="989"/>
      <c r="IVS1067" s="989"/>
      <c r="IVT1067" s="989"/>
      <c r="IVU1067" s="989"/>
      <c r="IVV1067" s="989"/>
      <c r="IVW1067" s="989"/>
      <c r="IVX1067" s="989"/>
      <c r="IVY1067" s="989"/>
      <c r="IVZ1067" s="989"/>
      <c r="IWA1067" s="989"/>
      <c r="IWB1067" s="989"/>
      <c r="IWC1067" s="989"/>
      <c r="IWD1067" s="989"/>
      <c r="IWE1067" s="989"/>
      <c r="IWF1067" s="989"/>
      <c r="IWG1067" s="989"/>
      <c r="IWH1067" s="989"/>
      <c r="IWI1067" s="989"/>
      <c r="IWJ1067" s="989"/>
      <c r="IWK1067" s="989"/>
      <c r="IWL1067" s="989"/>
      <c r="IWM1067" s="989"/>
      <c r="IWN1067" s="989"/>
      <c r="IWO1067" s="989"/>
      <c r="IWP1067" s="989"/>
      <c r="IWQ1067" s="989"/>
      <c r="IWR1067" s="989"/>
      <c r="IWS1067" s="989"/>
      <c r="IWT1067" s="989"/>
      <c r="IWU1067" s="989"/>
      <c r="IWV1067" s="989"/>
      <c r="IWW1067" s="989"/>
      <c r="IWX1067" s="989"/>
      <c r="IWY1067" s="989"/>
      <c r="IWZ1067" s="989"/>
      <c r="IXA1067" s="989"/>
      <c r="IXB1067" s="989"/>
      <c r="IXC1067" s="989"/>
      <c r="IXD1067" s="989"/>
      <c r="IXE1067" s="989"/>
      <c r="IXF1067" s="989"/>
      <c r="IXG1067" s="989"/>
      <c r="IXH1067" s="989"/>
      <c r="IXI1067" s="989"/>
      <c r="IXJ1067" s="989"/>
      <c r="IXK1067" s="989"/>
      <c r="IXL1067" s="989"/>
      <c r="IXM1067" s="989"/>
      <c r="IXN1067" s="989"/>
      <c r="IXO1067" s="989"/>
      <c r="IXP1067" s="989"/>
      <c r="IXQ1067" s="989"/>
      <c r="IXR1067" s="989"/>
      <c r="IXS1067" s="989"/>
      <c r="IXT1067" s="989"/>
      <c r="IXU1067" s="989"/>
      <c r="IXV1067" s="989"/>
      <c r="IXW1067" s="989"/>
      <c r="IXX1067" s="989"/>
      <c r="IXY1067" s="989"/>
      <c r="IXZ1067" s="989"/>
      <c r="IYA1067" s="989"/>
      <c r="IYB1067" s="989"/>
      <c r="IYC1067" s="989"/>
      <c r="IYD1067" s="989"/>
      <c r="IYE1067" s="989"/>
      <c r="IYF1067" s="989"/>
      <c r="IYG1067" s="989"/>
      <c r="IYH1067" s="989"/>
      <c r="IYI1067" s="989"/>
      <c r="IYJ1067" s="989"/>
      <c r="IYK1067" s="989"/>
      <c r="IYL1067" s="989"/>
      <c r="IYM1067" s="989"/>
      <c r="IYN1067" s="989"/>
      <c r="IYO1067" s="989"/>
      <c r="IYP1067" s="989"/>
      <c r="IYQ1067" s="989"/>
      <c r="IYR1067" s="989"/>
      <c r="IYS1067" s="989"/>
      <c r="IYT1067" s="989"/>
      <c r="IYU1067" s="989"/>
      <c r="IYV1067" s="989"/>
      <c r="IYW1067" s="989"/>
      <c r="IYX1067" s="989"/>
      <c r="IYY1067" s="989"/>
      <c r="IYZ1067" s="989"/>
      <c r="IZA1067" s="989"/>
      <c r="IZB1067" s="989"/>
      <c r="IZC1067" s="989"/>
      <c r="IZD1067" s="989"/>
      <c r="IZE1067" s="989"/>
      <c r="IZF1067" s="989"/>
      <c r="IZG1067" s="989"/>
      <c r="IZH1067" s="989"/>
      <c r="IZI1067" s="989"/>
      <c r="IZJ1067" s="989"/>
      <c r="IZK1067" s="989"/>
      <c r="IZL1067" s="989"/>
      <c r="IZM1067" s="989"/>
      <c r="IZN1067" s="989"/>
      <c r="IZO1067" s="989"/>
      <c r="IZP1067" s="989"/>
      <c r="IZQ1067" s="989"/>
      <c r="IZR1067" s="989"/>
      <c r="IZS1067" s="989"/>
      <c r="IZT1067" s="989"/>
      <c r="IZU1067" s="989"/>
      <c r="IZV1067" s="989"/>
      <c r="IZW1067" s="989"/>
      <c r="IZX1067" s="989"/>
      <c r="IZY1067" s="989"/>
      <c r="IZZ1067" s="989"/>
      <c r="JAA1067" s="989"/>
      <c r="JAB1067" s="989"/>
      <c r="JAC1067" s="989"/>
      <c r="JAD1067" s="989"/>
      <c r="JAE1067" s="989"/>
      <c r="JAF1067" s="989"/>
      <c r="JAG1067" s="989"/>
      <c r="JAH1067" s="989"/>
      <c r="JAI1067" s="989"/>
      <c r="JAJ1067" s="989"/>
      <c r="JAK1067" s="989"/>
      <c r="JAL1067" s="989"/>
      <c r="JAM1067" s="989"/>
      <c r="JAN1067" s="989"/>
      <c r="JAO1067" s="989"/>
      <c r="JAP1067" s="989"/>
      <c r="JAQ1067" s="989"/>
      <c r="JAR1067" s="989"/>
      <c r="JAS1067" s="989"/>
      <c r="JAT1067" s="989"/>
      <c r="JAU1067" s="989"/>
      <c r="JAV1067" s="989"/>
      <c r="JAW1067" s="989"/>
      <c r="JAX1067" s="989"/>
      <c r="JAY1067" s="989"/>
      <c r="JAZ1067" s="989"/>
      <c r="JBA1067" s="989"/>
      <c r="JBB1067" s="989"/>
      <c r="JBC1067" s="989"/>
      <c r="JBD1067" s="989"/>
      <c r="JBE1067" s="989"/>
      <c r="JBF1067" s="989"/>
      <c r="JBG1067" s="989"/>
      <c r="JBH1067" s="989"/>
      <c r="JBI1067" s="989"/>
      <c r="JBJ1067" s="989"/>
      <c r="JBK1067" s="989"/>
      <c r="JBL1067" s="989"/>
      <c r="JBM1067" s="989"/>
      <c r="JBN1067" s="989"/>
      <c r="JBO1067" s="989"/>
      <c r="JBP1067" s="989"/>
      <c r="JBQ1067" s="989"/>
      <c r="JBR1067" s="989"/>
      <c r="JBS1067" s="989"/>
      <c r="JBT1067" s="989"/>
      <c r="JBU1067" s="989"/>
      <c r="JBV1067" s="989"/>
      <c r="JBW1067" s="989"/>
      <c r="JBX1067" s="989"/>
      <c r="JBY1067" s="989"/>
      <c r="JBZ1067" s="989"/>
      <c r="JCA1067" s="989"/>
      <c r="JCB1067" s="989"/>
      <c r="JCC1067" s="989"/>
      <c r="JCD1067" s="989"/>
      <c r="JCE1067" s="989"/>
      <c r="JCF1067" s="989"/>
      <c r="JCG1067" s="989"/>
      <c r="JCH1067" s="989"/>
      <c r="JCI1067" s="989"/>
      <c r="JCJ1067" s="989"/>
      <c r="JCK1067" s="989"/>
      <c r="JCL1067" s="989"/>
      <c r="JCM1067" s="989"/>
      <c r="JCN1067" s="989"/>
      <c r="JCO1067" s="989"/>
      <c r="JCP1067" s="989"/>
      <c r="JCQ1067" s="989"/>
      <c r="JCR1067" s="989"/>
      <c r="JCS1067" s="989"/>
      <c r="JCT1067" s="989"/>
      <c r="JCU1067" s="989"/>
      <c r="JCV1067" s="989"/>
      <c r="JCW1067" s="989"/>
      <c r="JCX1067" s="989"/>
      <c r="JCY1067" s="989"/>
      <c r="JCZ1067" s="989"/>
      <c r="JDA1067" s="989"/>
      <c r="JDB1067" s="989"/>
      <c r="JDC1067" s="989"/>
      <c r="JDD1067" s="989"/>
      <c r="JDE1067" s="989"/>
      <c r="JDF1067" s="989"/>
      <c r="JDG1067" s="989"/>
      <c r="JDH1067" s="989"/>
      <c r="JDI1067" s="989"/>
      <c r="JDJ1067" s="989"/>
      <c r="JDK1067" s="989"/>
      <c r="JDL1067" s="989"/>
      <c r="JDM1067" s="989"/>
      <c r="JDN1067" s="989"/>
      <c r="JDO1067" s="989"/>
      <c r="JDP1067" s="989"/>
      <c r="JDQ1067" s="989"/>
      <c r="JDR1067" s="989"/>
      <c r="JDS1067" s="989"/>
      <c r="JDT1067" s="989"/>
      <c r="JDU1067" s="989"/>
      <c r="JDV1067" s="989"/>
      <c r="JDW1067" s="989"/>
      <c r="JDX1067" s="989"/>
      <c r="JDY1067" s="989"/>
      <c r="JDZ1067" s="989"/>
      <c r="JEA1067" s="989"/>
      <c r="JEB1067" s="989"/>
      <c r="JEC1067" s="989"/>
      <c r="JED1067" s="989"/>
      <c r="JEE1067" s="989"/>
      <c r="JEF1067" s="989"/>
      <c r="JEG1067" s="989"/>
      <c r="JEH1067" s="989"/>
      <c r="JEI1067" s="989"/>
      <c r="JEJ1067" s="989"/>
      <c r="JEK1067" s="989"/>
      <c r="JEL1067" s="989"/>
      <c r="JEM1067" s="989"/>
      <c r="JEN1067" s="989"/>
      <c r="JEO1067" s="989"/>
      <c r="JEP1067" s="989"/>
      <c r="JEQ1067" s="989"/>
      <c r="JER1067" s="989"/>
      <c r="JES1067" s="989"/>
      <c r="JET1067" s="989"/>
      <c r="JEU1067" s="989"/>
      <c r="JEV1067" s="989"/>
      <c r="JEW1067" s="989"/>
      <c r="JEX1067" s="989"/>
      <c r="JEY1067" s="989"/>
      <c r="JEZ1067" s="989"/>
      <c r="JFA1067" s="989"/>
      <c r="JFB1067" s="989"/>
      <c r="JFC1067" s="989"/>
      <c r="JFD1067" s="989"/>
      <c r="JFE1067" s="989"/>
      <c r="JFF1067" s="989"/>
      <c r="JFG1067" s="989"/>
      <c r="JFH1067" s="989"/>
      <c r="JFI1067" s="989"/>
      <c r="JFJ1067" s="989"/>
      <c r="JFK1067" s="989"/>
      <c r="JFL1067" s="989"/>
      <c r="JFM1067" s="989"/>
      <c r="JFN1067" s="989"/>
      <c r="JFO1067" s="989"/>
      <c r="JFP1067" s="989"/>
      <c r="JFQ1067" s="989"/>
      <c r="JFR1067" s="989"/>
      <c r="JFS1067" s="989"/>
      <c r="JFT1067" s="989"/>
      <c r="JFU1067" s="989"/>
      <c r="JFV1067" s="989"/>
      <c r="JFW1067" s="989"/>
      <c r="JFX1067" s="989"/>
      <c r="JFY1067" s="989"/>
      <c r="JFZ1067" s="989"/>
      <c r="JGA1067" s="989"/>
      <c r="JGB1067" s="989"/>
      <c r="JGC1067" s="989"/>
      <c r="JGD1067" s="989"/>
      <c r="JGE1067" s="989"/>
      <c r="JGF1067" s="989"/>
      <c r="JGG1067" s="989"/>
      <c r="JGH1067" s="989"/>
      <c r="JGI1067" s="989"/>
      <c r="JGJ1067" s="989"/>
      <c r="JGK1067" s="989"/>
      <c r="JGL1067" s="989"/>
      <c r="JGM1067" s="989"/>
      <c r="JGN1067" s="989"/>
      <c r="JGO1067" s="989"/>
      <c r="JGP1067" s="989"/>
      <c r="JGQ1067" s="989"/>
      <c r="JGR1067" s="989"/>
      <c r="JGS1067" s="989"/>
      <c r="JGT1067" s="989"/>
      <c r="JGU1067" s="989"/>
      <c r="JGV1067" s="989"/>
      <c r="JGW1067" s="989"/>
      <c r="JGX1067" s="989"/>
      <c r="JGY1067" s="989"/>
      <c r="JGZ1067" s="989"/>
      <c r="JHA1067" s="989"/>
      <c r="JHB1067" s="989"/>
      <c r="JHC1067" s="989"/>
      <c r="JHD1067" s="989"/>
      <c r="JHE1067" s="989"/>
      <c r="JHF1067" s="989"/>
      <c r="JHG1067" s="989"/>
      <c r="JHH1067" s="989"/>
      <c r="JHI1067" s="989"/>
      <c r="JHJ1067" s="989"/>
      <c r="JHK1067" s="989"/>
      <c r="JHL1067" s="989"/>
      <c r="JHM1067" s="989"/>
      <c r="JHN1067" s="989"/>
      <c r="JHO1067" s="989"/>
      <c r="JHP1067" s="989"/>
      <c r="JHQ1067" s="989"/>
      <c r="JHR1067" s="989"/>
      <c r="JHS1067" s="989"/>
      <c r="JHT1067" s="989"/>
      <c r="JHU1067" s="989"/>
      <c r="JHV1067" s="989"/>
      <c r="JHW1067" s="989"/>
      <c r="JHX1067" s="989"/>
      <c r="JHY1067" s="989"/>
      <c r="JHZ1067" s="989"/>
      <c r="JIA1067" s="989"/>
      <c r="JIB1067" s="989"/>
      <c r="JIC1067" s="989"/>
      <c r="JID1067" s="989"/>
      <c r="JIE1067" s="989"/>
      <c r="JIF1067" s="989"/>
      <c r="JIG1067" s="989"/>
      <c r="JIH1067" s="989"/>
      <c r="JII1067" s="989"/>
      <c r="JIJ1067" s="989"/>
      <c r="JIK1067" s="989"/>
      <c r="JIL1067" s="989"/>
      <c r="JIM1067" s="989"/>
      <c r="JIN1067" s="989"/>
      <c r="JIO1067" s="989"/>
      <c r="JIP1067" s="989"/>
      <c r="JIQ1067" s="989"/>
      <c r="JIR1067" s="989"/>
      <c r="JIS1067" s="989"/>
      <c r="JIT1067" s="989"/>
      <c r="JIU1067" s="989"/>
      <c r="JIV1067" s="989"/>
      <c r="JIW1067" s="989"/>
      <c r="JIX1067" s="989"/>
      <c r="JIY1067" s="989"/>
      <c r="JIZ1067" s="989"/>
      <c r="JJA1067" s="989"/>
      <c r="JJB1067" s="989"/>
      <c r="JJC1067" s="989"/>
      <c r="JJD1067" s="989"/>
      <c r="JJE1067" s="989"/>
      <c r="JJF1067" s="989"/>
      <c r="JJG1067" s="989"/>
      <c r="JJH1067" s="989"/>
      <c r="JJI1067" s="989"/>
      <c r="JJJ1067" s="989"/>
      <c r="JJK1067" s="989"/>
      <c r="JJL1067" s="989"/>
      <c r="JJM1067" s="989"/>
      <c r="JJN1067" s="989"/>
      <c r="JJO1067" s="989"/>
      <c r="JJP1067" s="989"/>
      <c r="JJQ1067" s="989"/>
      <c r="JJR1067" s="989"/>
      <c r="JJS1067" s="989"/>
      <c r="JJT1067" s="989"/>
      <c r="JJU1067" s="989"/>
      <c r="JJV1067" s="989"/>
      <c r="JJW1067" s="989"/>
      <c r="JJX1067" s="989"/>
      <c r="JJY1067" s="989"/>
      <c r="JJZ1067" s="989"/>
      <c r="JKA1067" s="989"/>
      <c r="JKB1067" s="989"/>
      <c r="JKC1067" s="989"/>
      <c r="JKD1067" s="989"/>
      <c r="JKE1067" s="989"/>
      <c r="JKF1067" s="989"/>
      <c r="JKG1067" s="989"/>
      <c r="JKH1067" s="989"/>
      <c r="JKI1067" s="989"/>
      <c r="JKJ1067" s="989"/>
      <c r="JKK1067" s="989"/>
      <c r="JKL1067" s="989"/>
      <c r="JKM1067" s="989"/>
      <c r="JKN1067" s="989"/>
      <c r="JKO1067" s="989"/>
      <c r="JKP1067" s="989"/>
      <c r="JKQ1067" s="989"/>
      <c r="JKR1067" s="989"/>
      <c r="JKS1067" s="989"/>
      <c r="JKT1067" s="989"/>
      <c r="JKU1067" s="989"/>
      <c r="JKV1067" s="989"/>
      <c r="JKW1067" s="989"/>
      <c r="JKX1067" s="989"/>
      <c r="JKY1067" s="989"/>
      <c r="JKZ1067" s="989"/>
      <c r="JLA1067" s="989"/>
      <c r="JLB1067" s="989"/>
      <c r="JLC1067" s="989"/>
      <c r="JLD1067" s="989"/>
      <c r="JLE1067" s="989"/>
      <c r="JLF1067" s="989"/>
      <c r="JLG1067" s="989"/>
      <c r="JLH1067" s="989"/>
      <c r="JLI1067" s="989"/>
      <c r="JLJ1067" s="989"/>
      <c r="JLK1067" s="989"/>
      <c r="JLL1067" s="989"/>
      <c r="JLM1067" s="989"/>
      <c r="JLN1067" s="989"/>
      <c r="JLO1067" s="989"/>
      <c r="JLP1067" s="989"/>
      <c r="JLQ1067" s="989"/>
      <c r="JLR1067" s="989"/>
      <c r="JLS1067" s="989"/>
      <c r="JLT1067" s="989"/>
      <c r="JLU1067" s="989"/>
      <c r="JLV1067" s="989"/>
      <c r="JLW1067" s="989"/>
      <c r="JLX1067" s="989"/>
      <c r="JLY1067" s="989"/>
      <c r="JLZ1067" s="989"/>
      <c r="JMA1067" s="989"/>
      <c r="JMB1067" s="989"/>
      <c r="JMC1067" s="989"/>
      <c r="JMD1067" s="989"/>
      <c r="JME1067" s="989"/>
      <c r="JMF1067" s="989"/>
      <c r="JMG1067" s="989"/>
      <c r="JMH1067" s="989"/>
      <c r="JMI1067" s="989"/>
      <c r="JMJ1067" s="989"/>
      <c r="JMK1067" s="989"/>
      <c r="JML1067" s="989"/>
      <c r="JMM1067" s="989"/>
      <c r="JMN1067" s="989"/>
      <c r="JMO1067" s="989"/>
      <c r="JMP1067" s="989"/>
      <c r="JMQ1067" s="989"/>
      <c r="JMR1067" s="989"/>
      <c r="JMS1067" s="989"/>
      <c r="JMT1067" s="989"/>
      <c r="JMU1067" s="989"/>
      <c r="JMV1067" s="989"/>
      <c r="JMW1067" s="989"/>
      <c r="JMX1067" s="989"/>
      <c r="JMY1067" s="989"/>
      <c r="JMZ1067" s="989"/>
      <c r="JNA1067" s="989"/>
      <c r="JNB1067" s="989"/>
      <c r="JNC1067" s="989"/>
      <c r="JND1067" s="989"/>
      <c r="JNE1067" s="989"/>
      <c r="JNF1067" s="989"/>
      <c r="JNG1067" s="989"/>
      <c r="JNH1067" s="989"/>
      <c r="JNI1067" s="989"/>
      <c r="JNJ1067" s="989"/>
      <c r="JNK1067" s="989"/>
      <c r="JNL1067" s="989"/>
      <c r="JNM1067" s="989"/>
      <c r="JNN1067" s="989"/>
      <c r="JNO1067" s="989"/>
      <c r="JNP1067" s="989"/>
      <c r="JNQ1067" s="989"/>
      <c r="JNR1067" s="989"/>
      <c r="JNS1067" s="989"/>
      <c r="JNT1067" s="989"/>
      <c r="JNU1067" s="989"/>
      <c r="JNV1067" s="989"/>
      <c r="JNW1067" s="989"/>
      <c r="JNX1067" s="989"/>
      <c r="JNY1067" s="989"/>
      <c r="JNZ1067" s="989"/>
      <c r="JOA1067" s="989"/>
      <c r="JOB1067" s="989"/>
      <c r="JOC1067" s="989"/>
      <c r="JOD1067" s="989"/>
      <c r="JOE1067" s="989"/>
      <c r="JOF1067" s="989"/>
      <c r="JOG1067" s="989"/>
      <c r="JOH1067" s="989"/>
      <c r="JOI1067" s="989"/>
      <c r="JOJ1067" s="989"/>
      <c r="JOK1067" s="989"/>
      <c r="JOL1067" s="989"/>
      <c r="JOM1067" s="989"/>
      <c r="JON1067" s="989"/>
      <c r="JOO1067" s="989"/>
      <c r="JOP1067" s="989"/>
      <c r="JOQ1067" s="989"/>
      <c r="JOR1067" s="989"/>
      <c r="JOS1067" s="989"/>
      <c r="JOT1067" s="989"/>
      <c r="JOU1067" s="989"/>
      <c r="JOV1067" s="989"/>
      <c r="JOW1067" s="989"/>
      <c r="JOX1067" s="989"/>
      <c r="JOY1067" s="989"/>
      <c r="JOZ1067" s="989"/>
      <c r="JPA1067" s="989"/>
      <c r="JPB1067" s="989"/>
      <c r="JPC1067" s="989"/>
      <c r="JPD1067" s="989"/>
      <c r="JPE1067" s="989"/>
      <c r="JPF1067" s="989"/>
      <c r="JPG1067" s="989"/>
      <c r="JPH1067" s="989"/>
      <c r="JPI1067" s="989"/>
      <c r="JPJ1067" s="989"/>
      <c r="JPK1067" s="989"/>
      <c r="JPL1067" s="989"/>
      <c r="JPM1067" s="989"/>
      <c r="JPN1067" s="989"/>
      <c r="JPO1067" s="989"/>
      <c r="JPP1067" s="989"/>
      <c r="JPQ1067" s="989"/>
      <c r="JPR1067" s="989"/>
      <c r="JPS1067" s="989"/>
      <c r="JPT1067" s="989"/>
      <c r="JPU1067" s="989"/>
      <c r="JPV1067" s="989"/>
      <c r="JPW1067" s="989"/>
      <c r="JPX1067" s="989"/>
      <c r="JPY1067" s="989"/>
      <c r="JPZ1067" s="989"/>
      <c r="JQA1067" s="989"/>
      <c r="JQB1067" s="989"/>
      <c r="JQC1067" s="989"/>
      <c r="JQD1067" s="989"/>
      <c r="JQE1067" s="989"/>
      <c r="JQF1067" s="989"/>
      <c r="JQG1067" s="989"/>
      <c r="JQH1067" s="989"/>
      <c r="JQI1067" s="989"/>
      <c r="JQJ1067" s="989"/>
      <c r="JQK1067" s="989"/>
      <c r="JQL1067" s="989"/>
      <c r="JQM1067" s="989"/>
      <c r="JQN1067" s="989"/>
      <c r="JQO1067" s="989"/>
      <c r="JQP1067" s="989"/>
      <c r="JQQ1067" s="989"/>
      <c r="JQR1067" s="989"/>
      <c r="JQS1067" s="989"/>
      <c r="JQT1067" s="989"/>
      <c r="JQU1067" s="989"/>
      <c r="JQV1067" s="989"/>
      <c r="JQW1067" s="989"/>
      <c r="JQX1067" s="989"/>
      <c r="JQY1067" s="989"/>
      <c r="JQZ1067" s="989"/>
      <c r="JRA1067" s="989"/>
      <c r="JRB1067" s="989"/>
      <c r="JRC1067" s="989"/>
      <c r="JRD1067" s="989"/>
      <c r="JRE1067" s="989"/>
      <c r="JRF1067" s="989"/>
      <c r="JRG1067" s="989"/>
      <c r="JRH1067" s="989"/>
      <c r="JRI1067" s="989"/>
      <c r="JRJ1067" s="989"/>
      <c r="JRK1067" s="989"/>
      <c r="JRL1067" s="989"/>
      <c r="JRM1067" s="989"/>
      <c r="JRN1067" s="989"/>
      <c r="JRO1067" s="989"/>
      <c r="JRP1067" s="989"/>
      <c r="JRQ1067" s="989"/>
      <c r="JRR1067" s="989"/>
      <c r="JRS1067" s="989"/>
      <c r="JRT1067" s="989"/>
      <c r="JRU1067" s="989"/>
      <c r="JRV1067" s="989"/>
      <c r="JRW1067" s="989"/>
      <c r="JRX1067" s="989"/>
      <c r="JRY1067" s="989"/>
      <c r="JRZ1067" s="989"/>
      <c r="JSA1067" s="989"/>
      <c r="JSB1067" s="989"/>
      <c r="JSC1067" s="989"/>
      <c r="JSD1067" s="989"/>
      <c r="JSE1067" s="989"/>
      <c r="JSF1067" s="989"/>
      <c r="JSG1067" s="989"/>
      <c r="JSH1067" s="989"/>
      <c r="JSI1067" s="989"/>
      <c r="JSJ1067" s="989"/>
      <c r="JSK1067" s="989"/>
      <c r="JSL1067" s="989"/>
      <c r="JSM1067" s="989"/>
      <c r="JSN1067" s="989"/>
      <c r="JSO1067" s="989"/>
      <c r="JSP1067" s="989"/>
      <c r="JSQ1067" s="989"/>
      <c r="JSR1067" s="989"/>
      <c r="JSS1067" s="989"/>
      <c r="JST1067" s="989"/>
      <c r="JSU1067" s="989"/>
      <c r="JSV1067" s="989"/>
      <c r="JSW1067" s="989"/>
      <c r="JSX1067" s="989"/>
      <c r="JSY1067" s="989"/>
      <c r="JSZ1067" s="989"/>
      <c r="JTA1067" s="989"/>
      <c r="JTB1067" s="989"/>
      <c r="JTC1067" s="989"/>
      <c r="JTD1067" s="989"/>
      <c r="JTE1067" s="989"/>
      <c r="JTF1067" s="989"/>
      <c r="JTG1067" s="989"/>
      <c r="JTH1067" s="989"/>
      <c r="JTI1067" s="989"/>
      <c r="JTJ1067" s="989"/>
      <c r="JTK1067" s="989"/>
      <c r="JTL1067" s="989"/>
      <c r="JTM1067" s="989"/>
      <c r="JTN1067" s="989"/>
      <c r="JTO1067" s="989"/>
      <c r="JTP1067" s="989"/>
      <c r="JTQ1067" s="989"/>
      <c r="JTR1067" s="989"/>
      <c r="JTS1067" s="989"/>
      <c r="JTT1067" s="989"/>
      <c r="JTU1067" s="989"/>
      <c r="JTV1067" s="989"/>
      <c r="JTW1067" s="989"/>
      <c r="JTX1067" s="989"/>
      <c r="JTY1067" s="989"/>
      <c r="JTZ1067" s="989"/>
      <c r="JUA1067" s="989"/>
      <c r="JUB1067" s="989"/>
      <c r="JUC1067" s="989"/>
      <c r="JUD1067" s="989"/>
      <c r="JUE1067" s="989"/>
      <c r="JUF1067" s="989"/>
      <c r="JUG1067" s="989"/>
      <c r="JUH1067" s="989"/>
      <c r="JUI1067" s="989"/>
      <c r="JUJ1067" s="989"/>
      <c r="JUK1067" s="989"/>
      <c r="JUL1067" s="989"/>
      <c r="JUM1067" s="989"/>
      <c r="JUN1067" s="989"/>
      <c r="JUO1067" s="989"/>
      <c r="JUP1067" s="989"/>
      <c r="JUQ1067" s="989"/>
      <c r="JUR1067" s="989"/>
      <c r="JUS1067" s="989"/>
      <c r="JUT1067" s="989"/>
      <c r="JUU1067" s="989"/>
      <c r="JUV1067" s="989"/>
      <c r="JUW1067" s="989"/>
      <c r="JUX1067" s="989"/>
      <c r="JUY1067" s="989"/>
      <c r="JUZ1067" s="989"/>
      <c r="JVA1067" s="989"/>
      <c r="JVB1067" s="989"/>
      <c r="JVC1067" s="989"/>
      <c r="JVD1067" s="989"/>
      <c r="JVE1067" s="989"/>
      <c r="JVF1067" s="989"/>
      <c r="JVG1067" s="989"/>
      <c r="JVH1067" s="989"/>
      <c r="JVI1067" s="989"/>
      <c r="JVJ1067" s="989"/>
      <c r="JVK1067" s="989"/>
      <c r="JVL1067" s="989"/>
      <c r="JVM1067" s="989"/>
      <c r="JVN1067" s="989"/>
      <c r="JVO1067" s="989"/>
      <c r="JVP1067" s="989"/>
      <c r="JVQ1067" s="989"/>
      <c r="JVR1067" s="989"/>
      <c r="JVS1067" s="989"/>
      <c r="JVT1067" s="989"/>
      <c r="JVU1067" s="989"/>
      <c r="JVV1067" s="989"/>
      <c r="JVW1067" s="989"/>
      <c r="JVX1067" s="989"/>
      <c r="JVY1067" s="989"/>
      <c r="JVZ1067" s="989"/>
      <c r="JWA1067" s="989"/>
      <c r="JWB1067" s="989"/>
      <c r="JWC1067" s="989"/>
      <c r="JWD1067" s="989"/>
      <c r="JWE1067" s="989"/>
      <c r="JWF1067" s="989"/>
      <c r="JWG1067" s="989"/>
      <c r="JWH1067" s="989"/>
      <c r="JWI1067" s="989"/>
      <c r="JWJ1067" s="989"/>
      <c r="JWK1067" s="989"/>
      <c r="JWL1067" s="989"/>
      <c r="JWM1067" s="989"/>
      <c r="JWN1067" s="989"/>
      <c r="JWO1067" s="989"/>
      <c r="JWP1067" s="989"/>
      <c r="JWQ1067" s="989"/>
      <c r="JWR1067" s="989"/>
      <c r="JWS1067" s="989"/>
      <c r="JWT1067" s="989"/>
      <c r="JWU1067" s="989"/>
      <c r="JWV1067" s="989"/>
      <c r="JWW1067" s="989"/>
      <c r="JWX1067" s="989"/>
      <c r="JWY1067" s="989"/>
      <c r="JWZ1067" s="989"/>
      <c r="JXA1067" s="989"/>
      <c r="JXB1067" s="989"/>
      <c r="JXC1067" s="989"/>
      <c r="JXD1067" s="989"/>
      <c r="JXE1067" s="989"/>
      <c r="JXF1067" s="989"/>
      <c r="JXG1067" s="989"/>
      <c r="JXH1067" s="989"/>
      <c r="JXI1067" s="989"/>
      <c r="JXJ1067" s="989"/>
      <c r="JXK1067" s="989"/>
      <c r="JXL1067" s="989"/>
      <c r="JXM1067" s="989"/>
      <c r="JXN1067" s="989"/>
      <c r="JXO1067" s="989"/>
      <c r="JXP1067" s="989"/>
      <c r="JXQ1067" s="989"/>
      <c r="JXR1067" s="989"/>
      <c r="JXS1067" s="989"/>
      <c r="JXT1067" s="989"/>
      <c r="JXU1067" s="989"/>
      <c r="JXV1067" s="989"/>
      <c r="JXW1067" s="989"/>
      <c r="JXX1067" s="989"/>
      <c r="JXY1067" s="989"/>
      <c r="JXZ1067" s="989"/>
      <c r="JYA1067" s="989"/>
      <c r="JYB1067" s="989"/>
      <c r="JYC1067" s="989"/>
      <c r="JYD1067" s="989"/>
      <c r="JYE1067" s="989"/>
      <c r="JYF1067" s="989"/>
      <c r="JYG1067" s="989"/>
      <c r="JYH1067" s="989"/>
      <c r="JYI1067" s="989"/>
      <c r="JYJ1067" s="989"/>
      <c r="JYK1067" s="989"/>
      <c r="JYL1067" s="989"/>
      <c r="JYM1067" s="989"/>
      <c r="JYN1067" s="989"/>
      <c r="JYO1067" s="989"/>
      <c r="JYP1067" s="989"/>
      <c r="JYQ1067" s="989"/>
      <c r="JYR1067" s="989"/>
      <c r="JYS1067" s="989"/>
      <c r="JYT1067" s="989"/>
      <c r="JYU1067" s="989"/>
      <c r="JYV1067" s="989"/>
      <c r="JYW1067" s="989"/>
      <c r="JYX1067" s="989"/>
      <c r="JYY1067" s="989"/>
      <c r="JYZ1067" s="989"/>
      <c r="JZA1067" s="989"/>
      <c r="JZB1067" s="989"/>
      <c r="JZC1067" s="989"/>
      <c r="JZD1067" s="989"/>
      <c r="JZE1067" s="989"/>
      <c r="JZF1067" s="989"/>
      <c r="JZG1067" s="989"/>
      <c r="JZH1067" s="989"/>
      <c r="JZI1067" s="989"/>
      <c r="JZJ1067" s="989"/>
      <c r="JZK1067" s="989"/>
      <c r="JZL1067" s="989"/>
      <c r="JZM1067" s="989"/>
      <c r="JZN1067" s="989"/>
      <c r="JZO1067" s="989"/>
      <c r="JZP1067" s="989"/>
      <c r="JZQ1067" s="989"/>
      <c r="JZR1067" s="989"/>
      <c r="JZS1067" s="989"/>
      <c r="JZT1067" s="989"/>
      <c r="JZU1067" s="989"/>
      <c r="JZV1067" s="989"/>
      <c r="JZW1067" s="989"/>
      <c r="JZX1067" s="989"/>
      <c r="JZY1067" s="989"/>
      <c r="JZZ1067" s="989"/>
      <c r="KAA1067" s="989"/>
      <c r="KAB1067" s="989"/>
      <c r="KAC1067" s="989"/>
      <c r="KAD1067" s="989"/>
      <c r="KAE1067" s="989"/>
      <c r="KAF1067" s="989"/>
      <c r="KAG1067" s="989"/>
      <c r="KAH1067" s="989"/>
      <c r="KAI1067" s="989"/>
      <c r="KAJ1067" s="989"/>
      <c r="KAK1067" s="989"/>
      <c r="KAL1067" s="989"/>
      <c r="KAM1067" s="989"/>
      <c r="KAN1067" s="989"/>
      <c r="KAO1067" s="989"/>
      <c r="KAP1067" s="989"/>
      <c r="KAQ1067" s="989"/>
      <c r="KAR1067" s="989"/>
      <c r="KAS1067" s="989"/>
      <c r="KAT1067" s="989"/>
      <c r="KAU1067" s="989"/>
      <c r="KAV1067" s="989"/>
      <c r="KAW1067" s="989"/>
      <c r="KAX1067" s="989"/>
      <c r="KAY1067" s="989"/>
      <c r="KAZ1067" s="989"/>
      <c r="KBA1067" s="989"/>
      <c r="KBB1067" s="989"/>
      <c r="KBC1067" s="989"/>
      <c r="KBD1067" s="989"/>
      <c r="KBE1067" s="989"/>
      <c r="KBF1067" s="989"/>
      <c r="KBG1067" s="989"/>
      <c r="KBH1067" s="989"/>
      <c r="KBI1067" s="989"/>
      <c r="KBJ1067" s="989"/>
      <c r="KBK1067" s="989"/>
      <c r="KBL1067" s="989"/>
      <c r="KBM1067" s="989"/>
      <c r="KBN1067" s="989"/>
      <c r="KBO1067" s="989"/>
      <c r="KBP1067" s="989"/>
      <c r="KBQ1067" s="989"/>
      <c r="KBR1067" s="989"/>
      <c r="KBS1067" s="989"/>
      <c r="KBT1067" s="989"/>
      <c r="KBU1067" s="989"/>
      <c r="KBV1067" s="989"/>
      <c r="KBW1067" s="989"/>
      <c r="KBX1067" s="989"/>
      <c r="KBY1067" s="989"/>
      <c r="KBZ1067" s="989"/>
      <c r="KCA1067" s="989"/>
      <c r="KCB1067" s="989"/>
      <c r="KCC1067" s="989"/>
      <c r="KCD1067" s="989"/>
      <c r="KCE1067" s="989"/>
      <c r="KCF1067" s="989"/>
      <c r="KCG1067" s="989"/>
      <c r="KCH1067" s="989"/>
      <c r="KCI1067" s="989"/>
      <c r="KCJ1067" s="989"/>
      <c r="KCK1067" s="989"/>
      <c r="KCL1067" s="989"/>
      <c r="KCM1067" s="989"/>
      <c r="KCN1067" s="989"/>
      <c r="KCO1067" s="989"/>
      <c r="KCP1067" s="989"/>
      <c r="KCQ1067" s="989"/>
      <c r="KCR1067" s="989"/>
      <c r="KCS1067" s="989"/>
      <c r="KCT1067" s="989"/>
      <c r="KCU1067" s="989"/>
      <c r="KCV1067" s="989"/>
      <c r="KCW1067" s="989"/>
      <c r="KCX1067" s="989"/>
      <c r="KCY1067" s="989"/>
      <c r="KCZ1067" s="989"/>
      <c r="KDA1067" s="989"/>
      <c r="KDB1067" s="989"/>
      <c r="KDC1067" s="989"/>
      <c r="KDD1067" s="989"/>
      <c r="KDE1067" s="989"/>
      <c r="KDF1067" s="989"/>
      <c r="KDG1067" s="989"/>
      <c r="KDH1067" s="989"/>
      <c r="KDI1067" s="989"/>
      <c r="KDJ1067" s="989"/>
      <c r="KDK1067" s="989"/>
      <c r="KDL1067" s="989"/>
      <c r="KDM1067" s="989"/>
      <c r="KDN1067" s="989"/>
      <c r="KDO1067" s="989"/>
      <c r="KDP1067" s="989"/>
      <c r="KDQ1067" s="989"/>
      <c r="KDR1067" s="989"/>
      <c r="KDS1067" s="989"/>
      <c r="KDT1067" s="989"/>
      <c r="KDU1067" s="989"/>
      <c r="KDV1067" s="989"/>
      <c r="KDW1067" s="989"/>
      <c r="KDX1067" s="989"/>
      <c r="KDY1067" s="989"/>
      <c r="KDZ1067" s="989"/>
      <c r="KEA1067" s="989"/>
      <c r="KEB1067" s="989"/>
      <c r="KEC1067" s="989"/>
      <c r="KED1067" s="989"/>
      <c r="KEE1067" s="989"/>
      <c r="KEF1067" s="989"/>
      <c r="KEG1067" s="989"/>
      <c r="KEH1067" s="989"/>
      <c r="KEI1067" s="989"/>
      <c r="KEJ1067" s="989"/>
      <c r="KEK1067" s="989"/>
      <c r="KEL1067" s="989"/>
      <c r="KEM1067" s="989"/>
      <c r="KEN1067" s="989"/>
      <c r="KEO1067" s="989"/>
      <c r="KEP1067" s="989"/>
      <c r="KEQ1067" s="989"/>
      <c r="KER1067" s="989"/>
      <c r="KES1067" s="989"/>
      <c r="KET1067" s="989"/>
      <c r="KEU1067" s="989"/>
      <c r="KEV1067" s="989"/>
      <c r="KEW1067" s="989"/>
      <c r="KEX1067" s="989"/>
      <c r="KEY1067" s="989"/>
      <c r="KEZ1067" s="989"/>
      <c r="KFA1067" s="989"/>
      <c r="KFB1067" s="989"/>
      <c r="KFC1067" s="989"/>
      <c r="KFD1067" s="989"/>
      <c r="KFE1067" s="989"/>
      <c r="KFF1067" s="989"/>
      <c r="KFG1067" s="989"/>
      <c r="KFH1067" s="989"/>
      <c r="KFI1067" s="989"/>
      <c r="KFJ1067" s="989"/>
      <c r="KFK1067" s="989"/>
      <c r="KFL1067" s="989"/>
      <c r="KFM1067" s="989"/>
      <c r="KFN1067" s="989"/>
      <c r="KFO1067" s="989"/>
      <c r="KFP1067" s="989"/>
      <c r="KFQ1067" s="989"/>
      <c r="KFR1067" s="989"/>
      <c r="KFS1067" s="989"/>
      <c r="KFT1067" s="989"/>
      <c r="KFU1067" s="989"/>
      <c r="KFV1067" s="989"/>
      <c r="KFW1067" s="989"/>
      <c r="KFX1067" s="989"/>
      <c r="KFY1067" s="989"/>
      <c r="KFZ1067" s="989"/>
      <c r="KGA1067" s="989"/>
      <c r="KGB1067" s="989"/>
      <c r="KGC1067" s="989"/>
      <c r="KGD1067" s="989"/>
      <c r="KGE1067" s="989"/>
      <c r="KGF1067" s="989"/>
      <c r="KGG1067" s="989"/>
      <c r="KGH1067" s="989"/>
      <c r="KGI1067" s="989"/>
      <c r="KGJ1067" s="989"/>
      <c r="KGK1067" s="989"/>
      <c r="KGL1067" s="989"/>
      <c r="KGM1067" s="989"/>
      <c r="KGN1067" s="989"/>
      <c r="KGO1067" s="989"/>
      <c r="KGP1067" s="989"/>
      <c r="KGQ1067" s="989"/>
      <c r="KGR1067" s="989"/>
      <c r="KGS1067" s="989"/>
      <c r="KGT1067" s="989"/>
      <c r="KGU1067" s="989"/>
      <c r="KGV1067" s="989"/>
      <c r="KGW1067" s="989"/>
      <c r="KGX1067" s="989"/>
      <c r="KGY1067" s="989"/>
      <c r="KGZ1067" s="989"/>
      <c r="KHA1067" s="989"/>
      <c r="KHB1067" s="989"/>
      <c r="KHC1067" s="989"/>
      <c r="KHD1067" s="989"/>
      <c r="KHE1067" s="989"/>
      <c r="KHF1067" s="989"/>
      <c r="KHG1067" s="989"/>
      <c r="KHH1067" s="989"/>
      <c r="KHI1067" s="989"/>
      <c r="KHJ1067" s="989"/>
      <c r="KHK1067" s="989"/>
      <c r="KHL1067" s="989"/>
      <c r="KHM1067" s="989"/>
      <c r="KHN1067" s="989"/>
      <c r="KHO1067" s="989"/>
      <c r="KHP1067" s="989"/>
      <c r="KHQ1067" s="989"/>
      <c r="KHR1067" s="989"/>
      <c r="KHS1067" s="989"/>
      <c r="KHT1067" s="989"/>
      <c r="KHU1067" s="989"/>
      <c r="KHV1067" s="989"/>
      <c r="KHW1067" s="989"/>
      <c r="KHX1067" s="989"/>
      <c r="KHY1067" s="989"/>
      <c r="KHZ1067" s="989"/>
      <c r="KIA1067" s="989"/>
      <c r="KIB1067" s="989"/>
      <c r="KIC1067" s="989"/>
      <c r="KID1067" s="989"/>
      <c r="KIE1067" s="989"/>
      <c r="KIF1067" s="989"/>
      <c r="KIG1067" s="989"/>
      <c r="KIH1067" s="989"/>
      <c r="KII1067" s="989"/>
      <c r="KIJ1067" s="989"/>
      <c r="KIK1067" s="989"/>
      <c r="KIL1067" s="989"/>
      <c r="KIM1067" s="989"/>
      <c r="KIN1067" s="989"/>
      <c r="KIO1067" s="989"/>
      <c r="KIP1067" s="989"/>
      <c r="KIQ1067" s="989"/>
      <c r="KIR1067" s="989"/>
      <c r="KIS1067" s="989"/>
      <c r="KIT1067" s="989"/>
      <c r="KIU1067" s="989"/>
      <c r="KIV1067" s="989"/>
      <c r="KIW1067" s="989"/>
      <c r="KIX1067" s="989"/>
      <c r="KIY1067" s="989"/>
      <c r="KIZ1067" s="989"/>
      <c r="KJA1067" s="989"/>
      <c r="KJB1067" s="989"/>
      <c r="KJC1067" s="989"/>
      <c r="KJD1067" s="989"/>
      <c r="KJE1067" s="989"/>
      <c r="KJF1067" s="989"/>
      <c r="KJG1067" s="989"/>
      <c r="KJH1067" s="989"/>
      <c r="KJI1067" s="989"/>
      <c r="KJJ1067" s="989"/>
      <c r="KJK1067" s="989"/>
      <c r="KJL1067" s="989"/>
      <c r="KJM1067" s="989"/>
      <c r="KJN1067" s="989"/>
      <c r="KJO1067" s="989"/>
      <c r="KJP1067" s="989"/>
      <c r="KJQ1067" s="989"/>
      <c r="KJR1067" s="989"/>
      <c r="KJS1067" s="989"/>
      <c r="KJT1067" s="989"/>
      <c r="KJU1067" s="989"/>
      <c r="KJV1067" s="989"/>
      <c r="KJW1067" s="989"/>
      <c r="KJX1067" s="989"/>
      <c r="KJY1067" s="989"/>
      <c r="KJZ1067" s="989"/>
      <c r="KKA1067" s="989"/>
      <c r="KKB1067" s="989"/>
      <c r="KKC1067" s="989"/>
      <c r="KKD1067" s="989"/>
      <c r="KKE1067" s="989"/>
      <c r="KKF1067" s="989"/>
      <c r="KKG1067" s="989"/>
      <c r="KKH1067" s="989"/>
      <c r="KKI1067" s="989"/>
      <c r="KKJ1067" s="989"/>
      <c r="KKK1067" s="989"/>
      <c r="KKL1067" s="989"/>
      <c r="KKM1067" s="989"/>
      <c r="KKN1067" s="989"/>
      <c r="KKO1067" s="989"/>
      <c r="KKP1067" s="989"/>
      <c r="KKQ1067" s="989"/>
      <c r="KKR1067" s="989"/>
      <c r="KKS1067" s="989"/>
      <c r="KKT1067" s="989"/>
      <c r="KKU1067" s="989"/>
      <c r="KKV1067" s="989"/>
      <c r="KKW1067" s="989"/>
      <c r="KKX1067" s="989"/>
      <c r="KKY1067" s="989"/>
      <c r="KKZ1067" s="989"/>
      <c r="KLA1067" s="989"/>
      <c r="KLB1067" s="989"/>
      <c r="KLC1067" s="989"/>
      <c r="KLD1067" s="989"/>
      <c r="KLE1067" s="989"/>
      <c r="KLF1067" s="989"/>
      <c r="KLG1067" s="989"/>
      <c r="KLH1067" s="989"/>
      <c r="KLI1067" s="989"/>
      <c r="KLJ1067" s="989"/>
      <c r="KLK1067" s="989"/>
      <c r="KLL1067" s="989"/>
      <c r="KLM1067" s="989"/>
      <c r="KLN1067" s="989"/>
      <c r="KLO1067" s="989"/>
      <c r="KLP1067" s="989"/>
      <c r="KLQ1067" s="989"/>
      <c r="KLR1067" s="989"/>
      <c r="KLS1067" s="989"/>
      <c r="KLT1067" s="989"/>
      <c r="KLU1067" s="989"/>
      <c r="KLV1067" s="989"/>
      <c r="KLW1067" s="989"/>
      <c r="KLX1067" s="989"/>
      <c r="KLY1067" s="989"/>
      <c r="KLZ1067" s="989"/>
      <c r="KMA1067" s="989"/>
      <c r="KMB1067" s="989"/>
      <c r="KMC1067" s="989"/>
      <c r="KMD1067" s="989"/>
      <c r="KME1067" s="989"/>
      <c r="KMF1067" s="989"/>
      <c r="KMG1067" s="989"/>
      <c r="KMH1067" s="989"/>
      <c r="KMI1067" s="989"/>
      <c r="KMJ1067" s="989"/>
      <c r="KMK1067" s="989"/>
      <c r="KML1067" s="989"/>
      <c r="KMM1067" s="989"/>
      <c r="KMN1067" s="989"/>
      <c r="KMO1067" s="989"/>
      <c r="KMP1067" s="989"/>
      <c r="KMQ1067" s="989"/>
      <c r="KMR1067" s="989"/>
      <c r="KMS1067" s="989"/>
      <c r="KMT1067" s="989"/>
      <c r="KMU1067" s="989"/>
      <c r="KMV1067" s="989"/>
      <c r="KMW1067" s="989"/>
      <c r="KMX1067" s="989"/>
      <c r="KMY1067" s="989"/>
      <c r="KMZ1067" s="989"/>
      <c r="KNA1067" s="989"/>
      <c r="KNB1067" s="989"/>
      <c r="KNC1067" s="989"/>
      <c r="KND1067" s="989"/>
      <c r="KNE1067" s="989"/>
      <c r="KNF1067" s="989"/>
      <c r="KNG1067" s="989"/>
      <c r="KNH1067" s="989"/>
      <c r="KNI1067" s="989"/>
      <c r="KNJ1067" s="989"/>
      <c r="KNK1067" s="989"/>
      <c r="KNL1067" s="989"/>
      <c r="KNM1067" s="989"/>
      <c r="KNN1067" s="989"/>
      <c r="KNO1067" s="989"/>
      <c r="KNP1067" s="989"/>
      <c r="KNQ1067" s="989"/>
      <c r="KNR1067" s="989"/>
      <c r="KNS1067" s="989"/>
      <c r="KNT1067" s="989"/>
      <c r="KNU1067" s="989"/>
      <c r="KNV1067" s="989"/>
      <c r="KNW1067" s="989"/>
      <c r="KNX1067" s="989"/>
      <c r="KNY1067" s="989"/>
      <c r="KNZ1067" s="989"/>
      <c r="KOA1067" s="989"/>
      <c r="KOB1067" s="989"/>
      <c r="KOC1067" s="989"/>
      <c r="KOD1067" s="989"/>
      <c r="KOE1067" s="989"/>
      <c r="KOF1067" s="989"/>
      <c r="KOG1067" s="989"/>
      <c r="KOH1067" s="989"/>
      <c r="KOI1067" s="989"/>
      <c r="KOJ1067" s="989"/>
      <c r="KOK1067" s="989"/>
      <c r="KOL1067" s="989"/>
      <c r="KOM1067" s="989"/>
      <c r="KON1067" s="989"/>
      <c r="KOO1067" s="989"/>
      <c r="KOP1067" s="989"/>
      <c r="KOQ1067" s="989"/>
      <c r="KOR1067" s="989"/>
      <c r="KOS1067" s="989"/>
      <c r="KOT1067" s="989"/>
      <c r="KOU1067" s="989"/>
      <c r="KOV1067" s="989"/>
      <c r="KOW1067" s="989"/>
      <c r="KOX1067" s="989"/>
      <c r="KOY1067" s="989"/>
      <c r="KOZ1067" s="989"/>
      <c r="KPA1067" s="989"/>
      <c r="KPB1067" s="989"/>
      <c r="KPC1067" s="989"/>
      <c r="KPD1067" s="989"/>
      <c r="KPE1067" s="989"/>
      <c r="KPF1067" s="989"/>
      <c r="KPG1067" s="989"/>
      <c r="KPH1067" s="989"/>
      <c r="KPI1067" s="989"/>
      <c r="KPJ1067" s="989"/>
      <c r="KPK1067" s="989"/>
      <c r="KPL1067" s="989"/>
      <c r="KPM1067" s="989"/>
      <c r="KPN1067" s="989"/>
      <c r="KPO1067" s="989"/>
      <c r="KPP1067" s="989"/>
      <c r="KPQ1067" s="989"/>
      <c r="KPR1067" s="989"/>
      <c r="KPS1067" s="989"/>
      <c r="KPT1067" s="989"/>
      <c r="KPU1067" s="989"/>
      <c r="KPV1067" s="989"/>
      <c r="KPW1067" s="989"/>
      <c r="KPX1067" s="989"/>
      <c r="KPY1067" s="989"/>
      <c r="KPZ1067" s="989"/>
      <c r="KQA1067" s="989"/>
      <c r="KQB1067" s="989"/>
      <c r="KQC1067" s="989"/>
      <c r="KQD1067" s="989"/>
      <c r="KQE1067" s="989"/>
      <c r="KQF1067" s="989"/>
      <c r="KQG1067" s="989"/>
      <c r="KQH1067" s="989"/>
      <c r="KQI1067" s="989"/>
      <c r="KQJ1067" s="989"/>
      <c r="KQK1067" s="989"/>
      <c r="KQL1067" s="989"/>
      <c r="KQM1067" s="989"/>
      <c r="KQN1067" s="989"/>
      <c r="KQO1067" s="989"/>
      <c r="KQP1067" s="989"/>
      <c r="KQQ1067" s="989"/>
      <c r="KQR1067" s="989"/>
      <c r="KQS1067" s="989"/>
      <c r="KQT1067" s="989"/>
      <c r="KQU1067" s="989"/>
      <c r="KQV1067" s="989"/>
      <c r="KQW1067" s="989"/>
      <c r="KQX1067" s="989"/>
      <c r="KQY1067" s="989"/>
      <c r="KQZ1067" s="989"/>
      <c r="KRA1067" s="989"/>
      <c r="KRB1067" s="989"/>
      <c r="KRC1067" s="989"/>
      <c r="KRD1067" s="989"/>
      <c r="KRE1067" s="989"/>
      <c r="KRF1067" s="989"/>
      <c r="KRG1067" s="989"/>
      <c r="KRH1067" s="989"/>
      <c r="KRI1067" s="989"/>
      <c r="KRJ1067" s="989"/>
      <c r="KRK1067" s="989"/>
      <c r="KRL1067" s="989"/>
      <c r="KRM1067" s="989"/>
      <c r="KRN1067" s="989"/>
      <c r="KRO1067" s="989"/>
      <c r="KRP1067" s="989"/>
      <c r="KRQ1067" s="989"/>
      <c r="KRR1067" s="989"/>
      <c r="KRS1067" s="989"/>
      <c r="KRT1067" s="989"/>
      <c r="KRU1067" s="989"/>
      <c r="KRV1067" s="989"/>
      <c r="KRW1067" s="989"/>
      <c r="KRX1067" s="989"/>
      <c r="KRY1067" s="989"/>
      <c r="KRZ1067" s="989"/>
      <c r="KSA1067" s="989"/>
      <c r="KSB1067" s="989"/>
      <c r="KSC1067" s="989"/>
      <c r="KSD1067" s="989"/>
      <c r="KSE1067" s="989"/>
      <c r="KSF1067" s="989"/>
      <c r="KSG1067" s="989"/>
      <c r="KSH1067" s="989"/>
      <c r="KSI1067" s="989"/>
      <c r="KSJ1067" s="989"/>
      <c r="KSK1067" s="989"/>
      <c r="KSL1067" s="989"/>
      <c r="KSM1067" s="989"/>
      <c r="KSN1067" s="989"/>
      <c r="KSO1067" s="989"/>
      <c r="KSP1067" s="989"/>
      <c r="KSQ1067" s="989"/>
      <c r="KSR1067" s="989"/>
      <c r="KSS1067" s="989"/>
      <c r="KST1067" s="989"/>
      <c r="KSU1067" s="989"/>
      <c r="KSV1067" s="989"/>
      <c r="KSW1067" s="989"/>
      <c r="KSX1067" s="989"/>
      <c r="KSY1067" s="989"/>
      <c r="KSZ1067" s="989"/>
      <c r="KTA1067" s="989"/>
      <c r="KTB1067" s="989"/>
      <c r="KTC1067" s="989"/>
      <c r="KTD1067" s="989"/>
      <c r="KTE1067" s="989"/>
      <c r="KTF1067" s="989"/>
      <c r="KTG1067" s="989"/>
      <c r="KTH1067" s="989"/>
      <c r="KTI1067" s="989"/>
      <c r="KTJ1067" s="989"/>
      <c r="KTK1067" s="989"/>
      <c r="KTL1067" s="989"/>
      <c r="KTM1067" s="989"/>
      <c r="KTN1067" s="989"/>
      <c r="KTO1067" s="989"/>
      <c r="KTP1067" s="989"/>
      <c r="KTQ1067" s="989"/>
      <c r="KTR1067" s="989"/>
      <c r="KTS1067" s="989"/>
      <c r="KTT1067" s="989"/>
      <c r="KTU1067" s="989"/>
      <c r="KTV1067" s="989"/>
      <c r="KTW1067" s="989"/>
      <c r="KTX1067" s="989"/>
      <c r="KTY1067" s="989"/>
      <c r="KTZ1067" s="989"/>
      <c r="KUA1067" s="989"/>
      <c r="KUB1067" s="989"/>
      <c r="KUC1067" s="989"/>
      <c r="KUD1067" s="989"/>
      <c r="KUE1067" s="989"/>
      <c r="KUF1067" s="989"/>
      <c r="KUG1067" s="989"/>
      <c r="KUH1067" s="989"/>
      <c r="KUI1067" s="989"/>
      <c r="KUJ1067" s="989"/>
      <c r="KUK1067" s="989"/>
      <c r="KUL1067" s="989"/>
      <c r="KUM1067" s="989"/>
      <c r="KUN1067" s="989"/>
      <c r="KUO1067" s="989"/>
      <c r="KUP1067" s="989"/>
      <c r="KUQ1067" s="989"/>
      <c r="KUR1067" s="989"/>
      <c r="KUS1067" s="989"/>
      <c r="KUT1067" s="989"/>
      <c r="KUU1067" s="989"/>
      <c r="KUV1067" s="989"/>
      <c r="KUW1067" s="989"/>
      <c r="KUX1067" s="989"/>
      <c r="KUY1067" s="989"/>
      <c r="KUZ1067" s="989"/>
      <c r="KVA1067" s="989"/>
      <c r="KVB1067" s="989"/>
      <c r="KVC1067" s="989"/>
      <c r="KVD1067" s="989"/>
      <c r="KVE1067" s="989"/>
      <c r="KVF1067" s="989"/>
      <c r="KVG1067" s="989"/>
      <c r="KVH1067" s="989"/>
      <c r="KVI1067" s="989"/>
      <c r="KVJ1067" s="989"/>
      <c r="KVK1067" s="989"/>
      <c r="KVL1067" s="989"/>
      <c r="KVM1067" s="989"/>
      <c r="KVN1067" s="989"/>
      <c r="KVO1067" s="989"/>
      <c r="KVP1067" s="989"/>
      <c r="KVQ1067" s="989"/>
      <c r="KVR1067" s="989"/>
      <c r="KVS1067" s="989"/>
      <c r="KVT1067" s="989"/>
      <c r="KVU1067" s="989"/>
      <c r="KVV1067" s="989"/>
      <c r="KVW1067" s="989"/>
      <c r="KVX1067" s="989"/>
      <c r="KVY1067" s="989"/>
      <c r="KVZ1067" s="989"/>
      <c r="KWA1067" s="989"/>
      <c r="KWB1067" s="989"/>
      <c r="KWC1067" s="989"/>
      <c r="KWD1067" s="989"/>
      <c r="KWE1067" s="989"/>
      <c r="KWF1067" s="989"/>
      <c r="KWG1067" s="989"/>
      <c r="KWH1067" s="989"/>
      <c r="KWI1067" s="989"/>
      <c r="KWJ1067" s="989"/>
      <c r="KWK1067" s="989"/>
      <c r="KWL1067" s="989"/>
      <c r="KWM1067" s="989"/>
      <c r="KWN1067" s="989"/>
      <c r="KWO1067" s="989"/>
      <c r="KWP1067" s="989"/>
      <c r="KWQ1067" s="989"/>
      <c r="KWR1067" s="989"/>
      <c r="KWS1067" s="989"/>
      <c r="KWT1067" s="989"/>
      <c r="KWU1067" s="989"/>
      <c r="KWV1067" s="989"/>
      <c r="KWW1067" s="989"/>
      <c r="KWX1067" s="989"/>
      <c r="KWY1067" s="989"/>
      <c r="KWZ1067" s="989"/>
      <c r="KXA1067" s="989"/>
      <c r="KXB1067" s="989"/>
      <c r="KXC1067" s="989"/>
      <c r="KXD1067" s="989"/>
      <c r="KXE1067" s="989"/>
      <c r="KXF1067" s="989"/>
      <c r="KXG1067" s="989"/>
      <c r="KXH1067" s="989"/>
      <c r="KXI1067" s="989"/>
      <c r="KXJ1067" s="989"/>
      <c r="KXK1067" s="989"/>
      <c r="KXL1067" s="989"/>
      <c r="KXM1067" s="989"/>
      <c r="KXN1067" s="989"/>
      <c r="KXO1067" s="989"/>
      <c r="KXP1067" s="989"/>
      <c r="KXQ1067" s="989"/>
      <c r="KXR1067" s="989"/>
      <c r="KXS1067" s="989"/>
      <c r="KXT1067" s="989"/>
      <c r="KXU1067" s="989"/>
      <c r="KXV1067" s="989"/>
      <c r="KXW1067" s="989"/>
      <c r="KXX1067" s="989"/>
      <c r="KXY1067" s="989"/>
      <c r="KXZ1067" s="989"/>
      <c r="KYA1067" s="989"/>
      <c r="KYB1067" s="989"/>
      <c r="KYC1067" s="989"/>
      <c r="KYD1067" s="989"/>
      <c r="KYE1067" s="989"/>
      <c r="KYF1067" s="989"/>
      <c r="KYG1067" s="989"/>
      <c r="KYH1067" s="989"/>
      <c r="KYI1067" s="989"/>
      <c r="KYJ1067" s="989"/>
      <c r="KYK1067" s="989"/>
      <c r="KYL1067" s="989"/>
      <c r="KYM1067" s="989"/>
      <c r="KYN1067" s="989"/>
      <c r="KYO1067" s="989"/>
      <c r="KYP1067" s="989"/>
      <c r="KYQ1067" s="989"/>
      <c r="KYR1067" s="989"/>
      <c r="KYS1067" s="989"/>
      <c r="KYT1067" s="989"/>
      <c r="KYU1067" s="989"/>
      <c r="KYV1067" s="989"/>
      <c r="KYW1067" s="989"/>
      <c r="KYX1067" s="989"/>
      <c r="KYY1067" s="989"/>
      <c r="KYZ1067" s="989"/>
      <c r="KZA1067" s="989"/>
      <c r="KZB1067" s="989"/>
      <c r="KZC1067" s="989"/>
      <c r="KZD1067" s="989"/>
      <c r="KZE1067" s="989"/>
      <c r="KZF1067" s="989"/>
      <c r="KZG1067" s="989"/>
      <c r="KZH1067" s="989"/>
      <c r="KZI1067" s="989"/>
      <c r="KZJ1067" s="989"/>
      <c r="KZK1067" s="989"/>
      <c r="KZL1067" s="989"/>
      <c r="KZM1067" s="989"/>
      <c r="KZN1067" s="989"/>
      <c r="KZO1067" s="989"/>
      <c r="KZP1067" s="989"/>
      <c r="KZQ1067" s="989"/>
      <c r="KZR1067" s="989"/>
      <c r="KZS1067" s="989"/>
      <c r="KZT1067" s="989"/>
      <c r="KZU1067" s="989"/>
      <c r="KZV1067" s="989"/>
      <c r="KZW1067" s="989"/>
      <c r="KZX1067" s="989"/>
      <c r="KZY1067" s="989"/>
      <c r="KZZ1067" s="989"/>
      <c r="LAA1067" s="989"/>
      <c r="LAB1067" s="989"/>
      <c r="LAC1067" s="989"/>
      <c r="LAD1067" s="989"/>
      <c r="LAE1067" s="989"/>
      <c r="LAF1067" s="989"/>
      <c r="LAG1067" s="989"/>
      <c r="LAH1067" s="989"/>
      <c r="LAI1067" s="989"/>
      <c r="LAJ1067" s="989"/>
      <c r="LAK1067" s="989"/>
      <c r="LAL1067" s="989"/>
      <c r="LAM1067" s="989"/>
      <c r="LAN1067" s="989"/>
      <c r="LAO1067" s="989"/>
      <c r="LAP1067" s="989"/>
      <c r="LAQ1067" s="989"/>
      <c r="LAR1067" s="989"/>
      <c r="LAS1067" s="989"/>
      <c r="LAT1067" s="989"/>
      <c r="LAU1067" s="989"/>
      <c r="LAV1067" s="989"/>
      <c r="LAW1067" s="989"/>
      <c r="LAX1067" s="989"/>
      <c r="LAY1067" s="989"/>
      <c r="LAZ1067" s="989"/>
      <c r="LBA1067" s="989"/>
      <c r="LBB1067" s="989"/>
      <c r="LBC1067" s="989"/>
      <c r="LBD1067" s="989"/>
      <c r="LBE1067" s="989"/>
      <c r="LBF1067" s="989"/>
      <c r="LBG1067" s="989"/>
      <c r="LBH1067" s="989"/>
      <c r="LBI1067" s="989"/>
      <c r="LBJ1067" s="989"/>
      <c r="LBK1067" s="989"/>
      <c r="LBL1067" s="989"/>
      <c r="LBM1067" s="989"/>
      <c r="LBN1067" s="989"/>
      <c r="LBO1067" s="989"/>
      <c r="LBP1067" s="989"/>
      <c r="LBQ1067" s="989"/>
      <c r="LBR1067" s="989"/>
      <c r="LBS1067" s="989"/>
      <c r="LBT1067" s="989"/>
      <c r="LBU1067" s="989"/>
      <c r="LBV1067" s="989"/>
      <c r="LBW1067" s="989"/>
      <c r="LBX1067" s="989"/>
      <c r="LBY1067" s="989"/>
      <c r="LBZ1067" s="989"/>
      <c r="LCA1067" s="989"/>
      <c r="LCB1067" s="989"/>
      <c r="LCC1067" s="989"/>
      <c r="LCD1067" s="989"/>
      <c r="LCE1067" s="989"/>
      <c r="LCF1067" s="989"/>
      <c r="LCG1067" s="989"/>
      <c r="LCH1067" s="989"/>
      <c r="LCI1067" s="989"/>
      <c r="LCJ1067" s="989"/>
      <c r="LCK1067" s="989"/>
      <c r="LCL1067" s="989"/>
      <c r="LCM1067" s="989"/>
      <c r="LCN1067" s="989"/>
      <c r="LCO1067" s="989"/>
      <c r="LCP1067" s="989"/>
      <c r="LCQ1067" s="989"/>
      <c r="LCR1067" s="989"/>
      <c r="LCS1067" s="989"/>
      <c r="LCT1067" s="989"/>
      <c r="LCU1067" s="989"/>
      <c r="LCV1067" s="989"/>
      <c r="LCW1067" s="989"/>
      <c r="LCX1067" s="989"/>
      <c r="LCY1067" s="989"/>
      <c r="LCZ1067" s="989"/>
      <c r="LDA1067" s="989"/>
      <c r="LDB1067" s="989"/>
      <c r="LDC1067" s="989"/>
      <c r="LDD1067" s="989"/>
      <c r="LDE1067" s="989"/>
      <c r="LDF1067" s="989"/>
      <c r="LDG1067" s="989"/>
      <c r="LDH1067" s="989"/>
      <c r="LDI1067" s="989"/>
      <c r="LDJ1067" s="989"/>
      <c r="LDK1067" s="989"/>
      <c r="LDL1067" s="989"/>
      <c r="LDM1067" s="989"/>
      <c r="LDN1067" s="989"/>
      <c r="LDO1067" s="989"/>
      <c r="LDP1067" s="989"/>
      <c r="LDQ1067" s="989"/>
      <c r="LDR1067" s="989"/>
      <c r="LDS1067" s="989"/>
      <c r="LDT1067" s="989"/>
      <c r="LDU1067" s="989"/>
      <c r="LDV1067" s="989"/>
      <c r="LDW1067" s="989"/>
      <c r="LDX1067" s="989"/>
      <c r="LDY1067" s="989"/>
      <c r="LDZ1067" s="989"/>
      <c r="LEA1067" s="989"/>
      <c r="LEB1067" s="989"/>
      <c r="LEC1067" s="989"/>
      <c r="LED1067" s="989"/>
      <c r="LEE1067" s="989"/>
      <c r="LEF1067" s="989"/>
      <c r="LEG1067" s="989"/>
      <c r="LEH1067" s="989"/>
      <c r="LEI1067" s="989"/>
      <c r="LEJ1067" s="989"/>
      <c r="LEK1067" s="989"/>
      <c r="LEL1067" s="989"/>
      <c r="LEM1067" s="989"/>
      <c r="LEN1067" s="989"/>
      <c r="LEO1067" s="989"/>
      <c r="LEP1067" s="989"/>
      <c r="LEQ1067" s="989"/>
      <c r="LER1067" s="989"/>
      <c r="LES1067" s="989"/>
      <c r="LET1067" s="989"/>
      <c r="LEU1067" s="989"/>
      <c r="LEV1067" s="989"/>
      <c r="LEW1067" s="989"/>
      <c r="LEX1067" s="989"/>
      <c r="LEY1067" s="989"/>
      <c r="LEZ1067" s="989"/>
      <c r="LFA1067" s="989"/>
      <c r="LFB1067" s="989"/>
      <c r="LFC1067" s="989"/>
      <c r="LFD1067" s="989"/>
      <c r="LFE1067" s="989"/>
      <c r="LFF1067" s="989"/>
      <c r="LFG1067" s="989"/>
      <c r="LFH1067" s="989"/>
      <c r="LFI1067" s="989"/>
      <c r="LFJ1067" s="989"/>
      <c r="LFK1067" s="989"/>
      <c r="LFL1067" s="989"/>
      <c r="LFM1067" s="989"/>
      <c r="LFN1067" s="989"/>
      <c r="LFO1067" s="989"/>
      <c r="LFP1067" s="989"/>
      <c r="LFQ1067" s="989"/>
      <c r="LFR1067" s="989"/>
      <c r="LFS1067" s="989"/>
      <c r="LFT1067" s="989"/>
      <c r="LFU1067" s="989"/>
      <c r="LFV1067" s="989"/>
      <c r="LFW1067" s="989"/>
      <c r="LFX1067" s="989"/>
      <c r="LFY1067" s="989"/>
      <c r="LFZ1067" s="989"/>
      <c r="LGA1067" s="989"/>
      <c r="LGB1067" s="989"/>
      <c r="LGC1067" s="989"/>
      <c r="LGD1067" s="989"/>
      <c r="LGE1067" s="989"/>
      <c r="LGF1067" s="989"/>
      <c r="LGG1067" s="989"/>
      <c r="LGH1067" s="989"/>
      <c r="LGI1067" s="989"/>
      <c r="LGJ1067" s="989"/>
      <c r="LGK1067" s="989"/>
      <c r="LGL1067" s="989"/>
      <c r="LGM1067" s="989"/>
      <c r="LGN1067" s="989"/>
      <c r="LGO1067" s="989"/>
      <c r="LGP1067" s="989"/>
      <c r="LGQ1067" s="989"/>
      <c r="LGR1067" s="989"/>
      <c r="LGS1067" s="989"/>
      <c r="LGT1067" s="989"/>
      <c r="LGU1067" s="989"/>
      <c r="LGV1067" s="989"/>
      <c r="LGW1067" s="989"/>
      <c r="LGX1067" s="989"/>
      <c r="LGY1067" s="989"/>
      <c r="LGZ1067" s="989"/>
      <c r="LHA1067" s="989"/>
      <c r="LHB1067" s="989"/>
      <c r="LHC1067" s="989"/>
      <c r="LHD1067" s="989"/>
      <c r="LHE1067" s="989"/>
      <c r="LHF1067" s="989"/>
      <c r="LHG1067" s="989"/>
      <c r="LHH1067" s="989"/>
      <c r="LHI1067" s="989"/>
      <c r="LHJ1067" s="989"/>
      <c r="LHK1067" s="989"/>
      <c r="LHL1067" s="989"/>
      <c r="LHM1067" s="989"/>
      <c r="LHN1067" s="989"/>
      <c r="LHO1067" s="989"/>
      <c r="LHP1067" s="989"/>
      <c r="LHQ1067" s="989"/>
      <c r="LHR1067" s="989"/>
      <c r="LHS1067" s="989"/>
      <c r="LHT1067" s="989"/>
      <c r="LHU1067" s="989"/>
      <c r="LHV1067" s="989"/>
      <c r="LHW1067" s="989"/>
      <c r="LHX1067" s="989"/>
      <c r="LHY1067" s="989"/>
      <c r="LHZ1067" s="989"/>
      <c r="LIA1067" s="989"/>
      <c r="LIB1067" s="989"/>
      <c r="LIC1067" s="989"/>
      <c r="LID1067" s="989"/>
      <c r="LIE1067" s="989"/>
      <c r="LIF1067" s="989"/>
      <c r="LIG1067" s="989"/>
      <c r="LIH1067" s="989"/>
      <c r="LII1067" s="989"/>
      <c r="LIJ1067" s="989"/>
      <c r="LIK1067" s="989"/>
      <c r="LIL1067" s="989"/>
      <c r="LIM1067" s="989"/>
      <c r="LIN1067" s="989"/>
      <c r="LIO1067" s="989"/>
      <c r="LIP1067" s="989"/>
      <c r="LIQ1067" s="989"/>
      <c r="LIR1067" s="989"/>
      <c r="LIS1067" s="989"/>
      <c r="LIT1067" s="989"/>
      <c r="LIU1067" s="989"/>
      <c r="LIV1067" s="989"/>
      <c r="LIW1067" s="989"/>
      <c r="LIX1067" s="989"/>
      <c r="LIY1067" s="989"/>
      <c r="LIZ1067" s="989"/>
      <c r="LJA1067" s="989"/>
      <c r="LJB1067" s="989"/>
      <c r="LJC1067" s="989"/>
      <c r="LJD1067" s="989"/>
      <c r="LJE1067" s="989"/>
      <c r="LJF1067" s="989"/>
      <c r="LJG1067" s="989"/>
      <c r="LJH1067" s="989"/>
      <c r="LJI1067" s="989"/>
      <c r="LJJ1067" s="989"/>
      <c r="LJK1067" s="989"/>
      <c r="LJL1067" s="989"/>
      <c r="LJM1067" s="989"/>
      <c r="LJN1067" s="989"/>
      <c r="LJO1067" s="989"/>
      <c r="LJP1067" s="989"/>
      <c r="LJQ1067" s="989"/>
      <c r="LJR1067" s="989"/>
      <c r="LJS1067" s="989"/>
      <c r="LJT1067" s="989"/>
      <c r="LJU1067" s="989"/>
      <c r="LJV1067" s="989"/>
      <c r="LJW1067" s="989"/>
      <c r="LJX1067" s="989"/>
      <c r="LJY1067" s="989"/>
      <c r="LJZ1067" s="989"/>
      <c r="LKA1067" s="989"/>
      <c r="LKB1067" s="989"/>
      <c r="LKC1067" s="989"/>
      <c r="LKD1067" s="989"/>
      <c r="LKE1067" s="989"/>
      <c r="LKF1067" s="989"/>
      <c r="LKG1067" s="989"/>
      <c r="LKH1067" s="989"/>
      <c r="LKI1067" s="989"/>
      <c r="LKJ1067" s="989"/>
      <c r="LKK1067" s="989"/>
      <c r="LKL1067" s="989"/>
      <c r="LKM1067" s="989"/>
      <c r="LKN1067" s="989"/>
      <c r="LKO1067" s="989"/>
      <c r="LKP1067" s="989"/>
      <c r="LKQ1067" s="989"/>
      <c r="LKR1067" s="989"/>
      <c r="LKS1067" s="989"/>
      <c r="LKT1067" s="989"/>
      <c r="LKU1067" s="989"/>
      <c r="LKV1067" s="989"/>
      <c r="LKW1067" s="989"/>
      <c r="LKX1067" s="989"/>
      <c r="LKY1067" s="989"/>
      <c r="LKZ1067" s="989"/>
      <c r="LLA1067" s="989"/>
      <c r="LLB1067" s="989"/>
      <c r="LLC1067" s="989"/>
      <c r="LLD1067" s="989"/>
      <c r="LLE1067" s="989"/>
      <c r="LLF1067" s="989"/>
      <c r="LLG1067" s="989"/>
      <c r="LLH1067" s="989"/>
      <c r="LLI1067" s="989"/>
      <c r="LLJ1067" s="989"/>
      <c r="LLK1067" s="989"/>
      <c r="LLL1067" s="989"/>
      <c r="LLM1067" s="989"/>
      <c r="LLN1067" s="989"/>
      <c r="LLO1067" s="989"/>
      <c r="LLP1067" s="989"/>
      <c r="LLQ1067" s="989"/>
      <c r="LLR1067" s="989"/>
      <c r="LLS1067" s="989"/>
      <c r="LLT1067" s="989"/>
      <c r="LLU1067" s="989"/>
      <c r="LLV1067" s="989"/>
      <c r="LLW1067" s="989"/>
      <c r="LLX1067" s="989"/>
      <c r="LLY1067" s="989"/>
      <c r="LLZ1067" s="989"/>
      <c r="LMA1067" s="989"/>
      <c r="LMB1067" s="989"/>
      <c r="LMC1067" s="989"/>
      <c r="LMD1067" s="989"/>
      <c r="LME1067" s="989"/>
      <c r="LMF1067" s="989"/>
      <c r="LMG1067" s="989"/>
      <c r="LMH1067" s="989"/>
      <c r="LMI1067" s="989"/>
      <c r="LMJ1067" s="989"/>
      <c r="LMK1067" s="989"/>
      <c r="LML1067" s="989"/>
      <c r="LMM1067" s="989"/>
      <c r="LMN1067" s="989"/>
      <c r="LMO1067" s="989"/>
      <c r="LMP1067" s="989"/>
      <c r="LMQ1067" s="989"/>
      <c r="LMR1067" s="989"/>
      <c r="LMS1067" s="989"/>
      <c r="LMT1067" s="989"/>
      <c r="LMU1067" s="989"/>
      <c r="LMV1067" s="989"/>
      <c r="LMW1067" s="989"/>
      <c r="LMX1067" s="989"/>
      <c r="LMY1067" s="989"/>
      <c r="LMZ1067" s="989"/>
      <c r="LNA1067" s="989"/>
      <c r="LNB1067" s="989"/>
      <c r="LNC1067" s="989"/>
      <c r="LND1067" s="989"/>
      <c r="LNE1067" s="989"/>
      <c r="LNF1067" s="989"/>
      <c r="LNG1067" s="989"/>
      <c r="LNH1067" s="989"/>
      <c r="LNI1067" s="989"/>
      <c r="LNJ1067" s="989"/>
      <c r="LNK1067" s="989"/>
      <c r="LNL1067" s="989"/>
      <c r="LNM1067" s="989"/>
      <c r="LNN1067" s="989"/>
      <c r="LNO1067" s="989"/>
      <c r="LNP1067" s="989"/>
      <c r="LNQ1067" s="989"/>
      <c r="LNR1067" s="989"/>
      <c r="LNS1067" s="989"/>
      <c r="LNT1067" s="989"/>
      <c r="LNU1067" s="989"/>
      <c r="LNV1067" s="989"/>
      <c r="LNW1067" s="989"/>
      <c r="LNX1067" s="989"/>
      <c r="LNY1067" s="989"/>
      <c r="LNZ1067" s="989"/>
      <c r="LOA1067" s="989"/>
      <c r="LOB1067" s="989"/>
      <c r="LOC1067" s="989"/>
      <c r="LOD1067" s="989"/>
      <c r="LOE1067" s="989"/>
      <c r="LOF1067" s="989"/>
      <c r="LOG1067" s="989"/>
      <c r="LOH1067" s="989"/>
      <c r="LOI1067" s="989"/>
      <c r="LOJ1067" s="989"/>
      <c r="LOK1067" s="989"/>
      <c r="LOL1067" s="989"/>
      <c r="LOM1067" s="989"/>
      <c r="LON1067" s="989"/>
      <c r="LOO1067" s="989"/>
      <c r="LOP1067" s="989"/>
      <c r="LOQ1067" s="989"/>
      <c r="LOR1067" s="989"/>
      <c r="LOS1067" s="989"/>
      <c r="LOT1067" s="989"/>
      <c r="LOU1067" s="989"/>
      <c r="LOV1067" s="989"/>
      <c r="LOW1067" s="989"/>
      <c r="LOX1067" s="989"/>
      <c r="LOY1067" s="989"/>
      <c r="LOZ1067" s="989"/>
      <c r="LPA1067" s="989"/>
      <c r="LPB1067" s="989"/>
      <c r="LPC1067" s="989"/>
      <c r="LPD1067" s="989"/>
      <c r="LPE1067" s="989"/>
      <c r="LPF1067" s="989"/>
      <c r="LPG1067" s="989"/>
      <c r="LPH1067" s="989"/>
      <c r="LPI1067" s="989"/>
      <c r="LPJ1067" s="989"/>
      <c r="LPK1067" s="989"/>
      <c r="LPL1067" s="989"/>
      <c r="LPM1067" s="989"/>
      <c r="LPN1067" s="989"/>
      <c r="LPO1067" s="989"/>
      <c r="LPP1067" s="989"/>
      <c r="LPQ1067" s="989"/>
      <c r="LPR1067" s="989"/>
      <c r="LPS1067" s="989"/>
      <c r="LPT1067" s="989"/>
      <c r="LPU1067" s="989"/>
      <c r="LPV1067" s="989"/>
      <c r="LPW1067" s="989"/>
      <c r="LPX1067" s="989"/>
      <c r="LPY1067" s="989"/>
      <c r="LPZ1067" s="989"/>
      <c r="LQA1067" s="989"/>
      <c r="LQB1067" s="989"/>
      <c r="LQC1067" s="989"/>
      <c r="LQD1067" s="989"/>
      <c r="LQE1067" s="989"/>
      <c r="LQF1067" s="989"/>
      <c r="LQG1067" s="989"/>
      <c r="LQH1067" s="989"/>
      <c r="LQI1067" s="989"/>
      <c r="LQJ1067" s="989"/>
      <c r="LQK1067" s="989"/>
      <c r="LQL1067" s="989"/>
      <c r="LQM1067" s="989"/>
      <c r="LQN1067" s="989"/>
      <c r="LQO1067" s="989"/>
      <c r="LQP1067" s="989"/>
      <c r="LQQ1067" s="989"/>
      <c r="LQR1067" s="989"/>
      <c r="LQS1067" s="989"/>
      <c r="LQT1067" s="989"/>
      <c r="LQU1067" s="989"/>
      <c r="LQV1067" s="989"/>
      <c r="LQW1067" s="989"/>
      <c r="LQX1067" s="989"/>
      <c r="LQY1067" s="989"/>
      <c r="LQZ1067" s="989"/>
      <c r="LRA1067" s="989"/>
      <c r="LRB1067" s="989"/>
      <c r="LRC1067" s="989"/>
      <c r="LRD1067" s="989"/>
      <c r="LRE1067" s="989"/>
      <c r="LRF1067" s="989"/>
      <c r="LRG1067" s="989"/>
      <c r="LRH1067" s="989"/>
      <c r="LRI1067" s="989"/>
      <c r="LRJ1067" s="989"/>
      <c r="LRK1067" s="989"/>
      <c r="LRL1067" s="989"/>
      <c r="LRM1067" s="989"/>
      <c r="LRN1067" s="989"/>
      <c r="LRO1067" s="989"/>
      <c r="LRP1067" s="989"/>
      <c r="LRQ1067" s="989"/>
      <c r="LRR1067" s="989"/>
      <c r="LRS1067" s="989"/>
      <c r="LRT1067" s="989"/>
      <c r="LRU1067" s="989"/>
      <c r="LRV1067" s="989"/>
      <c r="LRW1067" s="989"/>
      <c r="LRX1067" s="989"/>
      <c r="LRY1067" s="989"/>
      <c r="LRZ1067" s="989"/>
      <c r="LSA1067" s="989"/>
      <c r="LSB1067" s="989"/>
      <c r="LSC1067" s="989"/>
      <c r="LSD1067" s="989"/>
      <c r="LSE1067" s="989"/>
      <c r="LSF1067" s="989"/>
      <c r="LSG1067" s="989"/>
      <c r="LSH1067" s="989"/>
      <c r="LSI1067" s="989"/>
      <c r="LSJ1067" s="989"/>
      <c r="LSK1067" s="989"/>
      <c r="LSL1067" s="989"/>
      <c r="LSM1067" s="989"/>
      <c r="LSN1067" s="989"/>
      <c r="LSO1067" s="989"/>
      <c r="LSP1067" s="989"/>
      <c r="LSQ1067" s="989"/>
      <c r="LSR1067" s="989"/>
      <c r="LSS1067" s="989"/>
      <c r="LST1067" s="989"/>
      <c r="LSU1067" s="989"/>
      <c r="LSV1067" s="989"/>
      <c r="LSW1067" s="989"/>
      <c r="LSX1067" s="989"/>
      <c r="LSY1067" s="989"/>
      <c r="LSZ1067" s="989"/>
      <c r="LTA1067" s="989"/>
      <c r="LTB1067" s="989"/>
      <c r="LTC1067" s="989"/>
      <c r="LTD1067" s="989"/>
      <c r="LTE1067" s="989"/>
      <c r="LTF1067" s="989"/>
      <c r="LTG1067" s="989"/>
      <c r="LTH1067" s="989"/>
      <c r="LTI1067" s="989"/>
      <c r="LTJ1067" s="989"/>
      <c r="LTK1067" s="989"/>
      <c r="LTL1067" s="989"/>
      <c r="LTM1067" s="989"/>
      <c r="LTN1067" s="989"/>
      <c r="LTO1067" s="989"/>
      <c r="LTP1067" s="989"/>
      <c r="LTQ1067" s="989"/>
      <c r="LTR1067" s="989"/>
      <c r="LTS1067" s="989"/>
      <c r="LTT1067" s="989"/>
      <c r="LTU1067" s="989"/>
      <c r="LTV1067" s="989"/>
      <c r="LTW1067" s="989"/>
      <c r="LTX1067" s="989"/>
      <c r="LTY1067" s="989"/>
      <c r="LTZ1067" s="989"/>
      <c r="LUA1067" s="989"/>
      <c r="LUB1067" s="989"/>
      <c r="LUC1067" s="989"/>
      <c r="LUD1067" s="989"/>
      <c r="LUE1067" s="989"/>
      <c r="LUF1067" s="989"/>
      <c r="LUG1067" s="989"/>
      <c r="LUH1067" s="989"/>
      <c r="LUI1067" s="989"/>
      <c r="LUJ1067" s="989"/>
      <c r="LUK1067" s="989"/>
      <c r="LUL1067" s="989"/>
      <c r="LUM1067" s="989"/>
      <c r="LUN1067" s="989"/>
      <c r="LUO1067" s="989"/>
      <c r="LUP1067" s="989"/>
      <c r="LUQ1067" s="989"/>
      <c r="LUR1067" s="989"/>
      <c r="LUS1067" s="989"/>
      <c r="LUT1067" s="989"/>
      <c r="LUU1067" s="989"/>
      <c r="LUV1067" s="989"/>
      <c r="LUW1067" s="989"/>
      <c r="LUX1067" s="989"/>
      <c r="LUY1067" s="989"/>
      <c r="LUZ1067" s="989"/>
      <c r="LVA1067" s="989"/>
      <c r="LVB1067" s="989"/>
      <c r="LVC1067" s="989"/>
      <c r="LVD1067" s="989"/>
      <c r="LVE1067" s="989"/>
      <c r="LVF1067" s="989"/>
      <c r="LVG1067" s="989"/>
      <c r="LVH1067" s="989"/>
      <c r="LVI1067" s="989"/>
      <c r="LVJ1067" s="989"/>
      <c r="LVK1067" s="989"/>
      <c r="LVL1067" s="989"/>
      <c r="LVM1067" s="989"/>
      <c r="LVN1067" s="989"/>
      <c r="LVO1067" s="989"/>
      <c r="LVP1067" s="989"/>
      <c r="LVQ1067" s="989"/>
      <c r="LVR1067" s="989"/>
      <c r="LVS1067" s="989"/>
      <c r="LVT1067" s="989"/>
      <c r="LVU1067" s="989"/>
      <c r="LVV1067" s="989"/>
      <c r="LVW1067" s="989"/>
      <c r="LVX1067" s="989"/>
      <c r="LVY1067" s="989"/>
      <c r="LVZ1067" s="989"/>
      <c r="LWA1067" s="989"/>
      <c r="LWB1067" s="989"/>
      <c r="LWC1067" s="989"/>
      <c r="LWD1067" s="989"/>
      <c r="LWE1067" s="989"/>
      <c r="LWF1067" s="989"/>
      <c r="LWG1067" s="989"/>
      <c r="LWH1067" s="989"/>
      <c r="LWI1067" s="989"/>
      <c r="LWJ1067" s="989"/>
      <c r="LWK1067" s="989"/>
      <c r="LWL1067" s="989"/>
      <c r="LWM1067" s="989"/>
      <c r="LWN1067" s="989"/>
      <c r="LWO1067" s="989"/>
      <c r="LWP1067" s="989"/>
      <c r="LWQ1067" s="989"/>
      <c r="LWR1067" s="989"/>
      <c r="LWS1067" s="989"/>
      <c r="LWT1067" s="989"/>
      <c r="LWU1067" s="989"/>
      <c r="LWV1067" s="989"/>
      <c r="LWW1067" s="989"/>
      <c r="LWX1067" s="989"/>
      <c r="LWY1067" s="989"/>
      <c r="LWZ1067" s="989"/>
      <c r="LXA1067" s="989"/>
      <c r="LXB1067" s="989"/>
      <c r="LXC1067" s="989"/>
      <c r="LXD1067" s="989"/>
      <c r="LXE1067" s="989"/>
      <c r="LXF1067" s="989"/>
      <c r="LXG1067" s="989"/>
      <c r="LXH1067" s="989"/>
      <c r="LXI1067" s="989"/>
      <c r="LXJ1067" s="989"/>
      <c r="LXK1067" s="989"/>
      <c r="LXL1067" s="989"/>
      <c r="LXM1067" s="989"/>
      <c r="LXN1067" s="989"/>
      <c r="LXO1067" s="989"/>
      <c r="LXP1067" s="989"/>
      <c r="LXQ1067" s="989"/>
      <c r="LXR1067" s="989"/>
      <c r="LXS1067" s="989"/>
      <c r="LXT1067" s="989"/>
      <c r="LXU1067" s="989"/>
      <c r="LXV1067" s="989"/>
      <c r="LXW1067" s="989"/>
      <c r="LXX1067" s="989"/>
      <c r="LXY1067" s="989"/>
      <c r="LXZ1067" s="989"/>
      <c r="LYA1067" s="989"/>
      <c r="LYB1067" s="989"/>
      <c r="LYC1067" s="989"/>
      <c r="LYD1067" s="989"/>
      <c r="LYE1067" s="989"/>
      <c r="LYF1067" s="989"/>
      <c r="LYG1067" s="989"/>
      <c r="LYH1067" s="989"/>
      <c r="LYI1067" s="989"/>
      <c r="LYJ1067" s="989"/>
      <c r="LYK1067" s="989"/>
      <c r="LYL1067" s="989"/>
      <c r="LYM1067" s="989"/>
      <c r="LYN1067" s="989"/>
      <c r="LYO1067" s="989"/>
      <c r="LYP1067" s="989"/>
      <c r="LYQ1067" s="989"/>
      <c r="LYR1067" s="989"/>
      <c r="LYS1067" s="989"/>
      <c r="LYT1067" s="989"/>
      <c r="LYU1067" s="989"/>
      <c r="LYV1067" s="989"/>
      <c r="LYW1067" s="989"/>
      <c r="LYX1067" s="989"/>
      <c r="LYY1067" s="989"/>
      <c r="LYZ1067" s="989"/>
      <c r="LZA1067" s="989"/>
      <c r="LZB1067" s="989"/>
      <c r="LZC1067" s="989"/>
      <c r="LZD1067" s="989"/>
      <c r="LZE1067" s="989"/>
      <c r="LZF1067" s="989"/>
      <c r="LZG1067" s="989"/>
      <c r="LZH1067" s="989"/>
      <c r="LZI1067" s="989"/>
      <c r="LZJ1067" s="989"/>
      <c r="LZK1067" s="989"/>
      <c r="LZL1067" s="989"/>
      <c r="LZM1067" s="989"/>
      <c r="LZN1067" s="989"/>
      <c r="LZO1067" s="989"/>
      <c r="LZP1067" s="989"/>
      <c r="LZQ1067" s="989"/>
      <c r="LZR1067" s="989"/>
      <c r="LZS1067" s="989"/>
      <c r="LZT1067" s="989"/>
      <c r="LZU1067" s="989"/>
      <c r="LZV1067" s="989"/>
      <c r="LZW1067" s="989"/>
      <c r="LZX1067" s="989"/>
      <c r="LZY1067" s="989"/>
      <c r="LZZ1067" s="989"/>
      <c r="MAA1067" s="989"/>
      <c r="MAB1067" s="989"/>
      <c r="MAC1067" s="989"/>
      <c r="MAD1067" s="989"/>
      <c r="MAE1067" s="989"/>
      <c r="MAF1067" s="989"/>
      <c r="MAG1067" s="989"/>
      <c r="MAH1067" s="989"/>
      <c r="MAI1067" s="989"/>
      <c r="MAJ1067" s="989"/>
      <c r="MAK1067" s="989"/>
      <c r="MAL1067" s="989"/>
      <c r="MAM1067" s="989"/>
      <c r="MAN1067" s="989"/>
      <c r="MAO1067" s="989"/>
      <c r="MAP1067" s="989"/>
      <c r="MAQ1067" s="989"/>
      <c r="MAR1067" s="989"/>
      <c r="MAS1067" s="989"/>
      <c r="MAT1067" s="989"/>
      <c r="MAU1067" s="989"/>
      <c r="MAV1067" s="989"/>
      <c r="MAW1067" s="989"/>
      <c r="MAX1067" s="989"/>
      <c r="MAY1067" s="989"/>
      <c r="MAZ1067" s="989"/>
      <c r="MBA1067" s="989"/>
      <c r="MBB1067" s="989"/>
      <c r="MBC1067" s="989"/>
      <c r="MBD1067" s="989"/>
      <c r="MBE1067" s="989"/>
      <c r="MBF1067" s="989"/>
      <c r="MBG1067" s="989"/>
      <c r="MBH1067" s="989"/>
      <c r="MBI1067" s="989"/>
      <c r="MBJ1067" s="989"/>
      <c r="MBK1067" s="989"/>
      <c r="MBL1067" s="989"/>
      <c r="MBM1067" s="989"/>
      <c r="MBN1067" s="989"/>
      <c r="MBO1067" s="989"/>
      <c r="MBP1067" s="989"/>
      <c r="MBQ1067" s="989"/>
      <c r="MBR1067" s="989"/>
      <c r="MBS1067" s="989"/>
      <c r="MBT1067" s="989"/>
      <c r="MBU1067" s="989"/>
      <c r="MBV1067" s="989"/>
      <c r="MBW1067" s="989"/>
      <c r="MBX1067" s="989"/>
      <c r="MBY1067" s="989"/>
      <c r="MBZ1067" s="989"/>
      <c r="MCA1067" s="989"/>
      <c r="MCB1067" s="989"/>
      <c r="MCC1067" s="989"/>
      <c r="MCD1067" s="989"/>
      <c r="MCE1067" s="989"/>
      <c r="MCF1067" s="989"/>
      <c r="MCG1067" s="989"/>
      <c r="MCH1067" s="989"/>
      <c r="MCI1067" s="989"/>
      <c r="MCJ1067" s="989"/>
      <c r="MCK1067" s="989"/>
      <c r="MCL1067" s="989"/>
      <c r="MCM1067" s="989"/>
      <c r="MCN1067" s="989"/>
      <c r="MCO1067" s="989"/>
      <c r="MCP1067" s="989"/>
      <c r="MCQ1067" s="989"/>
      <c r="MCR1067" s="989"/>
      <c r="MCS1067" s="989"/>
      <c r="MCT1067" s="989"/>
      <c r="MCU1067" s="989"/>
      <c r="MCV1067" s="989"/>
      <c r="MCW1067" s="989"/>
      <c r="MCX1067" s="989"/>
      <c r="MCY1067" s="989"/>
      <c r="MCZ1067" s="989"/>
      <c r="MDA1067" s="989"/>
      <c r="MDB1067" s="989"/>
      <c r="MDC1067" s="989"/>
      <c r="MDD1067" s="989"/>
      <c r="MDE1067" s="989"/>
      <c r="MDF1067" s="989"/>
      <c r="MDG1067" s="989"/>
      <c r="MDH1067" s="989"/>
      <c r="MDI1067" s="989"/>
      <c r="MDJ1067" s="989"/>
      <c r="MDK1067" s="989"/>
      <c r="MDL1067" s="989"/>
      <c r="MDM1067" s="989"/>
      <c r="MDN1067" s="989"/>
      <c r="MDO1067" s="989"/>
      <c r="MDP1067" s="989"/>
      <c r="MDQ1067" s="989"/>
      <c r="MDR1067" s="989"/>
      <c r="MDS1067" s="989"/>
      <c r="MDT1067" s="989"/>
      <c r="MDU1067" s="989"/>
      <c r="MDV1067" s="989"/>
      <c r="MDW1067" s="989"/>
      <c r="MDX1067" s="989"/>
      <c r="MDY1067" s="989"/>
      <c r="MDZ1067" s="989"/>
      <c r="MEA1067" s="989"/>
      <c r="MEB1067" s="989"/>
      <c r="MEC1067" s="989"/>
      <c r="MED1067" s="989"/>
      <c r="MEE1067" s="989"/>
      <c r="MEF1067" s="989"/>
      <c r="MEG1067" s="989"/>
      <c r="MEH1067" s="989"/>
      <c r="MEI1067" s="989"/>
      <c r="MEJ1067" s="989"/>
      <c r="MEK1067" s="989"/>
      <c r="MEL1067" s="989"/>
      <c r="MEM1067" s="989"/>
      <c r="MEN1067" s="989"/>
      <c r="MEO1067" s="989"/>
      <c r="MEP1067" s="989"/>
      <c r="MEQ1067" s="989"/>
      <c r="MER1067" s="989"/>
      <c r="MES1067" s="989"/>
      <c r="MET1067" s="989"/>
      <c r="MEU1067" s="989"/>
      <c r="MEV1067" s="989"/>
      <c r="MEW1067" s="989"/>
      <c r="MEX1067" s="989"/>
      <c r="MEY1067" s="989"/>
      <c r="MEZ1067" s="989"/>
      <c r="MFA1067" s="989"/>
      <c r="MFB1067" s="989"/>
      <c r="MFC1067" s="989"/>
      <c r="MFD1067" s="989"/>
      <c r="MFE1067" s="989"/>
      <c r="MFF1067" s="989"/>
      <c r="MFG1067" s="989"/>
      <c r="MFH1067" s="989"/>
      <c r="MFI1067" s="989"/>
      <c r="MFJ1067" s="989"/>
      <c r="MFK1067" s="989"/>
      <c r="MFL1067" s="989"/>
      <c r="MFM1067" s="989"/>
      <c r="MFN1067" s="989"/>
      <c r="MFO1067" s="989"/>
      <c r="MFP1067" s="989"/>
      <c r="MFQ1067" s="989"/>
      <c r="MFR1067" s="989"/>
      <c r="MFS1067" s="989"/>
      <c r="MFT1067" s="989"/>
      <c r="MFU1067" s="989"/>
      <c r="MFV1067" s="989"/>
      <c r="MFW1067" s="989"/>
      <c r="MFX1067" s="989"/>
      <c r="MFY1067" s="989"/>
      <c r="MFZ1067" s="989"/>
      <c r="MGA1067" s="989"/>
      <c r="MGB1067" s="989"/>
      <c r="MGC1067" s="989"/>
      <c r="MGD1067" s="989"/>
      <c r="MGE1067" s="989"/>
      <c r="MGF1067" s="989"/>
      <c r="MGG1067" s="989"/>
      <c r="MGH1067" s="989"/>
      <c r="MGI1067" s="989"/>
      <c r="MGJ1067" s="989"/>
      <c r="MGK1067" s="989"/>
      <c r="MGL1067" s="989"/>
      <c r="MGM1067" s="989"/>
      <c r="MGN1067" s="989"/>
      <c r="MGO1067" s="989"/>
      <c r="MGP1067" s="989"/>
      <c r="MGQ1067" s="989"/>
      <c r="MGR1067" s="989"/>
      <c r="MGS1067" s="989"/>
      <c r="MGT1067" s="989"/>
      <c r="MGU1067" s="989"/>
      <c r="MGV1067" s="989"/>
      <c r="MGW1067" s="989"/>
      <c r="MGX1067" s="989"/>
      <c r="MGY1067" s="989"/>
      <c r="MGZ1067" s="989"/>
      <c r="MHA1067" s="989"/>
      <c r="MHB1067" s="989"/>
      <c r="MHC1067" s="989"/>
      <c r="MHD1067" s="989"/>
      <c r="MHE1067" s="989"/>
      <c r="MHF1067" s="989"/>
      <c r="MHG1067" s="989"/>
      <c r="MHH1067" s="989"/>
      <c r="MHI1067" s="989"/>
      <c r="MHJ1067" s="989"/>
      <c r="MHK1067" s="989"/>
      <c r="MHL1067" s="989"/>
      <c r="MHM1067" s="989"/>
      <c r="MHN1067" s="989"/>
      <c r="MHO1067" s="989"/>
      <c r="MHP1067" s="989"/>
      <c r="MHQ1067" s="989"/>
      <c r="MHR1067" s="989"/>
      <c r="MHS1067" s="989"/>
      <c r="MHT1067" s="989"/>
      <c r="MHU1067" s="989"/>
      <c r="MHV1067" s="989"/>
      <c r="MHW1067" s="989"/>
      <c r="MHX1067" s="989"/>
      <c r="MHY1067" s="989"/>
      <c r="MHZ1067" s="989"/>
      <c r="MIA1067" s="989"/>
      <c r="MIB1067" s="989"/>
      <c r="MIC1067" s="989"/>
      <c r="MID1067" s="989"/>
      <c r="MIE1067" s="989"/>
      <c r="MIF1067" s="989"/>
      <c r="MIG1067" s="989"/>
      <c r="MIH1067" s="989"/>
      <c r="MII1067" s="989"/>
      <c r="MIJ1067" s="989"/>
      <c r="MIK1067" s="989"/>
      <c r="MIL1067" s="989"/>
      <c r="MIM1067" s="989"/>
      <c r="MIN1067" s="989"/>
      <c r="MIO1067" s="989"/>
      <c r="MIP1067" s="989"/>
      <c r="MIQ1067" s="989"/>
      <c r="MIR1067" s="989"/>
      <c r="MIS1067" s="989"/>
      <c r="MIT1067" s="989"/>
      <c r="MIU1067" s="989"/>
      <c r="MIV1067" s="989"/>
      <c r="MIW1067" s="989"/>
      <c r="MIX1067" s="989"/>
      <c r="MIY1067" s="989"/>
      <c r="MIZ1067" s="989"/>
      <c r="MJA1067" s="989"/>
      <c r="MJB1067" s="989"/>
      <c r="MJC1067" s="989"/>
      <c r="MJD1067" s="989"/>
      <c r="MJE1067" s="989"/>
      <c r="MJF1067" s="989"/>
      <c r="MJG1067" s="989"/>
      <c r="MJH1067" s="989"/>
      <c r="MJI1067" s="989"/>
      <c r="MJJ1067" s="989"/>
      <c r="MJK1067" s="989"/>
      <c r="MJL1067" s="989"/>
      <c r="MJM1067" s="989"/>
      <c r="MJN1067" s="989"/>
      <c r="MJO1067" s="989"/>
      <c r="MJP1067" s="989"/>
      <c r="MJQ1067" s="989"/>
      <c r="MJR1067" s="989"/>
      <c r="MJS1067" s="989"/>
      <c r="MJT1067" s="989"/>
      <c r="MJU1067" s="989"/>
      <c r="MJV1067" s="989"/>
      <c r="MJW1067" s="989"/>
      <c r="MJX1067" s="989"/>
      <c r="MJY1067" s="989"/>
      <c r="MJZ1067" s="989"/>
      <c r="MKA1067" s="989"/>
      <c r="MKB1067" s="989"/>
      <c r="MKC1067" s="989"/>
      <c r="MKD1067" s="989"/>
      <c r="MKE1067" s="989"/>
      <c r="MKF1067" s="989"/>
      <c r="MKG1067" s="989"/>
      <c r="MKH1067" s="989"/>
      <c r="MKI1067" s="989"/>
      <c r="MKJ1067" s="989"/>
      <c r="MKK1067" s="989"/>
      <c r="MKL1067" s="989"/>
      <c r="MKM1067" s="989"/>
      <c r="MKN1067" s="989"/>
      <c r="MKO1067" s="989"/>
      <c r="MKP1067" s="989"/>
      <c r="MKQ1067" s="989"/>
      <c r="MKR1067" s="989"/>
      <c r="MKS1067" s="989"/>
      <c r="MKT1067" s="989"/>
      <c r="MKU1067" s="989"/>
      <c r="MKV1067" s="989"/>
      <c r="MKW1067" s="989"/>
      <c r="MKX1067" s="989"/>
      <c r="MKY1067" s="989"/>
      <c r="MKZ1067" s="989"/>
      <c r="MLA1067" s="989"/>
      <c r="MLB1067" s="989"/>
      <c r="MLC1067" s="989"/>
      <c r="MLD1067" s="989"/>
      <c r="MLE1067" s="989"/>
      <c r="MLF1067" s="989"/>
      <c r="MLG1067" s="989"/>
      <c r="MLH1067" s="989"/>
      <c r="MLI1067" s="989"/>
      <c r="MLJ1067" s="989"/>
      <c r="MLK1067" s="989"/>
      <c r="MLL1067" s="989"/>
      <c r="MLM1067" s="989"/>
      <c r="MLN1067" s="989"/>
      <c r="MLO1067" s="989"/>
      <c r="MLP1067" s="989"/>
      <c r="MLQ1067" s="989"/>
      <c r="MLR1067" s="989"/>
      <c r="MLS1067" s="989"/>
      <c r="MLT1067" s="989"/>
      <c r="MLU1067" s="989"/>
      <c r="MLV1067" s="989"/>
      <c r="MLW1067" s="989"/>
      <c r="MLX1067" s="989"/>
      <c r="MLY1067" s="989"/>
      <c r="MLZ1067" s="989"/>
      <c r="MMA1067" s="989"/>
      <c r="MMB1067" s="989"/>
      <c r="MMC1067" s="989"/>
      <c r="MMD1067" s="989"/>
      <c r="MME1067" s="989"/>
      <c r="MMF1067" s="989"/>
      <c r="MMG1067" s="989"/>
      <c r="MMH1067" s="989"/>
      <c r="MMI1067" s="989"/>
      <c r="MMJ1067" s="989"/>
      <c r="MMK1067" s="989"/>
      <c r="MML1067" s="989"/>
      <c r="MMM1067" s="989"/>
      <c r="MMN1067" s="989"/>
      <c r="MMO1067" s="989"/>
      <c r="MMP1067" s="989"/>
      <c r="MMQ1067" s="989"/>
      <c r="MMR1067" s="989"/>
      <c r="MMS1067" s="989"/>
      <c r="MMT1067" s="989"/>
      <c r="MMU1067" s="989"/>
      <c r="MMV1067" s="989"/>
      <c r="MMW1067" s="989"/>
      <c r="MMX1067" s="989"/>
      <c r="MMY1067" s="989"/>
      <c r="MMZ1067" s="989"/>
      <c r="MNA1067" s="989"/>
      <c r="MNB1067" s="989"/>
      <c r="MNC1067" s="989"/>
      <c r="MND1067" s="989"/>
      <c r="MNE1067" s="989"/>
      <c r="MNF1067" s="989"/>
      <c r="MNG1067" s="989"/>
      <c r="MNH1067" s="989"/>
      <c r="MNI1067" s="989"/>
      <c r="MNJ1067" s="989"/>
      <c r="MNK1067" s="989"/>
      <c r="MNL1067" s="989"/>
      <c r="MNM1067" s="989"/>
      <c r="MNN1067" s="989"/>
      <c r="MNO1067" s="989"/>
      <c r="MNP1067" s="989"/>
      <c r="MNQ1067" s="989"/>
      <c r="MNR1067" s="989"/>
      <c r="MNS1067" s="989"/>
      <c r="MNT1067" s="989"/>
      <c r="MNU1067" s="989"/>
      <c r="MNV1067" s="989"/>
      <c r="MNW1067" s="989"/>
      <c r="MNX1067" s="989"/>
      <c r="MNY1067" s="989"/>
      <c r="MNZ1067" s="989"/>
      <c r="MOA1067" s="989"/>
      <c r="MOB1067" s="989"/>
      <c r="MOC1067" s="989"/>
      <c r="MOD1067" s="989"/>
      <c r="MOE1067" s="989"/>
      <c r="MOF1067" s="989"/>
      <c r="MOG1067" s="989"/>
      <c r="MOH1067" s="989"/>
      <c r="MOI1067" s="989"/>
      <c r="MOJ1067" s="989"/>
      <c r="MOK1067" s="989"/>
      <c r="MOL1067" s="989"/>
      <c r="MOM1067" s="989"/>
      <c r="MON1067" s="989"/>
      <c r="MOO1067" s="989"/>
      <c r="MOP1067" s="989"/>
      <c r="MOQ1067" s="989"/>
      <c r="MOR1067" s="989"/>
      <c r="MOS1067" s="989"/>
      <c r="MOT1067" s="989"/>
      <c r="MOU1067" s="989"/>
      <c r="MOV1067" s="989"/>
      <c r="MOW1067" s="989"/>
      <c r="MOX1067" s="989"/>
      <c r="MOY1067" s="989"/>
      <c r="MOZ1067" s="989"/>
      <c r="MPA1067" s="989"/>
      <c r="MPB1067" s="989"/>
      <c r="MPC1067" s="989"/>
      <c r="MPD1067" s="989"/>
      <c r="MPE1067" s="989"/>
      <c r="MPF1067" s="989"/>
      <c r="MPG1067" s="989"/>
      <c r="MPH1067" s="989"/>
      <c r="MPI1067" s="989"/>
      <c r="MPJ1067" s="989"/>
      <c r="MPK1067" s="989"/>
      <c r="MPL1067" s="989"/>
      <c r="MPM1067" s="989"/>
      <c r="MPN1067" s="989"/>
      <c r="MPO1067" s="989"/>
      <c r="MPP1067" s="989"/>
      <c r="MPQ1067" s="989"/>
      <c r="MPR1067" s="989"/>
      <c r="MPS1067" s="989"/>
      <c r="MPT1067" s="989"/>
      <c r="MPU1067" s="989"/>
      <c r="MPV1067" s="989"/>
      <c r="MPW1067" s="989"/>
      <c r="MPX1067" s="989"/>
      <c r="MPY1067" s="989"/>
      <c r="MPZ1067" s="989"/>
      <c r="MQA1067" s="989"/>
      <c r="MQB1067" s="989"/>
      <c r="MQC1067" s="989"/>
      <c r="MQD1067" s="989"/>
      <c r="MQE1067" s="989"/>
      <c r="MQF1067" s="989"/>
      <c r="MQG1067" s="989"/>
      <c r="MQH1067" s="989"/>
      <c r="MQI1067" s="989"/>
      <c r="MQJ1067" s="989"/>
      <c r="MQK1067" s="989"/>
      <c r="MQL1067" s="989"/>
      <c r="MQM1067" s="989"/>
      <c r="MQN1067" s="989"/>
      <c r="MQO1067" s="989"/>
      <c r="MQP1067" s="989"/>
      <c r="MQQ1067" s="989"/>
      <c r="MQR1067" s="989"/>
      <c r="MQS1067" s="989"/>
      <c r="MQT1067" s="989"/>
      <c r="MQU1067" s="989"/>
      <c r="MQV1067" s="989"/>
      <c r="MQW1067" s="989"/>
      <c r="MQX1067" s="989"/>
      <c r="MQY1067" s="989"/>
      <c r="MQZ1067" s="989"/>
      <c r="MRA1067" s="989"/>
      <c r="MRB1067" s="989"/>
      <c r="MRC1067" s="989"/>
      <c r="MRD1067" s="989"/>
      <c r="MRE1067" s="989"/>
      <c r="MRF1067" s="989"/>
      <c r="MRG1067" s="989"/>
      <c r="MRH1067" s="989"/>
      <c r="MRI1067" s="989"/>
      <c r="MRJ1067" s="989"/>
      <c r="MRK1067" s="989"/>
      <c r="MRL1067" s="989"/>
      <c r="MRM1067" s="989"/>
      <c r="MRN1067" s="989"/>
      <c r="MRO1067" s="989"/>
      <c r="MRP1067" s="989"/>
      <c r="MRQ1067" s="989"/>
      <c r="MRR1067" s="989"/>
      <c r="MRS1067" s="989"/>
      <c r="MRT1067" s="989"/>
      <c r="MRU1067" s="989"/>
      <c r="MRV1067" s="989"/>
      <c r="MRW1067" s="989"/>
      <c r="MRX1067" s="989"/>
      <c r="MRY1067" s="989"/>
      <c r="MRZ1067" s="989"/>
      <c r="MSA1067" s="989"/>
      <c r="MSB1067" s="989"/>
      <c r="MSC1067" s="989"/>
      <c r="MSD1067" s="989"/>
      <c r="MSE1067" s="989"/>
      <c r="MSF1067" s="989"/>
      <c r="MSG1067" s="989"/>
      <c r="MSH1067" s="989"/>
      <c r="MSI1067" s="989"/>
      <c r="MSJ1067" s="989"/>
      <c r="MSK1067" s="989"/>
      <c r="MSL1067" s="989"/>
      <c r="MSM1067" s="989"/>
      <c r="MSN1067" s="989"/>
      <c r="MSO1067" s="989"/>
      <c r="MSP1067" s="989"/>
      <c r="MSQ1067" s="989"/>
      <c r="MSR1067" s="989"/>
      <c r="MSS1067" s="989"/>
      <c r="MST1067" s="989"/>
      <c r="MSU1067" s="989"/>
      <c r="MSV1067" s="989"/>
      <c r="MSW1067" s="989"/>
      <c r="MSX1067" s="989"/>
      <c r="MSY1067" s="989"/>
      <c r="MSZ1067" s="989"/>
      <c r="MTA1067" s="989"/>
      <c r="MTB1067" s="989"/>
      <c r="MTC1067" s="989"/>
      <c r="MTD1067" s="989"/>
      <c r="MTE1067" s="989"/>
      <c r="MTF1067" s="989"/>
      <c r="MTG1067" s="989"/>
      <c r="MTH1067" s="989"/>
      <c r="MTI1067" s="989"/>
      <c r="MTJ1067" s="989"/>
      <c r="MTK1067" s="989"/>
      <c r="MTL1067" s="989"/>
      <c r="MTM1067" s="989"/>
      <c r="MTN1067" s="989"/>
      <c r="MTO1067" s="989"/>
      <c r="MTP1067" s="989"/>
      <c r="MTQ1067" s="989"/>
      <c r="MTR1067" s="989"/>
      <c r="MTS1067" s="989"/>
      <c r="MTT1067" s="989"/>
      <c r="MTU1067" s="989"/>
      <c r="MTV1067" s="989"/>
      <c r="MTW1067" s="989"/>
      <c r="MTX1067" s="989"/>
      <c r="MTY1067" s="989"/>
      <c r="MTZ1067" s="989"/>
      <c r="MUA1067" s="989"/>
      <c r="MUB1067" s="989"/>
      <c r="MUC1067" s="989"/>
      <c r="MUD1067" s="989"/>
      <c r="MUE1067" s="989"/>
      <c r="MUF1067" s="989"/>
      <c r="MUG1067" s="989"/>
      <c r="MUH1067" s="989"/>
      <c r="MUI1067" s="989"/>
      <c r="MUJ1067" s="989"/>
      <c r="MUK1067" s="989"/>
      <c r="MUL1067" s="989"/>
      <c r="MUM1067" s="989"/>
      <c r="MUN1067" s="989"/>
      <c r="MUO1067" s="989"/>
      <c r="MUP1067" s="989"/>
      <c r="MUQ1067" s="989"/>
      <c r="MUR1067" s="989"/>
      <c r="MUS1067" s="989"/>
      <c r="MUT1067" s="989"/>
      <c r="MUU1067" s="989"/>
      <c r="MUV1067" s="989"/>
      <c r="MUW1067" s="989"/>
      <c r="MUX1067" s="989"/>
      <c r="MUY1067" s="989"/>
      <c r="MUZ1067" s="989"/>
      <c r="MVA1067" s="989"/>
      <c r="MVB1067" s="989"/>
      <c r="MVC1067" s="989"/>
      <c r="MVD1067" s="989"/>
      <c r="MVE1067" s="989"/>
      <c r="MVF1067" s="989"/>
      <c r="MVG1067" s="989"/>
      <c r="MVH1067" s="989"/>
      <c r="MVI1067" s="989"/>
      <c r="MVJ1067" s="989"/>
      <c r="MVK1067" s="989"/>
      <c r="MVL1067" s="989"/>
      <c r="MVM1067" s="989"/>
      <c r="MVN1067" s="989"/>
      <c r="MVO1067" s="989"/>
      <c r="MVP1067" s="989"/>
      <c r="MVQ1067" s="989"/>
      <c r="MVR1067" s="989"/>
      <c r="MVS1067" s="989"/>
      <c r="MVT1067" s="989"/>
      <c r="MVU1067" s="989"/>
      <c r="MVV1067" s="989"/>
      <c r="MVW1067" s="989"/>
      <c r="MVX1067" s="989"/>
      <c r="MVY1067" s="989"/>
      <c r="MVZ1067" s="989"/>
      <c r="MWA1067" s="989"/>
      <c r="MWB1067" s="989"/>
      <c r="MWC1067" s="989"/>
      <c r="MWD1067" s="989"/>
      <c r="MWE1067" s="989"/>
      <c r="MWF1067" s="989"/>
      <c r="MWG1067" s="989"/>
      <c r="MWH1067" s="989"/>
      <c r="MWI1067" s="989"/>
      <c r="MWJ1067" s="989"/>
      <c r="MWK1067" s="989"/>
      <c r="MWL1067" s="989"/>
      <c r="MWM1067" s="989"/>
      <c r="MWN1067" s="989"/>
      <c r="MWO1067" s="989"/>
      <c r="MWP1067" s="989"/>
      <c r="MWQ1067" s="989"/>
      <c r="MWR1067" s="989"/>
      <c r="MWS1067" s="989"/>
      <c r="MWT1067" s="989"/>
      <c r="MWU1067" s="989"/>
      <c r="MWV1067" s="989"/>
      <c r="MWW1067" s="989"/>
      <c r="MWX1067" s="989"/>
      <c r="MWY1067" s="989"/>
      <c r="MWZ1067" s="989"/>
      <c r="MXA1067" s="989"/>
      <c r="MXB1067" s="989"/>
      <c r="MXC1067" s="989"/>
      <c r="MXD1067" s="989"/>
      <c r="MXE1067" s="989"/>
      <c r="MXF1067" s="989"/>
      <c r="MXG1067" s="989"/>
      <c r="MXH1067" s="989"/>
      <c r="MXI1067" s="989"/>
      <c r="MXJ1067" s="989"/>
      <c r="MXK1067" s="989"/>
      <c r="MXL1067" s="989"/>
      <c r="MXM1067" s="989"/>
      <c r="MXN1067" s="989"/>
      <c r="MXO1067" s="989"/>
      <c r="MXP1067" s="989"/>
      <c r="MXQ1067" s="989"/>
      <c r="MXR1067" s="989"/>
      <c r="MXS1067" s="989"/>
      <c r="MXT1067" s="989"/>
      <c r="MXU1067" s="989"/>
      <c r="MXV1067" s="989"/>
      <c r="MXW1067" s="989"/>
      <c r="MXX1067" s="989"/>
      <c r="MXY1067" s="989"/>
      <c r="MXZ1067" s="989"/>
      <c r="MYA1067" s="989"/>
      <c r="MYB1067" s="989"/>
      <c r="MYC1067" s="989"/>
      <c r="MYD1067" s="989"/>
      <c r="MYE1067" s="989"/>
      <c r="MYF1067" s="989"/>
      <c r="MYG1067" s="989"/>
      <c r="MYH1067" s="989"/>
      <c r="MYI1067" s="989"/>
      <c r="MYJ1067" s="989"/>
      <c r="MYK1067" s="989"/>
      <c r="MYL1067" s="989"/>
      <c r="MYM1067" s="989"/>
      <c r="MYN1067" s="989"/>
      <c r="MYO1067" s="989"/>
      <c r="MYP1067" s="989"/>
      <c r="MYQ1067" s="989"/>
      <c r="MYR1067" s="989"/>
      <c r="MYS1067" s="989"/>
      <c r="MYT1067" s="989"/>
      <c r="MYU1067" s="989"/>
      <c r="MYV1067" s="989"/>
      <c r="MYW1067" s="989"/>
      <c r="MYX1067" s="989"/>
      <c r="MYY1067" s="989"/>
      <c r="MYZ1067" s="989"/>
      <c r="MZA1067" s="989"/>
      <c r="MZB1067" s="989"/>
      <c r="MZC1067" s="989"/>
      <c r="MZD1067" s="989"/>
      <c r="MZE1067" s="989"/>
      <c r="MZF1067" s="989"/>
      <c r="MZG1067" s="989"/>
      <c r="MZH1067" s="989"/>
      <c r="MZI1067" s="989"/>
      <c r="MZJ1067" s="989"/>
      <c r="MZK1067" s="989"/>
      <c r="MZL1067" s="989"/>
      <c r="MZM1067" s="989"/>
      <c r="MZN1067" s="989"/>
      <c r="MZO1067" s="989"/>
      <c r="MZP1067" s="989"/>
      <c r="MZQ1067" s="989"/>
      <c r="MZR1067" s="989"/>
      <c r="MZS1067" s="989"/>
      <c r="MZT1067" s="989"/>
      <c r="MZU1067" s="989"/>
      <c r="MZV1067" s="989"/>
      <c r="MZW1067" s="989"/>
      <c r="MZX1067" s="989"/>
      <c r="MZY1067" s="989"/>
      <c r="MZZ1067" s="989"/>
      <c r="NAA1067" s="989"/>
      <c r="NAB1067" s="989"/>
      <c r="NAC1067" s="989"/>
      <c r="NAD1067" s="989"/>
      <c r="NAE1067" s="989"/>
      <c r="NAF1067" s="989"/>
      <c r="NAG1067" s="989"/>
      <c r="NAH1067" s="989"/>
      <c r="NAI1067" s="989"/>
      <c r="NAJ1067" s="989"/>
      <c r="NAK1067" s="989"/>
      <c r="NAL1067" s="989"/>
      <c r="NAM1067" s="989"/>
      <c r="NAN1067" s="989"/>
      <c r="NAO1067" s="989"/>
      <c r="NAP1067" s="989"/>
      <c r="NAQ1067" s="989"/>
      <c r="NAR1067" s="989"/>
      <c r="NAS1067" s="989"/>
      <c r="NAT1067" s="989"/>
      <c r="NAU1067" s="989"/>
      <c r="NAV1067" s="989"/>
      <c r="NAW1067" s="989"/>
      <c r="NAX1067" s="989"/>
      <c r="NAY1067" s="989"/>
      <c r="NAZ1067" s="989"/>
      <c r="NBA1067" s="989"/>
      <c r="NBB1067" s="989"/>
      <c r="NBC1067" s="989"/>
      <c r="NBD1067" s="989"/>
      <c r="NBE1067" s="989"/>
      <c r="NBF1067" s="989"/>
      <c r="NBG1067" s="989"/>
      <c r="NBH1067" s="989"/>
      <c r="NBI1067" s="989"/>
      <c r="NBJ1067" s="989"/>
      <c r="NBK1067" s="989"/>
      <c r="NBL1067" s="989"/>
      <c r="NBM1067" s="989"/>
      <c r="NBN1067" s="989"/>
      <c r="NBO1067" s="989"/>
      <c r="NBP1067" s="989"/>
      <c r="NBQ1067" s="989"/>
      <c r="NBR1067" s="989"/>
      <c r="NBS1067" s="989"/>
      <c r="NBT1067" s="989"/>
      <c r="NBU1067" s="989"/>
      <c r="NBV1067" s="989"/>
      <c r="NBW1067" s="989"/>
      <c r="NBX1067" s="989"/>
      <c r="NBY1067" s="989"/>
      <c r="NBZ1067" s="989"/>
      <c r="NCA1067" s="989"/>
      <c r="NCB1067" s="989"/>
      <c r="NCC1067" s="989"/>
      <c r="NCD1067" s="989"/>
      <c r="NCE1067" s="989"/>
      <c r="NCF1067" s="989"/>
      <c r="NCG1067" s="989"/>
      <c r="NCH1067" s="989"/>
      <c r="NCI1067" s="989"/>
      <c r="NCJ1067" s="989"/>
      <c r="NCK1067" s="989"/>
      <c r="NCL1067" s="989"/>
      <c r="NCM1067" s="989"/>
      <c r="NCN1067" s="989"/>
      <c r="NCO1067" s="989"/>
      <c r="NCP1067" s="989"/>
      <c r="NCQ1067" s="989"/>
      <c r="NCR1067" s="989"/>
      <c r="NCS1067" s="989"/>
      <c r="NCT1067" s="989"/>
      <c r="NCU1067" s="989"/>
      <c r="NCV1067" s="989"/>
      <c r="NCW1067" s="989"/>
      <c r="NCX1067" s="989"/>
      <c r="NCY1067" s="989"/>
      <c r="NCZ1067" s="989"/>
      <c r="NDA1067" s="989"/>
      <c r="NDB1067" s="989"/>
      <c r="NDC1067" s="989"/>
      <c r="NDD1067" s="989"/>
      <c r="NDE1067" s="989"/>
      <c r="NDF1067" s="989"/>
      <c r="NDG1067" s="989"/>
      <c r="NDH1067" s="989"/>
      <c r="NDI1067" s="989"/>
      <c r="NDJ1067" s="989"/>
      <c r="NDK1067" s="989"/>
      <c r="NDL1067" s="989"/>
      <c r="NDM1067" s="989"/>
      <c r="NDN1067" s="989"/>
      <c r="NDO1067" s="989"/>
      <c r="NDP1067" s="989"/>
      <c r="NDQ1067" s="989"/>
      <c r="NDR1067" s="989"/>
      <c r="NDS1067" s="989"/>
      <c r="NDT1067" s="989"/>
      <c r="NDU1067" s="989"/>
      <c r="NDV1067" s="989"/>
      <c r="NDW1067" s="989"/>
      <c r="NDX1067" s="989"/>
      <c r="NDY1067" s="989"/>
      <c r="NDZ1067" s="989"/>
      <c r="NEA1067" s="989"/>
      <c r="NEB1067" s="989"/>
      <c r="NEC1067" s="989"/>
      <c r="NED1067" s="989"/>
      <c r="NEE1067" s="989"/>
      <c r="NEF1067" s="989"/>
      <c r="NEG1067" s="989"/>
      <c r="NEH1067" s="989"/>
      <c r="NEI1067" s="989"/>
      <c r="NEJ1067" s="989"/>
      <c r="NEK1067" s="989"/>
      <c r="NEL1067" s="989"/>
      <c r="NEM1067" s="989"/>
      <c r="NEN1067" s="989"/>
      <c r="NEO1067" s="989"/>
      <c r="NEP1067" s="989"/>
      <c r="NEQ1067" s="989"/>
      <c r="NER1067" s="989"/>
      <c r="NES1067" s="989"/>
      <c r="NET1067" s="989"/>
      <c r="NEU1067" s="989"/>
      <c r="NEV1067" s="989"/>
      <c r="NEW1067" s="989"/>
      <c r="NEX1067" s="989"/>
      <c r="NEY1067" s="989"/>
      <c r="NEZ1067" s="989"/>
      <c r="NFA1067" s="989"/>
      <c r="NFB1067" s="989"/>
      <c r="NFC1067" s="989"/>
      <c r="NFD1067" s="989"/>
      <c r="NFE1067" s="989"/>
      <c r="NFF1067" s="989"/>
      <c r="NFG1067" s="989"/>
      <c r="NFH1067" s="989"/>
      <c r="NFI1067" s="989"/>
      <c r="NFJ1067" s="989"/>
      <c r="NFK1067" s="989"/>
      <c r="NFL1067" s="989"/>
      <c r="NFM1067" s="989"/>
      <c r="NFN1067" s="989"/>
      <c r="NFO1067" s="989"/>
      <c r="NFP1067" s="989"/>
      <c r="NFQ1067" s="989"/>
      <c r="NFR1067" s="989"/>
      <c r="NFS1067" s="989"/>
      <c r="NFT1067" s="989"/>
      <c r="NFU1067" s="989"/>
      <c r="NFV1067" s="989"/>
      <c r="NFW1067" s="989"/>
      <c r="NFX1067" s="989"/>
      <c r="NFY1067" s="989"/>
      <c r="NFZ1067" s="989"/>
      <c r="NGA1067" s="989"/>
      <c r="NGB1067" s="989"/>
      <c r="NGC1067" s="989"/>
      <c r="NGD1067" s="989"/>
      <c r="NGE1067" s="989"/>
      <c r="NGF1067" s="989"/>
      <c r="NGG1067" s="989"/>
      <c r="NGH1067" s="989"/>
      <c r="NGI1067" s="989"/>
      <c r="NGJ1067" s="989"/>
      <c r="NGK1067" s="989"/>
      <c r="NGL1067" s="989"/>
      <c r="NGM1067" s="989"/>
      <c r="NGN1067" s="989"/>
      <c r="NGO1067" s="989"/>
      <c r="NGP1067" s="989"/>
      <c r="NGQ1067" s="989"/>
      <c r="NGR1067" s="989"/>
      <c r="NGS1067" s="989"/>
      <c r="NGT1067" s="989"/>
      <c r="NGU1067" s="989"/>
      <c r="NGV1067" s="989"/>
      <c r="NGW1067" s="989"/>
      <c r="NGX1067" s="989"/>
      <c r="NGY1067" s="989"/>
      <c r="NGZ1067" s="989"/>
      <c r="NHA1067" s="989"/>
      <c r="NHB1067" s="989"/>
      <c r="NHC1067" s="989"/>
      <c r="NHD1067" s="989"/>
      <c r="NHE1067" s="989"/>
      <c r="NHF1067" s="989"/>
      <c r="NHG1067" s="989"/>
      <c r="NHH1067" s="989"/>
      <c r="NHI1067" s="989"/>
      <c r="NHJ1067" s="989"/>
      <c r="NHK1067" s="989"/>
      <c r="NHL1067" s="989"/>
      <c r="NHM1067" s="989"/>
      <c r="NHN1067" s="989"/>
      <c r="NHO1067" s="989"/>
      <c r="NHP1067" s="989"/>
      <c r="NHQ1067" s="989"/>
      <c r="NHR1067" s="989"/>
      <c r="NHS1067" s="989"/>
      <c r="NHT1067" s="989"/>
      <c r="NHU1067" s="989"/>
      <c r="NHV1067" s="989"/>
      <c r="NHW1067" s="989"/>
      <c r="NHX1067" s="989"/>
      <c r="NHY1067" s="989"/>
      <c r="NHZ1067" s="989"/>
      <c r="NIA1067" s="989"/>
      <c r="NIB1067" s="989"/>
      <c r="NIC1067" s="989"/>
      <c r="NID1067" s="989"/>
      <c r="NIE1067" s="989"/>
      <c r="NIF1067" s="989"/>
      <c r="NIG1067" s="989"/>
      <c r="NIH1067" s="989"/>
      <c r="NII1067" s="989"/>
      <c r="NIJ1067" s="989"/>
      <c r="NIK1067" s="989"/>
      <c r="NIL1067" s="989"/>
      <c r="NIM1067" s="989"/>
      <c r="NIN1067" s="989"/>
      <c r="NIO1067" s="989"/>
      <c r="NIP1067" s="989"/>
      <c r="NIQ1067" s="989"/>
      <c r="NIR1067" s="989"/>
      <c r="NIS1067" s="989"/>
      <c r="NIT1067" s="989"/>
      <c r="NIU1067" s="989"/>
      <c r="NIV1067" s="989"/>
      <c r="NIW1067" s="989"/>
      <c r="NIX1067" s="989"/>
      <c r="NIY1067" s="989"/>
      <c r="NIZ1067" s="989"/>
      <c r="NJA1067" s="989"/>
      <c r="NJB1067" s="989"/>
      <c r="NJC1067" s="989"/>
      <c r="NJD1067" s="989"/>
      <c r="NJE1067" s="989"/>
      <c r="NJF1067" s="989"/>
      <c r="NJG1067" s="989"/>
      <c r="NJH1067" s="989"/>
      <c r="NJI1067" s="989"/>
      <c r="NJJ1067" s="989"/>
      <c r="NJK1067" s="989"/>
      <c r="NJL1067" s="989"/>
      <c r="NJM1067" s="989"/>
      <c r="NJN1067" s="989"/>
      <c r="NJO1067" s="989"/>
      <c r="NJP1067" s="989"/>
      <c r="NJQ1067" s="989"/>
      <c r="NJR1067" s="989"/>
      <c r="NJS1067" s="989"/>
      <c r="NJT1067" s="989"/>
      <c r="NJU1067" s="989"/>
      <c r="NJV1067" s="989"/>
      <c r="NJW1067" s="989"/>
      <c r="NJX1067" s="989"/>
      <c r="NJY1067" s="989"/>
      <c r="NJZ1067" s="989"/>
      <c r="NKA1067" s="989"/>
      <c r="NKB1067" s="989"/>
      <c r="NKC1067" s="989"/>
      <c r="NKD1067" s="989"/>
      <c r="NKE1067" s="989"/>
      <c r="NKF1067" s="989"/>
      <c r="NKG1067" s="989"/>
      <c r="NKH1067" s="989"/>
      <c r="NKI1067" s="989"/>
      <c r="NKJ1067" s="989"/>
      <c r="NKK1067" s="989"/>
      <c r="NKL1067" s="989"/>
      <c r="NKM1067" s="989"/>
      <c r="NKN1067" s="989"/>
      <c r="NKO1067" s="989"/>
      <c r="NKP1067" s="989"/>
      <c r="NKQ1067" s="989"/>
      <c r="NKR1067" s="989"/>
      <c r="NKS1067" s="989"/>
      <c r="NKT1067" s="989"/>
      <c r="NKU1067" s="989"/>
      <c r="NKV1067" s="989"/>
      <c r="NKW1067" s="989"/>
      <c r="NKX1067" s="989"/>
      <c r="NKY1067" s="989"/>
      <c r="NKZ1067" s="989"/>
      <c r="NLA1067" s="989"/>
      <c r="NLB1067" s="989"/>
      <c r="NLC1067" s="989"/>
      <c r="NLD1067" s="989"/>
      <c r="NLE1067" s="989"/>
      <c r="NLF1067" s="989"/>
      <c r="NLG1067" s="989"/>
      <c r="NLH1067" s="989"/>
      <c r="NLI1067" s="989"/>
      <c r="NLJ1067" s="989"/>
      <c r="NLK1067" s="989"/>
      <c r="NLL1067" s="989"/>
      <c r="NLM1067" s="989"/>
      <c r="NLN1067" s="989"/>
      <c r="NLO1067" s="989"/>
      <c r="NLP1067" s="989"/>
      <c r="NLQ1067" s="989"/>
      <c r="NLR1067" s="989"/>
      <c r="NLS1067" s="989"/>
      <c r="NLT1067" s="989"/>
      <c r="NLU1067" s="989"/>
      <c r="NLV1067" s="989"/>
      <c r="NLW1067" s="989"/>
      <c r="NLX1067" s="989"/>
      <c r="NLY1067" s="989"/>
      <c r="NLZ1067" s="989"/>
      <c r="NMA1067" s="989"/>
      <c r="NMB1067" s="989"/>
      <c r="NMC1067" s="989"/>
      <c r="NMD1067" s="989"/>
      <c r="NME1067" s="989"/>
      <c r="NMF1067" s="989"/>
      <c r="NMG1067" s="989"/>
      <c r="NMH1067" s="989"/>
      <c r="NMI1067" s="989"/>
      <c r="NMJ1067" s="989"/>
      <c r="NMK1067" s="989"/>
      <c r="NML1067" s="989"/>
      <c r="NMM1067" s="989"/>
      <c r="NMN1067" s="989"/>
      <c r="NMO1067" s="989"/>
      <c r="NMP1067" s="989"/>
      <c r="NMQ1067" s="989"/>
      <c r="NMR1067" s="989"/>
      <c r="NMS1067" s="989"/>
      <c r="NMT1067" s="989"/>
      <c r="NMU1067" s="989"/>
      <c r="NMV1067" s="989"/>
      <c r="NMW1067" s="989"/>
      <c r="NMX1067" s="989"/>
      <c r="NMY1067" s="989"/>
      <c r="NMZ1067" s="989"/>
      <c r="NNA1067" s="989"/>
      <c r="NNB1067" s="989"/>
      <c r="NNC1067" s="989"/>
      <c r="NND1067" s="989"/>
      <c r="NNE1067" s="989"/>
      <c r="NNF1067" s="989"/>
      <c r="NNG1067" s="989"/>
      <c r="NNH1067" s="989"/>
      <c r="NNI1067" s="989"/>
      <c r="NNJ1067" s="989"/>
      <c r="NNK1067" s="989"/>
      <c r="NNL1067" s="989"/>
      <c r="NNM1067" s="989"/>
      <c r="NNN1067" s="989"/>
      <c r="NNO1067" s="989"/>
      <c r="NNP1067" s="989"/>
      <c r="NNQ1067" s="989"/>
      <c r="NNR1067" s="989"/>
      <c r="NNS1067" s="989"/>
      <c r="NNT1067" s="989"/>
      <c r="NNU1067" s="989"/>
      <c r="NNV1067" s="989"/>
      <c r="NNW1067" s="989"/>
      <c r="NNX1067" s="989"/>
      <c r="NNY1067" s="989"/>
      <c r="NNZ1067" s="989"/>
      <c r="NOA1067" s="989"/>
      <c r="NOB1067" s="989"/>
      <c r="NOC1067" s="989"/>
      <c r="NOD1067" s="989"/>
      <c r="NOE1067" s="989"/>
      <c r="NOF1067" s="989"/>
      <c r="NOG1067" s="989"/>
      <c r="NOH1067" s="989"/>
      <c r="NOI1067" s="989"/>
      <c r="NOJ1067" s="989"/>
      <c r="NOK1067" s="989"/>
      <c r="NOL1067" s="989"/>
      <c r="NOM1067" s="989"/>
      <c r="NON1067" s="989"/>
      <c r="NOO1067" s="989"/>
      <c r="NOP1067" s="989"/>
      <c r="NOQ1067" s="989"/>
      <c r="NOR1067" s="989"/>
      <c r="NOS1067" s="989"/>
      <c r="NOT1067" s="989"/>
      <c r="NOU1067" s="989"/>
      <c r="NOV1067" s="989"/>
      <c r="NOW1067" s="989"/>
      <c r="NOX1067" s="989"/>
      <c r="NOY1067" s="989"/>
      <c r="NOZ1067" s="989"/>
      <c r="NPA1067" s="989"/>
      <c r="NPB1067" s="989"/>
      <c r="NPC1067" s="989"/>
      <c r="NPD1067" s="989"/>
      <c r="NPE1067" s="989"/>
      <c r="NPF1067" s="989"/>
      <c r="NPG1067" s="989"/>
      <c r="NPH1067" s="989"/>
      <c r="NPI1067" s="989"/>
      <c r="NPJ1067" s="989"/>
      <c r="NPK1067" s="989"/>
      <c r="NPL1067" s="989"/>
      <c r="NPM1067" s="989"/>
      <c r="NPN1067" s="989"/>
      <c r="NPO1067" s="989"/>
      <c r="NPP1067" s="989"/>
      <c r="NPQ1067" s="989"/>
      <c r="NPR1067" s="989"/>
      <c r="NPS1067" s="989"/>
      <c r="NPT1067" s="989"/>
      <c r="NPU1067" s="989"/>
      <c r="NPV1067" s="989"/>
      <c r="NPW1067" s="989"/>
      <c r="NPX1067" s="989"/>
      <c r="NPY1067" s="989"/>
      <c r="NPZ1067" s="989"/>
      <c r="NQA1067" s="989"/>
      <c r="NQB1067" s="989"/>
      <c r="NQC1067" s="989"/>
      <c r="NQD1067" s="989"/>
      <c r="NQE1067" s="989"/>
      <c r="NQF1067" s="989"/>
      <c r="NQG1067" s="989"/>
      <c r="NQH1067" s="989"/>
      <c r="NQI1067" s="989"/>
      <c r="NQJ1067" s="989"/>
      <c r="NQK1067" s="989"/>
      <c r="NQL1067" s="989"/>
      <c r="NQM1067" s="989"/>
      <c r="NQN1067" s="989"/>
      <c r="NQO1067" s="989"/>
      <c r="NQP1067" s="989"/>
      <c r="NQQ1067" s="989"/>
      <c r="NQR1067" s="989"/>
      <c r="NQS1067" s="989"/>
      <c r="NQT1067" s="989"/>
      <c r="NQU1067" s="989"/>
      <c r="NQV1067" s="989"/>
      <c r="NQW1067" s="989"/>
      <c r="NQX1067" s="989"/>
      <c r="NQY1067" s="989"/>
      <c r="NQZ1067" s="989"/>
      <c r="NRA1067" s="989"/>
      <c r="NRB1067" s="989"/>
      <c r="NRC1067" s="989"/>
      <c r="NRD1067" s="989"/>
      <c r="NRE1067" s="989"/>
      <c r="NRF1067" s="989"/>
      <c r="NRG1067" s="989"/>
      <c r="NRH1067" s="989"/>
      <c r="NRI1067" s="989"/>
      <c r="NRJ1067" s="989"/>
      <c r="NRK1067" s="989"/>
      <c r="NRL1067" s="989"/>
      <c r="NRM1067" s="989"/>
      <c r="NRN1067" s="989"/>
      <c r="NRO1067" s="989"/>
      <c r="NRP1067" s="989"/>
      <c r="NRQ1067" s="989"/>
      <c r="NRR1067" s="989"/>
      <c r="NRS1067" s="989"/>
      <c r="NRT1067" s="989"/>
      <c r="NRU1067" s="989"/>
      <c r="NRV1067" s="989"/>
      <c r="NRW1067" s="989"/>
      <c r="NRX1067" s="989"/>
      <c r="NRY1067" s="989"/>
      <c r="NRZ1067" s="989"/>
      <c r="NSA1067" s="989"/>
      <c r="NSB1067" s="989"/>
      <c r="NSC1067" s="989"/>
      <c r="NSD1067" s="989"/>
      <c r="NSE1067" s="989"/>
      <c r="NSF1067" s="989"/>
      <c r="NSG1067" s="989"/>
      <c r="NSH1067" s="989"/>
      <c r="NSI1067" s="989"/>
      <c r="NSJ1067" s="989"/>
      <c r="NSK1067" s="989"/>
      <c r="NSL1067" s="989"/>
      <c r="NSM1067" s="989"/>
      <c r="NSN1067" s="989"/>
      <c r="NSO1067" s="989"/>
      <c r="NSP1067" s="989"/>
      <c r="NSQ1067" s="989"/>
      <c r="NSR1067" s="989"/>
      <c r="NSS1067" s="989"/>
      <c r="NST1067" s="989"/>
      <c r="NSU1067" s="989"/>
      <c r="NSV1067" s="989"/>
      <c r="NSW1067" s="989"/>
      <c r="NSX1067" s="989"/>
      <c r="NSY1067" s="989"/>
      <c r="NSZ1067" s="989"/>
      <c r="NTA1067" s="989"/>
      <c r="NTB1067" s="989"/>
      <c r="NTC1067" s="989"/>
      <c r="NTD1067" s="989"/>
      <c r="NTE1067" s="989"/>
      <c r="NTF1067" s="989"/>
      <c r="NTG1067" s="989"/>
      <c r="NTH1067" s="989"/>
      <c r="NTI1067" s="989"/>
      <c r="NTJ1067" s="989"/>
      <c r="NTK1067" s="989"/>
      <c r="NTL1067" s="989"/>
      <c r="NTM1067" s="989"/>
      <c r="NTN1067" s="989"/>
      <c r="NTO1067" s="989"/>
      <c r="NTP1067" s="989"/>
      <c r="NTQ1067" s="989"/>
      <c r="NTR1067" s="989"/>
      <c r="NTS1067" s="989"/>
      <c r="NTT1067" s="989"/>
      <c r="NTU1067" s="989"/>
      <c r="NTV1067" s="989"/>
      <c r="NTW1067" s="989"/>
      <c r="NTX1067" s="989"/>
      <c r="NTY1067" s="989"/>
      <c r="NTZ1067" s="989"/>
      <c r="NUA1067" s="989"/>
      <c r="NUB1067" s="989"/>
      <c r="NUC1067" s="989"/>
      <c r="NUD1067" s="989"/>
      <c r="NUE1067" s="989"/>
      <c r="NUF1067" s="989"/>
      <c r="NUG1067" s="989"/>
      <c r="NUH1067" s="989"/>
      <c r="NUI1067" s="989"/>
      <c r="NUJ1067" s="989"/>
      <c r="NUK1067" s="989"/>
      <c r="NUL1067" s="989"/>
      <c r="NUM1067" s="989"/>
      <c r="NUN1067" s="989"/>
      <c r="NUO1067" s="989"/>
      <c r="NUP1067" s="989"/>
      <c r="NUQ1067" s="989"/>
      <c r="NUR1067" s="989"/>
      <c r="NUS1067" s="989"/>
      <c r="NUT1067" s="989"/>
      <c r="NUU1067" s="989"/>
      <c r="NUV1067" s="989"/>
      <c r="NUW1067" s="989"/>
      <c r="NUX1067" s="989"/>
      <c r="NUY1067" s="989"/>
      <c r="NUZ1067" s="989"/>
      <c r="NVA1067" s="989"/>
      <c r="NVB1067" s="989"/>
      <c r="NVC1067" s="989"/>
      <c r="NVD1067" s="989"/>
      <c r="NVE1067" s="989"/>
      <c r="NVF1067" s="989"/>
      <c r="NVG1067" s="989"/>
      <c r="NVH1067" s="989"/>
      <c r="NVI1067" s="989"/>
      <c r="NVJ1067" s="989"/>
      <c r="NVK1067" s="989"/>
      <c r="NVL1067" s="989"/>
      <c r="NVM1067" s="989"/>
      <c r="NVN1067" s="989"/>
      <c r="NVO1067" s="989"/>
      <c r="NVP1067" s="989"/>
      <c r="NVQ1067" s="989"/>
      <c r="NVR1067" s="989"/>
      <c r="NVS1067" s="989"/>
      <c r="NVT1067" s="989"/>
      <c r="NVU1067" s="989"/>
      <c r="NVV1067" s="989"/>
      <c r="NVW1067" s="989"/>
      <c r="NVX1067" s="989"/>
      <c r="NVY1067" s="989"/>
      <c r="NVZ1067" s="989"/>
      <c r="NWA1067" s="989"/>
      <c r="NWB1067" s="989"/>
      <c r="NWC1067" s="989"/>
      <c r="NWD1067" s="989"/>
      <c r="NWE1067" s="989"/>
      <c r="NWF1067" s="989"/>
      <c r="NWG1067" s="989"/>
      <c r="NWH1067" s="989"/>
      <c r="NWI1067" s="989"/>
      <c r="NWJ1067" s="989"/>
      <c r="NWK1067" s="989"/>
      <c r="NWL1067" s="989"/>
      <c r="NWM1067" s="989"/>
      <c r="NWN1067" s="989"/>
      <c r="NWO1067" s="989"/>
      <c r="NWP1067" s="989"/>
      <c r="NWQ1067" s="989"/>
      <c r="NWR1067" s="989"/>
      <c r="NWS1067" s="989"/>
      <c r="NWT1067" s="989"/>
      <c r="NWU1067" s="989"/>
      <c r="NWV1067" s="989"/>
      <c r="NWW1067" s="989"/>
      <c r="NWX1067" s="989"/>
      <c r="NWY1067" s="989"/>
      <c r="NWZ1067" s="989"/>
      <c r="NXA1067" s="989"/>
      <c r="NXB1067" s="989"/>
      <c r="NXC1067" s="989"/>
      <c r="NXD1067" s="989"/>
      <c r="NXE1067" s="989"/>
      <c r="NXF1067" s="989"/>
      <c r="NXG1067" s="989"/>
      <c r="NXH1067" s="989"/>
      <c r="NXI1067" s="989"/>
      <c r="NXJ1067" s="989"/>
      <c r="NXK1067" s="989"/>
      <c r="NXL1067" s="989"/>
      <c r="NXM1067" s="989"/>
      <c r="NXN1067" s="989"/>
      <c r="NXO1067" s="989"/>
      <c r="NXP1067" s="989"/>
      <c r="NXQ1067" s="989"/>
      <c r="NXR1067" s="989"/>
      <c r="NXS1067" s="989"/>
      <c r="NXT1067" s="989"/>
      <c r="NXU1067" s="989"/>
      <c r="NXV1067" s="989"/>
      <c r="NXW1067" s="989"/>
      <c r="NXX1067" s="989"/>
      <c r="NXY1067" s="989"/>
      <c r="NXZ1067" s="989"/>
      <c r="NYA1067" s="989"/>
      <c r="NYB1067" s="989"/>
      <c r="NYC1067" s="989"/>
      <c r="NYD1067" s="989"/>
      <c r="NYE1067" s="989"/>
      <c r="NYF1067" s="989"/>
      <c r="NYG1067" s="989"/>
      <c r="NYH1067" s="989"/>
      <c r="NYI1067" s="989"/>
      <c r="NYJ1067" s="989"/>
      <c r="NYK1067" s="989"/>
      <c r="NYL1067" s="989"/>
      <c r="NYM1067" s="989"/>
      <c r="NYN1067" s="989"/>
      <c r="NYO1067" s="989"/>
      <c r="NYP1067" s="989"/>
      <c r="NYQ1067" s="989"/>
      <c r="NYR1067" s="989"/>
      <c r="NYS1067" s="989"/>
      <c r="NYT1067" s="989"/>
      <c r="NYU1067" s="989"/>
      <c r="NYV1067" s="989"/>
      <c r="NYW1067" s="989"/>
      <c r="NYX1067" s="989"/>
      <c r="NYY1067" s="989"/>
      <c r="NYZ1067" s="989"/>
      <c r="NZA1067" s="989"/>
      <c r="NZB1067" s="989"/>
      <c r="NZC1067" s="989"/>
      <c r="NZD1067" s="989"/>
      <c r="NZE1067" s="989"/>
      <c r="NZF1067" s="989"/>
      <c r="NZG1067" s="989"/>
      <c r="NZH1067" s="989"/>
      <c r="NZI1067" s="989"/>
      <c r="NZJ1067" s="989"/>
      <c r="NZK1067" s="989"/>
      <c r="NZL1067" s="989"/>
      <c r="NZM1067" s="989"/>
      <c r="NZN1067" s="989"/>
      <c r="NZO1067" s="989"/>
      <c r="NZP1067" s="989"/>
      <c r="NZQ1067" s="989"/>
      <c r="NZR1067" s="989"/>
      <c r="NZS1067" s="989"/>
      <c r="NZT1067" s="989"/>
      <c r="NZU1067" s="989"/>
      <c r="NZV1067" s="989"/>
      <c r="NZW1067" s="989"/>
      <c r="NZX1067" s="989"/>
      <c r="NZY1067" s="989"/>
      <c r="NZZ1067" s="989"/>
      <c r="OAA1067" s="989"/>
      <c r="OAB1067" s="989"/>
      <c r="OAC1067" s="989"/>
      <c r="OAD1067" s="989"/>
      <c r="OAE1067" s="989"/>
      <c r="OAF1067" s="989"/>
      <c r="OAG1067" s="989"/>
      <c r="OAH1067" s="989"/>
      <c r="OAI1067" s="989"/>
      <c r="OAJ1067" s="989"/>
      <c r="OAK1067" s="989"/>
      <c r="OAL1067" s="989"/>
      <c r="OAM1067" s="989"/>
      <c r="OAN1067" s="989"/>
      <c r="OAO1067" s="989"/>
      <c r="OAP1067" s="989"/>
      <c r="OAQ1067" s="989"/>
      <c r="OAR1067" s="989"/>
      <c r="OAS1067" s="989"/>
      <c r="OAT1067" s="989"/>
      <c r="OAU1067" s="989"/>
      <c r="OAV1067" s="989"/>
      <c r="OAW1067" s="989"/>
      <c r="OAX1067" s="989"/>
      <c r="OAY1067" s="989"/>
      <c r="OAZ1067" s="989"/>
      <c r="OBA1067" s="989"/>
      <c r="OBB1067" s="989"/>
      <c r="OBC1067" s="989"/>
      <c r="OBD1067" s="989"/>
      <c r="OBE1067" s="989"/>
      <c r="OBF1067" s="989"/>
      <c r="OBG1067" s="989"/>
      <c r="OBH1067" s="989"/>
      <c r="OBI1067" s="989"/>
      <c r="OBJ1067" s="989"/>
      <c r="OBK1067" s="989"/>
      <c r="OBL1067" s="989"/>
      <c r="OBM1067" s="989"/>
      <c r="OBN1067" s="989"/>
      <c r="OBO1067" s="989"/>
      <c r="OBP1067" s="989"/>
      <c r="OBQ1067" s="989"/>
      <c r="OBR1067" s="989"/>
      <c r="OBS1067" s="989"/>
      <c r="OBT1067" s="989"/>
      <c r="OBU1067" s="989"/>
      <c r="OBV1067" s="989"/>
      <c r="OBW1067" s="989"/>
      <c r="OBX1067" s="989"/>
      <c r="OBY1067" s="989"/>
      <c r="OBZ1067" s="989"/>
      <c r="OCA1067" s="989"/>
      <c r="OCB1067" s="989"/>
      <c r="OCC1067" s="989"/>
      <c r="OCD1067" s="989"/>
      <c r="OCE1067" s="989"/>
      <c r="OCF1067" s="989"/>
      <c r="OCG1067" s="989"/>
      <c r="OCH1067" s="989"/>
      <c r="OCI1067" s="989"/>
      <c r="OCJ1067" s="989"/>
      <c r="OCK1067" s="989"/>
      <c r="OCL1067" s="989"/>
      <c r="OCM1067" s="989"/>
      <c r="OCN1067" s="989"/>
      <c r="OCO1067" s="989"/>
      <c r="OCP1067" s="989"/>
      <c r="OCQ1067" s="989"/>
      <c r="OCR1067" s="989"/>
      <c r="OCS1067" s="989"/>
      <c r="OCT1067" s="989"/>
      <c r="OCU1067" s="989"/>
      <c r="OCV1067" s="989"/>
      <c r="OCW1067" s="989"/>
      <c r="OCX1067" s="989"/>
      <c r="OCY1067" s="989"/>
      <c r="OCZ1067" s="989"/>
      <c r="ODA1067" s="989"/>
      <c r="ODB1067" s="989"/>
      <c r="ODC1067" s="989"/>
      <c r="ODD1067" s="989"/>
      <c r="ODE1067" s="989"/>
      <c r="ODF1067" s="989"/>
      <c r="ODG1067" s="989"/>
      <c r="ODH1067" s="989"/>
      <c r="ODI1067" s="989"/>
      <c r="ODJ1067" s="989"/>
      <c r="ODK1067" s="989"/>
      <c r="ODL1067" s="989"/>
      <c r="ODM1067" s="989"/>
      <c r="ODN1067" s="989"/>
      <c r="ODO1067" s="989"/>
      <c r="ODP1067" s="989"/>
      <c r="ODQ1067" s="989"/>
      <c r="ODR1067" s="989"/>
      <c r="ODS1067" s="989"/>
      <c r="ODT1067" s="989"/>
      <c r="ODU1067" s="989"/>
      <c r="ODV1067" s="989"/>
      <c r="ODW1067" s="989"/>
      <c r="ODX1067" s="989"/>
      <c r="ODY1067" s="989"/>
      <c r="ODZ1067" s="989"/>
      <c r="OEA1067" s="989"/>
      <c r="OEB1067" s="989"/>
      <c r="OEC1067" s="989"/>
      <c r="OED1067" s="989"/>
      <c r="OEE1067" s="989"/>
      <c r="OEF1067" s="989"/>
      <c r="OEG1067" s="989"/>
      <c r="OEH1067" s="989"/>
      <c r="OEI1067" s="989"/>
      <c r="OEJ1067" s="989"/>
      <c r="OEK1067" s="989"/>
      <c r="OEL1067" s="989"/>
      <c r="OEM1067" s="989"/>
      <c r="OEN1067" s="989"/>
      <c r="OEO1067" s="989"/>
      <c r="OEP1067" s="989"/>
      <c r="OEQ1067" s="989"/>
      <c r="OER1067" s="989"/>
      <c r="OES1067" s="989"/>
      <c r="OET1067" s="989"/>
      <c r="OEU1067" s="989"/>
      <c r="OEV1067" s="989"/>
      <c r="OEW1067" s="989"/>
      <c r="OEX1067" s="989"/>
      <c r="OEY1067" s="989"/>
      <c r="OEZ1067" s="989"/>
      <c r="OFA1067" s="989"/>
      <c r="OFB1067" s="989"/>
      <c r="OFC1067" s="989"/>
      <c r="OFD1067" s="989"/>
      <c r="OFE1067" s="989"/>
      <c r="OFF1067" s="989"/>
      <c r="OFG1067" s="989"/>
      <c r="OFH1067" s="989"/>
      <c r="OFI1067" s="989"/>
      <c r="OFJ1067" s="989"/>
      <c r="OFK1067" s="989"/>
      <c r="OFL1067" s="989"/>
      <c r="OFM1067" s="989"/>
      <c r="OFN1067" s="989"/>
      <c r="OFO1067" s="989"/>
      <c r="OFP1067" s="989"/>
      <c r="OFQ1067" s="989"/>
      <c r="OFR1067" s="989"/>
      <c r="OFS1067" s="989"/>
      <c r="OFT1067" s="989"/>
      <c r="OFU1067" s="989"/>
      <c r="OFV1067" s="989"/>
      <c r="OFW1067" s="989"/>
      <c r="OFX1067" s="989"/>
      <c r="OFY1067" s="989"/>
      <c r="OFZ1067" s="989"/>
      <c r="OGA1067" s="989"/>
      <c r="OGB1067" s="989"/>
      <c r="OGC1067" s="989"/>
      <c r="OGD1067" s="989"/>
      <c r="OGE1067" s="989"/>
      <c r="OGF1067" s="989"/>
      <c r="OGG1067" s="989"/>
      <c r="OGH1067" s="989"/>
      <c r="OGI1067" s="989"/>
      <c r="OGJ1067" s="989"/>
      <c r="OGK1067" s="989"/>
      <c r="OGL1067" s="989"/>
      <c r="OGM1067" s="989"/>
      <c r="OGN1067" s="989"/>
      <c r="OGO1067" s="989"/>
      <c r="OGP1067" s="989"/>
      <c r="OGQ1067" s="989"/>
      <c r="OGR1067" s="989"/>
      <c r="OGS1067" s="989"/>
      <c r="OGT1067" s="989"/>
      <c r="OGU1067" s="989"/>
      <c r="OGV1067" s="989"/>
      <c r="OGW1067" s="989"/>
      <c r="OGX1067" s="989"/>
      <c r="OGY1067" s="989"/>
      <c r="OGZ1067" s="989"/>
      <c r="OHA1067" s="989"/>
      <c r="OHB1067" s="989"/>
      <c r="OHC1067" s="989"/>
      <c r="OHD1067" s="989"/>
      <c r="OHE1067" s="989"/>
      <c r="OHF1067" s="989"/>
      <c r="OHG1067" s="989"/>
      <c r="OHH1067" s="989"/>
      <c r="OHI1067" s="989"/>
      <c r="OHJ1067" s="989"/>
      <c r="OHK1067" s="989"/>
      <c r="OHL1067" s="989"/>
      <c r="OHM1067" s="989"/>
      <c r="OHN1067" s="989"/>
      <c r="OHO1067" s="989"/>
      <c r="OHP1067" s="989"/>
      <c r="OHQ1067" s="989"/>
      <c r="OHR1067" s="989"/>
      <c r="OHS1067" s="989"/>
      <c r="OHT1067" s="989"/>
      <c r="OHU1067" s="989"/>
      <c r="OHV1067" s="989"/>
      <c r="OHW1067" s="989"/>
      <c r="OHX1067" s="989"/>
      <c r="OHY1067" s="989"/>
      <c r="OHZ1067" s="989"/>
      <c r="OIA1067" s="989"/>
      <c r="OIB1067" s="989"/>
      <c r="OIC1067" s="989"/>
      <c r="OID1067" s="989"/>
      <c r="OIE1067" s="989"/>
      <c r="OIF1067" s="989"/>
      <c r="OIG1067" s="989"/>
      <c r="OIH1067" s="989"/>
      <c r="OII1067" s="989"/>
      <c r="OIJ1067" s="989"/>
      <c r="OIK1067" s="989"/>
      <c r="OIL1067" s="989"/>
      <c r="OIM1067" s="989"/>
      <c r="OIN1067" s="989"/>
      <c r="OIO1067" s="989"/>
      <c r="OIP1067" s="989"/>
      <c r="OIQ1067" s="989"/>
      <c r="OIR1067" s="989"/>
      <c r="OIS1067" s="989"/>
      <c r="OIT1067" s="989"/>
      <c r="OIU1067" s="989"/>
      <c r="OIV1067" s="989"/>
      <c r="OIW1067" s="989"/>
      <c r="OIX1067" s="989"/>
      <c r="OIY1067" s="989"/>
      <c r="OIZ1067" s="989"/>
      <c r="OJA1067" s="989"/>
      <c r="OJB1067" s="989"/>
      <c r="OJC1067" s="989"/>
      <c r="OJD1067" s="989"/>
      <c r="OJE1067" s="989"/>
      <c r="OJF1067" s="989"/>
      <c r="OJG1067" s="989"/>
      <c r="OJH1067" s="989"/>
      <c r="OJI1067" s="989"/>
      <c r="OJJ1067" s="989"/>
      <c r="OJK1067" s="989"/>
      <c r="OJL1067" s="989"/>
      <c r="OJM1067" s="989"/>
      <c r="OJN1067" s="989"/>
      <c r="OJO1067" s="989"/>
      <c r="OJP1067" s="989"/>
      <c r="OJQ1067" s="989"/>
      <c r="OJR1067" s="989"/>
      <c r="OJS1067" s="989"/>
      <c r="OJT1067" s="989"/>
      <c r="OJU1067" s="989"/>
      <c r="OJV1067" s="989"/>
      <c r="OJW1067" s="989"/>
      <c r="OJX1067" s="989"/>
      <c r="OJY1067" s="989"/>
      <c r="OJZ1067" s="989"/>
      <c r="OKA1067" s="989"/>
      <c r="OKB1067" s="989"/>
      <c r="OKC1067" s="989"/>
      <c r="OKD1067" s="989"/>
      <c r="OKE1067" s="989"/>
      <c r="OKF1067" s="989"/>
      <c r="OKG1067" s="989"/>
      <c r="OKH1067" s="989"/>
      <c r="OKI1067" s="989"/>
      <c r="OKJ1067" s="989"/>
      <c r="OKK1067" s="989"/>
      <c r="OKL1067" s="989"/>
      <c r="OKM1067" s="989"/>
      <c r="OKN1067" s="989"/>
      <c r="OKO1067" s="989"/>
      <c r="OKP1067" s="989"/>
      <c r="OKQ1067" s="989"/>
      <c r="OKR1067" s="989"/>
      <c r="OKS1067" s="989"/>
      <c r="OKT1067" s="989"/>
      <c r="OKU1067" s="989"/>
      <c r="OKV1067" s="989"/>
      <c r="OKW1067" s="989"/>
      <c r="OKX1067" s="989"/>
      <c r="OKY1067" s="989"/>
      <c r="OKZ1067" s="989"/>
      <c r="OLA1067" s="989"/>
      <c r="OLB1067" s="989"/>
      <c r="OLC1067" s="989"/>
      <c r="OLD1067" s="989"/>
      <c r="OLE1067" s="989"/>
      <c r="OLF1067" s="989"/>
      <c r="OLG1067" s="989"/>
      <c r="OLH1067" s="989"/>
      <c r="OLI1067" s="989"/>
      <c r="OLJ1067" s="989"/>
      <c r="OLK1067" s="989"/>
      <c r="OLL1067" s="989"/>
      <c r="OLM1067" s="989"/>
      <c r="OLN1067" s="989"/>
      <c r="OLO1067" s="989"/>
      <c r="OLP1067" s="989"/>
      <c r="OLQ1067" s="989"/>
      <c r="OLR1067" s="989"/>
      <c r="OLS1067" s="989"/>
      <c r="OLT1067" s="989"/>
      <c r="OLU1067" s="989"/>
      <c r="OLV1067" s="989"/>
      <c r="OLW1067" s="989"/>
      <c r="OLX1067" s="989"/>
      <c r="OLY1067" s="989"/>
      <c r="OLZ1067" s="989"/>
      <c r="OMA1067" s="989"/>
      <c r="OMB1067" s="989"/>
      <c r="OMC1067" s="989"/>
      <c r="OMD1067" s="989"/>
      <c r="OME1067" s="989"/>
      <c r="OMF1067" s="989"/>
      <c r="OMG1067" s="989"/>
      <c r="OMH1067" s="989"/>
      <c r="OMI1067" s="989"/>
      <c r="OMJ1067" s="989"/>
      <c r="OMK1067" s="989"/>
      <c r="OML1067" s="989"/>
      <c r="OMM1067" s="989"/>
      <c r="OMN1067" s="989"/>
      <c r="OMO1067" s="989"/>
      <c r="OMP1067" s="989"/>
      <c r="OMQ1067" s="989"/>
      <c r="OMR1067" s="989"/>
      <c r="OMS1067" s="989"/>
      <c r="OMT1067" s="989"/>
      <c r="OMU1067" s="989"/>
      <c r="OMV1067" s="989"/>
      <c r="OMW1067" s="989"/>
      <c r="OMX1067" s="989"/>
      <c r="OMY1067" s="989"/>
      <c r="OMZ1067" s="989"/>
      <c r="ONA1067" s="989"/>
      <c r="ONB1067" s="989"/>
      <c r="ONC1067" s="989"/>
      <c r="OND1067" s="989"/>
      <c r="ONE1067" s="989"/>
      <c r="ONF1067" s="989"/>
      <c r="ONG1067" s="989"/>
      <c r="ONH1067" s="989"/>
      <c r="ONI1067" s="989"/>
      <c r="ONJ1067" s="989"/>
      <c r="ONK1067" s="989"/>
      <c r="ONL1067" s="989"/>
      <c r="ONM1067" s="989"/>
      <c r="ONN1067" s="989"/>
      <c r="ONO1067" s="989"/>
      <c r="ONP1067" s="989"/>
      <c r="ONQ1067" s="989"/>
      <c r="ONR1067" s="989"/>
      <c r="ONS1067" s="989"/>
      <c r="ONT1067" s="989"/>
      <c r="ONU1067" s="989"/>
      <c r="ONV1067" s="989"/>
      <c r="ONW1067" s="989"/>
      <c r="ONX1067" s="989"/>
      <c r="ONY1067" s="989"/>
      <c r="ONZ1067" s="989"/>
      <c r="OOA1067" s="989"/>
      <c r="OOB1067" s="989"/>
      <c r="OOC1067" s="989"/>
      <c r="OOD1067" s="989"/>
      <c r="OOE1067" s="989"/>
      <c r="OOF1067" s="989"/>
      <c r="OOG1067" s="989"/>
      <c r="OOH1067" s="989"/>
      <c r="OOI1067" s="989"/>
      <c r="OOJ1067" s="989"/>
      <c r="OOK1067" s="989"/>
      <c r="OOL1067" s="989"/>
      <c r="OOM1067" s="989"/>
      <c r="OON1067" s="989"/>
      <c r="OOO1067" s="989"/>
      <c r="OOP1067" s="989"/>
      <c r="OOQ1067" s="989"/>
      <c r="OOR1067" s="989"/>
      <c r="OOS1067" s="989"/>
      <c r="OOT1067" s="989"/>
      <c r="OOU1067" s="989"/>
      <c r="OOV1067" s="989"/>
      <c r="OOW1067" s="989"/>
      <c r="OOX1067" s="989"/>
      <c r="OOY1067" s="989"/>
      <c r="OOZ1067" s="989"/>
      <c r="OPA1067" s="989"/>
      <c r="OPB1067" s="989"/>
      <c r="OPC1067" s="989"/>
      <c r="OPD1067" s="989"/>
      <c r="OPE1067" s="989"/>
      <c r="OPF1067" s="989"/>
      <c r="OPG1067" s="989"/>
      <c r="OPH1067" s="989"/>
      <c r="OPI1067" s="989"/>
      <c r="OPJ1067" s="989"/>
      <c r="OPK1067" s="989"/>
      <c r="OPL1067" s="989"/>
      <c r="OPM1067" s="989"/>
      <c r="OPN1067" s="989"/>
      <c r="OPO1067" s="989"/>
      <c r="OPP1067" s="989"/>
      <c r="OPQ1067" s="989"/>
      <c r="OPR1067" s="989"/>
      <c r="OPS1067" s="989"/>
      <c r="OPT1067" s="989"/>
      <c r="OPU1067" s="989"/>
      <c r="OPV1067" s="989"/>
      <c r="OPW1067" s="989"/>
      <c r="OPX1067" s="989"/>
      <c r="OPY1067" s="989"/>
      <c r="OPZ1067" s="989"/>
      <c r="OQA1067" s="989"/>
      <c r="OQB1067" s="989"/>
      <c r="OQC1067" s="989"/>
      <c r="OQD1067" s="989"/>
      <c r="OQE1067" s="989"/>
      <c r="OQF1067" s="989"/>
      <c r="OQG1067" s="989"/>
      <c r="OQH1067" s="989"/>
      <c r="OQI1067" s="989"/>
      <c r="OQJ1067" s="989"/>
      <c r="OQK1067" s="989"/>
      <c r="OQL1067" s="989"/>
      <c r="OQM1067" s="989"/>
      <c r="OQN1067" s="989"/>
      <c r="OQO1067" s="989"/>
      <c r="OQP1067" s="989"/>
      <c r="OQQ1067" s="989"/>
      <c r="OQR1067" s="989"/>
      <c r="OQS1067" s="989"/>
      <c r="OQT1067" s="989"/>
      <c r="OQU1067" s="989"/>
      <c r="OQV1067" s="989"/>
      <c r="OQW1067" s="989"/>
      <c r="OQX1067" s="989"/>
      <c r="OQY1067" s="989"/>
      <c r="OQZ1067" s="989"/>
      <c r="ORA1067" s="989"/>
      <c r="ORB1067" s="989"/>
      <c r="ORC1067" s="989"/>
      <c r="ORD1067" s="989"/>
      <c r="ORE1067" s="989"/>
      <c r="ORF1067" s="989"/>
      <c r="ORG1067" s="989"/>
      <c r="ORH1067" s="989"/>
      <c r="ORI1067" s="989"/>
      <c r="ORJ1067" s="989"/>
      <c r="ORK1067" s="989"/>
      <c r="ORL1067" s="989"/>
      <c r="ORM1067" s="989"/>
      <c r="ORN1067" s="989"/>
      <c r="ORO1067" s="989"/>
      <c r="ORP1067" s="989"/>
      <c r="ORQ1067" s="989"/>
      <c r="ORR1067" s="989"/>
      <c r="ORS1067" s="989"/>
      <c r="ORT1067" s="989"/>
      <c r="ORU1067" s="989"/>
      <c r="ORV1067" s="989"/>
      <c r="ORW1067" s="989"/>
      <c r="ORX1067" s="989"/>
      <c r="ORY1067" s="989"/>
      <c r="ORZ1067" s="989"/>
      <c r="OSA1067" s="989"/>
      <c r="OSB1067" s="989"/>
      <c r="OSC1067" s="989"/>
      <c r="OSD1067" s="989"/>
      <c r="OSE1067" s="989"/>
      <c r="OSF1067" s="989"/>
      <c r="OSG1067" s="989"/>
      <c r="OSH1067" s="989"/>
      <c r="OSI1067" s="989"/>
      <c r="OSJ1067" s="989"/>
      <c r="OSK1067" s="989"/>
      <c r="OSL1067" s="989"/>
      <c r="OSM1067" s="989"/>
      <c r="OSN1067" s="989"/>
      <c r="OSO1067" s="989"/>
      <c r="OSP1067" s="989"/>
      <c r="OSQ1067" s="989"/>
      <c r="OSR1067" s="989"/>
      <c r="OSS1067" s="989"/>
      <c r="OST1067" s="989"/>
      <c r="OSU1067" s="989"/>
      <c r="OSV1067" s="989"/>
      <c r="OSW1067" s="989"/>
      <c r="OSX1067" s="989"/>
      <c r="OSY1067" s="989"/>
      <c r="OSZ1067" s="989"/>
      <c r="OTA1067" s="989"/>
      <c r="OTB1067" s="989"/>
      <c r="OTC1067" s="989"/>
      <c r="OTD1067" s="989"/>
      <c r="OTE1067" s="989"/>
      <c r="OTF1067" s="989"/>
      <c r="OTG1067" s="989"/>
      <c r="OTH1067" s="989"/>
      <c r="OTI1067" s="989"/>
      <c r="OTJ1067" s="989"/>
      <c r="OTK1067" s="989"/>
      <c r="OTL1067" s="989"/>
      <c r="OTM1067" s="989"/>
      <c r="OTN1067" s="989"/>
      <c r="OTO1067" s="989"/>
      <c r="OTP1067" s="989"/>
      <c r="OTQ1067" s="989"/>
      <c r="OTR1067" s="989"/>
      <c r="OTS1067" s="989"/>
      <c r="OTT1067" s="989"/>
      <c r="OTU1067" s="989"/>
      <c r="OTV1067" s="989"/>
      <c r="OTW1067" s="989"/>
      <c r="OTX1067" s="989"/>
      <c r="OTY1067" s="989"/>
      <c r="OTZ1067" s="989"/>
      <c r="OUA1067" s="989"/>
      <c r="OUB1067" s="989"/>
      <c r="OUC1067" s="989"/>
      <c r="OUD1067" s="989"/>
      <c r="OUE1067" s="989"/>
      <c r="OUF1067" s="989"/>
      <c r="OUG1067" s="989"/>
      <c r="OUH1067" s="989"/>
      <c r="OUI1067" s="989"/>
      <c r="OUJ1067" s="989"/>
      <c r="OUK1067" s="989"/>
      <c r="OUL1067" s="989"/>
      <c r="OUM1067" s="989"/>
      <c r="OUN1067" s="989"/>
      <c r="OUO1067" s="989"/>
      <c r="OUP1067" s="989"/>
      <c r="OUQ1067" s="989"/>
      <c r="OUR1067" s="989"/>
      <c r="OUS1067" s="989"/>
      <c r="OUT1067" s="989"/>
      <c r="OUU1067" s="989"/>
      <c r="OUV1067" s="989"/>
      <c r="OUW1067" s="989"/>
      <c r="OUX1067" s="989"/>
      <c r="OUY1067" s="989"/>
      <c r="OUZ1067" s="989"/>
      <c r="OVA1067" s="989"/>
      <c r="OVB1067" s="989"/>
      <c r="OVC1067" s="989"/>
      <c r="OVD1067" s="989"/>
      <c r="OVE1067" s="989"/>
      <c r="OVF1067" s="989"/>
      <c r="OVG1067" s="989"/>
      <c r="OVH1067" s="989"/>
      <c r="OVI1067" s="989"/>
      <c r="OVJ1067" s="989"/>
      <c r="OVK1067" s="989"/>
      <c r="OVL1067" s="989"/>
      <c r="OVM1067" s="989"/>
      <c r="OVN1067" s="989"/>
      <c r="OVO1067" s="989"/>
      <c r="OVP1067" s="989"/>
      <c r="OVQ1067" s="989"/>
      <c r="OVR1067" s="989"/>
      <c r="OVS1067" s="989"/>
      <c r="OVT1067" s="989"/>
      <c r="OVU1067" s="989"/>
      <c r="OVV1067" s="989"/>
      <c r="OVW1067" s="989"/>
      <c r="OVX1067" s="989"/>
      <c r="OVY1067" s="989"/>
      <c r="OVZ1067" s="989"/>
      <c r="OWA1067" s="989"/>
      <c r="OWB1067" s="989"/>
      <c r="OWC1067" s="989"/>
      <c r="OWD1067" s="989"/>
      <c r="OWE1067" s="989"/>
      <c r="OWF1067" s="989"/>
      <c r="OWG1067" s="989"/>
      <c r="OWH1067" s="989"/>
      <c r="OWI1067" s="989"/>
      <c r="OWJ1067" s="989"/>
      <c r="OWK1067" s="989"/>
      <c r="OWL1067" s="989"/>
      <c r="OWM1067" s="989"/>
      <c r="OWN1067" s="989"/>
      <c r="OWO1067" s="989"/>
      <c r="OWP1067" s="989"/>
      <c r="OWQ1067" s="989"/>
      <c r="OWR1067" s="989"/>
      <c r="OWS1067" s="989"/>
      <c r="OWT1067" s="989"/>
      <c r="OWU1067" s="989"/>
      <c r="OWV1067" s="989"/>
      <c r="OWW1067" s="989"/>
      <c r="OWX1067" s="989"/>
      <c r="OWY1067" s="989"/>
      <c r="OWZ1067" s="989"/>
      <c r="OXA1067" s="989"/>
      <c r="OXB1067" s="989"/>
      <c r="OXC1067" s="989"/>
      <c r="OXD1067" s="989"/>
      <c r="OXE1067" s="989"/>
      <c r="OXF1067" s="989"/>
      <c r="OXG1067" s="989"/>
      <c r="OXH1067" s="989"/>
      <c r="OXI1067" s="989"/>
      <c r="OXJ1067" s="989"/>
      <c r="OXK1067" s="989"/>
      <c r="OXL1067" s="989"/>
      <c r="OXM1067" s="989"/>
      <c r="OXN1067" s="989"/>
      <c r="OXO1067" s="989"/>
      <c r="OXP1067" s="989"/>
      <c r="OXQ1067" s="989"/>
      <c r="OXR1067" s="989"/>
      <c r="OXS1067" s="989"/>
      <c r="OXT1067" s="989"/>
      <c r="OXU1067" s="989"/>
      <c r="OXV1067" s="989"/>
      <c r="OXW1067" s="989"/>
      <c r="OXX1067" s="989"/>
      <c r="OXY1067" s="989"/>
      <c r="OXZ1067" s="989"/>
      <c r="OYA1067" s="989"/>
      <c r="OYB1067" s="989"/>
      <c r="OYC1067" s="989"/>
      <c r="OYD1067" s="989"/>
      <c r="OYE1067" s="989"/>
      <c r="OYF1067" s="989"/>
      <c r="OYG1067" s="989"/>
      <c r="OYH1067" s="989"/>
      <c r="OYI1067" s="989"/>
      <c r="OYJ1067" s="989"/>
      <c r="OYK1067" s="989"/>
      <c r="OYL1067" s="989"/>
      <c r="OYM1067" s="989"/>
      <c r="OYN1067" s="989"/>
      <c r="OYO1067" s="989"/>
      <c r="OYP1067" s="989"/>
      <c r="OYQ1067" s="989"/>
      <c r="OYR1067" s="989"/>
      <c r="OYS1067" s="989"/>
      <c r="OYT1067" s="989"/>
      <c r="OYU1067" s="989"/>
      <c r="OYV1067" s="989"/>
      <c r="OYW1067" s="989"/>
      <c r="OYX1067" s="989"/>
      <c r="OYY1067" s="989"/>
      <c r="OYZ1067" s="989"/>
      <c r="OZA1067" s="989"/>
      <c r="OZB1067" s="989"/>
      <c r="OZC1067" s="989"/>
      <c r="OZD1067" s="989"/>
      <c r="OZE1067" s="989"/>
      <c r="OZF1067" s="989"/>
      <c r="OZG1067" s="989"/>
      <c r="OZH1067" s="989"/>
      <c r="OZI1067" s="989"/>
      <c r="OZJ1067" s="989"/>
      <c r="OZK1067" s="989"/>
      <c r="OZL1067" s="989"/>
      <c r="OZM1067" s="989"/>
      <c r="OZN1067" s="989"/>
      <c r="OZO1067" s="989"/>
      <c r="OZP1067" s="989"/>
      <c r="OZQ1067" s="989"/>
      <c r="OZR1067" s="989"/>
      <c r="OZS1067" s="989"/>
      <c r="OZT1067" s="989"/>
      <c r="OZU1067" s="989"/>
      <c r="OZV1067" s="989"/>
      <c r="OZW1067" s="989"/>
      <c r="OZX1067" s="989"/>
      <c r="OZY1067" s="989"/>
      <c r="OZZ1067" s="989"/>
      <c r="PAA1067" s="989"/>
      <c r="PAB1067" s="989"/>
      <c r="PAC1067" s="989"/>
      <c r="PAD1067" s="989"/>
      <c r="PAE1067" s="989"/>
      <c r="PAF1067" s="989"/>
      <c r="PAG1067" s="989"/>
      <c r="PAH1067" s="989"/>
      <c r="PAI1067" s="989"/>
      <c r="PAJ1067" s="989"/>
      <c r="PAK1067" s="989"/>
      <c r="PAL1067" s="989"/>
      <c r="PAM1067" s="989"/>
      <c r="PAN1067" s="989"/>
      <c r="PAO1067" s="989"/>
      <c r="PAP1067" s="989"/>
      <c r="PAQ1067" s="989"/>
      <c r="PAR1067" s="989"/>
      <c r="PAS1067" s="989"/>
      <c r="PAT1067" s="989"/>
      <c r="PAU1067" s="989"/>
      <c r="PAV1067" s="989"/>
      <c r="PAW1067" s="989"/>
      <c r="PAX1067" s="989"/>
      <c r="PAY1067" s="989"/>
      <c r="PAZ1067" s="989"/>
      <c r="PBA1067" s="989"/>
      <c r="PBB1067" s="989"/>
      <c r="PBC1067" s="989"/>
      <c r="PBD1067" s="989"/>
      <c r="PBE1067" s="989"/>
      <c r="PBF1067" s="989"/>
      <c r="PBG1067" s="989"/>
      <c r="PBH1067" s="989"/>
      <c r="PBI1067" s="989"/>
      <c r="PBJ1067" s="989"/>
      <c r="PBK1067" s="989"/>
      <c r="PBL1067" s="989"/>
      <c r="PBM1067" s="989"/>
      <c r="PBN1067" s="989"/>
      <c r="PBO1067" s="989"/>
      <c r="PBP1067" s="989"/>
      <c r="PBQ1067" s="989"/>
      <c r="PBR1067" s="989"/>
      <c r="PBS1067" s="989"/>
      <c r="PBT1067" s="989"/>
      <c r="PBU1067" s="989"/>
      <c r="PBV1067" s="989"/>
      <c r="PBW1067" s="989"/>
      <c r="PBX1067" s="989"/>
      <c r="PBY1067" s="989"/>
      <c r="PBZ1067" s="989"/>
      <c r="PCA1067" s="989"/>
      <c r="PCB1067" s="989"/>
      <c r="PCC1067" s="989"/>
      <c r="PCD1067" s="989"/>
      <c r="PCE1067" s="989"/>
      <c r="PCF1067" s="989"/>
      <c r="PCG1067" s="989"/>
      <c r="PCH1067" s="989"/>
      <c r="PCI1067" s="989"/>
      <c r="PCJ1067" s="989"/>
      <c r="PCK1067" s="989"/>
      <c r="PCL1067" s="989"/>
      <c r="PCM1067" s="989"/>
      <c r="PCN1067" s="989"/>
      <c r="PCO1067" s="989"/>
      <c r="PCP1067" s="989"/>
      <c r="PCQ1067" s="989"/>
      <c r="PCR1067" s="989"/>
      <c r="PCS1067" s="989"/>
      <c r="PCT1067" s="989"/>
      <c r="PCU1067" s="989"/>
      <c r="PCV1067" s="989"/>
      <c r="PCW1067" s="989"/>
      <c r="PCX1067" s="989"/>
      <c r="PCY1067" s="989"/>
      <c r="PCZ1067" s="989"/>
      <c r="PDA1067" s="989"/>
      <c r="PDB1067" s="989"/>
      <c r="PDC1067" s="989"/>
      <c r="PDD1067" s="989"/>
      <c r="PDE1067" s="989"/>
      <c r="PDF1067" s="989"/>
      <c r="PDG1067" s="989"/>
      <c r="PDH1067" s="989"/>
      <c r="PDI1067" s="989"/>
      <c r="PDJ1067" s="989"/>
      <c r="PDK1067" s="989"/>
      <c r="PDL1067" s="989"/>
      <c r="PDM1067" s="989"/>
      <c r="PDN1067" s="989"/>
      <c r="PDO1067" s="989"/>
      <c r="PDP1067" s="989"/>
      <c r="PDQ1067" s="989"/>
      <c r="PDR1067" s="989"/>
      <c r="PDS1067" s="989"/>
      <c r="PDT1067" s="989"/>
      <c r="PDU1067" s="989"/>
      <c r="PDV1067" s="989"/>
      <c r="PDW1067" s="989"/>
      <c r="PDX1067" s="989"/>
      <c r="PDY1067" s="989"/>
      <c r="PDZ1067" s="989"/>
      <c r="PEA1067" s="989"/>
      <c r="PEB1067" s="989"/>
      <c r="PEC1067" s="989"/>
      <c r="PED1067" s="989"/>
      <c r="PEE1067" s="989"/>
      <c r="PEF1067" s="989"/>
      <c r="PEG1067" s="989"/>
      <c r="PEH1067" s="989"/>
      <c r="PEI1067" s="989"/>
      <c r="PEJ1067" s="989"/>
      <c r="PEK1067" s="989"/>
      <c r="PEL1067" s="989"/>
      <c r="PEM1067" s="989"/>
      <c r="PEN1067" s="989"/>
      <c r="PEO1067" s="989"/>
      <c r="PEP1067" s="989"/>
      <c r="PEQ1067" s="989"/>
      <c r="PER1067" s="989"/>
      <c r="PES1067" s="989"/>
      <c r="PET1067" s="989"/>
      <c r="PEU1067" s="989"/>
      <c r="PEV1067" s="989"/>
      <c r="PEW1067" s="989"/>
      <c r="PEX1067" s="989"/>
      <c r="PEY1067" s="989"/>
      <c r="PEZ1067" s="989"/>
      <c r="PFA1067" s="989"/>
      <c r="PFB1067" s="989"/>
      <c r="PFC1067" s="989"/>
      <c r="PFD1067" s="989"/>
      <c r="PFE1067" s="989"/>
      <c r="PFF1067" s="989"/>
      <c r="PFG1067" s="989"/>
      <c r="PFH1067" s="989"/>
      <c r="PFI1067" s="989"/>
      <c r="PFJ1067" s="989"/>
      <c r="PFK1067" s="989"/>
      <c r="PFL1067" s="989"/>
      <c r="PFM1067" s="989"/>
      <c r="PFN1067" s="989"/>
      <c r="PFO1067" s="989"/>
      <c r="PFP1067" s="989"/>
      <c r="PFQ1067" s="989"/>
      <c r="PFR1067" s="989"/>
      <c r="PFS1067" s="989"/>
      <c r="PFT1067" s="989"/>
      <c r="PFU1067" s="989"/>
      <c r="PFV1067" s="989"/>
      <c r="PFW1067" s="989"/>
      <c r="PFX1067" s="989"/>
      <c r="PFY1067" s="989"/>
      <c r="PFZ1067" s="989"/>
      <c r="PGA1067" s="989"/>
      <c r="PGB1067" s="989"/>
      <c r="PGC1067" s="989"/>
      <c r="PGD1067" s="989"/>
      <c r="PGE1067" s="989"/>
      <c r="PGF1067" s="989"/>
      <c r="PGG1067" s="989"/>
      <c r="PGH1067" s="989"/>
      <c r="PGI1067" s="989"/>
      <c r="PGJ1067" s="989"/>
      <c r="PGK1067" s="989"/>
      <c r="PGL1067" s="989"/>
      <c r="PGM1067" s="989"/>
      <c r="PGN1067" s="989"/>
      <c r="PGO1067" s="989"/>
      <c r="PGP1067" s="989"/>
      <c r="PGQ1067" s="989"/>
      <c r="PGR1067" s="989"/>
      <c r="PGS1067" s="989"/>
      <c r="PGT1067" s="989"/>
      <c r="PGU1067" s="989"/>
      <c r="PGV1067" s="989"/>
      <c r="PGW1067" s="989"/>
      <c r="PGX1067" s="989"/>
      <c r="PGY1067" s="989"/>
      <c r="PGZ1067" s="989"/>
      <c r="PHA1067" s="989"/>
      <c r="PHB1067" s="989"/>
      <c r="PHC1067" s="989"/>
      <c r="PHD1067" s="989"/>
      <c r="PHE1067" s="989"/>
      <c r="PHF1067" s="989"/>
      <c r="PHG1067" s="989"/>
      <c r="PHH1067" s="989"/>
      <c r="PHI1067" s="989"/>
      <c r="PHJ1067" s="989"/>
      <c r="PHK1067" s="989"/>
      <c r="PHL1067" s="989"/>
      <c r="PHM1067" s="989"/>
      <c r="PHN1067" s="989"/>
      <c r="PHO1067" s="989"/>
      <c r="PHP1067" s="989"/>
      <c r="PHQ1067" s="989"/>
      <c r="PHR1067" s="989"/>
      <c r="PHS1067" s="989"/>
      <c r="PHT1067" s="989"/>
      <c r="PHU1067" s="989"/>
      <c r="PHV1067" s="989"/>
      <c r="PHW1067" s="989"/>
      <c r="PHX1067" s="989"/>
      <c r="PHY1067" s="989"/>
      <c r="PHZ1067" s="989"/>
      <c r="PIA1067" s="989"/>
      <c r="PIB1067" s="989"/>
      <c r="PIC1067" s="989"/>
      <c r="PID1067" s="989"/>
      <c r="PIE1067" s="989"/>
      <c r="PIF1067" s="989"/>
      <c r="PIG1067" s="989"/>
      <c r="PIH1067" s="989"/>
      <c r="PII1067" s="989"/>
      <c r="PIJ1067" s="989"/>
      <c r="PIK1067" s="989"/>
      <c r="PIL1067" s="989"/>
      <c r="PIM1067" s="989"/>
      <c r="PIN1067" s="989"/>
      <c r="PIO1067" s="989"/>
      <c r="PIP1067" s="989"/>
      <c r="PIQ1067" s="989"/>
      <c r="PIR1067" s="989"/>
      <c r="PIS1067" s="989"/>
      <c r="PIT1067" s="989"/>
      <c r="PIU1067" s="989"/>
      <c r="PIV1067" s="989"/>
      <c r="PIW1067" s="989"/>
      <c r="PIX1067" s="989"/>
      <c r="PIY1067" s="989"/>
      <c r="PIZ1067" s="989"/>
      <c r="PJA1067" s="989"/>
      <c r="PJB1067" s="989"/>
      <c r="PJC1067" s="989"/>
      <c r="PJD1067" s="989"/>
      <c r="PJE1067" s="989"/>
      <c r="PJF1067" s="989"/>
      <c r="PJG1067" s="989"/>
      <c r="PJH1067" s="989"/>
      <c r="PJI1067" s="989"/>
      <c r="PJJ1067" s="989"/>
      <c r="PJK1067" s="989"/>
      <c r="PJL1067" s="989"/>
      <c r="PJM1067" s="989"/>
      <c r="PJN1067" s="989"/>
      <c r="PJO1067" s="989"/>
      <c r="PJP1067" s="989"/>
      <c r="PJQ1067" s="989"/>
      <c r="PJR1067" s="989"/>
      <c r="PJS1067" s="989"/>
      <c r="PJT1067" s="989"/>
      <c r="PJU1067" s="989"/>
      <c r="PJV1067" s="989"/>
      <c r="PJW1067" s="989"/>
      <c r="PJX1067" s="989"/>
      <c r="PJY1067" s="989"/>
      <c r="PJZ1067" s="989"/>
      <c r="PKA1067" s="989"/>
      <c r="PKB1067" s="989"/>
      <c r="PKC1067" s="989"/>
      <c r="PKD1067" s="989"/>
      <c r="PKE1067" s="989"/>
      <c r="PKF1067" s="989"/>
      <c r="PKG1067" s="989"/>
      <c r="PKH1067" s="989"/>
      <c r="PKI1067" s="989"/>
      <c r="PKJ1067" s="989"/>
      <c r="PKK1067" s="989"/>
      <c r="PKL1067" s="989"/>
      <c r="PKM1067" s="989"/>
      <c r="PKN1067" s="989"/>
      <c r="PKO1067" s="989"/>
      <c r="PKP1067" s="989"/>
      <c r="PKQ1067" s="989"/>
      <c r="PKR1067" s="989"/>
      <c r="PKS1067" s="989"/>
      <c r="PKT1067" s="989"/>
      <c r="PKU1067" s="989"/>
      <c r="PKV1067" s="989"/>
      <c r="PKW1067" s="989"/>
      <c r="PKX1067" s="989"/>
      <c r="PKY1067" s="989"/>
      <c r="PKZ1067" s="989"/>
      <c r="PLA1067" s="989"/>
      <c r="PLB1067" s="989"/>
      <c r="PLC1067" s="989"/>
      <c r="PLD1067" s="989"/>
      <c r="PLE1067" s="989"/>
      <c r="PLF1067" s="989"/>
      <c r="PLG1067" s="989"/>
      <c r="PLH1067" s="989"/>
      <c r="PLI1067" s="989"/>
      <c r="PLJ1067" s="989"/>
      <c r="PLK1067" s="989"/>
      <c r="PLL1067" s="989"/>
      <c r="PLM1067" s="989"/>
      <c r="PLN1067" s="989"/>
      <c r="PLO1067" s="989"/>
      <c r="PLP1067" s="989"/>
      <c r="PLQ1067" s="989"/>
      <c r="PLR1067" s="989"/>
      <c r="PLS1067" s="989"/>
      <c r="PLT1067" s="989"/>
      <c r="PLU1067" s="989"/>
      <c r="PLV1067" s="989"/>
      <c r="PLW1067" s="989"/>
      <c r="PLX1067" s="989"/>
      <c r="PLY1067" s="989"/>
      <c r="PLZ1067" s="989"/>
      <c r="PMA1067" s="989"/>
      <c r="PMB1067" s="989"/>
      <c r="PMC1067" s="989"/>
      <c r="PMD1067" s="989"/>
      <c r="PME1067" s="989"/>
      <c r="PMF1067" s="989"/>
      <c r="PMG1067" s="989"/>
      <c r="PMH1067" s="989"/>
      <c r="PMI1067" s="989"/>
      <c r="PMJ1067" s="989"/>
      <c r="PMK1067" s="989"/>
      <c r="PML1067" s="989"/>
      <c r="PMM1067" s="989"/>
      <c r="PMN1067" s="989"/>
      <c r="PMO1067" s="989"/>
      <c r="PMP1067" s="989"/>
      <c r="PMQ1067" s="989"/>
      <c r="PMR1067" s="989"/>
      <c r="PMS1067" s="989"/>
      <c r="PMT1067" s="989"/>
      <c r="PMU1067" s="989"/>
      <c r="PMV1067" s="989"/>
      <c r="PMW1067" s="989"/>
      <c r="PMX1067" s="989"/>
      <c r="PMY1067" s="989"/>
      <c r="PMZ1067" s="989"/>
      <c r="PNA1067" s="989"/>
      <c r="PNB1067" s="989"/>
      <c r="PNC1067" s="989"/>
      <c r="PND1067" s="989"/>
      <c r="PNE1067" s="989"/>
      <c r="PNF1067" s="989"/>
      <c r="PNG1067" s="989"/>
      <c r="PNH1067" s="989"/>
      <c r="PNI1067" s="989"/>
      <c r="PNJ1067" s="989"/>
      <c r="PNK1067" s="989"/>
      <c r="PNL1067" s="989"/>
      <c r="PNM1067" s="989"/>
      <c r="PNN1067" s="989"/>
      <c r="PNO1067" s="989"/>
      <c r="PNP1067" s="989"/>
      <c r="PNQ1067" s="989"/>
      <c r="PNR1067" s="989"/>
      <c r="PNS1067" s="989"/>
      <c r="PNT1067" s="989"/>
      <c r="PNU1067" s="989"/>
      <c r="PNV1067" s="989"/>
      <c r="PNW1067" s="989"/>
      <c r="PNX1067" s="989"/>
      <c r="PNY1067" s="989"/>
      <c r="PNZ1067" s="989"/>
      <c r="POA1067" s="989"/>
      <c r="POB1067" s="989"/>
      <c r="POC1067" s="989"/>
      <c r="POD1067" s="989"/>
      <c r="POE1067" s="989"/>
      <c r="POF1067" s="989"/>
      <c r="POG1067" s="989"/>
      <c r="POH1067" s="989"/>
      <c r="POI1067" s="989"/>
      <c r="POJ1067" s="989"/>
      <c r="POK1067" s="989"/>
      <c r="POL1067" s="989"/>
      <c r="POM1067" s="989"/>
      <c r="PON1067" s="989"/>
      <c r="POO1067" s="989"/>
      <c r="POP1067" s="989"/>
      <c r="POQ1067" s="989"/>
      <c r="POR1067" s="989"/>
      <c r="POS1067" s="989"/>
      <c r="POT1067" s="989"/>
      <c r="POU1067" s="989"/>
      <c r="POV1067" s="989"/>
      <c r="POW1067" s="989"/>
      <c r="POX1067" s="989"/>
      <c r="POY1067" s="989"/>
      <c r="POZ1067" s="989"/>
      <c r="PPA1067" s="989"/>
      <c r="PPB1067" s="989"/>
      <c r="PPC1067" s="989"/>
      <c r="PPD1067" s="989"/>
      <c r="PPE1067" s="989"/>
      <c r="PPF1067" s="989"/>
      <c r="PPG1067" s="989"/>
      <c r="PPH1067" s="989"/>
      <c r="PPI1067" s="989"/>
      <c r="PPJ1067" s="989"/>
      <c r="PPK1067" s="989"/>
      <c r="PPL1067" s="989"/>
      <c r="PPM1067" s="989"/>
      <c r="PPN1067" s="989"/>
      <c r="PPO1067" s="989"/>
      <c r="PPP1067" s="989"/>
      <c r="PPQ1067" s="989"/>
      <c r="PPR1067" s="989"/>
      <c r="PPS1067" s="989"/>
      <c r="PPT1067" s="989"/>
      <c r="PPU1067" s="989"/>
      <c r="PPV1067" s="989"/>
      <c r="PPW1067" s="989"/>
      <c r="PPX1067" s="989"/>
      <c r="PPY1067" s="989"/>
      <c r="PPZ1067" s="989"/>
      <c r="PQA1067" s="989"/>
      <c r="PQB1067" s="989"/>
      <c r="PQC1067" s="989"/>
      <c r="PQD1067" s="989"/>
      <c r="PQE1067" s="989"/>
      <c r="PQF1067" s="989"/>
      <c r="PQG1067" s="989"/>
      <c r="PQH1067" s="989"/>
      <c r="PQI1067" s="989"/>
      <c r="PQJ1067" s="989"/>
      <c r="PQK1067" s="989"/>
      <c r="PQL1067" s="989"/>
      <c r="PQM1067" s="989"/>
      <c r="PQN1067" s="989"/>
      <c r="PQO1067" s="989"/>
      <c r="PQP1067" s="989"/>
      <c r="PQQ1067" s="989"/>
      <c r="PQR1067" s="989"/>
      <c r="PQS1067" s="989"/>
      <c r="PQT1067" s="989"/>
      <c r="PQU1067" s="989"/>
      <c r="PQV1067" s="989"/>
      <c r="PQW1067" s="989"/>
      <c r="PQX1067" s="989"/>
      <c r="PQY1067" s="989"/>
      <c r="PQZ1067" s="989"/>
      <c r="PRA1067" s="989"/>
      <c r="PRB1067" s="989"/>
      <c r="PRC1067" s="989"/>
      <c r="PRD1067" s="989"/>
      <c r="PRE1067" s="989"/>
      <c r="PRF1067" s="989"/>
      <c r="PRG1067" s="989"/>
      <c r="PRH1067" s="989"/>
      <c r="PRI1067" s="989"/>
      <c r="PRJ1067" s="989"/>
      <c r="PRK1067" s="989"/>
      <c r="PRL1067" s="989"/>
      <c r="PRM1067" s="989"/>
      <c r="PRN1067" s="989"/>
      <c r="PRO1067" s="989"/>
      <c r="PRP1067" s="989"/>
      <c r="PRQ1067" s="989"/>
      <c r="PRR1067" s="989"/>
      <c r="PRS1067" s="989"/>
      <c r="PRT1067" s="989"/>
      <c r="PRU1067" s="989"/>
      <c r="PRV1067" s="989"/>
      <c r="PRW1067" s="989"/>
      <c r="PRX1067" s="989"/>
      <c r="PRY1067" s="989"/>
      <c r="PRZ1067" s="989"/>
      <c r="PSA1067" s="989"/>
      <c r="PSB1067" s="989"/>
      <c r="PSC1067" s="989"/>
      <c r="PSD1067" s="989"/>
      <c r="PSE1067" s="989"/>
      <c r="PSF1067" s="989"/>
      <c r="PSG1067" s="989"/>
      <c r="PSH1067" s="989"/>
      <c r="PSI1067" s="989"/>
      <c r="PSJ1067" s="989"/>
      <c r="PSK1067" s="989"/>
      <c r="PSL1067" s="989"/>
      <c r="PSM1067" s="989"/>
      <c r="PSN1067" s="989"/>
      <c r="PSO1067" s="989"/>
      <c r="PSP1067" s="989"/>
      <c r="PSQ1067" s="989"/>
      <c r="PSR1067" s="989"/>
      <c r="PSS1067" s="989"/>
      <c r="PST1067" s="989"/>
      <c r="PSU1067" s="989"/>
      <c r="PSV1067" s="989"/>
      <c r="PSW1067" s="989"/>
      <c r="PSX1067" s="989"/>
      <c r="PSY1067" s="989"/>
      <c r="PSZ1067" s="989"/>
      <c r="PTA1067" s="989"/>
      <c r="PTB1067" s="989"/>
      <c r="PTC1067" s="989"/>
      <c r="PTD1067" s="989"/>
      <c r="PTE1067" s="989"/>
      <c r="PTF1067" s="989"/>
      <c r="PTG1067" s="989"/>
      <c r="PTH1067" s="989"/>
      <c r="PTI1067" s="989"/>
      <c r="PTJ1067" s="989"/>
      <c r="PTK1067" s="989"/>
      <c r="PTL1067" s="989"/>
      <c r="PTM1067" s="989"/>
      <c r="PTN1067" s="989"/>
      <c r="PTO1067" s="989"/>
      <c r="PTP1067" s="989"/>
      <c r="PTQ1067" s="989"/>
      <c r="PTR1067" s="989"/>
      <c r="PTS1067" s="989"/>
      <c r="PTT1067" s="989"/>
      <c r="PTU1067" s="989"/>
      <c r="PTV1067" s="989"/>
      <c r="PTW1067" s="989"/>
      <c r="PTX1067" s="989"/>
      <c r="PTY1067" s="989"/>
      <c r="PTZ1067" s="989"/>
      <c r="PUA1067" s="989"/>
      <c r="PUB1067" s="989"/>
      <c r="PUC1067" s="989"/>
      <c r="PUD1067" s="989"/>
      <c r="PUE1067" s="989"/>
      <c r="PUF1067" s="989"/>
      <c r="PUG1067" s="989"/>
      <c r="PUH1067" s="989"/>
      <c r="PUI1067" s="989"/>
      <c r="PUJ1067" s="989"/>
      <c r="PUK1067" s="989"/>
      <c r="PUL1067" s="989"/>
      <c r="PUM1067" s="989"/>
      <c r="PUN1067" s="989"/>
      <c r="PUO1067" s="989"/>
      <c r="PUP1067" s="989"/>
      <c r="PUQ1067" s="989"/>
      <c r="PUR1067" s="989"/>
      <c r="PUS1067" s="989"/>
      <c r="PUT1067" s="989"/>
      <c r="PUU1067" s="989"/>
      <c r="PUV1067" s="989"/>
      <c r="PUW1067" s="989"/>
      <c r="PUX1067" s="989"/>
      <c r="PUY1067" s="989"/>
      <c r="PUZ1067" s="989"/>
      <c r="PVA1067" s="989"/>
      <c r="PVB1067" s="989"/>
      <c r="PVC1067" s="989"/>
      <c r="PVD1067" s="989"/>
      <c r="PVE1067" s="989"/>
      <c r="PVF1067" s="989"/>
      <c r="PVG1067" s="989"/>
      <c r="PVH1067" s="989"/>
      <c r="PVI1067" s="989"/>
      <c r="PVJ1067" s="989"/>
      <c r="PVK1067" s="989"/>
      <c r="PVL1067" s="989"/>
      <c r="PVM1067" s="989"/>
      <c r="PVN1067" s="989"/>
      <c r="PVO1067" s="989"/>
      <c r="PVP1067" s="989"/>
      <c r="PVQ1067" s="989"/>
      <c r="PVR1067" s="989"/>
      <c r="PVS1067" s="989"/>
      <c r="PVT1067" s="989"/>
      <c r="PVU1067" s="989"/>
      <c r="PVV1067" s="989"/>
      <c r="PVW1067" s="989"/>
      <c r="PVX1067" s="989"/>
      <c r="PVY1067" s="989"/>
      <c r="PVZ1067" s="989"/>
      <c r="PWA1067" s="989"/>
      <c r="PWB1067" s="989"/>
      <c r="PWC1067" s="989"/>
      <c r="PWD1067" s="989"/>
      <c r="PWE1067" s="989"/>
      <c r="PWF1067" s="989"/>
      <c r="PWG1067" s="989"/>
      <c r="PWH1067" s="989"/>
      <c r="PWI1067" s="989"/>
      <c r="PWJ1067" s="989"/>
      <c r="PWK1067" s="989"/>
      <c r="PWL1067" s="989"/>
      <c r="PWM1067" s="989"/>
      <c r="PWN1067" s="989"/>
      <c r="PWO1067" s="989"/>
      <c r="PWP1067" s="989"/>
      <c r="PWQ1067" s="989"/>
      <c r="PWR1067" s="989"/>
      <c r="PWS1067" s="989"/>
      <c r="PWT1067" s="989"/>
      <c r="PWU1067" s="989"/>
      <c r="PWV1067" s="989"/>
      <c r="PWW1067" s="989"/>
      <c r="PWX1067" s="989"/>
      <c r="PWY1067" s="989"/>
      <c r="PWZ1067" s="989"/>
      <c r="PXA1067" s="989"/>
      <c r="PXB1067" s="989"/>
      <c r="PXC1067" s="989"/>
      <c r="PXD1067" s="989"/>
      <c r="PXE1067" s="989"/>
      <c r="PXF1067" s="989"/>
      <c r="PXG1067" s="989"/>
      <c r="PXH1067" s="989"/>
      <c r="PXI1067" s="989"/>
      <c r="PXJ1067" s="989"/>
      <c r="PXK1067" s="989"/>
      <c r="PXL1067" s="989"/>
      <c r="PXM1067" s="989"/>
      <c r="PXN1067" s="989"/>
      <c r="PXO1067" s="989"/>
      <c r="PXP1067" s="989"/>
      <c r="PXQ1067" s="989"/>
      <c r="PXR1067" s="989"/>
      <c r="PXS1067" s="989"/>
      <c r="PXT1067" s="989"/>
      <c r="PXU1067" s="989"/>
      <c r="PXV1067" s="989"/>
      <c r="PXW1067" s="989"/>
      <c r="PXX1067" s="989"/>
      <c r="PXY1067" s="989"/>
      <c r="PXZ1067" s="989"/>
      <c r="PYA1067" s="989"/>
      <c r="PYB1067" s="989"/>
      <c r="PYC1067" s="989"/>
      <c r="PYD1067" s="989"/>
      <c r="PYE1067" s="989"/>
      <c r="PYF1067" s="989"/>
      <c r="PYG1067" s="989"/>
      <c r="PYH1067" s="989"/>
      <c r="PYI1067" s="989"/>
      <c r="PYJ1067" s="989"/>
      <c r="PYK1067" s="989"/>
      <c r="PYL1067" s="989"/>
      <c r="PYM1067" s="989"/>
      <c r="PYN1067" s="989"/>
      <c r="PYO1067" s="989"/>
      <c r="PYP1067" s="989"/>
      <c r="PYQ1067" s="989"/>
      <c r="PYR1067" s="989"/>
      <c r="PYS1067" s="989"/>
      <c r="PYT1067" s="989"/>
      <c r="PYU1067" s="989"/>
      <c r="PYV1067" s="989"/>
      <c r="PYW1067" s="989"/>
      <c r="PYX1067" s="989"/>
      <c r="PYY1067" s="989"/>
      <c r="PYZ1067" s="989"/>
      <c r="PZA1067" s="989"/>
      <c r="PZB1067" s="989"/>
      <c r="PZC1067" s="989"/>
      <c r="PZD1067" s="989"/>
      <c r="PZE1067" s="989"/>
      <c r="PZF1067" s="989"/>
      <c r="PZG1067" s="989"/>
      <c r="PZH1067" s="989"/>
      <c r="PZI1067" s="989"/>
      <c r="PZJ1067" s="989"/>
      <c r="PZK1067" s="989"/>
      <c r="PZL1067" s="989"/>
      <c r="PZM1067" s="989"/>
      <c r="PZN1067" s="989"/>
      <c r="PZO1067" s="989"/>
      <c r="PZP1067" s="989"/>
      <c r="PZQ1067" s="989"/>
      <c r="PZR1067" s="989"/>
      <c r="PZS1067" s="989"/>
      <c r="PZT1067" s="989"/>
      <c r="PZU1067" s="989"/>
      <c r="PZV1067" s="989"/>
      <c r="PZW1067" s="989"/>
      <c r="PZX1067" s="989"/>
      <c r="PZY1067" s="989"/>
      <c r="PZZ1067" s="989"/>
      <c r="QAA1067" s="989"/>
      <c r="QAB1067" s="989"/>
      <c r="QAC1067" s="989"/>
      <c r="QAD1067" s="989"/>
      <c r="QAE1067" s="989"/>
      <c r="QAF1067" s="989"/>
      <c r="QAG1067" s="989"/>
      <c r="QAH1067" s="989"/>
      <c r="QAI1067" s="989"/>
      <c r="QAJ1067" s="989"/>
      <c r="QAK1067" s="989"/>
      <c r="QAL1067" s="989"/>
      <c r="QAM1067" s="989"/>
      <c r="QAN1067" s="989"/>
      <c r="QAO1067" s="989"/>
      <c r="QAP1067" s="989"/>
      <c r="QAQ1067" s="989"/>
      <c r="QAR1067" s="989"/>
      <c r="QAS1067" s="989"/>
      <c r="QAT1067" s="989"/>
      <c r="QAU1067" s="989"/>
      <c r="QAV1067" s="989"/>
      <c r="QAW1067" s="989"/>
      <c r="QAX1067" s="989"/>
      <c r="QAY1067" s="989"/>
      <c r="QAZ1067" s="989"/>
      <c r="QBA1067" s="989"/>
      <c r="QBB1067" s="989"/>
      <c r="QBC1067" s="989"/>
      <c r="QBD1067" s="989"/>
      <c r="QBE1067" s="989"/>
      <c r="QBF1067" s="989"/>
      <c r="QBG1067" s="989"/>
      <c r="QBH1067" s="989"/>
      <c r="QBI1067" s="989"/>
      <c r="QBJ1067" s="989"/>
      <c r="QBK1067" s="989"/>
      <c r="QBL1067" s="989"/>
      <c r="QBM1067" s="989"/>
      <c r="QBN1067" s="989"/>
      <c r="QBO1067" s="989"/>
      <c r="QBP1067" s="989"/>
      <c r="QBQ1067" s="989"/>
      <c r="QBR1067" s="989"/>
      <c r="QBS1067" s="989"/>
      <c r="QBT1067" s="989"/>
      <c r="QBU1067" s="989"/>
      <c r="QBV1067" s="989"/>
      <c r="QBW1067" s="989"/>
      <c r="QBX1067" s="989"/>
      <c r="QBY1067" s="989"/>
      <c r="QBZ1067" s="989"/>
      <c r="QCA1067" s="989"/>
      <c r="QCB1067" s="989"/>
      <c r="QCC1067" s="989"/>
      <c r="QCD1067" s="989"/>
      <c r="QCE1067" s="989"/>
      <c r="QCF1067" s="989"/>
      <c r="QCG1067" s="989"/>
      <c r="QCH1067" s="989"/>
      <c r="QCI1067" s="989"/>
      <c r="QCJ1067" s="989"/>
      <c r="QCK1067" s="989"/>
      <c r="QCL1067" s="989"/>
      <c r="QCM1067" s="989"/>
      <c r="QCN1067" s="989"/>
      <c r="QCO1067" s="989"/>
      <c r="QCP1067" s="989"/>
      <c r="QCQ1067" s="989"/>
      <c r="QCR1067" s="989"/>
      <c r="QCS1067" s="989"/>
      <c r="QCT1067" s="989"/>
      <c r="QCU1067" s="989"/>
      <c r="QCV1067" s="989"/>
      <c r="QCW1067" s="989"/>
      <c r="QCX1067" s="989"/>
      <c r="QCY1067" s="989"/>
      <c r="QCZ1067" s="989"/>
      <c r="QDA1067" s="989"/>
      <c r="QDB1067" s="989"/>
      <c r="QDC1067" s="989"/>
      <c r="QDD1067" s="989"/>
      <c r="QDE1067" s="989"/>
      <c r="QDF1067" s="989"/>
      <c r="QDG1067" s="989"/>
      <c r="QDH1067" s="989"/>
      <c r="QDI1067" s="989"/>
      <c r="QDJ1067" s="989"/>
      <c r="QDK1067" s="989"/>
      <c r="QDL1067" s="989"/>
      <c r="QDM1067" s="989"/>
      <c r="QDN1067" s="989"/>
      <c r="QDO1067" s="989"/>
      <c r="QDP1067" s="989"/>
      <c r="QDQ1067" s="989"/>
      <c r="QDR1067" s="989"/>
      <c r="QDS1067" s="989"/>
      <c r="QDT1067" s="989"/>
      <c r="QDU1067" s="989"/>
      <c r="QDV1067" s="989"/>
      <c r="QDW1067" s="989"/>
      <c r="QDX1067" s="989"/>
      <c r="QDY1067" s="989"/>
      <c r="QDZ1067" s="989"/>
      <c r="QEA1067" s="989"/>
      <c r="QEB1067" s="989"/>
      <c r="QEC1067" s="989"/>
      <c r="QED1067" s="989"/>
      <c r="QEE1067" s="989"/>
      <c r="QEF1067" s="989"/>
      <c r="QEG1067" s="989"/>
      <c r="QEH1067" s="989"/>
      <c r="QEI1067" s="989"/>
      <c r="QEJ1067" s="989"/>
      <c r="QEK1067" s="989"/>
      <c r="QEL1067" s="989"/>
      <c r="QEM1067" s="989"/>
      <c r="QEN1067" s="989"/>
      <c r="QEO1067" s="989"/>
      <c r="QEP1067" s="989"/>
      <c r="QEQ1067" s="989"/>
      <c r="QER1067" s="989"/>
      <c r="QES1067" s="989"/>
      <c r="QET1067" s="989"/>
      <c r="QEU1067" s="989"/>
      <c r="QEV1067" s="989"/>
      <c r="QEW1067" s="989"/>
      <c r="QEX1067" s="989"/>
      <c r="QEY1067" s="989"/>
      <c r="QEZ1067" s="989"/>
      <c r="QFA1067" s="989"/>
      <c r="QFB1067" s="989"/>
      <c r="QFC1067" s="989"/>
      <c r="QFD1067" s="989"/>
      <c r="QFE1067" s="989"/>
      <c r="QFF1067" s="989"/>
      <c r="QFG1067" s="989"/>
      <c r="QFH1067" s="989"/>
      <c r="QFI1067" s="989"/>
      <c r="QFJ1067" s="989"/>
      <c r="QFK1067" s="989"/>
      <c r="QFL1067" s="989"/>
      <c r="QFM1067" s="989"/>
      <c r="QFN1067" s="989"/>
      <c r="QFO1067" s="989"/>
      <c r="QFP1067" s="989"/>
      <c r="QFQ1067" s="989"/>
      <c r="QFR1067" s="989"/>
      <c r="QFS1067" s="989"/>
      <c r="QFT1067" s="989"/>
      <c r="QFU1067" s="989"/>
      <c r="QFV1067" s="989"/>
      <c r="QFW1067" s="989"/>
      <c r="QFX1067" s="989"/>
      <c r="QFY1067" s="989"/>
      <c r="QFZ1067" s="989"/>
      <c r="QGA1067" s="989"/>
      <c r="QGB1067" s="989"/>
      <c r="QGC1067" s="989"/>
      <c r="QGD1067" s="989"/>
      <c r="QGE1067" s="989"/>
      <c r="QGF1067" s="989"/>
      <c r="QGG1067" s="989"/>
      <c r="QGH1067" s="989"/>
      <c r="QGI1067" s="989"/>
      <c r="QGJ1067" s="989"/>
      <c r="QGK1067" s="989"/>
      <c r="QGL1067" s="989"/>
      <c r="QGM1067" s="989"/>
      <c r="QGN1067" s="989"/>
      <c r="QGO1067" s="989"/>
      <c r="QGP1067" s="989"/>
      <c r="QGQ1067" s="989"/>
      <c r="QGR1067" s="989"/>
      <c r="QGS1067" s="989"/>
      <c r="QGT1067" s="989"/>
      <c r="QGU1067" s="989"/>
      <c r="QGV1067" s="989"/>
      <c r="QGW1067" s="989"/>
      <c r="QGX1067" s="989"/>
      <c r="QGY1067" s="989"/>
      <c r="QGZ1067" s="989"/>
      <c r="QHA1067" s="989"/>
      <c r="QHB1067" s="989"/>
      <c r="QHC1067" s="989"/>
      <c r="QHD1067" s="989"/>
      <c r="QHE1067" s="989"/>
      <c r="QHF1067" s="989"/>
      <c r="QHG1067" s="989"/>
      <c r="QHH1067" s="989"/>
      <c r="QHI1067" s="989"/>
      <c r="QHJ1067" s="989"/>
      <c r="QHK1067" s="989"/>
      <c r="QHL1067" s="989"/>
      <c r="QHM1067" s="989"/>
      <c r="QHN1067" s="989"/>
      <c r="QHO1067" s="989"/>
      <c r="QHP1067" s="989"/>
      <c r="QHQ1067" s="989"/>
      <c r="QHR1067" s="989"/>
      <c r="QHS1067" s="989"/>
      <c r="QHT1067" s="989"/>
      <c r="QHU1067" s="989"/>
      <c r="QHV1067" s="989"/>
      <c r="QHW1067" s="989"/>
      <c r="QHX1067" s="989"/>
      <c r="QHY1067" s="989"/>
      <c r="QHZ1067" s="989"/>
      <c r="QIA1067" s="989"/>
      <c r="QIB1067" s="989"/>
      <c r="QIC1067" s="989"/>
      <c r="QID1067" s="989"/>
      <c r="QIE1067" s="989"/>
      <c r="QIF1067" s="989"/>
      <c r="QIG1067" s="989"/>
      <c r="QIH1067" s="989"/>
      <c r="QII1067" s="989"/>
      <c r="QIJ1067" s="989"/>
      <c r="QIK1067" s="989"/>
      <c r="QIL1067" s="989"/>
      <c r="QIM1067" s="989"/>
      <c r="QIN1067" s="989"/>
      <c r="QIO1067" s="989"/>
      <c r="QIP1067" s="989"/>
      <c r="QIQ1067" s="989"/>
      <c r="QIR1067" s="989"/>
      <c r="QIS1067" s="989"/>
      <c r="QIT1067" s="989"/>
      <c r="QIU1067" s="989"/>
      <c r="QIV1067" s="989"/>
      <c r="QIW1067" s="989"/>
      <c r="QIX1067" s="989"/>
      <c r="QIY1067" s="989"/>
      <c r="QIZ1067" s="989"/>
      <c r="QJA1067" s="989"/>
      <c r="QJB1067" s="989"/>
      <c r="QJC1067" s="989"/>
      <c r="QJD1067" s="989"/>
      <c r="QJE1067" s="989"/>
      <c r="QJF1067" s="989"/>
      <c r="QJG1067" s="989"/>
      <c r="QJH1067" s="989"/>
      <c r="QJI1067" s="989"/>
      <c r="QJJ1067" s="989"/>
      <c r="QJK1067" s="989"/>
      <c r="QJL1067" s="989"/>
      <c r="QJM1067" s="989"/>
      <c r="QJN1067" s="989"/>
      <c r="QJO1067" s="989"/>
      <c r="QJP1067" s="989"/>
      <c r="QJQ1067" s="989"/>
      <c r="QJR1067" s="989"/>
      <c r="QJS1067" s="989"/>
      <c r="QJT1067" s="989"/>
      <c r="QJU1067" s="989"/>
      <c r="QJV1067" s="989"/>
      <c r="QJW1067" s="989"/>
      <c r="QJX1067" s="989"/>
      <c r="QJY1067" s="989"/>
      <c r="QJZ1067" s="989"/>
      <c r="QKA1067" s="989"/>
      <c r="QKB1067" s="989"/>
      <c r="QKC1067" s="989"/>
      <c r="QKD1067" s="989"/>
      <c r="QKE1067" s="989"/>
      <c r="QKF1067" s="989"/>
      <c r="QKG1067" s="989"/>
      <c r="QKH1067" s="989"/>
      <c r="QKI1067" s="989"/>
      <c r="QKJ1067" s="989"/>
      <c r="QKK1067" s="989"/>
      <c r="QKL1067" s="989"/>
      <c r="QKM1067" s="989"/>
      <c r="QKN1067" s="989"/>
      <c r="QKO1067" s="989"/>
      <c r="QKP1067" s="989"/>
      <c r="QKQ1067" s="989"/>
      <c r="QKR1067" s="989"/>
      <c r="QKS1067" s="989"/>
      <c r="QKT1067" s="989"/>
      <c r="QKU1067" s="989"/>
      <c r="QKV1067" s="989"/>
      <c r="QKW1067" s="989"/>
      <c r="QKX1067" s="989"/>
      <c r="QKY1067" s="989"/>
      <c r="QKZ1067" s="989"/>
      <c r="QLA1067" s="989"/>
      <c r="QLB1067" s="989"/>
      <c r="QLC1067" s="989"/>
      <c r="QLD1067" s="989"/>
      <c r="QLE1067" s="989"/>
      <c r="QLF1067" s="989"/>
      <c r="QLG1067" s="989"/>
      <c r="QLH1067" s="989"/>
      <c r="QLI1067" s="989"/>
      <c r="QLJ1067" s="989"/>
      <c r="QLK1067" s="989"/>
      <c r="QLL1067" s="989"/>
      <c r="QLM1067" s="989"/>
      <c r="QLN1067" s="989"/>
      <c r="QLO1067" s="989"/>
      <c r="QLP1067" s="989"/>
      <c r="QLQ1067" s="989"/>
      <c r="QLR1067" s="989"/>
      <c r="QLS1067" s="989"/>
      <c r="QLT1067" s="989"/>
      <c r="QLU1067" s="989"/>
      <c r="QLV1067" s="989"/>
      <c r="QLW1067" s="989"/>
      <c r="QLX1067" s="989"/>
      <c r="QLY1067" s="989"/>
      <c r="QLZ1067" s="989"/>
      <c r="QMA1067" s="989"/>
      <c r="QMB1067" s="989"/>
      <c r="QMC1067" s="989"/>
      <c r="QMD1067" s="989"/>
      <c r="QME1067" s="989"/>
      <c r="QMF1067" s="989"/>
      <c r="QMG1067" s="989"/>
      <c r="QMH1067" s="989"/>
      <c r="QMI1067" s="989"/>
      <c r="QMJ1067" s="989"/>
      <c r="QMK1067" s="989"/>
      <c r="QML1067" s="989"/>
      <c r="QMM1067" s="989"/>
      <c r="QMN1067" s="989"/>
      <c r="QMO1067" s="989"/>
      <c r="QMP1067" s="989"/>
      <c r="QMQ1067" s="989"/>
      <c r="QMR1067" s="989"/>
      <c r="QMS1067" s="989"/>
      <c r="QMT1067" s="989"/>
      <c r="QMU1067" s="989"/>
      <c r="QMV1067" s="989"/>
      <c r="QMW1067" s="989"/>
      <c r="QMX1067" s="989"/>
      <c r="QMY1067" s="989"/>
      <c r="QMZ1067" s="989"/>
      <c r="QNA1067" s="989"/>
      <c r="QNB1067" s="989"/>
      <c r="QNC1067" s="989"/>
      <c r="QND1067" s="989"/>
      <c r="QNE1067" s="989"/>
      <c r="QNF1067" s="989"/>
      <c r="QNG1067" s="989"/>
      <c r="QNH1067" s="989"/>
      <c r="QNI1067" s="989"/>
      <c r="QNJ1067" s="989"/>
      <c r="QNK1067" s="989"/>
      <c r="QNL1067" s="989"/>
      <c r="QNM1067" s="989"/>
      <c r="QNN1067" s="989"/>
      <c r="QNO1067" s="989"/>
      <c r="QNP1067" s="989"/>
      <c r="QNQ1067" s="989"/>
      <c r="QNR1067" s="989"/>
      <c r="QNS1067" s="989"/>
      <c r="QNT1067" s="989"/>
      <c r="QNU1067" s="989"/>
      <c r="QNV1067" s="989"/>
      <c r="QNW1067" s="989"/>
      <c r="QNX1067" s="989"/>
      <c r="QNY1067" s="989"/>
      <c r="QNZ1067" s="989"/>
      <c r="QOA1067" s="989"/>
      <c r="QOB1067" s="989"/>
      <c r="QOC1067" s="989"/>
      <c r="QOD1067" s="989"/>
      <c r="QOE1067" s="989"/>
      <c r="QOF1067" s="989"/>
      <c r="QOG1067" s="989"/>
      <c r="QOH1067" s="989"/>
      <c r="QOI1067" s="989"/>
      <c r="QOJ1067" s="989"/>
      <c r="QOK1067" s="989"/>
      <c r="QOL1067" s="989"/>
      <c r="QOM1067" s="989"/>
      <c r="QON1067" s="989"/>
      <c r="QOO1067" s="989"/>
      <c r="QOP1067" s="989"/>
      <c r="QOQ1067" s="989"/>
      <c r="QOR1067" s="989"/>
      <c r="QOS1067" s="989"/>
      <c r="QOT1067" s="989"/>
      <c r="QOU1067" s="989"/>
      <c r="QOV1067" s="989"/>
      <c r="QOW1067" s="989"/>
      <c r="QOX1067" s="989"/>
      <c r="QOY1067" s="989"/>
      <c r="QOZ1067" s="989"/>
      <c r="QPA1067" s="989"/>
      <c r="QPB1067" s="989"/>
      <c r="QPC1067" s="989"/>
      <c r="QPD1067" s="989"/>
      <c r="QPE1067" s="989"/>
      <c r="QPF1067" s="989"/>
      <c r="QPG1067" s="989"/>
      <c r="QPH1067" s="989"/>
      <c r="QPI1067" s="989"/>
      <c r="QPJ1067" s="989"/>
      <c r="QPK1067" s="989"/>
      <c r="QPL1067" s="989"/>
      <c r="QPM1067" s="989"/>
      <c r="QPN1067" s="989"/>
      <c r="QPO1067" s="989"/>
      <c r="QPP1067" s="989"/>
      <c r="QPQ1067" s="989"/>
      <c r="QPR1067" s="989"/>
      <c r="QPS1067" s="989"/>
      <c r="QPT1067" s="989"/>
      <c r="QPU1067" s="989"/>
      <c r="QPV1067" s="989"/>
      <c r="QPW1067" s="989"/>
      <c r="QPX1067" s="989"/>
      <c r="QPY1067" s="989"/>
      <c r="QPZ1067" s="989"/>
      <c r="QQA1067" s="989"/>
      <c r="QQB1067" s="989"/>
      <c r="QQC1067" s="989"/>
      <c r="QQD1067" s="989"/>
      <c r="QQE1067" s="989"/>
      <c r="QQF1067" s="989"/>
      <c r="QQG1067" s="989"/>
      <c r="QQH1067" s="989"/>
      <c r="QQI1067" s="989"/>
      <c r="QQJ1067" s="989"/>
      <c r="QQK1067" s="989"/>
      <c r="QQL1067" s="989"/>
      <c r="QQM1067" s="989"/>
      <c r="QQN1067" s="989"/>
      <c r="QQO1067" s="989"/>
      <c r="QQP1067" s="989"/>
      <c r="QQQ1067" s="989"/>
      <c r="QQR1067" s="989"/>
      <c r="QQS1067" s="989"/>
      <c r="QQT1067" s="989"/>
      <c r="QQU1067" s="989"/>
      <c r="QQV1067" s="989"/>
      <c r="QQW1067" s="989"/>
      <c r="QQX1067" s="989"/>
      <c r="QQY1067" s="989"/>
      <c r="QQZ1067" s="989"/>
      <c r="QRA1067" s="989"/>
      <c r="QRB1067" s="989"/>
      <c r="QRC1067" s="989"/>
      <c r="QRD1067" s="989"/>
      <c r="QRE1067" s="989"/>
      <c r="QRF1067" s="989"/>
      <c r="QRG1067" s="989"/>
      <c r="QRH1067" s="989"/>
      <c r="QRI1067" s="989"/>
      <c r="QRJ1067" s="989"/>
      <c r="QRK1067" s="989"/>
      <c r="QRL1067" s="989"/>
      <c r="QRM1067" s="989"/>
      <c r="QRN1067" s="989"/>
      <c r="QRO1067" s="989"/>
      <c r="QRP1067" s="989"/>
      <c r="QRQ1067" s="989"/>
      <c r="QRR1067" s="989"/>
      <c r="QRS1067" s="989"/>
      <c r="QRT1067" s="989"/>
      <c r="QRU1067" s="989"/>
      <c r="QRV1067" s="989"/>
      <c r="QRW1067" s="989"/>
      <c r="QRX1067" s="989"/>
      <c r="QRY1067" s="989"/>
      <c r="QRZ1067" s="989"/>
      <c r="QSA1067" s="989"/>
      <c r="QSB1067" s="989"/>
      <c r="QSC1067" s="989"/>
      <c r="QSD1067" s="989"/>
      <c r="QSE1067" s="989"/>
      <c r="QSF1067" s="989"/>
      <c r="QSG1067" s="989"/>
      <c r="QSH1067" s="989"/>
      <c r="QSI1067" s="989"/>
      <c r="QSJ1067" s="989"/>
      <c r="QSK1067" s="989"/>
      <c r="QSL1067" s="989"/>
      <c r="QSM1067" s="989"/>
      <c r="QSN1067" s="989"/>
      <c r="QSO1067" s="989"/>
      <c r="QSP1067" s="989"/>
      <c r="QSQ1067" s="989"/>
      <c r="QSR1067" s="989"/>
      <c r="QSS1067" s="989"/>
      <c r="QST1067" s="989"/>
      <c r="QSU1067" s="989"/>
      <c r="QSV1067" s="989"/>
      <c r="QSW1067" s="989"/>
      <c r="QSX1067" s="989"/>
      <c r="QSY1067" s="989"/>
      <c r="QSZ1067" s="989"/>
      <c r="QTA1067" s="989"/>
      <c r="QTB1067" s="989"/>
      <c r="QTC1067" s="989"/>
      <c r="QTD1067" s="989"/>
      <c r="QTE1067" s="989"/>
      <c r="QTF1067" s="989"/>
      <c r="QTG1067" s="989"/>
      <c r="QTH1067" s="989"/>
      <c r="QTI1067" s="989"/>
      <c r="QTJ1067" s="989"/>
      <c r="QTK1067" s="989"/>
      <c r="QTL1067" s="989"/>
      <c r="QTM1067" s="989"/>
      <c r="QTN1067" s="989"/>
      <c r="QTO1067" s="989"/>
      <c r="QTP1067" s="989"/>
      <c r="QTQ1067" s="989"/>
      <c r="QTR1067" s="989"/>
      <c r="QTS1067" s="989"/>
      <c r="QTT1067" s="989"/>
      <c r="QTU1067" s="989"/>
      <c r="QTV1067" s="989"/>
      <c r="QTW1067" s="989"/>
      <c r="QTX1067" s="989"/>
      <c r="QTY1067" s="989"/>
      <c r="QTZ1067" s="989"/>
      <c r="QUA1067" s="989"/>
      <c r="QUB1067" s="989"/>
      <c r="QUC1067" s="989"/>
      <c r="QUD1067" s="989"/>
      <c r="QUE1067" s="989"/>
      <c r="QUF1067" s="989"/>
      <c r="QUG1067" s="989"/>
      <c r="QUH1067" s="989"/>
      <c r="QUI1067" s="989"/>
      <c r="QUJ1067" s="989"/>
      <c r="QUK1067" s="989"/>
      <c r="QUL1067" s="989"/>
      <c r="QUM1067" s="989"/>
      <c r="QUN1067" s="989"/>
      <c r="QUO1067" s="989"/>
      <c r="QUP1067" s="989"/>
      <c r="QUQ1067" s="989"/>
      <c r="QUR1067" s="989"/>
      <c r="QUS1067" s="989"/>
      <c r="QUT1067" s="989"/>
      <c r="QUU1067" s="989"/>
      <c r="QUV1067" s="989"/>
      <c r="QUW1067" s="989"/>
      <c r="QUX1067" s="989"/>
      <c r="QUY1067" s="989"/>
      <c r="QUZ1067" s="989"/>
      <c r="QVA1067" s="989"/>
      <c r="QVB1067" s="989"/>
      <c r="QVC1067" s="989"/>
      <c r="QVD1067" s="989"/>
      <c r="QVE1067" s="989"/>
      <c r="QVF1067" s="989"/>
      <c r="QVG1067" s="989"/>
      <c r="QVH1067" s="989"/>
      <c r="QVI1067" s="989"/>
      <c r="QVJ1067" s="989"/>
      <c r="QVK1067" s="989"/>
      <c r="QVL1067" s="989"/>
      <c r="QVM1067" s="989"/>
      <c r="QVN1067" s="989"/>
      <c r="QVO1067" s="989"/>
      <c r="QVP1067" s="989"/>
      <c r="QVQ1067" s="989"/>
      <c r="QVR1067" s="989"/>
      <c r="QVS1067" s="989"/>
      <c r="QVT1067" s="989"/>
      <c r="QVU1067" s="989"/>
      <c r="QVV1067" s="989"/>
      <c r="QVW1067" s="989"/>
      <c r="QVX1067" s="989"/>
      <c r="QVY1067" s="989"/>
      <c r="QVZ1067" s="989"/>
      <c r="QWA1067" s="989"/>
      <c r="QWB1067" s="989"/>
      <c r="QWC1067" s="989"/>
      <c r="QWD1067" s="989"/>
      <c r="QWE1067" s="989"/>
      <c r="QWF1067" s="989"/>
      <c r="QWG1067" s="989"/>
      <c r="QWH1067" s="989"/>
      <c r="QWI1067" s="989"/>
      <c r="QWJ1067" s="989"/>
      <c r="QWK1067" s="989"/>
      <c r="QWL1067" s="989"/>
      <c r="QWM1067" s="989"/>
      <c r="QWN1067" s="989"/>
      <c r="QWO1067" s="989"/>
      <c r="QWP1067" s="989"/>
      <c r="QWQ1067" s="989"/>
      <c r="QWR1067" s="989"/>
      <c r="QWS1067" s="989"/>
      <c r="QWT1067" s="989"/>
      <c r="QWU1067" s="989"/>
      <c r="QWV1067" s="989"/>
      <c r="QWW1067" s="989"/>
      <c r="QWX1067" s="989"/>
      <c r="QWY1067" s="989"/>
      <c r="QWZ1067" s="989"/>
      <c r="QXA1067" s="989"/>
      <c r="QXB1067" s="989"/>
      <c r="QXC1067" s="989"/>
      <c r="QXD1067" s="989"/>
      <c r="QXE1067" s="989"/>
      <c r="QXF1067" s="989"/>
      <c r="QXG1067" s="989"/>
      <c r="QXH1067" s="989"/>
      <c r="QXI1067" s="989"/>
      <c r="QXJ1067" s="989"/>
      <c r="QXK1067" s="989"/>
      <c r="QXL1067" s="989"/>
      <c r="QXM1067" s="989"/>
      <c r="QXN1067" s="989"/>
      <c r="QXO1067" s="989"/>
      <c r="QXP1067" s="989"/>
      <c r="QXQ1067" s="989"/>
      <c r="QXR1067" s="989"/>
      <c r="QXS1067" s="989"/>
      <c r="QXT1067" s="989"/>
      <c r="QXU1067" s="989"/>
      <c r="QXV1067" s="989"/>
      <c r="QXW1067" s="989"/>
      <c r="QXX1067" s="989"/>
      <c r="QXY1067" s="989"/>
      <c r="QXZ1067" s="989"/>
      <c r="QYA1067" s="989"/>
      <c r="QYB1067" s="989"/>
      <c r="QYC1067" s="989"/>
      <c r="QYD1067" s="989"/>
      <c r="QYE1067" s="989"/>
      <c r="QYF1067" s="989"/>
      <c r="QYG1067" s="989"/>
      <c r="QYH1067" s="989"/>
      <c r="QYI1067" s="989"/>
      <c r="QYJ1067" s="989"/>
      <c r="QYK1067" s="989"/>
      <c r="QYL1067" s="989"/>
      <c r="QYM1067" s="989"/>
      <c r="QYN1067" s="989"/>
      <c r="QYO1067" s="989"/>
      <c r="QYP1067" s="989"/>
      <c r="QYQ1067" s="989"/>
      <c r="QYR1067" s="989"/>
      <c r="QYS1067" s="989"/>
      <c r="QYT1067" s="989"/>
      <c r="QYU1067" s="989"/>
      <c r="QYV1067" s="989"/>
      <c r="QYW1067" s="989"/>
      <c r="QYX1067" s="989"/>
      <c r="QYY1067" s="989"/>
      <c r="QYZ1067" s="989"/>
      <c r="QZA1067" s="989"/>
      <c r="QZB1067" s="989"/>
      <c r="QZC1067" s="989"/>
      <c r="QZD1067" s="989"/>
      <c r="QZE1067" s="989"/>
      <c r="QZF1067" s="989"/>
      <c r="QZG1067" s="989"/>
      <c r="QZH1067" s="989"/>
      <c r="QZI1067" s="989"/>
      <c r="QZJ1067" s="989"/>
      <c r="QZK1067" s="989"/>
      <c r="QZL1067" s="989"/>
      <c r="QZM1067" s="989"/>
      <c r="QZN1067" s="989"/>
      <c r="QZO1067" s="989"/>
      <c r="QZP1067" s="989"/>
      <c r="QZQ1067" s="989"/>
      <c r="QZR1067" s="989"/>
      <c r="QZS1067" s="989"/>
      <c r="QZT1067" s="989"/>
      <c r="QZU1067" s="989"/>
      <c r="QZV1067" s="989"/>
      <c r="QZW1067" s="989"/>
      <c r="QZX1067" s="989"/>
      <c r="QZY1067" s="989"/>
      <c r="QZZ1067" s="989"/>
      <c r="RAA1067" s="989"/>
      <c r="RAB1067" s="989"/>
      <c r="RAC1067" s="989"/>
      <c r="RAD1067" s="989"/>
      <c r="RAE1067" s="989"/>
      <c r="RAF1067" s="989"/>
      <c r="RAG1067" s="989"/>
      <c r="RAH1067" s="989"/>
      <c r="RAI1067" s="989"/>
      <c r="RAJ1067" s="989"/>
      <c r="RAK1067" s="989"/>
      <c r="RAL1067" s="989"/>
      <c r="RAM1067" s="989"/>
      <c r="RAN1067" s="989"/>
      <c r="RAO1067" s="989"/>
      <c r="RAP1067" s="989"/>
      <c r="RAQ1067" s="989"/>
      <c r="RAR1067" s="989"/>
      <c r="RAS1067" s="989"/>
      <c r="RAT1067" s="989"/>
      <c r="RAU1067" s="989"/>
      <c r="RAV1067" s="989"/>
      <c r="RAW1067" s="989"/>
      <c r="RAX1067" s="989"/>
      <c r="RAY1067" s="989"/>
      <c r="RAZ1067" s="989"/>
      <c r="RBA1067" s="989"/>
      <c r="RBB1067" s="989"/>
      <c r="RBC1067" s="989"/>
      <c r="RBD1067" s="989"/>
      <c r="RBE1067" s="989"/>
      <c r="RBF1067" s="989"/>
      <c r="RBG1067" s="989"/>
      <c r="RBH1067" s="989"/>
      <c r="RBI1067" s="989"/>
      <c r="RBJ1067" s="989"/>
      <c r="RBK1067" s="989"/>
      <c r="RBL1067" s="989"/>
      <c r="RBM1067" s="989"/>
      <c r="RBN1067" s="989"/>
      <c r="RBO1067" s="989"/>
      <c r="RBP1067" s="989"/>
      <c r="RBQ1067" s="989"/>
      <c r="RBR1067" s="989"/>
      <c r="RBS1067" s="989"/>
      <c r="RBT1067" s="989"/>
      <c r="RBU1067" s="989"/>
      <c r="RBV1067" s="989"/>
      <c r="RBW1067" s="989"/>
      <c r="RBX1067" s="989"/>
      <c r="RBY1067" s="989"/>
      <c r="RBZ1067" s="989"/>
      <c r="RCA1067" s="989"/>
      <c r="RCB1067" s="989"/>
      <c r="RCC1067" s="989"/>
      <c r="RCD1067" s="989"/>
      <c r="RCE1067" s="989"/>
      <c r="RCF1067" s="989"/>
      <c r="RCG1067" s="989"/>
      <c r="RCH1067" s="989"/>
      <c r="RCI1067" s="989"/>
      <c r="RCJ1067" s="989"/>
      <c r="RCK1067" s="989"/>
      <c r="RCL1067" s="989"/>
      <c r="RCM1067" s="989"/>
      <c r="RCN1067" s="989"/>
      <c r="RCO1067" s="989"/>
      <c r="RCP1067" s="989"/>
      <c r="RCQ1067" s="989"/>
      <c r="RCR1067" s="989"/>
      <c r="RCS1067" s="989"/>
      <c r="RCT1067" s="989"/>
      <c r="RCU1067" s="989"/>
      <c r="RCV1067" s="989"/>
      <c r="RCW1067" s="989"/>
      <c r="RCX1067" s="989"/>
      <c r="RCY1067" s="989"/>
      <c r="RCZ1067" s="989"/>
      <c r="RDA1067" s="989"/>
      <c r="RDB1067" s="989"/>
      <c r="RDC1067" s="989"/>
      <c r="RDD1067" s="989"/>
      <c r="RDE1067" s="989"/>
      <c r="RDF1067" s="989"/>
      <c r="RDG1067" s="989"/>
      <c r="RDH1067" s="989"/>
      <c r="RDI1067" s="989"/>
      <c r="RDJ1067" s="989"/>
      <c r="RDK1067" s="989"/>
      <c r="RDL1067" s="989"/>
      <c r="RDM1067" s="989"/>
      <c r="RDN1067" s="989"/>
      <c r="RDO1067" s="989"/>
      <c r="RDP1067" s="989"/>
      <c r="RDQ1067" s="989"/>
      <c r="RDR1067" s="989"/>
      <c r="RDS1067" s="989"/>
      <c r="RDT1067" s="989"/>
      <c r="RDU1067" s="989"/>
      <c r="RDV1067" s="989"/>
      <c r="RDW1067" s="989"/>
      <c r="RDX1067" s="989"/>
      <c r="RDY1067" s="989"/>
      <c r="RDZ1067" s="989"/>
      <c r="REA1067" s="989"/>
      <c r="REB1067" s="989"/>
      <c r="REC1067" s="989"/>
      <c r="RED1067" s="989"/>
      <c r="REE1067" s="989"/>
      <c r="REF1067" s="989"/>
      <c r="REG1067" s="989"/>
      <c r="REH1067" s="989"/>
      <c r="REI1067" s="989"/>
      <c r="REJ1067" s="989"/>
      <c r="REK1067" s="989"/>
      <c r="REL1067" s="989"/>
      <c r="REM1067" s="989"/>
      <c r="REN1067" s="989"/>
      <c r="REO1067" s="989"/>
      <c r="REP1067" s="989"/>
      <c r="REQ1067" s="989"/>
      <c r="RER1067" s="989"/>
      <c r="RES1067" s="989"/>
      <c r="RET1067" s="989"/>
      <c r="REU1067" s="989"/>
      <c r="REV1067" s="989"/>
      <c r="REW1067" s="989"/>
      <c r="REX1067" s="989"/>
      <c r="REY1067" s="989"/>
      <c r="REZ1067" s="989"/>
      <c r="RFA1067" s="989"/>
      <c r="RFB1067" s="989"/>
      <c r="RFC1067" s="989"/>
      <c r="RFD1067" s="989"/>
      <c r="RFE1067" s="989"/>
      <c r="RFF1067" s="989"/>
      <c r="RFG1067" s="989"/>
      <c r="RFH1067" s="989"/>
      <c r="RFI1067" s="989"/>
      <c r="RFJ1067" s="989"/>
      <c r="RFK1067" s="989"/>
      <c r="RFL1067" s="989"/>
      <c r="RFM1067" s="989"/>
      <c r="RFN1067" s="989"/>
      <c r="RFO1067" s="989"/>
      <c r="RFP1067" s="989"/>
      <c r="RFQ1067" s="989"/>
      <c r="RFR1067" s="989"/>
      <c r="RFS1067" s="989"/>
      <c r="RFT1067" s="989"/>
      <c r="RFU1067" s="989"/>
      <c r="RFV1067" s="989"/>
      <c r="RFW1067" s="989"/>
      <c r="RFX1067" s="989"/>
      <c r="RFY1067" s="989"/>
      <c r="RFZ1067" s="989"/>
      <c r="RGA1067" s="989"/>
      <c r="RGB1067" s="989"/>
      <c r="RGC1067" s="989"/>
      <c r="RGD1067" s="989"/>
      <c r="RGE1067" s="989"/>
      <c r="RGF1067" s="989"/>
      <c r="RGG1067" s="989"/>
      <c r="RGH1067" s="989"/>
      <c r="RGI1067" s="989"/>
      <c r="RGJ1067" s="989"/>
      <c r="RGK1067" s="989"/>
      <c r="RGL1067" s="989"/>
      <c r="RGM1067" s="989"/>
      <c r="RGN1067" s="989"/>
      <c r="RGO1067" s="989"/>
      <c r="RGP1067" s="989"/>
      <c r="RGQ1067" s="989"/>
      <c r="RGR1067" s="989"/>
      <c r="RGS1067" s="989"/>
      <c r="RGT1067" s="989"/>
      <c r="RGU1067" s="989"/>
      <c r="RGV1067" s="989"/>
      <c r="RGW1067" s="989"/>
      <c r="RGX1067" s="989"/>
      <c r="RGY1067" s="989"/>
      <c r="RGZ1067" s="989"/>
      <c r="RHA1067" s="989"/>
      <c r="RHB1067" s="989"/>
      <c r="RHC1067" s="989"/>
      <c r="RHD1067" s="989"/>
      <c r="RHE1067" s="989"/>
      <c r="RHF1067" s="989"/>
      <c r="RHG1067" s="989"/>
      <c r="RHH1067" s="989"/>
      <c r="RHI1067" s="989"/>
      <c r="RHJ1067" s="989"/>
      <c r="RHK1067" s="989"/>
      <c r="RHL1067" s="989"/>
      <c r="RHM1067" s="989"/>
      <c r="RHN1067" s="989"/>
      <c r="RHO1067" s="989"/>
      <c r="RHP1067" s="989"/>
      <c r="RHQ1067" s="989"/>
      <c r="RHR1067" s="989"/>
      <c r="RHS1067" s="989"/>
      <c r="RHT1067" s="989"/>
      <c r="RHU1067" s="989"/>
      <c r="RHV1067" s="989"/>
      <c r="RHW1067" s="989"/>
      <c r="RHX1067" s="989"/>
      <c r="RHY1067" s="989"/>
      <c r="RHZ1067" s="989"/>
      <c r="RIA1067" s="989"/>
      <c r="RIB1067" s="989"/>
      <c r="RIC1067" s="989"/>
      <c r="RID1067" s="989"/>
      <c r="RIE1067" s="989"/>
      <c r="RIF1067" s="989"/>
      <c r="RIG1067" s="989"/>
      <c r="RIH1067" s="989"/>
      <c r="RII1067" s="989"/>
      <c r="RIJ1067" s="989"/>
      <c r="RIK1067" s="989"/>
      <c r="RIL1067" s="989"/>
      <c r="RIM1067" s="989"/>
      <c r="RIN1067" s="989"/>
      <c r="RIO1067" s="989"/>
      <c r="RIP1067" s="989"/>
      <c r="RIQ1067" s="989"/>
      <c r="RIR1067" s="989"/>
      <c r="RIS1067" s="989"/>
      <c r="RIT1067" s="989"/>
      <c r="RIU1067" s="989"/>
      <c r="RIV1067" s="989"/>
      <c r="RIW1067" s="989"/>
      <c r="RIX1067" s="989"/>
      <c r="RIY1067" s="989"/>
      <c r="RIZ1067" s="989"/>
      <c r="RJA1067" s="989"/>
      <c r="RJB1067" s="989"/>
      <c r="RJC1067" s="989"/>
      <c r="RJD1067" s="989"/>
      <c r="RJE1067" s="989"/>
      <c r="RJF1067" s="989"/>
      <c r="RJG1067" s="989"/>
      <c r="RJH1067" s="989"/>
      <c r="RJI1067" s="989"/>
      <c r="RJJ1067" s="989"/>
      <c r="RJK1067" s="989"/>
      <c r="RJL1067" s="989"/>
      <c r="RJM1067" s="989"/>
      <c r="RJN1067" s="989"/>
      <c r="RJO1067" s="989"/>
      <c r="RJP1067" s="989"/>
      <c r="RJQ1067" s="989"/>
      <c r="RJR1067" s="989"/>
      <c r="RJS1067" s="989"/>
      <c r="RJT1067" s="989"/>
      <c r="RJU1067" s="989"/>
      <c r="RJV1067" s="989"/>
      <c r="RJW1067" s="989"/>
      <c r="RJX1067" s="989"/>
      <c r="RJY1067" s="989"/>
      <c r="RJZ1067" s="989"/>
      <c r="RKA1067" s="989"/>
      <c r="RKB1067" s="989"/>
      <c r="RKC1067" s="989"/>
      <c r="RKD1067" s="989"/>
      <c r="RKE1067" s="989"/>
      <c r="RKF1067" s="989"/>
      <c r="RKG1067" s="989"/>
      <c r="RKH1067" s="989"/>
      <c r="RKI1067" s="989"/>
      <c r="RKJ1067" s="989"/>
      <c r="RKK1067" s="989"/>
      <c r="RKL1067" s="989"/>
      <c r="RKM1067" s="989"/>
      <c r="RKN1067" s="989"/>
      <c r="RKO1067" s="989"/>
      <c r="RKP1067" s="989"/>
      <c r="RKQ1067" s="989"/>
      <c r="RKR1067" s="989"/>
      <c r="RKS1067" s="989"/>
      <c r="RKT1067" s="989"/>
      <c r="RKU1067" s="989"/>
      <c r="RKV1067" s="989"/>
      <c r="RKW1067" s="989"/>
      <c r="RKX1067" s="989"/>
      <c r="RKY1067" s="989"/>
      <c r="RKZ1067" s="989"/>
      <c r="RLA1067" s="989"/>
      <c r="RLB1067" s="989"/>
      <c r="RLC1067" s="989"/>
      <c r="RLD1067" s="989"/>
      <c r="RLE1067" s="989"/>
      <c r="RLF1067" s="989"/>
      <c r="RLG1067" s="989"/>
      <c r="RLH1067" s="989"/>
      <c r="RLI1067" s="989"/>
      <c r="RLJ1067" s="989"/>
      <c r="RLK1067" s="989"/>
      <c r="RLL1067" s="989"/>
      <c r="RLM1067" s="989"/>
      <c r="RLN1067" s="989"/>
      <c r="RLO1067" s="989"/>
      <c r="RLP1067" s="989"/>
      <c r="RLQ1067" s="989"/>
      <c r="RLR1067" s="989"/>
      <c r="RLS1067" s="989"/>
      <c r="RLT1067" s="989"/>
      <c r="RLU1067" s="989"/>
      <c r="RLV1067" s="989"/>
      <c r="RLW1067" s="989"/>
      <c r="RLX1067" s="989"/>
      <c r="RLY1067" s="989"/>
      <c r="RLZ1067" s="989"/>
      <c r="RMA1067" s="989"/>
      <c r="RMB1067" s="989"/>
      <c r="RMC1067" s="989"/>
      <c r="RMD1067" s="989"/>
      <c r="RME1067" s="989"/>
      <c r="RMF1067" s="989"/>
      <c r="RMG1067" s="989"/>
      <c r="RMH1067" s="989"/>
      <c r="RMI1067" s="989"/>
      <c r="RMJ1067" s="989"/>
      <c r="RMK1067" s="989"/>
      <c r="RML1067" s="989"/>
      <c r="RMM1067" s="989"/>
      <c r="RMN1067" s="989"/>
      <c r="RMO1067" s="989"/>
      <c r="RMP1067" s="989"/>
      <c r="RMQ1067" s="989"/>
      <c r="RMR1067" s="989"/>
      <c r="RMS1067" s="989"/>
      <c r="RMT1067" s="989"/>
      <c r="RMU1067" s="989"/>
      <c r="RMV1067" s="989"/>
      <c r="RMW1067" s="989"/>
      <c r="RMX1067" s="989"/>
      <c r="RMY1067" s="989"/>
      <c r="RMZ1067" s="989"/>
      <c r="RNA1067" s="989"/>
      <c r="RNB1067" s="989"/>
      <c r="RNC1067" s="989"/>
      <c r="RND1067" s="989"/>
      <c r="RNE1067" s="989"/>
      <c r="RNF1067" s="989"/>
      <c r="RNG1067" s="989"/>
      <c r="RNH1067" s="989"/>
      <c r="RNI1067" s="989"/>
      <c r="RNJ1067" s="989"/>
      <c r="RNK1067" s="989"/>
      <c r="RNL1067" s="989"/>
      <c r="RNM1067" s="989"/>
      <c r="RNN1067" s="989"/>
      <c r="RNO1067" s="989"/>
      <c r="RNP1067" s="989"/>
      <c r="RNQ1067" s="989"/>
      <c r="RNR1067" s="989"/>
      <c r="RNS1067" s="989"/>
      <c r="RNT1067" s="989"/>
      <c r="RNU1067" s="989"/>
      <c r="RNV1067" s="989"/>
      <c r="RNW1067" s="989"/>
      <c r="RNX1067" s="989"/>
      <c r="RNY1067" s="989"/>
      <c r="RNZ1067" s="989"/>
      <c r="ROA1067" s="989"/>
      <c r="ROB1067" s="989"/>
      <c r="ROC1067" s="989"/>
      <c r="ROD1067" s="989"/>
      <c r="ROE1067" s="989"/>
      <c r="ROF1067" s="989"/>
      <c r="ROG1067" s="989"/>
      <c r="ROH1067" s="989"/>
      <c r="ROI1067" s="989"/>
      <c r="ROJ1067" s="989"/>
      <c r="ROK1067" s="989"/>
      <c r="ROL1067" s="989"/>
      <c r="ROM1067" s="989"/>
      <c r="RON1067" s="989"/>
      <c r="ROO1067" s="989"/>
      <c r="ROP1067" s="989"/>
      <c r="ROQ1067" s="989"/>
      <c r="ROR1067" s="989"/>
      <c r="ROS1067" s="989"/>
      <c r="ROT1067" s="989"/>
      <c r="ROU1067" s="989"/>
      <c r="ROV1067" s="989"/>
      <c r="ROW1067" s="989"/>
      <c r="ROX1067" s="989"/>
      <c r="ROY1067" s="989"/>
      <c r="ROZ1067" s="989"/>
      <c r="RPA1067" s="989"/>
      <c r="RPB1067" s="989"/>
      <c r="RPC1067" s="989"/>
      <c r="RPD1067" s="989"/>
      <c r="RPE1067" s="989"/>
      <c r="RPF1067" s="989"/>
      <c r="RPG1067" s="989"/>
      <c r="RPH1067" s="989"/>
      <c r="RPI1067" s="989"/>
      <c r="RPJ1067" s="989"/>
      <c r="RPK1067" s="989"/>
      <c r="RPL1067" s="989"/>
      <c r="RPM1067" s="989"/>
      <c r="RPN1067" s="989"/>
      <c r="RPO1067" s="989"/>
      <c r="RPP1067" s="989"/>
      <c r="RPQ1067" s="989"/>
      <c r="RPR1067" s="989"/>
      <c r="RPS1067" s="989"/>
      <c r="RPT1067" s="989"/>
      <c r="RPU1067" s="989"/>
      <c r="RPV1067" s="989"/>
      <c r="RPW1067" s="989"/>
      <c r="RPX1067" s="989"/>
      <c r="RPY1067" s="989"/>
      <c r="RPZ1067" s="989"/>
      <c r="RQA1067" s="989"/>
      <c r="RQB1067" s="989"/>
      <c r="RQC1067" s="989"/>
      <c r="RQD1067" s="989"/>
      <c r="RQE1067" s="989"/>
      <c r="RQF1067" s="989"/>
      <c r="RQG1067" s="989"/>
      <c r="RQH1067" s="989"/>
      <c r="RQI1067" s="989"/>
      <c r="RQJ1067" s="989"/>
      <c r="RQK1067" s="989"/>
      <c r="RQL1067" s="989"/>
      <c r="RQM1067" s="989"/>
      <c r="RQN1067" s="989"/>
      <c r="RQO1067" s="989"/>
      <c r="RQP1067" s="989"/>
      <c r="RQQ1067" s="989"/>
      <c r="RQR1067" s="989"/>
      <c r="RQS1067" s="989"/>
      <c r="RQT1067" s="989"/>
      <c r="RQU1067" s="989"/>
      <c r="RQV1067" s="989"/>
      <c r="RQW1067" s="989"/>
      <c r="RQX1067" s="989"/>
      <c r="RQY1067" s="989"/>
      <c r="RQZ1067" s="989"/>
      <c r="RRA1067" s="989"/>
      <c r="RRB1067" s="989"/>
      <c r="RRC1067" s="989"/>
      <c r="RRD1067" s="989"/>
      <c r="RRE1067" s="989"/>
      <c r="RRF1067" s="989"/>
      <c r="RRG1067" s="989"/>
      <c r="RRH1067" s="989"/>
      <c r="RRI1067" s="989"/>
      <c r="RRJ1067" s="989"/>
      <c r="RRK1067" s="989"/>
      <c r="RRL1067" s="989"/>
      <c r="RRM1067" s="989"/>
      <c r="RRN1067" s="989"/>
      <c r="RRO1067" s="989"/>
      <c r="RRP1067" s="989"/>
      <c r="RRQ1067" s="989"/>
      <c r="RRR1067" s="989"/>
      <c r="RRS1067" s="989"/>
      <c r="RRT1067" s="989"/>
      <c r="RRU1067" s="989"/>
      <c r="RRV1067" s="989"/>
      <c r="RRW1067" s="989"/>
      <c r="RRX1067" s="989"/>
      <c r="RRY1067" s="989"/>
      <c r="RRZ1067" s="989"/>
      <c r="RSA1067" s="989"/>
      <c r="RSB1067" s="989"/>
      <c r="RSC1067" s="989"/>
      <c r="RSD1067" s="989"/>
      <c r="RSE1067" s="989"/>
      <c r="RSF1067" s="989"/>
      <c r="RSG1067" s="989"/>
      <c r="RSH1067" s="989"/>
      <c r="RSI1067" s="989"/>
      <c r="RSJ1067" s="989"/>
      <c r="RSK1067" s="989"/>
      <c r="RSL1067" s="989"/>
      <c r="RSM1067" s="989"/>
      <c r="RSN1067" s="989"/>
      <c r="RSO1067" s="989"/>
      <c r="RSP1067" s="989"/>
      <c r="RSQ1067" s="989"/>
      <c r="RSR1067" s="989"/>
      <c r="RSS1067" s="989"/>
      <c r="RST1067" s="989"/>
      <c r="RSU1067" s="989"/>
      <c r="RSV1067" s="989"/>
      <c r="RSW1067" s="989"/>
      <c r="RSX1067" s="989"/>
      <c r="RSY1067" s="989"/>
      <c r="RSZ1067" s="989"/>
      <c r="RTA1067" s="989"/>
      <c r="RTB1067" s="989"/>
      <c r="RTC1067" s="989"/>
      <c r="RTD1067" s="989"/>
      <c r="RTE1067" s="989"/>
      <c r="RTF1067" s="989"/>
      <c r="RTG1067" s="989"/>
      <c r="RTH1067" s="989"/>
      <c r="RTI1067" s="989"/>
      <c r="RTJ1067" s="989"/>
      <c r="RTK1067" s="989"/>
      <c r="RTL1067" s="989"/>
      <c r="RTM1067" s="989"/>
      <c r="RTN1067" s="989"/>
      <c r="RTO1067" s="989"/>
      <c r="RTP1067" s="989"/>
      <c r="RTQ1067" s="989"/>
      <c r="RTR1067" s="989"/>
      <c r="RTS1067" s="989"/>
      <c r="RTT1067" s="989"/>
      <c r="RTU1067" s="989"/>
      <c r="RTV1067" s="989"/>
      <c r="RTW1067" s="989"/>
      <c r="RTX1067" s="989"/>
      <c r="RTY1067" s="989"/>
      <c r="RTZ1067" s="989"/>
      <c r="RUA1067" s="989"/>
      <c r="RUB1067" s="989"/>
      <c r="RUC1067" s="989"/>
      <c r="RUD1067" s="989"/>
      <c r="RUE1067" s="989"/>
      <c r="RUF1067" s="989"/>
      <c r="RUG1067" s="989"/>
      <c r="RUH1067" s="989"/>
      <c r="RUI1067" s="989"/>
      <c r="RUJ1067" s="989"/>
      <c r="RUK1067" s="989"/>
      <c r="RUL1067" s="989"/>
      <c r="RUM1067" s="989"/>
      <c r="RUN1067" s="989"/>
      <c r="RUO1067" s="989"/>
      <c r="RUP1067" s="989"/>
      <c r="RUQ1067" s="989"/>
      <c r="RUR1067" s="989"/>
      <c r="RUS1067" s="989"/>
      <c r="RUT1067" s="989"/>
      <c r="RUU1067" s="989"/>
      <c r="RUV1067" s="989"/>
      <c r="RUW1067" s="989"/>
      <c r="RUX1067" s="989"/>
      <c r="RUY1067" s="989"/>
      <c r="RUZ1067" s="989"/>
      <c r="RVA1067" s="989"/>
      <c r="RVB1067" s="989"/>
      <c r="RVC1067" s="989"/>
      <c r="RVD1067" s="989"/>
      <c r="RVE1067" s="989"/>
      <c r="RVF1067" s="989"/>
      <c r="RVG1067" s="989"/>
      <c r="RVH1067" s="989"/>
      <c r="RVI1067" s="989"/>
      <c r="RVJ1067" s="989"/>
      <c r="RVK1067" s="989"/>
      <c r="RVL1067" s="989"/>
      <c r="RVM1067" s="989"/>
      <c r="RVN1067" s="989"/>
      <c r="RVO1067" s="989"/>
      <c r="RVP1067" s="989"/>
      <c r="RVQ1067" s="989"/>
      <c r="RVR1067" s="989"/>
      <c r="RVS1067" s="989"/>
      <c r="RVT1067" s="989"/>
      <c r="RVU1067" s="989"/>
      <c r="RVV1067" s="989"/>
      <c r="RVW1067" s="989"/>
      <c r="RVX1067" s="989"/>
      <c r="RVY1067" s="989"/>
      <c r="RVZ1067" s="989"/>
      <c r="RWA1067" s="989"/>
      <c r="RWB1067" s="989"/>
      <c r="RWC1067" s="989"/>
      <c r="RWD1067" s="989"/>
      <c r="RWE1067" s="989"/>
      <c r="RWF1067" s="989"/>
      <c r="RWG1067" s="989"/>
      <c r="RWH1067" s="989"/>
      <c r="RWI1067" s="989"/>
      <c r="RWJ1067" s="989"/>
      <c r="RWK1067" s="989"/>
      <c r="RWL1067" s="989"/>
      <c r="RWM1067" s="989"/>
      <c r="RWN1067" s="989"/>
      <c r="RWO1067" s="989"/>
      <c r="RWP1067" s="989"/>
      <c r="RWQ1067" s="989"/>
      <c r="RWR1067" s="989"/>
      <c r="RWS1067" s="989"/>
      <c r="RWT1067" s="989"/>
      <c r="RWU1067" s="989"/>
      <c r="RWV1067" s="989"/>
      <c r="RWW1067" s="989"/>
      <c r="RWX1067" s="989"/>
      <c r="RWY1067" s="989"/>
      <c r="RWZ1067" s="989"/>
      <c r="RXA1067" s="989"/>
      <c r="RXB1067" s="989"/>
      <c r="RXC1067" s="989"/>
      <c r="RXD1067" s="989"/>
      <c r="RXE1067" s="989"/>
      <c r="RXF1067" s="989"/>
      <c r="RXG1067" s="989"/>
      <c r="RXH1067" s="989"/>
      <c r="RXI1067" s="989"/>
      <c r="RXJ1067" s="989"/>
      <c r="RXK1067" s="989"/>
      <c r="RXL1067" s="989"/>
      <c r="RXM1067" s="989"/>
      <c r="RXN1067" s="989"/>
      <c r="RXO1067" s="989"/>
      <c r="RXP1067" s="989"/>
      <c r="RXQ1067" s="989"/>
      <c r="RXR1067" s="989"/>
      <c r="RXS1067" s="989"/>
      <c r="RXT1067" s="989"/>
      <c r="RXU1067" s="989"/>
      <c r="RXV1067" s="989"/>
      <c r="RXW1067" s="989"/>
      <c r="RXX1067" s="989"/>
      <c r="RXY1067" s="989"/>
      <c r="RXZ1067" s="989"/>
      <c r="RYA1067" s="989"/>
      <c r="RYB1067" s="989"/>
      <c r="RYC1067" s="989"/>
      <c r="RYD1067" s="989"/>
      <c r="RYE1067" s="989"/>
      <c r="RYF1067" s="989"/>
      <c r="RYG1067" s="989"/>
      <c r="RYH1067" s="989"/>
      <c r="RYI1067" s="989"/>
      <c r="RYJ1067" s="989"/>
      <c r="RYK1067" s="989"/>
      <c r="RYL1067" s="989"/>
      <c r="RYM1067" s="989"/>
      <c r="RYN1067" s="989"/>
      <c r="RYO1067" s="989"/>
      <c r="RYP1067" s="989"/>
      <c r="RYQ1067" s="989"/>
      <c r="RYR1067" s="989"/>
      <c r="RYS1067" s="989"/>
      <c r="RYT1067" s="989"/>
      <c r="RYU1067" s="989"/>
      <c r="RYV1067" s="989"/>
      <c r="RYW1067" s="989"/>
      <c r="RYX1067" s="989"/>
      <c r="RYY1067" s="989"/>
      <c r="RYZ1067" s="989"/>
      <c r="RZA1067" s="989"/>
      <c r="RZB1067" s="989"/>
      <c r="RZC1067" s="989"/>
      <c r="RZD1067" s="989"/>
      <c r="RZE1067" s="989"/>
      <c r="RZF1067" s="989"/>
      <c r="RZG1067" s="989"/>
      <c r="RZH1067" s="989"/>
      <c r="RZI1067" s="989"/>
      <c r="RZJ1067" s="989"/>
      <c r="RZK1067" s="989"/>
      <c r="RZL1067" s="989"/>
      <c r="RZM1067" s="989"/>
      <c r="RZN1067" s="989"/>
      <c r="RZO1067" s="989"/>
      <c r="RZP1067" s="989"/>
      <c r="RZQ1067" s="989"/>
      <c r="RZR1067" s="989"/>
      <c r="RZS1067" s="989"/>
      <c r="RZT1067" s="989"/>
      <c r="RZU1067" s="989"/>
      <c r="RZV1067" s="989"/>
      <c r="RZW1067" s="989"/>
      <c r="RZX1067" s="989"/>
      <c r="RZY1067" s="989"/>
      <c r="RZZ1067" s="989"/>
      <c r="SAA1067" s="989"/>
      <c r="SAB1067" s="989"/>
      <c r="SAC1067" s="989"/>
      <c r="SAD1067" s="989"/>
      <c r="SAE1067" s="989"/>
      <c r="SAF1067" s="989"/>
      <c r="SAG1067" s="989"/>
      <c r="SAH1067" s="989"/>
      <c r="SAI1067" s="989"/>
      <c r="SAJ1067" s="989"/>
      <c r="SAK1067" s="989"/>
      <c r="SAL1067" s="989"/>
      <c r="SAM1067" s="989"/>
      <c r="SAN1067" s="989"/>
      <c r="SAO1067" s="989"/>
      <c r="SAP1067" s="989"/>
      <c r="SAQ1067" s="989"/>
      <c r="SAR1067" s="989"/>
      <c r="SAS1067" s="989"/>
      <c r="SAT1067" s="989"/>
      <c r="SAU1067" s="989"/>
      <c r="SAV1067" s="989"/>
      <c r="SAW1067" s="989"/>
      <c r="SAX1067" s="989"/>
      <c r="SAY1067" s="989"/>
      <c r="SAZ1067" s="989"/>
      <c r="SBA1067" s="989"/>
      <c r="SBB1067" s="989"/>
      <c r="SBC1067" s="989"/>
      <c r="SBD1067" s="989"/>
      <c r="SBE1067" s="989"/>
      <c r="SBF1067" s="989"/>
      <c r="SBG1067" s="989"/>
      <c r="SBH1067" s="989"/>
      <c r="SBI1067" s="989"/>
      <c r="SBJ1067" s="989"/>
      <c r="SBK1067" s="989"/>
      <c r="SBL1067" s="989"/>
      <c r="SBM1067" s="989"/>
      <c r="SBN1067" s="989"/>
      <c r="SBO1067" s="989"/>
      <c r="SBP1067" s="989"/>
      <c r="SBQ1067" s="989"/>
      <c r="SBR1067" s="989"/>
      <c r="SBS1067" s="989"/>
      <c r="SBT1067" s="989"/>
      <c r="SBU1067" s="989"/>
      <c r="SBV1067" s="989"/>
      <c r="SBW1067" s="989"/>
      <c r="SBX1067" s="989"/>
      <c r="SBY1067" s="989"/>
      <c r="SBZ1067" s="989"/>
      <c r="SCA1067" s="989"/>
      <c r="SCB1067" s="989"/>
      <c r="SCC1067" s="989"/>
      <c r="SCD1067" s="989"/>
      <c r="SCE1067" s="989"/>
      <c r="SCF1067" s="989"/>
      <c r="SCG1067" s="989"/>
      <c r="SCH1067" s="989"/>
      <c r="SCI1067" s="989"/>
      <c r="SCJ1067" s="989"/>
      <c r="SCK1067" s="989"/>
      <c r="SCL1067" s="989"/>
      <c r="SCM1067" s="989"/>
      <c r="SCN1067" s="989"/>
      <c r="SCO1067" s="989"/>
      <c r="SCP1067" s="989"/>
      <c r="SCQ1067" s="989"/>
      <c r="SCR1067" s="989"/>
      <c r="SCS1067" s="989"/>
      <c r="SCT1067" s="989"/>
      <c r="SCU1067" s="989"/>
      <c r="SCV1067" s="989"/>
      <c r="SCW1067" s="989"/>
      <c r="SCX1067" s="989"/>
      <c r="SCY1067" s="989"/>
      <c r="SCZ1067" s="989"/>
      <c r="SDA1067" s="989"/>
      <c r="SDB1067" s="989"/>
      <c r="SDC1067" s="989"/>
      <c r="SDD1067" s="989"/>
      <c r="SDE1067" s="989"/>
      <c r="SDF1067" s="989"/>
      <c r="SDG1067" s="989"/>
      <c r="SDH1067" s="989"/>
      <c r="SDI1067" s="989"/>
      <c r="SDJ1067" s="989"/>
      <c r="SDK1067" s="989"/>
      <c r="SDL1067" s="989"/>
      <c r="SDM1067" s="989"/>
      <c r="SDN1067" s="989"/>
      <c r="SDO1067" s="989"/>
      <c r="SDP1067" s="989"/>
      <c r="SDQ1067" s="989"/>
      <c r="SDR1067" s="989"/>
      <c r="SDS1067" s="989"/>
      <c r="SDT1067" s="989"/>
      <c r="SDU1067" s="989"/>
      <c r="SDV1067" s="989"/>
      <c r="SDW1067" s="989"/>
      <c r="SDX1067" s="989"/>
      <c r="SDY1067" s="989"/>
      <c r="SDZ1067" s="989"/>
      <c r="SEA1067" s="989"/>
      <c r="SEB1067" s="989"/>
      <c r="SEC1067" s="989"/>
      <c r="SED1067" s="989"/>
      <c r="SEE1067" s="989"/>
      <c r="SEF1067" s="989"/>
      <c r="SEG1067" s="989"/>
      <c r="SEH1067" s="989"/>
      <c r="SEI1067" s="989"/>
      <c r="SEJ1067" s="989"/>
      <c r="SEK1067" s="989"/>
      <c r="SEL1067" s="989"/>
      <c r="SEM1067" s="989"/>
      <c r="SEN1067" s="989"/>
      <c r="SEO1067" s="989"/>
      <c r="SEP1067" s="989"/>
      <c r="SEQ1067" s="989"/>
      <c r="SER1067" s="989"/>
      <c r="SES1067" s="989"/>
      <c r="SET1067" s="989"/>
      <c r="SEU1067" s="989"/>
      <c r="SEV1067" s="989"/>
      <c r="SEW1067" s="989"/>
      <c r="SEX1067" s="989"/>
      <c r="SEY1067" s="989"/>
      <c r="SEZ1067" s="989"/>
      <c r="SFA1067" s="989"/>
      <c r="SFB1067" s="989"/>
      <c r="SFC1067" s="989"/>
      <c r="SFD1067" s="989"/>
      <c r="SFE1067" s="989"/>
      <c r="SFF1067" s="989"/>
      <c r="SFG1067" s="989"/>
      <c r="SFH1067" s="989"/>
      <c r="SFI1067" s="989"/>
      <c r="SFJ1067" s="989"/>
      <c r="SFK1067" s="989"/>
      <c r="SFL1067" s="989"/>
      <c r="SFM1067" s="989"/>
      <c r="SFN1067" s="989"/>
      <c r="SFO1067" s="989"/>
      <c r="SFP1067" s="989"/>
      <c r="SFQ1067" s="989"/>
      <c r="SFR1067" s="989"/>
      <c r="SFS1067" s="989"/>
      <c r="SFT1067" s="989"/>
      <c r="SFU1067" s="989"/>
      <c r="SFV1067" s="989"/>
      <c r="SFW1067" s="989"/>
      <c r="SFX1067" s="989"/>
      <c r="SFY1067" s="989"/>
      <c r="SFZ1067" s="989"/>
      <c r="SGA1067" s="989"/>
      <c r="SGB1067" s="989"/>
      <c r="SGC1067" s="989"/>
      <c r="SGD1067" s="989"/>
      <c r="SGE1067" s="989"/>
      <c r="SGF1067" s="989"/>
      <c r="SGG1067" s="989"/>
      <c r="SGH1067" s="989"/>
      <c r="SGI1067" s="989"/>
      <c r="SGJ1067" s="989"/>
      <c r="SGK1067" s="989"/>
      <c r="SGL1067" s="989"/>
      <c r="SGM1067" s="989"/>
      <c r="SGN1067" s="989"/>
      <c r="SGO1067" s="989"/>
      <c r="SGP1067" s="989"/>
      <c r="SGQ1067" s="989"/>
      <c r="SGR1067" s="989"/>
      <c r="SGS1067" s="989"/>
      <c r="SGT1067" s="989"/>
      <c r="SGU1067" s="989"/>
      <c r="SGV1067" s="989"/>
      <c r="SGW1067" s="989"/>
      <c r="SGX1067" s="989"/>
      <c r="SGY1067" s="989"/>
      <c r="SGZ1067" s="989"/>
      <c r="SHA1067" s="989"/>
      <c r="SHB1067" s="989"/>
      <c r="SHC1067" s="989"/>
      <c r="SHD1067" s="989"/>
      <c r="SHE1067" s="989"/>
      <c r="SHF1067" s="989"/>
      <c r="SHG1067" s="989"/>
      <c r="SHH1067" s="989"/>
      <c r="SHI1067" s="989"/>
      <c r="SHJ1067" s="989"/>
      <c r="SHK1067" s="989"/>
      <c r="SHL1067" s="989"/>
      <c r="SHM1067" s="989"/>
      <c r="SHN1067" s="989"/>
      <c r="SHO1067" s="989"/>
      <c r="SHP1067" s="989"/>
      <c r="SHQ1067" s="989"/>
      <c r="SHR1067" s="989"/>
      <c r="SHS1067" s="989"/>
      <c r="SHT1067" s="989"/>
      <c r="SHU1067" s="989"/>
      <c r="SHV1067" s="989"/>
      <c r="SHW1067" s="989"/>
      <c r="SHX1067" s="989"/>
      <c r="SHY1067" s="989"/>
      <c r="SHZ1067" s="989"/>
      <c r="SIA1067" s="989"/>
      <c r="SIB1067" s="989"/>
      <c r="SIC1067" s="989"/>
      <c r="SID1067" s="989"/>
      <c r="SIE1067" s="989"/>
      <c r="SIF1067" s="989"/>
      <c r="SIG1067" s="989"/>
      <c r="SIH1067" s="989"/>
      <c r="SII1067" s="989"/>
      <c r="SIJ1067" s="989"/>
      <c r="SIK1067" s="989"/>
      <c r="SIL1067" s="989"/>
      <c r="SIM1067" s="989"/>
      <c r="SIN1067" s="989"/>
      <c r="SIO1067" s="989"/>
      <c r="SIP1067" s="989"/>
      <c r="SIQ1067" s="989"/>
      <c r="SIR1067" s="989"/>
      <c r="SIS1067" s="989"/>
      <c r="SIT1067" s="989"/>
      <c r="SIU1067" s="989"/>
      <c r="SIV1067" s="989"/>
      <c r="SIW1067" s="989"/>
      <c r="SIX1067" s="989"/>
      <c r="SIY1067" s="989"/>
      <c r="SIZ1067" s="989"/>
      <c r="SJA1067" s="989"/>
      <c r="SJB1067" s="989"/>
      <c r="SJC1067" s="989"/>
      <c r="SJD1067" s="989"/>
      <c r="SJE1067" s="989"/>
      <c r="SJF1067" s="989"/>
      <c r="SJG1067" s="989"/>
      <c r="SJH1067" s="989"/>
      <c r="SJI1067" s="989"/>
      <c r="SJJ1067" s="989"/>
      <c r="SJK1067" s="989"/>
      <c r="SJL1067" s="989"/>
      <c r="SJM1067" s="989"/>
      <c r="SJN1067" s="989"/>
      <c r="SJO1067" s="989"/>
      <c r="SJP1067" s="989"/>
      <c r="SJQ1067" s="989"/>
      <c r="SJR1067" s="989"/>
      <c r="SJS1067" s="989"/>
      <c r="SJT1067" s="989"/>
      <c r="SJU1067" s="989"/>
      <c r="SJV1067" s="989"/>
      <c r="SJW1067" s="989"/>
      <c r="SJX1067" s="989"/>
      <c r="SJY1067" s="989"/>
      <c r="SJZ1067" s="989"/>
      <c r="SKA1067" s="989"/>
      <c r="SKB1067" s="989"/>
      <c r="SKC1067" s="989"/>
      <c r="SKD1067" s="989"/>
      <c r="SKE1067" s="989"/>
      <c r="SKF1067" s="989"/>
      <c r="SKG1067" s="989"/>
      <c r="SKH1067" s="989"/>
      <c r="SKI1067" s="989"/>
      <c r="SKJ1067" s="989"/>
      <c r="SKK1067" s="989"/>
      <c r="SKL1067" s="989"/>
      <c r="SKM1067" s="989"/>
      <c r="SKN1067" s="989"/>
      <c r="SKO1067" s="989"/>
      <c r="SKP1067" s="989"/>
      <c r="SKQ1067" s="989"/>
      <c r="SKR1067" s="989"/>
      <c r="SKS1067" s="989"/>
      <c r="SKT1067" s="989"/>
      <c r="SKU1067" s="989"/>
      <c r="SKV1067" s="989"/>
      <c r="SKW1067" s="989"/>
      <c r="SKX1067" s="989"/>
      <c r="SKY1067" s="989"/>
      <c r="SKZ1067" s="989"/>
      <c r="SLA1067" s="989"/>
      <c r="SLB1067" s="989"/>
      <c r="SLC1067" s="989"/>
      <c r="SLD1067" s="989"/>
      <c r="SLE1067" s="989"/>
      <c r="SLF1067" s="989"/>
      <c r="SLG1067" s="989"/>
      <c r="SLH1067" s="989"/>
      <c r="SLI1067" s="989"/>
      <c r="SLJ1067" s="989"/>
      <c r="SLK1067" s="989"/>
      <c r="SLL1067" s="989"/>
      <c r="SLM1067" s="989"/>
      <c r="SLN1067" s="989"/>
      <c r="SLO1067" s="989"/>
      <c r="SLP1067" s="989"/>
      <c r="SLQ1067" s="989"/>
      <c r="SLR1067" s="989"/>
      <c r="SLS1067" s="989"/>
      <c r="SLT1067" s="989"/>
      <c r="SLU1067" s="989"/>
      <c r="SLV1067" s="989"/>
      <c r="SLW1067" s="989"/>
      <c r="SLX1067" s="989"/>
      <c r="SLY1067" s="989"/>
      <c r="SLZ1067" s="989"/>
      <c r="SMA1067" s="989"/>
      <c r="SMB1067" s="989"/>
      <c r="SMC1067" s="989"/>
      <c r="SMD1067" s="989"/>
      <c r="SME1067" s="989"/>
      <c r="SMF1067" s="989"/>
      <c r="SMG1067" s="989"/>
      <c r="SMH1067" s="989"/>
      <c r="SMI1067" s="989"/>
      <c r="SMJ1067" s="989"/>
      <c r="SMK1067" s="989"/>
      <c r="SML1067" s="989"/>
      <c r="SMM1067" s="989"/>
      <c r="SMN1067" s="989"/>
      <c r="SMO1067" s="989"/>
      <c r="SMP1067" s="989"/>
      <c r="SMQ1067" s="989"/>
      <c r="SMR1067" s="989"/>
      <c r="SMS1067" s="989"/>
      <c r="SMT1067" s="989"/>
      <c r="SMU1067" s="989"/>
      <c r="SMV1067" s="989"/>
      <c r="SMW1067" s="989"/>
      <c r="SMX1067" s="989"/>
      <c r="SMY1067" s="989"/>
      <c r="SMZ1067" s="989"/>
      <c r="SNA1067" s="989"/>
      <c r="SNB1067" s="989"/>
      <c r="SNC1067" s="989"/>
      <c r="SND1067" s="989"/>
      <c r="SNE1067" s="989"/>
      <c r="SNF1067" s="989"/>
      <c r="SNG1067" s="989"/>
      <c r="SNH1067" s="989"/>
      <c r="SNI1067" s="989"/>
      <c r="SNJ1067" s="989"/>
      <c r="SNK1067" s="989"/>
      <c r="SNL1067" s="989"/>
      <c r="SNM1067" s="989"/>
      <c r="SNN1067" s="989"/>
      <c r="SNO1067" s="989"/>
      <c r="SNP1067" s="989"/>
      <c r="SNQ1067" s="989"/>
      <c r="SNR1067" s="989"/>
      <c r="SNS1067" s="989"/>
      <c r="SNT1067" s="989"/>
      <c r="SNU1067" s="989"/>
      <c r="SNV1067" s="989"/>
      <c r="SNW1067" s="989"/>
      <c r="SNX1067" s="989"/>
      <c r="SNY1067" s="989"/>
      <c r="SNZ1067" s="989"/>
      <c r="SOA1067" s="989"/>
      <c r="SOB1067" s="989"/>
      <c r="SOC1067" s="989"/>
      <c r="SOD1067" s="989"/>
      <c r="SOE1067" s="989"/>
      <c r="SOF1067" s="989"/>
      <c r="SOG1067" s="989"/>
      <c r="SOH1067" s="989"/>
      <c r="SOI1067" s="989"/>
      <c r="SOJ1067" s="989"/>
      <c r="SOK1067" s="989"/>
      <c r="SOL1067" s="989"/>
      <c r="SOM1067" s="989"/>
      <c r="SON1067" s="989"/>
      <c r="SOO1067" s="989"/>
      <c r="SOP1067" s="989"/>
      <c r="SOQ1067" s="989"/>
      <c r="SOR1067" s="989"/>
      <c r="SOS1067" s="989"/>
      <c r="SOT1067" s="989"/>
      <c r="SOU1067" s="989"/>
      <c r="SOV1067" s="989"/>
      <c r="SOW1067" s="989"/>
      <c r="SOX1067" s="989"/>
      <c r="SOY1067" s="989"/>
      <c r="SOZ1067" s="989"/>
      <c r="SPA1067" s="989"/>
      <c r="SPB1067" s="989"/>
      <c r="SPC1067" s="989"/>
      <c r="SPD1067" s="989"/>
      <c r="SPE1067" s="989"/>
      <c r="SPF1067" s="989"/>
      <c r="SPG1067" s="989"/>
      <c r="SPH1067" s="989"/>
      <c r="SPI1067" s="989"/>
      <c r="SPJ1067" s="989"/>
      <c r="SPK1067" s="989"/>
      <c r="SPL1067" s="989"/>
      <c r="SPM1067" s="989"/>
      <c r="SPN1067" s="989"/>
      <c r="SPO1067" s="989"/>
      <c r="SPP1067" s="989"/>
      <c r="SPQ1067" s="989"/>
      <c r="SPR1067" s="989"/>
      <c r="SPS1067" s="989"/>
      <c r="SPT1067" s="989"/>
      <c r="SPU1067" s="989"/>
      <c r="SPV1067" s="989"/>
      <c r="SPW1067" s="989"/>
      <c r="SPX1067" s="989"/>
      <c r="SPY1067" s="989"/>
      <c r="SPZ1067" s="989"/>
      <c r="SQA1067" s="989"/>
      <c r="SQB1067" s="989"/>
      <c r="SQC1067" s="989"/>
      <c r="SQD1067" s="989"/>
      <c r="SQE1067" s="989"/>
      <c r="SQF1067" s="989"/>
      <c r="SQG1067" s="989"/>
      <c r="SQH1067" s="989"/>
      <c r="SQI1067" s="989"/>
      <c r="SQJ1067" s="989"/>
      <c r="SQK1067" s="989"/>
      <c r="SQL1067" s="989"/>
      <c r="SQM1067" s="989"/>
      <c r="SQN1067" s="989"/>
      <c r="SQO1067" s="989"/>
      <c r="SQP1067" s="989"/>
      <c r="SQQ1067" s="989"/>
      <c r="SQR1067" s="989"/>
      <c r="SQS1067" s="989"/>
      <c r="SQT1067" s="989"/>
      <c r="SQU1067" s="989"/>
      <c r="SQV1067" s="989"/>
      <c r="SQW1067" s="989"/>
      <c r="SQX1067" s="989"/>
      <c r="SQY1067" s="989"/>
      <c r="SQZ1067" s="989"/>
      <c r="SRA1067" s="989"/>
      <c r="SRB1067" s="989"/>
      <c r="SRC1067" s="989"/>
      <c r="SRD1067" s="989"/>
      <c r="SRE1067" s="989"/>
      <c r="SRF1067" s="989"/>
      <c r="SRG1067" s="989"/>
      <c r="SRH1067" s="989"/>
      <c r="SRI1067" s="989"/>
      <c r="SRJ1067" s="989"/>
      <c r="SRK1067" s="989"/>
      <c r="SRL1067" s="989"/>
      <c r="SRM1067" s="989"/>
      <c r="SRN1067" s="989"/>
      <c r="SRO1067" s="989"/>
      <c r="SRP1067" s="989"/>
      <c r="SRQ1067" s="989"/>
      <c r="SRR1067" s="989"/>
      <c r="SRS1067" s="989"/>
      <c r="SRT1067" s="989"/>
      <c r="SRU1067" s="989"/>
      <c r="SRV1067" s="989"/>
      <c r="SRW1067" s="989"/>
      <c r="SRX1067" s="989"/>
      <c r="SRY1067" s="989"/>
      <c r="SRZ1067" s="989"/>
      <c r="SSA1067" s="989"/>
      <c r="SSB1067" s="989"/>
      <c r="SSC1067" s="989"/>
      <c r="SSD1067" s="989"/>
      <c r="SSE1067" s="989"/>
      <c r="SSF1067" s="989"/>
      <c r="SSG1067" s="989"/>
      <c r="SSH1067" s="989"/>
      <c r="SSI1067" s="989"/>
      <c r="SSJ1067" s="989"/>
      <c r="SSK1067" s="989"/>
      <c r="SSL1067" s="989"/>
      <c r="SSM1067" s="989"/>
      <c r="SSN1067" s="989"/>
      <c r="SSO1067" s="989"/>
      <c r="SSP1067" s="989"/>
      <c r="SSQ1067" s="989"/>
      <c r="SSR1067" s="989"/>
      <c r="SSS1067" s="989"/>
      <c r="SST1067" s="989"/>
      <c r="SSU1067" s="989"/>
      <c r="SSV1067" s="989"/>
      <c r="SSW1067" s="989"/>
      <c r="SSX1067" s="989"/>
      <c r="SSY1067" s="989"/>
      <c r="SSZ1067" s="989"/>
      <c r="STA1067" s="989"/>
      <c r="STB1067" s="989"/>
      <c r="STC1067" s="989"/>
      <c r="STD1067" s="989"/>
      <c r="STE1067" s="989"/>
      <c r="STF1067" s="989"/>
      <c r="STG1067" s="989"/>
      <c r="STH1067" s="989"/>
      <c r="STI1067" s="989"/>
      <c r="STJ1067" s="989"/>
      <c r="STK1067" s="989"/>
      <c r="STL1067" s="989"/>
      <c r="STM1067" s="989"/>
      <c r="STN1067" s="989"/>
      <c r="STO1067" s="989"/>
      <c r="STP1067" s="989"/>
      <c r="STQ1067" s="989"/>
      <c r="STR1067" s="989"/>
      <c r="STS1067" s="989"/>
      <c r="STT1067" s="989"/>
      <c r="STU1067" s="989"/>
      <c r="STV1067" s="989"/>
      <c r="STW1067" s="989"/>
      <c r="STX1067" s="989"/>
      <c r="STY1067" s="989"/>
      <c r="STZ1067" s="989"/>
      <c r="SUA1067" s="989"/>
      <c r="SUB1067" s="989"/>
      <c r="SUC1067" s="989"/>
      <c r="SUD1067" s="989"/>
      <c r="SUE1067" s="989"/>
      <c r="SUF1067" s="989"/>
      <c r="SUG1067" s="989"/>
      <c r="SUH1067" s="989"/>
      <c r="SUI1067" s="989"/>
      <c r="SUJ1067" s="989"/>
      <c r="SUK1067" s="989"/>
      <c r="SUL1067" s="989"/>
      <c r="SUM1067" s="989"/>
      <c r="SUN1067" s="989"/>
      <c r="SUO1067" s="989"/>
      <c r="SUP1067" s="989"/>
      <c r="SUQ1067" s="989"/>
      <c r="SUR1067" s="989"/>
      <c r="SUS1067" s="989"/>
      <c r="SUT1067" s="989"/>
      <c r="SUU1067" s="989"/>
      <c r="SUV1067" s="989"/>
      <c r="SUW1067" s="989"/>
      <c r="SUX1067" s="989"/>
      <c r="SUY1067" s="989"/>
      <c r="SUZ1067" s="989"/>
      <c r="SVA1067" s="989"/>
      <c r="SVB1067" s="989"/>
      <c r="SVC1067" s="989"/>
      <c r="SVD1067" s="989"/>
      <c r="SVE1067" s="989"/>
      <c r="SVF1067" s="989"/>
      <c r="SVG1067" s="989"/>
      <c r="SVH1067" s="989"/>
      <c r="SVI1067" s="989"/>
      <c r="SVJ1067" s="989"/>
      <c r="SVK1067" s="989"/>
      <c r="SVL1067" s="989"/>
      <c r="SVM1067" s="989"/>
      <c r="SVN1067" s="989"/>
      <c r="SVO1067" s="989"/>
      <c r="SVP1067" s="989"/>
      <c r="SVQ1067" s="989"/>
      <c r="SVR1067" s="989"/>
      <c r="SVS1067" s="989"/>
      <c r="SVT1067" s="989"/>
      <c r="SVU1067" s="989"/>
      <c r="SVV1067" s="989"/>
      <c r="SVW1067" s="989"/>
      <c r="SVX1067" s="989"/>
      <c r="SVY1067" s="989"/>
      <c r="SVZ1067" s="989"/>
      <c r="SWA1067" s="989"/>
      <c r="SWB1067" s="989"/>
      <c r="SWC1067" s="989"/>
      <c r="SWD1067" s="989"/>
      <c r="SWE1067" s="989"/>
      <c r="SWF1067" s="989"/>
      <c r="SWG1067" s="989"/>
      <c r="SWH1067" s="989"/>
      <c r="SWI1067" s="989"/>
      <c r="SWJ1067" s="989"/>
      <c r="SWK1067" s="989"/>
      <c r="SWL1067" s="989"/>
      <c r="SWM1067" s="989"/>
      <c r="SWN1067" s="989"/>
      <c r="SWO1067" s="989"/>
      <c r="SWP1067" s="989"/>
      <c r="SWQ1067" s="989"/>
      <c r="SWR1067" s="989"/>
      <c r="SWS1067" s="989"/>
      <c r="SWT1067" s="989"/>
      <c r="SWU1067" s="989"/>
      <c r="SWV1067" s="989"/>
      <c r="SWW1067" s="989"/>
      <c r="SWX1067" s="989"/>
      <c r="SWY1067" s="989"/>
      <c r="SWZ1067" s="989"/>
      <c r="SXA1067" s="989"/>
      <c r="SXB1067" s="989"/>
      <c r="SXC1067" s="989"/>
      <c r="SXD1067" s="989"/>
      <c r="SXE1067" s="989"/>
      <c r="SXF1067" s="989"/>
      <c r="SXG1067" s="989"/>
      <c r="SXH1067" s="989"/>
      <c r="SXI1067" s="989"/>
      <c r="SXJ1067" s="989"/>
      <c r="SXK1067" s="989"/>
      <c r="SXL1067" s="989"/>
      <c r="SXM1067" s="989"/>
      <c r="SXN1067" s="989"/>
      <c r="SXO1067" s="989"/>
      <c r="SXP1067" s="989"/>
      <c r="SXQ1067" s="989"/>
      <c r="SXR1067" s="989"/>
      <c r="SXS1067" s="989"/>
      <c r="SXT1067" s="989"/>
      <c r="SXU1067" s="989"/>
      <c r="SXV1067" s="989"/>
      <c r="SXW1067" s="989"/>
      <c r="SXX1067" s="989"/>
      <c r="SXY1067" s="989"/>
      <c r="SXZ1067" s="989"/>
      <c r="SYA1067" s="989"/>
      <c r="SYB1067" s="989"/>
      <c r="SYC1067" s="989"/>
      <c r="SYD1067" s="989"/>
      <c r="SYE1067" s="989"/>
      <c r="SYF1067" s="989"/>
      <c r="SYG1067" s="989"/>
      <c r="SYH1067" s="989"/>
      <c r="SYI1067" s="989"/>
      <c r="SYJ1067" s="989"/>
      <c r="SYK1067" s="989"/>
      <c r="SYL1067" s="989"/>
      <c r="SYM1067" s="989"/>
      <c r="SYN1067" s="989"/>
      <c r="SYO1067" s="989"/>
      <c r="SYP1067" s="989"/>
      <c r="SYQ1067" s="989"/>
      <c r="SYR1067" s="989"/>
      <c r="SYS1067" s="989"/>
      <c r="SYT1067" s="989"/>
      <c r="SYU1067" s="989"/>
      <c r="SYV1067" s="989"/>
      <c r="SYW1067" s="989"/>
      <c r="SYX1067" s="989"/>
      <c r="SYY1067" s="989"/>
      <c r="SYZ1067" s="989"/>
      <c r="SZA1067" s="989"/>
      <c r="SZB1067" s="989"/>
      <c r="SZC1067" s="989"/>
      <c r="SZD1067" s="989"/>
      <c r="SZE1067" s="989"/>
      <c r="SZF1067" s="989"/>
      <c r="SZG1067" s="989"/>
      <c r="SZH1067" s="989"/>
      <c r="SZI1067" s="989"/>
      <c r="SZJ1067" s="989"/>
      <c r="SZK1067" s="989"/>
      <c r="SZL1067" s="989"/>
      <c r="SZM1067" s="989"/>
      <c r="SZN1067" s="989"/>
      <c r="SZO1067" s="989"/>
      <c r="SZP1067" s="989"/>
      <c r="SZQ1067" s="989"/>
      <c r="SZR1067" s="989"/>
      <c r="SZS1067" s="989"/>
      <c r="SZT1067" s="989"/>
      <c r="SZU1067" s="989"/>
      <c r="SZV1067" s="989"/>
      <c r="SZW1067" s="989"/>
      <c r="SZX1067" s="989"/>
      <c r="SZY1067" s="989"/>
      <c r="SZZ1067" s="989"/>
      <c r="TAA1067" s="989"/>
      <c r="TAB1067" s="989"/>
      <c r="TAC1067" s="989"/>
      <c r="TAD1067" s="989"/>
      <c r="TAE1067" s="989"/>
      <c r="TAF1067" s="989"/>
      <c r="TAG1067" s="989"/>
      <c r="TAH1067" s="989"/>
      <c r="TAI1067" s="989"/>
      <c r="TAJ1067" s="989"/>
      <c r="TAK1067" s="989"/>
      <c r="TAL1067" s="989"/>
      <c r="TAM1067" s="989"/>
      <c r="TAN1067" s="989"/>
      <c r="TAO1067" s="989"/>
      <c r="TAP1067" s="989"/>
      <c r="TAQ1067" s="989"/>
      <c r="TAR1067" s="989"/>
      <c r="TAS1067" s="989"/>
      <c r="TAT1067" s="989"/>
      <c r="TAU1067" s="989"/>
      <c r="TAV1067" s="989"/>
      <c r="TAW1067" s="989"/>
      <c r="TAX1067" s="989"/>
      <c r="TAY1067" s="989"/>
      <c r="TAZ1067" s="989"/>
      <c r="TBA1067" s="989"/>
      <c r="TBB1067" s="989"/>
      <c r="TBC1067" s="989"/>
      <c r="TBD1067" s="989"/>
      <c r="TBE1067" s="989"/>
      <c r="TBF1067" s="989"/>
      <c r="TBG1067" s="989"/>
      <c r="TBH1067" s="989"/>
      <c r="TBI1067" s="989"/>
      <c r="TBJ1067" s="989"/>
      <c r="TBK1067" s="989"/>
      <c r="TBL1067" s="989"/>
      <c r="TBM1067" s="989"/>
      <c r="TBN1067" s="989"/>
      <c r="TBO1067" s="989"/>
      <c r="TBP1067" s="989"/>
      <c r="TBQ1067" s="989"/>
      <c r="TBR1067" s="989"/>
      <c r="TBS1067" s="989"/>
      <c r="TBT1067" s="989"/>
      <c r="TBU1067" s="989"/>
      <c r="TBV1067" s="989"/>
      <c r="TBW1067" s="989"/>
      <c r="TBX1067" s="989"/>
      <c r="TBY1067" s="989"/>
      <c r="TBZ1067" s="989"/>
      <c r="TCA1067" s="989"/>
      <c r="TCB1067" s="989"/>
      <c r="TCC1067" s="989"/>
      <c r="TCD1067" s="989"/>
      <c r="TCE1067" s="989"/>
      <c r="TCF1067" s="989"/>
      <c r="TCG1067" s="989"/>
      <c r="TCH1067" s="989"/>
      <c r="TCI1067" s="989"/>
      <c r="TCJ1067" s="989"/>
      <c r="TCK1067" s="989"/>
      <c r="TCL1067" s="989"/>
      <c r="TCM1067" s="989"/>
      <c r="TCN1067" s="989"/>
      <c r="TCO1067" s="989"/>
      <c r="TCP1067" s="989"/>
      <c r="TCQ1067" s="989"/>
      <c r="TCR1067" s="989"/>
      <c r="TCS1067" s="989"/>
      <c r="TCT1067" s="989"/>
      <c r="TCU1067" s="989"/>
      <c r="TCV1067" s="989"/>
      <c r="TCW1067" s="989"/>
      <c r="TCX1067" s="989"/>
      <c r="TCY1067" s="989"/>
      <c r="TCZ1067" s="989"/>
      <c r="TDA1067" s="989"/>
      <c r="TDB1067" s="989"/>
      <c r="TDC1067" s="989"/>
      <c r="TDD1067" s="989"/>
      <c r="TDE1067" s="989"/>
      <c r="TDF1067" s="989"/>
      <c r="TDG1067" s="989"/>
      <c r="TDH1067" s="989"/>
      <c r="TDI1067" s="989"/>
      <c r="TDJ1067" s="989"/>
      <c r="TDK1067" s="989"/>
      <c r="TDL1067" s="989"/>
      <c r="TDM1067" s="989"/>
      <c r="TDN1067" s="989"/>
      <c r="TDO1067" s="989"/>
      <c r="TDP1067" s="989"/>
      <c r="TDQ1067" s="989"/>
      <c r="TDR1067" s="989"/>
      <c r="TDS1067" s="989"/>
      <c r="TDT1067" s="989"/>
      <c r="TDU1067" s="989"/>
      <c r="TDV1067" s="989"/>
      <c r="TDW1067" s="989"/>
      <c r="TDX1067" s="989"/>
      <c r="TDY1067" s="989"/>
      <c r="TDZ1067" s="989"/>
      <c r="TEA1067" s="989"/>
      <c r="TEB1067" s="989"/>
      <c r="TEC1067" s="989"/>
      <c r="TED1067" s="989"/>
      <c r="TEE1067" s="989"/>
      <c r="TEF1067" s="989"/>
      <c r="TEG1067" s="989"/>
      <c r="TEH1067" s="989"/>
      <c r="TEI1067" s="989"/>
      <c r="TEJ1067" s="989"/>
      <c r="TEK1067" s="989"/>
      <c r="TEL1067" s="989"/>
      <c r="TEM1067" s="989"/>
      <c r="TEN1067" s="989"/>
      <c r="TEO1067" s="989"/>
      <c r="TEP1067" s="989"/>
      <c r="TEQ1067" s="989"/>
      <c r="TER1067" s="989"/>
      <c r="TES1067" s="989"/>
      <c r="TET1067" s="989"/>
      <c r="TEU1067" s="989"/>
      <c r="TEV1067" s="989"/>
      <c r="TEW1067" s="989"/>
      <c r="TEX1067" s="989"/>
      <c r="TEY1067" s="989"/>
      <c r="TEZ1067" s="989"/>
      <c r="TFA1067" s="989"/>
      <c r="TFB1067" s="989"/>
      <c r="TFC1067" s="989"/>
      <c r="TFD1067" s="989"/>
      <c r="TFE1067" s="989"/>
      <c r="TFF1067" s="989"/>
      <c r="TFG1067" s="989"/>
      <c r="TFH1067" s="989"/>
      <c r="TFI1067" s="989"/>
      <c r="TFJ1067" s="989"/>
      <c r="TFK1067" s="989"/>
      <c r="TFL1067" s="989"/>
      <c r="TFM1067" s="989"/>
      <c r="TFN1067" s="989"/>
      <c r="TFO1067" s="989"/>
      <c r="TFP1067" s="989"/>
      <c r="TFQ1067" s="989"/>
      <c r="TFR1067" s="989"/>
      <c r="TFS1067" s="989"/>
      <c r="TFT1067" s="989"/>
      <c r="TFU1067" s="989"/>
      <c r="TFV1067" s="989"/>
      <c r="TFW1067" s="989"/>
      <c r="TFX1067" s="989"/>
      <c r="TFY1067" s="989"/>
      <c r="TFZ1067" s="989"/>
      <c r="TGA1067" s="989"/>
      <c r="TGB1067" s="989"/>
      <c r="TGC1067" s="989"/>
      <c r="TGD1067" s="989"/>
      <c r="TGE1067" s="989"/>
      <c r="TGF1067" s="989"/>
      <c r="TGG1067" s="989"/>
      <c r="TGH1067" s="989"/>
      <c r="TGI1067" s="989"/>
      <c r="TGJ1067" s="989"/>
      <c r="TGK1067" s="989"/>
      <c r="TGL1067" s="989"/>
      <c r="TGM1067" s="989"/>
      <c r="TGN1067" s="989"/>
      <c r="TGO1067" s="989"/>
      <c r="TGP1067" s="989"/>
      <c r="TGQ1067" s="989"/>
      <c r="TGR1067" s="989"/>
      <c r="TGS1067" s="989"/>
      <c r="TGT1067" s="989"/>
      <c r="TGU1067" s="989"/>
      <c r="TGV1067" s="989"/>
      <c r="TGW1067" s="989"/>
      <c r="TGX1067" s="989"/>
      <c r="TGY1067" s="989"/>
      <c r="TGZ1067" s="989"/>
      <c r="THA1067" s="989"/>
      <c r="THB1067" s="989"/>
      <c r="THC1067" s="989"/>
      <c r="THD1067" s="989"/>
      <c r="THE1067" s="989"/>
      <c r="THF1067" s="989"/>
      <c r="THG1067" s="989"/>
      <c r="THH1067" s="989"/>
      <c r="THI1067" s="989"/>
      <c r="THJ1067" s="989"/>
      <c r="THK1067" s="989"/>
      <c r="THL1067" s="989"/>
      <c r="THM1067" s="989"/>
      <c r="THN1067" s="989"/>
      <c r="THO1067" s="989"/>
      <c r="THP1067" s="989"/>
      <c r="THQ1067" s="989"/>
      <c r="THR1067" s="989"/>
      <c r="THS1067" s="989"/>
      <c r="THT1067" s="989"/>
      <c r="THU1067" s="989"/>
      <c r="THV1067" s="989"/>
      <c r="THW1067" s="989"/>
      <c r="THX1067" s="989"/>
      <c r="THY1067" s="989"/>
      <c r="THZ1067" s="989"/>
      <c r="TIA1067" s="989"/>
      <c r="TIB1067" s="989"/>
      <c r="TIC1067" s="989"/>
      <c r="TID1067" s="989"/>
      <c r="TIE1067" s="989"/>
      <c r="TIF1067" s="989"/>
      <c r="TIG1067" s="989"/>
      <c r="TIH1067" s="989"/>
      <c r="TII1067" s="989"/>
      <c r="TIJ1067" s="989"/>
      <c r="TIK1067" s="989"/>
      <c r="TIL1067" s="989"/>
      <c r="TIM1067" s="989"/>
      <c r="TIN1067" s="989"/>
      <c r="TIO1067" s="989"/>
      <c r="TIP1067" s="989"/>
      <c r="TIQ1067" s="989"/>
      <c r="TIR1067" s="989"/>
      <c r="TIS1067" s="989"/>
      <c r="TIT1067" s="989"/>
      <c r="TIU1067" s="989"/>
      <c r="TIV1067" s="989"/>
      <c r="TIW1067" s="989"/>
      <c r="TIX1067" s="989"/>
      <c r="TIY1067" s="989"/>
      <c r="TIZ1067" s="989"/>
      <c r="TJA1067" s="989"/>
      <c r="TJB1067" s="989"/>
      <c r="TJC1067" s="989"/>
      <c r="TJD1067" s="989"/>
      <c r="TJE1067" s="989"/>
      <c r="TJF1067" s="989"/>
      <c r="TJG1067" s="989"/>
      <c r="TJH1067" s="989"/>
      <c r="TJI1067" s="989"/>
      <c r="TJJ1067" s="989"/>
      <c r="TJK1067" s="989"/>
      <c r="TJL1067" s="989"/>
      <c r="TJM1067" s="989"/>
      <c r="TJN1067" s="989"/>
      <c r="TJO1067" s="989"/>
      <c r="TJP1067" s="989"/>
      <c r="TJQ1067" s="989"/>
      <c r="TJR1067" s="989"/>
      <c r="TJS1067" s="989"/>
      <c r="TJT1067" s="989"/>
      <c r="TJU1067" s="989"/>
      <c r="TJV1067" s="989"/>
      <c r="TJW1067" s="989"/>
      <c r="TJX1067" s="989"/>
      <c r="TJY1067" s="989"/>
      <c r="TJZ1067" s="989"/>
      <c r="TKA1067" s="989"/>
      <c r="TKB1067" s="989"/>
      <c r="TKC1067" s="989"/>
      <c r="TKD1067" s="989"/>
      <c r="TKE1067" s="989"/>
      <c r="TKF1067" s="989"/>
      <c r="TKG1067" s="989"/>
      <c r="TKH1067" s="989"/>
      <c r="TKI1067" s="989"/>
      <c r="TKJ1067" s="989"/>
      <c r="TKK1067" s="989"/>
      <c r="TKL1067" s="989"/>
      <c r="TKM1067" s="989"/>
      <c r="TKN1067" s="989"/>
      <c r="TKO1067" s="989"/>
      <c r="TKP1067" s="989"/>
      <c r="TKQ1067" s="989"/>
      <c r="TKR1067" s="989"/>
      <c r="TKS1067" s="989"/>
      <c r="TKT1067" s="989"/>
      <c r="TKU1067" s="989"/>
      <c r="TKV1067" s="989"/>
      <c r="TKW1067" s="989"/>
      <c r="TKX1067" s="989"/>
      <c r="TKY1067" s="989"/>
      <c r="TKZ1067" s="989"/>
      <c r="TLA1067" s="989"/>
      <c r="TLB1067" s="989"/>
      <c r="TLC1067" s="989"/>
      <c r="TLD1067" s="989"/>
      <c r="TLE1067" s="989"/>
      <c r="TLF1067" s="989"/>
      <c r="TLG1067" s="989"/>
      <c r="TLH1067" s="989"/>
      <c r="TLI1067" s="989"/>
      <c r="TLJ1067" s="989"/>
      <c r="TLK1067" s="989"/>
      <c r="TLL1067" s="989"/>
      <c r="TLM1067" s="989"/>
      <c r="TLN1067" s="989"/>
      <c r="TLO1067" s="989"/>
      <c r="TLP1067" s="989"/>
      <c r="TLQ1067" s="989"/>
      <c r="TLR1067" s="989"/>
      <c r="TLS1067" s="989"/>
      <c r="TLT1067" s="989"/>
      <c r="TLU1067" s="989"/>
      <c r="TLV1067" s="989"/>
      <c r="TLW1067" s="989"/>
      <c r="TLX1067" s="989"/>
      <c r="TLY1067" s="989"/>
      <c r="TLZ1067" s="989"/>
      <c r="TMA1067" s="989"/>
      <c r="TMB1067" s="989"/>
      <c r="TMC1067" s="989"/>
      <c r="TMD1067" s="989"/>
      <c r="TME1067" s="989"/>
      <c r="TMF1067" s="989"/>
      <c r="TMG1067" s="989"/>
      <c r="TMH1067" s="989"/>
      <c r="TMI1067" s="989"/>
      <c r="TMJ1067" s="989"/>
      <c r="TMK1067" s="989"/>
      <c r="TML1067" s="989"/>
      <c r="TMM1067" s="989"/>
      <c r="TMN1067" s="989"/>
      <c r="TMO1067" s="989"/>
      <c r="TMP1067" s="989"/>
      <c r="TMQ1067" s="989"/>
      <c r="TMR1067" s="989"/>
      <c r="TMS1067" s="989"/>
      <c r="TMT1067" s="989"/>
      <c r="TMU1067" s="989"/>
      <c r="TMV1067" s="989"/>
      <c r="TMW1067" s="989"/>
      <c r="TMX1067" s="989"/>
      <c r="TMY1067" s="989"/>
      <c r="TMZ1067" s="989"/>
      <c r="TNA1067" s="989"/>
      <c r="TNB1067" s="989"/>
      <c r="TNC1067" s="989"/>
      <c r="TND1067" s="989"/>
      <c r="TNE1067" s="989"/>
      <c r="TNF1067" s="989"/>
      <c r="TNG1067" s="989"/>
      <c r="TNH1067" s="989"/>
      <c r="TNI1067" s="989"/>
      <c r="TNJ1067" s="989"/>
      <c r="TNK1067" s="989"/>
      <c r="TNL1067" s="989"/>
      <c r="TNM1067" s="989"/>
      <c r="TNN1067" s="989"/>
      <c r="TNO1067" s="989"/>
      <c r="TNP1067" s="989"/>
      <c r="TNQ1067" s="989"/>
      <c r="TNR1067" s="989"/>
      <c r="TNS1067" s="989"/>
      <c r="TNT1067" s="989"/>
      <c r="TNU1067" s="989"/>
      <c r="TNV1067" s="989"/>
      <c r="TNW1067" s="989"/>
      <c r="TNX1067" s="989"/>
      <c r="TNY1067" s="989"/>
      <c r="TNZ1067" s="989"/>
      <c r="TOA1067" s="989"/>
      <c r="TOB1067" s="989"/>
      <c r="TOC1067" s="989"/>
      <c r="TOD1067" s="989"/>
      <c r="TOE1067" s="989"/>
      <c r="TOF1067" s="989"/>
      <c r="TOG1067" s="989"/>
      <c r="TOH1067" s="989"/>
      <c r="TOI1067" s="989"/>
      <c r="TOJ1067" s="989"/>
      <c r="TOK1067" s="989"/>
      <c r="TOL1067" s="989"/>
      <c r="TOM1067" s="989"/>
      <c r="TON1067" s="989"/>
      <c r="TOO1067" s="989"/>
      <c r="TOP1067" s="989"/>
      <c r="TOQ1067" s="989"/>
      <c r="TOR1067" s="989"/>
      <c r="TOS1067" s="989"/>
      <c r="TOT1067" s="989"/>
      <c r="TOU1067" s="989"/>
      <c r="TOV1067" s="989"/>
      <c r="TOW1067" s="989"/>
      <c r="TOX1067" s="989"/>
      <c r="TOY1067" s="989"/>
      <c r="TOZ1067" s="989"/>
      <c r="TPA1067" s="989"/>
      <c r="TPB1067" s="989"/>
      <c r="TPC1067" s="989"/>
      <c r="TPD1067" s="989"/>
      <c r="TPE1067" s="989"/>
      <c r="TPF1067" s="989"/>
      <c r="TPG1067" s="989"/>
      <c r="TPH1067" s="989"/>
      <c r="TPI1067" s="989"/>
      <c r="TPJ1067" s="989"/>
      <c r="TPK1067" s="989"/>
      <c r="TPL1067" s="989"/>
      <c r="TPM1067" s="989"/>
      <c r="TPN1067" s="989"/>
      <c r="TPO1067" s="989"/>
      <c r="TPP1067" s="989"/>
      <c r="TPQ1067" s="989"/>
      <c r="TPR1067" s="989"/>
      <c r="TPS1067" s="989"/>
      <c r="TPT1067" s="989"/>
      <c r="TPU1067" s="989"/>
      <c r="TPV1067" s="989"/>
      <c r="TPW1067" s="989"/>
      <c r="TPX1067" s="989"/>
      <c r="TPY1067" s="989"/>
      <c r="TPZ1067" s="989"/>
      <c r="TQA1067" s="989"/>
      <c r="TQB1067" s="989"/>
      <c r="TQC1067" s="989"/>
      <c r="TQD1067" s="989"/>
      <c r="TQE1067" s="989"/>
      <c r="TQF1067" s="989"/>
      <c r="TQG1067" s="989"/>
      <c r="TQH1067" s="989"/>
      <c r="TQI1067" s="989"/>
      <c r="TQJ1067" s="989"/>
      <c r="TQK1067" s="989"/>
      <c r="TQL1067" s="989"/>
      <c r="TQM1067" s="989"/>
      <c r="TQN1067" s="989"/>
      <c r="TQO1067" s="989"/>
      <c r="TQP1067" s="989"/>
      <c r="TQQ1067" s="989"/>
      <c r="TQR1067" s="989"/>
      <c r="TQS1067" s="989"/>
      <c r="TQT1067" s="989"/>
      <c r="TQU1067" s="989"/>
      <c r="TQV1067" s="989"/>
      <c r="TQW1067" s="989"/>
      <c r="TQX1067" s="989"/>
      <c r="TQY1067" s="989"/>
      <c r="TQZ1067" s="989"/>
      <c r="TRA1067" s="989"/>
      <c r="TRB1067" s="989"/>
      <c r="TRC1067" s="989"/>
      <c r="TRD1067" s="989"/>
      <c r="TRE1067" s="989"/>
      <c r="TRF1067" s="989"/>
      <c r="TRG1067" s="989"/>
      <c r="TRH1067" s="989"/>
      <c r="TRI1067" s="989"/>
      <c r="TRJ1067" s="989"/>
      <c r="TRK1067" s="989"/>
      <c r="TRL1067" s="989"/>
      <c r="TRM1067" s="989"/>
      <c r="TRN1067" s="989"/>
      <c r="TRO1067" s="989"/>
      <c r="TRP1067" s="989"/>
      <c r="TRQ1067" s="989"/>
      <c r="TRR1067" s="989"/>
      <c r="TRS1067" s="989"/>
      <c r="TRT1067" s="989"/>
      <c r="TRU1067" s="989"/>
      <c r="TRV1067" s="989"/>
      <c r="TRW1067" s="989"/>
      <c r="TRX1067" s="989"/>
      <c r="TRY1067" s="989"/>
      <c r="TRZ1067" s="989"/>
      <c r="TSA1067" s="989"/>
      <c r="TSB1067" s="989"/>
      <c r="TSC1067" s="989"/>
      <c r="TSD1067" s="989"/>
      <c r="TSE1067" s="989"/>
      <c r="TSF1067" s="989"/>
      <c r="TSG1067" s="989"/>
      <c r="TSH1067" s="989"/>
      <c r="TSI1067" s="989"/>
      <c r="TSJ1067" s="989"/>
      <c r="TSK1067" s="989"/>
      <c r="TSL1067" s="989"/>
      <c r="TSM1067" s="989"/>
      <c r="TSN1067" s="989"/>
      <c r="TSO1067" s="989"/>
      <c r="TSP1067" s="989"/>
      <c r="TSQ1067" s="989"/>
      <c r="TSR1067" s="989"/>
      <c r="TSS1067" s="989"/>
      <c r="TST1067" s="989"/>
      <c r="TSU1067" s="989"/>
      <c r="TSV1067" s="989"/>
      <c r="TSW1067" s="989"/>
      <c r="TSX1067" s="989"/>
      <c r="TSY1067" s="989"/>
      <c r="TSZ1067" s="989"/>
      <c r="TTA1067" s="989"/>
      <c r="TTB1067" s="989"/>
      <c r="TTC1067" s="989"/>
      <c r="TTD1067" s="989"/>
      <c r="TTE1067" s="989"/>
      <c r="TTF1067" s="989"/>
      <c r="TTG1067" s="989"/>
      <c r="TTH1067" s="989"/>
      <c r="TTI1067" s="989"/>
      <c r="TTJ1067" s="989"/>
      <c r="TTK1067" s="989"/>
      <c r="TTL1067" s="989"/>
      <c r="TTM1067" s="989"/>
      <c r="TTN1067" s="989"/>
      <c r="TTO1067" s="989"/>
      <c r="TTP1067" s="989"/>
      <c r="TTQ1067" s="989"/>
      <c r="TTR1067" s="989"/>
      <c r="TTS1067" s="989"/>
      <c r="TTT1067" s="989"/>
      <c r="TTU1067" s="989"/>
      <c r="TTV1067" s="989"/>
      <c r="TTW1067" s="989"/>
      <c r="TTX1067" s="989"/>
      <c r="TTY1067" s="989"/>
      <c r="TTZ1067" s="989"/>
      <c r="TUA1067" s="989"/>
      <c r="TUB1067" s="989"/>
      <c r="TUC1067" s="989"/>
      <c r="TUD1067" s="989"/>
      <c r="TUE1067" s="989"/>
      <c r="TUF1067" s="989"/>
      <c r="TUG1067" s="989"/>
      <c r="TUH1067" s="989"/>
      <c r="TUI1067" s="989"/>
      <c r="TUJ1067" s="989"/>
      <c r="TUK1067" s="989"/>
      <c r="TUL1067" s="989"/>
      <c r="TUM1067" s="989"/>
      <c r="TUN1067" s="989"/>
      <c r="TUO1067" s="989"/>
      <c r="TUP1067" s="989"/>
      <c r="TUQ1067" s="989"/>
      <c r="TUR1067" s="989"/>
      <c r="TUS1067" s="989"/>
      <c r="TUT1067" s="989"/>
      <c r="TUU1067" s="989"/>
      <c r="TUV1067" s="989"/>
      <c r="TUW1067" s="989"/>
      <c r="TUX1067" s="989"/>
      <c r="TUY1067" s="989"/>
      <c r="TUZ1067" s="989"/>
      <c r="TVA1067" s="989"/>
      <c r="TVB1067" s="989"/>
      <c r="TVC1067" s="989"/>
      <c r="TVD1067" s="989"/>
      <c r="TVE1067" s="989"/>
      <c r="TVF1067" s="989"/>
      <c r="TVG1067" s="989"/>
      <c r="TVH1067" s="989"/>
      <c r="TVI1067" s="989"/>
      <c r="TVJ1067" s="989"/>
      <c r="TVK1067" s="989"/>
      <c r="TVL1067" s="989"/>
      <c r="TVM1067" s="989"/>
      <c r="TVN1067" s="989"/>
      <c r="TVO1067" s="989"/>
      <c r="TVP1067" s="989"/>
      <c r="TVQ1067" s="989"/>
      <c r="TVR1067" s="989"/>
      <c r="TVS1067" s="989"/>
      <c r="TVT1067" s="989"/>
      <c r="TVU1067" s="989"/>
      <c r="TVV1067" s="989"/>
      <c r="TVW1067" s="989"/>
      <c r="TVX1067" s="989"/>
      <c r="TVY1067" s="989"/>
      <c r="TVZ1067" s="989"/>
      <c r="TWA1067" s="989"/>
      <c r="TWB1067" s="989"/>
      <c r="TWC1067" s="989"/>
      <c r="TWD1067" s="989"/>
      <c r="TWE1067" s="989"/>
      <c r="TWF1067" s="989"/>
      <c r="TWG1067" s="989"/>
      <c r="TWH1067" s="989"/>
      <c r="TWI1067" s="989"/>
      <c r="TWJ1067" s="989"/>
      <c r="TWK1067" s="989"/>
      <c r="TWL1067" s="989"/>
      <c r="TWM1067" s="989"/>
      <c r="TWN1067" s="989"/>
      <c r="TWO1067" s="989"/>
      <c r="TWP1067" s="989"/>
      <c r="TWQ1067" s="989"/>
      <c r="TWR1067" s="989"/>
      <c r="TWS1067" s="989"/>
      <c r="TWT1067" s="989"/>
      <c r="TWU1067" s="989"/>
      <c r="TWV1067" s="989"/>
      <c r="TWW1067" s="989"/>
      <c r="TWX1067" s="989"/>
      <c r="TWY1067" s="989"/>
      <c r="TWZ1067" s="989"/>
      <c r="TXA1067" s="989"/>
      <c r="TXB1067" s="989"/>
      <c r="TXC1067" s="989"/>
      <c r="TXD1067" s="989"/>
      <c r="TXE1067" s="989"/>
      <c r="TXF1067" s="989"/>
      <c r="TXG1067" s="989"/>
      <c r="TXH1067" s="989"/>
      <c r="TXI1067" s="989"/>
      <c r="TXJ1067" s="989"/>
      <c r="TXK1067" s="989"/>
      <c r="TXL1067" s="989"/>
      <c r="TXM1067" s="989"/>
      <c r="TXN1067" s="989"/>
      <c r="TXO1067" s="989"/>
      <c r="TXP1067" s="989"/>
      <c r="TXQ1067" s="989"/>
      <c r="TXR1067" s="989"/>
      <c r="TXS1067" s="989"/>
      <c r="TXT1067" s="989"/>
      <c r="TXU1067" s="989"/>
      <c r="TXV1067" s="989"/>
      <c r="TXW1067" s="989"/>
      <c r="TXX1067" s="989"/>
      <c r="TXY1067" s="989"/>
      <c r="TXZ1067" s="989"/>
      <c r="TYA1067" s="989"/>
      <c r="TYB1067" s="989"/>
      <c r="TYC1067" s="989"/>
      <c r="TYD1067" s="989"/>
      <c r="TYE1067" s="989"/>
      <c r="TYF1067" s="989"/>
      <c r="TYG1067" s="989"/>
      <c r="TYH1067" s="989"/>
      <c r="TYI1067" s="989"/>
      <c r="TYJ1067" s="989"/>
      <c r="TYK1067" s="989"/>
      <c r="TYL1067" s="989"/>
      <c r="TYM1067" s="989"/>
      <c r="TYN1067" s="989"/>
      <c r="TYO1067" s="989"/>
      <c r="TYP1067" s="989"/>
      <c r="TYQ1067" s="989"/>
      <c r="TYR1067" s="989"/>
      <c r="TYS1067" s="989"/>
      <c r="TYT1067" s="989"/>
      <c r="TYU1067" s="989"/>
      <c r="TYV1067" s="989"/>
      <c r="TYW1067" s="989"/>
      <c r="TYX1067" s="989"/>
      <c r="TYY1067" s="989"/>
      <c r="TYZ1067" s="989"/>
      <c r="TZA1067" s="989"/>
      <c r="TZB1067" s="989"/>
      <c r="TZC1067" s="989"/>
      <c r="TZD1067" s="989"/>
      <c r="TZE1067" s="989"/>
      <c r="TZF1067" s="989"/>
      <c r="TZG1067" s="989"/>
      <c r="TZH1067" s="989"/>
      <c r="TZI1067" s="989"/>
      <c r="TZJ1067" s="989"/>
      <c r="TZK1067" s="989"/>
      <c r="TZL1067" s="989"/>
      <c r="TZM1067" s="989"/>
      <c r="TZN1067" s="989"/>
      <c r="TZO1067" s="989"/>
      <c r="TZP1067" s="989"/>
      <c r="TZQ1067" s="989"/>
      <c r="TZR1067" s="989"/>
      <c r="TZS1067" s="989"/>
      <c r="TZT1067" s="989"/>
      <c r="TZU1067" s="989"/>
      <c r="TZV1067" s="989"/>
      <c r="TZW1067" s="989"/>
      <c r="TZX1067" s="989"/>
      <c r="TZY1067" s="989"/>
      <c r="TZZ1067" s="989"/>
      <c r="UAA1067" s="989"/>
      <c r="UAB1067" s="989"/>
      <c r="UAC1067" s="989"/>
      <c r="UAD1067" s="989"/>
      <c r="UAE1067" s="989"/>
      <c r="UAF1067" s="989"/>
      <c r="UAG1067" s="989"/>
      <c r="UAH1067" s="989"/>
      <c r="UAI1067" s="989"/>
      <c r="UAJ1067" s="989"/>
      <c r="UAK1067" s="989"/>
      <c r="UAL1067" s="989"/>
      <c r="UAM1067" s="989"/>
      <c r="UAN1067" s="989"/>
      <c r="UAO1067" s="989"/>
      <c r="UAP1067" s="989"/>
      <c r="UAQ1067" s="989"/>
      <c r="UAR1067" s="989"/>
      <c r="UAS1067" s="989"/>
      <c r="UAT1067" s="989"/>
      <c r="UAU1067" s="989"/>
      <c r="UAV1067" s="989"/>
      <c r="UAW1067" s="989"/>
      <c r="UAX1067" s="989"/>
      <c r="UAY1067" s="989"/>
      <c r="UAZ1067" s="989"/>
      <c r="UBA1067" s="989"/>
      <c r="UBB1067" s="989"/>
      <c r="UBC1067" s="989"/>
      <c r="UBD1067" s="989"/>
      <c r="UBE1067" s="989"/>
      <c r="UBF1067" s="989"/>
      <c r="UBG1067" s="989"/>
      <c r="UBH1067" s="989"/>
      <c r="UBI1067" s="989"/>
      <c r="UBJ1067" s="989"/>
      <c r="UBK1067" s="989"/>
      <c r="UBL1067" s="989"/>
      <c r="UBM1067" s="989"/>
      <c r="UBN1067" s="989"/>
      <c r="UBO1067" s="989"/>
      <c r="UBP1067" s="989"/>
      <c r="UBQ1067" s="989"/>
      <c r="UBR1067" s="989"/>
      <c r="UBS1067" s="989"/>
      <c r="UBT1067" s="989"/>
      <c r="UBU1067" s="989"/>
      <c r="UBV1067" s="989"/>
      <c r="UBW1067" s="989"/>
      <c r="UBX1067" s="989"/>
      <c r="UBY1067" s="989"/>
      <c r="UBZ1067" s="989"/>
      <c r="UCA1067" s="989"/>
      <c r="UCB1067" s="989"/>
      <c r="UCC1067" s="989"/>
      <c r="UCD1067" s="989"/>
      <c r="UCE1067" s="989"/>
      <c r="UCF1067" s="989"/>
      <c r="UCG1067" s="989"/>
      <c r="UCH1067" s="989"/>
      <c r="UCI1067" s="989"/>
      <c r="UCJ1067" s="989"/>
      <c r="UCK1067" s="989"/>
      <c r="UCL1067" s="989"/>
      <c r="UCM1067" s="989"/>
      <c r="UCN1067" s="989"/>
      <c r="UCO1067" s="989"/>
      <c r="UCP1067" s="989"/>
      <c r="UCQ1067" s="989"/>
      <c r="UCR1067" s="989"/>
      <c r="UCS1067" s="989"/>
      <c r="UCT1067" s="989"/>
      <c r="UCU1067" s="989"/>
      <c r="UCV1067" s="989"/>
      <c r="UCW1067" s="989"/>
      <c r="UCX1067" s="989"/>
      <c r="UCY1067" s="989"/>
      <c r="UCZ1067" s="989"/>
      <c r="UDA1067" s="989"/>
      <c r="UDB1067" s="989"/>
      <c r="UDC1067" s="989"/>
      <c r="UDD1067" s="989"/>
      <c r="UDE1067" s="989"/>
      <c r="UDF1067" s="989"/>
      <c r="UDG1067" s="989"/>
      <c r="UDH1067" s="989"/>
      <c r="UDI1067" s="989"/>
      <c r="UDJ1067" s="989"/>
      <c r="UDK1067" s="989"/>
      <c r="UDL1067" s="989"/>
      <c r="UDM1067" s="989"/>
      <c r="UDN1067" s="989"/>
      <c r="UDO1067" s="989"/>
      <c r="UDP1067" s="989"/>
      <c r="UDQ1067" s="989"/>
      <c r="UDR1067" s="989"/>
      <c r="UDS1067" s="989"/>
      <c r="UDT1067" s="989"/>
      <c r="UDU1067" s="989"/>
      <c r="UDV1067" s="989"/>
      <c r="UDW1067" s="989"/>
      <c r="UDX1067" s="989"/>
      <c r="UDY1067" s="989"/>
      <c r="UDZ1067" s="989"/>
      <c r="UEA1067" s="989"/>
      <c r="UEB1067" s="989"/>
      <c r="UEC1067" s="989"/>
      <c r="UED1067" s="989"/>
      <c r="UEE1067" s="989"/>
      <c r="UEF1067" s="989"/>
      <c r="UEG1067" s="989"/>
      <c r="UEH1067" s="989"/>
      <c r="UEI1067" s="989"/>
      <c r="UEJ1067" s="989"/>
      <c r="UEK1067" s="989"/>
      <c r="UEL1067" s="989"/>
      <c r="UEM1067" s="989"/>
      <c r="UEN1067" s="989"/>
      <c r="UEO1067" s="989"/>
      <c r="UEP1067" s="989"/>
      <c r="UEQ1067" s="989"/>
      <c r="UER1067" s="989"/>
      <c r="UES1067" s="989"/>
      <c r="UET1067" s="989"/>
      <c r="UEU1067" s="989"/>
      <c r="UEV1067" s="989"/>
      <c r="UEW1067" s="989"/>
      <c r="UEX1067" s="989"/>
      <c r="UEY1067" s="989"/>
      <c r="UEZ1067" s="989"/>
      <c r="UFA1067" s="989"/>
      <c r="UFB1067" s="989"/>
      <c r="UFC1067" s="989"/>
      <c r="UFD1067" s="989"/>
      <c r="UFE1067" s="989"/>
      <c r="UFF1067" s="989"/>
      <c r="UFG1067" s="989"/>
      <c r="UFH1067" s="989"/>
      <c r="UFI1067" s="989"/>
      <c r="UFJ1067" s="989"/>
      <c r="UFK1067" s="989"/>
      <c r="UFL1067" s="989"/>
      <c r="UFM1067" s="989"/>
      <c r="UFN1067" s="989"/>
      <c r="UFO1067" s="989"/>
      <c r="UFP1067" s="989"/>
      <c r="UFQ1067" s="989"/>
      <c r="UFR1067" s="989"/>
      <c r="UFS1067" s="989"/>
      <c r="UFT1067" s="989"/>
      <c r="UFU1067" s="989"/>
      <c r="UFV1067" s="989"/>
      <c r="UFW1067" s="989"/>
      <c r="UFX1067" s="989"/>
      <c r="UFY1067" s="989"/>
      <c r="UFZ1067" s="989"/>
      <c r="UGA1067" s="989"/>
      <c r="UGB1067" s="989"/>
      <c r="UGC1067" s="989"/>
      <c r="UGD1067" s="989"/>
      <c r="UGE1067" s="989"/>
      <c r="UGF1067" s="989"/>
      <c r="UGG1067" s="989"/>
      <c r="UGH1067" s="989"/>
      <c r="UGI1067" s="989"/>
      <c r="UGJ1067" s="989"/>
      <c r="UGK1067" s="989"/>
      <c r="UGL1067" s="989"/>
      <c r="UGM1067" s="989"/>
      <c r="UGN1067" s="989"/>
      <c r="UGO1067" s="989"/>
      <c r="UGP1067" s="989"/>
      <c r="UGQ1067" s="989"/>
      <c r="UGR1067" s="989"/>
      <c r="UGS1067" s="989"/>
      <c r="UGT1067" s="989"/>
      <c r="UGU1067" s="989"/>
      <c r="UGV1067" s="989"/>
      <c r="UGW1067" s="989"/>
      <c r="UGX1067" s="989"/>
      <c r="UGY1067" s="989"/>
      <c r="UGZ1067" s="989"/>
      <c r="UHA1067" s="989"/>
      <c r="UHB1067" s="989"/>
      <c r="UHC1067" s="989"/>
      <c r="UHD1067" s="989"/>
      <c r="UHE1067" s="989"/>
      <c r="UHF1067" s="989"/>
      <c r="UHG1067" s="989"/>
      <c r="UHH1067" s="989"/>
      <c r="UHI1067" s="989"/>
      <c r="UHJ1067" s="989"/>
      <c r="UHK1067" s="989"/>
      <c r="UHL1067" s="989"/>
      <c r="UHM1067" s="989"/>
      <c r="UHN1067" s="989"/>
      <c r="UHO1067" s="989"/>
      <c r="UHP1067" s="989"/>
      <c r="UHQ1067" s="989"/>
      <c r="UHR1067" s="989"/>
      <c r="UHS1067" s="989"/>
      <c r="UHT1067" s="989"/>
      <c r="UHU1067" s="989"/>
      <c r="UHV1067" s="989"/>
      <c r="UHW1067" s="989"/>
      <c r="UHX1067" s="989"/>
      <c r="UHY1067" s="989"/>
      <c r="UHZ1067" s="989"/>
      <c r="UIA1067" s="989"/>
      <c r="UIB1067" s="989"/>
      <c r="UIC1067" s="989"/>
      <c r="UID1067" s="989"/>
      <c r="UIE1067" s="989"/>
      <c r="UIF1067" s="989"/>
      <c r="UIG1067" s="989"/>
      <c r="UIH1067" s="989"/>
      <c r="UII1067" s="989"/>
      <c r="UIJ1067" s="989"/>
      <c r="UIK1067" s="989"/>
      <c r="UIL1067" s="989"/>
      <c r="UIM1067" s="989"/>
      <c r="UIN1067" s="989"/>
      <c r="UIO1067" s="989"/>
      <c r="UIP1067" s="989"/>
      <c r="UIQ1067" s="989"/>
      <c r="UIR1067" s="989"/>
      <c r="UIS1067" s="989"/>
      <c r="UIT1067" s="989"/>
      <c r="UIU1067" s="989"/>
      <c r="UIV1067" s="989"/>
      <c r="UIW1067" s="989"/>
      <c r="UIX1067" s="989"/>
      <c r="UIY1067" s="989"/>
      <c r="UIZ1067" s="989"/>
      <c r="UJA1067" s="989"/>
      <c r="UJB1067" s="989"/>
      <c r="UJC1067" s="989"/>
      <c r="UJD1067" s="989"/>
      <c r="UJE1067" s="989"/>
      <c r="UJF1067" s="989"/>
      <c r="UJG1067" s="989"/>
      <c r="UJH1067" s="989"/>
      <c r="UJI1067" s="989"/>
      <c r="UJJ1067" s="989"/>
      <c r="UJK1067" s="989"/>
      <c r="UJL1067" s="989"/>
      <c r="UJM1067" s="989"/>
      <c r="UJN1067" s="989"/>
      <c r="UJO1067" s="989"/>
      <c r="UJP1067" s="989"/>
      <c r="UJQ1067" s="989"/>
      <c r="UJR1067" s="989"/>
      <c r="UJS1067" s="989"/>
      <c r="UJT1067" s="989"/>
      <c r="UJU1067" s="989"/>
      <c r="UJV1067" s="989"/>
      <c r="UJW1067" s="989"/>
      <c r="UJX1067" s="989"/>
      <c r="UJY1067" s="989"/>
      <c r="UJZ1067" s="989"/>
      <c r="UKA1067" s="989"/>
      <c r="UKB1067" s="989"/>
      <c r="UKC1067" s="989"/>
      <c r="UKD1067" s="989"/>
      <c r="UKE1067" s="989"/>
      <c r="UKF1067" s="989"/>
      <c r="UKG1067" s="989"/>
      <c r="UKH1067" s="989"/>
      <c r="UKI1067" s="989"/>
      <c r="UKJ1067" s="989"/>
      <c r="UKK1067" s="989"/>
      <c r="UKL1067" s="989"/>
      <c r="UKM1067" s="989"/>
      <c r="UKN1067" s="989"/>
      <c r="UKO1067" s="989"/>
      <c r="UKP1067" s="989"/>
      <c r="UKQ1067" s="989"/>
      <c r="UKR1067" s="989"/>
      <c r="UKS1067" s="989"/>
      <c r="UKT1067" s="989"/>
      <c r="UKU1067" s="989"/>
      <c r="UKV1067" s="989"/>
      <c r="UKW1067" s="989"/>
      <c r="UKX1067" s="989"/>
      <c r="UKY1067" s="989"/>
      <c r="UKZ1067" s="989"/>
      <c r="ULA1067" s="989"/>
      <c r="ULB1067" s="989"/>
      <c r="ULC1067" s="989"/>
      <c r="ULD1067" s="989"/>
      <c r="ULE1067" s="989"/>
      <c r="ULF1067" s="989"/>
      <c r="ULG1067" s="989"/>
      <c r="ULH1067" s="989"/>
      <c r="ULI1067" s="989"/>
      <c r="ULJ1067" s="989"/>
      <c r="ULK1067" s="989"/>
      <c r="ULL1067" s="989"/>
      <c r="ULM1067" s="989"/>
      <c r="ULN1067" s="989"/>
      <c r="ULO1067" s="989"/>
      <c r="ULP1067" s="989"/>
      <c r="ULQ1067" s="989"/>
      <c r="ULR1067" s="989"/>
      <c r="ULS1067" s="989"/>
      <c r="ULT1067" s="989"/>
      <c r="ULU1067" s="989"/>
      <c r="ULV1067" s="989"/>
      <c r="ULW1067" s="989"/>
      <c r="ULX1067" s="989"/>
      <c r="ULY1067" s="989"/>
      <c r="ULZ1067" s="989"/>
      <c r="UMA1067" s="989"/>
      <c r="UMB1067" s="989"/>
      <c r="UMC1067" s="989"/>
      <c r="UMD1067" s="989"/>
      <c r="UME1067" s="989"/>
      <c r="UMF1067" s="989"/>
      <c r="UMG1067" s="989"/>
      <c r="UMH1067" s="989"/>
      <c r="UMI1067" s="989"/>
      <c r="UMJ1067" s="989"/>
      <c r="UMK1067" s="989"/>
      <c r="UML1067" s="989"/>
      <c r="UMM1067" s="989"/>
      <c r="UMN1067" s="989"/>
      <c r="UMO1067" s="989"/>
      <c r="UMP1067" s="989"/>
      <c r="UMQ1067" s="989"/>
      <c r="UMR1067" s="989"/>
      <c r="UMS1067" s="989"/>
      <c r="UMT1067" s="989"/>
      <c r="UMU1067" s="989"/>
      <c r="UMV1067" s="989"/>
      <c r="UMW1067" s="989"/>
      <c r="UMX1067" s="989"/>
      <c r="UMY1067" s="989"/>
      <c r="UMZ1067" s="989"/>
      <c r="UNA1067" s="989"/>
      <c r="UNB1067" s="989"/>
      <c r="UNC1067" s="989"/>
      <c r="UND1067" s="989"/>
      <c r="UNE1067" s="989"/>
      <c r="UNF1067" s="989"/>
      <c r="UNG1067" s="989"/>
      <c r="UNH1067" s="989"/>
      <c r="UNI1067" s="989"/>
      <c r="UNJ1067" s="989"/>
      <c r="UNK1067" s="989"/>
      <c r="UNL1067" s="989"/>
      <c r="UNM1067" s="989"/>
      <c r="UNN1067" s="989"/>
      <c r="UNO1067" s="989"/>
      <c r="UNP1067" s="989"/>
      <c r="UNQ1067" s="989"/>
      <c r="UNR1067" s="989"/>
      <c r="UNS1067" s="989"/>
      <c r="UNT1067" s="989"/>
      <c r="UNU1067" s="989"/>
      <c r="UNV1067" s="989"/>
      <c r="UNW1067" s="989"/>
      <c r="UNX1067" s="989"/>
      <c r="UNY1067" s="989"/>
      <c r="UNZ1067" s="989"/>
      <c r="UOA1067" s="989"/>
      <c r="UOB1067" s="989"/>
      <c r="UOC1067" s="989"/>
      <c r="UOD1067" s="989"/>
      <c r="UOE1067" s="989"/>
      <c r="UOF1067" s="989"/>
      <c r="UOG1067" s="989"/>
      <c r="UOH1067" s="989"/>
      <c r="UOI1067" s="989"/>
      <c r="UOJ1067" s="989"/>
      <c r="UOK1067" s="989"/>
      <c r="UOL1067" s="989"/>
      <c r="UOM1067" s="989"/>
      <c r="UON1067" s="989"/>
      <c r="UOO1067" s="989"/>
      <c r="UOP1067" s="989"/>
      <c r="UOQ1067" s="989"/>
      <c r="UOR1067" s="989"/>
      <c r="UOS1067" s="989"/>
      <c r="UOT1067" s="989"/>
      <c r="UOU1067" s="989"/>
      <c r="UOV1067" s="989"/>
      <c r="UOW1067" s="989"/>
      <c r="UOX1067" s="989"/>
      <c r="UOY1067" s="989"/>
      <c r="UOZ1067" s="989"/>
      <c r="UPA1067" s="989"/>
      <c r="UPB1067" s="989"/>
      <c r="UPC1067" s="989"/>
      <c r="UPD1067" s="989"/>
      <c r="UPE1067" s="989"/>
      <c r="UPF1067" s="989"/>
      <c r="UPG1067" s="989"/>
      <c r="UPH1067" s="989"/>
      <c r="UPI1067" s="989"/>
      <c r="UPJ1067" s="989"/>
      <c r="UPK1067" s="989"/>
      <c r="UPL1067" s="989"/>
      <c r="UPM1067" s="989"/>
      <c r="UPN1067" s="989"/>
      <c r="UPO1067" s="989"/>
      <c r="UPP1067" s="989"/>
      <c r="UPQ1067" s="989"/>
      <c r="UPR1067" s="989"/>
      <c r="UPS1067" s="989"/>
      <c r="UPT1067" s="989"/>
      <c r="UPU1067" s="989"/>
      <c r="UPV1067" s="989"/>
      <c r="UPW1067" s="989"/>
      <c r="UPX1067" s="989"/>
      <c r="UPY1067" s="989"/>
      <c r="UPZ1067" s="989"/>
      <c r="UQA1067" s="989"/>
      <c r="UQB1067" s="989"/>
      <c r="UQC1067" s="989"/>
      <c r="UQD1067" s="989"/>
      <c r="UQE1067" s="989"/>
      <c r="UQF1067" s="989"/>
      <c r="UQG1067" s="989"/>
      <c r="UQH1067" s="989"/>
      <c r="UQI1067" s="989"/>
      <c r="UQJ1067" s="989"/>
      <c r="UQK1067" s="989"/>
      <c r="UQL1067" s="989"/>
      <c r="UQM1067" s="989"/>
      <c r="UQN1067" s="989"/>
      <c r="UQO1067" s="989"/>
      <c r="UQP1067" s="989"/>
      <c r="UQQ1067" s="989"/>
      <c r="UQR1067" s="989"/>
      <c r="UQS1067" s="989"/>
      <c r="UQT1067" s="989"/>
      <c r="UQU1067" s="989"/>
      <c r="UQV1067" s="989"/>
      <c r="UQW1067" s="989"/>
      <c r="UQX1067" s="989"/>
      <c r="UQY1067" s="989"/>
      <c r="UQZ1067" s="989"/>
      <c r="URA1067" s="989"/>
      <c r="URB1067" s="989"/>
      <c r="URC1067" s="989"/>
      <c r="URD1067" s="989"/>
      <c r="URE1067" s="989"/>
      <c r="URF1067" s="989"/>
      <c r="URG1067" s="989"/>
      <c r="URH1067" s="989"/>
      <c r="URI1067" s="989"/>
      <c r="URJ1067" s="989"/>
      <c r="URK1067" s="989"/>
      <c r="URL1067" s="989"/>
      <c r="URM1067" s="989"/>
      <c r="URN1067" s="989"/>
      <c r="URO1067" s="989"/>
      <c r="URP1067" s="989"/>
      <c r="URQ1067" s="989"/>
      <c r="URR1067" s="989"/>
      <c r="URS1067" s="989"/>
      <c r="URT1067" s="989"/>
      <c r="URU1067" s="989"/>
      <c r="URV1067" s="989"/>
      <c r="URW1067" s="989"/>
      <c r="URX1067" s="989"/>
      <c r="URY1067" s="989"/>
      <c r="URZ1067" s="989"/>
      <c r="USA1067" s="989"/>
      <c r="USB1067" s="989"/>
      <c r="USC1067" s="989"/>
      <c r="USD1067" s="989"/>
      <c r="USE1067" s="989"/>
      <c r="USF1067" s="989"/>
      <c r="USG1067" s="989"/>
      <c r="USH1067" s="989"/>
      <c r="USI1067" s="989"/>
      <c r="USJ1067" s="989"/>
      <c r="USK1067" s="989"/>
      <c r="USL1067" s="989"/>
      <c r="USM1067" s="989"/>
      <c r="USN1067" s="989"/>
      <c r="USO1067" s="989"/>
      <c r="USP1067" s="989"/>
      <c r="USQ1067" s="989"/>
      <c r="USR1067" s="989"/>
      <c r="USS1067" s="989"/>
      <c r="UST1067" s="989"/>
      <c r="USU1067" s="989"/>
      <c r="USV1067" s="989"/>
      <c r="USW1067" s="989"/>
      <c r="USX1067" s="989"/>
      <c r="USY1067" s="989"/>
      <c r="USZ1067" s="989"/>
      <c r="UTA1067" s="989"/>
      <c r="UTB1067" s="989"/>
      <c r="UTC1067" s="989"/>
      <c r="UTD1067" s="989"/>
      <c r="UTE1067" s="989"/>
      <c r="UTF1067" s="989"/>
      <c r="UTG1067" s="989"/>
      <c r="UTH1067" s="989"/>
      <c r="UTI1067" s="989"/>
      <c r="UTJ1067" s="989"/>
      <c r="UTK1067" s="989"/>
      <c r="UTL1067" s="989"/>
      <c r="UTM1067" s="989"/>
      <c r="UTN1067" s="989"/>
      <c r="UTO1067" s="989"/>
      <c r="UTP1067" s="989"/>
      <c r="UTQ1067" s="989"/>
      <c r="UTR1067" s="989"/>
      <c r="UTS1067" s="989"/>
      <c r="UTT1067" s="989"/>
      <c r="UTU1067" s="989"/>
      <c r="UTV1067" s="989"/>
      <c r="UTW1067" s="989"/>
      <c r="UTX1067" s="989"/>
      <c r="UTY1067" s="989"/>
      <c r="UTZ1067" s="989"/>
      <c r="UUA1067" s="989"/>
      <c r="UUB1067" s="989"/>
      <c r="UUC1067" s="989"/>
      <c r="UUD1067" s="989"/>
      <c r="UUE1067" s="989"/>
      <c r="UUF1067" s="989"/>
      <c r="UUG1067" s="989"/>
      <c r="UUH1067" s="989"/>
      <c r="UUI1067" s="989"/>
      <c r="UUJ1067" s="989"/>
      <c r="UUK1067" s="989"/>
      <c r="UUL1067" s="989"/>
      <c r="UUM1067" s="989"/>
      <c r="UUN1067" s="989"/>
      <c r="UUO1067" s="989"/>
      <c r="UUP1067" s="989"/>
      <c r="UUQ1067" s="989"/>
      <c r="UUR1067" s="989"/>
      <c r="UUS1067" s="989"/>
      <c r="UUT1067" s="989"/>
      <c r="UUU1067" s="989"/>
      <c r="UUV1067" s="989"/>
      <c r="UUW1067" s="989"/>
      <c r="UUX1067" s="989"/>
      <c r="UUY1067" s="989"/>
      <c r="UUZ1067" s="989"/>
      <c r="UVA1067" s="989"/>
      <c r="UVB1067" s="989"/>
      <c r="UVC1067" s="989"/>
      <c r="UVD1067" s="989"/>
      <c r="UVE1067" s="989"/>
      <c r="UVF1067" s="989"/>
      <c r="UVG1067" s="989"/>
      <c r="UVH1067" s="989"/>
      <c r="UVI1067" s="989"/>
      <c r="UVJ1067" s="989"/>
      <c r="UVK1067" s="989"/>
      <c r="UVL1067" s="989"/>
      <c r="UVM1067" s="989"/>
      <c r="UVN1067" s="989"/>
      <c r="UVO1067" s="989"/>
      <c r="UVP1067" s="989"/>
      <c r="UVQ1067" s="989"/>
      <c r="UVR1067" s="989"/>
      <c r="UVS1067" s="989"/>
      <c r="UVT1067" s="989"/>
      <c r="UVU1067" s="989"/>
      <c r="UVV1067" s="989"/>
      <c r="UVW1067" s="989"/>
      <c r="UVX1067" s="989"/>
      <c r="UVY1067" s="989"/>
      <c r="UVZ1067" s="989"/>
      <c r="UWA1067" s="989"/>
      <c r="UWB1067" s="989"/>
      <c r="UWC1067" s="989"/>
      <c r="UWD1067" s="989"/>
      <c r="UWE1067" s="989"/>
      <c r="UWF1067" s="989"/>
      <c r="UWG1067" s="989"/>
      <c r="UWH1067" s="989"/>
      <c r="UWI1067" s="989"/>
      <c r="UWJ1067" s="989"/>
      <c r="UWK1067" s="989"/>
      <c r="UWL1067" s="989"/>
      <c r="UWM1067" s="989"/>
      <c r="UWN1067" s="989"/>
      <c r="UWO1067" s="989"/>
      <c r="UWP1067" s="989"/>
      <c r="UWQ1067" s="989"/>
      <c r="UWR1067" s="989"/>
      <c r="UWS1067" s="989"/>
      <c r="UWT1067" s="989"/>
      <c r="UWU1067" s="989"/>
      <c r="UWV1067" s="989"/>
      <c r="UWW1067" s="989"/>
      <c r="UWX1067" s="989"/>
      <c r="UWY1067" s="989"/>
      <c r="UWZ1067" s="989"/>
      <c r="UXA1067" s="989"/>
      <c r="UXB1067" s="989"/>
      <c r="UXC1067" s="989"/>
      <c r="UXD1067" s="989"/>
      <c r="UXE1067" s="989"/>
      <c r="UXF1067" s="989"/>
      <c r="UXG1067" s="989"/>
      <c r="UXH1067" s="989"/>
      <c r="UXI1067" s="989"/>
      <c r="UXJ1067" s="989"/>
      <c r="UXK1067" s="989"/>
      <c r="UXL1067" s="989"/>
      <c r="UXM1067" s="989"/>
      <c r="UXN1067" s="989"/>
      <c r="UXO1067" s="989"/>
      <c r="UXP1067" s="989"/>
      <c r="UXQ1067" s="989"/>
      <c r="UXR1067" s="989"/>
      <c r="UXS1067" s="989"/>
      <c r="UXT1067" s="989"/>
      <c r="UXU1067" s="989"/>
      <c r="UXV1067" s="989"/>
      <c r="UXW1067" s="989"/>
      <c r="UXX1067" s="989"/>
      <c r="UXY1067" s="989"/>
      <c r="UXZ1067" s="989"/>
      <c r="UYA1067" s="989"/>
      <c r="UYB1067" s="989"/>
      <c r="UYC1067" s="989"/>
      <c r="UYD1067" s="989"/>
      <c r="UYE1067" s="989"/>
      <c r="UYF1067" s="989"/>
      <c r="UYG1067" s="989"/>
      <c r="UYH1067" s="989"/>
      <c r="UYI1067" s="989"/>
      <c r="UYJ1067" s="989"/>
      <c r="UYK1067" s="989"/>
      <c r="UYL1067" s="989"/>
      <c r="UYM1067" s="989"/>
      <c r="UYN1067" s="989"/>
      <c r="UYO1067" s="989"/>
      <c r="UYP1067" s="989"/>
      <c r="UYQ1067" s="989"/>
      <c r="UYR1067" s="989"/>
      <c r="UYS1067" s="989"/>
      <c r="UYT1067" s="989"/>
      <c r="UYU1067" s="989"/>
      <c r="UYV1067" s="989"/>
      <c r="UYW1067" s="989"/>
      <c r="UYX1067" s="989"/>
      <c r="UYY1067" s="989"/>
      <c r="UYZ1067" s="989"/>
      <c r="UZA1067" s="989"/>
      <c r="UZB1067" s="989"/>
      <c r="UZC1067" s="989"/>
      <c r="UZD1067" s="989"/>
      <c r="UZE1067" s="989"/>
      <c r="UZF1067" s="989"/>
      <c r="UZG1067" s="989"/>
      <c r="UZH1067" s="989"/>
      <c r="UZI1067" s="989"/>
      <c r="UZJ1067" s="989"/>
      <c r="UZK1067" s="989"/>
      <c r="UZL1067" s="989"/>
      <c r="UZM1067" s="989"/>
      <c r="UZN1067" s="989"/>
      <c r="UZO1067" s="989"/>
      <c r="UZP1067" s="989"/>
      <c r="UZQ1067" s="989"/>
      <c r="UZR1067" s="989"/>
      <c r="UZS1067" s="989"/>
      <c r="UZT1067" s="989"/>
      <c r="UZU1067" s="989"/>
      <c r="UZV1067" s="989"/>
      <c r="UZW1067" s="989"/>
      <c r="UZX1067" s="989"/>
      <c r="UZY1067" s="989"/>
      <c r="UZZ1067" s="989"/>
      <c r="VAA1067" s="989"/>
      <c r="VAB1067" s="989"/>
      <c r="VAC1067" s="989"/>
      <c r="VAD1067" s="989"/>
      <c r="VAE1067" s="989"/>
      <c r="VAF1067" s="989"/>
      <c r="VAG1067" s="989"/>
      <c r="VAH1067" s="989"/>
      <c r="VAI1067" s="989"/>
      <c r="VAJ1067" s="989"/>
      <c r="VAK1067" s="989"/>
      <c r="VAL1067" s="989"/>
      <c r="VAM1067" s="989"/>
      <c r="VAN1067" s="989"/>
      <c r="VAO1067" s="989"/>
      <c r="VAP1067" s="989"/>
      <c r="VAQ1067" s="989"/>
      <c r="VAR1067" s="989"/>
      <c r="VAS1067" s="989"/>
      <c r="VAT1067" s="989"/>
      <c r="VAU1067" s="989"/>
      <c r="VAV1067" s="989"/>
      <c r="VAW1067" s="989"/>
      <c r="VAX1067" s="989"/>
      <c r="VAY1067" s="989"/>
      <c r="VAZ1067" s="989"/>
      <c r="VBA1067" s="989"/>
      <c r="VBB1067" s="989"/>
      <c r="VBC1067" s="989"/>
      <c r="VBD1067" s="989"/>
      <c r="VBE1067" s="989"/>
      <c r="VBF1067" s="989"/>
      <c r="VBG1067" s="989"/>
      <c r="VBH1067" s="989"/>
      <c r="VBI1067" s="989"/>
      <c r="VBJ1067" s="989"/>
      <c r="VBK1067" s="989"/>
      <c r="VBL1067" s="989"/>
      <c r="VBM1067" s="989"/>
      <c r="VBN1067" s="989"/>
      <c r="VBO1067" s="989"/>
      <c r="VBP1067" s="989"/>
      <c r="VBQ1067" s="989"/>
      <c r="VBR1067" s="989"/>
      <c r="VBS1067" s="989"/>
      <c r="VBT1067" s="989"/>
      <c r="VBU1067" s="989"/>
      <c r="VBV1067" s="989"/>
      <c r="VBW1067" s="989"/>
      <c r="VBX1067" s="989"/>
      <c r="VBY1067" s="989"/>
      <c r="VBZ1067" s="989"/>
      <c r="VCA1067" s="989"/>
      <c r="VCB1067" s="989"/>
      <c r="VCC1067" s="989"/>
      <c r="VCD1067" s="989"/>
      <c r="VCE1067" s="989"/>
      <c r="VCF1067" s="989"/>
      <c r="VCG1067" s="989"/>
      <c r="VCH1067" s="989"/>
      <c r="VCI1067" s="989"/>
      <c r="VCJ1067" s="989"/>
      <c r="VCK1067" s="989"/>
      <c r="VCL1067" s="989"/>
      <c r="VCM1067" s="989"/>
      <c r="VCN1067" s="989"/>
      <c r="VCO1067" s="989"/>
      <c r="VCP1067" s="989"/>
      <c r="VCQ1067" s="989"/>
      <c r="VCR1067" s="989"/>
      <c r="VCS1067" s="989"/>
      <c r="VCT1067" s="989"/>
      <c r="VCU1067" s="989"/>
      <c r="VCV1067" s="989"/>
      <c r="VCW1067" s="989"/>
      <c r="VCX1067" s="989"/>
      <c r="VCY1067" s="989"/>
      <c r="VCZ1067" s="989"/>
      <c r="VDA1067" s="989"/>
      <c r="VDB1067" s="989"/>
      <c r="VDC1067" s="989"/>
      <c r="VDD1067" s="989"/>
      <c r="VDE1067" s="989"/>
      <c r="VDF1067" s="989"/>
      <c r="VDG1067" s="989"/>
      <c r="VDH1067" s="989"/>
      <c r="VDI1067" s="989"/>
      <c r="VDJ1067" s="989"/>
      <c r="VDK1067" s="989"/>
      <c r="VDL1067" s="989"/>
      <c r="VDM1067" s="989"/>
      <c r="VDN1067" s="989"/>
      <c r="VDO1067" s="989"/>
      <c r="VDP1067" s="989"/>
      <c r="VDQ1067" s="989"/>
      <c r="VDR1067" s="989"/>
      <c r="VDS1067" s="989"/>
      <c r="VDT1067" s="989"/>
      <c r="VDU1067" s="989"/>
      <c r="VDV1067" s="989"/>
      <c r="VDW1067" s="989"/>
      <c r="VDX1067" s="989"/>
      <c r="VDY1067" s="989"/>
      <c r="VDZ1067" s="989"/>
      <c r="VEA1067" s="989"/>
      <c r="VEB1067" s="989"/>
      <c r="VEC1067" s="989"/>
      <c r="VED1067" s="989"/>
      <c r="VEE1067" s="989"/>
      <c r="VEF1067" s="989"/>
      <c r="VEG1067" s="989"/>
      <c r="VEH1067" s="989"/>
      <c r="VEI1067" s="989"/>
      <c r="VEJ1067" s="989"/>
      <c r="VEK1067" s="989"/>
      <c r="VEL1067" s="989"/>
      <c r="VEM1067" s="989"/>
      <c r="VEN1067" s="989"/>
      <c r="VEO1067" s="989"/>
      <c r="VEP1067" s="989"/>
      <c r="VEQ1067" s="989"/>
      <c r="VER1067" s="989"/>
      <c r="VES1067" s="989"/>
      <c r="VET1067" s="989"/>
      <c r="VEU1067" s="989"/>
      <c r="VEV1067" s="989"/>
      <c r="VEW1067" s="989"/>
      <c r="VEX1067" s="989"/>
      <c r="VEY1067" s="989"/>
      <c r="VEZ1067" s="989"/>
      <c r="VFA1067" s="989"/>
      <c r="VFB1067" s="989"/>
      <c r="VFC1067" s="989"/>
      <c r="VFD1067" s="989"/>
      <c r="VFE1067" s="989"/>
      <c r="VFF1067" s="989"/>
      <c r="VFG1067" s="989"/>
      <c r="VFH1067" s="989"/>
      <c r="VFI1067" s="989"/>
      <c r="VFJ1067" s="989"/>
      <c r="VFK1067" s="989"/>
      <c r="VFL1067" s="989"/>
      <c r="VFM1067" s="989"/>
      <c r="VFN1067" s="989"/>
      <c r="VFO1067" s="989"/>
      <c r="VFP1067" s="989"/>
      <c r="VFQ1067" s="989"/>
      <c r="VFR1067" s="989"/>
      <c r="VFS1067" s="989"/>
      <c r="VFT1067" s="989"/>
      <c r="VFU1067" s="989"/>
      <c r="VFV1067" s="989"/>
      <c r="VFW1067" s="989"/>
      <c r="VFX1067" s="989"/>
      <c r="VFY1067" s="989"/>
      <c r="VFZ1067" s="989"/>
      <c r="VGA1067" s="989"/>
      <c r="VGB1067" s="989"/>
      <c r="VGC1067" s="989"/>
      <c r="VGD1067" s="989"/>
      <c r="VGE1067" s="989"/>
      <c r="VGF1067" s="989"/>
      <c r="VGG1067" s="989"/>
      <c r="VGH1067" s="989"/>
      <c r="VGI1067" s="989"/>
      <c r="VGJ1067" s="989"/>
      <c r="VGK1067" s="989"/>
      <c r="VGL1067" s="989"/>
      <c r="VGM1067" s="989"/>
      <c r="VGN1067" s="989"/>
      <c r="VGO1067" s="989"/>
      <c r="VGP1067" s="989"/>
      <c r="VGQ1067" s="989"/>
      <c r="VGR1067" s="989"/>
      <c r="VGS1067" s="989"/>
      <c r="VGT1067" s="989"/>
      <c r="VGU1067" s="989"/>
      <c r="VGV1067" s="989"/>
      <c r="VGW1067" s="989"/>
      <c r="VGX1067" s="989"/>
      <c r="VGY1067" s="989"/>
      <c r="VGZ1067" s="989"/>
      <c r="VHA1067" s="989"/>
      <c r="VHB1067" s="989"/>
      <c r="VHC1067" s="989"/>
      <c r="VHD1067" s="989"/>
      <c r="VHE1067" s="989"/>
      <c r="VHF1067" s="989"/>
      <c r="VHG1067" s="989"/>
      <c r="VHH1067" s="989"/>
      <c r="VHI1067" s="989"/>
      <c r="VHJ1067" s="989"/>
      <c r="VHK1067" s="989"/>
      <c r="VHL1067" s="989"/>
      <c r="VHM1067" s="989"/>
      <c r="VHN1067" s="989"/>
      <c r="VHO1067" s="989"/>
      <c r="VHP1067" s="989"/>
      <c r="VHQ1067" s="989"/>
      <c r="VHR1067" s="989"/>
      <c r="VHS1067" s="989"/>
      <c r="VHT1067" s="989"/>
      <c r="VHU1067" s="989"/>
      <c r="VHV1067" s="989"/>
      <c r="VHW1067" s="989"/>
      <c r="VHX1067" s="989"/>
      <c r="VHY1067" s="989"/>
      <c r="VHZ1067" s="989"/>
      <c r="VIA1067" s="989"/>
      <c r="VIB1067" s="989"/>
      <c r="VIC1067" s="989"/>
      <c r="VID1067" s="989"/>
      <c r="VIE1067" s="989"/>
      <c r="VIF1067" s="989"/>
      <c r="VIG1067" s="989"/>
      <c r="VIH1067" s="989"/>
      <c r="VII1067" s="989"/>
      <c r="VIJ1067" s="989"/>
      <c r="VIK1067" s="989"/>
      <c r="VIL1067" s="989"/>
      <c r="VIM1067" s="989"/>
      <c r="VIN1067" s="989"/>
      <c r="VIO1067" s="989"/>
      <c r="VIP1067" s="989"/>
      <c r="VIQ1067" s="989"/>
      <c r="VIR1067" s="989"/>
      <c r="VIS1067" s="989"/>
      <c r="VIT1067" s="989"/>
      <c r="VIU1067" s="989"/>
      <c r="VIV1067" s="989"/>
      <c r="VIW1067" s="989"/>
      <c r="VIX1067" s="989"/>
      <c r="VIY1067" s="989"/>
      <c r="VIZ1067" s="989"/>
      <c r="VJA1067" s="989"/>
      <c r="VJB1067" s="989"/>
      <c r="VJC1067" s="989"/>
      <c r="VJD1067" s="989"/>
      <c r="VJE1067" s="989"/>
      <c r="VJF1067" s="989"/>
      <c r="VJG1067" s="989"/>
      <c r="VJH1067" s="989"/>
      <c r="VJI1067" s="989"/>
      <c r="VJJ1067" s="989"/>
      <c r="VJK1067" s="989"/>
      <c r="VJL1067" s="989"/>
      <c r="VJM1067" s="989"/>
      <c r="VJN1067" s="989"/>
      <c r="VJO1067" s="989"/>
      <c r="VJP1067" s="989"/>
      <c r="VJQ1067" s="989"/>
      <c r="VJR1067" s="989"/>
      <c r="VJS1067" s="989"/>
      <c r="VJT1067" s="989"/>
      <c r="VJU1067" s="989"/>
      <c r="VJV1067" s="989"/>
      <c r="VJW1067" s="989"/>
      <c r="VJX1067" s="989"/>
      <c r="VJY1067" s="989"/>
      <c r="VJZ1067" s="989"/>
      <c r="VKA1067" s="989"/>
      <c r="VKB1067" s="989"/>
      <c r="VKC1067" s="989"/>
      <c r="VKD1067" s="989"/>
      <c r="VKE1067" s="989"/>
      <c r="VKF1067" s="989"/>
      <c r="VKG1067" s="989"/>
      <c r="VKH1067" s="989"/>
      <c r="VKI1067" s="989"/>
      <c r="VKJ1067" s="989"/>
      <c r="VKK1067" s="989"/>
      <c r="VKL1067" s="989"/>
      <c r="VKM1067" s="989"/>
      <c r="VKN1067" s="989"/>
      <c r="VKO1067" s="989"/>
      <c r="VKP1067" s="989"/>
      <c r="VKQ1067" s="989"/>
      <c r="VKR1067" s="989"/>
      <c r="VKS1067" s="989"/>
      <c r="VKT1067" s="989"/>
      <c r="VKU1067" s="989"/>
      <c r="VKV1067" s="989"/>
      <c r="VKW1067" s="989"/>
      <c r="VKX1067" s="989"/>
      <c r="VKY1067" s="989"/>
      <c r="VKZ1067" s="989"/>
      <c r="VLA1067" s="989"/>
      <c r="VLB1067" s="989"/>
      <c r="VLC1067" s="989"/>
      <c r="VLD1067" s="989"/>
      <c r="VLE1067" s="989"/>
      <c r="VLF1067" s="989"/>
      <c r="VLG1067" s="989"/>
      <c r="VLH1067" s="989"/>
      <c r="VLI1067" s="989"/>
      <c r="VLJ1067" s="989"/>
      <c r="VLK1067" s="989"/>
      <c r="VLL1067" s="989"/>
      <c r="VLM1067" s="989"/>
      <c r="VLN1067" s="989"/>
      <c r="VLO1067" s="989"/>
      <c r="VLP1067" s="989"/>
      <c r="VLQ1067" s="989"/>
      <c r="VLR1067" s="989"/>
      <c r="VLS1067" s="989"/>
      <c r="VLT1067" s="989"/>
      <c r="VLU1067" s="989"/>
      <c r="VLV1067" s="989"/>
      <c r="VLW1067" s="989"/>
      <c r="VLX1067" s="989"/>
      <c r="VLY1067" s="989"/>
      <c r="VLZ1067" s="989"/>
      <c r="VMA1067" s="989"/>
      <c r="VMB1067" s="989"/>
      <c r="VMC1067" s="989"/>
      <c r="VMD1067" s="989"/>
      <c r="VME1067" s="989"/>
      <c r="VMF1067" s="989"/>
      <c r="VMG1067" s="989"/>
      <c r="VMH1067" s="989"/>
      <c r="VMI1067" s="989"/>
      <c r="VMJ1067" s="989"/>
      <c r="VMK1067" s="989"/>
      <c r="VML1067" s="989"/>
      <c r="VMM1067" s="989"/>
      <c r="VMN1067" s="989"/>
      <c r="VMO1067" s="989"/>
      <c r="VMP1067" s="989"/>
      <c r="VMQ1067" s="989"/>
      <c r="VMR1067" s="989"/>
      <c r="VMS1067" s="989"/>
      <c r="VMT1067" s="989"/>
      <c r="VMU1067" s="989"/>
      <c r="VMV1067" s="989"/>
      <c r="VMW1067" s="989"/>
      <c r="VMX1067" s="989"/>
      <c r="VMY1067" s="989"/>
      <c r="VMZ1067" s="989"/>
      <c r="VNA1067" s="989"/>
      <c r="VNB1067" s="989"/>
      <c r="VNC1067" s="989"/>
      <c r="VND1067" s="989"/>
      <c r="VNE1067" s="989"/>
      <c r="VNF1067" s="989"/>
      <c r="VNG1067" s="989"/>
      <c r="VNH1067" s="989"/>
      <c r="VNI1067" s="989"/>
      <c r="VNJ1067" s="989"/>
      <c r="VNK1067" s="989"/>
      <c r="VNL1067" s="989"/>
      <c r="VNM1067" s="989"/>
      <c r="VNN1067" s="989"/>
      <c r="VNO1067" s="989"/>
      <c r="VNP1067" s="989"/>
      <c r="VNQ1067" s="989"/>
      <c r="VNR1067" s="989"/>
      <c r="VNS1067" s="989"/>
      <c r="VNT1067" s="989"/>
      <c r="VNU1067" s="989"/>
      <c r="VNV1067" s="989"/>
      <c r="VNW1067" s="989"/>
      <c r="VNX1067" s="989"/>
      <c r="VNY1067" s="989"/>
      <c r="VNZ1067" s="989"/>
      <c r="VOA1067" s="989"/>
      <c r="VOB1067" s="989"/>
      <c r="VOC1067" s="989"/>
      <c r="VOD1067" s="989"/>
      <c r="VOE1067" s="989"/>
      <c r="VOF1067" s="989"/>
      <c r="VOG1067" s="989"/>
      <c r="VOH1067" s="989"/>
      <c r="VOI1067" s="989"/>
      <c r="VOJ1067" s="989"/>
      <c r="VOK1067" s="989"/>
      <c r="VOL1067" s="989"/>
      <c r="VOM1067" s="989"/>
      <c r="VON1067" s="989"/>
      <c r="VOO1067" s="989"/>
      <c r="VOP1067" s="989"/>
      <c r="VOQ1067" s="989"/>
      <c r="VOR1067" s="989"/>
      <c r="VOS1067" s="989"/>
      <c r="VOT1067" s="989"/>
      <c r="VOU1067" s="989"/>
      <c r="VOV1067" s="989"/>
      <c r="VOW1067" s="989"/>
      <c r="VOX1067" s="989"/>
      <c r="VOY1067" s="989"/>
      <c r="VOZ1067" s="989"/>
      <c r="VPA1067" s="989"/>
      <c r="VPB1067" s="989"/>
      <c r="VPC1067" s="989"/>
      <c r="VPD1067" s="989"/>
      <c r="VPE1067" s="989"/>
      <c r="VPF1067" s="989"/>
      <c r="VPG1067" s="989"/>
      <c r="VPH1067" s="989"/>
      <c r="VPI1067" s="989"/>
      <c r="VPJ1067" s="989"/>
      <c r="VPK1067" s="989"/>
      <c r="VPL1067" s="989"/>
      <c r="VPM1067" s="989"/>
      <c r="VPN1067" s="989"/>
      <c r="VPO1067" s="989"/>
      <c r="VPP1067" s="989"/>
      <c r="VPQ1067" s="989"/>
      <c r="VPR1067" s="989"/>
      <c r="VPS1067" s="989"/>
      <c r="VPT1067" s="989"/>
      <c r="VPU1067" s="989"/>
      <c r="VPV1067" s="989"/>
      <c r="VPW1067" s="989"/>
      <c r="VPX1067" s="989"/>
      <c r="VPY1067" s="989"/>
      <c r="VPZ1067" s="989"/>
      <c r="VQA1067" s="989"/>
      <c r="VQB1067" s="989"/>
      <c r="VQC1067" s="989"/>
      <c r="VQD1067" s="989"/>
      <c r="VQE1067" s="989"/>
      <c r="VQF1067" s="989"/>
      <c r="VQG1067" s="989"/>
      <c r="VQH1067" s="989"/>
      <c r="VQI1067" s="989"/>
      <c r="VQJ1067" s="989"/>
      <c r="VQK1067" s="989"/>
      <c r="VQL1067" s="989"/>
      <c r="VQM1067" s="989"/>
      <c r="VQN1067" s="989"/>
      <c r="VQO1067" s="989"/>
      <c r="VQP1067" s="989"/>
      <c r="VQQ1067" s="989"/>
      <c r="VQR1067" s="989"/>
      <c r="VQS1067" s="989"/>
      <c r="VQT1067" s="989"/>
      <c r="VQU1067" s="989"/>
      <c r="VQV1067" s="989"/>
      <c r="VQW1067" s="989"/>
      <c r="VQX1067" s="989"/>
      <c r="VQY1067" s="989"/>
      <c r="VQZ1067" s="989"/>
      <c r="VRA1067" s="989"/>
      <c r="VRB1067" s="989"/>
      <c r="VRC1067" s="989"/>
      <c r="VRD1067" s="989"/>
      <c r="VRE1067" s="989"/>
      <c r="VRF1067" s="989"/>
      <c r="VRG1067" s="989"/>
      <c r="VRH1067" s="989"/>
      <c r="VRI1067" s="989"/>
      <c r="VRJ1067" s="989"/>
      <c r="VRK1067" s="989"/>
      <c r="VRL1067" s="989"/>
      <c r="VRM1067" s="989"/>
      <c r="VRN1067" s="989"/>
      <c r="VRO1067" s="989"/>
      <c r="VRP1067" s="989"/>
      <c r="VRQ1067" s="989"/>
      <c r="VRR1067" s="989"/>
      <c r="VRS1067" s="989"/>
      <c r="VRT1067" s="989"/>
      <c r="VRU1067" s="989"/>
      <c r="VRV1067" s="989"/>
      <c r="VRW1067" s="989"/>
      <c r="VRX1067" s="989"/>
      <c r="VRY1067" s="989"/>
      <c r="VRZ1067" s="989"/>
      <c r="VSA1067" s="989"/>
      <c r="VSB1067" s="989"/>
      <c r="VSC1067" s="989"/>
      <c r="VSD1067" s="989"/>
      <c r="VSE1067" s="989"/>
      <c r="VSF1067" s="989"/>
      <c r="VSG1067" s="989"/>
      <c r="VSH1067" s="989"/>
      <c r="VSI1067" s="989"/>
      <c r="VSJ1067" s="989"/>
      <c r="VSK1067" s="989"/>
      <c r="VSL1067" s="989"/>
      <c r="VSM1067" s="989"/>
      <c r="VSN1067" s="989"/>
      <c r="VSO1067" s="989"/>
      <c r="VSP1067" s="989"/>
      <c r="VSQ1067" s="989"/>
      <c r="VSR1067" s="989"/>
      <c r="VSS1067" s="989"/>
      <c r="VST1067" s="989"/>
      <c r="VSU1067" s="989"/>
      <c r="VSV1067" s="989"/>
      <c r="VSW1067" s="989"/>
      <c r="VSX1067" s="989"/>
      <c r="VSY1067" s="989"/>
      <c r="VSZ1067" s="989"/>
      <c r="VTA1067" s="989"/>
      <c r="VTB1067" s="989"/>
      <c r="VTC1067" s="989"/>
      <c r="VTD1067" s="989"/>
      <c r="VTE1067" s="989"/>
      <c r="VTF1067" s="989"/>
      <c r="VTG1067" s="989"/>
      <c r="VTH1067" s="989"/>
      <c r="VTI1067" s="989"/>
      <c r="VTJ1067" s="989"/>
      <c r="VTK1067" s="989"/>
      <c r="VTL1067" s="989"/>
      <c r="VTM1067" s="989"/>
      <c r="VTN1067" s="989"/>
      <c r="VTO1067" s="989"/>
      <c r="VTP1067" s="989"/>
      <c r="VTQ1067" s="989"/>
      <c r="VTR1067" s="989"/>
      <c r="VTS1067" s="989"/>
      <c r="VTT1067" s="989"/>
      <c r="VTU1067" s="989"/>
      <c r="VTV1067" s="989"/>
      <c r="VTW1067" s="989"/>
      <c r="VTX1067" s="989"/>
      <c r="VTY1067" s="989"/>
      <c r="VTZ1067" s="989"/>
      <c r="VUA1067" s="989"/>
      <c r="VUB1067" s="989"/>
      <c r="VUC1067" s="989"/>
      <c r="VUD1067" s="989"/>
      <c r="VUE1067" s="989"/>
      <c r="VUF1067" s="989"/>
      <c r="VUG1067" s="989"/>
      <c r="VUH1067" s="989"/>
      <c r="VUI1067" s="989"/>
      <c r="VUJ1067" s="989"/>
      <c r="VUK1067" s="989"/>
      <c r="VUL1067" s="989"/>
      <c r="VUM1067" s="989"/>
      <c r="VUN1067" s="989"/>
      <c r="VUO1067" s="989"/>
      <c r="VUP1067" s="989"/>
      <c r="VUQ1067" s="989"/>
      <c r="VUR1067" s="989"/>
      <c r="VUS1067" s="989"/>
      <c r="VUT1067" s="989"/>
      <c r="VUU1067" s="989"/>
      <c r="VUV1067" s="989"/>
      <c r="VUW1067" s="989"/>
      <c r="VUX1067" s="989"/>
      <c r="VUY1067" s="989"/>
      <c r="VUZ1067" s="989"/>
      <c r="VVA1067" s="989"/>
      <c r="VVB1067" s="989"/>
      <c r="VVC1067" s="989"/>
      <c r="VVD1067" s="989"/>
      <c r="VVE1067" s="989"/>
      <c r="VVF1067" s="989"/>
      <c r="VVG1067" s="989"/>
      <c r="VVH1067" s="989"/>
      <c r="VVI1067" s="989"/>
      <c r="VVJ1067" s="989"/>
      <c r="VVK1067" s="989"/>
      <c r="VVL1067" s="989"/>
      <c r="VVM1067" s="989"/>
      <c r="VVN1067" s="989"/>
      <c r="VVO1067" s="989"/>
      <c r="VVP1067" s="989"/>
      <c r="VVQ1067" s="989"/>
      <c r="VVR1067" s="989"/>
      <c r="VVS1067" s="989"/>
      <c r="VVT1067" s="989"/>
      <c r="VVU1067" s="989"/>
      <c r="VVV1067" s="989"/>
      <c r="VVW1067" s="989"/>
      <c r="VVX1067" s="989"/>
      <c r="VVY1067" s="989"/>
      <c r="VVZ1067" s="989"/>
      <c r="VWA1067" s="989"/>
      <c r="VWB1067" s="989"/>
      <c r="VWC1067" s="989"/>
      <c r="VWD1067" s="989"/>
      <c r="VWE1067" s="989"/>
      <c r="VWF1067" s="989"/>
      <c r="VWG1067" s="989"/>
      <c r="VWH1067" s="989"/>
      <c r="VWI1067" s="989"/>
      <c r="VWJ1067" s="989"/>
      <c r="VWK1067" s="989"/>
      <c r="VWL1067" s="989"/>
      <c r="VWM1067" s="989"/>
      <c r="VWN1067" s="989"/>
      <c r="VWO1067" s="989"/>
      <c r="VWP1067" s="989"/>
      <c r="VWQ1067" s="989"/>
      <c r="VWR1067" s="989"/>
      <c r="VWS1067" s="989"/>
      <c r="VWT1067" s="989"/>
      <c r="VWU1067" s="989"/>
      <c r="VWV1067" s="989"/>
      <c r="VWW1067" s="989"/>
      <c r="VWX1067" s="989"/>
      <c r="VWY1067" s="989"/>
      <c r="VWZ1067" s="989"/>
      <c r="VXA1067" s="989"/>
      <c r="VXB1067" s="989"/>
      <c r="VXC1067" s="989"/>
      <c r="VXD1067" s="989"/>
      <c r="VXE1067" s="989"/>
      <c r="VXF1067" s="989"/>
      <c r="VXG1067" s="989"/>
      <c r="VXH1067" s="989"/>
      <c r="VXI1067" s="989"/>
      <c r="VXJ1067" s="989"/>
      <c r="VXK1067" s="989"/>
      <c r="VXL1067" s="989"/>
      <c r="VXM1067" s="989"/>
      <c r="VXN1067" s="989"/>
      <c r="VXO1067" s="989"/>
      <c r="VXP1067" s="989"/>
      <c r="VXQ1067" s="989"/>
      <c r="VXR1067" s="989"/>
      <c r="VXS1067" s="989"/>
      <c r="VXT1067" s="989"/>
      <c r="VXU1067" s="989"/>
      <c r="VXV1067" s="989"/>
      <c r="VXW1067" s="989"/>
      <c r="VXX1067" s="989"/>
      <c r="VXY1067" s="989"/>
      <c r="VXZ1067" s="989"/>
      <c r="VYA1067" s="989"/>
      <c r="VYB1067" s="989"/>
      <c r="VYC1067" s="989"/>
      <c r="VYD1067" s="989"/>
      <c r="VYE1067" s="989"/>
      <c r="VYF1067" s="989"/>
      <c r="VYG1067" s="989"/>
      <c r="VYH1067" s="989"/>
      <c r="VYI1067" s="989"/>
      <c r="VYJ1067" s="989"/>
      <c r="VYK1067" s="989"/>
      <c r="VYL1067" s="989"/>
      <c r="VYM1067" s="989"/>
      <c r="VYN1067" s="989"/>
      <c r="VYO1067" s="989"/>
      <c r="VYP1067" s="989"/>
      <c r="VYQ1067" s="989"/>
      <c r="VYR1067" s="989"/>
      <c r="VYS1067" s="989"/>
      <c r="VYT1067" s="989"/>
      <c r="VYU1067" s="989"/>
      <c r="VYV1067" s="989"/>
      <c r="VYW1067" s="989"/>
      <c r="VYX1067" s="989"/>
      <c r="VYY1067" s="989"/>
      <c r="VYZ1067" s="989"/>
      <c r="VZA1067" s="989"/>
      <c r="VZB1067" s="989"/>
      <c r="VZC1067" s="989"/>
      <c r="VZD1067" s="989"/>
      <c r="VZE1067" s="989"/>
      <c r="VZF1067" s="989"/>
      <c r="VZG1067" s="989"/>
      <c r="VZH1067" s="989"/>
      <c r="VZI1067" s="989"/>
      <c r="VZJ1067" s="989"/>
      <c r="VZK1067" s="989"/>
      <c r="VZL1067" s="989"/>
      <c r="VZM1067" s="989"/>
      <c r="VZN1067" s="989"/>
      <c r="VZO1067" s="989"/>
      <c r="VZP1067" s="989"/>
      <c r="VZQ1067" s="989"/>
      <c r="VZR1067" s="989"/>
      <c r="VZS1067" s="989"/>
      <c r="VZT1067" s="989"/>
      <c r="VZU1067" s="989"/>
      <c r="VZV1067" s="989"/>
      <c r="VZW1067" s="989"/>
      <c r="VZX1067" s="989"/>
      <c r="VZY1067" s="989"/>
      <c r="VZZ1067" s="989"/>
      <c r="WAA1067" s="989"/>
      <c r="WAB1067" s="989"/>
      <c r="WAC1067" s="989"/>
      <c r="WAD1067" s="989"/>
      <c r="WAE1067" s="989"/>
      <c r="WAF1067" s="989"/>
      <c r="WAG1067" s="989"/>
      <c r="WAH1067" s="989"/>
      <c r="WAI1067" s="989"/>
      <c r="WAJ1067" s="989"/>
      <c r="WAK1067" s="989"/>
      <c r="WAL1067" s="989"/>
      <c r="WAM1067" s="989"/>
      <c r="WAN1067" s="989"/>
      <c r="WAO1067" s="989"/>
      <c r="WAP1067" s="989"/>
      <c r="WAQ1067" s="989"/>
      <c r="WAR1067" s="989"/>
      <c r="WAS1067" s="989"/>
      <c r="WAT1067" s="989"/>
      <c r="WAU1067" s="989"/>
      <c r="WAV1067" s="989"/>
      <c r="WAW1067" s="989"/>
      <c r="WAX1067" s="989"/>
      <c r="WAY1067" s="989"/>
      <c r="WAZ1067" s="989"/>
      <c r="WBA1067" s="989"/>
      <c r="WBB1067" s="989"/>
      <c r="WBC1067" s="989"/>
      <c r="WBD1067" s="989"/>
      <c r="WBE1067" s="989"/>
      <c r="WBF1067" s="989"/>
      <c r="WBG1067" s="989"/>
      <c r="WBH1067" s="989"/>
      <c r="WBI1067" s="989"/>
      <c r="WBJ1067" s="989"/>
      <c r="WBK1067" s="989"/>
      <c r="WBL1067" s="989"/>
      <c r="WBM1067" s="989"/>
      <c r="WBN1067" s="989"/>
      <c r="WBO1067" s="989"/>
      <c r="WBP1067" s="989"/>
      <c r="WBQ1067" s="989"/>
      <c r="WBR1067" s="989"/>
      <c r="WBS1067" s="989"/>
      <c r="WBT1067" s="989"/>
      <c r="WBU1067" s="989"/>
      <c r="WBV1067" s="989"/>
      <c r="WBW1067" s="989"/>
      <c r="WBX1067" s="989"/>
      <c r="WBY1067" s="989"/>
      <c r="WBZ1067" s="989"/>
      <c r="WCA1067" s="989"/>
      <c r="WCB1067" s="989"/>
      <c r="WCC1067" s="989"/>
      <c r="WCD1067" s="989"/>
      <c r="WCE1067" s="989"/>
      <c r="WCF1067" s="989"/>
      <c r="WCG1067" s="989"/>
      <c r="WCH1067" s="989"/>
      <c r="WCI1067" s="989"/>
      <c r="WCJ1067" s="989"/>
      <c r="WCK1067" s="989"/>
      <c r="WCL1067" s="989"/>
      <c r="WCM1067" s="989"/>
      <c r="WCN1067" s="989"/>
      <c r="WCO1067" s="989"/>
      <c r="WCP1067" s="989"/>
      <c r="WCQ1067" s="989"/>
      <c r="WCR1067" s="989"/>
      <c r="WCS1067" s="989"/>
      <c r="WCT1067" s="989"/>
      <c r="WCU1067" s="989"/>
      <c r="WCV1067" s="989"/>
      <c r="WCW1067" s="989"/>
      <c r="WCX1067" s="989"/>
      <c r="WCY1067" s="989"/>
      <c r="WCZ1067" s="989"/>
      <c r="WDA1067" s="989"/>
      <c r="WDB1067" s="989"/>
      <c r="WDC1067" s="989"/>
      <c r="WDD1067" s="989"/>
      <c r="WDE1067" s="989"/>
      <c r="WDF1067" s="989"/>
      <c r="WDG1067" s="989"/>
      <c r="WDH1067" s="989"/>
      <c r="WDI1067" s="989"/>
      <c r="WDJ1067" s="989"/>
      <c r="WDK1067" s="989"/>
      <c r="WDL1067" s="989"/>
      <c r="WDM1067" s="989"/>
      <c r="WDN1067" s="989"/>
      <c r="WDO1067" s="989"/>
      <c r="WDP1067" s="989"/>
      <c r="WDQ1067" s="989"/>
      <c r="WDR1067" s="989"/>
      <c r="WDS1067" s="989"/>
      <c r="WDT1067" s="989"/>
      <c r="WDU1067" s="989"/>
      <c r="WDV1067" s="989"/>
      <c r="WDW1067" s="989"/>
      <c r="WDX1067" s="989"/>
      <c r="WDY1067" s="989"/>
      <c r="WDZ1067" s="989"/>
      <c r="WEA1067" s="989"/>
      <c r="WEB1067" s="989"/>
      <c r="WEC1067" s="989"/>
      <c r="WED1067" s="989"/>
      <c r="WEE1067" s="989"/>
      <c r="WEF1067" s="989"/>
      <c r="WEG1067" s="989"/>
      <c r="WEH1067" s="989"/>
      <c r="WEI1067" s="989"/>
      <c r="WEJ1067" s="989"/>
      <c r="WEK1067" s="989"/>
      <c r="WEL1067" s="989"/>
      <c r="WEM1067" s="989"/>
      <c r="WEN1067" s="989"/>
      <c r="WEO1067" s="989"/>
      <c r="WEP1067" s="989"/>
      <c r="WEQ1067" s="989"/>
      <c r="WER1067" s="989"/>
      <c r="WES1067" s="989"/>
      <c r="WET1067" s="989"/>
      <c r="WEU1067" s="989"/>
      <c r="WEV1067" s="989"/>
      <c r="WEW1067" s="989"/>
      <c r="WEX1067" s="989"/>
      <c r="WEY1067" s="989"/>
      <c r="WEZ1067" s="989"/>
      <c r="WFA1067" s="989"/>
      <c r="WFB1067" s="989"/>
      <c r="WFC1067" s="989"/>
      <c r="WFD1067" s="989"/>
      <c r="WFE1067" s="989"/>
      <c r="WFF1067" s="989"/>
      <c r="WFG1067" s="989"/>
      <c r="WFH1067" s="989"/>
      <c r="WFI1067" s="989"/>
      <c r="WFJ1067" s="989"/>
      <c r="WFK1067" s="989"/>
      <c r="WFL1067" s="989"/>
      <c r="WFM1067" s="989"/>
      <c r="WFN1067" s="989"/>
      <c r="WFO1067" s="989"/>
      <c r="WFP1067" s="989"/>
      <c r="WFQ1067" s="989"/>
      <c r="WFR1067" s="989"/>
      <c r="WFS1067" s="989"/>
      <c r="WFT1067" s="989"/>
      <c r="WFU1067" s="989"/>
      <c r="WFV1067" s="989"/>
      <c r="WFW1067" s="989"/>
      <c r="WFX1067" s="989"/>
      <c r="WFY1067" s="989"/>
      <c r="WFZ1067" s="989"/>
      <c r="WGA1067" s="989"/>
      <c r="WGB1067" s="989"/>
      <c r="WGC1067" s="989"/>
      <c r="WGD1067" s="989"/>
      <c r="WGE1067" s="989"/>
      <c r="WGF1067" s="989"/>
      <c r="WGG1067" s="989"/>
      <c r="WGH1067" s="989"/>
      <c r="WGI1067" s="989"/>
      <c r="WGJ1067" s="989"/>
      <c r="WGK1067" s="989"/>
      <c r="WGL1067" s="989"/>
      <c r="WGM1067" s="989"/>
      <c r="WGN1067" s="989"/>
      <c r="WGO1067" s="989"/>
      <c r="WGP1067" s="989"/>
      <c r="WGQ1067" s="989"/>
      <c r="WGR1067" s="989"/>
      <c r="WGS1067" s="989"/>
      <c r="WGT1067" s="989"/>
      <c r="WGU1067" s="989"/>
      <c r="WGV1067" s="989"/>
      <c r="WGW1067" s="989"/>
      <c r="WGX1067" s="989"/>
      <c r="WGY1067" s="989"/>
      <c r="WGZ1067" s="989"/>
      <c r="WHA1067" s="989"/>
      <c r="WHB1067" s="989"/>
      <c r="WHC1067" s="989"/>
      <c r="WHD1067" s="989"/>
      <c r="WHE1067" s="989"/>
      <c r="WHF1067" s="989"/>
      <c r="WHG1067" s="989"/>
      <c r="WHH1067" s="989"/>
      <c r="WHI1067" s="989"/>
      <c r="WHJ1067" s="989"/>
      <c r="WHK1067" s="989"/>
      <c r="WHL1067" s="989"/>
      <c r="WHM1067" s="989"/>
      <c r="WHN1067" s="989"/>
      <c r="WHO1067" s="989"/>
      <c r="WHP1067" s="989"/>
      <c r="WHQ1067" s="989"/>
      <c r="WHR1067" s="989"/>
      <c r="WHS1067" s="989"/>
      <c r="WHT1067" s="989"/>
      <c r="WHU1067" s="989"/>
      <c r="WHV1067" s="989"/>
      <c r="WHW1067" s="989"/>
      <c r="WHX1067" s="989"/>
      <c r="WHY1067" s="989"/>
      <c r="WHZ1067" s="989"/>
      <c r="WIA1067" s="989"/>
      <c r="WIB1067" s="989"/>
      <c r="WIC1067" s="989"/>
      <c r="WID1067" s="989"/>
      <c r="WIE1067" s="989"/>
      <c r="WIF1067" s="989"/>
      <c r="WIG1067" s="989"/>
      <c r="WIH1067" s="989"/>
      <c r="WII1067" s="989"/>
      <c r="WIJ1067" s="989"/>
      <c r="WIK1067" s="989"/>
      <c r="WIL1067" s="989"/>
      <c r="WIM1067" s="989"/>
      <c r="WIN1067" s="989"/>
      <c r="WIO1067" s="989"/>
      <c r="WIP1067" s="989"/>
      <c r="WIQ1067" s="989"/>
      <c r="WIR1067" s="989"/>
      <c r="WIS1067" s="989"/>
      <c r="WIT1067" s="989"/>
      <c r="WIU1067" s="989"/>
      <c r="WIV1067" s="989"/>
      <c r="WIW1067" s="989"/>
      <c r="WIX1067" s="989"/>
      <c r="WIY1067" s="989"/>
      <c r="WIZ1067" s="989"/>
      <c r="WJA1067" s="989"/>
      <c r="WJB1067" s="989"/>
      <c r="WJC1067" s="989"/>
      <c r="WJD1067" s="989"/>
      <c r="WJE1067" s="989"/>
      <c r="WJF1067" s="989"/>
      <c r="WJG1067" s="989"/>
      <c r="WJH1067" s="989"/>
      <c r="WJI1067" s="989"/>
      <c r="WJJ1067" s="989"/>
      <c r="WJK1067" s="989"/>
      <c r="WJL1067" s="989"/>
      <c r="WJM1067" s="989"/>
      <c r="WJN1067" s="989"/>
      <c r="WJO1067" s="989"/>
      <c r="WJP1067" s="989"/>
      <c r="WJQ1067" s="989"/>
      <c r="WJR1067" s="989"/>
      <c r="WJS1067" s="989"/>
      <c r="WJT1067" s="989"/>
      <c r="WJU1067" s="989"/>
      <c r="WJV1067" s="989"/>
      <c r="WJW1067" s="989"/>
      <c r="WJX1067" s="989"/>
      <c r="WJY1067" s="989"/>
      <c r="WJZ1067" s="989"/>
      <c r="WKA1067" s="989"/>
      <c r="WKB1067" s="989"/>
      <c r="WKC1067" s="989"/>
      <c r="WKD1067" s="989"/>
      <c r="WKE1067" s="989"/>
      <c r="WKF1067" s="989"/>
      <c r="WKG1067" s="989"/>
      <c r="WKH1067" s="989"/>
      <c r="WKI1067" s="989"/>
      <c r="WKJ1067" s="989"/>
      <c r="WKK1067" s="989"/>
      <c r="WKL1067" s="989"/>
      <c r="WKM1067" s="989"/>
      <c r="WKN1067" s="989"/>
      <c r="WKO1067" s="989"/>
      <c r="WKP1067" s="989"/>
      <c r="WKQ1067" s="989"/>
      <c r="WKR1067" s="989"/>
      <c r="WKS1067" s="989"/>
      <c r="WKT1067" s="989"/>
      <c r="WKU1067" s="989"/>
      <c r="WKV1067" s="989"/>
      <c r="WKW1067" s="989"/>
      <c r="WKX1067" s="989"/>
      <c r="WKY1067" s="989"/>
      <c r="WKZ1067" s="989"/>
      <c r="WLA1067" s="989"/>
      <c r="WLB1067" s="989"/>
      <c r="WLC1067" s="989"/>
      <c r="WLD1067" s="989"/>
      <c r="WLE1067" s="989"/>
      <c r="WLF1067" s="989"/>
      <c r="WLG1067" s="989"/>
      <c r="WLH1067" s="989"/>
      <c r="WLI1067" s="989"/>
      <c r="WLJ1067" s="989"/>
      <c r="WLK1067" s="989"/>
      <c r="WLL1067" s="989"/>
      <c r="WLM1067" s="989"/>
      <c r="WLN1067" s="989"/>
      <c r="WLO1067" s="989"/>
      <c r="WLP1067" s="989"/>
      <c r="WLQ1067" s="989"/>
      <c r="WLR1067" s="989"/>
      <c r="WLS1067" s="989"/>
      <c r="WLT1067" s="989"/>
      <c r="WLU1067" s="989"/>
      <c r="WLV1067" s="989"/>
      <c r="WLW1067" s="989"/>
      <c r="WLX1067" s="989"/>
      <c r="WLY1067" s="989"/>
      <c r="WLZ1067" s="989"/>
      <c r="WMA1067" s="989"/>
      <c r="WMB1067" s="989"/>
      <c r="WMC1067" s="989"/>
      <c r="WMD1067" s="989"/>
      <c r="WME1067" s="989"/>
      <c r="WMF1067" s="989"/>
      <c r="WMG1067" s="989"/>
      <c r="WMH1067" s="989"/>
      <c r="WMI1067" s="989"/>
      <c r="WMJ1067" s="989"/>
      <c r="WMK1067" s="989"/>
      <c r="WML1067" s="989"/>
      <c r="WMM1067" s="989"/>
      <c r="WMN1067" s="989"/>
      <c r="WMO1067" s="989"/>
      <c r="WMP1067" s="989"/>
      <c r="WMQ1067" s="989"/>
      <c r="WMR1067" s="989"/>
      <c r="WMS1067" s="989"/>
      <c r="WMT1067" s="989"/>
      <c r="WMU1067" s="989"/>
      <c r="WMV1067" s="989"/>
      <c r="WMW1067" s="989"/>
      <c r="WMX1067" s="989"/>
      <c r="WMY1067" s="989"/>
      <c r="WMZ1067" s="989"/>
      <c r="WNA1067" s="989"/>
      <c r="WNB1067" s="989"/>
      <c r="WNC1067" s="989"/>
      <c r="WND1067" s="989"/>
      <c r="WNE1067" s="989"/>
      <c r="WNF1067" s="989"/>
      <c r="WNG1067" s="989"/>
      <c r="WNH1067" s="989"/>
      <c r="WNI1067" s="989"/>
      <c r="WNJ1067" s="989"/>
      <c r="WNK1067" s="989"/>
      <c r="WNL1067" s="989"/>
      <c r="WNM1067" s="989"/>
      <c r="WNN1067" s="989"/>
      <c r="WNO1067" s="989"/>
      <c r="WNP1067" s="989"/>
      <c r="WNQ1067" s="989"/>
      <c r="WNR1067" s="989"/>
      <c r="WNS1067" s="989"/>
      <c r="WNT1067" s="989"/>
      <c r="WNU1067" s="989"/>
      <c r="WNV1067" s="989"/>
      <c r="WNW1067" s="989"/>
      <c r="WNX1067" s="989"/>
      <c r="WNY1067" s="989"/>
      <c r="WNZ1067" s="989"/>
      <c r="WOA1067" s="989"/>
      <c r="WOB1067" s="989"/>
      <c r="WOC1067" s="989"/>
      <c r="WOD1067" s="989"/>
      <c r="WOE1067" s="989"/>
      <c r="WOF1067" s="989"/>
      <c r="WOG1067" s="989"/>
      <c r="WOH1067" s="989"/>
      <c r="WOI1067" s="989"/>
      <c r="WOJ1067" s="989"/>
      <c r="WOK1067" s="989"/>
      <c r="WOL1067" s="989"/>
      <c r="WOM1067" s="989"/>
      <c r="WON1067" s="989"/>
      <c r="WOO1067" s="989"/>
      <c r="WOP1067" s="989"/>
      <c r="WOQ1067" s="989"/>
      <c r="WOR1067" s="989"/>
      <c r="WOS1067" s="989"/>
      <c r="WOT1067" s="989"/>
      <c r="WOU1067" s="989"/>
      <c r="WOV1067" s="989"/>
      <c r="WOW1067" s="989"/>
      <c r="WOX1067" s="989"/>
      <c r="WOY1067" s="989"/>
      <c r="WOZ1067" s="989"/>
      <c r="WPA1067" s="989"/>
      <c r="WPB1067" s="989"/>
      <c r="WPC1067" s="989"/>
      <c r="WPD1067" s="989"/>
      <c r="WPE1067" s="989"/>
      <c r="WPF1067" s="989"/>
      <c r="WPG1067" s="989"/>
      <c r="WPH1067" s="989"/>
      <c r="WPI1067" s="989"/>
      <c r="WPJ1067" s="989"/>
      <c r="WPK1067" s="989"/>
      <c r="WPL1067" s="989"/>
      <c r="WPM1067" s="989"/>
      <c r="WPN1067" s="989"/>
      <c r="WPO1067" s="989"/>
      <c r="WPP1067" s="989"/>
      <c r="WPQ1067" s="989"/>
      <c r="WPR1067" s="989"/>
      <c r="WPS1067" s="989"/>
      <c r="WPT1067" s="989"/>
      <c r="WPU1067" s="989"/>
      <c r="WPV1067" s="989"/>
      <c r="WPW1067" s="989"/>
      <c r="WPX1067" s="989"/>
      <c r="WPY1067" s="989"/>
      <c r="WPZ1067" s="989"/>
      <c r="WQA1067" s="989"/>
      <c r="WQB1067" s="989"/>
      <c r="WQC1067" s="989"/>
      <c r="WQD1067" s="989"/>
      <c r="WQE1067" s="989"/>
      <c r="WQF1067" s="989"/>
      <c r="WQG1067" s="989"/>
      <c r="WQH1067" s="989"/>
      <c r="WQI1067" s="989"/>
      <c r="WQJ1067" s="989"/>
      <c r="WQK1067" s="989"/>
      <c r="WQL1067" s="989"/>
      <c r="WQM1067" s="989"/>
      <c r="WQN1067" s="989"/>
      <c r="WQO1067" s="989"/>
      <c r="WQP1067" s="989"/>
      <c r="WQQ1067" s="989"/>
      <c r="WQR1067" s="989"/>
      <c r="WQS1067" s="989"/>
      <c r="WQT1067" s="989"/>
      <c r="WQU1067" s="989"/>
      <c r="WQV1067" s="989"/>
      <c r="WQW1067" s="989"/>
      <c r="WQX1067" s="989"/>
      <c r="WQY1067" s="989"/>
      <c r="WQZ1067" s="989"/>
      <c r="WRA1067" s="989"/>
      <c r="WRB1067" s="989"/>
      <c r="WRC1067" s="989"/>
      <c r="WRD1067" s="989"/>
      <c r="WRE1067" s="989"/>
      <c r="WRF1067" s="989"/>
      <c r="WRG1067" s="989"/>
      <c r="WRH1067" s="989"/>
      <c r="WRI1067" s="989"/>
      <c r="WRJ1067" s="989"/>
      <c r="WRK1067" s="989"/>
      <c r="WRL1067" s="989"/>
      <c r="WRM1067" s="989"/>
      <c r="WRN1067" s="989"/>
      <c r="WRO1067" s="989"/>
      <c r="WRP1067" s="989"/>
      <c r="WRQ1067" s="989"/>
      <c r="WRR1067" s="989"/>
      <c r="WRS1067" s="989"/>
      <c r="WRT1067" s="989"/>
      <c r="WRU1067" s="989"/>
      <c r="WRV1067" s="989"/>
      <c r="WRW1067" s="989"/>
      <c r="WRX1067" s="989"/>
      <c r="WRY1067" s="989"/>
      <c r="WRZ1067" s="989"/>
      <c r="WSA1067" s="989"/>
      <c r="WSB1067" s="989"/>
      <c r="WSC1067" s="989"/>
      <c r="WSD1067" s="989"/>
      <c r="WSE1067" s="989"/>
      <c r="WSF1067" s="989"/>
      <c r="WSG1067" s="989"/>
      <c r="WSH1067" s="989"/>
      <c r="WSI1067" s="989"/>
      <c r="WSJ1067" s="989"/>
      <c r="WSK1067" s="989"/>
      <c r="WSL1067" s="989"/>
      <c r="WSM1067" s="989"/>
      <c r="WSN1067" s="989"/>
      <c r="WSO1067" s="989"/>
      <c r="WSP1067" s="989"/>
      <c r="WSQ1067" s="989"/>
      <c r="WSR1067" s="989"/>
      <c r="WSS1067" s="989"/>
      <c r="WST1067" s="989"/>
      <c r="WSU1067" s="989"/>
      <c r="WSV1067" s="989"/>
      <c r="WSW1067" s="989"/>
      <c r="WSX1067" s="989"/>
      <c r="WSY1067" s="989"/>
      <c r="WSZ1067" s="989"/>
      <c r="WTA1067" s="989"/>
      <c r="WTB1067" s="989"/>
      <c r="WTC1067" s="989"/>
      <c r="WTD1067" s="989"/>
      <c r="WTE1067" s="989"/>
      <c r="WTF1067" s="989"/>
      <c r="WTG1067" s="989"/>
      <c r="WTH1067" s="989"/>
      <c r="WTI1067" s="989"/>
      <c r="WTJ1067" s="989"/>
      <c r="WTK1067" s="989"/>
      <c r="WTL1067" s="989"/>
      <c r="WTM1067" s="989"/>
      <c r="WTN1067" s="989"/>
      <c r="WTO1067" s="989"/>
      <c r="WTP1067" s="989"/>
      <c r="WTQ1067" s="989"/>
      <c r="WTR1067" s="989"/>
      <c r="WTS1067" s="989"/>
      <c r="WTT1067" s="989"/>
      <c r="WTU1067" s="989"/>
      <c r="WTV1067" s="989"/>
      <c r="WTW1067" s="989"/>
      <c r="WTX1067" s="989"/>
      <c r="WTY1067" s="989"/>
      <c r="WTZ1067" s="989"/>
      <c r="WUA1067" s="989"/>
      <c r="WUB1067" s="989"/>
      <c r="WUC1067" s="989"/>
      <c r="WUD1067" s="989"/>
      <c r="WUE1067" s="989"/>
      <c r="WUF1067" s="989"/>
      <c r="WUG1067" s="989"/>
      <c r="WUH1067" s="989"/>
      <c r="WUI1067" s="989"/>
      <c r="WUJ1067" s="989"/>
      <c r="WUK1067" s="989"/>
      <c r="WUL1067" s="989"/>
      <c r="WUM1067" s="989"/>
      <c r="WUN1067" s="989"/>
      <c r="WUO1067" s="989"/>
      <c r="WUP1067" s="989"/>
      <c r="WUQ1067" s="989"/>
      <c r="WUR1067" s="989"/>
      <c r="WUS1067" s="989"/>
      <c r="WUT1067" s="989"/>
      <c r="WUU1067" s="989"/>
      <c r="WUV1067" s="989"/>
      <c r="WUW1067" s="989"/>
      <c r="WUX1067" s="989"/>
      <c r="WUY1067" s="989"/>
      <c r="WUZ1067" s="989"/>
      <c r="WVA1067" s="989"/>
      <c r="WVB1067" s="989"/>
      <c r="WVC1067" s="989"/>
      <c r="WVD1067" s="989"/>
      <c r="WVE1067" s="989"/>
      <c r="WVF1067" s="989"/>
      <c r="WVG1067" s="989"/>
      <c r="WVH1067" s="989"/>
      <c r="WVI1067" s="989"/>
      <c r="WVJ1067" s="989"/>
      <c r="WVK1067" s="989"/>
      <c r="WVL1067" s="989"/>
      <c r="WVM1067" s="989"/>
      <c r="WVN1067" s="989"/>
      <c r="WVO1067" s="989"/>
      <c r="WVP1067" s="989"/>
      <c r="WVQ1067" s="989"/>
      <c r="WVR1067" s="989"/>
      <c r="WVS1067" s="989"/>
      <c r="WVT1067" s="989"/>
      <c r="WVU1067" s="989"/>
      <c r="WVV1067" s="989"/>
      <c r="WVW1067" s="989"/>
      <c r="WVX1067" s="989"/>
      <c r="WVY1067" s="989"/>
      <c r="WVZ1067" s="989"/>
      <c r="WWA1067" s="989"/>
      <c r="WWB1067" s="989"/>
      <c r="WWC1067" s="989"/>
      <c r="WWD1067" s="989"/>
      <c r="WWE1067" s="989"/>
      <c r="WWF1067" s="989"/>
      <c r="WWG1067" s="989"/>
      <c r="WWH1067" s="989"/>
      <c r="WWI1067" s="989"/>
      <c r="WWJ1067" s="989"/>
      <c r="WWK1067" s="989"/>
      <c r="WWL1067" s="989"/>
      <c r="WWM1067" s="989"/>
      <c r="WWN1067" s="989"/>
      <c r="WWO1067" s="989"/>
      <c r="WWP1067" s="989"/>
      <c r="WWQ1067" s="989"/>
      <c r="WWR1067" s="989"/>
      <c r="WWS1067" s="989"/>
      <c r="WWT1067" s="989"/>
      <c r="WWU1067" s="989"/>
      <c r="WWV1067" s="989"/>
      <c r="WWW1067" s="989"/>
      <c r="WWX1067" s="989"/>
      <c r="WWY1067" s="989"/>
      <c r="WWZ1067" s="989"/>
      <c r="WXA1067" s="989"/>
      <c r="WXB1067" s="989"/>
      <c r="WXC1067" s="989"/>
      <c r="WXD1067" s="989"/>
      <c r="WXE1067" s="989"/>
      <c r="WXF1067" s="989"/>
      <c r="WXG1067" s="989"/>
      <c r="WXH1067" s="989"/>
      <c r="WXI1067" s="989"/>
      <c r="WXJ1067" s="989"/>
      <c r="WXK1067" s="989"/>
      <c r="WXL1067" s="989"/>
      <c r="WXM1067" s="989"/>
      <c r="WXN1067" s="989"/>
      <c r="WXO1067" s="989"/>
      <c r="WXP1067" s="989"/>
      <c r="WXQ1067" s="989"/>
      <c r="WXR1067" s="989"/>
      <c r="WXS1067" s="989"/>
      <c r="WXT1067" s="989"/>
      <c r="WXU1067" s="989"/>
      <c r="WXV1067" s="989"/>
      <c r="WXW1067" s="989"/>
      <c r="WXX1067" s="989"/>
      <c r="WXY1067" s="989"/>
      <c r="WXZ1067" s="989"/>
      <c r="WYA1067" s="989"/>
      <c r="WYB1067" s="989"/>
      <c r="WYC1067" s="989"/>
      <c r="WYD1067" s="989"/>
      <c r="WYE1067" s="989"/>
      <c r="WYF1067" s="989"/>
      <c r="WYG1067" s="989"/>
      <c r="WYH1067" s="989"/>
      <c r="WYI1067" s="989"/>
      <c r="WYJ1067" s="989"/>
      <c r="WYK1067" s="989"/>
      <c r="WYL1067" s="989"/>
      <c r="WYM1067" s="989"/>
      <c r="WYN1067" s="989"/>
      <c r="WYO1067" s="989"/>
      <c r="WYP1067" s="989"/>
      <c r="WYQ1067" s="989"/>
      <c r="WYR1067" s="989"/>
      <c r="WYS1067" s="989"/>
      <c r="WYT1067" s="989"/>
      <c r="WYU1067" s="989"/>
      <c r="WYV1067" s="989"/>
      <c r="WYW1067" s="989"/>
      <c r="WYX1067" s="989"/>
      <c r="WYY1067" s="989"/>
      <c r="WYZ1067" s="989"/>
      <c r="WZA1067" s="989"/>
      <c r="WZB1067" s="989"/>
      <c r="WZC1067" s="989"/>
      <c r="WZD1067" s="989"/>
      <c r="WZE1067" s="989"/>
      <c r="WZF1067" s="989"/>
      <c r="WZG1067" s="989"/>
      <c r="WZH1067" s="989"/>
      <c r="WZI1067" s="989"/>
      <c r="WZJ1067" s="989"/>
      <c r="WZK1067" s="989"/>
      <c r="WZL1067" s="989"/>
      <c r="WZM1067" s="989"/>
      <c r="WZN1067" s="989"/>
      <c r="WZO1067" s="989"/>
      <c r="WZP1067" s="989"/>
      <c r="WZQ1067" s="989"/>
      <c r="WZR1067" s="989"/>
      <c r="WZS1067" s="989"/>
      <c r="WZT1067" s="989"/>
      <c r="WZU1067" s="989"/>
      <c r="WZV1067" s="989"/>
      <c r="WZW1067" s="989"/>
      <c r="WZX1067" s="989"/>
      <c r="WZY1067" s="989"/>
      <c r="WZZ1067" s="989"/>
      <c r="XAA1067" s="989"/>
      <c r="XAB1067" s="989"/>
      <c r="XAC1067" s="989"/>
      <c r="XAD1067" s="989"/>
      <c r="XAE1067" s="989"/>
      <c r="XAF1067" s="989"/>
      <c r="XAG1067" s="989"/>
      <c r="XAH1067" s="989"/>
      <c r="XAI1067" s="989"/>
      <c r="XAJ1067" s="989"/>
      <c r="XAK1067" s="989"/>
      <c r="XAL1067" s="989"/>
      <c r="XAM1067" s="989"/>
      <c r="XAN1067" s="989"/>
      <c r="XAO1067" s="989"/>
      <c r="XAP1067" s="989"/>
      <c r="XAQ1067" s="989"/>
      <c r="XAR1067" s="989"/>
      <c r="XAS1067" s="989"/>
      <c r="XAT1067" s="989"/>
      <c r="XAU1067" s="989"/>
      <c r="XAV1067" s="989"/>
      <c r="XAW1067" s="989"/>
      <c r="XAX1067" s="989"/>
      <c r="XAY1067" s="989"/>
      <c r="XAZ1067" s="989"/>
      <c r="XBA1067" s="989"/>
      <c r="XBB1067" s="989"/>
      <c r="XBC1067" s="989"/>
      <c r="XBD1067" s="989"/>
      <c r="XBE1067" s="989"/>
      <c r="XBF1067" s="989"/>
      <c r="XBG1067" s="989"/>
      <c r="XBH1067" s="989"/>
      <c r="XBI1067" s="989"/>
      <c r="XBJ1067" s="989"/>
      <c r="XBK1067" s="989"/>
      <c r="XBL1067" s="989"/>
      <c r="XBM1067" s="989"/>
      <c r="XBN1067" s="989"/>
      <c r="XBO1067" s="989"/>
      <c r="XBP1067" s="989"/>
      <c r="XBQ1067" s="989"/>
      <c r="XBR1067" s="989"/>
      <c r="XBS1067" s="989"/>
      <c r="XBT1067" s="989"/>
      <c r="XBU1067" s="989"/>
      <c r="XBV1067" s="989"/>
      <c r="XBW1067" s="989"/>
      <c r="XBX1067" s="989"/>
      <c r="XBY1067" s="989"/>
      <c r="XBZ1067" s="989"/>
      <c r="XCA1067" s="989"/>
      <c r="XCB1067" s="989"/>
      <c r="XCC1067" s="989"/>
      <c r="XCD1067" s="989"/>
      <c r="XCE1067" s="989"/>
      <c r="XCF1067" s="989"/>
      <c r="XCG1067" s="989"/>
      <c r="XCH1067" s="989"/>
      <c r="XCI1067" s="989"/>
      <c r="XCJ1067" s="989"/>
      <c r="XCK1067" s="989"/>
      <c r="XCL1067" s="989"/>
      <c r="XCM1067" s="989"/>
      <c r="XCN1067" s="989"/>
      <c r="XCO1067" s="989"/>
      <c r="XCP1067" s="989"/>
      <c r="XCQ1067" s="989"/>
      <c r="XCR1067" s="989"/>
      <c r="XCS1067" s="989"/>
      <c r="XCT1067" s="989"/>
      <c r="XCU1067" s="989"/>
      <c r="XCV1067" s="989"/>
      <c r="XCW1067" s="989"/>
      <c r="XCX1067" s="989"/>
      <c r="XCY1067" s="989"/>
      <c r="XCZ1067" s="989"/>
      <c r="XDA1067" s="989"/>
      <c r="XDB1067" s="989"/>
      <c r="XDC1067" s="989"/>
      <c r="XDD1067" s="989"/>
      <c r="XDE1067" s="989"/>
      <c r="XDF1067" s="989"/>
      <c r="XDG1067" s="989"/>
      <c r="XDH1067" s="989"/>
      <c r="XDI1067" s="989"/>
      <c r="XDJ1067" s="989"/>
      <c r="XDK1067" s="989"/>
      <c r="XDL1067" s="989"/>
      <c r="XDM1067" s="989"/>
      <c r="XDN1067" s="989"/>
      <c r="XDO1067" s="989"/>
      <c r="XDP1067" s="989"/>
      <c r="XDQ1067" s="989"/>
      <c r="XDR1067" s="989"/>
      <c r="XDS1067" s="989"/>
      <c r="XDT1067" s="989"/>
      <c r="XDU1067" s="989"/>
      <c r="XDV1067" s="989"/>
      <c r="XDW1067" s="989"/>
      <c r="XDX1067" s="989"/>
      <c r="XDY1067" s="989"/>
      <c r="XDZ1067" s="989"/>
      <c r="XEA1067" s="989"/>
      <c r="XEB1067" s="989"/>
      <c r="XEC1067" s="989"/>
      <c r="XED1067" s="989"/>
      <c r="XEE1067" s="989"/>
      <c r="XEF1067" s="989"/>
      <c r="XEG1067" s="989"/>
      <c r="XEH1067" s="989"/>
      <c r="XEI1067" s="989"/>
      <c r="XEJ1067" s="989"/>
      <c r="XEK1067" s="989"/>
      <c r="XEL1067" s="989"/>
      <c r="XEM1067" s="42"/>
      <c r="XEN1067" s="42"/>
      <c r="XEO1067" s="42"/>
      <c r="XEP1067" s="42"/>
      <c r="XEQ1067" s="42"/>
      <c r="XER1067" s="42"/>
      <c r="XES1067" s="42"/>
      <c r="XET1067" s="2431"/>
      <c r="XEU1067" s="2431"/>
      <c r="XEV1067" s="2431"/>
      <c r="XEW1067" s="2431"/>
      <c r="XEX1067" s="2431"/>
      <c r="XEY1067" s="2431"/>
      <c r="XEZ1067" s="2431"/>
      <c r="XFA1067" s="2431"/>
      <c r="XFB1067" s="2431"/>
      <c r="XFC1067" s="2431"/>
      <c r="XFD1067" s="2431"/>
    </row>
    <row r="1068" ht="25" customHeight="1" spans="1:1024 1025:16384">
      <c r="D1068" s="2445">
        <v>10</v>
      </c>
      <c r="E1068" s="2445" t="s">
        <v>3334</v>
      </c>
      <c r="F1068" s="2440"/>
      <c r="G1068" s="2441"/>
      <c r="H1068" s="2441"/>
      <c r="I1068" s="1658"/>
      <c r="J1068" s="1658"/>
      <c r="K1068" s="2446" t="s">
        <v>3331</v>
      </c>
      <c r="L1068" s="2447">
        <v>22</v>
      </c>
      <c r="M1068" s="2456">
        <v>0.0055</v>
      </c>
      <c r="N1068" s="2456">
        <v>0.0138</v>
      </c>
      <c r="O1068" s="2454">
        <f>(N1068-M1068)*22</f>
        <v>0.1826</v>
      </c>
      <c r="P1068" s="2449">
        <f>(N1068-M1068)/M1068</f>
        <v>1.50909090909091</v>
      </c>
      <c r="Q1068" s="2450"/>
    </row>
    <row r="1069" ht="25" customHeight="1" spans="1:1024 1025:16384">
      <c r="D1069" s="2457"/>
      <c r="E1069" s="2457"/>
      <c r="F1069" s="2440"/>
      <c r="G1069" s="2441"/>
      <c r="H1069" s="2441"/>
      <c r="I1069" s="1658"/>
      <c r="J1069" s="1658"/>
      <c r="K1069" s="2458"/>
      <c r="L1069" s="2458"/>
      <c r="M1069" s="2459"/>
      <c r="N1069" s="2454" t="s">
        <v>9</v>
      </c>
      <c r="O1069" s="2448">
        <f>SUM(O1059:O1068)</f>
        <v>31.564980485</v>
      </c>
      <c r="P1069" s="2460">
        <f>O1069/6.75/1.13</f>
        <v>4.13831274795149</v>
      </c>
      <c r="Q1069" s="2450"/>
    </row>
    <row r="1070" ht="25" customHeight="1" spans="1:1024 1025:16384">
      <c r="D1070" s="2236"/>
      <c r="E1070" s="2236"/>
      <c r="K1070" s="2461"/>
      <c r="L1070" s="2461"/>
      <c r="M1070" s="1221"/>
      <c r="N1070" s="2462"/>
      <c r="O1070" s="2462"/>
      <c r="P1070" s="2463"/>
      <c r="Q1070" s="2464"/>
    </row>
    <row r="1071" ht="20" customHeight="1"/>
    <row r="1072" ht="20" customHeight="1"/>
    <row r="1073" ht="20" customHeight="1"/>
    <row r="1074" ht="20" customHeight="1"/>
  </sheetData>
  <mergeCells count="58">
    <mergeCell ref="B7:Q7"/>
    <mergeCell ref="D1053:E1053"/>
    <mergeCell ref="B1:B6"/>
    <mergeCell ref="B29:B37"/>
    <mergeCell ref="B46:B49"/>
    <mergeCell ref="B72:B84"/>
    <mergeCell ref="B93:B116"/>
    <mergeCell ref="B117:B119"/>
    <mergeCell ref="B120:B121"/>
    <mergeCell ref="B124:B127"/>
    <mergeCell ref="B128:B138"/>
    <mergeCell ref="B140:B147"/>
    <mergeCell ref="B148:B150"/>
    <mergeCell ref="B151:B156"/>
    <mergeCell ref="B160:B164"/>
    <mergeCell ref="B166:B167"/>
    <mergeCell ref="B168:B171"/>
    <mergeCell ref="B172:B182"/>
    <mergeCell ref="B183:B190"/>
    <mergeCell ref="B201:B239"/>
    <mergeCell ref="B240:B258"/>
    <mergeCell ref="B261:B263"/>
    <mergeCell ref="B264:B271"/>
    <mergeCell ref="B272:B311"/>
    <mergeCell ref="B313:B337"/>
    <mergeCell ref="B338:B345"/>
    <mergeCell ref="B346:B362"/>
    <mergeCell ref="B363:B370"/>
    <mergeCell ref="B371:B385"/>
    <mergeCell ref="B386:B398"/>
    <mergeCell ref="B399:B416"/>
    <mergeCell ref="B417:B434"/>
    <mergeCell ref="B435:B446"/>
    <mergeCell ref="B447:B462"/>
    <mergeCell ref="B468:B475"/>
    <mergeCell ref="B549:B550"/>
    <mergeCell ref="B555:B579"/>
    <mergeCell ref="B580:B615"/>
    <mergeCell ref="B616:B623"/>
    <mergeCell ref="B624:B636"/>
    <mergeCell ref="B637:B655"/>
    <mergeCell ref="B656:B671"/>
    <mergeCell ref="B673:B676"/>
    <mergeCell ref="B677:B678"/>
    <mergeCell ref="B679:B685"/>
    <mergeCell ref="B686:B713"/>
    <mergeCell ref="B714:B748"/>
    <mergeCell ref="B751:B759"/>
    <mergeCell ref="B770:B775"/>
    <mergeCell ref="B943:B944"/>
    <mergeCell ref="B952:B961"/>
    <mergeCell ref="B966:B968"/>
    <mergeCell ref="B985:B1007"/>
    <mergeCell ref="B1027:B1043"/>
    <mergeCell ref="C1027:C1043"/>
    <mergeCell ref="S1:S6"/>
    <mergeCell ref="V2:V6"/>
    <mergeCell ref="AA4:AA5"/>
  </mergeCells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E653"/>
  <sheetViews>
    <sheetView zoomScale="70" zoomScaleNormal="70" workbookViewId="0">
      <pane xSplit="2" ySplit="7" topLeftCell="C8" activePane="bottomRight" state="frozen"/>
      <selection/>
      <selection pane="topRight"/>
      <selection pane="bottomLeft"/>
      <selection pane="bottomRight" activeCell="B16" sqref="B16"/>
    </sheetView>
  </sheetViews>
  <sheetFormatPr defaultColWidth="9" defaultRowHeight="14.4"/>
  <cols>
    <col min="1" max="1" width="9" style="42" hidden="1" customWidth="1"/>
    <col min="2" max="2" width="29.287037037037" style="187" customWidth="1"/>
    <col min="3" max="3" width="17.3703703703704" style="1874" hidden="1" customWidth="1"/>
    <col min="4" max="4" width="10.6666666666667" style="187" hidden="1" customWidth="1"/>
    <col min="5" max="5" width="8.42592592592593" style="931" hidden="1" customWidth="1"/>
    <col min="6" max="6" width="22.6018518518519" style="187" hidden="1" customWidth="1"/>
    <col min="7" max="7" width="9.2962962962963" style="931" hidden="1" customWidth="1"/>
    <col min="8" max="8" width="41.6481481481481" style="187" hidden="1" customWidth="1"/>
    <col min="9" max="9" width="15.8240740740741" style="931" customWidth="1"/>
    <col min="10" max="10" width="13.3333333333333" style="1875" customWidth="1"/>
    <col min="11" max="11" width="21.5833333333333" style="1875" customWidth="1"/>
    <col min="12" max="12" width="14.3425925925926" style="931" customWidth="1"/>
    <col min="13" max="13" width="8.4537037037037" style="806" customWidth="1"/>
    <col min="14" max="14" width="12.2314814814815" style="1876" hidden="1" customWidth="1"/>
    <col min="15" max="15" width="12.2314814814815" style="808" hidden="1" customWidth="1"/>
    <col min="16" max="16" width="12.2314814814815" style="808" customWidth="1"/>
    <col min="18" max="18" width="12.6944444444444" style="808" customWidth="1"/>
    <col min="19" max="19" width="13.9351851851852" style="1877" customWidth="1"/>
    <col min="20" max="20" width="12.2314814814815" style="808" hidden="1" customWidth="1"/>
    <col min="21" max="21" width="20.1574074074074" style="187" customWidth="1"/>
    <col min="22" max="22" width="60.5925925925926" style="42" customWidth="1"/>
    <col min="23" max="23" width="12.8888888888889" style="42"/>
    <col min="24" max="24" width="9" style="42"/>
    <col min="25" max="25" width="12.9537037037037" style="42" customWidth="1"/>
    <col min="26" max="26" width="11" style="42" customWidth="1"/>
    <col min="27" max="27" width="3.2962962962963" style="42" customWidth="1"/>
    <col min="28" max="28" width="9" style="42"/>
    <col min="29" max="29" width="10.4074074074074" style="42" customWidth="1"/>
    <col min="30" max="30" width="18.1851851851852" style="42" customWidth="1"/>
    <col min="31" max="31" width="11" style="42" customWidth="1"/>
    <col min="32" max="16384" width="9" style="42"/>
  </cols>
  <sheetData>
    <row r="1" s="188" customFormat="1" ht="19.5" customHeight="1" spans="1:31">
      <c r="C1" s="1878"/>
      <c r="D1" s="1463"/>
      <c r="E1" s="1463"/>
      <c r="F1" s="1463"/>
      <c r="G1" s="1879"/>
      <c r="H1" s="1746"/>
      <c r="I1" s="1261"/>
      <c r="J1" s="1464"/>
      <c r="K1" s="1464"/>
      <c r="L1" s="1464"/>
      <c r="M1" s="1748"/>
      <c r="N1" s="1880"/>
      <c r="O1" s="953"/>
      <c r="P1" s="953"/>
      <c r="R1" s="1467"/>
      <c r="S1" s="1468"/>
      <c r="T1" s="1466"/>
      <c r="U1" s="1462"/>
      <c r="V1" s="1881" t="s">
        <v>3335</v>
      </c>
      <c r="W1" s="1882" t="s">
        <v>1428</v>
      </c>
      <c r="X1" s="1883" t="s">
        <v>1466</v>
      </c>
      <c r="Y1" s="1883" t="s">
        <v>1467</v>
      </c>
      <c r="Z1" s="1884" t="s">
        <v>1468</v>
      </c>
      <c r="AA1" s="840"/>
      <c r="AB1" s="1882" t="s">
        <v>1428</v>
      </c>
      <c r="AC1" s="1883" t="s">
        <v>1466</v>
      </c>
      <c r="AD1" s="1883" t="s">
        <v>1467</v>
      </c>
      <c r="AE1" s="1884" t="s">
        <v>1468</v>
      </c>
    </row>
    <row r="2" s="188" customFormat="1" ht="19.5" customHeight="1" spans="1:31">
      <c r="B2" s="1885"/>
      <c r="C2" s="1886"/>
      <c r="D2" s="1463"/>
      <c r="E2" s="1463"/>
      <c r="F2" s="1463"/>
      <c r="G2" s="1879"/>
      <c r="H2" s="1746"/>
      <c r="I2" s="1261"/>
      <c r="J2" s="1464"/>
      <c r="K2" s="1464"/>
      <c r="L2" s="1464"/>
      <c r="M2" s="1748"/>
      <c r="N2" s="1880"/>
      <c r="O2" s="953"/>
      <c r="P2" s="953"/>
      <c r="R2" s="1467"/>
      <c r="S2" s="1468"/>
      <c r="T2" s="1466"/>
      <c r="U2" s="1462"/>
      <c r="V2" s="1881"/>
      <c r="W2" s="1887" t="s">
        <v>1428</v>
      </c>
      <c r="X2" s="1888" t="s">
        <v>3336</v>
      </c>
      <c r="Y2" s="1889" t="s">
        <v>1470</v>
      </c>
      <c r="Z2" s="1890">
        <v>0.64</v>
      </c>
      <c r="AA2" s="1891"/>
      <c r="AB2" s="1887" t="s">
        <v>1428</v>
      </c>
      <c r="AC2" s="1883" t="s">
        <v>3337</v>
      </c>
      <c r="AD2" s="1883">
        <v>9672</v>
      </c>
      <c r="AE2" s="1890">
        <v>1.05</v>
      </c>
    </row>
    <row r="3" s="188" customFormat="1" ht="19.5" customHeight="1" spans="1:31">
      <c r="B3" s="1885" t="s">
        <v>3338</v>
      </c>
      <c r="C3" s="1886"/>
      <c r="D3" s="1463"/>
      <c r="E3" s="1463"/>
      <c r="F3" s="1892" t="s">
        <v>3339</v>
      </c>
      <c r="G3" s="1879"/>
      <c r="H3" s="1893" t="s">
        <v>0</v>
      </c>
      <c r="J3" s="1464"/>
      <c r="K3" s="1464"/>
      <c r="L3" s="1464"/>
      <c r="M3" s="1748"/>
      <c r="N3" s="1880"/>
      <c r="O3" s="953"/>
      <c r="P3" s="953"/>
      <c r="R3" s="1467"/>
      <c r="S3" s="1468"/>
      <c r="T3" s="1466"/>
      <c r="U3" s="1462"/>
      <c r="V3" s="1881"/>
      <c r="W3" s="1887" t="s">
        <v>1428</v>
      </c>
      <c r="X3" s="1169"/>
      <c r="Y3" s="1889" t="s">
        <v>1474</v>
      </c>
      <c r="Z3" s="1890">
        <v>1.7769148</v>
      </c>
      <c r="AA3" s="1891"/>
      <c r="AB3" s="1882" t="s">
        <v>1428</v>
      </c>
      <c r="AC3" s="1883" t="s">
        <v>1479</v>
      </c>
      <c r="AD3" s="1883" t="s">
        <v>1480</v>
      </c>
      <c r="AE3" s="1890">
        <v>0.23</v>
      </c>
    </row>
    <row r="4" s="188" customFormat="1" ht="19.5" customHeight="1" spans="1:31">
      <c r="B4" s="1885"/>
      <c r="C4" s="1886"/>
      <c r="D4" s="1463"/>
      <c r="E4" s="1463"/>
      <c r="F4" s="1463"/>
      <c r="G4" s="1879"/>
      <c r="H4" s="1746"/>
      <c r="I4" s="1261"/>
      <c r="J4" s="1464"/>
      <c r="K4" s="1464"/>
      <c r="L4" s="1464"/>
      <c r="M4" s="1748"/>
      <c r="N4" s="1880"/>
      <c r="O4" s="953"/>
      <c r="P4" s="953"/>
      <c r="R4" s="1467"/>
      <c r="S4" s="1468"/>
      <c r="T4" s="1466"/>
      <c r="U4" s="1462"/>
      <c r="V4" s="1881"/>
      <c r="W4" s="1887" t="s">
        <v>1428</v>
      </c>
      <c r="X4" s="1169"/>
      <c r="Y4" s="1889" t="s">
        <v>1478</v>
      </c>
      <c r="Z4" s="1890">
        <v>1.75</v>
      </c>
      <c r="AA4" s="1891"/>
      <c r="AB4" s="1882" t="s">
        <v>1428</v>
      </c>
      <c r="AC4" s="1894" t="s">
        <v>3340</v>
      </c>
      <c r="AD4" s="1891">
        <v>8040</v>
      </c>
      <c r="AE4" s="1890">
        <v>2.948</v>
      </c>
    </row>
    <row r="5" s="188" customFormat="1" ht="19.5" customHeight="1" spans="1:31">
      <c r="B5" s="1885"/>
      <c r="C5" s="1886"/>
      <c r="D5" s="1463"/>
      <c r="E5" s="1463"/>
      <c r="F5" s="1463"/>
      <c r="G5" s="1879"/>
      <c r="H5" s="1746"/>
      <c r="I5" s="1261"/>
      <c r="J5" s="1464"/>
      <c r="K5" s="1464"/>
      <c r="L5" s="1464"/>
      <c r="M5" s="1748"/>
      <c r="N5" s="1880"/>
      <c r="O5" s="953"/>
      <c r="P5" s="953"/>
      <c r="R5" s="1467"/>
      <c r="S5" s="1468"/>
      <c r="T5" s="1466"/>
      <c r="U5" s="1462"/>
      <c r="V5" s="1881"/>
      <c r="W5" s="1887" t="s">
        <v>1428</v>
      </c>
      <c r="X5" s="1169"/>
      <c r="Y5" s="1889" t="s">
        <v>1485</v>
      </c>
      <c r="Z5" s="1890">
        <v>0.52</v>
      </c>
      <c r="AA5" s="1891"/>
      <c r="AB5" s="1882" t="s">
        <v>1428</v>
      </c>
      <c r="AC5" s="918"/>
      <c r="AD5" s="1891">
        <v>9040</v>
      </c>
      <c r="AE5" s="1890">
        <v>3.054</v>
      </c>
    </row>
    <row r="6" s="188" customFormat="1" ht="18" customHeight="1" spans="1:31">
      <c r="B6" s="1885"/>
      <c r="C6" s="1886"/>
      <c r="D6" s="1463"/>
      <c r="E6" s="1463"/>
      <c r="F6" s="1463"/>
      <c r="G6" s="1879"/>
      <c r="H6" s="1746"/>
      <c r="I6" s="1261"/>
      <c r="J6" s="1464"/>
      <c r="K6" s="1464"/>
      <c r="L6" s="1464"/>
      <c r="M6" s="1748"/>
      <c r="N6" s="1880"/>
      <c r="O6" s="953"/>
      <c r="P6" s="953"/>
      <c r="R6" s="1467"/>
      <c r="S6" s="1468"/>
      <c r="T6" s="1466"/>
      <c r="U6" s="1462"/>
      <c r="V6" s="1881"/>
      <c r="W6" s="1882"/>
      <c r="X6" s="1895"/>
      <c r="Y6" s="1891" t="s">
        <v>1489</v>
      </c>
      <c r="Z6" s="1890">
        <v>0.93</v>
      </c>
      <c r="AA6" s="1891"/>
      <c r="AB6" s="1882"/>
      <c r="AC6" s="1883"/>
      <c r="AD6" s="1883"/>
      <c r="AE6" s="1890"/>
    </row>
    <row r="7" s="799" customFormat="1" ht="30" customHeight="1" spans="1:31">
      <c r="B7" s="132" t="s">
        <v>1490</v>
      </c>
      <c r="C7" s="1896" t="s">
        <v>3341</v>
      </c>
      <c r="D7" s="17" t="s">
        <v>1492</v>
      </c>
      <c r="E7" s="165" t="s">
        <v>1404</v>
      </c>
      <c r="F7" s="18" t="s">
        <v>1494</v>
      </c>
      <c r="G7" s="1713" t="s">
        <v>3342</v>
      </c>
      <c r="H7" s="18" t="s">
        <v>1933</v>
      </c>
      <c r="I7" s="1713" t="s">
        <v>1934</v>
      </c>
      <c r="J7" s="18" t="s">
        <v>1910</v>
      </c>
      <c r="K7" s="18" t="s">
        <v>1497</v>
      </c>
      <c r="L7" s="18" t="s">
        <v>3343</v>
      </c>
      <c r="M7" s="18" t="s">
        <v>1497</v>
      </c>
      <c r="N7" s="1897" t="s">
        <v>6</v>
      </c>
      <c r="O7" s="18" t="s">
        <v>6</v>
      </c>
      <c r="P7" s="18" t="s">
        <v>6</v>
      </c>
      <c r="Q7" s="18" t="s">
        <v>7</v>
      </c>
      <c r="R7" s="18" t="s">
        <v>8</v>
      </c>
      <c r="S7" s="134" t="s">
        <v>9</v>
      </c>
      <c r="T7" s="18"/>
      <c r="U7" s="18" t="s">
        <v>1499</v>
      </c>
      <c r="V7" s="141" t="s">
        <v>10</v>
      </c>
      <c r="W7" s="1882"/>
      <c r="X7" s="776"/>
      <c r="Y7" s="1891"/>
      <c r="Z7" s="1890"/>
      <c r="AA7" s="1891"/>
      <c r="AB7" s="1882"/>
      <c r="AC7" s="776"/>
      <c r="AD7" s="1891"/>
      <c r="AE7" s="1890"/>
    </row>
    <row r="8" s="42" customFormat="1" ht="21" customHeight="1" spans="1:31">
      <c r="A8" s="42">
        <v>2</v>
      </c>
      <c r="B8" s="1898" t="s">
        <v>3344</v>
      </c>
      <c r="C8" s="1899" t="s">
        <v>3345</v>
      </c>
      <c r="D8" s="1662">
        <v>20250901</v>
      </c>
      <c r="E8" s="1870">
        <v>6.75</v>
      </c>
      <c r="F8" s="959" t="s">
        <v>3346</v>
      </c>
      <c r="G8" s="961" t="s">
        <v>2459</v>
      </c>
      <c r="H8" s="1794" t="s">
        <v>3347</v>
      </c>
      <c r="I8" s="961" t="s">
        <v>3348</v>
      </c>
      <c r="J8" s="961" t="s">
        <v>3349</v>
      </c>
      <c r="K8" s="965" t="s">
        <v>3350</v>
      </c>
      <c r="L8" s="1900" t="s">
        <v>712</v>
      </c>
      <c r="M8" s="965" t="s">
        <v>3350</v>
      </c>
      <c r="N8" s="1839">
        <f>25.7/E8/1.13</f>
        <v>3.36938708620125</v>
      </c>
      <c r="O8" s="964">
        <v>5.57</v>
      </c>
      <c r="P8" s="964">
        <v>6.127</v>
      </c>
      <c r="Q8" s="1686">
        <v>15.2</v>
      </c>
      <c r="R8" s="964">
        <f>21.1/E8/1.13</f>
        <v>2.76630612913799</v>
      </c>
      <c r="S8" s="965">
        <f>SUBTOTAL(109,P8:R8)</f>
        <v>24.093306129138</v>
      </c>
      <c r="T8" s="964">
        <v>13.05</v>
      </c>
      <c r="U8" s="1743" t="s">
        <v>1526</v>
      </c>
      <c r="V8" s="1591" t="s">
        <v>3351</v>
      </c>
    </row>
    <row r="9" s="42" customFormat="1" ht="21" customHeight="1" spans="1:31">
      <c r="A9" s="42">
        <v>2</v>
      </c>
      <c r="B9" s="1898" t="s">
        <v>3352</v>
      </c>
      <c r="C9" s="1899" t="s">
        <v>1541</v>
      </c>
      <c r="D9" s="1662">
        <v>20250901</v>
      </c>
      <c r="E9" s="1870">
        <v>6.75</v>
      </c>
      <c r="F9" s="959" t="s">
        <v>3353</v>
      </c>
      <c r="G9" s="1588" t="s">
        <v>1551</v>
      </c>
      <c r="H9" s="1794" t="s">
        <v>3354</v>
      </c>
      <c r="I9" s="961" t="s">
        <v>3348</v>
      </c>
      <c r="J9" s="961" t="s">
        <v>1913</v>
      </c>
      <c r="K9" s="965" t="s">
        <v>3350</v>
      </c>
      <c r="L9" s="965" t="s">
        <v>712</v>
      </c>
      <c r="M9" s="965" t="s">
        <v>3350</v>
      </c>
      <c r="N9" s="1742">
        <f>26.63/E9/1.13</f>
        <v>3.49131432317273</v>
      </c>
      <c r="O9" s="964">
        <v>4.15877147319104</v>
      </c>
      <c r="P9" s="964">
        <v>4.57464862051014</v>
      </c>
      <c r="Q9" s="1686">
        <v>17.92</v>
      </c>
      <c r="R9" s="964">
        <f>20.4/E9/1.13</f>
        <v>2.67453294001967</v>
      </c>
      <c r="S9" s="965">
        <f t="shared" ref="S9:S36" si="0">SUBTOTAL(109,P9:R9)</f>
        <v>25.1691815605298</v>
      </c>
      <c r="T9" s="964">
        <v>14.53</v>
      </c>
      <c r="U9" s="1796" t="s">
        <v>3355</v>
      </c>
      <c r="V9" s="1591" t="s">
        <v>3356</v>
      </c>
    </row>
    <row r="10" s="42" customFormat="1" ht="21" customHeight="1" spans="1:31">
      <c r="A10" s="42">
        <v>2</v>
      </c>
      <c r="B10" s="1898" t="s">
        <v>3357</v>
      </c>
      <c r="C10" s="1899" t="s">
        <v>3358</v>
      </c>
      <c r="D10" s="1662">
        <v>20250902</v>
      </c>
      <c r="E10" s="1870">
        <v>6.75</v>
      </c>
      <c r="F10" s="959" t="s">
        <v>3359</v>
      </c>
      <c r="G10" s="1901" t="s">
        <v>2081</v>
      </c>
      <c r="H10" s="1591" t="s">
        <v>3360</v>
      </c>
      <c r="I10" s="961" t="s">
        <v>3348</v>
      </c>
      <c r="J10" s="961" t="s">
        <v>1913</v>
      </c>
      <c r="K10" s="965" t="s">
        <v>1635</v>
      </c>
      <c r="L10" s="965" t="s">
        <v>712</v>
      </c>
      <c r="M10" s="965" t="s">
        <v>1507</v>
      </c>
      <c r="N10" s="1742">
        <f>22.47/E10/1.13</f>
        <v>2.94591937069813</v>
      </c>
      <c r="O10" s="964">
        <f>42.48/6.78/1.13</f>
        <v>5.54467851828647</v>
      </c>
      <c r="P10" s="964">
        <v>6.09914637011512</v>
      </c>
      <c r="Q10" s="1686">
        <v>15.6</v>
      </c>
      <c r="R10" s="964">
        <f>23.45/E10/1.13</f>
        <v>3.07440183546378</v>
      </c>
      <c r="S10" s="965">
        <f t="shared" si="0"/>
        <v>24.7735482055789</v>
      </c>
      <c r="T10" s="964">
        <v>13</v>
      </c>
      <c r="U10" s="1743" t="s">
        <v>1526</v>
      </c>
      <c r="V10" s="1591" t="s">
        <v>3361</v>
      </c>
    </row>
    <row r="11" s="42" customFormat="1" ht="21" customHeight="1" spans="1:31">
      <c r="A11" s="42">
        <v>2</v>
      </c>
      <c r="B11" s="1898" t="s">
        <v>3362</v>
      </c>
      <c r="C11" s="1899" t="s">
        <v>3363</v>
      </c>
      <c r="D11" s="1662">
        <v>20250904</v>
      </c>
      <c r="E11" s="1870">
        <v>6.75</v>
      </c>
      <c r="F11" s="959" t="s">
        <v>3364</v>
      </c>
      <c r="G11" s="961" t="s">
        <v>2427</v>
      </c>
      <c r="H11" s="1794" t="s">
        <v>3347</v>
      </c>
      <c r="I11" s="961" t="s">
        <v>3348</v>
      </c>
      <c r="J11" s="961" t="s">
        <v>1913</v>
      </c>
      <c r="K11" s="965" t="s">
        <v>3350</v>
      </c>
      <c r="L11" s="965" t="s">
        <v>712</v>
      </c>
      <c r="M11" s="965" t="s">
        <v>1507</v>
      </c>
      <c r="N11" s="1839">
        <f>17/E11/1.13</f>
        <v>2.22877745001639</v>
      </c>
      <c r="O11" s="964">
        <v>2.65486725663716</v>
      </c>
      <c r="P11" s="964">
        <v>2.92035398230088</v>
      </c>
      <c r="Q11" s="1686">
        <v>14.8</v>
      </c>
      <c r="R11" s="964">
        <f>19.77/E11/1.13</f>
        <v>2.59193706981318</v>
      </c>
      <c r="S11" s="965">
        <f t="shared" si="0"/>
        <v>20.3122910521141</v>
      </c>
      <c r="T11" s="964">
        <v>12.3</v>
      </c>
      <c r="U11" s="1743" t="s">
        <v>1526</v>
      </c>
      <c r="V11" s="1591" t="s">
        <v>3365</v>
      </c>
    </row>
    <row r="12" s="42" customFormat="1" ht="21" customHeight="1" spans="1:31">
      <c r="A12" s="42">
        <v>2</v>
      </c>
      <c r="B12" s="1898" t="s">
        <v>3366</v>
      </c>
      <c r="C12" s="1899" t="s">
        <v>3367</v>
      </c>
      <c r="D12" s="1662">
        <v>20250909</v>
      </c>
      <c r="E12" s="1870">
        <v>6.75</v>
      </c>
      <c r="F12" s="959" t="s">
        <v>3368</v>
      </c>
      <c r="G12" s="1902" t="s">
        <v>2306</v>
      </c>
      <c r="H12" s="1794" t="s">
        <v>3369</v>
      </c>
      <c r="I12" s="961" t="s">
        <v>2043</v>
      </c>
      <c r="J12" s="961" t="s">
        <v>1913</v>
      </c>
      <c r="K12" s="965" t="s">
        <v>3137</v>
      </c>
      <c r="L12" s="965" t="s">
        <v>712</v>
      </c>
      <c r="M12" s="965" t="s">
        <v>1507</v>
      </c>
      <c r="N12" s="1839">
        <f>27.55/E12/1.13</f>
        <v>3.61193051458538</v>
      </c>
      <c r="O12" s="964">
        <v>4.30244664237377</v>
      </c>
      <c r="P12" s="964">
        <f>51.02/E12/1.13*1.05</f>
        <v>7.02340216322517</v>
      </c>
      <c r="Q12" s="1686">
        <v>17.1</v>
      </c>
      <c r="R12" s="964">
        <f>20.1/E12/1.13</f>
        <v>2.63520157325467</v>
      </c>
      <c r="S12" s="965">
        <f t="shared" si="0"/>
        <v>26.7586037364798</v>
      </c>
      <c r="T12" s="964">
        <v>13.4</v>
      </c>
      <c r="U12" s="1798" t="s">
        <v>1526</v>
      </c>
      <c r="V12" s="1591" t="s">
        <v>3361</v>
      </c>
    </row>
    <row r="13" s="42" customFormat="1" ht="21" customHeight="1" spans="1:31">
      <c r="A13" s="42">
        <v>2</v>
      </c>
      <c r="B13" s="1898" t="s">
        <v>3370</v>
      </c>
      <c r="C13" s="1899" t="s">
        <v>3371</v>
      </c>
      <c r="D13" s="1662">
        <v>20250902</v>
      </c>
      <c r="E13" s="1870">
        <v>6.75</v>
      </c>
      <c r="F13" s="959" t="s">
        <v>3372</v>
      </c>
      <c r="G13" s="1902" t="s">
        <v>2431</v>
      </c>
      <c r="H13" s="1794" t="s">
        <v>3373</v>
      </c>
      <c r="I13" s="961" t="s">
        <v>3348</v>
      </c>
      <c r="J13" s="961" t="s">
        <v>1913</v>
      </c>
      <c r="K13" s="965" t="s">
        <v>3350</v>
      </c>
      <c r="L13" s="965" t="s">
        <v>712</v>
      </c>
      <c r="M13" s="965" t="s">
        <v>1507</v>
      </c>
      <c r="N13" s="1839">
        <f>33.47/E13/1.13*1.2</f>
        <v>5.26568338249754</v>
      </c>
      <c r="O13" s="964">
        <v>6.27235814679854</v>
      </c>
      <c r="P13" s="964">
        <f>38.12/6.72/1.13*1.05</f>
        <v>5.27101769911504</v>
      </c>
      <c r="Q13" s="1686">
        <v>18.4</v>
      </c>
      <c r="R13" s="964">
        <f>21.72/E13/1.13</f>
        <v>2.84759095378564</v>
      </c>
      <c r="S13" s="965">
        <f t="shared" si="0"/>
        <v>26.5186086529007</v>
      </c>
      <c r="T13" s="964">
        <v>15.5</v>
      </c>
      <c r="U13" s="1796" t="s">
        <v>3374</v>
      </c>
      <c r="V13" s="1591" t="s">
        <v>1744</v>
      </c>
    </row>
    <row r="14" s="42" customFormat="1" ht="21" customHeight="1" spans="1:31">
      <c r="B14" s="1898" t="s">
        <v>3375</v>
      </c>
      <c r="C14" s="1899" t="s">
        <v>3345</v>
      </c>
      <c r="D14" s="1662">
        <v>20250909</v>
      </c>
      <c r="E14" s="1870">
        <v>6.75</v>
      </c>
      <c r="F14" s="959" t="s">
        <v>3376</v>
      </c>
      <c r="G14" s="1902" t="s">
        <v>1671</v>
      </c>
      <c r="H14" s="1794" t="s">
        <v>3377</v>
      </c>
      <c r="I14" s="961" t="s">
        <v>3348</v>
      </c>
      <c r="J14" s="961" t="s">
        <v>1913</v>
      </c>
      <c r="K14" s="965" t="s">
        <v>3350</v>
      </c>
      <c r="L14" s="965" t="s">
        <v>712</v>
      </c>
      <c r="M14" s="965" t="s">
        <v>1507</v>
      </c>
      <c r="N14" s="1839">
        <f>74.66/E14/1.13</f>
        <v>9.78826614224844</v>
      </c>
      <c r="O14" s="964">
        <v>11.6595523165018</v>
      </c>
      <c r="P14" s="964">
        <v>12.825507548152</v>
      </c>
      <c r="Q14" s="1686">
        <v>16</v>
      </c>
      <c r="R14" s="964">
        <f>24.43/E14/1.13</f>
        <v>3.20288430022943</v>
      </c>
      <c r="S14" s="965">
        <f t="shared" si="0"/>
        <v>32.0283918483814</v>
      </c>
      <c r="T14" s="964">
        <v>11.9</v>
      </c>
      <c r="U14" s="1796" t="s">
        <v>3378</v>
      </c>
      <c r="V14" s="1591" t="s">
        <v>3365</v>
      </c>
    </row>
    <row r="15" s="42" customFormat="1" ht="21" customHeight="1" spans="1:31">
      <c r="A15" s="42">
        <v>2</v>
      </c>
      <c r="B15" s="1898" t="s">
        <v>3379</v>
      </c>
      <c r="C15" s="1899" t="s">
        <v>3380</v>
      </c>
      <c r="D15" s="1662">
        <v>20250910</v>
      </c>
      <c r="E15" s="1870">
        <v>6.75</v>
      </c>
      <c r="F15" s="1590" t="s">
        <v>3381</v>
      </c>
      <c r="G15" s="961" t="s">
        <v>1571</v>
      </c>
      <c r="H15" s="959" t="s">
        <v>3382</v>
      </c>
      <c r="I15" s="961" t="s">
        <v>3383</v>
      </c>
      <c r="J15" s="961" t="s">
        <v>3349</v>
      </c>
      <c r="K15" s="965" t="s">
        <v>3350</v>
      </c>
      <c r="L15" s="965" t="s">
        <v>712</v>
      </c>
      <c r="M15" s="965" t="s">
        <v>1507</v>
      </c>
      <c r="N15" s="1742">
        <f>23.1/E15/1.13</f>
        <v>3.02851524090462</v>
      </c>
      <c r="O15" s="964">
        <v>3.60749609578345</v>
      </c>
      <c r="P15" s="964">
        <v>3.96824570536179</v>
      </c>
      <c r="Q15" s="1686">
        <v>16.6</v>
      </c>
      <c r="R15" s="964">
        <v>2.66085069026004</v>
      </c>
      <c r="S15" s="965">
        <f t="shared" si="0"/>
        <v>23.2290963956218</v>
      </c>
      <c r="T15" s="964">
        <v>13.9</v>
      </c>
      <c r="U15" s="1591" t="s">
        <v>3384</v>
      </c>
      <c r="V15" s="1591" t="s">
        <v>3385</v>
      </c>
    </row>
    <row r="16" s="42" customFormat="1" ht="21" customHeight="1" spans="1:31">
      <c r="A16" s="42">
        <v>2</v>
      </c>
      <c r="B16" s="1898" t="s">
        <v>3386</v>
      </c>
      <c r="C16" s="1899" t="s">
        <v>3387</v>
      </c>
      <c r="D16" s="1662">
        <v>20250912</v>
      </c>
      <c r="E16" s="1870">
        <v>6.75</v>
      </c>
      <c r="F16" s="959" t="s">
        <v>3388</v>
      </c>
      <c r="G16" s="961" t="s">
        <v>1571</v>
      </c>
      <c r="H16" s="1807" t="s">
        <v>3389</v>
      </c>
      <c r="I16" s="961" t="s">
        <v>2043</v>
      </c>
      <c r="J16" s="961" t="s">
        <v>1913</v>
      </c>
      <c r="K16" s="965" t="s">
        <v>3350</v>
      </c>
      <c r="L16" s="965" t="s">
        <v>712</v>
      </c>
      <c r="M16" s="965" t="s">
        <v>1507</v>
      </c>
      <c r="N16" s="1742">
        <f>20.2954/E16/1.13</f>
        <v>2.66081940347427</v>
      </c>
      <c r="O16" s="964">
        <f>28.6/6.78/1.13</f>
        <v>3.73299919074843</v>
      </c>
      <c r="P16" s="964">
        <v>4.10629910982327</v>
      </c>
      <c r="Q16" s="1686">
        <v>14.8</v>
      </c>
      <c r="R16" s="964">
        <f>18.6/E16/1.13</f>
        <v>2.4385447394297</v>
      </c>
      <c r="S16" s="965">
        <f t="shared" si="0"/>
        <v>21.344843849253</v>
      </c>
      <c r="T16" s="964">
        <v>11.6</v>
      </c>
      <c r="U16" s="1903" t="s">
        <v>2854</v>
      </c>
      <c r="V16" s="1591" t="s">
        <v>3365</v>
      </c>
    </row>
    <row r="17" s="42" customFormat="1" ht="21" customHeight="1" spans="1:23">
      <c r="A17" s="42">
        <v>2</v>
      </c>
      <c r="B17" s="1898" t="s">
        <v>3390</v>
      </c>
      <c r="C17" s="1899" t="s">
        <v>3391</v>
      </c>
      <c r="D17" s="1662">
        <v>20250806</v>
      </c>
      <c r="E17" s="1870">
        <v>6.75</v>
      </c>
      <c r="F17" s="1590" t="s">
        <v>3392</v>
      </c>
      <c r="G17" s="961" t="s">
        <v>1629</v>
      </c>
      <c r="H17" s="959" t="s">
        <v>3382</v>
      </c>
      <c r="I17" s="961" t="s">
        <v>2043</v>
      </c>
      <c r="J17" s="961" t="s">
        <v>1913</v>
      </c>
      <c r="K17" s="961" t="s">
        <v>3393</v>
      </c>
      <c r="L17" s="965" t="s">
        <v>712</v>
      </c>
      <c r="M17" s="965" t="s">
        <v>1507</v>
      </c>
      <c r="N17" s="1742">
        <f>21.57/E17/1.13</f>
        <v>2.82792527040315</v>
      </c>
      <c r="O17" s="964">
        <v>4.46</v>
      </c>
      <c r="P17" s="964">
        <v>4.906</v>
      </c>
      <c r="Q17" s="1686">
        <v>13</v>
      </c>
      <c r="R17" s="964">
        <f>18.52/E17/1.13</f>
        <v>2.42805637495903</v>
      </c>
      <c r="S17" s="965">
        <f t="shared" si="0"/>
        <v>20.334056374959</v>
      </c>
      <c r="T17" s="964">
        <v>10.43</v>
      </c>
      <c r="U17" s="1591" t="s">
        <v>1526</v>
      </c>
      <c r="V17" s="1591" t="s">
        <v>3394</v>
      </c>
    </row>
    <row r="18" s="42" customFormat="1" ht="21" customHeight="1" spans="1:23">
      <c r="A18" s="42">
        <v>2</v>
      </c>
      <c r="B18" s="1898" t="s">
        <v>3395</v>
      </c>
      <c r="C18" s="1899" t="s">
        <v>3391</v>
      </c>
      <c r="D18" s="1662">
        <v>20250806</v>
      </c>
      <c r="E18" s="1870">
        <v>6.75</v>
      </c>
      <c r="F18" s="1590" t="s">
        <v>3396</v>
      </c>
      <c r="G18" s="961" t="s">
        <v>1604</v>
      </c>
      <c r="H18" s="959" t="s">
        <v>3382</v>
      </c>
      <c r="I18" s="961" t="s">
        <v>3348</v>
      </c>
      <c r="J18" s="961" t="s">
        <v>1913</v>
      </c>
      <c r="K18" s="961" t="s">
        <v>1637</v>
      </c>
      <c r="L18" s="965" t="s">
        <v>712</v>
      </c>
      <c r="M18" s="965" t="s">
        <v>1507</v>
      </c>
      <c r="N18" s="1742">
        <f>21.57/E18/1.13</f>
        <v>2.82792527040315</v>
      </c>
      <c r="O18" s="964">
        <v>4.46</v>
      </c>
      <c r="P18" s="964">
        <v>4.906</v>
      </c>
      <c r="Q18" s="1686">
        <v>13.6</v>
      </c>
      <c r="R18" s="964">
        <f>18.52/E18/1.13</f>
        <v>2.42805637495903</v>
      </c>
      <c r="S18" s="965">
        <f t="shared" si="0"/>
        <v>20.934056374959</v>
      </c>
      <c r="T18" s="964">
        <v>11.1</v>
      </c>
      <c r="U18" s="1591" t="s">
        <v>1526</v>
      </c>
      <c r="V18" s="1591" t="s">
        <v>3394</v>
      </c>
    </row>
    <row r="19" s="42" customFormat="1" ht="21" customHeight="1" spans="1:23">
      <c r="A19" s="42">
        <v>2</v>
      </c>
      <c r="B19" s="1904" t="s">
        <v>3397</v>
      </c>
      <c r="C19" s="1899" t="s">
        <v>3398</v>
      </c>
      <c r="D19" s="1662">
        <v>20250626</v>
      </c>
      <c r="E19" s="1870">
        <v>6.75</v>
      </c>
      <c r="F19" s="1590" t="s">
        <v>3399</v>
      </c>
      <c r="G19" s="961" t="s">
        <v>1617</v>
      </c>
      <c r="H19" s="959" t="s">
        <v>3400</v>
      </c>
      <c r="I19" s="961" t="s">
        <v>2043</v>
      </c>
      <c r="J19" s="961" t="s">
        <v>1913</v>
      </c>
      <c r="K19" s="965" t="s">
        <v>3350</v>
      </c>
      <c r="L19" s="965" t="s">
        <v>712</v>
      </c>
      <c r="M19" s="965" t="s">
        <v>1507</v>
      </c>
      <c r="N19" s="1742">
        <f>21.65/E19/1.13</f>
        <v>2.83841363487381</v>
      </c>
      <c r="O19" s="964">
        <v>3.38105153565851</v>
      </c>
      <c r="P19" s="964">
        <v>3.71915668922436</v>
      </c>
      <c r="Q19" s="1686">
        <v>14.4</v>
      </c>
      <c r="R19" s="964">
        <f>18.5/E19</f>
        <v>2.74074074074074</v>
      </c>
      <c r="S19" s="965">
        <f t="shared" si="0"/>
        <v>20.8598974299651</v>
      </c>
      <c r="T19" s="964">
        <v>12.3</v>
      </c>
      <c r="U19" s="1591" t="s">
        <v>1526</v>
      </c>
      <c r="V19" s="1591" t="s">
        <v>3365</v>
      </c>
    </row>
    <row r="20" s="42" customFormat="1" ht="21" customHeight="1" spans="1:23">
      <c r="A20" s="42">
        <v>2</v>
      </c>
      <c r="B20" s="1904" t="s">
        <v>3401</v>
      </c>
      <c r="C20" s="1899" t="s">
        <v>3345</v>
      </c>
      <c r="D20" s="1662">
        <v>20250916</v>
      </c>
      <c r="E20" s="1870">
        <v>6.75</v>
      </c>
      <c r="F20" s="1590" t="s">
        <v>3402</v>
      </c>
      <c r="G20" s="961" t="s">
        <v>1565</v>
      </c>
      <c r="H20" s="959" t="s">
        <v>3403</v>
      </c>
      <c r="I20" s="961" t="s">
        <v>3348</v>
      </c>
      <c r="J20" s="961" t="s">
        <v>1913</v>
      </c>
      <c r="K20" s="965" t="s">
        <v>3350</v>
      </c>
      <c r="L20" s="965" t="s">
        <v>712</v>
      </c>
      <c r="M20" s="965" t="s">
        <v>1507</v>
      </c>
      <c r="N20" s="1742">
        <f>28.42/E20/1.13</f>
        <v>3.72599147820387</v>
      </c>
      <c r="O20" s="964">
        <v>4.43831337844872</v>
      </c>
      <c r="P20" s="964">
        <v>4.88214471629359</v>
      </c>
      <c r="Q20" s="1686">
        <v>14.1</v>
      </c>
      <c r="R20" s="964">
        <f>22/E20/1.13</f>
        <v>2.88430022943297</v>
      </c>
      <c r="S20" s="965">
        <f t="shared" si="0"/>
        <v>21.8664449457266</v>
      </c>
      <c r="T20" s="964">
        <v>12.3</v>
      </c>
      <c r="U20" s="1591" t="s">
        <v>1526</v>
      </c>
      <c r="V20" s="1591" t="s">
        <v>1744</v>
      </c>
    </row>
    <row r="21" s="42" customFormat="1" ht="21" customHeight="1" spans="1:23">
      <c r="A21" s="42">
        <v>2</v>
      </c>
      <c r="B21" s="1904" t="s">
        <v>3401</v>
      </c>
      <c r="C21" s="1899" t="s">
        <v>3345</v>
      </c>
      <c r="D21" s="1662">
        <v>20250916</v>
      </c>
      <c r="E21" s="1870">
        <v>6.75</v>
      </c>
      <c r="F21" s="1590" t="s">
        <v>3404</v>
      </c>
      <c r="G21" s="961" t="s">
        <v>1998</v>
      </c>
      <c r="H21" s="959" t="s">
        <v>3403</v>
      </c>
      <c r="I21" s="961" t="s">
        <v>2043</v>
      </c>
      <c r="J21" s="961" t="s">
        <v>1913</v>
      </c>
      <c r="K21" s="965" t="s">
        <v>3350</v>
      </c>
      <c r="L21" s="965" t="s">
        <v>712</v>
      </c>
      <c r="M21" s="965" t="s">
        <v>1507</v>
      </c>
      <c r="N21" s="1742">
        <f>28.42/E21/1.13</f>
        <v>3.72599147820387</v>
      </c>
      <c r="O21" s="964">
        <v>4.43831337844872</v>
      </c>
      <c r="P21" s="964">
        <v>4.88214471629359</v>
      </c>
      <c r="Q21" s="1686">
        <v>13.9</v>
      </c>
      <c r="R21" s="964">
        <f>22/E21/1.13</f>
        <v>2.88430022943297</v>
      </c>
      <c r="S21" s="965">
        <f t="shared" si="0"/>
        <v>21.6664449457266</v>
      </c>
      <c r="T21" s="964">
        <v>11.1</v>
      </c>
      <c r="U21" s="1591" t="s">
        <v>1526</v>
      </c>
      <c r="V21" s="1591" t="s">
        <v>1744</v>
      </c>
    </row>
    <row r="22" s="42" customFormat="1" ht="21" customHeight="1" spans="1:23">
      <c r="A22" s="42">
        <v>2</v>
      </c>
      <c r="B22" s="1660" t="s">
        <v>3405</v>
      </c>
      <c r="C22" s="1741" t="s">
        <v>3406</v>
      </c>
      <c r="D22" s="1662">
        <v>20250915</v>
      </c>
      <c r="E22" s="1870">
        <v>6.75</v>
      </c>
      <c r="F22" s="1590" t="s">
        <v>3407</v>
      </c>
      <c r="G22" s="961" t="s">
        <v>1645</v>
      </c>
      <c r="H22" s="1794" t="s">
        <v>3377</v>
      </c>
      <c r="I22" s="961" t="s">
        <v>3348</v>
      </c>
      <c r="J22" s="961" t="s">
        <v>3408</v>
      </c>
      <c r="K22" s="961" t="s">
        <v>1742</v>
      </c>
      <c r="L22" s="965" t="s">
        <v>712</v>
      </c>
      <c r="M22" s="965" t="s">
        <v>1507</v>
      </c>
      <c r="N22" s="1742">
        <f>16.56/E22/1.13</f>
        <v>2.17109144542773</v>
      </c>
      <c r="O22" s="964">
        <v>2.58615304528891</v>
      </c>
      <c r="P22" s="964">
        <v>2.8447683498178</v>
      </c>
      <c r="Q22" s="1686">
        <v>16.7</v>
      </c>
      <c r="R22" s="964">
        <f>19.63/E22</f>
        <v>2.90814814814815</v>
      </c>
      <c r="S22" s="965">
        <f t="shared" si="0"/>
        <v>22.452916497966</v>
      </c>
      <c r="T22" s="964">
        <v>14.8</v>
      </c>
      <c r="U22" s="1591" t="s">
        <v>3409</v>
      </c>
      <c r="V22" s="1591" t="s">
        <v>3365</v>
      </c>
    </row>
    <row r="23" s="42" customFormat="1" ht="21" customHeight="1" spans="1:23">
      <c r="A23" s="42">
        <v>2</v>
      </c>
      <c r="B23" s="1660" t="s">
        <v>3410</v>
      </c>
      <c r="C23" s="1741" t="s">
        <v>3411</v>
      </c>
      <c r="D23" s="1662">
        <v>20250923</v>
      </c>
      <c r="E23" s="1870">
        <v>6.75</v>
      </c>
      <c r="F23" s="1590" t="s">
        <v>3412</v>
      </c>
      <c r="G23" s="961" t="s">
        <v>1604</v>
      </c>
      <c r="H23" s="1794" t="s">
        <v>3360</v>
      </c>
      <c r="I23" s="961" t="s">
        <v>3348</v>
      </c>
      <c r="J23" s="961" t="s">
        <v>3413</v>
      </c>
      <c r="K23" s="961" t="s">
        <v>1720</v>
      </c>
      <c r="L23" s="965" t="s">
        <v>712</v>
      </c>
      <c r="M23" s="965" t="s">
        <v>1507</v>
      </c>
      <c r="N23" s="1742">
        <f>31.44/E23/1.13</f>
        <v>4.12192723697148</v>
      </c>
      <c r="O23" s="964">
        <v>4.90994273815721</v>
      </c>
      <c r="P23" s="964">
        <f>43.7/6.73/1.13*1.05</f>
        <v>6.03360990940052</v>
      </c>
      <c r="Q23" s="1686">
        <v>13.9</v>
      </c>
      <c r="R23" s="964">
        <f>20.51/E23/1.13</f>
        <v>2.68895444116683</v>
      </c>
      <c r="S23" s="965">
        <f t="shared" si="0"/>
        <v>22.6225643505674</v>
      </c>
      <c r="T23" s="964">
        <v>11.9</v>
      </c>
      <c r="U23" s="1591" t="s">
        <v>3414</v>
      </c>
      <c r="V23" s="1840" t="s">
        <v>3415</v>
      </c>
    </row>
    <row r="24" s="42" customFormat="1" ht="21" customHeight="1" spans="1:23">
      <c r="A24" s="42">
        <v>2</v>
      </c>
      <c r="B24" s="1660" t="s">
        <v>3416</v>
      </c>
      <c r="C24" s="1741" t="s">
        <v>3417</v>
      </c>
      <c r="D24" s="1662">
        <v>20251009</v>
      </c>
      <c r="E24" s="1870">
        <v>6.75</v>
      </c>
      <c r="F24" s="1838" t="s">
        <v>3418</v>
      </c>
      <c r="G24" s="961" t="s">
        <v>1671</v>
      </c>
      <c r="H24" s="1794" t="s">
        <v>3354</v>
      </c>
      <c r="I24" s="961" t="s">
        <v>2043</v>
      </c>
      <c r="J24" s="961" t="s">
        <v>3413</v>
      </c>
      <c r="K24" s="961" t="s">
        <v>1635</v>
      </c>
      <c r="L24" s="965" t="s">
        <v>712</v>
      </c>
      <c r="M24" s="965" t="s">
        <v>1507</v>
      </c>
      <c r="N24" s="1839">
        <f>42.7/E24/1.13</f>
        <v>5.59816453621763</v>
      </c>
      <c r="O24" s="964">
        <v>6.66840187402394</v>
      </c>
      <c r="P24" s="964">
        <v>7.33524206142633</v>
      </c>
      <c r="Q24" s="1686">
        <v>17.8</v>
      </c>
      <c r="R24" s="964">
        <f>23.83/E24/1.13</f>
        <v>3.12422156669944</v>
      </c>
      <c r="S24" s="965">
        <f t="shared" si="0"/>
        <v>28.2594636281258</v>
      </c>
      <c r="T24" s="964">
        <v>14.83</v>
      </c>
      <c r="U24" s="1905" t="s">
        <v>3419</v>
      </c>
      <c r="V24" s="1840" t="s">
        <v>3420</v>
      </c>
    </row>
    <row r="25" s="42" customFormat="1" ht="19" customHeight="1" spans="1:23">
      <c r="A25" s="42">
        <v>2</v>
      </c>
      <c r="B25" s="1660" t="s">
        <v>3421</v>
      </c>
      <c r="C25" s="1906" t="s">
        <v>3422</v>
      </c>
      <c r="D25" s="1907">
        <v>46056</v>
      </c>
      <c r="E25" s="1870">
        <v>6.75</v>
      </c>
      <c r="F25" s="1908" t="s">
        <v>3423</v>
      </c>
      <c r="G25" s="1686" t="s">
        <v>1604</v>
      </c>
      <c r="H25" s="1909" t="s">
        <v>3424</v>
      </c>
      <c r="I25" s="1686" t="s">
        <v>2043</v>
      </c>
      <c r="J25" s="1686" t="s">
        <v>3425</v>
      </c>
      <c r="K25" s="1910" t="s">
        <v>1507</v>
      </c>
      <c r="L25" s="1911" t="s">
        <v>712</v>
      </c>
      <c r="M25" s="1435" t="s">
        <v>1507</v>
      </c>
      <c r="N25" s="1839">
        <f>18.22/E25/1.13</f>
        <v>2.38872500819403</v>
      </c>
      <c r="O25" s="964">
        <f>24.73/6.78/1.13*1.05</f>
        <v>3.38926305897095</v>
      </c>
      <c r="P25" s="964">
        <f>28.52/E25/1.13</f>
        <v>3.7391019337922</v>
      </c>
      <c r="Q25" s="1686">
        <v>16.1</v>
      </c>
      <c r="R25" s="1739">
        <f>26.66/E25/1.13</f>
        <v>3.49524745984923</v>
      </c>
      <c r="S25" s="965">
        <f t="shared" si="0"/>
        <v>23.3343493936414</v>
      </c>
      <c r="T25" s="1739">
        <v>14</v>
      </c>
      <c r="U25" s="1912" t="s">
        <v>3426</v>
      </c>
      <c r="V25" s="1840" t="s">
        <v>3427</v>
      </c>
    </row>
    <row r="26" s="42" customFormat="1" ht="21" customHeight="1" spans="1:23">
      <c r="A26" s="42">
        <v>2</v>
      </c>
      <c r="B26" s="1660" t="s">
        <v>3428</v>
      </c>
      <c r="C26" s="1741" t="s">
        <v>3429</v>
      </c>
      <c r="D26" s="1662">
        <v>20251020</v>
      </c>
      <c r="E26" s="1870">
        <v>6.75</v>
      </c>
      <c r="F26" s="1838" t="s">
        <v>3430</v>
      </c>
      <c r="G26" s="961" t="s">
        <v>1629</v>
      </c>
      <c r="H26" s="1794" t="s">
        <v>3431</v>
      </c>
      <c r="I26" s="961" t="s">
        <v>2043</v>
      </c>
      <c r="J26" s="961" t="s">
        <v>3432</v>
      </c>
      <c r="K26" s="961" t="s">
        <v>1742</v>
      </c>
      <c r="L26" s="965" t="s">
        <v>712</v>
      </c>
      <c r="M26" s="965" t="s">
        <v>1507</v>
      </c>
      <c r="N26" s="1839">
        <f>17.59/E26/1.13</f>
        <v>2.30612913798755</v>
      </c>
      <c r="O26" s="964">
        <v>2.7470067673087</v>
      </c>
      <c r="P26" s="964">
        <v>3.02170744403957</v>
      </c>
      <c r="Q26" s="1686">
        <v>18.2</v>
      </c>
      <c r="R26" s="964">
        <v>3.57494668714348</v>
      </c>
      <c r="S26" s="965">
        <f t="shared" si="0"/>
        <v>24.7966541311831</v>
      </c>
      <c r="T26" s="964">
        <v>15.6</v>
      </c>
      <c r="U26" s="1840" t="s">
        <v>3433</v>
      </c>
      <c r="V26" s="1840" t="s">
        <v>3434</v>
      </c>
    </row>
    <row r="27" s="42" customFormat="1" ht="21" customHeight="1" spans="1:23">
      <c r="A27" s="42">
        <v>2</v>
      </c>
      <c r="B27" s="1660" t="s">
        <v>3428</v>
      </c>
      <c r="C27" s="1741" t="s">
        <v>3429</v>
      </c>
      <c r="D27" s="1662">
        <v>20251020</v>
      </c>
      <c r="E27" s="1870">
        <v>6.75</v>
      </c>
      <c r="F27" s="1838" t="s">
        <v>3435</v>
      </c>
      <c r="G27" s="961" t="s">
        <v>1645</v>
      </c>
      <c r="H27" s="1794" t="s">
        <v>3431</v>
      </c>
      <c r="I27" s="961" t="s">
        <v>2043</v>
      </c>
      <c r="J27" s="961" t="s">
        <v>3436</v>
      </c>
      <c r="K27" s="961" t="s">
        <v>1742</v>
      </c>
      <c r="L27" s="965" t="s">
        <v>712</v>
      </c>
      <c r="M27" s="965" t="s">
        <v>1507</v>
      </c>
      <c r="N27" s="1839">
        <f>18.5/E27/1.13*1.15</f>
        <v>2.78924942641757</v>
      </c>
      <c r="O27" s="964">
        <v>3.32248828735034</v>
      </c>
      <c r="P27" s="964">
        <v>3.65473711608537</v>
      </c>
      <c r="Q27" s="1686">
        <v>16.9</v>
      </c>
      <c r="R27" s="964">
        <v>3.57494668714348</v>
      </c>
      <c r="S27" s="965">
        <f t="shared" si="0"/>
        <v>24.1296838032289</v>
      </c>
      <c r="T27" s="964">
        <v>14.3</v>
      </c>
      <c r="U27" s="1840" t="s">
        <v>3437</v>
      </c>
      <c r="V27" s="1840" t="s">
        <v>1744</v>
      </c>
    </row>
    <row r="28" s="805" customFormat="1" ht="21" customHeight="1" spans="1:23">
      <c r="A28" s="805">
        <v>2</v>
      </c>
      <c r="B28" s="1664" t="s">
        <v>3438</v>
      </c>
      <c r="C28" s="1913" t="s">
        <v>3439</v>
      </c>
      <c r="D28" s="1663">
        <v>20240116</v>
      </c>
      <c r="E28" s="1914">
        <v>6.75</v>
      </c>
      <c r="F28" s="1915" t="s">
        <v>3440</v>
      </c>
      <c r="G28" s="961" t="s">
        <v>1685</v>
      </c>
      <c r="H28" s="1794" t="s">
        <v>3441</v>
      </c>
      <c r="I28" s="961" t="s">
        <v>2043</v>
      </c>
      <c r="J28" s="961" t="s">
        <v>1913</v>
      </c>
      <c r="K28" s="961" t="s">
        <v>1742</v>
      </c>
      <c r="L28" s="1900" t="s">
        <v>712</v>
      </c>
      <c r="M28" s="965" t="s">
        <v>1507</v>
      </c>
      <c r="N28" s="1839">
        <f>33.72/E28/1.13</f>
        <v>4.42084562438545</v>
      </c>
      <c r="O28" s="964">
        <v>5.2660072878709</v>
      </c>
      <c r="P28" s="964">
        <v>5.79260801665799</v>
      </c>
      <c r="Q28" s="1686">
        <v>16.6</v>
      </c>
      <c r="R28" s="964">
        <f>22.08/E28/1.13</f>
        <v>2.89478859390364</v>
      </c>
      <c r="S28" s="965">
        <f t="shared" si="0"/>
        <v>25.2873966105616</v>
      </c>
      <c r="T28" s="964">
        <v>14.72</v>
      </c>
      <c r="U28" s="1846" t="s">
        <v>3442</v>
      </c>
      <c r="V28" s="1795" t="s">
        <v>3443</v>
      </c>
    </row>
    <row r="29" s="42" customFormat="1" ht="21" customHeight="1" spans="1:23">
      <c r="A29" s="42">
        <v>2</v>
      </c>
      <c r="B29" s="1660" t="s">
        <v>3444</v>
      </c>
      <c r="C29" s="1741" t="s">
        <v>3445</v>
      </c>
      <c r="D29" s="1662">
        <v>20250508</v>
      </c>
      <c r="E29" s="1870">
        <v>6.75</v>
      </c>
      <c r="F29" s="1838" t="s">
        <v>3446</v>
      </c>
      <c r="G29" s="961" t="s">
        <v>1581</v>
      </c>
      <c r="H29" s="1794" t="s">
        <v>3447</v>
      </c>
      <c r="I29" s="961" t="s">
        <v>3448</v>
      </c>
      <c r="J29" s="961" t="s">
        <v>3413</v>
      </c>
      <c r="K29" s="961" t="s">
        <v>1720</v>
      </c>
      <c r="L29" s="965" t="s">
        <v>712</v>
      </c>
      <c r="M29" s="965" t="s">
        <v>1507</v>
      </c>
      <c r="N29" s="1839">
        <f>21.71/E29/1.13</f>
        <v>2.84627990822681</v>
      </c>
      <c r="O29" s="964">
        <v>3.39042165538782</v>
      </c>
      <c r="P29" s="964">
        <v>3.7294638209266</v>
      </c>
      <c r="Q29" s="1686">
        <v>16.7</v>
      </c>
      <c r="R29" s="964">
        <f>24.73/E29/1.13</f>
        <v>3.24221566699443</v>
      </c>
      <c r="S29" s="965">
        <f t="shared" si="0"/>
        <v>23.671679487921</v>
      </c>
      <c r="T29" s="964">
        <v>13.9</v>
      </c>
      <c r="U29" s="1846" t="s">
        <v>3414</v>
      </c>
      <c r="V29" s="1840" t="s">
        <v>1744</v>
      </c>
    </row>
    <row r="30" s="42" customFormat="1" ht="21" customHeight="1" spans="1:23">
      <c r="A30" s="42">
        <v>2</v>
      </c>
      <c r="B30" s="1660" t="s">
        <v>3449</v>
      </c>
      <c r="C30" s="1741" t="s">
        <v>3450</v>
      </c>
      <c r="D30" s="1662">
        <v>20251113</v>
      </c>
      <c r="E30" s="1870">
        <v>6.75</v>
      </c>
      <c r="F30" s="1838" t="s">
        <v>3451</v>
      </c>
      <c r="G30" s="961" t="s">
        <v>1571</v>
      </c>
      <c r="H30" s="1794" t="s">
        <v>3424</v>
      </c>
      <c r="I30" s="961" t="s">
        <v>2043</v>
      </c>
      <c r="J30" s="961" t="s">
        <v>3425</v>
      </c>
      <c r="K30" s="961" t="s">
        <v>1784</v>
      </c>
      <c r="L30" s="965" t="s">
        <v>712</v>
      </c>
      <c r="M30" s="965" t="s">
        <v>1507</v>
      </c>
      <c r="N30" s="1839">
        <f>32.1/E30/1.13</f>
        <v>4.20845624385447</v>
      </c>
      <c r="O30" s="964">
        <v>5.01301405517959</v>
      </c>
      <c r="P30" s="964">
        <v>5.51431546069755</v>
      </c>
      <c r="Q30" s="1686">
        <v>19</v>
      </c>
      <c r="R30" s="964">
        <f>25.96/E30/1.13</f>
        <v>3.40347427073091</v>
      </c>
      <c r="S30" s="965">
        <f t="shared" si="0"/>
        <v>27.9177897314285</v>
      </c>
      <c r="T30" s="964">
        <v>16.5</v>
      </c>
      <c r="U30" s="1846" t="s">
        <v>3452</v>
      </c>
      <c r="V30" s="1840" t="s">
        <v>3453</v>
      </c>
    </row>
    <row r="31" s="42" customFormat="1" ht="21" customHeight="1" spans="1:23">
      <c r="B31" s="1660" t="s">
        <v>3454</v>
      </c>
      <c r="C31" s="1741" t="s">
        <v>3455</v>
      </c>
      <c r="D31" s="1662">
        <v>20250611</v>
      </c>
      <c r="E31" s="1870">
        <v>6.75</v>
      </c>
      <c r="F31" s="1838" t="s">
        <v>3456</v>
      </c>
      <c r="G31" s="961" t="s">
        <v>2427</v>
      </c>
      <c r="H31" s="1794" t="s">
        <v>3400</v>
      </c>
      <c r="I31" s="961" t="s">
        <v>3457</v>
      </c>
      <c r="J31" s="961" t="s">
        <v>1913</v>
      </c>
      <c r="K31" s="961" t="s">
        <v>3458</v>
      </c>
      <c r="L31" s="965" t="s">
        <v>712</v>
      </c>
      <c r="M31" s="965" t="s">
        <v>1507</v>
      </c>
      <c r="N31" s="1839">
        <f>22.67/E31/1.13</f>
        <v>2.9721402818748</v>
      </c>
      <c r="O31" s="964">
        <v>3.54034357105674</v>
      </c>
      <c r="P31" s="964">
        <v>3.89437792816241</v>
      </c>
      <c r="Q31" s="1686">
        <v>17.5</v>
      </c>
      <c r="R31" s="964">
        <f>20.61/E31/1.13</f>
        <v>2.70206489675516</v>
      </c>
      <c r="S31" s="965">
        <f t="shared" si="0"/>
        <v>24.0964428249176</v>
      </c>
      <c r="T31" s="964">
        <v>12.33</v>
      </c>
      <c r="U31" s="1846" t="s">
        <v>1526</v>
      </c>
      <c r="V31" s="1840" t="s">
        <v>3365</v>
      </c>
    </row>
    <row r="32" s="42" customFormat="1" ht="21" customHeight="1" spans="1:23">
      <c r="A32" s="42">
        <v>2</v>
      </c>
      <c r="B32" s="1660" t="s">
        <v>3459</v>
      </c>
      <c r="C32" s="1741" t="s">
        <v>3460</v>
      </c>
      <c r="D32" s="1662">
        <v>20251225</v>
      </c>
      <c r="E32" s="1870">
        <v>6.75</v>
      </c>
      <c r="F32" s="1838" t="s">
        <v>3461</v>
      </c>
      <c r="G32" s="961" t="s">
        <v>1998</v>
      </c>
      <c r="H32" s="1794" t="s">
        <v>3462</v>
      </c>
      <c r="I32" s="961" t="s">
        <v>2043</v>
      </c>
      <c r="J32" s="961" t="s">
        <v>3463</v>
      </c>
      <c r="K32" s="961" t="s">
        <v>1742</v>
      </c>
      <c r="L32" s="965" t="s">
        <v>712</v>
      </c>
      <c r="M32" s="965" t="s">
        <v>1507</v>
      </c>
      <c r="N32" s="1839">
        <f>25.5/E32/1.13</f>
        <v>3.34316617502458</v>
      </c>
      <c r="O32" s="964">
        <v>3.98230088495575</v>
      </c>
      <c r="P32" s="964">
        <v>4.38053097345133</v>
      </c>
      <c r="Q32" s="1686">
        <v>31</v>
      </c>
      <c r="R32" s="964">
        <f>19.47/E32/1.13</f>
        <v>2.55260570304818</v>
      </c>
      <c r="S32" s="965">
        <f t="shared" si="0"/>
        <v>37.9331366764995</v>
      </c>
      <c r="T32" s="964">
        <v>28</v>
      </c>
      <c r="U32" s="1846" t="s">
        <v>1526</v>
      </c>
      <c r="V32" s="1840" t="s">
        <v>3464</v>
      </c>
      <c r="W32" s="1916"/>
    </row>
    <row r="33" s="42" customFormat="1" ht="21" customHeight="1" spans="1:22">
      <c r="A33" s="42">
        <v>2</v>
      </c>
      <c r="B33" s="1660" t="s">
        <v>3465</v>
      </c>
      <c r="C33" s="1741" t="s">
        <v>3466</v>
      </c>
      <c r="D33" s="1662">
        <v>20250306</v>
      </c>
      <c r="E33" s="1870">
        <v>6.75</v>
      </c>
      <c r="F33" s="1838" t="s">
        <v>3467</v>
      </c>
      <c r="G33" s="961" t="s">
        <v>1669</v>
      </c>
      <c r="H33" s="1794" t="s">
        <v>3468</v>
      </c>
      <c r="I33" s="961" t="s">
        <v>2043</v>
      </c>
      <c r="J33" s="961" t="s">
        <v>1913</v>
      </c>
      <c r="K33" s="965" t="s">
        <v>3350</v>
      </c>
      <c r="L33" s="965" t="s">
        <v>712</v>
      </c>
      <c r="M33" s="965" t="s">
        <v>1507</v>
      </c>
      <c r="N33" s="1839">
        <f>18.628/E33/1.13</f>
        <v>2.44221566699443</v>
      </c>
      <c r="O33" s="964">
        <v>2.90910983862571</v>
      </c>
      <c r="P33" s="964">
        <v>3.20002082248828</v>
      </c>
      <c r="Q33" s="1686">
        <v>14.1</v>
      </c>
      <c r="R33" s="964">
        <f>20.36/E33/1.13</f>
        <v>2.66928875778433</v>
      </c>
      <c r="S33" s="965">
        <f t="shared" si="0"/>
        <v>19.9693095802726</v>
      </c>
      <c r="T33" s="964">
        <v>12.1</v>
      </c>
      <c r="U33" s="967" t="s">
        <v>1526</v>
      </c>
      <c r="V33" s="1840" t="s">
        <v>3365</v>
      </c>
    </row>
    <row r="34" s="120" customFormat="1" ht="21" customHeight="1" spans="1:22">
      <c r="A34" s="1917">
        <v>2</v>
      </c>
      <c r="B34" s="1660" t="s">
        <v>3469</v>
      </c>
      <c r="C34" s="1741" t="s">
        <v>3470</v>
      </c>
      <c r="D34" s="1661">
        <v>46092</v>
      </c>
      <c r="E34" s="1868">
        <v>6.75</v>
      </c>
      <c r="F34" s="1918" t="s">
        <v>3471</v>
      </c>
      <c r="G34" s="961" t="s">
        <v>1669</v>
      </c>
      <c r="H34" s="1794" t="s">
        <v>3472</v>
      </c>
      <c r="I34" s="961" t="s">
        <v>3473</v>
      </c>
      <c r="J34" s="961" t="s">
        <v>3425</v>
      </c>
      <c r="K34" s="965" t="s">
        <v>3350</v>
      </c>
      <c r="L34" s="965" t="s">
        <v>712</v>
      </c>
      <c r="M34" s="965" t="s">
        <v>1507</v>
      </c>
      <c r="N34" s="1742">
        <f>25.5/E34/1.13</f>
        <v>3.34316617502458</v>
      </c>
      <c r="O34" s="964">
        <v>3.98230088495575</v>
      </c>
      <c r="P34" s="964">
        <v>4.38053097345133</v>
      </c>
      <c r="Q34" s="1686">
        <v>24.15</v>
      </c>
      <c r="R34" s="965">
        <f>22.63/E34</f>
        <v>3.35259259259259</v>
      </c>
      <c r="S34" s="965">
        <f t="shared" si="0"/>
        <v>31.8831235660439</v>
      </c>
      <c r="T34" s="965">
        <v>22.65</v>
      </c>
      <c r="U34" s="1840" t="s">
        <v>3474</v>
      </c>
      <c r="V34" s="1660" t="s">
        <v>3475</v>
      </c>
    </row>
    <row r="35" s="120" customFormat="1" ht="20" customHeight="1" spans="1:22">
      <c r="A35" s="1919">
        <v>2</v>
      </c>
      <c r="B35" s="1660" t="s">
        <v>3476</v>
      </c>
      <c r="C35" s="1741" t="s">
        <v>3477</v>
      </c>
      <c r="D35" s="1661">
        <v>46164</v>
      </c>
      <c r="E35" s="1868">
        <v>6.75</v>
      </c>
      <c r="F35" s="1918" t="s">
        <v>3478</v>
      </c>
      <c r="G35" s="961" t="s">
        <v>1685</v>
      </c>
      <c r="H35" s="1794" t="s">
        <v>3479</v>
      </c>
      <c r="I35" s="961" t="s">
        <v>3348</v>
      </c>
      <c r="J35" s="961" t="s">
        <v>3480</v>
      </c>
      <c r="K35" s="965" t="s">
        <v>1871</v>
      </c>
      <c r="L35" s="965" t="s">
        <v>712</v>
      </c>
      <c r="M35" s="965" t="s">
        <v>1507</v>
      </c>
      <c r="N35" s="1742">
        <f>47/E35/1.13</f>
        <v>6.1619141265159</v>
      </c>
      <c r="O35" s="964">
        <v>7.33992712129099</v>
      </c>
      <c r="P35" s="964">
        <f>57.5/E35/1.13*1.05</f>
        <v>7.91543756145526</v>
      </c>
      <c r="Q35" s="1686">
        <v>19.7</v>
      </c>
      <c r="R35" s="965">
        <f>21.5/E35</f>
        <v>3.18518518518518</v>
      </c>
      <c r="S35" s="965">
        <f t="shared" si="0"/>
        <v>30.8006227466404</v>
      </c>
      <c r="T35" s="965">
        <v>16.95</v>
      </c>
      <c r="U35" s="1840" t="s">
        <v>3481</v>
      </c>
      <c r="V35" s="1660" t="s">
        <v>3482</v>
      </c>
    </row>
    <row r="36" s="120" customFormat="1" ht="20" customHeight="1" spans="1:22">
      <c r="B36" s="1660" t="s">
        <v>3483</v>
      </c>
      <c r="C36" s="1741" t="s">
        <v>3484</v>
      </c>
      <c r="D36" s="1661">
        <v>46248</v>
      </c>
      <c r="E36" s="1868">
        <v>6.75</v>
      </c>
      <c r="F36" s="1918" t="s">
        <v>3485</v>
      </c>
      <c r="G36" s="961" t="s">
        <v>1565</v>
      </c>
      <c r="H36" s="1794"/>
      <c r="I36" s="961" t="s">
        <v>3348</v>
      </c>
      <c r="J36" s="961" t="s">
        <v>1913</v>
      </c>
      <c r="K36" s="965" t="s">
        <v>3486</v>
      </c>
      <c r="L36" s="965" t="s">
        <v>1428</v>
      </c>
      <c r="M36" s="965" t="s">
        <v>1428</v>
      </c>
      <c r="N36" s="1742"/>
      <c r="O36" s="964"/>
      <c r="P36" s="964">
        <f>33.81/E36/1.13*1.05</f>
        <v>4.65427728613569</v>
      </c>
      <c r="Q36" s="1686">
        <v>14.4</v>
      </c>
      <c r="R36" s="965">
        <f>18/E36</f>
        <v>2.66666666666667</v>
      </c>
      <c r="S36" s="965">
        <f t="shared" si="0"/>
        <v>21.7209439528024</v>
      </c>
      <c r="T36" s="965"/>
      <c r="U36" s="1840" t="s">
        <v>1526</v>
      </c>
      <c r="V36" s="1869"/>
    </row>
    <row r="37" s="42" customFormat="1" ht="13.2" spans="1:22">
      <c r="B37" s="187"/>
      <c r="C37" s="1874"/>
      <c r="D37" s="187"/>
      <c r="E37" s="931"/>
      <c r="F37" s="187"/>
      <c r="G37" s="931"/>
      <c r="H37" s="187"/>
      <c r="I37" s="931"/>
      <c r="J37" s="1875"/>
      <c r="K37" s="1875"/>
      <c r="L37" s="931"/>
      <c r="M37" s="806"/>
      <c r="N37" s="1876"/>
      <c r="O37" s="808"/>
      <c r="P37" s="808"/>
      <c r="R37" s="808"/>
      <c r="S37" s="1877"/>
      <c r="T37" s="808"/>
      <c r="U37" s="187"/>
    </row>
    <row r="38" s="42" customFormat="1" ht="13.2" spans="1:22">
      <c r="B38" s="187"/>
      <c r="C38" s="1874"/>
      <c r="D38" s="187"/>
      <c r="E38" s="931"/>
      <c r="F38" s="187"/>
      <c r="G38" s="931"/>
      <c r="H38" s="187"/>
      <c r="I38" s="931"/>
      <c r="J38" s="1875"/>
      <c r="K38" s="1875"/>
      <c r="L38" s="931"/>
      <c r="M38" s="806"/>
      <c r="N38" s="1876"/>
      <c r="O38" s="808"/>
      <c r="P38" s="808"/>
      <c r="R38" s="808"/>
      <c r="S38" s="1877"/>
      <c r="T38" s="808"/>
      <c r="U38" s="187"/>
    </row>
    <row r="39" s="42" customFormat="1" ht="13.2" spans="1:22">
      <c r="B39" s="187"/>
      <c r="C39" s="1874"/>
      <c r="D39" s="187"/>
      <c r="E39" s="931"/>
      <c r="F39" s="187"/>
      <c r="G39" s="931"/>
      <c r="H39" s="187"/>
      <c r="I39" s="931"/>
      <c r="J39" s="1875"/>
      <c r="K39" s="1875"/>
      <c r="L39" s="931"/>
      <c r="M39" s="806"/>
      <c r="N39" s="1876"/>
      <c r="O39" s="808"/>
      <c r="P39" s="808"/>
      <c r="R39" s="808"/>
      <c r="S39" s="1877"/>
      <c r="T39" s="808"/>
      <c r="U39" s="187"/>
    </row>
    <row r="40" s="42" customFormat="1" ht="13.2" spans="1:22">
      <c r="B40" s="187"/>
      <c r="C40" s="1874"/>
      <c r="D40" s="187"/>
      <c r="E40" s="931"/>
      <c r="F40" s="187"/>
      <c r="G40" s="931"/>
      <c r="H40" s="187"/>
      <c r="I40" s="931"/>
      <c r="J40" s="1875"/>
      <c r="K40" s="1875"/>
      <c r="L40" s="931"/>
      <c r="M40" s="806"/>
      <c r="N40" s="1876"/>
      <c r="O40" s="808"/>
      <c r="P40" s="808"/>
      <c r="R40" s="808"/>
      <c r="S40" s="1877"/>
      <c r="T40" s="808"/>
      <c r="U40" s="187"/>
    </row>
    <row r="41" s="42" customFormat="1" ht="13.2" spans="1:22">
      <c r="B41" s="187"/>
      <c r="C41" s="1874"/>
      <c r="D41" s="187"/>
      <c r="E41" s="931"/>
      <c r="F41" s="187"/>
      <c r="G41" s="931"/>
      <c r="H41" s="187"/>
      <c r="I41" s="931"/>
      <c r="J41" s="1875"/>
      <c r="K41" s="1875"/>
      <c r="L41" s="931"/>
      <c r="M41" s="806"/>
      <c r="N41" s="1876"/>
      <c r="O41" s="808"/>
      <c r="P41" s="808"/>
      <c r="R41" s="808"/>
      <c r="S41" s="1877"/>
      <c r="T41" s="808"/>
      <c r="U41" s="187"/>
    </row>
    <row r="42" s="42" customFormat="1" ht="13.2" spans="1:22">
      <c r="B42" s="187"/>
      <c r="C42" s="1874"/>
      <c r="D42" s="187"/>
      <c r="E42" s="931"/>
      <c r="F42" s="187"/>
      <c r="G42" s="931"/>
      <c r="H42" s="187"/>
      <c r="I42" s="931"/>
      <c r="J42" s="1875"/>
      <c r="K42" s="1875"/>
      <c r="L42" s="931"/>
      <c r="M42" s="806"/>
      <c r="N42" s="1876"/>
      <c r="O42" s="808"/>
      <c r="P42" s="808"/>
      <c r="R42" s="808"/>
      <c r="S42" s="1877"/>
      <c r="T42" s="808"/>
      <c r="U42" s="187"/>
    </row>
    <row r="43" s="42" customFormat="1" ht="13.2" spans="1:22">
      <c r="B43" s="187"/>
      <c r="C43" s="1874"/>
      <c r="D43" s="187"/>
      <c r="E43" s="931"/>
      <c r="F43" s="187"/>
      <c r="G43" s="931"/>
      <c r="H43" s="187"/>
      <c r="I43" s="931"/>
      <c r="J43" s="1875"/>
      <c r="K43" s="1875"/>
      <c r="L43" s="931"/>
      <c r="M43" s="806"/>
      <c r="N43" s="1876"/>
      <c r="O43" s="808"/>
      <c r="P43" s="808"/>
      <c r="R43" s="808"/>
      <c r="S43" s="1877"/>
      <c r="T43" s="808"/>
      <c r="U43" s="187"/>
    </row>
    <row r="44" s="42" customFormat="1" ht="13.2" spans="1:22">
      <c r="B44" s="187"/>
      <c r="C44" s="1874"/>
      <c r="D44" s="187"/>
      <c r="E44" s="931"/>
      <c r="F44" s="187"/>
      <c r="G44" s="931"/>
      <c r="H44" s="187"/>
      <c r="I44" s="931"/>
      <c r="J44" s="1875"/>
      <c r="K44" s="1875"/>
      <c r="L44" s="931"/>
      <c r="M44" s="806"/>
      <c r="N44" s="1876"/>
      <c r="O44" s="808"/>
      <c r="P44" s="808"/>
      <c r="R44" s="808"/>
      <c r="S44" s="1877"/>
      <c r="T44" s="808"/>
      <c r="U44" s="187"/>
    </row>
    <row r="45" s="42" customFormat="1" ht="13.2" spans="1:22">
      <c r="B45" s="187"/>
      <c r="C45" s="1874"/>
      <c r="D45" s="187"/>
      <c r="E45" s="931"/>
      <c r="F45" s="187"/>
      <c r="G45" s="931"/>
      <c r="H45" s="187"/>
      <c r="I45" s="931"/>
      <c r="J45" s="1875"/>
      <c r="K45" s="1875"/>
      <c r="L45" s="931"/>
      <c r="M45" s="806"/>
      <c r="N45" s="1876"/>
      <c r="O45" s="808"/>
      <c r="P45" s="808"/>
      <c r="R45" s="808"/>
      <c r="S45" s="1877"/>
      <c r="T45" s="808"/>
      <c r="U45" s="187"/>
    </row>
    <row r="46" s="42" customFormat="1" ht="13.2" spans="1:22">
      <c r="B46" s="187"/>
      <c r="C46" s="1874"/>
      <c r="D46" s="187"/>
      <c r="E46" s="931"/>
      <c r="F46" s="187"/>
      <c r="G46" s="931"/>
      <c r="H46" s="187"/>
      <c r="I46" s="931"/>
      <c r="J46" s="1875"/>
      <c r="K46" s="1875"/>
      <c r="L46" s="931"/>
      <c r="M46" s="806"/>
      <c r="N46" s="1876"/>
      <c r="O46" s="808"/>
      <c r="P46" s="808"/>
      <c r="R46" s="808"/>
      <c r="S46" s="1877"/>
      <c r="T46" s="808"/>
      <c r="U46" s="187"/>
    </row>
    <row r="47" s="42" customFormat="1" ht="13.2" spans="1:22">
      <c r="B47" s="187"/>
      <c r="C47" s="1874"/>
      <c r="D47" s="187"/>
      <c r="E47" s="931"/>
      <c r="F47" s="187"/>
      <c r="G47" s="931"/>
      <c r="H47" s="187"/>
      <c r="I47" s="931"/>
      <c r="J47" s="1875"/>
      <c r="K47" s="1875"/>
      <c r="L47" s="931"/>
      <c r="M47" s="806"/>
      <c r="N47" s="1876"/>
      <c r="O47" s="808"/>
      <c r="P47" s="808"/>
      <c r="R47" s="808"/>
      <c r="S47" s="1877"/>
      <c r="T47" s="808"/>
      <c r="U47" s="187"/>
    </row>
    <row r="48" s="42" customFormat="1" ht="13.2" spans="1:22">
      <c r="B48" s="187"/>
      <c r="C48" s="1874"/>
      <c r="D48" s="187"/>
      <c r="E48" s="931"/>
      <c r="F48" s="187"/>
      <c r="G48" s="931"/>
      <c r="H48" s="187"/>
      <c r="I48" s="931"/>
      <c r="J48" s="1875"/>
      <c r="K48" s="1875"/>
      <c r="L48" s="931"/>
      <c r="M48" s="806"/>
      <c r="N48" s="1876"/>
      <c r="O48" s="808"/>
      <c r="P48" s="808"/>
      <c r="R48" s="808"/>
      <c r="S48" s="1877"/>
      <c r="T48" s="808"/>
      <c r="U48" s="187"/>
    </row>
    <row r="49" s="42" customFormat="1" ht="13.2" spans="2:21">
      <c r="B49" s="187"/>
      <c r="C49" s="1874"/>
      <c r="D49" s="187"/>
      <c r="E49" s="931"/>
      <c r="F49" s="187"/>
      <c r="G49" s="931"/>
      <c r="H49" s="187"/>
      <c r="I49" s="931"/>
      <c r="J49" s="1875"/>
      <c r="K49" s="1875"/>
      <c r="L49" s="931"/>
      <c r="M49" s="806"/>
      <c r="N49" s="1876"/>
      <c r="O49" s="808"/>
      <c r="P49" s="808"/>
      <c r="R49" s="808"/>
      <c r="S49" s="1877"/>
      <c r="T49" s="808"/>
      <c r="U49" s="187"/>
    </row>
    <row r="50" s="42" customFormat="1" ht="13.2" spans="2:21">
      <c r="B50" s="187"/>
      <c r="C50" s="1874"/>
      <c r="D50" s="187"/>
      <c r="E50" s="931"/>
      <c r="F50" s="187"/>
      <c r="G50" s="931"/>
      <c r="H50" s="187"/>
      <c r="I50" s="931"/>
      <c r="J50" s="1875"/>
      <c r="K50" s="1875"/>
      <c r="L50" s="931"/>
      <c r="M50" s="806"/>
      <c r="N50" s="1876"/>
      <c r="O50" s="808"/>
      <c r="P50" s="808"/>
      <c r="R50" s="808"/>
      <c r="S50" s="1877"/>
      <c r="T50" s="808"/>
      <c r="U50" s="187"/>
    </row>
    <row r="51" s="42" customFormat="1" ht="13.2" spans="2:21">
      <c r="B51" s="187"/>
      <c r="C51" s="1874"/>
      <c r="D51" s="187"/>
      <c r="E51" s="931"/>
      <c r="F51" s="187"/>
      <c r="G51" s="931"/>
      <c r="H51" s="187"/>
      <c r="I51" s="931"/>
      <c r="J51" s="1875"/>
      <c r="K51" s="1875"/>
      <c r="L51" s="931"/>
      <c r="M51" s="806"/>
      <c r="N51" s="1876"/>
      <c r="O51" s="808"/>
      <c r="P51" s="808"/>
      <c r="R51" s="808"/>
      <c r="S51" s="1877"/>
      <c r="T51" s="808"/>
      <c r="U51" s="187"/>
    </row>
    <row r="52" s="42" customFormat="1" ht="13.2" spans="2:21">
      <c r="B52" s="187"/>
      <c r="C52" s="1874"/>
      <c r="D52" s="187"/>
      <c r="E52" s="931"/>
      <c r="F52" s="187"/>
      <c r="G52" s="931"/>
      <c r="H52" s="187"/>
      <c r="I52" s="931"/>
      <c r="J52" s="1875"/>
      <c r="K52" s="1875"/>
      <c r="L52" s="931"/>
      <c r="M52" s="806"/>
      <c r="N52" s="1876"/>
      <c r="O52" s="808"/>
      <c r="P52" s="808"/>
      <c r="R52" s="808"/>
      <c r="S52" s="1877"/>
      <c r="T52" s="808"/>
      <c r="U52" s="187"/>
    </row>
    <row r="53" s="42" customFormat="1" ht="13.2" spans="2:21">
      <c r="B53" s="187"/>
      <c r="C53" s="1874"/>
      <c r="D53" s="187"/>
      <c r="E53" s="931"/>
      <c r="F53" s="187"/>
      <c r="G53" s="931"/>
      <c r="H53" s="187"/>
      <c r="I53" s="931"/>
      <c r="J53" s="1875"/>
      <c r="K53" s="1875"/>
      <c r="L53" s="931"/>
      <c r="M53" s="806"/>
      <c r="N53" s="1876"/>
      <c r="O53" s="808"/>
      <c r="P53" s="808"/>
      <c r="R53" s="808"/>
      <c r="S53" s="1877"/>
      <c r="T53" s="808"/>
      <c r="U53" s="187"/>
    </row>
    <row r="54" s="42" customFormat="1" ht="13.2" spans="2:21">
      <c r="B54" s="187"/>
      <c r="C54" s="1874"/>
      <c r="D54" s="187"/>
      <c r="E54" s="931"/>
      <c r="F54" s="187"/>
      <c r="G54" s="931"/>
      <c r="H54" s="187"/>
      <c r="I54" s="931"/>
      <c r="J54" s="1875"/>
      <c r="K54" s="1875"/>
      <c r="L54" s="931"/>
      <c r="M54" s="806"/>
      <c r="N54" s="1876"/>
      <c r="O54" s="808"/>
      <c r="P54" s="808"/>
      <c r="R54" s="808"/>
      <c r="S54" s="1877"/>
      <c r="T54" s="808"/>
      <c r="U54" s="187"/>
    </row>
    <row r="55" s="42" customFormat="1" ht="13.2" spans="2:21">
      <c r="B55" s="187"/>
      <c r="C55" s="1874"/>
      <c r="D55" s="187"/>
      <c r="E55" s="931"/>
      <c r="F55" s="187"/>
      <c r="G55" s="931"/>
      <c r="H55" s="187"/>
      <c r="I55" s="931"/>
      <c r="J55" s="1875"/>
      <c r="K55" s="1875"/>
      <c r="L55" s="931"/>
      <c r="M55" s="806"/>
      <c r="N55" s="1876"/>
      <c r="O55" s="808"/>
      <c r="P55" s="808"/>
      <c r="R55" s="808"/>
      <c r="S55" s="1877"/>
      <c r="T55" s="808"/>
      <c r="U55" s="187"/>
    </row>
    <row r="56" s="42" customFormat="1" ht="13.2" spans="2:21">
      <c r="B56" s="187"/>
      <c r="C56" s="1874"/>
      <c r="D56" s="187"/>
      <c r="E56" s="931"/>
      <c r="F56" s="187"/>
      <c r="G56" s="931"/>
      <c r="H56" s="187"/>
      <c r="I56" s="931"/>
      <c r="J56" s="1875"/>
      <c r="K56" s="1875"/>
      <c r="L56" s="931"/>
      <c r="M56" s="806"/>
      <c r="N56" s="1876"/>
      <c r="O56" s="808"/>
      <c r="P56" s="808"/>
      <c r="R56" s="808"/>
      <c r="S56" s="1877"/>
      <c r="T56" s="808"/>
      <c r="U56" s="187"/>
    </row>
    <row r="57" s="42" customFormat="1" ht="13.2" spans="2:21">
      <c r="B57" s="187"/>
      <c r="C57" s="1874"/>
      <c r="D57" s="187"/>
      <c r="E57" s="931"/>
      <c r="F57" s="187"/>
      <c r="G57" s="931"/>
      <c r="H57" s="187"/>
      <c r="I57" s="931"/>
      <c r="J57" s="1875"/>
      <c r="K57" s="1875"/>
      <c r="L57" s="931"/>
      <c r="M57" s="806"/>
      <c r="N57" s="1876"/>
      <c r="O57" s="808"/>
      <c r="P57" s="808"/>
      <c r="R57" s="808"/>
      <c r="S57" s="1877"/>
      <c r="T57" s="808"/>
      <c r="U57" s="187"/>
    </row>
    <row r="58" s="42" customFormat="1" ht="13.2" spans="2:21">
      <c r="B58" s="187"/>
      <c r="C58" s="1874"/>
      <c r="D58" s="187"/>
      <c r="E58" s="931"/>
      <c r="F58" s="187"/>
      <c r="G58" s="931"/>
      <c r="H58" s="187"/>
      <c r="I58" s="931"/>
      <c r="J58" s="1875"/>
      <c r="K58" s="1875"/>
      <c r="L58" s="931"/>
      <c r="M58" s="806"/>
      <c r="N58" s="1876"/>
      <c r="O58" s="808"/>
      <c r="P58" s="808"/>
      <c r="R58" s="808"/>
      <c r="S58" s="1877"/>
      <c r="T58" s="808"/>
      <c r="U58" s="187"/>
    </row>
    <row r="59" s="42" customFormat="1" ht="13.2" spans="2:21">
      <c r="B59" s="187"/>
      <c r="C59" s="1874"/>
      <c r="D59" s="187"/>
      <c r="E59" s="931"/>
      <c r="F59" s="187"/>
      <c r="G59" s="931"/>
      <c r="H59" s="187"/>
      <c r="I59" s="931"/>
      <c r="J59" s="1875"/>
      <c r="K59" s="1875"/>
      <c r="L59" s="931"/>
      <c r="M59" s="806"/>
      <c r="N59" s="1876"/>
      <c r="O59" s="808"/>
      <c r="P59" s="808"/>
      <c r="R59" s="808"/>
      <c r="S59" s="1877"/>
      <c r="T59" s="808"/>
      <c r="U59" s="187"/>
    </row>
    <row r="60" s="42" customFormat="1" ht="13.2" spans="2:21">
      <c r="B60" s="187"/>
      <c r="C60" s="1874"/>
      <c r="D60" s="187"/>
      <c r="E60" s="931"/>
      <c r="F60" s="187"/>
      <c r="G60" s="931"/>
      <c r="H60" s="187"/>
      <c r="I60" s="931"/>
      <c r="J60" s="1875"/>
      <c r="K60" s="1875"/>
      <c r="L60" s="931"/>
      <c r="M60" s="806"/>
      <c r="N60" s="1876"/>
      <c r="O60" s="808"/>
      <c r="P60" s="808"/>
      <c r="R60" s="808"/>
      <c r="S60" s="1877"/>
      <c r="T60" s="808"/>
      <c r="U60" s="187"/>
    </row>
    <row r="61" s="42" customFormat="1" ht="13.2" spans="2:21">
      <c r="B61" s="187"/>
      <c r="C61" s="1874"/>
      <c r="D61" s="187"/>
      <c r="E61" s="931"/>
      <c r="F61" s="187"/>
      <c r="G61" s="931"/>
      <c r="H61" s="187"/>
      <c r="I61" s="931"/>
      <c r="J61" s="1875"/>
      <c r="K61" s="1875"/>
      <c r="L61" s="931"/>
      <c r="M61" s="806"/>
      <c r="N61" s="1876"/>
      <c r="O61" s="808"/>
      <c r="P61" s="808"/>
      <c r="R61" s="808"/>
      <c r="S61" s="1877"/>
      <c r="T61" s="808"/>
      <c r="U61" s="187"/>
    </row>
    <row r="62" s="42" customFormat="1" ht="13.2" spans="2:21">
      <c r="B62" s="187"/>
      <c r="C62" s="1874"/>
      <c r="D62" s="187"/>
      <c r="E62" s="931"/>
      <c r="F62" s="187"/>
      <c r="G62" s="931"/>
      <c r="H62" s="187"/>
      <c r="I62" s="931"/>
      <c r="J62" s="1875"/>
      <c r="K62" s="1875"/>
      <c r="L62" s="931"/>
      <c r="M62" s="806"/>
      <c r="N62" s="1876"/>
      <c r="O62" s="808"/>
      <c r="P62" s="808"/>
      <c r="R62" s="808"/>
      <c r="S62" s="1877"/>
      <c r="T62" s="808"/>
      <c r="U62" s="187"/>
    </row>
    <row r="63" s="42" customFormat="1" ht="13.2" spans="2:21">
      <c r="B63" s="187"/>
      <c r="C63" s="1874"/>
      <c r="D63" s="187"/>
      <c r="E63" s="931"/>
      <c r="F63" s="187"/>
      <c r="G63" s="931"/>
      <c r="H63" s="187"/>
      <c r="I63" s="931"/>
      <c r="J63" s="1875"/>
      <c r="K63" s="1875"/>
      <c r="L63" s="931"/>
      <c r="M63" s="806"/>
      <c r="N63" s="1876"/>
      <c r="O63" s="808"/>
      <c r="P63" s="808"/>
      <c r="R63" s="808"/>
      <c r="S63" s="1877"/>
      <c r="T63" s="808"/>
      <c r="U63" s="187"/>
    </row>
    <row r="64" s="42" customFormat="1" ht="13.2" spans="2:21">
      <c r="B64" s="187"/>
      <c r="C64" s="1874"/>
      <c r="D64" s="187"/>
      <c r="E64" s="931"/>
      <c r="F64" s="187"/>
      <c r="G64" s="931"/>
      <c r="H64" s="187"/>
      <c r="I64" s="931"/>
      <c r="J64" s="1875"/>
      <c r="K64" s="1875"/>
      <c r="L64" s="931"/>
      <c r="M64" s="806"/>
      <c r="N64" s="1876"/>
      <c r="O64" s="808"/>
      <c r="P64" s="808"/>
      <c r="R64" s="808"/>
      <c r="S64" s="1877"/>
      <c r="T64" s="808"/>
      <c r="U64" s="187"/>
    </row>
    <row r="65" s="42" customFormat="1" ht="13.2" spans="2:21">
      <c r="B65" s="187"/>
      <c r="C65" s="1874"/>
      <c r="D65" s="187"/>
      <c r="E65" s="931"/>
      <c r="F65" s="187"/>
      <c r="G65" s="931"/>
      <c r="H65" s="187"/>
      <c r="I65" s="931"/>
      <c r="J65" s="1875"/>
      <c r="K65" s="1875"/>
      <c r="L65" s="931"/>
      <c r="M65" s="806"/>
      <c r="N65" s="1876"/>
      <c r="O65" s="808"/>
      <c r="P65" s="808"/>
      <c r="R65" s="808"/>
      <c r="S65" s="1877"/>
      <c r="T65" s="808"/>
      <c r="U65" s="187"/>
    </row>
    <row r="66" s="42" customFormat="1" ht="13.2" spans="2:21">
      <c r="B66" s="187"/>
      <c r="C66" s="1874"/>
      <c r="D66" s="187"/>
      <c r="E66" s="931"/>
      <c r="F66" s="187"/>
      <c r="G66" s="931"/>
      <c r="H66" s="187"/>
      <c r="I66" s="931"/>
      <c r="J66" s="1875"/>
      <c r="K66" s="1875"/>
      <c r="L66" s="931"/>
      <c r="M66" s="806"/>
      <c r="N66" s="1876"/>
      <c r="O66" s="808"/>
      <c r="P66" s="808"/>
      <c r="R66" s="808"/>
      <c r="S66" s="1877"/>
      <c r="T66" s="808"/>
      <c r="U66" s="187"/>
    </row>
    <row r="67" s="42" customFormat="1" ht="13.2" spans="2:21">
      <c r="B67" s="187"/>
      <c r="C67" s="1874"/>
      <c r="D67" s="187"/>
      <c r="E67" s="931"/>
      <c r="F67" s="187"/>
      <c r="G67" s="931"/>
      <c r="H67" s="187"/>
      <c r="I67" s="931"/>
      <c r="J67" s="1875"/>
      <c r="K67" s="1875"/>
      <c r="L67" s="931"/>
      <c r="M67" s="806"/>
      <c r="N67" s="1876"/>
      <c r="O67" s="808"/>
      <c r="P67" s="808"/>
      <c r="R67" s="808"/>
      <c r="S67" s="1877"/>
      <c r="T67" s="808"/>
      <c r="U67" s="187"/>
    </row>
    <row r="68" s="42" customFormat="1" ht="13.2" spans="2:21">
      <c r="B68" s="187"/>
      <c r="C68" s="1874"/>
      <c r="D68" s="187"/>
      <c r="E68" s="931"/>
      <c r="F68" s="187"/>
      <c r="G68" s="931"/>
      <c r="H68" s="187"/>
      <c r="I68" s="931"/>
      <c r="J68" s="1875"/>
      <c r="K68" s="1875"/>
      <c r="L68" s="931"/>
      <c r="M68" s="806"/>
      <c r="N68" s="1876"/>
      <c r="O68" s="808"/>
      <c r="P68" s="808"/>
      <c r="R68" s="808"/>
      <c r="S68" s="1877"/>
      <c r="T68" s="808"/>
      <c r="U68" s="187"/>
    </row>
    <row r="69" s="42" customFormat="1" ht="13.2" spans="2:21">
      <c r="B69" s="187"/>
      <c r="C69" s="1874"/>
      <c r="D69" s="187"/>
      <c r="E69" s="931"/>
      <c r="F69" s="187"/>
      <c r="G69" s="931"/>
      <c r="H69" s="187"/>
      <c r="I69" s="931"/>
      <c r="J69" s="1875"/>
      <c r="K69" s="1875"/>
      <c r="L69" s="931"/>
      <c r="M69" s="806"/>
      <c r="N69" s="1876"/>
      <c r="O69" s="808"/>
      <c r="P69" s="808"/>
      <c r="R69" s="808"/>
      <c r="S69" s="1877"/>
      <c r="T69" s="808"/>
      <c r="U69" s="187"/>
    </row>
    <row r="70" s="42" customFormat="1" ht="13.2" spans="2:21">
      <c r="B70" s="187"/>
      <c r="C70" s="1874"/>
      <c r="D70" s="187"/>
      <c r="E70" s="931"/>
      <c r="F70" s="187"/>
      <c r="G70" s="931"/>
      <c r="H70" s="187"/>
      <c r="I70" s="931"/>
      <c r="J70" s="1875"/>
      <c r="K70" s="1875"/>
      <c r="L70" s="931"/>
      <c r="M70" s="806"/>
      <c r="N70" s="1876"/>
      <c r="O70" s="808"/>
      <c r="P70" s="808"/>
      <c r="R70" s="808"/>
      <c r="S70" s="1877"/>
      <c r="T70" s="808"/>
      <c r="U70" s="187"/>
    </row>
    <row r="71" s="42" customFormat="1" ht="13.2" spans="2:21">
      <c r="B71" s="187"/>
      <c r="C71" s="1874"/>
      <c r="D71" s="187"/>
      <c r="E71" s="931"/>
      <c r="F71" s="187"/>
      <c r="G71" s="931"/>
      <c r="H71" s="187"/>
      <c r="I71" s="931"/>
      <c r="J71" s="1875"/>
      <c r="K71" s="1875"/>
      <c r="L71" s="931"/>
      <c r="M71" s="806"/>
      <c r="N71" s="1876"/>
      <c r="O71" s="808"/>
      <c r="P71" s="808"/>
      <c r="R71" s="808"/>
      <c r="S71" s="1877"/>
      <c r="T71" s="808"/>
      <c r="U71" s="187"/>
    </row>
    <row r="72" s="42" customFormat="1" ht="13.2" spans="2:21">
      <c r="B72" s="187"/>
      <c r="C72" s="1874"/>
      <c r="D72" s="187"/>
      <c r="E72" s="931"/>
      <c r="F72" s="187"/>
      <c r="G72" s="931"/>
      <c r="H72" s="187"/>
      <c r="I72" s="931"/>
      <c r="J72" s="1875"/>
      <c r="K72" s="1875"/>
      <c r="L72" s="931"/>
      <c r="M72" s="806"/>
      <c r="N72" s="1876"/>
      <c r="O72" s="808"/>
      <c r="P72" s="808"/>
      <c r="R72" s="808"/>
      <c r="S72" s="1877"/>
      <c r="T72" s="808"/>
      <c r="U72" s="187"/>
    </row>
    <row r="73" s="42" customFormat="1" ht="13.2" spans="2:21">
      <c r="B73" s="187"/>
      <c r="C73" s="1874"/>
      <c r="D73" s="187"/>
      <c r="E73" s="931"/>
      <c r="F73" s="187"/>
      <c r="G73" s="931"/>
      <c r="H73" s="187"/>
      <c r="I73" s="931"/>
      <c r="J73" s="1875"/>
      <c r="K73" s="1875"/>
      <c r="L73" s="931"/>
      <c r="M73" s="806"/>
      <c r="N73" s="1876">
        <v>12.5</v>
      </c>
      <c r="O73" s="808"/>
      <c r="P73" s="808"/>
      <c r="R73" s="808"/>
      <c r="S73" s="1877"/>
      <c r="T73" s="808"/>
      <c r="U73" s="187"/>
    </row>
    <row r="74" s="42" customFormat="1" ht="13.2" spans="2:21">
      <c r="B74" s="187"/>
      <c r="C74" s="1874"/>
      <c r="D74" s="187"/>
      <c r="E74" s="931"/>
      <c r="F74" s="187"/>
      <c r="G74" s="931"/>
      <c r="H74" s="187"/>
      <c r="I74" s="931"/>
      <c r="J74" s="1875"/>
      <c r="K74" s="1875"/>
      <c r="L74" s="931"/>
      <c r="M74" s="806" t="e">
        <f>32.2/E74/1.13</f>
        <v>#DIV/0!</v>
      </c>
      <c r="N74" s="1876"/>
      <c r="O74" s="808"/>
      <c r="P74" s="808"/>
      <c r="R74" s="808"/>
      <c r="S74" s="1877"/>
      <c r="T74" s="808"/>
      <c r="U74" s="187"/>
    </row>
    <row r="75" s="42" customFormat="1" ht="13.2" spans="2:21">
      <c r="B75" s="187"/>
      <c r="C75" s="1874"/>
      <c r="D75" s="187"/>
      <c r="E75" s="931"/>
      <c r="F75" s="187"/>
      <c r="G75" s="931"/>
      <c r="H75" s="187"/>
      <c r="I75" s="931"/>
      <c r="J75" s="1875"/>
      <c r="K75" s="1875"/>
      <c r="L75" s="931"/>
      <c r="M75" s="806"/>
      <c r="N75" s="1876"/>
      <c r="O75" s="808"/>
      <c r="P75" s="808"/>
      <c r="R75" s="808"/>
      <c r="S75" s="1877"/>
      <c r="T75" s="808"/>
      <c r="U75" s="187"/>
    </row>
    <row r="76" s="42" customFormat="1" ht="13.2" spans="2:21">
      <c r="B76" s="187"/>
      <c r="C76" s="1874"/>
      <c r="D76" s="187"/>
      <c r="E76" s="931"/>
      <c r="F76" s="187"/>
      <c r="G76" s="931"/>
      <c r="H76" s="187"/>
      <c r="I76" s="931"/>
      <c r="J76" s="1875"/>
      <c r="K76" s="1875"/>
      <c r="L76" s="931"/>
      <c r="M76" s="806"/>
      <c r="N76" s="1876"/>
      <c r="O76" s="808"/>
      <c r="P76" s="808"/>
      <c r="R76" s="808"/>
      <c r="S76" s="1877"/>
      <c r="T76" s="808"/>
      <c r="U76" s="187"/>
    </row>
    <row r="77" s="42" customFormat="1" ht="13.2" spans="2:21">
      <c r="B77" s="187"/>
      <c r="C77" s="1874"/>
      <c r="D77" s="187"/>
      <c r="E77" s="931"/>
      <c r="F77" s="187"/>
      <c r="G77" s="931"/>
      <c r="H77" s="187"/>
      <c r="I77" s="931"/>
      <c r="J77" s="1875"/>
      <c r="K77" s="1875"/>
      <c r="L77" s="931"/>
      <c r="M77" s="806"/>
      <c r="N77" s="1876"/>
      <c r="O77" s="808"/>
      <c r="P77" s="808"/>
      <c r="R77" s="808"/>
      <c r="S77" s="1877"/>
      <c r="T77" s="808"/>
      <c r="U77" s="187"/>
    </row>
    <row r="78" s="42" customFormat="1" ht="13.2" spans="2:21">
      <c r="B78" s="187"/>
      <c r="C78" s="1874"/>
      <c r="D78" s="187"/>
      <c r="E78" s="931"/>
      <c r="F78" s="187"/>
      <c r="G78" s="931"/>
      <c r="H78" s="187"/>
      <c r="I78" s="931"/>
      <c r="J78" s="1875"/>
      <c r="K78" s="1875"/>
      <c r="L78" s="931"/>
      <c r="M78" s="806"/>
      <c r="N78" s="1876"/>
      <c r="O78" s="808"/>
      <c r="P78" s="808"/>
      <c r="R78" s="808"/>
      <c r="S78" s="1877"/>
      <c r="T78" s="808"/>
      <c r="U78" s="187"/>
    </row>
    <row r="79" s="42" customFormat="1" ht="13.2" spans="2:21">
      <c r="B79" s="187"/>
      <c r="C79" s="1874"/>
      <c r="D79" s="187"/>
      <c r="E79" s="931"/>
      <c r="F79" s="187"/>
      <c r="G79" s="931"/>
      <c r="H79" s="187"/>
      <c r="I79" s="931"/>
      <c r="J79" s="1875"/>
      <c r="K79" s="1875"/>
      <c r="L79" s="931"/>
      <c r="M79" s="806"/>
      <c r="N79" s="1876"/>
      <c r="O79" s="808"/>
      <c r="P79" s="808"/>
      <c r="R79" s="808"/>
      <c r="S79" s="1877"/>
      <c r="T79" s="808"/>
      <c r="U79" s="187"/>
    </row>
    <row r="80" s="42" customFormat="1" ht="13.2" spans="2:21">
      <c r="B80" s="187"/>
      <c r="C80" s="1874"/>
      <c r="D80" s="187"/>
      <c r="E80" s="931"/>
      <c r="F80" s="187"/>
      <c r="G80" s="931"/>
      <c r="H80" s="187"/>
      <c r="I80" s="931"/>
      <c r="J80" s="1875"/>
      <c r="K80" s="1875"/>
      <c r="L80" s="931"/>
      <c r="M80" s="806"/>
      <c r="N80" s="1876"/>
      <c r="O80" s="808"/>
      <c r="P80" s="808"/>
      <c r="R80" s="808"/>
      <c r="S80" s="1877"/>
      <c r="T80" s="808"/>
      <c r="U80" s="187"/>
    </row>
    <row r="81" s="42" customFormat="1" ht="13.2" spans="2:21">
      <c r="B81" s="187"/>
      <c r="C81" s="1874"/>
      <c r="D81" s="187"/>
      <c r="E81" s="931"/>
      <c r="F81" s="187"/>
      <c r="G81" s="931"/>
      <c r="H81" s="187"/>
      <c r="I81" s="931"/>
      <c r="J81" s="1875"/>
      <c r="K81" s="1875"/>
      <c r="L81" s="931"/>
      <c r="M81" s="806"/>
      <c r="N81" s="1876"/>
      <c r="O81" s="808"/>
      <c r="P81" s="808"/>
      <c r="R81" s="808"/>
      <c r="S81" s="1877"/>
      <c r="T81" s="808"/>
      <c r="U81" s="187"/>
    </row>
    <row r="82" s="42" customFormat="1" ht="13.2" spans="2:21">
      <c r="B82" s="187"/>
      <c r="C82" s="1874"/>
      <c r="D82" s="187"/>
      <c r="E82" s="931"/>
      <c r="F82" s="187"/>
      <c r="G82" s="931"/>
      <c r="H82" s="187"/>
      <c r="I82" s="931"/>
      <c r="J82" s="1875"/>
      <c r="K82" s="1875"/>
      <c r="L82" s="931"/>
      <c r="M82" s="806"/>
      <c r="N82" s="1876"/>
      <c r="O82" s="808"/>
      <c r="P82" s="808"/>
      <c r="R82" s="808"/>
      <c r="S82" s="1877"/>
      <c r="T82" s="808"/>
      <c r="U82" s="187"/>
    </row>
    <row r="83" s="42" customFormat="1" ht="13.2" spans="2:21">
      <c r="B83" s="187"/>
      <c r="C83" s="1874"/>
      <c r="D83" s="187"/>
      <c r="E83" s="931"/>
      <c r="F83" s="187"/>
      <c r="G83" s="931"/>
      <c r="H83" s="187"/>
      <c r="I83" s="931"/>
      <c r="J83" s="1875"/>
      <c r="K83" s="1875"/>
      <c r="L83" s="931"/>
      <c r="M83" s="806"/>
      <c r="N83" s="1876"/>
      <c r="O83" s="808"/>
      <c r="P83" s="808"/>
      <c r="R83" s="808"/>
      <c r="S83" s="1877"/>
      <c r="T83" s="808"/>
      <c r="U83" s="187"/>
    </row>
    <row r="84" s="42" customFormat="1" ht="13.2" spans="2:21">
      <c r="B84" s="187"/>
      <c r="C84" s="1874"/>
      <c r="D84" s="187"/>
      <c r="E84" s="931"/>
      <c r="F84" s="187"/>
      <c r="G84" s="931"/>
      <c r="H84" s="187"/>
      <c r="I84" s="931"/>
      <c r="J84" s="1875"/>
      <c r="K84" s="1875"/>
      <c r="L84" s="931"/>
      <c r="M84" s="806"/>
      <c r="N84" s="1876"/>
      <c r="O84" s="808"/>
      <c r="P84" s="808"/>
      <c r="R84" s="808"/>
      <c r="S84" s="1877"/>
      <c r="T84" s="808"/>
      <c r="U84" s="187"/>
    </row>
    <row r="85" s="42" customFormat="1" ht="13.2" spans="2:21">
      <c r="B85" s="187"/>
      <c r="C85" s="1874"/>
      <c r="D85" s="187"/>
      <c r="E85" s="931"/>
      <c r="F85" s="187"/>
      <c r="G85" s="931"/>
      <c r="H85" s="187"/>
      <c r="I85" s="931"/>
      <c r="J85" s="1875"/>
      <c r="K85" s="1875"/>
      <c r="L85" s="931"/>
      <c r="M85" s="806"/>
      <c r="N85" s="1876"/>
      <c r="O85" s="808"/>
      <c r="P85" s="808"/>
      <c r="R85" s="808"/>
      <c r="S85" s="1877"/>
      <c r="T85" s="808"/>
      <c r="U85" s="187"/>
    </row>
    <row r="86" s="42" customFormat="1" ht="13.2" spans="2:21">
      <c r="B86" s="187"/>
      <c r="C86" s="1874"/>
      <c r="D86" s="187"/>
      <c r="E86" s="931"/>
      <c r="F86" s="187"/>
      <c r="G86" s="931"/>
      <c r="H86" s="187"/>
      <c r="I86" s="931"/>
      <c r="J86" s="1875"/>
      <c r="K86" s="1875"/>
      <c r="L86" s="931"/>
      <c r="M86" s="806"/>
      <c r="N86" s="1876"/>
      <c r="O86" s="808"/>
      <c r="P86" s="808"/>
      <c r="R86" s="808"/>
      <c r="S86" s="1877"/>
      <c r="T86" s="808"/>
      <c r="U86" s="187"/>
    </row>
    <row r="87" s="42" customFormat="1" ht="13.2" spans="2:21">
      <c r="B87" s="187"/>
      <c r="C87" s="1874"/>
      <c r="D87" s="187"/>
      <c r="E87" s="931"/>
      <c r="F87" s="187"/>
      <c r="G87" s="931"/>
      <c r="H87" s="187"/>
      <c r="I87" s="931"/>
      <c r="J87" s="1875"/>
      <c r="K87" s="1875"/>
      <c r="L87" s="931"/>
      <c r="M87" s="806"/>
      <c r="N87" s="1876"/>
      <c r="O87" s="808"/>
      <c r="P87" s="808"/>
      <c r="R87" s="808"/>
      <c r="S87" s="1877"/>
      <c r="T87" s="808"/>
      <c r="U87" s="187"/>
    </row>
    <row r="88" s="42" customFormat="1" ht="13.2" spans="2:21">
      <c r="B88" s="187"/>
      <c r="C88" s="1874"/>
      <c r="D88" s="187"/>
      <c r="E88" s="931"/>
      <c r="F88" s="187"/>
      <c r="G88" s="931"/>
      <c r="H88" s="187"/>
      <c r="I88" s="931"/>
      <c r="J88" s="1875"/>
      <c r="K88" s="1875"/>
      <c r="L88" s="931"/>
      <c r="M88" s="806"/>
      <c r="N88" s="1876"/>
      <c r="O88" s="808"/>
      <c r="P88" s="808"/>
      <c r="R88" s="808"/>
      <c r="S88" s="1877"/>
      <c r="T88" s="808"/>
      <c r="U88" s="187"/>
    </row>
    <row r="89" s="42" customFormat="1" ht="13.2" spans="2:21">
      <c r="B89" s="187"/>
      <c r="C89" s="1874"/>
      <c r="D89" s="187"/>
      <c r="E89" s="931"/>
      <c r="F89" s="187"/>
      <c r="G89" s="931"/>
      <c r="H89" s="187"/>
      <c r="I89" s="931"/>
      <c r="J89" s="1875"/>
      <c r="K89" s="1875"/>
      <c r="L89" s="931"/>
      <c r="M89" s="806"/>
      <c r="N89" s="1876"/>
      <c r="O89" s="808"/>
      <c r="P89" s="808"/>
      <c r="R89" s="808"/>
      <c r="S89" s="1877"/>
      <c r="T89" s="808"/>
      <c r="U89" s="187"/>
    </row>
    <row r="90" s="42" customFormat="1" ht="13.2" spans="2:21">
      <c r="B90" s="187"/>
      <c r="C90" s="1874"/>
      <c r="D90" s="187"/>
      <c r="E90" s="931"/>
      <c r="F90" s="187"/>
      <c r="G90" s="931"/>
      <c r="H90" s="187"/>
      <c r="I90" s="931"/>
      <c r="J90" s="1875"/>
      <c r="K90" s="1875"/>
      <c r="L90" s="931"/>
      <c r="M90" s="806"/>
      <c r="N90" s="1876"/>
      <c r="O90" s="808"/>
      <c r="P90" s="808"/>
      <c r="R90" s="808"/>
      <c r="S90" s="1877"/>
      <c r="T90" s="808"/>
      <c r="U90" s="187"/>
    </row>
    <row r="91" s="42" customFormat="1" ht="13.2" spans="2:21">
      <c r="B91" s="187"/>
      <c r="C91" s="1874"/>
      <c r="D91" s="187"/>
      <c r="E91" s="931"/>
      <c r="F91" s="187"/>
      <c r="G91" s="931"/>
      <c r="H91" s="187"/>
      <c r="I91" s="931"/>
      <c r="J91" s="1875"/>
      <c r="K91" s="1875"/>
      <c r="L91" s="931"/>
      <c r="M91" s="806"/>
      <c r="N91" s="1876"/>
      <c r="O91" s="808"/>
      <c r="P91" s="808"/>
      <c r="R91" s="808"/>
      <c r="S91" s="1877"/>
      <c r="T91" s="808"/>
      <c r="U91" s="187"/>
    </row>
    <row r="92" s="42" customFormat="1" ht="13.2" spans="2:21">
      <c r="B92" s="187"/>
      <c r="C92" s="1874"/>
      <c r="D92" s="187"/>
      <c r="E92" s="931"/>
      <c r="F92" s="187"/>
      <c r="G92" s="931"/>
      <c r="H92" s="187"/>
      <c r="I92" s="931"/>
      <c r="J92" s="1875"/>
      <c r="K92" s="1875"/>
      <c r="L92" s="931"/>
      <c r="M92" s="806"/>
      <c r="N92" s="1876"/>
      <c r="O92" s="808"/>
      <c r="P92" s="808"/>
      <c r="R92" s="808"/>
      <c r="S92" s="1877"/>
      <c r="T92" s="808"/>
      <c r="U92" s="187"/>
    </row>
    <row r="93" s="42" customFormat="1" ht="13.2" spans="2:21">
      <c r="B93" s="187"/>
      <c r="C93" s="1874"/>
      <c r="D93" s="187"/>
      <c r="E93" s="931"/>
      <c r="F93" s="187"/>
      <c r="G93" s="931"/>
      <c r="H93" s="187"/>
      <c r="I93" s="931"/>
      <c r="J93" s="1875"/>
      <c r="K93" s="1875"/>
      <c r="L93" s="931"/>
      <c r="M93" s="806"/>
      <c r="N93" s="1876"/>
      <c r="O93" s="808"/>
      <c r="P93" s="808"/>
      <c r="R93" s="808"/>
      <c r="S93" s="1877"/>
      <c r="T93" s="808"/>
      <c r="U93" s="187"/>
    </row>
    <row r="94" s="42" customFormat="1" ht="13.2" spans="2:21">
      <c r="B94" s="187"/>
      <c r="C94" s="1874"/>
      <c r="D94" s="187"/>
      <c r="E94" s="931"/>
      <c r="F94" s="187"/>
      <c r="G94" s="931"/>
      <c r="H94" s="187"/>
      <c r="I94" s="931"/>
      <c r="J94" s="1875"/>
      <c r="K94" s="1875"/>
      <c r="L94" s="931"/>
      <c r="M94" s="806"/>
      <c r="N94" s="1876"/>
      <c r="O94" s="808"/>
      <c r="P94" s="808"/>
      <c r="R94" s="808"/>
      <c r="S94" s="1877"/>
      <c r="T94" s="808"/>
      <c r="U94" s="187"/>
    </row>
    <row r="95" s="42" customFormat="1" ht="13.2" spans="2:21">
      <c r="B95" s="187"/>
      <c r="C95" s="1874"/>
      <c r="D95" s="187"/>
      <c r="E95" s="931"/>
      <c r="F95" s="187"/>
      <c r="G95" s="931"/>
      <c r="H95" s="187"/>
      <c r="I95" s="931"/>
      <c r="J95" s="1875"/>
      <c r="K95" s="1875"/>
      <c r="L95" s="931"/>
      <c r="M95" s="806"/>
      <c r="N95" s="1876"/>
      <c r="O95" s="808"/>
      <c r="P95" s="808"/>
      <c r="R95" s="808"/>
      <c r="S95" s="1877"/>
      <c r="T95" s="808"/>
      <c r="U95" s="187"/>
    </row>
    <row r="96" s="42" customFormat="1" ht="13.2" spans="2:21">
      <c r="B96" s="187"/>
      <c r="C96" s="1874"/>
      <c r="D96" s="187"/>
      <c r="E96" s="931"/>
      <c r="F96" s="187"/>
      <c r="G96" s="931"/>
      <c r="H96" s="187"/>
      <c r="I96" s="931"/>
      <c r="J96" s="1875"/>
      <c r="K96" s="1875"/>
      <c r="L96" s="931"/>
      <c r="M96" s="806"/>
      <c r="N96" s="1876"/>
      <c r="O96" s="808"/>
      <c r="P96" s="808"/>
      <c r="R96" s="808"/>
      <c r="S96" s="1877"/>
      <c r="T96" s="808"/>
      <c r="U96" s="187"/>
    </row>
    <row r="97" s="42" customFormat="1" ht="13.2" spans="2:21">
      <c r="B97" s="187"/>
      <c r="C97" s="1874"/>
      <c r="D97" s="187"/>
      <c r="E97" s="931"/>
      <c r="F97" s="187"/>
      <c r="G97" s="931"/>
      <c r="H97" s="187"/>
      <c r="I97" s="931"/>
      <c r="J97" s="1875"/>
      <c r="K97" s="1875"/>
      <c r="L97" s="931"/>
      <c r="M97" s="806"/>
      <c r="N97" s="1876"/>
      <c r="O97" s="808"/>
      <c r="P97" s="808"/>
      <c r="R97" s="808"/>
      <c r="S97" s="1877"/>
      <c r="T97" s="808"/>
      <c r="U97" s="187"/>
    </row>
    <row r="98" s="42" customFormat="1" ht="13.2" spans="2:21">
      <c r="B98" s="187"/>
      <c r="C98" s="1874"/>
      <c r="D98" s="187"/>
      <c r="E98" s="931"/>
      <c r="F98" s="187"/>
      <c r="G98" s="931"/>
      <c r="H98" s="187"/>
      <c r="I98" s="931"/>
      <c r="J98" s="1875"/>
      <c r="K98" s="1875"/>
      <c r="L98" s="931"/>
      <c r="M98" s="806"/>
      <c r="N98" s="1876"/>
      <c r="O98" s="808"/>
      <c r="P98" s="808"/>
      <c r="R98" s="808"/>
      <c r="S98" s="1877"/>
      <c r="T98" s="808"/>
      <c r="U98" s="187"/>
    </row>
    <row r="99" s="42" customFormat="1" ht="13.2" spans="2:21">
      <c r="B99" s="187"/>
      <c r="C99" s="1874"/>
      <c r="D99" s="187"/>
      <c r="E99" s="931"/>
      <c r="F99" s="187"/>
      <c r="G99" s="931"/>
      <c r="H99" s="187"/>
      <c r="I99" s="931"/>
      <c r="J99" s="1875"/>
      <c r="K99" s="1875"/>
      <c r="L99" s="931"/>
      <c r="M99" s="806"/>
      <c r="N99" s="1876"/>
      <c r="O99" s="808"/>
      <c r="P99" s="808"/>
      <c r="R99" s="808"/>
      <c r="S99" s="1877"/>
      <c r="T99" s="808"/>
      <c r="U99" s="187"/>
    </row>
    <row r="100" s="42" customFormat="1" ht="13.2" spans="2:21">
      <c r="B100" s="187"/>
      <c r="C100" s="1874"/>
      <c r="D100" s="187"/>
      <c r="E100" s="931"/>
      <c r="F100" s="187"/>
      <c r="G100" s="931"/>
      <c r="H100" s="187"/>
      <c r="I100" s="931"/>
      <c r="J100" s="1875"/>
      <c r="K100" s="1875"/>
      <c r="L100" s="931"/>
      <c r="M100" s="806"/>
      <c r="N100" s="1876"/>
      <c r="O100" s="808"/>
      <c r="P100" s="808"/>
      <c r="R100" s="808"/>
      <c r="S100" s="1877"/>
      <c r="T100" s="808"/>
      <c r="U100" s="187"/>
    </row>
    <row r="101" s="42" customFormat="1" ht="13.2" spans="2:21">
      <c r="B101" s="187"/>
      <c r="C101" s="1874"/>
      <c r="D101" s="187"/>
      <c r="E101" s="931"/>
      <c r="F101" s="187"/>
      <c r="G101" s="931"/>
      <c r="H101" s="187"/>
      <c r="I101" s="931"/>
      <c r="J101" s="1875"/>
      <c r="K101" s="1875"/>
      <c r="L101" s="931"/>
      <c r="M101" s="806"/>
      <c r="N101" s="1876"/>
      <c r="O101" s="808"/>
      <c r="P101" s="808"/>
      <c r="R101" s="808"/>
      <c r="S101" s="1877"/>
      <c r="T101" s="808"/>
      <c r="U101" s="187"/>
    </row>
    <row r="102" s="42" customFormat="1" ht="13.2" spans="2:21">
      <c r="B102" s="187"/>
      <c r="C102" s="1874"/>
      <c r="D102" s="187"/>
      <c r="E102" s="931"/>
      <c r="F102" s="187"/>
      <c r="G102" s="931"/>
      <c r="H102" s="187"/>
      <c r="I102" s="931"/>
      <c r="J102" s="1875"/>
      <c r="K102" s="1875"/>
      <c r="L102" s="931"/>
      <c r="M102" s="806"/>
      <c r="N102" s="1876"/>
      <c r="O102" s="808"/>
      <c r="P102" s="808"/>
      <c r="R102" s="808"/>
      <c r="S102" s="1877"/>
      <c r="T102" s="808"/>
      <c r="U102" s="187"/>
    </row>
    <row r="103" s="42" customFormat="1" ht="13.2" spans="2:21">
      <c r="B103" s="187"/>
      <c r="C103" s="1874"/>
      <c r="D103" s="187"/>
      <c r="E103" s="931"/>
      <c r="F103" s="187"/>
      <c r="G103" s="931"/>
      <c r="H103" s="187"/>
      <c r="I103" s="931"/>
      <c r="J103" s="1875"/>
      <c r="K103" s="1875"/>
      <c r="L103" s="931"/>
      <c r="M103" s="806"/>
      <c r="N103" s="1876"/>
      <c r="O103" s="808"/>
      <c r="P103" s="808"/>
      <c r="R103" s="808"/>
      <c r="S103" s="1877"/>
      <c r="T103" s="808"/>
      <c r="U103" s="187"/>
    </row>
    <row r="104" s="42" customFormat="1" ht="13.2" spans="2:21">
      <c r="B104" s="187"/>
      <c r="C104" s="1874"/>
      <c r="D104" s="187"/>
      <c r="E104" s="931"/>
      <c r="F104" s="187"/>
      <c r="G104" s="931"/>
      <c r="H104" s="187"/>
      <c r="I104" s="931"/>
      <c r="J104" s="1875"/>
      <c r="K104" s="1875"/>
      <c r="L104" s="931"/>
      <c r="M104" s="806"/>
      <c r="N104" s="1876"/>
      <c r="O104" s="808"/>
      <c r="P104" s="808"/>
      <c r="R104" s="808"/>
      <c r="S104" s="1877"/>
      <c r="T104" s="808"/>
      <c r="U104" s="187"/>
    </row>
    <row r="105" s="42" customFormat="1" ht="13.2" spans="2:21">
      <c r="B105" s="187"/>
      <c r="C105" s="1874"/>
      <c r="D105" s="187"/>
      <c r="E105" s="931"/>
      <c r="F105" s="187"/>
      <c r="G105" s="931"/>
      <c r="H105" s="187"/>
      <c r="I105" s="931"/>
      <c r="J105" s="1875"/>
      <c r="K105" s="1875"/>
      <c r="L105" s="931"/>
      <c r="M105" s="806"/>
      <c r="N105" s="1876"/>
      <c r="O105" s="808"/>
      <c r="P105" s="808"/>
      <c r="R105" s="808"/>
      <c r="S105" s="1877"/>
      <c r="T105" s="808"/>
      <c r="U105" s="187"/>
    </row>
    <row r="106" s="42" customFormat="1" ht="13.2" spans="2:21">
      <c r="B106" s="187"/>
      <c r="C106" s="1874"/>
      <c r="D106" s="187"/>
      <c r="E106" s="931"/>
      <c r="F106" s="187"/>
      <c r="G106" s="931"/>
      <c r="H106" s="187"/>
      <c r="I106" s="931"/>
      <c r="J106" s="1875"/>
      <c r="K106" s="1875"/>
      <c r="L106" s="931"/>
      <c r="M106" s="806"/>
      <c r="N106" s="1876"/>
      <c r="O106" s="808"/>
      <c r="P106" s="808"/>
      <c r="R106" s="808"/>
      <c r="S106" s="1877"/>
      <c r="T106" s="808"/>
      <c r="U106" s="187"/>
    </row>
    <row r="107" s="42" customFormat="1" ht="13.2" spans="2:21">
      <c r="B107" s="187"/>
      <c r="C107" s="1874"/>
      <c r="D107" s="187"/>
      <c r="E107" s="931"/>
      <c r="F107" s="187"/>
      <c r="G107" s="931"/>
      <c r="H107" s="187"/>
      <c r="I107" s="931"/>
      <c r="J107" s="1875"/>
      <c r="K107" s="1875"/>
      <c r="L107" s="931"/>
      <c r="M107" s="806"/>
      <c r="N107" s="1876"/>
      <c r="O107" s="808"/>
      <c r="P107" s="808"/>
      <c r="R107" s="808"/>
      <c r="S107" s="1877"/>
      <c r="T107" s="808"/>
      <c r="U107" s="187"/>
    </row>
    <row r="108" s="42" customFormat="1" ht="13.2" spans="2:21">
      <c r="B108" s="187"/>
      <c r="C108" s="1874"/>
      <c r="D108" s="187"/>
      <c r="E108" s="931"/>
      <c r="F108" s="187"/>
      <c r="G108" s="931"/>
      <c r="H108" s="187"/>
      <c r="I108" s="931"/>
      <c r="J108" s="1875"/>
      <c r="K108" s="1875"/>
      <c r="L108" s="931"/>
      <c r="M108" s="806"/>
      <c r="N108" s="1876"/>
      <c r="O108" s="808"/>
      <c r="P108" s="808"/>
      <c r="R108" s="808"/>
      <c r="S108" s="1877"/>
      <c r="T108" s="808"/>
      <c r="U108" s="187"/>
    </row>
    <row r="109" s="42" customFormat="1" ht="13.2" spans="2:21">
      <c r="B109" s="187"/>
      <c r="C109" s="1874"/>
      <c r="D109" s="187"/>
      <c r="E109" s="931"/>
      <c r="F109" s="187"/>
      <c r="G109" s="931"/>
      <c r="H109" s="187"/>
      <c r="I109" s="931"/>
      <c r="J109" s="1875"/>
      <c r="K109" s="1875"/>
      <c r="L109" s="931"/>
      <c r="M109" s="806"/>
      <c r="N109" s="1876"/>
      <c r="O109" s="808"/>
      <c r="P109" s="808"/>
      <c r="R109" s="808"/>
      <c r="S109" s="1877"/>
      <c r="T109" s="808"/>
      <c r="U109" s="187"/>
    </row>
    <row r="110" s="42" customFormat="1" ht="13.2" spans="2:21">
      <c r="B110" s="187"/>
      <c r="C110" s="1874" t="s">
        <v>272</v>
      </c>
      <c r="D110" s="187"/>
      <c r="E110" s="931"/>
      <c r="F110" s="187"/>
      <c r="G110" s="931"/>
      <c r="H110" s="187"/>
      <c r="I110" s="931"/>
      <c r="J110" s="1875"/>
      <c r="K110" s="1875"/>
      <c r="L110" s="931"/>
      <c r="M110" s="806"/>
      <c r="N110" s="1876"/>
      <c r="O110" s="808"/>
      <c r="P110" s="808"/>
      <c r="R110" s="808"/>
      <c r="S110" s="1877"/>
      <c r="T110" s="808"/>
      <c r="U110" s="187"/>
    </row>
    <row r="111" s="42" customFormat="1" ht="13.2" spans="2:21">
      <c r="B111" s="187"/>
      <c r="C111" s="1874"/>
      <c r="D111" s="187"/>
      <c r="E111" s="931"/>
      <c r="F111" s="187"/>
      <c r="G111" s="931"/>
      <c r="H111" s="187"/>
      <c r="I111" s="931"/>
      <c r="J111" s="1875"/>
      <c r="K111" s="1875"/>
      <c r="L111" s="931"/>
      <c r="M111" s="806"/>
      <c r="N111" s="1876"/>
      <c r="O111" s="808"/>
      <c r="P111" s="808"/>
      <c r="R111" s="808"/>
      <c r="S111" s="1877"/>
      <c r="T111" s="808"/>
      <c r="U111" s="187"/>
    </row>
    <row r="112" s="42" customFormat="1" ht="13.2" spans="2:21">
      <c r="B112" s="187"/>
      <c r="C112" s="1874"/>
      <c r="D112" s="187"/>
      <c r="E112" s="931"/>
      <c r="F112" s="187"/>
      <c r="G112" s="931"/>
      <c r="H112" s="187"/>
      <c r="I112" s="931"/>
      <c r="J112" s="1875"/>
      <c r="K112" s="1875"/>
      <c r="L112" s="931"/>
      <c r="M112" s="806"/>
      <c r="N112" s="1876" t="e">
        <f>63.76/F112/1.13</f>
        <v>#DIV/0!</v>
      </c>
      <c r="O112" s="808"/>
      <c r="P112" s="808"/>
      <c r="R112" s="808"/>
      <c r="S112" s="1877"/>
      <c r="T112" s="808"/>
      <c r="U112" s="187"/>
    </row>
    <row r="113" s="42" customFormat="1" ht="13.2" spans="2:21">
      <c r="B113" s="187"/>
      <c r="C113" s="1874"/>
      <c r="D113" s="187"/>
      <c r="E113" s="931"/>
      <c r="F113" s="187"/>
      <c r="G113" s="931"/>
      <c r="H113" s="187"/>
      <c r="I113" s="931"/>
      <c r="J113" s="1875"/>
      <c r="K113" s="1875"/>
      <c r="L113" s="931"/>
      <c r="M113" s="806"/>
      <c r="N113" s="1876" t="e">
        <f>63.76/F113/1.13</f>
        <v>#DIV/0!</v>
      </c>
      <c r="O113" s="808"/>
      <c r="P113" s="808"/>
      <c r="R113" s="808"/>
      <c r="S113" s="1877"/>
      <c r="T113" s="808"/>
      <c r="U113" s="187"/>
    </row>
    <row r="114" s="42" customFormat="1" ht="13.2" spans="2:21">
      <c r="B114" s="187"/>
      <c r="C114" s="1874"/>
      <c r="D114" s="187"/>
      <c r="E114" s="931"/>
      <c r="F114" s="187"/>
      <c r="G114" s="931"/>
      <c r="H114" s="187"/>
      <c r="I114" s="931"/>
      <c r="J114" s="1875"/>
      <c r="K114" s="1875"/>
      <c r="L114" s="931"/>
      <c r="M114" s="806"/>
      <c r="N114" s="1876"/>
      <c r="O114" s="808"/>
      <c r="P114" s="808"/>
      <c r="R114" s="808"/>
      <c r="S114" s="1877"/>
      <c r="T114" s="808"/>
      <c r="U114" s="187"/>
    </row>
    <row r="115" s="42" customFormat="1" ht="13.2" spans="2:21">
      <c r="B115" s="187"/>
      <c r="C115" s="1874"/>
      <c r="D115" s="187"/>
      <c r="E115" s="931"/>
      <c r="F115" s="187"/>
      <c r="G115" s="931"/>
      <c r="H115" s="187"/>
      <c r="I115" s="931"/>
      <c r="J115" s="1875"/>
      <c r="K115" s="1875"/>
      <c r="L115" s="931"/>
      <c r="M115" s="806"/>
      <c r="N115" s="1876"/>
      <c r="O115" s="808"/>
      <c r="P115" s="808"/>
      <c r="R115" s="808"/>
      <c r="S115" s="1877"/>
      <c r="T115" s="808"/>
      <c r="U115" s="187"/>
    </row>
    <row r="116" s="42" customFormat="1" ht="13.2" spans="2:21">
      <c r="B116" s="187"/>
      <c r="C116" s="1874"/>
      <c r="D116" s="187"/>
      <c r="E116" s="931"/>
      <c r="F116" s="187"/>
      <c r="G116" s="931"/>
      <c r="H116" s="187"/>
      <c r="I116" s="931"/>
      <c r="J116" s="1875"/>
      <c r="K116" s="1875"/>
      <c r="L116" s="931"/>
      <c r="M116" s="806"/>
      <c r="N116" s="1876"/>
      <c r="O116" s="808"/>
      <c r="P116" s="808"/>
      <c r="R116" s="808"/>
      <c r="S116" s="1877"/>
      <c r="T116" s="808"/>
      <c r="U116" s="187"/>
    </row>
    <row r="117" s="42" customFormat="1" ht="13.2" spans="2:21">
      <c r="B117" s="187"/>
      <c r="C117" s="1874"/>
      <c r="D117" s="187"/>
      <c r="E117" s="931"/>
      <c r="F117" s="187"/>
      <c r="G117" s="931"/>
      <c r="H117" s="187"/>
      <c r="I117" s="931"/>
      <c r="J117" s="1875"/>
      <c r="K117" s="1875"/>
      <c r="L117" s="931"/>
      <c r="M117" s="806"/>
      <c r="N117" s="1876"/>
      <c r="O117" s="808"/>
      <c r="P117" s="808"/>
      <c r="R117" s="808"/>
      <c r="S117" s="1877"/>
      <c r="T117" s="808"/>
      <c r="U117" s="187"/>
    </row>
    <row r="118" s="42" customFormat="1" ht="13.2" spans="2:21">
      <c r="B118" s="187"/>
      <c r="C118" s="1874"/>
      <c r="D118" s="187"/>
      <c r="E118" s="931"/>
      <c r="F118" s="187"/>
      <c r="G118" s="931"/>
      <c r="H118" s="187"/>
      <c r="I118" s="931"/>
      <c r="J118" s="1875"/>
      <c r="K118" s="1875"/>
      <c r="L118" s="931"/>
      <c r="M118" s="806"/>
      <c r="N118" s="1876"/>
      <c r="O118" s="808"/>
      <c r="P118" s="808"/>
      <c r="R118" s="808"/>
      <c r="S118" s="1877"/>
      <c r="T118" s="808"/>
      <c r="U118" s="187"/>
    </row>
    <row r="119" s="42" customFormat="1" ht="13.2" spans="2:21">
      <c r="B119" s="187"/>
      <c r="C119" s="1874"/>
      <c r="D119" s="187"/>
      <c r="E119" s="931"/>
      <c r="F119" s="187"/>
      <c r="G119" s="931"/>
      <c r="H119" s="187"/>
      <c r="I119" s="931"/>
      <c r="J119" s="1875"/>
      <c r="K119" s="1875"/>
      <c r="L119" s="931"/>
      <c r="M119" s="806"/>
      <c r="N119" s="1876"/>
      <c r="O119" s="808"/>
      <c r="P119" s="808"/>
      <c r="R119" s="808"/>
      <c r="S119" s="1877"/>
      <c r="T119" s="808"/>
      <c r="U119" s="187"/>
    </row>
    <row r="120" s="42" customFormat="1" ht="13.2" spans="2:21">
      <c r="B120" s="187"/>
      <c r="C120" s="1874"/>
      <c r="D120" s="187"/>
      <c r="E120" s="931"/>
      <c r="F120" s="187"/>
      <c r="G120" s="931"/>
      <c r="H120" s="187"/>
      <c r="I120" s="931"/>
      <c r="J120" s="1875"/>
      <c r="K120" s="1875"/>
      <c r="L120" s="931"/>
      <c r="M120" s="806"/>
      <c r="N120" s="1876"/>
      <c r="O120" s="808"/>
      <c r="P120" s="808"/>
      <c r="R120" s="808"/>
      <c r="S120" s="1877"/>
      <c r="T120" s="808"/>
      <c r="U120" s="187"/>
    </row>
    <row r="121" s="42" customFormat="1" ht="13.2" spans="2:21">
      <c r="B121" s="187"/>
      <c r="C121" s="1874"/>
      <c r="D121" s="187"/>
      <c r="E121" s="931"/>
      <c r="F121" s="187"/>
      <c r="G121" s="931"/>
      <c r="H121" s="187"/>
      <c r="I121" s="931"/>
      <c r="J121" s="1875"/>
      <c r="K121" s="1875"/>
      <c r="L121" s="931"/>
      <c r="M121" s="806"/>
      <c r="N121" s="1876"/>
      <c r="O121" s="808"/>
      <c r="P121" s="808"/>
      <c r="R121" s="808"/>
      <c r="S121" s="1877"/>
      <c r="T121" s="808"/>
      <c r="U121" s="187"/>
    </row>
    <row r="122" s="42" customFormat="1" ht="13.2" spans="2:21">
      <c r="B122" s="187"/>
      <c r="C122" s="1874"/>
      <c r="D122" s="187"/>
      <c r="E122" s="931"/>
      <c r="F122" s="187"/>
      <c r="G122" s="931"/>
      <c r="H122" s="187"/>
      <c r="I122" s="931"/>
      <c r="J122" s="1875"/>
      <c r="K122" s="1875"/>
      <c r="L122" s="931"/>
      <c r="M122" s="806"/>
      <c r="N122" s="1876"/>
      <c r="O122" s="808"/>
      <c r="P122" s="808"/>
      <c r="R122" s="808"/>
      <c r="S122" s="1877"/>
      <c r="T122" s="808"/>
      <c r="U122" s="187"/>
    </row>
    <row r="123" s="42" customFormat="1" ht="13.2" spans="2:21">
      <c r="B123" s="187"/>
      <c r="C123" s="1874"/>
      <c r="D123" s="187"/>
      <c r="E123" s="931"/>
      <c r="F123" s="187"/>
      <c r="G123" s="931"/>
      <c r="H123" s="187"/>
      <c r="I123" s="931"/>
      <c r="J123" s="1875"/>
      <c r="K123" s="1875"/>
      <c r="L123" s="931"/>
      <c r="M123" s="806"/>
      <c r="N123" s="1876"/>
      <c r="O123" s="808"/>
      <c r="P123" s="808"/>
      <c r="R123" s="808"/>
      <c r="S123" s="1877"/>
      <c r="T123" s="808"/>
      <c r="U123" s="187"/>
    </row>
    <row r="124" s="42" customFormat="1" ht="13.2" spans="2:21">
      <c r="B124" s="187"/>
      <c r="C124" s="1874"/>
      <c r="D124" s="187"/>
      <c r="E124" s="931"/>
      <c r="F124" s="187"/>
      <c r="G124" s="931"/>
      <c r="H124" s="187"/>
      <c r="I124" s="931"/>
      <c r="J124" s="1875"/>
      <c r="K124" s="1875"/>
      <c r="L124" s="931"/>
      <c r="M124" s="806"/>
      <c r="N124" s="1876"/>
      <c r="O124" s="808"/>
      <c r="P124" s="808"/>
      <c r="R124" s="808"/>
      <c r="S124" s="1877"/>
      <c r="T124" s="808"/>
      <c r="U124" s="187"/>
    </row>
    <row r="125" s="42" customFormat="1" ht="13.2" spans="2:21">
      <c r="B125" s="187"/>
      <c r="C125" s="1874"/>
      <c r="D125" s="187"/>
      <c r="E125" s="931"/>
      <c r="F125" s="187"/>
      <c r="G125" s="931"/>
      <c r="H125" s="187"/>
      <c r="I125" s="931"/>
      <c r="J125" s="1875"/>
      <c r="K125" s="1875"/>
      <c r="L125" s="931"/>
      <c r="M125" s="806"/>
      <c r="N125" s="1876"/>
      <c r="O125" s="808"/>
      <c r="P125" s="808"/>
      <c r="R125" s="808"/>
      <c r="S125" s="1877"/>
      <c r="T125" s="808"/>
      <c r="U125" s="187"/>
    </row>
    <row r="126" s="42" customFormat="1" ht="13.2" spans="2:21">
      <c r="B126" s="187"/>
      <c r="C126" s="1874"/>
      <c r="D126" s="187"/>
      <c r="E126" s="931"/>
      <c r="F126" s="187"/>
      <c r="G126" s="931"/>
      <c r="H126" s="187"/>
      <c r="I126" s="931"/>
      <c r="J126" s="1875"/>
      <c r="K126" s="1875"/>
      <c r="L126" s="931"/>
      <c r="M126" s="806"/>
      <c r="N126" s="1876"/>
      <c r="O126" s="808"/>
      <c r="P126" s="808"/>
      <c r="R126" s="808"/>
      <c r="S126" s="1877"/>
      <c r="T126" s="808"/>
      <c r="U126" s="187"/>
    </row>
    <row r="127" s="42" customFormat="1" ht="13.2" spans="2:21">
      <c r="B127" s="187"/>
      <c r="C127" s="1874"/>
      <c r="D127" s="187"/>
      <c r="E127" s="931"/>
      <c r="F127" s="187"/>
      <c r="G127" s="931"/>
      <c r="H127" s="187"/>
      <c r="I127" s="931"/>
      <c r="J127" s="1875"/>
      <c r="K127" s="1875"/>
      <c r="L127" s="931"/>
      <c r="M127" s="806"/>
      <c r="N127" s="1876"/>
      <c r="O127" s="808"/>
      <c r="P127" s="808"/>
      <c r="R127" s="808"/>
      <c r="S127" s="1877"/>
      <c r="T127" s="808"/>
      <c r="U127" s="187"/>
    </row>
    <row r="128" s="42" customFormat="1" ht="13.2" spans="2:21">
      <c r="B128" s="187"/>
      <c r="C128" s="1874"/>
      <c r="D128" s="187"/>
      <c r="E128" s="931"/>
      <c r="F128" s="187"/>
      <c r="G128" s="931"/>
      <c r="H128" s="187"/>
      <c r="I128" s="931"/>
      <c r="J128" s="1875"/>
      <c r="K128" s="1875"/>
      <c r="L128" s="931"/>
      <c r="M128" s="806"/>
      <c r="N128" s="1876"/>
      <c r="O128" s="808"/>
      <c r="P128" s="808"/>
      <c r="R128" s="808"/>
      <c r="S128" s="1877"/>
      <c r="T128" s="808"/>
      <c r="U128" s="187"/>
    </row>
    <row r="129" s="42" customFormat="1" ht="13.2" spans="2:21">
      <c r="B129" s="187"/>
      <c r="C129" s="1874"/>
      <c r="D129" s="187"/>
      <c r="E129" s="931"/>
      <c r="F129" s="187" t="s">
        <v>667</v>
      </c>
      <c r="G129" s="931"/>
      <c r="H129" s="187"/>
      <c r="I129" s="931"/>
      <c r="J129" s="1875"/>
      <c r="K129" s="1875"/>
      <c r="L129" s="931"/>
      <c r="M129" s="806"/>
      <c r="N129" s="1876" t="e">
        <f>37.88/D129/1.13</f>
        <v>#DIV/0!</v>
      </c>
      <c r="O129" s="808"/>
      <c r="P129" s="808"/>
      <c r="R129" s="808">
        <v>3.15</v>
      </c>
      <c r="S129" s="1877"/>
      <c r="T129" s="808">
        <v>19.29</v>
      </c>
      <c r="U129" s="187"/>
    </row>
    <row r="130" s="42" customFormat="1" ht="13.2" spans="2:21">
      <c r="B130" s="187"/>
      <c r="C130" s="1874"/>
      <c r="D130" s="187"/>
      <c r="E130" s="931"/>
      <c r="F130" s="187"/>
      <c r="G130" s="931"/>
      <c r="H130" s="187"/>
      <c r="I130" s="931"/>
      <c r="J130" s="1875"/>
      <c r="K130" s="1875"/>
      <c r="L130" s="931"/>
      <c r="M130" s="806"/>
      <c r="N130" s="1876"/>
      <c r="O130" s="808"/>
      <c r="P130" s="808"/>
      <c r="R130" s="808"/>
      <c r="S130" s="1877"/>
      <c r="T130" s="808"/>
      <c r="U130" s="187"/>
    </row>
    <row r="131" s="42" customFormat="1" ht="13.2" spans="2:21">
      <c r="B131" s="187"/>
      <c r="C131" s="1874"/>
      <c r="D131" s="187"/>
      <c r="E131" s="931"/>
      <c r="F131" s="187"/>
      <c r="G131" s="931"/>
      <c r="H131" s="187"/>
      <c r="I131" s="931"/>
      <c r="J131" s="1875"/>
      <c r="K131" s="1875"/>
      <c r="L131" s="931"/>
      <c r="M131" s="806"/>
      <c r="N131" s="1876"/>
      <c r="O131" s="808"/>
      <c r="P131" s="808"/>
      <c r="R131" s="808"/>
      <c r="S131" s="1877"/>
      <c r="T131" s="808"/>
      <c r="U131" s="187"/>
    </row>
    <row r="132" s="42" customFormat="1" ht="13.2" spans="2:21">
      <c r="B132" s="187"/>
      <c r="C132" s="1874"/>
      <c r="D132" s="187"/>
      <c r="E132" s="931"/>
      <c r="F132" s="187"/>
      <c r="G132" s="931"/>
      <c r="H132" s="187"/>
      <c r="I132" s="931"/>
      <c r="J132" s="1875"/>
      <c r="K132" s="1875"/>
      <c r="L132" s="931"/>
      <c r="M132" s="806"/>
      <c r="N132" s="1876"/>
      <c r="O132" s="808"/>
      <c r="P132" s="808"/>
      <c r="R132" s="808"/>
      <c r="S132" s="1877"/>
      <c r="T132" s="808"/>
      <c r="U132" s="187"/>
    </row>
    <row r="133" s="42" customFormat="1" ht="13.2" spans="2:21">
      <c r="B133" s="187"/>
      <c r="C133" s="1874"/>
      <c r="D133" s="187"/>
      <c r="E133" s="931"/>
      <c r="F133" s="187"/>
      <c r="G133" s="931"/>
      <c r="H133" s="187"/>
      <c r="I133" s="931"/>
      <c r="J133" s="1875"/>
      <c r="K133" s="1875"/>
      <c r="L133" s="931"/>
      <c r="M133" s="806"/>
      <c r="N133" s="1876"/>
      <c r="O133" s="808"/>
      <c r="P133" s="808"/>
      <c r="R133" s="808"/>
      <c r="S133" s="1877"/>
      <c r="T133" s="808"/>
      <c r="U133" s="187"/>
    </row>
    <row r="134" s="42" customFormat="1" ht="13.2" spans="2:21">
      <c r="B134" s="187"/>
      <c r="C134" s="1874"/>
      <c r="D134" s="187"/>
      <c r="E134" s="931"/>
      <c r="F134" s="187"/>
      <c r="G134" s="931"/>
      <c r="H134" s="187"/>
      <c r="I134" s="931"/>
      <c r="J134" s="1875"/>
      <c r="K134" s="1875"/>
      <c r="L134" s="931"/>
      <c r="M134" s="806"/>
      <c r="N134" s="1876" t="e">
        <f>32.97/D134/1.13</f>
        <v>#DIV/0!</v>
      </c>
      <c r="O134" s="808"/>
      <c r="P134" s="808"/>
      <c r="R134" s="808"/>
      <c r="S134" s="1877"/>
      <c r="T134" s="808"/>
      <c r="U134" s="187"/>
    </row>
    <row r="135" s="42" customFormat="1" ht="13.2" spans="2:21">
      <c r="B135" s="187"/>
      <c r="C135" s="1874"/>
      <c r="D135" s="187"/>
      <c r="E135" s="931"/>
      <c r="F135" s="187"/>
      <c r="G135" s="931"/>
      <c r="H135" s="187"/>
      <c r="I135" s="931"/>
      <c r="J135" s="1875"/>
      <c r="K135" s="1875"/>
      <c r="L135" s="931"/>
      <c r="M135" s="806"/>
      <c r="N135" s="1876"/>
      <c r="O135" s="808"/>
      <c r="P135" s="808"/>
      <c r="R135" s="808"/>
      <c r="S135" s="1877"/>
      <c r="T135" s="808"/>
      <c r="U135" s="187"/>
    </row>
    <row r="136" s="42" customFormat="1" ht="13.2" spans="2:21">
      <c r="B136" s="187"/>
      <c r="C136" s="1874"/>
      <c r="D136" s="187"/>
      <c r="E136" s="931"/>
      <c r="F136" s="187"/>
      <c r="G136" s="931"/>
      <c r="H136" s="187"/>
      <c r="I136" s="931"/>
      <c r="J136" s="1875"/>
      <c r="K136" s="1875"/>
      <c r="L136" s="931"/>
      <c r="M136" s="806"/>
      <c r="N136" s="1876"/>
      <c r="O136" s="808"/>
      <c r="P136" s="808"/>
      <c r="R136" s="808"/>
      <c r="S136" s="1877"/>
      <c r="T136" s="808"/>
      <c r="U136" s="187"/>
    </row>
    <row r="137" s="42" customFormat="1" ht="13.2" spans="2:21">
      <c r="B137" s="187"/>
      <c r="C137" s="1874"/>
      <c r="D137" s="187"/>
      <c r="E137" s="931"/>
      <c r="F137" s="187"/>
      <c r="G137" s="931"/>
      <c r="H137" s="187"/>
      <c r="I137" s="931"/>
      <c r="J137" s="1875"/>
      <c r="K137" s="1875"/>
      <c r="L137" s="931"/>
      <c r="M137" s="806"/>
      <c r="N137" s="1876"/>
      <c r="O137" s="808"/>
      <c r="P137" s="808"/>
      <c r="R137" s="808"/>
      <c r="S137" s="1877"/>
      <c r="T137" s="808"/>
      <c r="U137" s="187"/>
    </row>
    <row r="138" s="42" customFormat="1" ht="13.2" spans="2:21">
      <c r="B138" s="187"/>
      <c r="C138" s="1874"/>
      <c r="D138" s="187"/>
      <c r="E138" s="931"/>
      <c r="F138" s="187"/>
      <c r="G138" s="931"/>
      <c r="H138" s="187"/>
      <c r="I138" s="931"/>
      <c r="J138" s="1875"/>
      <c r="K138" s="1875"/>
      <c r="L138" s="931"/>
      <c r="M138" s="806"/>
      <c r="N138" s="1876"/>
      <c r="O138" s="808"/>
      <c r="P138" s="808"/>
      <c r="R138" s="808"/>
      <c r="S138" s="1877"/>
      <c r="T138" s="808"/>
      <c r="U138" s="187"/>
    </row>
    <row r="139" s="42" customFormat="1" ht="13.2" spans="2:21">
      <c r="B139" s="187"/>
      <c r="C139" s="1874"/>
      <c r="D139" s="187"/>
      <c r="E139" s="931"/>
      <c r="F139" s="187"/>
      <c r="G139" s="931"/>
      <c r="H139" s="187"/>
      <c r="I139" s="931"/>
      <c r="J139" s="1875"/>
      <c r="K139" s="1875"/>
      <c r="L139" s="931"/>
      <c r="M139" s="806"/>
      <c r="N139" s="1876"/>
      <c r="O139" s="808"/>
      <c r="P139" s="808"/>
      <c r="R139" s="808"/>
      <c r="S139" s="1877"/>
      <c r="T139" s="808"/>
      <c r="U139" s="187"/>
    </row>
    <row r="140" s="42" customFormat="1" ht="13.2" spans="2:21">
      <c r="B140" s="187"/>
      <c r="C140" s="1874"/>
      <c r="D140" s="187"/>
      <c r="E140" s="931"/>
      <c r="F140" s="187"/>
      <c r="G140" s="931"/>
      <c r="H140" s="187"/>
      <c r="I140" s="931"/>
      <c r="J140" s="1875"/>
      <c r="K140" s="1875"/>
      <c r="L140" s="931"/>
      <c r="M140" s="806"/>
      <c r="N140" s="1876"/>
      <c r="O140" s="808"/>
      <c r="P140" s="808"/>
      <c r="R140" s="808"/>
      <c r="S140" s="1877"/>
      <c r="T140" s="808"/>
      <c r="U140" s="187"/>
    </row>
    <row r="141" s="42" customFormat="1" ht="13.2" spans="2:21">
      <c r="B141" s="187"/>
      <c r="C141" s="1874"/>
      <c r="D141" s="187"/>
      <c r="E141" s="931"/>
      <c r="F141" s="187"/>
      <c r="G141" s="931"/>
      <c r="H141" s="187"/>
      <c r="I141" s="931"/>
      <c r="J141" s="1875"/>
      <c r="K141" s="1875"/>
      <c r="L141" s="931"/>
      <c r="M141" s="806"/>
      <c r="N141" s="1876"/>
      <c r="O141" s="808"/>
      <c r="P141" s="808"/>
      <c r="R141" s="808"/>
      <c r="S141" s="1877"/>
      <c r="T141" s="808"/>
      <c r="U141" s="187"/>
    </row>
    <row r="142" s="42" customFormat="1" ht="13.2" spans="2:21">
      <c r="B142" s="187"/>
      <c r="C142" s="1874"/>
      <c r="D142" s="187"/>
      <c r="E142" s="931"/>
      <c r="F142" s="187"/>
      <c r="G142" s="931"/>
      <c r="H142" s="187"/>
      <c r="I142" s="931"/>
      <c r="J142" s="1875"/>
      <c r="K142" s="1875"/>
      <c r="L142" s="931"/>
      <c r="M142" s="806"/>
      <c r="N142" s="1876"/>
      <c r="O142" s="808"/>
      <c r="P142" s="808"/>
      <c r="R142" s="808"/>
      <c r="S142" s="1877"/>
      <c r="T142" s="808"/>
      <c r="U142" s="187"/>
    </row>
    <row r="143" s="42" customFormat="1" ht="13.2" spans="2:21">
      <c r="B143" s="187"/>
      <c r="C143" s="1874"/>
      <c r="D143" s="187"/>
      <c r="E143" s="931"/>
      <c r="F143" s="187"/>
      <c r="G143" s="931"/>
      <c r="H143" s="187"/>
      <c r="I143" s="931"/>
      <c r="J143" s="1875"/>
      <c r="K143" s="1875"/>
      <c r="L143" s="931"/>
      <c r="M143" s="806"/>
      <c r="N143" s="1876"/>
      <c r="O143" s="808"/>
      <c r="P143" s="808"/>
      <c r="R143" s="808"/>
      <c r="S143" s="1877"/>
      <c r="T143" s="808"/>
      <c r="U143" s="187"/>
    </row>
    <row r="144" s="42" customFormat="1" ht="13.2" spans="2:21">
      <c r="B144" s="187"/>
      <c r="C144" s="1874"/>
      <c r="D144" s="187"/>
      <c r="E144" s="931"/>
      <c r="F144" s="187"/>
      <c r="G144" s="931"/>
      <c r="H144" s="187"/>
      <c r="I144" s="931"/>
      <c r="J144" s="1875"/>
      <c r="K144" s="1875"/>
      <c r="L144" s="931"/>
      <c r="M144" s="806"/>
      <c r="N144" s="1876"/>
      <c r="O144" s="808"/>
      <c r="P144" s="808"/>
      <c r="R144" s="808"/>
      <c r="S144" s="1877"/>
      <c r="T144" s="808"/>
      <c r="U144" s="187"/>
    </row>
    <row r="145" s="42" customFormat="1" ht="13.2" spans="2:21">
      <c r="B145" s="187"/>
      <c r="C145" s="1874"/>
      <c r="D145" s="187"/>
      <c r="E145" s="931"/>
      <c r="F145" s="187"/>
      <c r="G145" s="931"/>
      <c r="H145" s="187"/>
      <c r="I145" s="931"/>
      <c r="J145" s="1875"/>
      <c r="K145" s="1875"/>
      <c r="L145" s="931"/>
      <c r="M145" s="806"/>
      <c r="N145" s="1876"/>
      <c r="O145" s="808"/>
      <c r="P145" s="808"/>
      <c r="R145" s="808"/>
      <c r="S145" s="1877"/>
      <c r="T145" s="808"/>
      <c r="U145" s="187"/>
    </row>
    <row r="146" s="42" customFormat="1" ht="13.2" spans="2:21">
      <c r="B146" s="187"/>
      <c r="C146" s="1874"/>
      <c r="D146" s="187"/>
      <c r="E146" s="931"/>
      <c r="F146" s="187"/>
      <c r="G146" s="931"/>
      <c r="H146" s="187"/>
      <c r="I146" s="931"/>
      <c r="J146" s="1875"/>
      <c r="K146" s="1875"/>
      <c r="L146" s="931"/>
      <c r="M146" s="806"/>
      <c r="N146" s="1876"/>
      <c r="O146" s="808"/>
      <c r="P146" s="808"/>
      <c r="R146" s="808"/>
      <c r="S146" s="1877"/>
      <c r="T146" s="808"/>
      <c r="U146" s="187"/>
    </row>
    <row r="147" s="42" customFormat="1" ht="13.2" spans="2:21">
      <c r="B147" s="187"/>
      <c r="C147" s="1874"/>
      <c r="D147" s="187"/>
      <c r="E147" s="931"/>
      <c r="F147" s="187"/>
      <c r="G147" s="931"/>
      <c r="H147" s="187"/>
      <c r="I147" s="931"/>
      <c r="J147" s="1875"/>
      <c r="K147" s="1875"/>
      <c r="L147" s="931"/>
      <c r="M147" s="806"/>
      <c r="N147" s="1876"/>
      <c r="O147" s="808"/>
      <c r="P147" s="808"/>
      <c r="R147" s="808"/>
      <c r="S147" s="1877"/>
      <c r="T147" s="808"/>
      <c r="U147" s="187"/>
    </row>
    <row r="148" s="42" customFormat="1" ht="13.2" spans="2:21">
      <c r="B148" s="187"/>
      <c r="C148" s="1874"/>
      <c r="D148" s="187"/>
      <c r="E148" s="931"/>
      <c r="F148" s="187"/>
      <c r="G148" s="931"/>
      <c r="H148" s="187"/>
      <c r="I148" s="931"/>
      <c r="J148" s="1875"/>
      <c r="K148" s="1875"/>
      <c r="L148" s="931"/>
      <c r="M148" s="806"/>
      <c r="N148" s="1876"/>
      <c r="O148" s="808"/>
      <c r="P148" s="808"/>
      <c r="R148" s="808"/>
      <c r="S148" s="1877"/>
      <c r="T148" s="808"/>
      <c r="U148" s="187"/>
    </row>
    <row r="149" s="42" customFormat="1" ht="13.2" spans="2:21">
      <c r="B149" s="187"/>
      <c r="C149" s="1874"/>
      <c r="D149" s="187"/>
      <c r="E149" s="931"/>
      <c r="F149" s="187"/>
      <c r="G149" s="931"/>
      <c r="H149" s="187"/>
      <c r="I149" s="931"/>
      <c r="J149" s="1875"/>
      <c r="K149" s="1875"/>
      <c r="L149" s="931"/>
      <c r="M149" s="806"/>
      <c r="N149" s="1876"/>
      <c r="O149" s="808"/>
      <c r="P149" s="808"/>
      <c r="R149" s="808"/>
      <c r="S149" s="1877"/>
      <c r="T149" s="808"/>
      <c r="U149" s="187"/>
    </row>
    <row r="150" s="42" customFormat="1" ht="13.2" spans="2:21">
      <c r="B150" s="187"/>
      <c r="C150" s="1874"/>
      <c r="D150" s="187"/>
      <c r="E150" s="931"/>
      <c r="F150" s="187"/>
      <c r="G150" s="931"/>
      <c r="H150" s="187"/>
      <c r="I150" s="931"/>
      <c r="J150" s="1875"/>
      <c r="K150" s="1875"/>
      <c r="L150" s="931"/>
      <c r="M150" s="806"/>
      <c r="N150" s="1876"/>
      <c r="O150" s="808"/>
      <c r="P150" s="808"/>
      <c r="R150" s="808"/>
      <c r="S150" s="1877"/>
      <c r="T150" s="808"/>
      <c r="U150" s="187"/>
    </row>
    <row r="151" s="42" customFormat="1" ht="13.2" spans="2:21">
      <c r="B151" s="187"/>
      <c r="C151" s="1874"/>
      <c r="D151" s="187"/>
      <c r="E151" s="931"/>
      <c r="F151" s="187"/>
      <c r="G151" s="931"/>
      <c r="H151" s="187"/>
      <c r="I151" s="931"/>
      <c r="J151" s="1875"/>
      <c r="K151" s="1875"/>
      <c r="L151" s="931"/>
      <c r="M151" s="806"/>
      <c r="N151" s="1876"/>
      <c r="O151" s="808"/>
      <c r="P151" s="808"/>
      <c r="R151" s="808"/>
      <c r="S151" s="1877"/>
      <c r="T151" s="808"/>
      <c r="U151" s="187"/>
    </row>
    <row r="152" s="42" customFormat="1" ht="13.2" spans="2:21">
      <c r="B152" s="187"/>
      <c r="C152" s="1874"/>
      <c r="D152" s="187"/>
      <c r="E152" s="931"/>
      <c r="F152" s="187"/>
      <c r="G152" s="931"/>
      <c r="H152" s="187"/>
      <c r="I152" s="931"/>
      <c r="J152" s="1875"/>
      <c r="K152" s="1875"/>
      <c r="L152" s="931"/>
      <c r="M152" s="806"/>
      <c r="N152" s="1876"/>
      <c r="O152" s="808"/>
      <c r="P152" s="808"/>
      <c r="R152" s="808"/>
      <c r="S152" s="1877"/>
      <c r="T152" s="808"/>
      <c r="U152" s="187"/>
    </row>
    <row r="153" s="42" customFormat="1" ht="13.2" spans="2:21">
      <c r="B153" s="187"/>
      <c r="C153" s="1874"/>
      <c r="D153" s="187"/>
      <c r="E153" s="931"/>
      <c r="F153" s="187"/>
      <c r="G153" s="931"/>
      <c r="H153" s="187"/>
      <c r="I153" s="931"/>
      <c r="J153" s="1875"/>
      <c r="K153" s="1875"/>
      <c r="L153" s="931"/>
      <c r="M153" s="806"/>
      <c r="N153" s="1876"/>
      <c r="O153" s="808"/>
      <c r="P153" s="808"/>
      <c r="R153" s="808"/>
      <c r="S153" s="1877"/>
      <c r="T153" s="808"/>
      <c r="U153" s="187"/>
    </row>
    <row r="154" s="42" customFormat="1" ht="13.2" spans="2:21">
      <c r="B154" s="187"/>
      <c r="C154" s="1874"/>
      <c r="D154" s="187"/>
      <c r="E154" s="931"/>
      <c r="F154" s="187"/>
      <c r="G154" s="931"/>
      <c r="H154" s="187"/>
      <c r="I154" s="931"/>
      <c r="J154" s="1875"/>
      <c r="K154" s="1875"/>
      <c r="L154" s="931"/>
      <c r="M154" s="806"/>
      <c r="N154" s="1876"/>
      <c r="O154" s="808"/>
      <c r="P154" s="808"/>
      <c r="R154" s="808"/>
      <c r="S154" s="1877"/>
      <c r="T154" s="808"/>
      <c r="U154" s="187"/>
    </row>
    <row r="155" s="42" customFormat="1" ht="13.2" spans="2:21">
      <c r="B155" s="187"/>
      <c r="C155" s="1874"/>
      <c r="D155" s="187"/>
      <c r="E155" s="931"/>
      <c r="F155" s="187"/>
      <c r="G155" s="931"/>
      <c r="H155" s="187"/>
      <c r="I155" s="931"/>
      <c r="J155" s="1875"/>
      <c r="K155" s="1875"/>
      <c r="L155" s="931"/>
      <c r="M155" s="806"/>
      <c r="N155" s="1876"/>
      <c r="O155" s="808"/>
      <c r="P155" s="808"/>
      <c r="R155" s="808"/>
      <c r="S155" s="1877"/>
      <c r="T155" s="808"/>
      <c r="U155" s="187"/>
    </row>
    <row r="156" s="42" customFormat="1" ht="13.2" spans="2:21">
      <c r="B156" s="187"/>
      <c r="C156" s="1874"/>
      <c r="D156" s="187"/>
      <c r="E156" s="931"/>
      <c r="F156" s="187"/>
      <c r="G156" s="931"/>
      <c r="H156" s="187"/>
      <c r="I156" s="931"/>
      <c r="J156" s="1875"/>
      <c r="K156" s="1875"/>
      <c r="L156" s="931"/>
      <c r="M156" s="806"/>
      <c r="N156" s="1876"/>
      <c r="O156" s="808"/>
      <c r="P156" s="808"/>
      <c r="R156" s="808"/>
      <c r="S156" s="1877"/>
      <c r="T156" s="808"/>
      <c r="U156" s="187"/>
    </row>
    <row r="157" s="42" customFormat="1" ht="13.2" spans="2:21">
      <c r="B157" s="187"/>
      <c r="C157" s="1874"/>
      <c r="D157" s="187"/>
      <c r="E157" s="931"/>
      <c r="F157" s="187"/>
      <c r="G157" s="931"/>
      <c r="H157" s="187"/>
      <c r="I157" s="931"/>
      <c r="J157" s="1875"/>
      <c r="K157" s="1875"/>
      <c r="L157" s="931"/>
      <c r="M157" s="806"/>
      <c r="N157" s="1876"/>
      <c r="O157" s="808"/>
      <c r="P157" s="808"/>
      <c r="R157" s="808"/>
      <c r="S157" s="1877"/>
      <c r="T157" s="808"/>
      <c r="U157" s="187"/>
    </row>
    <row r="158" s="42" customFormat="1" ht="13.2" spans="2:21">
      <c r="B158" s="187"/>
      <c r="C158" s="1874"/>
      <c r="D158" s="187"/>
      <c r="E158" s="931"/>
      <c r="F158" s="187"/>
      <c r="G158" s="931"/>
      <c r="H158" s="187"/>
      <c r="I158" s="931"/>
      <c r="J158" s="1875"/>
      <c r="K158" s="1875"/>
      <c r="L158" s="931"/>
      <c r="M158" s="806"/>
      <c r="N158" s="1876"/>
      <c r="O158" s="808"/>
      <c r="P158" s="808"/>
      <c r="R158" s="808"/>
      <c r="S158" s="1877"/>
      <c r="T158" s="808"/>
      <c r="U158" s="187"/>
    </row>
    <row r="159" s="42" customFormat="1" ht="13.2" spans="2:21">
      <c r="B159" s="187"/>
      <c r="C159" s="1874"/>
      <c r="D159" s="187"/>
      <c r="E159" s="931"/>
      <c r="F159" s="187"/>
      <c r="G159" s="931"/>
      <c r="H159" s="187"/>
      <c r="I159" s="931"/>
      <c r="J159" s="1875"/>
      <c r="K159" s="1875"/>
      <c r="L159" s="931"/>
      <c r="M159" s="806"/>
      <c r="N159" s="1876"/>
      <c r="O159" s="808"/>
      <c r="P159" s="808"/>
      <c r="R159" s="808"/>
      <c r="S159" s="1877"/>
      <c r="T159" s="808"/>
      <c r="U159" s="187"/>
    </row>
    <row r="160" s="42" customFormat="1" ht="13.2" spans="2:21">
      <c r="B160" s="187"/>
      <c r="C160" s="1874"/>
      <c r="D160" s="187"/>
      <c r="E160" s="931"/>
      <c r="F160" s="187"/>
      <c r="G160" s="931"/>
      <c r="H160" s="187"/>
      <c r="I160" s="931"/>
      <c r="J160" s="1875"/>
      <c r="K160" s="1875"/>
      <c r="L160" s="931"/>
      <c r="M160" s="806"/>
      <c r="N160" s="1876"/>
      <c r="O160" s="808"/>
      <c r="P160" s="808"/>
      <c r="R160" s="808"/>
      <c r="S160" s="1877"/>
      <c r="T160" s="808"/>
      <c r="U160" s="187"/>
    </row>
    <row r="161" s="42" customFormat="1" ht="13.2" spans="2:21">
      <c r="B161" s="187"/>
      <c r="C161" s="1874"/>
      <c r="D161" s="187"/>
      <c r="E161" s="931"/>
      <c r="F161" s="187"/>
      <c r="G161" s="931"/>
      <c r="H161" s="187"/>
      <c r="I161" s="931"/>
      <c r="J161" s="1875"/>
      <c r="K161" s="1875"/>
      <c r="L161" s="931"/>
      <c r="M161" s="806"/>
      <c r="N161" s="1876"/>
      <c r="O161" s="808"/>
      <c r="P161" s="808"/>
      <c r="R161" s="808"/>
      <c r="S161" s="1877"/>
      <c r="T161" s="808"/>
      <c r="U161" s="187"/>
    </row>
    <row r="162" s="42" customFormat="1" ht="13.2" spans="2:21">
      <c r="B162" s="187"/>
      <c r="C162" s="1874"/>
      <c r="D162" s="187"/>
      <c r="E162" s="931"/>
      <c r="F162" s="187"/>
      <c r="G162" s="931"/>
      <c r="H162" s="187"/>
      <c r="I162" s="931"/>
      <c r="J162" s="1875"/>
      <c r="K162" s="1875"/>
      <c r="L162" s="931"/>
      <c r="M162" s="806"/>
      <c r="N162" s="1876"/>
      <c r="O162" s="808"/>
      <c r="P162" s="808"/>
      <c r="R162" s="808"/>
      <c r="S162" s="1877"/>
      <c r="T162" s="808"/>
      <c r="U162" s="187"/>
    </row>
    <row r="163" s="42" customFormat="1" ht="13.2" spans="2:21">
      <c r="B163" s="187"/>
      <c r="C163" s="1874"/>
      <c r="D163" s="187"/>
      <c r="E163" s="931"/>
      <c r="F163" s="187"/>
      <c r="G163" s="931"/>
      <c r="H163" s="187"/>
      <c r="I163" s="931"/>
      <c r="J163" s="1875"/>
      <c r="K163" s="1875"/>
      <c r="L163" s="931"/>
      <c r="M163" s="806"/>
      <c r="N163" s="1876"/>
      <c r="O163" s="808"/>
      <c r="P163" s="808"/>
      <c r="R163" s="808"/>
      <c r="S163" s="1877"/>
      <c r="T163" s="808"/>
      <c r="U163" s="187"/>
    </row>
    <row r="164" s="42" customFormat="1" ht="13.2" spans="2:21">
      <c r="B164" s="187"/>
      <c r="C164" s="1874"/>
      <c r="D164" s="187"/>
      <c r="E164" s="931"/>
      <c r="F164" s="187"/>
      <c r="G164" s="931"/>
      <c r="H164" s="187"/>
      <c r="I164" s="931"/>
      <c r="J164" s="1875"/>
      <c r="K164" s="1875"/>
      <c r="L164" s="931"/>
      <c r="M164" s="806"/>
      <c r="N164" s="1876"/>
      <c r="O164" s="808"/>
      <c r="P164" s="808"/>
      <c r="R164" s="808"/>
      <c r="S164" s="1877"/>
      <c r="T164" s="808"/>
      <c r="U164" s="187"/>
    </row>
    <row r="165" s="42" customFormat="1" ht="13.2" spans="2:21">
      <c r="B165" s="187"/>
      <c r="C165" s="1874"/>
      <c r="D165" s="187"/>
      <c r="E165" s="931"/>
      <c r="F165" s="187"/>
      <c r="G165" s="931"/>
      <c r="H165" s="187"/>
      <c r="I165" s="931"/>
      <c r="J165" s="1875"/>
      <c r="K165" s="1875"/>
      <c r="L165" s="931"/>
      <c r="M165" s="806"/>
      <c r="N165" s="1876"/>
      <c r="O165" s="808"/>
      <c r="P165" s="808"/>
      <c r="R165" s="808"/>
      <c r="S165" s="1877"/>
      <c r="T165" s="808"/>
      <c r="U165" s="187"/>
    </row>
    <row r="166" s="42" customFormat="1" ht="13.2" spans="2:21">
      <c r="B166" s="187"/>
      <c r="C166" s="1874"/>
      <c r="D166" s="187"/>
      <c r="E166" s="931"/>
      <c r="F166" s="187"/>
      <c r="G166" s="931"/>
      <c r="H166" s="187"/>
      <c r="I166" s="931"/>
      <c r="J166" s="1875"/>
      <c r="K166" s="1875"/>
      <c r="L166" s="931"/>
      <c r="M166" s="806"/>
      <c r="N166" s="1876"/>
      <c r="O166" s="808"/>
      <c r="P166" s="808"/>
      <c r="R166" s="808"/>
      <c r="S166" s="1877"/>
      <c r="T166" s="808"/>
      <c r="U166" s="187"/>
    </row>
    <row r="167" s="42" customFormat="1" ht="13.2" spans="2:21">
      <c r="B167" s="187"/>
      <c r="C167" s="1874"/>
      <c r="D167" s="187"/>
      <c r="E167" s="931"/>
      <c r="F167" s="187"/>
      <c r="G167" s="931"/>
      <c r="H167" s="187"/>
      <c r="I167" s="931"/>
      <c r="J167" s="1875"/>
      <c r="K167" s="1875"/>
      <c r="L167" s="931"/>
      <c r="M167" s="806"/>
      <c r="N167" s="1876"/>
      <c r="O167" s="808"/>
      <c r="P167" s="808"/>
      <c r="R167" s="808"/>
      <c r="S167" s="1877"/>
      <c r="T167" s="808"/>
      <c r="U167" s="187"/>
    </row>
    <row r="168" s="42" customFormat="1" ht="13.2" spans="2:21">
      <c r="B168" s="187"/>
      <c r="C168" s="1874"/>
      <c r="D168" s="187"/>
      <c r="E168" s="931"/>
      <c r="F168" s="187"/>
      <c r="G168" s="931"/>
      <c r="H168" s="187"/>
      <c r="I168" s="931"/>
      <c r="J168" s="1875"/>
      <c r="K168" s="1875"/>
      <c r="L168" s="931"/>
      <c r="M168" s="806"/>
      <c r="N168" s="1876"/>
      <c r="O168" s="808"/>
      <c r="P168" s="808"/>
      <c r="R168" s="808"/>
      <c r="S168" s="1877"/>
      <c r="T168" s="808"/>
      <c r="U168" s="187"/>
    </row>
    <row r="169" s="42" customFormat="1" ht="13.2" spans="2:21">
      <c r="B169" s="187"/>
      <c r="C169" s="1874"/>
      <c r="D169" s="187"/>
      <c r="E169" s="931"/>
      <c r="F169" s="187"/>
      <c r="G169" s="931"/>
      <c r="H169" s="187"/>
      <c r="I169" s="931"/>
      <c r="J169" s="1875"/>
      <c r="K169" s="1875"/>
      <c r="L169" s="931"/>
      <c r="M169" s="806"/>
      <c r="N169" s="1876"/>
      <c r="O169" s="808"/>
      <c r="P169" s="808"/>
      <c r="R169" s="808"/>
      <c r="S169" s="1877"/>
      <c r="T169" s="808"/>
      <c r="U169" s="187"/>
    </row>
    <row r="170" s="42" customFormat="1" ht="13.2" spans="2:21">
      <c r="B170" s="187"/>
      <c r="C170" s="1874"/>
      <c r="D170" s="187"/>
      <c r="E170" s="931"/>
      <c r="F170" s="187"/>
      <c r="G170" s="931"/>
      <c r="H170" s="187"/>
      <c r="I170" s="931"/>
      <c r="J170" s="1875"/>
      <c r="K170" s="1875"/>
      <c r="L170" s="931"/>
      <c r="M170" s="806"/>
      <c r="N170" s="1876"/>
      <c r="O170" s="808"/>
      <c r="P170" s="808"/>
      <c r="R170" s="808"/>
      <c r="S170" s="1877"/>
      <c r="T170" s="808"/>
      <c r="U170" s="187"/>
    </row>
    <row r="171" s="42" customFormat="1" ht="13.2" spans="2:21">
      <c r="B171" s="187"/>
      <c r="C171" s="1874"/>
      <c r="D171" s="187"/>
      <c r="E171" s="931"/>
      <c r="F171" s="187"/>
      <c r="G171" s="931"/>
      <c r="H171" s="187"/>
      <c r="I171" s="931"/>
      <c r="J171" s="1875"/>
      <c r="K171" s="1875"/>
      <c r="L171" s="931"/>
      <c r="M171" s="806"/>
      <c r="N171" s="1876"/>
      <c r="O171" s="808"/>
      <c r="P171" s="808"/>
      <c r="R171" s="808"/>
      <c r="S171" s="1877"/>
      <c r="T171" s="808"/>
      <c r="U171" s="187"/>
    </row>
    <row r="172" s="42" customFormat="1" ht="13.2" spans="2:21">
      <c r="B172" s="187"/>
      <c r="C172" s="1874"/>
      <c r="D172" s="187"/>
      <c r="E172" s="931"/>
      <c r="F172" s="187"/>
      <c r="G172" s="931"/>
      <c r="H172" s="187"/>
      <c r="I172" s="931"/>
      <c r="J172" s="1875"/>
      <c r="K172" s="1875"/>
      <c r="L172" s="931"/>
      <c r="M172" s="806"/>
      <c r="N172" s="1876"/>
      <c r="O172" s="808"/>
      <c r="P172" s="808"/>
      <c r="R172" s="808"/>
      <c r="S172" s="1877"/>
      <c r="T172" s="808"/>
      <c r="U172" s="187"/>
    </row>
    <row r="173" s="42" customFormat="1" ht="13.2" spans="2:21">
      <c r="B173" s="187"/>
      <c r="C173" s="1874"/>
      <c r="D173" s="187"/>
      <c r="E173" s="931"/>
      <c r="F173" s="187"/>
      <c r="G173" s="931"/>
      <c r="H173" s="187"/>
      <c r="I173" s="931"/>
      <c r="J173" s="1875"/>
      <c r="K173" s="1875"/>
      <c r="L173" s="931"/>
      <c r="M173" s="806"/>
      <c r="N173" s="1876"/>
      <c r="O173" s="808"/>
      <c r="P173" s="808"/>
      <c r="R173" s="808"/>
      <c r="S173" s="1877"/>
      <c r="T173" s="808"/>
      <c r="U173" s="187"/>
    </row>
    <row r="174" s="42" customFormat="1" ht="13.2" spans="2:21">
      <c r="B174" s="187"/>
      <c r="C174" s="1874"/>
      <c r="D174" s="187"/>
      <c r="E174" s="931"/>
      <c r="F174" s="187"/>
      <c r="G174" s="931"/>
      <c r="H174" s="187"/>
      <c r="I174" s="931"/>
      <c r="J174" s="1875"/>
      <c r="K174" s="1875"/>
      <c r="L174" s="931"/>
      <c r="M174" s="806"/>
      <c r="N174" s="1876"/>
      <c r="O174" s="808"/>
      <c r="P174" s="808"/>
      <c r="R174" s="808"/>
      <c r="S174" s="1877"/>
      <c r="T174" s="808"/>
      <c r="U174" s="187"/>
    </row>
    <row r="175" s="42" customFormat="1" ht="13.2" spans="2:21">
      <c r="B175" s="187"/>
      <c r="C175" s="1874"/>
      <c r="D175" s="187"/>
      <c r="E175" s="931"/>
      <c r="F175" s="187"/>
      <c r="G175" s="931"/>
      <c r="H175" s="187"/>
      <c r="I175" s="931"/>
      <c r="J175" s="1875"/>
      <c r="K175" s="1875"/>
      <c r="L175" s="931"/>
      <c r="M175" s="806"/>
      <c r="N175" s="1876"/>
      <c r="O175" s="808"/>
      <c r="P175" s="808"/>
      <c r="R175" s="808"/>
      <c r="S175" s="1877"/>
      <c r="T175" s="808"/>
      <c r="U175" s="187"/>
    </row>
    <row r="176" s="42" customFormat="1" ht="13.2" spans="2:21">
      <c r="B176" s="187"/>
      <c r="C176" s="1874"/>
      <c r="D176" s="187"/>
      <c r="E176" s="931"/>
      <c r="F176" s="187"/>
      <c r="G176" s="931"/>
      <c r="H176" s="187"/>
      <c r="I176" s="931"/>
      <c r="J176" s="1875"/>
      <c r="K176" s="1875"/>
      <c r="L176" s="931"/>
      <c r="M176" s="806"/>
      <c r="N176" s="1876"/>
      <c r="O176" s="808"/>
      <c r="P176" s="808"/>
      <c r="R176" s="808"/>
      <c r="S176" s="1877"/>
      <c r="T176" s="808"/>
      <c r="U176" s="187"/>
    </row>
    <row r="177" s="42" customFormat="1" ht="13.2" spans="2:21">
      <c r="B177" s="187"/>
      <c r="C177" s="1874"/>
      <c r="D177" s="187"/>
      <c r="E177" s="931"/>
      <c r="F177" s="187"/>
      <c r="G177" s="931"/>
      <c r="H177" s="187"/>
      <c r="I177" s="931"/>
      <c r="J177" s="1875"/>
      <c r="K177" s="1875"/>
      <c r="L177" s="931"/>
      <c r="M177" s="806"/>
      <c r="N177" s="1876"/>
      <c r="O177" s="808"/>
      <c r="P177" s="808"/>
      <c r="R177" s="808"/>
      <c r="S177" s="1877"/>
      <c r="T177" s="808"/>
      <c r="U177" s="187"/>
    </row>
    <row r="178" s="42" customFormat="1" ht="13.2" spans="2:21">
      <c r="B178" s="187"/>
      <c r="C178" s="1874"/>
      <c r="D178" s="187"/>
      <c r="E178" s="931"/>
      <c r="F178" s="187"/>
      <c r="G178" s="931"/>
      <c r="H178" s="187"/>
      <c r="I178" s="931"/>
      <c r="J178" s="1875"/>
      <c r="K178" s="1875"/>
      <c r="L178" s="931"/>
      <c r="M178" s="806"/>
      <c r="N178" s="1876"/>
      <c r="O178" s="808"/>
      <c r="P178" s="808"/>
      <c r="R178" s="808"/>
      <c r="S178" s="1877"/>
      <c r="T178" s="808"/>
      <c r="U178" s="187"/>
    </row>
    <row r="179" s="42" customFormat="1" ht="13.2" spans="2:21">
      <c r="B179" s="187"/>
      <c r="C179" s="1874"/>
      <c r="D179" s="187"/>
      <c r="E179" s="931"/>
      <c r="F179" s="187"/>
      <c r="G179" s="931"/>
      <c r="H179" s="187"/>
      <c r="I179" s="931"/>
      <c r="J179" s="1875"/>
      <c r="K179" s="1875"/>
      <c r="L179" s="931"/>
      <c r="M179" s="806"/>
      <c r="N179" s="1876"/>
      <c r="O179" s="808"/>
      <c r="P179" s="808"/>
      <c r="R179" s="808"/>
      <c r="S179" s="1877"/>
      <c r="T179" s="808"/>
      <c r="U179" s="187"/>
    </row>
    <row r="180" s="42" customFormat="1" ht="13.2" spans="2:21">
      <c r="B180" s="187"/>
      <c r="C180" s="1874"/>
      <c r="D180" s="187"/>
      <c r="E180" s="931"/>
      <c r="F180" s="187"/>
      <c r="G180" s="931"/>
      <c r="H180" s="187"/>
      <c r="I180" s="931"/>
      <c r="J180" s="1875"/>
      <c r="K180" s="1875"/>
      <c r="L180" s="931"/>
      <c r="M180" s="806"/>
      <c r="N180" s="1876"/>
      <c r="O180" s="808"/>
      <c r="P180" s="808"/>
      <c r="R180" s="808"/>
      <c r="S180" s="1877"/>
      <c r="T180" s="808"/>
      <c r="U180" s="187"/>
    </row>
    <row r="181" s="42" customFormat="1" ht="13.2" spans="2:21">
      <c r="B181" s="187"/>
      <c r="C181" s="1874"/>
      <c r="D181" s="187"/>
      <c r="E181" s="931"/>
      <c r="F181" s="187"/>
      <c r="G181" s="931"/>
      <c r="H181" s="187"/>
      <c r="I181" s="931"/>
      <c r="J181" s="1875"/>
      <c r="K181" s="1875"/>
      <c r="L181" s="931"/>
      <c r="M181" s="806"/>
      <c r="N181" s="1876"/>
      <c r="O181" s="808"/>
      <c r="P181" s="808"/>
      <c r="R181" s="808"/>
      <c r="S181" s="1877"/>
      <c r="T181" s="808"/>
      <c r="U181" s="187"/>
    </row>
    <row r="182" s="42" customFormat="1" ht="13.2" spans="2:21">
      <c r="B182" s="187"/>
      <c r="C182" s="1874"/>
      <c r="D182" s="187"/>
      <c r="E182" s="931"/>
      <c r="F182" s="187"/>
      <c r="G182" s="931"/>
      <c r="H182" s="187"/>
      <c r="I182" s="931"/>
      <c r="J182" s="1875"/>
      <c r="K182" s="1875"/>
      <c r="L182" s="931"/>
      <c r="M182" s="806"/>
      <c r="N182" s="1876"/>
      <c r="O182" s="808"/>
      <c r="P182" s="808"/>
      <c r="R182" s="808"/>
      <c r="S182" s="1877"/>
      <c r="T182" s="808"/>
      <c r="U182" s="187"/>
    </row>
    <row r="183" s="42" customFormat="1" ht="13.2" spans="2:21">
      <c r="B183" s="187"/>
      <c r="C183" s="1874"/>
      <c r="D183" s="187"/>
      <c r="E183" s="931"/>
      <c r="F183" s="187"/>
      <c r="G183" s="931"/>
      <c r="H183" s="187"/>
      <c r="I183" s="931"/>
      <c r="J183" s="1875"/>
      <c r="K183" s="1875"/>
      <c r="L183" s="931"/>
      <c r="M183" s="806"/>
      <c r="N183" s="1876"/>
      <c r="O183" s="808"/>
      <c r="P183" s="808"/>
      <c r="R183" s="808"/>
      <c r="S183" s="1877"/>
      <c r="T183" s="808"/>
      <c r="U183" s="187"/>
    </row>
    <row r="184" s="42" customFormat="1" ht="13.2" spans="2:21">
      <c r="B184" s="187"/>
      <c r="C184" s="1874"/>
      <c r="D184" s="187"/>
      <c r="E184" s="931"/>
      <c r="F184" s="187"/>
      <c r="G184" s="931"/>
      <c r="H184" s="187"/>
      <c r="I184" s="931"/>
      <c r="J184" s="1875"/>
      <c r="K184" s="1875"/>
      <c r="L184" s="931"/>
      <c r="M184" s="806"/>
      <c r="N184" s="1876"/>
      <c r="O184" s="808"/>
      <c r="P184" s="808"/>
      <c r="R184" s="808"/>
      <c r="S184" s="1877"/>
      <c r="T184" s="808"/>
      <c r="U184" s="187"/>
    </row>
    <row r="185" s="42" customFormat="1" ht="13.2" spans="2:21">
      <c r="B185" s="187"/>
      <c r="C185" s="1874"/>
      <c r="D185" s="187"/>
      <c r="E185" s="931"/>
      <c r="F185" s="187"/>
      <c r="G185" s="931"/>
      <c r="H185" s="187"/>
      <c r="I185" s="931"/>
      <c r="J185" s="1875"/>
      <c r="K185" s="1875"/>
      <c r="L185" s="931"/>
      <c r="M185" s="806"/>
      <c r="N185" s="1876"/>
      <c r="O185" s="808"/>
      <c r="P185" s="808"/>
      <c r="R185" s="808"/>
      <c r="S185" s="1877"/>
      <c r="T185" s="808"/>
      <c r="U185" s="187"/>
    </row>
    <row r="186" s="42" customFormat="1" ht="13.2" spans="2:21">
      <c r="B186" s="187"/>
      <c r="C186" s="1874"/>
      <c r="D186" s="187"/>
      <c r="E186" s="931"/>
      <c r="F186" s="187"/>
      <c r="G186" s="931"/>
      <c r="H186" s="187"/>
      <c r="I186" s="931"/>
      <c r="J186" s="1875"/>
      <c r="K186" s="1875"/>
      <c r="L186" s="931"/>
      <c r="M186" s="806"/>
      <c r="N186" s="1876"/>
      <c r="O186" s="808"/>
      <c r="P186" s="808"/>
      <c r="R186" s="808"/>
      <c r="S186" s="1877"/>
      <c r="T186" s="808"/>
      <c r="U186" s="187"/>
    </row>
    <row r="187" s="42" customFormat="1" ht="13.2" spans="2:21">
      <c r="B187" s="187"/>
      <c r="C187" s="1874"/>
      <c r="D187" s="187"/>
      <c r="E187" s="931"/>
      <c r="F187" s="187"/>
      <c r="G187" s="931"/>
      <c r="H187" s="187"/>
      <c r="I187" s="931"/>
      <c r="J187" s="1875"/>
      <c r="K187" s="1875"/>
      <c r="L187" s="931"/>
      <c r="M187" s="806"/>
      <c r="N187" s="1876"/>
      <c r="O187" s="808"/>
      <c r="P187" s="808"/>
      <c r="R187" s="808"/>
      <c r="S187" s="1877"/>
      <c r="T187" s="808"/>
      <c r="U187" s="187"/>
    </row>
    <row r="188" s="42" customFormat="1" ht="13.2" spans="2:21">
      <c r="B188" s="187"/>
      <c r="C188" s="1874"/>
      <c r="D188" s="187"/>
      <c r="E188" s="931"/>
      <c r="F188" s="187"/>
      <c r="G188" s="931"/>
      <c r="H188" s="187"/>
      <c r="I188" s="931"/>
      <c r="J188" s="1875"/>
      <c r="K188" s="1875"/>
      <c r="L188" s="931"/>
      <c r="M188" s="806"/>
      <c r="N188" s="1876"/>
      <c r="O188" s="808"/>
      <c r="P188" s="808"/>
      <c r="R188" s="808"/>
      <c r="S188" s="1877"/>
      <c r="T188" s="808"/>
      <c r="U188" s="187"/>
    </row>
    <row r="189" s="42" customFormat="1" ht="13.2" spans="2:21">
      <c r="B189" s="187"/>
      <c r="C189" s="1874"/>
      <c r="D189" s="187"/>
      <c r="E189" s="931"/>
      <c r="F189" s="187"/>
      <c r="G189" s="931"/>
      <c r="H189" s="187"/>
      <c r="I189" s="931"/>
      <c r="J189" s="1875"/>
      <c r="K189" s="1875"/>
      <c r="L189" s="931"/>
      <c r="M189" s="806"/>
      <c r="N189" s="1876"/>
      <c r="O189" s="808"/>
      <c r="P189" s="808"/>
      <c r="R189" s="808"/>
      <c r="S189" s="1877"/>
      <c r="T189" s="808"/>
      <c r="U189" s="187"/>
    </row>
    <row r="190" s="42" customFormat="1" ht="13.2" spans="2:21">
      <c r="B190" s="187"/>
      <c r="C190" s="1874"/>
      <c r="D190" s="187"/>
      <c r="E190" s="931"/>
      <c r="F190" s="187"/>
      <c r="G190" s="931"/>
      <c r="H190" s="187"/>
      <c r="I190" s="931"/>
      <c r="J190" s="1875"/>
      <c r="K190" s="1875"/>
      <c r="L190" s="931"/>
      <c r="M190" s="806"/>
      <c r="N190" s="1876"/>
      <c r="O190" s="808"/>
      <c r="P190" s="808"/>
      <c r="R190" s="808"/>
      <c r="S190" s="1877"/>
      <c r="T190" s="808"/>
      <c r="U190" s="187"/>
    </row>
    <row r="191" s="42" customFormat="1" ht="13.2" spans="2:21">
      <c r="B191" s="187"/>
      <c r="C191" s="1874"/>
      <c r="D191" s="187"/>
      <c r="E191" s="931"/>
      <c r="F191" s="187"/>
      <c r="G191" s="931"/>
      <c r="H191" s="187"/>
      <c r="I191" s="931"/>
      <c r="J191" s="1875"/>
      <c r="K191" s="1875"/>
      <c r="L191" s="931"/>
      <c r="M191" s="806"/>
      <c r="N191" s="1876"/>
      <c r="O191" s="808"/>
      <c r="P191" s="808"/>
      <c r="R191" s="808"/>
      <c r="S191" s="1877"/>
      <c r="T191" s="808"/>
      <c r="U191" s="187"/>
    </row>
    <row r="192" s="42" customFormat="1" ht="13.2" spans="2:21">
      <c r="B192" s="187"/>
      <c r="C192" s="1874"/>
      <c r="D192" s="187"/>
      <c r="E192" s="931"/>
      <c r="F192" s="187"/>
      <c r="G192" s="931"/>
      <c r="H192" s="187"/>
      <c r="I192" s="931"/>
      <c r="J192" s="1875"/>
      <c r="K192" s="1875"/>
      <c r="L192" s="931"/>
      <c r="M192" s="806"/>
      <c r="N192" s="1876"/>
      <c r="O192" s="808"/>
      <c r="P192" s="808"/>
      <c r="R192" s="808"/>
      <c r="S192" s="1877"/>
      <c r="T192" s="808"/>
      <c r="U192" s="187"/>
    </row>
    <row r="193" s="42" customFormat="1" ht="13.2" spans="2:21">
      <c r="B193" s="187"/>
      <c r="C193" s="1874"/>
      <c r="D193" s="1920"/>
      <c r="E193" s="1921"/>
      <c r="F193" s="1920"/>
      <c r="G193" s="1921"/>
      <c r="H193" s="1920"/>
      <c r="I193" s="1921"/>
      <c r="J193" s="1922"/>
      <c r="K193" s="1922"/>
      <c r="L193" s="1921"/>
      <c r="M193" s="1921"/>
      <c r="N193" s="1876">
        <f>23.49+20/6.7739/1.13</f>
        <v>26.1028397295868</v>
      </c>
      <c r="O193" s="1923"/>
      <c r="P193" s="1923"/>
      <c r="R193" s="808"/>
      <c r="S193" s="1877"/>
      <c r="T193" s="1923"/>
      <c r="U193" s="187"/>
    </row>
    <row r="194" s="42" customFormat="1" ht="13.2" spans="2:21">
      <c r="B194" s="187"/>
      <c r="C194" s="1874"/>
      <c r="D194" s="187"/>
      <c r="E194" s="931"/>
      <c r="F194" s="187"/>
      <c r="G194" s="931"/>
      <c r="H194" s="187"/>
      <c r="I194" s="931"/>
      <c r="J194" s="1875"/>
      <c r="K194" s="1875"/>
      <c r="L194" s="931"/>
      <c r="M194" s="806"/>
      <c r="N194" s="1876"/>
      <c r="O194" s="808"/>
      <c r="P194" s="808"/>
      <c r="R194" s="808"/>
      <c r="S194" s="1877"/>
      <c r="T194" s="808"/>
      <c r="U194" s="187"/>
    </row>
    <row r="195" s="42" customFormat="1" ht="13.2" spans="2:21">
      <c r="B195" s="187"/>
      <c r="C195" s="1874"/>
      <c r="D195" s="187"/>
      <c r="E195" s="931"/>
      <c r="F195" s="187"/>
      <c r="G195" s="931"/>
      <c r="H195" s="187"/>
      <c r="I195" s="931"/>
      <c r="J195" s="1875"/>
      <c r="K195" s="1875"/>
      <c r="L195" s="931"/>
      <c r="M195" s="806"/>
      <c r="N195" s="1876"/>
      <c r="O195" s="808"/>
      <c r="P195" s="808"/>
      <c r="R195" s="808"/>
      <c r="S195" s="1877"/>
      <c r="T195" s="808"/>
      <c r="U195" s="187"/>
    </row>
    <row r="196" s="42" customFormat="1" ht="13.2" spans="2:21">
      <c r="B196" s="187"/>
      <c r="C196" s="1874"/>
      <c r="D196" s="187"/>
      <c r="E196" s="931"/>
      <c r="F196" s="187"/>
      <c r="G196" s="931"/>
      <c r="H196" s="187"/>
      <c r="I196" s="931"/>
      <c r="J196" s="1875"/>
      <c r="K196" s="1875"/>
      <c r="L196" s="931"/>
      <c r="M196" s="806"/>
      <c r="N196" s="1876"/>
      <c r="O196" s="808"/>
      <c r="P196" s="808"/>
      <c r="R196" s="808"/>
      <c r="S196" s="1877"/>
      <c r="T196" s="808"/>
      <c r="U196" s="187"/>
    </row>
    <row r="197" s="42" customFormat="1" ht="13.2" spans="2:21">
      <c r="B197" s="187"/>
      <c r="C197" s="1874"/>
      <c r="D197" s="187"/>
      <c r="E197" s="931"/>
      <c r="F197" s="187"/>
      <c r="G197" s="931"/>
      <c r="H197" s="187"/>
      <c r="I197" s="931"/>
      <c r="J197" s="1875"/>
      <c r="K197" s="1875"/>
      <c r="L197" s="931"/>
      <c r="M197" s="806"/>
      <c r="N197" s="1876"/>
      <c r="O197" s="808"/>
      <c r="P197" s="808"/>
      <c r="R197" s="808"/>
      <c r="S197" s="1877"/>
      <c r="T197" s="808"/>
      <c r="U197" s="187"/>
    </row>
    <row r="198" s="42" customFormat="1" ht="13.2" spans="2:21">
      <c r="B198" s="187"/>
      <c r="C198" s="1874"/>
      <c r="D198" s="187"/>
      <c r="E198" s="931"/>
      <c r="F198" s="187"/>
      <c r="G198" s="931"/>
      <c r="H198" s="187"/>
      <c r="I198" s="931"/>
      <c r="J198" s="1875"/>
      <c r="K198" s="1875"/>
      <c r="L198" s="931"/>
      <c r="M198" s="806"/>
      <c r="N198" s="1876"/>
      <c r="O198" s="808"/>
      <c r="P198" s="808"/>
      <c r="R198" s="808"/>
      <c r="S198" s="1877"/>
      <c r="T198" s="808"/>
      <c r="U198" s="187"/>
    </row>
    <row r="199" s="42" customFormat="1" ht="13.2" spans="2:21">
      <c r="B199" s="187"/>
      <c r="C199" s="1874"/>
      <c r="D199" s="187"/>
      <c r="E199" s="931"/>
      <c r="F199" s="187"/>
      <c r="G199" s="931"/>
      <c r="H199" s="187"/>
      <c r="I199" s="931"/>
      <c r="J199" s="1875"/>
      <c r="K199" s="1875"/>
      <c r="L199" s="931"/>
      <c r="M199" s="806"/>
      <c r="N199" s="1876"/>
      <c r="O199" s="808"/>
      <c r="P199" s="808"/>
      <c r="R199" s="808"/>
      <c r="S199" s="1877"/>
      <c r="T199" s="808"/>
      <c r="U199" s="187"/>
    </row>
    <row r="200" s="42" customFormat="1" ht="13.2" spans="2:21">
      <c r="B200" s="187"/>
      <c r="C200" s="1874"/>
      <c r="D200" s="187"/>
      <c r="E200" s="931"/>
      <c r="F200" s="187"/>
      <c r="G200" s="931"/>
      <c r="H200" s="187"/>
      <c r="I200" s="931"/>
      <c r="J200" s="1875"/>
      <c r="K200" s="1875"/>
      <c r="L200" s="931"/>
      <c r="M200" s="806"/>
      <c r="N200" s="1876"/>
      <c r="O200" s="808"/>
      <c r="P200" s="808"/>
      <c r="R200" s="808"/>
      <c r="S200" s="1877"/>
      <c r="T200" s="808"/>
      <c r="U200" s="187"/>
    </row>
    <row r="201" s="42" customFormat="1" ht="13.2" spans="2:21">
      <c r="B201" s="187"/>
      <c r="C201" s="1874"/>
      <c r="D201" s="187"/>
      <c r="E201" s="931"/>
      <c r="F201" s="187"/>
      <c r="G201" s="931"/>
      <c r="H201" s="187"/>
      <c r="I201" s="931"/>
      <c r="J201" s="1875"/>
      <c r="K201" s="1875"/>
      <c r="L201" s="931"/>
      <c r="M201" s="806"/>
      <c r="N201" s="1876"/>
      <c r="O201" s="808"/>
      <c r="P201" s="808"/>
      <c r="R201" s="808"/>
      <c r="S201" s="1877"/>
      <c r="T201" s="808"/>
      <c r="U201" s="187"/>
    </row>
    <row r="202" s="42" customFormat="1" ht="13.2" spans="2:21">
      <c r="B202" s="187"/>
      <c r="C202" s="1874"/>
      <c r="D202" s="187"/>
      <c r="E202" s="931"/>
      <c r="F202" s="187"/>
      <c r="G202" s="931"/>
      <c r="H202" s="187"/>
      <c r="I202" s="931"/>
      <c r="J202" s="1875"/>
      <c r="K202" s="1875"/>
      <c r="L202" s="931"/>
      <c r="M202" s="806"/>
      <c r="N202" s="1876"/>
      <c r="O202" s="808"/>
      <c r="P202" s="808"/>
      <c r="R202" s="808"/>
      <c r="S202" s="1877"/>
      <c r="T202" s="808"/>
      <c r="U202" s="187"/>
    </row>
    <row r="203" s="42" customFormat="1" ht="13.2" spans="2:21">
      <c r="B203" s="187"/>
      <c r="C203" s="1874"/>
      <c r="D203" s="187"/>
      <c r="E203" s="931"/>
      <c r="F203" s="187"/>
      <c r="G203" s="931"/>
      <c r="H203" s="187"/>
      <c r="I203" s="931"/>
      <c r="J203" s="1875"/>
      <c r="K203" s="1875"/>
      <c r="L203" s="931"/>
      <c r="M203" s="806"/>
      <c r="N203" s="1876"/>
      <c r="O203" s="808"/>
      <c r="P203" s="808"/>
      <c r="R203" s="808"/>
      <c r="S203" s="1877"/>
      <c r="T203" s="808"/>
      <c r="U203" s="187"/>
    </row>
    <row r="204" s="42" customFormat="1" ht="13.2" spans="2:21">
      <c r="B204" s="187"/>
      <c r="C204" s="1874"/>
      <c r="D204" s="187"/>
      <c r="E204" s="931"/>
      <c r="F204" s="187"/>
      <c r="G204" s="931"/>
      <c r="H204" s="187"/>
      <c r="I204" s="931"/>
      <c r="J204" s="1875"/>
      <c r="K204" s="1875"/>
      <c r="L204" s="931"/>
      <c r="M204" s="806"/>
      <c r="N204" s="1876"/>
      <c r="O204" s="808"/>
      <c r="P204" s="808"/>
      <c r="R204" s="808"/>
      <c r="S204" s="1877"/>
      <c r="T204" s="808"/>
      <c r="U204" s="187"/>
    </row>
    <row r="205" s="42" customFormat="1" ht="13.2" spans="2:21">
      <c r="B205" s="187"/>
      <c r="C205" s="1874"/>
      <c r="D205" s="187"/>
      <c r="E205" s="931"/>
      <c r="F205" s="187"/>
      <c r="G205" s="931"/>
      <c r="H205" s="187"/>
      <c r="I205" s="931"/>
      <c r="J205" s="1875"/>
      <c r="K205" s="1875"/>
      <c r="L205" s="931"/>
      <c r="M205" s="806"/>
      <c r="N205" s="1876"/>
      <c r="O205" s="808"/>
      <c r="P205" s="808"/>
      <c r="R205" s="808"/>
      <c r="S205" s="1877"/>
      <c r="T205" s="808"/>
      <c r="U205" s="187"/>
    </row>
    <row r="206" s="42" customFormat="1" ht="13.2" spans="2:21">
      <c r="B206" s="187"/>
      <c r="C206" s="1874"/>
      <c r="D206" s="187"/>
      <c r="E206" s="931"/>
      <c r="F206" s="187"/>
      <c r="G206" s="931"/>
      <c r="H206" s="187"/>
      <c r="I206" s="931"/>
      <c r="J206" s="1875"/>
      <c r="K206" s="1875"/>
      <c r="L206" s="931"/>
      <c r="M206" s="806"/>
      <c r="N206" s="1876"/>
      <c r="O206" s="808"/>
      <c r="P206" s="808"/>
      <c r="R206" s="808"/>
      <c r="S206" s="1877"/>
      <c r="T206" s="808"/>
      <c r="U206" s="187"/>
    </row>
    <row r="207" s="42" customFormat="1" ht="13.2" spans="2:21">
      <c r="B207" s="187"/>
      <c r="C207" s="1874"/>
      <c r="D207" s="187"/>
      <c r="E207" s="931"/>
      <c r="F207" s="187"/>
      <c r="G207" s="931"/>
      <c r="H207" s="187"/>
      <c r="I207" s="931"/>
      <c r="J207" s="1875"/>
      <c r="K207" s="1875"/>
      <c r="L207" s="931"/>
      <c r="M207" s="806"/>
      <c r="N207" s="1876"/>
      <c r="O207" s="808"/>
      <c r="P207" s="808"/>
      <c r="R207" s="808"/>
      <c r="S207" s="1877"/>
      <c r="T207" s="808"/>
      <c r="U207" s="187"/>
    </row>
    <row r="208" s="42" customFormat="1" ht="13.2" spans="2:21">
      <c r="B208" s="187"/>
      <c r="C208" s="1874"/>
      <c r="D208" s="187"/>
      <c r="E208" s="931"/>
      <c r="F208" s="187"/>
      <c r="G208" s="931"/>
      <c r="H208" s="187"/>
      <c r="I208" s="931"/>
      <c r="J208" s="1875"/>
      <c r="K208" s="1875"/>
      <c r="L208" s="931"/>
      <c r="M208" s="806"/>
      <c r="N208" s="1876"/>
      <c r="O208" s="808"/>
      <c r="P208" s="808"/>
      <c r="R208" s="808"/>
      <c r="S208" s="1877"/>
      <c r="T208" s="808"/>
      <c r="U208" s="187"/>
    </row>
    <row r="209" s="42" customFormat="1" ht="13.2" spans="2:21">
      <c r="B209" s="187"/>
      <c r="C209" s="1874"/>
      <c r="D209" s="187"/>
      <c r="E209" s="931"/>
      <c r="F209" s="187"/>
      <c r="G209" s="931"/>
      <c r="H209" s="187"/>
      <c r="I209" s="931"/>
      <c r="J209" s="1875"/>
      <c r="K209" s="1875"/>
      <c r="L209" s="931"/>
      <c r="M209" s="806"/>
      <c r="N209" s="1876"/>
      <c r="O209" s="808"/>
      <c r="P209" s="808"/>
      <c r="R209" s="808"/>
      <c r="S209" s="1877"/>
      <c r="T209" s="808"/>
      <c r="U209" s="187"/>
    </row>
    <row r="210" s="42" customFormat="1" ht="13.2" spans="2:21">
      <c r="B210" s="187"/>
      <c r="C210" s="1874"/>
      <c r="D210" s="187"/>
      <c r="E210" s="931"/>
      <c r="F210" s="187"/>
      <c r="G210" s="931"/>
      <c r="H210" s="187"/>
      <c r="I210" s="931"/>
      <c r="J210" s="1875"/>
      <c r="K210" s="1875"/>
      <c r="L210" s="931"/>
      <c r="M210" s="806"/>
      <c r="N210" s="1876"/>
      <c r="O210" s="808"/>
      <c r="P210" s="808"/>
      <c r="R210" s="808"/>
      <c r="S210" s="1877"/>
      <c r="T210" s="808"/>
      <c r="U210" s="187"/>
    </row>
    <row r="211" s="42" customFormat="1" ht="13.2" spans="2:21">
      <c r="B211" s="187"/>
      <c r="C211" s="1874"/>
      <c r="D211" s="187"/>
      <c r="E211" s="931"/>
      <c r="F211" s="187"/>
      <c r="G211" s="931"/>
      <c r="H211" s="187"/>
      <c r="I211" s="931"/>
      <c r="J211" s="1875"/>
      <c r="K211" s="1875"/>
      <c r="L211" s="931"/>
      <c r="M211" s="806"/>
      <c r="N211" s="1876"/>
      <c r="O211" s="808"/>
      <c r="P211" s="808"/>
      <c r="R211" s="808"/>
      <c r="S211" s="1877"/>
      <c r="T211" s="808"/>
      <c r="U211" s="187"/>
    </row>
    <row r="212" s="42" customFormat="1" ht="13.2" spans="2:21">
      <c r="B212" s="187"/>
      <c r="C212" s="1874"/>
      <c r="D212" s="187"/>
      <c r="E212" s="931"/>
      <c r="F212" s="187"/>
      <c r="G212" s="931"/>
      <c r="H212" s="187"/>
      <c r="I212" s="931"/>
      <c r="J212" s="1875"/>
      <c r="K212" s="1875"/>
      <c r="L212" s="931"/>
      <c r="M212" s="806"/>
      <c r="N212" s="1876"/>
      <c r="O212" s="808"/>
      <c r="P212" s="808"/>
      <c r="R212" s="808"/>
      <c r="S212" s="1877"/>
      <c r="T212" s="808"/>
      <c r="U212" s="187"/>
    </row>
    <row r="213" s="42" customFormat="1" ht="13.2" spans="2:21">
      <c r="B213" s="187"/>
      <c r="C213" s="1874"/>
      <c r="D213" s="187"/>
      <c r="E213" s="931"/>
      <c r="F213" s="187"/>
      <c r="G213" s="931"/>
      <c r="H213" s="187"/>
      <c r="I213" s="931"/>
      <c r="J213" s="1875"/>
      <c r="K213" s="1875"/>
      <c r="L213" s="931"/>
      <c r="M213" s="806"/>
      <c r="N213" s="1876"/>
      <c r="O213" s="808"/>
      <c r="P213" s="808"/>
      <c r="R213" s="808"/>
      <c r="S213" s="1877"/>
      <c r="T213" s="808"/>
      <c r="U213" s="187"/>
    </row>
    <row r="214" s="42" customFormat="1" ht="13.2" spans="2:21">
      <c r="B214" s="187"/>
      <c r="C214" s="1874"/>
      <c r="D214" s="187"/>
      <c r="E214" s="931"/>
      <c r="F214" s="187"/>
      <c r="G214" s="931"/>
      <c r="H214" s="187"/>
      <c r="I214" s="931"/>
      <c r="J214" s="1875"/>
      <c r="K214" s="1875"/>
      <c r="L214" s="931"/>
      <c r="M214" s="806"/>
      <c r="N214" s="1876"/>
      <c r="O214" s="808"/>
      <c r="P214" s="808"/>
      <c r="R214" s="808"/>
      <c r="S214" s="1877"/>
      <c r="T214" s="808"/>
      <c r="U214" s="187"/>
    </row>
    <row r="215" s="42" customFormat="1" ht="13.2" spans="2:21">
      <c r="B215" s="187"/>
      <c r="C215" s="1874"/>
      <c r="D215" s="187"/>
      <c r="E215" s="931"/>
      <c r="F215" s="187"/>
      <c r="G215" s="931"/>
      <c r="H215" s="187"/>
      <c r="I215" s="931"/>
      <c r="J215" s="1875"/>
      <c r="K215" s="1875"/>
      <c r="L215" s="931"/>
      <c r="M215" s="806"/>
      <c r="N215" s="1876"/>
      <c r="O215" s="808"/>
      <c r="P215" s="808"/>
      <c r="R215" s="808"/>
      <c r="S215" s="1877"/>
      <c r="T215" s="808"/>
      <c r="U215" s="187"/>
    </row>
    <row r="216" s="42" customFormat="1" ht="13.2" spans="2:21">
      <c r="B216" s="187"/>
      <c r="C216" s="1874"/>
      <c r="D216" s="187"/>
      <c r="E216" s="931"/>
      <c r="F216" s="187"/>
      <c r="G216" s="931"/>
      <c r="H216" s="187"/>
      <c r="I216" s="931"/>
      <c r="J216" s="1875"/>
      <c r="K216" s="1875"/>
      <c r="L216" s="931"/>
      <c r="M216" s="806"/>
      <c r="N216" s="1876"/>
      <c r="O216" s="808"/>
      <c r="P216" s="808"/>
      <c r="R216" s="808"/>
      <c r="S216" s="1877"/>
      <c r="T216" s="808"/>
      <c r="U216" s="187"/>
    </row>
    <row r="217" s="42" customFormat="1" ht="13.2" spans="2:21">
      <c r="B217" s="187"/>
      <c r="C217" s="1874"/>
      <c r="D217" s="187"/>
      <c r="E217" s="931"/>
      <c r="F217" s="187"/>
      <c r="G217" s="931"/>
      <c r="H217" s="187"/>
      <c r="I217" s="931"/>
      <c r="J217" s="1875"/>
      <c r="K217" s="1875"/>
      <c r="L217" s="931"/>
      <c r="M217" s="806"/>
      <c r="N217" s="1876"/>
      <c r="O217" s="808"/>
      <c r="P217" s="808"/>
      <c r="R217" s="808"/>
      <c r="S217" s="1877"/>
      <c r="T217" s="808"/>
      <c r="U217" s="187"/>
    </row>
    <row r="218" s="42" customFormat="1" ht="13.2" spans="2:21">
      <c r="B218" s="187"/>
      <c r="C218" s="1874"/>
      <c r="D218" s="187"/>
      <c r="E218" s="931"/>
      <c r="F218" s="187"/>
      <c r="G218" s="931"/>
      <c r="H218" s="187"/>
      <c r="I218" s="931"/>
      <c r="J218" s="1875"/>
      <c r="K218" s="1875"/>
      <c r="L218" s="931"/>
      <c r="M218" s="806"/>
      <c r="N218" s="1876"/>
      <c r="O218" s="808"/>
      <c r="P218" s="808"/>
      <c r="R218" s="808"/>
      <c r="S218" s="1877"/>
      <c r="T218" s="808"/>
      <c r="U218" s="187"/>
    </row>
    <row r="219" s="42" customFormat="1" ht="13.2" spans="2:21">
      <c r="B219" s="187"/>
      <c r="C219" s="1874"/>
      <c r="D219" s="187"/>
      <c r="E219" s="931"/>
      <c r="F219" s="187"/>
      <c r="G219" s="931"/>
      <c r="H219" s="187"/>
      <c r="I219" s="931"/>
      <c r="J219" s="1875"/>
      <c r="K219" s="1875"/>
      <c r="L219" s="931"/>
      <c r="M219" s="806"/>
      <c r="N219" s="1876"/>
      <c r="O219" s="808"/>
      <c r="P219" s="808"/>
      <c r="R219" s="808"/>
      <c r="S219" s="1877"/>
      <c r="T219" s="808"/>
      <c r="U219" s="187"/>
    </row>
    <row r="220" s="42" customFormat="1" ht="13.2" spans="2:21">
      <c r="B220" s="187"/>
      <c r="C220" s="1874"/>
      <c r="D220" s="187"/>
      <c r="E220" s="931"/>
      <c r="F220" s="187"/>
      <c r="G220" s="931"/>
      <c r="H220" s="187"/>
      <c r="I220" s="931"/>
      <c r="J220" s="1875"/>
      <c r="K220" s="1875"/>
      <c r="L220" s="931"/>
      <c r="M220" s="806"/>
      <c r="N220" s="1876"/>
      <c r="O220" s="808"/>
      <c r="P220" s="808"/>
      <c r="R220" s="808"/>
      <c r="S220" s="1877"/>
      <c r="T220" s="808"/>
      <c r="U220" s="187"/>
    </row>
    <row r="221" s="42" customFormat="1" ht="13.2" spans="2:21">
      <c r="B221" s="187"/>
      <c r="C221" s="1874"/>
      <c r="D221" s="187"/>
      <c r="E221" s="931"/>
      <c r="F221" s="187"/>
      <c r="G221" s="931"/>
      <c r="H221" s="187"/>
      <c r="I221" s="931"/>
      <c r="J221" s="1875"/>
      <c r="K221" s="1875"/>
      <c r="L221" s="931"/>
      <c r="M221" s="806"/>
      <c r="N221" s="1876"/>
      <c r="O221" s="808"/>
      <c r="P221" s="808"/>
      <c r="R221" s="808"/>
      <c r="S221" s="1877"/>
      <c r="T221" s="808"/>
      <c r="U221" s="187"/>
    </row>
    <row r="222" s="42" customFormat="1" ht="13.2" spans="2:21">
      <c r="B222" s="187"/>
      <c r="C222" s="1874"/>
      <c r="D222" s="187"/>
      <c r="E222" s="931"/>
      <c r="F222" s="187"/>
      <c r="G222" s="931"/>
      <c r="H222" s="187"/>
      <c r="I222" s="931"/>
      <c r="J222" s="1875"/>
      <c r="K222" s="1875"/>
      <c r="L222" s="931"/>
      <c r="M222" s="806"/>
      <c r="N222" s="1876"/>
      <c r="O222" s="808"/>
      <c r="P222" s="808"/>
      <c r="R222" s="808"/>
      <c r="S222" s="1877"/>
      <c r="T222" s="808"/>
      <c r="U222" s="187"/>
    </row>
    <row r="223" s="42" customFormat="1" ht="13.2" spans="2:21">
      <c r="B223" s="187"/>
      <c r="C223" s="1874"/>
      <c r="D223" s="187"/>
      <c r="E223" s="931"/>
      <c r="F223" s="187"/>
      <c r="G223" s="931"/>
      <c r="H223" s="187"/>
      <c r="I223" s="931"/>
      <c r="J223" s="1875"/>
      <c r="K223" s="1875"/>
      <c r="L223" s="931"/>
      <c r="M223" s="806"/>
      <c r="N223" s="1876"/>
      <c r="O223" s="808"/>
      <c r="P223" s="808"/>
      <c r="R223" s="808"/>
      <c r="S223" s="1877"/>
      <c r="T223" s="808"/>
      <c r="U223" s="187"/>
    </row>
    <row r="224" s="42" customFormat="1" ht="13.2" spans="2:21">
      <c r="B224" s="187"/>
      <c r="C224" s="1874"/>
      <c r="D224" s="187"/>
      <c r="E224" s="931"/>
      <c r="F224" s="187"/>
      <c r="G224" s="931"/>
      <c r="H224" s="187"/>
      <c r="I224" s="931"/>
      <c r="J224" s="1875"/>
      <c r="K224" s="1875"/>
      <c r="L224" s="931"/>
      <c r="M224" s="806"/>
      <c r="N224" s="1876"/>
      <c r="O224" s="808"/>
      <c r="P224" s="808"/>
      <c r="R224" s="808"/>
      <c r="S224" s="1877"/>
      <c r="T224" s="808"/>
      <c r="U224" s="187"/>
    </row>
    <row r="225" s="42" customFormat="1" ht="13.2" spans="2:21">
      <c r="B225" s="187"/>
      <c r="C225" s="1874"/>
      <c r="D225" s="187"/>
      <c r="E225" s="931"/>
      <c r="F225" s="187"/>
      <c r="G225" s="931"/>
      <c r="H225" s="187"/>
      <c r="I225" s="931"/>
      <c r="J225" s="1875"/>
      <c r="K225" s="1875"/>
      <c r="L225" s="931"/>
      <c r="M225" s="806"/>
      <c r="N225" s="1876"/>
      <c r="O225" s="808"/>
      <c r="P225" s="808"/>
      <c r="R225" s="808"/>
      <c r="S225" s="1877"/>
      <c r="T225" s="808"/>
      <c r="U225" s="187"/>
    </row>
    <row r="226" s="42" customFormat="1" ht="13.2" spans="2:21">
      <c r="B226" s="187"/>
      <c r="C226" s="1874"/>
      <c r="D226" s="187"/>
      <c r="E226" s="931"/>
      <c r="F226" s="187"/>
      <c r="G226" s="931"/>
      <c r="H226" s="187"/>
      <c r="I226" s="931"/>
      <c r="J226" s="1875"/>
      <c r="K226" s="1875"/>
      <c r="L226" s="931"/>
      <c r="M226" s="806"/>
      <c r="N226" s="1876"/>
      <c r="O226" s="808"/>
      <c r="P226" s="808"/>
      <c r="R226" s="808"/>
      <c r="S226" s="1877"/>
      <c r="T226" s="808"/>
      <c r="U226" s="187"/>
    </row>
    <row r="227" s="42" customFormat="1" ht="13.2" spans="2:21">
      <c r="B227" s="187"/>
      <c r="C227" s="1874"/>
      <c r="D227" s="187"/>
      <c r="E227" s="931"/>
      <c r="F227" s="187"/>
      <c r="G227" s="931"/>
      <c r="H227" s="187"/>
      <c r="I227" s="931"/>
      <c r="J227" s="1875"/>
      <c r="K227" s="1875"/>
      <c r="L227" s="931"/>
      <c r="M227" s="806"/>
      <c r="N227" s="1876"/>
      <c r="O227" s="808"/>
      <c r="P227" s="808"/>
      <c r="R227" s="808"/>
      <c r="S227" s="1877"/>
      <c r="T227" s="808"/>
      <c r="U227" s="187"/>
    </row>
    <row r="228" s="42" customFormat="1" ht="13.2" spans="2:21">
      <c r="B228" s="187"/>
      <c r="C228" s="1874"/>
      <c r="D228" s="187"/>
      <c r="E228" s="931"/>
      <c r="F228" s="187"/>
      <c r="G228" s="931"/>
      <c r="H228" s="187"/>
      <c r="I228" s="931"/>
      <c r="J228" s="1875"/>
      <c r="K228" s="1875"/>
      <c r="L228" s="931"/>
      <c r="M228" s="806"/>
      <c r="N228" s="1876"/>
      <c r="O228" s="808"/>
      <c r="P228" s="808"/>
      <c r="R228" s="808"/>
      <c r="S228" s="1877"/>
      <c r="T228" s="808"/>
      <c r="U228" s="187"/>
    </row>
    <row r="229" s="42" customFormat="1" ht="13.2" spans="2:21">
      <c r="B229" s="187"/>
      <c r="C229" s="1874"/>
      <c r="D229" s="187"/>
      <c r="E229" s="931"/>
      <c r="F229" s="187"/>
      <c r="G229" s="931"/>
      <c r="H229" s="187"/>
      <c r="I229" s="931"/>
      <c r="J229" s="1875"/>
      <c r="K229" s="1875"/>
      <c r="L229" s="931"/>
      <c r="M229" s="806"/>
      <c r="N229" s="1876"/>
      <c r="O229" s="808"/>
      <c r="P229" s="808"/>
      <c r="R229" s="808"/>
      <c r="S229" s="1877"/>
      <c r="T229" s="808"/>
      <c r="U229" s="187"/>
    </row>
    <row r="230" s="42" customFormat="1" ht="13.2" spans="2:21">
      <c r="B230" s="187"/>
      <c r="C230" s="1874"/>
      <c r="D230" s="187"/>
      <c r="E230" s="931"/>
      <c r="F230" s="187"/>
      <c r="G230" s="931"/>
      <c r="H230" s="187"/>
      <c r="I230" s="931"/>
      <c r="J230" s="1875"/>
      <c r="K230" s="1875"/>
      <c r="L230" s="931"/>
      <c r="M230" s="806"/>
      <c r="N230" s="1876"/>
      <c r="O230" s="808"/>
      <c r="P230" s="808"/>
      <c r="R230" s="808"/>
      <c r="S230" s="1877"/>
      <c r="T230" s="808"/>
      <c r="U230" s="187"/>
    </row>
    <row r="231" s="42" customFormat="1" ht="13.2" spans="2:21">
      <c r="B231" s="187"/>
      <c r="C231" s="1874"/>
      <c r="D231" s="187"/>
      <c r="E231" s="931"/>
      <c r="F231" s="187"/>
      <c r="G231" s="931"/>
      <c r="H231" s="187"/>
      <c r="I231" s="931"/>
      <c r="J231" s="1875"/>
      <c r="K231" s="1875"/>
      <c r="L231" s="931"/>
      <c r="M231" s="806"/>
      <c r="N231" s="1876"/>
      <c r="O231" s="808"/>
      <c r="P231" s="808"/>
      <c r="R231" s="808"/>
      <c r="S231" s="1877"/>
      <c r="T231" s="808"/>
      <c r="U231" s="187"/>
    </row>
    <row r="232" s="42" customFormat="1" ht="13.2" spans="2:21">
      <c r="B232" s="187"/>
      <c r="C232" s="1874"/>
      <c r="D232" s="187"/>
      <c r="E232" s="931"/>
      <c r="F232" s="187"/>
      <c r="G232" s="931"/>
      <c r="H232" s="187"/>
      <c r="I232" s="931"/>
      <c r="J232" s="1875"/>
      <c r="K232" s="1875"/>
      <c r="L232" s="931"/>
      <c r="M232" s="806"/>
      <c r="N232" s="1876"/>
      <c r="O232" s="808"/>
      <c r="P232" s="808"/>
      <c r="R232" s="808"/>
      <c r="S232" s="1877"/>
      <c r="T232" s="808"/>
      <c r="U232" s="187"/>
    </row>
    <row r="233" s="42" customFormat="1" ht="13.2" spans="2:21">
      <c r="B233" s="187"/>
      <c r="C233" s="1874"/>
      <c r="D233" s="187"/>
      <c r="E233" s="931"/>
      <c r="F233" s="187"/>
      <c r="G233" s="931"/>
      <c r="H233" s="187"/>
      <c r="I233" s="931"/>
      <c r="J233" s="1875"/>
      <c r="K233" s="1875"/>
      <c r="L233" s="931"/>
      <c r="M233" s="806"/>
      <c r="N233" s="1876"/>
      <c r="O233" s="808"/>
      <c r="P233" s="808"/>
      <c r="R233" s="808"/>
      <c r="S233" s="1877"/>
      <c r="T233" s="808"/>
      <c r="U233" s="187"/>
    </row>
    <row r="234" s="42" customFormat="1" ht="13.2" spans="2:21">
      <c r="B234" s="187"/>
      <c r="C234" s="1874"/>
      <c r="D234" s="187"/>
      <c r="E234" s="931"/>
      <c r="F234" s="187"/>
      <c r="G234" s="931"/>
      <c r="H234" s="187"/>
      <c r="I234" s="931"/>
      <c r="J234" s="1875"/>
      <c r="K234" s="1875"/>
      <c r="L234" s="931"/>
      <c r="M234" s="806"/>
      <c r="N234" s="1876"/>
      <c r="O234" s="808"/>
      <c r="P234" s="808"/>
      <c r="R234" s="808"/>
      <c r="S234" s="1877"/>
      <c r="T234" s="808"/>
      <c r="U234" s="187"/>
    </row>
    <row r="235" s="42" customFormat="1" ht="13.2" spans="2:21">
      <c r="B235" s="187"/>
      <c r="C235" s="1874"/>
      <c r="D235" s="187"/>
      <c r="E235" s="931"/>
      <c r="F235" s="187"/>
      <c r="G235" s="931"/>
      <c r="H235" s="187"/>
      <c r="I235" s="931"/>
      <c r="J235" s="1875"/>
      <c r="K235" s="1875"/>
      <c r="L235" s="931"/>
      <c r="M235" s="806"/>
      <c r="N235" s="1876"/>
      <c r="O235" s="808"/>
      <c r="P235" s="808"/>
      <c r="R235" s="808"/>
      <c r="S235" s="1877"/>
      <c r="T235" s="808"/>
      <c r="U235" s="187"/>
    </row>
    <row r="236" s="42" customFormat="1" ht="13.2" spans="2:21">
      <c r="B236" s="187"/>
      <c r="C236" s="1874"/>
      <c r="D236" s="187"/>
      <c r="E236" s="931"/>
      <c r="F236" s="187"/>
      <c r="G236" s="931"/>
      <c r="H236" s="187"/>
      <c r="I236" s="931"/>
      <c r="J236" s="1875"/>
      <c r="K236" s="1875"/>
      <c r="L236" s="931"/>
      <c r="M236" s="806"/>
      <c r="N236" s="1876"/>
      <c r="O236" s="808"/>
      <c r="P236" s="808"/>
      <c r="R236" s="808"/>
      <c r="S236" s="1877"/>
      <c r="T236" s="808"/>
      <c r="U236" s="187"/>
    </row>
    <row r="237" s="42" customFormat="1" ht="13.2" spans="2:21">
      <c r="B237" s="187"/>
      <c r="C237" s="1874"/>
      <c r="D237" s="187"/>
      <c r="E237" s="931"/>
      <c r="F237" s="187"/>
      <c r="G237" s="931"/>
      <c r="H237" s="187"/>
      <c r="I237" s="931"/>
      <c r="J237" s="1875"/>
      <c r="K237" s="1875"/>
      <c r="L237" s="931"/>
      <c r="M237" s="806"/>
      <c r="N237" s="1876"/>
      <c r="O237" s="808"/>
      <c r="P237" s="808"/>
      <c r="R237" s="808"/>
      <c r="S237" s="1877"/>
      <c r="T237" s="808"/>
      <c r="U237" s="187"/>
    </row>
    <row r="238" s="42" customFormat="1" ht="13.2" spans="2:21">
      <c r="B238" s="187"/>
      <c r="C238" s="1874"/>
      <c r="D238" s="187"/>
      <c r="E238" s="931"/>
      <c r="F238" s="187"/>
      <c r="G238" s="931"/>
      <c r="H238" s="187"/>
      <c r="I238" s="931"/>
      <c r="J238" s="1875"/>
      <c r="K238" s="1875"/>
      <c r="L238" s="931"/>
      <c r="M238" s="806"/>
      <c r="N238" s="1876"/>
      <c r="O238" s="808"/>
      <c r="P238" s="808"/>
      <c r="R238" s="808"/>
      <c r="S238" s="1877"/>
      <c r="T238" s="808"/>
      <c r="U238" s="187"/>
    </row>
    <row r="239" s="42" customFormat="1" ht="13.2" spans="2:21">
      <c r="B239" s="187"/>
      <c r="C239" s="1874"/>
      <c r="D239" s="187"/>
      <c r="E239" s="931"/>
      <c r="F239" s="187"/>
      <c r="G239" s="931"/>
      <c r="H239" s="187"/>
      <c r="I239" s="931"/>
      <c r="J239" s="1875"/>
      <c r="K239" s="1875"/>
      <c r="L239" s="931"/>
      <c r="M239" s="806"/>
      <c r="N239" s="1876"/>
      <c r="O239" s="808"/>
      <c r="P239" s="808"/>
      <c r="R239" s="808"/>
      <c r="S239" s="1877"/>
      <c r="T239" s="808"/>
      <c r="U239" s="187"/>
    </row>
    <row r="240" s="42" customFormat="1" ht="13.2" spans="2:21">
      <c r="B240" s="187"/>
      <c r="C240" s="1874"/>
      <c r="D240" s="187"/>
      <c r="E240" s="931"/>
      <c r="F240" s="187"/>
      <c r="G240" s="931"/>
      <c r="H240" s="187"/>
      <c r="I240" s="931"/>
      <c r="J240" s="1875"/>
      <c r="K240" s="1875"/>
      <c r="L240" s="931"/>
      <c r="M240" s="806"/>
      <c r="N240" s="1876"/>
      <c r="O240" s="808"/>
      <c r="P240" s="808"/>
      <c r="R240" s="808"/>
      <c r="S240" s="1877"/>
      <c r="T240" s="808"/>
      <c r="U240" s="187"/>
    </row>
    <row r="241" s="42" customFormat="1" ht="13.2" spans="2:21">
      <c r="B241" s="187"/>
      <c r="C241" s="1874"/>
      <c r="D241" s="187"/>
      <c r="E241" s="931"/>
      <c r="F241" s="187"/>
      <c r="G241" s="931"/>
      <c r="H241" s="187"/>
      <c r="I241" s="931"/>
      <c r="J241" s="1875"/>
      <c r="K241" s="1875"/>
      <c r="L241" s="931"/>
      <c r="M241" s="806"/>
      <c r="N241" s="1876"/>
      <c r="O241" s="808"/>
      <c r="P241" s="808"/>
      <c r="R241" s="808"/>
      <c r="S241" s="1877"/>
      <c r="T241" s="808"/>
      <c r="U241" s="187"/>
    </row>
    <row r="242" s="42" customFormat="1" ht="13.2" spans="2:21">
      <c r="B242" s="187"/>
      <c r="C242" s="1874"/>
      <c r="D242" s="187"/>
      <c r="E242" s="931"/>
      <c r="F242" s="187"/>
      <c r="G242" s="931"/>
      <c r="H242" s="187"/>
      <c r="I242" s="931"/>
      <c r="J242" s="1875"/>
      <c r="K242" s="1875"/>
      <c r="L242" s="931"/>
      <c r="M242" s="806"/>
      <c r="N242" s="1876"/>
      <c r="O242" s="808"/>
      <c r="P242" s="808"/>
      <c r="R242" s="808"/>
      <c r="S242" s="1877"/>
      <c r="T242" s="808"/>
      <c r="U242" s="187"/>
    </row>
    <row r="243" s="42" customFormat="1" ht="13.2" spans="2:21">
      <c r="B243" s="187"/>
      <c r="C243" s="1874"/>
      <c r="D243" s="187"/>
      <c r="E243" s="931"/>
      <c r="F243" s="187"/>
      <c r="G243" s="931"/>
      <c r="H243" s="187"/>
      <c r="I243" s="931"/>
      <c r="J243" s="1875"/>
      <c r="K243" s="1875"/>
      <c r="L243" s="931"/>
      <c r="M243" s="806"/>
      <c r="N243" s="1876"/>
      <c r="O243" s="808"/>
      <c r="P243" s="808"/>
      <c r="R243" s="808"/>
      <c r="S243" s="1877"/>
      <c r="T243" s="808"/>
      <c r="U243" s="187"/>
    </row>
    <row r="244" s="42" customFormat="1" ht="13.2" spans="2:21">
      <c r="B244" s="187"/>
      <c r="C244" s="1874"/>
      <c r="D244" s="187"/>
      <c r="E244" s="931"/>
      <c r="F244" s="187"/>
      <c r="G244" s="931"/>
      <c r="H244" s="187"/>
      <c r="I244" s="931"/>
      <c r="J244" s="1875"/>
      <c r="K244" s="1875"/>
      <c r="L244" s="931"/>
      <c r="M244" s="806"/>
      <c r="N244" s="1876"/>
      <c r="O244" s="808"/>
      <c r="P244" s="808"/>
      <c r="R244" s="808"/>
      <c r="S244" s="1877"/>
      <c r="T244" s="808"/>
      <c r="U244" s="187"/>
    </row>
    <row r="245" s="42" customFormat="1" ht="13.2" spans="2:21">
      <c r="B245" s="187"/>
      <c r="C245" s="1874"/>
      <c r="D245" s="187"/>
      <c r="E245" s="931"/>
      <c r="F245" s="187"/>
      <c r="G245" s="931"/>
      <c r="H245" s="187"/>
      <c r="I245" s="931"/>
      <c r="J245" s="1875"/>
      <c r="K245" s="1875"/>
      <c r="L245" s="931"/>
      <c r="M245" s="806"/>
      <c r="N245" s="1876"/>
      <c r="O245" s="808"/>
      <c r="P245" s="808"/>
      <c r="R245" s="808"/>
      <c r="S245" s="1877"/>
      <c r="T245" s="808"/>
      <c r="U245" s="187"/>
    </row>
    <row r="246" s="42" customFormat="1" ht="13.2" spans="2:21">
      <c r="B246" s="187"/>
      <c r="C246" s="1874"/>
      <c r="D246" s="187"/>
      <c r="E246" s="931"/>
      <c r="F246" s="187"/>
      <c r="G246" s="931"/>
      <c r="H246" s="187"/>
      <c r="I246" s="931"/>
      <c r="J246" s="1875"/>
      <c r="K246" s="1875"/>
      <c r="L246" s="931"/>
      <c r="M246" s="806"/>
      <c r="N246" s="1876"/>
      <c r="O246" s="808"/>
      <c r="P246" s="808"/>
      <c r="R246" s="808"/>
      <c r="S246" s="1877"/>
      <c r="T246" s="808"/>
      <c r="U246" s="187"/>
    </row>
    <row r="247" s="42" customFormat="1" ht="13.2" spans="2:21">
      <c r="B247" s="187"/>
      <c r="C247" s="1874"/>
      <c r="D247" s="187"/>
      <c r="E247" s="931"/>
      <c r="F247" s="187"/>
      <c r="G247" s="931"/>
      <c r="H247" s="187"/>
      <c r="I247" s="931"/>
      <c r="J247" s="1875"/>
      <c r="K247" s="1875"/>
      <c r="L247" s="931"/>
      <c r="M247" s="806"/>
      <c r="N247" s="1876"/>
      <c r="O247" s="808"/>
      <c r="P247" s="808"/>
      <c r="R247" s="808"/>
      <c r="S247" s="1877"/>
      <c r="T247" s="808"/>
      <c r="U247" s="187"/>
    </row>
    <row r="248" s="42" customFormat="1" ht="13.2" spans="2:21">
      <c r="B248" s="187"/>
      <c r="C248" s="1874"/>
      <c r="D248" s="187"/>
      <c r="E248" s="931"/>
      <c r="F248" s="187"/>
      <c r="G248" s="931"/>
      <c r="H248" s="187"/>
      <c r="I248" s="931"/>
      <c r="J248" s="1875"/>
      <c r="K248" s="1875"/>
      <c r="L248" s="931"/>
      <c r="M248" s="806"/>
      <c r="N248" s="1876"/>
      <c r="O248" s="808"/>
      <c r="P248" s="808"/>
      <c r="R248" s="808"/>
      <c r="S248" s="1877"/>
      <c r="T248" s="808"/>
      <c r="U248" s="187"/>
    </row>
    <row r="249" s="42" customFormat="1" ht="13.2" spans="2:21">
      <c r="B249" s="187"/>
      <c r="C249" s="1874"/>
      <c r="D249" s="187"/>
      <c r="E249" s="931"/>
      <c r="F249" s="187"/>
      <c r="G249" s="931"/>
      <c r="H249" s="187"/>
      <c r="I249" s="931"/>
      <c r="J249" s="1875"/>
      <c r="K249" s="1875"/>
      <c r="L249" s="931"/>
      <c r="M249" s="806"/>
      <c r="N249" s="1876"/>
      <c r="O249" s="808"/>
      <c r="P249" s="808"/>
      <c r="R249" s="808"/>
      <c r="S249" s="1877"/>
      <c r="T249" s="808"/>
      <c r="U249" s="187"/>
    </row>
    <row r="250" s="42" customFormat="1" ht="13.2" spans="2:21">
      <c r="B250" s="187"/>
      <c r="C250" s="1874"/>
      <c r="D250" s="187"/>
      <c r="E250" s="931"/>
      <c r="F250" s="187"/>
      <c r="G250" s="931"/>
      <c r="H250" s="187"/>
      <c r="I250" s="931"/>
      <c r="J250" s="1875"/>
      <c r="K250" s="1875"/>
      <c r="L250" s="931"/>
      <c r="M250" s="806"/>
      <c r="N250" s="1876"/>
      <c r="O250" s="808"/>
      <c r="P250" s="808"/>
      <c r="R250" s="808"/>
      <c r="S250" s="1877"/>
      <c r="T250" s="808"/>
      <c r="U250" s="187"/>
    </row>
    <row r="251" s="42" customFormat="1" ht="13.2" spans="2:21">
      <c r="B251" s="187"/>
      <c r="C251" s="1874"/>
      <c r="D251" s="187"/>
      <c r="E251" s="931"/>
      <c r="F251" s="187"/>
      <c r="G251" s="931"/>
      <c r="H251" s="187"/>
      <c r="I251" s="931"/>
      <c r="J251" s="1875"/>
      <c r="K251" s="1875"/>
      <c r="L251" s="931"/>
      <c r="M251" s="806"/>
      <c r="N251" s="1876"/>
      <c r="O251" s="808"/>
      <c r="P251" s="808"/>
      <c r="R251" s="808"/>
      <c r="S251" s="1877"/>
      <c r="T251" s="808"/>
      <c r="U251" s="187"/>
    </row>
    <row r="252" s="42" customFormat="1" ht="13.2" spans="2:21">
      <c r="B252" s="187"/>
      <c r="C252" s="1874"/>
      <c r="D252" s="187"/>
      <c r="E252" s="931"/>
      <c r="F252" s="187"/>
      <c r="G252" s="931"/>
      <c r="H252" s="187"/>
      <c r="I252" s="931"/>
      <c r="J252" s="1875"/>
      <c r="K252" s="1875"/>
      <c r="L252" s="931"/>
      <c r="M252" s="806"/>
      <c r="N252" s="1876"/>
      <c r="O252" s="808"/>
      <c r="P252" s="808"/>
      <c r="R252" s="808"/>
      <c r="S252" s="1877"/>
      <c r="T252" s="808"/>
      <c r="U252" s="187"/>
    </row>
    <row r="253" s="42" customFormat="1" ht="13.2" spans="2:21">
      <c r="B253" s="187"/>
      <c r="C253" s="1874"/>
      <c r="D253" s="187"/>
      <c r="E253" s="931"/>
      <c r="F253" s="187"/>
      <c r="G253" s="931"/>
      <c r="H253" s="187"/>
      <c r="I253" s="931"/>
      <c r="J253" s="1875"/>
      <c r="K253" s="1875"/>
      <c r="L253" s="931"/>
      <c r="M253" s="806"/>
      <c r="N253" s="1876"/>
      <c r="O253" s="808"/>
      <c r="P253" s="808"/>
      <c r="R253" s="808"/>
      <c r="S253" s="1877"/>
      <c r="T253" s="808"/>
      <c r="U253" s="187"/>
    </row>
    <row r="254" s="42" customFormat="1" ht="13.2" spans="2:21">
      <c r="B254" s="187"/>
      <c r="C254" s="1874"/>
      <c r="D254" s="187"/>
      <c r="E254" s="931"/>
      <c r="F254" s="187"/>
      <c r="G254" s="931"/>
      <c r="H254" s="187"/>
      <c r="I254" s="931"/>
      <c r="J254" s="1875"/>
      <c r="K254" s="1875"/>
      <c r="L254" s="931"/>
      <c r="M254" s="806"/>
      <c r="N254" s="1876"/>
      <c r="O254" s="808"/>
      <c r="P254" s="808"/>
      <c r="R254" s="808"/>
      <c r="S254" s="1877"/>
      <c r="T254" s="808"/>
      <c r="U254" s="187"/>
    </row>
    <row r="255" s="42" customFormat="1" ht="13.2" spans="2:21">
      <c r="B255" s="187"/>
      <c r="C255" s="1874"/>
      <c r="D255" s="187"/>
      <c r="E255" s="931"/>
      <c r="F255" s="187"/>
      <c r="G255" s="931"/>
      <c r="H255" s="187"/>
      <c r="I255" s="931"/>
      <c r="J255" s="1875"/>
      <c r="K255" s="1875"/>
      <c r="L255" s="931"/>
      <c r="M255" s="806"/>
      <c r="N255" s="1876"/>
      <c r="O255" s="808"/>
      <c r="P255" s="808"/>
      <c r="R255" s="808"/>
      <c r="S255" s="1877"/>
      <c r="T255" s="808"/>
      <c r="U255" s="187"/>
    </row>
    <row r="256" s="42" customFormat="1" ht="13.2" spans="2:21">
      <c r="B256" s="187"/>
      <c r="C256" s="1874"/>
      <c r="D256" s="187"/>
      <c r="E256" s="931"/>
      <c r="F256" s="187"/>
      <c r="G256" s="931"/>
      <c r="H256" s="187"/>
      <c r="I256" s="931"/>
      <c r="J256" s="1875"/>
      <c r="K256" s="1875"/>
      <c r="L256" s="931"/>
      <c r="M256" s="806"/>
      <c r="N256" s="1876"/>
      <c r="O256" s="808"/>
      <c r="P256" s="808"/>
      <c r="R256" s="808"/>
      <c r="S256" s="1877"/>
      <c r="T256" s="808"/>
      <c r="U256" s="187"/>
    </row>
    <row r="257" s="42" customFormat="1" ht="13.2" spans="2:21">
      <c r="B257" s="187"/>
      <c r="C257" s="1874"/>
      <c r="D257" s="187"/>
      <c r="E257" s="931"/>
      <c r="F257" s="187"/>
      <c r="G257" s="931"/>
      <c r="H257" s="187"/>
      <c r="I257" s="931"/>
      <c r="J257" s="1875"/>
      <c r="K257" s="1875"/>
      <c r="L257" s="931"/>
      <c r="M257" s="806"/>
      <c r="N257" s="1876"/>
      <c r="O257" s="808"/>
      <c r="P257" s="808"/>
      <c r="R257" s="808"/>
      <c r="S257" s="1877"/>
      <c r="T257" s="808"/>
      <c r="U257" s="187"/>
    </row>
    <row r="258" s="42" customFormat="1" ht="13.2" spans="2:21">
      <c r="B258" s="187"/>
      <c r="C258" s="1874"/>
      <c r="D258" s="187"/>
      <c r="E258" s="931"/>
      <c r="F258" s="187"/>
      <c r="G258" s="931"/>
      <c r="H258" s="187"/>
      <c r="I258" s="931"/>
      <c r="J258" s="1875"/>
      <c r="K258" s="1875"/>
      <c r="L258" s="931"/>
      <c r="M258" s="806"/>
      <c r="N258" s="1876"/>
      <c r="O258" s="808"/>
      <c r="P258" s="808"/>
      <c r="R258" s="808"/>
      <c r="S258" s="1877"/>
      <c r="T258" s="808"/>
      <c r="U258" s="187"/>
    </row>
    <row r="259" s="42" customFormat="1" ht="13.2" spans="2:21">
      <c r="B259" s="187"/>
      <c r="C259" s="1874"/>
      <c r="D259" s="187"/>
      <c r="E259" s="931"/>
      <c r="F259" s="187"/>
      <c r="G259" s="931"/>
      <c r="H259" s="187"/>
      <c r="I259" s="931"/>
      <c r="J259" s="1875"/>
      <c r="K259" s="1875"/>
      <c r="L259" s="931"/>
      <c r="M259" s="806"/>
      <c r="N259" s="1876"/>
      <c r="O259" s="808"/>
      <c r="P259" s="808"/>
      <c r="R259" s="808"/>
      <c r="S259" s="1877"/>
      <c r="T259" s="808"/>
      <c r="U259" s="187"/>
    </row>
    <row r="260" s="42" customFormat="1" ht="13.2" spans="2:21">
      <c r="B260" s="187"/>
      <c r="C260" s="1874"/>
      <c r="D260" s="187"/>
      <c r="E260" s="931"/>
      <c r="F260" s="187"/>
      <c r="G260" s="931"/>
      <c r="H260" s="187"/>
      <c r="I260" s="931"/>
      <c r="J260" s="1875"/>
      <c r="K260" s="1875"/>
      <c r="L260" s="931"/>
      <c r="M260" s="806"/>
      <c r="N260" s="1876"/>
      <c r="O260" s="808"/>
      <c r="P260" s="808"/>
      <c r="R260" s="808"/>
      <c r="S260" s="1877"/>
      <c r="T260" s="808"/>
      <c r="U260" s="187"/>
    </row>
    <row r="261" s="42" customFormat="1" ht="13.2" spans="2:21">
      <c r="B261" s="187"/>
      <c r="C261" s="1874"/>
      <c r="D261" s="187"/>
      <c r="E261" s="931"/>
      <c r="F261" s="187"/>
      <c r="G261" s="931"/>
      <c r="H261" s="187"/>
      <c r="I261" s="931"/>
      <c r="J261" s="1875"/>
      <c r="K261" s="1875"/>
      <c r="L261" s="931"/>
      <c r="M261" s="806"/>
      <c r="N261" s="1876"/>
      <c r="O261" s="808"/>
      <c r="P261" s="808"/>
      <c r="R261" s="808"/>
      <c r="S261" s="1877"/>
      <c r="T261" s="808"/>
      <c r="U261" s="187"/>
    </row>
    <row r="262" s="42" customFormat="1" ht="13.2" spans="2:21">
      <c r="B262" s="187"/>
      <c r="C262" s="1874"/>
      <c r="D262" s="187"/>
      <c r="E262" s="931"/>
      <c r="F262" s="187"/>
      <c r="G262" s="931"/>
      <c r="H262" s="187"/>
      <c r="I262" s="931"/>
      <c r="J262" s="1875"/>
      <c r="K262" s="1875"/>
      <c r="L262" s="931"/>
      <c r="M262" s="806"/>
      <c r="N262" s="1876"/>
      <c r="O262" s="808"/>
      <c r="P262" s="808"/>
      <c r="R262" s="808"/>
      <c r="S262" s="1877"/>
      <c r="T262" s="808"/>
      <c r="U262" s="187"/>
    </row>
    <row r="263" s="42" customFormat="1" ht="13.2" spans="2:21">
      <c r="B263" s="187"/>
      <c r="C263" s="1874"/>
      <c r="D263" s="187"/>
      <c r="E263" s="931"/>
      <c r="F263" s="187"/>
      <c r="G263" s="931"/>
      <c r="H263" s="187"/>
      <c r="I263" s="931"/>
      <c r="J263" s="1875"/>
      <c r="K263" s="1875"/>
      <c r="L263" s="931"/>
      <c r="M263" s="806"/>
      <c r="N263" s="1876"/>
      <c r="O263" s="808"/>
      <c r="P263" s="808"/>
      <c r="R263" s="808"/>
      <c r="S263" s="1877"/>
      <c r="T263" s="808"/>
      <c r="U263" s="187"/>
    </row>
    <row r="264" s="42" customFormat="1" ht="13.2" spans="2:21">
      <c r="B264" s="187"/>
      <c r="C264" s="1874"/>
      <c r="D264" s="187"/>
      <c r="E264" s="931"/>
      <c r="F264" s="187"/>
      <c r="G264" s="931"/>
      <c r="H264" s="187"/>
      <c r="I264" s="931"/>
      <c r="J264" s="1875"/>
      <c r="K264" s="1875"/>
      <c r="L264" s="931"/>
      <c r="M264" s="806"/>
      <c r="N264" s="1876"/>
      <c r="O264" s="808"/>
      <c r="P264" s="808"/>
      <c r="R264" s="808"/>
      <c r="S264" s="1877"/>
      <c r="T264" s="808"/>
      <c r="U264" s="187"/>
    </row>
    <row r="265" s="42" customFormat="1" ht="13.2" spans="2:21">
      <c r="B265" s="187"/>
      <c r="C265" s="1874"/>
      <c r="D265" s="187"/>
      <c r="E265" s="931"/>
      <c r="F265" s="187"/>
      <c r="G265" s="931"/>
      <c r="H265" s="187"/>
      <c r="I265" s="931"/>
      <c r="J265" s="1875"/>
      <c r="K265" s="1875"/>
      <c r="L265" s="931"/>
      <c r="M265" s="806"/>
      <c r="N265" s="1876"/>
      <c r="O265" s="808"/>
      <c r="P265" s="808"/>
      <c r="R265" s="808"/>
      <c r="S265" s="1877"/>
      <c r="T265" s="808"/>
      <c r="U265" s="187"/>
    </row>
    <row r="266" s="42" customFormat="1" ht="13.2" spans="2:21">
      <c r="B266" s="187"/>
      <c r="C266" s="1874"/>
      <c r="D266" s="187"/>
      <c r="E266" s="931"/>
      <c r="F266" s="187"/>
      <c r="G266" s="931"/>
      <c r="H266" s="187"/>
      <c r="I266" s="931"/>
      <c r="J266" s="1875"/>
      <c r="K266" s="1875"/>
      <c r="L266" s="931"/>
      <c r="M266" s="806"/>
      <c r="N266" s="1876"/>
      <c r="O266" s="808"/>
      <c r="P266" s="808"/>
      <c r="R266" s="808"/>
      <c r="S266" s="1877"/>
      <c r="T266" s="808"/>
      <c r="U266" s="187"/>
    </row>
    <row r="267" s="42" customFormat="1" ht="13.2" spans="2:21">
      <c r="B267" s="187"/>
      <c r="C267" s="1874"/>
      <c r="D267" s="187"/>
      <c r="E267" s="931"/>
      <c r="F267" s="187"/>
      <c r="G267" s="931"/>
      <c r="H267" s="187"/>
      <c r="I267" s="931"/>
      <c r="J267" s="1875"/>
      <c r="K267" s="1875"/>
      <c r="L267" s="931"/>
      <c r="M267" s="806"/>
      <c r="N267" s="1876"/>
      <c r="O267" s="808"/>
      <c r="P267" s="808"/>
      <c r="R267" s="808"/>
      <c r="S267" s="1877"/>
      <c r="T267" s="808"/>
      <c r="U267" s="187"/>
    </row>
    <row r="268" s="42" customFormat="1" ht="13.2" spans="2:21">
      <c r="B268" s="187"/>
      <c r="C268" s="1874"/>
      <c r="D268" s="187"/>
      <c r="E268" s="931"/>
      <c r="F268" s="187"/>
      <c r="G268" s="931"/>
      <c r="H268" s="187"/>
      <c r="I268" s="931"/>
      <c r="J268" s="1875"/>
      <c r="K268" s="1875"/>
      <c r="L268" s="931"/>
      <c r="M268" s="806"/>
      <c r="N268" s="1876"/>
      <c r="O268" s="808"/>
      <c r="P268" s="808"/>
      <c r="R268" s="808"/>
      <c r="S268" s="1877"/>
      <c r="T268" s="808"/>
      <c r="U268" s="187"/>
    </row>
    <row r="269" s="42" customFormat="1" ht="13.2" spans="2:21">
      <c r="B269" s="187"/>
      <c r="C269" s="1874"/>
      <c r="D269" s="187"/>
      <c r="E269" s="931"/>
      <c r="F269" s="187"/>
      <c r="G269" s="931"/>
      <c r="H269" s="187"/>
      <c r="I269" s="931"/>
      <c r="J269" s="1875"/>
      <c r="K269" s="1875"/>
      <c r="L269" s="931"/>
      <c r="M269" s="806"/>
      <c r="N269" s="1876"/>
      <c r="O269" s="808"/>
      <c r="P269" s="808"/>
      <c r="R269" s="808"/>
      <c r="S269" s="1877"/>
      <c r="T269" s="808"/>
      <c r="U269" s="187"/>
    </row>
    <row r="270" s="42" customFormat="1" ht="13.2" spans="2:21">
      <c r="B270" s="187"/>
      <c r="C270" s="1874"/>
      <c r="D270" s="187"/>
      <c r="E270" s="931"/>
      <c r="F270" s="187"/>
      <c r="G270" s="931"/>
      <c r="H270" s="187"/>
      <c r="I270" s="931"/>
      <c r="J270" s="1875"/>
      <c r="K270" s="1875"/>
      <c r="L270" s="931"/>
      <c r="M270" s="806"/>
      <c r="N270" s="1876"/>
      <c r="O270" s="808"/>
      <c r="P270" s="808"/>
      <c r="R270" s="808"/>
      <c r="S270" s="1877"/>
      <c r="T270" s="808"/>
      <c r="U270" s="187"/>
    </row>
    <row r="271" s="42" customFormat="1" ht="13.2" spans="2:21">
      <c r="B271" s="187"/>
      <c r="C271" s="1874"/>
      <c r="D271" s="187"/>
      <c r="E271" s="931"/>
      <c r="F271" s="187"/>
      <c r="G271" s="931"/>
      <c r="H271" s="187"/>
      <c r="I271" s="931"/>
      <c r="J271" s="1875"/>
      <c r="K271" s="1875"/>
      <c r="L271" s="931"/>
      <c r="M271" s="806"/>
      <c r="N271" s="1876"/>
      <c r="O271" s="808"/>
      <c r="P271" s="808"/>
      <c r="R271" s="808"/>
      <c r="S271" s="1877"/>
      <c r="T271" s="808"/>
      <c r="U271" s="187"/>
    </row>
    <row r="272" s="42" customFormat="1" ht="13.2" spans="2:21">
      <c r="B272" s="187"/>
      <c r="C272" s="1874"/>
      <c r="D272" s="187"/>
      <c r="E272" s="931"/>
      <c r="F272" s="187"/>
      <c r="G272" s="931"/>
      <c r="H272" s="187"/>
      <c r="I272" s="931"/>
      <c r="J272" s="1875"/>
      <c r="K272" s="1875"/>
      <c r="L272" s="931"/>
      <c r="M272" s="806"/>
      <c r="N272" s="1876"/>
      <c r="O272" s="808"/>
      <c r="P272" s="808"/>
      <c r="R272" s="808"/>
      <c r="S272" s="1877"/>
      <c r="T272" s="808"/>
      <c r="U272" s="187"/>
    </row>
    <row r="273" s="42" customFormat="1" ht="13.2" spans="2:21">
      <c r="B273" s="187"/>
      <c r="C273" s="1874"/>
      <c r="D273" s="187"/>
      <c r="E273" s="931"/>
      <c r="F273" s="187"/>
      <c r="G273" s="931"/>
      <c r="H273" s="187"/>
      <c r="I273" s="931"/>
      <c r="J273" s="1875"/>
      <c r="K273" s="1875"/>
      <c r="L273" s="931"/>
      <c r="M273" s="806"/>
      <c r="N273" s="1876"/>
      <c r="O273" s="808"/>
      <c r="P273" s="808"/>
      <c r="R273" s="808"/>
      <c r="S273" s="1877"/>
      <c r="T273" s="808"/>
      <c r="U273" s="187"/>
    </row>
    <row r="274" s="42" customFormat="1" ht="13.2" spans="2:21">
      <c r="B274" s="187"/>
      <c r="C274" s="1874"/>
      <c r="D274" s="187"/>
      <c r="E274" s="931"/>
      <c r="F274" s="187"/>
      <c r="G274" s="931"/>
      <c r="H274" s="187"/>
      <c r="I274" s="931"/>
      <c r="J274" s="1875"/>
      <c r="K274" s="1875"/>
      <c r="L274" s="931"/>
      <c r="M274" s="806"/>
      <c r="N274" s="1876"/>
      <c r="O274" s="808"/>
      <c r="P274" s="808"/>
      <c r="R274" s="808"/>
      <c r="S274" s="1877"/>
      <c r="T274" s="808"/>
      <c r="U274" s="187"/>
    </row>
    <row r="275" s="42" customFormat="1" ht="13.2" spans="2:21">
      <c r="B275" s="187"/>
      <c r="C275" s="1874"/>
      <c r="D275" s="187"/>
      <c r="E275" s="931"/>
      <c r="F275" s="187"/>
      <c r="G275" s="931"/>
      <c r="H275" s="187"/>
      <c r="I275" s="931"/>
      <c r="J275" s="1875"/>
      <c r="K275" s="1875"/>
      <c r="L275" s="931"/>
      <c r="M275" s="806"/>
      <c r="N275" s="1876"/>
      <c r="O275" s="808"/>
      <c r="P275" s="808"/>
      <c r="R275" s="808"/>
      <c r="S275" s="1877"/>
      <c r="T275" s="808"/>
      <c r="U275" s="187"/>
    </row>
    <row r="276" s="42" customFormat="1" ht="13.2" spans="2:21">
      <c r="B276" s="187"/>
      <c r="C276" s="1874"/>
      <c r="D276" s="187"/>
      <c r="E276" s="931"/>
      <c r="F276" s="187"/>
      <c r="G276" s="931"/>
      <c r="H276" s="187"/>
      <c r="I276" s="931"/>
      <c r="J276" s="1875"/>
      <c r="K276" s="1875"/>
      <c r="L276" s="931"/>
      <c r="M276" s="806"/>
      <c r="N276" s="1876"/>
      <c r="O276" s="808"/>
      <c r="P276" s="808"/>
      <c r="R276" s="808"/>
      <c r="S276" s="1877"/>
      <c r="T276" s="808"/>
      <c r="U276" s="187"/>
    </row>
    <row r="277" s="42" customFormat="1" ht="13.2" spans="2:21">
      <c r="B277" s="187"/>
      <c r="C277" s="1874"/>
      <c r="D277" s="187"/>
      <c r="E277" s="931"/>
      <c r="F277" s="187"/>
      <c r="G277" s="931"/>
      <c r="H277" s="187"/>
      <c r="I277" s="931"/>
      <c r="J277" s="1875"/>
      <c r="K277" s="1875"/>
      <c r="L277" s="931"/>
      <c r="M277" s="806"/>
      <c r="N277" s="1876"/>
      <c r="O277" s="808"/>
      <c r="P277" s="808"/>
      <c r="R277" s="808"/>
      <c r="S277" s="1877"/>
      <c r="T277" s="808"/>
      <c r="U277" s="187"/>
    </row>
    <row r="278" s="42" customFormat="1" ht="13.2" spans="2:21">
      <c r="B278" s="187"/>
      <c r="C278" s="1874"/>
      <c r="D278" s="187"/>
      <c r="E278" s="931"/>
      <c r="F278" s="187"/>
      <c r="G278" s="931"/>
      <c r="H278" s="187"/>
      <c r="I278" s="931"/>
      <c r="J278" s="1875"/>
      <c r="K278" s="1875"/>
      <c r="L278" s="931"/>
      <c r="M278" s="806"/>
      <c r="N278" s="1876"/>
      <c r="O278" s="808"/>
      <c r="P278" s="808"/>
      <c r="R278" s="808"/>
      <c r="S278" s="1877"/>
      <c r="T278" s="808"/>
      <c r="U278" s="187"/>
    </row>
    <row r="279" s="42" customFormat="1" ht="13.2" spans="2:21">
      <c r="B279" s="187"/>
      <c r="C279" s="1874"/>
      <c r="D279" s="187"/>
      <c r="E279" s="931"/>
      <c r="F279" s="187"/>
      <c r="G279" s="931"/>
      <c r="H279" s="187"/>
      <c r="I279" s="931"/>
      <c r="J279" s="1875"/>
      <c r="K279" s="1875"/>
      <c r="L279" s="931"/>
      <c r="M279" s="806"/>
      <c r="N279" s="1876"/>
      <c r="O279" s="808"/>
      <c r="P279" s="808"/>
      <c r="R279" s="808"/>
      <c r="S279" s="1877"/>
      <c r="T279" s="808"/>
      <c r="U279" s="187"/>
    </row>
    <row r="280" s="42" customFormat="1" ht="13.2" spans="2:21">
      <c r="B280" s="187"/>
      <c r="C280" s="1874"/>
      <c r="D280" s="187"/>
      <c r="E280" s="931"/>
      <c r="F280" s="187"/>
      <c r="G280" s="931"/>
      <c r="H280" s="187"/>
      <c r="I280" s="931"/>
      <c r="J280" s="1875"/>
      <c r="K280" s="1875"/>
      <c r="L280" s="931"/>
      <c r="M280" s="806"/>
      <c r="N280" s="1876"/>
      <c r="O280" s="808"/>
      <c r="P280" s="808"/>
      <c r="R280" s="808"/>
      <c r="S280" s="1877"/>
      <c r="T280" s="808"/>
      <c r="U280" s="187"/>
    </row>
    <row r="281" s="42" customFormat="1" ht="13.2" spans="2:21">
      <c r="B281" s="187"/>
      <c r="C281" s="1874"/>
      <c r="D281" s="187"/>
      <c r="E281" s="931"/>
      <c r="F281" s="187"/>
      <c r="G281" s="931"/>
      <c r="H281" s="187"/>
      <c r="I281" s="931"/>
      <c r="J281" s="1875"/>
      <c r="K281" s="1875"/>
      <c r="L281" s="931"/>
      <c r="M281" s="806"/>
      <c r="N281" s="1876"/>
      <c r="O281" s="808"/>
      <c r="P281" s="808"/>
      <c r="R281" s="808"/>
      <c r="S281" s="1877"/>
      <c r="T281" s="808"/>
      <c r="U281" s="187"/>
    </row>
    <row r="282" s="42" customFormat="1" ht="13.2" spans="2:21">
      <c r="B282" s="187"/>
      <c r="C282" s="1874"/>
      <c r="D282" s="187"/>
      <c r="E282" s="931"/>
      <c r="F282" s="187"/>
      <c r="G282" s="931"/>
      <c r="H282" s="187"/>
      <c r="I282" s="931"/>
      <c r="J282" s="1875"/>
      <c r="K282" s="1875"/>
      <c r="L282" s="931"/>
      <c r="M282" s="806"/>
      <c r="N282" s="1876"/>
      <c r="O282" s="808"/>
      <c r="P282" s="808"/>
      <c r="R282" s="808"/>
      <c r="S282" s="1877"/>
      <c r="T282" s="808"/>
      <c r="U282" s="187"/>
    </row>
    <row r="283" s="42" customFormat="1" ht="13.2" spans="2:21">
      <c r="B283" s="187"/>
      <c r="C283" s="1874"/>
      <c r="D283" s="187"/>
      <c r="E283" s="931"/>
      <c r="F283" s="187"/>
      <c r="G283" s="931"/>
      <c r="H283" s="187"/>
      <c r="I283" s="931"/>
      <c r="J283" s="1875"/>
      <c r="K283" s="1875"/>
      <c r="L283" s="931"/>
      <c r="M283" s="806"/>
      <c r="N283" s="1876"/>
      <c r="O283" s="808"/>
      <c r="P283" s="808"/>
      <c r="R283" s="808"/>
      <c r="S283" s="1877"/>
      <c r="T283" s="808"/>
      <c r="U283" s="187"/>
    </row>
    <row r="284" s="42" customFormat="1" ht="13.2" spans="2:21">
      <c r="B284" s="187"/>
      <c r="C284" s="1874"/>
      <c r="D284" s="187"/>
      <c r="E284" s="931"/>
      <c r="F284" s="187"/>
      <c r="G284" s="931"/>
      <c r="H284" s="187"/>
      <c r="I284" s="931"/>
      <c r="J284" s="1875"/>
      <c r="K284" s="1875"/>
      <c r="L284" s="931"/>
      <c r="M284" s="806"/>
      <c r="N284" s="1876"/>
      <c r="O284" s="808"/>
      <c r="P284" s="808"/>
      <c r="R284" s="808"/>
      <c r="S284" s="1877"/>
      <c r="T284" s="808"/>
      <c r="U284" s="187"/>
    </row>
    <row r="285" s="42" customFormat="1" ht="13.2" spans="2:21">
      <c r="B285" s="187"/>
      <c r="C285" s="1874"/>
      <c r="D285" s="187"/>
      <c r="E285" s="931"/>
      <c r="F285" s="187"/>
      <c r="G285" s="931"/>
      <c r="H285" s="187"/>
      <c r="I285" s="931"/>
      <c r="J285" s="1875"/>
      <c r="K285" s="1875"/>
      <c r="L285" s="931"/>
      <c r="M285" s="806"/>
      <c r="N285" s="1876"/>
      <c r="O285" s="808"/>
      <c r="P285" s="808"/>
      <c r="R285" s="808"/>
      <c r="S285" s="1877"/>
      <c r="T285" s="808"/>
      <c r="U285" s="187"/>
    </row>
    <row r="286" s="42" customFormat="1" ht="13.2" spans="2:21">
      <c r="B286" s="187"/>
      <c r="C286" s="1874"/>
      <c r="D286" s="187"/>
      <c r="E286" s="931"/>
      <c r="F286" s="187"/>
      <c r="G286" s="931"/>
      <c r="H286" s="187"/>
      <c r="I286" s="931"/>
      <c r="J286" s="1875"/>
      <c r="K286" s="1875"/>
      <c r="L286" s="931"/>
      <c r="M286" s="806"/>
      <c r="N286" s="1876"/>
      <c r="O286" s="808"/>
      <c r="P286" s="808"/>
      <c r="R286" s="808"/>
      <c r="S286" s="1877"/>
      <c r="T286" s="808"/>
      <c r="U286" s="187"/>
    </row>
    <row r="287" s="42" customFormat="1" ht="13.2" spans="2:21">
      <c r="B287" s="187"/>
      <c r="C287" s="1874"/>
      <c r="D287" s="187"/>
      <c r="E287" s="931"/>
      <c r="F287" s="187"/>
      <c r="G287" s="931"/>
      <c r="H287" s="187"/>
      <c r="I287" s="931"/>
      <c r="J287" s="1875"/>
      <c r="K287" s="1875"/>
      <c r="L287" s="931"/>
      <c r="M287" s="806"/>
      <c r="N287" s="1876"/>
      <c r="O287" s="808"/>
      <c r="P287" s="808"/>
      <c r="R287" s="808"/>
      <c r="S287" s="1877"/>
      <c r="T287" s="808"/>
      <c r="U287" s="187"/>
    </row>
    <row r="288" s="42" customFormat="1" ht="13.2" spans="2:21">
      <c r="B288" s="187"/>
      <c r="C288" s="1874"/>
      <c r="D288" s="187"/>
      <c r="E288" s="931"/>
      <c r="F288" s="187"/>
      <c r="G288" s="931"/>
      <c r="H288" s="187"/>
      <c r="I288" s="931"/>
      <c r="J288" s="1875"/>
      <c r="K288" s="1875"/>
      <c r="L288" s="931"/>
      <c r="M288" s="806"/>
      <c r="N288" s="1876"/>
      <c r="O288" s="808"/>
      <c r="P288" s="808"/>
      <c r="R288" s="808"/>
      <c r="S288" s="1877"/>
      <c r="T288" s="808"/>
      <c r="U288" s="187"/>
    </row>
    <row r="289" s="42" customFormat="1" ht="13.2" spans="2:21">
      <c r="B289" s="187"/>
      <c r="C289" s="1874"/>
      <c r="D289" s="187"/>
      <c r="E289" s="931"/>
      <c r="F289" s="187"/>
      <c r="G289" s="931"/>
      <c r="H289" s="187"/>
      <c r="I289" s="931"/>
      <c r="J289" s="1875"/>
      <c r="K289" s="1875"/>
      <c r="L289" s="931"/>
      <c r="M289" s="806"/>
      <c r="N289" s="1876"/>
      <c r="O289" s="808"/>
      <c r="P289" s="808"/>
      <c r="R289" s="808"/>
      <c r="S289" s="1877"/>
      <c r="T289" s="808"/>
      <c r="U289" s="187"/>
    </row>
    <row r="290" s="42" customFormat="1" ht="13.2" spans="2:21">
      <c r="B290" s="187"/>
      <c r="C290" s="1874"/>
      <c r="D290" s="187"/>
      <c r="E290" s="931"/>
      <c r="F290" s="187"/>
      <c r="G290" s="931"/>
      <c r="H290" s="187"/>
      <c r="I290" s="931"/>
      <c r="J290" s="1875"/>
      <c r="K290" s="1875"/>
      <c r="L290" s="931"/>
      <c r="M290" s="806"/>
      <c r="N290" s="1876"/>
      <c r="O290" s="808"/>
      <c r="P290" s="808"/>
      <c r="R290" s="808"/>
      <c r="S290" s="1877"/>
      <c r="T290" s="808"/>
      <c r="U290" s="187"/>
    </row>
    <row r="291" s="42" customFormat="1" ht="13.2" spans="2:21">
      <c r="B291" s="187"/>
      <c r="C291" s="1874"/>
      <c r="D291" s="187"/>
      <c r="E291" s="931"/>
      <c r="F291" s="187"/>
      <c r="G291" s="931"/>
      <c r="H291" s="187"/>
      <c r="I291" s="931"/>
      <c r="J291" s="1875"/>
      <c r="K291" s="1875"/>
      <c r="L291" s="931"/>
      <c r="M291" s="806"/>
      <c r="N291" s="1876"/>
      <c r="O291" s="808"/>
      <c r="P291" s="808"/>
      <c r="R291" s="808"/>
      <c r="S291" s="1877"/>
      <c r="T291" s="808"/>
      <c r="U291" s="187"/>
    </row>
    <row r="292" s="42" customFormat="1" ht="13.2" spans="2:21">
      <c r="B292" s="187"/>
      <c r="C292" s="1874"/>
      <c r="D292" s="187"/>
      <c r="E292" s="931"/>
      <c r="F292" s="187"/>
      <c r="G292" s="931"/>
      <c r="H292" s="187"/>
      <c r="I292" s="931"/>
      <c r="J292" s="1875"/>
      <c r="K292" s="1875"/>
      <c r="L292" s="931"/>
      <c r="M292" s="806"/>
      <c r="N292" s="1876"/>
      <c r="O292" s="808"/>
      <c r="P292" s="808"/>
      <c r="R292" s="808"/>
      <c r="S292" s="1877"/>
      <c r="T292" s="808"/>
      <c r="U292" s="187"/>
    </row>
    <row r="293" s="42" customFormat="1" ht="13.2" spans="2:21">
      <c r="B293" s="187"/>
      <c r="C293" s="1874"/>
      <c r="D293" s="187"/>
      <c r="E293" s="931"/>
      <c r="F293" s="187"/>
      <c r="G293" s="931"/>
      <c r="H293" s="187"/>
      <c r="I293" s="931"/>
      <c r="J293" s="1875"/>
      <c r="K293" s="1875"/>
      <c r="L293" s="931"/>
      <c r="M293" s="806"/>
      <c r="N293" s="1876"/>
      <c r="O293" s="808"/>
      <c r="P293" s="808"/>
      <c r="R293" s="808"/>
      <c r="S293" s="1877"/>
      <c r="T293" s="808"/>
      <c r="U293" s="187"/>
    </row>
    <row r="294" s="42" customFormat="1" ht="13.2" spans="2:21">
      <c r="B294" s="187"/>
      <c r="C294" s="1874"/>
      <c r="D294" s="187"/>
      <c r="E294" s="931"/>
      <c r="F294" s="187"/>
      <c r="G294" s="931"/>
      <c r="H294" s="187"/>
      <c r="I294" s="931"/>
      <c r="J294" s="1875"/>
      <c r="K294" s="1875"/>
      <c r="L294" s="931"/>
      <c r="M294" s="806"/>
      <c r="N294" s="1876"/>
      <c r="O294" s="808"/>
      <c r="P294" s="808"/>
      <c r="R294" s="808"/>
      <c r="S294" s="1877"/>
      <c r="T294" s="808"/>
      <c r="U294" s="187"/>
    </row>
    <row r="295" s="42" customFormat="1" ht="13.2" spans="2:21">
      <c r="B295" s="187"/>
      <c r="C295" s="1874"/>
      <c r="D295" s="187"/>
      <c r="E295" s="931"/>
      <c r="F295" s="187"/>
      <c r="G295" s="931"/>
      <c r="H295" s="187"/>
      <c r="I295" s="931"/>
      <c r="J295" s="1875"/>
      <c r="K295" s="1875"/>
      <c r="L295" s="931"/>
      <c r="M295" s="806"/>
      <c r="N295" s="1876"/>
      <c r="O295" s="808"/>
      <c r="P295" s="808"/>
      <c r="R295" s="808"/>
      <c r="S295" s="1877"/>
      <c r="T295" s="808"/>
      <c r="U295" s="187"/>
    </row>
    <row r="296" s="42" customFormat="1" ht="13.2" spans="2:21">
      <c r="B296" s="187"/>
      <c r="C296" s="1874"/>
      <c r="D296" s="187"/>
      <c r="E296" s="931"/>
      <c r="F296" s="187"/>
      <c r="G296" s="931"/>
      <c r="H296" s="187"/>
      <c r="I296" s="931"/>
      <c r="J296" s="1875"/>
      <c r="K296" s="1875"/>
      <c r="L296" s="931"/>
      <c r="M296" s="806"/>
      <c r="N296" s="1876"/>
      <c r="O296" s="808"/>
      <c r="P296" s="808"/>
      <c r="R296" s="808"/>
      <c r="S296" s="1877"/>
      <c r="T296" s="808"/>
      <c r="U296" s="187"/>
    </row>
    <row r="297" s="42" customFormat="1" ht="13.2" spans="2:21">
      <c r="B297" s="187"/>
      <c r="C297" s="1874"/>
      <c r="D297" s="187"/>
      <c r="E297" s="931"/>
      <c r="F297" s="187"/>
      <c r="G297" s="931"/>
      <c r="H297" s="187"/>
      <c r="I297" s="931"/>
      <c r="J297" s="1875"/>
      <c r="K297" s="1875"/>
      <c r="L297" s="931"/>
      <c r="M297" s="806"/>
      <c r="N297" s="1876"/>
      <c r="O297" s="808"/>
      <c r="P297" s="808"/>
      <c r="R297" s="808"/>
      <c r="S297" s="1877"/>
      <c r="T297" s="808"/>
      <c r="U297" s="187"/>
    </row>
    <row r="298" s="42" customFormat="1" ht="13.2" spans="2:21">
      <c r="B298" s="187"/>
      <c r="C298" s="1874"/>
      <c r="D298" s="187"/>
      <c r="E298" s="931"/>
      <c r="F298" s="187"/>
      <c r="G298" s="931"/>
      <c r="H298" s="187"/>
      <c r="I298" s="931"/>
      <c r="J298" s="1875"/>
      <c r="K298" s="1875"/>
      <c r="L298" s="931"/>
      <c r="M298" s="806"/>
      <c r="N298" s="1876"/>
      <c r="O298" s="808"/>
      <c r="P298" s="808"/>
      <c r="R298" s="808"/>
      <c r="S298" s="1877"/>
      <c r="T298" s="808"/>
      <c r="U298" s="187"/>
    </row>
    <row r="299" s="42" customFormat="1" ht="13.2" spans="2:21">
      <c r="B299" s="187"/>
      <c r="C299" s="1874"/>
      <c r="D299" s="187"/>
      <c r="E299" s="931"/>
      <c r="F299" s="187"/>
      <c r="G299" s="931"/>
      <c r="H299" s="187"/>
      <c r="I299" s="931"/>
      <c r="J299" s="1875"/>
      <c r="K299" s="1875"/>
      <c r="L299" s="931"/>
      <c r="M299" s="806"/>
      <c r="N299" s="1876"/>
      <c r="O299" s="808"/>
      <c r="P299" s="808"/>
      <c r="R299" s="808"/>
      <c r="S299" s="1877"/>
      <c r="T299" s="808"/>
      <c r="U299" s="187"/>
    </row>
    <row r="300" s="42" customFormat="1" ht="13.2" spans="2:21">
      <c r="B300" s="187"/>
      <c r="C300" s="1874"/>
      <c r="D300" s="187"/>
      <c r="E300" s="931"/>
      <c r="F300" s="187"/>
      <c r="G300" s="931"/>
      <c r="H300" s="187"/>
      <c r="I300" s="931"/>
      <c r="J300" s="1875"/>
      <c r="K300" s="1875"/>
      <c r="L300" s="931"/>
      <c r="M300" s="806"/>
      <c r="N300" s="1876"/>
      <c r="O300" s="808"/>
      <c r="P300" s="808"/>
      <c r="R300" s="808"/>
      <c r="S300" s="1877"/>
      <c r="T300" s="808"/>
      <c r="U300" s="187"/>
    </row>
    <row r="301" s="42" customFormat="1" ht="13.2" spans="2:21">
      <c r="B301" s="187"/>
      <c r="C301" s="1874"/>
      <c r="D301" s="187"/>
      <c r="E301" s="931"/>
      <c r="F301" s="187"/>
      <c r="G301" s="931"/>
      <c r="H301" s="187"/>
      <c r="I301" s="931"/>
      <c r="J301" s="1875"/>
      <c r="K301" s="1875"/>
      <c r="L301" s="931"/>
      <c r="M301" s="806"/>
      <c r="N301" s="1876"/>
      <c r="O301" s="808"/>
      <c r="P301" s="808"/>
      <c r="R301" s="808"/>
      <c r="S301" s="1877"/>
      <c r="T301" s="808"/>
      <c r="U301" s="187"/>
    </row>
    <row r="302" s="42" customFormat="1" ht="13.2" spans="2:21">
      <c r="B302" s="187"/>
      <c r="C302" s="1874"/>
      <c r="D302" s="187"/>
      <c r="E302" s="931"/>
      <c r="F302" s="187"/>
      <c r="G302" s="931"/>
      <c r="H302" s="187"/>
      <c r="I302" s="931"/>
      <c r="J302" s="1875"/>
      <c r="K302" s="1875"/>
      <c r="L302" s="931"/>
      <c r="M302" s="806"/>
      <c r="N302" s="1876"/>
      <c r="O302" s="808"/>
      <c r="P302" s="808"/>
      <c r="R302" s="808"/>
      <c r="S302" s="1877"/>
      <c r="T302" s="808"/>
      <c r="U302" s="187"/>
    </row>
    <row r="303" s="42" customFormat="1" ht="13.2" spans="2:21">
      <c r="B303" s="187"/>
      <c r="C303" s="1874"/>
      <c r="D303" s="187"/>
      <c r="E303" s="931"/>
      <c r="F303" s="187"/>
      <c r="G303" s="931"/>
      <c r="H303" s="187"/>
      <c r="I303" s="931"/>
      <c r="J303" s="1875"/>
      <c r="K303" s="1875"/>
      <c r="L303" s="931"/>
      <c r="M303" s="806"/>
      <c r="N303" s="1876"/>
      <c r="O303" s="808"/>
      <c r="P303" s="808"/>
      <c r="R303" s="808"/>
      <c r="S303" s="1877"/>
      <c r="T303" s="808"/>
      <c r="U303" s="187"/>
    </row>
    <row r="304" s="42" customFormat="1" ht="13.2" spans="2:21">
      <c r="B304" s="187"/>
      <c r="C304" s="1874"/>
      <c r="D304" s="187"/>
      <c r="E304" s="931"/>
      <c r="F304" s="187"/>
      <c r="G304" s="931"/>
      <c r="H304" s="187"/>
      <c r="I304" s="931"/>
      <c r="J304" s="1875"/>
      <c r="K304" s="1875"/>
      <c r="L304" s="931"/>
      <c r="M304" s="806"/>
      <c r="N304" s="1876"/>
      <c r="O304" s="808"/>
      <c r="P304" s="808"/>
      <c r="R304" s="808"/>
      <c r="S304" s="1877"/>
      <c r="T304" s="808"/>
      <c r="U304" s="187"/>
    </row>
    <row r="305" s="42" customFormat="1" ht="13.2" spans="2:21">
      <c r="B305" s="187"/>
      <c r="C305" s="1874"/>
      <c r="D305" s="187"/>
      <c r="E305" s="931"/>
      <c r="F305" s="187"/>
      <c r="G305" s="931"/>
      <c r="H305" s="187"/>
      <c r="I305" s="931"/>
      <c r="J305" s="1875"/>
      <c r="K305" s="1875"/>
      <c r="L305" s="931"/>
      <c r="M305" s="806"/>
      <c r="N305" s="1876"/>
      <c r="O305" s="808"/>
      <c r="P305" s="808"/>
      <c r="R305" s="808"/>
      <c r="S305" s="1877"/>
      <c r="T305" s="808"/>
      <c r="U305" s="187"/>
    </row>
    <row r="306" s="42" customFormat="1" ht="13.2" spans="2:21">
      <c r="B306" s="187"/>
      <c r="C306" s="1874"/>
      <c r="D306" s="187"/>
      <c r="E306" s="931"/>
      <c r="F306" s="187"/>
      <c r="G306" s="931"/>
      <c r="H306" s="187"/>
      <c r="I306" s="931"/>
      <c r="J306" s="1875"/>
      <c r="K306" s="1875"/>
      <c r="L306" s="931"/>
      <c r="M306" s="806"/>
      <c r="N306" s="1876"/>
      <c r="O306" s="808"/>
      <c r="P306" s="808"/>
      <c r="R306" s="808"/>
      <c r="S306" s="1877"/>
      <c r="T306" s="808"/>
      <c r="U306" s="187"/>
    </row>
    <row r="307" s="42" customFormat="1" ht="13.2" spans="2:21">
      <c r="B307" s="187"/>
      <c r="C307" s="1874"/>
      <c r="D307" s="187"/>
      <c r="E307" s="931"/>
      <c r="F307" s="187"/>
      <c r="G307" s="931"/>
      <c r="H307" s="187"/>
      <c r="I307" s="931"/>
      <c r="J307" s="1875"/>
      <c r="K307" s="1875"/>
      <c r="L307" s="931"/>
      <c r="M307" s="806"/>
      <c r="N307" s="1876"/>
      <c r="O307" s="808"/>
      <c r="P307" s="808"/>
      <c r="R307" s="808"/>
      <c r="S307" s="1877"/>
      <c r="T307" s="808"/>
      <c r="U307" s="187"/>
    </row>
    <row r="308" s="42" customFormat="1" ht="13.2" spans="2:21">
      <c r="B308" s="187"/>
      <c r="C308" s="1874"/>
      <c r="D308" s="187"/>
      <c r="E308" s="931"/>
      <c r="F308" s="187"/>
      <c r="G308" s="931"/>
      <c r="H308" s="187"/>
      <c r="I308" s="931"/>
      <c r="J308" s="1875"/>
      <c r="K308" s="1875"/>
      <c r="L308" s="931"/>
      <c r="M308" s="806"/>
      <c r="N308" s="1876"/>
      <c r="O308" s="808"/>
      <c r="P308" s="808"/>
      <c r="R308" s="808"/>
      <c r="S308" s="1877"/>
      <c r="T308" s="808"/>
      <c r="U308" s="187"/>
    </row>
    <row r="309" s="42" customFormat="1" ht="13.2" spans="2:21">
      <c r="B309" s="187"/>
      <c r="C309" s="1874"/>
      <c r="D309" s="187"/>
      <c r="E309" s="931"/>
      <c r="F309" s="187"/>
      <c r="G309" s="931"/>
      <c r="H309" s="187"/>
      <c r="I309" s="931"/>
      <c r="J309" s="1875"/>
      <c r="K309" s="1875"/>
      <c r="L309" s="931"/>
      <c r="M309" s="806"/>
      <c r="N309" s="1876"/>
      <c r="O309" s="808"/>
      <c r="P309" s="808"/>
      <c r="R309" s="808"/>
      <c r="S309" s="1877"/>
      <c r="T309" s="808"/>
      <c r="U309" s="187"/>
    </row>
    <row r="310" s="42" customFormat="1" ht="13.2" spans="2:21">
      <c r="B310" s="187"/>
      <c r="C310" s="1874"/>
      <c r="D310" s="187"/>
      <c r="E310" s="931"/>
      <c r="F310" s="187"/>
      <c r="G310" s="931"/>
      <c r="H310" s="187"/>
      <c r="I310" s="931"/>
      <c r="J310" s="1875"/>
      <c r="K310" s="1875"/>
      <c r="L310" s="931"/>
      <c r="M310" s="806"/>
      <c r="N310" s="1876"/>
      <c r="O310" s="808"/>
      <c r="P310" s="808"/>
      <c r="R310" s="808"/>
      <c r="S310" s="1877"/>
      <c r="T310" s="808"/>
      <c r="U310" s="187"/>
    </row>
    <row r="311" s="42" customFormat="1" ht="13.2" spans="2:21">
      <c r="B311" s="187"/>
      <c r="C311" s="1874"/>
      <c r="D311" s="187"/>
      <c r="E311" s="931"/>
      <c r="F311" s="187"/>
      <c r="G311" s="931"/>
      <c r="H311" s="187"/>
      <c r="I311" s="931"/>
      <c r="J311" s="1875"/>
      <c r="K311" s="1875"/>
      <c r="L311" s="931"/>
      <c r="M311" s="806"/>
      <c r="N311" s="1876"/>
      <c r="O311" s="808"/>
      <c r="P311" s="808"/>
      <c r="R311" s="808"/>
      <c r="S311" s="1877"/>
      <c r="T311" s="808"/>
      <c r="U311" s="187"/>
    </row>
    <row r="312" s="42" customFormat="1" ht="13.2" spans="2:21">
      <c r="B312" s="187"/>
      <c r="C312" s="1874"/>
      <c r="D312" s="187"/>
      <c r="E312" s="931"/>
      <c r="F312" s="187"/>
      <c r="G312" s="931"/>
      <c r="H312" s="187"/>
      <c r="I312" s="931"/>
      <c r="J312" s="1875"/>
      <c r="K312" s="1875"/>
      <c r="L312" s="931"/>
      <c r="M312" s="806"/>
      <c r="N312" s="1876"/>
      <c r="O312" s="808"/>
      <c r="P312" s="808"/>
      <c r="R312" s="808"/>
      <c r="S312" s="1877"/>
      <c r="T312" s="808"/>
      <c r="U312" s="187"/>
    </row>
    <row r="313" s="42" customFormat="1" ht="13.2" spans="2:21">
      <c r="B313" s="187"/>
      <c r="C313" s="1874"/>
      <c r="D313" s="187"/>
      <c r="E313" s="931"/>
      <c r="F313" s="187"/>
      <c r="G313" s="931"/>
      <c r="H313" s="187"/>
      <c r="I313" s="931"/>
      <c r="J313" s="1875"/>
      <c r="K313" s="1875"/>
      <c r="L313" s="931"/>
      <c r="M313" s="806"/>
      <c r="N313" s="1876"/>
      <c r="O313" s="808"/>
      <c r="P313" s="808"/>
      <c r="R313" s="808"/>
      <c r="S313" s="1877"/>
      <c r="T313" s="808"/>
      <c r="U313" s="187"/>
    </row>
    <row r="314" s="42" customFormat="1" ht="13.2" spans="2:21">
      <c r="B314" s="187"/>
      <c r="C314" s="1874"/>
      <c r="D314" s="187"/>
      <c r="E314" s="931"/>
      <c r="F314" s="187"/>
      <c r="G314" s="931"/>
      <c r="H314" s="187"/>
      <c r="I314" s="931"/>
      <c r="J314" s="1875"/>
      <c r="K314" s="1875"/>
      <c r="L314" s="931"/>
      <c r="M314" s="806"/>
      <c r="N314" s="1876"/>
      <c r="O314" s="808"/>
      <c r="P314" s="808"/>
      <c r="R314" s="808"/>
      <c r="S314" s="1877"/>
      <c r="T314" s="808"/>
      <c r="U314" s="187"/>
    </row>
    <row r="315" s="42" customFormat="1" ht="13.2" spans="2:21">
      <c r="B315" s="187"/>
      <c r="C315" s="1874"/>
      <c r="D315" s="187"/>
      <c r="E315" s="931"/>
      <c r="F315" s="187"/>
      <c r="G315" s="931"/>
      <c r="H315" s="187"/>
      <c r="I315" s="931"/>
      <c r="J315" s="1875"/>
      <c r="K315" s="1875"/>
      <c r="L315" s="931"/>
      <c r="M315" s="806"/>
      <c r="N315" s="1876"/>
      <c r="O315" s="808"/>
      <c r="P315" s="808"/>
      <c r="R315" s="808"/>
      <c r="S315" s="1877"/>
      <c r="T315" s="808"/>
      <c r="U315" s="187"/>
    </row>
    <row r="316" s="42" customFormat="1" ht="13.2" spans="2:21">
      <c r="B316" s="187"/>
      <c r="C316" s="1874"/>
      <c r="D316" s="187"/>
      <c r="E316" s="931"/>
      <c r="F316" s="187"/>
      <c r="G316" s="931"/>
      <c r="H316" s="187"/>
      <c r="I316" s="931"/>
      <c r="J316" s="1875"/>
      <c r="K316" s="1875"/>
      <c r="L316" s="931"/>
      <c r="M316" s="806"/>
      <c r="N316" s="1876"/>
      <c r="O316" s="808"/>
      <c r="P316" s="808"/>
      <c r="R316" s="808"/>
      <c r="S316" s="1877"/>
      <c r="T316" s="808"/>
      <c r="U316" s="187"/>
    </row>
    <row r="317" s="42" customFormat="1" ht="13.2" spans="2:21">
      <c r="B317" s="187"/>
      <c r="C317" s="1874"/>
      <c r="D317" s="187"/>
      <c r="E317" s="931"/>
      <c r="F317" s="187"/>
      <c r="G317" s="931"/>
      <c r="H317" s="187"/>
      <c r="I317" s="931"/>
      <c r="J317" s="1875"/>
      <c r="K317" s="1875"/>
      <c r="L317" s="931"/>
      <c r="M317" s="806"/>
      <c r="N317" s="1876"/>
      <c r="O317" s="808"/>
      <c r="P317" s="808"/>
      <c r="R317" s="808"/>
      <c r="S317" s="1877"/>
      <c r="T317" s="808"/>
      <c r="U317" s="187"/>
    </row>
    <row r="318" s="42" customFormat="1" ht="13.2" spans="2:21">
      <c r="B318" s="187"/>
      <c r="C318" s="1874"/>
      <c r="D318" s="187"/>
      <c r="E318" s="931"/>
      <c r="F318" s="187"/>
      <c r="G318" s="931"/>
      <c r="H318" s="187"/>
      <c r="I318" s="931"/>
      <c r="J318" s="1875"/>
      <c r="K318" s="1875"/>
      <c r="L318" s="931"/>
      <c r="M318" s="806"/>
      <c r="N318" s="1876"/>
      <c r="O318" s="808"/>
      <c r="P318" s="808"/>
      <c r="R318" s="808"/>
      <c r="S318" s="1877"/>
      <c r="T318" s="808"/>
      <c r="U318" s="187"/>
    </row>
    <row r="319" s="42" customFormat="1" ht="13.2" spans="2:21">
      <c r="B319" s="187"/>
      <c r="C319" s="1874"/>
      <c r="D319" s="187"/>
      <c r="E319" s="931"/>
      <c r="F319" s="187"/>
      <c r="G319" s="931"/>
      <c r="H319" s="187"/>
      <c r="I319" s="931"/>
      <c r="J319" s="1875"/>
      <c r="K319" s="1875"/>
      <c r="L319" s="931"/>
      <c r="M319" s="806"/>
      <c r="N319" s="1876"/>
      <c r="O319" s="808"/>
      <c r="P319" s="808"/>
      <c r="R319" s="808"/>
      <c r="S319" s="1877"/>
      <c r="T319" s="808"/>
      <c r="U319" s="187"/>
    </row>
    <row r="320" s="42" customFormat="1" ht="13.2" spans="2:21">
      <c r="B320" s="187"/>
      <c r="C320" s="1874"/>
      <c r="D320" s="187"/>
      <c r="E320" s="931"/>
      <c r="F320" s="187"/>
      <c r="G320" s="931"/>
      <c r="H320" s="187"/>
      <c r="I320" s="931"/>
      <c r="J320" s="1875"/>
      <c r="K320" s="1875"/>
      <c r="L320" s="931"/>
      <c r="M320" s="806"/>
      <c r="N320" s="1876"/>
      <c r="O320" s="808"/>
      <c r="P320" s="808"/>
      <c r="R320" s="808"/>
      <c r="S320" s="1877"/>
      <c r="T320" s="808"/>
      <c r="U320" s="187"/>
    </row>
    <row r="321" s="42" customFormat="1" ht="13.2" spans="2:21">
      <c r="B321" s="187"/>
      <c r="C321" s="1874"/>
      <c r="D321" s="187"/>
      <c r="E321" s="931"/>
      <c r="F321" s="187"/>
      <c r="G321" s="931"/>
      <c r="H321" s="187"/>
      <c r="I321" s="931"/>
      <c r="J321" s="1875"/>
      <c r="K321" s="1875"/>
      <c r="L321" s="931"/>
      <c r="M321" s="806"/>
      <c r="N321" s="1876"/>
      <c r="O321" s="808"/>
      <c r="P321" s="808"/>
      <c r="R321" s="808"/>
      <c r="S321" s="1877"/>
      <c r="T321" s="808"/>
      <c r="U321" s="187"/>
    </row>
    <row r="322" s="42" customFormat="1" ht="13.2" spans="2:21">
      <c r="B322" s="187"/>
      <c r="C322" s="1874"/>
      <c r="D322" s="187"/>
      <c r="E322" s="931"/>
      <c r="F322" s="187"/>
      <c r="G322" s="931"/>
      <c r="H322" s="187"/>
      <c r="I322" s="931"/>
      <c r="J322" s="1875"/>
      <c r="K322" s="1875"/>
      <c r="L322" s="931"/>
      <c r="M322" s="806"/>
      <c r="N322" s="1876"/>
      <c r="O322" s="808"/>
      <c r="P322" s="808"/>
      <c r="R322" s="808"/>
      <c r="S322" s="1877"/>
      <c r="T322" s="808"/>
      <c r="U322" s="187"/>
    </row>
    <row r="323" s="42" customFormat="1" ht="13.2" spans="2:21">
      <c r="B323" s="187"/>
      <c r="C323" s="1874"/>
      <c r="D323" s="187"/>
      <c r="E323" s="931"/>
      <c r="F323" s="187"/>
      <c r="G323" s="931"/>
      <c r="H323" s="187"/>
      <c r="I323" s="931"/>
      <c r="J323" s="1875"/>
      <c r="K323" s="1875"/>
      <c r="L323" s="931"/>
      <c r="M323" s="806"/>
      <c r="N323" s="1876"/>
      <c r="O323" s="808"/>
      <c r="P323" s="808"/>
      <c r="R323" s="808"/>
      <c r="S323" s="1877"/>
      <c r="T323" s="808"/>
      <c r="U323" s="187"/>
    </row>
    <row r="324" s="42" customFormat="1" ht="13.2" spans="2:21">
      <c r="B324" s="187"/>
      <c r="C324" s="1874"/>
      <c r="D324" s="187"/>
      <c r="E324" s="931"/>
      <c r="F324" s="187"/>
      <c r="G324" s="931"/>
      <c r="H324" s="187"/>
      <c r="I324" s="931"/>
      <c r="J324" s="1875"/>
      <c r="K324" s="1875"/>
      <c r="L324" s="931"/>
      <c r="M324" s="806"/>
      <c r="N324" s="1876"/>
      <c r="O324" s="808"/>
      <c r="P324" s="808"/>
      <c r="R324" s="808"/>
      <c r="S324" s="1877"/>
      <c r="T324" s="808"/>
      <c r="U324" s="187"/>
    </row>
    <row r="325" s="42" customFormat="1" ht="13.2" spans="2:21">
      <c r="B325" s="187"/>
      <c r="C325" s="1874"/>
      <c r="D325" s="187"/>
      <c r="E325" s="931"/>
      <c r="F325" s="187"/>
      <c r="G325" s="931"/>
      <c r="H325" s="187"/>
      <c r="I325" s="931"/>
      <c r="J325" s="1875"/>
      <c r="K325" s="1875"/>
      <c r="L325" s="931"/>
      <c r="M325" s="806"/>
      <c r="N325" s="1876"/>
      <c r="O325" s="808"/>
      <c r="P325" s="808"/>
      <c r="R325" s="808"/>
      <c r="S325" s="1877"/>
      <c r="T325" s="808"/>
      <c r="U325" s="187"/>
    </row>
    <row r="326" s="42" customFormat="1" ht="13.2" spans="2:21">
      <c r="B326" s="187"/>
      <c r="C326" s="1874"/>
      <c r="D326" s="187"/>
      <c r="E326" s="931"/>
      <c r="F326" s="187"/>
      <c r="G326" s="931"/>
      <c r="H326" s="187"/>
      <c r="I326" s="931"/>
      <c r="J326" s="1875"/>
      <c r="K326" s="1875"/>
      <c r="L326" s="931"/>
      <c r="M326" s="806"/>
      <c r="N326" s="1876"/>
      <c r="O326" s="808"/>
      <c r="P326" s="808"/>
      <c r="R326" s="808"/>
      <c r="S326" s="1877"/>
      <c r="T326" s="808"/>
      <c r="U326" s="187"/>
    </row>
    <row r="327" s="42" customFormat="1" ht="13.2" spans="2:21">
      <c r="B327" s="187"/>
      <c r="C327" s="1874"/>
      <c r="D327" s="187"/>
      <c r="E327" s="931"/>
      <c r="F327" s="187"/>
      <c r="G327" s="931"/>
      <c r="H327" s="187"/>
      <c r="I327" s="931"/>
      <c r="J327" s="1875"/>
      <c r="K327" s="1875"/>
      <c r="L327" s="931"/>
      <c r="M327" s="806"/>
      <c r="N327" s="1876"/>
      <c r="O327" s="808"/>
      <c r="P327" s="808"/>
      <c r="R327" s="808"/>
      <c r="S327" s="1877"/>
      <c r="T327" s="808"/>
      <c r="U327" s="187"/>
    </row>
    <row r="328" s="42" customFormat="1" ht="13.2" spans="2:21">
      <c r="B328" s="187"/>
      <c r="C328" s="1874"/>
      <c r="D328" s="187"/>
      <c r="E328" s="931"/>
      <c r="F328" s="187"/>
      <c r="G328" s="931"/>
      <c r="H328" s="187"/>
      <c r="I328" s="931"/>
      <c r="J328" s="1875"/>
      <c r="K328" s="1875"/>
      <c r="L328" s="931"/>
      <c r="M328" s="806"/>
      <c r="N328" s="1876"/>
      <c r="O328" s="808"/>
      <c r="P328" s="808"/>
      <c r="R328" s="808"/>
      <c r="S328" s="1877"/>
      <c r="T328" s="808"/>
      <c r="U328" s="187"/>
    </row>
    <row r="329" s="42" customFormat="1" ht="13.2" spans="2:21">
      <c r="B329" s="187"/>
      <c r="C329" s="1874"/>
      <c r="D329" s="187"/>
      <c r="E329" s="931"/>
      <c r="F329" s="187"/>
      <c r="G329" s="931"/>
      <c r="H329" s="187"/>
      <c r="I329" s="931"/>
      <c r="J329" s="1875"/>
      <c r="K329" s="1875"/>
      <c r="L329" s="931"/>
      <c r="M329" s="806"/>
      <c r="N329" s="1876"/>
      <c r="O329" s="808"/>
      <c r="P329" s="808"/>
      <c r="R329" s="808"/>
      <c r="S329" s="1877"/>
      <c r="T329" s="808"/>
      <c r="U329" s="187"/>
    </row>
    <row r="330" s="42" customFormat="1" ht="13.2" spans="2:21">
      <c r="B330" s="187"/>
      <c r="C330" s="1874"/>
      <c r="D330" s="187"/>
      <c r="E330" s="931"/>
      <c r="F330" s="187"/>
      <c r="G330" s="931"/>
      <c r="H330" s="187"/>
      <c r="I330" s="931"/>
      <c r="J330" s="1875"/>
      <c r="K330" s="1875"/>
      <c r="L330" s="931"/>
      <c r="M330" s="806"/>
      <c r="N330" s="1876"/>
      <c r="O330" s="808"/>
      <c r="P330" s="808"/>
      <c r="R330" s="808"/>
      <c r="S330" s="1877"/>
      <c r="T330" s="808"/>
      <c r="U330" s="187"/>
    </row>
    <row r="331" s="42" customFormat="1" ht="13.2" spans="2:21">
      <c r="B331" s="187"/>
      <c r="C331" s="1874"/>
      <c r="D331" s="187"/>
      <c r="E331" s="931"/>
      <c r="F331" s="187"/>
      <c r="G331" s="931"/>
      <c r="H331" s="187"/>
      <c r="I331" s="931"/>
      <c r="J331" s="1875"/>
      <c r="K331" s="1875"/>
      <c r="L331" s="931"/>
      <c r="M331" s="806"/>
      <c r="N331" s="1876"/>
      <c r="O331" s="808"/>
      <c r="P331" s="808"/>
      <c r="R331" s="808"/>
      <c r="S331" s="1877"/>
      <c r="T331" s="808"/>
      <c r="U331" s="187"/>
    </row>
    <row r="332" s="42" customFormat="1" ht="13.2" spans="2:21">
      <c r="B332" s="187"/>
      <c r="C332" s="1874"/>
      <c r="D332" s="187"/>
      <c r="E332" s="931"/>
      <c r="F332" s="187"/>
      <c r="G332" s="931"/>
      <c r="H332" s="187"/>
      <c r="I332" s="931"/>
      <c r="J332" s="1875"/>
      <c r="K332" s="1875"/>
      <c r="L332" s="931"/>
      <c r="M332" s="806"/>
      <c r="N332" s="1876"/>
      <c r="O332" s="808"/>
      <c r="P332" s="808"/>
      <c r="R332" s="808"/>
      <c r="S332" s="1877"/>
      <c r="T332" s="808"/>
      <c r="U332" s="187"/>
    </row>
    <row r="333" s="42" customFormat="1" ht="13.2" spans="2:21">
      <c r="B333" s="187"/>
      <c r="C333" s="1874"/>
      <c r="D333" s="187"/>
      <c r="E333" s="931"/>
      <c r="F333" s="187"/>
      <c r="G333" s="931"/>
      <c r="H333" s="187"/>
      <c r="I333" s="931"/>
      <c r="J333" s="1875"/>
      <c r="K333" s="1875"/>
      <c r="L333" s="931"/>
      <c r="M333" s="806"/>
      <c r="N333" s="1876"/>
      <c r="O333" s="808"/>
      <c r="P333" s="808"/>
      <c r="R333" s="808"/>
      <c r="S333" s="1877"/>
      <c r="T333" s="808"/>
      <c r="U333" s="187"/>
    </row>
    <row r="334" s="42" customFormat="1" ht="13.2" spans="2:21">
      <c r="B334" s="187"/>
      <c r="C334" s="1874"/>
      <c r="D334" s="187"/>
      <c r="E334" s="931"/>
      <c r="F334" s="187"/>
      <c r="G334" s="931"/>
      <c r="H334" s="187"/>
      <c r="I334" s="931"/>
      <c r="J334" s="1875"/>
      <c r="K334" s="1875"/>
      <c r="L334" s="931"/>
      <c r="M334" s="806"/>
      <c r="N334" s="1876"/>
      <c r="O334" s="808"/>
      <c r="P334" s="808"/>
      <c r="R334" s="808"/>
      <c r="S334" s="1877"/>
      <c r="T334" s="808"/>
      <c r="U334" s="187"/>
    </row>
    <row r="335" s="42" customFormat="1" ht="13.2" spans="2:21">
      <c r="B335" s="187"/>
      <c r="C335" s="1874"/>
      <c r="D335" s="187"/>
      <c r="E335" s="931"/>
      <c r="F335" s="187"/>
      <c r="G335" s="931"/>
      <c r="H335" s="187"/>
      <c r="I335" s="931"/>
      <c r="J335" s="1875"/>
      <c r="K335" s="1875"/>
      <c r="L335" s="931"/>
      <c r="M335" s="806"/>
      <c r="N335" s="1876"/>
      <c r="O335" s="808"/>
      <c r="P335" s="808"/>
      <c r="R335" s="808"/>
      <c r="S335" s="1877"/>
      <c r="T335" s="808"/>
      <c r="U335" s="187"/>
    </row>
    <row r="336" s="42" customFormat="1" ht="13.2" spans="2:21">
      <c r="B336" s="187"/>
      <c r="C336" s="1874"/>
      <c r="D336" s="187"/>
      <c r="E336" s="931"/>
      <c r="F336" s="187"/>
      <c r="G336" s="931"/>
      <c r="H336" s="187"/>
      <c r="I336" s="931"/>
      <c r="J336" s="1875"/>
      <c r="K336" s="1875"/>
      <c r="L336" s="931"/>
      <c r="M336" s="806"/>
      <c r="N336" s="1876"/>
      <c r="O336" s="808"/>
      <c r="P336" s="808"/>
      <c r="R336" s="808"/>
      <c r="S336" s="1877"/>
      <c r="T336" s="808"/>
      <c r="U336" s="187"/>
    </row>
    <row r="337" s="42" customFormat="1" ht="13.2" spans="2:21">
      <c r="B337" s="187"/>
      <c r="C337" s="1874"/>
      <c r="D337" s="187"/>
      <c r="E337" s="931"/>
      <c r="F337" s="187"/>
      <c r="G337" s="931"/>
      <c r="H337" s="187"/>
      <c r="I337" s="931"/>
      <c r="J337" s="1875"/>
      <c r="K337" s="1875"/>
      <c r="L337" s="931"/>
      <c r="M337" s="806"/>
      <c r="N337" s="1876"/>
      <c r="O337" s="808"/>
      <c r="P337" s="808"/>
      <c r="R337" s="808"/>
      <c r="S337" s="1877"/>
      <c r="T337" s="808"/>
      <c r="U337" s="187"/>
    </row>
    <row r="338" s="42" customFormat="1" ht="13.2" spans="2:21">
      <c r="B338" s="187"/>
      <c r="C338" s="1874"/>
      <c r="D338" s="187"/>
      <c r="E338" s="931"/>
      <c r="F338" s="187"/>
      <c r="G338" s="931"/>
      <c r="H338" s="187"/>
      <c r="I338" s="931"/>
      <c r="J338" s="1875"/>
      <c r="K338" s="1875"/>
      <c r="L338" s="931"/>
      <c r="M338" s="806"/>
      <c r="N338" s="1876"/>
      <c r="O338" s="808"/>
      <c r="P338" s="808"/>
      <c r="R338" s="808"/>
      <c r="S338" s="1877"/>
      <c r="T338" s="808"/>
      <c r="U338" s="187"/>
    </row>
    <row r="339" s="42" customFormat="1" ht="13.2" spans="2:21">
      <c r="B339" s="187"/>
      <c r="C339" s="1874"/>
      <c r="D339" s="187"/>
      <c r="E339" s="931"/>
      <c r="F339" s="187"/>
      <c r="G339" s="931"/>
      <c r="H339" s="187"/>
      <c r="I339" s="931"/>
      <c r="J339" s="1875"/>
      <c r="K339" s="1875"/>
      <c r="L339" s="931"/>
      <c r="M339" s="806"/>
      <c r="N339" s="1876"/>
      <c r="O339" s="808"/>
      <c r="P339" s="808"/>
      <c r="R339" s="808"/>
      <c r="S339" s="1877"/>
      <c r="T339" s="808"/>
      <c r="U339" s="187"/>
    </row>
    <row r="340" s="42" customFormat="1" ht="13.2" spans="2:21">
      <c r="B340" s="187"/>
      <c r="C340" s="1874"/>
      <c r="D340" s="187"/>
      <c r="E340" s="931"/>
      <c r="F340" s="187"/>
      <c r="G340" s="931"/>
      <c r="H340" s="187"/>
      <c r="I340" s="931"/>
      <c r="J340" s="1875"/>
      <c r="K340" s="1875"/>
      <c r="L340" s="931"/>
      <c r="M340" s="806"/>
      <c r="N340" s="1876"/>
      <c r="O340" s="808"/>
      <c r="P340" s="808"/>
      <c r="R340" s="808"/>
      <c r="S340" s="1877"/>
      <c r="T340" s="808"/>
      <c r="U340" s="187"/>
    </row>
    <row r="341" s="42" customFormat="1" ht="13.2" spans="2:21">
      <c r="B341" s="187"/>
      <c r="C341" s="1874"/>
      <c r="D341" s="187"/>
      <c r="E341" s="931"/>
      <c r="F341" s="187"/>
      <c r="G341" s="931"/>
      <c r="H341" s="187"/>
      <c r="I341" s="931"/>
      <c r="J341" s="1875"/>
      <c r="K341" s="1875"/>
      <c r="L341" s="931"/>
      <c r="M341" s="806"/>
      <c r="N341" s="1876"/>
      <c r="O341" s="808"/>
      <c r="P341" s="808"/>
      <c r="R341" s="808"/>
      <c r="S341" s="1877"/>
      <c r="T341" s="808"/>
      <c r="U341" s="187"/>
    </row>
    <row r="342" s="42" customFormat="1" ht="13.2" spans="2:21">
      <c r="B342" s="187"/>
      <c r="C342" s="1874"/>
      <c r="D342" s="187"/>
      <c r="E342" s="931"/>
      <c r="F342" s="187"/>
      <c r="G342" s="931"/>
      <c r="H342" s="187"/>
      <c r="I342" s="931"/>
      <c r="J342" s="1875"/>
      <c r="K342" s="1875"/>
      <c r="L342" s="931"/>
      <c r="M342" s="806"/>
      <c r="N342" s="1876"/>
      <c r="O342" s="808"/>
      <c r="P342" s="808"/>
      <c r="R342" s="808"/>
      <c r="S342" s="1877"/>
      <c r="T342" s="808"/>
      <c r="U342" s="187"/>
    </row>
    <row r="343" s="42" customFormat="1" ht="13.2" spans="2:21">
      <c r="B343" s="187"/>
      <c r="C343" s="1874"/>
      <c r="D343" s="187"/>
      <c r="E343" s="931"/>
      <c r="F343" s="187"/>
      <c r="G343" s="931"/>
      <c r="H343" s="187"/>
      <c r="I343" s="931"/>
      <c r="J343" s="1875"/>
      <c r="K343" s="1875"/>
      <c r="L343" s="931"/>
      <c r="M343" s="806"/>
      <c r="N343" s="1876"/>
      <c r="O343" s="808"/>
      <c r="P343" s="808"/>
      <c r="R343" s="808"/>
      <c r="S343" s="1877"/>
      <c r="T343" s="808"/>
      <c r="U343" s="187"/>
    </row>
    <row r="344" s="42" customFormat="1" ht="13.2" spans="2:21">
      <c r="B344" s="187"/>
      <c r="C344" s="1874"/>
      <c r="D344" s="187"/>
      <c r="E344" s="931"/>
      <c r="F344" s="187"/>
      <c r="G344" s="931"/>
      <c r="H344" s="187"/>
      <c r="I344" s="931"/>
      <c r="J344" s="1875"/>
      <c r="K344" s="1875"/>
      <c r="L344" s="931"/>
      <c r="M344" s="806"/>
      <c r="N344" s="1876"/>
      <c r="O344" s="808"/>
      <c r="P344" s="808"/>
      <c r="R344" s="808"/>
      <c r="S344" s="1877"/>
      <c r="T344" s="808"/>
      <c r="U344" s="187"/>
    </row>
    <row r="345" s="42" customFormat="1" ht="13.2" spans="2:21">
      <c r="B345" s="187"/>
      <c r="C345" s="1874"/>
      <c r="D345" s="187"/>
      <c r="E345" s="931"/>
      <c r="F345" s="187"/>
      <c r="G345" s="931"/>
      <c r="H345" s="187"/>
      <c r="I345" s="931"/>
      <c r="J345" s="1875"/>
      <c r="K345" s="1875"/>
      <c r="L345" s="931"/>
      <c r="M345" s="806"/>
      <c r="N345" s="1876"/>
      <c r="O345" s="808"/>
      <c r="P345" s="808"/>
      <c r="R345" s="808"/>
      <c r="S345" s="1877"/>
      <c r="T345" s="808"/>
      <c r="U345" s="187"/>
    </row>
    <row r="346" s="42" customFormat="1" ht="13.2" spans="2:21">
      <c r="B346" s="187"/>
      <c r="C346" s="1874"/>
      <c r="D346" s="187"/>
      <c r="E346" s="931"/>
      <c r="F346" s="187"/>
      <c r="G346" s="931"/>
      <c r="H346" s="187"/>
      <c r="I346" s="931"/>
      <c r="J346" s="1875"/>
      <c r="K346" s="1875"/>
      <c r="L346" s="931"/>
      <c r="M346" s="806"/>
      <c r="N346" s="1876"/>
      <c r="O346" s="808"/>
      <c r="P346" s="808"/>
      <c r="R346" s="808"/>
      <c r="S346" s="1877"/>
      <c r="T346" s="808"/>
      <c r="U346" s="187"/>
    </row>
    <row r="347" s="42" customFormat="1" ht="13.2" spans="2:21">
      <c r="B347" s="187"/>
      <c r="C347" s="1874"/>
      <c r="D347" s="187"/>
      <c r="E347" s="931"/>
      <c r="F347" s="187"/>
      <c r="G347" s="931"/>
      <c r="H347" s="187"/>
      <c r="I347" s="931"/>
      <c r="J347" s="1875"/>
      <c r="K347" s="1875"/>
      <c r="L347" s="931"/>
      <c r="M347" s="806"/>
      <c r="N347" s="1876"/>
      <c r="O347" s="808"/>
      <c r="P347" s="808"/>
      <c r="R347" s="808"/>
      <c r="S347" s="1877"/>
      <c r="T347" s="808"/>
      <c r="U347" s="187"/>
    </row>
    <row r="348" s="42" customFormat="1" ht="13.2" spans="2:21">
      <c r="B348" s="187"/>
      <c r="C348" s="1874"/>
      <c r="D348" s="187"/>
      <c r="E348" s="931"/>
      <c r="F348" s="187"/>
      <c r="G348" s="931"/>
      <c r="H348" s="187"/>
      <c r="I348" s="931"/>
      <c r="J348" s="1875"/>
      <c r="K348" s="1875"/>
      <c r="L348" s="931"/>
      <c r="M348" s="806"/>
      <c r="N348" s="1876"/>
      <c r="O348" s="808"/>
      <c r="P348" s="808"/>
      <c r="R348" s="808"/>
      <c r="S348" s="1877"/>
      <c r="T348" s="808"/>
      <c r="U348" s="187"/>
    </row>
    <row r="349" s="42" customFormat="1" ht="13.2" spans="2:21">
      <c r="B349" s="187"/>
      <c r="C349" s="1874"/>
      <c r="D349" s="187"/>
      <c r="E349" s="931"/>
      <c r="F349" s="187"/>
      <c r="G349" s="931"/>
      <c r="H349" s="187"/>
      <c r="I349" s="931"/>
      <c r="J349" s="1875"/>
      <c r="K349" s="1875"/>
      <c r="L349" s="931"/>
      <c r="M349" s="806"/>
      <c r="N349" s="1876"/>
      <c r="O349" s="808"/>
      <c r="P349" s="808"/>
      <c r="R349" s="808"/>
      <c r="S349" s="1877"/>
      <c r="T349" s="808"/>
      <c r="U349" s="187"/>
    </row>
    <row r="350" s="42" customFormat="1" ht="13.2" spans="2:21">
      <c r="B350" s="187"/>
      <c r="C350" s="1874"/>
      <c r="D350" s="187"/>
      <c r="E350" s="931"/>
      <c r="F350" s="187"/>
      <c r="G350" s="931"/>
      <c r="H350" s="187"/>
      <c r="I350" s="931"/>
      <c r="J350" s="1875"/>
      <c r="K350" s="1875"/>
      <c r="L350" s="931"/>
      <c r="M350" s="806"/>
      <c r="N350" s="1876"/>
      <c r="O350" s="808"/>
      <c r="P350" s="808"/>
      <c r="R350" s="808"/>
      <c r="S350" s="1877"/>
      <c r="T350" s="808"/>
      <c r="U350" s="187"/>
    </row>
    <row r="351" s="42" customFormat="1" ht="13.2" spans="2:21">
      <c r="B351" s="187"/>
      <c r="C351" s="1874"/>
      <c r="D351" s="187"/>
      <c r="E351" s="931"/>
      <c r="F351" s="187"/>
      <c r="G351" s="931"/>
      <c r="H351" s="187"/>
      <c r="I351" s="931"/>
      <c r="J351" s="1875"/>
      <c r="K351" s="1875"/>
      <c r="L351" s="931"/>
      <c r="M351" s="806"/>
      <c r="N351" s="1876"/>
      <c r="O351" s="808"/>
      <c r="P351" s="808"/>
      <c r="R351" s="808"/>
      <c r="S351" s="1877"/>
      <c r="T351" s="808"/>
      <c r="U351" s="187"/>
    </row>
    <row r="352" s="42" customFormat="1" ht="13.2" spans="2:21">
      <c r="B352" s="187"/>
      <c r="C352" s="1874"/>
      <c r="D352" s="187"/>
      <c r="E352" s="931"/>
      <c r="F352" s="187"/>
      <c r="G352" s="931"/>
      <c r="H352" s="187"/>
      <c r="I352" s="931"/>
      <c r="J352" s="1875"/>
      <c r="K352" s="1875"/>
      <c r="L352" s="931"/>
      <c r="M352" s="806"/>
      <c r="N352" s="1876"/>
      <c r="O352" s="808"/>
      <c r="P352" s="808"/>
      <c r="R352" s="808"/>
      <c r="S352" s="1877"/>
      <c r="T352" s="808"/>
      <c r="U352" s="187"/>
    </row>
    <row r="353" s="42" customFormat="1" ht="13.2" spans="2:21">
      <c r="B353" s="187"/>
      <c r="C353" s="1874"/>
      <c r="D353" s="187"/>
      <c r="E353" s="931"/>
      <c r="F353" s="187"/>
      <c r="G353" s="931"/>
      <c r="H353" s="187"/>
      <c r="I353" s="931"/>
      <c r="J353" s="1875"/>
      <c r="K353" s="1875"/>
      <c r="L353" s="931"/>
      <c r="M353" s="806"/>
      <c r="N353" s="1876"/>
      <c r="O353" s="808"/>
      <c r="P353" s="808"/>
      <c r="R353" s="808"/>
      <c r="S353" s="1877"/>
      <c r="T353" s="808"/>
      <c r="U353" s="187"/>
    </row>
    <row r="354" s="42" customFormat="1" ht="13.2" spans="2:21">
      <c r="B354" s="187"/>
      <c r="C354" s="1874"/>
      <c r="D354" s="187"/>
      <c r="E354" s="931"/>
      <c r="F354" s="187"/>
      <c r="G354" s="931"/>
      <c r="H354" s="187"/>
      <c r="I354" s="931"/>
      <c r="J354" s="1875"/>
      <c r="K354" s="1875"/>
      <c r="L354" s="931"/>
      <c r="M354" s="806"/>
      <c r="N354" s="1876"/>
      <c r="O354" s="808"/>
      <c r="P354" s="808"/>
      <c r="R354" s="808"/>
      <c r="S354" s="1877"/>
      <c r="T354" s="808"/>
      <c r="U354" s="187"/>
    </row>
    <row r="355" s="42" customFormat="1" ht="13.2" spans="2:21">
      <c r="B355" s="187"/>
      <c r="C355" s="1874"/>
      <c r="D355" s="187"/>
      <c r="E355" s="931"/>
      <c r="F355" s="187"/>
      <c r="G355" s="931"/>
      <c r="H355" s="187"/>
      <c r="I355" s="931"/>
      <c r="J355" s="1875"/>
      <c r="K355" s="1875"/>
      <c r="L355" s="931"/>
      <c r="M355" s="806"/>
      <c r="N355" s="1876"/>
      <c r="O355" s="808"/>
      <c r="P355" s="808"/>
      <c r="R355" s="808"/>
      <c r="S355" s="1877"/>
      <c r="T355" s="808"/>
      <c r="U355" s="187"/>
    </row>
    <row r="356" s="42" customFormat="1" ht="13.2" spans="2:21">
      <c r="B356" s="187"/>
      <c r="C356" s="1874"/>
      <c r="D356" s="187"/>
      <c r="E356" s="931"/>
      <c r="F356" s="187"/>
      <c r="G356" s="931"/>
      <c r="H356" s="187"/>
      <c r="I356" s="931"/>
      <c r="J356" s="1875"/>
      <c r="K356" s="1875"/>
      <c r="L356" s="931"/>
      <c r="M356" s="806"/>
      <c r="N356" s="1876"/>
      <c r="O356" s="808"/>
      <c r="P356" s="808"/>
      <c r="R356" s="808"/>
      <c r="S356" s="1877"/>
      <c r="T356" s="808"/>
      <c r="U356" s="187"/>
    </row>
    <row r="357" s="42" customFormat="1" ht="13.2" spans="2:21">
      <c r="B357" s="187"/>
      <c r="C357" s="1874"/>
      <c r="D357" s="187"/>
      <c r="E357" s="931"/>
      <c r="F357" s="187"/>
      <c r="G357" s="931"/>
      <c r="H357" s="187"/>
      <c r="I357" s="931"/>
      <c r="J357" s="1875"/>
      <c r="K357" s="1875"/>
      <c r="L357" s="931"/>
      <c r="M357" s="806"/>
      <c r="N357" s="1876"/>
      <c r="O357" s="808"/>
      <c r="P357" s="808"/>
      <c r="R357" s="808"/>
      <c r="S357" s="1877"/>
      <c r="T357" s="808"/>
      <c r="U357" s="187"/>
    </row>
    <row r="358" s="42" customFormat="1" ht="13.2" spans="2:21">
      <c r="B358" s="187"/>
      <c r="C358" s="1874"/>
      <c r="D358" s="187"/>
      <c r="E358" s="931"/>
      <c r="F358" s="187"/>
      <c r="G358" s="931"/>
      <c r="H358" s="187"/>
      <c r="I358" s="931"/>
      <c r="J358" s="1875"/>
      <c r="K358" s="1875"/>
      <c r="L358" s="931"/>
      <c r="M358" s="806"/>
      <c r="N358" s="1876"/>
      <c r="O358" s="808"/>
      <c r="P358" s="808"/>
      <c r="R358" s="808"/>
      <c r="S358" s="1877"/>
      <c r="T358" s="808"/>
      <c r="U358" s="187"/>
    </row>
    <row r="359" s="42" customFormat="1" ht="13.2" spans="2:21">
      <c r="B359" s="187"/>
      <c r="C359" s="1874"/>
      <c r="D359" s="187"/>
      <c r="E359" s="931"/>
      <c r="F359" s="187"/>
      <c r="G359" s="931"/>
      <c r="H359" s="187"/>
      <c r="I359" s="931"/>
      <c r="J359" s="1875"/>
      <c r="K359" s="1875"/>
      <c r="L359" s="931"/>
      <c r="M359" s="806"/>
      <c r="N359" s="1876"/>
      <c r="O359" s="808"/>
      <c r="P359" s="808"/>
      <c r="R359" s="808"/>
      <c r="S359" s="1877"/>
      <c r="T359" s="808"/>
      <c r="U359" s="187"/>
    </row>
    <row r="360" s="42" customFormat="1" ht="13.2" spans="2:21">
      <c r="B360" s="187"/>
      <c r="C360" s="1874"/>
      <c r="D360" s="187"/>
      <c r="E360" s="931"/>
      <c r="F360" s="187"/>
      <c r="G360" s="931"/>
      <c r="H360" s="187"/>
      <c r="I360" s="931"/>
      <c r="J360" s="1875"/>
      <c r="K360" s="1875"/>
      <c r="L360" s="931"/>
      <c r="M360" s="806"/>
      <c r="N360" s="1876"/>
      <c r="O360" s="808"/>
      <c r="P360" s="808"/>
      <c r="R360" s="808"/>
      <c r="S360" s="1877"/>
      <c r="T360" s="808"/>
      <c r="U360" s="187"/>
    </row>
    <row r="361" s="42" customFormat="1" ht="13.2" spans="2:21">
      <c r="B361" s="187"/>
      <c r="C361" s="1874"/>
      <c r="D361" s="187"/>
      <c r="E361" s="931"/>
      <c r="F361" s="187"/>
      <c r="G361" s="931"/>
      <c r="H361" s="187"/>
      <c r="I361" s="931"/>
      <c r="J361" s="1875"/>
      <c r="K361" s="1875"/>
      <c r="L361" s="931"/>
      <c r="M361" s="806"/>
      <c r="N361" s="1876"/>
      <c r="O361" s="808"/>
      <c r="P361" s="808"/>
      <c r="R361" s="808"/>
      <c r="S361" s="1877"/>
      <c r="T361" s="808"/>
      <c r="U361" s="187"/>
    </row>
    <row r="362" s="42" customFormat="1" ht="13.2" spans="2:21">
      <c r="B362" s="187"/>
      <c r="C362" s="1874"/>
      <c r="D362" s="187"/>
      <c r="E362" s="931"/>
      <c r="F362" s="187"/>
      <c r="G362" s="931"/>
      <c r="H362" s="187"/>
      <c r="I362" s="931"/>
      <c r="J362" s="1875"/>
      <c r="K362" s="1875"/>
      <c r="L362" s="931"/>
      <c r="M362" s="806"/>
      <c r="N362" s="1876"/>
      <c r="O362" s="808"/>
      <c r="P362" s="808"/>
      <c r="R362" s="808"/>
      <c r="S362" s="1877"/>
      <c r="T362" s="808"/>
      <c r="U362" s="187"/>
    </row>
    <row r="363" s="42" customFormat="1" ht="13.2" spans="2:21">
      <c r="B363" s="187"/>
      <c r="C363" s="1874"/>
      <c r="D363" s="187"/>
      <c r="E363" s="931"/>
      <c r="F363" s="187"/>
      <c r="G363" s="931"/>
      <c r="H363" s="187"/>
      <c r="I363" s="931"/>
      <c r="J363" s="1875"/>
      <c r="K363" s="1875"/>
      <c r="L363" s="931"/>
      <c r="M363" s="806"/>
      <c r="N363" s="1876"/>
      <c r="O363" s="808"/>
      <c r="P363" s="808"/>
      <c r="R363" s="808"/>
      <c r="S363" s="1877"/>
      <c r="T363" s="808"/>
      <c r="U363" s="187"/>
    </row>
    <row r="364" s="42" customFormat="1" ht="13.2" spans="2:21">
      <c r="B364" s="187"/>
      <c r="C364" s="1874"/>
      <c r="D364" s="187"/>
      <c r="E364" s="931"/>
      <c r="F364" s="187"/>
      <c r="G364" s="931"/>
      <c r="H364" s="187"/>
      <c r="I364" s="931"/>
      <c r="J364" s="1875"/>
      <c r="K364" s="1875"/>
      <c r="L364" s="931"/>
      <c r="M364" s="806"/>
      <c r="N364" s="1876"/>
      <c r="O364" s="808"/>
      <c r="P364" s="808"/>
      <c r="R364" s="808"/>
      <c r="S364" s="1877"/>
      <c r="T364" s="808"/>
      <c r="U364" s="187"/>
    </row>
    <row r="365" s="42" customFormat="1" ht="13.2" spans="2:21">
      <c r="B365" s="791"/>
      <c r="C365" s="1924"/>
      <c r="D365" s="791"/>
      <c r="E365" s="924"/>
      <c r="F365" s="791"/>
      <c r="G365" s="924"/>
      <c r="H365" s="791"/>
      <c r="I365" s="924"/>
      <c r="J365" s="1789"/>
      <c r="K365" s="924"/>
      <c r="L365" s="1082" t="s">
        <v>712</v>
      </c>
      <c r="M365" s="153"/>
      <c r="N365" s="1925"/>
      <c r="O365" s="727"/>
      <c r="P365" s="727"/>
      <c r="Q365" s="1255"/>
      <c r="R365" s="727"/>
      <c r="S365" s="1877"/>
      <c r="T365" s="808"/>
      <c r="U365" s="187"/>
    </row>
    <row r="366" s="42" customFormat="1" ht="13.2" spans="2:21">
      <c r="B366" s="791"/>
      <c r="C366" s="1924"/>
      <c r="D366" s="791"/>
      <c r="E366" s="924"/>
      <c r="F366" s="791" t="s">
        <v>715</v>
      </c>
      <c r="G366" s="924"/>
      <c r="H366" s="791"/>
      <c r="I366" s="924"/>
      <c r="J366" s="1789"/>
      <c r="K366" s="924"/>
      <c r="L366" s="1082" t="s">
        <v>712</v>
      </c>
      <c r="M366" s="153"/>
      <c r="N366" s="1925"/>
      <c r="O366" s="727">
        <v>15.3</v>
      </c>
      <c r="P366" s="727"/>
      <c r="Q366" s="1255"/>
      <c r="R366" s="727"/>
      <c r="S366" s="1877"/>
      <c r="T366" s="808"/>
      <c r="U366" s="187"/>
    </row>
    <row r="367" s="42" customFormat="1" ht="13.2" spans="2:21">
      <c r="B367" s="187"/>
      <c r="C367" s="1874"/>
      <c r="D367" s="187"/>
      <c r="E367" s="931"/>
      <c r="F367" s="187"/>
      <c r="G367" s="931"/>
      <c r="H367" s="187"/>
      <c r="I367" s="931"/>
      <c r="J367" s="1875"/>
      <c r="K367" s="1875"/>
      <c r="L367" s="931"/>
      <c r="M367" s="806"/>
      <c r="N367" s="1876"/>
      <c r="O367" s="808"/>
      <c r="P367" s="808"/>
      <c r="R367" s="808"/>
      <c r="S367" s="1877"/>
      <c r="T367" s="808"/>
      <c r="U367" s="187"/>
    </row>
    <row r="368" s="42" customFormat="1" ht="13.2" spans="2:21">
      <c r="B368" s="187"/>
      <c r="C368" s="1874"/>
      <c r="D368" s="187"/>
      <c r="E368" s="931"/>
      <c r="F368" s="187"/>
      <c r="G368" s="931"/>
      <c r="H368" s="187"/>
      <c r="I368" s="931"/>
      <c r="J368" s="1875"/>
      <c r="K368" s="1875"/>
      <c r="L368" s="931"/>
      <c r="M368" s="806"/>
      <c r="N368" s="1876"/>
      <c r="O368" s="808"/>
      <c r="P368" s="808"/>
      <c r="R368" s="808"/>
      <c r="S368" s="1877"/>
      <c r="T368" s="808"/>
      <c r="U368" s="187"/>
    </row>
    <row r="369" s="42" customFormat="1" ht="13.2" spans="2:21">
      <c r="B369" s="187"/>
      <c r="C369" s="1874"/>
      <c r="D369" s="187"/>
      <c r="E369" s="931"/>
      <c r="F369" s="187"/>
      <c r="G369" s="931"/>
      <c r="H369" s="187"/>
      <c r="I369" s="931"/>
      <c r="J369" s="1875"/>
      <c r="K369" s="1875"/>
      <c r="L369" s="931"/>
      <c r="M369" s="806"/>
      <c r="N369" s="1876"/>
      <c r="O369" s="808"/>
      <c r="P369" s="808"/>
      <c r="R369" s="808"/>
      <c r="S369" s="1877"/>
      <c r="T369" s="808"/>
      <c r="U369" s="187"/>
    </row>
    <row r="370" s="42" customFormat="1" ht="13.2" spans="2:21">
      <c r="B370" s="187"/>
      <c r="C370" s="1874"/>
      <c r="D370" s="187"/>
      <c r="E370" s="931"/>
      <c r="F370" s="187"/>
      <c r="G370" s="931"/>
      <c r="H370" s="187"/>
      <c r="I370" s="931"/>
      <c r="J370" s="1875"/>
      <c r="K370" s="1875"/>
      <c r="L370" s="931"/>
      <c r="M370" s="806"/>
      <c r="N370" s="1876"/>
      <c r="O370" s="808"/>
      <c r="P370" s="808"/>
      <c r="R370" s="808"/>
      <c r="S370" s="1877"/>
      <c r="T370" s="808"/>
      <c r="U370" s="187"/>
    </row>
    <row r="371" s="42" customFormat="1" ht="13.2" spans="2:21">
      <c r="B371" s="187"/>
      <c r="C371" s="1874"/>
      <c r="D371" s="187"/>
      <c r="E371" s="931"/>
      <c r="F371" s="187"/>
      <c r="G371" s="931"/>
      <c r="H371" s="187"/>
      <c r="I371" s="931"/>
      <c r="J371" s="1875"/>
      <c r="K371" s="1875"/>
      <c r="L371" s="931"/>
      <c r="M371" s="806"/>
      <c r="N371" s="1876"/>
      <c r="O371" s="808"/>
      <c r="P371" s="808"/>
      <c r="R371" s="808"/>
      <c r="S371" s="1877"/>
      <c r="T371" s="808"/>
      <c r="U371" s="187"/>
    </row>
    <row r="372" s="42" customFormat="1" ht="13.2" spans="2:21">
      <c r="B372" s="187"/>
      <c r="C372" s="1874"/>
      <c r="D372" s="187"/>
      <c r="E372" s="931"/>
      <c r="F372" s="187"/>
      <c r="G372" s="931"/>
      <c r="H372" s="187"/>
      <c r="I372" s="931"/>
      <c r="J372" s="1875"/>
      <c r="K372" s="1875"/>
      <c r="L372" s="931"/>
      <c r="M372" s="806"/>
      <c r="N372" s="1876"/>
      <c r="O372" s="808"/>
      <c r="P372" s="808"/>
      <c r="R372" s="808"/>
      <c r="S372" s="1877"/>
      <c r="T372" s="808"/>
      <c r="U372" s="187"/>
    </row>
    <row r="373" s="42" customFormat="1" ht="13.2" spans="2:21">
      <c r="B373" s="187"/>
      <c r="C373" s="1874"/>
      <c r="D373" s="187"/>
      <c r="E373" s="931"/>
      <c r="F373" s="187"/>
      <c r="G373" s="931"/>
      <c r="H373" s="187"/>
      <c r="I373" s="931"/>
      <c r="J373" s="1875"/>
      <c r="K373" s="1875"/>
      <c r="L373" s="931"/>
      <c r="M373" s="806"/>
      <c r="N373" s="1876"/>
      <c r="O373" s="808"/>
      <c r="P373" s="808"/>
      <c r="R373" s="808"/>
      <c r="S373" s="1877"/>
      <c r="T373" s="808"/>
      <c r="U373" s="187"/>
    </row>
    <row r="374" s="42" customFormat="1" ht="13.2" spans="2:21">
      <c r="B374" s="187"/>
      <c r="C374" s="1874"/>
      <c r="D374" s="187"/>
      <c r="E374" s="931"/>
      <c r="F374" s="187"/>
      <c r="G374" s="931"/>
      <c r="H374" s="187"/>
      <c r="I374" s="931"/>
      <c r="J374" s="1875"/>
      <c r="K374" s="1875"/>
      <c r="L374" s="931"/>
      <c r="M374" s="806"/>
      <c r="N374" s="1876"/>
      <c r="O374" s="808"/>
      <c r="P374" s="808"/>
      <c r="R374" s="808"/>
      <c r="S374" s="1877"/>
      <c r="T374" s="808"/>
      <c r="U374" s="187"/>
    </row>
    <row r="375" s="42" customFormat="1" ht="13.2" spans="2:21">
      <c r="B375" s="187"/>
      <c r="C375" s="1874"/>
      <c r="D375" s="187"/>
      <c r="E375" s="931"/>
      <c r="F375" s="187"/>
      <c r="G375" s="931"/>
      <c r="H375" s="187"/>
      <c r="I375" s="931"/>
      <c r="J375" s="1875"/>
      <c r="K375" s="1875"/>
      <c r="L375" s="931"/>
      <c r="M375" s="806"/>
      <c r="N375" s="1876"/>
      <c r="O375" s="808"/>
      <c r="P375" s="808"/>
      <c r="R375" s="808"/>
      <c r="S375" s="1877"/>
      <c r="T375" s="808"/>
      <c r="U375" s="187"/>
    </row>
    <row r="376" s="42" customFormat="1" ht="13.2" spans="2:21">
      <c r="B376" s="187"/>
      <c r="C376" s="1874"/>
      <c r="D376" s="187"/>
      <c r="E376" s="931"/>
      <c r="F376" s="187"/>
      <c r="G376" s="931"/>
      <c r="H376" s="187"/>
      <c r="I376" s="931"/>
      <c r="J376" s="1875"/>
      <c r="K376" s="1875"/>
      <c r="L376" s="931"/>
      <c r="M376" s="806"/>
      <c r="N376" s="1876"/>
      <c r="O376" s="808"/>
      <c r="P376" s="808"/>
      <c r="R376" s="808"/>
      <c r="S376" s="1877"/>
      <c r="T376" s="808"/>
      <c r="U376" s="187"/>
    </row>
    <row r="377" s="42" customFormat="1" ht="13.2" spans="2:21">
      <c r="B377" s="187"/>
      <c r="C377" s="1874"/>
      <c r="D377" s="187"/>
      <c r="E377" s="931"/>
      <c r="F377" s="187"/>
      <c r="G377" s="931"/>
      <c r="H377" s="187"/>
      <c r="I377" s="931"/>
      <c r="J377" s="1875"/>
      <c r="K377" s="1875"/>
      <c r="L377" s="931"/>
      <c r="M377" s="806"/>
      <c r="N377" s="1876"/>
      <c r="O377" s="808"/>
      <c r="P377" s="808"/>
      <c r="R377" s="808"/>
      <c r="S377" s="1877"/>
      <c r="T377" s="808"/>
      <c r="U377" s="187"/>
    </row>
    <row r="378" s="42" customFormat="1" ht="13.2" spans="2:21">
      <c r="B378" s="187"/>
      <c r="C378" s="1874"/>
      <c r="D378" s="187"/>
      <c r="E378" s="931"/>
      <c r="F378" s="187"/>
      <c r="G378" s="931"/>
      <c r="H378" s="187"/>
      <c r="I378" s="931"/>
      <c r="J378" s="1875"/>
      <c r="K378" s="1875"/>
      <c r="L378" s="931"/>
      <c r="M378" s="806"/>
      <c r="N378" s="1876"/>
      <c r="O378" s="808"/>
      <c r="P378" s="808"/>
      <c r="R378" s="808"/>
      <c r="S378" s="1877"/>
      <c r="T378" s="808"/>
      <c r="U378" s="187"/>
    </row>
    <row r="379" s="42" customFormat="1" ht="13.2" spans="2:21">
      <c r="B379" s="187"/>
      <c r="C379" s="1874"/>
      <c r="D379" s="187"/>
      <c r="E379" s="931"/>
      <c r="F379" s="187"/>
      <c r="G379" s="931"/>
      <c r="H379" s="187"/>
      <c r="I379" s="931"/>
      <c r="J379" s="1875"/>
      <c r="K379" s="1875"/>
      <c r="L379" s="931"/>
      <c r="M379" s="806"/>
      <c r="N379" s="1876"/>
      <c r="O379" s="808"/>
      <c r="P379" s="808"/>
      <c r="R379" s="808"/>
      <c r="S379" s="1877"/>
      <c r="T379" s="808"/>
      <c r="U379" s="187"/>
    </row>
    <row r="380" s="42" customFormat="1" ht="13.2" spans="2:21">
      <c r="B380" s="187"/>
      <c r="C380" s="1874"/>
      <c r="D380" s="187"/>
      <c r="E380" s="931"/>
      <c r="F380" s="187"/>
      <c r="G380" s="931"/>
      <c r="H380" s="187"/>
      <c r="I380" s="931"/>
      <c r="J380" s="1875"/>
      <c r="K380" s="1875"/>
      <c r="L380" s="931"/>
      <c r="M380" s="806"/>
      <c r="N380" s="1876"/>
      <c r="O380" s="808"/>
      <c r="P380" s="808"/>
      <c r="R380" s="808"/>
      <c r="S380" s="1877"/>
      <c r="T380" s="808"/>
      <c r="U380" s="187"/>
    </row>
    <row r="381" s="42" customFormat="1" ht="13.2" spans="2:21">
      <c r="B381" s="187"/>
      <c r="C381" s="1874"/>
      <c r="D381" s="187"/>
      <c r="E381" s="931"/>
      <c r="F381" s="187"/>
      <c r="G381" s="931"/>
      <c r="H381" s="187"/>
      <c r="I381" s="931"/>
      <c r="J381" s="1875"/>
      <c r="K381" s="1875"/>
      <c r="L381" s="931"/>
      <c r="M381" s="806"/>
      <c r="N381" s="1876"/>
      <c r="O381" s="808"/>
      <c r="P381" s="808"/>
      <c r="R381" s="808"/>
      <c r="S381" s="1877"/>
      <c r="T381" s="808"/>
      <c r="U381" s="187"/>
    </row>
    <row r="382" s="42" customFormat="1" ht="13.2" spans="2:21">
      <c r="B382" s="187"/>
      <c r="C382" s="1874"/>
      <c r="D382" s="187"/>
      <c r="E382" s="931"/>
      <c r="F382" s="187"/>
      <c r="G382" s="931"/>
      <c r="H382" s="187"/>
      <c r="I382" s="931"/>
      <c r="J382" s="1875"/>
      <c r="K382" s="1875"/>
      <c r="L382" s="931"/>
      <c r="M382" s="806"/>
      <c r="N382" s="1876"/>
      <c r="O382" s="808"/>
      <c r="P382" s="808"/>
      <c r="R382" s="808"/>
      <c r="S382" s="1877"/>
      <c r="T382" s="808"/>
      <c r="U382" s="187"/>
    </row>
    <row r="383" s="42" customFormat="1" ht="13.2" spans="2:21">
      <c r="B383" s="187"/>
      <c r="C383" s="1874"/>
      <c r="D383" s="187"/>
      <c r="E383" s="931"/>
      <c r="F383" s="187"/>
      <c r="G383" s="931"/>
      <c r="H383" s="187"/>
      <c r="I383" s="931"/>
      <c r="J383" s="1875"/>
      <c r="K383" s="1875"/>
      <c r="L383" s="931"/>
      <c r="M383" s="806"/>
      <c r="N383" s="1876"/>
      <c r="O383" s="808"/>
      <c r="P383" s="808"/>
      <c r="R383" s="808"/>
      <c r="S383" s="1877"/>
      <c r="T383" s="808"/>
      <c r="U383" s="187"/>
    </row>
    <row r="384" s="42" customFormat="1" ht="13.2" spans="2:21">
      <c r="B384" s="187"/>
      <c r="C384" s="1874"/>
      <c r="D384" s="187"/>
      <c r="E384" s="931"/>
      <c r="F384" s="187" t="s">
        <v>756</v>
      </c>
      <c r="G384" s="931"/>
      <c r="H384" s="187"/>
      <c r="I384" s="931"/>
      <c r="J384" s="1875"/>
      <c r="K384" s="1875"/>
      <c r="L384" s="931"/>
      <c r="M384" s="806"/>
      <c r="N384" s="1876"/>
      <c r="O384" s="808"/>
      <c r="P384" s="808"/>
      <c r="R384" s="808"/>
      <c r="S384" s="1877"/>
      <c r="T384" s="808"/>
      <c r="U384" s="187"/>
    </row>
    <row r="385" s="42" customFormat="1" ht="13.2" spans="2:21">
      <c r="B385" s="187"/>
      <c r="C385" s="1874"/>
      <c r="D385" s="187"/>
      <c r="E385" s="931"/>
      <c r="F385" s="187"/>
      <c r="G385" s="931"/>
      <c r="H385" s="187"/>
      <c r="I385" s="931"/>
      <c r="J385" s="1875"/>
      <c r="K385" s="1875"/>
      <c r="L385" s="931"/>
      <c r="M385" s="806"/>
      <c r="N385" s="1876"/>
      <c r="O385" s="808"/>
      <c r="P385" s="808"/>
      <c r="R385" s="808"/>
      <c r="S385" s="1877"/>
      <c r="T385" s="808"/>
      <c r="U385" s="187"/>
    </row>
    <row r="386" s="42" customFormat="1" ht="13.2" spans="2:21">
      <c r="B386" s="187"/>
      <c r="C386" s="1874"/>
      <c r="D386" s="187"/>
      <c r="E386" s="931"/>
      <c r="F386" s="187"/>
      <c r="G386" s="931"/>
      <c r="H386" s="187"/>
      <c r="I386" s="931"/>
      <c r="J386" s="1875"/>
      <c r="K386" s="1875"/>
      <c r="L386" s="931"/>
      <c r="M386" s="806"/>
      <c r="N386" s="1876"/>
      <c r="O386" s="808"/>
      <c r="P386" s="808"/>
      <c r="R386" s="808"/>
      <c r="S386" s="1877"/>
      <c r="T386" s="808"/>
      <c r="U386" s="187"/>
    </row>
    <row r="387" s="42" customFormat="1" ht="13.2" spans="2:21">
      <c r="B387" s="187"/>
      <c r="C387" s="1874"/>
      <c r="D387" s="187"/>
      <c r="E387" s="931"/>
      <c r="F387" s="187"/>
      <c r="G387" s="931"/>
      <c r="H387" s="187"/>
      <c r="I387" s="931"/>
      <c r="J387" s="1875"/>
      <c r="K387" s="1875"/>
      <c r="L387" s="931"/>
      <c r="M387" s="806"/>
      <c r="N387" s="1876"/>
      <c r="O387" s="808"/>
      <c r="P387" s="808"/>
      <c r="R387" s="808"/>
      <c r="S387" s="1877"/>
      <c r="T387" s="808"/>
      <c r="U387" s="187"/>
    </row>
    <row r="388" s="42" customFormat="1" ht="13.2" spans="2:21">
      <c r="B388" s="187"/>
      <c r="C388" s="1874"/>
      <c r="D388" s="187"/>
      <c r="E388" s="931"/>
      <c r="F388" s="187"/>
      <c r="G388" s="931"/>
      <c r="H388" s="187"/>
      <c r="I388" s="931"/>
      <c r="J388" s="1875"/>
      <c r="K388" s="1875"/>
      <c r="L388" s="931"/>
      <c r="M388" s="806"/>
      <c r="N388" s="1876"/>
      <c r="O388" s="808"/>
      <c r="P388" s="808"/>
      <c r="R388" s="808"/>
      <c r="S388" s="1877"/>
      <c r="T388" s="808"/>
      <c r="U388" s="187"/>
    </row>
    <row r="389" s="42" customFormat="1" ht="13.2" spans="2:21">
      <c r="B389" s="187"/>
      <c r="C389" s="1874"/>
      <c r="D389" s="187"/>
      <c r="E389" s="931"/>
      <c r="F389" s="187"/>
      <c r="G389" s="931"/>
      <c r="H389" s="187"/>
      <c r="I389" s="931"/>
      <c r="J389" s="1875"/>
      <c r="K389" s="1875"/>
      <c r="L389" s="931"/>
      <c r="M389" s="806"/>
      <c r="N389" s="1876"/>
      <c r="O389" s="808"/>
      <c r="P389" s="808"/>
      <c r="R389" s="808"/>
      <c r="S389" s="1877"/>
      <c r="T389" s="808"/>
      <c r="U389" s="187"/>
    </row>
    <row r="390" s="42" customFormat="1" ht="13.2" spans="2:21">
      <c r="B390" s="187"/>
      <c r="C390" s="1874"/>
      <c r="D390" s="187"/>
      <c r="E390" s="931"/>
      <c r="F390" s="187"/>
      <c r="G390" s="931"/>
      <c r="H390" s="187"/>
      <c r="I390" s="931"/>
      <c r="J390" s="1875"/>
      <c r="K390" s="1875"/>
      <c r="L390" s="931"/>
      <c r="M390" s="806"/>
      <c r="N390" s="1876"/>
      <c r="O390" s="808"/>
      <c r="P390" s="808"/>
      <c r="R390" s="808"/>
      <c r="S390" s="1877"/>
      <c r="T390" s="808"/>
      <c r="U390" s="187"/>
    </row>
    <row r="391" s="42" customFormat="1" ht="13.2" spans="2:21">
      <c r="B391" s="187"/>
      <c r="C391" s="1874"/>
      <c r="D391" s="187"/>
      <c r="E391" s="931"/>
      <c r="F391" s="187"/>
      <c r="G391" s="931"/>
      <c r="H391" s="187"/>
      <c r="I391" s="931"/>
      <c r="J391" s="1875"/>
      <c r="K391" s="1875"/>
      <c r="L391" s="931"/>
      <c r="M391" s="806"/>
      <c r="N391" s="1876"/>
      <c r="O391" s="808"/>
      <c r="P391" s="808"/>
      <c r="R391" s="808"/>
      <c r="S391" s="1877"/>
      <c r="T391" s="808"/>
      <c r="U391" s="187"/>
    </row>
    <row r="392" s="42" customFormat="1" ht="13.2" spans="2:21">
      <c r="B392" s="187"/>
      <c r="C392" s="1874"/>
      <c r="D392" s="187"/>
      <c r="E392" s="931"/>
      <c r="F392" s="187"/>
      <c r="G392" s="931"/>
      <c r="H392" s="187"/>
      <c r="I392" s="931"/>
      <c r="J392" s="1875"/>
      <c r="K392" s="1875"/>
      <c r="L392" s="931"/>
      <c r="M392" s="806"/>
      <c r="N392" s="1876"/>
      <c r="O392" s="808"/>
      <c r="P392" s="808"/>
      <c r="R392" s="808"/>
      <c r="S392" s="1877"/>
      <c r="T392" s="808"/>
      <c r="U392" s="187"/>
    </row>
    <row r="393" s="42" customFormat="1" ht="13.2" spans="2:21">
      <c r="B393" s="187"/>
      <c r="C393" s="1874"/>
      <c r="D393" s="187"/>
      <c r="E393" s="931"/>
      <c r="F393" s="187"/>
      <c r="G393" s="931"/>
      <c r="H393" s="187"/>
      <c r="I393" s="931"/>
      <c r="J393" s="1875"/>
      <c r="K393" s="1875"/>
      <c r="L393" s="931"/>
      <c r="M393" s="806"/>
      <c r="N393" s="1876"/>
      <c r="O393" s="808"/>
      <c r="P393" s="808"/>
      <c r="R393" s="808"/>
      <c r="S393" s="1877"/>
      <c r="T393" s="808"/>
      <c r="U393" s="187"/>
    </row>
    <row r="394" s="42" customFormat="1" ht="13.2" spans="2:21">
      <c r="B394" s="187"/>
      <c r="C394" s="1874"/>
      <c r="D394" s="187"/>
      <c r="E394" s="931"/>
      <c r="F394" s="187"/>
      <c r="G394" s="931"/>
      <c r="H394" s="187"/>
      <c r="I394" s="931"/>
      <c r="J394" s="1875"/>
      <c r="K394" s="1875"/>
      <c r="L394" s="931"/>
      <c r="M394" s="806"/>
      <c r="N394" s="1876"/>
      <c r="O394" s="808"/>
      <c r="P394" s="808"/>
      <c r="R394" s="808"/>
      <c r="S394" s="1877"/>
      <c r="T394" s="808"/>
      <c r="U394" s="187"/>
    </row>
    <row r="395" s="42" customFormat="1" ht="13.2" spans="2:21">
      <c r="B395" s="187"/>
      <c r="C395" s="1874"/>
      <c r="D395" s="187"/>
      <c r="E395" s="931"/>
      <c r="F395" s="187"/>
      <c r="G395" s="931"/>
      <c r="H395" s="187"/>
      <c r="I395" s="931"/>
      <c r="J395" s="1875"/>
      <c r="K395" s="1875"/>
      <c r="L395" s="931"/>
      <c r="M395" s="806"/>
      <c r="N395" s="1876"/>
      <c r="O395" s="808"/>
      <c r="P395" s="808"/>
      <c r="R395" s="808"/>
      <c r="S395" s="1877"/>
      <c r="T395" s="808"/>
      <c r="U395" s="187"/>
    </row>
    <row r="396" s="42" customFormat="1" ht="13.2" spans="2:21">
      <c r="B396" s="187"/>
      <c r="C396" s="1874"/>
      <c r="D396" s="187"/>
      <c r="E396" s="931"/>
      <c r="F396" s="187"/>
      <c r="G396" s="931"/>
      <c r="H396" s="187"/>
      <c r="I396" s="931"/>
      <c r="J396" s="1875"/>
      <c r="K396" s="1875"/>
      <c r="L396" s="931"/>
      <c r="M396" s="806"/>
      <c r="N396" s="1876"/>
      <c r="O396" s="808"/>
      <c r="P396" s="808"/>
      <c r="R396" s="808"/>
      <c r="S396" s="1877"/>
      <c r="T396" s="808"/>
      <c r="U396" s="187"/>
    </row>
    <row r="397" s="42" customFormat="1" ht="13.2" spans="2:21">
      <c r="B397" s="187"/>
      <c r="C397" s="1874"/>
      <c r="D397" s="187"/>
      <c r="E397" s="931"/>
      <c r="F397" s="187"/>
      <c r="G397" s="931"/>
      <c r="H397" s="187"/>
      <c r="I397" s="931"/>
      <c r="J397" s="1875"/>
      <c r="K397" s="1875"/>
      <c r="L397" s="931"/>
      <c r="M397" s="806"/>
      <c r="N397" s="1876"/>
      <c r="O397" s="808"/>
      <c r="P397" s="808"/>
      <c r="R397" s="808"/>
      <c r="S397" s="1877"/>
      <c r="T397" s="808"/>
      <c r="U397" s="187"/>
    </row>
    <row r="398" s="42" customFormat="1" ht="13.2" spans="2:21">
      <c r="B398" s="187"/>
      <c r="C398" s="1874"/>
      <c r="D398" s="187"/>
      <c r="E398" s="931"/>
      <c r="F398" s="187"/>
      <c r="G398" s="931"/>
      <c r="H398" s="187"/>
      <c r="I398" s="931"/>
      <c r="J398" s="1875"/>
      <c r="K398" s="1875"/>
      <c r="L398" s="931"/>
      <c r="M398" s="806"/>
      <c r="N398" s="1876"/>
      <c r="O398" s="808"/>
      <c r="P398" s="808"/>
      <c r="R398" s="808"/>
      <c r="S398" s="1877"/>
      <c r="T398" s="808"/>
      <c r="U398" s="187"/>
    </row>
    <row r="399" s="42" customFormat="1" ht="13.2" spans="2:21">
      <c r="B399" s="187"/>
      <c r="C399" s="1874"/>
      <c r="D399" s="187"/>
      <c r="E399" s="931"/>
      <c r="F399" s="187"/>
      <c r="G399" s="931"/>
      <c r="H399" s="187"/>
      <c r="I399" s="931"/>
      <c r="J399" s="1875"/>
      <c r="K399" s="1875"/>
      <c r="L399" s="931"/>
      <c r="M399" s="806"/>
      <c r="N399" s="1876"/>
      <c r="O399" s="808"/>
      <c r="P399" s="808"/>
      <c r="R399" s="808"/>
      <c r="S399" s="1877"/>
      <c r="T399" s="808"/>
      <c r="U399" s="187"/>
    </row>
    <row r="400" s="42" customFormat="1" ht="13.2" spans="2:21">
      <c r="B400" s="187"/>
      <c r="C400" s="1874"/>
      <c r="D400" s="187"/>
      <c r="E400" s="931"/>
      <c r="F400" s="187"/>
      <c r="G400" s="931"/>
      <c r="H400" s="187"/>
      <c r="I400" s="931"/>
      <c r="J400" s="1875"/>
      <c r="K400" s="1875"/>
      <c r="L400" s="931"/>
      <c r="M400" s="806"/>
      <c r="N400" s="1876"/>
      <c r="O400" s="808"/>
      <c r="P400" s="808"/>
      <c r="R400" s="808"/>
      <c r="S400" s="1877"/>
      <c r="T400" s="808"/>
      <c r="U400" s="187"/>
    </row>
    <row r="401" s="42" customFormat="1" ht="13.2" spans="2:21">
      <c r="B401" s="187"/>
      <c r="C401" s="1874"/>
      <c r="D401" s="187"/>
      <c r="E401" s="931"/>
      <c r="F401" s="187"/>
      <c r="G401" s="931"/>
      <c r="H401" s="187"/>
      <c r="I401" s="931"/>
      <c r="J401" s="1875"/>
      <c r="K401" s="1875"/>
      <c r="L401" s="931"/>
      <c r="M401" s="806"/>
      <c r="N401" s="1876"/>
      <c r="O401" s="808"/>
      <c r="P401" s="808"/>
      <c r="R401" s="808"/>
      <c r="S401" s="1877"/>
      <c r="T401" s="808"/>
      <c r="U401" s="187"/>
    </row>
    <row r="402" s="42" customFormat="1" ht="13.2" spans="2:21">
      <c r="B402" s="187"/>
      <c r="C402" s="1874"/>
      <c r="D402" s="187"/>
      <c r="E402" s="931"/>
      <c r="F402" s="187"/>
      <c r="G402" s="931"/>
      <c r="H402" s="187"/>
      <c r="I402" s="931"/>
      <c r="J402" s="1875"/>
      <c r="K402" s="1875"/>
      <c r="L402" s="931"/>
      <c r="M402" s="806"/>
      <c r="N402" s="1876"/>
      <c r="O402" s="808"/>
      <c r="P402" s="808"/>
      <c r="R402" s="808"/>
      <c r="S402" s="1877"/>
      <c r="T402" s="808"/>
      <c r="U402" s="187"/>
    </row>
    <row r="403" s="42" customFormat="1" ht="13.2" spans="2:21">
      <c r="B403" s="187"/>
      <c r="C403" s="1874"/>
      <c r="D403" s="187"/>
      <c r="E403" s="931"/>
      <c r="F403" s="187"/>
      <c r="G403" s="931"/>
      <c r="H403" s="187"/>
      <c r="I403" s="931"/>
      <c r="J403" s="1875"/>
      <c r="K403" s="1875"/>
      <c r="L403" s="931"/>
      <c r="M403" s="806"/>
      <c r="N403" s="1876"/>
      <c r="O403" s="808"/>
      <c r="P403" s="808"/>
      <c r="R403" s="808"/>
      <c r="S403" s="1877"/>
      <c r="T403" s="808"/>
      <c r="U403" s="187"/>
    </row>
    <row r="404" s="42" customFormat="1" ht="13.2" spans="2:21">
      <c r="B404" s="187"/>
      <c r="C404" s="1874"/>
      <c r="D404" s="187"/>
      <c r="E404" s="931"/>
      <c r="F404" s="187"/>
      <c r="G404" s="931"/>
      <c r="H404" s="187"/>
      <c r="I404" s="931"/>
      <c r="J404" s="1875"/>
      <c r="K404" s="1875"/>
      <c r="L404" s="931"/>
      <c r="M404" s="806"/>
      <c r="N404" s="1876"/>
      <c r="O404" s="808"/>
      <c r="P404" s="808"/>
      <c r="R404" s="808"/>
      <c r="S404" s="1877"/>
      <c r="T404" s="808"/>
      <c r="U404" s="187"/>
    </row>
    <row r="405" s="42" customFormat="1" ht="13.2" spans="2:21">
      <c r="B405" s="187"/>
      <c r="C405" s="1874"/>
      <c r="D405" s="187"/>
      <c r="E405" s="931"/>
      <c r="F405" s="187"/>
      <c r="G405" s="931"/>
      <c r="H405" s="187"/>
      <c r="I405" s="931"/>
      <c r="J405" s="1875"/>
      <c r="K405" s="1875"/>
      <c r="L405" s="931"/>
      <c r="M405" s="806"/>
      <c r="N405" s="1876"/>
      <c r="O405" s="808"/>
      <c r="P405" s="808"/>
      <c r="R405" s="808"/>
      <c r="S405" s="1877"/>
      <c r="T405" s="808"/>
      <c r="U405" s="187"/>
    </row>
    <row r="406" s="42" customFormat="1" ht="13.2" spans="2:21">
      <c r="B406" s="187"/>
      <c r="C406" s="1874"/>
      <c r="D406" s="187"/>
      <c r="E406" s="931"/>
      <c r="F406" s="187"/>
      <c r="G406" s="931"/>
      <c r="H406" s="187"/>
      <c r="I406" s="931"/>
      <c r="J406" s="1875"/>
      <c r="K406" s="1875"/>
      <c r="L406" s="931"/>
      <c r="M406" s="806"/>
      <c r="N406" s="1876"/>
      <c r="O406" s="808"/>
      <c r="P406" s="808"/>
      <c r="R406" s="808"/>
      <c r="S406" s="1877"/>
      <c r="T406" s="808"/>
      <c r="U406" s="187"/>
    </row>
    <row r="407" s="42" customFormat="1" ht="13.2" spans="2:21">
      <c r="B407" s="187"/>
      <c r="C407" s="1874"/>
      <c r="D407" s="187"/>
      <c r="E407" s="931"/>
      <c r="F407" s="187"/>
      <c r="G407" s="931"/>
      <c r="H407" s="187"/>
      <c r="I407" s="931"/>
      <c r="J407" s="1875"/>
      <c r="K407" s="1875"/>
      <c r="L407" s="931"/>
      <c r="M407" s="806"/>
      <c r="N407" s="1876"/>
      <c r="O407" s="808"/>
      <c r="P407" s="808"/>
      <c r="R407" s="808"/>
      <c r="S407" s="1877"/>
      <c r="T407" s="808"/>
      <c r="U407" s="187"/>
    </row>
    <row r="408" s="42" customFormat="1" ht="13.2" spans="2:21">
      <c r="B408" s="187"/>
      <c r="C408" s="1874"/>
      <c r="D408" s="187"/>
      <c r="E408" s="931"/>
      <c r="F408" s="187"/>
      <c r="G408" s="931"/>
      <c r="H408" s="187"/>
      <c r="I408" s="931"/>
      <c r="J408" s="1875"/>
      <c r="K408" s="1875"/>
      <c r="L408" s="931"/>
      <c r="M408" s="806"/>
      <c r="N408" s="1876"/>
      <c r="O408" s="808"/>
      <c r="P408" s="808"/>
      <c r="R408" s="808"/>
      <c r="S408" s="1877"/>
      <c r="T408" s="808"/>
      <c r="U408" s="187"/>
    </row>
    <row r="409" s="42" customFormat="1" ht="13.2" spans="2:21">
      <c r="B409" s="187"/>
      <c r="C409" s="1874"/>
      <c r="D409" s="187"/>
      <c r="E409" s="931"/>
      <c r="F409" s="187"/>
      <c r="G409" s="931"/>
      <c r="H409" s="187"/>
      <c r="I409" s="931"/>
      <c r="J409" s="1875"/>
      <c r="K409" s="1875"/>
      <c r="L409" s="931"/>
      <c r="M409" s="806"/>
      <c r="N409" s="1876"/>
      <c r="O409" s="808"/>
      <c r="P409" s="808"/>
      <c r="R409" s="808"/>
      <c r="S409" s="1877"/>
      <c r="T409" s="808"/>
      <c r="U409" s="187"/>
    </row>
    <row r="410" s="42" customFormat="1" ht="13.2" spans="2:21">
      <c r="B410" s="187"/>
      <c r="C410" s="1874"/>
      <c r="D410" s="187"/>
      <c r="E410" s="931"/>
      <c r="F410" s="187"/>
      <c r="G410" s="931"/>
      <c r="H410" s="187"/>
      <c r="I410" s="931"/>
      <c r="J410" s="1875"/>
      <c r="K410" s="1875"/>
      <c r="L410" s="931"/>
      <c r="M410" s="806"/>
      <c r="N410" s="1876"/>
      <c r="O410" s="808"/>
      <c r="P410" s="808"/>
      <c r="R410" s="808"/>
      <c r="S410" s="1877"/>
      <c r="T410" s="808"/>
      <c r="U410" s="187"/>
    </row>
    <row r="411" s="42" customFormat="1" ht="13.2" spans="2:21">
      <c r="B411" s="187"/>
      <c r="C411" s="1874"/>
      <c r="D411" s="187"/>
      <c r="E411" s="931"/>
      <c r="F411" s="187"/>
      <c r="G411" s="931"/>
      <c r="H411" s="187"/>
      <c r="I411" s="931"/>
      <c r="J411" s="1875"/>
      <c r="K411" s="1875"/>
      <c r="L411" s="931"/>
      <c r="M411" s="806"/>
      <c r="N411" s="1876"/>
      <c r="O411" s="808"/>
      <c r="P411" s="808"/>
      <c r="R411" s="808"/>
      <c r="S411" s="1877"/>
      <c r="T411" s="808"/>
      <c r="U411" s="187"/>
    </row>
    <row r="412" s="42" customFormat="1" ht="13.2" spans="2:21">
      <c r="B412" s="187"/>
      <c r="C412" s="1874"/>
      <c r="D412" s="187"/>
      <c r="E412" s="931"/>
      <c r="F412" s="187"/>
      <c r="G412" s="931"/>
      <c r="H412" s="187"/>
      <c r="I412" s="931"/>
      <c r="J412" s="1875"/>
      <c r="K412" s="1875"/>
      <c r="L412" s="931"/>
      <c r="M412" s="806"/>
      <c r="N412" s="1876"/>
      <c r="O412" s="808"/>
      <c r="P412" s="808"/>
      <c r="R412" s="808"/>
      <c r="S412" s="1877"/>
      <c r="T412" s="808"/>
      <c r="U412" s="187"/>
    </row>
    <row r="413" s="42" customFormat="1" ht="13.2" spans="2:21">
      <c r="B413" s="187"/>
      <c r="C413" s="1874"/>
      <c r="D413" s="187"/>
      <c r="E413" s="931"/>
      <c r="F413" s="187"/>
      <c r="G413" s="931"/>
      <c r="H413" s="187"/>
      <c r="I413" s="931"/>
      <c r="J413" s="1875"/>
      <c r="K413" s="1875"/>
      <c r="L413" s="931"/>
      <c r="M413" s="806"/>
      <c r="N413" s="1876"/>
      <c r="O413" s="808"/>
      <c r="P413" s="808"/>
      <c r="R413" s="808"/>
      <c r="S413" s="1877"/>
      <c r="T413" s="808"/>
      <c r="U413" s="187"/>
    </row>
    <row r="606" spans="3:3">
      <c r="C606" s="1926"/>
    </row>
    <row r="615" spans="2:20">
      <c r="E615" s="187"/>
    </row>
    <row r="621" spans="2:20">
      <c r="B621" s="880"/>
      <c r="C621" s="1927"/>
      <c r="D621" s="880"/>
      <c r="E621" s="798"/>
      <c r="F621" s="880"/>
      <c r="G621" s="798"/>
      <c r="H621" s="880"/>
      <c r="I621" s="798"/>
      <c r="J621" s="1928"/>
      <c r="K621" s="1928"/>
      <c r="L621" s="798"/>
      <c r="M621" s="21"/>
      <c r="N621" s="1929"/>
      <c r="R621" s="22"/>
      <c r="T621" s="22"/>
    </row>
    <row r="622" spans="2:20">
      <c r="B622" s="880"/>
      <c r="C622" s="1927"/>
      <c r="D622" s="1653"/>
      <c r="E622" s="798"/>
      <c r="F622" s="880"/>
      <c r="G622" s="798"/>
      <c r="H622" s="880"/>
      <c r="I622" s="798"/>
      <c r="J622" s="1928"/>
      <c r="K622" s="1928"/>
      <c r="L622" s="798"/>
      <c r="M622" s="21"/>
      <c r="N622" s="1929"/>
      <c r="R622" s="22"/>
      <c r="T622" s="22"/>
    </row>
    <row r="623" spans="2:20">
      <c r="B623" s="880"/>
      <c r="C623" s="1927"/>
      <c r="D623" s="1653"/>
      <c r="E623" s="798"/>
      <c r="F623" s="880"/>
      <c r="G623" s="798"/>
      <c r="H623" s="880"/>
      <c r="I623" s="798"/>
      <c r="J623" s="1928"/>
      <c r="K623" s="1928"/>
      <c r="L623" s="798"/>
      <c r="M623" s="21"/>
      <c r="N623" s="1929"/>
      <c r="R623" s="22"/>
      <c r="T623" s="22"/>
    </row>
    <row r="624" spans="2:20">
      <c r="B624" s="880"/>
      <c r="C624" s="1927"/>
      <c r="D624" s="1653"/>
      <c r="E624" s="798"/>
      <c r="F624" s="880"/>
      <c r="G624" s="798"/>
      <c r="H624" s="880"/>
      <c r="I624" s="798"/>
      <c r="J624" s="1928"/>
      <c r="K624" s="1928"/>
      <c r="L624" s="798"/>
      <c r="M624" s="21"/>
      <c r="N624" s="1929"/>
      <c r="R624" s="22"/>
      <c r="T624" s="22"/>
    </row>
    <row r="625" spans="2:20">
      <c r="B625" s="880"/>
      <c r="C625" s="1927"/>
      <c r="D625" s="1653"/>
      <c r="E625" s="798"/>
      <c r="F625" s="880"/>
      <c r="G625" s="798"/>
      <c r="H625" s="880"/>
      <c r="I625" s="798"/>
      <c r="J625" s="1928"/>
      <c r="K625" s="1928"/>
      <c r="L625" s="798"/>
      <c r="M625" s="21"/>
      <c r="N625" s="1929"/>
      <c r="R625" s="22"/>
      <c r="T625" s="22"/>
    </row>
    <row r="653" spans="1:14">
      <c r="A653" s="1255" t="s">
        <v>1366</v>
      </c>
      <c r="B653" s="791"/>
      <c r="C653" s="1924"/>
      <c r="D653" s="791"/>
      <c r="E653" s="924" t="s">
        <v>1367</v>
      </c>
      <c r="F653" s="791"/>
      <c r="G653" s="924"/>
      <c r="H653" s="791">
        <v>2.92</v>
      </c>
      <c r="I653" s="924"/>
      <c r="J653" s="1789">
        <v>9.82</v>
      </c>
      <c r="K653" s="1789">
        <v>0.76</v>
      </c>
      <c r="L653" s="924"/>
      <c r="M653" s="21"/>
      <c r="N653" s="1873" t="s">
        <v>1368</v>
      </c>
    </row>
  </sheetData>
  <mergeCells count="4">
    <mergeCell ref="B621:B625"/>
    <mergeCell ref="V1:V6"/>
    <mergeCell ref="X2:X6"/>
    <mergeCell ref="AC4:AC5"/>
  </mergeCells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FF0000"/>
  </sheetPr>
  <dimension ref="A1:AC998"/>
  <sheetViews>
    <sheetView workbookViewId="0">
      <pane ySplit="7" topLeftCell="A44" activePane="bottomLeft" state="frozen"/>
      <selection/>
      <selection pane="bottomLeft" activeCell="K118" sqref="K118"/>
    </sheetView>
  </sheetViews>
  <sheetFormatPr defaultColWidth="9" defaultRowHeight="15" customHeight="1"/>
  <cols>
    <col min="1" max="1" width="6.08333333333333" style="989" customWidth="1"/>
    <col min="2" max="2" width="28.9074074074074" style="990" customWidth="1"/>
    <col min="3" max="3" width="16.6666666666667" style="990" customWidth="1"/>
    <col min="4" max="4" width="10.6666666666667" style="990" customWidth="1"/>
    <col min="5" max="5" width="5.66666666666667" style="1104" customWidth="1"/>
    <col min="6" max="6" width="44.2222222222222" style="990" customWidth="1"/>
    <col min="7" max="7" width="29.9074074074074" style="990" hidden="1" customWidth="1"/>
    <col min="8" max="8" width="26.9351851851852" style="990" hidden="1" customWidth="1"/>
    <col min="9" max="9" width="15.8240740740741" style="1104" hidden="1" customWidth="1"/>
    <col min="10" max="10" width="13.3333333333333" style="1770" hidden="1" customWidth="1"/>
    <col min="11" max="11" width="16.8981481481481" style="1770" customWidth="1"/>
    <col min="12" max="12" width="10.75" style="1104" customWidth="1"/>
    <col min="13" max="13" width="8.4537037037037" style="1205" customWidth="1"/>
    <col min="14" max="14" width="6.66666666666667" style="1207" customWidth="1"/>
    <col min="15" max="15" width="10.2962962962963" style="1207" customWidth="1"/>
    <col min="16" max="16" width="6" style="1207" customWidth="1"/>
    <col min="17" max="17" width="12.6944444444444" style="1771" hidden="1" customWidth="1"/>
    <col min="18" max="18" width="7.5" style="1458" customWidth="1"/>
    <col min="19" max="19" width="25.4444444444444" style="990" customWidth="1"/>
    <col min="20" max="20" width="108.259259259259" style="989" customWidth="1"/>
    <col min="21" max="22" width="9" style="989"/>
    <col min="23" max="23" width="12.9537037037037" style="989" customWidth="1"/>
    <col min="24" max="24" width="11" style="989" customWidth="1"/>
    <col min="25" max="25" width="3.2962962962963" style="989" customWidth="1"/>
    <col min="26" max="27" width="9" style="989"/>
    <col min="28" max="28" width="18.1851851851852" style="989" customWidth="1"/>
    <col min="29" max="29" width="11" style="989" customWidth="1"/>
    <col min="30" max="16384" width="9" style="989"/>
  </cols>
  <sheetData>
    <row r="1" s="188" customFormat="1" ht="19.5" customHeight="1" spans="1:29">
      <c r="A1" s="1772"/>
      <c r="B1" s="1697" t="s">
        <v>3487</v>
      </c>
      <c r="C1" s="1697"/>
      <c r="D1" s="1463"/>
      <c r="E1" s="1463"/>
      <c r="F1" s="1463"/>
      <c r="G1" s="1746"/>
      <c r="H1" s="1746"/>
      <c r="I1" s="1261"/>
      <c r="J1" s="1464"/>
      <c r="K1" s="1464"/>
      <c r="L1" s="1773" t="s">
        <v>712</v>
      </c>
      <c r="M1" s="1748"/>
      <c r="N1" s="1466"/>
      <c r="O1" s="1466"/>
      <c r="P1" s="1467"/>
      <c r="Q1" s="1774"/>
      <c r="R1" s="1700"/>
      <c r="S1" s="1462"/>
      <c r="T1" s="1775" t="s">
        <v>3488</v>
      </c>
      <c r="U1" s="1702" t="s">
        <v>1428</v>
      </c>
      <c r="V1" s="1703" t="s">
        <v>1466</v>
      </c>
      <c r="W1" s="1703" t="s">
        <v>1467</v>
      </c>
      <c r="X1" s="1704" t="s">
        <v>1468</v>
      </c>
      <c r="Y1" s="840"/>
      <c r="Z1" s="1702" t="s">
        <v>1428</v>
      </c>
      <c r="AA1" s="1703" t="s">
        <v>1466</v>
      </c>
      <c r="AB1" s="1703" t="s">
        <v>1467</v>
      </c>
      <c r="AC1" s="1704" t="s">
        <v>1468</v>
      </c>
    </row>
    <row r="2" s="188" customFormat="1" ht="19.5" customHeight="1" spans="1:29">
      <c r="A2" s="1772"/>
      <c r="B2" s="1697"/>
      <c r="C2" s="1697"/>
      <c r="D2" s="1463"/>
      <c r="E2" s="1463"/>
      <c r="F2" s="1463"/>
      <c r="G2" s="1746"/>
      <c r="H2" s="1746"/>
      <c r="I2" s="1261"/>
      <c r="J2" s="1464"/>
      <c r="K2" s="1464"/>
      <c r="L2" s="1773"/>
      <c r="M2" s="1748"/>
      <c r="N2" s="1466"/>
      <c r="O2" s="1466"/>
      <c r="P2" s="1467"/>
      <c r="Q2" s="1774"/>
      <c r="R2" s="1700"/>
      <c r="S2" s="1462"/>
      <c r="T2" s="1775"/>
      <c r="U2" s="1705" t="s">
        <v>1428</v>
      </c>
      <c r="V2" s="1776" t="s">
        <v>3336</v>
      </c>
      <c r="W2" s="1777" t="s">
        <v>1470</v>
      </c>
      <c r="X2" s="1778">
        <v>0.64</v>
      </c>
      <c r="Y2" s="1709"/>
      <c r="Z2" s="1705" t="s">
        <v>1428</v>
      </c>
      <c r="AA2" s="1703" t="s">
        <v>1471</v>
      </c>
      <c r="AB2" s="1703">
        <v>9672</v>
      </c>
      <c r="AC2" s="1708">
        <v>1.05</v>
      </c>
    </row>
    <row r="3" s="188" customFormat="1" ht="19.5" customHeight="1" spans="1:29">
      <c r="A3" s="1772"/>
      <c r="B3" s="1697"/>
      <c r="C3" s="1697"/>
      <c r="D3" s="1463"/>
      <c r="E3" s="1463"/>
      <c r="F3" s="1463"/>
      <c r="G3" s="1746"/>
      <c r="H3" s="1746"/>
      <c r="I3" s="1261"/>
      <c r="J3" s="1464"/>
      <c r="K3" s="1464"/>
      <c r="L3" s="1773"/>
      <c r="M3" s="1748"/>
      <c r="N3" s="1466"/>
      <c r="O3" s="1466"/>
      <c r="P3" s="1467"/>
      <c r="Q3" s="1774"/>
      <c r="R3" s="1700"/>
      <c r="S3" s="1462"/>
      <c r="T3" s="1775"/>
      <c r="U3" s="1705" t="s">
        <v>1428</v>
      </c>
      <c r="V3" s="1779"/>
      <c r="W3" s="1707" t="s">
        <v>1474</v>
      </c>
      <c r="X3" s="1708">
        <v>1.7769148</v>
      </c>
      <c r="Y3" s="1709"/>
      <c r="Z3" s="1702" t="s">
        <v>1428</v>
      </c>
      <c r="AA3" s="1703" t="s">
        <v>1479</v>
      </c>
      <c r="AB3" s="1703" t="s">
        <v>1480</v>
      </c>
      <c r="AC3" s="1708">
        <v>0.23</v>
      </c>
    </row>
    <row r="4" s="188" customFormat="1" ht="19.5" customHeight="1" spans="1:29">
      <c r="A4" s="1772"/>
      <c r="B4" s="1697"/>
      <c r="C4" s="1697"/>
      <c r="D4" s="1463"/>
      <c r="E4" s="1463"/>
      <c r="F4" s="1463"/>
      <c r="G4" s="1746"/>
      <c r="H4" s="1746"/>
      <c r="I4" s="1261"/>
      <c r="J4" s="1464"/>
      <c r="K4" s="1464"/>
      <c r="L4" s="1773"/>
      <c r="M4" s="1748"/>
      <c r="N4" s="1466"/>
      <c r="O4" s="1466"/>
      <c r="P4" s="1467"/>
      <c r="Q4" s="1774"/>
      <c r="R4" s="1700"/>
      <c r="S4" s="1462"/>
      <c r="T4" s="1775"/>
      <c r="U4" s="1705" t="s">
        <v>1428</v>
      </c>
      <c r="V4" s="1779"/>
      <c r="W4" s="1707" t="s">
        <v>1478</v>
      </c>
      <c r="X4" s="1708">
        <v>1.8079</v>
      </c>
      <c r="Y4" s="1709"/>
      <c r="Z4" s="1702" t="s">
        <v>1428</v>
      </c>
      <c r="AA4" s="1710" t="s">
        <v>3489</v>
      </c>
      <c r="AB4" s="1709">
        <v>8040</v>
      </c>
      <c r="AC4" s="1708">
        <v>2.948</v>
      </c>
    </row>
    <row r="5" s="188" customFormat="1" ht="19.5" customHeight="1" spans="1:29">
      <c r="A5" s="1772"/>
      <c r="B5" s="1697"/>
      <c r="C5" s="1697"/>
      <c r="D5" s="1463"/>
      <c r="E5" s="1463"/>
      <c r="F5" s="1463"/>
      <c r="G5" s="1746"/>
      <c r="H5" s="1746"/>
      <c r="I5" s="1261"/>
      <c r="J5" s="1464"/>
      <c r="K5" s="1464"/>
      <c r="L5" s="1773"/>
      <c r="M5" s="1748"/>
      <c r="N5" s="1466"/>
      <c r="O5" s="1466"/>
      <c r="P5" s="1467"/>
      <c r="Q5" s="1774"/>
      <c r="R5" s="1700"/>
      <c r="S5" s="1462"/>
      <c r="T5" s="1775"/>
      <c r="U5" s="1705" t="s">
        <v>1428</v>
      </c>
      <c r="V5" s="1779"/>
      <c r="W5" s="1707" t="s">
        <v>1485</v>
      </c>
      <c r="X5" s="1708">
        <v>0.52</v>
      </c>
      <c r="Y5" s="1709"/>
      <c r="Z5" s="1702" t="s">
        <v>1428</v>
      </c>
      <c r="AA5" s="1711"/>
      <c r="AB5" s="1709">
        <v>9040</v>
      </c>
      <c r="AC5" s="1708">
        <v>3.054</v>
      </c>
    </row>
    <row r="6" s="188" customFormat="1" ht="19" customHeight="1" spans="1:29">
      <c r="A6" s="1772"/>
      <c r="B6" s="1697"/>
      <c r="C6" s="1697"/>
      <c r="D6" s="1463"/>
      <c r="E6" s="1463"/>
      <c r="F6" s="1463"/>
      <c r="G6" s="1746"/>
      <c r="H6" s="1746"/>
      <c r="I6" s="1261"/>
      <c r="J6" s="1464"/>
      <c r="K6" s="1464"/>
      <c r="L6" s="1773"/>
      <c r="M6" s="1748"/>
      <c r="N6" s="1466"/>
      <c r="O6" s="1466"/>
      <c r="P6" s="1467"/>
      <c r="Q6" s="1774"/>
      <c r="R6" s="1700"/>
      <c r="S6" s="1462"/>
      <c r="T6" s="1775"/>
      <c r="U6" s="1702"/>
      <c r="V6" s="1780"/>
      <c r="W6" s="1709" t="s">
        <v>1489</v>
      </c>
      <c r="X6" s="1708">
        <v>0.93</v>
      </c>
      <c r="Y6" s="1709"/>
      <c r="Z6" s="1702"/>
      <c r="AA6" s="1703"/>
      <c r="AB6" s="1703"/>
      <c r="AC6" s="1708"/>
    </row>
    <row r="7" s="799" customFormat="1" ht="25.2" spans="1:29">
      <c r="A7" s="1781" t="s">
        <v>1403</v>
      </c>
      <c r="B7" s="132" t="s">
        <v>1490</v>
      </c>
      <c r="C7" s="132" t="s">
        <v>1491</v>
      </c>
      <c r="D7" s="17" t="s">
        <v>1492</v>
      </c>
      <c r="E7" s="165" t="s">
        <v>1404</v>
      </c>
      <c r="F7" s="121" t="s">
        <v>1494</v>
      </c>
      <c r="G7" s="18" t="s">
        <v>5</v>
      </c>
      <c r="H7" s="18" t="s">
        <v>1933</v>
      </c>
      <c r="I7" s="1713" t="s">
        <v>1934</v>
      </c>
      <c r="J7" s="18" t="s">
        <v>1910</v>
      </c>
      <c r="K7" s="18" t="s">
        <v>1497</v>
      </c>
      <c r="L7" s="18" t="s">
        <v>1498</v>
      </c>
      <c r="M7" s="18" t="s">
        <v>1497</v>
      </c>
      <c r="N7" s="18" t="s">
        <v>6</v>
      </c>
      <c r="O7" s="18" t="s">
        <v>7</v>
      </c>
      <c r="P7" s="18" t="s">
        <v>8</v>
      </c>
      <c r="Q7" s="1782" t="s">
        <v>3490</v>
      </c>
      <c r="R7" s="18" t="s">
        <v>9</v>
      </c>
      <c r="S7" s="18" t="s">
        <v>1499</v>
      </c>
      <c r="T7" s="141" t="s">
        <v>10</v>
      </c>
      <c r="U7" s="1702"/>
      <c r="V7" s="1621"/>
      <c r="W7" s="1709"/>
      <c r="X7" s="1708"/>
      <c r="Y7" s="1709"/>
      <c r="Z7" s="1702"/>
      <c r="AA7" s="1621"/>
      <c r="AB7" s="1709"/>
      <c r="AC7" s="1708"/>
    </row>
    <row r="8" s="187" customFormat="1" customHeight="1" spans="1:29">
      <c r="A8" s="1138"/>
      <c r="B8" s="19" t="s">
        <v>3491</v>
      </c>
      <c r="C8" s="19"/>
      <c r="D8" s="19">
        <v>20241009</v>
      </c>
      <c r="E8" s="153">
        <v>7.1</v>
      </c>
      <c r="F8" s="19" t="s">
        <v>3492</v>
      </c>
      <c r="G8" s="20" t="s">
        <v>1565</v>
      </c>
      <c r="H8" s="21" t="s">
        <v>1428</v>
      </c>
      <c r="I8" s="21" t="s">
        <v>1428</v>
      </c>
      <c r="J8" s="21" t="s">
        <v>1428</v>
      </c>
      <c r="K8" s="21" t="s">
        <v>1428</v>
      </c>
      <c r="L8" s="21" t="s">
        <v>1428</v>
      </c>
      <c r="M8" s="21" t="s">
        <v>1428</v>
      </c>
      <c r="N8" s="37">
        <f>11.56/E8/1.13</f>
        <v>1.44085753458806</v>
      </c>
      <c r="O8" s="22">
        <v>14.0368205055232</v>
      </c>
      <c r="P8" s="37">
        <f>6800/7.13/1.13/50</f>
        <v>16.8799414166739</v>
      </c>
      <c r="Q8" s="727"/>
      <c r="R8" s="22">
        <f>SUM(L8:P8)</f>
        <v>32.3576194567852</v>
      </c>
      <c r="S8" s="23"/>
      <c r="T8" s="1783" t="s">
        <v>3493</v>
      </c>
      <c r="U8" s="120"/>
    </row>
    <row r="9" s="187" customFormat="1" customHeight="1" spans="1:29">
      <c r="A9" s="1138"/>
      <c r="B9" s="19"/>
      <c r="C9" s="19"/>
      <c r="D9" s="19">
        <v>20241009</v>
      </c>
      <c r="E9" s="153">
        <v>7.1</v>
      </c>
      <c r="F9" s="19" t="s">
        <v>955</v>
      </c>
      <c r="G9" s="20" t="s">
        <v>956</v>
      </c>
      <c r="H9" s="21" t="s">
        <v>1428</v>
      </c>
      <c r="I9" s="21" t="s">
        <v>1428</v>
      </c>
      <c r="J9" s="21" t="s">
        <v>1428</v>
      </c>
      <c r="K9" s="21" t="s">
        <v>1428</v>
      </c>
      <c r="L9" s="21" t="s">
        <v>1428</v>
      </c>
      <c r="M9" s="21" t="s">
        <v>1428</v>
      </c>
      <c r="N9" s="37">
        <f>0.57/7.1/1.13</f>
        <v>0.0710457434874735</v>
      </c>
      <c r="O9" s="1784">
        <v>0.00028792222360713</v>
      </c>
      <c r="P9" s="22">
        <v>0.2</v>
      </c>
      <c r="Q9" s="154"/>
      <c r="R9" s="22">
        <f>SUM(L9:P9)</f>
        <v>0.271333665711081</v>
      </c>
      <c r="S9" s="23"/>
      <c r="T9" s="23" t="s">
        <v>3494</v>
      </c>
      <c r="U9" s="120" t="s">
        <v>1406</v>
      </c>
    </row>
    <row r="10" s="187" customFormat="1" customHeight="1" spans="1:29">
      <c r="A10" s="1138"/>
      <c r="B10" s="19"/>
      <c r="C10" s="19"/>
      <c r="D10" s="19">
        <v>20241009</v>
      </c>
      <c r="E10" s="153">
        <v>7.1</v>
      </c>
      <c r="F10" s="19" t="s">
        <v>958</v>
      </c>
      <c r="G10" s="20" t="s">
        <v>959</v>
      </c>
      <c r="H10" s="21" t="s">
        <v>1428</v>
      </c>
      <c r="I10" s="21" t="s">
        <v>1428</v>
      </c>
      <c r="J10" s="21" t="s">
        <v>1428</v>
      </c>
      <c r="K10" s="21" t="s">
        <v>1428</v>
      </c>
      <c r="L10" s="21" t="s">
        <v>1428</v>
      </c>
      <c r="M10" s="21" t="s">
        <v>1428</v>
      </c>
      <c r="N10" s="37">
        <f>2.24/7.1/1.13</f>
        <v>0.279197307740247</v>
      </c>
      <c r="O10" s="22">
        <v>0.126502555153932</v>
      </c>
      <c r="P10" s="22">
        <v>0.2</v>
      </c>
      <c r="Q10" s="727"/>
      <c r="R10" s="22">
        <f>SUM(L10:P10)</f>
        <v>0.605699862894179</v>
      </c>
      <c r="S10" s="23"/>
      <c r="T10" s="23"/>
      <c r="U10" s="120" t="s">
        <v>1406</v>
      </c>
    </row>
    <row r="11" s="187" customFormat="1" customHeight="1" spans="1:29">
      <c r="A11" s="1138"/>
      <c r="B11" s="19"/>
      <c r="C11" s="19"/>
      <c r="D11" s="19">
        <v>20241009</v>
      </c>
      <c r="E11" s="153">
        <v>7.1</v>
      </c>
      <c r="F11" s="19" t="s">
        <v>960</v>
      </c>
      <c r="G11" s="20" t="s">
        <v>961</v>
      </c>
      <c r="H11" s="21" t="s">
        <v>1428</v>
      </c>
      <c r="I11" s="21" t="s">
        <v>1428</v>
      </c>
      <c r="J11" s="21" t="s">
        <v>1428</v>
      </c>
      <c r="K11" s="21" t="s">
        <v>1428</v>
      </c>
      <c r="L11" s="21" t="s">
        <v>1428</v>
      </c>
      <c r="M11" s="21" t="s">
        <v>1428</v>
      </c>
      <c r="N11" s="37">
        <f>1.2/E11/1.13</f>
        <v>0.149569986289418</v>
      </c>
      <c r="O11" s="22">
        <v>5.29021509513585</v>
      </c>
      <c r="P11" s="37">
        <f>1130/7.13/1.13/50</f>
        <v>2.80504908835905</v>
      </c>
      <c r="Q11" s="727"/>
      <c r="R11" s="22">
        <f>SUM(L11:P11)</f>
        <v>8.24483416978432</v>
      </c>
      <c r="S11" s="23"/>
      <c r="T11" s="1783" t="s">
        <v>3495</v>
      </c>
      <c r="U11" s="120" t="s">
        <v>1406</v>
      </c>
    </row>
    <row r="12" s="193" customFormat="1" customHeight="1" spans="1:29">
      <c r="A12" s="1785"/>
      <c r="B12" s="1786" t="s">
        <v>3496</v>
      </c>
      <c r="C12" s="1786"/>
      <c r="D12" s="1787">
        <v>20250915</v>
      </c>
      <c r="E12" s="1788">
        <v>7.13</v>
      </c>
      <c r="F12" s="725"/>
      <c r="G12" s="149" t="s">
        <v>3497</v>
      </c>
      <c r="H12" s="687"/>
      <c r="I12" s="153"/>
      <c r="J12" s="153"/>
      <c r="K12" s="727"/>
      <c r="L12" s="727"/>
      <c r="M12" s="727"/>
      <c r="N12" s="727">
        <f>3/E12/1.13</f>
        <v>0.372351648897219</v>
      </c>
      <c r="O12" s="727">
        <v>2.19928512989165</v>
      </c>
      <c r="P12" s="154">
        <v>0.3</v>
      </c>
      <c r="Q12" s="154"/>
      <c r="R12" s="727">
        <f>SUBTOTAL(9,J12:P12)</f>
        <v>2.87163677878887</v>
      </c>
      <c r="S12" s="923"/>
      <c r="T12" s="923" t="s">
        <v>3498</v>
      </c>
    </row>
    <row r="13" s="193" customFormat="1" customHeight="1" spans="1:29">
      <c r="B13" s="1786" t="s">
        <v>3496</v>
      </c>
      <c r="C13" s="1786"/>
      <c r="D13" s="1787">
        <v>20250915</v>
      </c>
      <c r="E13" s="1788">
        <v>7.13</v>
      </c>
      <c r="F13" s="791"/>
      <c r="G13" s="791" t="s">
        <v>3499</v>
      </c>
      <c r="H13" s="791"/>
      <c r="I13" s="924"/>
      <c r="J13" s="1789"/>
      <c r="K13" s="1789"/>
      <c r="L13" s="924"/>
      <c r="M13" s="153"/>
      <c r="N13" s="727">
        <f>1.25/E13/1.13*1.05</f>
        <v>0.162903846392533</v>
      </c>
      <c r="O13" s="727">
        <v>0.0659658181186313</v>
      </c>
      <c r="P13" s="154">
        <v>0.3</v>
      </c>
      <c r="Q13" s="154"/>
      <c r="R13" s="727">
        <f>SUBTOTAL(9,J13:P13)</f>
        <v>0.528869664511164</v>
      </c>
      <c r="S13" s="1255"/>
      <c r="T13" s="923" t="s">
        <v>3500</v>
      </c>
    </row>
    <row r="14" s="193" customFormat="1" customHeight="1" spans="1:29">
      <c r="B14" s="1786" t="s">
        <v>3496</v>
      </c>
      <c r="C14" s="1786"/>
      <c r="D14" s="1787">
        <v>20250915</v>
      </c>
      <c r="E14" s="1788">
        <v>7.13</v>
      </c>
      <c r="F14" s="791"/>
      <c r="G14" s="791" t="s">
        <v>3501</v>
      </c>
      <c r="H14" s="791"/>
      <c r="I14" s="924"/>
      <c r="J14" s="1789"/>
      <c r="K14" s="1789"/>
      <c r="L14" s="924"/>
      <c r="M14" s="153"/>
      <c r="N14" s="727">
        <f>3/E14/1.13</f>
        <v>0.372351648897219</v>
      </c>
      <c r="O14" s="727">
        <v>1.35009032521689</v>
      </c>
      <c r="P14" s="154">
        <v>0.3</v>
      </c>
      <c r="Q14" s="154"/>
      <c r="R14" s="727">
        <f>SUBTOTAL(9,J14:P14)</f>
        <v>2.02244197411411</v>
      </c>
      <c r="S14" s="791"/>
      <c r="T14" s="923" t="s">
        <v>3498</v>
      </c>
    </row>
    <row r="15" s="193" customFormat="1" customHeight="1" spans="1:29">
      <c r="B15" s="1786" t="s">
        <v>3496</v>
      </c>
      <c r="C15" s="1786"/>
      <c r="D15" s="1787">
        <v>20250915</v>
      </c>
      <c r="E15" s="1788">
        <v>7.13</v>
      </c>
      <c r="F15" s="791"/>
      <c r="G15" s="791" t="s">
        <v>3502</v>
      </c>
      <c r="H15" s="791"/>
      <c r="I15" s="924"/>
      <c r="J15" s="1789"/>
      <c r="K15" s="1789"/>
      <c r="L15" s="924"/>
      <c r="M15" s="153"/>
      <c r="N15" s="727">
        <f>25.21/E15/1.13*1.05</f>
        <v>3.28544477404461</v>
      </c>
      <c r="O15" s="727">
        <v>19.2485457813123</v>
      </c>
      <c r="P15" s="727">
        <v>3.5</v>
      </c>
      <c r="Q15" s="1575"/>
      <c r="R15" s="727">
        <f>SUBTOTAL(9,J15:P15)</f>
        <v>26.0339905553569</v>
      </c>
      <c r="S15" s="791"/>
      <c r="T15" s="923" t="s">
        <v>3503</v>
      </c>
    </row>
    <row r="16" s="1744" customFormat="1" customHeight="1" spans="1:29">
      <c r="A16" s="1790"/>
      <c r="B16" s="1660" t="s">
        <v>3390</v>
      </c>
      <c r="C16" s="1660"/>
      <c r="D16" s="1662">
        <v>20250806</v>
      </c>
      <c r="E16" s="1736">
        <v>6.9667</v>
      </c>
      <c r="F16" s="1590" t="s">
        <v>3392</v>
      </c>
      <c r="G16" s="711" t="s">
        <v>1629</v>
      </c>
      <c r="H16" s="959" t="s">
        <v>3504</v>
      </c>
      <c r="I16" s="961" t="s">
        <v>2043</v>
      </c>
      <c r="J16" s="961" t="s">
        <v>1913</v>
      </c>
      <c r="K16" s="961" t="s">
        <v>3393</v>
      </c>
      <c r="L16" s="965" t="s">
        <v>712</v>
      </c>
      <c r="M16" s="961">
        <v>1.66</v>
      </c>
      <c r="N16" s="965">
        <v>2.7399623315517</v>
      </c>
      <c r="O16" s="964">
        <v>8.7337280056079</v>
      </c>
      <c r="P16" s="964">
        <v>2.35253140381722</v>
      </c>
      <c r="Q16" s="1738"/>
      <c r="R16" s="965">
        <v>15.4862217409768</v>
      </c>
      <c r="S16" s="1591" t="s">
        <v>3505</v>
      </c>
      <c r="T16" s="1591" t="s">
        <v>3505</v>
      </c>
    </row>
    <row r="17" s="1744" customFormat="1" customHeight="1" spans="1:22">
      <c r="A17" s="1790"/>
      <c r="B17" s="1660" t="s">
        <v>3390</v>
      </c>
      <c r="C17" s="1660"/>
      <c r="D17" s="1662">
        <v>20250806</v>
      </c>
      <c r="E17" s="1736">
        <v>6.9667</v>
      </c>
      <c r="F17" s="1590" t="s">
        <v>3396</v>
      </c>
      <c r="G17" s="711" t="s">
        <v>1604</v>
      </c>
      <c r="H17" s="959" t="s">
        <v>3504</v>
      </c>
      <c r="I17" s="961" t="s">
        <v>3348</v>
      </c>
      <c r="J17" s="961" t="s">
        <v>1913</v>
      </c>
      <c r="K17" s="961" t="s">
        <v>1637</v>
      </c>
      <c r="L17" s="965" t="s">
        <v>712</v>
      </c>
      <c r="M17" s="965">
        <f>26.17/E17/1.13</f>
        <v>3.3242843864955</v>
      </c>
      <c r="N17" s="965">
        <v>2.7399623315517</v>
      </c>
      <c r="O17" s="964">
        <v>9.30755768362565</v>
      </c>
      <c r="P17" s="964">
        <v>2.35253140381722</v>
      </c>
      <c r="Q17" s="1738"/>
      <c r="R17" s="965">
        <v>17.7243358054901</v>
      </c>
      <c r="S17" s="1591" t="s">
        <v>3505</v>
      </c>
      <c r="T17" s="1591" t="s">
        <v>3505</v>
      </c>
    </row>
    <row r="18" s="1744" customFormat="1" customHeight="1" spans="1:22">
      <c r="A18" s="1790"/>
      <c r="B18" s="1660" t="s">
        <v>3390</v>
      </c>
      <c r="C18" s="1660"/>
      <c r="D18" s="1661">
        <v>46079</v>
      </c>
      <c r="E18" s="1791">
        <v>6.8802</v>
      </c>
      <c r="F18" s="959" t="s">
        <v>3506</v>
      </c>
      <c r="G18" s="711" t="s">
        <v>1685</v>
      </c>
      <c r="H18" s="1591" t="s">
        <v>3507</v>
      </c>
      <c r="I18" s="961"/>
      <c r="J18" s="961"/>
      <c r="K18" s="961" t="s">
        <v>3508</v>
      </c>
      <c r="L18" s="1792"/>
      <c r="M18" s="961">
        <f>13.3/E18/1.13</f>
        <v>1.71069322177041</v>
      </c>
      <c r="N18" s="964">
        <f>21.4/E18/1.13</f>
        <v>2.75254398089374</v>
      </c>
      <c r="O18" s="965">
        <v>9.31</v>
      </c>
      <c r="P18" s="964">
        <v>2.35</v>
      </c>
      <c r="Q18" s="964"/>
      <c r="R18" s="965">
        <f>SUM(M18:P18)</f>
        <v>16.1232372026642</v>
      </c>
      <c r="S18" s="1743"/>
      <c r="T18" s="1591"/>
    </row>
    <row r="19" s="1744" customFormat="1" customHeight="1" spans="1:22">
      <c r="A19" s="1793"/>
      <c r="B19" s="1660" t="s">
        <v>979</v>
      </c>
      <c r="C19" s="1660"/>
      <c r="D19" s="1662">
        <v>20250508</v>
      </c>
      <c r="E19" s="1791">
        <v>7.13</v>
      </c>
      <c r="F19" s="959" t="s">
        <v>3446</v>
      </c>
      <c r="G19" s="711" t="s">
        <v>1581</v>
      </c>
      <c r="H19" s="1794" t="s">
        <v>3509</v>
      </c>
      <c r="I19" s="961" t="s">
        <v>3510</v>
      </c>
      <c r="J19" s="961" t="s">
        <v>3413</v>
      </c>
      <c r="K19" s="961" t="s">
        <v>1720</v>
      </c>
      <c r="L19" s="1792" t="s">
        <v>3350</v>
      </c>
      <c r="M19" s="961">
        <v>2.3</v>
      </c>
      <c r="N19" s="964">
        <v>2.69458476585287</v>
      </c>
      <c r="O19" s="965">
        <v>12.037729920862</v>
      </c>
      <c r="P19" s="964">
        <v>3.06941875907607</v>
      </c>
      <c r="Q19" s="964"/>
      <c r="R19" s="965">
        <f>SUM(L19:P19)</f>
        <v>20.1017334457909</v>
      </c>
      <c r="S19" s="1743" t="s">
        <v>3414</v>
      </c>
      <c r="T19" s="1591" t="s">
        <v>3511</v>
      </c>
    </row>
    <row r="20" s="1744" customFormat="1" customHeight="1" spans="1:22">
      <c r="A20" s="1793"/>
      <c r="B20" s="1660" t="s">
        <v>3352</v>
      </c>
      <c r="C20" s="1660"/>
      <c r="D20" s="1662">
        <v>20250901</v>
      </c>
      <c r="E20" s="1791">
        <v>7.13</v>
      </c>
      <c r="F20" s="959"/>
      <c r="G20" s="1795" t="s">
        <v>1551</v>
      </c>
      <c r="H20" s="1794" t="s">
        <v>3512</v>
      </c>
      <c r="I20" s="961" t="s">
        <v>3348</v>
      </c>
      <c r="J20" s="961" t="s">
        <v>1913</v>
      </c>
      <c r="K20" s="961" t="s">
        <v>1428</v>
      </c>
      <c r="L20" s="1792" t="s">
        <v>3513</v>
      </c>
      <c r="M20" s="1588" t="s">
        <v>2247</v>
      </c>
      <c r="N20" s="965">
        <f>17.692/E20/1.13</f>
        <v>2.1958817907632</v>
      </c>
      <c r="O20" s="965">
        <f>11.5887894468418</f>
        <v>11.5887894468418</v>
      </c>
      <c r="P20" s="964">
        <v>3</v>
      </c>
      <c r="Q20" s="965"/>
      <c r="R20" s="965">
        <f>SUM(L20:P20)</f>
        <v>16.784671237605</v>
      </c>
      <c r="S20" s="1796" t="s">
        <v>3355</v>
      </c>
      <c r="T20" s="1591" t="s">
        <v>3514</v>
      </c>
    </row>
    <row r="21" s="1744" customFormat="1" customHeight="1" spans="1:22">
      <c r="A21" s="1793"/>
      <c r="B21" s="1660" t="s">
        <v>3362</v>
      </c>
      <c r="C21" s="1660"/>
      <c r="D21" s="1662">
        <v>20250904</v>
      </c>
      <c r="E21" s="1791">
        <v>7.13</v>
      </c>
      <c r="F21" s="959" t="s">
        <v>1411</v>
      </c>
      <c r="G21" s="711" t="s">
        <v>2427</v>
      </c>
      <c r="H21" s="1794" t="s">
        <v>3515</v>
      </c>
      <c r="I21" s="961" t="s">
        <v>3348</v>
      </c>
      <c r="J21" s="961" t="s">
        <v>1913</v>
      </c>
      <c r="K21" s="961"/>
      <c r="L21" s="1792"/>
      <c r="M21" s="1588" t="s">
        <v>2247</v>
      </c>
      <c r="N21" s="964">
        <f>17/E21/1.13</f>
        <v>2.10999267708424</v>
      </c>
      <c r="O21" s="965">
        <f>42.7/E21/1.13</f>
        <v>5.29980513597041</v>
      </c>
      <c r="P21" s="964">
        <v>28.5</v>
      </c>
      <c r="Q21" s="964">
        <v>19.77</v>
      </c>
      <c r="R21" s="965">
        <f>SUM(L21:P21)</f>
        <v>35.9097978130547</v>
      </c>
      <c r="S21" s="1743" t="s">
        <v>1526</v>
      </c>
      <c r="T21" s="1591" t="s">
        <v>3516</v>
      </c>
    </row>
    <row r="22" s="1744" customFormat="1" customHeight="1" spans="1:22">
      <c r="A22" s="1793"/>
      <c r="B22" s="1660"/>
      <c r="C22" s="1660"/>
      <c r="D22" s="1662"/>
      <c r="E22" s="1791"/>
      <c r="F22" s="959"/>
      <c r="G22" s="711"/>
      <c r="H22" s="1794"/>
      <c r="I22" s="961"/>
      <c r="J22" s="961"/>
      <c r="K22" s="961"/>
      <c r="L22" s="1792"/>
      <c r="M22" s="1588"/>
      <c r="N22" s="964"/>
      <c r="O22" s="965"/>
      <c r="P22" s="964"/>
      <c r="Q22" s="964"/>
      <c r="R22" s="965"/>
      <c r="S22" s="1797"/>
      <c r="T22" s="1591"/>
    </row>
    <row r="23" s="1744" customFormat="1" customHeight="1" spans="1:22">
      <c r="A23" s="1793"/>
      <c r="B23" s="1660"/>
      <c r="C23" s="1660"/>
      <c r="D23" s="1662">
        <v>20250909</v>
      </c>
      <c r="E23" s="1791">
        <v>7.13</v>
      </c>
      <c r="F23" s="959" t="s">
        <v>3368</v>
      </c>
      <c r="G23" s="711" t="s">
        <v>2306</v>
      </c>
      <c r="H23" s="1664" t="s">
        <v>3517</v>
      </c>
      <c r="I23" s="961" t="s">
        <v>2043</v>
      </c>
      <c r="J23" s="961" t="s">
        <v>1913</v>
      </c>
      <c r="K23" s="961"/>
      <c r="L23" s="1792"/>
      <c r="M23" s="1588" t="s">
        <v>1507</v>
      </c>
      <c r="N23" s="964">
        <f>23.5/E23/1.13</f>
        <v>2.91675458302821</v>
      </c>
      <c r="O23" s="965">
        <v>11.4966766443331</v>
      </c>
      <c r="P23" s="964">
        <f>Q23/E23/1.13</f>
        <v>2.49475604761136</v>
      </c>
      <c r="Q23" s="964">
        <v>20.1</v>
      </c>
      <c r="R23" s="965">
        <f>SUM(L23:P23)</f>
        <v>16.9081872749727</v>
      </c>
      <c r="S23" s="1798" t="s">
        <v>1526</v>
      </c>
      <c r="T23" s="1591" t="s">
        <v>3518</v>
      </c>
    </row>
    <row r="24" s="1744" customFormat="1" customHeight="1" spans="1:22">
      <c r="A24" s="1793"/>
      <c r="B24" s="1660" t="s">
        <v>3519</v>
      </c>
      <c r="C24" s="1660"/>
      <c r="D24" s="1662">
        <v>20250909</v>
      </c>
      <c r="E24" s="1791">
        <v>7.13</v>
      </c>
      <c r="F24" s="959" t="s">
        <v>3376</v>
      </c>
      <c r="G24" s="711" t="s">
        <v>1671</v>
      </c>
      <c r="H24" s="1794" t="s">
        <v>3520</v>
      </c>
      <c r="I24" s="961" t="s">
        <v>3348</v>
      </c>
      <c r="J24" s="961" t="s">
        <v>1913</v>
      </c>
      <c r="K24" s="961"/>
      <c r="L24" s="1792"/>
      <c r="M24" s="1588"/>
      <c r="N24" s="964">
        <f>67.01/E24/1.13</f>
        <v>8.31709466420087</v>
      </c>
      <c r="O24" s="965">
        <v>10.2224362571216</v>
      </c>
      <c r="P24" s="964">
        <f>Q24/E24/1.13</f>
        <v>3.03218359418635</v>
      </c>
      <c r="Q24" s="964">
        <v>24.43</v>
      </c>
      <c r="R24" s="965">
        <f>SUM(L24:P24)</f>
        <v>21.5717145155088</v>
      </c>
      <c r="S24" s="1796" t="s">
        <v>3378</v>
      </c>
      <c r="T24" s="1591" t="s">
        <v>3521</v>
      </c>
    </row>
    <row r="25" s="1744" customFormat="1" customHeight="1" spans="1:22">
      <c r="A25" s="1793"/>
      <c r="B25" s="1660" t="s">
        <v>3522</v>
      </c>
      <c r="C25" s="1799" t="s">
        <v>3371</v>
      </c>
      <c r="D25" s="1661">
        <v>46078</v>
      </c>
      <c r="E25" s="1791">
        <v>6.8802</v>
      </c>
      <c r="F25" s="959" t="s">
        <v>3372</v>
      </c>
      <c r="G25" s="711" t="s">
        <v>2431</v>
      </c>
      <c r="H25" s="1794" t="s">
        <v>3523</v>
      </c>
      <c r="I25" s="961" t="s">
        <v>3348</v>
      </c>
      <c r="J25" s="961" t="s">
        <v>1913</v>
      </c>
      <c r="K25" s="1588" t="s">
        <v>2247</v>
      </c>
      <c r="L25" s="1792" t="s">
        <v>2247</v>
      </c>
      <c r="M25" s="1588" t="s">
        <v>2247</v>
      </c>
      <c r="N25" s="964">
        <f>26.56/E25/1.13</f>
        <v>3.41624150152046</v>
      </c>
      <c r="O25" s="965">
        <f>1.05+13.58165475074</f>
        <v>14.63165475074</v>
      </c>
      <c r="P25" s="964">
        <f>21.72/E25/1.13</f>
        <v>2.79370351705664</v>
      </c>
      <c r="Q25" s="964"/>
      <c r="R25" s="965">
        <f>SUBTOTAL(9,J25:P25)</f>
        <v>20.8415997693171</v>
      </c>
      <c r="S25" s="1796" t="s">
        <v>3374</v>
      </c>
      <c r="T25" s="1591" t="s">
        <v>3524</v>
      </c>
    </row>
    <row r="26" s="1744" customFormat="1" customHeight="1" spans="1:22">
      <c r="A26" s="1793"/>
      <c r="B26" s="1660" t="s">
        <v>3522</v>
      </c>
      <c r="C26" s="1799" t="s">
        <v>3371</v>
      </c>
      <c r="D26" s="1661">
        <v>46275</v>
      </c>
      <c r="E26" s="1791">
        <v>6.72</v>
      </c>
      <c r="F26" s="959" t="s">
        <v>3525</v>
      </c>
      <c r="G26" s="711"/>
      <c r="H26" s="1794"/>
      <c r="I26" s="961"/>
      <c r="J26" s="961"/>
      <c r="K26" s="1588" t="s">
        <v>1428</v>
      </c>
      <c r="L26" s="1792" t="s">
        <v>712</v>
      </c>
      <c r="M26" s="1588" t="s">
        <v>1428</v>
      </c>
      <c r="N26" s="964">
        <f>38.12/E26/1.13</f>
        <v>5.02001685630004</v>
      </c>
      <c r="O26" s="965">
        <v>16.9</v>
      </c>
      <c r="P26" s="964">
        <f>21.72/E26/1.13</f>
        <v>2.86030341340076</v>
      </c>
      <c r="Q26" s="964"/>
      <c r="R26" s="965">
        <f>SUBTOTAL(9,J26:P26)</f>
        <v>24.7803202697008</v>
      </c>
      <c r="S26" s="1796"/>
      <c r="T26" s="1591"/>
    </row>
    <row r="27" s="1744" customFormat="1" customHeight="1" spans="1:22">
      <c r="A27" s="1793"/>
      <c r="B27" s="1660" t="s">
        <v>3522</v>
      </c>
      <c r="C27" s="1799" t="s">
        <v>3371</v>
      </c>
      <c r="D27" s="1661">
        <v>46049</v>
      </c>
      <c r="E27" s="1791">
        <v>6.8802</v>
      </c>
      <c r="F27" s="959" t="s">
        <v>3526</v>
      </c>
      <c r="G27" s="711" t="s">
        <v>3527</v>
      </c>
      <c r="H27" s="1794" t="s">
        <v>3523</v>
      </c>
      <c r="I27" s="961" t="s">
        <v>3348</v>
      </c>
      <c r="J27" s="961" t="s">
        <v>1913</v>
      </c>
      <c r="K27" s="1588" t="s">
        <v>1507</v>
      </c>
      <c r="L27" s="1792" t="s">
        <v>1507</v>
      </c>
      <c r="M27" s="1588" t="s">
        <v>1507</v>
      </c>
      <c r="N27" s="964">
        <f>26.56/E27/1.13</f>
        <v>3.41624150152046</v>
      </c>
      <c r="O27" s="965">
        <v>14.1</v>
      </c>
      <c r="P27" s="964">
        <f>21.72/E27/1.13</f>
        <v>2.79370351705664</v>
      </c>
      <c r="Q27" s="964"/>
      <c r="R27" s="965">
        <f>SUBTOTAL(9,J27:P27)</f>
        <v>20.3099450185771</v>
      </c>
      <c r="S27" s="1796" t="s">
        <v>3374</v>
      </c>
      <c r="T27" s="1591" t="s">
        <v>3528</v>
      </c>
      <c r="U27" s="1800"/>
      <c r="V27" s="1801"/>
    </row>
    <row r="28" s="1744" customFormat="1" customHeight="1" spans="1:22">
      <c r="A28" s="1793"/>
      <c r="B28" s="1660" t="s">
        <v>3522</v>
      </c>
      <c r="C28" s="1660" t="s">
        <v>3371</v>
      </c>
      <c r="D28" s="1661"/>
      <c r="E28" s="1791">
        <v>6.7693</v>
      </c>
      <c r="F28" s="959" t="s">
        <v>3529</v>
      </c>
      <c r="G28" s="711"/>
      <c r="H28" s="1794"/>
      <c r="I28" s="961"/>
      <c r="J28" s="961"/>
      <c r="K28" s="1588"/>
      <c r="L28" s="1792"/>
      <c r="M28" s="1588"/>
      <c r="N28" s="964">
        <f>26.56/E28/1.13</f>
        <v>3.4722090583607</v>
      </c>
      <c r="O28" s="965">
        <v>15.3</v>
      </c>
      <c r="P28" s="964">
        <f>21.72/E28/1.13</f>
        <v>2.83947216670159</v>
      </c>
      <c r="Q28" s="964"/>
      <c r="R28" s="965"/>
      <c r="S28" s="1798"/>
      <c r="T28" s="1591"/>
      <c r="U28" s="1800"/>
      <c r="V28" s="1801"/>
    </row>
    <row r="29" s="1744" customFormat="1" customHeight="1" spans="1:22">
      <c r="A29" s="1793"/>
      <c r="B29" s="1660" t="s">
        <v>3530</v>
      </c>
      <c r="C29" s="1660" t="s">
        <v>3531</v>
      </c>
      <c r="D29" s="1661">
        <v>46134</v>
      </c>
      <c r="E29" s="1791">
        <v>6.8225</v>
      </c>
      <c r="F29" s="959" t="s">
        <v>3532</v>
      </c>
      <c r="G29" s="711" t="s">
        <v>1565</v>
      </c>
      <c r="H29" s="1794" t="s">
        <v>3533</v>
      </c>
      <c r="I29" s="961" t="s">
        <v>3534</v>
      </c>
      <c r="J29" s="961" t="s">
        <v>1428</v>
      </c>
      <c r="K29" s="1588" t="s">
        <v>1428</v>
      </c>
      <c r="L29" s="1792" t="s">
        <v>712</v>
      </c>
      <c r="M29" s="1588" t="s">
        <v>1428</v>
      </c>
      <c r="N29" s="964">
        <f>22.94/E29/1.13</f>
        <v>2.97557859373429</v>
      </c>
      <c r="O29" s="965">
        <v>10.6</v>
      </c>
      <c r="P29" s="964">
        <v>2.61</v>
      </c>
      <c r="Q29" s="964"/>
      <c r="R29" s="965">
        <f>SUBTOTAL(109,N29:P29)</f>
        <v>16.1855785937343</v>
      </c>
      <c r="S29" s="1798" t="s">
        <v>1526</v>
      </c>
      <c r="T29" s="1591"/>
      <c r="U29" s="1800"/>
      <c r="V29" s="1801"/>
    </row>
    <row r="30" s="1744" customFormat="1" customHeight="1" spans="1:22">
      <c r="A30" s="1793"/>
      <c r="B30" s="1660" t="s">
        <v>3530</v>
      </c>
      <c r="C30" s="1660" t="s">
        <v>3531</v>
      </c>
      <c r="D30" s="1662">
        <v>20250910</v>
      </c>
      <c r="E30" s="1791">
        <v>7.13</v>
      </c>
      <c r="F30" s="1590" t="s">
        <v>3381</v>
      </c>
      <c r="G30" s="711" t="s">
        <v>1571</v>
      </c>
      <c r="H30" s="959" t="s">
        <v>3504</v>
      </c>
      <c r="I30" s="961" t="s">
        <v>3535</v>
      </c>
      <c r="J30" s="961" t="s">
        <v>3349</v>
      </c>
      <c r="K30" s="961" t="s">
        <v>1428</v>
      </c>
      <c r="L30" s="1792" t="s">
        <v>3513</v>
      </c>
      <c r="M30" s="961" t="s">
        <v>1428</v>
      </c>
      <c r="N30" s="965">
        <f>22.14/E30/1.13</f>
        <v>2.74795516886147</v>
      </c>
      <c r="O30" s="965">
        <v>12.5357105388952</v>
      </c>
      <c r="P30" s="964">
        <v>2.60506749636358</v>
      </c>
      <c r="Q30" s="964"/>
      <c r="R30" s="965">
        <f>SUBTOTAL(9,J30:P30)</f>
        <v>17.8887332041202</v>
      </c>
      <c r="S30" s="1591" t="s">
        <v>3384</v>
      </c>
      <c r="T30" s="1591" t="s">
        <v>3524</v>
      </c>
      <c r="U30" s="1796"/>
      <c r="V30" s="1591"/>
    </row>
    <row r="31" s="193" customFormat="1" customHeight="1" spans="1:22">
      <c r="A31" s="1785"/>
      <c r="B31" s="1719" t="s">
        <v>3536</v>
      </c>
      <c r="C31" s="1719"/>
      <c r="D31" s="1802">
        <v>46081</v>
      </c>
      <c r="E31" s="1788">
        <v>6.8802</v>
      </c>
      <c r="F31" s="687"/>
      <c r="G31" s="149" t="s">
        <v>2575</v>
      </c>
      <c r="H31" s="1803"/>
      <c r="I31" s="153" t="s">
        <v>3534</v>
      </c>
      <c r="J31" s="153"/>
      <c r="K31" s="153"/>
      <c r="L31" s="1019" t="s">
        <v>3537</v>
      </c>
      <c r="M31" s="1082" t="s">
        <v>712</v>
      </c>
      <c r="N31" s="727">
        <f>16.9/E31/1.13</f>
        <v>2.173738003603</v>
      </c>
      <c r="O31" s="727">
        <v>7.17</v>
      </c>
      <c r="P31" s="154">
        <f>20.45/E31/1.13</f>
        <v>2.63035160791014</v>
      </c>
      <c r="Q31" s="154"/>
      <c r="R31" s="727">
        <f>SUBTOTAL(9,J31:P31)</f>
        <v>11.9740896115131</v>
      </c>
      <c r="S31" s="1804"/>
      <c r="T31" s="923"/>
      <c r="U31" s="1805"/>
      <c r="V31" s="1806"/>
    </row>
    <row r="32" s="1744" customFormat="1" customHeight="1" spans="1:22">
      <c r="A32" s="1793"/>
      <c r="B32" s="1660" t="s">
        <v>3386</v>
      </c>
      <c r="C32" s="1660"/>
      <c r="D32" s="1662">
        <v>20250912</v>
      </c>
      <c r="E32" s="1791">
        <v>7.13</v>
      </c>
      <c r="F32" s="959" t="s">
        <v>3388</v>
      </c>
      <c r="G32" s="711" t="s">
        <v>1571</v>
      </c>
      <c r="H32" s="1807" t="s">
        <v>3538</v>
      </c>
      <c r="I32" s="961" t="s">
        <v>2043</v>
      </c>
      <c r="J32" s="961" t="s">
        <v>1913</v>
      </c>
      <c r="K32" s="961"/>
      <c r="L32" s="1792"/>
      <c r="M32" s="961"/>
      <c r="N32" s="965">
        <f>20.2954/E32/1.13</f>
        <v>2.5190085516762</v>
      </c>
      <c r="O32" s="965">
        <v>10.3558184200864</v>
      </c>
      <c r="P32" s="964">
        <v>16</v>
      </c>
      <c r="Q32" s="964">
        <v>18.6</v>
      </c>
      <c r="R32" s="965">
        <f>SUM(L32:P32)</f>
        <v>28.8748269717626</v>
      </c>
      <c r="S32" s="1804"/>
      <c r="T32" s="923"/>
      <c r="U32" s="1808" t="s">
        <v>1413</v>
      </c>
      <c r="V32" s="1801"/>
    </row>
    <row r="33" s="1601" customFormat="1" customHeight="1" spans="1:21">
      <c r="A33" s="1138"/>
      <c r="B33" s="1719" t="s">
        <v>3386</v>
      </c>
      <c r="C33" s="1719"/>
      <c r="D33" s="1809"/>
      <c r="E33" s="153"/>
      <c r="F33" s="1809"/>
      <c r="G33" s="1809"/>
      <c r="H33" s="1809"/>
      <c r="I33" s="153"/>
      <c r="J33" s="151"/>
      <c r="K33" s="151"/>
      <c r="L33" s="1019"/>
      <c r="M33" s="151"/>
      <c r="N33" s="727"/>
      <c r="O33" s="727"/>
      <c r="P33" s="154"/>
      <c r="Q33" s="154"/>
      <c r="R33" s="727"/>
      <c r="S33" s="1804"/>
      <c r="T33" s="1809"/>
      <c r="U33" s="1810"/>
    </row>
    <row r="34" s="1601" customFormat="1" customHeight="1" spans="1:21">
      <c r="A34" s="1138"/>
      <c r="B34" s="729" t="s">
        <v>3539</v>
      </c>
      <c r="C34" s="729"/>
      <c r="D34" s="729"/>
      <c r="E34" s="153">
        <v>7.17</v>
      </c>
      <c r="F34" s="729"/>
      <c r="G34" s="729" t="s">
        <v>1617</v>
      </c>
      <c r="H34" s="729" t="s">
        <v>3540</v>
      </c>
      <c r="I34" s="21" t="s">
        <v>3541</v>
      </c>
      <c r="J34" s="689" t="s">
        <v>1428</v>
      </c>
      <c r="K34" s="689" t="s">
        <v>1428</v>
      </c>
      <c r="L34" s="138" t="s">
        <v>3513</v>
      </c>
      <c r="M34" s="689" t="s">
        <v>1428</v>
      </c>
      <c r="N34" s="22">
        <v>2.56607283785633</v>
      </c>
      <c r="O34" s="22">
        <v>14.2489040479274</v>
      </c>
      <c r="P34" s="37">
        <f t="shared" ref="P34:P39" si="0">Q34/E34/1.13</f>
        <v>2.58574937361919</v>
      </c>
      <c r="Q34" s="154">
        <v>20.95</v>
      </c>
      <c r="R34" s="22">
        <f t="shared" ref="R34:R39" si="1">SUM(L34:P34)</f>
        <v>19.4007262594029</v>
      </c>
      <c r="S34" s="766" t="s">
        <v>2854</v>
      </c>
      <c r="T34" s="729"/>
    </row>
    <row r="35" s="1601" customFormat="1" customHeight="1" spans="1:21">
      <c r="A35" s="1138"/>
      <c r="B35" s="729"/>
      <c r="C35" s="729"/>
      <c r="D35" s="729"/>
      <c r="E35" s="153">
        <v>7.17</v>
      </c>
      <c r="F35" s="729"/>
      <c r="G35" s="729" t="s">
        <v>1629</v>
      </c>
      <c r="H35" s="729" t="s">
        <v>3540</v>
      </c>
      <c r="I35" s="21" t="s">
        <v>3542</v>
      </c>
      <c r="J35" s="689" t="s">
        <v>1428</v>
      </c>
      <c r="K35" s="689" t="s">
        <v>1428</v>
      </c>
      <c r="L35" s="138" t="s">
        <v>3513</v>
      </c>
      <c r="M35" s="689" t="s">
        <v>1428</v>
      </c>
      <c r="N35" s="22">
        <v>2.56607283785633</v>
      </c>
      <c r="O35" s="22">
        <v>13.7634304856536</v>
      </c>
      <c r="P35" s="37">
        <f t="shared" si="0"/>
        <v>2.58574937361919</v>
      </c>
      <c r="Q35" s="154">
        <v>20.95</v>
      </c>
      <c r="R35" s="22">
        <f t="shared" si="1"/>
        <v>18.9152526971291</v>
      </c>
      <c r="S35" s="766" t="s">
        <v>2854</v>
      </c>
      <c r="T35" s="824" t="s">
        <v>3543</v>
      </c>
    </row>
    <row r="36" s="1601" customFormat="1" customHeight="1" spans="1:21">
      <c r="A36" s="1138"/>
      <c r="B36" s="729"/>
      <c r="C36" s="729"/>
      <c r="D36" s="729">
        <v>20240423</v>
      </c>
      <c r="E36" s="153">
        <v>7.17</v>
      </c>
      <c r="F36" s="729" t="s">
        <v>3544</v>
      </c>
      <c r="G36" s="729" t="s">
        <v>1645</v>
      </c>
      <c r="H36" s="729" t="s">
        <v>3540</v>
      </c>
      <c r="I36" s="21" t="s">
        <v>3541</v>
      </c>
      <c r="J36" s="689" t="s">
        <v>1428</v>
      </c>
      <c r="K36" s="689" t="s">
        <v>1428</v>
      </c>
      <c r="L36" s="138" t="s">
        <v>3513</v>
      </c>
      <c r="M36" s="689" t="s">
        <v>1428</v>
      </c>
      <c r="N36" s="22">
        <v>2.56607283785633</v>
      </c>
      <c r="O36" s="22">
        <v>12.9919244588431</v>
      </c>
      <c r="P36" s="37">
        <f t="shared" si="0"/>
        <v>2.58574937361919</v>
      </c>
      <c r="Q36" s="154">
        <v>20.95</v>
      </c>
      <c r="R36" s="22">
        <f t="shared" si="1"/>
        <v>18.1437466703186</v>
      </c>
      <c r="S36" s="766" t="s">
        <v>2854</v>
      </c>
      <c r="T36" s="729" t="s">
        <v>3545</v>
      </c>
    </row>
    <row r="37" s="1601" customFormat="1" customHeight="1" spans="1:21">
      <c r="A37" s="1138"/>
      <c r="B37" s="729"/>
      <c r="C37" s="729"/>
      <c r="D37" s="729">
        <v>20240529</v>
      </c>
      <c r="E37" s="153">
        <v>7.17</v>
      </c>
      <c r="F37" s="729" t="s">
        <v>3546</v>
      </c>
      <c r="G37" s="729" t="s">
        <v>1604</v>
      </c>
      <c r="H37" s="729" t="s">
        <v>3540</v>
      </c>
      <c r="I37" s="21" t="s">
        <v>3541</v>
      </c>
      <c r="J37" s="689" t="s">
        <v>1428</v>
      </c>
      <c r="K37" s="689" t="s">
        <v>1428</v>
      </c>
      <c r="L37" s="138" t="s">
        <v>3513</v>
      </c>
      <c r="M37" s="689" t="s">
        <v>1428</v>
      </c>
      <c r="N37" s="22">
        <v>2.56607283785633</v>
      </c>
      <c r="O37" s="22">
        <v>13.1934760827845</v>
      </c>
      <c r="P37" s="37">
        <f t="shared" si="0"/>
        <v>2.58574937361919</v>
      </c>
      <c r="Q37" s="154">
        <v>20.95</v>
      </c>
      <c r="R37" s="22">
        <f t="shared" si="1"/>
        <v>18.34529829426</v>
      </c>
      <c r="S37" s="766" t="s">
        <v>2854</v>
      </c>
      <c r="T37" s="729" t="s">
        <v>3545</v>
      </c>
    </row>
    <row r="38" s="42" customFormat="1" customHeight="1" spans="1:21">
      <c r="A38" s="1138"/>
      <c r="B38" s="23" t="s">
        <v>3547</v>
      </c>
      <c r="C38" s="23"/>
      <c r="D38" s="23">
        <v>20240221</v>
      </c>
      <c r="E38" s="153">
        <v>7.17</v>
      </c>
      <c r="F38" s="23" t="s">
        <v>3548</v>
      </c>
      <c r="G38" s="20" t="s">
        <v>1581</v>
      </c>
      <c r="H38" s="729" t="s">
        <v>1933</v>
      </c>
      <c r="I38" s="21" t="s">
        <v>3549</v>
      </c>
      <c r="J38" s="21" t="s">
        <v>1913</v>
      </c>
      <c r="K38" s="21" t="s">
        <v>1428</v>
      </c>
      <c r="L38" s="138" t="s">
        <v>3513</v>
      </c>
      <c r="M38" s="21" t="s">
        <v>1428</v>
      </c>
      <c r="N38" s="37">
        <f>25.7/E38/1.13</f>
        <v>3.17201713136101</v>
      </c>
      <c r="O38" s="22">
        <v>11.8575980009862</v>
      </c>
      <c r="P38" s="37">
        <f t="shared" si="0"/>
        <v>2.60426309228472</v>
      </c>
      <c r="Q38" s="154">
        <v>21.1</v>
      </c>
      <c r="R38" s="22">
        <f t="shared" si="1"/>
        <v>17.6338782246319</v>
      </c>
      <c r="S38" s="38" t="s">
        <v>2854</v>
      </c>
      <c r="T38" s="23" t="s">
        <v>3550</v>
      </c>
      <c r="U38" s="120" t="s">
        <v>1406</v>
      </c>
    </row>
    <row r="39" s="42" customFormat="1" customHeight="1" spans="1:21">
      <c r="A39" s="1138"/>
      <c r="B39" s="23"/>
      <c r="C39" s="23"/>
      <c r="D39" s="1662">
        <v>20250901</v>
      </c>
      <c r="E39" s="1791">
        <v>7.13</v>
      </c>
      <c r="F39" s="959" t="s">
        <v>3346</v>
      </c>
      <c r="G39" s="711" t="s">
        <v>2459</v>
      </c>
      <c r="H39" s="1794" t="s">
        <v>3515</v>
      </c>
      <c r="I39" s="961" t="s">
        <v>3348</v>
      </c>
      <c r="J39" s="961" t="s">
        <v>3349</v>
      </c>
      <c r="K39" s="961" t="s">
        <v>1428</v>
      </c>
      <c r="L39" s="1792" t="s">
        <v>3513</v>
      </c>
      <c r="M39" s="961" t="s">
        <v>1428</v>
      </c>
      <c r="N39" s="964">
        <f>25.7/E39/1.13</f>
        <v>3.18981245888617</v>
      </c>
      <c r="O39" s="965">
        <f>12.4</f>
        <v>12.4</v>
      </c>
      <c r="P39" s="964">
        <f t="shared" si="0"/>
        <v>2.61887326391044</v>
      </c>
      <c r="Q39" s="964">
        <v>21.1</v>
      </c>
      <c r="R39" s="965">
        <f t="shared" si="1"/>
        <v>18.2086857227966</v>
      </c>
      <c r="S39" s="1743" t="s">
        <v>1526</v>
      </c>
      <c r="T39" s="1591" t="s">
        <v>3551</v>
      </c>
      <c r="U39" s="120"/>
    </row>
    <row r="40" s="42" customFormat="1" customHeight="1" spans="1:21">
      <c r="A40" s="1138"/>
      <c r="B40" s="23"/>
      <c r="C40" s="23"/>
      <c r="D40" s="23"/>
      <c r="E40" s="153">
        <v>7.17</v>
      </c>
      <c r="F40" s="23" t="s">
        <v>1414</v>
      </c>
      <c r="G40" s="20" t="s">
        <v>2427</v>
      </c>
      <c r="H40" s="729" t="s">
        <v>1933</v>
      </c>
      <c r="I40" s="21" t="s">
        <v>3541</v>
      </c>
      <c r="J40" s="21" t="s">
        <v>1913</v>
      </c>
      <c r="K40" s="21" t="s">
        <v>1428</v>
      </c>
      <c r="L40" s="138" t="s">
        <v>3513</v>
      </c>
      <c r="M40" s="21" t="s">
        <v>1428</v>
      </c>
      <c r="N40" s="37">
        <f t="shared" ref="N40:N51" si="2">25.7/E40/1.13</f>
        <v>3.17201713136101</v>
      </c>
      <c r="O40" s="22">
        <v>13.1353204548476</v>
      </c>
      <c r="P40" s="37">
        <f t="shared" ref="P40:P50" si="3">Q40/E40/1.13</f>
        <v>2.60426309228472</v>
      </c>
      <c r="Q40" s="154">
        <v>21.1</v>
      </c>
      <c r="R40" s="22">
        <f t="shared" ref="R40:R45" si="4">SUM(L40:P40)</f>
        <v>18.9116006784933</v>
      </c>
      <c r="S40" s="38" t="s">
        <v>2854</v>
      </c>
      <c r="T40" s="23" t="s">
        <v>3550</v>
      </c>
      <c r="U40" s="120" t="s">
        <v>1406</v>
      </c>
    </row>
    <row r="41" s="42" customFormat="1" customHeight="1" spans="1:21">
      <c r="A41" s="1138"/>
      <c r="B41" s="23"/>
      <c r="C41" s="23"/>
      <c r="D41" s="23"/>
      <c r="E41" s="153">
        <v>7.17</v>
      </c>
      <c r="F41" s="23" t="s">
        <v>3552</v>
      </c>
      <c r="G41" s="20" t="s">
        <v>2449</v>
      </c>
      <c r="H41" s="729" t="s">
        <v>3540</v>
      </c>
      <c r="I41" s="21" t="s">
        <v>3553</v>
      </c>
      <c r="J41" s="21" t="s">
        <v>1913</v>
      </c>
      <c r="K41" s="21" t="s">
        <v>1428</v>
      </c>
      <c r="L41" s="138" t="s">
        <v>3513</v>
      </c>
      <c r="M41" s="21" t="s">
        <v>1428</v>
      </c>
      <c r="N41" s="37">
        <f t="shared" si="2"/>
        <v>3.17201713136101</v>
      </c>
      <c r="O41" s="22">
        <v>12.4833167491226</v>
      </c>
      <c r="P41" s="37">
        <f t="shared" si="3"/>
        <v>2.60426309228472</v>
      </c>
      <c r="Q41" s="154">
        <v>21.1</v>
      </c>
      <c r="R41" s="22">
        <f t="shared" si="4"/>
        <v>18.2595969727683</v>
      </c>
      <c r="S41" s="38" t="s">
        <v>2854</v>
      </c>
      <c r="T41" s="23"/>
      <c r="U41" s="120" t="s">
        <v>1406</v>
      </c>
    </row>
    <row r="42" s="42" customFormat="1" customHeight="1" spans="1:21">
      <c r="A42" s="1138"/>
      <c r="B42" s="23"/>
      <c r="C42" s="23"/>
      <c r="D42" s="23"/>
      <c r="E42" s="153">
        <v>6.91</v>
      </c>
      <c r="F42" s="23" t="s">
        <v>1415</v>
      </c>
      <c r="G42" s="20" t="s">
        <v>2431</v>
      </c>
      <c r="H42" s="729" t="s">
        <v>1933</v>
      </c>
      <c r="I42" s="21" t="s">
        <v>3553</v>
      </c>
      <c r="J42" s="21" t="s">
        <v>1913</v>
      </c>
      <c r="K42" s="21" t="s">
        <v>1428</v>
      </c>
      <c r="L42" s="138" t="s">
        <v>3513</v>
      </c>
      <c r="M42" s="21" t="s">
        <v>1428</v>
      </c>
      <c r="N42" s="37">
        <f t="shared" si="2"/>
        <v>3.29136944021106</v>
      </c>
      <c r="O42" s="22">
        <v>11.4036437365883</v>
      </c>
      <c r="P42" s="37">
        <f t="shared" si="3"/>
        <v>2.70225273106822</v>
      </c>
      <c r="Q42" s="154">
        <v>21.1</v>
      </c>
      <c r="R42" s="22">
        <f t="shared" si="4"/>
        <v>17.3972659078676</v>
      </c>
      <c r="S42" s="38" t="s">
        <v>2854</v>
      </c>
      <c r="T42" s="23" t="s">
        <v>3550</v>
      </c>
      <c r="U42" s="120" t="s">
        <v>1406</v>
      </c>
    </row>
    <row r="43" s="42" customFormat="1" customHeight="1" spans="1:21">
      <c r="A43" s="1138"/>
      <c r="B43" s="23"/>
      <c r="C43" s="23"/>
      <c r="D43" s="23">
        <v>20240110</v>
      </c>
      <c r="E43" s="153">
        <v>7.17</v>
      </c>
      <c r="F43" s="23" t="s">
        <v>3554</v>
      </c>
      <c r="G43" s="20" t="s">
        <v>1667</v>
      </c>
      <c r="H43" s="729" t="s">
        <v>3540</v>
      </c>
      <c r="I43" s="21" t="s">
        <v>3541</v>
      </c>
      <c r="J43" s="21" t="s">
        <v>1913</v>
      </c>
      <c r="K43" s="21" t="s">
        <v>1428</v>
      </c>
      <c r="L43" s="138" t="s">
        <v>3513</v>
      </c>
      <c r="M43" s="21" t="s">
        <v>1428</v>
      </c>
      <c r="N43" s="37">
        <f t="shared" si="2"/>
        <v>3.17201713136101</v>
      </c>
      <c r="O43" s="22">
        <v>11.1847482492081</v>
      </c>
      <c r="P43" s="37">
        <f t="shared" si="3"/>
        <v>2.60426309228472</v>
      </c>
      <c r="Q43" s="154">
        <v>21.1</v>
      </c>
      <c r="R43" s="22">
        <f t="shared" si="4"/>
        <v>16.9610284728538</v>
      </c>
      <c r="S43" s="38" t="s">
        <v>2854</v>
      </c>
      <c r="T43" s="23"/>
      <c r="U43" s="120" t="s">
        <v>1406</v>
      </c>
    </row>
    <row r="44" s="42" customFormat="1" customHeight="1" spans="1:21">
      <c r="A44" s="1138"/>
      <c r="B44" s="23"/>
      <c r="C44" s="23"/>
      <c r="D44" s="23">
        <v>20240517</v>
      </c>
      <c r="E44" s="153">
        <v>7.17</v>
      </c>
      <c r="F44" s="23" t="s">
        <v>3555</v>
      </c>
      <c r="G44" s="20" t="s">
        <v>1558</v>
      </c>
      <c r="H44" s="729" t="s">
        <v>3556</v>
      </c>
      <c r="I44" s="21" t="s">
        <v>3542</v>
      </c>
      <c r="J44" s="21" t="s">
        <v>1913</v>
      </c>
      <c r="K44" s="21" t="s">
        <v>1428</v>
      </c>
      <c r="L44" s="138" t="s">
        <v>3513</v>
      </c>
      <c r="M44" s="21" t="s">
        <v>1428</v>
      </c>
      <c r="N44" s="37">
        <f t="shared" si="2"/>
        <v>3.17201713136101</v>
      </c>
      <c r="O44" s="22">
        <v>11.3392392031157</v>
      </c>
      <c r="P44" s="37">
        <f t="shared" si="3"/>
        <v>2.60426309228472</v>
      </c>
      <c r="Q44" s="154">
        <v>21.1</v>
      </c>
      <c r="R44" s="22">
        <f t="shared" si="4"/>
        <v>17.1155194267614</v>
      </c>
      <c r="S44" s="38" t="s">
        <v>2854</v>
      </c>
      <c r="T44" s="23" t="s">
        <v>3550</v>
      </c>
      <c r="U44" s="120" t="s">
        <v>1406</v>
      </c>
    </row>
    <row r="45" s="42" customFormat="1" customHeight="1" spans="1:21">
      <c r="A45" s="1138"/>
      <c r="B45" s="23"/>
      <c r="C45" s="23"/>
      <c r="D45" s="23">
        <v>20240112</v>
      </c>
      <c r="E45" s="153">
        <v>7.17</v>
      </c>
      <c r="F45" s="23" t="s">
        <v>3557</v>
      </c>
      <c r="G45" s="20" t="s">
        <v>2314</v>
      </c>
      <c r="H45" s="729" t="s">
        <v>1933</v>
      </c>
      <c r="I45" s="21" t="s">
        <v>3542</v>
      </c>
      <c r="J45" s="21" t="s">
        <v>1913</v>
      </c>
      <c r="K45" s="21" t="s">
        <v>1428</v>
      </c>
      <c r="L45" s="138" t="s">
        <v>3513</v>
      </c>
      <c r="M45" s="21" t="s">
        <v>1428</v>
      </c>
      <c r="N45" s="37">
        <f t="shared" si="2"/>
        <v>3.17201713136101</v>
      </c>
      <c r="O45" s="22">
        <v>12.0133313215424</v>
      </c>
      <c r="P45" s="37">
        <f t="shared" si="3"/>
        <v>2.60426309228472</v>
      </c>
      <c r="Q45" s="154">
        <v>21.1</v>
      </c>
      <c r="R45" s="22">
        <f t="shared" si="4"/>
        <v>17.7896115451881</v>
      </c>
      <c r="S45" s="38" t="s">
        <v>2854</v>
      </c>
      <c r="T45" s="167" t="s">
        <v>3550</v>
      </c>
      <c r="U45" s="120" t="s">
        <v>1406</v>
      </c>
    </row>
    <row r="46" s="42" customFormat="1" customHeight="1" spans="1:21">
      <c r="A46" s="1138"/>
      <c r="B46" s="23"/>
      <c r="C46" s="23"/>
      <c r="D46" s="23">
        <v>20240112</v>
      </c>
      <c r="E46" s="153">
        <v>7.17</v>
      </c>
      <c r="F46" s="23" t="s">
        <v>3346</v>
      </c>
      <c r="G46" s="20" t="s">
        <v>2459</v>
      </c>
      <c r="H46" s="729" t="s">
        <v>1933</v>
      </c>
      <c r="I46" s="21" t="s">
        <v>3541</v>
      </c>
      <c r="J46" s="21" t="s">
        <v>3349</v>
      </c>
      <c r="K46" s="21" t="s">
        <v>1428</v>
      </c>
      <c r="L46" s="138" t="s">
        <v>3513</v>
      </c>
      <c r="M46" s="21" t="s">
        <v>1428</v>
      </c>
      <c r="N46" s="37">
        <f t="shared" si="2"/>
        <v>3.17201713136101</v>
      </c>
      <c r="O46" s="22">
        <f>31.73/7.13/1.13</f>
        <v>3.93823927316958</v>
      </c>
      <c r="P46" s="37">
        <f t="shared" si="3"/>
        <v>0.419751460337658</v>
      </c>
      <c r="Q46" s="154">
        <f>23.5/6.91</f>
        <v>3.40086830680174</v>
      </c>
      <c r="R46" s="22">
        <f t="shared" ref="R46:R51" si="5">SUM(L46:P46)</f>
        <v>7.53000786486824</v>
      </c>
      <c r="S46" s="38" t="s">
        <v>3558</v>
      </c>
      <c r="T46" s="23" t="s">
        <v>3559</v>
      </c>
      <c r="U46" s="120" t="s">
        <v>1406</v>
      </c>
    </row>
    <row r="47" s="42" customFormat="1" customHeight="1" spans="1:21">
      <c r="A47" s="1138"/>
      <c r="B47" s="23"/>
      <c r="C47" s="23"/>
      <c r="D47" s="23">
        <v>20241120</v>
      </c>
      <c r="E47" s="153">
        <v>7.17</v>
      </c>
      <c r="F47" s="23" t="s">
        <v>3560</v>
      </c>
      <c r="G47" s="20" t="s">
        <v>1723</v>
      </c>
      <c r="H47" s="729" t="s">
        <v>3561</v>
      </c>
      <c r="I47" s="21" t="s">
        <v>3542</v>
      </c>
      <c r="J47" s="21" t="s">
        <v>3349</v>
      </c>
      <c r="K47" s="21"/>
      <c r="L47" s="138" t="s">
        <v>3513</v>
      </c>
      <c r="M47" s="21"/>
      <c r="N47" s="37">
        <f t="shared" si="2"/>
        <v>3.17201713136101</v>
      </c>
      <c r="O47" s="22">
        <v>10.3907205941007</v>
      </c>
      <c r="P47" s="37">
        <f t="shared" si="3"/>
        <v>0.419751460337658</v>
      </c>
      <c r="Q47" s="154">
        <f>23.5/6.91</f>
        <v>3.40086830680174</v>
      </c>
      <c r="R47" s="22">
        <f t="shared" si="5"/>
        <v>13.9824891857994</v>
      </c>
      <c r="S47" s="166" t="s">
        <v>3562</v>
      </c>
      <c r="T47" s="750" t="s">
        <v>3563</v>
      </c>
      <c r="U47" s="120"/>
    </row>
    <row r="48" s="42" customFormat="1" customHeight="1" spans="1:21">
      <c r="A48" s="1138"/>
      <c r="B48" s="23"/>
      <c r="C48" s="23"/>
      <c r="D48" s="23">
        <v>20241012</v>
      </c>
      <c r="E48" s="153">
        <v>7.17</v>
      </c>
      <c r="F48" s="23" t="s">
        <v>3564</v>
      </c>
      <c r="G48" s="20" t="s">
        <v>1593</v>
      </c>
      <c r="H48" s="729" t="s">
        <v>3565</v>
      </c>
      <c r="I48" s="21" t="s">
        <v>3566</v>
      </c>
      <c r="J48" s="21" t="s">
        <v>1913</v>
      </c>
      <c r="K48" s="21" t="s">
        <v>1428</v>
      </c>
      <c r="L48" s="138" t="s">
        <v>3513</v>
      </c>
      <c r="M48" s="21" t="s">
        <v>1428</v>
      </c>
      <c r="N48" s="37">
        <f t="shared" si="2"/>
        <v>3.17201713136101</v>
      </c>
      <c r="O48" s="22">
        <f>31.73/E48/1.13</f>
        <v>3.91626862171536</v>
      </c>
      <c r="P48" s="37">
        <f t="shared" si="3"/>
        <v>0.419751460337658</v>
      </c>
      <c r="Q48" s="154">
        <f>23.5/6.91</f>
        <v>3.40086830680174</v>
      </c>
      <c r="R48" s="22">
        <f t="shared" si="5"/>
        <v>7.50803721341402</v>
      </c>
      <c r="S48" s="38" t="s">
        <v>2854</v>
      </c>
      <c r="T48" s="750" t="s">
        <v>3567</v>
      </c>
      <c r="U48" s="120" t="s">
        <v>1406</v>
      </c>
    </row>
    <row r="49" s="42" customFormat="1" customHeight="1" spans="1:21">
      <c r="A49" s="1138"/>
      <c r="B49" s="23"/>
      <c r="C49" s="23"/>
      <c r="D49" s="23">
        <v>20240417</v>
      </c>
      <c r="E49" s="153">
        <v>7.17</v>
      </c>
      <c r="F49" s="23" t="s">
        <v>3568</v>
      </c>
      <c r="G49" s="20" t="s">
        <v>2081</v>
      </c>
      <c r="H49" s="729" t="s">
        <v>1933</v>
      </c>
      <c r="I49" s="21" t="s">
        <v>3542</v>
      </c>
      <c r="J49" s="21" t="s">
        <v>1913</v>
      </c>
      <c r="K49" s="21" t="s">
        <v>1428</v>
      </c>
      <c r="L49" s="138" t="s">
        <v>3513</v>
      </c>
      <c r="M49" s="21" t="s">
        <v>1428</v>
      </c>
      <c r="N49" s="37">
        <f t="shared" si="2"/>
        <v>3.17201713136101</v>
      </c>
      <c r="O49" s="22">
        <f>31.73/E49/1.13</f>
        <v>3.91626862171536</v>
      </c>
      <c r="P49" s="37">
        <f t="shared" si="3"/>
        <v>0.419751460337658</v>
      </c>
      <c r="Q49" s="154">
        <f>23.5/6.91</f>
        <v>3.40086830680174</v>
      </c>
      <c r="R49" s="22">
        <f t="shared" si="5"/>
        <v>7.50803721341402</v>
      </c>
      <c r="S49" s="38" t="s">
        <v>2854</v>
      </c>
      <c r="T49" s="23" t="s">
        <v>3550</v>
      </c>
      <c r="U49" s="120"/>
    </row>
    <row r="50" s="42" customFormat="1" customHeight="1" spans="1:21">
      <c r="A50" s="1138"/>
      <c r="B50" s="23"/>
      <c r="C50" s="23"/>
      <c r="D50" s="23">
        <v>20241120</v>
      </c>
      <c r="E50" s="21">
        <v>7.17</v>
      </c>
      <c r="F50" s="23" t="s">
        <v>3569</v>
      </c>
      <c r="G50" s="20" t="s">
        <v>2110</v>
      </c>
      <c r="H50" s="729" t="s">
        <v>1933</v>
      </c>
      <c r="I50" s="21" t="s">
        <v>3542</v>
      </c>
      <c r="J50" s="21" t="s">
        <v>3349</v>
      </c>
      <c r="K50" s="21" t="s">
        <v>1428</v>
      </c>
      <c r="L50" s="138" t="s">
        <v>3513</v>
      </c>
      <c r="M50" s="21" t="s">
        <v>1428</v>
      </c>
      <c r="N50" s="37">
        <f t="shared" si="2"/>
        <v>3.17201713136101</v>
      </c>
      <c r="O50" s="22">
        <v>10.8261802593117</v>
      </c>
      <c r="P50" s="37">
        <f t="shared" si="3"/>
        <v>2.60426309228472</v>
      </c>
      <c r="Q50" s="37">
        <v>21.1</v>
      </c>
      <c r="R50" s="22">
        <f t="shared" si="5"/>
        <v>16.6024604829574</v>
      </c>
      <c r="S50" s="895" t="s">
        <v>3570</v>
      </c>
      <c r="T50" s="23" t="s">
        <v>3550</v>
      </c>
      <c r="U50" s="120"/>
    </row>
    <row r="51" s="42" customFormat="1" customHeight="1" spans="1:21">
      <c r="A51" s="1138"/>
      <c r="B51" s="23"/>
      <c r="C51" s="23"/>
      <c r="D51" s="1188">
        <v>46126</v>
      </c>
      <c r="E51" s="21">
        <v>6.837</v>
      </c>
      <c r="F51" s="23" t="s">
        <v>3571</v>
      </c>
      <c r="G51" s="20" t="s">
        <v>2341</v>
      </c>
      <c r="H51" s="729"/>
      <c r="I51" s="21"/>
      <c r="J51" s="21"/>
      <c r="K51" s="21"/>
      <c r="L51" s="138"/>
      <c r="M51" s="21"/>
      <c r="N51" s="37">
        <f t="shared" si="2"/>
        <v>3.32651204210303</v>
      </c>
      <c r="O51" s="22">
        <v>10.88</v>
      </c>
      <c r="P51" s="37">
        <f>21.1/E51/1.13</f>
        <v>2.73110521744646</v>
      </c>
      <c r="Q51" s="37"/>
      <c r="R51" s="22">
        <f t="shared" si="5"/>
        <v>16.9376172595495</v>
      </c>
      <c r="S51" s="895"/>
      <c r="T51" s="23" t="s">
        <v>3572</v>
      </c>
      <c r="U51" s="120"/>
    </row>
    <row r="52" s="42" customFormat="1" customHeight="1" spans="1:21">
      <c r="A52" s="1138"/>
      <c r="B52" s="687"/>
      <c r="C52" s="687"/>
      <c r="D52" s="1811">
        <v>46081</v>
      </c>
      <c r="E52" s="153">
        <v>6.8802</v>
      </c>
      <c r="F52" s="687" t="s">
        <v>3573</v>
      </c>
      <c r="G52" s="149" t="s">
        <v>667</v>
      </c>
      <c r="H52" s="1809" t="s">
        <v>1933</v>
      </c>
      <c r="I52" s="153" t="s">
        <v>3541</v>
      </c>
      <c r="J52" s="153" t="s">
        <v>1913</v>
      </c>
      <c r="K52" s="153" t="s">
        <v>1428</v>
      </c>
      <c r="L52" s="1019" t="s">
        <v>3513</v>
      </c>
      <c r="M52" s="153" t="s">
        <v>1428</v>
      </c>
      <c r="N52" s="154">
        <f t="shared" ref="N52:N77" si="6">25.7/E52/1.13</f>
        <v>3.30562524808267</v>
      </c>
      <c r="O52" s="727">
        <v>11.29851028746</v>
      </c>
      <c r="P52" s="154">
        <f t="shared" ref="P52:P77" si="7">Q52/E52/1.13</f>
        <v>2.71395691574103</v>
      </c>
      <c r="Q52" s="154">
        <v>21.1</v>
      </c>
      <c r="R52" s="727">
        <f t="shared" ref="R52:R102" si="8">SUM(L52:P52)</f>
        <v>17.3180924512837</v>
      </c>
      <c r="S52" s="728" t="s">
        <v>2854</v>
      </c>
      <c r="T52" s="156" t="s">
        <v>3574</v>
      </c>
      <c r="U52" s="120"/>
    </row>
    <row r="53" s="42" customFormat="1" customHeight="1" spans="1:21">
      <c r="A53" s="1138"/>
      <c r="B53" s="687"/>
      <c r="C53" s="687"/>
      <c r="D53" s="1811">
        <v>46081</v>
      </c>
      <c r="E53" s="153">
        <v>6.8802</v>
      </c>
      <c r="F53" s="687" t="s">
        <v>3575</v>
      </c>
      <c r="G53" s="149" t="s">
        <v>2483</v>
      </c>
      <c r="H53" s="1809" t="s">
        <v>3540</v>
      </c>
      <c r="I53" s="153" t="s">
        <v>3566</v>
      </c>
      <c r="J53" s="153" t="s">
        <v>1913</v>
      </c>
      <c r="K53" s="153" t="s">
        <v>1428</v>
      </c>
      <c r="L53" s="1019" t="s">
        <v>3513</v>
      </c>
      <c r="M53" s="153" t="s">
        <v>1428</v>
      </c>
      <c r="N53" s="154">
        <f t="shared" si="6"/>
        <v>3.30562524808267</v>
      </c>
      <c r="O53" s="727">
        <v>10.8108348975791</v>
      </c>
      <c r="P53" s="154">
        <f t="shared" si="7"/>
        <v>2.71395691574103</v>
      </c>
      <c r="Q53" s="154">
        <v>21.1</v>
      </c>
      <c r="R53" s="727">
        <f t="shared" si="8"/>
        <v>16.8304170614028</v>
      </c>
      <c r="S53" s="728" t="s">
        <v>2854</v>
      </c>
      <c r="T53" s="687"/>
      <c r="U53" s="120"/>
    </row>
    <row r="54" s="42" customFormat="1" customHeight="1" spans="1:21">
      <c r="A54" s="1138"/>
      <c r="B54" s="23"/>
      <c r="C54" s="23"/>
      <c r="D54" s="23">
        <v>20240508</v>
      </c>
      <c r="E54" s="153">
        <v>7.17</v>
      </c>
      <c r="F54" s="23" t="s">
        <v>3576</v>
      </c>
      <c r="G54" s="20" t="s">
        <v>2486</v>
      </c>
      <c r="H54" s="729" t="s">
        <v>1933</v>
      </c>
      <c r="I54" s="21" t="s">
        <v>3542</v>
      </c>
      <c r="J54" s="21" t="s">
        <v>1913</v>
      </c>
      <c r="K54" s="21" t="s">
        <v>1428</v>
      </c>
      <c r="L54" s="138" t="s">
        <v>3513</v>
      </c>
      <c r="M54" s="21" t="s">
        <v>1428</v>
      </c>
      <c r="N54" s="37">
        <f t="shared" si="6"/>
        <v>3.17201713136101</v>
      </c>
      <c r="O54" s="22">
        <v>11.3657668111196</v>
      </c>
      <c r="P54" s="37">
        <f t="shared" si="7"/>
        <v>2.60426309228472</v>
      </c>
      <c r="Q54" s="154">
        <v>21.1</v>
      </c>
      <c r="R54" s="22">
        <f t="shared" si="8"/>
        <v>17.1420470347653</v>
      </c>
      <c r="S54" s="38" t="s">
        <v>2854</v>
      </c>
      <c r="T54" s="23" t="s">
        <v>3550</v>
      </c>
      <c r="U54" s="120"/>
    </row>
    <row r="55" s="42" customFormat="1" customHeight="1" spans="1:21">
      <c r="A55" s="1138"/>
      <c r="B55" s="23"/>
      <c r="C55" s="23"/>
      <c r="D55" s="23">
        <v>20240508</v>
      </c>
      <c r="E55" s="153">
        <v>7.17</v>
      </c>
      <c r="F55" s="23" t="s">
        <v>3577</v>
      </c>
      <c r="G55" s="20" t="s">
        <v>2488</v>
      </c>
      <c r="H55" s="729" t="s">
        <v>1933</v>
      </c>
      <c r="I55" s="21" t="s">
        <v>3542</v>
      </c>
      <c r="J55" s="21" t="s">
        <v>1913</v>
      </c>
      <c r="K55" s="21" t="s">
        <v>1428</v>
      </c>
      <c r="L55" s="138" t="s">
        <v>3513</v>
      </c>
      <c r="M55" s="21" t="s">
        <v>1428</v>
      </c>
      <c r="N55" s="37">
        <f t="shared" si="6"/>
        <v>3.17201713136101</v>
      </c>
      <c r="O55" s="22">
        <v>12.385054507375</v>
      </c>
      <c r="P55" s="37">
        <f t="shared" si="7"/>
        <v>2.60426309228472</v>
      </c>
      <c r="Q55" s="154">
        <v>21.1</v>
      </c>
      <c r="R55" s="22">
        <f t="shared" si="8"/>
        <v>18.1613347310207</v>
      </c>
      <c r="S55" s="38" t="s">
        <v>2854</v>
      </c>
      <c r="T55" s="23" t="s">
        <v>3578</v>
      </c>
      <c r="U55" s="120"/>
    </row>
    <row r="56" s="42" customFormat="1" customHeight="1" spans="1:21">
      <c r="A56" s="1138"/>
      <c r="B56" s="23"/>
      <c r="C56" s="23"/>
      <c r="D56" s="23">
        <v>20240612</v>
      </c>
      <c r="E56" s="153">
        <v>7.17</v>
      </c>
      <c r="F56" s="23" t="s">
        <v>3579</v>
      </c>
      <c r="G56" s="20" t="s">
        <v>2383</v>
      </c>
      <c r="H56" s="729" t="s">
        <v>3540</v>
      </c>
      <c r="I56" s="21" t="s">
        <v>3542</v>
      </c>
      <c r="J56" s="21" t="s">
        <v>1913</v>
      </c>
      <c r="K56" s="21" t="s">
        <v>1428</v>
      </c>
      <c r="L56" s="138" t="s">
        <v>3513</v>
      </c>
      <c r="M56" s="21" t="s">
        <v>1428</v>
      </c>
      <c r="N56" s="37">
        <f t="shared" si="6"/>
        <v>3.17201713136101</v>
      </c>
      <c r="O56" s="22">
        <v>9.05255291120528</v>
      </c>
      <c r="P56" s="37">
        <f t="shared" si="7"/>
        <v>2.60426309228472</v>
      </c>
      <c r="Q56" s="154">
        <v>21.1</v>
      </c>
      <c r="R56" s="22">
        <f t="shared" si="8"/>
        <v>14.828833134851</v>
      </c>
      <c r="S56" s="38" t="s">
        <v>2854</v>
      </c>
      <c r="T56" s="23" t="s">
        <v>3121</v>
      </c>
      <c r="U56" s="120"/>
    </row>
    <row r="57" s="42" customFormat="1" customHeight="1" spans="1:21">
      <c r="A57" s="1138"/>
      <c r="B57" s="23"/>
      <c r="C57" s="23"/>
      <c r="D57" s="23">
        <v>20241012</v>
      </c>
      <c r="E57" s="153">
        <v>7.17</v>
      </c>
      <c r="F57" s="23" t="s">
        <v>1419</v>
      </c>
      <c r="G57" s="20" t="s">
        <v>2320</v>
      </c>
      <c r="H57" s="729" t="s">
        <v>3565</v>
      </c>
      <c r="I57" s="21" t="s">
        <v>3566</v>
      </c>
      <c r="J57" s="21" t="s">
        <v>1913</v>
      </c>
      <c r="K57" s="21" t="s">
        <v>1428</v>
      </c>
      <c r="L57" s="138" t="s">
        <v>3513</v>
      </c>
      <c r="M57" s="21" t="s">
        <v>1428</v>
      </c>
      <c r="N57" s="37">
        <f t="shared" si="6"/>
        <v>3.17201713136101</v>
      </c>
      <c r="O57" s="22">
        <v>10.539173973503</v>
      </c>
      <c r="P57" s="37">
        <f t="shared" si="7"/>
        <v>2.60426309228472</v>
      </c>
      <c r="Q57" s="154">
        <v>21.1</v>
      </c>
      <c r="R57" s="22">
        <f t="shared" si="8"/>
        <v>16.3154541971487</v>
      </c>
      <c r="S57" s="38" t="s">
        <v>2854</v>
      </c>
      <c r="T57" s="23" t="s">
        <v>3580</v>
      </c>
      <c r="U57" s="120"/>
    </row>
    <row r="58" s="42" customFormat="1" customHeight="1" spans="1:21">
      <c r="A58" s="1138"/>
      <c r="B58" s="23"/>
      <c r="C58" s="23"/>
      <c r="D58" s="23">
        <v>20241012</v>
      </c>
      <c r="E58" s="153">
        <v>6.9264</v>
      </c>
      <c r="F58" s="23" t="s">
        <v>1420</v>
      </c>
      <c r="G58" s="20" t="s">
        <v>2495</v>
      </c>
      <c r="H58" s="729" t="s">
        <v>3565</v>
      </c>
      <c r="I58" s="21" t="s">
        <v>3566</v>
      </c>
      <c r="J58" s="21" t="s">
        <v>1913</v>
      </c>
      <c r="K58" s="21" t="s">
        <v>1428</v>
      </c>
      <c r="L58" s="138" t="s">
        <v>3513</v>
      </c>
      <c r="M58" s="21" t="s">
        <v>1428</v>
      </c>
      <c r="N58" s="37">
        <f t="shared" si="6"/>
        <v>3.28357629242585</v>
      </c>
      <c r="O58" s="22">
        <v>10.4945653066111</v>
      </c>
      <c r="P58" s="37">
        <v>21.9</v>
      </c>
      <c r="Q58" s="154">
        <v>21.1</v>
      </c>
      <c r="R58" s="22">
        <f t="shared" si="8"/>
        <v>35.6781415990369</v>
      </c>
      <c r="S58" s="38" t="s">
        <v>2854</v>
      </c>
      <c r="T58" s="23" t="s">
        <v>3580</v>
      </c>
      <c r="U58" s="120"/>
    </row>
    <row r="59" s="42" customFormat="1" customHeight="1" spans="1:21">
      <c r="A59" s="1138"/>
      <c r="B59" s="23"/>
      <c r="C59" s="23"/>
      <c r="D59" s="23">
        <v>20240710</v>
      </c>
      <c r="E59" s="153">
        <v>7.17</v>
      </c>
      <c r="F59" s="23" t="s">
        <v>3581</v>
      </c>
      <c r="G59" s="20" t="s">
        <v>2106</v>
      </c>
      <c r="H59" s="729" t="s">
        <v>1933</v>
      </c>
      <c r="I59" s="21" t="s">
        <v>3542</v>
      </c>
      <c r="J59" s="21" t="s">
        <v>1913</v>
      </c>
      <c r="K59" s="21" t="s">
        <v>1428</v>
      </c>
      <c r="L59" s="138" t="s">
        <v>3513</v>
      </c>
      <c r="M59" s="21" t="s">
        <v>1428</v>
      </c>
      <c r="N59" s="37">
        <f t="shared" si="6"/>
        <v>3.17201713136101</v>
      </c>
      <c r="O59" s="22">
        <v>10.5442316730828</v>
      </c>
      <c r="P59" s="37">
        <f t="shared" si="7"/>
        <v>2.60426309228472</v>
      </c>
      <c r="Q59" s="37">
        <v>21.1</v>
      </c>
      <c r="R59" s="22">
        <f t="shared" si="8"/>
        <v>16.3205118967285</v>
      </c>
      <c r="S59" s="38" t="s">
        <v>2854</v>
      </c>
      <c r="T59" s="23" t="s">
        <v>3550</v>
      </c>
      <c r="U59" s="120"/>
    </row>
    <row r="60" s="42" customFormat="1" customHeight="1" spans="1:21">
      <c r="A60" s="1138"/>
      <c r="B60" s="23"/>
      <c r="C60" s="23"/>
      <c r="D60" s="23">
        <v>20240710</v>
      </c>
      <c r="E60" s="153">
        <v>7.17</v>
      </c>
      <c r="F60" s="23" t="s">
        <v>3582</v>
      </c>
      <c r="G60" s="20" t="s">
        <v>2322</v>
      </c>
      <c r="H60" s="729" t="s">
        <v>1933</v>
      </c>
      <c r="I60" s="21" t="s">
        <v>3541</v>
      </c>
      <c r="J60" s="21" t="s">
        <v>1913</v>
      </c>
      <c r="K60" s="21" t="s">
        <v>1428</v>
      </c>
      <c r="L60" s="138" t="s">
        <v>3513</v>
      </c>
      <c r="M60" s="21" t="s">
        <v>1428</v>
      </c>
      <c r="N60" s="37">
        <f t="shared" si="6"/>
        <v>3.17201713136101</v>
      </c>
      <c r="O60" s="22">
        <v>12.4409197699306</v>
      </c>
      <c r="P60" s="37">
        <f t="shared" si="7"/>
        <v>2.60426309228472</v>
      </c>
      <c r="Q60" s="154">
        <v>21.1</v>
      </c>
      <c r="R60" s="22">
        <f t="shared" si="8"/>
        <v>18.2171999935763</v>
      </c>
      <c r="S60" s="38" t="s">
        <v>2854</v>
      </c>
      <c r="T60" s="167" t="s">
        <v>3559</v>
      </c>
      <c r="U60" s="120"/>
    </row>
    <row r="61" s="42" customFormat="1" customHeight="1" spans="1:21">
      <c r="A61" s="1138"/>
      <c r="B61" s="23"/>
      <c r="C61" s="23"/>
      <c r="D61" s="23">
        <v>20240725</v>
      </c>
      <c r="E61" s="153">
        <v>7.17</v>
      </c>
      <c r="F61" s="23" t="s">
        <v>3583</v>
      </c>
      <c r="G61" s="20" t="s">
        <v>2501</v>
      </c>
      <c r="H61" s="729" t="s">
        <v>1933</v>
      </c>
      <c r="I61" s="21" t="s">
        <v>3542</v>
      </c>
      <c r="J61" s="21" t="s">
        <v>1913</v>
      </c>
      <c r="K61" s="21" t="s">
        <v>1428</v>
      </c>
      <c r="L61" s="138" t="s">
        <v>3513</v>
      </c>
      <c r="M61" s="21" t="s">
        <v>1428</v>
      </c>
      <c r="N61" s="37">
        <f t="shared" si="6"/>
        <v>3.17201713136101</v>
      </c>
      <c r="O61" s="22">
        <v>10.7035948735302</v>
      </c>
      <c r="P61" s="37">
        <f t="shared" si="7"/>
        <v>2.60426309228472</v>
      </c>
      <c r="Q61" s="154">
        <v>21.1</v>
      </c>
      <c r="R61" s="22">
        <f t="shared" si="8"/>
        <v>16.4798750971759</v>
      </c>
      <c r="S61" s="38" t="s">
        <v>2854</v>
      </c>
      <c r="T61" s="167" t="s">
        <v>3584</v>
      </c>
      <c r="U61" s="120"/>
    </row>
    <row r="62" s="42" customFormat="1" customHeight="1" spans="1:21">
      <c r="A62" s="1138"/>
      <c r="B62" s="23"/>
      <c r="C62" s="23"/>
      <c r="D62" s="23">
        <v>20240809</v>
      </c>
      <c r="E62" s="153">
        <v>7.17</v>
      </c>
      <c r="F62" s="23" t="s">
        <v>3585</v>
      </c>
      <c r="G62" s="20" t="s">
        <v>2389</v>
      </c>
      <c r="H62" s="729" t="s">
        <v>3586</v>
      </c>
      <c r="I62" s="21" t="s">
        <v>3542</v>
      </c>
      <c r="J62" s="21" t="s">
        <v>1913</v>
      </c>
      <c r="K62" s="21" t="s">
        <v>1428</v>
      </c>
      <c r="L62" s="138" t="s">
        <v>3513</v>
      </c>
      <c r="M62" s="21" t="s">
        <v>1428</v>
      </c>
      <c r="N62" s="37">
        <f t="shared" si="6"/>
        <v>3.17201713136101</v>
      </c>
      <c r="O62" s="22">
        <v>10.0655608171406</v>
      </c>
      <c r="P62" s="37">
        <f t="shared" si="7"/>
        <v>2.60426309228472</v>
      </c>
      <c r="Q62" s="154">
        <v>21.1</v>
      </c>
      <c r="R62" s="22">
        <f t="shared" si="8"/>
        <v>15.8418410407863</v>
      </c>
      <c r="S62" s="38" t="s">
        <v>2854</v>
      </c>
      <c r="T62" s="167" t="s">
        <v>3584</v>
      </c>
      <c r="U62" s="120"/>
    </row>
    <row r="63" s="42" customFormat="1" customHeight="1" spans="1:21">
      <c r="A63" s="1138"/>
      <c r="B63" s="23"/>
      <c r="C63" s="23"/>
      <c r="D63" s="23">
        <v>20240809</v>
      </c>
      <c r="E63" s="153">
        <v>7.17</v>
      </c>
      <c r="F63" s="23" t="s">
        <v>3587</v>
      </c>
      <c r="G63" s="20" t="s">
        <v>1767</v>
      </c>
      <c r="H63" s="729" t="s">
        <v>3588</v>
      </c>
      <c r="I63" s="21" t="s">
        <v>3541</v>
      </c>
      <c r="J63" s="21" t="s">
        <v>1913</v>
      </c>
      <c r="K63" s="21" t="s">
        <v>1428</v>
      </c>
      <c r="L63" s="138" t="s">
        <v>3513</v>
      </c>
      <c r="M63" s="21" t="s">
        <v>1428</v>
      </c>
      <c r="N63" s="37">
        <f t="shared" si="6"/>
        <v>3.17201713136101</v>
      </c>
      <c r="O63" s="22">
        <v>10.4598767305389</v>
      </c>
      <c r="P63" s="37">
        <f t="shared" si="7"/>
        <v>2.60426309228472</v>
      </c>
      <c r="Q63" s="154">
        <v>21.1</v>
      </c>
      <c r="R63" s="22">
        <f t="shared" si="8"/>
        <v>16.2361569541846</v>
      </c>
      <c r="S63" s="38" t="s">
        <v>2854</v>
      </c>
      <c r="T63" s="167" t="s">
        <v>3589</v>
      </c>
      <c r="U63" s="120"/>
    </row>
    <row r="64" s="42" customFormat="1" customHeight="1" spans="1:21">
      <c r="A64" s="1138"/>
      <c r="B64" s="23"/>
      <c r="C64" s="23"/>
      <c r="D64" s="23">
        <v>20240809</v>
      </c>
      <c r="E64" s="153">
        <v>7.17</v>
      </c>
      <c r="F64" s="23" t="s">
        <v>3590</v>
      </c>
      <c r="G64" s="20" t="s">
        <v>2506</v>
      </c>
      <c r="H64" s="729" t="s">
        <v>3588</v>
      </c>
      <c r="I64" s="21" t="s">
        <v>3542</v>
      </c>
      <c r="J64" s="21" t="s">
        <v>1913</v>
      </c>
      <c r="K64" s="21" t="s">
        <v>1428</v>
      </c>
      <c r="L64" s="138" t="s">
        <v>3513</v>
      </c>
      <c r="M64" s="21" t="s">
        <v>1428</v>
      </c>
      <c r="N64" s="37">
        <f t="shared" si="6"/>
        <v>3.17201713136101</v>
      </c>
      <c r="O64" s="22">
        <v>9.69830011363068</v>
      </c>
      <c r="P64" s="37">
        <f t="shared" si="7"/>
        <v>2.60426309228472</v>
      </c>
      <c r="Q64" s="154">
        <v>21.1</v>
      </c>
      <c r="R64" s="22">
        <f t="shared" si="8"/>
        <v>15.4745803372764</v>
      </c>
      <c r="S64" s="38" t="s">
        <v>2854</v>
      </c>
      <c r="T64" s="167" t="s">
        <v>3589</v>
      </c>
      <c r="U64" s="120"/>
    </row>
    <row r="65" s="42" customFormat="1" customHeight="1" spans="1:21">
      <c r="A65" s="1138"/>
      <c r="B65" s="23"/>
      <c r="C65" s="23"/>
      <c r="D65" s="23">
        <v>20240809</v>
      </c>
      <c r="E65" s="153">
        <v>7.17</v>
      </c>
      <c r="F65" s="23" t="s">
        <v>3591</v>
      </c>
      <c r="G65" s="20" t="s">
        <v>2096</v>
      </c>
      <c r="H65" s="729" t="s">
        <v>3592</v>
      </c>
      <c r="I65" s="21" t="s">
        <v>3593</v>
      </c>
      <c r="J65" s="21" t="s">
        <v>1913</v>
      </c>
      <c r="K65" s="21" t="s">
        <v>1428</v>
      </c>
      <c r="L65" s="21" t="s">
        <v>1428</v>
      </c>
      <c r="M65" s="21" t="s">
        <v>1428</v>
      </c>
      <c r="N65" s="37">
        <f t="shared" si="6"/>
        <v>3.17201713136101</v>
      </c>
      <c r="O65" s="22">
        <v>10.6413314521488</v>
      </c>
      <c r="P65" s="37">
        <f t="shared" si="7"/>
        <v>2.60426309228472</v>
      </c>
      <c r="Q65" s="154">
        <v>21.1</v>
      </c>
      <c r="R65" s="22">
        <f t="shared" si="8"/>
        <v>16.4176116757945</v>
      </c>
      <c r="S65" s="38" t="s">
        <v>2854</v>
      </c>
      <c r="T65" s="167" t="s">
        <v>3594</v>
      </c>
      <c r="U65" s="120"/>
    </row>
    <row r="66" s="42" customFormat="1" customHeight="1" spans="1:21">
      <c r="A66" s="1138"/>
      <c r="B66" s="23"/>
      <c r="C66" s="23"/>
      <c r="D66" s="687">
        <v>20240809</v>
      </c>
      <c r="E66" s="153">
        <v>7.17</v>
      </c>
      <c r="F66" s="687" t="s">
        <v>3595</v>
      </c>
      <c r="G66" s="149" t="s">
        <v>2394</v>
      </c>
      <c r="H66" s="1809" t="s">
        <v>3592</v>
      </c>
      <c r="I66" s="153" t="s">
        <v>3596</v>
      </c>
      <c r="J66" s="153" t="s">
        <v>1913</v>
      </c>
      <c r="K66" s="153" t="s">
        <v>1428</v>
      </c>
      <c r="L66" s="1019" t="s">
        <v>3513</v>
      </c>
      <c r="M66" s="153" t="s">
        <v>1428</v>
      </c>
      <c r="N66" s="154">
        <f t="shared" si="6"/>
        <v>3.17201713136101</v>
      </c>
      <c r="O66" s="727">
        <v>10.1187219691923</v>
      </c>
      <c r="P66" s="154">
        <f t="shared" si="7"/>
        <v>2.60426309228472</v>
      </c>
      <c r="Q66" s="154">
        <v>21.1</v>
      </c>
      <c r="R66" s="727">
        <f t="shared" si="8"/>
        <v>15.895002192838</v>
      </c>
      <c r="S66" s="728" t="s">
        <v>2854</v>
      </c>
      <c r="T66" s="156" t="s">
        <v>3584</v>
      </c>
      <c r="U66" s="120"/>
    </row>
    <row r="67" s="42" customFormat="1" customHeight="1" spans="1:21">
      <c r="A67" s="1138"/>
      <c r="B67" s="23"/>
      <c r="C67" s="23"/>
      <c r="D67" s="23">
        <v>20250219</v>
      </c>
      <c r="E67" s="21">
        <v>7.17</v>
      </c>
      <c r="F67" s="23" t="s">
        <v>3597</v>
      </c>
      <c r="G67" s="20" t="s">
        <v>2234</v>
      </c>
      <c r="H67" s="729" t="s">
        <v>3592</v>
      </c>
      <c r="I67" s="21" t="s">
        <v>3542</v>
      </c>
      <c r="J67" s="21" t="s">
        <v>3349</v>
      </c>
      <c r="K67" s="21" t="s">
        <v>1428</v>
      </c>
      <c r="L67" s="138" t="s">
        <v>3513</v>
      </c>
      <c r="M67" s="21" t="s">
        <v>1428</v>
      </c>
      <c r="N67" s="37">
        <f t="shared" si="6"/>
        <v>3.17201713136101</v>
      </c>
      <c r="O67" s="22">
        <v>10.2706976744186</v>
      </c>
      <c r="P67" s="37">
        <f t="shared" si="7"/>
        <v>2.60426309228472</v>
      </c>
      <c r="Q67" s="37">
        <v>21.1</v>
      </c>
      <c r="R67" s="22">
        <f t="shared" si="8"/>
        <v>16.0469778980643</v>
      </c>
      <c r="S67" s="166" t="s">
        <v>3562</v>
      </c>
      <c r="T67" s="167" t="s">
        <v>3584</v>
      </c>
      <c r="U67" s="120"/>
    </row>
    <row r="68" s="42" customFormat="1" customHeight="1" spans="1:21">
      <c r="A68" s="1138"/>
      <c r="B68" s="23"/>
      <c r="C68" s="23"/>
      <c r="D68" s="23">
        <v>20250423</v>
      </c>
      <c r="E68" s="153">
        <v>7.17</v>
      </c>
      <c r="F68" s="23" t="s">
        <v>3598</v>
      </c>
      <c r="G68" s="20" t="s">
        <v>2395</v>
      </c>
      <c r="H68" s="729" t="s">
        <v>3599</v>
      </c>
      <c r="I68" s="21" t="s">
        <v>3542</v>
      </c>
      <c r="J68" s="21" t="s">
        <v>1913</v>
      </c>
      <c r="K68" s="21" t="s">
        <v>1428</v>
      </c>
      <c r="L68" s="138" t="s">
        <v>3513</v>
      </c>
      <c r="M68" s="21" t="s">
        <v>1428</v>
      </c>
      <c r="N68" s="37">
        <f t="shared" si="6"/>
        <v>3.17201713136101</v>
      </c>
      <c r="O68" s="22">
        <v>10.0337345644896</v>
      </c>
      <c r="P68" s="37">
        <f t="shared" si="7"/>
        <v>2.60426309228472</v>
      </c>
      <c r="Q68" s="37">
        <v>21.1</v>
      </c>
      <c r="R68" s="22">
        <f t="shared" si="8"/>
        <v>15.8100147881353</v>
      </c>
      <c r="S68" s="38" t="s">
        <v>2854</v>
      </c>
      <c r="T68" s="167" t="s">
        <v>3600</v>
      </c>
      <c r="U68" s="120"/>
    </row>
    <row r="69" s="42" customFormat="1" customHeight="1" spans="1:21">
      <c r="A69" s="1138"/>
      <c r="B69" s="23"/>
      <c r="C69" s="23"/>
      <c r="D69" s="23">
        <v>20241012</v>
      </c>
      <c r="E69" s="153">
        <v>7.17</v>
      </c>
      <c r="F69" s="23" t="s">
        <v>3601</v>
      </c>
      <c r="G69" s="20" t="s">
        <v>1596</v>
      </c>
      <c r="H69" s="729" t="s">
        <v>3599</v>
      </c>
      <c r="I69" s="21" t="s">
        <v>3542</v>
      </c>
      <c r="J69" s="21" t="s">
        <v>1913</v>
      </c>
      <c r="K69" s="21" t="s">
        <v>1428</v>
      </c>
      <c r="L69" s="138" t="s">
        <v>3513</v>
      </c>
      <c r="M69" s="21" t="s">
        <v>1428</v>
      </c>
      <c r="N69" s="37">
        <f t="shared" si="6"/>
        <v>3.17201713136101</v>
      </c>
      <c r="O69" s="22">
        <v>11.0140546682242</v>
      </c>
      <c r="P69" s="37">
        <f t="shared" si="7"/>
        <v>2.60426309228472</v>
      </c>
      <c r="Q69" s="154">
        <v>21.1</v>
      </c>
      <c r="R69" s="22">
        <f t="shared" si="8"/>
        <v>16.7903348918699</v>
      </c>
      <c r="S69" s="166" t="s">
        <v>1526</v>
      </c>
      <c r="T69" s="167" t="s">
        <v>3602</v>
      </c>
      <c r="U69" s="120"/>
    </row>
    <row r="70" s="42" customFormat="1" customHeight="1" spans="1:21">
      <c r="A70" s="1138"/>
      <c r="B70" s="23"/>
      <c r="C70" s="23"/>
      <c r="D70" s="23">
        <v>202401017</v>
      </c>
      <c r="E70" s="153">
        <v>7.17</v>
      </c>
      <c r="F70" s="23" t="s">
        <v>3603</v>
      </c>
      <c r="G70" s="20" t="s">
        <v>2569</v>
      </c>
      <c r="H70" s="729" t="s">
        <v>3599</v>
      </c>
      <c r="I70" s="21" t="s">
        <v>3553</v>
      </c>
      <c r="J70" s="21" t="s">
        <v>1913</v>
      </c>
      <c r="K70" s="21" t="s">
        <v>1428</v>
      </c>
      <c r="L70" s="138" t="s">
        <v>3513</v>
      </c>
      <c r="M70" s="21" t="s">
        <v>1428</v>
      </c>
      <c r="N70" s="37">
        <f t="shared" si="6"/>
        <v>3.17201713136101</v>
      </c>
      <c r="O70" s="22">
        <v>12.6465756935843</v>
      </c>
      <c r="P70" s="37">
        <f t="shared" si="7"/>
        <v>2.60426309228472</v>
      </c>
      <c r="Q70" s="154">
        <v>21.1</v>
      </c>
      <c r="R70" s="22">
        <f t="shared" si="8"/>
        <v>18.42285591723</v>
      </c>
      <c r="S70" s="166" t="s">
        <v>1526</v>
      </c>
      <c r="T70" s="167" t="s">
        <v>3604</v>
      </c>
      <c r="U70" s="120"/>
    </row>
    <row r="71" s="42" customFormat="1" customHeight="1" spans="1:21">
      <c r="A71" s="1138"/>
      <c r="B71" s="23"/>
      <c r="C71" s="23"/>
      <c r="D71" s="23">
        <v>20241115</v>
      </c>
      <c r="E71" s="153">
        <v>7.17</v>
      </c>
      <c r="F71" s="23" t="s">
        <v>3605</v>
      </c>
      <c r="G71" s="20" t="s">
        <v>2325</v>
      </c>
      <c r="H71" s="729" t="s">
        <v>3599</v>
      </c>
      <c r="I71" s="21" t="s">
        <v>3542</v>
      </c>
      <c r="J71" s="21" t="s">
        <v>1913</v>
      </c>
      <c r="K71" s="21" t="s">
        <v>1428</v>
      </c>
      <c r="L71" s="138" t="s">
        <v>3513</v>
      </c>
      <c r="M71" s="21" t="s">
        <v>1428</v>
      </c>
      <c r="N71" s="37">
        <f t="shared" si="6"/>
        <v>3.17201713136101</v>
      </c>
      <c r="O71" s="22">
        <v>10.3732494648623</v>
      </c>
      <c r="P71" s="37">
        <f t="shared" si="7"/>
        <v>2.60426309228472</v>
      </c>
      <c r="Q71" s="154">
        <v>21.1</v>
      </c>
      <c r="R71" s="22">
        <f t="shared" si="8"/>
        <v>16.149529688508</v>
      </c>
      <c r="S71" s="166" t="s">
        <v>1526</v>
      </c>
      <c r="T71" s="879" t="s">
        <v>3606</v>
      </c>
      <c r="U71" s="120"/>
    </row>
    <row r="72" s="42" customFormat="1" customHeight="1" spans="1:21">
      <c r="A72" s="1138"/>
      <c r="B72" s="23"/>
      <c r="C72" s="23"/>
      <c r="D72" s="687">
        <v>20250812</v>
      </c>
      <c r="E72" s="153">
        <v>7.17</v>
      </c>
      <c r="F72" s="687" t="s">
        <v>3607</v>
      </c>
      <c r="G72" s="20" t="s">
        <v>2406</v>
      </c>
      <c r="H72" s="729" t="s">
        <v>3592</v>
      </c>
      <c r="I72" s="21" t="s">
        <v>3457</v>
      </c>
      <c r="J72" s="21" t="s">
        <v>1913</v>
      </c>
      <c r="K72" s="21"/>
      <c r="L72" s="138" t="s">
        <v>3513</v>
      </c>
      <c r="M72" s="21"/>
      <c r="N72" s="37">
        <f t="shared" si="6"/>
        <v>3.17201713136101</v>
      </c>
      <c r="O72" s="22">
        <v>10.9751990759764</v>
      </c>
      <c r="P72" s="37">
        <f t="shared" si="7"/>
        <v>2.60426309228472</v>
      </c>
      <c r="Q72" s="154">
        <v>21.1</v>
      </c>
      <c r="R72" s="22">
        <f t="shared" si="8"/>
        <v>16.7514792996221</v>
      </c>
      <c r="S72" s="166" t="s">
        <v>1526</v>
      </c>
      <c r="T72" s="879" t="s">
        <v>3608</v>
      </c>
      <c r="U72" s="120"/>
    </row>
    <row r="73" s="42" customFormat="1" customHeight="1" spans="1:21">
      <c r="A73" s="1138"/>
      <c r="B73" s="23"/>
      <c r="C73" s="23"/>
      <c r="D73" s="23">
        <v>20250508</v>
      </c>
      <c r="E73" s="153">
        <v>7.17</v>
      </c>
      <c r="F73" s="23" t="s">
        <v>3609</v>
      </c>
      <c r="G73" s="20" t="s">
        <v>2409</v>
      </c>
      <c r="H73" s="928" t="s">
        <v>3610</v>
      </c>
      <c r="I73" s="21" t="s">
        <v>3457</v>
      </c>
      <c r="J73" s="21" t="s">
        <v>1913</v>
      </c>
      <c r="K73" s="21"/>
      <c r="L73" s="138" t="s">
        <v>3513</v>
      </c>
      <c r="M73" s="21"/>
      <c r="N73" s="37">
        <f t="shared" si="6"/>
        <v>3.17201713136101</v>
      </c>
      <c r="O73" s="22">
        <v>10.9054249040239</v>
      </c>
      <c r="P73" s="37">
        <f t="shared" si="7"/>
        <v>2.60426309228472</v>
      </c>
      <c r="Q73" s="154">
        <v>21.1</v>
      </c>
      <c r="R73" s="22">
        <f t="shared" si="8"/>
        <v>16.6817051276696</v>
      </c>
      <c r="S73" s="166" t="s">
        <v>1526</v>
      </c>
      <c r="T73" s="879" t="s">
        <v>3611</v>
      </c>
      <c r="U73" s="120"/>
    </row>
    <row r="74" s="42" customFormat="1" customHeight="1" spans="1:21">
      <c r="A74" s="1138"/>
      <c r="B74" s="23"/>
      <c r="C74" s="23"/>
      <c r="D74" s="23">
        <v>20250508</v>
      </c>
      <c r="E74" s="153">
        <v>7.17</v>
      </c>
      <c r="F74" s="23" t="s">
        <v>3612</v>
      </c>
      <c r="G74" s="20" t="s">
        <v>3613</v>
      </c>
      <c r="H74" s="928" t="s">
        <v>3610</v>
      </c>
      <c r="I74" s="21" t="s">
        <v>3542</v>
      </c>
      <c r="J74" s="21" t="s">
        <v>1913</v>
      </c>
      <c r="K74" s="21"/>
      <c r="L74" s="138" t="s">
        <v>3513</v>
      </c>
      <c r="M74" s="21"/>
      <c r="N74" s="37">
        <f t="shared" si="6"/>
        <v>3.17201713136101</v>
      </c>
      <c r="O74" s="22">
        <v>10.2929246517027</v>
      </c>
      <c r="P74" s="37">
        <f t="shared" si="7"/>
        <v>2.60426309228472</v>
      </c>
      <c r="Q74" s="154">
        <v>21.1</v>
      </c>
      <c r="R74" s="22">
        <f t="shared" si="8"/>
        <v>16.0692048753484</v>
      </c>
      <c r="S74" s="166" t="s">
        <v>1526</v>
      </c>
      <c r="T74" s="879" t="s">
        <v>3614</v>
      </c>
      <c r="U74" s="120"/>
    </row>
    <row r="75" s="42" customFormat="1" customHeight="1" spans="1:21">
      <c r="A75" s="1138"/>
      <c r="B75" s="23"/>
      <c r="C75" s="23"/>
      <c r="D75" s="23">
        <v>20250508</v>
      </c>
      <c r="E75" s="153">
        <v>7.17</v>
      </c>
      <c r="F75" s="23" t="s">
        <v>3615</v>
      </c>
      <c r="G75" s="20" t="s">
        <v>3616</v>
      </c>
      <c r="H75" s="928" t="s">
        <v>3610</v>
      </c>
      <c r="I75" s="21" t="s">
        <v>3457</v>
      </c>
      <c r="J75" s="21" t="s">
        <v>1913</v>
      </c>
      <c r="K75" s="21"/>
      <c r="L75" s="138" t="s">
        <v>3513</v>
      </c>
      <c r="M75" s="21"/>
      <c r="N75" s="37">
        <f t="shared" si="6"/>
        <v>3.17201713136101</v>
      </c>
      <c r="O75" s="22">
        <v>10.8361031307444</v>
      </c>
      <c r="P75" s="37">
        <f t="shared" si="7"/>
        <v>2.60426309228472</v>
      </c>
      <c r="Q75" s="154">
        <v>21.1</v>
      </c>
      <c r="R75" s="22">
        <f t="shared" si="8"/>
        <v>16.6123833543901</v>
      </c>
      <c r="S75" s="166" t="s">
        <v>1526</v>
      </c>
      <c r="T75" s="879" t="s">
        <v>3611</v>
      </c>
      <c r="U75" s="120"/>
    </row>
    <row r="76" s="42" customFormat="1" customHeight="1" spans="1:21">
      <c r="A76" s="1138"/>
      <c r="B76" s="23"/>
      <c r="C76" s="23"/>
      <c r="D76" s="23">
        <v>20250704</v>
      </c>
      <c r="E76" s="21">
        <v>7.17</v>
      </c>
      <c r="F76" s="1812" t="s">
        <v>3617</v>
      </c>
      <c r="G76" s="20" t="s">
        <v>2329</v>
      </c>
      <c r="H76" s="928" t="s">
        <v>3610</v>
      </c>
      <c r="I76" s="21" t="s">
        <v>3457</v>
      </c>
      <c r="J76" s="21" t="s">
        <v>1913</v>
      </c>
      <c r="K76" s="21" t="s">
        <v>1428</v>
      </c>
      <c r="L76" s="21" t="s">
        <v>1428</v>
      </c>
      <c r="M76" s="21" t="s">
        <v>1428</v>
      </c>
      <c r="N76" s="37">
        <v>12.5</v>
      </c>
      <c r="O76" s="22">
        <v>10.8361031307444</v>
      </c>
      <c r="P76" s="37">
        <f t="shared" si="7"/>
        <v>2.60426309228472</v>
      </c>
      <c r="Q76" s="154">
        <v>21.1</v>
      </c>
      <c r="R76" s="22">
        <f t="shared" si="8"/>
        <v>25.9403662230291</v>
      </c>
      <c r="S76" s="166" t="s">
        <v>1526</v>
      </c>
      <c r="T76" s="879" t="s">
        <v>3618</v>
      </c>
      <c r="U76" s="120"/>
    </row>
    <row r="77" s="42" customFormat="1" customHeight="1" spans="1:21">
      <c r="A77" s="1138"/>
      <c r="B77" s="23"/>
      <c r="C77" s="23"/>
      <c r="D77" s="1188">
        <v>46052</v>
      </c>
      <c r="E77" s="153">
        <v>6.9591</v>
      </c>
      <c r="F77" s="23" t="s">
        <v>3619</v>
      </c>
      <c r="G77" s="20" t="s">
        <v>3620</v>
      </c>
      <c r="H77" s="928" t="s">
        <v>3610</v>
      </c>
      <c r="I77" s="21" t="s">
        <v>3457</v>
      </c>
      <c r="J77" s="21" t="s">
        <v>1913</v>
      </c>
      <c r="K77" s="21" t="s">
        <v>1428</v>
      </c>
      <c r="L77" s="21" t="s">
        <v>1428</v>
      </c>
      <c r="M77" s="21">
        <f>32.2/E77/1.13</f>
        <v>4.09472133195944</v>
      </c>
      <c r="N77" s="37">
        <f t="shared" si="6"/>
        <v>3.26814715004216</v>
      </c>
      <c r="O77" s="22">
        <v>12.21</v>
      </c>
      <c r="P77" s="37">
        <f>Q76/E77/1.13</f>
        <v>2.68318695976224</v>
      </c>
      <c r="Q77" s="37"/>
      <c r="R77" s="22">
        <f t="shared" si="8"/>
        <v>22.2560554417638</v>
      </c>
      <c r="S77" s="38"/>
      <c r="T77" s="879" t="s">
        <v>3618</v>
      </c>
      <c r="U77" s="120"/>
    </row>
    <row r="78" s="42" customFormat="1" customHeight="1" spans="1:21">
      <c r="A78" s="1138"/>
      <c r="B78" s="23"/>
      <c r="C78" s="23"/>
      <c r="D78" s="23">
        <v>20250423</v>
      </c>
      <c r="E78" s="153">
        <v>7.17</v>
      </c>
      <c r="F78" s="23" t="s">
        <v>789</v>
      </c>
      <c r="G78" s="20" t="s">
        <v>3621</v>
      </c>
      <c r="H78" s="729"/>
      <c r="I78" s="21"/>
      <c r="J78" s="21"/>
      <c r="K78" s="21"/>
      <c r="L78" s="21"/>
      <c r="M78" s="21"/>
      <c r="N78" s="37">
        <v>0.433345238736107</v>
      </c>
      <c r="O78" s="22">
        <v>1.04324591624309</v>
      </c>
      <c r="P78" s="37">
        <v>0.2</v>
      </c>
      <c r="Q78" s="37"/>
      <c r="R78" s="22">
        <f t="shared" si="8"/>
        <v>1.6765911549792</v>
      </c>
      <c r="S78" s="38"/>
      <c r="T78" s="23"/>
      <c r="U78" s="120" t="s">
        <v>1406</v>
      </c>
    </row>
    <row r="79" s="42" customFormat="1" customHeight="1" spans="1:21">
      <c r="A79" s="1138"/>
      <c r="B79" s="23"/>
      <c r="C79" s="23"/>
      <c r="D79" s="23"/>
      <c r="E79" s="21"/>
      <c r="F79" s="23" t="s">
        <v>791</v>
      </c>
      <c r="G79" s="20" t="s">
        <v>562</v>
      </c>
      <c r="H79" s="729"/>
      <c r="I79" s="21"/>
      <c r="J79" s="21"/>
      <c r="K79" s="21"/>
      <c r="L79" s="21"/>
      <c r="M79" s="21"/>
      <c r="N79" s="37">
        <v>0.379731602004918</v>
      </c>
      <c r="O79" s="22">
        <v>1.59733816930119</v>
      </c>
      <c r="P79" s="37">
        <v>0.2</v>
      </c>
      <c r="Q79" s="154"/>
      <c r="R79" s="22">
        <f t="shared" si="8"/>
        <v>2.17706977130611</v>
      </c>
      <c r="S79" s="38"/>
      <c r="T79" s="23"/>
      <c r="U79" s="120" t="s">
        <v>1406</v>
      </c>
    </row>
    <row r="80" s="42" customFormat="1" customHeight="1" spans="1:21">
      <c r="A80" s="1138"/>
      <c r="B80" s="23" t="s">
        <v>3622</v>
      </c>
      <c r="C80" s="23"/>
      <c r="D80" s="23">
        <v>20240410</v>
      </c>
      <c r="E80" s="153">
        <v>7.17</v>
      </c>
      <c r="F80" s="23" t="s">
        <v>3623</v>
      </c>
      <c r="G80" s="20" t="s">
        <v>1604</v>
      </c>
      <c r="H80" s="729" t="s">
        <v>1933</v>
      </c>
      <c r="I80" s="21" t="s">
        <v>3542</v>
      </c>
      <c r="J80" s="21" t="s">
        <v>3624</v>
      </c>
      <c r="K80" s="21" t="s">
        <v>1635</v>
      </c>
      <c r="L80" s="138" t="s">
        <v>3513</v>
      </c>
      <c r="M80" s="21">
        <v>3.1</v>
      </c>
      <c r="N80" s="37">
        <v>3.23789947455013</v>
      </c>
      <c r="O80" s="22">
        <v>13.8122039069972</v>
      </c>
      <c r="P80" s="37">
        <f t="shared" ref="P80:P93" si="9">Q80/E80/1.13</f>
        <v>2.94121277199738</v>
      </c>
      <c r="Q80" s="154">
        <v>23.83</v>
      </c>
      <c r="R80" s="22">
        <f t="shared" si="8"/>
        <v>23.0913161535447</v>
      </c>
      <c r="S80" s="38" t="s">
        <v>3625</v>
      </c>
      <c r="T80" s="1124" t="s">
        <v>3626</v>
      </c>
      <c r="U80" s="120"/>
    </row>
    <row r="81" s="42" customFormat="1" customHeight="1" spans="1:21">
      <c r="A81" s="1138"/>
      <c r="B81" s="23"/>
      <c r="C81" s="23"/>
      <c r="D81" s="23">
        <v>20240422</v>
      </c>
      <c r="E81" s="153">
        <v>7.17</v>
      </c>
      <c r="F81" s="23" t="s">
        <v>3627</v>
      </c>
      <c r="G81" s="20" t="s">
        <v>1571</v>
      </c>
      <c r="H81" s="729" t="s">
        <v>1933</v>
      </c>
      <c r="I81" s="21" t="s">
        <v>3542</v>
      </c>
      <c r="J81" s="21" t="s">
        <v>3628</v>
      </c>
      <c r="K81" s="21" t="s">
        <v>1635</v>
      </c>
      <c r="L81" s="138" t="s">
        <v>3513</v>
      </c>
      <c r="M81" s="21">
        <v>3.1</v>
      </c>
      <c r="N81" s="37">
        <v>3.23342723770683</v>
      </c>
      <c r="O81" s="22">
        <v>13.7796758376182</v>
      </c>
      <c r="P81" s="37">
        <f t="shared" si="9"/>
        <v>2.94121277199738</v>
      </c>
      <c r="Q81" s="154">
        <v>23.83</v>
      </c>
      <c r="R81" s="22">
        <f t="shared" si="8"/>
        <v>23.0543158473224</v>
      </c>
      <c r="S81" s="38" t="s">
        <v>3629</v>
      </c>
      <c r="T81" s="1124" t="s">
        <v>3630</v>
      </c>
      <c r="U81" s="120"/>
    </row>
    <row r="82" s="42" customFormat="1" customHeight="1" spans="1:21">
      <c r="A82" s="1138"/>
      <c r="B82" s="1234"/>
      <c r="C82" s="1234"/>
      <c r="D82" s="1234">
        <v>20250401</v>
      </c>
      <c r="E82" s="1813">
        <v>7.17</v>
      </c>
      <c r="F82" s="1234" t="s">
        <v>3631</v>
      </c>
      <c r="G82" s="1232" t="s">
        <v>1685</v>
      </c>
      <c r="H82" s="1814" t="s">
        <v>3632</v>
      </c>
      <c r="I82" s="1233" t="s">
        <v>3457</v>
      </c>
      <c r="J82" s="1233" t="s">
        <v>3413</v>
      </c>
      <c r="K82" s="1233" t="s">
        <v>1635</v>
      </c>
      <c r="L82" s="1815" t="s">
        <v>3513</v>
      </c>
      <c r="M82" s="1233">
        <v>3.1</v>
      </c>
      <c r="N82" s="1239">
        <v>3.23342723770683</v>
      </c>
      <c r="O82" s="1238">
        <v>12.8305287890325</v>
      </c>
      <c r="P82" s="1239">
        <f t="shared" si="9"/>
        <v>2.94121277199738</v>
      </c>
      <c r="Q82" s="37">
        <v>23.83</v>
      </c>
      <c r="R82" s="22">
        <f t="shared" si="8"/>
        <v>22.1051687987367</v>
      </c>
      <c r="S82" s="38" t="s">
        <v>3419</v>
      </c>
      <c r="T82" s="1725" t="s">
        <v>3633</v>
      </c>
      <c r="U82" s="120"/>
    </row>
    <row r="83" s="42" customFormat="1" customHeight="1" spans="1:21">
      <c r="A83" s="1138"/>
      <c r="B83" s="23"/>
      <c r="C83" s="23"/>
      <c r="D83" s="23">
        <v>20250407</v>
      </c>
      <c r="E83" s="153">
        <v>7.17</v>
      </c>
      <c r="F83" s="23" t="s">
        <v>3634</v>
      </c>
      <c r="G83" s="20" t="s">
        <v>1669</v>
      </c>
      <c r="H83" s="928" t="s">
        <v>3635</v>
      </c>
      <c r="I83" s="21" t="s">
        <v>3457</v>
      </c>
      <c r="J83" s="21" t="s">
        <v>3413</v>
      </c>
      <c r="K83" s="21" t="s">
        <v>1635</v>
      </c>
      <c r="L83" s="138" t="s">
        <v>3513</v>
      </c>
      <c r="M83" s="21">
        <v>3.1</v>
      </c>
      <c r="N83" s="37">
        <v>3.23342723770683</v>
      </c>
      <c r="O83" s="22">
        <v>12.9383755534392</v>
      </c>
      <c r="P83" s="37">
        <f t="shared" si="9"/>
        <v>2.94121277199738</v>
      </c>
      <c r="Q83" s="154">
        <v>23.83</v>
      </c>
      <c r="R83" s="22">
        <f t="shared" si="8"/>
        <v>22.2130155631434</v>
      </c>
      <c r="S83" s="38" t="s">
        <v>3419</v>
      </c>
      <c r="T83" s="1725" t="s">
        <v>3636</v>
      </c>
      <c r="U83" s="120"/>
    </row>
    <row r="84" s="42" customFormat="1" customHeight="1" spans="1:21">
      <c r="A84" s="1138"/>
      <c r="B84" s="23"/>
      <c r="C84" s="23"/>
      <c r="D84" s="23">
        <v>20250427</v>
      </c>
      <c r="E84" s="153">
        <v>7.17</v>
      </c>
      <c r="F84" s="1816" t="s">
        <v>3637</v>
      </c>
      <c r="G84" s="20" t="s">
        <v>1671</v>
      </c>
      <c r="H84" s="928" t="s">
        <v>3635</v>
      </c>
      <c r="I84" s="21" t="s">
        <v>3457</v>
      </c>
      <c r="J84" s="21" t="s">
        <v>3413</v>
      </c>
      <c r="K84" s="21" t="s">
        <v>1635</v>
      </c>
      <c r="L84" s="138" t="s">
        <v>3513</v>
      </c>
      <c r="M84" s="21">
        <v>3.1</v>
      </c>
      <c r="N84" s="37">
        <v>3.23342723770683</v>
      </c>
      <c r="O84" s="22">
        <v>12.7357121264789</v>
      </c>
      <c r="P84" s="37">
        <f t="shared" si="9"/>
        <v>2.94121277199738</v>
      </c>
      <c r="Q84" s="154">
        <v>23.83</v>
      </c>
      <c r="R84" s="22">
        <f t="shared" si="8"/>
        <v>22.0103521361831</v>
      </c>
      <c r="S84" s="38" t="s">
        <v>3419</v>
      </c>
      <c r="T84" s="1725" t="s">
        <v>3636</v>
      </c>
      <c r="U84" s="120"/>
    </row>
    <row r="85" s="42" customFormat="1" customHeight="1" spans="1:21">
      <c r="A85" s="1138"/>
      <c r="B85" s="23" t="s">
        <v>3438</v>
      </c>
      <c r="C85" s="23"/>
      <c r="D85" s="23">
        <v>20240116</v>
      </c>
      <c r="E85" s="153">
        <v>7.17</v>
      </c>
      <c r="F85" s="23" t="s">
        <v>3638</v>
      </c>
      <c r="G85" s="20" t="s">
        <v>1604</v>
      </c>
      <c r="H85" s="729" t="s">
        <v>1933</v>
      </c>
      <c r="I85" s="21" t="s">
        <v>3542</v>
      </c>
      <c r="J85" s="21" t="s">
        <v>3624</v>
      </c>
      <c r="K85" s="21" t="s">
        <v>1720</v>
      </c>
      <c r="L85" s="138" t="s">
        <v>3513</v>
      </c>
      <c r="M85" s="21">
        <v>2.3</v>
      </c>
      <c r="N85" s="37">
        <v>2.99041287055177</v>
      </c>
      <c r="O85" s="22">
        <f>55.2/E85/1.13</f>
        <v>6.81304846891547</v>
      </c>
      <c r="P85" s="37">
        <f t="shared" si="9"/>
        <v>0.384906322046747</v>
      </c>
      <c r="Q85" s="154">
        <f>22.36/E85</f>
        <v>3.11854951185495</v>
      </c>
      <c r="R85" s="22">
        <f t="shared" si="8"/>
        <v>12.488367661514</v>
      </c>
      <c r="S85" s="23" t="s">
        <v>3625</v>
      </c>
      <c r="T85" s="23" t="s">
        <v>3639</v>
      </c>
      <c r="U85" s="120" t="s">
        <v>1406</v>
      </c>
    </row>
    <row r="86" s="42" customFormat="1" customHeight="1" spans="1:21">
      <c r="A86" s="1138"/>
      <c r="B86" s="23"/>
      <c r="C86" s="23"/>
      <c r="D86" s="23">
        <v>20240116</v>
      </c>
      <c r="E86" s="153">
        <v>7.17</v>
      </c>
      <c r="F86" s="23" t="s">
        <v>3640</v>
      </c>
      <c r="G86" s="20" t="s">
        <v>1571</v>
      </c>
      <c r="H86" s="729" t="s">
        <v>1933</v>
      </c>
      <c r="I86" s="21" t="s">
        <v>3553</v>
      </c>
      <c r="J86" s="21" t="s">
        <v>3641</v>
      </c>
      <c r="K86" s="21" t="s">
        <v>1635</v>
      </c>
      <c r="L86" s="138" t="s">
        <v>3513</v>
      </c>
      <c r="M86" s="21">
        <v>3.1</v>
      </c>
      <c r="N86" s="37">
        <v>2.99041287055177</v>
      </c>
      <c r="O86" s="22">
        <f>55.2/E86/1.13</f>
        <v>6.81304846891547</v>
      </c>
      <c r="P86" s="37">
        <f t="shared" si="9"/>
        <v>0.384906322046747</v>
      </c>
      <c r="Q86" s="154">
        <f>22.36/E86</f>
        <v>3.11854951185495</v>
      </c>
      <c r="R86" s="22">
        <f t="shared" si="8"/>
        <v>13.288367661514</v>
      </c>
      <c r="S86" s="23" t="s">
        <v>3642</v>
      </c>
      <c r="T86" s="23" t="s">
        <v>3643</v>
      </c>
      <c r="U86" s="120" t="s">
        <v>1406</v>
      </c>
    </row>
    <row r="87" s="42" customFormat="1" customHeight="1" spans="1:21">
      <c r="A87" s="1138"/>
      <c r="B87" s="23"/>
      <c r="C87" s="23"/>
      <c r="D87" s="23">
        <v>20240116</v>
      </c>
      <c r="E87" s="153">
        <v>7.17</v>
      </c>
      <c r="F87" s="23" t="s">
        <v>3440</v>
      </c>
      <c r="G87" s="20" t="s">
        <v>1685</v>
      </c>
      <c r="H87" s="729" t="s">
        <v>1933</v>
      </c>
      <c r="I87" s="21" t="s">
        <v>3644</v>
      </c>
      <c r="J87" s="21" t="s">
        <v>3645</v>
      </c>
      <c r="K87" s="21" t="s">
        <v>1742</v>
      </c>
      <c r="L87" s="138" t="s">
        <v>3513</v>
      </c>
      <c r="M87" s="21">
        <v>6</v>
      </c>
      <c r="N87" s="37">
        <v>2.99041287055177</v>
      </c>
      <c r="O87" s="22">
        <v>16.1166105873952</v>
      </c>
      <c r="P87" s="37">
        <f t="shared" si="9"/>
        <v>2.72521938756619</v>
      </c>
      <c r="Q87" s="154">
        <v>22.08</v>
      </c>
      <c r="R87" s="22">
        <f t="shared" si="8"/>
        <v>27.8322428455132</v>
      </c>
      <c r="S87" s="23" t="s">
        <v>3646</v>
      </c>
      <c r="T87" s="23" t="s">
        <v>3647</v>
      </c>
      <c r="U87" s="120" t="s">
        <v>1406</v>
      </c>
    </row>
    <row r="88" s="42" customFormat="1" customHeight="1" spans="1:21">
      <c r="A88" s="1138"/>
      <c r="B88" s="23"/>
      <c r="C88" s="23"/>
      <c r="D88" s="23">
        <v>20250423</v>
      </c>
      <c r="E88" s="153">
        <v>7.17</v>
      </c>
      <c r="F88" s="23" t="s">
        <v>3648</v>
      </c>
      <c r="G88" s="20" t="s">
        <v>1669</v>
      </c>
      <c r="H88" s="729" t="s">
        <v>3649</v>
      </c>
      <c r="I88" s="21" t="s">
        <v>3553</v>
      </c>
      <c r="J88" s="21" t="s">
        <v>3624</v>
      </c>
      <c r="K88" s="21" t="s">
        <v>1567</v>
      </c>
      <c r="L88" s="138" t="s">
        <v>3513</v>
      </c>
      <c r="M88" s="21">
        <v>8</v>
      </c>
      <c r="N88" s="37">
        <v>2.96964611450627</v>
      </c>
      <c r="O88" s="22">
        <v>9.92399700403621</v>
      </c>
      <c r="P88" s="37">
        <f t="shared" si="9"/>
        <v>2.72521938756619</v>
      </c>
      <c r="Q88" s="37">
        <v>22.08</v>
      </c>
      <c r="R88" s="22">
        <f t="shared" si="8"/>
        <v>23.6188625061087</v>
      </c>
      <c r="S88" s="23" t="s">
        <v>3625</v>
      </c>
      <c r="T88" s="23" t="s">
        <v>3650</v>
      </c>
      <c r="U88" s="120" t="s">
        <v>1406</v>
      </c>
    </row>
    <row r="89" s="42" customFormat="1" customHeight="1" spans="1:21">
      <c r="A89" s="1138"/>
      <c r="B89" s="23"/>
      <c r="C89" s="23"/>
      <c r="D89" s="23">
        <v>20250423</v>
      </c>
      <c r="E89" s="153">
        <v>7.17</v>
      </c>
      <c r="F89" s="23" t="s">
        <v>3651</v>
      </c>
      <c r="G89" s="20" t="s">
        <v>1672</v>
      </c>
      <c r="H89" s="729" t="s">
        <v>3652</v>
      </c>
      <c r="I89" s="21" t="s">
        <v>3553</v>
      </c>
      <c r="J89" s="21" t="s">
        <v>3624</v>
      </c>
      <c r="K89" s="21" t="s">
        <v>1567</v>
      </c>
      <c r="L89" s="138" t="s">
        <v>3513</v>
      </c>
      <c r="M89" s="21">
        <v>8</v>
      </c>
      <c r="N89" s="37">
        <v>2.96964611450627</v>
      </c>
      <c r="O89" s="22">
        <v>9.87058381475226</v>
      </c>
      <c r="P89" s="37">
        <f t="shared" si="9"/>
        <v>2.72521938756619</v>
      </c>
      <c r="Q89" s="37">
        <v>22.08</v>
      </c>
      <c r="R89" s="22">
        <f t="shared" si="8"/>
        <v>23.5654493168247</v>
      </c>
      <c r="S89" s="23" t="s">
        <v>3625</v>
      </c>
      <c r="T89" s="23" t="s">
        <v>3653</v>
      </c>
      <c r="U89" s="120"/>
    </row>
    <row r="90" s="42" customFormat="1" customHeight="1" spans="1:21">
      <c r="A90" s="1138"/>
      <c r="B90" s="23"/>
      <c r="C90" s="23"/>
      <c r="D90" s="23">
        <v>20240819</v>
      </c>
      <c r="E90" s="153">
        <v>7.17</v>
      </c>
      <c r="F90" s="23" t="s">
        <v>3654</v>
      </c>
      <c r="G90" s="20" t="s">
        <v>1998</v>
      </c>
      <c r="H90" s="729" t="s">
        <v>3655</v>
      </c>
      <c r="I90" s="21" t="s">
        <v>3542</v>
      </c>
      <c r="J90" s="21" t="s">
        <v>3656</v>
      </c>
      <c r="K90" s="21" t="s">
        <v>1633</v>
      </c>
      <c r="L90" s="138" t="s">
        <v>3513</v>
      </c>
      <c r="M90" s="22">
        <v>1.63790153033785</v>
      </c>
      <c r="N90" s="37">
        <v>2.99041287055177</v>
      </c>
      <c r="O90" s="22">
        <v>9.23859338536687</v>
      </c>
      <c r="P90" s="37">
        <f t="shared" si="9"/>
        <v>2.72521938756619</v>
      </c>
      <c r="Q90" s="154">
        <v>22.08</v>
      </c>
      <c r="R90" s="22">
        <f t="shared" si="8"/>
        <v>16.5921271738227</v>
      </c>
      <c r="S90" s="23" t="s">
        <v>3657</v>
      </c>
      <c r="T90" s="23" t="s">
        <v>3658</v>
      </c>
      <c r="U90" s="120"/>
    </row>
    <row r="91" s="42" customFormat="1" customHeight="1" spans="1:21">
      <c r="A91" s="1138"/>
      <c r="B91" s="23"/>
      <c r="C91" s="23"/>
      <c r="D91" s="23">
        <v>20240819</v>
      </c>
      <c r="E91" s="153">
        <v>7.17</v>
      </c>
      <c r="F91" s="23" t="s">
        <v>3659</v>
      </c>
      <c r="G91" s="20" t="s">
        <v>1581</v>
      </c>
      <c r="H91" s="729" t="s">
        <v>3660</v>
      </c>
      <c r="I91" s="21" t="s">
        <v>3542</v>
      </c>
      <c r="J91" s="21" t="s">
        <v>3656</v>
      </c>
      <c r="K91" s="21" t="s">
        <v>1633</v>
      </c>
      <c r="L91" s="138" t="s">
        <v>3513</v>
      </c>
      <c r="M91" s="22">
        <v>1.63790153033785</v>
      </c>
      <c r="N91" s="37">
        <v>2.99041287055177</v>
      </c>
      <c r="O91" s="22">
        <v>8.71720085540623</v>
      </c>
      <c r="P91" s="37">
        <f t="shared" si="9"/>
        <v>2.72521938756619</v>
      </c>
      <c r="Q91" s="154">
        <v>22.08</v>
      </c>
      <c r="R91" s="22">
        <f t="shared" si="8"/>
        <v>16.070734643862</v>
      </c>
      <c r="S91" s="23" t="s">
        <v>3657</v>
      </c>
      <c r="T91" s="23" t="s">
        <v>3661</v>
      </c>
      <c r="U91" s="120"/>
    </row>
    <row r="92" s="42" customFormat="1" customHeight="1" spans="1:21">
      <c r="A92" s="1138"/>
      <c r="B92" s="23"/>
      <c r="C92" s="23"/>
      <c r="D92" s="23">
        <v>20240819</v>
      </c>
      <c r="E92" s="153">
        <v>7.17</v>
      </c>
      <c r="F92" s="23" t="s">
        <v>3662</v>
      </c>
      <c r="G92" s="20" t="s">
        <v>2427</v>
      </c>
      <c r="H92" s="729" t="s">
        <v>3652</v>
      </c>
      <c r="I92" s="21" t="s">
        <v>3542</v>
      </c>
      <c r="J92" s="21" t="s">
        <v>3663</v>
      </c>
      <c r="K92" s="21" t="s">
        <v>1635</v>
      </c>
      <c r="L92" s="138" t="s">
        <v>3513</v>
      </c>
      <c r="M92" s="21">
        <v>3.1</v>
      </c>
      <c r="N92" s="37">
        <v>2.99041287055177</v>
      </c>
      <c r="O92" s="22">
        <v>10.1446330948344</v>
      </c>
      <c r="P92" s="37">
        <f t="shared" si="9"/>
        <v>2.72521938756619</v>
      </c>
      <c r="Q92" s="154">
        <v>22.08</v>
      </c>
      <c r="R92" s="22">
        <f t="shared" si="8"/>
        <v>18.9602653529524</v>
      </c>
      <c r="S92" s="750" t="s">
        <v>3664</v>
      </c>
      <c r="T92" s="23" t="s">
        <v>3665</v>
      </c>
      <c r="U92" s="120"/>
    </row>
    <row r="93" s="42" customFormat="1" customHeight="1" spans="1:21">
      <c r="A93" s="1138"/>
      <c r="B93" s="23"/>
      <c r="C93" s="23"/>
      <c r="D93" s="23">
        <v>20240913</v>
      </c>
      <c r="E93" s="153">
        <v>7.17</v>
      </c>
      <c r="F93" s="23" t="s">
        <v>3666</v>
      </c>
      <c r="G93" s="20" t="s">
        <v>2449</v>
      </c>
      <c r="H93" s="729" t="s">
        <v>3652</v>
      </c>
      <c r="I93" s="21" t="s">
        <v>3553</v>
      </c>
      <c r="J93" s="21" t="s">
        <v>3663</v>
      </c>
      <c r="K93" s="21" t="s">
        <v>1635</v>
      </c>
      <c r="L93" s="138" t="s">
        <v>3513</v>
      </c>
      <c r="M93" s="21">
        <v>3.1</v>
      </c>
      <c r="N93" s="37">
        <v>3.00723657165192</v>
      </c>
      <c r="O93" s="22">
        <v>10.1402404391483</v>
      </c>
      <c r="P93" s="37">
        <f t="shared" si="9"/>
        <v>2.72521938756619</v>
      </c>
      <c r="Q93" s="154">
        <v>22.08</v>
      </c>
      <c r="R93" s="22">
        <f t="shared" si="8"/>
        <v>18.9726963983664</v>
      </c>
      <c r="S93" s="750" t="s">
        <v>3664</v>
      </c>
      <c r="T93" s="23" t="s">
        <v>3667</v>
      </c>
      <c r="U93" s="120"/>
    </row>
    <row r="94" s="42" customFormat="1" customHeight="1" spans="1:21">
      <c r="A94" s="1138"/>
      <c r="B94" s="23" t="s">
        <v>3668</v>
      </c>
      <c r="C94" s="23"/>
      <c r="D94" s="23">
        <v>20250703</v>
      </c>
      <c r="E94" s="21">
        <v>7.17</v>
      </c>
      <c r="F94" s="23" t="s">
        <v>3669</v>
      </c>
      <c r="G94" s="20" t="s">
        <v>1671</v>
      </c>
      <c r="H94" s="729" t="s">
        <v>3660</v>
      </c>
      <c r="I94" s="21" t="s">
        <v>3542</v>
      </c>
      <c r="J94" s="21" t="s">
        <v>3670</v>
      </c>
      <c r="K94" s="21" t="s">
        <v>1633</v>
      </c>
      <c r="L94" s="138">
        <v>39</v>
      </c>
      <c r="M94" s="37">
        <f>13.4/E94/1.13</f>
        <v>1.65389220078745</v>
      </c>
      <c r="N94" s="37">
        <f>25.5/E94/1.13</f>
        <v>3.1473321731403</v>
      </c>
      <c r="O94" s="22">
        <f>25.54/E94/1.13</f>
        <v>3.15226916478444</v>
      </c>
      <c r="P94" s="37">
        <f t="shared" ref="P94:P99" si="10">20.1/E94/1.13</f>
        <v>2.48083830118118</v>
      </c>
      <c r="Q94" s="154"/>
      <c r="R94" s="22">
        <f t="shared" si="8"/>
        <v>49.4343318398934</v>
      </c>
      <c r="S94" s="167" t="s">
        <v>3671</v>
      </c>
      <c r="T94" s="167" t="s">
        <v>3672</v>
      </c>
      <c r="U94" s="120"/>
    </row>
    <row r="95" s="42" customFormat="1" customHeight="1" spans="1:21">
      <c r="A95" s="1138"/>
      <c r="B95" s="687"/>
      <c r="C95" s="23"/>
      <c r="D95" s="23">
        <v>20240906</v>
      </c>
      <c r="E95" s="153">
        <v>6.8309</v>
      </c>
      <c r="F95" s="687" t="s">
        <v>3673</v>
      </c>
      <c r="G95" s="20" t="s">
        <v>1672</v>
      </c>
      <c r="H95" s="1809" t="s">
        <v>3674</v>
      </c>
      <c r="I95" s="153" t="s">
        <v>3542</v>
      </c>
      <c r="J95" s="153" t="s">
        <v>1913</v>
      </c>
      <c r="K95" s="153" t="s">
        <v>1567</v>
      </c>
      <c r="L95" s="1019" t="s">
        <v>3513</v>
      </c>
      <c r="M95" s="153">
        <v>7.5</v>
      </c>
      <c r="N95" s="154">
        <f>25.5/E95/1.13</f>
        <v>3.30357224983764</v>
      </c>
      <c r="O95" s="727">
        <v>14.23</v>
      </c>
      <c r="P95" s="154">
        <f t="shared" si="10"/>
        <v>2.60399224398967</v>
      </c>
      <c r="Q95" s="154"/>
      <c r="R95" s="727">
        <f t="shared" si="8"/>
        <v>27.6375644938273</v>
      </c>
      <c r="S95" s="687" t="s">
        <v>2854</v>
      </c>
      <c r="T95" s="167" t="s">
        <v>3675</v>
      </c>
      <c r="U95" s="120"/>
    </row>
    <row r="96" s="42" customFormat="1" customHeight="1" spans="1:21">
      <c r="A96" s="1138"/>
      <c r="B96" s="23"/>
      <c r="C96" s="23"/>
      <c r="D96" s="1188">
        <v>46135</v>
      </c>
      <c r="E96" s="153">
        <v>6.8226</v>
      </c>
      <c r="F96" s="23" t="s">
        <v>1524</v>
      </c>
      <c r="G96" s="20" t="s">
        <v>2314</v>
      </c>
      <c r="H96" s="729" t="s">
        <v>3533</v>
      </c>
      <c r="I96" s="21"/>
      <c r="J96" s="21"/>
      <c r="K96" s="21" t="s">
        <v>1552</v>
      </c>
      <c r="L96" s="138"/>
      <c r="M96" s="21">
        <v>3.1</v>
      </c>
      <c r="N96" s="37">
        <f>25.5/E96/1.13</f>
        <v>3.30759119418051</v>
      </c>
      <c r="O96" s="22">
        <v>11.15</v>
      </c>
      <c r="P96" s="37">
        <f t="shared" si="10"/>
        <v>2.60716011776581</v>
      </c>
      <c r="Q96" s="154"/>
      <c r="R96" s="22">
        <f t="shared" si="8"/>
        <v>20.1647513119463</v>
      </c>
      <c r="S96" s="1817" t="s">
        <v>1526</v>
      </c>
      <c r="T96" s="167"/>
      <c r="U96" s="120"/>
    </row>
    <row r="97" s="42" customFormat="1" customHeight="1" spans="1:21">
      <c r="A97" s="1138"/>
      <c r="B97" s="687"/>
      <c r="C97" s="23"/>
      <c r="D97" s="1188">
        <v>46253</v>
      </c>
      <c r="E97" s="153">
        <v>6.75</v>
      </c>
      <c r="F97" s="687" t="s">
        <v>3676</v>
      </c>
      <c r="G97" s="20"/>
      <c r="H97" s="729"/>
      <c r="I97" s="21"/>
      <c r="J97" s="21"/>
      <c r="K97" s="153" t="s">
        <v>1428</v>
      </c>
      <c r="L97" s="1019" t="s">
        <v>712</v>
      </c>
      <c r="M97" s="1243" t="s">
        <v>1428</v>
      </c>
      <c r="N97" s="727">
        <f>51.02/E97/1.13*1.05</f>
        <v>7.02340216322517</v>
      </c>
      <c r="O97" s="727">
        <v>14.1</v>
      </c>
      <c r="P97" s="154">
        <f t="shared" si="10"/>
        <v>2.63520157325467</v>
      </c>
      <c r="Q97" s="154"/>
      <c r="R97" s="727">
        <f t="shared" si="8"/>
        <v>23.7586037364798</v>
      </c>
      <c r="S97" s="1817"/>
      <c r="T97" s="167"/>
      <c r="U97" s="120"/>
    </row>
    <row r="98" s="42" customFormat="1" customHeight="1" spans="1:21">
      <c r="A98" s="1138"/>
      <c r="B98" s="23"/>
      <c r="C98" s="23"/>
      <c r="D98" s="23">
        <v>20240727</v>
      </c>
      <c r="E98" s="153">
        <v>6.901</v>
      </c>
      <c r="F98" s="23" t="s">
        <v>3677</v>
      </c>
      <c r="G98" s="20" t="s">
        <v>1998</v>
      </c>
      <c r="H98" s="729" t="s">
        <v>3678</v>
      </c>
      <c r="I98" s="21" t="s">
        <v>3542</v>
      </c>
      <c r="J98" s="21" t="s">
        <v>1913</v>
      </c>
      <c r="K98" s="21" t="s">
        <v>1633</v>
      </c>
      <c r="L98" s="138" t="s">
        <v>3513</v>
      </c>
      <c r="M98" s="22">
        <v>1.63790153033785</v>
      </c>
      <c r="N98" s="37">
        <f t="shared" ref="N98:N107" si="11">25.5/E98/1.13</f>
        <v>3.27001473430169</v>
      </c>
      <c r="O98" s="22">
        <v>10.9484008191921</v>
      </c>
      <c r="P98" s="37">
        <f t="shared" si="10"/>
        <v>2.57754102586133</v>
      </c>
      <c r="Q98" s="154"/>
      <c r="R98" s="22">
        <f t="shared" si="8"/>
        <v>18.433858109693</v>
      </c>
      <c r="S98" s="758" t="s">
        <v>1423</v>
      </c>
      <c r="T98" s="167" t="s">
        <v>3679</v>
      </c>
      <c r="U98" s="120"/>
    </row>
    <row r="99" s="42" customFormat="1" customHeight="1" spans="1:21">
      <c r="A99" s="1138"/>
      <c r="B99" s="23"/>
      <c r="C99" s="23"/>
      <c r="D99" s="23">
        <v>20240826</v>
      </c>
      <c r="E99" s="153">
        <v>7.17</v>
      </c>
      <c r="F99" s="23" t="s">
        <v>1424</v>
      </c>
      <c r="G99" s="20" t="s">
        <v>1581</v>
      </c>
      <c r="H99" s="729" t="s">
        <v>3678</v>
      </c>
      <c r="I99" s="21" t="s">
        <v>3542</v>
      </c>
      <c r="J99" s="21" t="s">
        <v>3349</v>
      </c>
      <c r="K99" s="21" t="s">
        <v>1720</v>
      </c>
      <c r="L99" s="138" t="s">
        <v>3513</v>
      </c>
      <c r="M99" s="21">
        <v>2.3</v>
      </c>
      <c r="N99" s="37">
        <f t="shared" si="11"/>
        <v>3.1473321731403</v>
      </c>
      <c r="O99" s="22">
        <v>10.8164022330364</v>
      </c>
      <c r="P99" s="37">
        <f t="shared" si="10"/>
        <v>2.48083830118118</v>
      </c>
      <c r="Q99" s="154"/>
      <c r="R99" s="22">
        <f t="shared" si="8"/>
        <v>18.7445727073579</v>
      </c>
      <c r="S99" s="819" t="s">
        <v>1425</v>
      </c>
      <c r="T99" s="167" t="s">
        <v>3680</v>
      </c>
      <c r="U99" s="120"/>
    </row>
    <row r="100" s="42" customFormat="1" customHeight="1" spans="1:21">
      <c r="A100" s="1138"/>
      <c r="B100" s="23"/>
      <c r="C100" s="23"/>
      <c r="D100" s="23">
        <v>20240826</v>
      </c>
      <c r="E100" s="153">
        <v>7.17</v>
      </c>
      <c r="F100" s="23" t="s">
        <v>3681</v>
      </c>
      <c r="G100" s="20" t="s">
        <v>2427</v>
      </c>
      <c r="H100" s="729" t="s">
        <v>3678</v>
      </c>
      <c r="I100" s="21" t="s">
        <v>3542</v>
      </c>
      <c r="J100" s="21" t="s">
        <v>3670</v>
      </c>
      <c r="K100" s="21" t="s">
        <v>1635</v>
      </c>
      <c r="L100" s="138" t="s">
        <v>3513</v>
      </c>
      <c r="M100" s="21">
        <v>3.1</v>
      </c>
      <c r="N100" s="37">
        <f t="shared" si="11"/>
        <v>3.1473321731403</v>
      </c>
      <c r="O100" s="22">
        <v>11.0141672334545</v>
      </c>
      <c r="P100" s="37">
        <f t="shared" ref="P100:P107" si="12">20.1/E100/1.13</f>
        <v>2.48083830118118</v>
      </c>
      <c r="Q100" s="154"/>
      <c r="R100" s="22">
        <f t="shared" si="8"/>
        <v>19.742337707776</v>
      </c>
      <c r="S100" s="819" t="s">
        <v>2268</v>
      </c>
      <c r="T100" s="167" t="s">
        <v>3680</v>
      </c>
      <c r="U100" s="120"/>
    </row>
    <row r="101" s="42" customFormat="1" customHeight="1" spans="1:21">
      <c r="A101" s="1138"/>
      <c r="B101" s="23"/>
      <c r="C101" s="23"/>
      <c r="D101" s="23">
        <v>20240826</v>
      </c>
      <c r="E101" s="153">
        <v>7.17</v>
      </c>
      <c r="F101" s="23" t="s">
        <v>3682</v>
      </c>
      <c r="G101" s="20" t="s">
        <v>2449</v>
      </c>
      <c r="H101" s="729" t="s">
        <v>3678</v>
      </c>
      <c r="I101" s="21" t="s">
        <v>3542</v>
      </c>
      <c r="J101" s="21" t="s">
        <v>3670</v>
      </c>
      <c r="K101" s="21" t="s">
        <v>1635</v>
      </c>
      <c r="L101" s="138" t="s">
        <v>3513</v>
      </c>
      <c r="M101" s="21">
        <v>3.1</v>
      </c>
      <c r="N101" s="37">
        <f t="shared" si="11"/>
        <v>3.1473321731403</v>
      </c>
      <c r="O101" s="22">
        <v>10.9677807751081</v>
      </c>
      <c r="P101" s="37">
        <f t="shared" si="12"/>
        <v>2.48083830118118</v>
      </c>
      <c r="Q101" s="154"/>
      <c r="R101" s="22">
        <f t="shared" si="8"/>
        <v>19.6959512494296</v>
      </c>
      <c r="S101" s="758" t="s">
        <v>3562</v>
      </c>
      <c r="T101" s="167" t="s">
        <v>3679</v>
      </c>
      <c r="U101" s="120"/>
    </row>
    <row r="102" s="42" customFormat="1" customHeight="1" spans="1:21">
      <c r="A102" s="1138"/>
      <c r="B102" s="23"/>
      <c r="C102" s="23"/>
      <c r="D102" s="23">
        <v>20241127</v>
      </c>
      <c r="E102" s="153">
        <v>7.17</v>
      </c>
      <c r="F102" s="23" t="s">
        <v>3683</v>
      </c>
      <c r="G102" s="20" t="s">
        <v>2546</v>
      </c>
      <c r="H102" s="729" t="s">
        <v>3678</v>
      </c>
      <c r="I102" s="21" t="s">
        <v>3542</v>
      </c>
      <c r="J102" s="21" t="s">
        <v>1913</v>
      </c>
      <c r="K102" s="21" t="s">
        <v>1720</v>
      </c>
      <c r="L102" s="138" t="s">
        <v>3513</v>
      </c>
      <c r="M102" s="21">
        <v>2.3</v>
      </c>
      <c r="N102" s="37">
        <f t="shared" si="11"/>
        <v>3.1473321731403</v>
      </c>
      <c r="O102" s="22">
        <v>11.3524262082388</v>
      </c>
      <c r="P102" s="37">
        <f t="shared" si="12"/>
        <v>2.48083830118118</v>
      </c>
      <c r="Q102" s="154"/>
      <c r="R102" s="22">
        <f t="shared" si="8"/>
        <v>19.2805966825603</v>
      </c>
      <c r="S102" s="758" t="s">
        <v>1526</v>
      </c>
      <c r="T102" s="156" t="s">
        <v>3684</v>
      </c>
      <c r="U102" s="120"/>
    </row>
    <row r="103" s="42" customFormat="1" customHeight="1" spans="1:21">
      <c r="A103" s="1138"/>
      <c r="B103" s="23"/>
      <c r="C103" s="23"/>
      <c r="D103" s="23">
        <v>20250318</v>
      </c>
      <c r="E103" s="153">
        <v>7.17</v>
      </c>
      <c r="F103" s="23" t="s">
        <v>3368</v>
      </c>
      <c r="G103" s="20" t="s">
        <v>2306</v>
      </c>
      <c r="H103" s="729" t="s">
        <v>3685</v>
      </c>
      <c r="I103" s="21" t="s">
        <v>3542</v>
      </c>
      <c r="J103" s="21" t="s">
        <v>1913</v>
      </c>
      <c r="K103" s="21" t="s">
        <v>1635</v>
      </c>
      <c r="L103" s="138" t="s">
        <v>3513</v>
      </c>
      <c r="M103" s="21">
        <v>3.1</v>
      </c>
      <c r="N103" s="37">
        <f t="shared" si="11"/>
        <v>3.1473321731403</v>
      </c>
      <c r="O103" s="22">
        <v>11.6467587882105</v>
      </c>
      <c r="P103" s="37">
        <f t="shared" si="12"/>
        <v>2.48083830118118</v>
      </c>
      <c r="Q103" s="154"/>
      <c r="R103" s="22">
        <f t="shared" ref="R103:R121" si="13">SUM(L103:P103)</f>
        <v>20.374929262532</v>
      </c>
      <c r="S103" s="758" t="s">
        <v>1526</v>
      </c>
      <c r="T103" s="873" t="s">
        <v>3686</v>
      </c>
      <c r="U103" s="120"/>
    </row>
    <row r="104" s="42" customFormat="1" customHeight="1" spans="1:21">
      <c r="A104" s="1138"/>
      <c r="B104" s="23"/>
      <c r="C104" s="23"/>
      <c r="D104" s="23">
        <v>20250402</v>
      </c>
      <c r="E104" s="153">
        <v>7.17</v>
      </c>
      <c r="F104" s="23" t="s">
        <v>3687</v>
      </c>
      <c r="G104" s="20" t="s">
        <v>2431</v>
      </c>
      <c r="H104" s="729" t="s">
        <v>3685</v>
      </c>
      <c r="I104" s="21" t="s">
        <v>3542</v>
      </c>
      <c r="J104" s="21" t="s">
        <v>1913</v>
      </c>
      <c r="K104" s="21" t="s">
        <v>1742</v>
      </c>
      <c r="L104" s="138" t="s">
        <v>3513</v>
      </c>
      <c r="M104" s="21">
        <v>3.1</v>
      </c>
      <c r="N104" s="37">
        <f t="shared" si="11"/>
        <v>3.1473321731403</v>
      </c>
      <c r="O104" s="22">
        <v>11.521541888838</v>
      </c>
      <c r="P104" s="37">
        <f t="shared" si="12"/>
        <v>2.48083830118118</v>
      </c>
      <c r="Q104" s="154"/>
      <c r="R104" s="22">
        <f t="shared" si="13"/>
        <v>20.2497123631595</v>
      </c>
      <c r="S104" s="758" t="s">
        <v>1526</v>
      </c>
      <c r="T104" s="873" t="s">
        <v>3686</v>
      </c>
      <c r="U104" s="120"/>
    </row>
    <row r="105" s="42" customFormat="1" customHeight="1" spans="1:21">
      <c r="A105" s="1138"/>
      <c r="B105" s="23"/>
      <c r="C105" s="23"/>
      <c r="D105" s="23">
        <v>20250402</v>
      </c>
      <c r="E105" s="153">
        <v>7.17</v>
      </c>
      <c r="F105" s="23" t="s">
        <v>3688</v>
      </c>
      <c r="G105" s="20" t="s">
        <v>1667</v>
      </c>
      <c r="H105" s="729" t="s">
        <v>3685</v>
      </c>
      <c r="I105" s="21" t="s">
        <v>3457</v>
      </c>
      <c r="J105" s="21" t="s">
        <v>1913</v>
      </c>
      <c r="K105" s="21" t="s">
        <v>1567</v>
      </c>
      <c r="L105" s="138" t="s">
        <v>3513</v>
      </c>
      <c r="M105" s="21">
        <v>7.9</v>
      </c>
      <c r="N105" s="37">
        <f t="shared" si="11"/>
        <v>3.1473321731403</v>
      </c>
      <c r="O105" s="22">
        <v>10.4342438535434</v>
      </c>
      <c r="P105" s="37">
        <f t="shared" si="12"/>
        <v>2.48083830118118</v>
      </c>
      <c r="Q105" s="154"/>
      <c r="R105" s="22">
        <f t="shared" si="13"/>
        <v>23.9624143278649</v>
      </c>
      <c r="S105" s="758" t="s">
        <v>1526</v>
      </c>
      <c r="T105" s="873" t="s">
        <v>3689</v>
      </c>
      <c r="U105" s="120"/>
    </row>
    <row r="106" s="42" customFormat="1" customHeight="1" spans="1:21">
      <c r="A106" s="1138"/>
      <c r="B106" s="23"/>
      <c r="C106" s="23"/>
      <c r="D106" s="1188">
        <v>46057</v>
      </c>
      <c r="E106" s="153">
        <v>6.9514</v>
      </c>
      <c r="F106" s="23" t="s">
        <v>3690</v>
      </c>
      <c r="G106" s="20" t="s">
        <v>1558</v>
      </c>
      <c r="H106" s="729" t="s">
        <v>3685</v>
      </c>
      <c r="I106" s="21" t="s">
        <v>3457</v>
      </c>
      <c r="J106" s="21" t="s">
        <v>1913</v>
      </c>
      <c r="K106" s="21" t="s">
        <v>1635</v>
      </c>
      <c r="L106" s="138" t="s">
        <v>3513</v>
      </c>
      <c r="M106" s="21">
        <v>3.1</v>
      </c>
      <c r="N106" s="37">
        <f t="shared" si="11"/>
        <v>3.24630602201225</v>
      </c>
      <c r="O106" s="22">
        <v>10.5</v>
      </c>
      <c r="P106" s="37">
        <f t="shared" si="12"/>
        <v>2.55885298205671</v>
      </c>
      <c r="Q106" s="154"/>
      <c r="R106" s="22">
        <f t="shared" si="13"/>
        <v>19.405159004069</v>
      </c>
      <c r="S106" s="758" t="s">
        <v>1526</v>
      </c>
      <c r="T106" s="873" t="s">
        <v>3689</v>
      </c>
      <c r="U106" s="120"/>
    </row>
    <row r="107" s="42" customFormat="1" customHeight="1" spans="1:21">
      <c r="A107" s="1138"/>
      <c r="B107" s="687"/>
      <c r="C107" s="23"/>
      <c r="D107" s="687">
        <v>20250427</v>
      </c>
      <c r="E107" s="153">
        <v>6.75</v>
      </c>
      <c r="F107" s="687" t="s">
        <v>3691</v>
      </c>
      <c r="G107" s="149" t="s">
        <v>2311</v>
      </c>
      <c r="H107" s="1809" t="s">
        <v>3685</v>
      </c>
      <c r="I107" s="153" t="s">
        <v>3542</v>
      </c>
      <c r="J107" s="153" t="s">
        <v>1913</v>
      </c>
      <c r="K107" s="153" t="s">
        <v>1428</v>
      </c>
      <c r="L107" s="1019" t="s">
        <v>712</v>
      </c>
      <c r="M107" s="153" t="s">
        <v>1428</v>
      </c>
      <c r="N107" s="154">
        <f>27.55*1.1/E107/1.13</f>
        <v>3.97312356604392</v>
      </c>
      <c r="O107" s="912">
        <v>14</v>
      </c>
      <c r="P107" s="154">
        <f t="shared" si="12"/>
        <v>2.63520157325467</v>
      </c>
      <c r="Q107" s="154"/>
      <c r="R107" s="727">
        <f t="shared" si="13"/>
        <v>20.6083251392986</v>
      </c>
      <c r="S107" s="1818" t="s">
        <v>1526</v>
      </c>
      <c r="T107" s="902" t="s">
        <v>3692</v>
      </c>
    </row>
    <row r="108" s="42" customFormat="1" customHeight="1" spans="1:21">
      <c r="A108" s="1138"/>
      <c r="B108" s="23" t="s">
        <v>3693</v>
      </c>
      <c r="C108" s="23"/>
      <c r="D108" s="23">
        <v>20240824</v>
      </c>
      <c r="E108" s="153">
        <v>7.17</v>
      </c>
      <c r="F108" s="23" t="s">
        <v>3694</v>
      </c>
      <c r="G108" s="20" t="s">
        <v>1604</v>
      </c>
      <c r="H108" s="729" t="s">
        <v>3695</v>
      </c>
      <c r="I108" s="21" t="s">
        <v>3542</v>
      </c>
      <c r="J108" s="21" t="s">
        <v>3628</v>
      </c>
      <c r="K108" s="21" t="s">
        <v>3696</v>
      </c>
      <c r="L108" s="138" t="s">
        <v>3513</v>
      </c>
      <c r="M108" s="21" t="s">
        <v>3697</v>
      </c>
      <c r="N108" s="37">
        <v>2.8</v>
      </c>
      <c r="O108" s="22">
        <v>10.8945345668073</v>
      </c>
      <c r="P108" s="37">
        <f t="shared" ref="P98:P116" si="14">Q108/E108/1.13</f>
        <v>2.90665383048839</v>
      </c>
      <c r="Q108" s="154">
        <v>23.55</v>
      </c>
      <c r="R108" s="22">
        <f t="shared" si="13"/>
        <v>16.6011883972957</v>
      </c>
      <c r="S108" s="38" t="s">
        <v>3698</v>
      </c>
      <c r="T108" s="23" t="s">
        <v>3699</v>
      </c>
      <c r="U108" s="120"/>
    </row>
    <row r="109" s="42" customFormat="1" customHeight="1" spans="1:21">
      <c r="A109" s="1138"/>
      <c r="B109" s="23"/>
      <c r="C109" s="23"/>
      <c r="D109" s="23"/>
      <c r="E109" s="153">
        <v>7.17</v>
      </c>
      <c r="F109" s="23" t="s">
        <v>3700</v>
      </c>
      <c r="G109" s="20" t="s">
        <v>1669</v>
      </c>
      <c r="H109" s="729" t="s">
        <v>1933</v>
      </c>
      <c r="I109" s="21" t="s">
        <v>3549</v>
      </c>
      <c r="J109" s="21" t="s">
        <v>3413</v>
      </c>
      <c r="K109" s="21" t="s">
        <v>3696</v>
      </c>
      <c r="L109" s="138" t="s">
        <v>3513</v>
      </c>
      <c r="M109" s="21" t="s">
        <v>3697</v>
      </c>
      <c r="N109" s="37">
        <v>2.8</v>
      </c>
      <c r="O109" s="22">
        <v>12.3684015648504</v>
      </c>
      <c r="P109" s="37">
        <f t="shared" si="14"/>
        <v>2.90665383048839</v>
      </c>
      <c r="Q109" s="154">
        <v>23.55</v>
      </c>
      <c r="R109" s="22">
        <f t="shared" si="13"/>
        <v>18.0750553953388</v>
      </c>
      <c r="S109" s="38" t="s">
        <v>3701</v>
      </c>
      <c r="T109" s="167" t="s">
        <v>3702</v>
      </c>
      <c r="U109" s="120" t="s">
        <v>1406</v>
      </c>
    </row>
    <row r="110" s="42" customFormat="1" customHeight="1" spans="1:21">
      <c r="A110" s="1138"/>
      <c r="B110" s="23"/>
      <c r="C110" s="23"/>
      <c r="D110" s="23">
        <v>20241118</v>
      </c>
      <c r="E110" s="153">
        <v>7.17</v>
      </c>
      <c r="F110" s="23" t="s">
        <v>3703</v>
      </c>
      <c r="G110" s="20" t="s">
        <v>1671</v>
      </c>
      <c r="H110" s="729" t="s">
        <v>3540</v>
      </c>
      <c r="I110" s="21" t="s">
        <v>3542</v>
      </c>
      <c r="J110" s="21" t="s">
        <v>3663</v>
      </c>
      <c r="K110" s="21" t="s">
        <v>1720</v>
      </c>
      <c r="L110" s="138" t="s">
        <v>3513</v>
      </c>
      <c r="M110" s="21">
        <v>2.3</v>
      </c>
      <c r="N110" s="37">
        <v>2.8</v>
      </c>
      <c r="O110" s="22">
        <v>9.2184591924644</v>
      </c>
      <c r="P110" s="37">
        <f t="shared" si="14"/>
        <v>2.90665383048839</v>
      </c>
      <c r="Q110" s="154">
        <v>23.55</v>
      </c>
      <c r="R110" s="22">
        <f t="shared" si="13"/>
        <v>17.2251130229528</v>
      </c>
      <c r="S110" s="38" t="s">
        <v>3704</v>
      </c>
      <c r="T110" s="23" t="s">
        <v>3705</v>
      </c>
      <c r="U110" s="120" t="s">
        <v>1406</v>
      </c>
    </row>
    <row r="111" s="42" customFormat="1" customHeight="1" spans="1:21">
      <c r="A111" s="1138"/>
      <c r="B111" s="23"/>
      <c r="C111" s="23"/>
      <c r="D111" s="23">
        <v>20240105</v>
      </c>
      <c r="E111" s="153">
        <v>7.17</v>
      </c>
      <c r="F111" s="23" t="s">
        <v>3706</v>
      </c>
      <c r="G111" s="20" t="s">
        <v>1672</v>
      </c>
      <c r="H111" s="729" t="s">
        <v>1933</v>
      </c>
      <c r="I111" s="21" t="s">
        <v>3553</v>
      </c>
      <c r="J111" s="21" t="s">
        <v>3413</v>
      </c>
      <c r="K111" s="21" t="s">
        <v>1720</v>
      </c>
      <c r="L111" s="138" t="s">
        <v>3513</v>
      </c>
      <c r="M111" s="21">
        <v>2.3</v>
      </c>
      <c r="N111" s="37">
        <v>2.8</v>
      </c>
      <c r="O111" s="22">
        <v>11.2420476017922</v>
      </c>
      <c r="P111" s="37">
        <f t="shared" si="14"/>
        <v>2.90665383048839</v>
      </c>
      <c r="Q111" s="154">
        <v>23.55</v>
      </c>
      <c r="R111" s="22">
        <f t="shared" si="13"/>
        <v>19.2487014322806</v>
      </c>
      <c r="S111" s="38" t="s">
        <v>3701</v>
      </c>
      <c r="T111" s="167" t="s">
        <v>3707</v>
      </c>
      <c r="U111" s="120" t="s">
        <v>1406</v>
      </c>
    </row>
    <row r="112" s="42" customFormat="1" customHeight="1" spans="1:21">
      <c r="A112" s="1138"/>
      <c r="B112" s="23"/>
      <c r="C112" s="23"/>
      <c r="D112" s="23">
        <v>20240105</v>
      </c>
      <c r="E112" s="153">
        <v>7.17</v>
      </c>
      <c r="F112" s="23" t="s">
        <v>3708</v>
      </c>
      <c r="G112" s="20" t="s">
        <v>1998</v>
      </c>
      <c r="H112" s="729" t="s">
        <v>1933</v>
      </c>
      <c r="I112" s="21" t="s">
        <v>3549</v>
      </c>
      <c r="J112" s="21" t="s">
        <v>3413</v>
      </c>
      <c r="K112" s="21" t="s">
        <v>1635</v>
      </c>
      <c r="L112" s="138" t="s">
        <v>3513</v>
      </c>
      <c r="M112" s="21">
        <v>3.1</v>
      </c>
      <c r="N112" s="37">
        <v>2.8</v>
      </c>
      <c r="O112" s="22">
        <v>11.5595808538066</v>
      </c>
      <c r="P112" s="37">
        <f t="shared" si="14"/>
        <v>2.90665383048839</v>
      </c>
      <c r="Q112" s="154">
        <v>23.55</v>
      </c>
      <c r="R112" s="22">
        <f t="shared" si="13"/>
        <v>20.366234684295</v>
      </c>
      <c r="S112" s="38" t="s">
        <v>3701</v>
      </c>
      <c r="T112" s="167" t="s">
        <v>3707</v>
      </c>
      <c r="U112" s="120" t="s">
        <v>1406</v>
      </c>
    </row>
    <row r="113" s="42" customFormat="1" customHeight="1" spans="1:21">
      <c r="A113" s="1138"/>
      <c r="B113" s="23"/>
      <c r="C113" s="23"/>
      <c r="D113" s="23">
        <v>20241127</v>
      </c>
      <c r="E113" s="153">
        <v>7.17</v>
      </c>
      <c r="F113" s="23" t="s">
        <v>3709</v>
      </c>
      <c r="G113" s="20" t="s">
        <v>1581</v>
      </c>
      <c r="H113" s="729" t="s">
        <v>3710</v>
      </c>
      <c r="I113" s="21" t="s">
        <v>3542</v>
      </c>
      <c r="J113" s="21" t="s">
        <v>3711</v>
      </c>
      <c r="K113" s="21" t="s">
        <v>1633</v>
      </c>
      <c r="L113" s="138" t="s">
        <v>3513</v>
      </c>
      <c r="M113" s="22">
        <v>1.63790153033785</v>
      </c>
      <c r="N113" s="37">
        <v>2.8</v>
      </c>
      <c r="O113" s="22">
        <v>8.50047345353143</v>
      </c>
      <c r="P113" s="37">
        <f t="shared" si="14"/>
        <v>2.90665383048839</v>
      </c>
      <c r="Q113" s="154">
        <v>23.55</v>
      </c>
      <c r="R113" s="22">
        <f t="shared" si="13"/>
        <v>15.8450288143577</v>
      </c>
      <c r="S113" s="166" t="s">
        <v>3712</v>
      </c>
      <c r="T113" s="23" t="s">
        <v>3713</v>
      </c>
      <c r="U113" s="120"/>
    </row>
    <row r="114" s="42" customFormat="1" customHeight="1" spans="1:21">
      <c r="A114" s="1138"/>
      <c r="B114" s="23"/>
      <c r="C114" s="23"/>
      <c r="D114" s="23">
        <v>20241127</v>
      </c>
      <c r="E114" s="153">
        <v>7.17</v>
      </c>
      <c r="F114" s="23" t="s">
        <v>3714</v>
      </c>
      <c r="G114" s="20" t="s">
        <v>2427</v>
      </c>
      <c r="H114" s="729" t="s">
        <v>3715</v>
      </c>
      <c r="I114" s="21" t="s">
        <v>3457</v>
      </c>
      <c r="J114" s="21" t="s">
        <v>3711</v>
      </c>
      <c r="K114" s="21" t="s">
        <v>1633</v>
      </c>
      <c r="L114" s="138" t="s">
        <v>3513</v>
      </c>
      <c r="M114" s="22">
        <v>1.63790153033785</v>
      </c>
      <c r="N114" s="37">
        <v>2.8</v>
      </c>
      <c r="O114" s="22">
        <v>8.53517260943481</v>
      </c>
      <c r="P114" s="37">
        <f t="shared" si="14"/>
        <v>2.90665383048839</v>
      </c>
      <c r="Q114" s="154">
        <v>23.55</v>
      </c>
      <c r="R114" s="22">
        <f t="shared" si="13"/>
        <v>15.8797279702611</v>
      </c>
      <c r="S114" s="166" t="s">
        <v>3712</v>
      </c>
      <c r="T114" s="23" t="s">
        <v>3716</v>
      </c>
      <c r="U114" s="120"/>
    </row>
    <row r="115" s="42" customFormat="1" customHeight="1" spans="1:21">
      <c r="A115" s="1138"/>
      <c r="B115" s="23"/>
      <c r="C115" s="23"/>
      <c r="D115" s="23">
        <v>20241127</v>
      </c>
      <c r="E115" s="153">
        <v>7.17</v>
      </c>
      <c r="F115" s="23" t="s">
        <v>3717</v>
      </c>
      <c r="G115" s="20" t="s">
        <v>2449</v>
      </c>
      <c r="H115" s="729" t="s">
        <v>3718</v>
      </c>
      <c r="I115" s="21" t="s">
        <v>3542</v>
      </c>
      <c r="J115" s="730" t="s">
        <v>3624</v>
      </c>
      <c r="K115" s="21" t="s">
        <v>1784</v>
      </c>
      <c r="L115" s="138" t="s">
        <v>3513</v>
      </c>
      <c r="M115" s="21">
        <f>63.76/E115/1.13</f>
        <v>7.86956468076178</v>
      </c>
      <c r="N115" s="37">
        <v>2.8</v>
      </c>
      <c r="O115" s="22">
        <v>9.64653388258442</v>
      </c>
      <c r="P115" s="37">
        <f t="shared" si="14"/>
        <v>2.90665383048839</v>
      </c>
      <c r="Q115" s="154">
        <v>23.55</v>
      </c>
      <c r="R115" s="22">
        <f t="shared" si="13"/>
        <v>23.2227523938346</v>
      </c>
      <c r="S115" s="38" t="s">
        <v>3719</v>
      </c>
      <c r="T115" s="23" t="s">
        <v>3720</v>
      </c>
      <c r="U115" s="120"/>
    </row>
    <row r="116" s="42" customFormat="1" customHeight="1" spans="1:21">
      <c r="A116" s="1138"/>
      <c r="B116" s="23"/>
      <c r="C116" s="23"/>
      <c r="D116" s="23">
        <v>20241127</v>
      </c>
      <c r="E116" s="153">
        <v>7.17</v>
      </c>
      <c r="F116" s="23" t="s">
        <v>3721</v>
      </c>
      <c r="G116" s="20" t="s">
        <v>2546</v>
      </c>
      <c r="H116" s="729" t="s">
        <v>3718</v>
      </c>
      <c r="I116" s="21" t="s">
        <v>3541</v>
      </c>
      <c r="J116" s="730" t="s">
        <v>3624</v>
      </c>
      <c r="K116" s="21" t="s">
        <v>1784</v>
      </c>
      <c r="L116" s="138" t="s">
        <v>3513</v>
      </c>
      <c r="M116" s="21">
        <f>63.76/E116/1.13</f>
        <v>7.86956468076178</v>
      </c>
      <c r="N116" s="37">
        <v>2.8</v>
      </c>
      <c r="O116" s="22">
        <v>10.1360709687338</v>
      </c>
      <c r="P116" s="37">
        <f t="shared" si="14"/>
        <v>2.90665383048839</v>
      </c>
      <c r="Q116" s="154">
        <v>23.55</v>
      </c>
      <c r="R116" s="22">
        <f t="shared" si="13"/>
        <v>23.712289479984</v>
      </c>
      <c r="S116" s="38" t="s">
        <v>3719</v>
      </c>
      <c r="T116" s="23" t="s">
        <v>3722</v>
      </c>
      <c r="U116" s="120"/>
    </row>
    <row r="117" s="42" customFormat="1" customHeight="1" spans="1:21">
      <c r="A117" s="1138"/>
      <c r="B117" s="23"/>
      <c r="C117" s="23"/>
      <c r="D117" s="23">
        <v>20250411</v>
      </c>
      <c r="E117" s="153">
        <v>7.17</v>
      </c>
      <c r="F117" s="23" t="s">
        <v>793</v>
      </c>
      <c r="G117" s="20" t="s">
        <v>794</v>
      </c>
      <c r="H117" s="729"/>
      <c r="I117" s="21"/>
      <c r="J117" s="730"/>
      <c r="K117" s="21"/>
      <c r="L117" s="690"/>
      <c r="M117" s="21"/>
      <c r="N117" s="37">
        <v>0.270760683131123</v>
      </c>
      <c r="O117" s="22">
        <v>0.532757536042271</v>
      </c>
      <c r="P117" s="37">
        <v>0.2</v>
      </c>
      <c r="Q117" s="154"/>
      <c r="R117" s="22">
        <f t="shared" si="13"/>
        <v>1.00351821917339</v>
      </c>
      <c r="S117" s="38"/>
      <c r="T117" s="23" t="s">
        <v>795</v>
      </c>
      <c r="U117" s="120"/>
    </row>
    <row r="118" s="42" customFormat="1" customHeight="1" spans="1:21">
      <c r="A118" s="1138"/>
      <c r="B118" s="23"/>
      <c r="C118" s="23"/>
      <c r="D118" s="23">
        <v>20241202</v>
      </c>
      <c r="E118" s="153">
        <v>7.17</v>
      </c>
      <c r="F118" s="23" t="s">
        <v>796</v>
      </c>
      <c r="G118" s="20" t="s">
        <v>797</v>
      </c>
      <c r="H118" s="729"/>
      <c r="I118" s="21"/>
      <c r="J118" s="730"/>
      <c r="K118" s="21"/>
      <c r="L118" s="690"/>
      <c r="M118" s="21"/>
      <c r="N118" s="37">
        <v>0.286760178043417</v>
      </c>
      <c r="O118" s="22">
        <v>0.556400433046931</v>
      </c>
      <c r="P118" s="37">
        <v>0.2</v>
      </c>
      <c r="Q118" s="154"/>
      <c r="R118" s="22">
        <f t="shared" si="13"/>
        <v>1.04316061109035</v>
      </c>
      <c r="S118" s="38"/>
      <c r="T118" s="23" t="s">
        <v>484</v>
      </c>
      <c r="U118" s="120"/>
    </row>
    <row r="119" s="42" customFormat="1" customHeight="1" spans="1:21">
      <c r="A119" s="1138"/>
      <c r="B119" s="23"/>
      <c r="C119" s="23"/>
      <c r="D119" s="23">
        <v>20250328</v>
      </c>
      <c r="E119" s="153">
        <v>7.17</v>
      </c>
      <c r="F119" s="23" t="s">
        <v>798</v>
      </c>
      <c r="G119" s="20" t="s">
        <v>799</v>
      </c>
      <c r="H119" s="729"/>
      <c r="I119" s="21"/>
      <c r="J119" s="730"/>
      <c r="K119" s="21"/>
      <c r="L119" s="690"/>
      <c r="M119" s="21"/>
      <c r="N119" s="37">
        <v>0.287990908421285</v>
      </c>
      <c r="O119" s="22">
        <v>0.804655995939085</v>
      </c>
      <c r="P119" s="37">
        <v>0.2</v>
      </c>
      <c r="Q119" s="154"/>
      <c r="R119" s="22">
        <f t="shared" si="13"/>
        <v>1.29264690436037</v>
      </c>
      <c r="S119" s="38"/>
      <c r="T119" s="23" t="s">
        <v>800</v>
      </c>
      <c r="U119" s="120"/>
    </row>
    <row r="120" s="42" customFormat="1" customHeight="1" spans="1:21">
      <c r="A120" s="1138"/>
      <c r="B120" s="23"/>
      <c r="C120" s="23"/>
      <c r="D120" s="23">
        <v>20250328</v>
      </c>
      <c r="E120" s="153">
        <v>7.17</v>
      </c>
      <c r="F120" s="23" t="s">
        <v>801</v>
      </c>
      <c r="G120" s="20" t="s">
        <v>802</v>
      </c>
      <c r="H120" s="729"/>
      <c r="I120" s="21"/>
      <c r="J120" s="730"/>
      <c r="K120" s="21"/>
      <c r="L120" s="690"/>
      <c r="M120" s="21"/>
      <c r="N120" s="37">
        <v>0.242700030515716</v>
      </c>
      <c r="O120" s="22">
        <v>0.776966912804478</v>
      </c>
      <c r="P120" s="37">
        <v>0.2</v>
      </c>
      <c r="Q120" s="154"/>
      <c r="R120" s="22">
        <f t="shared" si="13"/>
        <v>1.21966694332019</v>
      </c>
      <c r="S120" s="38"/>
      <c r="T120" s="23" t="s">
        <v>803</v>
      </c>
      <c r="U120" s="120"/>
    </row>
    <row r="121" s="42" customFormat="1" customHeight="1" spans="1:21">
      <c r="A121" s="1138"/>
      <c r="B121" s="23"/>
      <c r="C121" s="23"/>
      <c r="D121" s="23"/>
      <c r="E121" s="153">
        <v>7.17</v>
      </c>
      <c r="F121" s="23" t="s">
        <v>805</v>
      </c>
      <c r="G121" s="20" t="s">
        <v>806</v>
      </c>
      <c r="H121" s="23"/>
      <c r="I121" s="21"/>
      <c r="J121" s="21"/>
      <c r="K121" s="690"/>
      <c r="L121" s="21"/>
      <c r="M121" s="21"/>
      <c r="N121" s="37">
        <v>0.288236363075298</v>
      </c>
      <c r="O121" s="22">
        <v>0.903362911000312</v>
      </c>
      <c r="P121" s="22">
        <v>0.2</v>
      </c>
      <c r="Q121" s="154"/>
      <c r="R121" s="22">
        <f t="shared" si="13"/>
        <v>1.39159927407561</v>
      </c>
      <c r="S121" s="38"/>
      <c r="T121" s="20"/>
      <c r="U121" s="120" t="s">
        <v>1406</v>
      </c>
    </row>
    <row r="122" s="42" customFormat="1" customHeight="1" spans="1:21">
      <c r="A122" s="1138"/>
      <c r="B122" s="959" t="s">
        <v>3519</v>
      </c>
      <c r="C122" s="23"/>
      <c r="D122" s="23">
        <v>20240821</v>
      </c>
      <c r="E122" s="153">
        <v>6.7863</v>
      </c>
      <c r="F122" s="1819" t="s">
        <v>3723</v>
      </c>
      <c r="G122" s="1820" t="s">
        <v>1669</v>
      </c>
      <c r="H122" s="1821" t="s">
        <v>3724</v>
      </c>
      <c r="I122" s="700" t="s">
        <v>3542</v>
      </c>
      <c r="J122" s="700" t="s">
        <v>3624</v>
      </c>
      <c r="K122" s="700" t="s">
        <v>1428</v>
      </c>
      <c r="L122" s="138" t="s">
        <v>3513</v>
      </c>
      <c r="M122" s="700" t="s">
        <v>1428</v>
      </c>
      <c r="N122" s="1822">
        <v>8.26244713552879</v>
      </c>
      <c r="O122" s="1823">
        <v>11.3</v>
      </c>
      <c r="P122" s="1822">
        <f t="shared" ref="P122:P128" si="15">Q122/E122/1.13</f>
        <v>3.18575203373689</v>
      </c>
      <c r="Q122" s="795">
        <v>24.43</v>
      </c>
      <c r="R122" s="1823">
        <f t="shared" ref="R122:R127" si="16">SUM(L122:P122)</f>
        <v>22.7481991692657</v>
      </c>
      <c r="S122" s="1824" t="s">
        <v>3725</v>
      </c>
      <c r="T122" s="23" t="s">
        <v>3726</v>
      </c>
      <c r="U122" s="120"/>
    </row>
    <row r="123" s="42" customFormat="1" customHeight="1" spans="1:21">
      <c r="A123" s="1138"/>
      <c r="B123" s="23"/>
      <c r="C123" s="23"/>
      <c r="D123" s="23">
        <v>20240821</v>
      </c>
      <c r="E123" s="153">
        <v>7.17</v>
      </c>
      <c r="F123" s="23" t="s">
        <v>3376</v>
      </c>
      <c r="G123" s="20" t="s">
        <v>1671</v>
      </c>
      <c r="H123" s="729" t="s">
        <v>3727</v>
      </c>
      <c r="I123" s="21" t="s">
        <v>3553</v>
      </c>
      <c r="J123" s="21" t="s">
        <v>3413</v>
      </c>
      <c r="K123" s="21" t="s">
        <v>1428</v>
      </c>
      <c r="L123" s="138" t="s">
        <v>3513</v>
      </c>
      <c r="M123" s="21" t="s">
        <v>1428</v>
      </c>
      <c r="N123" s="37">
        <v>8.26244713552879</v>
      </c>
      <c r="O123" s="22">
        <v>10.4508335976847</v>
      </c>
      <c r="P123" s="37">
        <f t="shared" si="15"/>
        <v>3.01526764665951</v>
      </c>
      <c r="Q123" s="154">
        <v>24.43</v>
      </c>
      <c r="R123" s="22">
        <f t="shared" si="16"/>
        <v>21.728548379873</v>
      </c>
      <c r="S123" s="756" t="s">
        <v>3378</v>
      </c>
      <c r="T123" s="23" t="s">
        <v>3728</v>
      </c>
      <c r="U123" s="120"/>
    </row>
    <row r="124" s="42" customFormat="1" customHeight="1" spans="1:21">
      <c r="A124" s="1138"/>
      <c r="B124" s="23"/>
      <c r="C124" s="23"/>
      <c r="D124" s="23">
        <v>20241225</v>
      </c>
      <c r="E124" s="153">
        <v>7.17</v>
      </c>
      <c r="F124" s="23" t="s">
        <v>3729</v>
      </c>
      <c r="G124" s="20" t="s">
        <v>1672</v>
      </c>
      <c r="H124" s="729" t="s">
        <v>3727</v>
      </c>
      <c r="I124" s="21" t="s">
        <v>3542</v>
      </c>
      <c r="J124" s="21" t="s">
        <v>3624</v>
      </c>
      <c r="K124" s="21" t="s">
        <v>1428</v>
      </c>
      <c r="L124" s="138" t="s">
        <v>3513</v>
      </c>
      <c r="M124" s="21" t="s">
        <v>1428</v>
      </c>
      <c r="N124" s="37">
        <v>8.09267082452478</v>
      </c>
      <c r="O124" s="22">
        <v>10.3658904759907</v>
      </c>
      <c r="P124" s="37">
        <f t="shared" si="15"/>
        <v>3.01526764665951</v>
      </c>
      <c r="Q124" s="154">
        <v>24.43</v>
      </c>
      <c r="R124" s="22">
        <f t="shared" si="16"/>
        <v>21.473828947175</v>
      </c>
      <c r="S124" s="756" t="s">
        <v>3730</v>
      </c>
      <c r="T124" s="23" t="s">
        <v>3726</v>
      </c>
      <c r="U124" s="120"/>
    </row>
    <row r="125" s="42" customFormat="1" customHeight="1" spans="1:21">
      <c r="A125" s="1138"/>
      <c r="B125" s="23"/>
      <c r="C125" s="23"/>
      <c r="D125" s="23">
        <v>20240821</v>
      </c>
      <c r="E125" s="153">
        <v>7.17</v>
      </c>
      <c r="F125" s="23" t="s">
        <v>3731</v>
      </c>
      <c r="G125" s="20" t="s">
        <v>1998</v>
      </c>
      <c r="H125" s="729" t="s">
        <v>3727</v>
      </c>
      <c r="I125" s="21" t="s">
        <v>3553</v>
      </c>
      <c r="J125" s="21" t="s">
        <v>3413</v>
      </c>
      <c r="K125" s="21" t="s">
        <v>1428</v>
      </c>
      <c r="L125" s="138" t="s">
        <v>3513</v>
      </c>
      <c r="M125" s="21" t="s">
        <v>1428</v>
      </c>
      <c r="N125" s="37">
        <v>8.26244713552879</v>
      </c>
      <c r="O125" s="22">
        <v>10.4056678629068</v>
      </c>
      <c r="P125" s="37">
        <f t="shared" si="15"/>
        <v>3.01526764665951</v>
      </c>
      <c r="Q125" s="154">
        <v>24.43</v>
      </c>
      <c r="R125" s="22">
        <f t="shared" si="16"/>
        <v>21.6833826450951</v>
      </c>
      <c r="S125" s="756" t="s">
        <v>3378</v>
      </c>
      <c r="T125" s="23" t="s">
        <v>3728</v>
      </c>
      <c r="U125" s="120"/>
    </row>
    <row r="126" s="42" customFormat="1" customHeight="1" spans="1:21">
      <c r="A126" s="1138"/>
      <c r="B126" s="23"/>
      <c r="C126" s="23"/>
      <c r="D126" s="23">
        <v>20240821</v>
      </c>
      <c r="E126" s="153">
        <v>7.17</v>
      </c>
      <c r="F126" s="23" t="s">
        <v>3732</v>
      </c>
      <c r="G126" s="20" t="s">
        <v>1581</v>
      </c>
      <c r="H126" s="729" t="s">
        <v>3727</v>
      </c>
      <c r="I126" s="21" t="s">
        <v>3542</v>
      </c>
      <c r="J126" s="21" t="s">
        <v>3624</v>
      </c>
      <c r="K126" s="21" t="s">
        <v>1428</v>
      </c>
      <c r="L126" s="138" t="s">
        <v>3513</v>
      </c>
      <c r="M126" s="21" t="s">
        <v>1428</v>
      </c>
      <c r="N126" s="37">
        <v>8.26244713552879</v>
      </c>
      <c r="O126" s="22">
        <v>10.6473599045472</v>
      </c>
      <c r="P126" s="37">
        <f t="shared" si="15"/>
        <v>3.01526764665951</v>
      </c>
      <c r="Q126" s="154">
        <v>24.43</v>
      </c>
      <c r="R126" s="22">
        <f t="shared" si="16"/>
        <v>21.9250746867355</v>
      </c>
      <c r="S126" s="756" t="s">
        <v>3730</v>
      </c>
      <c r="T126" s="23" t="s">
        <v>3726</v>
      </c>
      <c r="U126" s="120"/>
    </row>
    <row r="127" s="42" customFormat="1" customHeight="1" spans="1:21">
      <c r="A127" s="1138"/>
      <c r="B127" s="23"/>
      <c r="C127" s="23"/>
      <c r="D127" s="1188">
        <v>46051</v>
      </c>
      <c r="E127" s="1825">
        <v>6.9591</v>
      </c>
      <c r="F127" s="687" t="s">
        <v>3732</v>
      </c>
      <c r="G127" s="149" t="s">
        <v>1581</v>
      </c>
      <c r="H127" s="1809" t="s">
        <v>3727</v>
      </c>
      <c r="I127" s="153" t="s">
        <v>3542</v>
      </c>
      <c r="J127" s="153" t="s">
        <v>3624</v>
      </c>
      <c r="K127" s="153" t="s">
        <v>1428</v>
      </c>
      <c r="L127" s="1019" t="s">
        <v>3513</v>
      </c>
      <c r="M127" s="153" t="s">
        <v>1428</v>
      </c>
      <c r="N127" s="154">
        <f>56/E127/1.13</f>
        <v>7.12125449036424</v>
      </c>
      <c r="O127" s="727">
        <v>10.82</v>
      </c>
      <c r="P127" s="154">
        <f t="shared" si="15"/>
        <v>3.1066472714214</v>
      </c>
      <c r="Q127" s="154">
        <v>24.43</v>
      </c>
      <c r="R127" s="727">
        <f t="shared" si="16"/>
        <v>21.0479017617856</v>
      </c>
      <c r="S127" s="1018" t="s">
        <v>3730</v>
      </c>
      <c r="T127" s="687" t="s">
        <v>3733</v>
      </c>
      <c r="U127" s="120"/>
    </row>
    <row r="128" s="42" customFormat="1" customHeight="1" spans="1:21">
      <c r="A128" s="1138"/>
      <c r="B128" s="23"/>
      <c r="C128" s="23"/>
      <c r="D128" s="23">
        <v>20241107</v>
      </c>
      <c r="E128" s="153">
        <v>7.17</v>
      </c>
      <c r="F128" s="23" t="s">
        <v>3734</v>
      </c>
      <c r="G128" s="20" t="s">
        <v>2427</v>
      </c>
      <c r="H128" s="729" t="s">
        <v>3727</v>
      </c>
      <c r="I128" s="21" t="s">
        <v>3553</v>
      </c>
      <c r="J128" s="21" t="s">
        <v>3413</v>
      </c>
      <c r="K128" s="21" t="s">
        <v>1428</v>
      </c>
      <c r="L128" s="138" t="s">
        <v>3513</v>
      </c>
      <c r="M128" s="21" t="s">
        <v>1428</v>
      </c>
      <c r="N128" s="37">
        <v>8.30893066371742</v>
      </c>
      <c r="O128" s="22">
        <v>10.4490501119521</v>
      </c>
      <c r="P128" s="37">
        <f t="shared" si="15"/>
        <v>3.01526764665951</v>
      </c>
      <c r="Q128" s="154">
        <v>24.43</v>
      </c>
      <c r="R128" s="22">
        <f t="shared" ref="R128:R166" si="17">SUM(L128:P128)</f>
        <v>21.773248422329</v>
      </c>
      <c r="S128" s="756" t="s">
        <v>3378</v>
      </c>
      <c r="T128" s="23" t="s">
        <v>3728</v>
      </c>
      <c r="U128" s="120"/>
    </row>
    <row r="129" s="42" customFormat="1" customHeight="1" spans="1:21">
      <c r="A129" s="1138"/>
      <c r="B129" s="23"/>
      <c r="C129" s="23"/>
      <c r="D129" s="23">
        <v>20240821</v>
      </c>
      <c r="E129" s="153">
        <v>7.17</v>
      </c>
      <c r="F129" s="23" t="s">
        <v>807</v>
      </c>
      <c r="G129" s="20" t="s">
        <v>808</v>
      </c>
      <c r="H129" s="729"/>
      <c r="I129" s="21"/>
      <c r="J129" s="21"/>
      <c r="K129" s="21"/>
      <c r="L129" s="21"/>
      <c r="M129" s="21"/>
      <c r="N129" s="37">
        <v>0.367681434252199</v>
      </c>
      <c r="O129" s="22">
        <v>0.895944915251431</v>
      </c>
      <c r="P129" s="37">
        <v>0.2</v>
      </c>
      <c r="Q129" s="154"/>
      <c r="R129" s="22">
        <f t="shared" si="17"/>
        <v>1.46362634950363</v>
      </c>
      <c r="S129" s="756"/>
      <c r="T129" s="23"/>
      <c r="U129" s="120" t="s">
        <v>1406</v>
      </c>
    </row>
    <row r="130" s="42" customFormat="1" customHeight="1" spans="1:21">
      <c r="A130" s="1138"/>
      <c r="B130" s="23"/>
      <c r="C130" s="23"/>
      <c r="D130" s="23"/>
      <c r="E130" s="21"/>
      <c r="F130" s="23" t="s">
        <v>809</v>
      </c>
      <c r="G130" s="20" t="s">
        <v>810</v>
      </c>
      <c r="H130" s="729"/>
      <c r="I130" s="21"/>
      <c r="J130" s="21"/>
      <c r="K130" s="21"/>
      <c r="L130" s="21"/>
      <c r="M130" s="21"/>
      <c r="N130" s="37">
        <v>0.328802425734802</v>
      </c>
      <c r="O130" s="22">
        <v>0.834989092864085</v>
      </c>
      <c r="P130" s="37">
        <v>0.2</v>
      </c>
      <c r="Q130" s="154"/>
      <c r="R130" s="22">
        <f t="shared" si="17"/>
        <v>1.36379151859889</v>
      </c>
      <c r="S130" s="756"/>
      <c r="T130" s="23"/>
      <c r="U130" s="120" t="s">
        <v>1406</v>
      </c>
    </row>
    <row r="131" s="42" customFormat="1" customHeight="1" spans="1:21">
      <c r="A131" s="1138"/>
      <c r="B131" s="23"/>
      <c r="C131" s="23"/>
      <c r="D131" s="23"/>
      <c r="E131" s="21"/>
      <c r="F131" s="23" t="s">
        <v>811</v>
      </c>
      <c r="G131" s="20" t="s">
        <v>811</v>
      </c>
      <c r="H131" s="729"/>
      <c r="I131" s="21"/>
      <c r="J131" s="21"/>
      <c r="K131" s="21"/>
      <c r="L131" s="21"/>
      <c r="M131" s="21"/>
      <c r="N131" s="37">
        <v>0.36596392069452</v>
      </c>
      <c r="O131" s="22">
        <v>0.588791795331538</v>
      </c>
      <c r="P131" s="37">
        <v>0.2</v>
      </c>
      <c r="Q131" s="154"/>
      <c r="R131" s="22">
        <f t="shared" si="17"/>
        <v>1.15475571602606</v>
      </c>
      <c r="S131" s="756"/>
      <c r="T131" s="23"/>
      <c r="U131" s="120" t="s">
        <v>1406</v>
      </c>
    </row>
    <row r="132" s="42" customFormat="1" customHeight="1" spans="1:21">
      <c r="A132" s="1138"/>
      <c r="B132" s="23" t="s">
        <v>3362</v>
      </c>
      <c r="C132" s="23"/>
      <c r="D132" s="23">
        <v>20250416</v>
      </c>
      <c r="E132" s="153">
        <v>7.17</v>
      </c>
      <c r="F132" s="23" t="s">
        <v>3735</v>
      </c>
      <c r="G132" s="20" t="s">
        <v>1685</v>
      </c>
      <c r="H132" s="729" t="s">
        <v>3540</v>
      </c>
      <c r="I132" s="21" t="s">
        <v>3542</v>
      </c>
      <c r="J132" s="21" t="s">
        <v>1913</v>
      </c>
      <c r="K132" s="21" t="s">
        <v>1720</v>
      </c>
      <c r="L132" s="138" t="s">
        <v>3513</v>
      </c>
      <c r="M132" s="21">
        <v>2.3</v>
      </c>
      <c r="N132" s="37">
        <f t="shared" ref="N132:N139" si="18">17/E132/1.13</f>
        <v>2.0982214487602</v>
      </c>
      <c r="O132" s="22">
        <v>9.14952572709344</v>
      </c>
      <c r="P132" s="37">
        <f t="shared" ref="P132:P139" si="19">Q132/E132/1.13</f>
        <v>2.44010812011701</v>
      </c>
      <c r="Q132" s="154">
        <v>19.77</v>
      </c>
      <c r="R132" s="22">
        <f t="shared" si="17"/>
        <v>15.9878552959707</v>
      </c>
      <c r="S132" s="38" t="s">
        <v>2854</v>
      </c>
      <c r="T132" s="20" t="s">
        <v>3736</v>
      </c>
      <c r="U132" s="120" t="s">
        <v>1406</v>
      </c>
    </row>
    <row r="133" s="42" customFormat="1" customHeight="1" spans="1:21">
      <c r="A133" s="1138"/>
      <c r="B133" s="23"/>
      <c r="C133" s="23"/>
      <c r="D133" s="23">
        <v>20250416</v>
      </c>
      <c r="E133" s="153">
        <v>7.17</v>
      </c>
      <c r="F133" s="23" t="s">
        <v>3737</v>
      </c>
      <c r="G133" s="20" t="s">
        <v>1669</v>
      </c>
      <c r="H133" s="729" t="s">
        <v>3540</v>
      </c>
      <c r="I133" s="21" t="s">
        <v>3541</v>
      </c>
      <c r="J133" s="21" t="s">
        <v>1913</v>
      </c>
      <c r="K133" s="21" t="s">
        <v>2955</v>
      </c>
      <c r="L133" s="138" t="s">
        <v>3513</v>
      </c>
      <c r="M133" s="699" t="s">
        <v>3697</v>
      </c>
      <c r="N133" s="37">
        <f t="shared" si="18"/>
        <v>2.0982214487602</v>
      </c>
      <c r="O133" s="22">
        <v>9.34492640362026</v>
      </c>
      <c r="P133" s="37">
        <f t="shared" si="19"/>
        <v>2.44010812011701</v>
      </c>
      <c r="Q133" s="154">
        <v>19.77</v>
      </c>
      <c r="R133" s="22">
        <f t="shared" si="17"/>
        <v>13.8832559724975</v>
      </c>
      <c r="S133" s="38" t="s">
        <v>2854</v>
      </c>
      <c r="T133" s="20" t="s">
        <v>3738</v>
      </c>
      <c r="U133" s="120" t="s">
        <v>1406</v>
      </c>
    </row>
    <row r="134" s="42" customFormat="1" customHeight="1" spans="1:21">
      <c r="A134" s="1138"/>
      <c r="B134" s="23"/>
      <c r="C134" s="23"/>
      <c r="D134" s="23">
        <v>20240109</v>
      </c>
      <c r="E134" s="153">
        <v>7.17</v>
      </c>
      <c r="F134" s="23" t="s">
        <v>3739</v>
      </c>
      <c r="G134" s="20" t="s">
        <v>1671</v>
      </c>
      <c r="H134" s="729" t="s">
        <v>1933</v>
      </c>
      <c r="I134" s="21">
        <f>2.75/6.9514/1.13</f>
        <v>0.350091825903282</v>
      </c>
      <c r="J134" s="21" t="s">
        <v>1913</v>
      </c>
      <c r="K134" s="21" t="s">
        <v>1720</v>
      </c>
      <c r="L134" s="138" t="s">
        <v>3513</v>
      </c>
      <c r="M134" s="21">
        <v>2.3</v>
      </c>
      <c r="N134" s="37">
        <f t="shared" si="18"/>
        <v>2.0982214487602</v>
      </c>
      <c r="O134" s="22">
        <v>11.5229261757405</v>
      </c>
      <c r="P134" s="37">
        <f t="shared" si="19"/>
        <v>2.44010812011701</v>
      </c>
      <c r="Q134" s="154">
        <v>19.77</v>
      </c>
      <c r="R134" s="22">
        <f t="shared" si="17"/>
        <v>18.3612557446177</v>
      </c>
      <c r="S134" s="38" t="s">
        <v>2854</v>
      </c>
      <c r="T134" s="20" t="s">
        <v>3550</v>
      </c>
      <c r="U134" s="120" t="s">
        <v>1406</v>
      </c>
    </row>
    <row r="135" s="42" customFormat="1" customHeight="1" spans="1:21">
      <c r="A135" s="1138"/>
      <c r="B135" s="23"/>
      <c r="C135" s="23"/>
      <c r="D135" s="23">
        <v>20240507</v>
      </c>
      <c r="E135" s="153">
        <v>7.17</v>
      </c>
      <c r="F135" s="23" t="s">
        <v>3740</v>
      </c>
      <c r="G135" s="20" t="s">
        <v>1672</v>
      </c>
      <c r="H135" s="729" t="s">
        <v>1933</v>
      </c>
      <c r="I135" s="21" t="s">
        <v>3542</v>
      </c>
      <c r="J135" s="21" t="s">
        <v>1913</v>
      </c>
      <c r="K135" s="21" t="s">
        <v>1720</v>
      </c>
      <c r="L135" s="138" t="s">
        <v>3513</v>
      </c>
      <c r="M135" s="21">
        <v>2.3</v>
      </c>
      <c r="N135" s="37">
        <f t="shared" si="18"/>
        <v>2.0982214487602</v>
      </c>
      <c r="O135" s="22">
        <v>10.8528375736673</v>
      </c>
      <c r="P135" s="37">
        <f t="shared" si="19"/>
        <v>2.44010812011701</v>
      </c>
      <c r="Q135" s="154">
        <v>19.77</v>
      </c>
      <c r="R135" s="22">
        <f t="shared" si="17"/>
        <v>17.6911671425445</v>
      </c>
      <c r="S135" s="38" t="s">
        <v>2854</v>
      </c>
      <c r="T135" s="20"/>
      <c r="U135" s="120"/>
    </row>
    <row r="136" s="42" customFormat="1" customHeight="1" spans="1:21">
      <c r="A136" s="1138"/>
      <c r="B136" s="23"/>
      <c r="C136" s="23"/>
      <c r="D136" s="23">
        <v>20241118</v>
      </c>
      <c r="E136" s="153">
        <v>7.17</v>
      </c>
      <c r="F136" s="23" t="s">
        <v>3741</v>
      </c>
      <c r="G136" s="20" t="s">
        <v>1998</v>
      </c>
      <c r="H136" s="729" t="s">
        <v>3540</v>
      </c>
      <c r="I136" s="21" t="s">
        <v>3541</v>
      </c>
      <c r="J136" s="21" t="s">
        <v>1913</v>
      </c>
      <c r="K136" s="21" t="s">
        <v>2955</v>
      </c>
      <c r="L136" s="138" t="s">
        <v>3513</v>
      </c>
      <c r="M136" s="699" t="s">
        <v>3697</v>
      </c>
      <c r="N136" s="37">
        <f t="shared" si="18"/>
        <v>2.0982214487602</v>
      </c>
      <c r="O136" s="22">
        <v>9.08164367031009</v>
      </c>
      <c r="P136" s="37">
        <f t="shared" si="19"/>
        <v>2.44010812011701</v>
      </c>
      <c r="Q136" s="154">
        <v>19.77</v>
      </c>
      <c r="R136" s="22">
        <f t="shared" si="17"/>
        <v>13.6199732391873</v>
      </c>
      <c r="S136" s="38" t="s">
        <v>2854</v>
      </c>
      <c r="T136" s="20" t="s">
        <v>3738</v>
      </c>
      <c r="U136" s="120"/>
    </row>
    <row r="137" s="42" customFormat="1" customHeight="1" spans="1:21">
      <c r="A137" s="1138"/>
      <c r="B137" s="23"/>
      <c r="C137" s="23"/>
      <c r="D137" s="23">
        <v>20250528</v>
      </c>
      <c r="E137" s="153">
        <v>7.17</v>
      </c>
      <c r="F137" s="23" t="s">
        <v>3742</v>
      </c>
      <c r="G137" s="20" t="s">
        <v>1581</v>
      </c>
      <c r="H137" s="729" t="s">
        <v>3743</v>
      </c>
      <c r="I137" s="21" t="s">
        <v>3541</v>
      </c>
      <c r="J137" s="21" t="s">
        <v>1913</v>
      </c>
      <c r="K137" s="21" t="s">
        <v>1633</v>
      </c>
      <c r="L137" s="138" t="s">
        <v>3513</v>
      </c>
      <c r="M137" s="22">
        <v>1.63790153033785</v>
      </c>
      <c r="N137" s="37">
        <f t="shared" si="18"/>
        <v>2.0982214487602</v>
      </c>
      <c r="O137" s="22">
        <v>8.53460042045904</v>
      </c>
      <c r="P137" s="37">
        <f t="shared" si="19"/>
        <v>2.44010812011701</v>
      </c>
      <c r="Q137" s="154">
        <v>19.77</v>
      </c>
      <c r="R137" s="22">
        <f t="shared" si="17"/>
        <v>14.7108315196741</v>
      </c>
      <c r="S137" s="38" t="s">
        <v>2854</v>
      </c>
      <c r="T137" s="20" t="s">
        <v>3744</v>
      </c>
      <c r="U137" s="120"/>
    </row>
    <row r="138" s="42" customFormat="1" customHeight="1" spans="1:21">
      <c r="A138" s="1138"/>
      <c r="B138" s="23"/>
      <c r="C138" s="23"/>
      <c r="D138" s="23">
        <v>20250416</v>
      </c>
      <c r="E138" s="153">
        <v>7.17</v>
      </c>
      <c r="F138" s="23" t="s">
        <v>3364</v>
      </c>
      <c r="G138" s="20" t="s">
        <v>2427</v>
      </c>
      <c r="H138" s="729" t="s">
        <v>3745</v>
      </c>
      <c r="I138" s="21" t="s">
        <v>3542</v>
      </c>
      <c r="J138" s="21" t="s">
        <v>1913</v>
      </c>
      <c r="K138" s="21" t="s">
        <v>1635</v>
      </c>
      <c r="L138" s="138" t="s">
        <v>3513</v>
      </c>
      <c r="M138" s="21">
        <v>3.1</v>
      </c>
      <c r="N138" s="37">
        <f t="shared" si="18"/>
        <v>2.0982214487602</v>
      </c>
      <c r="O138" s="22">
        <v>10.1594520045542</v>
      </c>
      <c r="P138" s="37">
        <f t="shared" si="19"/>
        <v>2.44010812011701</v>
      </c>
      <c r="Q138" s="154">
        <v>19.77</v>
      </c>
      <c r="R138" s="22">
        <f t="shared" si="17"/>
        <v>17.7977815734314</v>
      </c>
      <c r="S138" s="38" t="s">
        <v>2854</v>
      </c>
      <c r="T138" s="759" t="s">
        <v>3584</v>
      </c>
      <c r="U138" s="120"/>
    </row>
    <row r="139" s="42" customFormat="1" customHeight="1" spans="1:21">
      <c r="A139" s="1138"/>
      <c r="B139" s="23"/>
      <c r="C139" s="23"/>
      <c r="D139" s="23">
        <v>20241223</v>
      </c>
      <c r="E139" s="153">
        <v>7.17</v>
      </c>
      <c r="F139" s="23" t="s">
        <v>3746</v>
      </c>
      <c r="G139" s="20" t="s">
        <v>2449</v>
      </c>
      <c r="H139" s="729" t="s">
        <v>3540</v>
      </c>
      <c r="I139" s="21" t="s">
        <v>3541</v>
      </c>
      <c r="J139" s="21" t="s">
        <v>1913</v>
      </c>
      <c r="K139" s="21" t="s">
        <v>2769</v>
      </c>
      <c r="L139" s="138" t="s">
        <v>3513</v>
      </c>
      <c r="M139" s="22">
        <v>2.22461252627976</v>
      </c>
      <c r="N139" s="37">
        <f t="shared" si="18"/>
        <v>2.0982214487602</v>
      </c>
      <c r="O139" s="22">
        <v>8.8416324620289</v>
      </c>
      <c r="P139" s="37">
        <f t="shared" si="19"/>
        <v>2.44010812011701</v>
      </c>
      <c r="Q139" s="154">
        <v>19.77</v>
      </c>
      <c r="R139" s="22">
        <f t="shared" si="17"/>
        <v>15.6045745571859</v>
      </c>
      <c r="S139" s="38" t="s">
        <v>2854</v>
      </c>
      <c r="T139" s="759" t="s">
        <v>3747</v>
      </c>
      <c r="U139" s="120"/>
    </row>
    <row r="140" s="42" customFormat="1" customHeight="1" spans="1:21">
      <c r="A140" s="1138"/>
      <c r="B140" s="23"/>
      <c r="C140" s="23"/>
      <c r="D140" s="23">
        <v>20250425</v>
      </c>
      <c r="E140" s="153">
        <v>7.17</v>
      </c>
      <c r="F140" s="23" t="s">
        <v>813</v>
      </c>
      <c r="G140" s="23" t="s">
        <v>814</v>
      </c>
      <c r="H140" s="729"/>
      <c r="I140" s="21"/>
      <c r="J140" s="21"/>
      <c r="K140" s="21"/>
      <c r="L140" s="700"/>
      <c r="M140" s="21"/>
      <c r="N140" s="37">
        <v>0.527825865888648</v>
      </c>
      <c r="O140" s="22">
        <v>0.786000442248056</v>
      </c>
      <c r="P140" s="37">
        <v>0.2</v>
      </c>
      <c r="Q140" s="37"/>
      <c r="R140" s="22">
        <f t="shared" si="17"/>
        <v>1.5138263081367</v>
      </c>
      <c r="S140" s="38"/>
      <c r="T140" s="759" t="s">
        <v>435</v>
      </c>
      <c r="U140" s="120"/>
    </row>
    <row r="141" s="42" customFormat="1" customHeight="1" spans="1:21">
      <c r="A141" s="1138"/>
      <c r="B141" s="23"/>
      <c r="C141" s="23"/>
      <c r="D141" s="23">
        <v>20250425</v>
      </c>
      <c r="E141" s="153">
        <v>7.17</v>
      </c>
      <c r="F141" s="23" t="s">
        <v>815</v>
      </c>
      <c r="G141" s="23" t="s">
        <v>816</v>
      </c>
      <c r="H141" s="729"/>
      <c r="I141" s="21"/>
      <c r="J141" s="21"/>
      <c r="K141" s="21"/>
      <c r="L141" s="700"/>
      <c r="M141" s="21"/>
      <c r="N141" s="37">
        <v>0.527825865888648</v>
      </c>
      <c r="O141" s="22">
        <v>0.564303805671473</v>
      </c>
      <c r="P141" s="37">
        <v>0.2</v>
      </c>
      <c r="Q141" s="37"/>
      <c r="R141" s="22">
        <f t="shared" si="17"/>
        <v>1.29212967156012</v>
      </c>
      <c r="S141" s="38"/>
      <c r="T141" s="759" t="s">
        <v>435</v>
      </c>
      <c r="U141" s="120"/>
    </row>
    <row r="142" s="42" customFormat="1" customHeight="1" spans="1:21">
      <c r="A142" s="1138"/>
      <c r="B142" s="23" t="s">
        <v>3748</v>
      </c>
      <c r="C142" s="23"/>
      <c r="D142" s="23">
        <v>20241115</v>
      </c>
      <c r="E142" s="153">
        <v>7.17</v>
      </c>
      <c r="F142" s="23" t="s">
        <v>3749</v>
      </c>
      <c r="G142" s="20" t="s">
        <v>1629</v>
      </c>
      <c r="H142" s="729" t="s">
        <v>1933</v>
      </c>
      <c r="I142" s="21" t="s">
        <v>3542</v>
      </c>
      <c r="J142" s="21" t="s">
        <v>1913</v>
      </c>
      <c r="K142" s="21" t="s">
        <v>3750</v>
      </c>
      <c r="L142" s="138" t="s">
        <v>3513</v>
      </c>
      <c r="M142" s="22">
        <v>1.8</v>
      </c>
      <c r="N142" s="37">
        <v>2.66539510768194</v>
      </c>
      <c r="O142" s="22">
        <v>11.3356945498374</v>
      </c>
      <c r="P142" s="37">
        <f>Q142/E142/1.13</f>
        <v>2.67584947112477</v>
      </c>
      <c r="Q142" s="154">
        <v>21.68</v>
      </c>
      <c r="R142" s="22">
        <f t="shared" si="17"/>
        <v>18.4769391286441</v>
      </c>
      <c r="S142" s="38" t="s">
        <v>2854</v>
      </c>
      <c r="T142" s="759" t="s">
        <v>3751</v>
      </c>
      <c r="U142" s="120" t="s">
        <v>1406</v>
      </c>
    </row>
    <row r="143" s="42" customFormat="1" customHeight="1" spans="1:21">
      <c r="A143" s="1138"/>
      <c r="B143" s="23"/>
      <c r="C143" s="23"/>
      <c r="D143" s="23">
        <v>20241115</v>
      </c>
      <c r="E143" s="153">
        <v>7.17</v>
      </c>
      <c r="F143" s="23" t="s">
        <v>3752</v>
      </c>
      <c r="G143" s="20" t="s">
        <v>1645</v>
      </c>
      <c r="H143" s="729" t="s">
        <v>1933</v>
      </c>
      <c r="I143" s="21" t="s">
        <v>3553</v>
      </c>
      <c r="J143" s="21" t="s">
        <v>1913</v>
      </c>
      <c r="K143" s="21" t="s">
        <v>3750</v>
      </c>
      <c r="L143" s="138" t="s">
        <v>3513</v>
      </c>
      <c r="M143" s="22">
        <v>1.8</v>
      </c>
      <c r="N143" s="37">
        <v>2.66539510768194</v>
      </c>
      <c r="O143" s="22">
        <v>11.3377649451266</v>
      </c>
      <c r="P143" s="37">
        <f>Q143/E143/1.13</f>
        <v>2.67584947112477</v>
      </c>
      <c r="Q143" s="154">
        <v>21.68</v>
      </c>
      <c r="R143" s="22">
        <f t="shared" si="17"/>
        <v>18.4790095239333</v>
      </c>
      <c r="S143" s="38" t="s">
        <v>2854</v>
      </c>
      <c r="T143" s="759" t="s">
        <v>3751</v>
      </c>
      <c r="U143" s="120" t="s">
        <v>1406</v>
      </c>
    </row>
    <row r="144" s="42" customFormat="1" customHeight="1" spans="1:21">
      <c r="A144" s="1138"/>
      <c r="B144" s="23"/>
      <c r="C144" s="23"/>
      <c r="D144" s="23">
        <v>20241022</v>
      </c>
      <c r="E144" s="153">
        <v>7.17</v>
      </c>
      <c r="F144" s="23" t="s">
        <v>818</v>
      </c>
      <c r="G144" s="20" t="s">
        <v>819</v>
      </c>
      <c r="H144" s="729"/>
      <c r="I144" s="21"/>
      <c r="J144" s="21"/>
      <c r="K144" s="21"/>
      <c r="L144" s="21"/>
      <c r="M144" s="21"/>
      <c r="N144" s="37">
        <v>0.347511779357117</v>
      </c>
      <c r="O144" s="22">
        <v>2.77753456261374</v>
      </c>
      <c r="P144" s="37">
        <v>0.4</v>
      </c>
      <c r="Q144" s="154"/>
      <c r="R144" s="22">
        <f t="shared" si="17"/>
        <v>3.52504634197086</v>
      </c>
      <c r="S144" s="38"/>
      <c r="T144" s="20"/>
      <c r="U144" s="120" t="s">
        <v>1406</v>
      </c>
    </row>
    <row r="145" s="42" customFormat="1" customHeight="1" spans="1:21">
      <c r="A145" s="1138"/>
      <c r="B145" s="729" t="s">
        <v>3454</v>
      </c>
      <c r="C145" s="729"/>
      <c r="D145" s="729">
        <v>20241118</v>
      </c>
      <c r="E145" s="153">
        <v>7.17</v>
      </c>
      <c r="F145" s="729" t="s">
        <v>3753</v>
      </c>
      <c r="G145" s="729" t="s">
        <v>1685</v>
      </c>
      <c r="H145" s="729" t="s">
        <v>3754</v>
      </c>
      <c r="I145" s="21" t="s">
        <v>3542</v>
      </c>
      <c r="J145" s="689" t="s">
        <v>1428</v>
      </c>
      <c r="K145" s="689" t="s">
        <v>1635</v>
      </c>
      <c r="L145" s="138" t="s">
        <v>3513</v>
      </c>
      <c r="M145" s="21">
        <v>3.1</v>
      </c>
      <c r="N145" s="37">
        <f t="shared" ref="N145:N151" si="20">22.67/E145/1.13</f>
        <v>2.79804001431728</v>
      </c>
      <c r="O145" s="22">
        <v>10.8091884088365</v>
      </c>
      <c r="P145" s="37">
        <f t="shared" ref="P145:P151" si="21">Q145/E145/1.13</f>
        <v>2.54378494464398</v>
      </c>
      <c r="Q145" s="154">
        <v>20.61</v>
      </c>
      <c r="R145" s="22">
        <f t="shared" si="17"/>
        <v>19.2510133677978</v>
      </c>
      <c r="S145" s="1722" t="s">
        <v>1526</v>
      </c>
      <c r="T145" s="824" t="s">
        <v>3755</v>
      </c>
      <c r="U145" s="120"/>
    </row>
    <row r="146" s="42" customFormat="1" customHeight="1" spans="1:21">
      <c r="A146" s="1138"/>
      <c r="B146" s="729"/>
      <c r="C146" s="729"/>
      <c r="D146" s="1809">
        <v>20250416</v>
      </c>
      <c r="E146" s="153">
        <v>7.17</v>
      </c>
      <c r="F146" s="729" t="s">
        <v>3756</v>
      </c>
      <c r="G146" s="729" t="s">
        <v>1669</v>
      </c>
      <c r="H146" s="729" t="s">
        <v>3757</v>
      </c>
      <c r="I146" s="21" t="s">
        <v>3758</v>
      </c>
      <c r="J146" s="689" t="s">
        <v>1428</v>
      </c>
      <c r="K146" s="689" t="s">
        <v>1633</v>
      </c>
      <c r="L146" s="689" t="s">
        <v>1428</v>
      </c>
      <c r="M146" s="22">
        <v>1.63790153033785</v>
      </c>
      <c r="N146" s="37">
        <f t="shared" si="20"/>
        <v>2.79804001431728</v>
      </c>
      <c r="O146" s="22">
        <v>8.88950109488906</v>
      </c>
      <c r="P146" s="37">
        <f t="shared" si="21"/>
        <v>2.54378494464398</v>
      </c>
      <c r="Q146" s="154">
        <v>20.61</v>
      </c>
      <c r="R146" s="22">
        <f t="shared" si="17"/>
        <v>15.8692275841882</v>
      </c>
      <c r="S146" s="1722" t="s">
        <v>1526</v>
      </c>
      <c r="T146" s="824" t="s">
        <v>3759</v>
      </c>
      <c r="U146" s="120"/>
    </row>
    <row r="147" s="42" customFormat="1" customHeight="1" spans="1:21">
      <c r="A147" s="1138"/>
      <c r="B147" s="729"/>
      <c r="C147" s="729"/>
      <c r="D147" s="1809">
        <v>20250416</v>
      </c>
      <c r="E147" s="153">
        <v>7.17</v>
      </c>
      <c r="F147" s="729" t="s">
        <v>3760</v>
      </c>
      <c r="G147" s="729" t="s">
        <v>1671</v>
      </c>
      <c r="H147" s="729" t="s">
        <v>3754</v>
      </c>
      <c r="I147" s="21" t="s">
        <v>3542</v>
      </c>
      <c r="J147" s="689" t="s">
        <v>1428</v>
      </c>
      <c r="K147" s="689" t="s">
        <v>1635</v>
      </c>
      <c r="L147" s="138" t="s">
        <v>3513</v>
      </c>
      <c r="M147" s="21">
        <v>3.1</v>
      </c>
      <c r="N147" s="37">
        <f t="shared" si="20"/>
        <v>2.79804001431728</v>
      </c>
      <c r="O147" s="22">
        <v>10.4274790286575</v>
      </c>
      <c r="P147" s="37">
        <f t="shared" si="21"/>
        <v>2.54378494464398</v>
      </c>
      <c r="Q147" s="154">
        <v>20.61</v>
      </c>
      <c r="R147" s="22">
        <f t="shared" si="17"/>
        <v>18.8693039876188</v>
      </c>
      <c r="S147" s="1722" t="s">
        <v>1526</v>
      </c>
      <c r="T147" s="824" t="s">
        <v>3755</v>
      </c>
      <c r="U147" s="120"/>
    </row>
    <row r="148" s="42" customFormat="1" customHeight="1" spans="1:21">
      <c r="A148" s="1138"/>
      <c r="B148" s="729"/>
      <c r="C148" s="729"/>
      <c r="D148" s="729">
        <v>20241104</v>
      </c>
      <c r="E148" s="153">
        <v>7.17</v>
      </c>
      <c r="F148" s="729" t="s">
        <v>3761</v>
      </c>
      <c r="G148" s="729" t="s">
        <v>1672</v>
      </c>
      <c r="H148" s="729" t="s">
        <v>3754</v>
      </c>
      <c r="I148" s="21" t="s">
        <v>3542</v>
      </c>
      <c r="J148" s="689" t="s">
        <v>1428</v>
      </c>
      <c r="K148" s="689" t="s">
        <v>1635</v>
      </c>
      <c r="L148" s="138" t="s">
        <v>3513</v>
      </c>
      <c r="M148" s="21">
        <v>3.1</v>
      </c>
      <c r="N148" s="37">
        <f t="shared" si="20"/>
        <v>2.79804001431728</v>
      </c>
      <c r="O148" s="22">
        <v>11.569656279582</v>
      </c>
      <c r="P148" s="37">
        <f t="shared" si="21"/>
        <v>2.54378494464398</v>
      </c>
      <c r="Q148" s="154">
        <v>20.61</v>
      </c>
      <c r="R148" s="22">
        <f t="shared" si="17"/>
        <v>20.0114812385433</v>
      </c>
      <c r="S148" s="1722" t="s">
        <v>1526</v>
      </c>
      <c r="T148" s="824" t="s">
        <v>3762</v>
      </c>
      <c r="U148" s="120"/>
    </row>
    <row r="149" s="42" customFormat="1" customHeight="1" spans="1:21">
      <c r="A149" s="1138"/>
      <c r="B149" s="729"/>
      <c r="C149" s="729"/>
      <c r="D149" s="729">
        <v>20250522</v>
      </c>
      <c r="E149" s="153">
        <v>7.17</v>
      </c>
      <c r="F149" s="729" t="s">
        <v>3763</v>
      </c>
      <c r="G149" s="729" t="s">
        <v>1581</v>
      </c>
      <c r="H149" s="729" t="s">
        <v>3754</v>
      </c>
      <c r="I149" s="21" t="s">
        <v>3542</v>
      </c>
      <c r="J149" s="689" t="s">
        <v>1428</v>
      </c>
      <c r="K149" s="689" t="s">
        <v>3458</v>
      </c>
      <c r="L149" s="138" t="s">
        <v>3513</v>
      </c>
      <c r="M149" s="21">
        <v>1.62</v>
      </c>
      <c r="N149" s="37">
        <f t="shared" si="20"/>
        <v>2.79804001431728</v>
      </c>
      <c r="O149" s="22">
        <v>10.9659008309079</v>
      </c>
      <c r="P149" s="37">
        <f t="shared" si="21"/>
        <v>2.54378494464398</v>
      </c>
      <c r="Q149" s="37">
        <v>20.61</v>
      </c>
      <c r="R149" s="22">
        <f t="shared" si="17"/>
        <v>17.9277257898692</v>
      </c>
      <c r="S149" s="1722" t="s">
        <v>1526</v>
      </c>
      <c r="T149" s="824" t="s">
        <v>3764</v>
      </c>
      <c r="U149" s="120"/>
    </row>
    <row r="150" s="42" customFormat="1" customHeight="1" spans="1:21">
      <c r="A150" s="1138"/>
      <c r="B150" s="729"/>
      <c r="C150" s="729"/>
      <c r="D150" s="729">
        <v>20250611</v>
      </c>
      <c r="E150" s="153">
        <v>7.17</v>
      </c>
      <c r="F150" s="729" t="s">
        <v>3456</v>
      </c>
      <c r="G150" s="729" t="s">
        <v>2427</v>
      </c>
      <c r="H150" s="729" t="s">
        <v>3754</v>
      </c>
      <c r="I150" s="21" t="s">
        <v>3457</v>
      </c>
      <c r="J150" s="689"/>
      <c r="K150" s="689" t="s">
        <v>3458</v>
      </c>
      <c r="L150" s="138" t="s">
        <v>3513</v>
      </c>
      <c r="M150" s="21">
        <v>1.62</v>
      </c>
      <c r="N150" s="37">
        <f t="shared" si="20"/>
        <v>2.79804001431728</v>
      </c>
      <c r="O150" s="22">
        <v>10.6253815476663</v>
      </c>
      <c r="P150" s="37">
        <f t="shared" si="21"/>
        <v>2.54378494464398</v>
      </c>
      <c r="Q150" s="37">
        <v>20.61</v>
      </c>
      <c r="R150" s="22">
        <f t="shared" si="17"/>
        <v>17.5872065066276</v>
      </c>
      <c r="S150" s="1722" t="s">
        <v>1526</v>
      </c>
      <c r="T150" s="928" t="s">
        <v>3765</v>
      </c>
      <c r="U150" s="120"/>
    </row>
    <row r="151" s="42" customFormat="1" customHeight="1" spans="1:21">
      <c r="A151" s="1138"/>
      <c r="B151" s="1809"/>
      <c r="C151" s="729"/>
      <c r="D151" s="729">
        <v>20250611</v>
      </c>
      <c r="E151" s="153">
        <v>7.17</v>
      </c>
      <c r="F151" s="1809" t="s">
        <v>3766</v>
      </c>
      <c r="G151" s="1809" t="s">
        <v>2449</v>
      </c>
      <c r="H151" s="1809" t="s">
        <v>3767</v>
      </c>
      <c r="I151" s="153" t="s">
        <v>3768</v>
      </c>
      <c r="J151" s="151"/>
      <c r="K151" s="151" t="s">
        <v>3458</v>
      </c>
      <c r="L151" s="1019" t="s">
        <v>1428</v>
      </c>
      <c r="M151" s="153" t="s">
        <v>1428</v>
      </c>
      <c r="N151" s="154">
        <f>40/E151/1.13</f>
        <v>4.93699164414164</v>
      </c>
      <c r="O151" s="727">
        <v>13.8</v>
      </c>
      <c r="P151" s="154">
        <f t="shared" si="21"/>
        <v>2.54378494464398</v>
      </c>
      <c r="Q151" s="154">
        <v>20.61</v>
      </c>
      <c r="R151" s="727">
        <f t="shared" si="17"/>
        <v>21.2807765887856</v>
      </c>
      <c r="S151" s="1826" t="s">
        <v>1526</v>
      </c>
      <c r="T151" s="1827" t="s">
        <v>3765</v>
      </c>
      <c r="U151" s="120"/>
    </row>
    <row r="152" s="42" customFormat="1" customHeight="1" spans="1:21">
      <c r="A152" s="1138"/>
      <c r="B152" s="729"/>
      <c r="C152" s="729"/>
      <c r="D152" s="729">
        <v>20250714</v>
      </c>
      <c r="E152" s="21">
        <v>7.17</v>
      </c>
      <c r="F152" s="1828" t="s">
        <v>821</v>
      </c>
      <c r="G152" s="917" t="s">
        <v>822</v>
      </c>
      <c r="H152" s="729"/>
      <c r="I152" s="21"/>
      <c r="J152" s="689"/>
      <c r="K152" s="689"/>
      <c r="L152" s="138"/>
      <c r="M152" s="21"/>
      <c r="N152" s="37">
        <v>0.381382604509942</v>
      </c>
      <c r="O152" s="22">
        <v>0.833317306012022</v>
      </c>
      <c r="P152" s="37">
        <v>0.2</v>
      </c>
      <c r="Q152" s="37"/>
      <c r="R152" s="22">
        <f t="shared" si="17"/>
        <v>1.41469991052196</v>
      </c>
      <c r="S152" s="1722" t="s">
        <v>1526</v>
      </c>
      <c r="T152" s="928" t="s">
        <v>484</v>
      </c>
      <c r="U152" s="120"/>
    </row>
    <row r="153" s="42" customFormat="1" customHeight="1" spans="1:21">
      <c r="A153" s="1138"/>
      <c r="B153" s="729"/>
      <c r="C153" s="729"/>
      <c r="D153" s="729">
        <v>20240724</v>
      </c>
      <c r="E153" s="153">
        <v>7.17</v>
      </c>
      <c r="F153" s="729" t="s">
        <v>823</v>
      </c>
      <c r="G153" s="729" t="s">
        <v>824</v>
      </c>
      <c r="H153" s="729"/>
      <c r="I153" s="21"/>
      <c r="J153" s="689"/>
      <c r="K153" s="689"/>
      <c r="L153" s="689"/>
      <c r="M153" s="21"/>
      <c r="N153" s="37">
        <v>0.270015811925811</v>
      </c>
      <c r="O153" s="22">
        <v>1.19309943837384</v>
      </c>
      <c r="P153" s="37">
        <v>0.2</v>
      </c>
      <c r="Q153" s="154"/>
      <c r="R153" s="22">
        <f t="shared" si="17"/>
        <v>1.66311525029965</v>
      </c>
      <c r="S153" s="766"/>
      <c r="T153" s="729"/>
      <c r="U153" s="120"/>
    </row>
    <row r="154" s="42" customFormat="1" customHeight="1" spans="1:21">
      <c r="A154" s="1138"/>
      <c r="B154" s="729"/>
      <c r="C154" s="729"/>
      <c r="D154" s="729">
        <v>20240724</v>
      </c>
      <c r="E154" s="153">
        <v>7.17</v>
      </c>
      <c r="F154" s="729" t="s">
        <v>825</v>
      </c>
      <c r="G154" s="729" t="s">
        <v>826</v>
      </c>
      <c r="H154" s="729"/>
      <c r="I154" s="21"/>
      <c r="J154" s="689"/>
      <c r="K154" s="689"/>
      <c r="L154" s="689"/>
      <c r="M154" s="21"/>
      <c r="N154" s="37">
        <v>0.270015811925811</v>
      </c>
      <c r="O154" s="22">
        <v>0.961100103287541</v>
      </c>
      <c r="P154" s="37">
        <v>0.2</v>
      </c>
      <c r="Q154" s="154"/>
      <c r="R154" s="22">
        <f t="shared" si="17"/>
        <v>1.43111591521335</v>
      </c>
      <c r="S154" s="766"/>
      <c r="T154" s="729"/>
      <c r="U154" s="120"/>
    </row>
    <row r="155" s="42" customFormat="1" customHeight="1" spans="1:21">
      <c r="A155" s="1138"/>
      <c r="B155" s="19" t="s">
        <v>3405</v>
      </c>
      <c r="C155" s="19"/>
      <c r="D155" s="19">
        <v>20240402</v>
      </c>
      <c r="E155" s="153">
        <v>7.17</v>
      </c>
      <c r="F155" s="19" t="s">
        <v>3769</v>
      </c>
      <c r="G155" s="20" t="s">
        <v>1629</v>
      </c>
      <c r="H155" s="23" t="s">
        <v>1933</v>
      </c>
      <c r="I155" s="21" t="s">
        <v>3542</v>
      </c>
      <c r="J155" s="21" t="s">
        <v>3770</v>
      </c>
      <c r="K155" s="21" t="s">
        <v>1742</v>
      </c>
      <c r="L155" s="138" t="s">
        <v>3513</v>
      </c>
      <c r="M155" s="21">
        <v>6</v>
      </c>
      <c r="N155" s="37">
        <f>16.56/E155/1.13</f>
        <v>2.04391454067464</v>
      </c>
      <c r="O155" s="22">
        <v>13.5804317728138</v>
      </c>
      <c r="P155" s="37">
        <f>Q155/E155/1.13</f>
        <v>2.65733575245924</v>
      </c>
      <c r="Q155" s="154">
        <v>21.53</v>
      </c>
      <c r="R155" s="22">
        <f t="shared" si="17"/>
        <v>24.2816820659477</v>
      </c>
      <c r="S155" s="756" t="s">
        <v>3771</v>
      </c>
      <c r="T155" s="705" t="s">
        <v>3772</v>
      </c>
      <c r="U155" s="120" t="s">
        <v>1406</v>
      </c>
    </row>
    <row r="156" s="42" customFormat="1" customHeight="1" spans="1:21">
      <c r="A156" s="1138"/>
      <c r="B156" s="19"/>
      <c r="C156" s="19"/>
      <c r="D156" s="19">
        <v>20240402</v>
      </c>
      <c r="E156" s="153">
        <v>7.17</v>
      </c>
      <c r="F156" s="19" t="s">
        <v>3407</v>
      </c>
      <c r="G156" s="20" t="s">
        <v>1645</v>
      </c>
      <c r="H156" s="23" t="s">
        <v>1933</v>
      </c>
      <c r="I156" s="21" t="s">
        <v>3542</v>
      </c>
      <c r="J156" s="21" t="s">
        <v>3408</v>
      </c>
      <c r="K156" s="21" t="s">
        <v>1742</v>
      </c>
      <c r="L156" s="138" t="s">
        <v>3513</v>
      </c>
      <c r="M156" s="21">
        <v>6</v>
      </c>
      <c r="N156" s="37">
        <f>16.56/E156/1.13</f>
        <v>2.04391454067464</v>
      </c>
      <c r="O156" s="22">
        <v>14.4408931847581</v>
      </c>
      <c r="P156" s="37">
        <f>Q156/E156/1.13</f>
        <v>2.65733575245924</v>
      </c>
      <c r="Q156" s="154">
        <v>21.53</v>
      </c>
      <c r="R156" s="22">
        <f t="shared" si="17"/>
        <v>25.142143477892</v>
      </c>
      <c r="S156" s="756" t="s">
        <v>3773</v>
      </c>
      <c r="T156" s="705" t="s">
        <v>3774</v>
      </c>
      <c r="U156" s="120" t="s">
        <v>1406</v>
      </c>
    </row>
    <row r="157" s="42" customFormat="1" customHeight="1" spans="1:21">
      <c r="A157" s="1138"/>
      <c r="B157" s="20" t="s">
        <v>3775</v>
      </c>
      <c r="C157" s="1799" t="s">
        <v>3371</v>
      </c>
      <c r="D157" s="23">
        <v>20240725</v>
      </c>
      <c r="E157" s="153">
        <v>7.17</v>
      </c>
      <c r="F157" s="23" t="s">
        <v>3776</v>
      </c>
      <c r="G157" s="20" t="s">
        <v>1571</v>
      </c>
      <c r="H157" s="20" t="s">
        <v>1933</v>
      </c>
      <c r="I157" s="21" t="s">
        <v>3542</v>
      </c>
      <c r="J157" s="21" t="s">
        <v>3628</v>
      </c>
      <c r="K157" s="21" t="s">
        <v>1635</v>
      </c>
      <c r="L157" s="138" t="s">
        <v>3513</v>
      </c>
      <c r="M157" s="21">
        <v>3.1</v>
      </c>
      <c r="N157" s="37">
        <v>3.76303854256607</v>
      </c>
      <c r="O157" s="22">
        <v>14.2797601885013</v>
      </c>
      <c r="P157" s="37">
        <f>Q157/E157/1.13</f>
        <v>2.68695770232409</v>
      </c>
      <c r="Q157" s="154">
        <v>21.77</v>
      </c>
      <c r="R157" s="37">
        <f t="shared" si="17"/>
        <v>23.8297564333915</v>
      </c>
      <c r="S157" s="23" t="s">
        <v>3777</v>
      </c>
      <c r="T157" s="1764" t="s">
        <v>3778</v>
      </c>
      <c r="U157" s="120"/>
    </row>
    <row r="158" s="42" customFormat="1" customHeight="1" spans="1:21">
      <c r="A158" s="1138"/>
      <c r="B158" s="20" t="s">
        <v>3779</v>
      </c>
      <c r="C158" s="1799" t="s">
        <v>3371</v>
      </c>
      <c r="D158" s="23"/>
      <c r="E158" s="153">
        <v>7.17</v>
      </c>
      <c r="F158" s="973" t="s">
        <v>3780</v>
      </c>
      <c r="G158" s="759" t="s">
        <v>1435</v>
      </c>
      <c r="H158" s="20" t="s">
        <v>1933</v>
      </c>
      <c r="I158" s="21" t="s">
        <v>3542</v>
      </c>
      <c r="J158" s="21" t="s">
        <v>3781</v>
      </c>
      <c r="K158" s="36" t="s">
        <v>1428</v>
      </c>
      <c r="L158" s="691" t="s">
        <v>1507</v>
      </c>
      <c r="M158" s="36" t="s">
        <v>1428</v>
      </c>
      <c r="N158" s="37">
        <v>7.39438474504846</v>
      </c>
      <c r="O158" s="22">
        <v>17.1</v>
      </c>
      <c r="P158" s="37">
        <v>2.86030341340076</v>
      </c>
      <c r="Q158" s="154">
        <v>21.77</v>
      </c>
      <c r="R158" s="22">
        <v>27.3546881584492</v>
      </c>
      <c r="S158" s="23" t="s">
        <v>3642</v>
      </c>
      <c r="T158" s="1764" t="s">
        <v>3782</v>
      </c>
      <c r="U158" s="120"/>
    </row>
    <row r="159" s="42" customFormat="1" customHeight="1" spans="1:21">
      <c r="A159" s="1138"/>
      <c r="B159" s="20" t="s">
        <v>3779</v>
      </c>
      <c r="C159" s="1799" t="s">
        <v>3371</v>
      </c>
      <c r="D159" s="23"/>
      <c r="E159" s="153"/>
      <c r="F159" s="973" t="s">
        <v>3783</v>
      </c>
      <c r="G159" s="759"/>
      <c r="H159" s="20"/>
      <c r="I159" s="21"/>
      <c r="J159" s="21"/>
      <c r="K159" s="36" t="s">
        <v>1428</v>
      </c>
      <c r="L159" s="691" t="s">
        <v>1507</v>
      </c>
      <c r="M159" s="36" t="s">
        <v>1428</v>
      </c>
      <c r="N159" s="37">
        <v>7.39438474504846</v>
      </c>
      <c r="O159" s="22">
        <v>16.6</v>
      </c>
      <c r="P159" s="37">
        <v>2.86030341340076</v>
      </c>
      <c r="Q159" s="154"/>
      <c r="R159" s="22">
        <v>26.8546881584492</v>
      </c>
      <c r="S159" s="23"/>
      <c r="T159" s="1764"/>
      <c r="U159" s="120"/>
    </row>
    <row r="160" s="42" customFormat="1" customHeight="1" spans="1:21">
      <c r="A160" s="1138"/>
      <c r="B160" s="23" t="s">
        <v>829</v>
      </c>
      <c r="C160" s="23"/>
      <c r="D160" s="23"/>
      <c r="E160" s="21"/>
      <c r="F160" s="23" t="s">
        <v>3784</v>
      </c>
      <c r="G160" s="20" t="s">
        <v>2488</v>
      </c>
      <c r="H160" s="20" t="s">
        <v>1933</v>
      </c>
      <c r="I160" s="21" t="s">
        <v>3785</v>
      </c>
      <c r="J160" s="21" t="s">
        <v>3786</v>
      </c>
      <c r="K160" s="21" t="s">
        <v>3787</v>
      </c>
      <c r="L160" s="21" t="s">
        <v>1428</v>
      </c>
      <c r="M160" s="21" t="s">
        <v>3697</v>
      </c>
      <c r="N160" s="37">
        <v>2.35462652154748</v>
      </c>
      <c r="O160" s="22">
        <v>11.3359166935748</v>
      </c>
      <c r="P160" s="37">
        <v>2.408738207203</v>
      </c>
      <c r="Q160" s="154"/>
      <c r="R160" s="22">
        <f t="shared" ref="R160:R166" si="22">SUM(L160:P160)</f>
        <v>16.0992814223253</v>
      </c>
      <c r="S160" s="38" t="s">
        <v>3788</v>
      </c>
      <c r="T160" s="20" t="s">
        <v>3789</v>
      </c>
      <c r="U160" s="120" t="s">
        <v>1406</v>
      </c>
    </row>
    <row r="161" s="42" customFormat="1" customHeight="1" spans="1:21">
      <c r="A161" s="1138"/>
      <c r="B161" s="23"/>
      <c r="C161" s="23"/>
      <c r="D161" s="23"/>
      <c r="E161" s="21"/>
      <c r="F161" s="23" t="s">
        <v>830</v>
      </c>
      <c r="G161" s="20" t="s">
        <v>831</v>
      </c>
      <c r="H161" s="20"/>
      <c r="I161" s="21"/>
      <c r="J161" s="21"/>
      <c r="K161" s="21"/>
      <c r="L161" s="21"/>
      <c r="M161" s="21"/>
      <c r="N161" s="37">
        <v>0.167302410741532</v>
      </c>
      <c r="O161" s="22">
        <v>1.270233201353</v>
      </c>
      <c r="P161" s="22">
        <v>0.4</v>
      </c>
      <c r="Q161" s="154"/>
      <c r="R161" s="22">
        <f t="shared" si="22"/>
        <v>1.83753561209453</v>
      </c>
      <c r="S161" s="38"/>
      <c r="T161" s="20" t="s">
        <v>581</v>
      </c>
      <c r="U161" s="120" t="s">
        <v>1406</v>
      </c>
    </row>
    <row r="162" s="42" customFormat="1" customHeight="1" spans="1:21">
      <c r="A162" s="1138"/>
      <c r="B162" s="23"/>
      <c r="C162" s="23"/>
      <c r="D162" s="23"/>
      <c r="E162" s="21"/>
      <c r="F162" s="23" t="s">
        <v>832</v>
      </c>
      <c r="G162" s="20" t="s">
        <v>833</v>
      </c>
      <c r="H162" s="20"/>
      <c r="I162" s="21"/>
      <c r="J162" s="21"/>
      <c r="K162" s="21"/>
      <c r="L162" s="21"/>
      <c r="M162" s="21"/>
      <c r="N162" s="37">
        <v>0.167302410741532</v>
      </c>
      <c r="O162" s="22">
        <v>1.270233201353</v>
      </c>
      <c r="P162" s="22">
        <v>0.4</v>
      </c>
      <c r="Q162" s="727"/>
      <c r="R162" s="22">
        <f t="shared" si="22"/>
        <v>1.83753561209453</v>
      </c>
      <c r="S162" s="38"/>
      <c r="T162" s="20" t="s">
        <v>25</v>
      </c>
      <c r="U162" s="120" t="s">
        <v>1406</v>
      </c>
    </row>
    <row r="163" s="42" customFormat="1" customHeight="1" spans="1:21">
      <c r="A163" s="1138"/>
      <c r="B163" s="23"/>
      <c r="C163" s="23"/>
      <c r="D163" s="23"/>
      <c r="E163" s="21"/>
      <c r="F163" s="23" t="s">
        <v>834</v>
      </c>
      <c r="G163" s="20" t="s">
        <v>835</v>
      </c>
      <c r="H163" s="20"/>
      <c r="I163" s="21"/>
      <c r="J163" s="21"/>
      <c r="K163" s="21"/>
      <c r="L163" s="21"/>
      <c r="M163" s="21"/>
      <c r="N163" s="37">
        <v>0.509838605770861</v>
      </c>
      <c r="O163" s="22">
        <v>1.54134726035005</v>
      </c>
      <c r="P163" s="22">
        <v>0.2</v>
      </c>
      <c r="Q163" s="727"/>
      <c r="R163" s="22">
        <f t="shared" si="22"/>
        <v>2.25118586612091</v>
      </c>
      <c r="S163" s="38"/>
      <c r="T163" s="20"/>
      <c r="U163" s="120" t="s">
        <v>1406</v>
      </c>
    </row>
    <row r="164" s="42" customFormat="1" customHeight="1" spans="1:21">
      <c r="A164" s="1138"/>
      <c r="B164" s="23"/>
      <c r="C164" s="23"/>
      <c r="D164" s="23"/>
      <c r="E164" s="21"/>
      <c r="F164" s="23" t="s">
        <v>836</v>
      </c>
      <c r="G164" s="20" t="s">
        <v>837</v>
      </c>
      <c r="H164" s="20"/>
      <c r="I164" s="21"/>
      <c r="J164" s="21"/>
      <c r="K164" s="21"/>
      <c r="L164" s="21"/>
      <c r="M164" s="21"/>
      <c r="N164" s="37">
        <v>0.509838605770861</v>
      </c>
      <c r="O164" s="22">
        <v>1.70372929018682</v>
      </c>
      <c r="P164" s="22">
        <v>0.2</v>
      </c>
      <c r="Q164" s="727"/>
      <c r="R164" s="22">
        <f t="shared" si="22"/>
        <v>2.41356789595768</v>
      </c>
      <c r="S164" s="38"/>
      <c r="T164" s="20"/>
      <c r="U164" s="120" t="s">
        <v>1406</v>
      </c>
    </row>
    <row r="165" s="42" customFormat="1" customHeight="1" spans="1:21">
      <c r="A165" s="1138"/>
      <c r="B165" s="23"/>
      <c r="C165" s="23"/>
      <c r="D165" s="23"/>
      <c r="E165" s="21"/>
      <c r="F165" s="23" t="s">
        <v>838</v>
      </c>
      <c r="G165" s="20" t="s">
        <v>839</v>
      </c>
      <c r="H165" s="20"/>
      <c r="I165" s="21"/>
      <c r="J165" s="21"/>
      <c r="K165" s="21"/>
      <c r="L165" s="21"/>
      <c r="M165" s="21"/>
      <c r="N165" s="37">
        <v>0.458532533143458</v>
      </c>
      <c r="O165" s="22">
        <v>4.44644659144543</v>
      </c>
      <c r="P165" s="22">
        <v>0.4</v>
      </c>
      <c r="Q165" s="727"/>
      <c r="R165" s="22">
        <f t="shared" si="22"/>
        <v>5.30497912458889</v>
      </c>
      <c r="S165" s="38"/>
      <c r="T165" s="20" t="s">
        <v>840</v>
      </c>
      <c r="U165" s="120" t="s">
        <v>1406</v>
      </c>
    </row>
    <row r="166" s="42" customFormat="1" customHeight="1" spans="1:21">
      <c r="A166" s="1138"/>
      <c r="B166" s="23"/>
      <c r="C166" s="23"/>
      <c r="D166" s="23"/>
      <c r="E166" s="21"/>
      <c r="F166" s="23" t="s">
        <v>841</v>
      </c>
      <c r="G166" s="20" t="s">
        <v>842</v>
      </c>
      <c r="H166" s="20"/>
      <c r="I166" s="21"/>
      <c r="J166" s="21"/>
      <c r="K166" s="21"/>
      <c r="L166" s="21"/>
      <c r="M166" s="21"/>
      <c r="N166" s="37">
        <v>0.509838605770861</v>
      </c>
      <c r="O166" s="22">
        <v>4.75864987555556</v>
      </c>
      <c r="P166" s="22">
        <v>0.4</v>
      </c>
      <c r="Q166" s="727"/>
      <c r="R166" s="22">
        <f t="shared" si="22"/>
        <v>5.66848848132642</v>
      </c>
      <c r="S166" s="38"/>
      <c r="T166" s="20" t="s">
        <v>840</v>
      </c>
      <c r="U166" s="120" t="s">
        <v>1406</v>
      </c>
    </row>
    <row r="167" s="42" customFormat="1" customHeight="1" spans="1:21">
      <c r="A167" s="1138"/>
      <c r="B167" s="23"/>
      <c r="C167" s="23"/>
      <c r="D167" s="23"/>
      <c r="E167" s="21"/>
      <c r="F167" s="23" t="s">
        <v>843</v>
      </c>
      <c r="G167" s="20" t="s">
        <v>844</v>
      </c>
      <c r="H167" s="20"/>
      <c r="I167" s="21"/>
      <c r="J167" s="21"/>
      <c r="K167" s="21"/>
      <c r="L167" s="21"/>
      <c r="M167" s="21"/>
      <c r="N167" s="37">
        <v>0.509838605770861</v>
      </c>
      <c r="O167" s="22">
        <v>1.54134726035005</v>
      </c>
      <c r="P167" s="22">
        <v>0.2</v>
      </c>
      <c r="Q167" s="727"/>
      <c r="R167" s="22">
        <f t="shared" ref="R167:R178" si="23">SUM(L167:P167)</f>
        <v>2.25118586612091</v>
      </c>
      <c r="S167" s="38"/>
      <c r="T167" s="20"/>
      <c r="U167" s="120" t="s">
        <v>1406</v>
      </c>
    </row>
    <row r="168" s="42" customFormat="1" customHeight="1" spans="1:21">
      <c r="A168" s="1138"/>
      <c r="B168" s="23"/>
      <c r="C168" s="23"/>
      <c r="D168" s="23"/>
      <c r="E168" s="21"/>
      <c r="F168" s="23" t="s">
        <v>845</v>
      </c>
      <c r="G168" s="20" t="s">
        <v>846</v>
      </c>
      <c r="H168" s="20"/>
      <c r="I168" s="21"/>
      <c r="J168" s="21"/>
      <c r="K168" s="21"/>
      <c r="L168" s="21"/>
      <c r="M168" s="21"/>
      <c r="N168" s="37">
        <v>0.373062068965517</v>
      </c>
      <c r="O168" s="22">
        <v>0.93</v>
      </c>
      <c r="P168" s="22">
        <v>0.2</v>
      </c>
      <c r="Q168" s="727"/>
      <c r="R168" s="22">
        <f t="shared" si="23"/>
        <v>1.50306206896552</v>
      </c>
      <c r="S168" s="38"/>
      <c r="T168" s="20"/>
      <c r="U168" s="120" t="s">
        <v>1406</v>
      </c>
    </row>
    <row r="169" s="42" customFormat="1" customHeight="1" spans="1:21">
      <c r="A169" s="1138"/>
      <c r="B169" s="23"/>
      <c r="C169" s="23"/>
      <c r="D169" s="23"/>
      <c r="E169" s="21"/>
      <c r="F169" s="23" t="s">
        <v>847</v>
      </c>
      <c r="G169" s="20" t="s">
        <v>848</v>
      </c>
      <c r="H169" s="20"/>
      <c r="I169" s="21"/>
      <c r="J169" s="21"/>
      <c r="K169" s="21"/>
      <c r="L169" s="21"/>
      <c r="M169" s="21"/>
      <c r="N169" s="37">
        <v>0.525589308630931</v>
      </c>
      <c r="O169" s="22">
        <v>0.615937217305801</v>
      </c>
      <c r="P169" s="22">
        <v>0.2</v>
      </c>
      <c r="Q169" s="727"/>
      <c r="R169" s="22">
        <f t="shared" si="23"/>
        <v>1.34152652593673</v>
      </c>
      <c r="S169" s="38"/>
      <c r="T169" s="20"/>
      <c r="U169" s="120" t="s">
        <v>1406</v>
      </c>
    </row>
    <row r="170" s="42" customFormat="1" customHeight="1" spans="1:21">
      <c r="A170" s="1138"/>
      <c r="B170" s="23"/>
      <c r="C170" s="23"/>
      <c r="D170" s="23"/>
      <c r="E170" s="21"/>
      <c r="F170" s="23" t="s">
        <v>849</v>
      </c>
      <c r="G170" s="20" t="s">
        <v>850</v>
      </c>
      <c r="H170" s="20"/>
      <c r="I170" s="21"/>
      <c r="J170" s="21"/>
      <c r="K170" s="21"/>
      <c r="L170" s="21"/>
      <c r="M170" s="21"/>
      <c r="N170" s="37">
        <v>0.167302410741532</v>
      </c>
      <c r="O170" s="22">
        <v>1.45161362635202</v>
      </c>
      <c r="P170" s="22">
        <v>0.4</v>
      </c>
      <c r="Q170" s="727"/>
      <c r="R170" s="22">
        <f t="shared" si="23"/>
        <v>2.01891603709355</v>
      </c>
      <c r="S170" s="38"/>
      <c r="T170" s="20" t="s">
        <v>840</v>
      </c>
      <c r="U170" s="120" t="s">
        <v>1406</v>
      </c>
    </row>
    <row r="171" s="42" customFormat="1" customHeight="1" spans="1:21">
      <c r="A171" s="1138"/>
      <c r="B171" s="23"/>
      <c r="C171" s="23"/>
      <c r="D171" s="23"/>
      <c r="E171" s="21"/>
      <c r="F171" s="23" t="s">
        <v>851</v>
      </c>
      <c r="G171" s="20" t="s">
        <v>852</v>
      </c>
      <c r="H171" s="20"/>
      <c r="I171" s="21"/>
      <c r="J171" s="21"/>
      <c r="K171" s="21"/>
      <c r="L171" s="21"/>
      <c r="M171" s="21"/>
      <c r="N171" s="37">
        <v>0.581613848275862</v>
      </c>
      <c r="O171" s="22">
        <v>4.1871921182266</v>
      </c>
      <c r="P171" s="22">
        <v>0.4</v>
      </c>
      <c r="Q171" s="727"/>
      <c r="R171" s="22">
        <f t="shared" si="23"/>
        <v>5.16880596650246</v>
      </c>
      <c r="S171" s="38"/>
      <c r="T171" s="20" t="s">
        <v>840</v>
      </c>
      <c r="U171" s="120" t="s">
        <v>1406</v>
      </c>
    </row>
    <row r="172" s="42" customFormat="1" customHeight="1" spans="1:21">
      <c r="A172" s="1138"/>
      <c r="B172" s="23"/>
      <c r="C172" s="23"/>
      <c r="D172" s="23"/>
      <c r="E172" s="21"/>
      <c r="F172" s="23" t="s">
        <v>853</v>
      </c>
      <c r="G172" s="20" t="s">
        <v>854</v>
      </c>
      <c r="H172" s="20"/>
      <c r="I172" s="21"/>
      <c r="J172" s="21"/>
      <c r="K172" s="21"/>
      <c r="L172" s="21"/>
      <c r="M172" s="21"/>
      <c r="N172" s="37">
        <v>0.421681131034483</v>
      </c>
      <c r="O172" s="22">
        <v>2.81773399014778</v>
      </c>
      <c r="P172" s="22">
        <v>0.4</v>
      </c>
      <c r="Q172" s="727"/>
      <c r="R172" s="22">
        <f t="shared" si="23"/>
        <v>3.63941512118226</v>
      </c>
      <c r="S172" s="23"/>
      <c r="T172" s="20" t="s">
        <v>25</v>
      </c>
      <c r="U172" s="120" t="s">
        <v>1406</v>
      </c>
    </row>
    <row r="173" s="42" customFormat="1" customHeight="1" spans="1:21">
      <c r="A173" s="1138"/>
      <c r="B173" s="23"/>
      <c r="C173" s="23"/>
      <c r="D173" s="23"/>
      <c r="E173" s="21"/>
      <c r="F173" s="23" t="s">
        <v>855</v>
      </c>
      <c r="G173" s="20" t="s">
        <v>856</v>
      </c>
      <c r="H173" s="20"/>
      <c r="I173" s="21"/>
      <c r="J173" s="21"/>
      <c r="K173" s="21"/>
      <c r="L173" s="21"/>
      <c r="M173" s="21"/>
      <c r="N173" s="37">
        <v>0.65015644137931</v>
      </c>
      <c r="O173" s="22">
        <v>1.2218</v>
      </c>
      <c r="P173" s="22">
        <v>0.4</v>
      </c>
      <c r="Q173" s="727"/>
      <c r="R173" s="22">
        <f t="shared" si="23"/>
        <v>2.27195644137931</v>
      </c>
      <c r="S173" s="23"/>
      <c r="T173" s="20"/>
      <c r="U173" s="120" t="s">
        <v>1406</v>
      </c>
    </row>
    <row r="174" s="42" customFormat="1" customHeight="1" spans="1:21">
      <c r="A174" s="1138"/>
      <c r="B174" s="23"/>
      <c r="C174" s="23"/>
      <c r="D174" s="23"/>
      <c r="E174" s="21"/>
      <c r="F174" s="23" t="s">
        <v>857</v>
      </c>
      <c r="G174" s="20" t="s">
        <v>3790</v>
      </c>
      <c r="H174" s="20"/>
      <c r="I174" s="21"/>
      <c r="J174" s="21"/>
      <c r="K174" s="21"/>
      <c r="L174" s="21"/>
      <c r="M174" s="21"/>
      <c r="N174" s="37">
        <v>0.444528662068965</v>
      </c>
      <c r="O174" s="22">
        <v>0.9996</v>
      </c>
      <c r="P174" s="22">
        <v>0.2</v>
      </c>
      <c r="Q174" s="727"/>
      <c r="R174" s="22">
        <f t="shared" si="23"/>
        <v>1.64412866206897</v>
      </c>
      <c r="S174" s="23"/>
      <c r="T174" s="20"/>
      <c r="U174" s="120" t="s">
        <v>1406</v>
      </c>
    </row>
    <row r="175" s="42" customFormat="1" customHeight="1" spans="1:21">
      <c r="A175" s="1138"/>
      <c r="B175" s="23"/>
      <c r="C175" s="23"/>
      <c r="D175" s="23"/>
      <c r="E175" s="21"/>
      <c r="F175" s="23" t="s">
        <v>859</v>
      </c>
      <c r="G175" s="20" t="s">
        <v>860</v>
      </c>
      <c r="H175" s="20"/>
      <c r="I175" s="21"/>
      <c r="J175" s="21"/>
      <c r="K175" s="21"/>
      <c r="L175" s="21"/>
      <c r="M175" s="21"/>
      <c r="N175" s="37">
        <v>0.261748413793103</v>
      </c>
      <c r="O175" s="22">
        <v>2.717</v>
      </c>
      <c r="P175" s="22">
        <v>0.4</v>
      </c>
      <c r="Q175" s="727"/>
      <c r="R175" s="22">
        <f t="shared" si="23"/>
        <v>3.3787484137931</v>
      </c>
      <c r="S175" s="23"/>
      <c r="T175" s="20" t="s">
        <v>25</v>
      </c>
      <c r="U175" s="120" t="s">
        <v>1406</v>
      </c>
    </row>
    <row r="176" s="42" customFormat="1" customHeight="1" spans="1:21">
      <c r="A176" s="1138"/>
      <c r="B176" s="23"/>
      <c r="C176" s="23"/>
      <c r="D176" s="23"/>
      <c r="E176" s="21"/>
      <c r="F176" s="23" t="s">
        <v>861</v>
      </c>
      <c r="G176" s="20" t="s">
        <v>862</v>
      </c>
      <c r="H176" s="20"/>
      <c r="I176" s="21"/>
      <c r="J176" s="21"/>
      <c r="K176" s="21"/>
      <c r="L176" s="21"/>
      <c r="M176" s="21"/>
      <c r="N176" s="37">
        <v>0.232911724137931</v>
      </c>
      <c r="O176" s="22">
        <v>2.684</v>
      </c>
      <c r="P176" s="22">
        <v>0.4</v>
      </c>
      <c r="Q176" s="727"/>
      <c r="R176" s="22">
        <f t="shared" si="23"/>
        <v>3.31691172413793</v>
      </c>
      <c r="S176" s="38"/>
      <c r="T176" s="20" t="s">
        <v>25</v>
      </c>
      <c r="U176" s="120" t="s">
        <v>1406</v>
      </c>
    </row>
    <row r="177" s="42" customFormat="1" customHeight="1" spans="1:21">
      <c r="A177" s="1138"/>
      <c r="B177" s="23"/>
      <c r="C177" s="23"/>
      <c r="D177" s="23"/>
      <c r="E177" s="21"/>
      <c r="F177" s="23" t="s">
        <v>863</v>
      </c>
      <c r="G177" s="20" t="s">
        <v>864</v>
      </c>
      <c r="H177" s="20"/>
      <c r="I177" s="21"/>
      <c r="J177" s="21"/>
      <c r="K177" s="21"/>
      <c r="L177" s="21"/>
      <c r="M177" s="21"/>
      <c r="N177" s="37">
        <v>0.662946489252414</v>
      </c>
      <c r="O177" s="22">
        <v>0.6966</v>
      </c>
      <c r="P177" s="22">
        <v>0.2</v>
      </c>
      <c r="Q177" s="727"/>
      <c r="R177" s="22">
        <f t="shared" si="23"/>
        <v>1.55954648925241</v>
      </c>
      <c r="S177" s="23"/>
      <c r="T177" s="20"/>
      <c r="U177" s="120" t="s">
        <v>1406</v>
      </c>
    </row>
    <row r="178" s="42" customFormat="1" customHeight="1" spans="1:21">
      <c r="A178" s="1138"/>
      <c r="B178" s="23"/>
      <c r="C178" s="23"/>
      <c r="D178" s="23"/>
      <c r="E178" s="21"/>
      <c r="F178" s="23" t="s">
        <v>866</v>
      </c>
      <c r="G178" s="20" t="s">
        <v>867</v>
      </c>
      <c r="H178" s="20"/>
      <c r="I178" s="21"/>
      <c r="J178" s="21"/>
      <c r="K178" s="21"/>
      <c r="L178" s="21"/>
      <c r="M178" s="21"/>
      <c r="N178" s="37">
        <v>0.357615084083574</v>
      </c>
      <c r="O178" s="22">
        <v>0.591133004926108</v>
      </c>
      <c r="P178" s="22">
        <v>0.2</v>
      </c>
      <c r="Q178" s="727"/>
      <c r="R178" s="22">
        <f t="shared" si="23"/>
        <v>1.14874808900968</v>
      </c>
      <c r="S178" s="23"/>
      <c r="T178" s="20"/>
      <c r="U178" s="120" t="s">
        <v>1406</v>
      </c>
    </row>
    <row r="179" s="839" customFormat="1" customHeight="1" spans="1:21">
      <c r="A179" s="1138"/>
      <c r="B179" s="19" t="s">
        <v>3791</v>
      </c>
      <c r="C179" s="19"/>
      <c r="D179" s="23">
        <v>20240312</v>
      </c>
      <c r="E179" s="153">
        <v>7.17</v>
      </c>
      <c r="F179" s="23" t="s">
        <v>3792</v>
      </c>
      <c r="G179" s="39" t="s">
        <v>3793</v>
      </c>
      <c r="H179" s="39" t="s">
        <v>3588</v>
      </c>
      <c r="I179" s="21" t="s">
        <v>3794</v>
      </c>
      <c r="J179" s="21" t="s">
        <v>1913</v>
      </c>
      <c r="K179" s="21" t="s">
        <v>1720</v>
      </c>
      <c r="L179" s="138" t="s">
        <v>3513</v>
      </c>
      <c r="M179" s="21">
        <v>2.3</v>
      </c>
      <c r="N179" s="37">
        <v>2.89235395536159</v>
      </c>
      <c r="O179" s="22">
        <v>9.75068181119153</v>
      </c>
      <c r="P179" s="37">
        <f t="shared" ref="P179:P194" si="24">Q179/E179/1.13</f>
        <v>2.82395922044902</v>
      </c>
      <c r="Q179" s="154">
        <v>22.88</v>
      </c>
      <c r="R179" s="22">
        <f>SUBTOTAL(9,L179:P179)</f>
        <v>17.7669949870021</v>
      </c>
      <c r="S179" s="20" t="s">
        <v>2854</v>
      </c>
      <c r="T179" s="39"/>
      <c r="U179" s="120" t="s">
        <v>1406</v>
      </c>
    </row>
    <row r="180" s="839" customFormat="1" customHeight="1" spans="1:21">
      <c r="A180" s="1138"/>
      <c r="B180" s="19"/>
      <c r="C180" s="19"/>
      <c r="D180" s="23">
        <v>20240312</v>
      </c>
      <c r="E180" s="153">
        <v>7.17</v>
      </c>
      <c r="F180" s="23" t="s">
        <v>3795</v>
      </c>
      <c r="G180" s="39" t="s">
        <v>3796</v>
      </c>
      <c r="H180" s="39"/>
      <c r="I180" s="21"/>
      <c r="J180" s="21"/>
      <c r="K180" s="21"/>
      <c r="L180" s="690"/>
      <c r="M180" s="690"/>
      <c r="N180" s="37">
        <v>2.89235395536159</v>
      </c>
      <c r="O180" s="22">
        <v>0.966471695877092</v>
      </c>
      <c r="P180" s="37">
        <f t="shared" si="24"/>
        <v>2.82395922044902</v>
      </c>
      <c r="Q180" s="154">
        <v>22.88</v>
      </c>
      <c r="R180" s="22">
        <f>SUM(L180:P180)</f>
        <v>6.6827848716877</v>
      </c>
      <c r="S180" s="20" t="s">
        <v>2854</v>
      </c>
      <c r="T180" s="39"/>
      <c r="U180" s="120" t="s">
        <v>1406</v>
      </c>
    </row>
    <row r="181" s="187" customFormat="1" customHeight="1" spans="1:21">
      <c r="A181" s="1138"/>
      <c r="B181" s="19"/>
      <c r="C181" s="19"/>
      <c r="D181" s="19">
        <v>20240521</v>
      </c>
      <c r="E181" s="153">
        <v>7.17</v>
      </c>
      <c r="F181" s="19" t="s">
        <v>3797</v>
      </c>
      <c r="G181" s="20" t="s">
        <v>3798</v>
      </c>
      <c r="H181" s="23" t="s">
        <v>3540</v>
      </c>
      <c r="I181" s="690" t="s">
        <v>3799</v>
      </c>
      <c r="J181" s="21" t="s">
        <v>3670</v>
      </c>
      <c r="K181" s="690" t="s">
        <v>1720</v>
      </c>
      <c r="L181" s="138" t="s">
        <v>3513</v>
      </c>
      <c r="M181" s="21">
        <v>2.3</v>
      </c>
      <c r="N181" s="37">
        <v>2.89235395536159</v>
      </c>
      <c r="O181" s="22">
        <v>10.0162391385387</v>
      </c>
      <c r="P181" s="37">
        <f t="shared" si="24"/>
        <v>2.82395922044902</v>
      </c>
      <c r="Q181" s="154">
        <v>22.88</v>
      </c>
      <c r="R181" s="22">
        <f t="shared" ref="R181:R192" si="25">SUBTOTAL(9,L181:P181)</f>
        <v>18.0325523143493</v>
      </c>
      <c r="S181" s="23" t="s">
        <v>3800</v>
      </c>
      <c r="T181" s="139" t="s">
        <v>3801</v>
      </c>
      <c r="U181" s="120"/>
    </row>
    <row r="182" s="187" customFormat="1" customHeight="1" spans="1:21">
      <c r="A182" s="1138"/>
      <c r="B182" s="725"/>
      <c r="C182" s="19"/>
      <c r="D182" s="19">
        <v>20240521</v>
      </c>
      <c r="E182" s="153">
        <v>7.17</v>
      </c>
      <c r="F182" s="725" t="s">
        <v>3802</v>
      </c>
      <c r="G182" s="20" t="s">
        <v>3803</v>
      </c>
      <c r="H182" s="23" t="s">
        <v>1933</v>
      </c>
      <c r="I182" s="690" t="s">
        <v>3794</v>
      </c>
      <c r="J182" s="21" t="s">
        <v>3349</v>
      </c>
      <c r="K182" s="152" t="s">
        <v>1635</v>
      </c>
      <c r="L182" s="1019" t="s">
        <v>3513</v>
      </c>
      <c r="M182" s="153">
        <v>3.1</v>
      </c>
      <c r="N182" s="154">
        <v>2.89235395536159</v>
      </c>
      <c r="O182" s="727">
        <v>12.6</v>
      </c>
      <c r="P182" s="154">
        <f t="shared" si="24"/>
        <v>2.82395922044902</v>
      </c>
      <c r="Q182" s="154">
        <v>22.88</v>
      </c>
      <c r="R182" s="727">
        <f t="shared" si="25"/>
        <v>21.4163131758106</v>
      </c>
      <c r="S182" s="23" t="s">
        <v>3800</v>
      </c>
      <c r="T182" s="1228" t="s">
        <v>3804</v>
      </c>
      <c r="U182" s="120"/>
    </row>
    <row r="183" s="804" customFormat="1" customHeight="1" spans="1:21">
      <c r="A183" s="1829"/>
      <c r="B183" s="725"/>
      <c r="C183" s="19"/>
      <c r="D183" s="19">
        <v>20240521</v>
      </c>
      <c r="E183" s="153">
        <v>7.17</v>
      </c>
      <c r="F183" s="725" t="s">
        <v>3805</v>
      </c>
      <c r="G183" s="20" t="s">
        <v>3806</v>
      </c>
      <c r="H183" s="23" t="s">
        <v>1933</v>
      </c>
      <c r="I183" s="690" t="s">
        <v>3794</v>
      </c>
      <c r="J183" s="21" t="s">
        <v>3349</v>
      </c>
      <c r="K183" s="152" t="s">
        <v>1635</v>
      </c>
      <c r="L183" s="1019" t="s">
        <v>712</v>
      </c>
      <c r="M183" s="153">
        <v>3.1</v>
      </c>
      <c r="N183" s="154">
        <f>42.28/6.78/1.13*1.05</f>
        <v>5.79450231028272</v>
      </c>
      <c r="O183" s="727">
        <v>13.5</v>
      </c>
      <c r="P183" s="154">
        <f t="shared" si="24"/>
        <v>2.82395922044902</v>
      </c>
      <c r="Q183" s="154">
        <v>22.88</v>
      </c>
      <c r="R183" s="727">
        <f t="shared" si="25"/>
        <v>25.2184615307317</v>
      </c>
      <c r="S183" s="167" t="s">
        <v>3800</v>
      </c>
      <c r="T183" s="759" t="s">
        <v>3804</v>
      </c>
      <c r="U183" s="805"/>
    </row>
    <row r="184" s="187" customFormat="1" customHeight="1" spans="1:21">
      <c r="A184" s="1138"/>
      <c r="B184" s="19"/>
      <c r="C184" s="19"/>
      <c r="D184" s="19">
        <v>20240521</v>
      </c>
      <c r="E184" s="153">
        <v>7.17</v>
      </c>
      <c r="F184" s="19" t="s">
        <v>3807</v>
      </c>
      <c r="G184" s="20" t="s">
        <v>3808</v>
      </c>
      <c r="H184" s="23" t="s">
        <v>1933</v>
      </c>
      <c r="I184" s="690" t="s">
        <v>3799</v>
      </c>
      <c r="J184" s="21" t="s">
        <v>3349</v>
      </c>
      <c r="K184" s="690" t="s">
        <v>1635</v>
      </c>
      <c r="L184" s="138" t="s">
        <v>3513</v>
      </c>
      <c r="M184" s="21">
        <v>3.1</v>
      </c>
      <c r="N184" s="37">
        <v>2.89235395536159</v>
      </c>
      <c r="O184" s="22">
        <v>11.5867901662414</v>
      </c>
      <c r="P184" s="37">
        <f t="shared" si="24"/>
        <v>2.82395922044902</v>
      </c>
      <c r="Q184" s="154">
        <v>22.88</v>
      </c>
      <c r="R184" s="22">
        <f t="shared" si="25"/>
        <v>20.403103342052</v>
      </c>
      <c r="S184" s="23" t="s">
        <v>3800</v>
      </c>
      <c r="T184" s="759" t="s">
        <v>3804</v>
      </c>
      <c r="U184" s="120"/>
    </row>
    <row r="185" s="187" customFormat="1" customHeight="1" spans="1:21">
      <c r="A185" s="1138"/>
      <c r="B185" s="19"/>
      <c r="C185" s="19"/>
      <c r="D185" s="19">
        <v>20240521</v>
      </c>
      <c r="E185" s="153">
        <v>7.17</v>
      </c>
      <c r="F185" s="19" t="s">
        <v>3809</v>
      </c>
      <c r="G185" s="20" t="s">
        <v>3810</v>
      </c>
      <c r="H185" s="23" t="s">
        <v>1933</v>
      </c>
      <c r="I185" s="690" t="s">
        <v>3794</v>
      </c>
      <c r="J185" s="21" t="s">
        <v>1913</v>
      </c>
      <c r="K185" s="690" t="s">
        <v>1635</v>
      </c>
      <c r="L185" s="138" t="s">
        <v>3513</v>
      </c>
      <c r="M185" s="21">
        <v>3.1</v>
      </c>
      <c r="N185" s="37">
        <v>2.89235395536159</v>
      </c>
      <c r="O185" s="22">
        <v>11.6108962640275</v>
      </c>
      <c r="P185" s="37">
        <f t="shared" si="24"/>
        <v>2.82395922044902</v>
      </c>
      <c r="Q185" s="37">
        <v>22.88</v>
      </c>
      <c r="R185" s="22">
        <f t="shared" si="25"/>
        <v>20.4272094398381</v>
      </c>
      <c r="S185" s="23" t="s">
        <v>2854</v>
      </c>
      <c r="T185" s="20" t="s">
        <v>3550</v>
      </c>
      <c r="U185" s="120"/>
    </row>
    <row r="186" s="187" customFormat="1" customHeight="1" spans="1:21">
      <c r="A186" s="1138"/>
      <c r="B186" s="19"/>
      <c r="C186" s="19"/>
      <c r="D186" s="777">
        <v>20250318</v>
      </c>
      <c r="E186" s="153">
        <v>7.17</v>
      </c>
      <c r="F186" s="19" t="s">
        <v>3811</v>
      </c>
      <c r="G186" s="20" t="s">
        <v>3812</v>
      </c>
      <c r="H186" s="23" t="s">
        <v>3540</v>
      </c>
      <c r="I186" s="690" t="s">
        <v>3794</v>
      </c>
      <c r="J186" s="21" t="s">
        <v>3349</v>
      </c>
      <c r="K186" s="690" t="s">
        <v>1635</v>
      </c>
      <c r="L186" s="138" t="s">
        <v>3513</v>
      </c>
      <c r="M186" s="21">
        <v>3.1</v>
      </c>
      <c r="N186" s="37">
        <v>2.89235395536159</v>
      </c>
      <c r="O186" s="22">
        <v>9.83683553974203</v>
      </c>
      <c r="P186" s="37">
        <f t="shared" si="24"/>
        <v>2.82395922044902</v>
      </c>
      <c r="Q186" s="154">
        <v>22.88</v>
      </c>
      <c r="R186" s="22">
        <f t="shared" si="25"/>
        <v>18.6531487155526</v>
      </c>
      <c r="S186" s="167" t="s">
        <v>3562</v>
      </c>
      <c r="T186" s="20"/>
      <c r="U186" s="120"/>
    </row>
    <row r="187" s="42" customFormat="1" customHeight="1" spans="1:21">
      <c r="A187" s="1138"/>
      <c r="B187" s="19"/>
      <c r="C187" s="19"/>
      <c r="D187" s="19">
        <v>20240912</v>
      </c>
      <c r="E187" s="153">
        <v>7.17</v>
      </c>
      <c r="F187" s="19" t="s">
        <v>3813</v>
      </c>
      <c r="G187" s="20" t="s">
        <v>3814</v>
      </c>
      <c r="H187" s="20" t="s">
        <v>3540</v>
      </c>
      <c r="I187" s="690" t="s">
        <v>3794</v>
      </c>
      <c r="J187" s="21" t="s">
        <v>3349</v>
      </c>
      <c r="K187" s="690" t="s">
        <v>1720</v>
      </c>
      <c r="L187" s="138" t="s">
        <v>3513</v>
      </c>
      <c r="M187" s="21">
        <v>2.3</v>
      </c>
      <c r="N187" s="37">
        <v>2.89235395536159</v>
      </c>
      <c r="O187" s="22">
        <v>9.69845866327572</v>
      </c>
      <c r="P187" s="37">
        <f t="shared" si="24"/>
        <v>2.82395922044902</v>
      </c>
      <c r="Q187" s="154">
        <v>22.88</v>
      </c>
      <c r="R187" s="22">
        <f t="shared" si="25"/>
        <v>17.7147718390863</v>
      </c>
      <c r="S187" s="167" t="s">
        <v>3562</v>
      </c>
      <c r="T187" s="23"/>
      <c r="U187" s="120"/>
    </row>
    <row r="188" s="42" customFormat="1" customHeight="1" spans="1:21">
      <c r="A188" s="1138"/>
      <c r="B188" s="19"/>
      <c r="C188" s="19"/>
      <c r="D188" s="777">
        <v>20250318</v>
      </c>
      <c r="E188" s="153">
        <v>7.17</v>
      </c>
      <c r="F188" s="19" t="s">
        <v>3815</v>
      </c>
      <c r="G188" s="20" t="s">
        <v>3816</v>
      </c>
      <c r="H188" s="23" t="s">
        <v>3540</v>
      </c>
      <c r="I188" s="690" t="s">
        <v>3794</v>
      </c>
      <c r="J188" s="21" t="s">
        <v>3349</v>
      </c>
      <c r="K188" s="690" t="s">
        <v>1635</v>
      </c>
      <c r="L188" s="138" t="s">
        <v>3513</v>
      </c>
      <c r="M188" s="21">
        <v>3.1</v>
      </c>
      <c r="N188" s="37">
        <v>2.89235395536159</v>
      </c>
      <c r="O188" s="22">
        <v>9.98248725409964</v>
      </c>
      <c r="P188" s="37">
        <f t="shared" si="24"/>
        <v>2.82395922044902</v>
      </c>
      <c r="Q188" s="154">
        <v>22.88</v>
      </c>
      <c r="R188" s="22">
        <f t="shared" si="25"/>
        <v>18.7988004299103</v>
      </c>
      <c r="S188" s="23" t="s">
        <v>3562</v>
      </c>
      <c r="T188" s="20"/>
      <c r="U188" s="120"/>
    </row>
    <row r="189" s="42" customFormat="1" customHeight="1" spans="1:21">
      <c r="A189" s="1138"/>
      <c r="B189" s="19"/>
      <c r="C189" s="19"/>
      <c r="D189" s="19">
        <v>20240620</v>
      </c>
      <c r="E189" s="153">
        <v>7.17</v>
      </c>
      <c r="F189" s="19" t="s">
        <v>3817</v>
      </c>
      <c r="G189" s="20" t="s">
        <v>3818</v>
      </c>
      <c r="H189" s="23" t="s">
        <v>3540</v>
      </c>
      <c r="I189" s="690" t="s">
        <v>3819</v>
      </c>
      <c r="J189" s="21" t="s">
        <v>1913</v>
      </c>
      <c r="K189" s="690" t="s">
        <v>1720</v>
      </c>
      <c r="L189" s="21" t="s">
        <v>1428</v>
      </c>
      <c r="M189" s="21">
        <v>2.3</v>
      </c>
      <c r="N189" s="37">
        <v>2.89235395536159</v>
      </c>
      <c r="O189" s="22">
        <v>10.0200653964038</v>
      </c>
      <c r="P189" s="37">
        <f t="shared" si="24"/>
        <v>2.82395922044902</v>
      </c>
      <c r="Q189" s="154">
        <v>22.88</v>
      </c>
      <c r="R189" s="22">
        <f t="shared" si="25"/>
        <v>18.0363785722144</v>
      </c>
      <c r="S189" s="23" t="s">
        <v>2854</v>
      </c>
      <c r="T189" s="20" t="s">
        <v>3819</v>
      </c>
      <c r="U189" s="120"/>
    </row>
    <row r="190" s="42" customFormat="1" customHeight="1" spans="1:21">
      <c r="A190" s="1138"/>
      <c r="B190" s="19"/>
      <c r="C190" s="19"/>
      <c r="D190" s="23">
        <v>20240904</v>
      </c>
      <c r="E190" s="153">
        <v>7.17</v>
      </c>
      <c r="F190" s="19" t="s">
        <v>3820</v>
      </c>
      <c r="G190" s="20" t="s">
        <v>3821</v>
      </c>
      <c r="H190" s="23" t="s">
        <v>3660</v>
      </c>
      <c r="I190" s="690" t="s">
        <v>3799</v>
      </c>
      <c r="J190" s="21" t="s">
        <v>1913</v>
      </c>
      <c r="K190" s="690" t="s">
        <v>1633</v>
      </c>
      <c r="L190" s="138" t="s">
        <v>3513</v>
      </c>
      <c r="M190" s="22">
        <v>1.63790153033785</v>
      </c>
      <c r="N190" s="37">
        <v>2.89235395536159</v>
      </c>
      <c r="O190" s="22">
        <v>8.51717883437315</v>
      </c>
      <c r="P190" s="37">
        <f t="shared" si="24"/>
        <v>2.82395922044902</v>
      </c>
      <c r="Q190" s="154">
        <v>22.88</v>
      </c>
      <c r="R190" s="22">
        <f t="shared" si="25"/>
        <v>15.8713935405216</v>
      </c>
      <c r="S190" s="23" t="s">
        <v>2854</v>
      </c>
      <c r="T190" s="20" t="s">
        <v>3822</v>
      </c>
      <c r="U190" s="120"/>
    </row>
    <row r="191" s="42" customFormat="1" customHeight="1" spans="1:21">
      <c r="A191" s="1138"/>
      <c r="B191" s="19"/>
      <c r="C191" s="19"/>
      <c r="D191" s="23">
        <v>20240904</v>
      </c>
      <c r="E191" s="153">
        <v>7.17</v>
      </c>
      <c r="F191" s="19" t="s">
        <v>3823</v>
      </c>
      <c r="G191" s="20" t="s">
        <v>3824</v>
      </c>
      <c r="H191" s="23" t="s">
        <v>3660</v>
      </c>
      <c r="I191" s="690" t="s">
        <v>3794</v>
      </c>
      <c r="J191" s="21" t="s">
        <v>3670</v>
      </c>
      <c r="K191" s="690" t="s">
        <v>1633</v>
      </c>
      <c r="L191" s="138" t="s">
        <v>3513</v>
      </c>
      <c r="M191" s="22">
        <v>1.63790153033785</v>
      </c>
      <c r="N191" s="37">
        <v>2.89235395536159</v>
      </c>
      <c r="O191" s="22">
        <v>8.49506343112053</v>
      </c>
      <c r="P191" s="37">
        <f t="shared" si="24"/>
        <v>2.82395922044902</v>
      </c>
      <c r="Q191" s="154">
        <v>22.88</v>
      </c>
      <c r="R191" s="22">
        <f t="shared" si="25"/>
        <v>15.849278137269</v>
      </c>
      <c r="S191" s="23" t="s">
        <v>3800</v>
      </c>
      <c r="T191" s="139" t="s">
        <v>3825</v>
      </c>
      <c r="U191" s="120"/>
    </row>
    <row r="192" s="42" customFormat="1" customHeight="1" spans="1:21">
      <c r="A192" s="1138"/>
      <c r="B192" s="19"/>
      <c r="C192" s="19"/>
      <c r="D192" s="23">
        <v>20240920</v>
      </c>
      <c r="E192" s="153">
        <v>7.17</v>
      </c>
      <c r="F192" s="19" t="s">
        <v>3826</v>
      </c>
      <c r="G192" s="20" t="s">
        <v>3827</v>
      </c>
      <c r="H192" s="23" t="s">
        <v>3660</v>
      </c>
      <c r="I192" s="690" t="s">
        <v>3794</v>
      </c>
      <c r="J192" s="21" t="s">
        <v>3349</v>
      </c>
      <c r="K192" s="690" t="s">
        <v>1720</v>
      </c>
      <c r="L192" s="138" t="s">
        <v>3513</v>
      </c>
      <c r="M192" s="21">
        <v>2.3</v>
      </c>
      <c r="N192" s="37">
        <v>2.89235395536159</v>
      </c>
      <c r="O192" s="22">
        <v>9.62898382504629</v>
      </c>
      <c r="P192" s="37">
        <f t="shared" si="24"/>
        <v>2.82395922044902</v>
      </c>
      <c r="Q192" s="154">
        <v>22.88</v>
      </c>
      <c r="R192" s="22">
        <f t="shared" si="25"/>
        <v>17.6452970008569</v>
      </c>
      <c r="S192" s="167" t="s">
        <v>3828</v>
      </c>
      <c r="T192" s="139" t="s">
        <v>3829</v>
      </c>
      <c r="U192" s="120"/>
    </row>
    <row r="193" s="42" customFormat="1" customHeight="1" spans="1:21">
      <c r="A193" s="1138"/>
      <c r="B193" s="19"/>
      <c r="C193" s="19"/>
      <c r="D193" s="23">
        <v>20241015</v>
      </c>
      <c r="E193" s="153">
        <v>7.17</v>
      </c>
      <c r="F193" s="19" t="s">
        <v>3830</v>
      </c>
      <c r="G193" s="20" t="s">
        <v>3831</v>
      </c>
      <c r="H193" s="23" t="s">
        <v>3660</v>
      </c>
      <c r="I193" s="690"/>
      <c r="J193" s="21" t="s">
        <v>1913</v>
      </c>
      <c r="K193" s="690"/>
      <c r="L193" s="21"/>
      <c r="M193" s="21"/>
      <c r="N193" s="37">
        <v>2.89235395536159</v>
      </c>
      <c r="O193" s="22">
        <v>0.874290514843142</v>
      </c>
      <c r="P193" s="37">
        <f t="shared" si="24"/>
        <v>2.82395922044902</v>
      </c>
      <c r="Q193" s="154">
        <v>22.88</v>
      </c>
      <c r="R193" s="22">
        <f>SUM(L193:P193)</f>
        <v>6.59060369065375</v>
      </c>
      <c r="S193" s="20"/>
      <c r="T193" s="139"/>
      <c r="U193" s="120"/>
    </row>
    <row r="194" s="805" customFormat="1" customHeight="1" spans="1:21">
      <c r="A194" s="1829"/>
      <c r="B194" s="19"/>
      <c r="C194" s="19"/>
      <c r="D194" s="23">
        <v>20241211</v>
      </c>
      <c r="E194" s="153">
        <v>7.17</v>
      </c>
      <c r="F194" s="19" t="s">
        <v>3832</v>
      </c>
      <c r="G194" s="20" t="s">
        <v>3833</v>
      </c>
      <c r="H194" s="23" t="s">
        <v>3660</v>
      </c>
      <c r="I194" s="690"/>
      <c r="J194" s="21" t="s">
        <v>1913</v>
      </c>
      <c r="K194" s="690" t="s">
        <v>3834</v>
      </c>
      <c r="L194" s="21"/>
      <c r="M194" s="21">
        <v>2.3</v>
      </c>
      <c r="N194" s="37">
        <v>2.87254331183171</v>
      </c>
      <c r="O194" s="22">
        <v>8.82473889363083</v>
      </c>
      <c r="P194" s="37">
        <f t="shared" si="24"/>
        <v>2.82395922044902</v>
      </c>
      <c r="Q194" s="154">
        <v>22.88</v>
      </c>
      <c r="R194" s="22">
        <f>SUM(L194:P194)</f>
        <v>16.8212414259116</v>
      </c>
      <c r="S194" s="20"/>
      <c r="T194" s="139" t="s">
        <v>3835</v>
      </c>
    </row>
    <row r="195" s="805" customFormat="1" customHeight="1" spans="1:21">
      <c r="A195" s="1829"/>
      <c r="B195" s="19"/>
      <c r="C195" s="19"/>
      <c r="D195" s="23"/>
      <c r="E195" s="153"/>
      <c r="F195" s="19"/>
      <c r="G195" s="20"/>
      <c r="H195" s="23"/>
      <c r="I195" s="690"/>
      <c r="J195" s="21"/>
      <c r="K195" s="690"/>
      <c r="L195" s="21"/>
      <c r="M195" s="21"/>
      <c r="N195" s="37"/>
      <c r="O195" s="22"/>
      <c r="P195" s="37"/>
      <c r="Q195" s="154"/>
      <c r="R195" s="22"/>
      <c r="S195" s="20"/>
      <c r="T195" s="139"/>
    </row>
    <row r="196" s="805" customFormat="1" customHeight="1" spans="1:21">
      <c r="A196" s="1829"/>
      <c r="B196" s="19"/>
      <c r="C196" s="19"/>
      <c r="D196" s="23">
        <v>20241216</v>
      </c>
      <c r="E196" s="153">
        <v>7.17</v>
      </c>
      <c r="F196" s="19" t="s">
        <v>3836</v>
      </c>
      <c r="G196" s="20" t="s">
        <v>3837</v>
      </c>
      <c r="H196" s="23" t="s">
        <v>3660</v>
      </c>
      <c r="I196" s="690" t="s">
        <v>3794</v>
      </c>
      <c r="J196" s="21" t="s">
        <v>3349</v>
      </c>
      <c r="K196" s="690" t="s">
        <v>1720</v>
      </c>
      <c r="L196" s="138" t="s">
        <v>3513</v>
      </c>
      <c r="M196" s="21"/>
      <c r="N196" s="37">
        <v>2.87254331183171</v>
      </c>
      <c r="O196" s="22">
        <v>9.68706457947463</v>
      </c>
      <c r="P196" s="37">
        <f>Q196/E196/1.13</f>
        <v>2.82395922044902</v>
      </c>
      <c r="Q196" s="154">
        <v>22.88</v>
      </c>
      <c r="R196" s="22">
        <f t="shared" ref="R196:R259" si="26">SUM(L196:P196)</f>
        <v>15.3835671117554</v>
      </c>
      <c r="S196" s="20" t="s">
        <v>3452</v>
      </c>
      <c r="T196" s="139" t="s">
        <v>3838</v>
      </c>
    </row>
    <row r="197" s="805" customFormat="1" customHeight="1" spans="1:21">
      <c r="A197" s="1829"/>
      <c r="B197" s="19"/>
      <c r="C197" s="19"/>
      <c r="D197" s="23">
        <v>20250421</v>
      </c>
      <c r="E197" s="153">
        <v>7.17</v>
      </c>
      <c r="F197" s="19" t="s">
        <v>3839</v>
      </c>
      <c r="G197" s="20" t="s">
        <v>3840</v>
      </c>
      <c r="H197" s="750" t="s">
        <v>3841</v>
      </c>
      <c r="I197" s="690" t="s">
        <v>3794</v>
      </c>
      <c r="J197" s="21" t="s">
        <v>1913</v>
      </c>
      <c r="K197" s="690" t="s">
        <v>1635</v>
      </c>
      <c r="L197" s="700"/>
      <c r="M197" s="21">
        <v>3.1</v>
      </c>
      <c r="N197" s="37">
        <v>2.87254331183171</v>
      </c>
      <c r="O197" s="22">
        <v>10.3759689980746</v>
      </c>
      <c r="P197" s="37">
        <f>Q197/E197/1.13</f>
        <v>2.82395922044902</v>
      </c>
      <c r="Q197" s="154">
        <v>22.88</v>
      </c>
      <c r="R197" s="22">
        <f t="shared" si="26"/>
        <v>19.1724715303553</v>
      </c>
      <c r="S197" s="20"/>
      <c r="T197" s="139" t="s">
        <v>3842</v>
      </c>
    </row>
    <row r="198" s="805" customFormat="1" customHeight="1" spans="1:21">
      <c r="A198" s="1829"/>
      <c r="B198" s="19"/>
      <c r="C198" s="19"/>
      <c r="D198" s="23">
        <v>20250421</v>
      </c>
      <c r="E198" s="153">
        <v>7.17</v>
      </c>
      <c r="F198" s="19" t="s">
        <v>3843</v>
      </c>
      <c r="G198" s="20" t="s">
        <v>3844</v>
      </c>
      <c r="H198" s="750" t="s">
        <v>3845</v>
      </c>
      <c r="I198" s="690" t="s">
        <v>3799</v>
      </c>
      <c r="J198" s="21" t="s">
        <v>3349</v>
      </c>
      <c r="K198" s="690" t="s">
        <v>1635</v>
      </c>
      <c r="L198" s="700"/>
      <c r="M198" s="21">
        <v>3.1</v>
      </c>
      <c r="N198" s="37">
        <v>2.87254331183171</v>
      </c>
      <c r="O198" s="22">
        <v>11.1564892109878</v>
      </c>
      <c r="P198" s="37">
        <f>Q198/E198/1.13</f>
        <v>2.82395922044902</v>
      </c>
      <c r="Q198" s="154">
        <v>22.88</v>
      </c>
      <c r="R198" s="22">
        <f t="shared" si="26"/>
        <v>19.9529917432685</v>
      </c>
      <c r="S198" s="20" t="s">
        <v>3452</v>
      </c>
      <c r="T198" s="139" t="s">
        <v>3846</v>
      </c>
    </row>
    <row r="199" s="805" customFormat="1" customHeight="1" spans="1:21">
      <c r="A199" s="1829"/>
      <c r="B199" s="19"/>
      <c r="C199" s="19"/>
      <c r="D199" s="23">
        <v>20250217</v>
      </c>
      <c r="E199" s="153">
        <v>7.17</v>
      </c>
      <c r="F199" s="19" t="s">
        <v>868</v>
      </c>
      <c r="G199" s="20" t="s">
        <v>3847</v>
      </c>
      <c r="H199" s="23"/>
      <c r="I199" s="690"/>
      <c r="J199" s="21"/>
      <c r="K199" s="690"/>
      <c r="L199" s="21"/>
      <c r="M199" s="21"/>
      <c r="N199" s="37">
        <v>0.392584572310135</v>
      </c>
      <c r="O199" s="22">
        <v>1.65503107478597</v>
      </c>
      <c r="P199" s="37">
        <v>0.2</v>
      </c>
      <c r="Q199" s="154"/>
      <c r="R199" s="22">
        <f t="shared" si="26"/>
        <v>2.24761564709611</v>
      </c>
      <c r="S199" s="20"/>
      <c r="T199" s="139" t="s">
        <v>870</v>
      </c>
    </row>
    <row r="200" s="42" customFormat="1" customHeight="1" spans="1:21">
      <c r="A200" s="1138"/>
      <c r="B200" s="19"/>
      <c r="C200" s="19"/>
      <c r="D200" s="777">
        <v>20250318</v>
      </c>
      <c r="E200" s="153">
        <v>7.17</v>
      </c>
      <c r="F200" s="19" t="s">
        <v>871</v>
      </c>
      <c r="G200" s="20" t="s">
        <v>872</v>
      </c>
      <c r="H200" s="23"/>
      <c r="I200" s="690"/>
      <c r="J200" s="21"/>
      <c r="K200" s="690"/>
      <c r="L200" s="21"/>
      <c r="M200" s="21"/>
      <c r="N200" s="37">
        <v>0.41384693926478</v>
      </c>
      <c r="O200" s="22">
        <v>0.666239651636554</v>
      </c>
      <c r="P200" s="37">
        <v>0.2</v>
      </c>
      <c r="Q200" s="154"/>
      <c r="R200" s="22">
        <f t="shared" si="26"/>
        <v>1.28008659090133</v>
      </c>
      <c r="S200" s="23"/>
      <c r="T200" s="139" t="s">
        <v>3848</v>
      </c>
      <c r="U200" s="120"/>
    </row>
    <row r="201" s="42" customFormat="1" customHeight="1" spans="1:21">
      <c r="A201" s="1138"/>
      <c r="B201" s="19"/>
      <c r="C201" s="19"/>
      <c r="D201" s="777">
        <v>20250318</v>
      </c>
      <c r="E201" s="153">
        <v>7.17</v>
      </c>
      <c r="F201" s="19" t="s">
        <v>873</v>
      </c>
      <c r="G201" s="20" t="s">
        <v>874</v>
      </c>
      <c r="H201" s="20"/>
      <c r="I201" s="21"/>
      <c r="J201" s="21"/>
      <c r="K201" s="21"/>
      <c r="L201" s="21"/>
      <c r="M201" s="21"/>
      <c r="N201" s="37">
        <v>0.405816836042688</v>
      </c>
      <c r="O201" s="22">
        <v>1.83566118859213</v>
      </c>
      <c r="P201" s="37">
        <v>0.4</v>
      </c>
      <c r="Q201" s="37"/>
      <c r="R201" s="22">
        <f t="shared" si="26"/>
        <v>2.64147802463482</v>
      </c>
      <c r="S201" s="23"/>
      <c r="T201" s="23" t="s">
        <v>2844</v>
      </c>
      <c r="U201" s="120" t="s">
        <v>1406</v>
      </c>
    </row>
    <row r="202" s="42" customFormat="1" customHeight="1" spans="1:21">
      <c r="A202" s="1138"/>
      <c r="B202" s="19"/>
      <c r="C202" s="19"/>
      <c r="D202" s="23">
        <v>20241210</v>
      </c>
      <c r="E202" s="153">
        <v>7.17</v>
      </c>
      <c r="F202" s="19" t="s">
        <v>875</v>
      </c>
      <c r="G202" s="20" t="s">
        <v>876</v>
      </c>
      <c r="H202" s="20"/>
      <c r="I202" s="21"/>
      <c r="J202" s="21"/>
      <c r="K202" s="21"/>
      <c r="L202" s="21"/>
      <c r="M202" s="21"/>
      <c r="N202" s="37">
        <v>0.0248545828399676</v>
      </c>
      <c r="O202" s="22">
        <v>0.0352477148745303</v>
      </c>
      <c r="P202" s="37">
        <v>0.2</v>
      </c>
      <c r="Q202" s="154"/>
      <c r="R202" s="22">
        <f t="shared" si="26"/>
        <v>0.260102297714498</v>
      </c>
      <c r="S202" s="23"/>
      <c r="T202" s="23"/>
      <c r="U202" s="120" t="s">
        <v>1406</v>
      </c>
    </row>
    <row r="203" s="42" customFormat="1" customHeight="1" spans="1:21">
      <c r="A203" s="1138"/>
      <c r="B203" s="19"/>
      <c r="C203" s="19"/>
      <c r="D203" s="687">
        <v>20250625</v>
      </c>
      <c r="E203" s="153">
        <v>7.17</v>
      </c>
      <c r="F203" s="19" t="s">
        <v>877</v>
      </c>
      <c r="G203" s="19" t="s">
        <v>878</v>
      </c>
      <c r="H203" s="20"/>
      <c r="I203" s="21"/>
      <c r="J203" s="21"/>
      <c r="K203" s="21"/>
      <c r="L203" s="21"/>
      <c r="M203" s="21"/>
      <c r="N203" s="37">
        <v>0.39804546629414</v>
      </c>
      <c r="O203" s="22">
        <v>2.32844135792386</v>
      </c>
      <c r="P203" s="37">
        <v>0.2</v>
      </c>
      <c r="Q203" s="154"/>
      <c r="R203" s="22">
        <f t="shared" si="26"/>
        <v>2.926486824218</v>
      </c>
      <c r="S203" s="23"/>
      <c r="T203" s="23" t="s">
        <v>2844</v>
      </c>
      <c r="U203" s="120"/>
    </row>
    <row r="204" s="42" customFormat="1" customHeight="1" spans="1:21">
      <c r="A204" s="1138"/>
      <c r="B204" s="19"/>
      <c r="C204" s="19"/>
      <c r="D204" s="19"/>
      <c r="E204" s="21"/>
      <c r="F204" s="19" t="s">
        <v>879</v>
      </c>
      <c r="G204" s="20" t="s">
        <v>880</v>
      </c>
      <c r="H204" s="23"/>
      <c r="I204" s="690"/>
      <c r="J204" s="21"/>
      <c r="K204" s="690"/>
      <c r="L204" s="21"/>
      <c r="M204" s="21"/>
      <c r="N204" s="37">
        <v>1.19544735640451</v>
      </c>
      <c r="O204" s="22">
        <v>2.68737215615192</v>
      </c>
      <c r="P204" s="37">
        <v>0.4</v>
      </c>
      <c r="Q204" s="154"/>
      <c r="R204" s="22">
        <f t="shared" si="26"/>
        <v>4.28281951255643</v>
      </c>
      <c r="S204" s="23"/>
      <c r="T204" s="20" t="s">
        <v>25</v>
      </c>
      <c r="U204" s="120"/>
    </row>
    <row r="205" s="42" customFormat="1" customHeight="1" spans="1:21">
      <c r="A205" s="1138"/>
      <c r="B205" s="19"/>
      <c r="C205" s="19"/>
      <c r="D205" s="19">
        <v>20250320</v>
      </c>
      <c r="E205" s="153">
        <v>7.17</v>
      </c>
      <c r="F205" s="19" t="s">
        <v>881</v>
      </c>
      <c r="G205" s="20" t="s">
        <v>882</v>
      </c>
      <c r="H205" s="23"/>
      <c r="I205" s="690"/>
      <c r="J205" s="21"/>
      <c r="K205" s="690"/>
      <c r="L205" s="21"/>
      <c r="M205" s="21"/>
      <c r="N205" s="37">
        <v>0.0259007118709677</v>
      </c>
      <c r="O205" s="22">
        <v>0.0402867568413535</v>
      </c>
      <c r="P205" s="37">
        <v>0.2</v>
      </c>
      <c r="Q205" s="37"/>
      <c r="R205" s="22">
        <f t="shared" si="26"/>
        <v>0.266187468712321</v>
      </c>
      <c r="S205" s="23"/>
      <c r="T205" s="20"/>
      <c r="U205" s="120"/>
    </row>
    <row r="206" s="42" customFormat="1" customHeight="1" spans="1:21">
      <c r="A206" s="1138"/>
      <c r="B206" s="19"/>
      <c r="C206" s="19"/>
      <c r="D206" s="19"/>
      <c r="E206" s="21"/>
      <c r="F206" s="19" t="s">
        <v>883</v>
      </c>
      <c r="G206" s="20" t="s">
        <v>509</v>
      </c>
      <c r="H206" s="20"/>
      <c r="I206" s="21"/>
      <c r="J206" s="21"/>
      <c r="K206" s="21"/>
      <c r="L206" s="21"/>
      <c r="M206" s="21"/>
      <c r="N206" s="37">
        <v>0.625826397146255</v>
      </c>
      <c r="O206" s="22">
        <v>3.03448275862069</v>
      </c>
      <c r="P206" s="22">
        <v>0.4</v>
      </c>
      <c r="Q206" s="154"/>
      <c r="R206" s="22">
        <f t="shared" si="26"/>
        <v>4.06030915576695</v>
      </c>
      <c r="S206" s="23"/>
      <c r="T206" s="23" t="s">
        <v>25</v>
      </c>
      <c r="U206" s="120" t="s">
        <v>1406</v>
      </c>
    </row>
    <row r="207" s="42" customFormat="1" customHeight="1" spans="1:21">
      <c r="A207" s="1138"/>
      <c r="B207" s="19"/>
      <c r="C207" s="19"/>
      <c r="D207" s="19"/>
      <c r="E207" s="21"/>
      <c r="F207" s="19" t="s">
        <v>884</v>
      </c>
      <c r="G207" s="20" t="s">
        <v>508</v>
      </c>
      <c r="H207" s="20"/>
      <c r="I207" s="21"/>
      <c r="J207" s="21"/>
      <c r="K207" s="21"/>
      <c r="L207" s="21"/>
      <c r="M207" s="21"/>
      <c r="N207" s="37">
        <v>0.0298012570069645</v>
      </c>
      <c r="O207" s="22">
        <v>0.0492610837438424</v>
      </c>
      <c r="P207" s="22">
        <v>0.4</v>
      </c>
      <c r="Q207" s="727"/>
      <c r="R207" s="22">
        <f t="shared" si="26"/>
        <v>0.479062340750807</v>
      </c>
      <c r="S207" s="23"/>
      <c r="T207" s="23"/>
      <c r="U207" s="120" t="s">
        <v>1406</v>
      </c>
    </row>
    <row r="208" s="839" customFormat="1" customHeight="1" spans="1:21">
      <c r="A208" s="1138"/>
      <c r="B208" s="19"/>
      <c r="C208" s="19"/>
      <c r="D208" s="19"/>
      <c r="E208" s="21"/>
      <c r="F208" s="19" t="s">
        <v>885</v>
      </c>
      <c r="G208" s="20" t="s">
        <v>886</v>
      </c>
      <c r="H208" s="20"/>
      <c r="I208" s="20"/>
      <c r="J208" s="20"/>
      <c r="K208" s="21"/>
      <c r="L208" s="39"/>
      <c r="M208" s="39"/>
      <c r="N208" s="37">
        <v>0.141158620689655</v>
      </c>
      <c r="O208" s="22">
        <v>0.77</v>
      </c>
      <c r="P208" s="22">
        <v>0.4</v>
      </c>
      <c r="Q208" s="727"/>
      <c r="R208" s="22">
        <f t="shared" si="26"/>
        <v>1.31115862068966</v>
      </c>
      <c r="S208" s="20"/>
      <c r="T208" s="20"/>
      <c r="U208" s="120" t="s">
        <v>1406</v>
      </c>
    </row>
    <row r="209" s="42" customFormat="1" customHeight="1" spans="1:21">
      <c r="A209" s="1138"/>
      <c r="B209" s="19"/>
      <c r="C209" s="19"/>
      <c r="D209" s="19"/>
      <c r="E209" s="21"/>
      <c r="F209" s="19" t="s">
        <v>393</v>
      </c>
      <c r="G209" s="20" t="s">
        <v>394</v>
      </c>
      <c r="H209" s="20"/>
      <c r="I209" s="21"/>
      <c r="J209" s="22"/>
      <c r="K209" s="21"/>
      <c r="L209" s="21"/>
      <c r="M209" s="21"/>
      <c r="N209" s="37">
        <v>0.366004137931034</v>
      </c>
      <c r="O209" s="22">
        <v>1.09</v>
      </c>
      <c r="P209" s="22">
        <v>0.2</v>
      </c>
      <c r="Q209" s="727"/>
      <c r="R209" s="22">
        <f t="shared" si="26"/>
        <v>1.65600413793103</v>
      </c>
      <c r="S209" s="20"/>
      <c r="T209" s="20"/>
      <c r="U209" s="120" t="s">
        <v>1406</v>
      </c>
    </row>
    <row r="210" s="839" customFormat="1" customHeight="1" spans="1:21">
      <c r="A210" s="1138"/>
      <c r="B210" s="19" t="s">
        <v>3849</v>
      </c>
      <c r="C210" s="19"/>
      <c r="D210" s="19"/>
      <c r="E210" s="21"/>
      <c r="F210" s="19"/>
      <c r="G210" s="688" t="s">
        <v>2546</v>
      </c>
      <c r="H210" s="688" t="s">
        <v>1933</v>
      </c>
      <c r="I210" s="21" t="s">
        <v>3850</v>
      </c>
      <c r="J210" s="690" t="s">
        <v>1913</v>
      </c>
      <c r="K210" s="690" t="s">
        <v>3851</v>
      </c>
      <c r="L210" s="138" t="s">
        <v>3513</v>
      </c>
      <c r="M210" s="699" t="s">
        <v>3697</v>
      </c>
      <c r="N210" s="37">
        <v>3.51242630286089</v>
      </c>
      <c r="O210" s="22">
        <v>12.9804648287634</v>
      </c>
      <c r="P210" s="37">
        <v>2.96955130124646</v>
      </c>
      <c r="Q210" s="727"/>
      <c r="R210" s="22">
        <f t="shared" si="26"/>
        <v>19.4624424328708</v>
      </c>
      <c r="S210" s="20" t="s">
        <v>2854</v>
      </c>
      <c r="T210" s="23" t="s">
        <v>3852</v>
      </c>
      <c r="U210" s="120" t="s">
        <v>1406</v>
      </c>
    </row>
    <row r="211" s="839" customFormat="1" customHeight="1" spans="1:21">
      <c r="A211" s="1138"/>
      <c r="B211" s="19"/>
      <c r="C211" s="19"/>
      <c r="D211" s="19"/>
      <c r="E211" s="153">
        <v>7.17</v>
      </c>
      <c r="F211" s="19"/>
      <c r="G211" s="688" t="s">
        <v>2306</v>
      </c>
      <c r="H211" s="688" t="s">
        <v>3540</v>
      </c>
      <c r="I211" s="21" t="s">
        <v>3853</v>
      </c>
      <c r="J211" s="690" t="s">
        <v>1913</v>
      </c>
      <c r="K211" s="690" t="s">
        <v>1428</v>
      </c>
      <c r="L211" s="138" t="s">
        <v>3513</v>
      </c>
      <c r="M211" s="690" t="s">
        <v>1428</v>
      </c>
      <c r="N211" s="37">
        <v>3.51242630286089</v>
      </c>
      <c r="O211" s="22">
        <v>12.420790363711</v>
      </c>
      <c r="P211" s="37">
        <f t="shared" ref="P211:P219" si="27">Q211/E211/1.13</f>
        <v>3.07698004221128</v>
      </c>
      <c r="Q211" s="154">
        <v>24.93</v>
      </c>
      <c r="R211" s="22">
        <f t="shared" si="26"/>
        <v>19.0101967087832</v>
      </c>
      <c r="S211" s="20" t="s">
        <v>2854</v>
      </c>
      <c r="T211" s="23" t="s">
        <v>3854</v>
      </c>
      <c r="U211" s="120" t="s">
        <v>1406</v>
      </c>
    </row>
    <row r="212" s="839" customFormat="1" customHeight="1" spans="1:21">
      <c r="A212" s="1138"/>
      <c r="B212" s="19"/>
      <c r="C212" s="19"/>
      <c r="D212" s="19"/>
      <c r="E212" s="153">
        <v>7.17</v>
      </c>
      <c r="F212" s="19"/>
      <c r="G212" s="688" t="s">
        <v>2431</v>
      </c>
      <c r="H212" s="688" t="s">
        <v>1933</v>
      </c>
      <c r="I212" s="21" t="s">
        <v>3855</v>
      </c>
      <c r="J212" s="690" t="s">
        <v>1913</v>
      </c>
      <c r="K212" s="690" t="s">
        <v>1428</v>
      </c>
      <c r="L212" s="138" t="s">
        <v>3513</v>
      </c>
      <c r="M212" s="690" t="s">
        <v>1428</v>
      </c>
      <c r="N212" s="37">
        <v>3.51242630286089</v>
      </c>
      <c r="O212" s="22">
        <v>13.821802544539</v>
      </c>
      <c r="P212" s="37">
        <f t="shared" si="27"/>
        <v>3.07698004221128</v>
      </c>
      <c r="Q212" s="154">
        <v>24.93</v>
      </c>
      <c r="R212" s="22">
        <f t="shared" si="26"/>
        <v>20.4112088896112</v>
      </c>
      <c r="S212" s="20" t="s">
        <v>2854</v>
      </c>
      <c r="T212" s="23" t="s">
        <v>3856</v>
      </c>
      <c r="U212" s="120" t="s">
        <v>1406</v>
      </c>
    </row>
    <row r="213" s="839" customFormat="1" customHeight="1" spans="1:21">
      <c r="A213" s="1138"/>
      <c r="B213" s="19"/>
      <c r="C213" s="19"/>
      <c r="D213" s="19"/>
      <c r="E213" s="153">
        <v>7.17</v>
      </c>
      <c r="F213" s="19"/>
      <c r="G213" s="688" t="s">
        <v>1558</v>
      </c>
      <c r="H213" s="688" t="s">
        <v>1933</v>
      </c>
      <c r="I213" s="21" t="s">
        <v>3794</v>
      </c>
      <c r="J213" s="690" t="s">
        <v>1913</v>
      </c>
      <c r="K213" s="690" t="s">
        <v>1742</v>
      </c>
      <c r="L213" s="138" t="s">
        <v>3513</v>
      </c>
      <c r="M213" s="21">
        <v>6</v>
      </c>
      <c r="N213" s="37">
        <v>3.51242630286089</v>
      </c>
      <c r="O213" s="22">
        <v>13.3676154516797</v>
      </c>
      <c r="P213" s="37">
        <f t="shared" si="27"/>
        <v>3.07698004221128</v>
      </c>
      <c r="Q213" s="154">
        <v>24.93</v>
      </c>
      <c r="R213" s="22">
        <f t="shared" si="26"/>
        <v>25.9570217967519</v>
      </c>
      <c r="S213" s="20" t="s">
        <v>2854</v>
      </c>
      <c r="T213" s="23" t="s">
        <v>3857</v>
      </c>
      <c r="U213" s="120" t="s">
        <v>1406</v>
      </c>
    </row>
    <row r="214" s="839" customFormat="1" customHeight="1" spans="1:21">
      <c r="A214" s="1138"/>
      <c r="B214" s="19"/>
      <c r="C214" s="19"/>
      <c r="D214" s="19"/>
      <c r="E214" s="153">
        <v>7.17</v>
      </c>
      <c r="F214" s="19"/>
      <c r="G214" s="688" t="s">
        <v>2459</v>
      </c>
      <c r="H214" s="688" t="s">
        <v>1933</v>
      </c>
      <c r="I214" s="21" t="s">
        <v>3855</v>
      </c>
      <c r="J214" s="690" t="s">
        <v>3670</v>
      </c>
      <c r="K214" s="690" t="s">
        <v>1428</v>
      </c>
      <c r="L214" s="138" t="s">
        <v>3513</v>
      </c>
      <c r="M214" s="690" t="s">
        <v>1428</v>
      </c>
      <c r="N214" s="37">
        <v>3.51242630286089</v>
      </c>
      <c r="O214" s="22">
        <v>12.9139661335857</v>
      </c>
      <c r="P214" s="37">
        <f t="shared" si="27"/>
        <v>3.07698004221128</v>
      </c>
      <c r="Q214" s="154">
        <v>24.93</v>
      </c>
      <c r="R214" s="22">
        <f t="shared" si="26"/>
        <v>19.5033724786579</v>
      </c>
      <c r="S214" s="20" t="s">
        <v>3800</v>
      </c>
      <c r="T214" s="167" t="s">
        <v>3858</v>
      </c>
      <c r="U214" s="120" t="s">
        <v>1406</v>
      </c>
    </row>
    <row r="215" s="839" customFormat="1" customHeight="1" spans="1:21">
      <c r="A215" s="1138"/>
      <c r="B215" s="19"/>
      <c r="C215" s="19"/>
      <c r="D215" s="19"/>
      <c r="E215" s="153">
        <v>7.17</v>
      </c>
      <c r="F215" s="19"/>
      <c r="G215" s="688" t="s">
        <v>1723</v>
      </c>
      <c r="H215" s="688" t="s">
        <v>1933</v>
      </c>
      <c r="I215" s="21" t="s">
        <v>3855</v>
      </c>
      <c r="J215" s="690" t="s">
        <v>3670</v>
      </c>
      <c r="K215" s="690" t="s">
        <v>1428</v>
      </c>
      <c r="L215" s="138" t="s">
        <v>3513</v>
      </c>
      <c r="M215" s="690" t="s">
        <v>1428</v>
      </c>
      <c r="N215" s="37">
        <v>3.51242630286089</v>
      </c>
      <c r="O215" s="22">
        <v>11.9441054264832</v>
      </c>
      <c r="P215" s="37">
        <f t="shared" si="27"/>
        <v>3.07698004221128</v>
      </c>
      <c r="Q215" s="154">
        <v>24.93</v>
      </c>
      <c r="R215" s="22">
        <f t="shared" si="26"/>
        <v>18.5335117715554</v>
      </c>
      <c r="S215" s="20" t="s">
        <v>3800</v>
      </c>
      <c r="T215" s="167" t="s">
        <v>3858</v>
      </c>
      <c r="U215" s="120" t="s">
        <v>1406</v>
      </c>
    </row>
    <row r="216" s="839" customFormat="1" customHeight="1" spans="1:21">
      <c r="A216" s="1138"/>
      <c r="B216" s="19"/>
      <c r="C216" s="19"/>
      <c r="D216" s="19"/>
      <c r="E216" s="153">
        <v>7.17</v>
      </c>
      <c r="F216" s="19"/>
      <c r="G216" s="688" t="s">
        <v>1587</v>
      </c>
      <c r="H216" s="688" t="s">
        <v>1933</v>
      </c>
      <c r="I216" s="21" t="s">
        <v>3855</v>
      </c>
      <c r="J216" s="690" t="s">
        <v>3670</v>
      </c>
      <c r="K216" s="690"/>
      <c r="L216" s="138" t="s">
        <v>3513</v>
      </c>
      <c r="M216" s="690" t="s">
        <v>1428</v>
      </c>
      <c r="N216" s="37">
        <v>3.51242630286089</v>
      </c>
      <c r="O216" s="22">
        <v>11.9218789901162</v>
      </c>
      <c r="P216" s="37">
        <f t="shared" si="27"/>
        <v>3.07698004221128</v>
      </c>
      <c r="Q216" s="154">
        <v>24.93</v>
      </c>
      <c r="R216" s="22">
        <f t="shared" si="26"/>
        <v>18.5112853351884</v>
      </c>
      <c r="S216" s="20" t="s">
        <v>3800</v>
      </c>
      <c r="T216" s="167" t="s">
        <v>3858</v>
      </c>
      <c r="U216" s="120" t="s">
        <v>1406</v>
      </c>
    </row>
    <row r="217" s="839" customFormat="1" customHeight="1" spans="1:21">
      <c r="A217" s="1138"/>
      <c r="B217" s="19"/>
      <c r="C217" s="19"/>
      <c r="D217" s="19"/>
      <c r="E217" s="153">
        <v>7.17</v>
      </c>
      <c r="F217" s="19"/>
      <c r="G217" s="688" t="s">
        <v>667</v>
      </c>
      <c r="H217" s="688" t="s">
        <v>1933</v>
      </c>
      <c r="I217" s="21" t="s">
        <v>3859</v>
      </c>
      <c r="J217" s="690" t="s">
        <v>3670</v>
      </c>
      <c r="K217" s="690" t="s">
        <v>1428</v>
      </c>
      <c r="L217" s="700" t="s">
        <v>1428</v>
      </c>
      <c r="M217" s="690" t="s">
        <v>1428</v>
      </c>
      <c r="N217" s="37">
        <v>3.51242630286089</v>
      </c>
      <c r="O217" s="22">
        <v>11.300396226455</v>
      </c>
      <c r="P217" s="37">
        <f t="shared" si="27"/>
        <v>3.07698004221128</v>
      </c>
      <c r="Q217" s="154">
        <v>24.93</v>
      </c>
      <c r="R217" s="22">
        <f t="shared" si="26"/>
        <v>17.8898025715272</v>
      </c>
      <c r="S217" s="20" t="s">
        <v>3800</v>
      </c>
      <c r="T217" s="167" t="s">
        <v>3858</v>
      </c>
      <c r="U217" s="120" t="s">
        <v>1406</v>
      </c>
    </row>
    <row r="218" s="839" customFormat="1" customHeight="1" spans="1:21">
      <c r="A218" s="1138"/>
      <c r="B218" s="19"/>
      <c r="C218" s="19"/>
      <c r="D218" s="19">
        <v>20240521</v>
      </c>
      <c r="E218" s="153">
        <v>7.17</v>
      </c>
      <c r="F218" s="19" t="s">
        <v>3860</v>
      </c>
      <c r="G218" s="688" t="s">
        <v>2483</v>
      </c>
      <c r="H218" s="688" t="s">
        <v>1933</v>
      </c>
      <c r="I218" s="21" t="s">
        <v>3855</v>
      </c>
      <c r="J218" s="690" t="s">
        <v>1913</v>
      </c>
      <c r="K218" s="690" t="s">
        <v>1428</v>
      </c>
      <c r="L218" s="138" t="s">
        <v>3513</v>
      </c>
      <c r="M218" s="690" t="s">
        <v>1428</v>
      </c>
      <c r="N218" s="37">
        <v>3.51727772040628</v>
      </c>
      <c r="O218" s="22">
        <v>10.7185641750321</v>
      </c>
      <c r="P218" s="37">
        <f t="shared" si="27"/>
        <v>3.07698004221128</v>
      </c>
      <c r="Q218" s="154">
        <v>24.93</v>
      </c>
      <c r="R218" s="22">
        <f t="shared" si="26"/>
        <v>17.3128219376497</v>
      </c>
      <c r="S218" s="20" t="s">
        <v>2854</v>
      </c>
      <c r="T218" s="23" t="s">
        <v>3861</v>
      </c>
      <c r="U218" s="120"/>
    </row>
    <row r="219" s="839" customFormat="1" customHeight="1" spans="1:21">
      <c r="A219" s="1138"/>
      <c r="B219" s="19"/>
      <c r="C219" s="19"/>
      <c r="D219" s="19"/>
      <c r="E219" s="153">
        <v>7.17</v>
      </c>
      <c r="F219" s="19" t="s">
        <v>791</v>
      </c>
      <c r="G219" s="688" t="s">
        <v>562</v>
      </c>
      <c r="H219" s="688"/>
      <c r="I219" s="21"/>
      <c r="J219" s="690"/>
      <c r="K219" s="690"/>
      <c r="L219" s="21"/>
      <c r="M219" s="690"/>
      <c r="N219" s="37">
        <v>0.379731602004918</v>
      </c>
      <c r="O219" s="22">
        <v>1.59733816930119</v>
      </c>
      <c r="P219" s="37">
        <f t="shared" si="27"/>
        <v>3.07698004221128</v>
      </c>
      <c r="Q219" s="154">
        <v>24.93</v>
      </c>
      <c r="R219" s="22">
        <f t="shared" si="26"/>
        <v>5.05404981351739</v>
      </c>
      <c r="S219" s="20"/>
      <c r="T219" s="23"/>
      <c r="U219" s="120" t="s">
        <v>1406</v>
      </c>
    </row>
    <row r="220" s="839" customFormat="1" customHeight="1" spans="1:21">
      <c r="A220" s="1138"/>
      <c r="B220" s="23"/>
      <c r="C220" s="23"/>
      <c r="D220" s="23"/>
      <c r="E220" s="21"/>
      <c r="F220" s="23" t="s">
        <v>888</v>
      </c>
      <c r="G220" s="20" t="s">
        <v>889</v>
      </c>
      <c r="H220" s="20"/>
      <c r="I220" s="20"/>
      <c r="J220" s="20"/>
      <c r="K220" s="20"/>
      <c r="L220" s="20"/>
      <c r="M220" s="20"/>
      <c r="N220" s="37">
        <v>0.109271275692203</v>
      </c>
      <c r="O220" s="22">
        <v>0.610837438423645</v>
      </c>
      <c r="P220" s="22">
        <v>0.4</v>
      </c>
      <c r="Q220" s="154"/>
      <c r="R220" s="22">
        <f t="shared" si="26"/>
        <v>1.12010871411585</v>
      </c>
      <c r="S220" s="20"/>
      <c r="T220" s="20"/>
      <c r="U220" s="120" t="s">
        <v>1406</v>
      </c>
    </row>
    <row r="221" s="839" customFormat="1" customHeight="1" spans="1:21">
      <c r="A221" s="1138"/>
      <c r="B221" s="19"/>
      <c r="C221" s="19"/>
      <c r="D221" s="19"/>
      <c r="E221" s="21"/>
      <c r="F221" s="19"/>
      <c r="G221" s="693" t="s">
        <v>3862</v>
      </c>
      <c r="H221" s="688" t="s">
        <v>1933</v>
      </c>
      <c r="I221" s="21" t="s">
        <v>3794</v>
      </c>
      <c r="J221" s="21" t="s">
        <v>3463</v>
      </c>
      <c r="K221" s="690" t="s">
        <v>1742</v>
      </c>
      <c r="L221" s="138" t="s">
        <v>3513</v>
      </c>
      <c r="M221" s="21">
        <v>6</v>
      </c>
      <c r="N221" s="37">
        <v>4.47018855104467</v>
      </c>
      <c r="O221" s="22">
        <v>15.4187192118227</v>
      </c>
      <c r="P221" s="22">
        <v>3.54861111111111</v>
      </c>
      <c r="Q221" s="727"/>
      <c r="R221" s="22">
        <f t="shared" si="26"/>
        <v>29.4375188739785</v>
      </c>
      <c r="S221" s="20" t="s">
        <v>3863</v>
      </c>
      <c r="T221" s="23" t="s">
        <v>3864</v>
      </c>
      <c r="U221" s="120" t="s">
        <v>1406</v>
      </c>
    </row>
    <row r="222" s="839" customFormat="1" customHeight="1" spans="1:21">
      <c r="A222" s="1138"/>
      <c r="B222" s="19"/>
      <c r="C222" s="19"/>
      <c r="D222" s="19"/>
      <c r="E222" s="21"/>
      <c r="F222" s="19"/>
      <c r="G222" s="693" t="s">
        <v>3865</v>
      </c>
      <c r="H222" s="688"/>
      <c r="I222" s="21" t="s">
        <v>3866</v>
      </c>
      <c r="J222" s="21" t="s">
        <v>3867</v>
      </c>
      <c r="K222" s="690" t="s">
        <v>1428</v>
      </c>
      <c r="L222" s="138" t="s">
        <v>3513</v>
      </c>
      <c r="M222" s="690" t="s">
        <v>1428</v>
      </c>
      <c r="N222" s="37">
        <v>0.34768133174792</v>
      </c>
      <c r="O222" s="22">
        <v>0.669950738916256</v>
      </c>
      <c r="P222" s="22">
        <v>3.54861111111111</v>
      </c>
      <c r="Q222" s="727"/>
      <c r="R222" s="22">
        <f t="shared" si="26"/>
        <v>4.56624318177529</v>
      </c>
      <c r="S222" s="20" t="s">
        <v>3868</v>
      </c>
      <c r="T222" s="23" t="s">
        <v>3869</v>
      </c>
      <c r="U222" s="120" t="s">
        <v>1406</v>
      </c>
    </row>
    <row r="223" s="839" customFormat="1" customHeight="1" spans="1:21">
      <c r="A223" s="1138"/>
      <c r="B223" s="19"/>
      <c r="C223" s="19"/>
      <c r="D223" s="19"/>
      <c r="E223" s="21"/>
      <c r="F223" s="19"/>
      <c r="G223" s="693" t="s">
        <v>3870</v>
      </c>
      <c r="H223" s="688"/>
      <c r="I223" s="21"/>
      <c r="J223" s="21"/>
      <c r="K223" s="690"/>
      <c r="L223" s="21"/>
      <c r="M223" s="690"/>
      <c r="N223" s="37">
        <v>0.34768133174792</v>
      </c>
      <c r="O223" s="22">
        <v>0.532019704433498</v>
      </c>
      <c r="P223" s="22">
        <v>0.2</v>
      </c>
      <c r="Q223" s="727"/>
      <c r="R223" s="22">
        <f t="shared" si="26"/>
        <v>1.07970103618142</v>
      </c>
      <c r="S223" s="20"/>
      <c r="T223" s="23"/>
      <c r="U223" s="120" t="s">
        <v>1406</v>
      </c>
    </row>
    <row r="224" s="42" customFormat="1" customHeight="1" spans="1:21">
      <c r="A224" s="1138"/>
      <c r="B224" s="23"/>
      <c r="C224" s="23"/>
      <c r="D224" s="23"/>
      <c r="E224" s="21"/>
      <c r="F224" s="23" t="s">
        <v>393</v>
      </c>
      <c r="G224" s="20" t="s">
        <v>394</v>
      </c>
      <c r="H224" s="20"/>
      <c r="I224" s="21"/>
      <c r="J224" s="22"/>
      <c r="K224" s="21"/>
      <c r="L224" s="21"/>
      <c r="M224" s="21"/>
      <c r="N224" s="37">
        <v>0.366004137931034</v>
      </c>
      <c r="O224" s="22">
        <v>1.09</v>
      </c>
      <c r="P224" s="22">
        <v>0.2</v>
      </c>
      <c r="Q224" s="727"/>
      <c r="R224" s="22">
        <f t="shared" si="26"/>
        <v>1.65600413793103</v>
      </c>
      <c r="S224" s="20"/>
      <c r="T224" s="20"/>
      <c r="U224" s="120" t="s">
        <v>1406</v>
      </c>
    </row>
    <row r="225" s="42" customFormat="1" customHeight="1" spans="1:21">
      <c r="A225" s="1138"/>
      <c r="B225" s="19" t="s">
        <v>3871</v>
      </c>
      <c r="C225" s="19"/>
      <c r="D225" s="19"/>
      <c r="E225" s="153">
        <v>7.17</v>
      </c>
      <c r="F225" s="19"/>
      <c r="G225" s="20" t="s">
        <v>1571</v>
      </c>
      <c r="H225" s="23" t="s">
        <v>1933</v>
      </c>
      <c r="I225" s="21" t="s">
        <v>3855</v>
      </c>
      <c r="J225" s="21" t="s">
        <v>3432</v>
      </c>
      <c r="K225" s="21" t="s">
        <v>3851</v>
      </c>
      <c r="L225" s="138" t="s">
        <v>3513</v>
      </c>
      <c r="M225" s="699" t="s">
        <v>3697</v>
      </c>
      <c r="N225" s="37">
        <v>5.79137761168677</v>
      </c>
      <c r="O225" s="22">
        <v>12.5714285714286</v>
      </c>
      <c r="P225" s="37">
        <f>Q225/E225/1.13</f>
        <v>3.09796225669888</v>
      </c>
      <c r="Q225" s="154">
        <v>25.1</v>
      </c>
      <c r="R225" s="22">
        <f t="shared" si="26"/>
        <v>21.4607684398143</v>
      </c>
      <c r="S225" s="38" t="s">
        <v>3872</v>
      </c>
      <c r="T225" s="20" t="s">
        <v>3873</v>
      </c>
      <c r="U225" s="120" t="s">
        <v>1406</v>
      </c>
    </row>
    <row r="226" s="42" customFormat="1" customHeight="1" spans="1:21">
      <c r="A226" s="1138"/>
      <c r="B226" s="19"/>
      <c r="C226" s="19"/>
      <c r="D226" s="19"/>
      <c r="E226" s="153">
        <v>7.17</v>
      </c>
      <c r="F226" s="19"/>
      <c r="G226" s="20" t="s">
        <v>1672</v>
      </c>
      <c r="H226" s="23" t="s">
        <v>1933</v>
      </c>
      <c r="I226" s="21" t="s">
        <v>3853</v>
      </c>
      <c r="J226" s="21" t="s">
        <v>3624</v>
      </c>
      <c r="K226" s="21" t="s">
        <v>3874</v>
      </c>
      <c r="L226" s="138" t="s">
        <v>3513</v>
      </c>
      <c r="M226" s="699" t="s">
        <v>3697</v>
      </c>
      <c r="N226" s="37">
        <v>5.79137761168677</v>
      </c>
      <c r="O226" s="22">
        <v>12.1674876847291</v>
      </c>
      <c r="P226" s="37">
        <f>Q226/E226/1.13</f>
        <v>3.09796225669888</v>
      </c>
      <c r="Q226" s="154">
        <v>25.1</v>
      </c>
      <c r="R226" s="22">
        <f t="shared" si="26"/>
        <v>21.0568275531148</v>
      </c>
      <c r="S226" s="38" t="s">
        <v>3719</v>
      </c>
      <c r="T226" s="20" t="s">
        <v>3875</v>
      </c>
      <c r="U226" s="120" t="s">
        <v>1406</v>
      </c>
    </row>
    <row r="227" s="42" customFormat="1" customHeight="1" spans="1:21">
      <c r="A227" s="1138"/>
      <c r="B227" s="19"/>
      <c r="C227" s="19"/>
      <c r="D227" s="19"/>
      <c r="E227" s="153">
        <v>7.17</v>
      </c>
      <c r="F227" s="19"/>
      <c r="G227" s="20" t="s">
        <v>1998</v>
      </c>
      <c r="H227" s="23" t="s">
        <v>1933</v>
      </c>
      <c r="I227" s="21" t="s">
        <v>3853</v>
      </c>
      <c r="J227" s="21" t="s">
        <v>3624</v>
      </c>
      <c r="K227" s="21" t="s">
        <v>3874</v>
      </c>
      <c r="L227" s="138" t="s">
        <v>3513</v>
      </c>
      <c r="M227" s="699" t="s">
        <v>3697</v>
      </c>
      <c r="N227" s="37">
        <v>5.79137761168677</v>
      </c>
      <c r="O227" s="22">
        <v>12.6600985221675</v>
      </c>
      <c r="P227" s="37">
        <f>Q227/E227/1.13</f>
        <v>3.09796225669888</v>
      </c>
      <c r="Q227" s="154">
        <v>25.1</v>
      </c>
      <c r="R227" s="22">
        <f t="shared" si="26"/>
        <v>21.5494383905531</v>
      </c>
      <c r="S227" s="38" t="s">
        <v>3719</v>
      </c>
      <c r="T227" s="20" t="s">
        <v>3876</v>
      </c>
      <c r="U227" s="120" t="s">
        <v>1406</v>
      </c>
    </row>
    <row r="228" s="839" customFormat="1" customHeight="1" spans="1:21">
      <c r="A228" s="1138"/>
      <c r="B228" s="23"/>
      <c r="C228" s="23"/>
      <c r="D228" s="23"/>
      <c r="E228" s="153">
        <v>7.17</v>
      </c>
      <c r="F228" s="23" t="s">
        <v>885</v>
      </c>
      <c r="G228" s="20" t="s">
        <v>886</v>
      </c>
      <c r="H228" s="20"/>
      <c r="I228" s="20"/>
      <c r="J228" s="20"/>
      <c r="K228" s="21"/>
      <c r="L228" s="20"/>
      <c r="M228" s="20"/>
      <c r="N228" s="37">
        <v>0.141158620689655</v>
      </c>
      <c r="O228" s="22">
        <v>0.77</v>
      </c>
      <c r="P228" s="22">
        <v>0.4</v>
      </c>
      <c r="Q228" s="154"/>
      <c r="R228" s="22">
        <f t="shared" si="26"/>
        <v>1.31115862068966</v>
      </c>
      <c r="S228" s="20"/>
      <c r="T228" s="20"/>
      <c r="U228" s="120" t="s">
        <v>1406</v>
      </c>
    </row>
    <row r="229" s="839" customFormat="1" customHeight="1" spans="1:21">
      <c r="A229" s="1138"/>
      <c r="B229" s="23"/>
      <c r="C229" s="23"/>
      <c r="D229" s="23"/>
      <c r="E229" s="21"/>
      <c r="F229" s="23" t="s">
        <v>896</v>
      </c>
      <c r="G229" s="20" t="s">
        <v>897</v>
      </c>
      <c r="H229" s="20"/>
      <c r="I229" s="20"/>
      <c r="J229" s="20"/>
      <c r="K229" s="21"/>
      <c r="L229" s="20"/>
      <c r="M229" s="20"/>
      <c r="N229" s="37">
        <v>0.151241379310345</v>
      </c>
      <c r="O229" s="22">
        <v>0.99</v>
      </c>
      <c r="P229" s="22">
        <v>0.4</v>
      </c>
      <c r="Q229" s="727"/>
      <c r="R229" s="22">
        <f t="shared" si="26"/>
        <v>1.54124137931035</v>
      </c>
      <c r="S229" s="20"/>
      <c r="T229" s="20"/>
      <c r="U229" s="120" t="s">
        <v>1406</v>
      </c>
    </row>
    <row r="230" s="839" customFormat="1" customHeight="1" spans="1:21">
      <c r="A230" s="1138"/>
      <c r="B230" s="23"/>
      <c r="C230" s="23"/>
      <c r="D230" s="23"/>
      <c r="E230" s="21"/>
      <c r="F230" s="23" t="s">
        <v>899</v>
      </c>
      <c r="G230" s="39" t="s">
        <v>900</v>
      </c>
      <c r="H230" s="23"/>
      <c r="I230" s="21"/>
      <c r="J230" s="21"/>
      <c r="K230" s="21"/>
      <c r="L230" s="21"/>
      <c r="M230" s="21"/>
      <c r="N230" s="37">
        <v>0.516555121454052</v>
      </c>
      <c r="O230" s="22">
        <v>4.01970443349754</v>
      </c>
      <c r="P230" s="22">
        <v>0.4</v>
      </c>
      <c r="Q230" s="727"/>
      <c r="R230" s="22">
        <f t="shared" si="26"/>
        <v>4.93625955495159</v>
      </c>
      <c r="S230" s="38"/>
      <c r="T230" s="20" t="s">
        <v>840</v>
      </c>
      <c r="U230" s="120" t="s">
        <v>1406</v>
      </c>
    </row>
    <row r="231" s="839" customFormat="1" customHeight="1" spans="1:21">
      <c r="A231" s="1138"/>
      <c r="B231" s="19"/>
      <c r="C231" s="19"/>
      <c r="D231" s="19"/>
      <c r="E231" s="21"/>
      <c r="F231" s="19" t="s">
        <v>901</v>
      </c>
      <c r="G231" s="20" t="s">
        <v>580</v>
      </c>
      <c r="H231" s="20"/>
      <c r="I231" s="20"/>
      <c r="J231" s="20"/>
      <c r="K231" s="21"/>
      <c r="L231" s="20"/>
      <c r="M231" s="20"/>
      <c r="N231" s="37">
        <v>0.57615763546798</v>
      </c>
      <c r="O231" s="22">
        <v>2.77832512315271</v>
      </c>
      <c r="P231" s="22">
        <v>0.4</v>
      </c>
      <c r="Q231" s="727"/>
      <c r="R231" s="22">
        <f t="shared" si="26"/>
        <v>3.75448275862069</v>
      </c>
      <c r="S231" s="20"/>
      <c r="T231" s="23" t="s">
        <v>581</v>
      </c>
      <c r="U231" s="120" t="s">
        <v>1406</v>
      </c>
    </row>
    <row r="232" s="42" customFormat="1" customHeight="1" spans="1:21">
      <c r="A232" s="1138"/>
      <c r="B232" s="19" t="s">
        <v>3877</v>
      </c>
      <c r="C232" s="19"/>
      <c r="D232" s="19"/>
      <c r="E232" s="21"/>
      <c r="F232" s="19"/>
      <c r="G232" s="20" t="s">
        <v>1571</v>
      </c>
      <c r="H232" s="20" t="s">
        <v>1933</v>
      </c>
      <c r="I232" s="21" t="s">
        <v>3794</v>
      </c>
      <c r="J232" s="21" t="s">
        <v>3878</v>
      </c>
      <c r="K232" s="21" t="s">
        <v>3696</v>
      </c>
      <c r="L232" s="138" t="s">
        <v>3513</v>
      </c>
      <c r="M232" s="21" t="s">
        <v>3697</v>
      </c>
      <c r="N232" s="37">
        <v>4.81503280951894</v>
      </c>
      <c r="O232" s="22">
        <v>14.4334975369458</v>
      </c>
      <c r="P232" s="22">
        <v>2.75809718382026</v>
      </c>
      <c r="Q232" s="727"/>
      <c r="R232" s="22">
        <f t="shared" si="26"/>
        <v>22.006627530285</v>
      </c>
      <c r="S232" s="38" t="s">
        <v>3800</v>
      </c>
      <c r="T232" s="759" t="s">
        <v>3879</v>
      </c>
      <c r="U232" s="120" t="s">
        <v>1406</v>
      </c>
    </row>
    <row r="233" s="839" customFormat="1" customHeight="1" spans="1:21">
      <c r="A233" s="1138"/>
      <c r="B233" s="23"/>
      <c r="C233" s="23"/>
      <c r="D233" s="23"/>
      <c r="E233" s="21"/>
      <c r="F233" s="23" t="s">
        <v>903</v>
      </c>
      <c r="G233" s="20" t="s">
        <v>904</v>
      </c>
      <c r="H233" s="20"/>
      <c r="I233" s="20"/>
      <c r="J233" s="20"/>
      <c r="K233" s="21"/>
      <c r="L233" s="20"/>
      <c r="M233" s="20"/>
      <c r="N233" s="37">
        <v>0.141158620689655</v>
      </c>
      <c r="O233" s="22">
        <v>0.77</v>
      </c>
      <c r="P233" s="22">
        <v>0.4</v>
      </c>
      <c r="Q233" s="727"/>
      <c r="R233" s="22">
        <f t="shared" si="26"/>
        <v>1.31115862068966</v>
      </c>
      <c r="S233" s="20"/>
      <c r="T233" s="20"/>
      <c r="U233" s="120" t="s">
        <v>1406</v>
      </c>
    </row>
    <row r="234" s="42" customFormat="1" customHeight="1" spans="1:21">
      <c r="A234" s="1138"/>
      <c r="B234" s="23"/>
      <c r="C234" s="23"/>
      <c r="D234" s="23"/>
      <c r="E234" s="21"/>
      <c r="F234" s="23" t="s">
        <v>906</v>
      </c>
      <c r="G234" s="39" t="s">
        <v>907</v>
      </c>
      <c r="H234" s="39"/>
      <c r="I234" s="21"/>
      <c r="J234" s="21"/>
      <c r="K234" s="21"/>
      <c r="L234" s="690"/>
      <c r="M234" s="690"/>
      <c r="N234" s="37">
        <v>0.366004137931034</v>
      </c>
      <c r="O234" s="22">
        <v>1.2</v>
      </c>
      <c r="P234" s="22">
        <v>0.2</v>
      </c>
      <c r="Q234" s="727"/>
      <c r="R234" s="22">
        <f t="shared" si="26"/>
        <v>1.76600413793103</v>
      </c>
      <c r="S234" s="688"/>
      <c r="T234" s="20"/>
      <c r="U234" s="120" t="s">
        <v>1406</v>
      </c>
    </row>
    <row r="235" s="42" customFormat="1" customHeight="1" spans="1:21">
      <c r="A235" s="1138"/>
      <c r="B235" s="23" t="s">
        <v>3880</v>
      </c>
      <c r="C235" s="23"/>
      <c r="D235" s="23"/>
      <c r="E235" s="21"/>
      <c r="F235" s="23"/>
      <c r="G235" s="20" t="s">
        <v>1581</v>
      </c>
      <c r="H235" s="23" t="s">
        <v>3540</v>
      </c>
      <c r="I235" s="21" t="s">
        <v>3853</v>
      </c>
      <c r="J235" s="21" t="s">
        <v>3432</v>
      </c>
      <c r="K235" s="21" t="s">
        <v>3696</v>
      </c>
      <c r="L235" s="138" t="s">
        <v>3513</v>
      </c>
      <c r="M235" s="21" t="s">
        <v>3697</v>
      </c>
      <c r="N235" s="37">
        <v>2.93408275862069</v>
      </c>
      <c r="O235" s="22">
        <v>8.45</v>
      </c>
      <c r="P235" s="37">
        <v>2.73970986926144</v>
      </c>
      <c r="Q235" s="727"/>
      <c r="R235" s="22">
        <f t="shared" si="26"/>
        <v>14.1237926278821</v>
      </c>
      <c r="S235" s="23" t="s">
        <v>3881</v>
      </c>
      <c r="T235" s="20" t="s">
        <v>3882</v>
      </c>
      <c r="U235" s="120" t="s">
        <v>1406</v>
      </c>
    </row>
    <row r="236" s="42" customFormat="1" customHeight="1" spans="1:21">
      <c r="A236" s="1138"/>
      <c r="B236" s="687"/>
      <c r="C236" s="23"/>
      <c r="D236" s="1811">
        <v>46176</v>
      </c>
      <c r="E236" s="153">
        <v>6.7693</v>
      </c>
      <c r="F236" s="687" t="s">
        <v>3883</v>
      </c>
      <c r="G236" s="149"/>
      <c r="H236" s="687"/>
      <c r="I236" s="153"/>
      <c r="J236" s="153"/>
      <c r="K236" s="153"/>
      <c r="L236" s="1019"/>
      <c r="M236" s="153"/>
      <c r="N236" s="154">
        <f>24.71*1.5/E236/1.13</f>
        <v>4.84553572093898</v>
      </c>
      <c r="O236" s="727">
        <v>8.3</v>
      </c>
      <c r="P236" s="154">
        <f>23/E236/1.13</f>
        <v>3.00680754300813</v>
      </c>
      <c r="Q236" s="727"/>
      <c r="R236" s="727">
        <f t="shared" si="26"/>
        <v>16.1523432639471</v>
      </c>
      <c r="S236" s="23"/>
      <c r="T236" s="20"/>
      <c r="U236" s="120"/>
    </row>
    <row r="237" s="42" customFormat="1" customHeight="1" spans="1:21">
      <c r="A237" s="1138"/>
      <c r="B237" s="687"/>
      <c r="C237" s="23"/>
      <c r="D237" s="1811">
        <v>46176</v>
      </c>
      <c r="E237" s="153">
        <v>6.7693</v>
      </c>
      <c r="F237" s="687" t="s">
        <v>1089</v>
      </c>
      <c r="G237" s="149"/>
      <c r="H237" s="687"/>
      <c r="I237" s="153"/>
      <c r="J237" s="153"/>
      <c r="K237" s="153"/>
      <c r="L237" s="1019"/>
      <c r="M237" s="153"/>
      <c r="N237" s="154">
        <f>2.78/E237/1.13*1.5</f>
        <v>0.545147280623648</v>
      </c>
      <c r="O237" s="727">
        <v>0.66</v>
      </c>
      <c r="P237" s="154">
        <v>0.2</v>
      </c>
      <c r="Q237" s="727"/>
      <c r="R237" s="727">
        <f t="shared" si="26"/>
        <v>1.40514728062365</v>
      </c>
      <c r="S237" s="23"/>
      <c r="T237" s="20"/>
      <c r="U237" s="120"/>
    </row>
    <row r="238" s="42" customFormat="1" customHeight="1" spans="1:21">
      <c r="A238" s="1138"/>
      <c r="B238" s="23"/>
      <c r="C238" s="23"/>
      <c r="D238" s="23"/>
      <c r="E238" s="21">
        <v>7.17</v>
      </c>
      <c r="F238" s="23"/>
      <c r="G238" s="20" t="s">
        <v>1558</v>
      </c>
      <c r="H238" s="23" t="s">
        <v>3540</v>
      </c>
      <c r="I238" s="21" t="s">
        <v>3794</v>
      </c>
      <c r="J238" s="21" t="s">
        <v>3432</v>
      </c>
      <c r="K238" s="21" t="s">
        <v>3696</v>
      </c>
      <c r="L238" s="138" t="s">
        <v>3513</v>
      </c>
      <c r="M238" s="21" t="s">
        <v>3697</v>
      </c>
      <c r="N238" s="37">
        <v>2.93408275862069</v>
      </c>
      <c r="O238" s="22">
        <v>8.46</v>
      </c>
      <c r="P238" s="37">
        <f>Q238/E238/1.13</f>
        <v>2.83877019538144</v>
      </c>
      <c r="Q238" s="37">
        <v>23</v>
      </c>
      <c r="R238" s="22">
        <f t="shared" si="26"/>
        <v>14.2328529540021</v>
      </c>
      <c r="S238" s="23" t="s">
        <v>3881</v>
      </c>
      <c r="T238" s="20" t="s">
        <v>3882</v>
      </c>
      <c r="U238" s="120" t="s">
        <v>1406</v>
      </c>
    </row>
    <row r="239" s="42" customFormat="1" customHeight="1" spans="1:21">
      <c r="A239" s="1138"/>
      <c r="B239" s="23"/>
      <c r="C239" s="23"/>
      <c r="D239" s="23">
        <v>20250401</v>
      </c>
      <c r="E239" s="21">
        <v>7.17</v>
      </c>
      <c r="F239" s="23" t="s">
        <v>3884</v>
      </c>
      <c r="G239" s="20" t="s">
        <v>2311</v>
      </c>
      <c r="H239" s="23"/>
      <c r="I239" s="21" t="s">
        <v>3853</v>
      </c>
      <c r="J239" s="21" t="s">
        <v>3885</v>
      </c>
      <c r="K239" s="21" t="s">
        <v>1635</v>
      </c>
      <c r="L239" s="138" t="s">
        <v>3513</v>
      </c>
      <c r="M239" s="21">
        <v>3.1</v>
      </c>
      <c r="N239" s="37">
        <v>2.93408275862069</v>
      </c>
      <c r="O239" s="22">
        <v>7.0262996392819</v>
      </c>
      <c r="P239" s="37">
        <f>Q239/E239/1.13</f>
        <v>2.83877019538144</v>
      </c>
      <c r="Q239" s="37">
        <v>23</v>
      </c>
      <c r="R239" s="22">
        <f t="shared" si="26"/>
        <v>15.899152593284</v>
      </c>
      <c r="S239" s="750" t="s">
        <v>3886</v>
      </c>
      <c r="T239" s="20" t="s">
        <v>3887</v>
      </c>
      <c r="U239" s="120"/>
    </row>
    <row r="240" s="187" customFormat="1" customHeight="1" spans="1:21">
      <c r="A240" s="1138"/>
      <c r="B240" s="23"/>
      <c r="C240" s="23"/>
      <c r="D240" s="23"/>
      <c r="E240" s="21">
        <v>7.17</v>
      </c>
      <c r="F240" s="23" t="s">
        <v>908</v>
      </c>
      <c r="G240" s="23" t="s">
        <v>3888</v>
      </c>
      <c r="H240" s="23"/>
      <c r="I240" s="21"/>
      <c r="J240" s="21"/>
      <c r="K240" s="21"/>
      <c r="L240" s="21"/>
      <c r="M240" s="21"/>
      <c r="N240" s="37">
        <v>0.373062068965517</v>
      </c>
      <c r="O240" s="22">
        <v>0.75</v>
      </c>
      <c r="P240" s="22">
        <v>0.2</v>
      </c>
      <c r="Q240" s="37"/>
      <c r="R240" s="22">
        <f t="shared" si="26"/>
        <v>1.32306206896552</v>
      </c>
      <c r="S240" s="38"/>
      <c r="T240" s="20"/>
      <c r="U240" s="120" t="s">
        <v>1406</v>
      </c>
    </row>
    <row r="241" s="1244" customFormat="1" customHeight="1" spans="1:21">
      <c r="A241" s="1830"/>
      <c r="B241" s="687"/>
      <c r="C241" s="687"/>
      <c r="D241" s="1188">
        <v>46161</v>
      </c>
      <c r="E241" s="21">
        <v>6.8</v>
      </c>
      <c r="F241" s="23" t="s">
        <v>3883</v>
      </c>
      <c r="G241" s="23"/>
      <c r="H241" s="23"/>
      <c r="I241" s="21"/>
      <c r="J241" s="21"/>
      <c r="K241" s="21"/>
      <c r="L241" s="21"/>
      <c r="M241" s="21"/>
      <c r="N241" s="37">
        <f>20.72/E241/1.13</f>
        <v>2.69651223321187</v>
      </c>
      <c r="O241" s="22">
        <v>8.2</v>
      </c>
      <c r="P241" s="22">
        <v>2.8</v>
      </c>
      <c r="Q241" s="37"/>
      <c r="R241" s="22">
        <f t="shared" si="26"/>
        <v>13.6965122332119</v>
      </c>
      <c r="S241" s="728"/>
      <c r="T241" s="149"/>
      <c r="U241" s="978"/>
    </row>
    <row r="242" s="187" customFormat="1" customHeight="1" spans="1:21">
      <c r="A242" s="1138"/>
      <c r="B242" s="23"/>
      <c r="C242" s="23"/>
      <c r="D242" s="23"/>
      <c r="E242" s="21"/>
      <c r="F242" s="23" t="s">
        <v>910</v>
      </c>
      <c r="G242" s="23" t="s">
        <v>3889</v>
      </c>
      <c r="H242" s="20"/>
      <c r="I242" s="21"/>
      <c r="J242" s="37"/>
      <c r="K242" s="21"/>
      <c r="L242" s="21"/>
      <c r="M242" s="21"/>
      <c r="N242" s="37">
        <v>0.298012570069645</v>
      </c>
      <c r="O242" s="22">
        <v>0.660098522167488</v>
      </c>
      <c r="P242" s="22">
        <v>0.4</v>
      </c>
      <c r="Q242" s="22"/>
      <c r="R242" s="22">
        <f t="shared" si="26"/>
        <v>1.35811109223713</v>
      </c>
      <c r="S242" s="38"/>
      <c r="T242" s="20"/>
      <c r="U242" s="120" t="s">
        <v>1406</v>
      </c>
    </row>
    <row r="243" s="187" customFormat="1" customHeight="1" spans="1:21">
      <c r="A243" s="1138"/>
      <c r="B243" s="23"/>
      <c r="C243" s="23"/>
      <c r="D243" s="23"/>
      <c r="E243" s="21"/>
      <c r="F243" s="23" t="s">
        <v>912</v>
      </c>
      <c r="G243" s="23" t="s">
        <v>913</v>
      </c>
      <c r="H243" s="20"/>
      <c r="I243" s="21"/>
      <c r="J243" s="37"/>
      <c r="K243" s="21"/>
      <c r="L243" s="21"/>
      <c r="M243" s="21"/>
      <c r="N243" s="37">
        <v>0.465823448275862</v>
      </c>
      <c r="O243" s="22">
        <v>0.73</v>
      </c>
      <c r="P243" s="22">
        <v>0.4</v>
      </c>
      <c r="Q243" s="22"/>
      <c r="R243" s="22">
        <f t="shared" si="26"/>
        <v>1.59582344827586</v>
      </c>
      <c r="S243" s="38"/>
      <c r="T243" s="20"/>
      <c r="U243" s="120" t="s">
        <v>1406</v>
      </c>
    </row>
    <row r="244" s="187" customFormat="1" customHeight="1" spans="1:21">
      <c r="A244" s="1138"/>
      <c r="B244" s="23"/>
      <c r="C244" s="23"/>
      <c r="D244" s="23"/>
      <c r="E244" s="21"/>
      <c r="F244" s="23" t="s">
        <v>914</v>
      </c>
      <c r="G244" s="23" t="s">
        <v>915</v>
      </c>
      <c r="H244" s="23"/>
      <c r="I244" s="21"/>
      <c r="J244" s="21"/>
      <c r="K244" s="21"/>
      <c r="L244" s="21"/>
      <c r="M244" s="21"/>
      <c r="N244" s="37">
        <v>0.366004137931034</v>
      </c>
      <c r="O244" s="22">
        <v>0.73</v>
      </c>
      <c r="P244" s="22">
        <v>0.2</v>
      </c>
      <c r="Q244" s="22"/>
      <c r="R244" s="22">
        <f t="shared" si="26"/>
        <v>1.29600413793103</v>
      </c>
      <c r="S244" s="38"/>
      <c r="T244" s="23"/>
      <c r="U244" s="120" t="s">
        <v>1406</v>
      </c>
    </row>
    <row r="245" s="187" customFormat="1" customHeight="1" spans="1:21">
      <c r="A245" s="1138"/>
      <c r="B245" s="23" t="s">
        <v>3890</v>
      </c>
      <c r="C245" s="23"/>
      <c r="D245" s="23"/>
      <c r="E245" s="21"/>
      <c r="F245" s="23"/>
      <c r="G245" s="23" t="s">
        <v>1604</v>
      </c>
      <c r="H245" s="23" t="s">
        <v>3540</v>
      </c>
      <c r="I245" s="21" t="s">
        <v>3855</v>
      </c>
      <c r="J245" s="21" t="s">
        <v>1913</v>
      </c>
      <c r="K245" s="21" t="s">
        <v>3891</v>
      </c>
      <c r="L245" s="138" t="s">
        <v>3513</v>
      </c>
      <c r="M245" s="21" t="s">
        <v>3697</v>
      </c>
      <c r="N245" s="37">
        <v>4.41058603703074</v>
      </c>
      <c r="O245" s="22">
        <v>13.4975369458128</v>
      </c>
      <c r="P245" s="22">
        <v>2.75809718382026</v>
      </c>
      <c r="Q245" s="727"/>
      <c r="R245" s="22">
        <f t="shared" si="26"/>
        <v>20.6662201666638</v>
      </c>
      <c r="S245" s="38" t="s">
        <v>2854</v>
      </c>
      <c r="T245" s="23"/>
      <c r="U245" s="120" t="s">
        <v>1406</v>
      </c>
    </row>
    <row r="246" s="839" customFormat="1" customHeight="1" spans="1:21">
      <c r="A246" s="1138"/>
      <c r="B246" s="23"/>
      <c r="C246" s="23"/>
      <c r="D246" s="23"/>
      <c r="E246" s="21"/>
      <c r="F246" s="23" t="s">
        <v>916</v>
      </c>
      <c r="G246" s="39" t="s">
        <v>417</v>
      </c>
      <c r="H246" s="39"/>
      <c r="I246" s="690"/>
      <c r="J246" s="690"/>
      <c r="K246" s="690"/>
      <c r="L246" s="690"/>
      <c r="M246" s="690"/>
      <c r="N246" s="37">
        <v>0.796537931034483</v>
      </c>
      <c r="O246" s="22">
        <v>5.15</v>
      </c>
      <c r="P246" s="22">
        <v>0.4</v>
      </c>
      <c r="Q246" s="727"/>
      <c r="R246" s="1155">
        <f t="shared" si="26"/>
        <v>6.34653793103448</v>
      </c>
      <c r="S246" s="688"/>
      <c r="T246" s="20" t="s">
        <v>840</v>
      </c>
      <c r="U246" s="120" t="s">
        <v>1406</v>
      </c>
    </row>
    <row r="247" s="993" customFormat="1" customHeight="1" spans="1:21">
      <c r="A247" s="1830"/>
      <c r="B247" s="687" t="s">
        <v>3892</v>
      </c>
      <c r="C247" s="687"/>
      <c r="D247" s="687">
        <v>20240412</v>
      </c>
      <c r="E247" s="153">
        <v>7.17</v>
      </c>
      <c r="F247" s="687" t="s">
        <v>3893</v>
      </c>
      <c r="G247" s="910" t="s">
        <v>1571</v>
      </c>
      <c r="H247" s="687" t="s">
        <v>1933</v>
      </c>
      <c r="I247" s="153" t="s">
        <v>3794</v>
      </c>
      <c r="J247" s="153" t="s">
        <v>3436</v>
      </c>
      <c r="K247" s="152" t="s">
        <v>3894</v>
      </c>
      <c r="L247" s="1019" t="s">
        <v>3513</v>
      </c>
      <c r="M247" s="153" t="s">
        <v>3697</v>
      </c>
      <c r="N247" s="154">
        <v>2.01621124757422</v>
      </c>
      <c r="O247" s="727">
        <v>11.0465463603238</v>
      </c>
      <c r="P247" s="154">
        <f>Q247/E247/1.13</f>
        <v>2.76841806445243</v>
      </c>
      <c r="Q247" s="154">
        <v>22.43</v>
      </c>
      <c r="R247" s="727">
        <f t="shared" si="26"/>
        <v>15.8311756723505</v>
      </c>
      <c r="S247" s="687" t="s">
        <v>3895</v>
      </c>
      <c r="T247" s="149" t="s">
        <v>3896</v>
      </c>
      <c r="U247" s="978"/>
    </row>
    <row r="248" s="993" customFormat="1" customHeight="1" spans="1:21">
      <c r="A248" s="1830"/>
      <c r="B248" s="687"/>
      <c r="C248" s="687"/>
      <c r="D248" s="687">
        <v>20240412</v>
      </c>
      <c r="E248" s="153">
        <v>7.17</v>
      </c>
      <c r="F248" s="687" t="s">
        <v>3897</v>
      </c>
      <c r="G248" s="910" t="s">
        <v>1669</v>
      </c>
      <c r="H248" s="687" t="s">
        <v>1933</v>
      </c>
      <c r="I248" s="153" t="s">
        <v>3794</v>
      </c>
      <c r="J248" s="153" t="s">
        <v>3898</v>
      </c>
      <c r="K248" s="152" t="s">
        <v>3894</v>
      </c>
      <c r="L248" s="1019" t="s">
        <v>3513</v>
      </c>
      <c r="M248" s="153" t="s">
        <v>3697</v>
      </c>
      <c r="N248" s="154">
        <v>2.01621124757422</v>
      </c>
      <c r="O248" s="727">
        <v>11.3213630149467</v>
      </c>
      <c r="P248" s="154">
        <f>Q248/E248/1.13</f>
        <v>2.76841806445243</v>
      </c>
      <c r="Q248" s="154">
        <v>22.43</v>
      </c>
      <c r="R248" s="727">
        <f t="shared" si="26"/>
        <v>16.1059923269734</v>
      </c>
      <c r="S248" s="1818" t="s">
        <v>3899</v>
      </c>
      <c r="T248" s="149" t="s">
        <v>3900</v>
      </c>
      <c r="U248" s="978"/>
    </row>
    <row r="249" s="993" customFormat="1" customHeight="1" spans="1:21">
      <c r="A249" s="1830"/>
      <c r="B249" s="687"/>
      <c r="C249" s="687"/>
      <c r="D249" s="1811">
        <v>46101</v>
      </c>
      <c r="E249" s="153">
        <v>6.72</v>
      </c>
      <c r="F249" s="687" t="s">
        <v>3901</v>
      </c>
      <c r="G249" s="910" t="s">
        <v>2449</v>
      </c>
      <c r="H249" s="687" t="s">
        <v>1933</v>
      </c>
      <c r="I249" s="153" t="s">
        <v>3853</v>
      </c>
      <c r="J249" s="153" t="s">
        <v>3898</v>
      </c>
      <c r="K249" s="152" t="s">
        <v>2189</v>
      </c>
      <c r="L249" s="1019" t="s">
        <v>712</v>
      </c>
      <c r="M249" s="153">
        <v>3.1</v>
      </c>
      <c r="N249" s="154">
        <f>37.414/E249/1.13*1.05</f>
        <v>5.17339601769912</v>
      </c>
      <c r="O249" s="727">
        <v>13.5</v>
      </c>
      <c r="P249" s="154">
        <f>Q249/E249/1.13</f>
        <v>2.95380320269701</v>
      </c>
      <c r="Q249" s="154">
        <v>22.43</v>
      </c>
      <c r="R249" s="727">
        <f t="shared" si="26"/>
        <v>24.7271992203961</v>
      </c>
      <c r="S249" s="1818" t="s">
        <v>3899</v>
      </c>
      <c r="T249" s="149" t="s">
        <v>3902</v>
      </c>
      <c r="U249" s="978"/>
    </row>
    <row r="250" s="993" customFormat="1" customHeight="1" spans="1:21">
      <c r="A250" s="1830"/>
      <c r="B250" s="687"/>
      <c r="C250" s="687"/>
      <c r="D250" s="687">
        <v>20240829</v>
      </c>
      <c r="E250" s="153">
        <v>7.17</v>
      </c>
      <c r="F250" s="687" t="s">
        <v>3903</v>
      </c>
      <c r="G250" s="910" t="s">
        <v>2546</v>
      </c>
      <c r="H250" s="687" t="s">
        <v>3904</v>
      </c>
      <c r="I250" s="153" t="s">
        <v>3853</v>
      </c>
      <c r="J250" s="153" t="s">
        <v>3905</v>
      </c>
      <c r="K250" s="152" t="s">
        <v>1720</v>
      </c>
      <c r="L250" s="1019" t="s">
        <v>3513</v>
      </c>
      <c r="M250" s="153">
        <v>2.3</v>
      </c>
      <c r="N250" s="154">
        <v>2.01621124757422</v>
      </c>
      <c r="O250" s="727">
        <v>12.446902860962</v>
      </c>
      <c r="P250" s="154">
        <f>Q250/E250/1.13</f>
        <v>2.76841806445243</v>
      </c>
      <c r="Q250" s="154">
        <v>22.43</v>
      </c>
      <c r="R250" s="727">
        <f t="shared" si="26"/>
        <v>19.5315321729887</v>
      </c>
      <c r="S250" s="1818" t="s">
        <v>3906</v>
      </c>
      <c r="T250" s="149" t="s">
        <v>3907</v>
      </c>
      <c r="U250" s="978"/>
    </row>
    <row r="251" s="993" customFormat="1" customHeight="1" spans="1:21">
      <c r="A251" s="1830"/>
      <c r="B251" s="687"/>
      <c r="C251" s="687"/>
      <c r="D251" s="687"/>
      <c r="E251" s="153">
        <v>7.17</v>
      </c>
      <c r="F251" s="687" t="s">
        <v>917</v>
      </c>
      <c r="G251" s="910" t="s">
        <v>918</v>
      </c>
      <c r="H251" s="687"/>
      <c r="I251" s="152"/>
      <c r="J251" s="153"/>
      <c r="K251" s="152"/>
      <c r="L251" s="152"/>
      <c r="M251" s="152"/>
      <c r="N251" s="154">
        <v>0.322648275862069</v>
      </c>
      <c r="O251" s="727">
        <v>0.28</v>
      </c>
      <c r="P251" s="154">
        <v>0.2</v>
      </c>
      <c r="Q251" s="154"/>
      <c r="R251" s="727">
        <f t="shared" si="26"/>
        <v>0.802648275862069</v>
      </c>
      <c r="S251" s="979"/>
      <c r="T251" s="910"/>
      <c r="U251" s="978"/>
    </row>
    <row r="252" s="993" customFormat="1" customHeight="1" spans="1:21">
      <c r="A252" s="1830"/>
      <c r="B252" s="687"/>
      <c r="C252" s="687"/>
      <c r="D252" s="725"/>
      <c r="E252" s="153"/>
      <c r="F252" s="725" t="s">
        <v>919</v>
      </c>
      <c r="G252" s="149" t="s">
        <v>920</v>
      </c>
      <c r="H252" s="687"/>
      <c r="I252" s="153"/>
      <c r="J252" s="153"/>
      <c r="K252" s="153"/>
      <c r="L252" s="153"/>
      <c r="M252" s="153"/>
      <c r="N252" s="154">
        <v>0.119205028027858</v>
      </c>
      <c r="O252" s="727">
        <v>0.197044334975369</v>
      </c>
      <c r="P252" s="154">
        <v>0.2</v>
      </c>
      <c r="Q252" s="154"/>
      <c r="R252" s="727">
        <f t="shared" si="26"/>
        <v>0.516249363003227</v>
      </c>
      <c r="S252" s="1018"/>
      <c r="T252" s="149"/>
      <c r="U252" s="978"/>
    </row>
    <row r="253" s="839" customFormat="1" customHeight="1" spans="1:21">
      <c r="A253" s="1138"/>
      <c r="B253" s="725" t="s">
        <v>3908</v>
      </c>
      <c r="C253" s="725"/>
      <c r="D253" s="725"/>
      <c r="E253" s="153">
        <v>7.17</v>
      </c>
      <c r="F253" s="725"/>
      <c r="G253" s="149" t="s">
        <v>1604</v>
      </c>
      <c r="H253" s="687" t="s">
        <v>1933</v>
      </c>
      <c r="I253" s="153" t="s">
        <v>3853</v>
      </c>
      <c r="J253" s="153" t="s">
        <v>3909</v>
      </c>
      <c r="K253" s="153" t="s">
        <v>3696</v>
      </c>
      <c r="L253" s="1019" t="s">
        <v>3513</v>
      </c>
      <c r="M253" s="153" t="s">
        <v>3697</v>
      </c>
      <c r="N253" s="154">
        <v>3.09796225669888</v>
      </c>
      <c r="O253" s="727">
        <v>10.67</v>
      </c>
      <c r="P253" s="154">
        <f t="shared" ref="P253:P268" si="28">Q253/E253/1.13</f>
        <v>2.28335863541551</v>
      </c>
      <c r="Q253" s="154">
        <v>18.5</v>
      </c>
      <c r="R253" s="727">
        <f t="shared" si="26"/>
        <v>16.0513208921144</v>
      </c>
      <c r="S253" s="38" t="s">
        <v>3910</v>
      </c>
      <c r="T253" s="20" t="s">
        <v>3911</v>
      </c>
      <c r="U253" s="120" t="s">
        <v>1406</v>
      </c>
    </row>
    <row r="254" s="839" customFormat="1" customHeight="1" spans="1:21">
      <c r="A254" s="1138"/>
      <c r="B254" s="725"/>
      <c r="C254" s="725"/>
      <c r="D254" s="725">
        <v>20250115</v>
      </c>
      <c r="E254" s="153">
        <v>7.17</v>
      </c>
      <c r="F254" s="725" t="s">
        <v>3912</v>
      </c>
      <c r="G254" s="149" t="s">
        <v>1672</v>
      </c>
      <c r="H254" s="687" t="s">
        <v>1933</v>
      </c>
      <c r="I254" s="153" t="s">
        <v>3855</v>
      </c>
      <c r="J254" s="153" t="s">
        <v>3909</v>
      </c>
      <c r="K254" s="152" t="s">
        <v>3913</v>
      </c>
      <c r="L254" s="1019" t="s">
        <v>3513</v>
      </c>
      <c r="M254" s="153">
        <v>2.6</v>
      </c>
      <c r="N254" s="154">
        <v>3.09796225669888</v>
      </c>
      <c r="O254" s="727">
        <v>9.38076497941832</v>
      </c>
      <c r="P254" s="154">
        <f t="shared" si="28"/>
        <v>2.28335863541551</v>
      </c>
      <c r="Q254" s="154">
        <v>18.5</v>
      </c>
      <c r="R254" s="727">
        <f t="shared" si="26"/>
        <v>17.3620858715327</v>
      </c>
      <c r="S254" s="38" t="s">
        <v>3910</v>
      </c>
      <c r="T254" s="759" t="s">
        <v>3914</v>
      </c>
      <c r="U254" s="120" t="s">
        <v>1406</v>
      </c>
    </row>
    <row r="255" s="839" customFormat="1" customHeight="1" spans="1:21">
      <c r="A255" s="1138"/>
      <c r="B255" s="725"/>
      <c r="C255" s="725"/>
      <c r="D255" s="725">
        <v>20250115</v>
      </c>
      <c r="E255" s="153">
        <v>7.17</v>
      </c>
      <c r="F255" s="725" t="s">
        <v>3912</v>
      </c>
      <c r="G255" s="149" t="s">
        <v>3915</v>
      </c>
      <c r="H255" s="687" t="s">
        <v>3916</v>
      </c>
      <c r="I255" s="153" t="s">
        <v>3855</v>
      </c>
      <c r="J255" s="153" t="s">
        <v>3432</v>
      </c>
      <c r="K255" s="1227" t="s">
        <v>3537</v>
      </c>
      <c r="L255" s="1019" t="s">
        <v>3513</v>
      </c>
      <c r="M255" s="153" t="s">
        <v>1428</v>
      </c>
      <c r="N255" s="154">
        <v>3.09796225669888</v>
      </c>
      <c r="O255" s="727">
        <v>9.38076497941832</v>
      </c>
      <c r="P255" s="154">
        <f t="shared" si="28"/>
        <v>2.28335863541551</v>
      </c>
      <c r="Q255" s="154">
        <v>18.5</v>
      </c>
      <c r="R255" s="727">
        <f t="shared" si="26"/>
        <v>14.7620858715327</v>
      </c>
      <c r="S255" s="38" t="s">
        <v>3917</v>
      </c>
      <c r="T255" s="759" t="s">
        <v>3918</v>
      </c>
      <c r="U255" s="120"/>
    </row>
    <row r="256" s="839" customFormat="1" customHeight="1" spans="1:21">
      <c r="A256" s="1138"/>
      <c r="B256" s="725"/>
      <c r="C256" s="725"/>
      <c r="D256" s="725"/>
      <c r="E256" s="153">
        <v>7.17</v>
      </c>
      <c r="F256" s="725"/>
      <c r="G256" s="149" t="s">
        <v>2427</v>
      </c>
      <c r="H256" s="687" t="s">
        <v>1933</v>
      </c>
      <c r="I256" s="153" t="s">
        <v>3794</v>
      </c>
      <c r="J256" s="153" t="s">
        <v>3624</v>
      </c>
      <c r="K256" s="153" t="s">
        <v>3696</v>
      </c>
      <c r="L256" s="1019" t="s">
        <v>3513</v>
      </c>
      <c r="M256" s="153" t="s">
        <v>3697</v>
      </c>
      <c r="N256" s="154">
        <v>3.09796225669888</v>
      </c>
      <c r="O256" s="727">
        <v>9.95</v>
      </c>
      <c r="P256" s="154">
        <f t="shared" si="28"/>
        <v>2.28335863541551</v>
      </c>
      <c r="Q256" s="154">
        <v>18.5</v>
      </c>
      <c r="R256" s="727">
        <f t="shared" si="26"/>
        <v>15.3313208921144</v>
      </c>
      <c r="S256" s="38" t="s">
        <v>3719</v>
      </c>
      <c r="T256" s="20" t="s">
        <v>3919</v>
      </c>
      <c r="U256" s="120" t="s">
        <v>1406</v>
      </c>
    </row>
    <row r="257" s="839" customFormat="1" customHeight="1" spans="1:21">
      <c r="A257" s="1138"/>
      <c r="B257" s="725"/>
      <c r="C257" s="725"/>
      <c r="D257" s="725"/>
      <c r="E257" s="153">
        <v>7.17</v>
      </c>
      <c r="F257" s="725"/>
      <c r="G257" s="149" t="s">
        <v>2449</v>
      </c>
      <c r="H257" s="687" t="s">
        <v>1933</v>
      </c>
      <c r="I257" s="153" t="s">
        <v>3855</v>
      </c>
      <c r="J257" s="153" t="s">
        <v>3436</v>
      </c>
      <c r="K257" s="153" t="s">
        <v>1742</v>
      </c>
      <c r="L257" s="1019" t="s">
        <v>3513</v>
      </c>
      <c r="M257" s="153">
        <v>6</v>
      </c>
      <c r="N257" s="154">
        <v>3.09796225669888</v>
      </c>
      <c r="O257" s="727">
        <v>10.4232961620443</v>
      </c>
      <c r="P257" s="154">
        <f t="shared" si="28"/>
        <v>2.28335863541551</v>
      </c>
      <c r="Q257" s="154">
        <v>18.5</v>
      </c>
      <c r="R257" s="727">
        <f t="shared" si="26"/>
        <v>21.8046170541587</v>
      </c>
      <c r="S257" s="38" t="s">
        <v>3920</v>
      </c>
      <c r="T257" s="20" t="s">
        <v>3921</v>
      </c>
      <c r="U257" s="120" t="s">
        <v>1406</v>
      </c>
    </row>
    <row r="258" s="839" customFormat="1" customHeight="1" spans="1:21">
      <c r="A258" s="1138"/>
      <c r="B258" s="725"/>
      <c r="C258" s="725"/>
      <c r="D258" s="725"/>
      <c r="E258" s="153">
        <v>7.17</v>
      </c>
      <c r="F258" s="725"/>
      <c r="G258" s="149" t="s">
        <v>2306</v>
      </c>
      <c r="H258" s="687" t="s">
        <v>1933</v>
      </c>
      <c r="I258" s="153" t="s">
        <v>3853</v>
      </c>
      <c r="J258" s="153" t="s">
        <v>3909</v>
      </c>
      <c r="K258" s="153" t="s">
        <v>3891</v>
      </c>
      <c r="L258" s="1019" t="s">
        <v>3513</v>
      </c>
      <c r="M258" s="153" t="s">
        <v>3697</v>
      </c>
      <c r="N258" s="154">
        <v>3.09796225669888</v>
      </c>
      <c r="O258" s="727">
        <v>9.76</v>
      </c>
      <c r="P258" s="154">
        <f t="shared" si="28"/>
        <v>2.28335863541551</v>
      </c>
      <c r="Q258" s="154">
        <v>18.5</v>
      </c>
      <c r="R258" s="727">
        <f t="shared" si="26"/>
        <v>15.1413208921144</v>
      </c>
      <c r="S258" s="38" t="s">
        <v>3922</v>
      </c>
      <c r="T258" s="20" t="s">
        <v>3923</v>
      </c>
      <c r="U258" s="120" t="s">
        <v>1406</v>
      </c>
    </row>
    <row r="259" s="839" customFormat="1" customHeight="1" spans="1:21">
      <c r="A259" s="1138"/>
      <c r="B259" s="725"/>
      <c r="C259" s="725"/>
      <c r="D259" s="725"/>
      <c r="E259" s="153">
        <v>7.17</v>
      </c>
      <c r="F259" s="725"/>
      <c r="G259" s="149" t="s">
        <v>2431</v>
      </c>
      <c r="H259" s="687" t="s">
        <v>1933</v>
      </c>
      <c r="I259" s="153" t="s">
        <v>3853</v>
      </c>
      <c r="J259" s="153" t="s">
        <v>3432</v>
      </c>
      <c r="K259" s="153" t="s">
        <v>3891</v>
      </c>
      <c r="L259" s="1019" t="s">
        <v>3513</v>
      </c>
      <c r="M259" s="153" t="s">
        <v>3697</v>
      </c>
      <c r="N259" s="154">
        <v>3.09796225669888</v>
      </c>
      <c r="O259" s="727">
        <v>9.62</v>
      </c>
      <c r="P259" s="154">
        <f t="shared" si="28"/>
        <v>2.28335863541551</v>
      </c>
      <c r="Q259" s="154">
        <v>18.5</v>
      </c>
      <c r="R259" s="727">
        <f t="shared" si="26"/>
        <v>15.0013208921144</v>
      </c>
      <c r="S259" s="38" t="s">
        <v>3719</v>
      </c>
      <c r="T259" s="20" t="s">
        <v>3923</v>
      </c>
      <c r="U259" s="120" t="s">
        <v>1406</v>
      </c>
    </row>
    <row r="260" s="839" customFormat="1" customHeight="1" spans="1:21">
      <c r="A260" s="1138"/>
      <c r="B260" s="725"/>
      <c r="C260" s="725"/>
      <c r="D260" s="725"/>
      <c r="E260" s="153">
        <v>7.17</v>
      </c>
      <c r="F260" s="725"/>
      <c r="G260" s="149" t="s">
        <v>1593</v>
      </c>
      <c r="H260" s="687" t="s">
        <v>1933</v>
      </c>
      <c r="I260" s="153" t="s">
        <v>3853</v>
      </c>
      <c r="J260" s="153" t="s">
        <v>3413</v>
      </c>
      <c r="K260" s="153" t="s">
        <v>3696</v>
      </c>
      <c r="L260" s="1019" t="s">
        <v>3513</v>
      </c>
      <c r="M260" s="153" t="s">
        <v>3697</v>
      </c>
      <c r="N260" s="154">
        <v>3.09796225669888</v>
      </c>
      <c r="O260" s="727">
        <v>10.5394476786532</v>
      </c>
      <c r="P260" s="154">
        <f t="shared" si="28"/>
        <v>2.28335863541551</v>
      </c>
      <c r="Q260" s="154">
        <v>18.5</v>
      </c>
      <c r="R260" s="727">
        <f t="shared" ref="R260:R265" si="29">SUM(L260:P260)</f>
        <v>15.9207685707676</v>
      </c>
      <c r="S260" s="38" t="s">
        <v>3701</v>
      </c>
      <c r="T260" s="20" t="s">
        <v>3924</v>
      </c>
      <c r="U260" s="120" t="s">
        <v>1406</v>
      </c>
    </row>
    <row r="261" s="839" customFormat="1" customHeight="1" spans="1:21">
      <c r="A261" s="1138"/>
      <c r="B261" s="725"/>
      <c r="C261" s="725"/>
      <c r="D261" s="725"/>
      <c r="E261" s="153">
        <v>7.17</v>
      </c>
      <c r="F261" s="725"/>
      <c r="G261" s="149" t="s">
        <v>1525</v>
      </c>
      <c r="H261" s="687" t="s">
        <v>1933</v>
      </c>
      <c r="I261" s="153" t="s">
        <v>3794</v>
      </c>
      <c r="J261" s="153" t="s">
        <v>3413</v>
      </c>
      <c r="K261" s="153" t="s">
        <v>3696</v>
      </c>
      <c r="L261" s="1019" t="s">
        <v>3513</v>
      </c>
      <c r="M261" s="153" t="s">
        <v>3697</v>
      </c>
      <c r="N261" s="154">
        <v>3.09796225669888</v>
      </c>
      <c r="O261" s="727">
        <v>10.7791162315636</v>
      </c>
      <c r="P261" s="154">
        <f t="shared" si="28"/>
        <v>2.28335863541551</v>
      </c>
      <c r="Q261" s="154">
        <v>18.5</v>
      </c>
      <c r="R261" s="727">
        <f t="shared" si="29"/>
        <v>16.160437123678</v>
      </c>
      <c r="S261" s="38" t="s">
        <v>3701</v>
      </c>
      <c r="T261" s="20" t="s">
        <v>3925</v>
      </c>
      <c r="U261" s="120" t="s">
        <v>1406</v>
      </c>
    </row>
    <row r="262" s="839" customFormat="1" customHeight="1" spans="1:21">
      <c r="A262" s="1138"/>
      <c r="B262" s="725"/>
      <c r="C262" s="725"/>
      <c r="D262" s="725"/>
      <c r="E262" s="153">
        <v>6.7</v>
      </c>
      <c r="F262" s="725"/>
      <c r="G262" s="149" t="s">
        <v>2081</v>
      </c>
      <c r="H262" s="149" t="s">
        <v>3540</v>
      </c>
      <c r="I262" s="153" t="s">
        <v>3853</v>
      </c>
      <c r="J262" s="153" t="s">
        <v>3413</v>
      </c>
      <c r="K262" s="153" t="s">
        <v>3926</v>
      </c>
      <c r="L262" s="1019" t="s">
        <v>3513</v>
      </c>
      <c r="M262" s="153" t="s">
        <v>3697</v>
      </c>
      <c r="N262" s="154">
        <v>3.09796225669888</v>
      </c>
      <c r="O262" s="727">
        <v>8.95412003037283</v>
      </c>
      <c r="P262" s="154">
        <f t="shared" si="28"/>
        <v>2.44353453969093</v>
      </c>
      <c r="Q262" s="154">
        <v>18.5</v>
      </c>
      <c r="R262" s="727">
        <f t="shared" si="29"/>
        <v>14.4956168267626</v>
      </c>
      <c r="S262" s="38" t="s">
        <v>3701</v>
      </c>
      <c r="T262" s="20" t="s">
        <v>3925</v>
      </c>
      <c r="U262" s="120" t="s">
        <v>1406</v>
      </c>
    </row>
    <row r="263" s="839" customFormat="1" customHeight="1" spans="1:21">
      <c r="A263" s="1138"/>
      <c r="B263" s="725"/>
      <c r="C263" s="725"/>
      <c r="D263" s="1831">
        <v>46283</v>
      </c>
      <c r="E263" s="153">
        <v>6.7</v>
      </c>
      <c r="F263" s="725" t="s">
        <v>3927</v>
      </c>
      <c r="G263" s="149"/>
      <c r="H263" s="149"/>
      <c r="I263" s="153"/>
      <c r="J263" s="153"/>
      <c r="K263" s="153" t="s">
        <v>1428</v>
      </c>
      <c r="L263" s="1019" t="s">
        <v>712</v>
      </c>
      <c r="M263" s="153" t="s">
        <v>1428</v>
      </c>
      <c r="N263" s="154">
        <f>66.81/E263/1.13</f>
        <v>8.82446176198653</v>
      </c>
      <c r="O263" s="727">
        <v>10.96</v>
      </c>
      <c r="P263" s="154">
        <v>2.44353453969093</v>
      </c>
      <c r="Q263" s="154"/>
      <c r="R263" s="727">
        <f t="shared" si="29"/>
        <v>22.2279963016775</v>
      </c>
      <c r="S263" s="38"/>
      <c r="T263" s="20"/>
      <c r="U263" s="120"/>
    </row>
    <row r="264" s="839" customFormat="1" customHeight="1" spans="1:21">
      <c r="A264" s="1138"/>
      <c r="B264" s="725"/>
      <c r="C264" s="725"/>
      <c r="D264" s="725"/>
      <c r="E264" s="153">
        <v>7.17</v>
      </c>
      <c r="F264" s="725"/>
      <c r="G264" s="149" t="s">
        <v>667</v>
      </c>
      <c r="H264" s="149" t="s">
        <v>3540</v>
      </c>
      <c r="I264" s="153" t="s">
        <v>3855</v>
      </c>
      <c r="J264" s="153" t="s">
        <v>3413</v>
      </c>
      <c r="K264" s="153" t="s">
        <v>3851</v>
      </c>
      <c r="L264" s="1019" t="s">
        <v>3513</v>
      </c>
      <c r="M264" s="1082" t="s">
        <v>3697</v>
      </c>
      <c r="N264" s="154">
        <v>3.09796225669888</v>
      </c>
      <c r="O264" s="727">
        <v>10.0271727650157</v>
      </c>
      <c r="P264" s="154">
        <f>Q264/E264/1.13</f>
        <v>2.28335863541551</v>
      </c>
      <c r="Q264" s="154">
        <v>18.5</v>
      </c>
      <c r="R264" s="727">
        <f t="shared" si="29"/>
        <v>15.4084936571301</v>
      </c>
      <c r="S264" s="38" t="s">
        <v>3701</v>
      </c>
      <c r="T264" s="759" t="s">
        <v>3928</v>
      </c>
      <c r="U264" s="120" t="s">
        <v>1406</v>
      </c>
    </row>
    <row r="265" s="839" customFormat="1" customHeight="1" spans="1:21">
      <c r="A265" s="1138"/>
      <c r="B265" s="725"/>
      <c r="C265" s="725"/>
      <c r="D265" s="1831">
        <v>46176</v>
      </c>
      <c r="E265" s="153">
        <v>6.7693</v>
      </c>
      <c r="F265" s="725" t="s">
        <v>3929</v>
      </c>
      <c r="G265" s="149"/>
      <c r="H265" s="149"/>
      <c r="I265" s="153"/>
      <c r="J265" s="153"/>
      <c r="K265" s="153"/>
      <c r="L265" s="1019"/>
      <c r="M265" s="1082"/>
      <c r="N265" s="154">
        <f>25.1/E265/1.13*1.5</f>
        <v>4.92201321714158</v>
      </c>
      <c r="O265" s="727">
        <v>9.5</v>
      </c>
      <c r="P265" s="154">
        <f>18.5/E265/1.13</f>
        <v>2.41851911068046</v>
      </c>
      <c r="Q265" s="154"/>
      <c r="R265" s="727">
        <f t="shared" si="29"/>
        <v>16.840532327822</v>
      </c>
      <c r="S265" s="728"/>
      <c r="T265" s="1228"/>
      <c r="U265" s="120"/>
    </row>
    <row r="266" s="839" customFormat="1" customHeight="1" spans="1:21">
      <c r="A266" s="1138"/>
      <c r="B266" s="725"/>
      <c r="C266" s="725"/>
      <c r="D266" s="725">
        <v>20250529</v>
      </c>
      <c r="E266" s="153">
        <v>7.17</v>
      </c>
      <c r="F266" s="725" t="s">
        <v>3930</v>
      </c>
      <c r="G266" s="149" t="s">
        <v>2488</v>
      </c>
      <c r="H266" s="149" t="s">
        <v>1933</v>
      </c>
      <c r="I266" s="153" t="s">
        <v>3853</v>
      </c>
      <c r="J266" s="153" t="s">
        <v>3628</v>
      </c>
      <c r="K266" s="153" t="s">
        <v>3696</v>
      </c>
      <c r="L266" s="1019" t="s">
        <v>3513</v>
      </c>
      <c r="M266" s="153" t="s">
        <v>3697</v>
      </c>
      <c r="N266" s="154">
        <v>3.09796225669888</v>
      </c>
      <c r="O266" s="727">
        <v>10.2456496126112</v>
      </c>
      <c r="P266" s="154">
        <f>Q266/E266/1.13</f>
        <v>2.28335863541551</v>
      </c>
      <c r="Q266" s="154">
        <v>18.5</v>
      </c>
      <c r="R266" s="727">
        <f t="shared" ref="R266:R288" si="30">SUM(L266:P266)</f>
        <v>15.6269705047256</v>
      </c>
      <c r="S266" s="38" t="s">
        <v>3698</v>
      </c>
      <c r="T266" s="20" t="s">
        <v>3925</v>
      </c>
      <c r="U266" s="120" t="s">
        <v>1406</v>
      </c>
    </row>
    <row r="267" s="839" customFormat="1" customHeight="1" spans="1:21">
      <c r="A267" s="1138"/>
      <c r="B267" s="725"/>
      <c r="C267" s="725"/>
      <c r="D267" s="725">
        <v>20250815</v>
      </c>
      <c r="E267" s="153">
        <v>7.17</v>
      </c>
      <c r="F267" s="725" t="s">
        <v>3931</v>
      </c>
      <c r="G267" s="149" t="s">
        <v>2383</v>
      </c>
      <c r="H267" s="149" t="s">
        <v>3932</v>
      </c>
      <c r="I267" s="153" t="s">
        <v>3794</v>
      </c>
      <c r="J267" s="153" t="s">
        <v>3624</v>
      </c>
      <c r="K267" s="153" t="s">
        <v>2955</v>
      </c>
      <c r="L267" s="1019" t="s">
        <v>3513</v>
      </c>
      <c r="M267" s="1082" t="s">
        <v>3697</v>
      </c>
      <c r="N267" s="154">
        <f>45.1/E267/1.13</f>
        <v>5.5664580787697</v>
      </c>
      <c r="O267" s="727">
        <v>9.7</v>
      </c>
      <c r="P267" s="154">
        <f>Q267/E267/1.13</f>
        <v>2.28335863541551</v>
      </c>
      <c r="Q267" s="154">
        <v>18.5</v>
      </c>
      <c r="R267" s="727">
        <f t="shared" si="30"/>
        <v>17.5498167141852</v>
      </c>
      <c r="S267" s="38" t="s">
        <v>3719</v>
      </c>
      <c r="T267" s="149" t="s">
        <v>3933</v>
      </c>
      <c r="U267" s="120"/>
    </row>
    <row r="268" s="839" customFormat="1" customHeight="1" spans="1:21">
      <c r="A268" s="1138"/>
      <c r="B268" s="725"/>
      <c r="C268" s="725"/>
      <c r="D268" s="725">
        <v>20250526</v>
      </c>
      <c r="E268" s="153">
        <v>7.17</v>
      </c>
      <c r="F268" s="725" t="s">
        <v>3934</v>
      </c>
      <c r="G268" s="149" t="s">
        <v>3935</v>
      </c>
      <c r="H268" s="149" t="s">
        <v>3932</v>
      </c>
      <c r="I268" s="153" t="s">
        <v>3794</v>
      </c>
      <c r="J268" s="153" t="s">
        <v>3432</v>
      </c>
      <c r="K268" s="153" t="s">
        <v>3936</v>
      </c>
      <c r="L268" s="1019" t="s">
        <v>3513</v>
      </c>
      <c r="M268" s="153" t="s">
        <v>1428</v>
      </c>
      <c r="N268" s="154">
        <v>3.09796225669888</v>
      </c>
      <c r="O268" s="727">
        <v>7.47718117790094</v>
      </c>
      <c r="P268" s="154">
        <f>Q268/E268/1.13</f>
        <v>2.28335863541551</v>
      </c>
      <c r="Q268" s="154">
        <v>18.5</v>
      </c>
      <c r="R268" s="727">
        <f t="shared" si="30"/>
        <v>12.8585020700153</v>
      </c>
      <c r="S268" s="38" t="s">
        <v>3719</v>
      </c>
      <c r="T268" s="20" t="s">
        <v>3937</v>
      </c>
      <c r="U268" s="120"/>
    </row>
    <row r="269" s="839" customFormat="1" customHeight="1" spans="1:21">
      <c r="A269" s="1138"/>
      <c r="B269" s="725"/>
      <c r="C269" s="725"/>
      <c r="D269" s="725">
        <v>20240118</v>
      </c>
      <c r="E269" s="153">
        <v>7.17</v>
      </c>
      <c r="F269" s="725" t="s">
        <v>3938</v>
      </c>
      <c r="G269" s="149" t="s">
        <v>2495</v>
      </c>
      <c r="H269" s="149" t="s">
        <v>3932</v>
      </c>
      <c r="I269" s="153" t="s">
        <v>3855</v>
      </c>
      <c r="J269" s="153" t="s">
        <v>3432</v>
      </c>
      <c r="K269" s="153" t="s">
        <v>3939</v>
      </c>
      <c r="L269" s="1019" t="s">
        <v>3513</v>
      </c>
      <c r="M269" s="153">
        <v>3</v>
      </c>
      <c r="N269" s="154">
        <v>3.09796225669888</v>
      </c>
      <c r="O269" s="727">
        <v>7.8896455808168</v>
      </c>
      <c r="P269" s="154">
        <f>Q269/E269/1.13</f>
        <v>2.28335863541551</v>
      </c>
      <c r="Q269" s="154">
        <v>18.5</v>
      </c>
      <c r="R269" s="727">
        <f t="shared" si="30"/>
        <v>16.2709664729312</v>
      </c>
      <c r="S269" s="38" t="s">
        <v>3719</v>
      </c>
      <c r="T269" s="20" t="s">
        <v>3940</v>
      </c>
      <c r="U269" s="120" t="s">
        <v>1406</v>
      </c>
    </row>
    <row r="270" s="839" customFormat="1" customHeight="1" spans="1:21">
      <c r="A270" s="1138"/>
      <c r="B270" s="725"/>
      <c r="C270" s="725"/>
      <c r="D270" s="725">
        <v>20250422</v>
      </c>
      <c r="E270" s="153">
        <v>7.17</v>
      </c>
      <c r="F270" s="725" t="s">
        <v>3941</v>
      </c>
      <c r="G270" s="149" t="s">
        <v>2322</v>
      </c>
      <c r="H270" s="149" t="s">
        <v>3932</v>
      </c>
      <c r="I270" s="153" t="s">
        <v>3855</v>
      </c>
      <c r="J270" s="153" t="s">
        <v>3413</v>
      </c>
      <c r="K270" s="153" t="s">
        <v>2955</v>
      </c>
      <c r="L270" s="1019" t="s">
        <v>3513</v>
      </c>
      <c r="M270" s="1082" t="s">
        <v>3697</v>
      </c>
      <c r="N270" s="154">
        <v>3.09796225669888</v>
      </c>
      <c r="O270" s="727">
        <v>8.11166531669924</v>
      </c>
      <c r="P270" s="154">
        <f>Q270/E270/1.13</f>
        <v>2.28335863541551</v>
      </c>
      <c r="Q270" s="154">
        <v>18.5</v>
      </c>
      <c r="R270" s="727">
        <f t="shared" si="30"/>
        <v>13.4929862088136</v>
      </c>
      <c r="S270" s="38" t="s">
        <v>3942</v>
      </c>
      <c r="T270" s="20" t="s">
        <v>3943</v>
      </c>
      <c r="U270" s="120"/>
    </row>
    <row r="271" s="839" customFormat="1" customHeight="1" spans="1:21">
      <c r="A271" s="1138"/>
      <c r="B271" s="725"/>
      <c r="C271" s="725"/>
      <c r="D271" s="725"/>
      <c r="E271" s="153">
        <v>7.17</v>
      </c>
      <c r="F271" s="725" t="s">
        <v>921</v>
      </c>
      <c r="G271" s="149" t="s">
        <v>922</v>
      </c>
      <c r="H271" s="149"/>
      <c r="I271" s="153"/>
      <c r="J271" s="153"/>
      <c r="K271" s="153"/>
      <c r="L271" s="153"/>
      <c r="M271" s="153"/>
      <c r="N271" s="154">
        <v>0.334604821483064</v>
      </c>
      <c r="O271" s="727">
        <v>0.583927557110517</v>
      </c>
      <c r="P271" s="727">
        <v>0.2</v>
      </c>
      <c r="Q271" s="154"/>
      <c r="R271" s="727">
        <f t="shared" si="30"/>
        <v>1.11853237859358</v>
      </c>
      <c r="S271" s="38"/>
      <c r="T271" s="20"/>
      <c r="U271" s="120" t="s">
        <v>1406</v>
      </c>
    </row>
    <row r="272" s="839" customFormat="1" customHeight="1" spans="1:21">
      <c r="A272" s="1138"/>
      <c r="B272" s="725"/>
      <c r="C272" s="725"/>
      <c r="D272" s="725"/>
      <c r="E272" s="153"/>
      <c r="F272" s="725" t="s">
        <v>923</v>
      </c>
      <c r="G272" s="149" t="s">
        <v>924</v>
      </c>
      <c r="H272" s="687"/>
      <c r="I272" s="153"/>
      <c r="J272" s="153"/>
      <c r="K272" s="152"/>
      <c r="L272" s="153"/>
      <c r="M272" s="153"/>
      <c r="N272" s="154">
        <v>0.417217598097503</v>
      </c>
      <c r="O272" s="727">
        <v>0.660098522167488</v>
      </c>
      <c r="P272" s="727">
        <v>0.2</v>
      </c>
      <c r="Q272" s="727"/>
      <c r="R272" s="727">
        <f t="shared" si="30"/>
        <v>1.27731612026499</v>
      </c>
      <c r="S272" s="38"/>
      <c r="T272" s="20"/>
      <c r="U272" s="120" t="s">
        <v>1406</v>
      </c>
    </row>
    <row r="273" s="839" customFormat="1" customHeight="1" spans="1:21">
      <c r="A273" s="1138"/>
      <c r="B273" s="725"/>
      <c r="C273" s="725"/>
      <c r="D273" s="725">
        <v>20241127</v>
      </c>
      <c r="E273" s="153">
        <v>6.7693</v>
      </c>
      <c r="F273" s="725" t="s">
        <v>925</v>
      </c>
      <c r="G273" s="149" t="s">
        <v>926</v>
      </c>
      <c r="H273" s="687"/>
      <c r="I273" s="153"/>
      <c r="J273" s="153"/>
      <c r="K273" s="152"/>
      <c r="L273" s="153"/>
      <c r="M273" s="153"/>
      <c r="N273" s="154">
        <f>4.4/E273/1.13*1.5</f>
        <v>0.862823034080595</v>
      </c>
      <c r="O273" s="727">
        <v>0.889644173918376</v>
      </c>
      <c r="P273" s="727">
        <v>0.2</v>
      </c>
      <c r="Q273" s="727"/>
      <c r="R273" s="727">
        <f t="shared" si="30"/>
        <v>1.95246720799897</v>
      </c>
      <c r="S273" s="38"/>
      <c r="T273" s="20"/>
      <c r="U273" s="120" t="s">
        <v>1406</v>
      </c>
    </row>
    <row r="274" s="839" customFormat="1" customHeight="1" spans="1:21">
      <c r="A274" s="1138"/>
      <c r="B274" s="725"/>
      <c r="C274" s="725"/>
      <c r="D274" s="725"/>
      <c r="E274" s="153"/>
      <c r="F274" s="725" t="s">
        <v>927</v>
      </c>
      <c r="G274" s="149" t="s">
        <v>928</v>
      </c>
      <c r="H274" s="687"/>
      <c r="I274" s="153"/>
      <c r="J274" s="153"/>
      <c r="K274" s="152"/>
      <c r="L274" s="153"/>
      <c r="M274" s="153"/>
      <c r="N274" s="154">
        <v>0.407283845761848</v>
      </c>
      <c r="O274" s="727">
        <v>0.758620689655172</v>
      </c>
      <c r="P274" s="727">
        <v>0.2</v>
      </c>
      <c r="Q274" s="727"/>
      <c r="R274" s="727">
        <f t="shared" si="30"/>
        <v>1.36590453541702</v>
      </c>
      <c r="S274" s="38"/>
      <c r="T274" s="20"/>
      <c r="U274" s="120" t="s">
        <v>1406</v>
      </c>
    </row>
    <row r="275" s="839" customFormat="1" customHeight="1" spans="1:21">
      <c r="A275" s="1138"/>
      <c r="B275" s="725"/>
      <c r="C275" s="725"/>
      <c r="D275" s="725"/>
      <c r="E275" s="153"/>
      <c r="F275" s="725" t="s">
        <v>929</v>
      </c>
      <c r="G275" s="149" t="s">
        <v>930</v>
      </c>
      <c r="H275" s="687"/>
      <c r="I275" s="153"/>
      <c r="J275" s="153"/>
      <c r="K275" s="152"/>
      <c r="L275" s="153"/>
      <c r="M275" s="153"/>
      <c r="N275" s="154">
        <v>0.00993375233565483</v>
      </c>
      <c r="O275" s="727">
        <v>0.0689655172413793</v>
      </c>
      <c r="P275" s="727">
        <v>0.4</v>
      </c>
      <c r="Q275" s="727"/>
      <c r="R275" s="727">
        <f t="shared" si="30"/>
        <v>0.478899269577034</v>
      </c>
      <c r="S275" s="38"/>
      <c r="T275" s="20"/>
      <c r="U275" s="120" t="s">
        <v>1406</v>
      </c>
    </row>
    <row r="276" s="839" customFormat="1" customHeight="1" spans="1:21">
      <c r="A276" s="1138"/>
      <c r="B276" s="725"/>
      <c r="C276" s="725"/>
      <c r="D276" s="725"/>
      <c r="E276" s="153"/>
      <c r="F276" s="725" t="s">
        <v>805</v>
      </c>
      <c r="G276" s="149" t="s">
        <v>806</v>
      </c>
      <c r="H276" s="687"/>
      <c r="I276" s="153"/>
      <c r="J276" s="153"/>
      <c r="K276" s="152"/>
      <c r="L276" s="153"/>
      <c r="M276" s="153"/>
      <c r="N276" s="154">
        <v>0.28306798690981</v>
      </c>
      <c r="O276" s="727">
        <v>0.894516872969179</v>
      </c>
      <c r="P276" s="727">
        <v>0.2</v>
      </c>
      <c r="Q276" s="727"/>
      <c r="R276" s="727">
        <f t="shared" si="30"/>
        <v>1.37758485987899</v>
      </c>
      <c r="S276" s="38"/>
      <c r="T276" s="20"/>
      <c r="U276" s="120" t="s">
        <v>1406</v>
      </c>
    </row>
    <row r="277" s="839" customFormat="1" customHeight="1" spans="1:21">
      <c r="A277" s="1138"/>
      <c r="B277" s="725"/>
      <c r="C277" s="725"/>
      <c r="D277" s="725"/>
      <c r="E277" s="153"/>
      <c r="F277" s="725" t="s">
        <v>931</v>
      </c>
      <c r="G277" s="149" t="s">
        <v>932</v>
      </c>
      <c r="H277" s="687"/>
      <c r="I277" s="153"/>
      <c r="J277" s="153"/>
      <c r="K277" s="153"/>
      <c r="L277" s="153"/>
      <c r="M277" s="153"/>
      <c r="N277" s="154">
        <v>0.337747579412264</v>
      </c>
      <c r="O277" s="727">
        <v>0.857142857142857</v>
      </c>
      <c r="P277" s="727">
        <v>0.2</v>
      </c>
      <c r="Q277" s="727"/>
      <c r="R277" s="727">
        <f t="shared" si="30"/>
        <v>1.39489043655512</v>
      </c>
      <c r="S277" s="38"/>
      <c r="T277" s="23"/>
      <c r="U277" s="120" t="s">
        <v>1406</v>
      </c>
    </row>
    <row r="278" s="839" customFormat="1" customHeight="1" spans="1:21">
      <c r="A278" s="1138"/>
      <c r="B278" s="725"/>
      <c r="C278" s="725"/>
      <c r="D278" s="725"/>
      <c r="E278" s="153"/>
      <c r="F278" s="725" t="s">
        <v>933</v>
      </c>
      <c r="G278" s="149" t="s">
        <v>934</v>
      </c>
      <c r="H278" s="687"/>
      <c r="I278" s="153"/>
      <c r="J278" s="153"/>
      <c r="K278" s="153"/>
      <c r="L278" s="153"/>
      <c r="M278" s="153"/>
      <c r="N278" s="154">
        <v>0.258277560727025</v>
      </c>
      <c r="O278" s="727">
        <v>0.817733990147783</v>
      </c>
      <c r="P278" s="727">
        <v>0.2</v>
      </c>
      <c r="Q278" s="727"/>
      <c r="R278" s="727">
        <f t="shared" si="30"/>
        <v>1.27601155087481</v>
      </c>
      <c r="S278" s="38"/>
      <c r="T278" s="23"/>
      <c r="U278" s="120" t="s">
        <v>1406</v>
      </c>
    </row>
    <row r="279" s="839" customFormat="1" customHeight="1" spans="1:21">
      <c r="A279" s="1138"/>
      <c r="B279" s="729" t="s">
        <v>3944</v>
      </c>
      <c r="C279" s="729"/>
      <c r="D279" s="729">
        <v>20240611</v>
      </c>
      <c r="E279" s="153">
        <v>7.17</v>
      </c>
      <c r="F279" s="729" t="s">
        <v>3945</v>
      </c>
      <c r="G279" s="729" t="s">
        <v>1629</v>
      </c>
      <c r="H279" s="729" t="s">
        <v>3540</v>
      </c>
      <c r="I279" s="21" t="s">
        <v>3799</v>
      </c>
      <c r="J279" s="689" t="s">
        <v>1428</v>
      </c>
      <c r="K279" s="689" t="s">
        <v>1428</v>
      </c>
      <c r="L279" s="138" t="s">
        <v>3513</v>
      </c>
      <c r="M279" s="689" t="s">
        <v>1428</v>
      </c>
      <c r="N279" s="37">
        <v>2.29260454789389</v>
      </c>
      <c r="O279" s="22">
        <v>10.2424860263558</v>
      </c>
      <c r="P279" s="37">
        <f t="shared" ref="P279:P285" si="31">Q279/E279/1.13</f>
        <v>2.5129287468681</v>
      </c>
      <c r="Q279" s="154">
        <v>20.36</v>
      </c>
      <c r="R279" s="22">
        <f t="shared" si="30"/>
        <v>15.0480193211178</v>
      </c>
      <c r="S279" s="766" t="s">
        <v>2854</v>
      </c>
      <c r="T279" s="729" t="s">
        <v>2847</v>
      </c>
      <c r="U279" s="120"/>
    </row>
    <row r="280" s="839" customFormat="1" customHeight="1" spans="1:21">
      <c r="A280" s="1138"/>
      <c r="B280" s="729"/>
      <c r="C280" s="729"/>
      <c r="D280" s="729">
        <v>20241025</v>
      </c>
      <c r="E280" s="153">
        <v>7.17</v>
      </c>
      <c r="F280" s="729" t="s">
        <v>3946</v>
      </c>
      <c r="G280" s="729" t="s">
        <v>1645</v>
      </c>
      <c r="H280" s="729" t="s">
        <v>1933</v>
      </c>
      <c r="I280" s="21" t="s">
        <v>3799</v>
      </c>
      <c r="J280" s="689" t="s">
        <v>1428</v>
      </c>
      <c r="K280" s="689" t="s">
        <v>1428</v>
      </c>
      <c r="L280" s="138" t="s">
        <v>3513</v>
      </c>
      <c r="M280" s="689" t="s">
        <v>1428</v>
      </c>
      <c r="N280" s="37">
        <v>2.29260454789389</v>
      </c>
      <c r="O280" s="22">
        <v>10.8667992515159</v>
      </c>
      <c r="P280" s="37">
        <f t="shared" si="31"/>
        <v>2.5129287468681</v>
      </c>
      <c r="Q280" s="154">
        <v>20.36</v>
      </c>
      <c r="R280" s="22">
        <f t="shared" si="30"/>
        <v>15.6723325462779</v>
      </c>
      <c r="S280" s="1722" t="s">
        <v>1526</v>
      </c>
      <c r="T280" s="729" t="s">
        <v>3947</v>
      </c>
      <c r="U280" s="120"/>
    </row>
    <row r="281" s="839" customFormat="1" customHeight="1" spans="1:21">
      <c r="A281" s="1138"/>
      <c r="B281" s="729"/>
      <c r="C281" s="729"/>
      <c r="D281" s="729">
        <v>20241025</v>
      </c>
      <c r="E281" s="153">
        <v>7.17</v>
      </c>
      <c r="F281" s="729" t="s">
        <v>3946</v>
      </c>
      <c r="G281" s="729" t="s">
        <v>3948</v>
      </c>
      <c r="H281" s="729" t="s">
        <v>1933</v>
      </c>
      <c r="I281" s="21" t="s">
        <v>3799</v>
      </c>
      <c r="J281" s="689" t="s">
        <v>1428</v>
      </c>
      <c r="K281" s="689" t="s">
        <v>1428</v>
      </c>
      <c r="L281" s="138" t="s">
        <v>3513</v>
      </c>
      <c r="M281" s="689" t="s">
        <v>1428</v>
      </c>
      <c r="N281" s="37">
        <v>2.29260454789389</v>
      </c>
      <c r="O281" s="22">
        <v>12.3004375194091</v>
      </c>
      <c r="P281" s="37">
        <f t="shared" si="31"/>
        <v>2.5129287468681</v>
      </c>
      <c r="Q281" s="154">
        <v>20.36</v>
      </c>
      <c r="R281" s="22">
        <f t="shared" si="30"/>
        <v>17.1059708141711</v>
      </c>
      <c r="S281" s="1832" t="s">
        <v>1526</v>
      </c>
      <c r="T281" s="928" t="s">
        <v>3949</v>
      </c>
      <c r="U281" s="120"/>
    </row>
    <row r="282" s="839" customFormat="1" customHeight="1" spans="1:21">
      <c r="A282" s="1138"/>
      <c r="B282" s="729"/>
      <c r="C282" s="729"/>
      <c r="D282" s="729">
        <v>20240809</v>
      </c>
      <c r="E282" s="153">
        <v>7.17</v>
      </c>
      <c r="F282" s="729" t="s">
        <v>3950</v>
      </c>
      <c r="G282" s="729" t="s">
        <v>1604</v>
      </c>
      <c r="H282" s="729" t="s">
        <v>3951</v>
      </c>
      <c r="I282" s="21" t="s">
        <v>3799</v>
      </c>
      <c r="J282" s="689" t="s">
        <v>1428</v>
      </c>
      <c r="K282" s="689" t="s">
        <v>1428</v>
      </c>
      <c r="L282" s="138" t="s">
        <v>3513</v>
      </c>
      <c r="M282" s="689" t="s">
        <v>1428</v>
      </c>
      <c r="N282" s="37">
        <v>2.29260454789389</v>
      </c>
      <c r="O282" s="22">
        <v>9.25785526090346</v>
      </c>
      <c r="P282" s="37">
        <f t="shared" si="31"/>
        <v>2.5129287468681</v>
      </c>
      <c r="Q282" s="154">
        <v>20.36</v>
      </c>
      <c r="R282" s="22">
        <f t="shared" si="30"/>
        <v>14.0633885556654</v>
      </c>
      <c r="S282" s="1722" t="s">
        <v>1526</v>
      </c>
      <c r="T282" s="729"/>
      <c r="U282" s="120"/>
    </row>
    <row r="283" s="839" customFormat="1" customHeight="1" spans="1:21">
      <c r="A283" s="1138"/>
      <c r="B283" s="729"/>
      <c r="C283" s="729"/>
      <c r="D283" s="729">
        <v>20241118</v>
      </c>
      <c r="E283" s="153">
        <v>7.17</v>
      </c>
      <c r="F283" s="729" t="s">
        <v>3952</v>
      </c>
      <c r="G283" s="729" t="s">
        <v>1571</v>
      </c>
      <c r="H283" s="729" t="s">
        <v>3953</v>
      </c>
      <c r="I283" s="21" t="s">
        <v>3799</v>
      </c>
      <c r="J283" s="689" t="s">
        <v>1428</v>
      </c>
      <c r="K283" s="689" t="s">
        <v>1428</v>
      </c>
      <c r="L283" s="138" t="s">
        <v>3513</v>
      </c>
      <c r="M283" s="689" t="s">
        <v>1428</v>
      </c>
      <c r="N283" s="37">
        <v>2.29260454789389</v>
      </c>
      <c r="O283" s="22">
        <v>9.93150295276987</v>
      </c>
      <c r="P283" s="37">
        <f t="shared" si="31"/>
        <v>2.5129287468681</v>
      </c>
      <c r="Q283" s="154">
        <v>20.36</v>
      </c>
      <c r="R283" s="22">
        <f t="shared" si="30"/>
        <v>14.7370362475319</v>
      </c>
      <c r="S283" s="1832" t="s">
        <v>1526</v>
      </c>
      <c r="T283" s="928" t="s">
        <v>3954</v>
      </c>
      <c r="U283" s="120"/>
    </row>
    <row r="284" s="839" customFormat="1" customHeight="1" spans="1:21">
      <c r="A284" s="1138"/>
      <c r="B284" s="729"/>
      <c r="C284" s="729"/>
      <c r="D284" s="729">
        <v>20250102</v>
      </c>
      <c r="E284" s="153">
        <v>7.17</v>
      </c>
      <c r="F284" s="729" t="s">
        <v>3955</v>
      </c>
      <c r="G284" s="729" t="s">
        <v>1685</v>
      </c>
      <c r="H284" s="729" t="s">
        <v>3956</v>
      </c>
      <c r="I284" s="21" t="s">
        <v>3794</v>
      </c>
      <c r="J284" s="689" t="s">
        <v>1428</v>
      </c>
      <c r="K284" s="689" t="s">
        <v>1428</v>
      </c>
      <c r="L284" s="138" t="s">
        <v>3513</v>
      </c>
      <c r="M284" s="689" t="s">
        <v>1428</v>
      </c>
      <c r="N284" s="37">
        <v>2.27690177701791</v>
      </c>
      <c r="O284" s="22">
        <v>11.5531496333868</v>
      </c>
      <c r="P284" s="37">
        <f t="shared" si="31"/>
        <v>2.5129287468681</v>
      </c>
      <c r="Q284" s="154">
        <v>20.36</v>
      </c>
      <c r="R284" s="22">
        <f t="shared" si="30"/>
        <v>16.3429801572728</v>
      </c>
      <c r="S284" s="1832" t="s">
        <v>1526</v>
      </c>
      <c r="T284" s="928" t="s">
        <v>3957</v>
      </c>
      <c r="U284" s="120"/>
    </row>
    <row r="285" s="839" customFormat="1" customHeight="1" spans="1:21">
      <c r="A285" s="1138"/>
      <c r="B285" s="1809"/>
      <c r="C285" s="729"/>
      <c r="D285" s="729">
        <v>20250306</v>
      </c>
      <c r="E285" s="153">
        <v>6.8</v>
      </c>
      <c r="F285" s="1809" t="s">
        <v>3467</v>
      </c>
      <c r="G285" s="729" t="s">
        <v>1669</v>
      </c>
      <c r="H285" s="729" t="s">
        <v>3956</v>
      </c>
      <c r="I285" s="21" t="s">
        <v>3799</v>
      </c>
      <c r="J285" s="689"/>
      <c r="K285" s="689"/>
      <c r="L285" s="138" t="s">
        <v>3513</v>
      </c>
      <c r="M285" s="689"/>
      <c r="N285" s="154">
        <f>29.819/E285/1.13</f>
        <v>3.88066111400312</v>
      </c>
      <c r="O285" s="727">
        <v>11.5</v>
      </c>
      <c r="P285" s="154">
        <f t="shared" si="31"/>
        <v>2.64966163456533</v>
      </c>
      <c r="Q285" s="154">
        <v>20.36</v>
      </c>
      <c r="R285" s="727">
        <f t="shared" si="30"/>
        <v>18.0303227485685</v>
      </c>
      <c r="S285" s="1833" t="s">
        <v>1526</v>
      </c>
      <c r="T285" s="928" t="s">
        <v>3958</v>
      </c>
      <c r="U285" s="120"/>
    </row>
    <row r="286" s="839" customFormat="1" customHeight="1" spans="1:21">
      <c r="A286" s="1138"/>
      <c r="B286" s="729"/>
      <c r="C286" s="729"/>
      <c r="D286" s="729">
        <v>20250306</v>
      </c>
      <c r="E286" s="153">
        <v>7.17</v>
      </c>
      <c r="F286" s="729" t="s">
        <v>936</v>
      </c>
      <c r="G286" s="729" t="s">
        <v>937</v>
      </c>
      <c r="H286" s="729"/>
      <c r="I286" s="21"/>
      <c r="J286" s="689"/>
      <c r="K286" s="689"/>
      <c r="L286" s="21"/>
      <c r="M286" s="689"/>
      <c r="N286" s="37">
        <v>0.328605010890954</v>
      </c>
      <c r="O286" s="22">
        <v>0.765299524829342</v>
      </c>
      <c r="P286" s="37">
        <v>0.2</v>
      </c>
      <c r="Q286" s="154"/>
      <c r="R286" s="22">
        <f t="shared" si="30"/>
        <v>1.2939045357203</v>
      </c>
      <c r="T286" s="729"/>
      <c r="U286" s="120"/>
    </row>
    <row r="287" s="839" customFormat="1" customHeight="1" spans="1:21">
      <c r="A287" s="1138"/>
      <c r="B287" s="729"/>
      <c r="C287" s="729"/>
      <c r="D287" s="729">
        <v>20240219</v>
      </c>
      <c r="E287" s="153">
        <v>7.17</v>
      </c>
      <c r="F287" s="729" t="s">
        <v>938</v>
      </c>
      <c r="G287" s="729" t="s">
        <v>939</v>
      </c>
      <c r="H287" s="729"/>
      <c r="I287" s="21"/>
      <c r="J287" s="689"/>
      <c r="K287" s="689"/>
      <c r="L287" s="21"/>
      <c r="M287" s="689"/>
      <c r="N287" s="37">
        <v>0.295748320222878</v>
      </c>
      <c r="O287" s="22">
        <v>0.855849899155191</v>
      </c>
      <c r="P287" s="37">
        <v>0.2</v>
      </c>
      <c r="Q287" s="154"/>
      <c r="R287" s="22">
        <f t="shared" si="30"/>
        <v>1.35159821937807</v>
      </c>
      <c r="S287" s="766"/>
      <c r="T287" s="729"/>
      <c r="U287" s="120"/>
    </row>
    <row r="288" s="839" customFormat="1" customHeight="1" spans="1:21">
      <c r="A288" s="1138"/>
      <c r="B288" s="729"/>
      <c r="C288" s="729"/>
      <c r="D288" s="729">
        <v>20240219</v>
      </c>
      <c r="E288" s="153">
        <v>7.17</v>
      </c>
      <c r="F288" s="729" t="s">
        <v>940</v>
      </c>
      <c r="G288" s="729" t="s">
        <v>941</v>
      </c>
      <c r="H288" s="729"/>
      <c r="I288" s="21"/>
      <c r="J288" s="689"/>
      <c r="K288" s="689"/>
      <c r="L288" s="21"/>
      <c r="M288" s="689"/>
      <c r="N288" s="37">
        <v>0.295748320222878</v>
      </c>
      <c r="O288" s="22">
        <v>1.02101321859607</v>
      </c>
      <c r="P288" s="37">
        <v>0.2</v>
      </c>
      <c r="Q288" s="154"/>
      <c r="R288" s="22">
        <f t="shared" si="30"/>
        <v>1.51676153881895</v>
      </c>
      <c r="S288" s="766"/>
      <c r="T288" s="729"/>
      <c r="U288" s="120"/>
    </row>
    <row r="289" s="187" customFormat="1" customHeight="1" spans="1:21">
      <c r="A289" s="1138"/>
      <c r="B289" s="23" t="s">
        <v>942</v>
      </c>
      <c r="C289" s="23"/>
      <c r="D289" s="23"/>
      <c r="E289" s="21"/>
      <c r="F289" s="23" t="s">
        <v>943</v>
      </c>
      <c r="G289" s="20" t="s">
        <v>944</v>
      </c>
      <c r="H289" s="21" t="s">
        <v>1428</v>
      </c>
      <c r="I289" s="21" t="s">
        <v>1428</v>
      </c>
      <c r="J289" s="21" t="s">
        <v>1428</v>
      </c>
      <c r="K289" s="21" t="s">
        <v>1428</v>
      </c>
      <c r="L289" s="21" t="s">
        <v>1428</v>
      </c>
      <c r="M289" s="21" t="s">
        <v>1428</v>
      </c>
      <c r="N289" s="37">
        <v>0.456952607440122</v>
      </c>
      <c r="O289" s="22">
        <v>0.561576354679803</v>
      </c>
      <c r="P289" s="22">
        <v>0.2</v>
      </c>
      <c r="Q289" s="154"/>
      <c r="R289" s="22">
        <f>SUM(M289:P289)</f>
        <v>1.21852896211992</v>
      </c>
      <c r="S289" s="23"/>
      <c r="T289" s="23"/>
      <c r="U289" s="120" t="s">
        <v>1406</v>
      </c>
    </row>
    <row r="290" s="187" customFormat="1" customHeight="1" spans="1:21">
      <c r="A290" s="1138"/>
      <c r="B290" s="23"/>
      <c r="C290" s="23"/>
      <c r="D290" s="23"/>
      <c r="E290" s="21"/>
      <c r="F290" s="23" t="s">
        <v>945</v>
      </c>
      <c r="G290" s="20" t="s">
        <v>946</v>
      </c>
      <c r="H290" s="21" t="s">
        <v>1428</v>
      </c>
      <c r="I290" s="21" t="s">
        <v>1428</v>
      </c>
      <c r="J290" s="21" t="s">
        <v>1428</v>
      </c>
      <c r="K290" s="21" t="s">
        <v>1428</v>
      </c>
      <c r="L290" s="21" t="s">
        <v>1428</v>
      </c>
      <c r="M290" s="21" t="s">
        <v>1428</v>
      </c>
      <c r="N290" s="37">
        <v>0.0397350093426193</v>
      </c>
      <c r="O290" s="22">
        <v>0.0591133004926108</v>
      </c>
      <c r="P290" s="22">
        <v>0.2</v>
      </c>
      <c r="Q290" s="727"/>
      <c r="R290" s="22">
        <f t="shared" ref="R290:R316" si="32">SUM(L290:P290)</f>
        <v>0.29884830983523</v>
      </c>
      <c r="S290" s="23"/>
      <c r="T290" s="23"/>
      <c r="U290" s="120" t="s">
        <v>1406</v>
      </c>
    </row>
    <row r="291" s="187" customFormat="1" customHeight="1" spans="1:21">
      <c r="A291" s="1138"/>
      <c r="B291" s="19" t="s">
        <v>768</v>
      </c>
      <c r="C291" s="19"/>
      <c r="D291" s="19"/>
      <c r="E291" s="21"/>
      <c r="F291" s="19" t="s">
        <v>947</v>
      </c>
      <c r="G291" s="20" t="s">
        <v>948</v>
      </c>
      <c r="H291" s="21" t="s">
        <v>1428</v>
      </c>
      <c r="I291" s="21" t="s">
        <v>1428</v>
      </c>
      <c r="J291" s="21" t="s">
        <v>1428</v>
      </c>
      <c r="K291" s="21" t="s">
        <v>1428</v>
      </c>
      <c r="L291" s="21" t="s">
        <v>1428</v>
      </c>
      <c r="M291" s="21" t="s">
        <v>1428</v>
      </c>
      <c r="N291" s="37">
        <v>0.367548836419229</v>
      </c>
      <c r="O291" s="22">
        <v>1.99014778325123</v>
      </c>
      <c r="P291" s="22">
        <v>0.2</v>
      </c>
      <c r="Q291" s="727"/>
      <c r="R291" s="22">
        <f t="shared" si="32"/>
        <v>2.55769661967046</v>
      </c>
      <c r="S291" s="23"/>
      <c r="T291" s="23"/>
      <c r="U291" s="120" t="s">
        <v>1406</v>
      </c>
    </row>
    <row r="292" s="187" customFormat="1" customHeight="1" spans="1:21">
      <c r="A292" s="1138"/>
      <c r="B292" s="19"/>
      <c r="C292" s="19"/>
      <c r="D292" s="19"/>
      <c r="E292" s="21"/>
      <c r="F292" s="19" t="s">
        <v>949</v>
      </c>
      <c r="G292" s="20" t="s">
        <v>950</v>
      </c>
      <c r="H292" s="21" t="s">
        <v>1428</v>
      </c>
      <c r="I292" s="21" t="s">
        <v>1428</v>
      </c>
      <c r="J292" s="21" t="s">
        <v>1428</v>
      </c>
      <c r="K292" s="21" t="s">
        <v>1428</v>
      </c>
      <c r="L292" s="21" t="s">
        <v>1428</v>
      </c>
      <c r="M292" s="21" t="s">
        <v>1428</v>
      </c>
      <c r="N292" s="37">
        <v>0.387416341090538</v>
      </c>
      <c r="O292" s="22">
        <v>2.57142857142857</v>
      </c>
      <c r="P292" s="22">
        <v>0.2</v>
      </c>
      <c r="Q292" s="727"/>
      <c r="R292" s="22">
        <f t="shared" si="32"/>
        <v>3.15884491251911</v>
      </c>
      <c r="S292" s="23"/>
      <c r="T292" s="23"/>
      <c r="U292" s="120" t="s">
        <v>1406</v>
      </c>
    </row>
    <row r="293" s="839" customFormat="1" customHeight="1" spans="1:21">
      <c r="A293" s="1138"/>
      <c r="B293" s="19"/>
      <c r="C293" s="19"/>
      <c r="D293" s="19"/>
      <c r="E293" s="21"/>
      <c r="F293" s="19" t="s">
        <v>951</v>
      </c>
      <c r="G293" s="20" t="s">
        <v>952</v>
      </c>
      <c r="H293" s="21" t="s">
        <v>1428</v>
      </c>
      <c r="I293" s="21" t="s">
        <v>1428</v>
      </c>
      <c r="J293" s="21" t="s">
        <v>1428</v>
      </c>
      <c r="K293" s="21" t="s">
        <v>1428</v>
      </c>
      <c r="L293" s="21" t="s">
        <v>1428</v>
      </c>
      <c r="M293" s="21" t="s">
        <v>1428</v>
      </c>
      <c r="N293" s="37">
        <v>0.456952607440122</v>
      </c>
      <c r="O293" s="22">
        <v>3.70443349753695</v>
      </c>
      <c r="P293" s="22">
        <v>0.2</v>
      </c>
      <c r="Q293" s="727"/>
      <c r="R293" s="22">
        <f t="shared" si="32"/>
        <v>4.36138610497707</v>
      </c>
      <c r="S293" s="38"/>
      <c r="T293" s="23" t="s">
        <v>3959</v>
      </c>
      <c r="U293" s="120" t="s">
        <v>1406</v>
      </c>
    </row>
    <row r="294" s="839" customFormat="1" customHeight="1" spans="1:21">
      <c r="A294" s="1834"/>
      <c r="B294" s="19"/>
      <c r="C294" s="19"/>
      <c r="D294" s="19"/>
      <c r="E294" s="21"/>
      <c r="F294" s="19" t="s">
        <v>827</v>
      </c>
      <c r="G294" s="20" t="s">
        <v>954</v>
      </c>
      <c r="H294" s="21" t="s">
        <v>1428</v>
      </c>
      <c r="I294" s="21" t="s">
        <v>1428</v>
      </c>
      <c r="J294" s="21" t="s">
        <v>1428</v>
      </c>
      <c r="K294" s="21" t="s">
        <v>1428</v>
      </c>
      <c r="L294" s="21" t="s">
        <v>1428</v>
      </c>
      <c r="M294" s="21" t="s">
        <v>1428</v>
      </c>
      <c r="N294" s="37">
        <v>0.231238637193929</v>
      </c>
      <c r="O294" s="22">
        <v>0.665566685653746</v>
      </c>
      <c r="P294" s="22">
        <v>0.2</v>
      </c>
      <c r="Q294" s="727"/>
      <c r="R294" s="22">
        <f t="shared" si="32"/>
        <v>1.09680532284768</v>
      </c>
      <c r="S294" s="38"/>
      <c r="T294" s="23"/>
      <c r="U294" s="120" t="s">
        <v>1406</v>
      </c>
    </row>
    <row r="295" s="187" customFormat="1" customHeight="1" spans="1:21">
      <c r="A295" s="1138"/>
      <c r="B295" s="19" t="s">
        <v>3960</v>
      </c>
      <c r="C295" s="19"/>
      <c r="D295" s="19">
        <v>20241009</v>
      </c>
      <c r="E295" s="153">
        <v>7.17</v>
      </c>
      <c r="F295" s="19" t="s">
        <v>3492</v>
      </c>
      <c r="G295" s="20" t="s">
        <v>1565</v>
      </c>
      <c r="H295" s="21" t="s">
        <v>1428</v>
      </c>
      <c r="I295" s="21" t="s">
        <v>1428</v>
      </c>
      <c r="J295" s="21" t="s">
        <v>1428</v>
      </c>
      <c r="K295" s="21" t="s">
        <v>1428</v>
      </c>
      <c r="L295" s="21" t="s">
        <v>1428</v>
      </c>
      <c r="M295" s="21" t="s">
        <v>1428</v>
      </c>
      <c r="N295" s="37">
        <v>1.44091420411919</v>
      </c>
      <c r="O295" s="22">
        <v>13.3641385570766</v>
      </c>
      <c r="P295" s="37">
        <v>0.2</v>
      </c>
      <c r="Q295" s="727"/>
      <c r="R295" s="22">
        <f t="shared" si="32"/>
        <v>15.0050527611958</v>
      </c>
      <c r="S295" s="23"/>
      <c r="T295" s="23" t="s">
        <v>3961</v>
      </c>
      <c r="U295" s="120"/>
    </row>
    <row r="296" s="187" customFormat="1" customHeight="1" spans="1:21">
      <c r="A296" s="1138"/>
      <c r="B296" s="19"/>
      <c r="C296" s="19"/>
      <c r="D296" s="19">
        <v>20241009</v>
      </c>
      <c r="E296" s="153">
        <v>7.17</v>
      </c>
      <c r="F296" s="19" t="s">
        <v>955</v>
      </c>
      <c r="G296" s="20" t="s">
        <v>956</v>
      </c>
      <c r="H296" s="21" t="s">
        <v>1428</v>
      </c>
      <c r="I296" s="21" t="s">
        <v>1428</v>
      </c>
      <c r="J296" s="21" t="s">
        <v>1428</v>
      </c>
      <c r="K296" s="21" t="s">
        <v>1428</v>
      </c>
      <c r="L296" s="21" t="s">
        <v>1428</v>
      </c>
      <c r="M296" s="21" t="s">
        <v>1428</v>
      </c>
      <c r="N296" s="37">
        <v>0.0715329576166325</v>
      </c>
      <c r="O296" s="22">
        <v>0.00027803051319765</v>
      </c>
      <c r="P296" s="22">
        <v>0.2</v>
      </c>
      <c r="Q296" s="154"/>
      <c r="R296" s="22">
        <f t="shared" si="32"/>
        <v>0.27181098812983</v>
      </c>
      <c r="S296" s="23"/>
      <c r="T296" s="23" t="s">
        <v>3494</v>
      </c>
      <c r="U296" s="120" t="s">
        <v>1406</v>
      </c>
    </row>
    <row r="297" s="187" customFormat="1" customHeight="1" spans="1:21">
      <c r="A297" s="1138"/>
      <c r="B297" s="19"/>
      <c r="C297" s="19"/>
      <c r="D297" s="19">
        <v>20241009</v>
      </c>
      <c r="E297" s="153">
        <v>7.17</v>
      </c>
      <c r="F297" s="19" t="s">
        <v>958</v>
      </c>
      <c r="G297" s="20" t="s">
        <v>959</v>
      </c>
      <c r="H297" s="21" t="s">
        <v>1428</v>
      </c>
      <c r="I297" s="21" t="s">
        <v>1428</v>
      </c>
      <c r="J297" s="21" t="s">
        <v>1428</v>
      </c>
      <c r="K297" s="21" t="s">
        <v>1428</v>
      </c>
      <c r="L297" s="21" t="s">
        <v>1428</v>
      </c>
      <c r="M297" s="21" t="s">
        <v>1428</v>
      </c>
      <c r="N297" s="37">
        <v>0.286647230659588</v>
      </c>
      <c r="O297" s="22">
        <v>0.122156497298568</v>
      </c>
      <c r="P297" s="22">
        <v>0.2</v>
      </c>
      <c r="Q297" s="727"/>
      <c r="R297" s="22">
        <f t="shared" si="32"/>
        <v>0.608803727958156</v>
      </c>
      <c r="S297" s="23"/>
      <c r="T297" s="23"/>
      <c r="U297" s="120" t="s">
        <v>1406</v>
      </c>
    </row>
    <row r="298" s="187" customFormat="1" customHeight="1" spans="1:21">
      <c r="A298" s="1138"/>
      <c r="B298" s="19"/>
      <c r="C298" s="19"/>
      <c r="D298" s="19">
        <v>20241009</v>
      </c>
      <c r="E298" s="153">
        <v>7.17</v>
      </c>
      <c r="F298" s="19" t="s">
        <v>960</v>
      </c>
      <c r="G298" s="20" t="s">
        <v>961</v>
      </c>
      <c r="H298" s="21" t="s">
        <v>1428</v>
      </c>
      <c r="I298" s="21" t="s">
        <v>1428</v>
      </c>
      <c r="J298" s="21" t="s">
        <v>1428</v>
      </c>
      <c r="K298" s="21" t="s">
        <v>1428</v>
      </c>
      <c r="L298" s="21" t="s">
        <v>1428</v>
      </c>
      <c r="M298" s="21" t="s">
        <v>1428</v>
      </c>
      <c r="N298" s="37">
        <v>0.15356101642478</v>
      </c>
      <c r="O298" s="22">
        <v>4.46744483706224</v>
      </c>
      <c r="P298" s="22">
        <v>1.47679324894515</v>
      </c>
      <c r="Q298" s="727"/>
      <c r="R298" s="22">
        <f t="shared" si="32"/>
        <v>6.09779910243217</v>
      </c>
      <c r="S298" s="23"/>
      <c r="T298" s="23" t="s">
        <v>3962</v>
      </c>
      <c r="U298" s="120" t="s">
        <v>1406</v>
      </c>
    </row>
    <row r="299" s="931" customFormat="1" customHeight="1" spans="1:21">
      <c r="A299" s="1835"/>
      <c r="B299" s="23" t="s">
        <v>3963</v>
      </c>
      <c r="C299" s="23"/>
      <c r="D299" s="23">
        <v>20241025</v>
      </c>
      <c r="E299" s="153">
        <v>7.17</v>
      </c>
      <c r="F299" s="23" t="s">
        <v>3964</v>
      </c>
      <c r="G299" s="20" t="s">
        <v>1685</v>
      </c>
      <c r="H299" s="729" t="s">
        <v>3588</v>
      </c>
      <c r="I299" s="21" t="s">
        <v>3541</v>
      </c>
      <c r="J299" s="21" t="s">
        <v>3425</v>
      </c>
      <c r="K299" s="21"/>
      <c r="L299" s="138" t="s">
        <v>3513</v>
      </c>
      <c r="M299" s="21"/>
      <c r="N299" s="22">
        <v>3.74944815103835</v>
      </c>
      <c r="O299" s="22">
        <v>13.1540350165075</v>
      </c>
      <c r="P299" s="37">
        <f t="shared" ref="P299:P302" si="33">4</f>
        <v>4</v>
      </c>
      <c r="Q299" s="709"/>
      <c r="R299" s="22">
        <f t="shared" si="32"/>
        <v>20.9034831675459</v>
      </c>
      <c r="S299" s="824" t="s">
        <v>3562</v>
      </c>
      <c r="T299" s="167" t="s">
        <v>3965</v>
      </c>
    </row>
    <row r="300" s="931" customFormat="1" customHeight="1" spans="1:21">
      <c r="A300" s="1835"/>
      <c r="B300" s="23"/>
      <c r="C300" s="23"/>
      <c r="D300" s="23">
        <v>20250212</v>
      </c>
      <c r="E300" s="153">
        <v>7.17</v>
      </c>
      <c r="F300" s="23" t="s">
        <v>964</v>
      </c>
      <c r="G300" s="23" t="s">
        <v>965</v>
      </c>
      <c r="H300" s="729"/>
      <c r="I300" s="21"/>
      <c r="J300" s="21"/>
      <c r="K300" s="21"/>
      <c r="L300" s="21"/>
      <c r="M300" s="21"/>
      <c r="N300" s="22">
        <v>1.79297283024758</v>
      </c>
      <c r="O300" s="22">
        <v>7.29065362184943</v>
      </c>
      <c r="P300" s="37">
        <v>2</v>
      </c>
      <c r="Q300" s="709"/>
      <c r="R300" s="22">
        <f t="shared" si="32"/>
        <v>11.083626452097</v>
      </c>
      <c r="S300" s="824"/>
      <c r="T300" s="167" t="s">
        <v>3966</v>
      </c>
    </row>
    <row r="301" s="931" customFormat="1" customHeight="1" spans="1:21">
      <c r="A301" s="1835"/>
      <c r="B301" s="23"/>
      <c r="C301" s="23"/>
      <c r="D301" s="23">
        <v>20250425</v>
      </c>
      <c r="E301" s="153">
        <v>7.17</v>
      </c>
      <c r="F301" s="23" t="s">
        <v>3967</v>
      </c>
      <c r="G301" s="20" t="s">
        <v>1998</v>
      </c>
      <c r="H301" s="729" t="s">
        <v>3588</v>
      </c>
      <c r="I301" s="21" t="s">
        <v>3541</v>
      </c>
      <c r="J301" s="21" t="s">
        <v>3425</v>
      </c>
      <c r="K301" s="21"/>
      <c r="L301" s="138" t="s">
        <v>3513</v>
      </c>
      <c r="M301" s="21"/>
      <c r="N301" s="22">
        <v>3.65185977450448</v>
      </c>
      <c r="O301" s="22">
        <v>11.7594952478926</v>
      </c>
      <c r="P301" s="37">
        <f t="shared" si="33"/>
        <v>4</v>
      </c>
      <c r="Q301" s="709"/>
      <c r="R301" s="22">
        <f t="shared" si="32"/>
        <v>19.4113550223971</v>
      </c>
      <c r="S301" s="824" t="s">
        <v>3968</v>
      </c>
      <c r="T301" s="167" t="s">
        <v>3969</v>
      </c>
    </row>
    <row r="302" s="931" customFormat="1" customHeight="1" spans="1:21">
      <c r="A302" s="1835"/>
      <c r="B302" s="23"/>
      <c r="C302" s="23"/>
      <c r="D302" s="23">
        <v>20250425</v>
      </c>
      <c r="E302" s="153">
        <v>7.17</v>
      </c>
      <c r="F302" s="23" t="s">
        <v>3970</v>
      </c>
      <c r="G302" s="20" t="s">
        <v>1581</v>
      </c>
      <c r="H302" s="729" t="s">
        <v>3588</v>
      </c>
      <c r="I302" s="21" t="s">
        <v>3542</v>
      </c>
      <c r="J302" s="21" t="s">
        <v>3425</v>
      </c>
      <c r="K302" s="21"/>
      <c r="L302" s="138" t="s">
        <v>3513</v>
      </c>
      <c r="M302" s="21"/>
      <c r="N302" s="22">
        <v>3.65185977450448</v>
      </c>
      <c r="O302" s="22">
        <v>11.7885403450569</v>
      </c>
      <c r="P302" s="37">
        <f t="shared" si="33"/>
        <v>4</v>
      </c>
      <c r="Q302" s="709"/>
      <c r="R302" s="22">
        <f t="shared" si="32"/>
        <v>19.4404001195614</v>
      </c>
      <c r="S302" s="824" t="s">
        <v>3968</v>
      </c>
      <c r="T302" s="167" t="s">
        <v>3971</v>
      </c>
    </row>
    <row r="303" s="931" customFormat="1" customHeight="1" spans="1:21">
      <c r="A303" s="1835"/>
      <c r="B303" s="23"/>
      <c r="C303" s="23"/>
      <c r="D303" s="23">
        <v>20240829</v>
      </c>
      <c r="E303" s="153">
        <v>7.17</v>
      </c>
      <c r="F303" s="23" t="s">
        <v>967</v>
      </c>
      <c r="G303" s="20" t="s">
        <v>968</v>
      </c>
      <c r="H303" s="729"/>
      <c r="I303" s="21"/>
      <c r="J303" s="21"/>
      <c r="K303" s="21"/>
      <c r="L303" s="21"/>
      <c r="M303" s="21"/>
      <c r="N303" s="22">
        <v>1.87584211008488</v>
      </c>
      <c r="O303" s="22">
        <v>7.62483718633602</v>
      </c>
      <c r="P303" s="37">
        <v>2</v>
      </c>
      <c r="Q303" s="709"/>
      <c r="R303" s="22">
        <f t="shared" si="32"/>
        <v>11.5006792964209</v>
      </c>
      <c r="S303" s="729"/>
      <c r="T303" s="167" t="s">
        <v>3972</v>
      </c>
    </row>
    <row r="304" s="931" customFormat="1" customHeight="1" spans="1:21">
      <c r="A304" s="1835"/>
      <c r="B304" s="23"/>
      <c r="C304" s="23"/>
      <c r="D304" s="23">
        <v>20240813</v>
      </c>
      <c r="E304" s="153">
        <v>7.17</v>
      </c>
      <c r="F304" s="23" t="s">
        <v>970</v>
      </c>
      <c r="G304" s="20" t="s">
        <v>971</v>
      </c>
      <c r="H304" s="729"/>
      <c r="I304" s="21"/>
      <c r="J304" s="21"/>
      <c r="K304" s="21"/>
      <c r="L304" s="21"/>
      <c r="M304" s="21"/>
      <c r="N304" s="22">
        <v>1.8601338014668</v>
      </c>
      <c r="O304" s="22">
        <v>7.56127770401345</v>
      </c>
      <c r="P304" s="37">
        <f>4</f>
        <v>4</v>
      </c>
      <c r="Q304" s="709"/>
      <c r="R304" s="22">
        <f t="shared" si="32"/>
        <v>13.4214115054803</v>
      </c>
      <c r="S304" s="729"/>
      <c r="T304" s="167" t="s">
        <v>3973</v>
      </c>
    </row>
    <row r="305" s="42" customFormat="1" customHeight="1" spans="1:21">
      <c r="A305" s="1835"/>
      <c r="B305" s="23" t="s">
        <v>3974</v>
      </c>
      <c r="C305" s="23"/>
      <c r="D305" s="23">
        <v>20240906</v>
      </c>
      <c r="E305" s="153">
        <v>7.17</v>
      </c>
      <c r="F305" s="23" t="s">
        <v>3975</v>
      </c>
      <c r="G305" s="20" t="s">
        <v>1629</v>
      </c>
      <c r="H305" s="729" t="s">
        <v>3976</v>
      </c>
      <c r="I305" s="21" t="s">
        <v>3542</v>
      </c>
      <c r="J305" s="21" t="s">
        <v>3909</v>
      </c>
      <c r="K305" s="21" t="s">
        <v>1635</v>
      </c>
      <c r="L305" s="138" t="s">
        <v>3513</v>
      </c>
      <c r="M305" s="21">
        <v>3.1</v>
      </c>
      <c r="N305" s="22">
        <v>2.66172428469618</v>
      </c>
      <c r="O305" s="22">
        <v>14.1989347719721</v>
      </c>
      <c r="P305" s="37">
        <v>3</v>
      </c>
      <c r="Q305" s="22"/>
      <c r="R305" s="22">
        <f t="shared" si="32"/>
        <v>22.9606590566683</v>
      </c>
      <c r="S305" s="756" t="s">
        <v>3977</v>
      </c>
      <c r="T305" s="23" t="s">
        <v>3978</v>
      </c>
    </row>
    <row r="306" s="42" customFormat="1" customHeight="1" spans="1:21">
      <c r="A306" s="1835"/>
      <c r="B306" s="23"/>
      <c r="C306" s="23"/>
      <c r="D306" s="23">
        <v>20240906</v>
      </c>
      <c r="E306" s="153">
        <v>7.17</v>
      </c>
      <c r="F306" s="23" t="s">
        <v>3979</v>
      </c>
      <c r="G306" s="20" t="s">
        <v>1645</v>
      </c>
      <c r="H306" s="729" t="s">
        <v>3976</v>
      </c>
      <c r="I306" s="21" t="s">
        <v>3542</v>
      </c>
      <c r="J306" s="21" t="s">
        <v>3909</v>
      </c>
      <c r="K306" s="21" t="s">
        <v>1635</v>
      </c>
      <c r="L306" s="138" t="s">
        <v>3513</v>
      </c>
      <c r="M306" s="21">
        <v>3.1</v>
      </c>
      <c r="N306" s="22">
        <v>2.66172428469618</v>
      </c>
      <c r="O306" s="22">
        <v>13.8040416346926</v>
      </c>
      <c r="P306" s="37">
        <v>3</v>
      </c>
      <c r="Q306" s="22"/>
      <c r="R306" s="22">
        <f t="shared" si="32"/>
        <v>22.5657659193888</v>
      </c>
      <c r="S306" s="756" t="s">
        <v>3977</v>
      </c>
      <c r="T306" s="23" t="s">
        <v>3980</v>
      </c>
    </row>
    <row r="307" s="42" customFormat="1" customHeight="1" spans="1:21">
      <c r="A307" s="1835"/>
      <c r="B307" s="23"/>
      <c r="C307" s="23"/>
      <c r="D307" s="23">
        <v>20240906</v>
      </c>
      <c r="E307" s="153">
        <v>7.17</v>
      </c>
      <c r="F307" s="23" t="s">
        <v>3981</v>
      </c>
      <c r="G307" s="20" t="s">
        <v>1604</v>
      </c>
      <c r="H307" s="729" t="s">
        <v>3976</v>
      </c>
      <c r="I307" s="21" t="s">
        <v>3542</v>
      </c>
      <c r="J307" s="21" t="s">
        <v>3909</v>
      </c>
      <c r="K307" s="21" t="s">
        <v>1635</v>
      </c>
      <c r="L307" s="138" t="s">
        <v>3513</v>
      </c>
      <c r="M307" s="21">
        <v>3.1</v>
      </c>
      <c r="N307" s="22">
        <v>2.66172428469618</v>
      </c>
      <c r="O307" s="22">
        <v>14.4684235439438</v>
      </c>
      <c r="P307" s="37">
        <v>3</v>
      </c>
      <c r="Q307" s="22"/>
      <c r="R307" s="22">
        <f t="shared" si="32"/>
        <v>23.23014782864</v>
      </c>
      <c r="S307" s="756" t="s">
        <v>3977</v>
      </c>
      <c r="T307" s="23" t="s">
        <v>3982</v>
      </c>
    </row>
    <row r="308" s="42" customFormat="1" customHeight="1" spans="1:21">
      <c r="A308" s="1835"/>
      <c r="B308" s="23"/>
      <c r="C308" s="23"/>
      <c r="D308" s="23">
        <v>20240906</v>
      </c>
      <c r="E308" s="153">
        <v>7.17</v>
      </c>
      <c r="F308" s="23" t="s">
        <v>3983</v>
      </c>
      <c r="G308" s="20" t="s">
        <v>1571</v>
      </c>
      <c r="H308" s="729" t="s">
        <v>3976</v>
      </c>
      <c r="I308" s="21" t="s">
        <v>3542</v>
      </c>
      <c r="J308" s="21" t="s">
        <v>3432</v>
      </c>
      <c r="K308" s="21" t="s">
        <v>1635</v>
      </c>
      <c r="L308" s="138" t="s">
        <v>3513</v>
      </c>
      <c r="M308" s="21">
        <v>3.1</v>
      </c>
      <c r="N308" s="22">
        <v>2.66172428469618</v>
      </c>
      <c r="O308" s="22">
        <v>14.3857211018176</v>
      </c>
      <c r="P308" s="37">
        <v>3</v>
      </c>
      <c r="Q308" s="22"/>
      <c r="R308" s="22">
        <f t="shared" si="32"/>
        <v>23.1474453865138</v>
      </c>
      <c r="S308" s="756" t="s">
        <v>3984</v>
      </c>
      <c r="T308" s="23" t="s">
        <v>3980</v>
      </c>
    </row>
    <row r="309" s="42" customFormat="1" customHeight="1" spans="1:21">
      <c r="A309" s="1835"/>
      <c r="B309" s="23"/>
      <c r="C309" s="23"/>
      <c r="D309" s="23">
        <v>20240906</v>
      </c>
      <c r="E309" s="153">
        <v>7.17</v>
      </c>
      <c r="F309" s="23" t="s">
        <v>3985</v>
      </c>
      <c r="G309" s="20" t="s">
        <v>1685</v>
      </c>
      <c r="H309" s="729" t="s">
        <v>3976</v>
      </c>
      <c r="I309" s="21" t="s">
        <v>3542</v>
      </c>
      <c r="J309" s="21" t="s">
        <v>3909</v>
      </c>
      <c r="K309" s="21" t="s">
        <v>1635</v>
      </c>
      <c r="L309" s="138" t="s">
        <v>3513</v>
      </c>
      <c r="M309" s="21">
        <v>3.1</v>
      </c>
      <c r="N309" s="22">
        <v>2.66172428469618</v>
      </c>
      <c r="O309" s="22">
        <v>14.6270328765125</v>
      </c>
      <c r="P309" s="37">
        <v>3</v>
      </c>
      <c r="Q309" s="22"/>
      <c r="R309" s="22">
        <f t="shared" si="32"/>
        <v>23.3887571612087</v>
      </c>
      <c r="S309" s="756" t="s">
        <v>3977</v>
      </c>
      <c r="T309" s="23" t="s">
        <v>3982</v>
      </c>
    </row>
    <row r="310" s="42" customFormat="1" customHeight="1" spans="1:21">
      <c r="A310" s="1835"/>
      <c r="B310" s="23"/>
      <c r="C310" s="23"/>
      <c r="D310" s="23">
        <v>20240906</v>
      </c>
      <c r="E310" s="153">
        <v>7.17</v>
      </c>
      <c r="F310" s="23" t="s">
        <v>3986</v>
      </c>
      <c r="G310" s="20" t="s">
        <v>1669</v>
      </c>
      <c r="H310" s="729" t="s">
        <v>3976</v>
      </c>
      <c r="I310" s="21" t="s">
        <v>3987</v>
      </c>
      <c r="J310" s="21" t="s">
        <v>3909</v>
      </c>
      <c r="K310" s="21" t="s">
        <v>1635</v>
      </c>
      <c r="L310" s="21" t="s">
        <v>1428</v>
      </c>
      <c r="M310" s="21">
        <v>3.1</v>
      </c>
      <c r="N310" s="22">
        <v>2.66172428469618</v>
      </c>
      <c r="O310" s="22">
        <v>14.0070940241193</v>
      </c>
      <c r="P310" s="37">
        <v>3</v>
      </c>
      <c r="Q310" s="22"/>
      <c r="R310" s="22">
        <f t="shared" si="32"/>
        <v>22.7688183088155</v>
      </c>
      <c r="S310" s="756" t="s">
        <v>3977</v>
      </c>
      <c r="T310" s="23" t="s">
        <v>3978</v>
      </c>
    </row>
    <row r="311" s="42" customFormat="1" customHeight="1" spans="1:21">
      <c r="A311" s="1835"/>
      <c r="B311" s="23"/>
      <c r="C311" s="23"/>
      <c r="D311" s="23">
        <v>20241114</v>
      </c>
      <c r="E311" s="153">
        <v>7.17</v>
      </c>
      <c r="F311" s="23" t="s">
        <v>3988</v>
      </c>
      <c r="G311" s="20" t="s">
        <v>1671</v>
      </c>
      <c r="H311" s="729" t="s">
        <v>3989</v>
      </c>
      <c r="I311" s="21" t="s">
        <v>3457</v>
      </c>
      <c r="J311" s="21" t="s">
        <v>3909</v>
      </c>
      <c r="K311" s="21" t="s">
        <v>1635</v>
      </c>
      <c r="L311" s="138" t="s">
        <v>3513</v>
      </c>
      <c r="M311" s="21">
        <v>3.1</v>
      </c>
      <c r="N311" s="22">
        <v>2.66172428469618</v>
      </c>
      <c r="O311" s="22">
        <v>13.5291987958572</v>
      </c>
      <c r="P311" s="37">
        <v>3</v>
      </c>
      <c r="Q311" s="22"/>
      <c r="R311" s="22">
        <f t="shared" si="32"/>
        <v>22.2909230805534</v>
      </c>
      <c r="S311" s="756" t="s">
        <v>3990</v>
      </c>
      <c r="T311" s="23" t="s">
        <v>3991</v>
      </c>
    </row>
    <row r="312" s="42" customFormat="1" customHeight="1" spans="1:21">
      <c r="A312" s="1835"/>
      <c r="B312" s="23"/>
      <c r="C312" s="23"/>
      <c r="D312" s="23">
        <v>20241202</v>
      </c>
      <c r="E312" s="153">
        <v>7.17</v>
      </c>
      <c r="F312" s="23" t="s">
        <v>3992</v>
      </c>
      <c r="G312" s="20" t="s">
        <v>1672</v>
      </c>
      <c r="H312" s="729" t="s">
        <v>3989</v>
      </c>
      <c r="I312" s="21" t="s">
        <v>3457</v>
      </c>
      <c r="J312" s="21" t="s">
        <v>3432</v>
      </c>
      <c r="K312" s="21" t="s">
        <v>1635</v>
      </c>
      <c r="L312" s="138" t="s">
        <v>3513</v>
      </c>
      <c r="M312" s="21">
        <v>3.1</v>
      </c>
      <c r="N312" s="22">
        <v>2.66172428469618</v>
      </c>
      <c r="O312" s="22">
        <v>13.2796617454132</v>
      </c>
      <c r="P312" s="37">
        <v>3</v>
      </c>
      <c r="Q312" s="22"/>
      <c r="R312" s="22">
        <f t="shared" si="32"/>
        <v>22.0413860301094</v>
      </c>
      <c r="S312" s="756" t="s">
        <v>3984</v>
      </c>
      <c r="T312" s="23" t="s">
        <v>3993</v>
      </c>
    </row>
    <row r="313" s="42" customFormat="1" customHeight="1" spans="1:21">
      <c r="A313" s="1835"/>
      <c r="B313" s="23"/>
      <c r="C313" s="23"/>
      <c r="D313" s="23">
        <v>20250303</v>
      </c>
      <c r="E313" s="153">
        <v>7.17</v>
      </c>
      <c r="F313" s="1836" t="s">
        <v>3994</v>
      </c>
      <c r="G313" s="20" t="s">
        <v>1998</v>
      </c>
      <c r="H313" s="729" t="s">
        <v>3989</v>
      </c>
      <c r="I313" s="21" t="s">
        <v>3457</v>
      </c>
      <c r="J313" s="21" t="s">
        <v>3909</v>
      </c>
      <c r="K313" s="21" t="s">
        <v>1635</v>
      </c>
      <c r="L313" s="138" t="s">
        <v>3513</v>
      </c>
      <c r="M313" s="21">
        <v>3.1</v>
      </c>
      <c r="N313" s="22">
        <v>2.66172428469618</v>
      </c>
      <c r="O313" s="22">
        <v>13.571829259694</v>
      </c>
      <c r="P313" s="37">
        <v>3</v>
      </c>
      <c r="Q313" s="22"/>
      <c r="R313" s="22">
        <f t="shared" si="32"/>
        <v>22.3335535443902</v>
      </c>
      <c r="S313" s="756" t="s">
        <v>3995</v>
      </c>
      <c r="T313" s="23" t="s">
        <v>3996</v>
      </c>
    </row>
    <row r="314" s="42" customFormat="1" customHeight="1" spans="1:21">
      <c r="A314" s="1835"/>
      <c r="B314" s="23"/>
      <c r="C314" s="23"/>
      <c r="D314" s="23">
        <v>20240906</v>
      </c>
      <c r="E314" s="153">
        <v>7.17</v>
      </c>
      <c r="F314" s="23" t="s">
        <v>974</v>
      </c>
      <c r="G314" s="20" t="s">
        <v>975</v>
      </c>
      <c r="H314" s="729"/>
      <c r="I314" s="21"/>
      <c r="J314" s="21"/>
      <c r="K314" s="21"/>
      <c r="L314" s="690"/>
      <c r="M314" s="21"/>
      <c r="N314" s="22">
        <v>0.16635776779351</v>
      </c>
      <c r="O314" s="22">
        <v>3.39036146796223</v>
      </c>
      <c r="P314" s="37">
        <v>0.2</v>
      </c>
      <c r="Q314" s="22"/>
      <c r="R314" s="22">
        <f t="shared" si="32"/>
        <v>3.75671923575574</v>
      </c>
      <c r="S314" s="756"/>
      <c r="T314" s="750" t="s">
        <v>3997</v>
      </c>
    </row>
    <row r="315" s="42" customFormat="1" customHeight="1" spans="1:21">
      <c r="A315" s="1835"/>
      <c r="B315" s="23"/>
      <c r="C315" s="23"/>
      <c r="D315" s="23"/>
      <c r="E315" s="23"/>
      <c r="F315" s="23" t="s">
        <v>977</v>
      </c>
      <c r="G315" s="20" t="s">
        <v>978</v>
      </c>
      <c r="H315" s="729"/>
      <c r="I315" s="21"/>
      <c r="J315" s="21"/>
      <c r="K315" s="21"/>
      <c r="L315" s="690"/>
      <c r="M315" s="21"/>
      <c r="N315" s="22">
        <v>0.0280116198884515</v>
      </c>
      <c r="O315" s="22">
        <v>0.195736707116943</v>
      </c>
      <c r="P315" s="37">
        <v>0.2</v>
      </c>
      <c r="Q315" s="22"/>
      <c r="R315" s="22">
        <f t="shared" si="32"/>
        <v>0.423748327005394</v>
      </c>
      <c r="S315" s="756"/>
      <c r="T315" s="23"/>
    </row>
    <row r="316" s="42" customFormat="1" customHeight="1" spans="1:21">
      <c r="A316" s="1835"/>
      <c r="B316" s="23" t="s">
        <v>3998</v>
      </c>
      <c r="C316" s="23"/>
      <c r="D316" s="23">
        <v>20250425</v>
      </c>
      <c r="E316" s="153">
        <v>7.17</v>
      </c>
      <c r="F316" s="23" t="s">
        <v>3999</v>
      </c>
      <c r="G316" s="20" t="s">
        <v>1672</v>
      </c>
      <c r="H316" s="928" t="s">
        <v>4000</v>
      </c>
      <c r="I316" s="21" t="s">
        <v>3457</v>
      </c>
      <c r="J316" s="21" t="s">
        <v>3432</v>
      </c>
      <c r="K316" s="21" t="s">
        <v>1635</v>
      </c>
      <c r="L316" s="138" t="s">
        <v>3513</v>
      </c>
      <c r="M316" s="21">
        <v>3.1</v>
      </c>
      <c r="N316" s="22">
        <v>2.17755732519355</v>
      </c>
      <c r="O316" s="22">
        <v>8.71693643066939</v>
      </c>
      <c r="P316" s="37">
        <f>20.4/E316/1.13</f>
        <v>2.51786573851224</v>
      </c>
      <c r="Q316" s="22"/>
      <c r="R316" s="22">
        <f t="shared" si="32"/>
        <v>16.5123594943752</v>
      </c>
      <c r="S316" s="756" t="s">
        <v>4001</v>
      </c>
      <c r="T316" s="750" t="s">
        <v>4002</v>
      </c>
    </row>
    <row r="317" s="193" customFormat="1" customHeight="1" spans="1:21">
      <c r="A317" s="1837"/>
      <c r="B317" s="687" t="s">
        <v>3998</v>
      </c>
      <c r="C317" s="687"/>
      <c r="D317" s="1811">
        <v>46111</v>
      </c>
      <c r="E317" s="153">
        <v>6.91</v>
      </c>
      <c r="F317" s="687" t="s">
        <v>4003</v>
      </c>
      <c r="G317" s="149" t="s">
        <v>1998</v>
      </c>
      <c r="H317" s="1827" t="s">
        <v>4004</v>
      </c>
      <c r="I317" s="1082" t="s">
        <v>3537</v>
      </c>
      <c r="J317" s="153" t="s">
        <v>4005</v>
      </c>
      <c r="K317" s="153" t="s">
        <v>1871</v>
      </c>
      <c r="L317" s="153"/>
      <c r="M317" s="153">
        <v>7.9</v>
      </c>
      <c r="N317" s="727">
        <f>26.63/E317/1.13</f>
        <v>3.41047347053776</v>
      </c>
      <c r="O317" s="727">
        <v>12.5</v>
      </c>
      <c r="P317" s="154">
        <f>20.4/E317/1.13</f>
        <v>2.61260453619866</v>
      </c>
      <c r="Q317" s="727"/>
      <c r="R317" s="727">
        <f>SUM(M317:P317)</f>
        <v>26.4230780067364</v>
      </c>
      <c r="S317" s="1018" t="s">
        <v>4006</v>
      </c>
      <c r="T317" s="687" t="s">
        <v>4007</v>
      </c>
    </row>
    <row r="318" s="42" customFormat="1" customHeight="1" spans="1:21">
      <c r="A318" s="1835"/>
      <c r="B318" s="1660" t="s">
        <v>3428</v>
      </c>
      <c r="C318" s="1741" t="s">
        <v>3429</v>
      </c>
      <c r="D318" s="1662">
        <v>20251020</v>
      </c>
      <c r="E318" s="1736">
        <v>6.8</v>
      </c>
      <c r="F318" s="1838" t="s">
        <v>3430</v>
      </c>
      <c r="G318" s="961" t="s">
        <v>1629</v>
      </c>
      <c r="H318" s="1794" t="s">
        <v>3431</v>
      </c>
      <c r="I318" s="961" t="s">
        <v>2043</v>
      </c>
      <c r="J318" s="961" t="s">
        <v>3432</v>
      </c>
      <c r="K318" s="961" t="s">
        <v>1742</v>
      </c>
      <c r="L318" s="965" t="s">
        <v>712</v>
      </c>
      <c r="M318" s="1839">
        <f>17.59/E318/1.13</f>
        <v>2.28917230609058</v>
      </c>
      <c r="N318" s="964">
        <v>2.7470067673087</v>
      </c>
      <c r="O318" s="1686">
        <v>17.1</v>
      </c>
      <c r="P318" s="776">
        <v>3.57</v>
      </c>
      <c r="Q318" s="964">
        <v>3.57494668714348</v>
      </c>
      <c r="R318" s="965">
        <f>SUBTOTAL(109,N318:Q318)</f>
        <v>26.9919534544522</v>
      </c>
      <c r="S318" s="964">
        <v>15.6</v>
      </c>
      <c r="T318" s="1840" t="s">
        <v>3433</v>
      </c>
      <c r="U318" s="1840" t="s">
        <v>3434</v>
      </c>
    </row>
    <row r="319" s="42" customFormat="1" customHeight="1" spans="1:21">
      <c r="A319" s="1835"/>
      <c r="B319" s="1719" t="s">
        <v>3428</v>
      </c>
      <c r="C319" s="1741" t="s">
        <v>3429</v>
      </c>
      <c r="D319" s="1188">
        <v>46220</v>
      </c>
      <c r="E319" s="153">
        <v>6.78</v>
      </c>
      <c r="F319" s="687" t="s">
        <v>4008</v>
      </c>
      <c r="G319" s="20"/>
      <c r="H319" s="729"/>
      <c r="I319" s="21"/>
      <c r="J319" s="21"/>
      <c r="K319" s="1789" t="s">
        <v>1428</v>
      </c>
      <c r="L319" s="1841" t="s">
        <v>712</v>
      </c>
      <c r="M319" s="1789" t="s">
        <v>1428</v>
      </c>
      <c r="N319" s="727">
        <f>22.1/E319/1.13*1.05</f>
        <v>3.02881979794816</v>
      </c>
      <c r="O319" s="727">
        <v>15.9</v>
      </c>
      <c r="P319" s="154">
        <v>3.57</v>
      </c>
      <c r="Q319" s="22"/>
      <c r="R319" s="727">
        <f>SUBTOTAL(109,N319:Q319)</f>
        <v>22.4988197979482</v>
      </c>
      <c r="S319" s="1158"/>
      <c r="T319" s="23"/>
    </row>
    <row r="320" s="42" customFormat="1" customHeight="1" spans="1:21">
      <c r="A320" s="1835"/>
      <c r="B320" s="23" t="s">
        <v>4009</v>
      </c>
      <c r="C320" s="23"/>
      <c r="D320" s="23"/>
      <c r="E320" s="153">
        <v>7.17</v>
      </c>
      <c r="F320" s="23" t="s">
        <v>811</v>
      </c>
      <c r="G320" s="20" t="s">
        <v>1604</v>
      </c>
      <c r="H320" s="729" t="s">
        <v>1933</v>
      </c>
      <c r="I320" s="21" t="s">
        <v>4010</v>
      </c>
      <c r="J320" s="21" t="s">
        <v>4011</v>
      </c>
      <c r="K320" s="21" t="s">
        <v>3894</v>
      </c>
      <c r="L320" s="21" t="s">
        <v>1428</v>
      </c>
      <c r="M320" s="21" t="s">
        <v>3697</v>
      </c>
      <c r="N320" s="22">
        <f t="shared" ref="N320:N326" si="34">18.25/7.24/1.13</f>
        <v>2.23072409915416</v>
      </c>
      <c r="O320" s="22">
        <v>11.2795942783241</v>
      </c>
      <c r="P320" s="742">
        <f t="shared" ref="P320:P326" si="35">Q320/E320/1.13</f>
        <v>2.94121277199738</v>
      </c>
      <c r="Q320" s="22">
        <v>23.83</v>
      </c>
      <c r="R320" s="22">
        <f t="shared" ref="R320:R338" si="36">SUM(L320:P320)</f>
        <v>16.4515311494756</v>
      </c>
      <c r="S320" s="1158" t="s">
        <v>3872</v>
      </c>
      <c r="T320" s="23" t="s">
        <v>4012</v>
      </c>
    </row>
    <row r="321" s="42" customFormat="1" customHeight="1" spans="1:20">
      <c r="A321" s="1835"/>
      <c r="B321" s="23"/>
      <c r="C321" s="23"/>
      <c r="D321" s="23">
        <v>20240905</v>
      </c>
      <c r="E321" s="153">
        <v>7.17</v>
      </c>
      <c r="F321" s="23" t="s">
        <v>4013</v>
      </c>
      <c r="G321" s="20" t="s">
        <v>1669</v>
      </c>
      <c r="H321" s="729" t="s">
        <v>3754</v>
      </c>
      <c r="I321" s="21" t="s">
        <v>3644</v>
      </c>
      <c r="J321" s="21" t="s">
        <v>3413</v>
      </c>
      <c r="K321" s="21" t="s">
        <v>1428</v>
      </c>
      <c r="L321" s="138" t="s">
        <v>3513</v>
      </c>
      <c r="M321" s="21" t="s">
        <v>1428</v>
      </c>
      <c r="N321" s="22">
        <f t="shared" si="34"/>
        <v>2.23072409915416</v>
      </c>
      <c r="O321" s="22">
        <v>9.38706051995057</v>
      </c>
      <c r="P321" s="742">
        <f t="shared" si="35"/>
        <v>2.94121277199738</v>
      </c>
      <c r="Q321" s="22">
        <v>23.83</v>
      </c>
      <c r="R321" s="22">
        <f t="shared" si="36"/>
        <v>14.5589973911021</v>
      </c>
      <c r="S321" s="756" t="s">
        <v>3701</v>
      </c>
      <c r="T321" s="23" t="s">
        <v>4014</v>
      </c>
    </row>
    <row r="322" s="42" customFormat="1" customHeight="1" spans="1:20">
      <c r="A322" s="1835"/>
      <c r="B322" s="23"/>
      <c r="C322" s="23"/>
      <c r="D322" s="23">
        <v>20241101</v>
      </c>
      <c r="E322" s="153">
        <v>7.17</v>
      </c>
      <c r="F322" s="23" t="s">
        <v>4015</v>
      </c>
      <c r="G322" s="20" t="s">
        <v>1671</v>
      </c>
      <c r="H322" s="729" t="s">
        <v>3757</v>
      </c>
      <c r="I322" s="21" t="s">
        <v>4016</v>
      </c>
      <c r="J322" s="21" t="s">
        <v>3645</v>
      </c>
      <c r="K322" s="21" t="s">
        <v>1633</v>
      </c>
      <c r="L322" s="21" t="s">
        <v>1428</v>
      </c>
      <c r="M322" s="22">
        <v>1.65389220078745</v>
      </c>
      <c r="N322" s="22">
        <f t="shared" si="34"/>
        <v>2.23072409915416</v>
      </c>
      <c r="O322" s="22">
        <v>8.39765472286317</v>
      </c>
      <c r="P322" s="742">
        <f t="shared" si="35"/>
        <v>2.94121277199738</v>
      </c>
      <c r="Q322" s="22">
        <v>23.83</v>
      </c>
      <c r="R322" s="22">
        <f t="shared" si="36"/>
        <v>15.2234837948022</v>
      </c>
      <c r="S322" s="1158" t="s">
        <v>4017</v>
      </c>
      <c r="T322" s="23" t="s">
        <v>4018</v>
      </c>
    </row>
    <row r="323" s="42" customFormat="1" customHeight="1" spans="1:20">
      <c r="A323" s="1835"/>
      <c r="B323" s="23" t="s">
        <v>4019</v>
      </c>
      <c r="C323" s="23"/>
      <c r="D323" s="23">
        <v>20241218</v>
      </c>
      <c r="E323" s="153">
        <v>7.17</v>
      </c>
      <c r="F323" s="23" t="s">
        <v>4020</v>
      </c>
      <c r="G323" s="20" t="s">
        <v>1617</v>
      </c>
      <c r="H323" s="729" t="s">
        <v>4021</v>
      </c>
      <c r="I323" s="21" t="s">
        <v>3542</v>
      </c>
      <c r="J323" s="21" t="s">
        <v>3711</v>
      </c>
      <c r="K323" s="21" t="s">
        <v>1633</v>
      </c>
      <c r="L323" s="138" t="s">
        <v>3513</v>
      </c>
      <c r="M323" s="22">
        <v>1.65389220078745</v>
      </c>
      <c r="N323" s="22">
        <f t="shared" si="34"/>
        <v>2.23072409915416</v>
      </c>
      <c r="O323" s="22">
        <v>7.61392655852964</v>
      </c>
      <c r="P323" s="742">
        <f t="shared" si="35"/>
        <v>2.94121277199738</v>
      </c>
      <c r="Q323" s="22">
        <v>23.83</v>
      </c>
      <c r="R323" s="22">
        <f t="shared" si="36"/>
        <v>14.4397556304686</v>
      </c>
      <c r="S323" s="756" t="s">
        <v>4022</v>
      </c>
      <c r="T323" s="23" t="s">
        <v>4023</v>
      </c>
    </row>
    <row r="324" s="42" customFormat="1" customHeight="1" spans="1:20">
      <c r="A324" s="1835"/>
      <c r="B324" s="23"/>
      <c r="C324" s="23"/>
      <c r="D324" s="23">
        <v>20241218</v>
      </c>
      <c r="E324" s="153">
        <v>7.17</v>
      </c>
      <c r="F324" s="23" t="s">
        <v>4024</v>
      </c>
      <c r="G324" s="20" t="s">
        <v>1629</v>
      </c>
      <c r="H324" s="729" t="s">
        <v>4021</v>
      </c>
      <c r="I324" s="21" t="s">
        <v>3457</v>
      </c>
      <c r="J324" s="21" t="s">
        <v>3624</v>
      </c>
      <c r="K324" s="21" t="s">
        <v>1784</v>
      </c>
      <c r="L324" s="138" t="s">
        <v>3513</v>
      </c>
      <c r="M324" s="21">
        <v>2.2</v>
      </c>
      <c r="N324" s="22">
        <f t="shared" si="34"/>
        <v>2.23072409915416</v>
      </c>
      <c r="O324" s="22">
        <v>7.85591611311223</v>
      </c>
      <c r="P324" s="742">
        <f t="shared" si="35"/>
        <v>2.94121277199738</v>
      </c>
      <c r="Q324" s="22">
        <v>23.83</v>
      </c>
      <c r="R324" s="22">
        <f t="shared" si="36"/>
        <v>15.2278529842638</v>
      </c>
      <c r="S324" s="756" t="s">
        <v>4025</v>
      </c>
      <c r="T324" s="23" t="s">
        <v>4026</v>
      </c>
    </row>
    <row r="325" s="42" customFormat="1" customHeight="1" spans="1:20">
      <c r="A325" s="1835"/>
      <c r="B325" s="23"/>
      <c r="C325" s="23"/>
      <c r="D325" s="23">
        <v>20241126</v>
      </c>
      <c r="E325" s="153">
        <v>7.17</v>
      </c>
      <c r="F325" s="23" t="s">
        <v>4020</v>
      </c>
      <c r="G325" s="20" t="s">
        <v>4027</v>
      </c>
      <c r="H325" s="729" t="s">
        <v>4021</v>
      </c>
      <c r="I325" s="21" t="s">
        <v>3542</v>
      </c>
      <c r="J325" s="21" t="s">
        <v>3711</v>
      </c>
      <c r="K325" s="21" t="s">
        <v>1633</v>
      </c>
      <c r="L325" s="138" t="s">
        <v>3513</v>
      </c>
      <c r="M325" s="22">
        <v>1.65389220078745</v>
      </c>
      <c r="N325" s="22">
        <f t="shared" si="34"/>
        <v>2.23072409915416</v>
      </c>
      <c r="O325" s="22">
        <v>8.00602109846094</v>
      </c>
      <c r="P325" s="742">
        <f t="shared" si="35"/>
        <v>2.94121277199738</v>
      </c>
      <c r="Q325" s="22">
        <v>23.83</v>
      </c>
      <c r="R325" s="22">
        <f t="shared" si="36"/>
        <v>14.8318501703999</v>
      </c>
      <c r="S325" s="1158" t="s">
        <v>4022</v>
      </c>
      <c r="T325" s="23" t="s">
        <v>4028</v>
      </c>
    </row>
    <row r="326" s="42" customFormat="1" customHeight="1" spans="1:20">
      <c r="A326" s="1835"/>
      <c r="B326" s="23"/>
      <c r="C326" s="23"/>
      <c r="D326" s="23">
        <v>20241126</v>
      </c>
      <c r="E326" s="153">
        <v>7.17</v>
      </c>
      <c r="F326" s="23" t="s">
        <v>4024</v>
      </c>
      <c r="G326" s="20" t="s">
        <v>4029</v>
      </c>
      <c r="H326" s="729" t="s">
        <v>4021</v>
      </c>
      <c r="I326" s="21" t="s">
        <v>3457</v>
      </c>
      <c r="J326" s="21" t="s">
        <v>3624</v>
      </c>
      <c r="K326" s="21" t="s">
        <v>1784</v>
      </c>
      <c r="L326" s="138" t="s">
        <v>3513</v>
      </c>
      <c r="M326" s="22">
        <v>2.2</v>
      </c>
      <c r="N326" s="22">
        <f t="shared" si="34"/>
        <v>2.23072409915416</v>
      </c>
      <c r="O326" s="22">
        <v>7.99187373026673</v>
      </c>
      <c r="P326" s="742">
        <f t="shared" si="35"/>
        <v>2.94121277199738</v>
      </c>
      <c r="Q326" s="22">
        <v>23.83</v>
      </c>
      <c r="R326" s="22">
        <f t="shared" si="36"/>
        <v>15.3638106014183</v>
      </c>
      <c r="S326" s="1152" t="s">
        <v>4025</v>
      </c>
      <c r="T326" s="23" t="s">
        <v>4026</v>
      </c>
    </row>
    <row r="327" s="42" customFormat="1" customHeight="1" spans="1:20">
      <c r="A327" s="1835"/>
      <c r="B327" s="23" t="s">
        <v>3386</v>
      </c>
      <c r="C327" s="23"/>
      <c r="D327" s="23">
        <v>20250305</v>
      </c>
      <c r="E327" s="153">
        <v>7.17</v>
      </c>
      <c r="F327" s="23" t="s">
        <v>4030</v>
      </c>
      <c r="G327" s="20" t="s">
        <v>1629</v>
      </c>
      <c r="H327" s="729" t="s">
        <v>4031</v>
      </c>
      <c r="I327" s="21" t="s">
        <v>3542</v>
      </c>
      <c r="J327" s="21"/>
      <c r="K327" s="21"/>
      <c r="L327" s="138" t="s">
        <v>3513</v>
      </c>
      <c r="M327" s="22"/>
      <c r="N327" s="22">
        <v>2.53284311765386</v>
      </c>
      <c r="O327" s="22">
        <v>10.3039511841309</v>
      </c>
      <c r="P327" s="37">
        <f>18.6/7.25/1.13</f>
        <v>2.27036924015868</v>
      </c>
      <c r="Q327" s="22"/>
      <c r="R327" s="22">
        <f t="shared" si="36"/>
        <v>15.1071635419434</v>
      </c>
      <c r="S327" s="895" t="s">
        <v>1526</v>
      </c>
      <c r="T327" s="1725" t="s">
        <v>4032</v>
      </c>
    </row>
    <row r="328" s="42" customFormat="1" customHeight="1" spans="1:20">
      <c r="A328" s="1835"/>
      <c r="B328" s="23"/>
      <c r="C328" s="23"/>
      <c r="D328" s="23">
        <v>20241220</v>
      </c>
      <c r="E328" s="153">
        <v>7.17</v>
      </c>
      <c r="F328" s="23" t="s">
        <v>4033</v>
      </c>
      <c r="G328" s="20" t="s">
        <v>1645</v>
      </c>
      <c r="H328" s="729" t="s">
        <v>4031</v>
      </c>
      <c r="I328" s="21" t="s">
        <v>3542</v>
      </c>
      <c r="J328" s="21"/>
      <c r="K328" s="21"/>
      <c r="L328" s="138" t="s">
        <v>3513</v>
      </c>
      <c r="M328" s="22"/>
      <c r="N328" s="22">
        <v>3.0041095890411</v>
      </c>
      <c r="O328" s="22">
        <v>10.642959786149</v>
      </c>
      <c r="P328" s="37">
        <f>18.6/7.25/1.13</f>
        <v>2.27036924015868</v>
      </c>
      <c r="Q328" s="22"/>
      <c r="R328" s="22">
        <f t="shared" si="36"/>
        <v>15.9174386153488</v>
      </c>
      <c r="S328" s="895" t="s">
        <v>1526</v>
      </c>
      <c r="T328" s="1725" t="s">
        <v>4032</v>
      </c>
    </row>
    <row r="329" s="42" customFormat="1" customHeight="1" spans="1:20">
      <c r="A329" s="1835"/>
      <c r="B329" s="23"/>
      <c r="C329" s="23"/>
      <c r="D329" s="23">
        <v>20241220</v>
      </c>
      <c r="E329" s="153">
        <v>7.17</v>
      </c>
      <c r="F329" s="23" t="s">
        <v>4034</v>
      </c>
      <c r="G329" s="20" t="s">
        <v>1604</v>
      </c>
      <c r="H329" s="729" t="s">
        <v>3588</v>
      </c>
      <c r="I329" s="21" t="s">
        <v>3542</v>
      </c>
      <c r="J329" s="21" t="s">
        <v>1428</v>
      </c>
      <c r="K329" s="21" t="s">
        <v>1428</v>
      </c>
      <c r="L329" s="138" t="s">
        <v>3513</v>
      </c>
      <c r="M329" s="21" t="s">
        <v>1428</v>
      </c>
      <c r="N329" s="22">
        <v>3.0041095890411</v>
      </c>
      <c r="O329" s="22">
        <v>9.66028812270559</v>
      </c>
      <c r="P329" s="37">
        <f>18.6/7.25/1.13</f>
        <v>2.27036924015868</v>
      </c>
      <c r="Q329" s="22"/>
      <c r="R329" s="22">
        <f t="shared" si="36"/>
        <v>14.9347669519054</v>
      </c>
      <c r="S329" s="895" t="s">
        <v>1526</v>
      </c>
      <c r="T329" s="1725" t="s">
        <v>4035</v>
      </c>
    </row>
    <row r="330" s="42" customFormat="1" customHeight="1" spans="1:20">
      <c r="A330" s="1835"/>
      <c r="B330" s="23"/>
      <c r="C330" s="23"/>
      <c r="D330" s="23">
        <v>20241220</v>
      </c>
      <c r="E330" s="153">
        <v>7.17</v>
      </c>
      <c r="F330" s="23" t="s">
        <v>3388</v>
      </c>
      <c r="G330" s="20" t="s">
        <v>1571</v>
      </c>
      <c r="H330" s="729" t="s">
        <v>4031</v>
      </c>
      <c r="I330" s="21" t="s">
        <v>4036</v>
      </c>
      <c r="J330" s="21"/>
      <c r="K330" s="21"/>
      <c r="L330" s="138" t="s">
        <v>3513</v>
      </c>
      <c r="M330" s="21" t="s">
        <v>1428</v>
      </c>
      <c r="N330" s="22">
        <v>3.0041095890411</v>
      </c>
      <c r="O330" s="22">
        <v>10.3607428732746</v>
      </c>
      <c r="P330" s="37">
        <f>18.6/7.25/1.13</f>
        <v>2.27036924015868</v>
      </c>
      <c r="Q330" s="22"/>
      <c r="R330" s="22">
        <f t="shared" si="36"/>
        <v>15.6352217024744</v>
      </c>
      <c r="S330" s="895" t="s">
        <v>1526</v>
      </c>
      <c r="T330" s="1725" t="s">
        <v>4032</v>
      </c>
    </row>
    <row r="331" s="42" customFormat="1" customHeight="1" spans="1:20">
      <c r="A331" s="1835"/>
      <c r="B331" s="23"/>
      <c r="C331" s="23"/>
      <c r="D331" s="776">
        <v>20250306</v>
      </c>
      <c r="E331" s="153">
        <v>7.17</v>
      </c>
      <c r="F331" s="880" t="s">
        <v>4037</v>
      </c>
      <c r="G331" s="20" t="s">
        <v>1685</v>
      </c>
      <c r="H331" s="729" t="s">
        <v>4031</v>
      </c>
      <c r="I331" s="21" t="s">
        <v>3542</v>
      </c>
      <c r="J331" s="21"/>
      <c r="K331" s="21"/>
      <c r="L331" s="138" t="s">
        <v>3513</v>
      </c>
      <c r="M331" s="22"/>
      <c r="N331" s="22">
        <v>2.53284311765386</v>
      </c>
      <c r="O331" s="22">
        <v>10.4158349570955</v>
      </c>
      <c r="P331" s="37">
        <f>18.6/7.25/1.13</f>
        <v>2.27036924015868</v>
      </c>
      <c r="Q331" s="22"/>
      <c r="R331" s="22">
        <f t="shared" si="36"/>
        <v>15.219047314908</v>
      </c>
      <c r="S331" s="895" t="s">
        <v>1526</v>
      </c>
      <c r="T331" s="139" t="s">
        <v>4038</v>
      </c>
    </row>
    <row r="332" s="42" customFormat="1" customHeight="1" spans="1:20">
      <c r="A332" s="1835"/>
      <c r="B332" s="687"/>
      <c r="C332" s="23"/>
      <c r="D332" s="1842">
        <v>46050</v>
      </c>
      <c r="E332" s="776">
        <v>6.9226</v>
      </c>
      <c r="F332" s="791" t="s">
        <v>4039</v>
      </c>
      <c r="G332" s="1255" t="s">
        <v>1669</v>
      </c>
      <c r="H332" s="1809" t="s">
        <v>4031</v>
      </c>
      <c r="I332" s="1255" t="s">
        <v>3534</v>
      </c>
      <c r="J332" s="924" t="s">
        <v>1913</v>
      </c>
      <c r="K332" s="1255"/>
      <c r="L332" s="1255" t="s">
        <v>1428</v>
      </c>
      <c r="M332" s="21" t="s">
        <v>1428</v>
      </c>
      <c r="N332" s="1575">
        <f>19.402/E332/1.13</f>
        <v>2.48026919140565</v>
      </c>
      <c r="O332" s="924">
        <v>11.7</v>
      </c>
      <c r="P332" s="924">
        <f>18.6/E332/1.13</f>
        <v>2.37774492114963</v>
      </c>
      <c r="Q332" s="1255"/>
      <c r="R332" s="727">
        <f t="shared" si="36"/>
        <v>16.5580141125553</v>
      </c>
      <c r="S332" s="1573" t="s">
        <v>1526</v>
      </c>
      <c r="T332" s="1256" t="s">
        <v>4040</v>
      </c>
    </row>
    <row r="333" s="42" customFormat="1" customHeight="1" spans="1:20">
      <c r="A333" s="1835"/>
      <c r="B333" s="19" t="s">
        <v>3444</v>
      </c>
      <c r="C333" s="19"/>
      <c r="D333" s="19">
        <v>20240904</v>
      </c>
      <c r="E333" s="153">
        <v>7.17</v>
      </c>
      <c r="F333" s="19" t="s">
        <v>4041</v>
      </c>
      <c r="G333" s="23" t="s">
        <v>1672</v>
      </c>
      <c r="H333" s="928" t="s">
        <v>3509</v>
      </c>
      <c r="I333" s="21" t="s">
        <v>3553</v>
      </c>
      <c r="J333" s="21" t="s">
        <v>3413</v>
      </c>
      <c r="K333" s="21" t="s">
        <v>1720</v>
      </c>
      <c r="L333" s="138" t="s">
        <v>3513</v>
      </c>
      <c r="M333" s="21">
        <v>2.3</v>
      </c>
      <c r="N333" s="22">
        <v>2.70216446983558</v>
      </c>
      <c r="O333" s="22">
        <v>13.2439673074325</v>
      </c>
      <c r="P333" s="37">
        <v>3</v>
      </c>
      <c r="Q333" s="22"/>
      <c r="R333" s="22">
        <f t="shared" si="36"/>
        <v>21.2461317772681</v>
      </c>
      <c r="S333" s="23" t="s">
        <v>3414</v>
      </c>
      <c r="T333" s="859" t="s">
        <v>4042</v>
      </c>
    </row>
    <row r="334" s="42" customFormat="1" customHeight="1" spans="1:20">
      <c r="A334" s="1835"/>
      <c r="B334" s="19"/>
      <c r="C334" s="19"/>
      <c r="D334" s="1128">
        <v>46055</v>
      </c>
      <c r="E334" s="153">
        <v>6.9591</v>
      </c>
      <c r="F334" s="19" t="s">
        <v>4043</v>
      </c>
      <c r="G334" s="23" t="s">
        <v>1998</v>
      </c>
      <c r="H334" s="928" t="s">
        <v>3509</v>
      </c>
      <c r="I334" s="21" t="s">
        <v>3542</v>
      </c>
      <c r="J334" s="21" t="s">
        <v>3624</v>
      </c>
      <c r="K334" s="21" t="s">
        <v>1720</v>
      </c>
      <c r="L334" s="138" t="s">
        <v>3513</v>
      </c>
      <c r="M334" s="21">
        <v>2.3</v>
      </c>
      <c r="N334" s="22">
        <f>21.71/E334/1.13</f>
        <v>2.76075776760371</v>
      </c>
      <c r="O334" s="22">
        <v>12.7896207100184</v>
      </c>
      <c r="P334" s="37">
        <f>24.73/E332/1.13</f>
        <v>3.16137805914142</v>
      </c>
      <c r="Q334" s="22"/>
      <c r="R334" s="22">
        <f t="shared" si="36"/>
        <v>21.0117565367635</v>
      </c>
      <c r="S334" s="23" t="s">
        <v>3625</v>
      </c>
      <c r="T334" s="859" t="s">
        <v>4044</v>
      </c>
    </row>
    <row r="335" s="42" customFormat="1" customHeight="1" spans="1:20">
      <c r="A335" s="1835"/>
      <c r="B335" s="19"/>
      <c r="C335" s="19"/>
      <c r="D335" s="19">
        <v>20250508</v>
      </c>
      <c r="E335" s="21"/>
      <c r="F335" s="19" t="s">
        <v>3446</v>
      </c>
      <c r="G335" s="23" t="s">
        <v>1581</v>
      </c>
      <c r="H335" s="928" t="s">
        <v>3509</v>
      </c>
      <c r="I335" s="21" t="s">
        <v>3448</v>
      </c>
      <c r="J335" s="21" t="s">
        <v>3413</v>
      </c>
      <c r="K335" s="21" t="s">
        <v>1720</v>
      </c>
      <c r="L335" s="138" t="s">
        <v>3513</v>
      </c>
      <c r="M335" s="21">
        <v>2.3</v>
      </c>
      <c r="N335" s="22">
        <v>2.70216446983558</v>
      </c>
      <c r="O335" s="22">
        <v>12.037729920862</v>
      </c>
      <c r="P335" s="37">
        <v>3</v>
      </c>
      <c r="Q335" s="22"/>
      <c r="R335" s="22">
        <f t="shared" si="36"/>
        <v>20.0398943906976</v>
      </c>
      <c r="S335" s="23" t="s">
        <v>3414</v>
      </c>
      <c r="T335" s="859" t="s">
        <v>3511</v>
      </c>
    </row>
    <row r="336" s="42" customFormat="1" customHeight="1" spans="1:20">
      <c r="A336" s="1835"/>
      <c r="B336" s="19"/>
      <c r="C336" s="19"/>
      <c r="D336" s="19">
        <v>20240904</v>
      </c>
      <c r="E336" s="153">
        <v>7.17</v>
      </c>
      <c r="F336" s="19" t="s">
        <v>980</v>
      </c>
      <c r="G336" s="23" t="s">
        <v>981</v>
      </c>
      <c r="H336" s="729"/>
      <c r="I336" s="21"/>
      <c r="J336" s="21"/>
      <c r="K336" s="21"/>
      <c r="L336" s="21"/>
      <c r="M336" s="21"/>
      <c r="N336" s="22">
        <v>0.115170762318585</v>
      </c>
      <c r="O336" s="22">
        <v>0.168424330696205</v>
      </c>
      <c r="P336" s="37">
        <v>0.2</v>
      </c>
      <c r="Q336" s="22"/>
      <c r="R336" s="22">
        <f t="shared" si="36"/>
        <v>0.48359509301479</v>
      </c>
      <c r="S336" s="23"/>
      <c r="T336" s="1764"/>
    </row>
    <row r="337" s="42" customFormat="1" customHeight="1" spans="1:21">
      <c r="A337" s="1835"/>
      <c r="B337" s="19"/>
      <c r="C337" s="19"/>
      <c r="D337" s="19"/>
      <c r="E337" s="19"/>
      <c r="F337" s="19" t="s">
        <v>982</v>
      </c>
      <c r="G337" s="23" t="s">
        <v>983</v>
      </c>
      <c r="H337" s="729"/>
      <c r="I337" s="21"/>
      <c r="J337" s="21"/>
      <c r="K337" s="21"/>
      <c r="L337" s="21"/>
      <c r="M337" s="21"/>
      <c r="N337" s="22">
        <v>0.0317798186614052</v>
      </c>
      <c r="O337" s="22">
        <v>0.181536102599688</v>
      </c>
      <c r="P337" s="37">
        <v>0.2</v>
      </c>
      <c r="Q337" s="22"/>
      <c r="R337" s="22">
        <f t="shared" si="36"/>
        <v>0.413315921261093</v>
      </c>
      <c r="S337" s="23"/>
      <c r="T337" s="23"/>
    </row>
    <row r="338" s="839" customFormat="1" customHeight="1" spans="1:21">
      <c r="A338" s="1835"/>
      <c r="B338" s="687" t="s">
        <v>4045</v>
      </c>
      <c r="C338" s="687"/>
      <c r="D338" s="687">
        <v>20250403</v>
      </c>
      <c r="E338" s="153">
        <v>7.17</v>
      </c>
      <c r="F338" s="725" t="s">
        <v>4046</v>
      </c>
      <c r="G338" s="1255" t="s">
        <v>1685</v>
      </c>
      <c r="H338" s="687" t="s">
        <v>4047</v>
      </c>
      <c r="I338" s="152" t="s">
        <v>4048</v>
      </c>
      <c r="J338" s="153" t="s">
        <v>1913</v>
      </c>
      <c r="K338" s="153" t="s">
        <v>1428</v>
      </c>
      <c r="L338" s="153" t="s">
        <v>1428</v>
      </c>
      <c r="M338" s="153" t="s">
        <v>1428</v>
      </c>
      <c r="N338" s="727">
        <f>28.42/E338/1.13</f>
        <v>3.50773256316264</v>
      </c>
      <c r="O338" s="727">
        <v>9.49348940293352</v>
      </c>
      <c r="P338" s="154">
        <v>3</v>
      </c>
      <c r="Q338" s="727"/>
      <c r="R338" s="727">
        <f t="shared" si="36"/>
        <v>16.0012219660962</v>
      </c>
      <c r="S338" s="167" t="s">
        <v>1526</v>
      </c>
      <c r="T338" s="759" t="s">
        <v>4049</v>
      </c>
    </row>
    <row r="339" s="839" customFormat="1" customHeight="1" spans="1:21">
      <c r="A339" s="1835"/>
      <c r="B339" s="687"/>
      <c r="C339" s="687"/>
      <c r="D339" s="1811">
        <v>46182</v>
      </c>
      <c r="E339" s="153">
        <v>6.7</v>
      </c>
      <c r="F339" s="725" t="s">
        <v>4050</v>
      </c>
      <c r="G339" s="1255"/>
      <c r="H339" s="687"/>
      <c r="I339" s="152"/>
      <c r="J339" s="153"/>
      <c r="K339" s="153" t="s">
        <v>1428</v>
      </c>
      <c r="L339" s="1082" t="s">
        <v>712</v>
      </c>
      <c r="M339" s="153" t="s">
        <v>1428</v>
      </c>
      <c r="N339" s="727">
        <f>42.73/E339/1.13</f>
        <v>5.64390437194558</v>
      </c>
      <c r="O339" s="727">
        <v>13.3</v>
      </c>
      <c r="P339" s="154">
        <f>22/E339/1.13</f>
        <v>2.90582485801083</v>
      </c>
      <c r="Q339" s="727"/>
      <c r="R339" s="727">
        <f t="shared" ref="R339:R358" si="37">SUM(L339:P339)</f>
        <v>21.8497292299564</v>
      </c>
      <c r="S339" s="167"/>
      <c r="T339" s="759"/>
    </row>
    <row r="340" s="839" customFormat="1" customHeight="1" spans="1:21">
      <c r="A340" s="1835"/>
      <c r="B340" s="687"/>
      <c r="C340" s="687"/>
      <c r="D340" s="1811">
        <v>46199</v>
      </c>
      <c r="E340" s="153">
        <v>6.78</v>
      </c>
      <c r="F340" s="725" t="s">
        <v>4051</v>
      </c>
      <c r="G340" s="1255"/>
      <c r="H340" s="687"/>
      <c r="I340" s="152"/>
      <c r="J340" s="153"/>
      <c r="K340" s="152" t="s">
        <v>1428</v>
      </c>
      <c r="L340" s="1082" t="s">
        <v>712</v>
      </c>
      <c r="M340" s="152" t="s">
        <v>1428</v>
      </c>
      <c r="N340" s="727">
        <f>33.39/E340/1.13*1.1</f>
        <v>4.79403242227269</v>
      </c>
      <c r="O340" s="727">
        <v>12.62</v>
      </c>
      <c r="P340" s="154">
        <f>22/E340/1.13</f>
        <v>2.87153783903725</v>
      </c>
      <c r="Q340" s="727"/>
      <c r="R340" s="727">
        <f t="shared" si="37"/>
        <v>20.2855702613099</v>
      </c>
      <c r="S340" s="167"/>
      <c r="T340" s="759"/>
    </row>
    <row r="341" s="839" customFormat="1" customHeight="1" spans="1:21">
      <c r="A341" s="1835"/>
      <c r="B341" s="687"/>
      <c r="C341" s="687"/>
      <c r="D341" s="687">
        <v>20250403</v>
      </c>
      <c r="E341" s="153">
        <v>7.17</v>
      </c>
      <c r="F341" s="725" t="s">
        <v>4052</v>
      </c>
      <c r="G341" s="1255" t="s">
        <v>1669</v>
      </c>
      <c r="H341" s="687" t="s">
        <v>4047</v>
      </c>
      <c r="I341" s="152" t="s">
        <v>4048</v>
      </c>
      <c r="J341" s="153" t="s">
        <v>3670</v>
      </c>
      <c r="K341" s="152"/>
      <c r="L341" s="153" t="s">
        <v>1428</v>
      </c>
      <c r="M341" s="153" t="s">
        <v>1428</v>
      </c>
      <c r="N341" s="727">
        <f t="shared" ref="N341:N347" si="38">28.42/E341/1.13</f>
        <v>3.50773256316264</v>
      </c>
      <c r="O341" s="727">
        <v>9.49634335298793</v>
      </c>
      <c r="P341" s="154">
        <v>3</v>
      </c>
      <c r="Q341" s="727"/>
      <c r="R341" s="727">
        <f t="shared" ref="R341:R354" si="39">SUM(L341:P341)</f>
        <v>16.0040759161506</v>
      </c>
      <c r="S341" s="167" t="s">
        <v>3452</v>
      </c>
      <c r="T341" s="759" t="s">
        <v>4049</v>
      </c>
    </row>
    <row r="342" s="839" customFormat="1" customHeight="1" spans="1:21">
      <c r="A342" s="1835"/>
      <c r="B342" s="687"/>
      <c r="C342" s="687"/>
      <c r="D342" s="687">
        <v>20250403</v>
      </c>
      <c r="E342" s="153">
        <v>7.17</v>
      </c>
      <c r="F342" s="725" t="s">
        <v>4053</v>
      </c>
      <c r="G342" s="1255" t="s">
        <v>1671</v>
      </c>
      <c r="H342" s="687" t="s">
        <v>4047</v>
      </c>
      <c r="I342" s="152" t="s">
        <v>4048</v>
      </c>
      <c r="J342" s="153" t="s">
        <v>1913</v>
      </c>
      <c r="K342" s="152"/>
      <c r="L342" s="152" t="s">
        <v>1428</v>
      </c>
      <c r="M342" s="152"/>
      <c r="N342" s="727">
        <f t="shared" si="38"/>
        <v>3.50773256316264</v>
      </c>
      <c r="O342" s="727">
        <v>9.53180171319496</v>
      </c>
      <c r="P342" s="154">
        <v>3</v>
      </c>
      <c r="Q342" s="727"/>
      <c r="R342" s="727">
        <f t="shared" si="39"/>
        <v>16.0395342763576</v>
      </c>
      <c r="S342" s="167" t="s">
        <v>1526</v>
      </c>
      <c r="T342" s="759" t="s">
        <v>4049</v>
      </c>
    </row>
    <row r="343" s="839" customFormat="1" customHeight="1" spans="1:21">
      <c r="A343" s="1835"/>
      <c r="B343" s="687"/>
      <c r="C343" s="687"/>
      <c r="D343" s="1811">
        <v>46098</v>
      </c>
      <c r="E343" s="153">
        <v>6.901</v>
      </c>
      <c r="F343" s="725" t="s">
        <v>4054</v>
      </c>
      <c r="G343" s="1255" t="s">
        <v>1672</v>
      </c>
      <c r="H343" s="687" t="s">
        <v>4047</v>
      </c>
      <c r="I343" s="152" t="s">
        <v>4048</v>
      </c>
      <c r="J343" s="153" t="s">
        <v>1913</v>
      </c>
      <c r="K343" s="152"/>
      <c r="L343" s="152" t="s">
        <v>1428</v>
      </c>
      <c r="M343" s="152"/>
      <c r="N343" s="727">
        <f t="shared" si="38"/>
        <v>3.64446348034721</v>
      </c>
      <c r="O343" s="727">
        <v>9.9</v>
      </c>
      <c r="P343" s="154">
        <f>22/E343/1.13</f>
        <v>2.82118918253479</v>
      </c>
      <c r="Q343" s="727"/>
      <c r="R343" s="727">
        <f t="shared" si="39"/>
        <v>16.365652662882</v>
      </c>
      <c r="S343" s="1843" t="s">
        <v>1526</v>
      </c>
      <c r="T343" s="1844" t="s">
        <v>4055</v>
      </c>
    </row>
    <row r="344" s="839" customFormat="1" customHeight="1" spans="1:21">
      <c r="A344" s="1835"/>
      <c r="B344" s="687"/>
      <c r="C344" s="687" t="s">
        <v>4056</v>
      </c>
      <c r="D344" s="1811">
        <v>46120</v>
      </c>
      <c r="E344" s="153">
        <v>6.8225</v>
      </c>
      <c r="F344" s="725" t="s">
        <v>4057</v>
      </c>
      <c r="G344" s="1255" t="s">
        <v>4058</v>
      </c>
      <c r="H344" s="923" t="s">
        <v>4047</v>
      </c>
      <c r="I344" s="1227" t="s">
        <v>3537</v>
      </c>
      <c r="J344" s="153" t="s">
        <v>1913</v>
      </c>
      <c r="K344" s="152" t="s">
        <v>1428</v>
      </c>
      <c r="L344" s="1227" t="s">
        <v>1428</v>
      </c>
      <c r="M344" s="152" t="s">
        <v>1428</v>
      </c>
      <c r="N344" s="727">
        <f t="shared" si="38"/>
        <v>3.68639684541973</v>
      </c>
      <c r="O344" s="727">
        <v>12.8</v>
      </c>
      <c r="P344" s="154">
        <f>22/E344/1.13</f>
        <v>2.85364991552548</v>
      </c>
      <c r="Q344" s="727"/>
      <c r="R344" s="727">
        <f t="shared" si="39"/>
        <v>19.3400467609452</v>
      </c>
      <c r="S344" s="1845" t="s">
        <v>1526</v>
      </c>
      <c r="T344" s="1846" t="s">
        <v>4059</v>
      </c>
    </row>
    <row r="345" s="839" customFormat="1" customHeight="1" spans="1:21">
      <c r="A345" s="1835"/>
      <c r="B345" s="687"/>
      <c r="C345" s="687"/>
      <c r="D345" s="687">
        <v>20250605</v>
      </c>
      <c r="E345" s="153">
        <v>7.17</v>
      </c>
      <c r="F345" s="725" t="s">
        <v>4060</v>
      </c>
      <c r="G345" s="1255" t="s">
        <v>1998</v>
      </c>
      <c r="H345" s="687" t="s">
        <v>4047</v>
      </c>
      <c r="I345" s="152" t="s">
        <v>3794</v>
      </c>
      <c r="J345" s="153" t="s">
        <v>1913</v>
      </c>
      <c r="K345" s="152"/>
      <c r="L345" s="1227" t="s">
        <v>3513</v>
      </c>
      <c r="M345" s="152"/>
      <c r="N345" s="727">
        <f t="shared" si="38"/>
        <v>3.50773256316264</v>
      </c>
      <c r="O345" s="727">
        <v>9.14</v>
      </c>
      <c r="P345" s="154">
        <v>3</v>
      </c>
      <c r="Q345" s="727"/>
      <c r="R345" s="727">
        <f t="shared" si="39"/>
        <v>15.6477325631626</v>
      </c>
      <c r="S345" s="167" t="s">
        <v>1526</v>
      </c>
      <c r="T345" s="759" t="s">
        <v>4049</v>
      </c>
    </row>
    <row r="346" s="839" customFormat="1" customHeight="1" spans="1:21">
      <c r="A346" s="1835"/>
      <c r="B346" s="687"/>
      <c r="C346" s="687"/>
      <c r="D346" s="687">
        <v>20250605</v>
      </c>
      <c r="E346" s="153">
        <v>7.17</v>
      </c>
      <c r="F346" s="725" t="s">
        <v>4061</v>
      </c>
      <c r="G346" s="1255" t="s">
        <v>1581</v>
      </c>
      <c r="H346" s="687" t="s">
        <v>4047</v>
      </c>
      <c r="I346" s="152" t="s">
        <v>3799</v>
      </c>
      <c r="J346" s="153" t="s">
        <v>1913</v>
      </c>
      <c r="K346" s="152"/>
      <c r="L346" s="1227" t="s">
        <v>3513</v>
      </c>
      <c r="M346" s="152"/>
      <c r="N346" s="727">
        <f t="shared" si="38"/>
        <v>3.50773256316264</v>
      </c>
      <c r="O346" s="727">
        <v>9.25383290767516</v>
      </c>
      <c r="P346" s="154">
        <v>3</v>
      </c>
      <c r="Q346" s="154"/>
      <c r="R346" s="727">
        <f t="shared" si="39"/>
        <v>15.7615654708378</v>
      </c>
      <c r="S346" s="167" t="s">
        <v>1526</v>
      </c>
      <c r="T346" s="759" t="s">
        <v>4049</v>
      </c>
      <c r="U346" s="759"/>
    </row>
    <row r="347" s="839" customFormat="1" customHeight="1" spans="1:21">
      <c r="A347" s="1835"/>
      <c r="B347" s="687"/>
      <c r="C347" s="687"/>
      <c r="D347" s="687">
        <v>20250730</v>
      </c>
      <c r="E347" s="153">
        <v>7.17</v>
      </c>
      <c r="F347" s="725" t="s">
        <v>4062</v>
      </c>
      <c r="G347" s="1255" t="s">
        <v>2427</v>
      </c>
      <c r="H347" s="687" t="s">
        <v>4047</v>
      </c>
      <c r="I347" s="152" t="s">
        <v>4063</v>
      </c>
      <c r="J347" s="153" t="s">
        <v>1913</v>
      </c>
      <c r="K347" s="152"/>
      <c r="L347" s="1227" t="s">
        <v>3513</v>
      </c>
      <c r="M347" s="152"/>
      <c r="N347" s="727">
        <f t="shared" si="38"/>
        <v>3.50773256316264</v>
      </c>
      <c r="O347" s="727">
        <v>9.25383290767516</v>
      </c>
      <c r="P347" s="154">
        <v>3</v>
      </c>
      <c r="Q347" s="154"/>
      <c r="R347" s="727">
        <f t="shared" si="39"/>
        <v>15.7615654708378</v>
      </c>
      <c r="S347" s="167" t="s">
        <v>1526</v>
      </c>
      <c r="T347" s="759" t="s">
        <v>4049</v>
      </c>
    </row>
    <row r="348" s="42" customFormat="1" customHeight="1" spans="1:21">
      <c r="A348" s="1835"/>
      <c r="B348" s="23" t="s">
        <v>984</v>
      </c>
      <c r="C348" s="23"/>
      <c r="D348" s="23">
        <v>20240821</v>
      </c>
      <c r="E348" s="153">
        <v>7.17</v>
      </c>
      <c r="F348" s="23" t="s">
        <v>4064</v>
      </c>
      <c r="G348" s="20" t="s">
        <v>1672</v>
      </c>
      <c r="H348" s="23" t="s">
        <v>4065</v>
      </c>
      <c r="I348" s="21" t="s">
        <v>3794</v>
      </c>
      <c r="J348" s="21" t="s">
        <v>3463</v>
      </c>
      <c r="K348" s="21" t="s">
        <v>1635</v>
      </c>
      <c r="L348" s="138" t="s">
        <v>3513</v>
      </c>
      <c r="M348" s="21">
        <v>3.1</v>
      </c>
      <c r="N348" s="22">
        <v>3.11690216594143</v>
      </c>
      <c r="O348" s="22">
        <v>24.8306247629674</v>
      </c>
      <c r="P348" s="37">
        <f>19.47/E348/1.13</f>
        <v>2.40308068278594</v>
      </c>
      <c r="Q348" s="22"/>
      <c r="R348" s="22">
        <f t="shared" si="39"/>
        <v>33.4506076116948</v>
      </c>
      <c r="S348" s="758" t="s">
        <v>4066</v>
      </c>
      <c r="T348" s="759" t="s">
        <v>4067</v>
      </c>
    </row>
    <row r="349" s="42" customFormat="1" customHeight="1" spans="1:21">
      <c r="A349" s="1835"/>
      <c r="B349" s="23"/>
      <c r="C349" s="23"/>
      <c r="D349" s="23">
        <v>20250219</v>
      </c>
      <c r="E349" s="153">
        <v>7.17</v>
      </c>
      <c r="F349" s="23" t="s">
        <v>3461</v>
      </c>
      <c r="G349" s="20" t="s">
        <v>1998</v>
      </c>
      <c r="H349" s="23" t="s">
        <v>4065</v>
      </c>
      <c r="I349" s="21" t="s">
        <v>3794</v>
      </c>
      <c r="J349" s="21" t="s">
        <v>3463</v>
      </c>
      <c r="K349" s="21" t="s">
        <v>1742</v>
      </c>
      <c r="L349" s="138" t="s">
        <v>3513</v>
      </c>
      <c r="M349" s="689">
        <v>6</v>
      </c>
      <c r="N349" s="22">
        <v>3.11690216594143</v>
      </c>
      <c r="O349" s="22">
        <v>24.830980895378</v>
      </c>
      <c r="P349" s="37">
        <f>19.47/E349/1.13</f>
        <v>2.40308068278594</v>
      </c>
      <c r="Q349" s="22"/>
      <c r="R349" s="22">
        <f t="shared" si="39"/>
        <v>36.3509637441054</v>
      </c>
      <c r="S349" s="758" t="s">
        <v>4066</v>
      </c>
      <c r="T349" s="759" t="s">
        <v>4067</v>
      </c>
    </row>
    <row r="350" s="42" customFormat="1" customHeight="1" spans="1:21">
      <c r="A350" s="1835"/>
      <c r="B350" s="23"/>
      <c r="C350" s="23"/>
      <c r="D350" s="23">
        <v>20250423</v>
      </c>
      <c r="E350" s="153">
        <v>7.17</v>
      </c>
      <c r="F350" s="23"/>
      <c r="G350" s="20" t="s">
        <v>4068</v>
      </c>
      <c r="H350" s="750" t="s">
        <v>4069</v>
      </c>
      <c r="I350" s="21" t="s">
        <v>3794</v>
      </c>
      <c r="J350" s="21" t="s">
        <v>3463</v>
      </c>
      <c r="K350" s="21" t="s">
        <v>1635</v>
      </c>
      <c r="L350" s="138" t="s">
        <v>3513</v>
      </c>
      <c r="M350" s="21">
        <v>3.1</v>
      </c>
      <c r="N350" s="22">
        <v>3.11690216594143</v>
      </c>
      <c r="O350" s="22">
        <v>22.2174085051918</v>
      </c>
      <c r="P350" s="37">
        <f>19.47/E350/1.13</f>
        <v>2.40308068278594</v>
      </c>
      <c r="Q350" s="22"/>
      <c r="R350" s="22">
        <f t="shared" si="39"/>
        <v>30.8373913539192</v>
      </c>
      <c r="S350" s="758" t="s">
        <v>4066</v>
      </c>
      <c r="T350" s="759" t="s">
        <v>4070</v>
      </c>
    </row>
    <row r="351" s="42" customFormat="1" customHeight="1" spans="1:21">
      <c r="A351" s="1835"/>
      <c r="B351" s="23"/>
      <c r="C351" s="23"/>
      <c r="D351" s="23">
        <v>20250512</v>
      </c>
      <c r="E351" s="21"/>
      <c r="F351" s="23" t="s">
        <v>4071</v>
      </c>
      <c r="G351" s="20" t="s">
        <v>1581</v>
      </c>
      <c r="H351" s="750" t="s">
        <v>4069</v>
      </c>
      <c r="I351" s="21" t="s">
        <v>3794</v>
      </c>
      <c r="J351" s="21" t="s">
        <v>3463</v>
      </c>
      <c r="K351" s="21" t="s">
        <v>1635</v>
      </c>
      <c r="L351" s="138" t="s">
        <v>3513</v>
      </c>
      <c r="M351" s="21">
        <v>3.1</v>
      </c>
      <c r="N351" s="22">
        <v>3.11690216594143</v>
      </c>
      <c r="O351" s="22">
        <v>21.922110463849</v>
      </c>
      <c r="P351" s="37">
        <v>2.3798464772894</v>
      </c>
      <c r="Q351" s="22"/>
      <c r="R351" s="22">
        <f t="shared" si="39"/>
        <v>30.5188591070798</v>
      </c>
      <c r="S351" s="758" t="s">
        <v>4066</v>
      </c>
      <c r="T351" s="759" t="s">
        <v>4070</v>
      </c>
    </row>
    <row r="352" s="42" customFormat="1" customHeight="1" spans="1:21">
      <c r="A352" s="1835"/>
      <c r="B352" s="23"/>
      <c r="C352" s="23"/>
      <c r="D352" s="23"/>
      <c r="E352" s="21"/>
      <c r="F352" s="23" t="s">
        <v>985</v>
      </c>
      <c r="G352" s="20" t="s">
        <v>986</v>
      </c>
      <c r="H352" s="23"/>
      <c r="I352" s="21"/>
      <c r="J352" s="21"/>
      <c r="K352" s="21"/>
      <c r="L352" s="21"/>
      <c r="M352" s="21"/>
      <c r="N352" s="22">
        <v>0.349008762369763</v>
      </c>
      <c r="O352" s="22">
        <v>1.41251501277509</v>
      </c>
      <c r="P352" s="37">
        <v>0.2</v>
      </c>
      <c r="Q352" s="22"/>
      <c r="R352" s="22">
        <f t="shared" si="39"/>
        <v>1.96152377514485</v>
      </c>
      <c r="S352" s="1122"/>
      <c r="T352" s="937"/>
    </row>
    <row r="353" s="776" customFormat="1" customHeight="1" spans="1:20">
      <c r="A353" s="1835"/>
      <c r="B353" s="23"/>
      <c r="C353" s="23"/>
      <c r="D353" s="23">
        <v>20250219</v>
      </c>
      <c r="E353" s="153">
        <v>7.17</v>
      </c>
      <c r="F353" s="23" t="s">
        <v>987</v>
      </c>
      <c r="G353" s="20" t="s">
        <v>988</v>
      </c>
      <c r="H353" s="23"/>
      <c r="I353" s="21"/>
      <c r="J353" s="21"/>
      <c r="K353" s="21"/>
      <c r="L353" s="21"/>
      <c r="M353" s="22"/>
      <c r="N353" s="22">
        <v>0.35699911677606</v>
      </c>
      <c r="O353" s="22">
        <v>1.10581497192827</v>
      </c>
      <c r="P353" s="37">
        <v>0.2</v>
      </c>
      <c r="Q353" s="22"/>
      <c r="R353" s="22">
        <f t="shared" si="39"/>
        <v>1.66281408870433</v>
      </c>
      <c r="S353" s="23"/>
      <c r="T353" s="20"/>
    </row>
    <row r="354" s="187" customFormat="1" customHeight="1" spans="1:20">
      <c r="A354" s="1835"/>
      <c r="B354" s="23"/>
      <c r="C354" s="23"/>
      <c r="D354" s="23"/>
      <c r="E354" s="21"/>
      <c r="F354" s="23" t="s">
        <v>943</v>
      </c>
      <c r="G354" s="20" t="s">
        <v>944</v>
      </c>
      <c r="H354" s="20"/>
      <c r="I354" s="21"/>
      <c r="J354" s="21"/>
      <c r="K354" s="21"/>
      <c r="L354" s="23"/>
      <c r="M354" s="21"/>
      <c r="N354" s="22">
        <v>0.456952607440122</v>
      </c>
      <c r="O354" s="22">
        <v>0.566223883132326</v>
      </c>
      <c r="P354" s="37">
        <v>0.4</v>
      </c>
      <c r="Q354" s="22"/>
      <c r="R354" s="22">
        <f t="shared" si="39"/>
        <v>1.42317649057245</v>
      </c>
      <c r="S354" s="872"/>
      <c r="T354" s="706"/>
    </row>
    <row r="355" s="880" customFormat="1" customHeight="1" spans="1:20">
      <c r="A355" s="1835"/>
      <c r="B355" s="23"/>
      <c r="C355" s="23"/>
      <c r="D355" s="23">
        <v>20250219</v>
      </c>
      <c r="E355" s="153">
        <v>7.17</v>
      </c>
      <c r="F355" s="23" t="s">
        <v>945</v>
      </c>
      <c r="G355" s="20" t="s">
        <v>946</v>
      </c>
      <c r="H355" s="20"/>
      <c r="I355" s="21"/>
      <c r="J355" s="21"/>
      <c r="K355" s="21"/>
      <c r="L355" s="23"/>
      <c r="M355" s="21"/>
      <c r="N355" s="22">
        <v>0.0611150358873175</v>
      </c>
      <c r="O355" s="22">
        <v>0.0586274377488359</v>
      </c>
      <c r="P355" s="37">
        <v>0.2</v>
      </c>
      <c r="Q355" s="22"/>
      <c r="R355" s="22">
        <f t="shared" ref="R355:R366" si="40">SUM(L355:P355)</f>
        <v>0.319742473636153</v>
      </c>
      <c r="S355" s="23"/>
      <c r="T355" s="23"/>
    </row>
    <row r="356" s="193" customFormat="1" customHeight="1" spans="1:20">
      <c r="A356" s="1837"/>
      <c r="B356" s="23" t="s">
        <v>4072</v>
      </c>
      <c r="C356" s="23"/>
      <c r="D356" s="23">
        <v>20250516</v>
      </c>
      <c r="E356" s="153">
        <v>7.17</v>
      </c>
      <c r="F356" s="23" t="s">
        <v>4073</v>
      </c>
      <c r="G356" s="20" t="s">
        <v>1604</v>
      </c>
      <c r="H356" s="729" t="s">
        <v>4074</v>
      </c>
      <c r="I356" s="21" t="s">
        <v>3542</v>
      </c>
      <c r="J356" s="21" t="s">
        <v>3425</v>
      </c>
      <c r="K356" s="21" t="s">
        <v>1784</v>
      </c>
      <c r="L356" s="138" t="s">
        <v>3513</v>
      </c>
      <c r="M356" s="689">
        <v>2.2</v>
      </c>
      <c r="N356" s="22">
        <v>3.93995556810232</v>
      </c>
      <c r="O356" s="22">
        <v>13.8889215151136</v>
      </c>
      <c r="P356" s="37" t="e">
        <f>Q356/#REF!</f>
        <v>#REF!</v>
      </c>
      <c r="Q356" s="1255">
        <v>20</v>
      </c>
      <c r="R356" s="22" t="e">
        <f t="shared" si="40"/>
        <v>#REF!</v>
      </c>
      <c r="S356" s="1847" t="s">
        <v>3452</v>
      </c>
      <c r="T356" s="1848" t="s">
        <v>4075</v>
      </c>
    </row>
    <row r="357" s="193" customFormat="1" customHeight="1" spans="1:20">
      <c r="A357" s="1837"/>
      <c r="B357" s="23"/>
      <c r="C357" s="23"/>
      <c r="D357" s="23">
        <v>20250516</v>
      </c>
      <c r="E357" s="153">
        <v>7.17</v>
      </c>
      <c r="F357" s="23" t="s">
        <v>3451</v>
      </c>
      <c r="G357" s="20" t="s">
        <v>1571</v>
      </c>
      <c r="H357" s="729" t="s">
        <v>4074</v>
      </c>
      <c r="I357" s="21" t="s">
        <v>3457</v>
      </c>
      <c r="J357" s="21" t="s">
        <v>3425</v>
      </c>
      <c r="K357" s="21" t="s">
        <v>1784</v>
      </c>
      <c r="L357" s="138" t="s">
        <v>3513</v>
      </c>
      <c r="M357" s="689">
        <v>2.2</v>
      </c>
      <c r="N357" s="22">
        <v>3.93995556810232</v>
      </c>
      <c r="O357" s="22">
        <v>13.9627319602917</v>
      </c>
      <c r="P357" s="37" t="e">
        <f>Q357/#REF!</f>
        <v>#REF!</v>
      </c>
      <c r="Q357" s="1255">
        <v>20</v>
      </c>
      <c r="R357" s="22" t="e">
        <f t="shared" si="40"/>
        <v>#REF!</v>
      </c>
      <c r="S357" s="895" t="s">
        <v>3452</v>
      </c>
      <c r="T357" s="1725" t="s">
        <v>4075</v>
      </c>
    </row>
    <row r="358" s="42" customFormat="1" customHeight="1" spans="1:20">
      <c r="A358" s="1835"/>
      <c r="B358" s="23"/>
      <c r="C358" s="23"/>
      <c r="D358" s="23">
        <v>20250415</v>
      </c>
      <c r="E358" s="153">
        <v>7.17</v>
      </c>
      <c r="F358" s="23" t="s">
        <v>990</v>
      </c>
      <c r="G358" s="23" t="s">
        <v>991</v>
      </c>
      <c r="H358" s="729"/>
      <c r="I358" s="21"/>
      <c r="J358" s="21"/>
      <c r="K358" s="21"/>
      <c r="L358" s="700"/>
      <c r="M358" s="689"/>
      <c r="N358" s="22">
        <v>1.8656487425282</v>
      </c>
      <c r="O358" s="22">
        <v>2.16900965729015</v>
      </c>
      <c r="P358" s="37">
        <v>0.4</v>
      </c>
      <c r="Q358" s="776"/>
      <c r="R358" s="22">
        <f t="shared" si="40"/>
        <v>4.43465839981835</v>
      </c>
      <c r="S358" s="895"/>
      <c r="T358" s="20"/>
    </row>
    <row r="359" s="989" customFormat="1" customHeight="1" spans="1:20">
      <c r="B359" s="1849" t="s">
        <v>4076</v>
      </c>
      <c r="C359" s="125" t="s">
        <v>4077</v>
      </c>
      <c r="D359" s="1850">
        <v>46185</v>
      </c>
      <c r="E359" s="125">
        <v>6.7851</v>
      </c>
      <c r="F359" s="1851" t="s">
        <v>1979</v>
      </c>
      <c r="G359" s="125"/>
      <c r="H359" s="125"/>
      <c r="I359" s="125"/>
      <c r="J359" s="125"/>
      <c r="K359" s="125"/>
      <c r="L359" s="125"/>
      <c r="M359" s="125"/>
      <c r="N359" s="1852">
        <f>28/E359/1.13</f>
        <v>3.65193748978599</v>
      </c>
      <c r="O359" s="1853">
        <v>7.95</v>
      </c>
      <c r="P359" s="1852">
        <f>5/E359</f>
        <v>0.736908814903244</v>
      </c>
      <c r="Q359" s="125"/>
      <c r="R359" s="965">
        <f t="shared" si="40"/>
        <v>12.3388463046892</v>
      </c>
      <c r="S359"/>
      <c r="T359" s="1854" t="s">
        <v>4078</v>
      </c>
    </row>
    <row r="360" s="989" customFormat="1" customHeight="1" spans="1:20">
      <c r="B360" s="1255" t="s">
        <v>4079</v>
      </c>
      <c r="C360" s="125"/>
      <c r="D360" s="1850">
        <v>46199</v>
      </c>
      <c r="E360" s="125">
        <v>6.8</v>
      </c>
      <c r="F360" s="1855" t="s">
        <v>4080</v>
      </c>
      <c r="G360" s="125"/>
      <c r="H360" s="125"/>
      <c r="I360" s="125"/>
      <c r="J360" s="125"/>
      <c r="K360" s="1856" t="s">
        <v>1428</v>
      </c>
      <c r="L360" s="1856" t="s">
        <v>712</v>
      </c>
      <c r="M360" s="1856" t="s">
        <v>1428</v>
      </c>
      <c r="N360" s="1857">
        <f>30/E360/1.13</f>
        <v>3.90421655387819</v>
      </c>
      <c r="O360" s="1855">
        <f>12.5*1.1</f>
        <v>13.75</v>
      </c>
      <c r="P360" s="1855">
        <v>3</v>
      </c>
      <c r="Q360" s="125"/>
      <c r="R360" s="727">
        <f t="shared" si="40"/>
        <v>20.6542165538782</v>
      </c>
      <c r="S360"/>
      <c r="T360"/>
    </row>
    <row r="361" s="989" customFormat="1" customHeight="1" spans="1:20">
      <c r="B361" s="791" t="s">
        <v>4081</v>
      </c>
      <c r="C361" s="1503" t="s">
        <v>4082</v>
      </c>
      <c r="D361" s="1653">
        <v>46205</v>
      </c>
      <c r="E361" s="798">
        <v>6.8</v>
      </c>
      <c r="F361" s="1503" t="s">
        <v>4083</v>
      </c>
      <c r="G361" s="1503"/>
      <c r="H361" s="1503"/>
      <c r="I361" s="1005"/>
      <c r="J361" s="1858"/>
      <c r="K361" s="1855" t="s">
        <v>1428</v>
      </c>
      <c r="L361" s="1855" t="s">
        <v>712</v>
      </c>
      <c r="M361" s="1855" t="s">
        <v>1428</v>
      </c>
      <c r="N361" s="727">
        <f>78.2/E361/1.13+1300/E361/1.13/500</f>
        <v>10.5153565851119</v>
      </c>
      <c r="O361" s="727">
        <v>19.8</v>
      </c>
      <c r="P361" s="727">
        <f>30/E361</f>
        <v>4.41176470588235</v>
      </c>
      <c r="Q361" s="1575"/>
      <c r="R361" s="727">
        <f t="shared" si="40"/>
        <v>34.7271212909942</v>
      </c>
      <c r="S361" s="990"/>
      <c r="T361" s="1859" t="s">
        <v>4084</v>
      </c>
    </row>
    <row r="362" s="989" customFormat="1" customHeight="1" spans="1:20">
      <c r="B362" s="1787" t="s">
        <v>4085</v>
      </c>
      <c r="C362" s="1860" t="s">
        <v>3477</v>
      </c>
      <c r="D362" s="1802">
        <v>46164</v>
      </c>
      <c r="E362" s="1788">
        <v>6.8</v>
      </c>
      <c r="F362" s="1861" t="s">
        <v>3478</v>
      </c>
      <c r="G362" s="153" t="s">
        <v>1685</v>
      </c>
      <c r="H362" s="1827" t="s">
        <v>3479</v>
      </c>
      <c r="I362" s="153" t="s">
        <v>3348</v>
      </c>
      <c r="J362" s="153" t="s">
        <v>3480</v>
      </c>
      <c r="K362" s="727" t="s">
        <v>1428</v>
      </c>
      <c r="L362" s="727" t="s">
        <v>712</v>
      </c>
      <c r="M362" s="727" t="s">
        <v>1428</v>
      </c>
      <c r="N362" s="727">
        <f>37.76/E362/1.13</f>
        <v>4.91410723581468</v>
      </c>
      <c r="O362" s="727">
        <v>16.4</v>
      </c>
      <c r="P362" s="727">
        <f t="shared" ref="P362:P367" si="41">21.5/E362</f>
        <v>3.16176470588235</v>
      </c>
      <c r="Q362" s="1255"/>
      <c r="R362" s="156">
        <f t="shared" si="40"/>
        <v>24.475871941697</v>
      </c>
      <c r="S362" s="1573" t="s">
        <v>3481</v>
      </c>
      <c r="T362" s="1660" t="s">
        <v>3482</v>
      </c>
    </row>
    <row r="363" s="989" customFormat="1" customHeight="1" spans="1:20">
      <c r="B363" s="1787"/>
      <c r="C363" s="1860"/>
      <c r="D363" s="1802"/>
      <c r="E363" s="1788">
        <v>6.7</v>
      </c>
      <c r="F363" s="1861" t="s">
        <v>4086</v>
      </c>
      <c r="G363" s="153"/>
      <c r="H363" s="1827"/>
      <c r="I363" s="153"/>
      <c r="J363" s="153"/>
      <c r="K363" s="727" t="s">
        <v>1428</v>
      </c>
      <c r="L363" s="1565" t="s">
        <v>712</v>
      </c>
      <c r="M363" s="727" t="s">
        <v>1428</v>
      </c>
      <c r="N363" s="727">
        <f>51.33/E363/1.13*1.1</f>
        <v>7.4577994980848</v>
      </c>
      <c r="O363" s="727">
        <v>12.85</v>
      </c>
      <c r="P363" s="727">
        <f t="shared" si="41"/>
        <v>3.2089552238806</v>
      </c>
      <c r="Q363" s="1255"/>
      <c r="R363" s="156">
        <f t="shared" si="40"/>
        <v>23.5167547219654</v>
      </c>
      <c r="S363" s="1573"/>
      <c r="T363" s="1660"/>
    </row>
    <row r="364" s="989" customFormat="1" customHeight="1" spans="1:20">
      <c r="B364" s="1787"/>
      <c r="C364" s="1860" t="s">
        <v>3477</v>
      </c>
      <c r="D364" s="1802">
        <v>46286</v>
      </c>
      <c r="E364" s="1788">
        <v>6.7</v>
      </c>
      <c r="F364" s="1861" t="s">
        <v>4087</v>
      </c>
      <c r="G364" s="153"/>
      <c r="H364" s="1827"/>
      <c r="I364" s="153"/>
      <c r="J364" s="153"/>
      <c r="K364" s="727" t="s">
        <v>1428</v>
      </c>
      <c r="L364" s="1565" t="s">
        <v>712</v>
      </c>
      <c r="M364" s="727" t="s">
        <v>1428</v>
      </c>
      <c r="N364" s="727">
        <f>57.5/E364/1.13</f>
        <v>7.59476951525558</v>
      </c>
      <c r="O364" s="727">
        <v>12.7</v>
      </c>
      <c r="P364" s="727">
        <f t="shared" si="41"/>
        <v>3.2089552238806</v>
      </c>
      <c r="Q364" s="1255"/>
      <c r="R364" s="156">
        <f t="shared" si="40"/>
        <v>23.5037247391362</v>
      </c>
      <c r="S364" s="1573" t="s">
        <v>4088</v>
      </c>
      <c r="T364" s="1660"/>
    </row>
    <row r="365" s="989" customFormat="1" customHeight="1" spans="1:20">
      <c r="B365" s="1787"/>
      <c r="C365" s="1860"/>
      <c r="D365" s="1802"/>
      <c r="E365" s="1788">
        <v>6.7</v>
      </c>
      <c r="F365" s="1861" t="s">
        <v>4089</v>
      </c>
      <c r="G365" s="153"/>
      <c r="H365" s="1827"/>
      <c r="I365" s="153"/>
      <c r="J365" s="153"/>
      <c r="K365" s="727" t="s">
        <v>1428</v>
      </c>
      <c r="L365" s="1565" t="s">
        <v>712</v>
      </c>
      <c r="M365" s="727" t="s">
        <v>1428</v>
      </c>
      <c r="N365" s="727">
        <f>57.5/6.7/1.13</f>
        <v>7.59476951525558</v>
      </c>
      <c r="O365" s="727">
        <v>12.4</v>
      </c>
      <c r="P365" s="727">
        <f t="shared" si="41"/>
        <v>3.2089552238806</v>
      </c>
      <c r="Q365" s="1255"/>
      <c r="R365" s="156">
        <f t="shared" si="40"/>
        <v>23.2037247391362</v>
      </c>
      <c r="S365" s="1573"/>
      <c r="T365" s="1660"/>
    </row>
    <row r="366" s="989" customFormat="1" customHeight="1" spans="1:20">
      <c r="B366" s="1787"/>
      <c r="C366" s="1860"/>
      <c r="D366" s="1802"/>
      <c r="E366" s="1788">
        <v>6.78</v>
      </c>
      <c r="F366" s="1861" t="s">
        <v>4090</v>
      </c>
      <c r="G366" s="153"/>
      <c r="H366" s="1827"/>
      <c r="I366" s="153"/>
      <c r="J366" s="153"/>
      <c r="K366" s="727" t="s">
        <v>1428</v>
      </c>
      <c r="L366" s="727" t="s">
        <v>712</v>
      </c>
      <c r="M366" s="727" t="s">
        <v>1428</v>
      </c>
      <c r="N366" s="727">
        <f>51.33/E366/1.13*1.1</f>
        <v>7.36980186388911</v>
      </c>
      <c r="O366" s="727">
        <v>12.95</v>
      </c>
      <c r="P366" s="727">
        <f t="shared" si="41"/>
        <v>3.17109144542773</v>
      </c>
      <c r="Q366" s="1255"/>
      <c r="R366" s="156">
        <f t="shared" si="40"/>
        <v>23.4908933093168</v>
      </c>
      <c r="S366" s="1573"/>
      <c r="T366" s="1660"/>
    </row>
    <row r="367" s="989" customFormat="1" ht="60" customHeight="1" spans="1:20">
      <c r="B367" s="1787"/>
      <c r="C367" s="791"/>
      <c r="D367" s="1862">
        <v>46175</v>
      </c>
      <c r="E367" s="924">
        <v>6.7693</v>
      </c>
      <c r="F367" s="1737" t="s">
        <v>4091</v>
      </c>
      <c r="G367" s="791"/>
      <c r="H367" s="791"/>
      <c r="I367" s="924"/>
      <c r="J367" s="1789"/>
      <c r="K367" s="1789" t="s">
        <v>1428</v>
      </c>
      <c r="L367" s="1841" t="s">
        <v>712</v>
      </c>
      <c r="M367" s="1789" t="s">
        <v>1428</v>
      </c>
      <c r="N367" s="727">
        <f>51.33/E367/1.13*1.1</f>
        <v>7.38145105655949</v>
      </c>
      <c r="O367" s="727">
        <v>13.8</v>
      </c>
      <c r="P367" s="727">
        <f t="shared" si="41"/>
        <v>3.17610388075576</v>
      </c>
      <c r="Q367" s="1575"/>
      <c r="R367" s="1575">
        <f>SUBTOTAL(109,N367:P367)</f>
        <v>24.3575549373152</v>
      </c>
      <c r="S367" s="791"/>
      <c r="T367" s="1031" t="s">
        <v>4092</v>
      </c>
    </row>
    <row r="368" s="989" customFormat="1" customHeight="1" spans="1:20">
      <c r="B368" s="1863" t="s">
        <v>1208</v>
      </c>
      <c r="C368" s="1864" t="s">
        <v>4093</v>
      </c>
      <c r="D368" s="1863"/>
      <c r="E368" s="825">
        <v>6.75</v>
      </c>
      <c r="F368" s="1863"/>
      <c r="G368" s="1503"/>
      <c r="H368" s="1503"/>
      <c r="I368" s="1005"/>
      <c r="J368" s="1858"/>
      <c r="K368" s="1865"/>
      <c r="L368" s="825"/>
      <c r="M368" s="827"/>
      <c r="N368" s="829">
        <f>50.94/E368/1.13</f>
        <v>6.67846607669617</v>
      </c>
      <c r="O368" s="829">
        <v>4.23</v>
      </c>
      <c r="P368" s="829"/>
      <c r="Q368" s="1575"/>
      <c r="R368" s="1843">
        <f>SUM(L368:P368)</f>
        <v>10.9084660766962</v>
      </c>
      <c r="S368" s="990"/>
      <c r="T368" s="1866" t="s">
        <v>4094</v>
      </c>
    </row>
    <row r="369" s="989" customFormat="1" customHeight="1" spans="2:22">
      <c r="B369" s="1719" t="s">
        <v>3483</v>
      </c>
      <c r="C369" s="1860" t="s">
        <v>3484</v>
      </c>
      <c r="D369" s="1802">
        <v>46285</v>
      </c>
      <c r="E369" s="1867">
        <v>6.7</v>
      </c>
      <c r="F369" s="791" t="s">
        <v>4095</v>
      </c>
      <c r="G369" s="791"/>
      <c r="H369" s="791"/>
      <c r="I369" s="924"/>
      <c r="J369" s="1789"/>
      <c r="K369" s="727" t="s">
        <v>1428</v>
      </c>
      <c r="L369" s="1565" t="s">
        <v>712</v>
      </c>
      <c r="M369" s="727" t="s">
        <v>1428</v>
      </c>
      <c r="N369" s="727">
        <f>31/E369/1.13</f>
        <v>4.09457139083344</v>
      </c>
      <c r="O369" s="727">
        <v>14.05</v>
      </c>
      <c r="P369" s="154">
        <v>2.67</v>
      </c>
      <c r="Q369" s="1575"/>
      <c r="R369" s="727">
        <f>SUBTOTAL(109,N369:P369)</f>
        <v>20.8145713908334</v>
      </c>
      <c r="S369" s="990"/>
      <c r="T369" s="1866"/>
    </row>
    <row r="370" s="989" customFormat="1" customHeight="1" spans="2:22">
      <c r="B370" s="1719" t="s">
        <v>3483</v>
      </c>
      <c r="C370" s="1741" t="s">
        <v>3484</v>
      </c>
      <c r="D370" s="1661">
        <v>46248</v>
      </c>
      <c r="E370" s="1868">
        <v>6.75</v>
      </c>
      <c r="F370" s="1861" t="s">
        <v>4096</v>
      </c>
      <c r="G370" s="961"/>
      <c r="H370" s="1794"/>
      <c r="I370" s="153" t="s">
        <v>3348</v>
      </c>
      <c r="J370" s="153" t="s">
        <v>1913</v>
      </c>
      <c r="K370" s="727" t="s">
        <v>1428</v>
      </c>
      <c r="L370" s="1565" t="s">
        <v>712</v>
      </c>
      <c r="M370" s="727" t="s">
        <v>1428</v>
      </c>
      <c r="N370" s="727">
        <f>30.33/E370/1.13</f>
        <v>3.976401179941</v>
      </c>
      <c r="O370" s="154">
        <v>14.2</v>
      </c>
      <c r="P370" s="154">
        <v>2.67</v>
      </c>
      <c r="Q370" s="1686"/>
      <c r="R370" s="727">
        <f>SUBTOTAL(109,N370:P370)</f>
        <v>20.846401179941</v>
      </c>
      <c r="S370" s="965"/>
      <c r="T370" s="965"/>
      <c r="U370" s="1840" t="s">
        <v>1526</v>
      </c>
      <c r="V370" s="1869"/>
    </row>
    <row r="371" s="989" customFormat="1" customHeight="1" spans="2:22">
      <c r="B371" s="1719" t="s">
        <v>3483</v>
      </c>
      <c r="C371" s="1741" t="s">
        <v>3484</v>
      </c>
      <c r="D371" s="1661">
        <v>46248</v>
      </c>
      <c r="E371" s="1868">
        <v>6.75</v>
      </c>
      <c r="F371" s="1861" t="s">
        <v>715</v>
      </c>
      <c r="G371" s="990"/>
      <c r="H371" s="990"/>
      <c r="I371" s="1104"/>
      <c r="J371" s="1770"/>
      <c r="K371" s="727" t="s">
        <v>1428</v>
      </c>
      <c r="L371" s="1565" t="s">
        <v>712</v>
      </c>
      <c r="M371" s="727" t="s">
        <v>1428</v>
      </c>
      <c r="N371" s="727">
        <f>30.33/E371/1.13</f>
        <v>3.976401179941</v>
      </c>
      <c r="O371" s="727">
        <v>15.3</v>
      </c>
      <c r="P371" s="154">
        <v>2.67</v>
      </c>
      <c r="Q371" s="1771"/>
      <c r="R371" s="727">
        <f>SUBTOTAL(109,N371:P371)</f>
        <v>21.946401179941</v>
      </c>
      <c r="S371" s="990"/>
    </row>
    <row r="372" s="989" customFormat="1" customHeight="1" spans="2:22">
      <c r="B372" s="1660" t="s">
        <v>3410</v>
      </c>
      <c r="C372" s="1741" t="s">
        <v>3411</v>
      </c>
      <c r="D372" s="1661">
        <v>46266</v>
      </c>
      <c r="E372" s="1870">
        <v>6.73</v>
      </c>
      <c r="F372" s="1590" t="s">
        <v>4097</v>
      </c>
      <c r="G372" s="961" t="s">
        <v>1604</v>
      </c>
      <c r="H372" s="1794" t="s">
        <v>3360</v>
      </c>
      <c r="I372" s="961" t="s">
        <v>3348</v>
      </c>
      <c r="J372" s="961" t="s">
        <v>3413</v>
      </c>
      <c r="K372" s="961" t="s">
        <v>1428</v>
      </c>
      <c r="L372" s="965" t="s">
        <v>712</v>
      </c>
      <c r="M372" s="965" t="s">
        <v>1428</v>
      </c>
      <c r="N372" s="964">
        <f>43.74/E372/1.13</f>
        <v>5.75155491853936</v>
      </c>
      <c r="O372" s="964">
        <v>14.1</v>
      </c>
      <c r="P372" s="964">
        <v>2.7</v>
      </c>
      <c r="Q372" s="1686"/>
      <c r="R372" s="964">
        <f>P372+O372+N372</f>
        <v>22.5515549185394</v>
      </c>
      <c r="S372" s="965" t="s">
        <v>4098</v>
      </c>
      <c r="T372" s="1871" t="s">
        <v>4099</v>
      </c>
      <c r="U372" s="1591" t="s">
        <v>3414</v>
      </c>
      <c r="V372" s="1840" t="s">
        <v>3415</v>
      </c>
    </row>
    <row r="373" s="989" customFormat="1" customHeight="1" spans="2:22">
      <c r="B373" s="990"/>
      <c r="C373" s="990"/>
      <c r="D373" s="990"/>
      <c r="E373" s="1104"/>
      <c r="F373" s="990"/>
      <c r="G373" s="990"/>
      <c r="H373" s="990"/>
      <c r="I373" s="1104"/>
      <c r="J373" s="1770"/>
      <c r="K373" s="1770"/>
      <c r="L373" s="1104"/>
      <c r="M373" s="1205"/>
      <c r="N373" s="1207"/>
      <c r="O373" s="1207"/>
      <c r="P373" s="1207"/>
      <c r="Q373" s="1771"/>
      <c r="R373" s="1458"/>
      <c r="S373" s="990"/>
    </row>
    <row r="374" s="989" customFormat="1" customHeight="1" spans="2:22">
      <c r="B374" s="990"/>
      <c r="C374" s="990"/>
      <c r="D374" s="990"/>
      <c r="E374" s="1104"/>
      <c r="F374" s="990"/>
      <c r="G374" s="990"/>
      <c r="H374" s="990"/>
      <c r="I374" s="1104"/>
      <c r="J374" s="1770"/>
      <c r="K374" s="1770"/>
      <c r="L374" s="1104"/>
      <c r="M374" s="1205"/>
      <c r="N374" s="1207"/>
      <c r="O374" s="1207"/>
      <c r="P374" s="1207"/>
      <c r="Q374" s="1771"/>
      <c r="R374" s="1458"/>
      <c r="S374" s="990"/>
    </row>
    <row r="375" s="989" customFormat="1" customHeight="1" spans="2:22">
      <c r="B375" s="990"/>
      <c r="C375" s="990"/>
      <c r="D375" s="990"/>
      <c r="E375" s="1104"/>
      <c r="F375" s="990"/>
      <c r="G375" s="990"/>
      <c r="H375" s="990"/>
      <c r="I375" s="1104"/>
      <c r="J375" s="1770"/>
      <c r="K375" s="1770"/>
      <c r="L375" s="1104"/>
      <c r="M375" s="1205"/>
      <c r="N375" s="1207"/>
      <c r="O375" s="1207"/>
      <c r="P375" s="1207"/>
      <c r="Q375" s="1771"/>
      <c r="R375" s="1458"/>
      <c r="S375" s="990"/>
    </row>
    <row r="376" s="989" customFormat="1" customHeight="1" spans="2:22">
      <c r="B376" s="990"/>
      <c r="C376" s="990"/>
      <c r="D376" s="990"/>
      <c r="E376" s="1104"/>
      <c r="F376" s="990"/>
      <c r="G376" s="990"/>
      <c r="H376" s="990"/>
      <c r="I376" s="1104"/>
      <c r="J376" s="1770"/>
      <c r="K376" s="1770"/>
      <c r="L376" s="1104"/>
      <c r="M376" s="1205"/>
      <c r="N376" s="1207"/>
      <c r="O376" s="1207"/>
      <c r="P376" s="1207"/>
      <c r="Q376" s="1771"/>
      <c r="R376" s="1458"/>
      <c r="S376" s="990"/>
    </row>
    <row r="377" s="989" customFormat="1" customHeight="1" spans="2:22">
      <c r="B377" s="990"/>
      <c r="C377" s="990"/>
      <c r="D377" s="990"/>
      <c r="E377" s="1104"/>
      <c r="F377" s="990"/>
      <c r="G377" s="990"/>
      <c r="H377" s="990"/>
      <c r="I377" s="1104"/>
      <c r="J377" s="1770"/>
      <c r="K377" s="1770"/>
      <c r="L377" s="1104"/>
      <c r="M377" s="1205"/>
      <c r="N377" s="1207"/>
      <c r="O377" s="1207"/>
      <c r="P377" s="1207"/>
      <c r="Q377" s="1771"/>
      <c r="R377" s="1458"/>
      <c r="S377" s="990"/>
    </row>
    <row r="378" s="989" customFormat="1" customHeight="1" spans="2:22">
      <c r="B378" s="990"/>
      <c r="C378" s="990"/>
      <c r="D378" s="990"/>
      <c r="E378" s="1104"/>
      <c r="F378" s="990"/>
      <c r="G378" s="990"/>
      <c r="H378" s="990"/>
      <c r="I378" s="1104"/>
      <c r="J378" s="1770"/>
      <c r="K378" s="1770"/>
      <c r="L378" s="1104"/>
      <c r="M378" s="1205"/>
      <c r="N378" s="1207"/>
      <c r="O378" s="1207"/>
      <c r="P378" s="1207"/>
      <c r="Q378" s="1771"/>
      <c r="R378" s="1458"/>
      <c r="S378" s="990"/>
    </row>
    <row r="379" s="989" customFormat="1" customHeight="1" spans="2:22">
      <c r="B379" s="990"/>
      <c r="C379" s="990"/>
      <c r="D379" s="990"/>
      <c r="E379" s="1104"/>
      <c r="F379" s="990"/>
      <c r="G379" s="990"/>
      <c r="H379" s="990"/>
      <c r="I379" s="1104"/>
      <c r="J379" s="1770"/>
      <c r="K379" s="1770"/>
      <c r="L379" s="1104"/>
      <c r="M379" s="1205"/>
      <c r="N379" s="1207"/>
      <c r="O379" s="1207"/>
      <c r="P379" s="1207"/>
      <c r="Q379" s="1771"/>
      <c r="R379" s="1458"/>
      <c r="S379" s="990"/>
    </row>
    <row r="380" s="989" customFormat="1" customHeight="1" spans="2:22">
      <c r="B380" s="990"/>
      <c r="C380" s="990"/>
      <c r="D380" s="990"/>
      <c r="E380" s="1104"/>
      <c r="F380" s="990"/>
      <c r="G380" s="990"/>
      <c r="H380" s="990"/>
      <c r="I380" s="1104"/>
      <c r="J380" s="1770"/>
      <c r="K380" s="1770"/>
      <c r="L380" s="1104"/>
      <c r="M380" s="1205"/>
      <c r="N380" s="1207"/>
      <c r="O380" s="1207"/>
      <c r="P380" s="1207"/>
      <c r="Q380" s="1771"/>
      <c r="R380" s="1458"/>
      <c r="S380" s="990"/>
    </row>
    <row r="381" s="989" customFormat="1" customHeight="1" spans="2:22">
      <c r="B381" s="990"/>
      <c r="C381" s="990"/>
      <c r="D381" s="990"/>
      <c r="E381" s="1104"/>
      <c r="F381" s="990"/>
      <c r="G381" s="990"/>
      <c r="H381" s="990"/>
      <c r="I381" s="1104"/>
      <c r="J381" s="1770"/>
      <c r="K381" s="1770"/>
      <c r="L381" s="1104"/>
      <c r="M381" s="1205"/>
      <c r="N381" s="1207"/>
      <c r="O381" s="1207"/>
      <c r="P381" s="1207"/>
      <c r="Q381" s="1771"/>
      <c r="R381" s="1458"/>
      <c r="S381" s="990"/>
    </row>
    <row r="382" s="989" customFormat="1" customHeight="1" spans="2:22">
      <c r="B382" s="990"/>
      <c r="C382" s="990"/>
      <c r="D382" s="990"/>
      <c r="E382" s="1104"/>
      <c r="F382" s="990"/>
      <c r="G382" s="990"/>
      <c r="H382" s="990"/>
      <c r="I382" s="1104"/>
      <c r="J382" s="1770"/>
      <c r="K382" s="1770"/>
      <c r="L382" s="1104"/>
      <c r="M382" s="1205"/>
      <c r="N382" s="1207"/>
      <c r="O382" s="1207"/>
      <c r="P382" s="1207"/>
      <c r="Q382" s="1771"/>
      <c r="R382" s="1458"/>
      <c r="S382" s="990"/>
    </row>
    <row r="383" s="989" customFormat="1" customHeight="1" spans="2:22">
      <c r="B383" s="990"/>
      <c r="C383" s="990"/>
      <c r="D383" s="990"/>
      <c r="E383" s="1104"/>
      <c r="F383" s="990"/>
      <c r="G383" s="990"/>
      <c r="H383" s="990"/>
      <c r="I383" s="1104"/>
      <c r="J383" s="1770"/>
      <c r="K383" s="1770"/>
      <c r="L383" s="1104"/>
      <c r="M383" s="1205"/>
      <c r="N383" s="1207"/>
      <c r="O383" s="1207"/>
      <c r="P383" s="1207"/>
      <c r="Q383" s="1771"/>
      <c r="R383" s="1458"/>
      <c r="S383" s="990"/>
    </row>
    <row r="384" s="989" customFormat="1" customHeight="1" spans="2:22">
      <c r="B384" s="990"/>
      <c r="C384" s="990"/>
      <c r="D384" s="990"/>
      <c r="E384" s="1104"/>
      <c r="F384" s="990"/>
      <c r="G384" s="990"/>
      <c r="H384" s="990"/>
      <c r="I384" s="1104"/>
      <c r="J384" s="1770"/>
      <c r="K384" s="1770"/>
      <c r="L384" s="1104"/>
      <c r="M384" s="1205"/>
      <c r="N384" s="1207"/>
      <c r="O384" s="1207"/>
      <c r="P384" s="1207"/>
      <c r="Q384" s="1771"/>
      <c r="R384" s="1458"/>
      <c r="S384" s="990"/>
    </row>
    <row r="385" s="989" customFormat="1" customHeight="1" spans="2:19">
      <c r="B385" s="990"/>
      <c r="C385" s="990"/>
      <c r="D385" s="990"/>
      <c r="E385" s="1104"/>
      <c r="F385" s="990"/>
      <c r="G385" s="990"/>
      <c r="H385" s="990"/>
      <c r="I385" s="1104"/>
      <c r="J385" s="1770"/>
      <c r="K385" s="1770"/>
      <c r="L385" s="1104"/>
      <c r="M385" s="1205"/>
      <c r="N385" s="1207"/>
      <c r="O385" s="1207"/>
      <c r="P385" s="1207"/>
      <c r="Q385" s="1771"/>
      <c r="R385" s="1458"/>
      <c r="S385" s="990"/>
    </row>
    <row r="386" s="989" customFormat="1" customHeight="1" spans="2:19">
      <c r="B386" s="990"/>
      <c r="C386" s="990"/>
      <c r="D386" s="990"/>
      <c r="E386" s="1104"/>
      <c r="F386" s="990"/>
      <c r="G386" s="990"/>
      <c r="H386" s="990"/>
      <c r="I386" s="1104"/>
      <c r="J386" s="1770"/>
      <c r="K386" s="1770"/>
      <c r="L386" s="1104"/>
      <c r="M386" s="1205"/>
      <c r="N386" s="1207"/>
      <c r="O386" s="1207"/>
      <c r="P386" s="1207"/>
      <c r="Q386" s="1771"/>
      <c r="R386" s="1458"/>
      <c r="S386" s="990"/>
    </row>
    <row r="387" s="989" customFormat="1" customHeight="1" spans="2:19">
      <c r="B387" s="990"/>
      <c r="C387" s="990"/>
      <c r="D387" s="990"/>
      <c r="E387" s="1104"/>
      <c r="F387" s="990"/>
      <c r="G387" s="990"/>
      <c r="H387" s="990"/>
      <c r="I387" s="1104"/>
      <c r="J387" s="1770"/>
      <c r="K387" s="1770"/>
      <c r="L387" s="1104"/>
      <c r="M387" s="1205"/>
      <c r="N387" s="1207"/>
      <c r="O387" s="1207"/>
      <c r="P387" s="1207"/>
      <c r="Q387" s="1771"/>
      <c r="R387" s="1458"/>
      <c r="S387" s="990"/>
    </row>
    <row r="388" s="989" customFormat="1" customHeight="1" spans="2:19">
      <c r="B388" s="990"/>
      <c r="C388" s="990"/>
      <c r="D388" s="990"/>
      <c r="E388" s="1104"/>
      <c r="F388" s="990"/>
      <c r="G388" s="990"/>
      <c r="H388" s="990"/>
      <c r="I388" s="1104"/>
      <c r="J388" s="1770"/>
      <c r="K388" s="1770"/>
      <c r="L388" s="1104"/>
      <c r="M388" s="1205"/>
      <c r="N388" s="1207"/>
      <c r="O388" s="1207"/>
      <c r="P388" s="1207"/>
      <c r="Q388" s="1771"/>
      <c r="R388" s="1458"/>
      <c r="S388" s="990"/>
    </row>
    <row r="389" s="989" customFormat="1" customHeight="1" spans="2:19">
      <c r="B389" s="990"/>
      <c r="C389" s="990"/>
      <c r="D389" s="990"/>
      <c r="E389" s="1104"/>
      <c r="F389" s="990"/>
      <c r="G389" s="990"/>
      <c r="H389" s="990"/>
      <c r="I389" s="1104"/>
      <c r="J389" s="1770"/>
      <c r="K389" s="1770"/>
      <c r="L389" s="1104"/>
      <c r="M389" s="1205"/>
      <c r="N389" s="1207"/>
      <c r="O389" s="1207"/>
      <c r="P389" s="1207"/>
      <c r="Q389" s="1771"/>
      <c r="R389" s="1458"/>
      <c r="S389" s="990"/>
    </row>
    <row r="390" s="989" customFormat="1" customHeight="1" spans="2:19">
      <c r="B390" s="990"/>
      <c r="C390" s="990"/>
      <c r="D390" s="990"/>
      <c r="E390" s="1104"/>
      <c r="F390" s="990"/>
      <c r="G390" s="990"/>
      <c r="H390" s="990"/>
      <c r="I390" s="1104"/>
      <c r="J390" s="1770"/>
      <c r="K390" s="1770"/>
      <c r="L390" s="1104"/>
      <c r="M390" s="1205"/>
      <c r="N390" s="1207"/>
      <c r="O390" s="1207"/>
      <c r="P390" s="1207"/>
      <c r="Q390" s="1771"/>
      <c r="R390" s="1458"/>
      <c r="S390" s="990"/>
    </row>
    <row r="391" s="989" customFormat="1" customHeight="1" spans="2:19">
      <c r="B391" s="990"/>
      <c r="C391" s="990"/>
      <c r="D391" s="990"/>
      <c r="E391" s="1104"/>
      <c r="F391" s="990"/>
      <c r="G391" s="990"/>
      <c r="H391" s="990"/>
      <c r="I391" s="1104"/>
      <c r="J391" s="1770"/>
      <c r="K391" s="1770"/>
      <c r="L391" s="1104"/>
      <c r="M391" s="1205"/>
      <c r="N391" s="1207"/>
      <c r="O391" s="1207"/>
      <c r="P391" s="1207"/>
      <c r="Q391" s="1771"/>
      <c r="R391" s="1458"/>
      <c r="S391" s="990"/>
    </row>
    <row r="392" s="989" customFormat="1" customHeight="1" spans="2:19">
      <c r="B392" s="990"/>
      <c r="C392" s="990"/>
      <c r="D392" s="990"/>
      <c r="E392" s="1104"/>
      <c r="F392" s="990"/>
      <c r="G392" s="990"/>
      <c r="H392" s="990"/>
      <c r="I392" s="1104"/>
      <c r="J392" s="1770"/>
      <c r="K392" s="1770"/>
      <c r="L392" s="1104"/>
      <c r="M392" s="1205"/>
      <c r="N392" s="1207"/>
      <c r="O392" s="1207"/>
      <c r="P392" s="1207"/>
      <c r="Q392" s="1771"/>
      <c r="R392" s="1458"/>
      <c r="S392" s="990"/>
    </row>
    <row r="393" s="989" customFormat="1" customHeight="1" spans="2:19">
      <c r="B393" s="990"/>
      <c r="C393" s="990"/>
      <c r="D393" s="990"/>
      <c r="E393" s="1104"/>
      <c r="F393" s="990"/>
      <c r="G393" s="990"/>
      <c r="H393" s="990"/>
      <c r="I393" s="1104"/>
      <c r="J393" s="1770"/>
      <c r="K393" s="1770"/>
      <c r="L393" s="1104"/>
      <c r="M393" s="1205"/>
      <c r="N393" s="1207"/>
      <c r="O393" s="1207"/>
      <c r="P393" s="1207"/>
      <c r="Q393" s="1771"/>
      <c r="R393" s="1458"/>
      <c r="S393" s="990"/>
    </row>
    <row r="394" s="989" customFormat="1" customHeight="1" spans="2:19">
      <c r="B394" s="990"/>
      <c r="C394" s="990"/>
      <c r="D394" s="990"/>
      <c r="E394" s="1104"/>
      <c r="F394" s="990"/>
      <c r="G394" s="990"/>
      <c r="H394" s="990"/>
      <c r="I394" s="1104"/>
      <c r="J394" s="1770"/>
      <c r="K394" s="1770"/>
      <c r="L394" s="1104"/>
      <c r="M394" s="1205"/>
      <c r="N394" s="1207"/>
      <c r="O394" s="1207"/>
      <c r="P394" s="1207"/>
      <c r="Q394" s="1771"/>
      <c r="R394" s="1458"/>
      <c r="S394" s="990"/>
    </row>
    <row r="395" s="989" customFormat="1" customHeight="1" spans="2:19">
      <c r="B395" s="990"/>
      <c r="C395" s="990"/>
      <c r="D395" s="990"/>
      <c r="E395" s="1104"/>
      <c r="F395" s="990"/>
      <c r="G395" s="990"/>
      <c r="H395" s="990"/>
      <c r="I395" s="1104"/>
      <c r="J395" s="1770"/>
      <c r="K395" s="1770"/>
      <c r="L395" s="1104"/>
      <c r="M395" s="1205"/>
      <c r="N395" s="1207"/>
      <c r="O395" s="1207"/>
      <c r="P395" s="1207"/>
      <c r="Q395" s="1771"/>
      <c r="R395" s="1458"/>
      <c r="S395" s="990"/>
    </row>
    <row r="396" s="989" customFormat="1" customHeight="1" spans="2:19">
      <c r="B396" s="990"/>
      <c r="C396" s="990"/>
      <c r="D396" s="990"/>
      <c r="E396" s="1104"/>
      <c r="F396" s="990"/>
      <c r="G396" s="990"/>
      <c r="H396" s="990"/>
      <c r="I396" s="1104"/>
      <c r="J396" s="1770"/>
      <c r="K396" s="1770"/>
      <c r="L396" s="1104"/>
      <c r="M396" s="1205"/>
      <c r="N396" s="1207"/>
      <c r="O396" s="1207"/>
      <c r="P396" s="1207"/>
      <c r="Q396" s="1771"/>
      <c r="R396" s="1458"/>
      <c r="S396" s="990"/>
    </row>
    <row r="397" s="989" customFormat="1" customHeight="1" spans="2:19">
      <c r="B397" s="990"/>
      <c r="C397" s="990"/>
      <c r="D397" s="990"/>
      <c r="E397" s="1104"/>
      <c r="F397" s="990"/>
      <c r="G397" s="990"/>
      <c r="H397" s="990"/>
      <c r="I397" s="1104"/>
      <c r="J397" s="1770"/>
      <c r="K397" s="1770"/>
      <c r="L397" s="1104"/>
      <c r="M397" s="1205"/>
      <c r="N397" s="1207"/>
      <c r="O397" s="1207"/>
      <c r="P397" s="1207"/>
      <c r="Q397" s="1771"/>
      <c r="R397" s="1458"/>
      <c r="S397" s="990"/>
    </row>
    <row r="398" s="989" customFormat="1" customHeight="1" spans="2:19">
      <c r="B398" s="990"/>
      <c r="C398" s="990"/>
      <c r="D398" s="990"/>
      <c r="E398" s="1104"/>
      <c r="F398" s="990"/>
      <c r="G398" s="990"/>
      <c r="H398" s="990"/>
      <c r="I398" s="1104"/>
      <c r="J398" s="1770"/>
      <c r="K398" s="1770"/>
      <c r="L398" s="1104"/>
      <c r="M398" s="1205"/>
      <c r="N398" s="1207"/>
      <c r="O398" s="1207"/>
      <c r="P398" s="1207"/>
      <c r="Q398" s="1771"/>
      <c r="R398" s="1458"/>
      <c r="S398" s="990"/>
    </row>
    <row r="399" s="989" customFormat="1" customHeight="1" spans="2:19">
      <c r="B399" s="990"/>
      <c r="C399" s="990"/>
      <c r="D399" s="990"/>
      <c r="E399" s="1104"/>
      <c r="F399" s="990"/>
      <c r="G399" s="990"/>
      <c r="H399" s="990"/>
      <c r="I399" s="1104"/>
      <c r="J399" s="1770"/>
      <c r="K399" s="1770"/>
      <c r="L399" s="1104"/>
      <c r="M399" s="1205"/>
      <c r="N399" s="1207"/>
      <c r="O399" s="1207"/>
      <c r="P399" s="1207"/>
      <c r="Q399" s="1771"/>
      <c r="R399" s="1458"/>
      <c r="S399" s="990"/>
    </row>
    <row r="400" s="989" customFormat="1" customHeight="1" spans="2:19">
      <c r="B400" s="990"/>
      <c r="C400" s="990"/>
      <c r="D400" s="990"/>
      <c r="E400" s="1104"/>
      <c r="F400" s="990"/>
      <c r="G400" s="990"/>
      <c r="H400" s="990"/>
      <c r="I400" s="1104"/>
      <c r="J400" s="1770"/>
      <c r="K400" s="1770"/>
      <c r="L400" s="1104"/>
      <c r="M400" s="1205"/>
      <c r="N400" s="1207"/>
      <c r="O400" s="1207"/>
      <c r="P400" s="1207"/>
      <c r="Q400" s="1771"/>
      <c r="R400" s="1458"/>
      <c r="S400" s="990"/>
    </row>
    <row r="401" s="989" customFormat="1" customHeight="1" spans="2:19">
      <c r="B401" s="990"/>
      <c r="C401" s="990"/>
      <c r="D401" s="990"/>
      <c r="E401" s="1104"/>
      <c r="F401" s="990"/>
      <c r="G401" s="990"/>
      <c r="H401" s="990"/>
      <c r="I401" s="1104"/>
      <c r="J401" s="1770"/>
      <c r="K401" s="1770"/>
      <c r="L401" s="1104"/>
      <c r="M401" s="1205"/>
      <c r="N401" s="1207"/>
      <c r="O401" s="1207"/>
      <c r="P401" s="1207"/>
      <c r="Q401" s="1771"/>
      <c r="R401" s="1458"/>
      <c r="S401" s="990"/>
    </row>
    <row r="402" s="989" customFormat="1" customHeight="1" spans="2:19">
      <c r="B402" s="990"/>
      <c r="C402" s="990"/>
      <c r="D402" s="990"/>
      <c r="E402" s="1104"/>
      <c r="F402" s="990"/>
      <c r="G402" s="990"/>
      <c r="H402" s="990"/>
      <c r="I402" s="1104"/>
      <c r="J402" s="1770"/>
      <c r="K402" s="1770"/>
      <c r="L402" s="1104"/>
      <c r="M402" s="1205"/>
      <c r="N402" s="1207"/>
      <c r="O402" s="1207"/>
      <c r="P402" s="1207"/>
      <c r="Q402" s="1771"/>
      <c r="R402" s="1458"/>
      <c r="S402" s="990"/>
    </row>
    <row r="403" s="989" customFormat="1" customHeight="1" spans="2:19">
      <c r="B403" s="990"/>
      <c r="C403" s="990"/>
      <c r="D403" s="990"/>
      <c r="E403" s="1104"/>
      <c r="F403" s="990"/>
      <c r="G403" s="990"/>
      <c r="H403" s="990"/>
      <c r="I403" s="1104"/>
      <c r="J403" s="1770"/>
      <c r="K403" s="1770"/>
      <c r="L403" s="1104"/>
      <c r="M403" s="1205"/>
      <c r="N403" s="1207"/>
      <c r="O403" s="1207"/>
      <c r="P403" s="1207"/>
      <c r="Q403" s="1771"/>
      <c r="R403" s="1458"/>
      <c r="S403" s="990"/>
    </row>
    <row r="404" s="989" customFormat="1" customHeight="1" spans="2:19">
      <c r="B404" s="990"/>
      <c r="C404" s="990"/>
      <c r="D404" s="990"/>
      <c r="E404" s="1104"/>
      <c r="F404" s="990"/>
      <c r="G404" s="990"/>
      <c r="H404" s="990"/>
      <c r="I404" s="1104"/>
      <c r="J404" s="1770"/>
      <c r="K404" s="1770"/>
      <c r="L404" s="1104"/>
      <c r="M404" s="1205"/>
      <c r="N404" s="1207"/>
      <c r="O404" s="1207"/>
      <c r="P404" s="1207"/>
      <c r="Q404" s="1771"/>
      <c r="R404" s="1458"/>
      <c r="S404" s="990"/>
    </row>
    <row r="405" s="989" customFormat="1" customHeight="1" spans="2:19">
      <c r="B405" s="990"/>
      <c r="C405" s="990"/>
      <c r="D405" s="990"/>
      <c r="E405" s="1104"/>
      <c r="F405" s="990"/>
      <c r="G405" s="990"/>
      <c r="H405" s="990"/>
      <c r="I405" s="1104"/>
      <c r="J405" s="1770"/>
      <c r="K405" s="1770"/>
      <c r="L405" s="1104"/>
      <c r="M405" s="1205"/>
      <c r="N405" s="1207"/>
      <c r="O405" s="1207"/>
      <c r="P405" s="1207"/>
      <c r="Q405" s="1771"/>
      <c r="R405" s="1458"/>
      <c r="S405" s="990"/>
    </row>
    <row r="406" s="989" customFormat="1" customHeight="1" spans="2:19">
      <c r="B406" s="990"/>
      <c r="C406" s="990"/>
      <c r="D406" s="990"/>
      <c r="E406" s="1104"/>
      <c r="F406" s="990"/>
      <c r="G406" s="990"/>
      <c r="H406" s="990"/>
      <c r="I406" s="1104"/>
      <c r="J406" s="1770"/>
      <c r="K406" s="1770"/>
      <c r="L406" s="1104"/>
      <c r="M406" s="1205"/>
      <c r="N406" s="1207"/>
      <c r="O406" s="1207"/>
      <c r="P406" s="1207"/>
      <c r="Q406" s="1771"/>
      <c r="R406" s="1458"/>
      <c r="S406" s="990"/>
    </row>
    <row r="407" s="989" customFormat="1" customHeight="1" spans="2:19">
      <c r="B407" s="990"/>
      <c r="C407" s="990"/>
      <c r="D407" s="990"/>
      <c r="E407" s="1104"/>
      <c r="F407" s="990"/>
      <c r="G407" s="990"/>
      <c r="H407" s="990"/>
      <c r="I407" s="1104"/>
      <c r="J407" s="1770"/>
      <c r="K407" s="1770"/>
      <c r="L407" s="1104"/>
      <c r="M407" s="1205"/>
      <c r="N407" s="1207"/>
      <c r="O407" s="1207"/>
      <c r="P407" s="1207"/>
      <c r="Q407" s="1771"/>
      <c r="R407" s="1458"/>
      <c r="S407" s="990"/>
    </row>
    <row r="408" s="989" customFormat="1" customHeight="1" spans="2:19">
      <c r="B408" s="990"/>
      <c r="C408" s="990"/>
      <c r="D408" s="990"/>
      <c r="E408" s="1104"/>
      <c r="F408" s="990"/>
      <c r="G408" s="990"/>
      <c r="H408" s="990"/>
      <c r="I408" s="1104"/>
      <c r="J408" s="1770"/>
      <c r="K408" s="1770"/>
      <c r="L408" s="1104"/>
      <c r="M408" s="1205"/>
      <c r="N408" s="1207"/>
      <c r="O408" s="1207"/>
      <c r="P408" s="1207"/>
      <c r="Q408" s="1771"/>
      <c r="R408" s="1458"/>
      <c r="S408" s="990"/>
    </row>
    <row r="409" s="989" customFormat="1" customHeight="1" spans="2:19">
      <c r="B409" s="990"/>
      <c r="C409" s="990"/>
      <c r="D409" s="990"/>
      <c r="E409" s="1104"/>
      <c r="F409" s="990"/>
      <c r="G409" s="990"/>
      <c r="H409" s="990"/>
      <c r="I409" s="1104"/>
      <c r="J409" s="1770"/>
      <c r="K409" s="1770"/>
      <c r="L409" s="1104"/>
      <c r="M409" s="1205"/>
      <c r="N409" s="1207"/>
      <c r="O409" s="1207"/>
      <c r="P409" s="1207"/>
      <c r="Q409" s="1771"/>
      <c r="R409" s="1458"/>
      <c r="S409" s="990"/>
    </row>
    <row r="410" s="989" customFormat="1" customHeight="1" spans="2:19">
      <c r="B410" s="990"/>
      <c r="C410" s="990"/>
      <c r="D410" s="990"/>
      <c r="E410" s="1104"/>
      <c r="F410" s="990"/>
      <c r="G410" s="990"/>
      <c r="H410" s="990"/>
      <c r="I410" s="1104"/>
      <c r="J410" s="1770"/>
      <c r="K410" s="1770"/>
      <c r="L410" s="1104"/>
      <c r="M410" s="1205"/>
      <c r="N410" s="1207"/>
      <c r="O410" s="1207"/>
      <c r="P410" s="1207"/>
      <c r="Q410" s="1771"/>
      <c r="R410" s="1458"/>
      <c r="S410" s="990"/>
    </row>
    <row r="411" s="989" customFormat="1" customHeight="1" spans="2:19">
      <c r="B411" s="990"/>
      <c r="C411" s="990"/>
      <c r="D411" s="990"/>
      <c r="E411" s="1104"/>
      <c r="F411" s="990"/>
      <c r="G411" s="990"/>
      <c r="H411" s="990"/>
      <c r="I411" s="1104"/>
      <c r="J411" s="1770"/>
      <c r="K411" s="1770"/>
      <c r="L411" s="1104"/>
      <c r="M411" s="1205"/>
      <c r="N411" s="1207"/>
      <c r="O411" s="1207"/>
      <c r="P411" s="1207"/>
      <c r="Q411" s="1771"/>
      <c r="R411" s="1458"/>
      <c r="S411" s="990"/>
    </row>
    <row r="412" s="989" customFormat="1" customHeight="1" spans="2:19">
      <c r="B412" s="990"/>
      <c r="C412" s="990"/>
      <c r="D412" s="990"/>
      <c r="E412" s="1104"/>
      <c r="F412" s="990"/>
      <c r="G412" s="990"/>
      <c r="H412" s="990"/>
      <c r="I412" s="1104"/>
      <c r="J412" s="1770"/>
      <c r="K412" s="1770"/>
      <c r="L412" s="1104"/>
      <c r="M412" s="1205"/>
      <c r="N412" s="1207"/>
      <c r="O412" s="1207"/>
      <c r="P412" s="1207"/>
      <c r="Q412" s="1771"/>
      <c r="R412" s="1458"/>
      <c r="S412" s="990"/>
    </row>
    <row r="413" s="989" customFormat="1" customHeight="1" spans="2:19">
      <c r="B413" s="990"/>
      <c r="C413" s="990"/>
      <c r="D413" s="990"/>
      <c r="E413" s="1104"/>
      <c r="F413" s="990"/>
      <c r="G413" s="990"/>
      <c r="H413" s="990"/>
      <c r="I413" s="1104"/>
      <c r="J413" s="1770"/>
      <c r="K413" s="1770"/>
      <c r="L413" s="1104"/>
      <c r="M413" s="1205"/>
      <c r="N413" s="1207"/>
      <c r="O413" s="1207"/>
      <c r="P413" s="1207"/>
      <c r="Q413" s="1771"/>
      <c r="R413" s="1458"/>
      <c r="S413" s="990"/>
    </row>
    <row r="414" s="989" customFormat="1" customHeight="1" spans="2:19">
      <c r="B414" s="990"/>
      <c r="C414" s="990"/>
      <c r="D414" s="990"/>
      <c r="E414" s="1104"/>
      <c r="F414" s="990"/>
      <c r="G414" s="990"/>
      <c r="H414" s="990"/>
      <c r="I414" s="1104"/>
      <c r="J414" s="1770"/>
      <c r="K414" s="1770"/>
      <c r="L414" s="1104"/>
      <c r="M414" s="1205"/>
      <c r="N414" s="1207"/>
      <c r="O414" s="1207"/>
      <c r="P414" s="1207"/>
      <c r="Q414" s="1771"/>
      <c r="R414" s="1458"/>
      <c r="S414" s="990"/>
    </row>
    <row r="415" s="989" customFormat="1" customHeight="1" spans="2:19">
      <c r="B415" s="990"/>
      <c r="C415" s="990"/>
      <c r="D415" s="990"/>
      <c r="E415" s="1104"/>
      <c r="F415" s="990"/>
      <c r="G415" s="990"/>
      <c r="H415" s="990"/>
      <c r="I415" s="1104"/>
      <c r="J415" s="1770"/>
      <c r="K415" s="1770"/>
      <c r="L415" s="1104"/>
      <c r="M415" s="1205"/>
      <c r="N415" s="1207"/>
      <c r="O415" s="1207"/>
      <c r="P415" s="1207"/>
      <c r="Q415" s="1771"/>
      <c r="R415" s="1458"/>
      <c r="S415" s="990"/>
    </row>
    <row r="416" s="989" customFormat="1" customHeight="1" spans="2:19">
      <c r="B416" s="990"/>
      <c r="C416" s="990"/>
      <c r="D416" s="990"/>
      <c r="E416" s="1104"/>
      <c r="F416" s="990"/>
      <c r="G416" s="990"/>
      <c r="H416" s="990"/>
      <c r="I416" s="1104"/>
      <c r="J416" s="1770"/>
      <c r="K416" s="1770"/>
      <c r="L416" s="1104"/>
      <c r="M416" s="1205"/>
      <c r="N416" s="1207"/>
      <c r="O416" s="1207"/>
      <c r="P416" s="1207"/>
      <c r="Q416" s="1771"/>
      <c r="R416" s="1458"/>
      <c r="S416" s="990"/>
    </row>
    <row r="417" s="989" customFormat="1" customHeight="1" spans="2:19">
      <c r="B417" s="990"/>
      <c r="C417" s="990"/>
      <c r="D417" s="990"/>
      <c r="E417" s="1104"/>
      <c r="F417" s="990"/>
      <c r="G417" s="990"/>
      <c r="H417" s="990"/>
      <c r="I417" s="1104"/>
      <c r="J417" s="1770"/>
      <c r="K417" s="1770"/>
      <c r="L417" s="1104"/>
      <c r="M417" s="1205"/>
      <c r="N417" s="1207"/>
      <c r="O417" s="1207"/>
      <c r="P417" s="1207"/>
      <c r="Q417" s="1771"/>
      <c r="R417" s="1458"/>
      <c r="S417" s="990"/>
    </row>
    <row r="418" s="989" customFormat="1" customHeight="1" spans="2:19">
      <c r="B418" s="990"/>
      <c r="C418" s="990"/>
      <c r="D418" s="990"/>
      <c r="E418" s="1104"/>
      <c r="F418" s="990"/>
      <c r="G418" s="990"/>
      <c r="H418" s="990"/>
      <c r="I418" s="1104"/>
      <c r="J418" s="1770"/>
      <c r="K418" s="1770"/>
      <c r="L418" s="1104"/>
      <c r="M418" s="1205"/>
      <c r="N418" s="1207"/>
      <c r="O418" s="1207"/>
      <c r="P418" s="1207"/>
      <c r="Q418" s="1771"/>
      <c r="R418" s="1458"/>
      <c r="S418" s="990"/>
    </row>
    <row r="419" s="989" customFormat="1" customHeight="1" spans="2:19">
      <c r="B419" s="990"/>
      <c r="C419" s="990"/>
      <c r="D419" s="990"/>
      <c r="E419" s="1104"/>
      <c r="F419" s="990"/>
      <c r="G419" s="990"/>
      <c r="H419" s="990"/>
      <c r="I419" s="1104"/>
      <c r="J419" s="1770"/>
      <c r="K419" s="1770"/>
      <c r="L419" s="1104"/>
      <c r="M419" s="1205"/>
      <c r="N419" s="1207"/>
      <c r="O419" s="1207"/>
      <c r="P419" s="1207"/>
      <c r="Q419" s="1771"/>
      <c r="R419" s="1458"/>
      <c r="S419" s="990"/>
    </row>
    <row r="420" s="989" customFormat="1" customHeight="1" spans="2:19">
      <c r="B420" s="990"/>
      <c r="C420" s="990"/>
      <c r="D420" s="990"/>
      <c r="E420" s="1104"/>
      <c r="F420" s="990"/>
      <c r="G420" s="990"/>
      <c r="H420" s="990"/>
      <c r="I420" s="1104"/>
      <c r="J420" s="1770"/>
      <c r="K420" s="1770"/>
      <c r="L420" s="1104"/>
      <c r="M420" s="1205"/>
      <c r="N420" s="1207"/>
      <c r="O420" s="1207"/>
      <c r="P420" s="1207"/>
      <c r="Q420" s="1771"/>
      <c r="R420" s="1458"/>
      <c r="S420" s="990"/>
    </row>
    <row r="421" s="989" customFormat="1" customHeight="1" spans="2:19">
      <c r="B421" s="990"/>
      <c r="C421" s="990"/>
      <c r="D421" s="990"/>
      <c r="E421" s="1104"/>
      <c r="F421" s="990"/>
      <c r="G421" s="990"/>
      <c r="H421" s="990"/>
      <c r="I421" s="1104"/>
      <c r="J421" s="1770"/>
      <c r="K421" s="1770"/>
      <c r="L421" s="1104"/>
      <c r="M421" s="1205"/>
      <c r="N421" s="1207"/>
      <c r="O421" s="1207"/>
      <c r="P421" s="1207"/>
      <c r="Q421" s="1771"/>
      <c r="R421" s="1458"/>
      <c r="S421" s="990"/>
    </row>
    <row r="422" s="989" customFormat="1" customHeight="1" spans="2:19">
      <c r="B422" s="990"/>
      <c r="C422" s="990"/>
      <c r="D422" s="990"/>
      <c r="E422" s="1104"/>
      <c r="F422" s="990"/>
      <c r="G422" s="990"/>
      <c r="H422" s="990"/>
      <c r="I422" s="1104"/>
      <c r="J422" s="1770"/>
      <c r="K422" s="1770"/>
      <c r="L422" s="1104"/>
      <c r="M422" s="1205"/>
      <c r="N422" s="1207"/>
      <c r="O422" s="1207"/>
      <c r="P422" s="1207"/>
      <c r="Q422" s="1771"/>
      <c r="R422" s="1458"/>
      <c r="S422" s="990"/>
    </row>
    <row r="423" s="989" customFormat="1" customHeight="1" spans="2:19">
      <c r="B423" s="990"/>
      <c r="C423" s="990"/>
      <c r="D423" s="990"/>
      <c r="E423" s="1104"/>
      <c r="F423" s="990"/>
      <c r="G423" s="990"/>
      <c r="H423" s="990"/>
      <c r="I423" s="1104"/>
      <c r="J423" s="1770"/>
      <c r="K423" s="1770"/>
      <c r="L423" s="1104"/>
      <c r="M423" s="1205"/>
      <c r="N423" s="1207"/>
      <c r="O423" s="1207"/>
      <c r="P423" s="1207"/>
      <c r="Q423" s="1771"/>
      <c r="R423" s="1458"/>
      <c r="S423" s="990"/>
    </row>
    <row r="424" s="989" customFormat="1" customHeight="1" spans="2:19">
      <c r="B424" s="990"/>
      <c r="C424" s="990"/>
      <c r="D424" s="990"/>
      <c r="E424" s="1104"/>
      <c r="F424" s="990"/>
      <c r="G424" s="990"/>
      <c r="H424" s="990"/>
      <c r="I424" s="1104"/>
      <c r="J424" s="1770"/>
      <c r="K424" s="1770"/>
      <c r="L424" s="1104"/>
      <c r="M424" s="1205"/>
      <c r="N424" s="1207"/>
      <c r="O424" s="1207"/>
      <c r="P424" s="1207"/>
      <c r="Q424" s="1771"/>
      <c r="R424" s="1458"/>
      <c r="S424" s="990"/>
    </row>
    <row r="425" s="989" customFormat="1" customHeight="1" spans="2:19">
      <c r="B425" s="990"/>
      <c r="C425" s="990"/>
      <c r="D425" s="990"/>
      <c r="E425" s="1104"/>
      <c r="F425" s="990"/>
      <c r="G425" s="990"/>
      <c r="H425" s="990"/>
      <c r="I425" s="1104"/>
      <c r="J425" s="1770"/>
      <c r="K425" s="1770"/>
      <c r="L425" s="1104"/>
      <c r="M425" s="1205"/>
      <c r="N425" s="1207"/>
      <c r="O425" s="1207"/>
      <c r="P425" s="1207"/>
      <c r="Q425" s="1771"/>
      <c r="R425" s="1458"/>
      <c r="S425" s="990"/>
    </row>
    <row r="426" s="989" customFormat="1" customHeight="1" spans="2:19">
      <c r="B426" s="990"/>
      <c r="C426" s="990"/>
      <c r="D426" s="990"/>
      <c r="E426" s="1104"/>
      <c r="F426" s="990"/>
      <c r="G426" s="990"/>
      <c r="H426" s="990"/>
      <c r="I426" s="1104"/>
      <c r="J426" s="1770"/>
      <c r="K426" s="1770"/>
      <c r="L426" s="1104"/>
      <c r="M426" s="1205"/>
      <c r="N426" s="1207"/>
      <c r="O426" s="1207"/>
      <c r="P426" s="1207"/>
      <c r="Q426" s="1771"/>
      <c r="R426" s="1458"/>
      <c r="S426" s="990"/>
    </row>
    <row r="427" s="989" customFormat="1" customHeight="1" spans="2:19">
      <c r="B427" s="990"/>
      <c r="C427" s="990"/>
      <c r="D427" s="990"/>
      <c r="E427" s="1104"/>
      <c r="F427" s="990"/>
      <c r="G427" s="990"/>
      <c r="H427" s="990"/>
      <c r="I427" s="1104"/>
      <c r="J427" s="1770"/>
      <c r="K427" s="1770"/>
      <c r="L427" s="1104"/>
      <c r="M427" s="1205"/>
      <c r="N427" s="1207"/>
      <c r="O427" s="1207"/>
      <c r="P427" s="1207"/>
      <c r="Q427" s="1771"/>
      <c r="R427" s="1458"/>
      <c r="S427" s="990"/>
    </row>
    <row r="428" s="989" customFormat="1" customHeight="1" spans="2:19">
      <c r="B428" s="990"/>
      <c r="C428" s="990"/>
      <c r="D428" s="990"/>
      <c r="E428" s="1104"/>
      <c r="F428" s="990"/>
      <c r="G428" s="990"/>
      <c r="H428" s="990"/>
      <c r="I428" s="1104"/>
      <c r="J428" s="1770"/>
      <c r="K428" s="1770"/>
      <c r="L428" s="1104"/>
      <c r="M428" s="1205"/>
      <c r="N428" s="1207"/>
      <c r="O428" s="1207"/>
      <c r="P428" s="1207"/>
      <c r="Q428" s="1771"/>
      <c r="R428" s="1458"/>
      <c r="S428" s="990"/>
    </row>
    <row r="429" s="989" customFormat="1" customHeight="1" spans="2:19">
      <c r="B429" s="990"/>
      <c r="C429" s="990"/>
      <c r="D429" s="990"/>
      <c r="E429" s="1104"/>
      <c r="F429" s="990"/>
      <c r="G429" s="990"/>
      <c r="H429" s="990"/>
      <c r="I429" s="1104"/>
      <c r="J429" s="1770"/>
      <c r="K429" s="1770"/>
      <c r="L429" s="1104"/>
      <c r="M429" s="1205"/>
      <c r="N429" s="1207"/>
      <c r="O429" s="1207"/>
      <c r="P429" s="1207"/>
      <c r="Q429" s="1771"/>
      <c r="R429" s="1458"/>
      <c r="S429" s="990"/>
    </row>
    <row r="430" s="989" customFormat="1" customHeight="1" spans="2:19">
      <c r="B430" s="990"/>
      <c r="C430" s="990"/>
      <c r="D430" s="990"/>
      <c r="E430" s="1104"/>
      <c r="F430" s="990"/>
      <c r="G430" s="990"/>
      <c r="H430" s="990"/>
      <c r="I430" s="1104"/>
      <c r="J430" s="1770"/>
      <c r="K430" s="1770"/>
      <c r="L430" s="1104"/>
      <c r="M430" s="1205"/>
      <c r="N430" s="1207"/>
      <c r="O430" s="1207"/>
      <c r="P430" s="1207"/>
      <c r="Q430" s="1771"/>
      <c r="R430" s="1458"/>
      <c r="S430" s="990"/>
    </row>
    <row r="431" s="989" customFormat="1" customHeight="1" spans="2:19">
      <c r="B431" s="990"/>
      <c r="C431" s="990"/>
      <c r="D431" s="990"/>
      <c r="E431" s="1104"/>
      <c r="F431" s="990"/>
      <c r="G431" s="990"/>
      <c r="H431" s="990"/>
      <c r="I431" s="1104"/>
      <c r="J431" s="1770"/>
      <c r="K431" s="1770"/>
      <c r="L431" s="1104"/>
      <c r="M431" s="1205"/>
      <c r="N431" s="1207"/>
      <c r="O431" s="1207"/>
      <c r="P431" s="1207"/>
      <c r="Q431" s="1771"/>
      <c r="R431" s="1458"/>
      <c r="S431" s="990"/>
    </row>
    <row r="432" s="989" customFormat="1" customHeight="1" spans="2:19">
      <c r="B432" s="990"/>
      <c r="C432" s="990"/>
      <c r="D432" s="990"/>
      <c r="E432" s="1104"/>
      <c r="F432" s="990"/>
      <c r="G432" s="990"/>
      <c r="H432" s="990"/>
      <c r="I432" s="1104"/>
      <c r="J432" s="1770"/>
      <c r="K432" s="1770"/>
      <c r="L432" s="1104"/>
      <c r="M432" s="1205"/>
      <c r="N432" s="1207"/>
      <c r="O432" s="1207"/>
      <c r="P432" s="1207"/>
      <c r="Q432" s="1771"/>
      <c r="R432" s="1458"/>
      <c r="S432" s="990"/>
    </row>
    <row r="433" s="989" customFormat="1" customHeight="1" spans="2:19">
      <c r="B433" s="990"/>
      <c r="C433" s="990"/>
      <c r="D433" s="990"/>
      <c r="E433" s="1104"/>
      <c r="F433" s="990"/>
      <c r="G433" s="990"/>
      <c r="H433" s="990"/>
      <c r="I433" s="1104"/>
      <c r="J433" s="1770"/>
      <c r="K433" s="1770"/>
      <c r="L433" s="1104"/>
      <c r="M433" s="1205"/>
      <c r="N433" s="1207"/>
      <c r="O433" s="1207"/>
      <c r="P433" s="1207"/>
      <c r="Q433" s="1771"/>
      <c r="R433" s="1458"/>
      <c r="S433" s="990"/>
    </row>
    <row r="434" s="989" customFormat="1" customHeight="1" spans="2:19">
      <c r="B434" s="990"/>
      <c r="C434" s="990"/>
      <c r="D434" s="990"/>
      <c r="E434" s="1104"/>
      <c r="F434" s="990"/>
      <c r="G434" s="990"/>
      <c r="H434" s="990"/>
      <c r="I434" s="1104"/>
      <c r="J434" s="1770"/>
      <c r="K434" s="1770"/>
      <c r="L434" s="1104"/>
      <c r="M434" s="1205"/>
      <c r="N434" s="1207"/>
      <c r="O434" s="1207"/>
      <c r="P434" s="1207"/>
      <c r="Q434" s="1771"/>
      <c r="R434" s="1458"/>
      <c r="S434" s="990"/>
    </row>
    <row r="435" s="989" customFormat="1" customHeight="1" spans="2:19">
      <c r="B435" s="990"/>
      <c r="C435" s="990"/>
      <c r="D435" s="990"/>
      <c r="E435" s="1104"/>
      <c r="F435" s="990"/>
      <c r="G435" s="990"/>
      <c r="H435" s="990"/>
      <c r="I435" s="1104"/>
      <c r="J435" s="1770"/>
      <c r="K435" s="1770"/>
      <c r="L435" s="1104"/>
      <c r="M435" s="1205"/>
      <c r="N435" s="1207"/>
      <c r="O435" s="1207"/>
      <c r="P435" s="1207"/>
      <c r="Q435" s="1771"/>
      <c r="R435" s="1458"/>
      <c r="S435" s="990"/>
    </row>
    <row r="436" s="989" customFormat="1" customHeight="1" spans="2:19">
      <c r="B436" s="990"/>
      <c r="C436" s="990"/>
      <c r="D436" s="990"/>
      <c r="E436" s="1104"/>
      <c r="F436" s="990"/>
      <c r="G436" s="990"/>
      <c r="H436" s="990"/>
      <c r="I436" s="1104"/>
      <c r="J436" s="1770"/>
      <c r="K436" s="1770"/>
      <c r="L436" s="1104"/>
      <c r="M436" s="1205"/>
      <c r="N436" s="1207"/>
      <c r="O436" s="1207"/>
      <c r="P436" s="1207"/>
      <c r="Q436" s="1771"/>
      <c r="R436" s="1458"/>
      <c r="S436" s="990"/>
    </row>
    <row r="437" s="989" customFormat="1" customHeight="1" spans="2:19">
      <c r="B437" s="990"/>
      <c r="C437" s="990"/>
      <c r="D437" s="990"/>
      <c r="E437" s="1104"/>
      <c r="F437" s="990"/>
      <c r="G437" s="990"/>
      <c r="H437" s="990"/>
      <c r="I437" s="1104"/>
      <c r="J437" s="1770"/>
      <c r="K437" s="1770"/>
      <c r="L437" s="1104"/>
      <c r="M437" s="1205"/>
      <c r="N437" s="1207"/>
      <c r="O437" s="1207"/>
      <c r="P437" s="1207"/>
      <c r="Q437" s="1771"/>
      <c r="R437" s="1458"/>
      <c r="S437" s="990"/>
    </row>
    <row r="438" s="989" customFormat="1" customHeight="1" spans="2:19">
      <c r="B438" s="990"/>
      <c r="C438" s="990"/>
      <c r="D438" s="990"/>
      <c r="E438" s="1104"/>
      <c r="F438" s="990"/>
      <c r="G438" s="990"/>
      <c r="H438" s="990"/>
      <c r="I438" s="1104"/>
      <c r="J438" s="1770"/>
      <c r="K438" s="1770"/>
      <c r="L438" s="1104"/>
      <c r="M438" s="1205"/>
      <c r="N438" s="1207"/>
      <c r="O438" s="1207"/>
      <c r="P438" s="1207"/>
      <c r="Q438" s="1771"/>
      <c r="R438" s="1458"/>
      <c r="S438" s="990"/>
    </row>
    <row r="439" s="989" customFormat="1" customHeight="1" spans="2:19">
      <c r="B439" s="990"/>
      <c r="C439" s="990"/>
      <c r="D439" s="990"/>
      <c r="E439" s="1104"/>
      <c r="F439" s="990"/>
      <c r="G439" s="990"/>
      <c r="H439" s="990"/>
      <c r="I439" s="1104"/>
      <c r="J439" s="1770"/>
      <c r="K439" s="1770"/>
      <c r="L439" s="1104"/>
      <c r="M439" s="1205"/>
      <c r="N439" s="1207"/>
      <c r="O439" s="1207"/>
      <c r="P439" s="1207"/>
      <c r="Q439" s="1771"/>
      <c r="R439" s="1458"/>
      <c r="S439" s="990"/>
    </row>
    <row r="440" s="989" customFormat="1" customHeight="1" spans="2:19">
      <c r="B440" s="990"/>
      <c r="C440" s="990"/>
      <c r="D440" s="990"/>
      <c r="E440" s="1104"/>
      <c r="F440" s="990"/>
      <c r="G440" s="990"/>
      <c r="H440" s="990"/>
      <c r="I440" s="1104"/>
      <c r="J440" s="1770"/>
      <c r="K440" s="1770"/>
      <c r="L440" s="1104"/>
      <c r="M440" s="1205"/>
      <c r="N440" s="1207"/>
      <c r="O440" s="1207"/>
      <c r="P440" s="1207"/>
      <c r="Q440" s="1771"/>
      <c r="R440" s="1458"/>
      <c r="S440" s="990"/>
    </row>
    <row r="441" s="989" customFormat="1" customHeight="1" spans="2:19">
      <c r="B441" s="990"/>
      <c r="C441" s="990"/>
      <c r="D441" s="990"/>
      <c r="E441" s="1104"/>
      <c r="F441" s="990"/>
      <c r="G441" s="990"/>
      <c r="H441" s="990"/>
      <c r="I441" s="1104"/>
      <c r="J441" s="1770"/>
      <c r="K441" s="1770"/>
      <c r="L441" s="1104"/>
      <c r="M441" s="1205"/>
      <c r="N441" s="1207"/>
      <c r="O441" s="1207"/>
      <c r="P441" s="1207"/>
      <c r="Q441" s="1771"/>
      <c r="R441" s="1458"/>
      <c r="S441" s="990"/>
    </row>
    <row r="442" s="989" customFormat="1" customHeight="1" spans="2:19">
      <c r="B442" s="990"/>
      <c r="C442" s="990"/>
      <c r="D442" s="990"/>
      <c r="E442" s="1104"/>
      <c r="F442" s="990"/>
      <c r="G442" s="990"/>
      <c r="H442" s="990"/>
      <c r="I442" s="1104"/>
      <c r="J442" s="1770"/>
      <c r="K442" s="1770"/>
      <c r="L442" s="1104"/>
      <c r="M442" s="1205"/>
      <c r="N442" s="1207"/>
      <c r="O442" s="1207"/>
      <c r="P442" s="1207"/>
      <c r="Q442" s="1771"/>
      <c r="R442" s="1458"/>
      <c r="S442" s="990"/>
    </row>
    <row r="443" s="989" customFormat="1" customHeight="1" spans="2:19">
      <c r="B443" s="990"/>
      <c r="C443" s="990"/>
      <c r="D443" s="990"/>
      <c r="E443" s="1104"/>
      <c r="F443" s="990"/>
      <c r="G443" s="990"/>
      <c r="H443" s="990"/>
      <c r="I443" s="1104"/>
      <c r="J443" s="1770"/>
      <c r="K443" s="1770"/>
      <c r="L443" s="1104"/>
      <c r="M443" s="1205"/>
      <c r="N443" s="1207"/>
      <c r="O443" s="1207"/>
      <c r="P443" s="1207"/>
      <c r="Q443" s="1771"/>
      <c r="R443" s="1458"/>
      <c r="S443" s="990"/>
    </row>
    <row r="444" s="989" customFormat="1" customHeight="1" spans="2:19">
      <c r="B444" s="990"/>
      <c r="C444" s="990"/>
      <c r="D444" s="990"/>
      <c r="E444" s="1104"/>
      <c r="F444" s="990"/>
      <c r="G444" s="990"/>
      <c r="H444" s="990"/>
      <c r="I444" s="1104"/>
      <c r="J444" s="1770"/>
      <c r="K444" s="1770"/>
      <c r="L444" s="1104"/>
      <c r="M444" s="1205"/>
      <c r="N444" s="1207"/>
      <c r="O444" s="1207"/>
      <c r="P444" s="1207"/>
      <c r="Q444" s="1771"/>
      <c r="R444" s="1458"/>
      <c r="S444" s="990"/>
    </row>
    <row r="445" s="989" customFormat="1" customHeight="1" spans="2:19">
      <c r="B445" s="990"/>
      <c r="C445" s="990"/>
      <c r="D445" s="990"/>
      <c r="E445" s="1104"/>
      <c r="F445" s="990"/>
      <c r="G445" s="990"/>
      <c r="H445" s="990"/>
      <c r="I445" s="1104"/>
      <c r="J445" s="1770"/>
      <c r="K445" s="1770"/>
      <c r="L445" s="1104"/>
      <c r="M445" s="1205"/>
      <c r="N445" s="1207"/>
      <c r="O445" s="1207"/>
      <c r="P445" s="1207"/>
      <c r="Q445" s="1771"/>
      <c r="R445" s="1458"/>
      <c r="S445" s="990"/>
    </row>
    <row r="446" s="989" customFormat="1" customHeight="1" spans="2:19">
      <c r="B446" s="990"/>
      <c r="C446" s="990"/>
      <c r="D446" s="990"/>
      <c r="E446" s="1104"/>
      <c r="F446" s="990"/>
      <c r="G446" s="990"/>
      <c r="H446" s="990"/>
      <c r="I446" s="1104"/>
      <c r="J446" s="1770"/>
      <c r="K446" s="1770"/>
      <c r="L446" s="1104"/>
      <c r="M446" s="1205"/>
      <c r="N446" s="1207"/>
      <c r="O446" s="1207"/>
      <c r="P446" s="1207"/>
      <c r="Q446" s="1771"/>
      <c r="R446" s="1458"/>
      <c r="S446" s="990"/>
    </row>
    <row r="447" s="989" customFormat="1" customHeight="1" spans="2:19">
      <c r="B447" s="990"/>
      <c r="C447" s="990"/>
      <c r="D447" s="990"/>
      <c r="E447" s="1104"/>
      <c r="F447" s="990"/>
      <c r="G447" s="990"/>
      <c r="H447" s="990"/>
      <c r="I447" s="1104"/>
      <c r="J447" s="1770"/>
      <c r="K447" s="1770"/>
      <c r="L447" s="1104"/>
      <c r="M447" s="1205"/>
      <c r="N447" s="1207"/>
      <c r="O447" s="1207"/>
      <c r="P447" s="1207"/>
      <c r="Q447" s="1771"/>
      <c r="R447" s="1458"/>
      <c r="S447" s="990"/>
    </row>
    <row r="448" s="989" customFormat="1" customHeight="1" spans="2:19">
      <c r="B448" s="990"/>
      <c r="C448" s="990"/>
      <c r="D448" s="990"/>
      <c r="E448" s="1104"/>
      <c r="F448" s="990"/>
      <c r="G448" s="990"/>
      <c r="H448" s="990"/>
      <c r="I448" s="1104"/>
      <c r="J448" s="1770"/>
      <c r="K448" s="1770"/>
      <c r="L448" s="1104"/>
      <c r="M448" s="1205"/>
      <c r="N448" s="1207"/>
      <c r="O448" s="1207"/>
      <c r="P448" s="1207"/>
      <c r="Q448" s="1771"/>
      <c r="R448" s="1458"/>
      <c r="S448" s="990"/>
    </row>
    <row r="449" s="989" customFormat="1" customHeight="1" spans="2:19">
      <c r="B449" s="990"/>
      <c r="C449" s="990"/>
      <c r="D449" s="990"/>
      <c r="E449" s="1104"/>
      <c r="F449" s="990"/>
      <c r="G449" s="990"/>
      <c r="H449" s="990"/>
      <c r="I449" s="1104"/>
      <c r="J449" s="1770"/>
      <c r="K449" s="1770"/>
      <c r="L449" s="1104"/>
      <c r="M449" s="1205"/>
      <c r="N449" s="1207"/>
      <c r="O449" s="1207"/>
      <c r="P449" s="1207"/>
      <c r="Q449" s="1771"/>
      <c r="R449" s="1458"/>
      <c r="S449" s="990"/>
    </row>
    <row r="450" s="989" customFormat="1" customHeight="1" spans="2:19">
      <c r="B450" s="990"/>
      <c r="C450" s="990"/>
      <c r="D450" s="990"/>
      <c r="E450" s="1104"/>
      <c r="F450" s="990"/>
      <c r="G450" s="990"/>
      <c r="H450" s="990"/>
      <c r="I450" s="1104"/>
      <c r="J450" s="1770"/>
      <c r="K450" s="1770"/>
      <c r="L450" s="1104"/>
      <c r="M450" s="1205"/>
      <c r="N450" s="1207"/>
      <c r="O450" s="1207"/>
      <c r="P450" s="1207"/>
      <c r="Q450" s="1771"/>
      <c r="R450" s="1458"/>
      <c r="S450" s="990"/>
    </row>
    <row r="451" s="989" customFormat="1" customHeight="1" spans="2:19">
      <c r="B451" s="990"/>
      <c r="C451" s="990"/>
      <c r="D451" s="990"/>
      <c r="E451" s="1104"/>
      <c r="F451" s="990"/>
      <c r="G451" s="990"/>
      <c r="H451" s="990"/>
      <c r="I451" s="1104"/>
      <c r="J451" s="1770"/>
      <c r="K451" s="1770"/>
      <c r="L451" s="1104"/>
      <c r="M451" s="1205"/>
      <c r="N451" s="1207"/>
      <c r="O451" s="1207"/>
      <c r="P451" s="1207"/>
      <c r="Q451" s="1771"/>
      <c r="R451" s="1458"/>
      <c r="S451" s="990"/>
    </row>
    <row r="452" s="989" customFormat="1" customHeight="1" spans="2:19">
      <c r="B452" s="990"/>
      <c r="C452" s="990"/>
      <c r="D452" s="990"/>
      <c r="E452" s="1104"/>
      <c r="F452" s="990"/>
      <c r="G452" s="990"/>
      <c r="H452" s="990"/>
      <c r="I452" s="1104"/>
      <c r="J452" s="1770"/>
      <c r="K452" s="1770"/>
      <c r="L452" s="1104"/>
      <c r="M452" s="1205"/>
      <c r="N452" s="1207"/>
      <c r="O452" s="1207"/>
      <c r="P452" s="1207"/>
      <c r="Q452" s="1771"/>
      <c r="R452" s="1458"/>
      <c r="S452" s="990"/>
    </row>
    <row r="453" s="989" customFormat="1" customHeight="1" spans="2:19">
      <c r="B453" s="990"/>
      <c r="C453" s="990"/>
      <c r="D453" s="990"/>
      <c r="E453" s="1104"/>
      <c r="F453" s="990"/>
      <c r="G453" s="990"/>
      <c r="H453" s="990"/>
      <c r="I453" s="1104"/>
      <c r="J453" s="1770"/>
      <c r="K453" s="1770"/>
      <c r="L453" s="1104"/>
      <c r="M453" s="1205"/>
      <c r="N453" s="1207"/>
      <c r="O453" s="1207"/>
      <c r="P453" s="1207"/>
      <c r="Q453" s="1771"/>
      <c r="R453" s="1458"/>
      <c r="S453" s="990"/>
    </row>
    <row r="454" s="989" customFormat="1" customHeight="1" spans="2:19">
      <c r="B454" s="990"/>
      <c r="C454" s="990"/>
      <c r="D454" s="990"/>
      <c r="E454" s="1104"/>
      <c r="F454" s="990"/>
      <c r="G454" s="990"/>
      <c r="H454" s="990"/>
      <c r="I454" s="1104"/>
      <c r="J454" s="1770"/>
      <c r="K454" s="1770"/>
      <c r="L454" s="1104"/>
      <c r="M454" s="1205"/>
      <c r="N454" s="1207"/>
      <c r="O454" s="1207"/>
      <c r="P454" s="1207"/>
      <c r="Q454" s="1771"/>
      <c r="R454" s="1458"/>
      <c r="S454" s="990"/>
    </row>
    <row r="455" s="989" customFormat="1" customHeight="1" spans="2:19">
      <c r="B455" s="990"/>
      <c r="C455" s="990"/>
      <c r="D455" s="990"/>
      <c r="E455" s="1104"/>
      <c r="F455" s="990"/>
      <c r="G455" s="990"/>
      <c r="H455" s="990"/>
      <c r="I455" s="1104"/>
      <c r="J455" s="1770"/>
      <c r="K455" s="1770"/>
      <c r="L455" s="1104"/>
      <c r="M455" s="1205"/>
      <c r="N455" s="1207"/>
      <c r="O455" s="1207"/>
      <c r="P455" s="1207"/>
      <c r="Q455" s="1771"/>
      <c r="R455" s="1458"/>
      <c r="S455" s="990"/>
    </row>
    <row r="456" s="989" customFormat="1" customHeight="1" spans="2:19">
      <c r="B456" s="990"/>
      <c r="C456" s="990"/>
      <c r="D456" s="990"/>
      <c r="E456" s="1104"/>
      <c r="F456" s="990"/>
      <c r="G456" s="990"/>
      <c r="H456" s="990"/>
      <c r="I456" s="1104"/>
      <c r="J456" s="1770"/>
      <c r="K456" s="1770"/>
      <c r="L456" s="1104"/>
      <c r="M456" s="1205"/>
      <c r="N456" s="1207"/>
      <c r="O456" s="1207"/>
      <c r="P456" s="1207"/>
      <c r="Q456" s="1771"/>
      <c r="R456" s="1458"/>
      <c r="S456" s="990"/>
    </row>
    <row r="457" s="989" customFormat="1" customHeight="1" spans="2:19">
      <c r="B457" s="990"/>
      <c r="C457" s="990"/>
      <c r="D457" s="990"/>
      <c r="E457" s="1104"/>
      <c r="F457" s="990"/>
      <c r="G457" s="990"/>
      <c r="H457" s="990"/>
      <c r="I457" s="1104"/>
      <c r="J457" s="1770"/>
      <c r="K457" s="1770"/>
      <c r="L457" s="1104"/>
      <c r="M457" s="1205"/>
      <c r="N457" s="1207"/>
      <c r="O457" s="1207"/>
      <c r="P457" s="1207"/>
      <c r="Q457" s="1771"/>
      <c r="R457" s="1458"/>
      <c r="S457" s="990"/>
    </row>
    <row r="458" s="989" customFormat="1" customHeight="1" spans="2:19">
      <c r="B458" s="990"/>
      <c r="C458" s="990"/>
      <c r="D458" s="990"/>
      <c r="E458" s="1104"/>
      <c r="F458" s="990"/>
      <c r="G458" s="990"/>
      <c r="H458" s="990"/>
      <c r="I458" s="1104"/>
      <c r="J458" s="1770"/>
      <c r="K458" s="1770"/>
      <c r="L458" s="1104"/>
      <c r="M458" s="1205"/>
      <c r="N458" s="1207"/>
      <c r="O458" s="1207"/>
      <c r="P458" s="1207"/>
      <c r="Q458" s="1771"/>
      <c r="R458" s="1458"/>
      <c r="S458" s="990"/>
    </row>
    <row r="459" s="989" customFormat="1" customHeight="1" spans="2:19">
      <c r="B459" s="990"/>
      <c r="C459" s="990"/>
      <c r="D459" s="990"/>
      <c r="E459" s="1104"/>
      <c r="F459" s="990"/>
      <c r="G459" s="990"/>
      <c r="H459" s="990"/>
      <c r="I459" s="1104"/>
      <c r="J459" s="1770"/>
      <c r="K459" s="1770"/>
      <c r="L459" s="1104"/>
      <c r="M459" s="1205"/>
      <c r="N459" s="1207"/>
      <c r="O459" s="1207"/>
      <c r="P459" s="1207"/>
      <c r="Q459" s="1771"/>
      <c r="R459" s="1458"/>
      <c r="S459" s="990"/>
    </row>
    <row r="460" s="989" customFormat="1" customHeight="1" spans="2:19">
      <c r="B460" s="990"/>
      <c r="C460" s="990"/>
      <c r="D460" s="990"/>
      <c r="E460" s="1104"/>
      <c r="F460" s="990"/>
      <c r="G460" s="990"/>
      <c r="H460" s="990"/>
      <c r="I460" s="1104"/>
      <c r="J460" s="1770"/>
      <c r="K460" s="1770"/>
      <c r="L460" s="1104"/>
      <c r="M460" s="1205"/>
      <c r="N460" s="1207"/>
      <c r="O460" s="1207"/>
      <c r="P460" s="1207"/>
      <c r="Q460" s="1771"/>
      <c r="R460" s="1458"/>
      <c r="S460" s="990"/>
    </row>
    <row r="461" s="989" customFormat="1" customHeight="1" spans="2:19">
      <c r="B461" s="990"/>
      <c r="C461" s="990"/>
      <c r="D461" s="990"/>
      <c r="E461" s="1104"/>
      <c r="F461" s="990"/>
      <c r="G461" s="990"/>
      <c r="H461" s="990"/>
      <c r="I461" s="1104"/>
      <c r="J461" s="1770"/>
      <c r="K461" s="1770"/>
      <c r="L461" s="1104"/>
      <c r="M461" s="1205"/>
      <c r="N461" s="1207"/>
      <c r="O461" s="1207"/>
      <c r="P461" s="1207"/>
      <c r="Q461" s="1771"/>
      <c r="R461" s="1458"/>
      <c r="S461" s="990"/>
    </row>
    <row r="462" s="989" customFormat="1" customHeight="1" spans="2:19">
      <c r="B462" s="990"/>
      <c r="C462" s="990"/>
      <c r="D462" s="990"/>
      <c r="E462" s="1104"/>
      <c r="F462" s="990"/>
      <c r="G462" s="990"/>
      <c r="H462" s="990"/>
      <c r="I462" s="1104"/>
      <c r="J462" s="1770"/>
      <c r="K462" s="1770"/>
      <c r="L462" s="1104"/>
      <c r="M462" s="1205"/>
      <c r="N462" s="1207"/>
      <c r="O462" s="1207"/>
      <c r="P462" s="1207"/>
      <c r="Q462" s="1771"/>
      <c r="R462" s="1458"/>
      <c r="S462" s="990"/>
    </row>
    <row r="463" s="989" customFormat="1" customHeight="1" spans="2:19">
      <c r="B463" s="990"/>
      <c r="C463" s="990"/>
      <c r="D463" s="990"/>
      <c r="E463" s="1104"/>
      <c r="F463" s="990"/>
      <c r="G463" s="990"/>
      <c r="H463" s="990"/>
      <c r="I463" s="1104"/>
      <c r="J463" s="1770"/>
      <c r="K463" s="1770"/>
      <c r="L463" s="1104"/>
      <c r="M463" s="1205"/>
      <c r="N463" s="1207"/>
      <c r="O463" s="1207"/>
      <c r="P463" s="1207"/>
      <c r="Q463" s="1771"/>
      <c r="R463" s="1458"/>
      <c r="S463" s="990"/>
    </row>
    <row r="464" s="989" customFormat="1" customHeight="1" spans="2:19">
      <c r="B464" s="990"/>
      <c r="C464" s="990"/>
      <c r="D464" s="990"/>
      <c r="E464" s="1104"/>
      <c r="F464" s="990"/>
      <c r="G464" s="990"/>
      <c r="H464" s="990"/>
      <c r="I464" s="1104"/>
      <c r="J464" s="1770"/>
      <c r="K464" s="1770"/>
      <c r="L464" s="1104"/>
      <c r="M464" s="1205"/>
      <c r="N464" s="1207"/>
      <c r="O464" s="1207"/>
      <c r="P464" s="1207"/>
      <c r="Q464" s="1771"/>
      <c r="R464" s="1458"/>
      <c r="S464" s="990"/>
    </row>
    <row r="465" s="989" customFormat="1" customHeight="1" spans="2:19">
      <c r="B465" s="990"/>
      <c r="C465" s="990"/>
      <c r="D465" s="990"/>
      <c r="E465" s="1104"/>
      <c r="F465" s="990"/>
      <c r="G465" s="990"/>
      <c r="H465" s="990"/>
      <c r="I465" s="1104"/>
      <c r="J465" s="1770"/>
      <c r="K465" s="1770"/>
      <c r="L465" s="1104"/>
      <c r="M465" s="1205"/>
      <c r="N465" s="1207"/>
      <c r="O465" s="1207"/>
      <c r="P465" s="1207"/>
      <c r="Q465" s="1771"/>
      <c r="R465" s="1458"/>
      <c r="S465" s="990"/>
    </row>
    <row r="466" s="989" customFormat="1" customHeight="1" spans="2:19">
      <c r="B466" s="990"/>
      <c r="C466" s="990"/>
      <c r="D466" s="990"/>
      <c r="E466" s="1104"/>
      <c r="F466" s="990"/>
      <c r="G466" s="990"/>
      <c r="H466" s="990"/>
      <c r="I466" s="1104"/>
      <c r="J466" s="1770"/>
      <c r="K466" s="1770"/>
      <c r="L466" s="1104"/>
      <c r="M466" s="1205"/>
      <c r="N466" s="1207"/>
      <c r="O466" s="1207"/>
      <c r="P466" s="1207"/>
      <c r="Q466" s="1771"/>
      <c r="R466" s="1458"/>
      <c r="S466" s="990"/>
    </row>
    <row r="467" s="989" customFormat="1" customHeight="1" spans="2:19">
      <c r="B467" s="990"/>
      <c r="C467" s="990"/>
      <c r="D467" s="990"/>
      <c r="E467" s="1104"/>
      <c r="F467" s="990"/>
      <c r="G467" s="990"/>
      <c r="H467" s="990"/>
      <c r="I467" s="1104"/>
      <c r="J467" s="1770"/>
      <c r="K467" s="1770"/>
      <c r="L467" s="1104"/>
      <c r="M467" s="1205"/>
      <c r="N467" s="1207"/>
      <c r="O467" s="1207"/>
      <c r="P467" s="1207"/>
      <c r="Q467" s="1771"/>
      <c r="R467" s="1458"/>
      <c r="S467" s="990"/>
    </row>
    <row r="468" s="989" customFormat="1" customHeight="1" spans="2:19">
      <c r="B468" s="990"/>
      <c r="C468" s="990"/>
      <c r="D468" s="990"/>
      <c r="E468" s="1104"/>
      <c r="F468" s="990"/>
      <c r="G468" s="990"/>
      <c r="H468" s="990"/>
      <c r="I468" s="1104"/>
      <c r="J468" s="1770"/>
      <c r="K468" s="1770"/>
      <c r="L468" s="1104"/>
      <c r="M468" s="1205"/>
      <c r="N468" s="1207"/>
      <c r="O468" s="1207"/>
      <c r="P468" s="1207"/>
      <c r="Q468" s="1771"/>
      <c r="R468" s="1458"/>
      <c r="S468" s="990"/>
    </row>
    <row r="469" s="989" customFormat="1" customHeight="1" spans="2:19">
      <c r="B469" s="990"/>
      <c r="C469" s="990"/>
      <c r="D469" s="990"/>
      <c r="E469" s="1104"/>
      <c r="F469" s="990"/>
      <c r="G469" s="990"/>
      <c r="H469" s="990"/>
      <c r="I469" s="1104"/>
      <c r="J469" s="1770"/>
      <c r="K469" s="1770"/>
      <c r="L469" s="1104"/>
      <c r="M469" s="1205"/>
      <c r="N469" s="1207"/>
      <c r="O469" s="1207"/>
      <c r="P469" s="1207"/>
      <c r="Q469" s="1771"/>
      <c r="R469" s="1458"/>
      <c r="S469" s="990"/>
    </row>
    <row r="470" s="989" customFormat="1" customHeight="1" spans="2:19">
      <c r="B470" s="990"/>
      <c r="C470" s="990"/>
      <c r="D470" s="990"/>
      <c r="E470" s="1104"/>
      <c r="F470" s="990"/>
      <c r="G470" s="990"/>
      <c r="H470" s="990"/>
      <c r="I470" s="1104"/>
      <c r="J470" s="1770"/>
      <c r="K470" s="1770"/>
      <c r="L470" s="1104"/>
      <c r="M470" s="1205"/>
      <c r="N470" s="1207"/>
      <c r="O470" s="1207"/>
      <c r="P470" s="1207"/>
      <c r="Q470" s="1771"/>
      <c r="R470" s="1458"/>
      <c r="S470" s="990"/>
    </row>
    <row r="471" s="989" customFormat="1" customHeight="1" spans="2:19">
      <c r="B471" s="990"/>
      <c r="C471" s="990"/>
      <c r="D471" s="990"/>
      <c r="E471" s="1104"/>
      <c r="F471" s="990"/>
      <c r="G471" s="990"/>
      <c r="H471" s="990"/>
      <c r="I471" s="1104"/>
      <c r="J471" s="1770"/>
      <c r="K471" s="1770"/>
      <c r="L471" s="1104"/>
      <c r="M471" s="1205"/>
      <c r="N471" s="1207"/>
      <c r="O471" s="1207"/>
      <c r="P471" s="1207"/>
      <c r="Q471" s="1771"/>
      <c r="R471" s="1458"/>
      <c r="S471" s="990"/>
    </row>
    <row r="472" s="989" customFormat="1" customHeight="1" spans="2:19">
      <c r="B472" s="990"/>
      <c r="C472" s="990"/>
      <c r="D472" s="990"/>
      <c r="E472" s="1104"/>
      <c r="F472" s="990"/>
      <c r="G472" s="990"/>
      <c r="H472" s="990"/>
      <c r="I472" s="1104"/>
      <c r="J472" s="1770"/>
      <c r="K472" s="1770"/>
      <c r="L472" s="1104"/>
      <c r="M472" s="1205"/>
      <c r="N472" s="1207"/>
      <c r="O472" s="1207"/>
      <c r="P472" s="1207"/>
      <c r="Q472" s="1771"/>
      <c r="R472" s="1458"/>
      <c r="S472" s="990"/>
    </row>
    <row r="473" s="989" customFormat="1" customHeight="1" spans="2:19">
      <c r="B473" s="990"/>
      <c r="C473" s="990"/>
      <c r="D473" s="990"/>
      <c r="E473" s="1104"/>
      <c r="F473" s="990"/>
      <c r="G473" s="990"/>
      <c r="H473" s="990"/>
      <c r="I473" s="1104"/>
      <c r="J473" s="1770"/>
      <c r="K473" s="1770"/>
      <c r="L473" s="1104"/>
      <c r="M473" s="1205"/>
      <c r="N473" s="1207"/>
      <c r="O473" s="1207"/>
      <c r="P473" s="1207"/>
      <c r="Q473" s="1771"/>
      <c r="R473" s="1458"/>
      <c r="S473" s="990"/>
    </row>
    <row r="474" s="989" customFormat="1" customHeight="1" spans="2:19">
      <c r="B474" s="990"/>
      <c r="C474" s="990"/>
      <c r="D474" s="990"/>
      <c r="E474" s="1104"/>
      <c r="F474" s="990"/>
      <c r="G474" s="990"/>
      <c r="H474" s="990"/>
      <c r="I474" s="1104"/>
      <c r="J474" s="1770"/>
      <c r="K474" s="1770"/>
      <c r="L474" s="1104"/>
      <c r="M474" s="1205"/>
      <c r="N474" s="1207"/>
      <c r="O474" s="1207"/>
      <c r="P474" s="1207"/>
      <c r="Q474" s="1771"/>
      <c r="R474" s="1458"/>
      <c r="S474" s="990"/>
    </row>
    <row r="475" s="989" customFormat="1" customHeight="1" spans="2:19">
      <c r="B475" s="990"/>
      <c r="C475" s="990"/>
      <c r="D475" s="990"/>
      <c r="E475" s="1104"/>
      <c r="F475" s="990"/>
      <c r="G475" s="990"/>
      <c r="H475" s="990"/>
      <c r="I475" s="1104"/>
      <c r="J475" s="1770"/>
      <c r="K475" s="1770"/>
      <c r="L475" s="1104"/>
      <c r="M475" s="1205"/>
      <c r="N475" s="1207"/>
      <c r="O475" s="1207"/>
      <c r="P475" s="1207"/>
      <c r="Q475" s="1771"/>
      <c r="R475" s="1458"/>
      <c r="S475" s="990"/>
    </row>
    <row r="476" s="989" customFormat="1" customHeight="1" spans="2:19">
      <c r="B476" s="990"/>
      <c r="C476" s="990"/>
      <c r="D476" s="990"/>
      <c r="E476" s="1104"/>
      <c r="F476" s="990"/>
      <c r="G476" s="990"/>
      <c r="H476" s="990"/>
      <c r="I476" s="1104"/>
      <c r="J476" s="1770"/>
      <c r="K476" s="1770"/>
      <c r="L476" s="1104"/>
      <c r="M476" s="1205"/>
      <c r="N476" s="1207"/>
      <c r="O476" s="1207"/>
      <c r="P476" s="1207"/>
      <c r="Q476" s="1771"/>
      <c r="R476" s="1458"/>
      <c r="S476" s="990"/>
    </row>
    <row r="477" s="989" customFormat="1" customHeight="1" spans="2:19">
      <c r="B477" s="990"/>
      <c r="C477" s="990"/>
      <c r="D477" s="990"/>
      <c r="E477" s="1104"/>
      <c r="F477" s="990"/>
      <c r="G477" s="990"/>
      <c r="H477" s="990"/>
      <c r="I477" s="1104"/>
      <c r="J477" s="1770"/>
      <c r="K477" s="1770"/>
      <c r="L477" s="1104"/>
      <c r="M477" s="1205"/>
      <c r="N477" s="1207"/>
      <c r="O477" s="1207"/>
      <c r="P477" s="1207"/>
      <c r="Q477" s="1771"/>
      <c r="R477" s="1458"/>
      <c r="S477" s="990"/>
    </row>
    <row r="478" s="989" customFormat="1" customHeight="1" spans="2:19">
      <c r="B478" s="990"/>
      <c r="C478" s="990"/>
      <c r="D478" s="990"/>
      <c r="E478" s="1104"/>
      <c r="F478" s="990"/>
      <c r="G478" s="990"/>
      <c r="H478" s="990"/>
      <c r="I478" s="1104"/>
      <c r="J478" s="1770"/>
      <c r="K478" s="1770"/>
      <c r="L478" s="1104"/>
      <c r="M478" s="1205"/>
      <c r="N478" s="1207"/>
      <c r="O478" s="1207"/>
      <c r="P478" s="1207"/>
      <c r="Q478" s="1771"/>
      <c r="R478" s="1458"/>
      <c r="S478" s="990"/>
    </row>
    <row r="479" s="989" customFormat="1" customHeight="1" spans="2:19">
      <c r="B479" s="990"/>
      <c r="C479" s="990"/>
      <c r="D479" s="990"/>
      <c r="E479" s="1104"/>
      <c r="F479" s="990"/>
      <c r="G479" s="990"/>
      <c r="H479" s="990"/>
      <c r="I479" s="1104"/>
      <c r="J479" s="1770"/>
      <c r="K479" s="1770"/>
      <c r="L479" s="1104"/>
      <c r="M479" s="1205"/>
      <c r="N479" s="1207"/>
      <c r="O479" s="1207"/>
      <c r="P479" s="1207"/>
      <c r="Q479" s="1771"/>
      <c r="R479" s="1458"/>
      <c r="S479" s="990"/>
    </row>
    <row r="480" s="989" customFormat="1" customHeight="1" spans="2:19">
      <c r="B480" s="990"/>
      <c r="C480" s="990"/>
      <c r="D480" s="990"/>
      <c r="E480" s="1104"/>
      <c r="F480" s="990"/>
      <c r="G480" s="990"/>
      <c r="H480" s="990"/>
      <c r="I480" s="1104"/>
      <c r="J480" s="1770"/>
      <c r="K480" s="1770"/>
      <c r="L480" s="1104"/>
      <c r="M480" s="1205"/>
      <c r="N480" s="1207"/>
      <c r="O480" s="1207"/>
      <c r="P480" s="1207"/>
      <c r="Q480" s="1771"/>
      <c r="R480" s="1458"/>
      <c r="S480" s="990"/>
    </row>
    <row r="481" s="989" customFormat="1" customHeight="1" spans="2:19">
      <c r="B481" s="990"/>
      <c r="C481" s="990"/>
      <c r="D481" s="990"/>
      <c r="E481" s="1104"/>
      <c r="F481" s="990"/>
      <c r="G481" s="990"/>
      <c r="H481" s="990"/>
      <c r="I481" s="1104"/>
      <c r="J481" s="1770"/>
      <c r="K481" s="1770"/>
      <c r="L481" s="1104"/>
      <c r="M481" s="1205"/>
      <c r="N481" s="1207"/>
      <c r="O481" s="1207"/>
      <c r="P481" s="1207"/>
      <c r="Q481" s="1771"/>
      <c r="R481" s="1458"/>
      <c r="S481" s="990"/>
    </row>
    <row r="482" s="989" customFormat="1" customHeight="1" spans="2:19">
      <c r="B482" s="990"/>
      <c r="C482" s="990"/>
      <c r="D482" s="990"/>
      <c r="E482" s="1104"/>
      <c r="F482" s="990"/>
      <c r="G482" s="990"/>
      <c r="H482" s="990"/>
      <c r="I482" s="1104"/>
      <c r="J482" s="1770"/>
      <c r="K482" s="1770"/>
      <c r="L482" s="1104"/>
      <c r="M482" s="1205"/>
      <c r="N482" s="1207"/>
      <c r="O482" s="1207"/>
      <c r="P482" s="1207"/>
      <c r="Q482" s="1771"/>
      <c r="R482" s="1458"/>
      <c r="S482" s="990"/>
    </row>
    <row r="483" s="989" customFormat="1" customHeight="1" spans="2:19">
      <c r="B483" s="990"/>
      <c r="C483" s="990"/>
      <c r="D483" s="990"/>
      <c r="E483" s="1104"/>
      <c r="F483" s="990"/>
      <c r="G483" s="990"/>
      <c r="H483" s="990"/>
      <c r="I483" s="1104"/>
      <c r="J483" s="1770"/>
      <c r="K483" s="1770"/>
      <c r="L483" s="1104"/>
      <c r="M483" s="1205"/>
      <c r="N483" s="1207"/>
      <c r="O483" s="1207"/>
      <c r="P483" s="1207"/>
      <c r="Q483" s="1771"/>
      <c r="R483" s="1458"/>
      <c r="S483" s="990"/>
    </row>
    <row r="484" s="989" customFormat="1" customHeight="1" spans="2:19">
      <c r="B484" s="990"/>
      <c r="C484" s="990"/>
      <c r="D484" s="990"/>
      <c r="E484" s="1104"/>
      <c r="F484" s="990"/>
      <c r="G484" s="990"/>
      <c r="H484" s="990"/>
      <c r="I484" s="1104"/>
      <c r="J484" s="1770"/>
      <c r="K484" s="1770"/>
      <c r="L484" s="1104"/>
      <c r="M484" s="1205"/>
      <c r="N484" s="1207"/>
      <c r="O484" s="1207"/>
      <c r="P484" s="1207"/>
      <c r="Q484" s="1771"/>
      <c r="R484" s="1458"/>
      <c r="S484" s="990"/>
    </row>
    <row r="485" s="989" customFormat="1" customHeight="1" spans="2:19">
      <c r="B485" s="990"/>
      <c r="C485" s="990"/>
      <c r="D485" s="990"/>
      <c r="E485" s="1104"/>
      <c r="F485" s="990"/>
      <c r="G485" s="990"/>
      <c r="H485" s="990"/>
      <c r="I485" s="1104"/>
      <c r="J485" s="1770"/>
      <c r="K485" s="1770"/>
      <c r="L485" s="1104"/>
      <c r="M485" s="1205"/>
      <c r="N485" s="1207"/>
      <c r="O485" s="1207"/>
      <c r="P485" s="1207"/>
      <c r="Q485" s="1771"/>
      <c r="R485" s="1458"/>
      <c r="S485" s="990"/>
    </row>
    <row r="486" s="989" customFormat="1" customHeight="1" spans="2:19">
      <c r="B486" s="990"/>
      <c r="C486" s="990"/>
      <c r="D486" s="990"/>
      <c r="E486" s="1104"/>
      <c r="F486" s="990"/>
      <c r="G486" s="990"/>
      <c r="H486" s="990"/>
      <c r="I486" s="1104"/>
      <c r="J486" s="1770"/>
      <c r="K486" s="1770"/>
      <c r="L486" s="1104"/>
      <c r="M486" s="1205"/>
      <c r="N486" s="1207"/>
      <c r="O486" s="1207"/>
      <c r="P486" s="1207"/>
      <c r="Q486" s="1771"/>
      <c r="R486" s="1458"/>
      <c r="S486" s="990"/>
    </row>
    <row r="487" s="989" customFormat="1" customHeight="1" spans="2:19">
      <c r="B487" s="990"/>
      <c r="C487" s="990"/>
      <c r="D487" s="990"/>
      <c r="E487" s="1104"/>
      <c r="F487" s="990"/>
      <c r="G487" s="990"/>
      <c r="H487" s="990"/>
      <c r="I487" s="1104"/>
      <c r="J487" s="1770"/>
      <c r="K487" s="1770"/>
      <c r="L487" s="1104"/>
      <c r="M487" s="1205"/>
      <c r="N487" s="1207"/>
      <c r="O487" s="1207"/>
      <c r="P487" s="1207"/>
      <c r="Q487" s="1771"/>
      <c r="R487" s="1458"/>
      <c r="S487" s="990"/>
    </row>
    <row r="488" s="989" customFormat="1" customHeight="1" spans="2:19">
      <c r="B488" s="990"/>
      <c r="C488" s="990"/>
      <c r="D488" s="990"/>
      <c r="E488" s="1104"/>
      <c r="F488" s="990"/>
      <c r="G488" s="990"/>
      <c r="H488" s="990"/>
      <c r="I488" s="1104"/>
      <c r="J488" s="1770"/>
      <c r="K488" s="1770"/>
      <c r="L488" s="1104"/>
      <c r="M488" s="1205"/>
      <c r="N488" s="1207"/>
      <c r="O488" s="1207"/>
      <c r="P488" s="1207"/>
      <c r="Q488" s="1771"/>
      <c r="R488" s="1458"/>
      <c r="S488" s="990"/>
    </row>
    <row r="489" s="989" customFormat="1" customHeight="1" spans="2:19">
      <c r="B489" s="990"/>
      <c r="C489" s="990"/>
      <c r="D489" s="990"/>
      <c r="E489" s="1104"/>
      <c r="F489" s="990"/>
      <c r="G489" s="990"/>
      <c r="H489" s="990"/>
      <c r="I489" s="1104"/>
      <c r="J489" s="1770"/>
      <c r="K489" s="1770"/>
      <c r="L489" s="1104"/>
      <c r="M489" s="1205"/>
      <c r="N489" s="1207"/>
      <c r="O489" s="1207"/>
      <c r="P489" s="1207"/>
      <c r="Q489" s="1771"/>
      <c r="R489" s="1458"/>
      <c r="S489" s="990"/>
    </row>
    <row r="490" s="989" customFormat="1" customHeight="1" spans="2:19">
      <c r="B490" s="990"/>
      <c r="C490" s="990"/>
      <c r="D490" s="990"/>
      <c r="E490" s="1104"/>
      <c r="F490" s="990"/>
      <c r="G490" s="990"/>
      <c r="H490" s="990"/>
      <c r="I490" s="1104"/>
      <c r="J490" s="1770"/>
      <c r="K490" s="1770"/>
      <c r="L490" s="1104"/>
      <c r="M490" s="1205"/>
      <c r="N490" s="1207"/>
      <c r="O490" s="1207"/>
      <c r="P490" s="1207"/>
      <c r="Q490" s="1771"/>
      <c r="R490" s="1458"/>
      <c r="S490" s="990"/>
    </row>
    <row r="491" s="989" customFormat="1" customHeight="1" spans="2:19">
      <c r="B491" s="990"/>
      <c r="C491" s="990"/>
      <c r="D491" s="990"/>
      <c r="E491" s="1104"/>
      <c r="F491" s="990"/>
      <c r="G491" s="990"/>
      <c r="H491" s="990"/>
      <c r="I491" s="1104"/>
      <c r="J491" s="1770"/>
      <c r="K491" s="1770"/>
      <c r="L491" s="1104"/>
      <c r="M491" s="1205"/>
      <c r="N491" s="1207"/>
      <c r="O491" s="1207"/>
      <c r="P491" s="1207"/>
      <c r="Q491" s="1771"/>
      <c r="R491" s="1458"/>
      <c r="S491" s="990"/>
    </row>
    <row r="492" s="989" customFormat="1" customHeight="1" spans="2:19">
      <c r="B492" s="990"/>
      <c r="C492" s="990"/>
      <c r="D492" s="990"/>
      <c r="E492" s="1104"/>
      <c r="F492" s="990"/>
      <c r="G492" s="990"/>
      <c r="H492" s="990"/>
      <c r="I492" s="1104"/>
      <c r="J492" s="1770"/>
      <c r="K492" s="1770"/>
      <c r="L492" s="1104"/>
      <c r="M492" s="1205"/>
      <c r="N492" s="1207"/>
      <c r="O492" s="1207"/>
      <c r="P492" s="1207"/>
      <c r="Q492" s="1771"/>
      <c r="R492" s="1458"/>
      <c r="S492" s="990"/>
    </row>
    <row r="493" s="989" customFormat="1" customHeight="1" spans="2:19">
      <c r="B493" s="990"/>
      <c r="C493" s="990"/>
      <c r="D493" s="990"/>
      <c r="E493" s="1104"/>
      <c r="F493" s="990"/>
      <c r="G493" s="990"/>
      <c r="H493" s="990"/>
      <c r="I493" s="1104"/>
      <c r="J493" s="1770"/>
      <c r="K493" s="1770"/>
      <c r="L493" s="1104"/>
      <c r="M493" s="1205"/>
      <c r="N493" s="1207"/>
      <c r="O493" s="1207"/>
      <c r="P493" s="1207"/>
      <c r="Q493" s="1771"/>
      <c r="R493" s="1458"/>
      <c r="S493" s="990"/>
    </row>
    <row r="494" s="989" customFormat="1" customHeight="1" spans="2:19">
      <c r="B494" s="990"/>
      <c r="C494" s="990"/>
      <c r="D494" s="990"/>
      <c r="E494" s="1104"/>
      <c r="F494" s="990"/>
      <c r="G494" s="990"/>
      <c r="H494" s="990"/>
      <c r="I494" s="1104"/>
      <c r="J494" s="1770"/>
      <c r="K494" s="1770"/>
      <c r="L494" s="1104"/>
      <c r="M494" s="1205"/>
      <c r="N494" s="1207"/>
      <c r="O494" s="1207"/>
      <c r="P494" s="1207"/>
      <c r="Q494" s="1771"/>
      <c r="R494" s="1458"/>
      <c r="S494" s="990"/>
    </row>
    <row r="495" s="989" customFormat="1" customHeight="1" spans="2:19">
      <c r="B495" s="990"/>
      <c r="C495" s="990"/>
      <c r="D495" s="990"/>
      <c r="E495" s="1104"/>
      <c r="F495" s="990"/>
      <c r="G495" s="990"/>
      <c r="H495" s="990"/>
      <c r="I495" s="1104"/>
      <c r="J495" s="1770"/>
      <c r="K495" s="1770"/>
      <c r="L495" s="1104"/>
      <c r="M495" s="1205"/>
      <c r="N495" s="1207"/>
      <c r="O495" s="1207"/>
      <c r="P495" s="1207"/>
      <c r="Q495" s="1771"/>
      <c r="R495" s="1458"/>
      <c r="S495" s="990"/>
    </row>
    <row r="496" s="989" customFormat="1" customHeight="1" spans="2:19">
      <c r="B496" s="990"/>
      <c r="C496" s="990"/>
      <c r="D496" s="990"/>
      <c r="E496" s="1104"/>
      <c r="F496" s="990"/>
      <c r="G496" s="990"/>
      <c r="H496" s="990"/>
      <c r="I496" s="1104"/>
      <c r="J496" s="1770"/>
      <c r="K496" s="1770"/>
      <c r="L496" s="1104"/>
      <c r="M496" s="1205"/>
      <c r="N496" s="1207"/>
      <c r="O496" s="1207"/>
      <c r="P496" s="1207"/>
      <c r="Q496" s="1771"/>
      <c r="R496" s="1458"/>
      <c r="S496" s="990"/>
    </row>
    <row r="497" s="989" customFormat="1" customHeight="1" spans="2:19">
      <c r="B497" s="990"/>
      <c r="C497" s="990"/>
      <c r="D497" s="990"/>
      <c r="E497" s="1104"/>
      <c r="F497" s="990"/>
      <c r="G497" s="990"/>
      <c r="H497" s="990"/>
      <c r="I497" s="1104"/>
      <c r="J497" s="1770"/>
      <c r="K497" s="1770"/>
      <c r="L497" s="1104"/>
      <c r="M497" s="1205"/>
      <c r="N497" s="1207"/>
      <c r="O497" s="1207"/>
      <c r="P497" s="1207"/>
      <c r="Q497" s="1771"/>
      <c r="R497" s="1458"/>
      <c r="S497" s="990"/>
    </row>
    <row r="498" s="989" customFormat="1" customHeight="1" spans="2:19">
      <c r="B498" s="990"/>
      <c r="C498" s="990"/>
      <c r="D498" s="990"/>
      <c r="E498" s="1104"/>
      <c r="F498" s="990"/>
      <c r="G498" s="990"/>
      <c r="H498" s="990"/>
      <c r="I498" s="1104"/>
      <c r="J498" s="1770"/>
      <c r="K498" s="1770"/>
      <c r="L498" s="1104"/>
      <c r="M498" s="1205"/>
      <c r="N498" s="1207"/>
      <c r="O498" s="1207"/>
      <c r="P498" s="1207"/>
      <c r="Q498" s="1771"/>
      <c r="R498" s="1458"/>
      <c r="S498" s="990"/>
    </row>
    <row r="499" s="989" customFormat="1" customHeight="1" spans="2:19">
      <c r="B499" s="990"/>
      <c r="C499" s="990"/>
      <c r="D499" s="990"/>
      <c r="E499" s="1104"/>
      <c r="F499" s="990"/>
      <c r="G499" s="990"/>
      <c r="H499" s="990"/>
      <c r="I499" s="1104"/>
      <c r="J499" s="1770"/>
      <c r="K499" s="1770"/>
      <c r="L499" s="1104"/>
      <c r="M499" s="1205"/>
      <c r="N499" s="1207"/>
      <c r="O499" s="1207"/>
      <c r="P499" s="1207"/>
      <c r="Q499" s="1771"/>
      <c r="R499" s="1458"/>
      <c r="S499" s="990"/>
    </row>
    <row r="500" s="989" customFormat="1" customHeight="1" spans="2:19">
      <c r="B500" s="990"/>
      <c r="C500" s="990"/>
      <c r="D500" s="990"/>
      <c r="E500" s="1104"/>
      <c r="F500" s="990"/>
      <c r="G500" s="990"/>
      <c r="H500" s="990"/>
      <c r="I500" s="1104"/>
      <c r="J500" s="1770"/>
      <c r="K500" s="1770"/>
      <c r="L500" s="1104"/>
      <c r="M500" s="1205"/>
      <c r="N500" s="1207"/>
      <c r="O500" s="1207"/>
      <c r="P500" s="1207"/>
      <c r="Q500" s="1771"/>
      <c r="R500" s="1458"/>
      <c r="S500" s="990"/>
    </row>
    <row r="501" s="989" customFormat="1" customHeight="1" spans="2:19">
      <c r="B501" s="990"/>
      <c r="C501" s="990"/>
      <c r="D501" s="990"/>
      <c r="E501" s="1104"/>
      <c r="F501" s="990"/>
      <c r="G501" s="990"/>
      <c r="H501" s="990"/>
      <c r="I501" s="1104"/>
      <c r="J501" s="1770"/>
      <c r="K501" s="1770"/>
      <c r="L501" s="1104"/>
      <c r="M501" s="1205"/>
      <c r="N501" s="1207"/>
      <c r="O501" s="1207"/>
      <c r="P501" s="1207"/>
      <c r="Q501" s="1771"/>
      <c r="R501" s="1458"/>
      <c r="S501" s="990"/>
    </row>
    <row r="502" s="989" customFormat="1" customHeight="1" spans="2:19">
      <c r="B502" s="990"/>
      <c r="C502" s="990"/>
      <c r="D502" s="990"/>
      <c r="E502" s="1104"/>
      <c r="F502" s="990"/>
      <c r="G502" s="990"/>
      <c r="H502" s="990"/>
      <c r="I502" s="1104"/>
      <c r="J502" s="1770"/>
      <c r="K502" s="1770"/>
      <c r="L502" s="1104"/>
      <c r="M502" s="1205"/>
      <c r="N502" s="1207"/>
      <c r="O502" s="1207"/>
      <c r="P502" s="1207"/>
      <c r="Q502" s="1771"/>
      <c r="R502" s="1458"/>
      <c r="S502" s="990"/>
    </row>
    <row r="503" s="989" customFormat="1" customHeight="1" spans="2:19">
      <c r="B503" s="990"/>
      <c r="C503" s="990"/>
      <c r="D503" s="990"/>
      <c r="E503" s="1104"/>
      <c r="F503" s="990"/>
      <c r="G503" s="990"/>
      <c r="H503" s="990"/>
      <c r="I503" s="1104"/>
      <c r="J503" s="1770"/>
      <c r="K503" s="1770"/>
      <c r="L503" s="1104"/>
      <c r="M503" s="1205"/>
      <c r="N503" s="1207"/>
      <c r="O503" s="1207"/>
      <c r="P503" s="1207"/>
      <c r="Q503" s="1771"/>
      <c r="R503" s="1458"/>
      <c r="S503" s="990"/>
    </row>
    <row r="504" s="989" customFormat="1" customHeight="1" spans="2:19">
      <c r="B504" s="990"/>
      <c r="C504" s="990"/>
      <c r="D504" s="990"/>
      <c r="E504" s="1104"/>
      <c r="F504" s="990"/>
      <c r="G504" s="990"/>
      <c r="H504" s="990"/>
      <c r="I504" s="1104"/>
      <c r="J504" s="1770"/>
      <c r="K504" s="1770"/>
      <c r="L504" s="1104"/>
      <c r="M504" s="1205"/>
      <c r="N504" s="1207"/>
      <c r="O504" s="1207"/>
      <c r="P504" s="1207"/>
      <c r="Q504" s="1771"/>
      <c r="R504" s="1458"/>
      <c r="S504" s="990"/>
    </row>
    <row r="505" s="989" customFormat="1" customHeight="1" spans="2:19">
      <c r="B505" s="990"/>
      <c r="C505" s="990"/>
      <c r="D505" s="990"/>
      <c r="E505" s="1104"/>
      <c r="F505" s="990"/>
      <c r="G505" s="990"/>
      <c r="H505" s="990"/>
      <c r="I505" s="1104"/>
      <c r="J505" s="1770"/>
      <c r="K505" s="1770"/>
      <c r="L505" s="1104"/>
      <c r="M505" s="1205"/>
      <c r="N505" s="1207"/>
      <c r="O505" s="1207"/>
      <c r="P505" s="1207"/>
      <c r="Q505" s="1771"/>
      <c r="R505" s="1458"/>
      <c r="S505" s="990"/>
    </row>
    <row r="506" s="989" customFormat="1" customHeight="1" spans="2:19">
      <c r="B506" s="990"/>
      <c r="C506" s="990"/>
      <c r="D506" s="990"/>
      <c r="E506" s="1104"/>
      <c r="F506" s="990"/>
      <c r="G506" s="990"/>
      <c r="H506" s="990"/>
      <c r="I506" s="1104"/>
      <c r="J506" s="1770"/>
      <c r="K506" s="1770"/>
      <c r="L506" s="1104"/>
      <c r="M506" s="1205"/>
      <c r="N506" s="1207"/>
      <c r="O506" s="1207"/>
      <c r="P506" s="1207"/>
      <c r="Q506" s="1771"/>
      <c r="R506" s="1458"/>
      <c r="S506" s="990"/>
    </row>
    <row r="507" s="989" customFormat="1" customHeight="1" spans="2:19">
      <c r="B507" s="990"/>
      <c r="C507" s="990"/>
      <c r="D507" s="990"/>
      <c r="E507" s="1104"/>
      <c r="F507" s="990"/>
      <c r="G507" s="990"/>
      <c r="H507" s="990"/>
      <c r="I507" s="1104"/>
      <c r="J507" s="1770"/>
      <c r="K507" s="1770"/>
      <c r="L507" s="1104"/>
      <c r="M507" s="1205"/>
      <c r="N507" s="1207"/>
      <c r="O507" s="1207"/>
      <c r="P507" s="1207"/>
      <c r="Q507" s="1771"/>
      <c r="R507" s="1458"/>
      <c r="S507" s="990"/>
    </row>
    <row r="508" s="989" customFormat="1" customHeight="1" spans="2:19">
      <c r="B508" s="990"/>
      <c r="C508" s="990"/>
      <c r="D508" s="990"/>
      <c r="E508" s="1104"/>
      <c r="F508" s="990"/>
      <c r="G508" s="990"/>
      <c r="H508" s="990"/>
      <c r="I508" s="1104"/>
      <c r="J508" s="1770"/>
      <c r="K508" s="1770"/>
      <c r="L508" s="1104"/>
      <c r="M508" s="1205"/>
      <c r="N508" s="1207"/>
      <c r="O508" s="1207"/>
      <c r="P508" s="1207"/>
      <c r="Q508" s="1771"/>
      <c r="R508" s="1458"/>
      <c r="S508" s="990"/>
    </row>
    <row r="509" s="989" customFormat="1" customHeight="1" spans="2:19">
      <c r="B509" s="990"/>
      <c r="C509" s="990"/>
      <c r="D509" s="990"/>
      <c r="E509" s="1104"/>
      <c r="F509" s="990"/>
      <c r="G509" s="990"/>
      <c r="H509" s="990"/>
      <c r="I509" s="1104"/>
      <c r="J509" s="1770"/>
      <c r="K509" s="1770"/>
      <c r="L509" s="1104"/>
      <c r="M509" s="1205"/>
      <c r="N509" s="1207"/>
      <c r="O509" s="1207"/>
      <c r="P509" s="1207"/>
      <c r="Q509" s="1771"/>
      <c r="R509" s="1458"/>
      <c r="S509" s="990"/>
    </row>
    <row r="510" s="989" customFormat="1" customHeight="1" spans="2:19">
      <c r="B510" s="990"/>
      <c r="C510" s="990"/>
      <c r="D510" s="990"/>
      <c r="E510" s="1104"/>
      <c r="F510" s="990"/>
      <c r="G510" s="990"/>
      <c r="H510" s="990"/>
      <c r="I510" s="1104"/>
      <c r="J510" s="1770"/>
      <c r="K510" s="1770"/>
      <c r="L510" s="1104"/>
      <c r="M510" s="1205"/>
      <c r="N510" s="1207"/>
      <c r="O510" s="1207"/>
      <c r="P510" s="1207"/>
      <c r="Q510" s="1771"/>
      <c r="R510" s="1458"/>
      <c r="S510" s="990"/>
    </row>
    <row r="511" s="989" customFormat="1" customHeight="1" spans="2:19">
      <c r="B511" s="990"/>
      <c r="C511" s="990"/>
      <c r="D511" s="990"/>
      <c r="E511" s="1104"/>
      <c r="F511" s="990"/>
      <c r="G511" s="990"/>
      <c r="H511" s="990"/>
      <c r="I511" s="1104"/>
      <c r="J511" s="1770"/>
      <c r="K511" s="1770"/>
      <c r="L511" s="1104"/>
      <c r="M511" s="1205"/>
      <c r="N511" s="1207"/>
      <c r="O511" s="1207"/>
      <c r="P511" s="1207"/>
      <c r="Q511" s="1771"/>
      <c r="R511" s="1458"/>
      <c r="S511" s="990"/>
    </row>
    <row r="512" s="989" customFormat="1" customHeight="1" spans="2:19">
      <c r="B512" s="990"/>
      <c r="C512" s="990"/>
      <c r="D512" s="990"/>
      <c r="E512" s="1104"/>
      <c r="F512" s="990"/>
      <c r="G512" s="990"/>
      <c r="H512" s="990"/>
      <c r="I512" s="1104"/>
      <c r="J512" s="1770"/>
      <c r="K512" s="1770"/>
      <c r="L512" s="1104"/>
      <c r="M512" s="1205"/>
      <c r="N512" s="1207"/>
      <c r="O512" s="1207"/>
      <c r="P512" s="1207"/>
      <c r="Q512" s="1771"/>
      <c r="R512" s="1458"/>
      <c r="S512" s="990"/>
    </row>
    <row r="513" s="989" customFormat="1" customHeight="1" spans="2:19">
      <c r="B513" s="990"/>
      <c r="C513" s="990"/>
      <c r="D513" s="990"/>
      <c r="E513" s="1104"/>
      <c r="F513" s="990"/>
      <c r="G513" s="990"/>
      <c r="H513" s="990"/>
      <c r="I513" s="1104"/>
      <c r="J513" s="1770"/>
      <c r="K513" s="1770"/>
      <c r="L513" s="1104"/>
      <c r="M513" s="1205"/>
      <c r="N513" s="1207"/>
      <c r="O513" s="1207"/>
      <c r="P513" s="1207"/>
      <c r="Q513" s="1771"/>
      <c r="R513" s="1458"/>
      <c r="S513" s="990"/>
    </row>
    <row r="514" s="989" customFormat="1" customHeight="1" spans="2:19">
      <c r="B514" s="990"/>
      <c r="C514" s="990"/>
      <c r="D514" s="990"/>
      <c r="E514" s="1104"/>
      <c r="F514" s="990"/>
      <c r="G514" s="990"/>
      <c r="H514" s="990"/>
      <c r="I514" s="1104"/>
      <c r="J514" s="1770"/>
      <c r="K514" s="1770"/>
      <c r="L514" s="1104"/>
      <c r="M514" s="1205"/>
      <c r="N514" s="1207"/>
      <c r="O514" s="1207"/>
      <c r="P514" s="1207"/>
      <c r="Q514" s="1771"/>
      <c r="R514" s="1458"/>
      <c r="S514" s="990"/>
    </row>
    <row r="515" s="989" customFormat="1" customHeight="1" spans="2:19">
      <c r="B515" s="990"/>
      <c r="C515" s="990"/>
      <c r="D515" s="990"/>
      <c r="E515" s="1104"/>
      <c r="F515" s="990"/>
      <c r="G515" s="990"/>
      <c r="H515" s="990"/>
      <c r="I515" s="1104"/>
      <c r="J515" s="1770"/>
      <c r="K515" s="1770"/>
      <c r="L515" s="1104"/>
      <c r="M515" s="1205"/>
      <c r="N515" s="1207"/>
      <c r="O515" s="1207"/>
      <c r="P515" s="1207"/>
      <c r="Q515" s="1771"/>
      <c r="R515" s="1458"/>
      <c r="S515" s="990"/>
    </row>
    <row r="516" s="989" customFormat="1" customHeight="1" spans="2:19">
      <c r="B516" s="990"/>
      <c r="C516" s="990"/>
      <c r="D516" s="990"/>
      <c r="E516" s="1104"/>
      <c r="F516" s="990"/>
      <c r="G516" s="990"/>
      <c r="H516" s="990"/>
      <c r="I516" s="1104"/>
      <c r="J516" s="1770"/>
      <c r="K516" s="1770"/>
      <c r="L516" s="1104"/>
      <c r="M516" s="1205"/>
      <c r="N516" s="1207"/>
      <c r="O516" s="1207"/>
      <c r="P516" s="1207"/>
      <c r="Q516" s="1771"/>
      <c r="R516" s="1458"/>
      <c r="S516" s="990"/>
    </row>
    <row r="517" s="989" customFormat="1" customHeight="1" spans="2:19">
      <c r="B517" s="990"/>
      <c r="C517" s="990"/>
      <c r="D517" s="990"/>
      <c r="E517" s="1104"/>
      <c r="F517" s="990"/>
      <c r="G517" s="990"/>
      <c r="H517" s="990"/>
      <c r="I517" s="1104"/>
      <c r="J517" s="1770"/>
      <c r="K517" s="1770"/>
      <c r="L517" s="1104"/>
      <c r="M517" s="1205"/>
      <c r="N517" s="1207"/>
      <c r="O517" s="1207"/>
      <c r="P517" s="1207"/>
      <c r="Q517" s="1771"/>
      <c r="R517" s="1458"/>
      <c r="S517" s="990"/>
    </row>
    <row r="518" s="989" customFormat="1" customHeight="1" spans="2:19">
      <c r="B518" s="990"/>
      <c r="C518" s="990"/>
      <c r="D518" s="990"/>
      <c r="E518" s="1104"/>
      <c r="F518" s="990"/>
      <c r="G518" s="990"/>
      <c r="H518" s="990"/>
      <c r="I518" s="1104"/>
      <c r="J518" s="1770"/>
      <c r="K518" s="1770"/>
      <c r="L518" s="1104"/>
      <c r="M518" s="1205"/>
      <c r="N518" s="1207"/>
      <c r="O518" s="1207"/>
      <c r="P518" s="1207"/>
      <c r="Q518" s="1771"/>
      <c r="R518" s="1458"/>
      <c r="S518" s="990"/>
    </row>
    <row r="519" s="989" customFormat="1" customHeight="1" spans="2:19">
      <c r="B519" s="990"/>
      <c r="C519" s="990"/>
      <c r="D519" s="990"/>
      <c r="E519" s="1104"/>
      <c r="F519" s="990"/>
      <c r="G519" s="990"/>
      <c r="H519" s="990"/>
      <c r="I519" s="1104"/>
      <c r="J519" s="1770"/>
      <c r="K519" s="1770"/>
      <c r="L519" s="1104"/>
      <c r="M519" s="1205"/>
      <c r="N519" s="1207"/>
      <c r="O519" s="1207"/>
      <c r="P519" s="1207"/>
      <c r="Q519" s="1771"/>
      <c r="R519" s="1458"/>
      <c r="S519" s="990"/>
    </row>
    <row r="520" s="989" customFormat="1" customHeight="1" spans="2:19">
      <c r="B520" s="990"/>
      <c r="C520" s="990"/>
      <c r="D520" s="990"/>
      <c r="E520" s="1104"/>
      <c r="F520" s="990"/>
      <c r="G520" s="990"/>
      <c r="H520" s="990"/>
      <c r="I520" s="1104"/>
      <c r="J520" s="1770"/>
      <c r="K520" s="1770"/>
      <c r="L520" s="1104"/>
      <c r="M520" s="1205"/>
      <c r="N520" s="1207"/>
      <c r="O520" s="1207"/>
      <c r="P520" s="1207"/>
      <c r="Q520" s="1771"/>
      <c r="R520" s="1458"/>
      <c r="S520" s="990"/>
    </row>
    <row r="521" s="989" customFormat="1" customHeight="1" spans="2:19">
      <c r="B521" s="990"/>
      <c r="C521" s="990"/>
      <c r="D521" s="990"/>
      <c r="E521" s="1104"/>
      <c r="F521" s="990"/>
      <c r="G521" s="990"/>
      <c r="H521" s="990"/>
      <c r="I521" s="1104"/>
      <c r="J521" s="1770"/>
      <c r="K521" s="1770"/>
      <c r="L521" s="1104"/>
      <c r="M521" s="1205"/>
      <c r="N521" s="1207"/>
      <c r="O521" s="1207"/>
      <c r="P521" s="1207"/>
      <c r="Q521" s="1771"/>
      <c r="R521" s="1458"/>
      <c r="S521" s="990"/>
    </row>
    <row r="522" s="989" customFormat="1" customHeight="1" spans="2:19">
      <c r="B522" s="990"/>
      <c r="C522" s="990"/>
      <c r="D522" s="990"/>
      <c r="E522" s="1104"/>
      <c r="F522" s="990"/>
      <c r="G522" s="990"/>
      <c r="H522" s="990"/>
      <c r="I522" s="1104"/>
      <c r="J522" s="1770"/>
      <c r="K522" s="1770"/>
      <c r="L522" s="1104"/>
      <c r="M522" s="1205"/>
      <c r="N522" s="1207"/>
      <c r="O522" s="1207"/>
      <c r="P522" s="1207"/>
      <c r="Q522" s="1771"/>
      <c r="R522" s="1458"/>
      <c r="S522" s="990"/>
    </row>
    <row r="523" s="989" customFormat="1" customHeight="1" spans="2:19">
      <c r="B523" s="990"/>
      <c r="C523" s="990"/>
      <c r="D523" s="990"/>
      <c r="E523" s="1104"/>
      <c r="F523" s="990"/>
      <c r="G523" s="990"/>
      <c r="H523" s="990"/>
      <c r="I523" s="1104"/>
      <c r="J523" s="1770"/>
      <c r="K523" s="1770"/>
      <c r="L523" s="1104"/>
      <c r="M523" s="1205"/>
      <c r="N523" s="1207"/>
      <c r="O523" s="1207"/>
      <c r="P523" s="1207"/>
      <c r="Q523" s="1771"/>
      <c r="R523" s="1458"/>
      <c r="S523" s="990"/>
    </row>
    <row r="524" s="989" customFormat="1" customHeight="1" spans="2:19">
      <c r="B524" s="990"/>
      <c r="C524" s="990"/>
      <c r="D524" s="990"/>
      <c r="E524" s="1104"/>
      <c r="F524" s="990"/>
      <c r="G524" s="990"/>
      <c r="H524" s="990"/>
      <c r="I524" s="1104"/>
      <c r="J524" s="1770"/>
      <c r="K524" s="1770"/>
      <c r="L524" s="1104"/>
      <c r="M524" s="1205"/>
      <c r="N524" s="1207"/>
      <c r="O524" s="1207"/>
      <c r="P524" s="1207"/>
      <c r="Q524" s="1771"/>
      <c r="R524" s="1458"/>
      <c r="S524" s="990"/>
    </row>
    <row r="525" s="989" customFormat="1" customHeight="1" spans="2:19">
      <c r="B525" s="990"/>
      <c r="C525" s="990"/>
      <c r="D525" s="990"/>
      <c r="E525" s="1104"/>
      <c r="F525" s="990"/>
      <c r="G525" s="990"/>
      <c r="H525" s="990"/>
      <c r="I525" s="1104"/>
      <c r="J525" s="1770"/>
      <c r="K525" s="1770"/>
      <c r="L525" s="1104"/>
      <c r="M525" s="1205"/>
      <c r="N525" s="1207"/>
      <c r="O525" s="1207"/>
      <c r="P525" s="1207"/>
      <c r="Q525" s="1771"/>
      <c r="R525" s="1458"/>
      <c r="S525" s="990"/>
    </row>
    <row r="526" s="989" customFormat="1" customHeight="1" spans="2:19">
      <c r="B526" s="990"/>
      <c r="C526" s="990"/>
      <c r="D526" s="990"/>
      <c r="E526" s="1104"/>
      <c r="F526" s="990"/>
      <c r="G526" s="990"/>
      <c r="H526" s="990"/>
      <c r="I526" s="1104"/>
      <c r="J526" s="1770"/>
      <c r="K526" s="1770"/>
      <c r="L526" s="1104"/>
      <c r="M526" s="1205"/>
      <c r="N526" s="1207"/>
      <c r="O526" s="1207"/>
      <c r="P526" s="1207"/>
      <c r="Q526" s="1771"/>
      <c r="R526" s="1458"/>
      <c r="S526" s="990"/>
    </row>
    <row r="527" s="989" customFormat="1" customHeight="1" spans="2:19">
      <c r="B527" s="990"/>
      <c r="C527" s="990"/>
      <c r="D527" s="990"/>
      <c r="E527" s="1104"/>
      <c r="F527" s="990"/>
      <c r="G527" s="990"/>
      <c r="H527" s="990"/>
      <c r="I527" s="1104"/>
      <c r="J527" s="1770"/>
      <c r="K527" s="1770"/>
      <c r="L527" s="1104"/>
      <c r="M527" s="1205"/>
      <c r="N527" s="1207"/>
      <c r="O527" s="1207"/>
      <c r="P527" s="1207"/>
      <c r="Q527" s="1771"/>
      <c r="R527" s="1458"/>
      <c r="S527" s="990"/>
    </row>
    <row r="528" s="989" customFormat="1" customHeight="1" spans="2:19">
      <c r="B528" s="990"/>
      <c r="C528" s="990"/>
      <c r="D528" s="990"/>
      <c r="E528" s="1104"/>
      <c r="F528" s="990"/>
      <c r="G528" s="990"/>
      <c r="H528" s="990"/>
      <c r="I528" s="1104"/>
      <c r="J528" s="1770"/>
      <c r="K528" s="1770"/>
      <c r="L528" s="1104"/>
      <c r="M528" s="1205"/>
      <c r="N528" s="1207"/>
      <c r="O528" s="1207"/>
      <c r="P528" s="1207"/>
      <c r="Q528" s="1771"/>
      <c r="R528" s="1458"/>
      <c r="S528" s="990"/>
    </row>
    <row r="529" s="989" customFormat="1" customHeight="1" spans="2:19">
      <c r="B529" s="990"/>
      <c r="C529" s="990"/>
      <c r="D529" s="990"/>
      <c r="E529" s="1104"/>
      <c r="F529" s="990"/>
      <c r="G529" s="990"/>
      <c r="H529" s="990"/>
      <c r="I529" s="1104"/>
      <c r="J529" s="1770"/>
      <c r="K529" s="1770"/>
      <c r="L529" s="1104"/>
      <c r="M529" s="1205"/>
      <c r="N529" s="1207"/>
      <c r="O529" s="1207"/>
      <c r="P529" s="1207"/>
      <c r="Q529" s="1771"/>
      <c r="R529" s="1458"/>
      <c r="S529" s="990"/>
    </row>
    <row r="530" s="989" customFormat="1" customHeight="1" spans="2:19">
      <c r="B530" s="990"/>
      <c r="C530" s="990"/>
      <c r="D530" s="990"/>
      <c r="E530" s="1104"/>
      <c r="F530" s="990"/>
      <c r="G530" s="990"/>
      <c r="H530" s="990"/>
      <c r="I530" s="1104"/>
      <c r="J530" s="1770"/>
      <c r="K530" s="1770"/>
      <c r="L530" s="1104"/>
      <c r="M530" s="1205"/>
      <c r="N530" s="1207"/>
      <c r="O530" s="1207"/>
      <c r="P530" s="1207"/>
      <c r="Q530" s="1771"/>
      <c r="R530" s="1458"/>
      <c r="S530" s="990"/>
    </row>
    <row r="531" s="989" customFormat="1" customHeight="1" spans="2:19">
      <c r="B531" s="990"/>
      <c r="C531" s="990"/>
      <c r="D531" s="990"/>
      <c r="E531" s="1104"/>
      <c r="F531" s="990"/>
      <c r="G531" s="990"/>
      <c r="H531" s="990"/>
      <c r="I531" s="1104"/>
      <c r="J531" s="1770"/>
      <c r="K531" s="1770"/>
      <c r="L531" s="1104"/>
      <c r="M531" s="1205"/>
      <c r="N531" s="1207"/>
      <c r="O531" s="1207"/>
      <c r="P531" s="1207"/>
      <c r="Q531" s="1771"/>
      <c r="R531" s="1458"/>
      <c r="S531" s="990"/>
    </row>
    <row r="532" s="989" customFormat="1" customHeight="1" spans="2:19">
      <c r="B532" s="990"/>
      <c r="C532" s="990"/>
      <c r="D532" s="990"/>
      <c r="E532" s="1104"/>
      <c r="F532" s="990"/>
      <c r="G532" s="990"/>
      <c r="H532" s="990"/>
      <c r="I532" s="1104"/>
      <c r="J532" s="1770"/>
      <c r="K532" s="1770"/>
      <c r="L532" s="1104"/>
      <c r="M532" s="1205"/>
      <c r="N532" s="1207"/>
      <c r="O532" s="1207"/>
      <c r="P532" s="1207"/>
      <c r="Q532" s="1771"/>
      <c r="R532" s="1458"/>
      <c r="S532" s="990"/>
    </row>
    <row r="533" s="989" customFormat="1" customHeight="1" spans="2:19">
      <c r="B533" s="990"/>
      <c r="C533" s="990"/>
      <c r="D533" s="990"/>
      <c r="E533" s="1104"/>
      <c r="F533" s="990"/>
      <c r="G533" s="990"/>
      <c r="H533" s="990"/>
      <c r="I533" s="1104"/>
      <c r="J533" s="1770"/>
      <c r="K533" s="1770"/>
      <c r="L533" s="1104"/>
      <c r="M533" s="1205"/>
      <c r="N533" s="1207"/>
      <c r="O533" s="1207"/>
      <c r="P533" s="1207"/>
      <c r="Q533" s="1771"/>
      <c r="R533" s="1458"/>
      <c r="S533" s="990"/>
    </row>
    <row r="534" s="989" customFormat="1" customHeight="1" spans="2:19">
      <c r="B534" s="990"/>
      <c r="C534" s="990"/>
      <c r="D534" s="990"/>
      <c r="E534" s="1104"/>
      <c r="F534" s="990"/>
      <c r="G534" s="990"/>
      <c r="H534" s="990"/>
      <c r="I534" s="1104"/>
      <c r="J534" s="1770"/>
      <c r="K534" s="1770"/>
      <c r="L534" s="1104"/>
      <c r="M534" s="1205"/>
      <c r="N534" s="1207"/>
      <c r="O534" s="1207"/>
      <c r="P534" s="1207"/>
      <c r="Q534" s="1771"/>
      <c r="R534" s="1458"/>
      <c r="S534" s="990"/>
    </row>
    <row r="535" s="989" customFormat="1" customHeight="1" spans="2:19">
      <c r="B535" s="990"/>
      <c r="C535" s="990"/>
      <c r="D535" s="990"/>
      <c r="E535" s="1104"/>
      <c r="F535" s="990"/>
      <c r="G535" s="990"/>
      <c r="H535" s="990"/>
      <c r="I535" s="1104"/>
      <c r="J535" s="1770"/>
      <c r="K535" s="1770"/>
      <c r="L535" s="1104"/>
      <c r="M535" s="1205"/>
      <c r="N535" s="1207"/>
      <c r="O535" s="1207"/>
      <c r="P535" s="1207"/>
      <c r="Q535" s="1771"/>
      <c r="R535" s="1458"/>
      <c r="S535" s="990"/>
    </row>
    <row r="536" s="989" customFormat="1" customHeight="1" spans="2:19">
      <c r="B536" s="990"/>
      <c r="C536" s="990"/>
      <c r="D536" s="990"/>
      <c r="E536" s="1104"/>
      <c r="F536" s="990"/>
      <c r="G536" s="990"/>
      <c r="H536" s="990"/>
      <c r="I536" s="1104"/>
      <c r="J536" s="1770"/>
      <c r="K536" s="1770"/>
      <c r="L536" s="1104"/>
      <c r="M536" s="1205"/>
      <c r="N536" s="1207"/>
      <c r="O536" s="1207"/>
      <c r="P536" s="1207"/>
      <c r="Q536" s="1771"/>
      <c r="R536" s="1458"/>
      <c r="S536" s="990"/>
    </row>
    <row r="537" s="989" customFormat="1" customHeight="1" spans="2:19">
      <c r="B537" s="990"/>
      <c r="C537" s="990"/>
      <c r="D537" s="990"/>
      <c r="E537" s="1104"/>
      <c r="F537" s="990"/>
      <c r="G537" s="990"/>
      <c r="H537" s="990"/>
      <c r="I537" s="1104"/>
      <c r="J537" s="1770"/>
      <c r="K537" s="1770"/>
      <c r="L537" s="1104"/>
      <c r="M537" s="1205"/>
      <c r="N537" s="1207"/>
      <c r="O537" s="1207"/>
      <c r="P537" s="1207"/>
      <c r="Q537" s="1771"/>
      <c r="R537" s="1458"/>
      <c r="S537" s="990"/>
    </row>
    <row r="538" s="989" customFormat="1" customHeight="1" spans="2:19">
      <c r="B538" s="990"/>
      <c r="C538" s="990"/>
      <c r="D538" s="990"/>
      <c r="E538" s="1104"/>
      <c r="F538" s="990"/>
      <c r="G538" s="990"/>
      <c r="H538" s="990"/>
      <c r="I538" s="1104"/>
      <c r="J538" s="1770"/>
      <c r="K538" s="1770"/>
      <c r="L538" s="1104"/>
      <c r="M538" s="1205"/>
      <c r="N538" s="1207"/>
      <c r="O538" s="1207"/>
      <c r="P538" s="1207"/>
      <c r="Q538" s="1771"/>
      <c r="R538" s="1458"/>
      <c r="S538" s="990"/>
    </row>
    <row r="539" s="989" customFormat="1" customHeight="1" spans="2:19">
      <c r="B539" s="990"/>
      <c r="C539" s="990"/>
      <c r="D539" s="990"/>
      <c r="E539" s="1104"/>
      <c r="F539" s="990"/>
      <c r="G539" s="990"/>
      <c r="H539" s="990"/>
      <c r="I539" s="1104"/>
      <c r="J539" s="1770"/>
      <c r="K539" s="1770"/>
      <c r="L539" s="1104"/>
      <c r="M539" s="1205"/>
      <c r="N539" s="1207"/>
      <c r="O539" s="1207"/>
      <c r="P539" s="1207"/>
      <c r="Q539" s="1771"/>
      <c r="R539" s="1458"/>
      <c r="S539" s="990"/>
    </row>
    <row r="540" s="989" customFormat="1" customHeight="1" spans="2:19">
      <c r="B540" s="990"/>
      <c r="C540" s="990"/>
      <c r="D540" s="990"/>
      <c r="E540" s="1104"/>
      <c r="F540" s="990"/>
      <c r="G540" s="990"/>
      <c r="H540" s="990"/>
      <c r="I540" s="1104"/>
      <c r="J540" s="1770"/>
      <c r="K540" s="1770"/>
      <c r="L540" s="1104"/>
      <c r="M540" s="1205"/>
      <c r="N540" s="1207"/>
      <c r="O540" s="1207"/>
      <c r="P540" s="1207"/>
      <c r="Q540" s="1771"/>
      <c r="R540" s="1458"/>
      <c r="S540" s="990"/>
    </row>
    <row r="541" s="989" customFormat="1" customHeight="1" spans="2:19">
      <c r="B541" s="990"/>
      <c r="C541" s="990"/>
      <c r="D541" s="990"/>
      <c r="E541" s="1104"/>
      <c r="F541" s="990"/>
      <c r="G541" s="990"/>
      <c r="H541" s="990"/>
      <c r="I541" s="1104"/>
      <c r="J541" s="1770"/>
      <c r="K541" s="1770"/>
      <c r="L541" s="1104"/>
      <c r="M541" s="1205"/>
      <c r="N541" s="1207"/>
      <c r="O541" s="1207"/>
      <c r="P541" s="1207"/>
      <c r="Q541" s="1771"/>
      <c r="R541" s="1458"/>
      <c r="S541" s="990"/>
    </row>
    <row r="542" s="989" customFormat="1" customHeight="1" spans="2:19">
      <c r="B542" s="990"/>
      <c r="C542" s="990"/>
      <c r="D542" s="990"/>
      <c r="E542" s="1104"/>
      <c r="F542" s="990"/>
      <c r="G542" s="990"/>
      <c r="H542" s="990"/>
      <c r="I542" s="1104"/>
      <c r="J542" s="1770"/>
      <c r="K542" s="1770"/>
      <c r="L542" s="1104"/>
      <c r="M542" s="1205"/>
      <c r="N542" s="1207"/>
      <c r="O542" s="1207"/>
      <c r="P542" s="1207"/>
      <c r="Q542" s="1771"/>
      <c r="R542" s="1458"/>
      <c r="S542" s="990"/>
    </row>
    <row r="543" s="989" customFormat="1" customHeight="1" spans="2:19">
      <c r="B543" s="990"/>
      <c r="C543" s="990"/>
      <c r="D543" s="990"/>
      <c r="E543" s="1104"/>
      <c r="F543" s="990"/>
      <c r="G543" s="990"/>
      <c r="H543" s="990"/>
      <c r="I543" s="1104"/>
      <c r="J543" s="1770"/>
      <c r="K543" s="1770"/>
      <c r="L543" s="1104"/>
      <c r="M543" s="1205"/>
      <c r="N543" s="1207"/>
      <c r="O543" s="1207"/>
      <c r="P543" s="1207"/>
      <c r="Q543" s="1771"/>
      <c r="R543" s="1458"/>
      <c r="S543" s="990"/>
    </row>
    <row r="544" s="989" customFormat="1" customHeight="1" spans="2:19">
      <c r="B544" s="990"/>
      <c r="C544" s="990"/>
      <c r="D544" s="990"/>
      <c r="E544" s="1104"/>
      <c r="F544" s="990"/>
      <c r="G544" s="990"/>
      <c r="H544" s="990"/>
      <c r="I544" s="1104"/>
      <c r="J544" s="1770"/>
      <c r="K544" s="1770"/>
      <c r="L544" s="1104"/>
      <c r="M544" s="1205"/>
      <c r="N544" s="1207"/>
      <c r="O544" s="1207"/>
      <c r="P544" s="1207"/>
      <c r="Q544" s="1771"/>
      <c r="R544" s="1458"/>
      <c r="S544" s="990"/>
    </row>
    <row r="545" s="989" customFormat="1" customHeight="1" spans="2:19">
      <c r="B545" s="990"/>
      <c r="C545" s="990"/>
      <c r="D545" s="990"/>
      <c r="E545" s="1104"/>
      <c r="F545" s="990"/>
      <c r="G545" s="990"/>
      <c r="H545" s="990"/>
      <c r="I545" s="1104"/>
      <c r="J545" s="1770"/>
      <c r="K545" s="1770"/>
      <c r="L545" s="1104"/>
      <c r="M545" s="1205"/>
      <c r="N545" s="1207"/>
      <c r="O545" s="1207"/>
      <c r="P545" s="1207"/>
      <c r="Q545" s="1771"/>
      <c r="R545" s="1458"/>
      <c r="S545" s="990"/>
    </row>
    <row r="546" s="989" customFormat="1" customHeight="1" spans="2:19">
      <c r="B546" s="990"/>
      <c r="C546" s="990"/>
      <c r="D546" s="990"/>
      <c r="E546" s="1104"/>
      <c r="F546" s="990"/>
      <c r="G546" s="990"/>
      <c r="H546" s="990"/>
      <c r="I546" s="1104"/>
      <c r="J546" s="1770"/>
      <c r="K546" s="1770"/>
      <c r="L546" s="1104"/>
      <c r="M546" s="1205"/>
      <c r="N546" s="1207"/>
      <c r="O546" s="1207"/>
      <c r="P546" s="1207"/>
      <c r="Q546" s="1771"/>
      <c r="R546" s="1458"/>
      <c r="S546" s="990"/>
    </row>
    <row r="547" s="989" customFormat="1" customHeight="1" spans="2:19">
      <c r="B547" s="990"/>
      <c r="C547" s="990"/>
      <c r="D547" s="990"/>
      <c r="E547" s="1104"/>
      <c r="F547" s="990"/>
      <c r="G547" s="990"/>
      <c r="H547" s="990"/>
      <c r="I547" s="1104"/>
      <c r="J547" s="1770"/>
      <c r="K547" s="1770"/>
      <c r="L547" s="1104"/>
      <c r="M547" s="1205"/>
      <c r="N547" s="1207"/>
      <c r="O547" s="1207"/>
      <c r="P547" s="1207"/>
      <c r="Q547" s="1771"/>
      <c r="R547" s="1458"/>
      <c r="S547" s="990"/>
    </row>
    <row r="548" s="989" customFormat="1" customHeight="1" spans="2:19">
      <c r="B548" s="990"/>
      <c r="C548" s="990"/>
      <c r="D548" s="990"/>
      <c r="E548" s="1104"/>
      <c r="F548" s="990"/>
      <c r="G548" s="990"/>
      <c r="H548" s="990"/>
      <c r="I548" s="1104"/>
      <c r="J548" s="1770"/>
      <c r="K548" s="1770"/>
      <c r="L548" s="1104"/>
      <c r="M548" s="1205"/>
      <c r="N548" s="1207"/>
      <c r="O548" s="1207"/>
      <c r="P548" s="1207"/>
      <c r="Q548" s="1771"/>
      <c r="R548" s="1458"/>
      <c r="S548" s="990"/>
    </row>
    <row r="549" s="989" customFormat="1" customHeight="1" spans="2:19">
      <c r="B549" s="990"/>
      <c r="C549" s="990"/>
      <c r="D549" s="990"/>
      <c r="E549" s="1104"/>
      <c r="F549" s="990"/>
      <c r="G549" s="990"/>
      <c r="H549" s="990"/>
      <c r="I549" s="1104"/>
      <c r="J549" s="1770"/>
      <c r="K549" s="1770"/>
      <c r="L549" s="1104"/>
      <c r="M549" s="1205"/>
      <c r="N549" s="1207"/>
      <c r="O549" s="1207"/>
      <c r="P549" s="1207"/>
      <c r="Q549" s="1771"/>
      <c r="R549" s="1458"/>
      <c r="S549" s="990"/>
    </row>
    <row r="550" s="989" customFormat="1" customHeight="1" spans="2:19">
      <c r="B550" s="990"/>
      <c r="C550" s="990"/>
      <c r="D550" s="990"/>
      <c r="E550" s="1104"/>
      <c r="F550" s="990"/>
      <c r="G550" s="990"/>
      <c r="H550" s="990"/>
      <c r="I550" s="1104"/>
      <c r="J550" s="1770"/>
      <c r="K550" s="1770"/>
      <c r="L550" s="1104"/>
      <c r="M550" s="1205"/>
      <c r="N550" s="1207"/>
      <c r="O550" s="1207"/>
      <c r="P550" s="1207"/>
      <c r="Q550" s="1771"/>
      <c r="R550" s="1458"/>
      <c r="S550" s="990"/>
    </row>
    <row r="551" s="989" customFormat="1" customHeight="1" spans="2:19">
      <c r="B551" s="990"/>
      <c r="C551" s="990"/>
      <c r="D551" s="990"/>
      <c r="E551" s="1104"/>
      <c r="F551" s="990"/>
      <c r="G551" s="990"/>
      <c r="H551" s="990"/>
      <c r="I551" s="1104"/>
      <c r="J551" s="1770"/>
      <c r="K551" s="1770"/>
      <c r="L551" s="1104"/>
      <c r="M551" s="1205"/>
      <c r="N551" s="1207"/>
      <c r="O551" s="1207"/>
      <c r="P551" s="1207"/>
      <c r="Q551" s="1771"/>
      <c r="R551" s="1458"/>
      <c r="S551" s="990"/>
    </row>
    <row r="552" s="989" customFormat="1" customHeight="1" spans="2:19">
      <c r="B552" s="990"/>
      <c r="C552" s="990"/>
      <c r="D552" s="990"/>
      <c r="E552" s="1104"/>
      <c r="F552" s="990"/>
      <c r="G552" s="990"/>
      <c r="H552" s="990"/>
      <c r="I552" s="1104"/>
      <c r="J552" s="1770"/>
      <c r="K552" s="1770"/>
      <c r="L552" s="1104"/>
      <c r="M552" s="1205"/>
      <c r="N552" s="1207"/>
      <c r="O552" s="1207"/>
      <c r="P552" s="1207"/>
      <c r="Q552" s="1771"/>
      <c r="R552" s="1458"/>
      <c r="S552" s="990"/>
    </row>
    <row r="553" s="989" customFormat="1" customHeight="1" spans="2:19">
      <c r="B553" s="990"/>
      <c r="C553" s="990"/>
      <c r="D553" s="990"/>
      <c r="E553" s="1104"/>
      <c r="F553" s="990"/>
      <c r="G553" s="990"/>
      <c r="H553" s="990"/>
      <c r="I553" s="1104"/>
      <c r="J553" s="1770"/>
      <c r="K553" s="1770"/>
      <c r="L553" s="1104"/>
      <c r="M553" s="1205"/>
      <c r="N553" s="1207"/>
      <c r="O553" s="1207"/>
      <c r="P553" s="1207"/>
      <c r="Q553" s="1771"/>
      <c r="R553" s="1458"/>
      <c r="S553" s="990"/>
    </row>
    <row r="554" s="989" customFormat="1" customHeight="1" spans="2:19">
      <c r="B554" s="990"/>
      <c r="C554" s="990"/>
      <c r="D554" s="990"/>
      <c r="E554" s="1104"/>
      <c r="F554" s="990"/>
      <c r="G554" s="990"/>
      <c r="H554" s="990"/>
      <c r="I554" s="1104"/>
      <c r="J554" s="1770"/>
      <c r="K554" s="1770"/>
      <c r="L554" s="1104"/>
      <c r="M554" s="1205"/>
      <c r="N554" s="1207"/>
      <c r="O554" s="1207"/>
      <c r="P554" s="1207"/>
      <c r="Q554" s="1771"/>
      <c r="R554" s="1458"/>
      <c r="S554" s="990"/>
    </row>
    <row r="555" s="989" customFormat="1" customHeight="1" spans="2:19">
      <c r="B555" s="990"/>
      <c r="C555" s="990"/>
      <c r="D555" s="990"/>
      <c r="E555" s="1104"/>
      <c r="F555" s="990"/>
      <c r="G555" s="990"/>
      <c r="H555" s="990"/>
      <c r="I555" s="1104"/>
      <c r="J555" s="1770"/>
      <c r="K555" s="1770"/>
      <c r="L555" s="1104"/>
      <c r="M555" s="1205"/>
      <c r="N555" s="1207"/>
      <c r="O555" s="1207"/>
      <c r="P555" s="1207"/>
      <c r="Q555" s="1771"/>
      <c r="R555" s="1458"/>
      <c r="S555" s="990"/>
    </row>
    <row r="556" s="989" customFormat="1" customHeight="1" spans="2:19">
      <c r="B556" s="990"/>
      <c r="C556" s="990"/>
      <c r="D556" s="990"/>
      <c r="E556" s="1104"/>
      <c r="F556" s="990"/>
      <c r="G556" s="990"/>
      <c r="H556" s="990"/>
      <c r="I556" s="1104"/>
      <c r="J556" s="1770"/>
      <c r="K556" s="1770"/>
      <c r="L556" s="1104"/>
      <c r="M556" s="1205"/>
      <c r="N556" s="1207"/>
      <c r="O556" s="1207"/>
      <c r="P556" s="1207"/>
      <c r="Q556" s="1771"/>
      <c r="R556" s="1458"/>
      <c r="S556" s="990"/>
    </row>
    <row r="557" s="989" customFormat="1" customHeight="1" spans="2:19">
      <c r="B557" s="990"/>
      <c r="C557" s="990"/>
      <c r="D557" s="990"/>
      <c r="E557" s="1104"/>
      <c r="F557" s="990"/>
      <c r="G557" s="990"/>
      <c r="H557" s="990"/>
      <c r="I557" s="1104"/>
      <c r="J557" s="1770"/>
      <c r="K557" s="1770"/>
      <c r="L557" s="1104"/>
      <c r="M557" s="1205"/>
      <c r="N557" s="1207"/>
      <c r="O557" s="1207"/>
      <c r="P557" s="1207"/>
      <c r="Q557" s="1771"/>
      <c r="R557" s="1458"/>
      <c r="S557" s="990"/>
    </row>
    <row r="558" s="989" customFormat="1" customHeight="1" spans="2:19">
      <c r="B558" s="990"/>
      <c r="C558" s="990"/>
      <c r="D558" s="990"/>
      <c r="E558" s="1104"/>
      <c r="F558" s="990"/>
      <c r="G558" s="990"/>
      <c r="H558" s="990"/>
      <c r="I558" s="1104"/>
      <c r="J558" s="1770"/>
      <c r="K558" s="1770"/>
      <c r="L558" s="1104"/>
      <c r="M558" s="1205"/>
      <c r="N558" s="1207"/>
      <c r="O558" s="1207"/>
      <c r="P558" s="1207"/>
      <c r="Q558" s="1771"/>
      <c r="R558" s="1458"/>
      <c r="S558" s="990"/>
    </row>
    <row r="559" s="989" customFormat="1" customHeight="1" spans="2:19">
      <c r="B559" s="990"/>
      <c r="C559" s="990"/>
      <c r="D559" s="990"/>
      <c r="E559" s="1104"/>
      <c r="F559" s="990"/>
      <c r="G559" s="990"/>
      <c r="H559" s="990"/>
      <c r="I559" s="1104"/>
      <c r="J559" s="1770"/>
      <c r="K559" s="1770"/>
      <c r="L559" s="1104"/>
      <c r="M559" s="1205"/>
      <c r="N559" s="1207"/>
      <c r="O559" s="1207"/>
      <c r="P559" s="1207"/>
      <c r="Q559" s="1771"/>
      <c r="R559" s="1458"/>
      <c r="S559" s="990"/>
    </row>
    <row r="560" s="989" customFormat="1" customHeight="1" spans="2:19">
      <c r="B560" s="990"/>
      <c r="C560" s="990"/>
      <c r="D560" s="990"/>
      <c r="E560" s="1104"/>
      <c r="F560" s="990"/>
      <c r="G560" s="990"/>
      <c r="H560" s="990"/>
      <c r="I560" s="1104"/>
      <c r="J560" s="1770"/>
      <c r="K560" s="1770"/>
      <c r="L560" s="1104"/>
      <c r="M560" s="1205"/>
      <c r="N560" s="1207"/>
      <c r="O560" s="1207"/>
      <c r="P560" s="1207"/>
      <c r="Q560" s="1771"/>
      <c r="R560" s="1458"/>
      <c r="S560" s="990"/>
    </row>
    <row r="561" s="989" customFormat="1" customHeight="1" spans="2:19">
      <c r="B561" s="990"/>
      <c r="C561" s="990"/>
      <c r="D561" s="990"/>
      <c r="E561" s="1104"/>
      <c r="F561" s="990"/>
      <c r="G561" s="990"/>
      <c r="H561" s="990"/>
      <c r="I561" s="1104"/>
      <c r="J561" s="1770"/>
      <c r="K561" s="1770"/>
      <c r="L561" s="1104"/>
      <c r="M561" s="1205"/>
      <c r="N561" s="1207"/>
      <c r="O561" s="1207"/>
      <c r="P561" s="1207"/>
      <c r="Q561" s="1771"/>
      <c r="R561" s="1458"/>
      <c r="S561" s="990"/>
    </row>
    <row r="562" s="989" customFormat="1" customHeight="1" spans="2:19">
      <c r="B562" s="990"/>
      <c r="C562" s="990"/>
      <c r="D562" s="990"/>
      <c r="E562" s="1104"/>
      <c r="F562" s="990"/>
      <c r="G562" s="990"/>
      <c r="H562" s="990"/>
      <c r="I562" s="1104"/>
      <c r="J562" s="1770"/>
      <c r="K562" s="1770"/>
      <c r="L562" s="1104"/>
      <c r="M562" s="1205"/>
      <c r="N562" s="1207"/>
      <c r="O562" s="1207"/>
      <c r="P562" s="1207"/>
      <c r="Q562" s="1771"/>
      <c r="R562" s="1458"/>
      <c r="S562" s="990"/>
    </row>
    <row r="563" s="989" customFormat="1" customHeight="1" spans="2:19">
      <c r="B563" s="990"/>
      <c r="C563" s="990"/>
      <c r="D563" s="990"/>
      <c r="E563" s="1104"/>
      <c r="F563" s="990"/>
      <c r="G563" s="990"/>
      <c r="H563" s="990"/>
      <c r="I563" s="1104"/>
      <c r="J563" s="1770"/>
      <c r="K563" s="1770"/>
      <c r="L563" s="1104"/>
      <c r="M563" s="1205"/>
      <c r="N563" s="1207"/>
      <c r="O563" s="1207"/>
      <c r="P563" s="1207"/>
      <c r="Q563" s="1771"/>
      <c r="R563" s="1458"/>
      <c r="S563" s="990"/>
    </row>
    <row r="564" s="989" customFormat="1" customHeight="1" spans="2:19">
      <c r="B564" s="990"/>
      <c r="C564" s="990"/>
      <c r="D564" s="990"/>
      <c r="E564" s="1104"/>
      <c r="F564" s="990"/>
      <c r="G564" s="990"/>
      <c r="H564" s="990"/>
      <c r="I564" s="1104"/>
      <c r="J564" s="1770"/>
      <c r="K564" s="1770"/>
      <c r="L564" s="1104"/>
      <c r="M564" s="1205"/>
      <c r="N564" s="1207"/>
      <c r="O564" s="1207"/>
      <c r="P564" s="1207"/>
      <c r="Q564" s="1771"/>
      <c r="R564" s="1458"/>
      <c r="S564" s="990"/>
    </row>
    <row r="565" s="989" customFormat="1" customHeight="1" spans="2:19">
      <c r="B565" s="990"/>
      <c r="C565" s="990"/>
      <c r="D565" s="990"/>
      <c r="E565" s="1104"/>
      <c r="F565" s="990"/>
      <c r="G565" s="990"/>
      <c r="H565" s="990"/>
      <c r="I565" s="1104"/>
      <c r="J565" s="1770"/>
      <c r="K565" s="1770"/>
      <c r="L565" s="1104"/>
      <c r="M565" s="1205"/>
      <c r="N565" s="1207"/>
      <c r="O565" s="1207"/>
      <c r="P565" s="1207"/>
      <c r="Q565" s="1771"/>
      <c r="R565" s="1458"/>
      <c r="S565" s="990"/>
    </row>
    <row r="566" s="989" customFormat="1" customHeight="1" spans="2:19">
      <c r="B566" s="990"/>
      <c r="C566" s="990"/>
      <c r="D566" s="990"/>
      <c r="E566" s="1104"/>
      <c r="F566" s="990"/>
      <c r="G566" s="990"/>
      <c r="H566" s="990"/>
      <c r="I566" s="1104"/>
      <c r="J566" s="1770"/>
      <c r="K566" s="1770"/>
      <c r="L566" s="1104"/>
      <c r="M566" s="1205"/>
      <c r="N566" s="1207"/>
      <c r="O566" s="1207"/>
      <c r="P566" s="1207"/>
      <c r="Q566" s="1771"/>
      <c r="R566" s="1458"/>
      <c r="S566" s="990"/>
    </row>
    <row r="567" s="989" customFormat="1" customHeight="1" spans="2:19">
      <c r="B567" s="990"/>
      <c r="C567" s="990"/>
      <c r="D567" s="990"/>
      <c r="E567" s="1104"/>
      <c r="F567" s="990"/>
      <c r="G567" s="990"/>
      <c r="H567" s="990"/>
      <c r="I567" s="1104"/>
      <c r="J567" s="1770"/>
      <c r="K567" s="1770"/>
      <c r="L567" s="1104"/>
      <c r="M567" s="1205"/>
      <c r="N567" s="1207"/>
      <c r="O567" s="1207"/>
      <c r="P567" s="1207"/>
      <c r="Q567" s="1771"/>
      <c r="R567" s="1458"/>
      <c r="S567" s="990"/>
    </row>
    <row r="568" s="989" customFormat="1" customHeight="1" spans="2:19">
      <c r="B568" s="990"/>
      <c r="C568" s="990"/>
      <c r="D568" s="990"/>
      <c r="E568" s="1104"/>
      <c r="F568" s="990"/>
      <c r="G568" s="990"/>
      <c r="H568" s="990"/>
      <c r="I568" s="1104"/>
      <c r="J568" s="1770"/>
      <c r="K568" s="1770"/>
      <c r="L568" s="1104"/>
      <c r="M568" s="1205"/>
      <c r="N568" s="1207"/>
      <c r="O568" s="1207"/>
      <c r="P568" s="1207"/>
      <c r="Q568" s="1771"/>
      <c r="R568" s="1458"/>
      <c r="S568" s="990"/>
    </row>
    <row r="569" s="989" customFormat="1" customHeight="1" spans="2:19">
      <c r="B569" s="990"/>
      <c r="C569" s="990"/>
      <c r="D569" s="990"/>
      <c r="E569" s="1104"/>
      <c r="F569" s="990"/>
      <c r="G569" s="990"/>
      <c r="H569" s="990"/>
      <c r="I569" s="1104"/>
      <c r="J569" s="1770"/>
      <c r="K569" s="1770"/>
      <c r="L569" s="1104"/>
      <c r="M569" s="1205"/>
      <c r="N569" s="1207"/>
      <c r="O569" s="1207"/>
      <c r="P569" s="1207"/>
      <c r="Q569" s="1771"/>
      <c r="R569" s="1458"/>
      <c r="S569" s="990"/>
    </row>
    <row r="570" s="989" customFormat="1" customHeight="1" spans="2:19">
      <c r="B570" s="990"/>
      <c r="C570" s="990"/>
      <c r="D570" s="990"/>
      <c r="E570" s="1104"/>
      <c r="F570" s="990"/>
      <c r="G570" s="990"/>
      <c r="H570" s="990"/>
      <c r="I570" s="1104"/>
      <c r="J570" s="1770"/>
      <c r="K570" s="1770"/>
      <c r="L570" s="1104"/>
      <c r="M570" s="1205"/>
      <c r="N570" s="1207"/>
      <c r="O570" s="1207"/>
      <c r="P570" s="1207"/>
      <c r="Q570" s="1771"/>
      <c r="R570" s="1458"/>
      <c r="S570" s="990"/>
    </row>
    <row r="571" s="989" customFormat="1" customHeight="1" spans="2:19">
      <c r="B571" s="990"/>
      <c r="C571" s="990"/>
      <c r="D571" s="990"/>
      <c r="E571" s="1104"/>
      <c r="F571" s="990"/>
      <c r="G571" s="990"/>
      <c r="H571" s="990"/>
      <c r="I571" s="1104"/>
      <c r="J571" s="1770"/>
      <c r="K571" s="1770"/>
      <c r="L571" s="1104"/>
      <c r="M571" s="1205"/>
      <c r="N571" s="1207"/>
      <c r="O571" s="1207"/>
      <c r="P571" s="1207"/>
      <c r="Q571" s="1771"/>
      <c r="R571" s="1458"/>
      <c r="S571" s="990"/>
    </row>
    <row r="572" s="989" customFormat="1" customHeight="1" spans="2:19">
      <c r="B572" s="990"/>
      <c r="C572" s="990"/>
      <c r="D572" s="990"/>
      <c r="E572" s="1104"/>
      <c r="F572" s="990"/>
      <c r="G572" s="990"/>
      <c r="H572" s="990"/>
      <c r="I572" s="1104"/>
      <c r="J572" s="1770"/>
      <c r="K572" s="1770"/>
      <c r="L572" s="1104"/>
      <c r="M572" s="1205"/>
      <c r="N572" s="1207"/>
      <c r="O572" s="1207"/>
      <c r="P572" s="1207"/>
      <c r="Q572" s="1771"/>
      <c r="R572" s="1458"/>
      <c r="S572" s="990"/>
    </row>
    <row r="573" s="989" customFormat="1" customHeight="1" spans="2:19">
      <c r="B573" s="990"/>
      <c r="C573" s="990"/>
      <c r="D573" s="990"/>
      <c r="E573" s="1104"/>
      <c r="F573" s="990"/>
      <c r="G573" s="990"/>
      <c r="H573" s="990"/>
      <c r="I573" s="1104"/>
      <c r="J573" s="1770"/>
      <c r="K573" s="1770"/>
      <c r="L573" s="1104"/>
      <c r="M573" s="1205"/>
      <c r="N573" s="1207"/>
      <c r="O573" s="1207"/>
      <c r="P573" s="1207"/>
      <c r="Q573" s="1771"/>
      <c r="R573" s="1458"/>
      <c r="S573" s="990"/>
    </row>
    <row r="574" s="989" customFormat="1" customHeight="1" spans="2:19">
      <c r="B574" s="990"/>
      <c r="C574" s="990"/>
      <c r="D574" s="990"/>
      <c r="E574" s="1104"/>
      <c r="F574" s="990"/>
      <c r="G574" s="990"/>
      <c r="H574" s="990"/>
      <c r="I574" s="1104"/>
      <c r="J574" s="1770"/>
      <c r="K574" s="1770"/>
      <c r="L574" s="1104"/>
      <c r="M574" s="1205"/>
      <c r="N574" s="1207"/>
      <c r="O574" s="1207"/>
      <c r="P574" s="1207"/>
      <c r="Q574" s="1771"/>
      <c r="R574" s="1458"/>
      <c r="S574" s="990"/>
    </row>
    <row r="575" s="989" customFormat="1" customHeight="1" spans="2:19">
      <c r="B575" s="990"/>
      <c r="C575" s="990"/>
      <c r="D575" s="990"/>
      <c r="E575" s="1104"/>
      <c r="F575" s="990"/>
      <c r="G575" s="990"/>
      <c r="H575" s="990"/>
      <c r="I575" s="1104"/>
      <c r="J575" s="1770"/>
      <c r="K575" s="1770"/>
      <c r="L575" s="1104"/>
      <c r="M575" s="1205"/>
      <c r="N575" s="1207"/>
      <c r="O575" s="1207"/>
      <c r="P575" s="1207"/>
      <c r="Q575" s="1771"/>
      <c r="R575" s="1458"/>
      <c r="S575" s="990"/>
    </row>
    <row r="576" s="989" customFormat="1" customHeight="1" spans="2:19">
      <c r="B576" s="990"/>
      <c r="C576" s="990"/>
      <c r="D576" s="990"/>
      <c r="E576" s="1104"/>
      <c r="F576" s="990"/>
      <c r="G576" s="990"/>
      <c r="H576" s="990"/>
      <c r="I576" s="1104"/>
      <c r="J576" s="1770"/>
      <c r="K576" s="1770"/>
      <c r="L576" s="1104"/>
      <c r="M576" s="1205"/>
      <c r="N576" s="1207"/>
      <c r="O576" s="1207"/>
      <c r="P576" s="1207"/>
      <c r="Q576" s="1771"/>
      <c r="R576" s="1458"/>
      <c r="S576" s="990"/>
    </row>
    <row r="577" s="989" customFormat="1" customHeight="1" spans="2:19">
      <c r="B577" s="990"/>
      <c r="C577" s="990"/>
      <c r="D577" s="990"/>
      <c r="E577" s="1104"/>
      <c r="F577" s="990"/>
      <c r="G577" s="990"/>
      <c r="H577" s="990"/>
      <c r="I577" s="1104"/>
      <c r="J577" s="1770"/>
      <c r="K577" s="1770"/>
      <c r="L577" s="1104"/>
      <c r="M577" s="1205"/>
      <c r="N577" s="1207"/>
      <c r="O577" s="1207"/>
      <c r="P577" s="1207"/>
      <c r="Q577" s="1771"/>
      <c r="R577" s="1458"/>
      <c r="S577" s="990"/>
    </row>
    <row r="578" s="989" customFormat="1" customHeight="1" spans="2:19">
      <c r="B578" s="990"/>
      <c r="C578" s="990"/>
      <c r="D578" s="990"/>
      <c r="E578" s="1104"/>
      <c r="F578" s="990"/>
      <c r="G578" s="990"/>
      <c r="H578" s="990"/>
      <c r="I578" s="1104"/>
      <c r="J578" s="1770"/>
      <c r="K578" s="1770"/>
      <c r="L578" s="1104"/>
      <c r="M578" s="1205"/>
      <c r="N578" s="1207"/>
      <c r="O578" s="1207"/>
      <c r="P578" s="1207"/>
      <c r="Q578" s="1771"/>
      <c r="R578" s="1458"/>
      <c r="S578" s="990"/>
    </row>
    <row r="579" s="989" customFormat="1" customHeight="1" spans="2:19">
      <c r="B579" s="990"/>
      <c r="C579" s="990"/>
      <c r="D579" s="990"/>
      <c r="E579" s="1104"/>
      <c r="F579" s="990"/>
      <c r="G579" s="990"/>
      <c r="H579" s="990"/>
      <c r="I579" s="1104"/>
      <c r="J579" s="1770"/>
      <c r="K579" s="1770"/>
      <c r="L579" s="1104"/>
      <c r="M579" s="1205"/>
      <c r="N579" s="1207"/>
      <c r="O579" s="1207"/>
      <c r="P579" s="1207"/>
      <c r="Q579" s="1771"/>
      <c r="R579" s="1458"/>
      <c r="S579" s="990"/>
    </row>
    <row r="580" s="989" customFormat="1" customHeight="1" spans="2:19">
      <c r="B580" s="990"/>
      <c r="C580" s="990"/>
      <c r="D580" s="990"/>
      <c r="E580" s="1104"/>
      <c r="F580" s="990"/>
      <c r="G580" s="990"/>
      <c r="H580" s="990"/>
      <c r="I580" s="1104"/>
      <c r="J580" s="1770"/>
      <c r="K580" s="1770"/>
      <c r="L580" s="1104"/>
      <c r="M580" s="1205"/>
      <c r="N580" s="1207"/>
      <c r="O580" s="1207"/>
      <c r="P580" s="1207"/>
      <c r="Q580" s="1771"/>
      <c r="R580" s="1458"/>
      <c r="S580" s="990"/>
    </row>
    <row r="581" s="989" customFormat="1" customHeight="1" spans="2:19">
      <c r="B581" s="990"/>
      <c r="C581" s="990"/>
      <c r="D581" s="990"/>
      <c r="E581" s="1104"/>
      <c r="F581" s="990"/>
      <c r="G581" s="990"/>
      <c r="H581" s="990"/>
      <c r="I581" s="1104"/>
      <c r="J581" s="1770"/>
      <c r="K581" s="1770"/>
      <c r="L581" s="1104"/>
      <c r="M581" s="1205"/>
      <c r="N581" s="1207"/>
      <c r="O581" s="1207"/>
      <c r="P581" s="1207"/>
      <c r="Q581" s="1771"/>
      <c r="R581" s="1458"/>
      <c r="S581" s="990"/>
    </row>
    <row r="582" s="989" customFormat="1" customHeight="1" spans="2:19">
      <c r="B582" s="990"/>
      <c r="C582" s="990"/>
      <c r="D582" s="990"/>
      <c r="E582" s="1104"/>
      <c r="F582" s="990"/>
      <c r="G582" s="990"/>
      <c r="H582" s="990"/>
      <c r="I582" s="1104"/>
      <c r="J582" s="1770"/>
      <c r="K582" s="1770"/>
      <c r="L582" s="1104"/>
      <c r="M582" s="1205"/>
      <c r="N582" s="1207"/>
      <c r="O582" s="1207"/>
      <c r="P582" s="1207"/>
      <c r="Q582" s="1771"/>
      <c r="R582" s="1458"/>
      <c r="S582" s="990"/>
    </row>
    <row r="583" s="989" customFormat="1" customHeight="1" spans="2:19">
      <c r="B583" s="990"/>
      <c r="C583" s="990"/>
      <c r="D583" s="990"/>
      <c r="E583" s="1104"/>
      <c r="F583" s="990"/>
      <c r="G583" s="990"/>
      <c r="H583" s="990"/>
      <c r="I583" s="1104"/>
      <c r="J583" s="1770"/>
      <c r="K583" s="1770"/>
      <c r="L583" s="1104"/>
      <c r="M583" s="1205"/>
      <c r="N583" s="1207"/>
      <c r="O583" s="1207"/>
      <c r="P583" s="1207"/>
      <c r="Q583" s="1771"/>
      <c r="R583" s="1458"/>
      <c r="S583" s="990"/>
    </row>
    <row r="584" s="989" customFormat="1" customHeight="1" spans="2:19">
      <c r="B584" s="990"/>
      <c r="C584" s="990"/>
      <c r="D584" s="990"/>
      <c r="E584" s="1104"/>
      <c r="F584" s="990"/>
      <c r="G584" s="990"/>
      <c r="H584" s="990"/>
      <c r="I584" s="1104"/>
      <c r="J584" s="1770"/>
      <c r="K584" s="1770"/>
      <c r="L584" s="1104"/>
      <c r="M584" s="1205"/>
      <c r="N584" s="1207"/>
      <c r="O584" s="1207"/>
      <c r="P584" s="1207"/>
      <c r="Q584" s="1771"/>
      <c r="R584" s="1458"/>
      <c r="S584" s="990"/>
    </row>
    <row r="585" s="989" customFormat="1" customHeight="1" spans="2:19">
      <c r="B585" s="990"/>
      <c r="C585" s="990"/>
      <c r="D585" s="990"/>
      <c r="E585" s="1104"/>
      <c r="F585" s="990"/>
      <c r="G585" s="990"/>
      <c r="H585" s="990"/>
      <c r="I585" s="1104"/>
      <c r="J585" s="1770"/>
      <c r="K585" s="1770"/>
      <c r="L585" s="1104"/>
      <c r="M585" s="1205"/>
      <c r="N585" s="1207"/>
      <c r="O585" s="1207"/>
      <c r="P585" s="1207"/>
      <c r="Q585" s="1771"/>
      <c r="R585" s="1458"/>
      <c r="S585" s="990"/>
    </row>
    <row r="586" s="989" customFormat="1" customHeight="1" spans="2:19">
      <c r="B586" s="990"/>
      <c r="C586" s="990"/>
      <c r="D586" s="990"/>
      <c r="E586" s="1104"/>
      <c r="F586" s="990"/>
      <c r="G586" s="990"/>
      <c r="H586" s="990"/>
      <c r="I586" s="1104"/>
      <c r="J586" s="1770"/>
      <c r="K586" s="1770"/>
      <c r="L586" s="1104"/>
      <c r="M586" s="1205"/>
      <c r="N586" s="1207"/>
      <c r="O586" s="1207"/>
      <c r="P586" s="1207"/>
      <c r="Q586" s="1771"/>
      <c r="R586" s="1458"/>
      <c r="S586" s="990"/>
    </row>
    <row r="587" s="989" customFormat="1" customHeight="1" spans="2:19">
      <c r="B587" s="1503"/>
      <c r="C587" s="990"/>
      <c r="D587" s="990"/>
      <c r="E587" s="1104"/>
      <c r="F587" s="990"/>
      <c r="G587" s="990"/>
      <c r="H587" s="990"/>
      <c r="I587" s="1104"/>
      <c r="J587" s="1770"/>
      <c r="K587" s="1770"/>
      <c r="L587" s="1104"/>
      <c r="M587" s="1205"/>
      <c r="N587" s="1207"/>
      <c r="O587" s="1207"/>
      <c r="P587" s="1207"/>
      <c r="Q587" s="1771"/>
      <c r="R587" s="1458"/>
      <c r="S587" s="990"/>
    </row>
    <row r="588" s="989" customFormat="1" customHeight="1" spans="2:19">
      <c r="B588" s="990"/>
      <c r="C588" s="990"/>
      <c r="D588" s="990"/>
      <c r="E588" s="1104"/>
      <c r="F588" s="990"/>
      <c r="G588" s="990"/>
      <c r="H588" s="990"/>
      <c r="I588" s="1104"/>
      <c r="J588" s="1770"/>
      <c r="K588" s="1770"/>
      <c r="L588" s="1104"/>
      <c r="M588" s="1205"/>
      <c r="N588" s="1207"/>
      <c r="O588" s="1207"/>
      <c r="P588" s="1207"/>
      <c r="Q588" s="1771"/>
      <c r="R588" s="1458"/>
      <c r="S588" s="990"/>
    </row>
    <row r="589" s="989" customFormat="1" customHeight="1" spans="2:19">
      <c r="B589" s="990"/>
      <c r="C589" s="990"/>
      <c r="D589" s="990"/>
      <c r="E589" s="1104"/>
      <c r="F589" s="990"/>
      <c r="G589" s="990"/>
      <c r="H589" s="990"/>
      <c r="I589" s="1104"/>
      <c r="J589" s="1770"/>
      <c r="K589" s="1770"/>
      <c r="L589" s="1104"/>
      <c r="M589" s="1205"/>
      <c r="N589" s="1207"/>
      <c r="O589" s="1207"/>
      <c r="P589" s="1207"/>
      <c r="Q589" s="1771"/>
      <c r="R589" s="1458"/>
      <c r="S589" s="990"/>
    </row>
    <row r="590" s="989" customFormat="1" customHeight="1" spans="2:19">
      <c r="B590" s="990"/>
      <c r="C590" s="990"/>
      <c r="D590" s="990"/>
      <c r="E590" s="1104"/>
      <c r="F590" s="990"/>
      <c r="G590" s="990"/>
      <c r="H590" s="990"/>
      <c r="I590" s="1104"/>
      <c r="J590" s="1770"/>
      <c r="K590" s="1770"/>
      <c r="L590" s="1104"/>
      <c r="M590" s="1205"/>
      <c r="N590" s="1207"/>
      <c r="O590" s="1207"/>
      <c r="P590" s="1207"/>
      <c r="Q590" s="1771"/>
      <c r="R590" s="1458"/>
      <c r="S590" s="990"/>
    </row>
    <row r="591" s="989" customFormat="1" customHeight="1" spans="2:19">
      <c r="B591" s="990"/>
      <c r="C591" s="990"/>
      <c r="D591" s="990"/>
      <c r="E591" s="1104"/>
      <c r="F591" s="990"/>
      <c r="G591" s="990"/>
      <c r="H591" s="990"/>
      <c r="I591" s="1104"/>
      <c r="J591" s="1770"/>
      <c r="K591" s="1770"/>
      <c r="L591" s="1104"/>
      <c r="M591" s="1205"/>
      <c r="N591" s="1207"/>
      <c r="O591" s="1207"/>
      <c r="P591" s="1207"/>
      <c r="Q591" s="1771"/>
      <c r="R591" s="1458"/>
      <c r="S591" s="990"/>
    </row>
    <row r="592" s="989" customFormat="1" customHeight="1" spans="2:19">
      <c r="B592" s="990"/>
      <c r="C592" s="990"/>
      <c r="D592" s="990"/>
      <c r="E592" s="1104"/>
      <c r="F592" s="990"/>
      <c r="G592" s="990"/>
      <c r="H592" s="990"/>
      <c r="I592" s="1104"/>
      <c r="J592" s="1770"/>
      <c r="K592" s="1770"/>
      <c r="L592" s="1104"/>
      <c r="M592" s="1205"/>
      <c r="N592" s="1207"/>
      <c r="O592" s="1207"/>
      <c r="P592" s="1207"/>
      <c r="Q592" s="1771"/>
      <c r="R592" s="1458"/>
      <c r="S592" s="990"/>
    </row>
    <row r="593" s="989" customFormat="1" customHeight="1" spans="2:19">
      <c r="B593" s="990"/>
      <c r="C593" s="990"/>
      <c r="D593" s="990"/>
      <c r="E593" s="1104"/>
      <c r="F593" s="990"/>
      <c r="G593" s="990"/>
      <c r="H593" s="990"/>
      <c r="I593" s="1104"/>
      <c r="J593" s="1770"/>
      <c r="K593" s="1770"/>
      <c r="L593" s="1104"/>
      <c r="M593" s="1205"/>
      <c r="N593" s="1207"/>
      <c r="O593" s="1207"/>
      <c r="P593" s="1207"/>
      <c r="Q593" s="1771"/>
      <c r="R593" s="1458"/>
      <c r="S593" s="990"/>
    </row>
    <row r="594" s="989" customFormat="1" customHeight="1" spans="2:19">
      <c r="B594" s="990"/>
      <c r="C594" s="1872"/>
      <c r="D594" s="990"/>
      <c r="E594" s="1104"/>
      <c r="F594" s="990"/>
      <c r="G594" s="990"/>
      <c r="H594" s="990"/>
      <c r="I594" s="1104"/>
      <c r="J594" s="1770"/>
      <c r="K594" s="1770"/>
      <c r="L594" s="1104"/>
      <c r="M594" s="1205"/>
      <c r="N594" s="1207"/>
      <c r="O594" s="1207"/>
      <c r="P594" s="1207"/>
      <c r="Q594" s="1771"/>
      <c r="R594" s="1458"/>
      <c r="S594" s="990"/>
    </row>
    <row r="595" s="989" customFormat="1" customHeight="1" spans="2:19">
      <c r="B595" s="990"/>
      <c r="C595" s="990"/>
      <c r="D595" s="990"/>
      <c r="E595" s="1104"/>
      <c r="F595" s="990"/>
      <c r="G595" s="990"/>
      <c r="H595" s="990"/>
      <c r="I595" s="1104"/>
      <c r="J595" s="1770"/>
      <c r="K595" s="1770"/>
      <c r="L595" s="1104"/>
      <c r="M595" s="1205"/>
      <c r="N595" s="1207"/>
      <c r="O595" s="1207"/>
      <c r="P595" s="1207"/>
      <c r="Q595" s="1771"/>
      <c r="R595" s="1458"/>
      <c r="S595" s="990"/>
    </row>
    <row r="596" s="989" customFormat="1" customHeight="1" spans="2:19">
      <c r="B596" s="990"/>
      <c r="C596" s="990"/>
      <c r="D596" s="990"/>
      <c r="E596" s="1104"/>
      <c r="F596" s="990"/>
      <c r="G596" s="990"/>
      <c r="H596" s="990"/>
      <c r="I596" s="1104"/>
      <c r="J596" s="1770"/>
      <c r="K596" s="1770"/>
      <c r="L596" s="1104"/>
      <c r="M596" s="1205"/>
      <c r="N596" s="1207"/>
      <c r="O596" s="1207"/>
      <c r="P596" s="1207"/>
      <c r="Q596" s="1771"/>
      <c r="R596" s="1458"/>
      <c r="S596" s="990"/>
    </row>
    <row r="597" s="989" customFormat="1" customHeight="1" spans="2:19">
      <c r="B597" s="990"/>
      <c r="C597" s="990"/>
      <c r="D597" s="990"/>
      <c r="E597" s="1104"/>
      <c r="F597" s="990"/>
      <c r="G597" s="990"/>
      <c r="H597" s="990"/>
      <c r="I597" s="1104"/>
      <c r="J597" s="1770"/>
      <c r="K597" s="1770"/>
      <c r="L597" s="1104"/>
      <c r="M597" s="1205"/>
      <c r="N597" s="1207"/>
      <c r="O597" s="1207"/>
      <c r="P597" s="1207"/>
      <c r="Q597" s="1771"/>
      <c r="R597" s="1458"/>
      <c r="S597" s="990"/>
    </row>
    <row r="598" s="989" customFormat="1" customHeight="1" spans="2:19">
      <c r="B598" s="990"/>
      <c r="C598" s="990"/>
      <c r="D598" s="990"/>
      <c r="E598" s="1104"/>
      <c r="F598" s="990"/>
      <c r="G598" s="990"/>
      <c r="H598" s="990"/>
      <c r="I598" s="1104"/>
      <c r="J598" s="1770"/>
      <c r="K598" s="1770"/>
      <c r="L598" s="1104"/>
      <c r="M598" s="1205"/>
      <c r="N598" s="1207"/>
      <c r="O598" s="1207"/>
      <c r="P598" s="1207"/>
      <c r="Q598" s="1771"/>
      <c r="R598" s="1458"/>
      <c r="S598" s="990"/>
    </row>
    <row r="599" s="989" customFormat="1" customHeight="1" spans="2:19">
      <c r="B599" s="990"/>
      <c r="C599" s="990"/>
      <c r="D599" s="990"/>
      <c r="E599" s="1104"/>
      <c r="F599" s="990"/>
      <c r="G599" s="990"/>
      <c r="H599" s="990"/>
      <c r="I599" s="1104"/>
      <c r="J599" s="1770"/>
      <c r="K599" s="1770"/>
      <c r="L599" s="1104"/>
      <c r="M599" s="1205"/>
      <c r="N599" s="1207"/>
      <c r="O599" s="1207"/>
      <c r="P599" s="1207"/>
      <c r="Q599" s="1771"/>
      <c r="R599" s="1458"/>
      <c r="S599" s="990"/>
    </row>
    <row r="600" s="989" customFormat="1" customHeight="1" spans="2:19">
      <c r="B600" s="990"/>
      <c r="C600" s="990"/>
      <c r="D600" s="990"/>
      <c r="E600" s="1104"/>
      <c r="F600" s="990"/>
      <c r="G600" s="990"/>
      <c r="H600" s="990"/>
      <c r="I600" s="1104"/>
      <c r="J600" s="1770"/>
      <c r="K600" s="1770"/>
      <c r="L600" s="1104"/>
      <c r="M600" s="1205"/>
      <c r="N600" s="1207"/>
      <c r="O600" s="1207"/>
      <c r="P600" s="1207"/>
      <c r="Q600" s="1771"/>
      <c r="R600" s="1458"/>
      <c r="S600" s="990"/>
    </row>
    <row r="601" s="989" customFormat="1" customHeight="1" spans="2:19">
      <c r="B601" s="990"/>
      <c r="C601" s="990"/>
      <c r="D601" s="990"/>
      <c r="E601" s="1104"/>
      <c r="F601" s="990"/>
      <c r="G601" s="990"/>
      <c r="H601" s="990"/>
      <c r="I601" s="1104"/>
      <c r="J601" s="1770"/>
      <c r="K601" s="1770"/>
      <c r="L601" s="1104"/>
      <c r="M601" s="1205"/>
      <c r="N601" s="1207"/>
      <c r="O601" s="1207"/>
      <c r="P601" s="1207"/>
      <c r="Q601" s="1771"/>
      <c r="R601" s="1458"/>
      <c r="S601" s="990"/>
    </row>
    <row r="602" s="989" customFormat="1" customHeight="1" spans="2:19">
      <c r="B602" s="990"/>
      <c r="C602" s="990"/>
      <c r="D602" s="990"/>
      <c r="E602" s="1104"/>
      <c r="F602" s="990"/>
      <c r="G602" s="990"/>
      <c r="H602" s="990"/>
      <c r="I602" s="1104"/>
      <c r="J602" s="1770"/>
      <c r="K602" s="1770"/>
      <c r="L602" s="1104"/>
      <c r="M602" s="1205"/>
      <c r="N602" s="1207"/>
      <c r="O602" s="1207"/>
      <c r="P602" s="1207"/>
      <c r="Q602" s="1771"/>
      <c r="R602" s="1458"/>
      <c r="S602" s="990"/>
    </row>
    <row r="603" s="989" customFormat="1" customHeight="1" spans="2:19">
      <c r="B603" s="990"/>
      <c r="C603" s="990"/>
      <c r="D603" s="990"/>
      <c r="E603" s="1104"/>
      <c r="F603" s="990"/>
      <c r="G603" s="990"/>
      <c r="H603" s="990"/>
      <c r="I603" s="1104"/>
      <c r="J603" s="1770"/>
      <c r="K603" s="1770"/>
      <c r="L603" s="1104"/>
      <c r="M603" s="1205"/>
      <c r="N603" s="1207"/>
      <c r="O603" s="1207"/>
      <c r="P603" s="1207"/>
      <c r="Q603" s="1771"/>
      <c r="R603" s="1458"/>
      <c r="S603" s="990"/>
    </row>
    <row r="604" s="989" customFormat="1" customHeight="1" spans="2:19">
      <c r="B604" s="990"/>
      <c r="C604" s="990"/>
      <c r="D604" s="990"/>
      <c r="E604" s="1104"/>
      <c r="F604" s="990"/>
      <c r="G604" s="990"/>
      <c r="H604" s="990"/>
      <c r="I604" s="1104"/>
      <c r="J604" s="1770"/>
      <c r="K604" s="1770"/>
      <c r="L604" s="1104"/>
      <c r="M604" s="1205"/>
      <c r="N604" s="1207"/>
      <c r="O604" s="1207"/>
      <c r="P604" s="1207"/>
      <c r="Q604" s="1771"/>
      <c r="R604" s="1458"/>
      <c r="S604" s="990"/>
    </row>
    <row r="605" s="989" customFormat="1" customHeight="1" spans="2:19">
      <c r="B605" s="990"/>
      <c r="C605" s="990"/>
      <c r="D605" s="990"/>
      <c r="E605" s="1104"/>
      <c r="F605" s="990"/>
      <c r="G605" s="990"/>
      <c r="H605" s="990"/>
      <c r="I605" s="1104"/>
      <c r="J605" s="1770"/>
      <c r="K605" s="1770"/>
      <c r="L605" s="1104"/>
      <c r="M605" s="1205"/>
      <c r="N605" s="1207"/>
      <c r="O605" s="1207"/>
      <c r="P605" s="1207"/>
      <c r="Q605" s="1771"/>
      <c r="R605" s="1458"/>
      <c r="S605" s="990"/>
    </row>
    <row r="606" s="989" customFormat="1" customHeight="1" spans="2:19">
      <c r="B606" s="990"/>
      <c r="C606" s="990"/>
      <c r="D606" s="990"/>
      <c r="E606" s="1104"/>
      <c r="F606" s="990"/>
      <c r="G606" s="990"/>
      <c r="H606" s="990"/>
      <c r="I606" s="1104"/>
      <c r="J606" s="1770"/>
      <c r="K606" s="1770"/>
      <c r="L606" s="1104"/>
      <c r="M606" s="1205"/>
      <c r="N606" s="1207"/>
      <c r="O606" s="1207"/>
      <c r="P606" s="1207"/>
      <c r="Q606" s="1771"/>
      <c r="R606" s="1458"/>
      <c r="S606" s="990"/>
    </row>
    <row r="607" s="989" customFormat="1" customHeight="1" spans="2:19">
      <c r="B607" s="990"/>
      <c r="C607" s="990"/>
      <c r="D607" s="990"/>
      <c r="E607" s="1104"/>
      <c r="F607" s="990"/>
      <c r="G607" s="990"/>
      <c r="H607" s="990"/>
      <c r="I607" s="1104"/>
      <c r="J607" s="1770"/>
      <c r="K607" s="1770"/>
      <c r="L607" s="1104"/>
      <c r="M607" s="1205"/>
      <c r="N607" s="1207"/>
      <c r="O607" s="1207"/>
      <c r="P607" s="1207"/>
      <c r="Q607" s="1771"/>
      <c r="R607" s="1458"/>
      <c r="S607" s="990"/>
    </row>
    <row r="608" s="989" customFormat="1" customHeight="1" spans="2:19">
      <c r="B608" s="990"/>
      <c r="C608" s="990"/>
      <c r="D608" s="990"/>
      <c r="E608" s="1104"/>
      <c r="F608" s="990"/>
      <c r="G608" s="990"/>
      <c r="H608" s="990"/>
      <c r="I608" s="1104"/>
      <c r="J608" s="1770"/>
      <c r="K608" s="1770"/>
      <c r="L608" s="1104"/>
      <c r="M608" s="1205"/>
      <c r="N608" s="1207"/>
      <c r="O608" s="1207"/>
      <c r="P608" s="1207"/>
      <c r="Q608" s="1771"/>
      <c r="R608" s="1458"/>
      <c r="S608" s="990"/>
    </row>
    <row r="609" s="989" customFormat="1" customHeight="1" spans="2:19">
      <c r="B609" s="990"/>
      <c r="C609" s="990"/>
      <c r="D609" s="990"/>
      <c r="E609" s="1104"/>
      <c r="F609" s="990"/>
      <c r="G609" s="990"/>
      <c r="H609" s="990"/>
      <c r="I609" s="1104"/>
      <c r="J609" s="1770"/>
      <c r="K609" s="1770"/>
      <c r="L609" s="1104"/>
      <c r="M609" s="1205"/>
      <c r="N609" s="1207"/>
      <c r="O609" s="1207"/>
      <c r="P609" s="1207"/>
      <c r="Q609" s="1771"/>
      <c r="R609" s="1458"/>
      <c r="S609" s="990"/>
    </row>
    <row r="610" s="989" customFormat="1" customHeight="1" spans="2:19">
      <c r="B610" s="990"/>
      <c r="C610" s="990"/>
      <c r="D610" s="990"/>
      <c r="E610" s="1104"/>
      <c r="F610" s="990"/>
      <c r="G610" s="990"/>
      <c r="H610" s="990"/>
      <c r="I610" s="1104"/>
      <c r="J610" s="1770"/>
      <c r="K610" s="1770"/>
      <c r="L610" s="1104"/>
      <c r="M610" s="1205"/>
      <c r="N610" s="1207"/>
      <c r="O610" s="1207"/>
      <c r="P610" s="1207"/>
      <c r="Q610" s="1771"/>
      <c r="R610" s="1458"/>
      <c r="S610" s="990"/>
    </row>
    <row r="611" s="989" customFormat="1" customHeight="1" spans="2:19">
      <c r="B611" s="990"/>
      <c r="C611" s="990"/>
      <c r="D611" s="990"/>
      <c r="E611" s="1104"/>
      <c r="F611" s="990"/>
      <c r="G611" s="990"/>
      <c r="H611" s="990"/>
      <c r="I611" s="1104"/>
      <c r="J611" s="1770"/>
      <c r="K611" s="1770"/>
      <c r="L611" s="1104"/>
      <c r="M611" s="1205"/>
      <c r="N611" s="1207"/>
      <c r="O611" s="1207"/>
      <c r="P611" s="1207"/>
      <c r="Q611" s="1771"/>
      <c r="R611" s="1458"/>
      <c r="S611" s="990"/>
    </row>
    <row r="612" s="989" customFormat="1" customHeight="1" spans="2:19">
      <c r="B612" s="990"/>
      <c r="C612" s="990"/>
      <c r="D612" s="990"/>
      <c r="E612" s="1104"/>
      <c r="F612" s="990"/>
      <c r="G612" s="990"/>
      <c r="H612" s="990"/>
      <c r="I612" s="1104"/>
      <c r="J612" s="1770"/>
      <c r="K612" s="1770"/>
      <c r="L612" s="1104"/>
      <c r="M612" s="1205"/>
      <c r="N612" s="1207"/>
      <c r="O612" s="1207"/>
      <c r="P612" s="1207"/>
      <c r="Q612" s="1771"/>
      <c r="R612" s="1458"/>
      <c r="S612" s="990"/>
    </row>
    <row r="613" s="989" customFormat="1" customHeight="1" spans="2:19">
      <c r="B613" s="990"/>
      <c r="C613" s="990"/>
      <c r="D613" s="990"/>
      <c r="E613" s="1104"/>
      <c r="F613" s="990"/>
      <c r="G613" s="990"/>
      <c r="H613" s="990"/>
      <c r="I613" s="1104"/>
      <c r="J613" s="1770"/>
      <c r="K613" s="1770"/>
      <c r="L613" s="1104"/>
      <c r="M613" s="1205"/>
      <c r="N613" s="1207"/>
      <c r="O613" s="1207"/>
      <c r="P613" s="1207"/>
      <c r="Q613" s="1771"/>
      <c r="R613" s="1458"/>
      <c r="S613" s="990"/>
    </row>
    <row r="614" s="989" customFormat="1" customHeight="1" spans="2:19">
      <c r="B614" s="990"/>
      <c r="C614" s="990"/>
      <c r="D614" s="990"/>
      <c r="E614" s="1104"/>
      <c r="F614" s="990"/>
      <c r="G614" s="990"/>
      <c r="H614" s="990"/>
      <c r="I614" s="1104"/>
      <c r="J614" s="1770"/>
      <c r="K614" s="1770"/>
      <c r="L614" s="1104"/>
      <c r="M614" s="1205"/>
      <c r="N614" s="1207"/>
      <c r="O614" s="1207"/>
      <c r="P614" s="1207"/>
      <c r="Q614" s="1771"/>
      <c r="R614" s="1458"/>
      <c r="S614" s="990"/>
    </row>
    <row r="615" s="989" customFormat="1" customHeight="1" spans="2:19">
      <c r="B615" s="990"/>
      <c r="C615" s="990"/>
      <c r="D615" s="990"/>
      <c r="E615" s="1104"/>
      <c r="F615" s="990"/>
      <c r="G615" s="990"/>
      <c r="H615" s="990"/>
      <c r="I615" s="1104"/>
      <c r="J615" s="1770"/>
      <c r="K615" s="1770"/>
      <c r="L615" s="1104"/>
      <c r="M615" s="1205"/>
      <c r="N615" s="1207"/>
      <c r="O615" s="1207"/>
      <c r="P615" s="1207"/>
      <c r="Q615" s="1771"/>
      <c r="R615" s="1458"/>
      <c r="S615" s="990"/>
    </row>
    <row r="616" s="989" customFormat="1" customHeight="1" spans="2:19">
      <c r="B616" s="990"/>
      <c r="C616" s="990"/>
      <c r="D616" s="990"/>
      <c r="E616" s="1104"/>
      <c r="F616" s="990"/>
      <c r="G616" s="990"/>
      <c r="H616" s="990"/>
      <c r="I616" s="1104"/>
      <c r="J616" s="1770"/>
      <c r="K616" s="1770"/>
      <c r="L616" s="1104"/>
      <c r="M616" s="1205"/>
      <c r="N616" s="1207"/>
      <c r="O616" s="1207"/>
      <c r="P616" s="1207"/>
      <c r="Q616" s="1771"/>
      <c r="R616" s="1458"/>
      <c r="S616" s="990"/>
    </row>
    <row r="617" s="989" customFormat="1" customHeight="1" spans="2:19">
      <c r="B617" s="990"/>
      <c r="C617" s="990"/>
      <c r="D617" s="990"/>
      <c r="E617" s="1104"/>
      <c r="F617" s="990"/>
      <c r="G617" s="990"/>
      <c r="H617" s="990"/>
      <c r="I617" s="1104"/>
      <c r="J617" s="1770"/>
      <c r="K617" s="1770"/>
      <c r="L617" s="1104"/>
      <c r="M617" s="1205"/>
      <c r="N617" s="1207"/>
      <c r="O617" s="1207"/>
      <c r="P617" s="1207"/>
      <c r="Q617" s="1771"/>
      <c r="R617" s="1458"/>
      <c r="S617" s="990"/>
    </row>
    <row r="618" s="989" customFormat="1" customHeight="1" spans="2:19">
      <c r="B618" s="990"/>
      <c r="C618" s="990"/>
      <c r="D618" s="990"/>
      <c r="E618" s="1104"/>
      <c r="F618" s="990"/>
      <c r="G618" s="990"/>
      <c r="H618" s="990"/>
      <c r="I618" s="1104"/>
      <c r="J618" s="1770"/>
      <c r="K618" s="1770"/>
      <c r="L618" s="1104"/>
      <c r="M618" s="1205"/>
      <c r="N618" s="1207"/>
      <c r="O618" s="1207"/>
      <c r="P618" s="1207"/>
      <c r="Q618" s="1771"/>
      <c r="R618" s="1458"/>
      <c r="S618" s="990"/>
    </row>
    <row r="619" s="989" customFormat="1" customHeight="1" spans="2:19">
      <c r="B619" s="990"/>
      <c r="C619" s="990"/>
      <c r="D619" s="990"/>
      <c r="E619" s="1104"/>
      <c r="F619" s="990"/>
      <c r="G619" s="990"/>
      <c r="H619" s="990"/>
      <c r="I619" s="1104"/>
      <c r="J619" s="1770"/>
      <c r="K619" s="1770"/>
      <c r="L619" s="1104"/>
      <c r="M619" s="1205"/>
      <c r="N619" s="1207"/>
      <c r="O619" s="1207"/>
      <c r="P619" s="1207"/>
      <c r="Q619" s="1771"/>
      <c r="R619" s="1458"/>
      <c r="S619" s="990"/>
    </row>
    <row r="620" s="989" customFormat="1" customHeight="1" spans="2:19">
      <c r="B620" s="990"/>
      <c r="C620" s="990"/>
      <c r="D620" s="990"/>
      <c r="E620" s="1104"/>
      <c r="F620" s="990"/>
      <c r="G620" s="990"/>
      <c r="H620" s="990"/>
      <c r="I620" s="1104"/>
      <c r="J620" s="1770"/>
      <c r="K620" s="1770"/>
      <c r="L620" s="1104"/>
      <c r="M620" s="1205"/>
      <c r="N620" s="1207"/>
      <c r="O620" s="1207"/>
      <c r="P620" s="1207"/>
      <c r="Q620" s="1771"/>
      <c r="R620" s="1458"/>
      <c r="S620" s="990"/>
    </row>
    <row r="621" s="989" customFormat="1" customHeight="1" spans="2:19">
      <c r="B621" s="990"/>
      <c r="C621" s="990"/>
      <c r="D621" s="990"/>
      <c r="E621" s="1104"/>
      <c r="F621" s="990"/>
      <c r="G621" s="990"/>
      <c r="H621" s="990"/>
      <c r="I621" s="1104"/>
      <c r="J621" s="1770"/>
      <c r="K621" s="1770"/>
      <c r="L621" s="1104"/>
      <c r="M621" s="1205"/>
      <c r="N621" s="1207"/>
      <c r="O621" s="1207"/>
      <c r="P621" s="1207"/>
      <c r="Q621" s="1771"/>
      <c r="R621" s="1458"/>
      <c r="S621" s="990"/>
    </row>
    <row r="622" s="989" customFormat="1" customHeight="1" spans="2:19">
      <c r="B622" s="990"/>
      <c r="C622" s="990"/>
      <c r="D622" s="990"/>
      <c r="E622" s="1104"/>
      <c r="F622" s="990"/>
      <c r="G622" s="990"/>
      <c r="H622" s="990"/>
      <c r="I622" s="1104"/>
      <c r="J622" s="1770"/>
      <c r="K622" s="1770"/>
      <c r="L622" s="1104"/>
      <c r="M622" s="1205"/>
      <c r="N622" s="1207"/>
      <c r="O622" s="1207"/>
      <c r="P622" s="1207"/>
      <c r="Q622" s="1771"/>
      <c r="R622" s="1458"/>
      <c r="S622" s="990"/>
    </row>
    <row r="623" s="989" customFormat="1" customHeight="1" spans="2:19">
      <c r="B623" s="990"/>
      <c r="C623" s="990"/>
      <c r="D623" s="990"/>
      <c r="E623" s="1104"/>
      <c r="F623" s="990"/>
      <c r="G623" s="990"/>
      <c r="H623" s="990"/>
      <c r="I623" s="1104"/>
      <c r="J623" s="1770"/>
      <c r="K623" s="1770"/>
      <c r="L623" s="1104"/>
      <c r="M623" s="1205"/>
      <c r="N623" s="1207"/>
      <c r="O623" s="1207"/>
      <c r="P623" s="1207"/>
      <c r="Q623" s="1771"/>
      <c r="R623" s="1458"/>
      <c r="S623" s="990"/>
    </row>
    <row r="624" s="989" customFormat="1" customHeight="1" spans="2:19">
      <c r="B624" s="990"/>
      <c r="C624" s="990"/>
      <c r="D624" s="990"/>
      <c r="E624" s="1104"/>
      <c r="F624" s="990"/>
      <c r="G624" s="990"/>
      <c r="H624" s="990"/>
      <c r="I624" s="1104"/>
      <c r="J624" s="1770"/>
      <c r="K624" s="1770"/>
      <c r="L624" s="1104"/>
      <c r="M624" s="1205"/>
      <c r="N624" s="1207"/>
      <c r="O624" s="1207"/>
      <c r="P624" s="1207"/>
      <c r="Q624" s="1771"/>
      <c r="R624" s="1458"/>
      <c r="S624" s="990"/>
    </row>
    <row r="625" s="989" customFormat="1" customHeight="1" spans="2:19">
      <c r="B625" s="990"/>
      <c r="C625" s="990"/>
      <c r="D625" s="990"/>
      <c r="E625" s="1104"/>
      <c r="F625" s="990"/>
      <c r="G625" s="990"/>
      <c r="H625" s="990"/>
      <c r="I625" s="1104"/>
      <c r="J625" s="1770"/>
      <c r="K625" s="1770"/>
      <c r="L625" s="1104"/>
      <c r="M625" s="1205"/>
      <c r="N625" s="1207"/>
      <c r="O625" s="1207"/>
      <c r="P625" s="1207"/>
      <c r="Q625" s="1771"/>
      <c r="R625" s="1458"/>
      <c r="S625" s="990"/>
    </row>
    <row r="626" s="989" customFormat="1" customHeight="1" spans="2:19">
      <c r="B626" s="990"/>
      <c r="C626" s="990"/>
      <c r="D626" s="990"/>
      <c r="E626" s="1104"/>
      <c r="F626" s="990"/>
      <c r="G626" s="990"/>
      <c r="H626" s="990"/>
      <c r="I626" s="1104"/>
      <c r="J626" s="1770"/>
      <c r="K626" s="1770"/>
      <c r="L626" s="1104"/>
      <c r="M626" s="1205"/>
      <c r="N626" s="1207"/>
      <c r="O626" s="1207"/>
      <c r="P626" s="1207"/>
      <c r="Q626" s="1771"/>
      <c r="R626" s="1458"/>
      <c r="S626" s="990"/>
    </row>
    <row r="627" s="989" customFormat="1" customHeight="1" spans="2:19">
      <c r="B627" s="990"/>
      <c r="C627" s="990"/>
      <c r="D627" s="990"/>
      <c r="E627" s="1104"/>
      <c r="F627" s="990"/>
      <c r="G627" s="990"/>
      <c r="H627" s="990"/>
      <c r="I627" s="1104"/>
      <c r="J627" s="1770"/>
      <c r="K627" s="1770"/>
      <c r="L627" s="1104"/>
      <c r="M627" s="1205"/>
      <c r="N627" s="1207"/>
      <c r="O627" s="1207"/>
      <c r="P627" s="1207"/>
      <c r="Q627" s="1771"/>
      <c r="R627" s="1458"/>
      <c r="S627" s="990"/>
    </row>
    <row r="628" s="989" customFormat="1" customHeight="1" spans="2:19">
      <c r="B628" s="990"/>
      <c r="C628" s="990"/>
      <c r="D628" s="990"/>
      <c r="E628" s="1104"/>
      <c r="F628" s="990"/>
      <c r="G628" s="990"/>
      <c r="H628" s="990"/>
      <c r="I628" s="1104"/>
      <c r="J628" s="1770"/>
      <c r="K628" s="1770"/>
      <c r="L628" s="1104"/>
      <c r="M628" s="1205"/>
      <c r="N628" s="1207"/>
      <c r="O628" s="1207"/>
      <c r="P628" s="1207"/>
      <c r="Q628" s="1771"/>
      <c r="R628" s="1458"/>
      <c r="S628" s="990"/>
    </row>
    <row r="629" s="989" customFormat="1" customHeight="1" spans="2:19">
      <c r="B629" s="990"/>
      <c r="C629" s="990"/>
      <c r="D629" s="990"/>
      <c r="E629" s="1104"/>
      <c r="F629" s="990"/>
      <c r="G629" s="990"/>
      <c r="H629" s="990"/>
      <c r="I629" s="1104"/>
      <c r="J629" s="1770"/>
      <c r="K629" s="1770"/>
      <c r="L629" s="1104"/>
      <c r="M629" s="1205"/>
      <c r="N629" s="1207"/>
      <c r="O629" s="1207"/>
      <c r="P629" s="1207"/>
      <c r="Q629" s="1771"/>
      <c r="R629" s="1458"/>
      <c r="S629" s="990"/>
    </row>
    <row r="630" s="989" customFormat="1" customHeight="1" spans="2:19">
      <c r="B630" s="990"/>
      <c r="C630" s="990"/>
      <c r="D630" s="990"/>
      <c r="E630" s="1104"/>
      <c r="F630" s="990"/>
      <c r="G630" s="990"/>
      <c r="H630" s="990"/>
      <c r="I630" s="1104"/>
      <c r="J630" s="1770"/>
      <c r="K630" s="1770"/>
      <c r="L630" s="1104"/>
      <c r="M630" s="1205"/>
      <c r="N630" s="1207"/>
      <c r="O630" s="1207"/>
      <c r="P630" s="1207"/>
      <c r="Q630" s="1771"/>
      <c r="R630" s="1458"/>
      <c r="S630" s="990"/>
    </row>
    <row r="631" s="989" customFormat="1" customHeight="1" spans="2:19">
      <c r="B631" s="990"/>
      <c r="C631" s="990"/>
      <c r="D631" s="990"/>
      <c r="E631" s="1104"/>
      <c r="F631" s="990"/>
      <c r="G631" s="990"/>
      <c r="H631" s="990"/>
      <c r="I631" s="1104"/>
      <c r="J631" s="1770"/>
      <c r="K631" s="1770"/>
      <c r="L631" s="1104"/>
      <c r="M631" s="1205"/>
      <c r="N631" s="1207"/>
      <c r="O631" s="1207"/>
      <c r="P631" s="1207"/>
      <c r="Q631" s="1771"/>
      <c r="R631" s="1458"/>
      <c r="S631" s="990"/>
    </row>
    <row r="632" s="989" customFormat="1" customHeight="1" spans="2:19">
      <c r="B632" s="990"/>
      <c r="C632" s="990"/>
      <c r="D632" s="990"/>
      <c r="E632" s="1104"/>
      <c r="F632" s="990"/>
      <c r="G632" s="990"/>
      <c r="H632" s="990"/>
      <c r="I632" s="1104"/>
      <c r="J632" s="1770"/>
      <c r="K632" s="1770"/>
      <c r="L632" s="1104"/>
      <c r="M632" s="1205"/>
      <c r="N632" s="1207"/>
      <c r="O632" s="1207"/>
      <c r="P632" s="1207"/>
      <c r="Q632" s="1771"/>
      <c r="R632" s="1458"/>
      <c r="S632" s="990"/>
    </row>
    <row r="633" s="989" customFormat="1" customHeight="1" spans="2:19">
      <c r="B633" s="990"/>
      <c r="C633" s="990"/>
      <c r="D633" s="990"/>
      <c r="E633" s="1104"/>
      <c r="F633" s="990"/>
      <c r="G633" s="990"/>
      <c r="H633" s="990"/>
      <c r="I633" s="1104"/>
      <c r="J633" s="1770"/>
      <c r="K633" s="1770"/>
      <c r="L633" s="1104"/>
      <c r="M633" s="1205"/>
      <c r="N633" s="1207"/>
      <c r="O633" s="1207"/>
      <c r="P633" s="1207"/>
      <c r="Q633" s="1771"/>
      <c r="R633" s="1458"/>
      <c r="S633" s="990"/>
    </row>
    <row r="634" s="989" customFormat="1" customHeight="1" spans="2:19">
      <c r="B634" s="990"/>
      <c r="C634" s="990"/>
      <c r="D634" s="990"/>
      <c r="E634" s="1104"/>
      <c r="F634" s="990"/>
      <c r="G634" s="990"/>
      <c r="H634" s="990"/>
      <c r="I634" s="1104"/>
      <c r="J634" s="1770"/>
      <c r="K634" s="1770"/>
      <c r="L634" s="1104"/>
      <c r="M634" s="1205"/>
      <c r="N634" s="1207"/>
      <c r="O634" s="1207"/>
      <c r="P634" s="1207"/>
      <c r="Q634" s="1771"/>
      <c r="R634" s="1458"/>
      <c r="S634" s="990"/>
    </row>
    <row r="635" s="989" customFormat="1" customHeight="1" spans="2:19">
      <c r="B635" s="990"/>
      <c r="C635" s="990"/>
      <c r="D635" s="990"/>
      <c r="E635" s="1104"/>
      <c r="F635" s="990"/>
      <c r="G635" s="990"/>
      <c r="H635" s="990"/>
      <c r="I635" s="1104"/>
      <c r="J635" s="1770"/>
      <c r="K635" s="1770"/>
      <c r="L635" s="1104"/>
      <c r="M635" s="1205"/>
      <c r="N635" s="1207"/>
      <c r="O635" s="1207"/>
      <c r="P635" s="1207"/>
      <c r="Q635" s="1771"/>
      <c r="R635" s="1458"/>
      <c r="S635" s="990"/>
    </row>
    <row r="636" s="989" customFormat="1" customHeight="1" spans="2:19">
      <c r="B636" s="990"/>
      <c r="C636" s="990"/>
      <c r="D636" s="990"/>
      <c r="E636" s="1104"/>
      <c r="F636" s="990"/>
      <c r="G636" s="990"/>
      <c r="H636" s="990"/>
      <c r="I636" s="1104"/>
      <c r="J636" s="1770"/>
      <c r="K636" s="1770"/>
      <c r="L636" s="1104"/>
      <c r="M636" s="1205"/>
      <c r="N636" s="1207"/>
      <c r="O636" s="1207"/>
      <c r="P636" s="1207"/>
      <c r="Q636" s="1771"/>
      <c r="R636" s="1458"/>
      <c r="S636" s="990"/>
    </row>
    <row r="637" s="989" customFormat="1" customHeight="1" spans="2:19">
      <c r="B637" s="990"/>
      <c r="C637" s="990"/>
      <c r="D637" s="990"/>
      <c r="E637" s="1104"/>
      <c r="F637" s="990"/>
      <c r="G637" s="990"/>
      <c r="H637" s="990"/>
      <c r="I637" s="1104"/>
      <c r="J637" s="1770"/>
      <c r="K637" s="1770"/>
      <c r="L637" s="1104"/>
      <c r="M637" s="1205"/>
      <c r="N637" s="1207"/>
      <c r="O637" s="1207"/>
      <c r="P637" s="1207"/>
      <c r="Q637" s="1771"/>
      <c r="R637" s="1458"/>
      <c r="S637" s="990"/>
    </row>
    <row r="638" s="989" customFormat="1" customHeight="1" spans="2:19">
      <c r="B638" s="990"/>
      <c r="C638" s="990"/>
      <c r="D638" s="990"/>
      <c r="E638" s="1104"/>
      <c r="F638" s="990"/>
      <c r="G638" s="990"/>
      <c r="H638" s="990"/>
      <c r="I638" s="1104"/>
      <c r="J638" s="1770"/>
      <c r="K638" s="1770"/>
      <c r="L638" s="1104"/>
      <c r="M638" s="1205"/>
      <c r="N638" s="1207"/>
      <c r="O638" s="1207"/>
      <c r="P638" s="1207"/>
      <c r="Q638" s="1771"/>
      <c r="R638" s="1458"/>
      <c r="S638" s="990"/>
    </row>
    <row r="639" s="989" customFormat="1" customHeight="1" spans="2:19">
      <c r="B639" s="990"/>
      <c r="C639" s="990"/>
      <c r="D639" s="990"/>
      <c r="E639" s="1104"/>
      <c r="F639" s="990"/>
      <c r="G639" s="990"/>
      <c r="H639" s="990"/>
      <c r="I639" s="1104"/>
      <c r="J639" s="1770"/>
      <c r="K639" s="1770"/>
      <c r="L639" s="1104"/>
      <c r="M639" s="1205"/>
      <c r="N639" s="1207"/>
      <c r="O639" s="1207"/>
      <c r="P639" s="1207"/>
      <c r="Q639" s="1771"/>
      <c r="R639" s="1458"/>
      <c r="S639" s="990"/>
    </row>
    <row r="640" s="989" customFormat="1" customHeight="1" spans="2:19">
      <c r="B640" s="990"/>
      <c r="C640" s="990"/>
      <c r="D640" s="990"/>
      <c r="E640" s="1104"/>
      <c r="F640" s="990"/>
      <c r="G640" s="990"/>
      <c r="H640" s="990"/>
      <c r="I640" s="1104"/>
      <c r="J640" s="1770"/>
      <c r="K640" s="1770"/>
      <c r="L640" s="1104"/>
      <c r="M640" s="1205"/>
      <c r="N640" s="1207"/>
      <c r="O640" s="1207"/>
      <c r="P640" s="1207"/>
      <c r="Q640" s="1771"/>
      <c r="R640" s="1458"/>
      <c r="S640" s="990"/>
    </row>
    <row r="641" s="989" customFormat="1" customHeight="1" spans="2:19">
      <c r="B641" s="990"/>
      <c r="C641" s="990"/>
      <c r="D641" s="990"/>
      <c r="E641" s="1104"/>
      <c r="F641" s="990"/>
      <c r="G641" s="990"/>
      <c r="H641" s="990"/>
      <c r="I641" s="1104"/>
      <c r="J641" s="1770"/>
      <c r="K641" s="1770"/>
      <c r="L641" s="1104"/>
      <c r="M641" s="1205"/>
      <c r="N641" s="1207"/>
      <c r="O641" s="1207"/>
      <c r="P641" s="1207"/>
      <c r="Q641" s="1771"/>
      <c r="R641" s="1458"/>
      <c r="S641" s="990"/>
    </row>
    <row r="642" s="989" customFormat="1" customHeight="1" spans="2:19">
      <c r="B642" s="990"/>
      <c r="C642" s="990"/>
      <c r="D642" s="990"/>
      <c r="E642" s="1104"/>
      <c r="F642" s="990"/>
      <c r="G642" s="990"/>
      <c r="H642" s="990"/>
      <c r="I642" s="1104"/>
      <c r="J642" s="1770"/>
      <c r="K642" s="1770"/>
      <c r="L642" s="1104"/>
      <c r="M642" s="1205"/>
      <c r="N642" s="1207"/>
      <c r="O642" s="1207"/>
      <c r="P642" s="1207"/>
      <c r="Q642" s="1771"/>
      <c r="R642" s="1458"/>
      <c r="S642" s="990"/>
    </row>
    <row r="643" s="989" customFormat="1" customHeight="1" spans="2:19">
      <c r="B643" s="990"/>
      <c r="C643" s="990"/>
      <c r="D643" s="990"/>
      <c r="E643" s="1104"/>
      <c r="F643" s="990"/>
      <c r="G643" s="990"/>
      <c r="H643" s="990"/>
      <c r="I643" s="1104"/>
      <c r="J643" s="1770"/>
      <c r="K643" s="1770"/>
      <c r="L643" s="1104"/>
      <c r="M643" s="1205"/>
      <c r="N643" s="1207"/>
      <c r="O643" s="1207"/>
      <c r="P643" s="1207"/>
      <c r="Q643" s="1771"/>
      <c r="R643" s="1458"/>
      <c r="S643" s="990"/>
    </row>
    <row r="644" s="989" customFormat="1" customHeight="1" spans="2:19">
      <c r="B644" s="990"/>
      <c r="C644" s="990"/>
      <c r="D644" s="990"/>
      <c r="E644" s="1104"/>
      <c r="F644" s="990"/>
      <c r="G644" s="990"/>
      <c r="H644" s="990"/>
      <c r="I644" s="1104"/>
      <c r="J644" s="1770"/>
      <c r="K644" s="1770"/>
      <c r="L644" s="1104"/>
      <c r="M644" s="1205"/>
      <c r="N644" s="1207"/>
      <c r="O644" s="1207"/>
      <c r="P644" s="1207"/>
      <c r="Q644" s="1771"/>
      <c r="R644" s="1458"/>
      <c r="S644" s="990"/>
    </row>
    <row r="645" s="989" customFormat="1" customHeight="1" spans="2:19">
      <c r="B645" s="990"/>
      <c r="C645" s="990"/>
      <c r="D645" s="990"/>
      <c r="E645" s="1104"/>
      <c r="F645" s="990"/>
      <c r="G645" s="990"/>
      <c r="H645" s="990"/>
      <c r="I645" s="1104"/>
      <c r="J645" s="1770"/>
      <c r="K645" s="1770"/>
      <c r="L645" s="1104"/>
      <c r="M645" s="1205"/>
      <c r="N645" s="1207"/>
      <c r="O645" s="1207"/>
      <c r="P645" s="1207"/>
      <c r="Q645" s="1771"/>
      <c r="R645" s="1458"/>
      <c r="S645" s="990"/>
    </row>
    <row r="646" s="989" customFormat="1" customHeight="1" spans="2:19">
      <c r="B646" s="990"/>
      <c r="C646" s="990"/>
      <c r="D646" s="990"/>
      <c r="E646" s="1104"/>
      <c r="F646" s="990"/>
      <c r="G646" s="990"/>
      <c r="H646" s="990"/>
      <c r="I646" s="1104"/>
      <c r="J646" s="1770"/>
      <c r="K646" s="1770"/>
      <c r="L646" s="1104"/>
      <c r="M646" s="1205"/>
      <c r="N646" s="1207"/>
      <c r="O646" s="1207"/>
      <c r="P646" s="1207"/>
      <c r="Q646" s="1771"/>
      <c r="R646" s="1458"/>
      <c r="S646" s="990"/>
    </row>
    <row r="647" s="989" customFormat="1" customHeight="1" spans="2:19">
      <c r="B647" s="990"/>
      <c r="C647" s="990"/>
      <c r="D647" s="990"/>
      <c r="E647" s="1104"/>
      <c r="F647" s="990"/>
      <c r="G647" s="990"/>
      <c r="H647" s="990"/>
      <c r="I647" s="1104"/>
      <c r="J647" s="1770"/>
      <c r="K647" s="1770"/>
      <c r="L647" s="1104"/>
      <c r="M647" s="1205"/>
      <c r="N647" s="1207"/>
      <c r="O647" s="1207"/>
      <c r="P647" s="1207"/>
      <c r="Q647" s="1771"/>
      <c r="R647" s="1458"/>
      <c r="S647" s="990"/>
    </row>
    <row r="648" s="989" customFormat="1" customHeight="1" spans="2:19">
      <c r="B648" s="990"/>
      <c r="C648" s="990"/>
      <c r="D648" s="990"/>
      <c r="E648" s="1104"/>
      <c r="F648" s="990"/>
      <c r="G648" s="990"/>
      <c r="H648" s="990"/>
      <c r="I648" s="1104"/>
      <c r="J648" s="1770"/>
      <c r="K648" s="1770"/>
      <c r="L648" s="1104"/>
      <c r="M648" s="1205"/>
      <c r="N648" s="1207"/>
      <c r="O648" s="1207"/>
      <c r="P648" s="1207"/>
      <c r="Q648" s="1771"/>
      <c r="R648" s="1458"/>
      <c r="S648" s="990"/>
    </row>
    <row r="649" s="989" customFormat="1" customHeight="1" spans="2:19">
      <c r="B649" s="990"/>
      <c r="C649" s="990"/>
      <c r="D649" s="990"/>
      <c r="E649" s="1104"/>
      <c r="F649" s="990"/>
      <c r="G649" s="990"/>
      <c r="H649" s="990"/>
      <c r="I649" s="1104"/>
      <c r="J649" s="1770"/>
      <c r="K649" s="1770"/>
      <c r="L649" s="1104"/>
      <c r="M649" s="1205"/>
      <c r="N649" s="1207"/>
      <c r="O649" s="1207"/>
      <c r="P649" s="1207"/>
      <c r="Q649" s="1771"/>
      <c r="R649" s="1458"/>
      <c r="S649" s="990"/>
    </row>
    <row r="650" s="989" customFormat="1" customHeight="1" spans="2:19">
      <c r="B650" s="990"/>
      <c r="C650" s="990"/>
      <c r="D650" s="990"/>
      <c r="E650" s="1104"/>
      <c r="F650" s="990"/>
      <c r="G650" s="990"/>
      <c r="H650" s="990"/>
      <c r="I650" s="1104"/>
      <c r="J650" s="1770"/>
      <c r="K650" s="1770"/>
      <c r="L650" s="1104"/>
      <c r="M650" s="1205"/>
      <c r="N650" s="1207"/>
      <c r="O650" s="1207"/>
      <c r="P650" s="1207"/>
      <c r="Q650" s="1771"/>
      <c r="R650" s="1458"/>
      <c r="S650" s="990"/>
    </row>
    <row r="651" s="989" customFormat="1" customHeight="1" spans="2:19">
      <c r="B651" s="990"/>
      <c r="C651" s="990"/>
      <c r="D651" s="990"/>
      <c r="E651" s="1104"/>
      <c r="F651" s="990"/>
      <c r="G651" s="990"/>
      <c r="H651" s="990"/>
      <c r="I651" s="1104"/>
      <c r="J651" s="1770"/>
      <c r="K651" s="1770"/>
      <c r="L651" s="1104"/>
      <c r="M651" s="1205"/>
      <c r="N651" s="1207"/>
      <c r="O651" s="1207"/>
      <c r="P651" s="1207"/>
      <c r="Q651" s="1771"/>
      <c r="R651" s="1458"/>
      <c r="S651" s="990"/>
    </row>
    <row r="652" s="989" customFormat="1" customHeight="1" spans="2:19">
      <c r="B652" s="990"/>
      <c r="C652" s="990"/>
      <c r="D652" s="990"/>
      <c r="E652" s="1104"/>
      <c r="F652" s="990"/>
      <c r="G652" s="990"/>
      <c r="H652" s="990"/>
      <c r="I652" s="1104"/>
      <c r="J652" s="1770"/>
      <c r="K652" s="1770"/>
      <c r="L652" s="1104"/>
      <c r="M652" s="1205"/>
      <c r="N652" s="1207"/>
      <c r="O652" s="1207"/>
      <c r="P652" s="1207"/>
      <c r="Q652" s="1771"/>
      <c r="R652" s="1458"/>
      <c r="S652" s="990"/>
    </row>
    <row r="653" s="989" customFormat="1" customHeight="1" spans="2:19">
      <c r="B653" s="990"/>
      <c r="C653" s="990"/>
      <c r="D653" s="990"/>
      <c r="E653" s="1104"/>
      <c r="F653" s="990"/>
      <c r="G653" s="990"/>
      <c r="H653" s="990"/>
      <c r="I653" s="1104"/>
      <c r="J653" s="1770"/>
      <c r="K653" s="1770"/>
      <c r="L653" s="1104"/>
      <c r="M653" s="1205"/>
      <c r="N653" s="1207"/>
      <c r="O653" s="1207"/>
      <c r="P653" s="1207"/>
      <c r="Q653" s="1771"/>
      <c r="R653" s="1458"/>
      <c r="S653" s="990"/>
    </row>
    <row r="654" s="989" customFormat="1" customHeight="1" spans="2:19">
      <c r="B654" s="990"/>
      <c r="C654" s="990"/>
      <c r="D654" s="990"/>
      <c r="E654" s="1104"/>
      <c r="F654" s="990"/>
      <c r="G654" s="990"/>
      <c r="H654" s="990"/>
      <c r="I654" s="1104"/>
      <c r="J654" s="1770"/>
      <c r="K654" s="1770"/>
      <c r="L654" s="1104"/>
      <c r="M654" s="1205"/>
      <c r="N654" s="1207"/>
      <c r="O654" s="1207"/>
      <c r="P654" s="1207"/>
      <c r="Q654" s="1771"/>
      <c r="R654" s="1458"/>
      <c r="S654" s="990"/>
    </row>
    <row r="655" s="989" customFormat="1" customHeight="1" spans="2:19">
      <c r="B655" s="990"/>
      <c r="C655" s="990"/>
      <c r="D655" s="990"/>
      <c r="E655" s="1104"/>
      <c r="F655" s="990"/>
      <c r="G655" s="990"/>
      <c r="H655" s="990"/>
      <c r="I655" s="1104"/>
      <c r="J655" s="1770"/>
      <c r="K655" s="1770"/>
      <c r="L655" s="1104"/>
      <c r="M655" s="1205"/>
      <c r="N655" s="1207"/>
      <c r="O655" s="1207"/>
      <c r="P655" s="1207"/>
      <c r="Q655" s="1771"/>
      <c r="R655" s="1458"/>
      <c r="S655" s="990"/>
    </row>
    <row r="656" s="989" customFormat="1" customHeight="1" spans="2:19">
      <c r="B656" s="990"/>
      <c r="C656" s="990"/>
      <c r="D656" s="990"/>
      <c r="E656" s="1104"/>
      <c r="F656" s="990"/>
      <c r="G656" s="990"/>
      <c r="H656" s="990"/>
      <c r="I656" s="1104"/>
      <c r="J656" s="1770"/>
      <c r="K656" s="1770"/>
      <c r="L656" s="1104"/>
      <c r="M656" s="1205"/>
      <c r="N656" s="1207"/>
      <c r="O656" s="1207"/>
      <c r="P656" s="1207"/>
      <c r="Q656" s="1771"/>
      <c r="R656" s="1458"/>
      <c r="S656" s="990"/>
    </row>
    <row r="657" s="989" customFormat="1" customHeight="1" spans="1:19">
      <c r="B657" s="990"/>
      <c r="C657" s="990"/>
      <c r="D657" s="990"/>
      <c r="E657" s="1104"/>
      <c r="F657" s="990"/>
      <c r="G657" s="990"/>
      <c r="H657" s="990"/>
      <c r="I657" s="1104"/>
      <c r="J657" s="1770"/>
      <c r="K657" s="1770"/>
      <c r="L657" s="1104"/>
      <c r="M657" s="1205"/>
      <c r="N657" s="1207"/>
      <c r="O657" s="1207"/>
      <c r="P657" s="1207"/>
      <c r="Q657" s="1771"/>
      <c r="R657" s="1458"/>
      <c r="S657" s="990"/>
    </row>
    <row r="658" s="989" customFormat="1" customHeight="1" spans="1:19">
      <c r="A658" s="1255" t="s">
        <v>1366</v>
      </c>
      <c r="B658" s="791"/>
      <c r="C658" s="990"/>
      <c r="D658" s="990"/>
      <c r="E658" s="1104" t="s">
        <v>1367</v>
      </c>
      <c r="F658" s="791"/>
      <c r="G658" s="990"/>
      <c r="H658" s="990">
        <v>2.92</v>
      </c>
      <c r="I658" s="1104"/>
      <c r="J658" s="1770">
        <v>9.82</v>
      </c>
      <c r="K658" s="1789">
        <v>0.76</v>
      </c>
      <c r="L658" s="924"/>
      <c r="M658" s="29"/>
      <c r="N658" s="1873" t="s">
        <v>1368</v>
      </c>
      <c r="O658" s="1207"/>
      <c r="P658" s="1207"/>
      <c r="Q658" s="1771"/>
      <c r="R658" s="1458"/>
      <c r="S658" s="990"/>
    </row>
    <row r="659" s="989" customFormat="1" customHeight="1" spans="1:19">
      <c r="B659" s="990"/>
      <c r="C659" s="990"/>
      <c r="D659" s="990"/>
      <c r="E659" s="1104"/>
      <c r="F659" s="990"/>
      <c r="G659" s="990"/>
      <c r="H659" s="990"/>
      <c r="I659" s="1104"/>
      <c r="J659" s="1770"/>
      <c r="K659" s="1770"/>
      <c r="L659" s="1104"/>
      <c r="M659" s="1205"/>
      <c r="N659" s="1207"/>
      <c r="O659" s="1207"/>
      <c r="P659" s="1207"/>
      <c r="Q659" s="1771"/>
      <c r="R659" s="1458"/>
      <c r="S659" s="990"/>
    </row>
    <row r="660" s="989" customFormat="1" customHeight="1" spans="1:19">
      <c r="B660" s="990"/>
      <c r="C660" s="990"/>
      <c r="D660" s="990"/>
      <c r="E660" s="1104"/>
      <c r="F660" s="990"/>
      <c r="G660" s="990"/>
      <c r="H660" s="990"/>
      <c r="I660" s="1104"/>
      <c r="J660" s="1770"/>
      <c r="K660" s="1770"/>
      <c r="L660" s="1104"/>
      <c r="M660" s="1205"/>
      <c r="N660" s="1207"/>
      <c r="O660" s="1207"/>
      <c r="P660" s="1207"/>
      <c r="Q660" s="1771"/>
      <c r="R660" s="1458"/>
      <c r="S660" s="990"/>
    </row>
    <row r="661" s="989" customFormat="1" customHeight="1" spans="1:19">
      <c r="B661" s="990"/>
      <c r="C661" s="990"/>
      <c r="D661" s="990"/>
      <c r="E661" s="1104"/>
      <c r="F661" s="990"/>
      <c r="G661" s="990"/>
      <c r="H661" s="990"/>
      <c r="I661" s="1104"/>
      <c r="J661" s="1770"/>
      <c r="K661" s="1770"/>
      <c r="L661" s="1104"/>
      <c r="M661" s="1205"/>
      <c r="N661" s="1207"/>
      <c r="O661" s="1207"/>
      <c r="P661" s="1207"/>
      <c r="Q661" s="1771"/>
      <c r="R661" s="1458"/>
      <c r="S661" s="990"/>
    </row>
    <row r="662" s="989" customFormat="1" customHeight="1" spans="1:19">
      <c r="B662" s="990"/>
      <c r="C662" s="990"/>
      <c r="D662" s="990"/>
      <c r="E662" s="1104"/>
      <c r="F662" s="990"/>
      <c r="G662" s="990"/>
      <c r="H662" s="990"/>
      <c r="I662" s="1104"/>
      <c r="J662" s="1770"/>
      <c r="K662" s="1770"/>
      <c r="L662" s="1104"/>
      <c r="M662" s="1205"/>
      <c r="N662" s="1207"/>
      <c r="O662" s="1207"/>
      <c r="P662" s="1207"/>
      <c r="Q662" s="1771"/>
      <c r="R662" s="1458"/>
      <c r="S662" s="990"/>
    </row>
    <row r="663" s="989" customFormat="1" customHeight="1" spans="1:19">
      <c r="B663" s="990"/>
      <c r="C663" s="990"/>
      <c r="D663" s="990"/>
      <c r="E663" s="1104"/>
      <c r="F663" s="990"/>
      <c r="G663" s="990"/>
      <c r="H663" s="990"/>
      <c r="I663" s="1104"/>
      <c r="J663" s="1770"/>
      <c r="K663" s="1770"/>
      <c r="L663" s="1104"/>
      <c r="M663" s="1205"/>
      <c r="N663" s="1207"/>
      <c r="O663" s="1207"/>
      <c r="P663" s="1207"/>
      <c r="Q663" s="1771"/>
      <c r="R663" s="1458"/>
      <c r="S663" s="990"/>
    </row>
    <row r="664" s="989" customFormat="1" customHeight="1" spans="1:19">
      <c r="B664" s="990"/>
      <c r="C664" s="990"/>
      <c r="D664" s="990"/>
      <c r="E664" s="1104"/>
      <c r="F664" s="990"/>
      <c r="G664" s="990"/>
      <c r="H664" s="990"/>
      <c r="I664" s="1104"/>
      <c r="J664" s="1770"/>
      <c r="K664" s="1770"/>
      <c r="L664" s="1104"/>
      <c r="M664" s="1205"/>
      <c r="N664" s="1207"/>
      <c r="O664" s="1207"/>
      <c r="P664" s="1207"/>
      <c r="Q664" s="1771"/>
      <c r="R664" s="1458"/>
      <c r="S664" s="990"/>
    </row>
    <row r="665" s="989" customFormat="1" customHeight="1" spans="1:19">
      <c r="B665" s="990"/>
      <c r="C665" s="990"/>
      <c r="D665" s="990"/>
      <c r="E665" s="1104"/>
      <c r="F665" s="990"/>
      <c r="G665" s="990"/>
      <c r="H665" s="990"/>
      <c r="I665" s="1104"/>
      <c r="J665" s="1770"/>
      <c r="K665" s="1770"/>
      <c r="L665" s="1104"/>
      <c r="M665" s="1205"/>
      <c r="N665" s="1207"/>
      <c r="O665" s="1207"/>
      <c r="P665" s="1207"/>
      <c r="Q665" s="1771"/>
      <c r="R665" s="1458"/>
      <c r="S665" s="990"/>
    </row>
    <row r="666" s="989" customFormat="1" customHeight="1" spans="1:19">
      <c r="B666" s="990"/>
      <c r="C666" s="990"/>
      <c r="D666" s="990"/>
      <c r="E666" s="1104"/>
      <c r="F666" s="990"/>
      <c r="G666" s="990"/>
      <c r="H666" s="990"/>
      <c r="I666" s="1104"/>
      <c r="J666" s="1770"/>
      <c r="K666" s="1770"/>
      <c r="L666" s="1104"/>
      <c r="M666" s="1205"/>
      <c r="N666" s="1207"/>
      <c r="O666" s="1207"/>
      <c r="P666" s="1207"/>
      <c r="Q666" s="1771"/>
      <c r="R666" s="1458"/>
      <c r="S666" s="990"/>
    </row>
    <row r="667" s="989" customFormat="1" customHeight="1" spans="1:19">
      <c r="B667" s="990"/>
      <c r="C667" s="990"/>
      <c r="D667" s="990"/>
      <c r="E667" s="1104"/>
      <c r="F667" s="990"/>
      <c r="G667" s="990"/>
      <c r="H667" s="990"/>
      <c r="I667" s="1104"/>
      <c r="J667" s="1770"/>
      <c r="K667" s="1770"/>
      <c r="L667" s="1104"/>
      <c r="M667" s="1205"/>
      <c r="N667" s="1207"/>
      <c r="O667" s="1207"/>
      <c r="P667" s="1207"/>
      <c r="Q667" s="1771"/>
      <c r="R667" s="1458"/>
      <c r="S667" s="990"/>
    </row>
    <row r="668" s="989" customFormat="1" customHeight="1" spans="1:19">
      <c r="B668" s="990"/>
      <c r="C668" s="990"/>
      <c r="D668" s="990"/>
      <c r="E668" s="1104"/>
      <c r="F668" s="990"/>
      <c r="G668" s="990"/>
      <c r="H668" s="990"/>
      <c r="I668" s="1104"/>
      <c r="J668" s="1770"/>
      <c r="K668" s="1770"/>
      <c r="L668" s="1104"/>
      <c r="M668" s="1205"/>
      <c r="N668" s="1207"/>
      <c r="O668" s="1207"/>
      <c r="P668" s="1207"/>
      <c r="Q668" s="1771"/>
      <c r="R668" s="1458"/>
      <c r="S668" s="990"/>
    </row>
    <row r="669" s="989" customFormat="1" customHeight="1" spans="1:19">
      <c r="B669" s="990"/>
      <c r="C669" s="990"/>
      <c r="D669" s="990"/>
      <c r="E669" s="1104"/>
      <c r="F669" s="990"/>
      <c r="G669" s="990"/>
      <c r="H669" s="990"/>
      <c r="I669" s="1104"/>
      <c r="J669" s="1770"/>
      <c r="K669" s="1770"/>
      <c r="L669" s="1104"/>
      <c r="M669" s="1205"/>
      <c r="N669" s="1207"/>
      <c r="O669" s="1207"/>
      <c r="P669" s="1207"/>
      <c r="Q669" s="1771"/>
      <c r="R669" s="1458"/>
      <c r="S669" s="990"/>
    </row>
    <row r="670" s="989" customFormat="1" customHeight="1" spans="1:19">
      <c r="B670" s="990"/>
      <c r="C670" s="990"/>
      <c r="D670" s="990"/>
      <c r="E670" s="1104"/>
      <c r="F670" s="990"/>
      <c r="G670" s="990"/>
      <c r="H670" s="990"/>
      <c r="I670" s="1104"/>
      <c r="J670" s="1770"/>
      <c r="K670" s="1770"/>
      <c r="L670" s="1104"/>
      <c r="M670" s="1205"/>
      <c r="N670" s="1207"/>
      <c r="O670" s="1207"/>
      <c r="P670" s="1207"/>
      <c r="Q670" s="1771"/>
      <c r="R670" s="1458"/>
      <c r="S670" s="990"/>
    </row>
    <row r="671" s="989" customFormat="1" customHeight="1" spans="1:19">
      <c r="B671" s="990"/>
      <c r="C671" s="990"/>
      <c r="D671" s="990"/>
      <c r="E671" s="1104"/>
      <c r="F671" s="990"/>
      <c r="G671" s="990"/>
      <c r="H671" s="990"/>
      <c r="I671" s="1104"/>
      <c r="J671" s="1770"/>
      <c r="K671" s="1770"/>
      <c r="L671" s="1104"/>
      <c r="M671" s="1205"/>
      <c r="N671" s="1207"/>
      <c r="O671" s="1207"/>
      <c r="P671" s="1207"/>
      <c r="Q671" s="1771"/>
      <c r="R671" s="1458"/>
      <c r="S671" s="990"/>
    </row>
    <row r="672" s="989" customFormat="1" customHeight="1" spans="1:19">
      <c r="B672" s="990"/>
      <c r="C672" s="990"/>
      <c r="D672" s="990"/>
      <c r="E672" s="1104"/>
      <c r="F672" s="990"/>
      <c r="G672" s="990"/>
      <c r="H672" s="990"/>
      <c r="I672" s="1104"/>
      <c r="J672" s="1770"/>
      <c r="K672" s="1770"/>
      <c r="L672" s="1104"/>
      <c r="M672" s="1205"/>
      <c r="N672" s="1207"/>
      <c r="O672" s="1207"/>
      <c r="P672" s="1207"/>
      <c r="Q672" s="1771"/>
      <c r="R672" s="1458"/>
      <c r="S672" s="990"/>
    </row>
    <row r="673" s="989" customFormat="1" customHeight="1" spans="2:19">
      <c r="B673" s="990"/>
      <c r="C673" s="990"/>
      <c r="D673" s="990"/>
      <c r="E673" s="1104"/>
      <c r="F673" s="990"/>
      <c r="G673" s="990"/>
      <c r="H673" s="990"/>
      <c r="I673" s="1104"/>
      <c r="J673" s="1770"/>
      <c r="K673" s="1770"/>
      <c r="L673" s="1104"/>
      <c r="M673" s="1205"/>
      <c r="N673" s="1207"/>
      <c r="O673" s="1207"/>
      <c r="P673" s="1207"/>
      <c r="Q673" s="1771"/>
      <c r="R673" s="1458"/>
      <c r="S673" s="990"/>
    </row>
    <row r="674" s="989" customFormat="1" customHeight="1" spans="2:19">
      <c r="B674" s="990"/>
      <c r="C674" s="990"/>
      <c r="D674" s="990"/>
      <c r="E674" s="1104"/>
      <c r="F674" s="990"/>
      <c r="G674" s="990"/>
      <c r="H674" s="990"/>
      <c r="I674" s="1104"/>
      <c r="J674" s="1770"/>
      <c r="K674" s="1770"/>
      <c r="L674" s="1104"/>
      <c r="M674" s="1205"/>
      <c r="N674" s="1207"/>
      <c r="O674" s="1207"/>
      <c r="P674" s="1207"/>
      <c r="Q674" s="1771"/>
      <c r="R674" s="1458"/>
      <c r="S674" s="990"/>
    </row>
    <row r="675" s="989" customFormat="1" customHeight="1" spans="2:19">
      <c r="B675" s="990"/>
      <c r="C675" s="990"/>
      <c r="D675" s="990"/>
      <c r="E675" s="1104"/>
      <c r="F675" s="990"/>
      <c r="G675" s="990"/>
      <c r="H675" s="990"/>
      <c r="I675" s="1104"/>
      <c r="J675" s="1770"/>
      <c r="K675" s="1770"/>
      <c r="L675" s="1104"/>
      <c r="M675" s="1205"/>
      <c r="N675" s="1207"/>
      <c r="O675" s="1207"/>
      <c r="P675" s="1207"/>
      <c r="Q675" s="1771"/>
      <c r="R675" s="1458"/>
      <c r="S675" s="990"/>
    </row>
    <row r="676" s="989" customFormat="1" customHeight="1" spans="2:19">
      <c r="B676" s="990"/>
      <c r="C676" s="990"/>
      <c r="D676" s="990"/>
      <c r="E676" s="1104"/>
      <c r="F676" s="990"/>
      <c r="G676" s="990"/>
      <c r="H676" s="990"/>
      <c r="I676" s="1104"/>
      <c r="J676" s="1770"/>
      <c r="K676" s="1770"/>
      <c r="L676" s="1104"/>
      <c r="M676" s="1205"/>
      <c r="N676" s="1207"/>
      <c r="O676" s="1207"/>
      <c r="P676" s="1207"/>
      <c r="Q676" s="1771"/>
      <c r="R676" s="1458"/>
      <c r="S676" s="990"/>
    </row>
    <row r="677" s="989" customFormat="1" customHeight="1" spans="2:19">
      <c r="B677" s="990"/>
      <c r="C677" s="990"/>
      <c r="D677" s="990"/>
      <c r="E677" s="1104"/>
      <c r="F677" s="990"/>
      <c r="G677" s="990"/>
      <c r="H677" s="990"/>
      <c r="I677" s="1104"/>
      <c r="J677" s="1770"/>
      <c r="K677" s="1770"/>
      <c r="L677" s="1104"/>
      <c r="M677" s="1205"/>
      <c r="N677" s="1207"/>
      <c r="O677" s="1207"/>
      <c r="P677" s="1207"/>
      <c r="Q677" s="1771"/>
      <c r="R677" s="1458"/>
      <c r="S677" s="990"/>
    </row>
    <row r="678" s="989" customFormat="1" customHeight="1" spans="2:19">
      <c r="B678" s="990"/>
      <c r="C678" s="990"/>
      <c r="D678" s="990"/>
      <c r="E678" s="1104"/>
      <c r="F678" s="990"/>
      <c r="G678" s="990"/>
      <c r="H678" s="990"/>
      <c r="I678" s="1104"/>
      <c r="J678" s="1770"/>
      <c r="K678" s="1770"/>
      <c r="L678" s="1104"/>
      <c r="M678" s="1205"/>
      <c r="N678" s="1207"/>
      <c r="O678" s="1207"/>
      <c r="P678" s="1207"/>
      <c r="Q678" s="1771"/>
      <c r="R678" s="1458"/>
      <c r="S678" s="990"/>
    </row>
    <row r="679" s="989" customFormat="1" customHeight="1" spans="2:19">
      <c r="B679" s="990"/>
      <c r="C679" s="990"/>
      <c r="D679" s="990"/>
      <c r="E679" s="1104"/>
      <c r="F679" s="990"/>
      <c r="G679" s="990"/>
      <c r="H679" s="990"/>
      <c r="I679" s="1104"/>
      <c r="J679" s="1770"/>
      <c r="K679" s="1770"/>
      <c r="L679" s="1104"/>
      <c r="M679" s="1205"/>
      <c r="N679" s="1207"/>
      <c r="O679" s="1207"/>
      <c r="P679" s="1207"/>
      <c r="Q679" s="1771"/>
      <c r="R679" s="1458"/>
      <c r="S679" s="990"/>
    </row>
    <row r="680" s="989" customFormat="1" customHeight="1" spans="2:19">
      <c r="B680" s="990"/>
      <c r="C680" s="990"/>
      <c r="D680" s="990"/>
      <c r="E680" s="1104"/>
      <c r="F680" s="990"/>
      <c r="G680" s="990"/>
      <c r="H680" s="990"/>
      <c r="I680" s="1104"/>
      <c r="J680" s="1770"/>
      <c r="K680" s="1770"/>
      <c r="L680" s="1104"/>
      <c r="M680" s="1205"/>
      <c r="N680" s="1207"/>
      <c r="O680" s="1207"/>
      <c r="P680" s="1207"/>
      <c r="Q680" s="1771"/>
      <c r="R680" s="1458"/>
      <c r="S680" s="990"/>
    </row>
    <row r="681" s="989" customFormat="1" customHeight="1" spans="2:19">
      <c r="B681" s="990"/>
      <c r="C681" s="990"/>
      <c r="D681" s="990"/>
      <c r="E681" s="1104"/>
      <c r="F681" s="990"/>
      <c r="G681" s="990"/>
      <c r="H681" s="990"/>
      <c r="I681" s="1104"/>
      <c r="J681" s="1770"/>
      <c r="K681" s="1770"/>
      <c r="L681" s="1104"/>
      <c r="M681" s="1205"/>
      <c r="N681" s="1207"/>
      <c r="O681" s="1207"/>
      <c r="P681" s="1207"/>
      <c r="Q681" s="1771"/>
      <c r="R681" s="1458"/>
      <c r="S681" s="990"/>
    </row>
    <row r="682" s="989" customFormat="1" customHeight="1" spans="2:19">
      <c r="B682" s="990"/>
      <c r="C682" s="990"/>
      <c r="D682" s="990"/>
      <c r="E682" s="1104"/>
      <c r="F682" s="990"/>
      <c r="G682" s="990"/>
      <c r="H682" s="990"/>
      <c r="I682" s="1104"/>
      <c r="J682" s="1770"/>
      <c r="K682" s="1770"/>
      <c r="L682" s="1104"/>
      <c r="M682" s="1205"/>
      <c r="N682" s="1207"/>
      <c r="O682" s="1207"/>
      <c r="P682" s="1207"/>
      <c r="Q682" s="1771"/>
      <c r="R682" s="1458"/>
      <c r="S682" s="990"/>
    </row>
    <row r="683" s="989" customFormat="1" customHeight="1" spans="2:19">
      <c r="B683" s="990"/>
      <c r="C683" s="990"/>
      <c r="D683" s="990"/>
      <c r="E683" s="1104"/>
      <c r="F683" s="990"/>
      <c r="G683" s="990"/>
      <c r="H683" s="990"/>
      <c r="I683" s="1104"/>
      <c r="J683" s="1770"/>
      <c r="K683" s="1770"/>
      <c r="L683" s="1104"/>
      <c r="M683" s="1205"/>
      <c r="N683" s="1207"/>
      <c r="O683" s="1207"/>
      <c r="P683" s="1207"/>
      <c r="Q683" s="1771"/>
      <c r="R683" s="1458"/>
      <c r="S683" s="990"/>
    </row>
    <row r="684" s="989" customFormat="1" customHeight="1" spans="2:19">
      <c r="B684" s="990"/>
      <c r="C684" s="990"/>
      <c r="D684" s="990"/>
      <c r="E684" s="1104"/>
      <c r="F684" s="990"/>
      <c r="G684" s="990"/>
      <c r="H684" s="990"/>
      <c r="I684" s="1104"/>
      <c r="J684" s="1770"/>
      <c r="K684" s="1770"/>
      <c r="L684" s="1104"/>
      <c r="M684" s="1205"/>
      <c r="N684" s="1207"/>
      <c r="O684" s="1207"/>
      <c r="P684" s="1207"/>
      <c r="Q684" s="1771"/>
      <c r="R684" s="1458"/>
      <c r="S684" s="990"/>
    </row>
    <row r="685" s="989" customFormat="1" customHeight="1" spans="2:19">
      <c r="B685" s="990"/>
      <c r="C685" s="990"/>
      <c r="D685" s="990"/>
      <c r="E685" s="1104"/>
      <c r="F685" s="990"/>
      <c r="G685" s="990"/>
      <c r="H685" s="990"/>
      <c r="I685" s="1104"/>
      <c r="J685" s="1770"/>
      <c r="K685" s="1770"/>
      <c r="L685" s="1104"/>
      <c r="M685" s="1205"/>
      <c r="N685" s="1207"/>
      <c r="O685" s="1207"/>
      <c r="P685" s="1207"/>
      <c r="Q685" s="1771"/>
      <c r="R685" s="1458"/>
      <c r="S685" s="990"/>
    </row>
    <row r="686" s="989" customFormat="1" customHeight="1" spans="2:19">
      <c r="B686" s="990"/>
      <c r="C686" s="990"/>
      <c r="D686" s="990"/>
      <c r="E686" s="1104"/>
      <c r="F686" s="990"/>
      <c r="G686" s="990"/>
      <c r="H686" s="990"/>
      <c r="I686" s="1104"/>
      <c r="J686" s="1770"/>
      <c r="K686" s="1770"/>
      <c r="L686" s="1104"/>
      <c r="M686" s="1205"/>
      <c r="N686" s="1207"/>
      <c r="O686" s="1207"/>
      <c r="P686" s="1207"/>
      <c r="Q686" s="1771"/>
      <c r="R686" s="1458"/>
      <c r="S686" s="990"/>
    </row>
    <row r="687" s="989" customFormat="1" customHeight="1" spans="2:19">
      <c r="B687" s="990"/>
      <c r="C687" s="990"/>
      <c r="D687" s="990"/>
      <c r="E687" s="1104"/>
      <c r="F687" s="990"/>
      <c r="G687" s="990"/>
      <c r="H687" s="990"/>
      <c r="I687" s="1104"/>
      <c r="J687" s="1770"/>
      <c r="K687" s="1770"/>
      <c r="L687" s="1104"/>
      <c r="M687" s="1205"/>
      <c r="N687" s="1207"/>
      <c r="O687" s="1207"/>
      <c r="P687" s="1207"/>
      <c r="Q687" s="1771"/>
      <c r="R687" s="1458"/>
      <c r="S687" s="990"/>
    </row>
    <row r="688" s="989" customFormat="1" customHeight="1" spans="2:19">
      <c r="B688" s="990"/>
      <c r="C688" s="990"/>
      <c r="D688" s="990"/>
      <c r="E688" s="1104"/>
      <c r="F688" s="990"/>
      <c r="G688" s="990"/>
      <c r="H688" s="990"/>
      <c r="I688" s="1104"/>
      <c r="J688" s="1770"/>
      <c r="K688" s="1770"/>
      <c r="L688" s="1104"/>
      <c r="M688" s="1205"/>
      <c r="N688" s="1207"/>
      <c r="O688" s="1207"/>
      <c r="P688" s="1207"/>
      <c r="Q688" s="1771"/>
      <c r="R688" s="1458"/>
      <c r="S688" s="990"/>
    </row>
    <row r="689" s="989" customFormat="1" customHeight="1" spans="2:19">
      <c r="B689" s="990"/>
      <c r="C689" s="990"/>
      <c r="D689" s="990"/>
      <c r="E689" s="1104"/>
      <c r="F689" s="990"/>
      <c r="G689" s="990"/>
      <c r="H689" s="990"/>
      <c r="I689" s="1104"/>
      <c r="J689" s="1770"/>
      <c r="K689" s="1770"/>
      <c r="L689" s="1104"/>
      <c r="M689" s="1205"/>
      <c r="N689" s="1207"/>
      <c r="O689" s="1207"/>
      <c r="P689" s="1207"/>
      <c r="Q689" s="1771"/>
      <c r="R689" s="1458"/>
      <c r="S689" s="990"/>
    </row>
    <row r="690" s="989" customFormat="1" customHeight="1" spans="2:19">
      <c r="B690" s="990"/>
      <c r="C690" s="990"/>
      <c r="D690" s="990"/>
      <c r="E690" s="1104"/>
      <c r="F690" s="990"/>
      <c r="G690" s="990"/>
      <c r="H690" s="990"/>
      <c r="I690" s="1104"/>
      <c r="J690" s="1770"/>
      <c r="K690" s="1770"/>
      <c r="L690" s="1104"/>
      <c r="M690" s="1205"/>
      <c r="N690" s="1207"/>
      <c r="O690" s="1207"/>
      <c r="P690" s="1207"/>
      <c r="Q690" s="1771"/>
      <c r="R690" s="1458"/>
      <c r="S690" s="990"/>
    </row>
    <row r="691" s="989" customFormat="1" customHeight="1" spans="2:19">
      <c r="B691" s="990"/>
      <c r="C691" s="990"/>
      <c r="D691" s="990"/>
      <c r="E691" s="1104"/>
      <c r="F691" s="990"/>
      <c r="G691" s="990"/>
      <c r="H691" s="990"/>
      <c r="I691" s="1104"/>
      <c r="J691" s="1770"/>
      <c r="K691" s="1770"/>
      <c r="L691" s="1104"/>
      <c r="M691" s="1205"/>
      <c r="N691" s="1207"/>
      <c r="O691" s="1207"/>
      <c r="P691" s="1207"/>
      <c r="Q691" s="1771"/>
      <c r="R691" s="1458"/>
      <c r="S691" s="990"/>
    </row>
    <row r="692" s="989" customFormat="1" customHeight="1" spans="2:19">
      <c r="B692" s="990"/>
      <c r="C692" s="990"/>
      <c r="D692" s="990"/>
      <c r="E692" s="1104"/>
      <c r="F692" s="990"/>
      <c r="G692" s="990"/>
      <c r="H692" s="990"/>
      <c r="I692" s="1104"/>
      <c r="J692" s="1770"/>
      <c r="K692" s="1770"/>
      <c r="L692" s="1104"/>
      <c r="M692" s="1205"/>
      <c r="N692" s="1207"/>
      <c r="O692" s="1207"/>
      <c r="P692" s="1207"/>
      <c r="Q692" s="1771"/>
      <c r="R692" s="1458"/>
      <c r="S692" s="990"/>
    </row>
    <row r="693" s="989" customFormat="1" customHeight="1" spans="2:19">
      <c r="B693" s="990"/>
      <c r="C693" s="990"/>
      <c r="D693" s="990"/>
      <c r="E693" s="1104"/>
      <c r="F693" s="990"/>
      <c r="G693" s="990"/>
      <c r="H693" s="990"/>
      <c r="I693" s="1104"/>
      <c r="J693" s="1770"/>
      <c r="K693" s="1770"/>
      <c r="L693" s="1104"/>
      <c r="M693" s="1205"/>
      <c r="N693" s="1207"/>
      <c r="O693" s="1207"/>
      <c r="P693" s="1207"/>
      <c r="Q693" s="1771"/>
      <c r="R693" s="1458"/>
      <c r="S693" s="990"/>
    </row>
    <row r="694" s="989" customFormat="1" customHeight="1" spans="2:19">
      <c r="B694" s="990"/>
      <c r="C694" s="990"/>
      <c r="D694" s="990"/>
      <c r="E694" s="1104"/>
      <c r="F694" s="990"/>
      <c r="G694" s="990"/>
      <c r="H694" s="990"/>
      <c r="I694" s="1104"/>
      <c r="J694" s="1770"/>
      <c r="K694" s="1770"/>
      <c r="L694" s="1104"/>
      <c r="M694" s="1205"/>
      <c r="N694" s="1207"/>
      <c r="O694" s="1207"/>
      <c r="P694" s="1207"/>
      <c r="Q694" s="1771"/>
      <c r="R694" s="1458"/>
      <c r="S694" s="990"/>
    </row>
    <row r="695" s="989" customFormat="1" customHeight="1" spans="2:19">
      <c r="B695" s="990"/>
      <c r="C695" s="990"/>
      <c r="D695" s="990"/>
      <c r="E695" s="1104"/>
      <c r="F695" s="990"/>
      <c r="G695" s="990"/>
      <c r="H695" s="990"/>
      <c r="I695" s="1104"/>
      <c r="J695" s="1770"/>
      <c r="K695" s="1770"/>
      <c r="L695" s="1104"/>
      <c r="M695" s="1205"/>
      <c r="N695" s="1207"/>
      <c r="O695" s="1207"/>
      <c r="P695" s="1207"/>
      <c r="Q695" s="1771"/>
      <c r="R695" s="1458"/>
      <c r="S695" s="990"/>
    </row>
    <row r="696" s="989" customFormat="1" customHeight="1" spans="2:19">
      <c r="B696" s="990"/>
      <c r="C696" s="990"/>
      <c r="D696" s="990"/>
      <c r="E696" s="1104"/>
      <c r="F696" s="990"/>
      <c r="G696" s="990"/>
      <c r="H696" s="990"/>
      <c r="I696" s="1104"/>
      <c r="J696" s="1770"/>
      <c r="K696" s="1770"/>
      <c r="L696" s="1104"/>
      <c r="M696" s="1205"/>
      <c r="N696" s="1207"/>
      <c r="O696" s="1207"/>
      <c r="P696" s="1207"/>
      <c r="Q696" s="1771"/>
      <c r="R696" s="1458"/>
      <c r="S696" s="990"/>
    </row>
    <row r="697" s="989" customFormat="1" customHeight="1" spans="2:19">
      <c r="B697" s="990"/>
      <c r="C697" s="990"/>
      <c r="D697" s="990"/>
      <c r="E697" s="1104"/>
      <c r="F697" s="990"/>
      <c r="G697" s="990"/>
      <c r="H697" s="990"/>
      <c r="I697" s="1104"/>
      <c r="J697" s="1770"/>
      <c r="K697" s="1770"/>
      <c r="L697" s="1104"/>
      <c r="M697" s="1205"/>
      <c r="N697" s="1207"/>
      <c r="O697" s="1207"/>
      <c r="P697" s="1207"/>
      <c r="Q697" s="1771"/>
      <c r="R697" s="1458"/>
      <c r="S697" s="990"/>
    </row>
    <row r="698" s="989" customFormat="1" customHeight="1" spans="2:19">
      <c r="B698" s="990"/>
      <c r="C698" s="990"/>
      <c r="D698" s="990"/>
      <c r="E698" s="1104"/>
      <c r="F698" s="990"/>
      <c r="G698" s="990"/>
      <c r="H698" s="990"/>
      <c r="I698" s="1104"/>
      <c r="J698" s="1770"/>
      <c r="K698" s="1770"/>
      <c r="L698" s="1104"/>
      <c r="M698" s="1205"/>
      <c r="N698" s="1207"/>
      <c r="O698" s="1207"/>
      <c r="P698" s="1207"/>
      <c r="Q698" s="1771"/>
      <c r="R698" s="1458"/>
      <c r="S698" s="990"/>
    </row>
    <row r="699" s="989" customFormat="1" customHeight="1" spans="2:19">
      <c r="B699" s="990"/>
      <c r="C699" s="990"/>
      <c r="D699" s="990"/>
      <c r="E699" s="1104"/>
      <c r="F699" s="990"/>
      <c r="G699" s="990"/>
      <c r="H699" s="990"/>
      <c r="I699" s="1104"/>
      <c r="J699" s="1770"/>
      <c r="K699" s="1770"/>
      <c r="L699" s="1104"/>
      <c r="M699" s="1205"/>
      <c r="N699" s="1207"/>
      <c r="O699" s="1207"/>
      <c r="P699" s="1207"/>
      <c r="Q699" s="1771"/>
      <c r="R699" s="1458"/>
      <c r="S699" s="990"/>
    </row>
    <row r="700" s="989" customFormat="1" customHeight="1" spans="2:19">
      <c r="B700" s="990"/>
      <c r="C700" s="990"/>
      <c r="D700" s="990"/>
      <c r="E700" s="1104"/>
      <c r="F700" s="990"/>
      <c r="G700" s="990"/>
      <c r="H700" s="990"/>
      <c r="I700" s="1104"/>
      <c r="J700" s="1770"/>
      <c r="K700" s="1770"/>
      <c r="L700" s="1104"/>
      <c r="M700" s="1205"/>
      <c r="N700" s="1207"/>
      <c r="O700" s="1207"/>
      <c r="P700" s="1207"/>
      <c r="Q700" s="1771"/>
      <c r="R700" s="1458"/>
      <c r="S700" s="990"/>
    </row>
    <row r="701" s="989" customFormat="1" customHeight="1" spans="2:19">
      <c r="B701" s="990"/>
      <c r="C701" s="990"/>
      <c r="D701" s="990"/>
      <c r="E701" s="1104"/>
      <c r="F701" s="990"/>
      <c r="G701" s="990"/>
      <c r="H701" s="990"/>
      <c r="I701" s="1104"/>
      <c r="J701" s="1770"/>
      <c r="K701" s="1770"/>
      <c r="L701" s="1104"/>
      <c r="M701" s="1205"/>
      <c r="N701" s="1207"/>
      <c r="O701" s="1207"/>
      <c r="P701" s="1207"/>
      <c r="Q701" s="1771"/>
      <c r="R701" s="1458"/>
      <c r="S701" s="990"/>
    </row>
    <row r="702" s="989" customFormat="1" customHeight="1" spans="2:19">
      <c r="B702" s="990"/>
      <c r="C702" s="990"/>
      <c r="D702" s="990"/>
      <c r="E702" s="1104"/>
      <c r="F702" s="990"/>
      <c r="G702" s="990"/>
      <c r="H702" s="990"/>
      <c r="I702" s="1104"/>
      <c r="J702" s="1770"/>
      <c r="K702" s="1770"/>
      <c r="L702" s="1104"/>
      <c r="M702" s="1205"/>
      <c r="N702" s="1207"/>
      <c r="O702" s="1207"/>
      <c r="P702" s="1207"/>
      <c r="Q702" s="1771"/>
      <c r="R702" s="1458"/>
      <c r="S702" s="990"/>
    </row>
    <row r="703" s="989" customFormat="1" customHeight="1" spans="2:19">
      <c r="B703" s="990"/>
      <c r="C703" s="990"/>
      <c r="D703" s="990"/>
      <c r="E703" s="1104"/>
      <c r="F703" s="990"/>
      <c r="G703" s="990"/>
      <c r="H703" s="990"/>
      <c r="I703" s="1104"/>
      <c r="J703" s="1770"/>
      <c r="K703" s="1770"/>
      <c r="L703" s="1104"/>
      <c r="M703" s="1205"/>
      <c r="N703" s="1207"/>
      <c r="O703" s="1207"/>
      <c r="P703" s="1207"/>
      <c r="Q703" s="1771"/>
      <c r="R703" s="1458"/>
      <c r="S703" s="990"/>
    </row>
    <row r="704" s="989" customFormat="1" customHeight="1" spans="2:19">
      <c r="B704" s="990"/>
      <c r="C704" s="990"/>
      <c r="D704" s="990"/>
      <c r="E704" s="1104"/>
      <c r="F704" s="990"/>
      <c r="G704" s="990"/>
      <c r="H704" s="990"/>
      <c r="I704" s="1104"/>
      <c r="J704" s="1770"/>
      <c r="K704" s="1770"/>
      <c r="L704" s="1104"/>
      <c r="M704" s="1205"/>
      <c r="N704" s="1207"/>
      <c r="O704" s="1207"/>
      <c r="P704" s="1207"/>
      <c r="Q704" s="1771"/>
      <c r="R704" s="1458"/>
      <c r="S704" s="990"/>
    </row>
    <row r="705" s="989" customFormat="1" customHeight="1" spans="2:19">
      <c r="B705" s="990"/>
      <c r="C705" s="990"/>
      <c r="D705" s="990"/>
      <c r="E705" s="1104"/>
      <c r="F705" s="990"/>
      <c r="G705" s="990"/>
      <c r="H705" s="990"/>
      <c r="I705" s="1104"/>
      <c r="J705" s="1770"/>
      <c r="K705" s="1770"/>
      <c r="L705" s="1104"/>
      <c r="M705" s="1205"/>
      <c r="N705" s="1207"/>
      <c r="O705" s="1207"/>
      <c r="P705" s="1207"/>
      <c r="Q705" s="1771"/>
      <c r="R705" s="1458"/>
      <c r="S705" s="990"/>
    </row>
    <row r="706" s="989" customFormat="1" customHeight="1" spans="2:19">
      <c r="B706" s="990"/>
      <c r="C706" s="990"/>
      <c r="D706" s="990"/>
      <c r="E706" s="1104"/>
      <c r="F706" s="990"/>
      <c r="G706" s="990"/>
      <c r="H706" s="990"/>
      <c r="I706" s="1104"/>
      <c r="J706" s="1770"/>
      <c r="K706" s="1770"/>
      <c r="L706" s="1104"/>
      <c r="M706" s="1205"/>
      <c r="N706" s="1207"/>
      <c r="O706" s="1207"/>
      <c r="P706" s="1207"/>
      <c r="Q706" s="1771"/>
      <c r="R706" s="1458"/>
      <c r="S706" s="990"/>
    </row>
    <row r="707" s="989" customFormat="1" customHeight="1" spans="2:19">
      <c r="B707" s="990"/>
      <c r="C707" s="990"/>
      <c r="D707" s="990"/>
      <c r="E707" s="1104"/>
      <c r="F707" s="990"/>
      <c r="G707" s="990"/>
      <c r="H707" s="990"/>
      <c r="I707" s="1104"/>
      <c r="J707" s="1770"/>
      <c r="K707" s="1770"/>
      <c r="L707" s="1104"/>
      <c r="M707" s="1205"/>
      <c r="N707" s="1207"/>
      <c r="O707" s="1207"/>
      <c r="P707" s="1207"/>
      <c r="Q707" s="1771"/>
      <c r="R707" s="1458"/>
      <c r="S707" s="990"/>
    </row>
    <row r="708" s="989" customFormat="1" customHeight="1" spans="2:19">
      <c r="B708" s="990"/>
      <c r="C708" s="990"/>
      <c r="D708" s="990"/>
      <c r="E708" s="1104"/>
      <c r="F708" s="990"/>
      <c r="G708" s="990"/>
      <c r="H708" s="990"/>
      <c r="I708" s="1104"/>
      <c r="J708" s="1770"/>
      <c r="K708" s="1770"/>
      <c r="L708" s="1104"/>
      <c r="M708" s="1205"/>
      <c r="N708" s="1207"/>
      <c r="O708" s="1207"/>
      <c r="P708" s="1207"/>
      <c r="Q708" s="1771"/>
      <c r="R708" s="1458"/>
      <c r="S708" s="990"/>
    </row>
    <row r="709" s="989" customFormat="1" customHeight="1" spans="2:19">
      <c r="B709" s="990"/>
      <c r="C709" s="990"/>
      <c r="D709" s="990"/>
      <c r="E709" s="1104"/>
      <c r="F709" s="990"/>
      <c r="G709" s="990"/>
      <c r="H709" s="990"/>
      <c r="I709" s="1104"/>
      <c r="J709" s="1770"/>
      <c r="K709" s="1770"/>
      <c r="L709" s="1104"/>
      <c r="M709" s="1205"/>
      <c r="N709" s="1207"/>
      <c r="O709" s="1207"/>
      <c r="P709" s="1207"/>
      <c r="Q709" s="1771"/>
      <c r="R709" s="1458"/>
      <c r="S709" s="990"/>
    </row>
    <row r="710" s="989" customFormat="1" customHeight="1" spans="2:19">
      <c r="B710" s="990"/>
      <c r="C710" s="990"/>
      <c r="D710" s="990"/>
      <c r="E710" s="1104"/>
      <c r="F710" s="990"/>
      <c r="G710" s="990"/>
      <c r="H710" s="990"/>
      <c r="I710" s="1104"/>
      <c r="J710" s="1770"/>
      <c r="K710" s="1770"/>
      <c r="L710" s="1104"/>
      <c r="M710" s="1205"/>
      <c r="N710" s="1207"/>
      <c r="O710" s="1207"/>
      <c r="P710" s="1207"/>
      <c r="Q710" s="1771"/>
      <c r="R710" s="1458"/>
      <c r="S710" s="990"/>
    </row>
    <row r="711" s="989" customFormat="1" customHeight="1" spans="2:19">
      <c r="B711" s="990"/>
      <c r="C711" s="990"/>
      <c r="D711" s="990"/>
      <c r="E711" s="1104"/>
      <c r="F711" s="990"/>
      <c r="G711" s="990"/>
      <c r="H711" s="990"/>
      <c r="I711" s="1104"/>
      <c r="J711" s="1770"/>
      <c r="K711" s="1770"/>
      <c r="L711" s="1104"/>
      <c r="M711" s="1205"/>
      <c r="N711" s="1207"/>
      <c r="O711" s="1207"/>
      <c r="P711" s="1207"/>
      <c r="Q711" s="1771"/>
      <c r="R711" s="1458"/>
      <c r="S711" s="990"/>
    </row>
    <row r="712" s="989" customFormat="1" customHeight="1" spans="2:19">
      <c r="B712" s="990"/>
      <c r="C712" s="990"/>
      <c r="D712" s="990"/>
      <c r="E712" s="1104"/>
      <c r="F712" s="990"/>
      <c r="G712" s="990"/>
      <c r="H712" s="990"/>
      <c r="I712" s="1104"/>
      <c r="J712" s="1770"/>
      <c r="K712" s="1770"/>
      <c r="L712" s="1104"/>
      <c r="M712" s="1205"/>
      <c r="N712" s="1207"/>
      <c r="O712" s="1207"/>
      <c r="P712" s="1207"/>
      <c r="Q712" s="1771"/>
      <c r="R712" s="1458"/>
      <c r="S712" s="990"/>
    </row>
    <row r="713" s="989" customFormat="1" customHeight="1" spans="2:19">
      <c r="B713" s="990"/>
      <c r="C713" s="990"/>
      <c r="D713" s="990"/>
      <c r="E713" s="1104"/>
      <c r="F713" s="990"/>
      <c r="G713" s="990"/>
      <c r="H713" s="990"/>
      <c r="I713" s="1104"/>
      <c r="J713" s="1770"/>
      <c r="K713" s="1770"/>
      <c r="L713" s="1104"/>
      <c r="M713" s="1205"/>
      <c r="N713" s="1207"/>
      <c r="O713" s="1207"/>
      <c r="P713" s="1207"/>
      <c r="Q713" s="1771"/>
      <c r="R713" s="1458"/>
      <c r="S713" s="990"/>
    </row>
    <row r="714" s="989" customFormat="1" customHeight="1" spans="2:19">
      <c r="B714" s="990"/>
      <c r="C714" s="990"/>
      <c r="D714" s="990"/>
      <c r="E714" s="1104"/>
      <c r="F714" s="990"/>
      <c r="G714" s="990"/>
      <c r="H714" s="990"/>
      <c r="I714" s="1104"/>
      <c r="J714" s="1770"/>
      <c r="K714" s="1770"/>
      <c r="L714" s="1104"/>
      <c r="M714" s="1205"/>
      <c r="N714" s="1207"/>
      <c r="O714" s="1207"/>
      <c r="P714" s="1207"/>
      <c r="Q714" s="1771"/>
      <c r="R714" s="1458"/>
      <c r="S714" s="990"/>
    </row>
    <row r="715" s="989" customFormat="1" customHeight="1" spans="2:19">
      <c r="B715" s="990"/>
      <c r="C715" s="990"/>
      <c r="D715" s="990"/>
      <c r="E715" s="1104"/>
      <c r="F715" s="990"/>
      <c r="G715" s="990"/>
      <c r="H715" s="990"/>
      <c r="I715" s="1104"/>
      <c r="J715" s="1770"/>
      <c r="K715" s="1770"/>
      <c r="L715" s="1104"/>
      <c r="M715" s="1205"/>
      <c r="N715" s="1207"/>
      <c r="O715" s="1207"/>
      <c r="P715" s="1207"/>
      <c r="Q715" s="1771"/>
      <c r="R715" s="1458"/>
      <c r="S715" s="990"/>
    </row>
    <row r="716" s="989" customFormat="1" customHeight="1" spans="2:19">
      <c r="B716" s="990"/>
      <c r="C716" s="990"/>
      <c r="D716" s="990"/>
      <c r="E716" s="1104"/>
      <c r="F716" s="990"/>
      <c r="G716" s="990"/>
      <c r="H716" s="990"/>
      <c r="I716" s="1104"/>
      <c r="J716" s="1770"/>
      <c r="K716" s="1770"/>
      <c r="L716" s="1104"/>
      <c r="M716" s="1205"/>
      <c r="N716" s="1207"/>
      <c r="O716" s="1207"/>
      <c r="P716" s="1207"/>
      <c r="Q716" s="1771"/>
      <c r="R716" s="1458"/>
      <c r="S716" s="990"/>
    </row>
    <row r="717" s="989" customFormat="1" customHeight="1" spans="2:19">
      <c r="B717" s="990"/>
      <c r="C717" s="990"/>
      <c r="D717" s="990"/>
      <c r="E717" s="1104"/>
      <c r="F717" s="990"/>
      <c r="G717" s="990"/>
      <c r="H717" s="990"/>
      <c r="I717" s="1104"/>
      <c r="J717" s="1770"/>
      <c r="K717" s="1770"/>
      <c r="L717" s="1104"/>
      <c r="M717" s="1205"/>
      <c r="N717" s="1207"/>
      <c r="O717" s="1207"/>
      <c r="P717" s="1207"/>
      <c r="Q717" s="1771"/>
      <c r="R717" s="1458"/>
      <c r="S717" s="990"/>
    </row>
    <row r="718" s="989" customFormat="1" customHeight="1" spans="2:19">
      <c r="B718" s="990"/>
      <c r="C718" s="990"/>
      <c r="D718" s="990"/>
      <c r="E718" s="1104"/>
      <c r="F718" s="990"/>
      <c r="G718" s="990"/>
      <c r="H718" s="990"/>
      <c r="I718" s="1104"/>
      <c r="J718" s="1770"/>
      <c r="K718" s="1770"/>
      <c r="L718" s="1104"/>
      <c r="M718" s="1205"/>
      <c r="N718" s="1207"/>
      <c r="O718" s="1207"/>
      <c r="P718" s="1207"/>
      <c r="Q718" s="1771"/>
      <c r="R718" s="1458"/>
      <c r="S718" s="990"/>
    </row>
    <row r="719" s="989" customFormat="1" customHeight="1" spans="2:19">
      <c r="B719" s="990"/>
      <c r="C719" s="990"/>
      <c r="D719" s="990"/>
      <c r="E719" s="1104"/>
      <c r="F719" s="990"/>
      <c r="G719" s="990"/>
      <c r="H719" s="990"/>
      <c r="I719" s="1104"/>
      <c r="J719" s="1770"/>
      <c r="K719" s="1770"/>
      <c r="L719" s="1104"/>
      <c r="M719" s="1205"/>
      <c r="N719" s="1207"/>
      <c r="O719" s="1207"/>
      <c r="P719" s="1207"/>
      <c r="Q719" s="1771"/>
      <c r="R719" s="1458"/>
      <c r="S719" s="990"/>
    </row>
    <row r="720" s="989" customFormat="1" customHeight="1" spans="2:19">
      <c r="B720" s="990"/>
      <c r="C720" s="990"/>
      <c r="D720" s="990"/>
      <c r="E720" s="1104"/>
      <c r="F720" s="990"/>
      <c r="G720" s="990"/>
      <c r="H720" s="990"/>
      <c r="I720" s="1104"/>
      <c r="J720" s="1770"/>
      <c r="K720" s="1770"/>
      <c r="L720" s="1104"/>
      <c r="M720" s="1205"/>
      <c r="N720" s="1207"/>
      <c r="O720" s="1207"/>
      <c r="P720" s="1207"/>
      <c r="Q720" s="1771"/>
      <c r="R720" s="1458"/>
      <c r="S720" s="990"/>
    </row>
    <row r="721" s="989" customFormat="1" customHeight="1" spans="2:19">
      <c r="B721" s="990"/>
      <c r="C721" s="990"/>
      <c r="D721" s="990"/>
      <c r="E721" s="1104"/>
      <c r="F721" s="990"/>
      <c r="G721" s="990"/>
      <c r="H721" s="990"/>
      <c r="I721" s="1104"/>
      <c r="J721" s="1770"/>
      <c r="K721" s="1770"/>
      <c r="L721" s="1104"/>
      <c r="M721" s="1205"/>
      <c r="N721" s="1207"/>
      <c r="O721" s="1207"/>
      <c r="P721" s="1207"/>
      <c r="Q721" s="1771"/>
      <c r="R721" s="1458"/>
      <c r="S721" s="990"/>
    </row>
    <row r="722" s="989" customFormat="1" customHeight="1" spans="2:19">
      <c r="B722" s="990"/>
      <c r="C722" s="990"/>
      <c r="D722" s="990"/>
      <c r="E722" s="1104"/>
      <c r="F722" s="990"/>
      <c r="G722" s="990"/>
      <c r="H722" s="990"/>
      <c r="I722" s="1104"/>
      <c r="J722" s="1770"/>
      <c r="K722" s="1770"/>
      <c r="L722" s="1104"/>
      <c r="M722" s="1205"/>
      <c r="N722" s="1207"/>
      <c r="O722" s="1207"/>
      <c r="P722" s="1207"/>
      <c r="Q722" s="1771"/>
      <c r="R722" s="1458"/>
      <c r="S722" s="990"/>
    </row>
    <row r="723" s="989" customFormat="1" customHeight="1" spans="2:19">
      <c r="B723" s="990"/>
      <c r="C723" s="990"/>
      <c r="D723" s="990"/>
      <c r="E723" s="1104"/>
      <c r="F723" s="990"/>
      <c r="G723" s="990"/>
      <c r="H723" s="990"/>
      <c r="I723" s="1104"/>
      <c r="J723" s="1770"/>
      <c r="K723" s="1770"/>
      <c r="L723" s="1104"/>
      <c r="M723" s="1205"/>
      <c r="N723" s="1207"/>
      <c r="O723" s="1207"/>
      <c r="P723" s="1207"/>
      <c r="Q723" s="1771"/>
      <c r="R723" s="1458"/>
      <c r="S723" s="990"/>
    </row>
    <row r="724" s="989" customFormat="1" customHeight="1" spans="2:19">
      <c r="B724" s="990"/>
      <c r="C724" s="990"/>
      <c r="D724" s="990"/>
      <c r="E724" s="1104"/>
      <c r="F724" s="990"/>
      <c r="G724" s="990"/>
      <c r="H724" s="990"/>
      <c r="I724" s="1104"/>
      <c r="J724" s="1770"/>
      <c r="K724" s="1770"/>
      <c r="L724" s="1104"/>
      <c r="M724" s="1205"/>
      <c r="N724" s="1207"/>
      <c r="O724" s="1207"/>
      <c r="P724" s="1207"/>
      <c r="Q724" s="1771"/>
      <c r="R724" s="1458"/>
      <c r="S724" s="990"/>
    </row>
    <row r="725" s="989" customFormat="1" customHeight="1" spans="2:19">
      <c r="B725" s="990"/>
      <c r="C725" s="990"/>
      <c r="D725" s="990"/>
      <c r="E725" s="1104"/>
      <c r="F725" s="990"/>
      <c r="G725" s="990"/>
      <c r="H725" s="990"/>
      <c r="I725" s="1104"/>
      <c r="J725" s="1770"/>
      <c r="K725" s="1770"/>
      <c r="L725" s="1104"/>
      <c r="M725" s="1205"/>
      <c r="N725" s="1207"/>
      <c r="O725" s="1207"/>
      <c r="P725" s="1207"/>
      <c r="Q725" s="1771"/>
      <c r="R725" s="1458"/>
      <c r="S725" s="990"/>
    </row>
    <row r="726" s="989" customFormat="1" customHeight="1" spans="2:19">
      <c r="B726" s="990"/>
      <c r="C726" s="990"/>
      <c r="D726" s="990"/>
      <c r="E726" s="1104"/>
      <c r="F726" s="990"/>
      <c r="G726" s="990"/>
      <c r="H726" s="990"/>
      <c r="I726" s="1104"/>
      <c r="J726" s="1770"/>
      <c r="K726" s="1770"/>
      <c r="L726" s="1104"/>
      <c r="M726" s="1205"/>
      <c r="N726" s="1207"/>
      <c r="O726" s="1207"/>
      <c r="P726" s="1207"/>
      <c r="Q726" s="1771"/>
      <c r="R726" s="1458"/>
      <c r="S726" s="990"/>
    </row>
    <row r="727" s="989" customFormat="1" customHeight="1" spans="2:19">
      <c r="B727" s="990"/>
      <c r="C727" s="990"/>
      <c r="D727" s="990"/>
      <c r="E727" s="1104"/>
      <c r="F727" s="990"/>
      <c r="G727" s="990"/>
      <c r="H727" s="990"/>
      <c r="I727" s="1104"/>
      <c r="J727" s="1770"/>
      <c r="K727" s="1770"/>
      <c r="L727" s="1104"/>
      <c r="M727" s="1205"/>
      <c r="N727" s="1207"/>
      <c r="O727" s="1207"/>
      <c r="P727" s="1207"/>
      <c r="Q727" s="1771"/>
      <c r="R727" s="1458"/>
      <c r="S727" s="990"/>
    </row>
    <row r="728" s="989" customFormat="1" customHeight="1" spans="2:19">
      <c r="B728" s="990"/>
      <c r="C728" s="990"/>
      <c r="D728" s="990"/>
      <c r="E728" s="1104"/>
      <c r="F728" s="990"/>
      <c r="G728" s="990"/>
      <c r="H728" s="990"/>
      <c r="I728" s="1104"/>
      <c r="J728" s="1770"/>
      <c r="K728" s="1770"/>
      <c r="L728" s="1104"/>
      <c r="M728" s="1205"/>
      <c r="N728" s="1207"/>
      <c r="O728" s="1207"/>
      <c r="P728" s="1207"/>
      <c r="Q728" s="1771"/>
      <c r="R728" s="1458"/>
      <c r="S728" s="990"/>
    </row>
    <row r="729" s="989" customFormat="1" customHeight="1" spans="2:19">
      <c r="B729" s="990"/>
      <c r="C729" s="990"/>
      <c r="D729" s="990"/>
      <c r="E729" s="1104"/>
      <c r="F729" s="990"/>
      <c r="G729" s="990"/>
      <c r="H729" s="990"/>
      <c r="I729" s="1104"/>
      <c r="J729" s="1770"/>
      <c r="K729" s="1770"/>
      <c r="L729" s="1104"/>
      <c r="M729" s="1205"/>
      <c r="N729" s="1207"/>
      <c r="O729" s="1207"/>
      <c r="P729" s="1207"/>
      <c r="Q729" s="1771"/>
      <c r="R729" s="1458"/>
      <c r="S729" s="990"/>
    </row>
    <row r="730" s="989" customFormat="1" customHeight="1" spans="2:19">
      <c r="B730" s="990"/>
      <c r="C730" s="990"/>
      <c r="D730" s="990"/>
      <c r="E730" s="1104"/>
      <c r="F730" s="990"/>
      <c r="G730" s="990"/>
      <c r="H730" s="990"/>
      <c r="I730" s="1104"/>
      <c r="J730" s="1770"/>
      <c r="K730" s="1770"/>
      <c r="L730" s="1104"/>
      <c r="M730" s="1205"/>
      <c r="N730" s="1207"/>
      <c r="O730" s="1207"/>
      <c r="P730" s="1207"/>
      <c r="Q730" s="1771"/>
      <c r="R730" s="1458"/>
      <c r="S730" s="990"/>
    </row>
    <row r="731" s="989" customFormat="1" customHeight="1" spans="2:19">
      <c r="B731" s="990"/>
      <c r="C731" s="990"/>
      <c r="D731" s="990"/>
      <c r="E731" s="1104"/>
      <c r="F731" s="990"/>
      <c r="G731" s="990"/>
      <c r="H731" s="990"/>
      <c r="I731" s="1104"/>
      <c r="J731" s="1770"/>
      <c r="K731" s="1770"/>
      <c r="L731" s="1104"/>
      <c r="M731" s="1205"/>
      <c r="N731" s="1207"/>
      <c r="O731" s="1207"/>
      <c r="P731" s="1207"/>
      <c r="Q731" s="1771"/>
      <c r="R731" s="1458"/>
      <c r="S731" s="990"/>
    </row>
    <row r="732" s="989" customFormat="1" customHeight="1" spans="2:19">
      <c r="B732" s="990"/>
      <c r="C732" s="990"/>
      <c r="D732" s="990"/>
      <c r="E732" s="1104"/>
      <c r="F732" s="990"/>
      <c r="G732" s="990"/>
      <c r="H732" s="990"/>
      <c r="I732" s="1104"/>
      <c r="J732" s="1770"/>
      <c r="K732" s="1770"/>
      <c r="L732" s="1104"/>
      <c r="M732" s="1205"/>
      <c r="N732" s="1207"/>
      <c r="O732" s="1207"/>
      <c r="P732" s="1207"/>
      <c r="Q732" s="1771"/>
      <c r="R732" s="1458"/>
      <c r="S732" s="990"/>
    </row>
    <row r="733" s="989" customFormat="1" customHeight="1" spans="2:19">
      <c r="B733" s="990"/>
      <c r="C733" s="990"/>
      <c r="D733" s="990"/>
      <c r="E733" s="1104"/>
      <c r="F733" s="990"/>
      <c r="G733" s="990"/>
      <c r="H733" s="990"/>
      <c r="I733" s="1104"/>
      <c r="J733" s="1770"/>
      <c r="K733" s="1770"/>
      <c r="L733" s="1104"/>
      <c r="M733" s="1205"/>
      <c r="N733" s="1207"/>
      <c r="O733" s="1207"/>
      <c r="P733" s="1207"/>
      <c r="Q733" s="1771"/>
      <c r="R733" s="1458"/>
      <c r="S733" s="990"/>
    </row>
    <row r="734" s="989" customFormat="1" customHeight="1" spans="2:19">
      <c r="B734" s="990"/>
      <c r="C734" s="990"/>
      <c r="D734" s="990"/>
      <c r="E734" s="1104"/>
      <c r="F734" s="990"/>
      <c r="G734" s="990"/>
      <c r="H734" s="990"/>
      <c r="I734" s="1104"/>
      <c r="J734" s="1770"/>
      <c r="K734" s="1770"/>
      <c r="L734" s="1104"/>
      <c r="M734" s="1205"/>
      <c r="N734" s="1207"/>
      <c r="O734" s="1207"/>
      <c r="P734" s="1207"/>
      <c r="Q734" s="1771"/>
      <c r="R734" s="1458"/>
      <c r="S734" s="990"/>
    </row>
    <row r="735" s="989" customFormat="1" customHeight="1" spans="2:19">
      <c r="B735" s="990"/>
      <c r="C735" s="990"/>
      <c r="D735" s="990"/>
      <c r="E735" s="1104"/>
      <c r="F735" s="990"/>
      <c r="G735" s="990"/>
      <c r="H735" s="990"/>
      <c r="I735" s="1104"/>
      <c r="J735" s="1770"/>
      <c r="K735" s="1770"/>
      <c r="L735" s="1104"/>
      <c r="M735" s="1205"/>
      <c r="N735" s="1207"/>
      <c r="O735" s="1207"/>
      <c r="P735" s="1207"/>
      <c r="Q735" s="1771"/>
      <c r="R735" s="1458"/>
      <c r="S735" s="990"/>
    </row>
    <row r="736" s="989" customFormat="1" customHeight="1" spans="2:19">
      <c r="B736" s="990"/>
      <c r="C736" s="990"/>
      <c r="D736" s="990"/>
      <c r="E736" s="1104"/>
      <c r="F736" s="990"/>
      <c r="G736" s="990"/>
      <c r="H736" s="990"/>
      <c r="I736" s="1104"/>
      <c r="J736" s="1770"/>
      <c r="K736" s="1770"/>
      <c r="L736" s="1104"/>
      <c r="M736" s="1205"/>
      <c r="N736" s="1207"/>
      <c r="O736" s="1207"/>
      <c r="P736" s="1207"/>
      <c r="Q736" s="1771"/>
      <c r="R736" s="1458"/>
      <c r="S736" s="990"/>
    </row>
    <row r="737" s="989" customFormat="1" customHeight="1" spans="2:19">
      <c r="B737" s="990"/>
      <c r="C737" s="990"/>
      <c r="D737" s="990"/>
      <c r="E737" s="1104"/>
      <c r="F737" s="990"/>
      <c r="G737" s="990"/>
      <c r="H737" s="990"/>
      <c r="I737" s="1104"/>
      <c r="J737" s="1770"/>
      <c r="K737" s="1770"/>
      <c r="L737" s="1104"/>
      <c r="M737" s="1205"/>
      <c r="N737" s="1207"/>
      <c r="O737" s="1207"/>
      <c r="P737" s="1207"/>
      <c r="Q737" s="1771"/>
      <c r="R737" s="1458"/>
      <c r="S737" s="990"/>
    </row>
    <row r="738" s="989" customFormat="1" customHeight="1" spans="2:19">
      <c r="B738" s="990"/>
      <c r="C738" s="990"/>
      <c r="D738" s="990"/>
      <c r="E738" s="1104"/>
      <c r="F738" s="990"/>
      <c r="G738" s="990"/>
      <c r="H738" s="990"/>
      <c r="I738" s="1104"/>
      <c r="J738" s="1770"/>
      <c r="K738" s="1770"/>
      <c r="L738" s="1104"/>
      <c r="M738" s="1205"/>
      <c r="N738" s="1207"/>
      <c r="O738" s="1207"/>
      <c r="P738" s="1207"/>
      <c r="Q738" s="1771"/>
      <c r="R738" s="1458"/>
      <c r="S738" s="990"/>
    </row>
    <row r="739" s="989" customFormat="1" customHeight="1" spans="2:19">
      <c r="B739" s="990"/>
      <c r="C739" s="990"/>
      <c r="D739" s="990"/>
      <c r="E739" s="1104"/>
      <c r="F739" s="990"/>
      <c r="G739" s="990"/>
      <c r="H739" s="990"/>
      <c r="I739" s="1104"/>
      <c r="J739" s="1770"/>
      <c r="K739" s="1770"/>
      <c r="L739" s="1104"/>
      <c r="M739" s="1205"/>
      <c r="N739" s="1207"/>
      <c r="O739" s="1207"/>
      <c r="P739" s="1207"/>
      <c r="Q739" s="1771"/>
      <c r="R739" s="1458"/>
      <c r="S739" s="990"/>
    </row>
    <row r="740" s="989" customFormat="1" customHeight="1" spans="2:19">
      <c r="B740" s="990"/>
      <c r="C740" s="990"/>
      <c r="D740" s="990"/>
      <c r="E740" s="1104"/>
      <c r="F740" s="990"/>
      <c r="G740" s="990"/>
      <c r="H740" s="990"/>
      <c r="I740" s="1104"/>
      <c r="J740" s="1770"/>
      <c r="K740" s="1770"/>
      <c r="L740" s="1104"/>
      <c r="M740" s="1205"/>
      <c r="N740" s="1207"/>
      <c r="O740" s="1207"/>
      <c r="P740" s="1207"/>
      <c r="Q740" s="1771"/>
      <c r="R740" s="1458"/>
      <c r="S740" s="990"/>
    </row>
    <row r="741" s="989" customFormat="1" customHeight="1" spans="2:19">
      <c r="B741" s="990"/>
      <c r="C741" s="990"/>
      <c r="D741" s="990"/>
      <c r="E741" s="1104"/>
      <c r="F741" s="990"/>
      <c r="G741" s="990"/>
      <c r="H741" s="990"/>
      <c r="I741" s="1104"/>
      <c r="J741" s="1770"/>
      <c r="K741" s="1770"/>
      <c r="L741" s="1104"/>
      <c r="M741" s="1205"/>
      <c r="N741" s="1207"/>
      <c r="O741" s="1207"/>
      <c r="P741" s="1207"/>
      <c r="Q741" s="1771"/>
      <c r="R741" s="1458"/>
      <c r="S741" s="990"/>
    </row>
    <row r="742" s="989" customFormat="1" customHeight="1" spans="2:19">
      <c r="B742" s="990"/>
      <c r="C742" s="990"/>
      <c r="D742" s="990"/>
      <c r="E742" s="1104"/>
      <c r="F742" s="990"/>
      <c r="G742" s="990"/>
      <c r="H742" s="990"/>
      <c r="I742" s="1104"/>
      <c r="J742" s="1770"/>
      <c r="K742" s="1770"/>
      <c r="L742" s="1104"/>
      <c r="M742" s="1205"/>
      <c r="N742" s="1207"/>
      <c r="O742" s="1207"/>
      <c r="P742" s="1207"/>
      <c r="Q742" s="1771"/>
      <c r="R742" s="1458"/>
      <c r="S742" s="990"/>
    </row>
    <row r="743" s="989" customFormat="1" customHeight="1" spans="2:19">
      <c r="B743" s="990"/>
      <c r="C743" s="990"/>
      <c r="D743" s="990"/>
      <c r="E743" s="1104"/>
      <c r="F743" s="990"/>
      <c r="G743" s="990"/>
      <c r="H743" s="990"/>
      <c r="I743" s="1104"/>
      <c r="J743" s="1770"/>
      <c r="K743" s="1770"/>
      <c r="L743" s="1104"/>
      <c r="M743" s="1205"/>
      <c r="N743" s="1207"/>
      <c r="O743" s="1207"/>
      <c r="P743" s="1207"/>
      <c r="Q743" s="1771"/>
      <c r="R743" s="1458"/>
      <c r="S743" s="990"/>
    </row>
    <row r="744" s="989" customFormat="1" customHeight="1" spans="2:19">
      <c r="B744" s="990"/>
      <c r="C744" s="990"/>
      <c r="D744" s="990"/>
      <c r="E744" s="1104"/>
      <c r="F744" s="990"/>
      <c r="G744" s="990"/>
      <c r="H744" s="990"/>
      <c r="I744" s="1104"/>
      <c r="J744" s="1770"/>
      <c r="K744" s="1770"/>
      <c r="L744" s="1104"/>
      <c r="M744" s="1205"/>
      <c r="N744" s="1207"/>
      <c r="O744" s="1207"/>
      <c r="P744" s="1207"/>
      <c r="Q744" s="1771"/>
      <c r="R744" s="1458"/>
      <c r="S744" s="990"/>
    </row>
    <row r="745" s="989" customFormat="1" customHeight="1" spans="2:19">
      <c r="B745" s="990"/>
      <c r="C745" s="990"/>
      <c r="D745" s="990"/>
      <c r="E745" s="1104"/>
      <c r="F745" s="990"/>
      <c r="G745" s="990"/>
      <c r="H745" s="990"/>
      <c r="I745" s="1104"/>
      <c r="J745" s="1770"/>
      <c r="K745" s="1770"/>
      <c r="L745" s="1104"/>
      <c r="M745" s="1205"/>
      <c r="N745" s="1207"/>
      <c r="O745" s="1207"/>
      <c r="P745" s="1207"/>
      <c r="Q745" s="1771"/>
      <c r="R745" s="1458"/>
      <c r="S745" s="990"/>
    </row>
    <row r="746" s="989" customFormat="1" customHeight="1" spans="2:19">
      <c r="B746" s="990"/>
      <c r="C746" s="990"/>
      <c r="D746" s="990"/>
      <c r="E746" s="1104"/>
      <c r="F746" s="990"/>
      <c r="G746" s="990"/>
      <c r="H746" s="990"/>
      <c r="I746" s="1104"/>
      <c r="J746" s="1770"/>
      <c r="K746" s="1770"/>
      <c r="L746" s="1104"/>
      <c r="M746" s="1205"/>
      <c r="N746" s="1207"/>
      <c r="O746" s="1207"/>
      <c r="P746" s="1207"/>
      <c r="Q746" s="1771"/>
      <c r="R746" s="1458"/>
      <c r="S746" s="990"/>
    </row>
    <row r="747" s="989" customFormat="1" customHeight="1" spans="2:19">
      <c r="B747" s="990"/>
      <c r="C747" s="990"/>
      <c r="D747" s="990"/>
      <c r="E747" s="1104"/>
      <c r="F747" s="990"/>
      <c r="G747" s="990"/>
      <c r="H747" s="990"/>
      <c r="I747" s="1104"/>
      <c r="J747" s="1770"/>
      <c r="K747" s="1770"/>
      <c r="L747" s="1104"/>
      <c r="M747" s="1205"/>
      <c r="N747" s="1207"/>
      <c r="O747" s="1207"/>
      <c r="P747" s="1207"/>
      <c r="Q747" s="1771"/>
      <c r="R747" s="1458"/>
      <c r="S747" s="990"/>
    </row>
    <row r="748" s="989" customFormat="1" customHeight="1" spans="2:19">
      <c r="B748" s="990"/>
      <c r="C748" s="990"/>
      <c r="D748" s="990"/>
      <c r="E748" s="1104"/>
      <c r="F748" s="990"/>
      <c r="G748" s="990"/>
      <c r="H748" s="990"/>
      <c r="I748" s="1104"/>
      <c r="J748" s="1770"/>
      <c r="K748" s="1770"/>
      <c r="L748" s="1104"/>
      <c r="M748" s="1205"/>
      <c r="N748" s="1207"/>
      <c r="O748" s="1207"/>
      <c r="P748" s="1207"/>
      <c r="Q748" s="1771"/>
      <c r="R748" s="1458"/>
      <c r="S748" s="990"/>
    </row>
    <row r="749" s="989" customFormat="1" customHeight="1" spans="2:19">
      <c r="B749" s="990"/>
      <c r="C749" s="990"/>
      <c r="D749" s="990"/>
      <c r="E749" s="1104"/>
      <c r="F749" s="990"/>
      <c r="G749" s="990"/>
      <c r="H749" s="990"/>
      <c r="I749" s="1104"/>
      <c r="J749" s="1770"/>
      <c r="K749" s="1770"/>
      <c r="L749" s="1104"/>
      <c r="M749" s="1205"/>
      <c r="N749" s="1207"/>
      <c r="O749" s="1207"/>
      <c r="P749" s="1207"/>
      <c r="Q749" s="1771"/>
      <c r="R749" s="1458"/>
      <c r="S749" s="990"/>
    </row>
    <row r="750" s="989" customFormat="1" customHeight="1" spans="2:19">
      <c r="B750" s="990"/>
      <c r="C750" s="990"/>
      <c r="D750" s="990"/>
      <c r="E750" s="1104"/>
      <c r="F750" s="990"/>
      <c r="G750" s="990"/>
      <c r="H750" s="990"/>
      <c r="I750" s="1104"/>
      <c r="J750" s="1770"/>
      <c r="K750" s="1770"/>
      <c r="L750" s="1104"/>
      <c r="M750" s="1205"/>
      <c r="N750" s="1207"/>
      <c r="O750" s="1207"/>
      <c r="P750" s="1207"/>
      <c r="Q750" s="1771"/>
      <c r="R750" s="1458"/>
      <c r="S750" s="990"/>
    </row>
    <row r="751" s="989" customFormat="1" customHeight="1" spans="2:19">
      <c r="B751" s="990"/>
      <c r="C751" s="990"/>
      <c r="D751" s="990"/>
      <c r="E751" s="1104"/>
      <c r="F751" s="990"/>
      <c r="G751" s="990"/>
      <c r="H751" s="990"/>
      <c r="I751" s="1104"/>
      <c r="J751" s="1770"/>
      <c r="K751" s="1770"/>
      <c r="L751" s="1104"/>
      <c r="M751" s="1205"/>
      <c r="N751" s="1207"/>
      <c r="O751" s="1207"/>
      <c r="P751" s="1207"/>
      <c r="Q751" s="1771"/>
      <c r="R751" s="1458"/>
      <c r="S751" s="990"/>
    </row>
    <row r="752" s="989" customFormat="1" customHeight="1" spans="2:19">
      <c r="B752" s="990"/>
      <c r="C752" s="990"/>
      <c r="D752" s="990"/>
      <c r="E752" s="1104"/>
      <c r="F752" s="990"/>
      <c r="G752" s="990"/>
      <c r="H752" s="990"/>
      <c r="I752" s="1104"/>
      <c r="J752" s="1770"/>
      <c r="K752" s="1770"/>
      <c r="L752" s="1104"/>
      <c r="M752" s="1205"/>
      <c r="N752" s="1207"/>
      <c r="O752" s="1207"/>
      <c r="P752" s="1207"/>
      <c r="Q752" s="1771"/>
      <c r="R752" s="1458"/>
      <c r="S752" s="990"/>
    </row>
    <row r="753" s="989" customFormat="1" customHeight="1" spans="2:19">
      <c r="B753" s="990"/>
      <c r="C753" s="990"/>
      <c r="D753" s="990"/>
      <c r="E753" s="1104"/>
      <c r="F753" s="990"/>
      <c r="G753" s="990"/>
      <c r="H753" s="990"/>
      <c r="I753" s="1104"/>
      <c r="J753" s="1770"/>
      <c r="K753" s="1770"/>
      <c r="L753" s="1104"/>
      <c r="M753" s="1205"/>
      <c r="N753" s="1207"/>
      <c r="O753" s="1207"/>
      <c r="P753" s="1207"/>
      <c r="Q753" s="1771"/>
      <c r="R753" s="1458"/>
      <c r="S753" s="990"/>
    </row>
    <row r="754" s="989" customFormat="1" customHeight="1" spans="2:19">
      <c r="B754" s="990"/>
      <c r="C754" s="990"/>
      <c r="D754" s="990"/>
      <c r="E754" s="1104"/>
      <c r="F754" s="990"/>
      <c r="G754" s="990"/>
      <c r="H754" s="990"/>
      <c r="I754" s="1104"/>
      <c r="J754" s="1770"/>
      <c r="K754" s="1770"/>
      <c r="L754" s="1104"/>
      <c r="M754" s="1205"/>
      <c r="N754" s="1207"/>
      <c r="O754" s="1207"/>
      <c r="P754" s="1207"/>
      <c r="Q754" s="1771"/>
      <c r="R754" s="1458"/>
      <c r="S754" s="990"/>
    </row>
    <row r="755" s="989" customFormat="1" customHeight="1" spans="2:19">
      <c r="B755" s="990"/>
      <c r="C755" s="990"/>
      <c r="D755" s="990"/>
      <c r="E755" s="1104"/>
      <c r="F755" s="990"/>
      <c r="G755" s="990"/>
      <c r="H755" s="990"/>
      <c r="I755" s="1104"/>
      <c r="J755" s="1770"/>
      <c r="K755" s="1770"/>
      <c r="L755" s="1104"/>
      <c r="M755" s="1205"/>
      <c r="N755" s="1207"/>
      <c r="O755" s="1207"/>
      <c r="P755" s="1207"/>
      <c r="Q755" s="1771"/>
      <c r="R755" s="1458"/>
      <c r="S755" s="990"/>
    </row>
    <row r="756" s="989" customFormat="1" customHeight="1" spans="2:19">
      <c r="B756" s="990"/>
      <c r="C756" s="990"/>
      <c r="D756" s="990"/>
      <c r="E756" s="1104"/>
      <c r="F756" s="990"/>
      <c r="G756" s="990"/>
      <c r="H756" s="990"/>
      <c r="I756" s="1104"/>
      <c r="J756" s="1770"/>
      <c r="K756" s="1770"/>
      <c r="L756" s="1104"/>
      <c r="M756" s="1205"/>
      <c r="N756" s="1207"/>
      <c r="O756" s="1207"/>
      <c r="P756" s="1207"/>
      <c r="Q756" s="1771"/>
      <c r="R756" s="1458"/>
      <c r="S756" s="990"/>
    </row>
    <row r="757" s="989" customFormat="1" customHeight="1" spans="2:19">
      <c r="B757" s="990"/>
      <c r="C757" s="990"/>
      <c r="D757" s="990"/>
      <c r="E757" s="1104"/>
      <c r="F757" s="990"/>
      <c r="G757" s="990"/>
      <c r="H757" s="990"/>
      <c r="I757" s="1104"/>
      <c r="J757" s="1770"/>
      <c r="K757" s="1770"/>
      <c r="L757" s="1104"/>
      <c r="M757" s="1205"/>
      <c r="N757" s="1207"/>
      <c r="O757" s="1207"/>
      <c r="P757" s="1207"/>
      <c r="Q757" s="1771"/>
      <c r="R757" s="1458"/>
      <c r="S757" s="990"/>
    </row>
    <row r="758" s="989" customFormat="1" customHeight="1" spans="2:19">
      <c r="B758" s="990"/>
      <c r="C758" s="990"/>
      <c r="D758" s="990"/>
      <c r="E758" s="1104"/>
      <c r="F758" s="990"/>
      <c r="G758" s="990"/>
      <c r="H758" s="990"/>
      <c r="I758" s="1104"/>
      <c r="J758" s="1770"/>
      <c r="K758" s="1770"/>
      <c r="L758" s="1104"/>
      <c r="M758" s="1205"/>
      <c r="N758" s="1207"/>
      <c r="O758" s="1207"/>
      <c r="P758" s="1207"/>
      <c r="Q758" s="1771"/>
      <c r="R758" s="1458"/>
      <c r="S758" s="990"/>
    </row>
    <row r="759" s="989" customFormat="1" customHeight="1" spans="2:19">
      <c r="B759" s="990"/>
      <c r="C759" s="990"/>
      <c r="D759" s="990"/>
      <c r="E759" s="1104"/>
      <c r="F759" s="990"/>
      <c r="G759" s="990"/>
      <c r="H759" s="990"/>
      <c r="I759" s="1104"/>
      <c r="J759" s="1770"/>
      <c r="K759" s="1770"/>
      <c r="L759" s="1104"/>
      <c r="M759" s="1205"/>
      <c r="N759" s="1207"/>
      <c r="O759" s="1207"/>
      <c r="P759" s="1207"/>
      <c r="Q759" s="1771"/>
      <c r="R759" s="1458"/>
      <c r="S759" s="990"/>
    </row>
    <row r="760" s="989" customFormat="1" customHeight="1" spans="2:19">
      <c r="B760" s="990"/>
      <c r="C760" s="990"/>
      <c r="D760" s="990"/>
      <c r="E760" s="1104"/>
      <c r="F760" s="990"/>
      <c r="G760" s="990"/>
      <c r="H760" s="990"/>
      <c r="I760" s="1104"/>
      <c r="J760" s="1770"/>
      <c r="K760" s="1770"/>
      <c r="L760" s="1104"/>
      <c r="M760" s="1205"/>
      <c r="N760" s="1207"/>
      <c r="O760" s="1207"/>
      <c r="P760" s="1207"/>
      <c r="Q760" s="1771"/>
      <c r="R760" s="1458"/>
      <c r="S760" s="990"/>
    </row>
    <row r="761" s="989" customFormat="1" customHeight="1" spans="2:19">
      <c r="B761" s="990"/>
      <c r="C761" s="990"/>
      <c r="D761" s="990"/>
      <c r="E761" s="1104"/>
      <c r="F761" s="990"/>
      <c r="G761" s="990"/>
      <c r="H761" s="990"/>
      <c r="I761" s="1104"/>
      <c r="J761" s="1770"/>
      <c r="K761" s="1770"/>
      <c r="L761" s="1104"/>
      <c r="M761" s="1205"/>
      <c r="N761" s="1207"/>
      <c r="O761" s="1207"/>
      <c r="P761" s="1207"/>
      <c r="Q761" s="1771"/>
      <c r="R761" s="1458"/>
      <c r="S761" s="990"/>
    </row>
    <row r="762" s="989" customFormat="1" customHeight="1" spans="2:19">
      <c r="B762" s="990"/>
      <c r="C762" s="990"/>
      <c r="D762" s="990"/>
      <c r="E762" s="1104"/>
      <c r="F762" s="990"/>
      <c r="G762" s="990"/>
      <c r="H762" s="990"/>
      <c r="I762" s="1104"/>
      <c r="J762" s="1770"/>
      <c r="K762" s="1770"/>
      <c r="L762" s="1104"/>
      <c r="M762" s="1205"/>
      <c r="N762" s="1207"/>
      <c r="O762" s="1207"/>
      <c r="P762" s="1207"/>
      <c r="Q762" s="1771"/>
      <c r="R762" s="1458"/>
      <c r="S762" s="990"/>
    </row>
    <row r="763" s="989" customFormat="1" customHeight="1" spans="2:19">
      <c r="B763" s="990"/>
      <c r="C763" s="990"/>
      <c r="D763" s="990"/>
      <c r="E763" s="1104"/>
      <c r="F763" s="990"/>
      <c r="G763" s="990"/>
      <c r="H763" s="990"/>
      <c r="I763" s="1104"/>
      <c r="J763" s="1770"/>
      <c r="K763" s="1770"/>
      <c r="L763" s="1104"/>
      <c r="M763" s="1205"/>
      <c r="N763" s="1207"/>
      <c r="O763" s="1207"/>
      <c r="P763" s="1207"/>
      <c r="Q763" s="1771"/>
      <c r="R763" s="1458"/>
      <c r="S763" s="990"/>
    </row>
    <row r="764" s="989" customFormat="1" customHeight="1" spans="2:19">
      <c r="B764" s="990"/>
      <c r="C764" s="990"/>
      <c r="D764" s="990"/>
      <c r="E764" s="1104"/>
      <c r="F764" s="990"/>
      <c r="G764" s="990"/>
      <c r="H764" s="990"/>
      <c r="I764" s="1104"/>
      <c r="J764" s="1770"/>
      <c r="K764" s="1770"/>
      <c r="L764" s="1104"/>
      <c r="M764" s="1205"/>
      <c r="N764" s="1207"/>
      <c r="O764" s="1207"/>
      <c r="P764" s="1207"/>
      <c r="Q764" s="1771"/>
      <c r="R764" s="1458"/>
      <c r="S764" s="990"/>
    </row>
    <row r="765" s="989" customFormat="1" customHeight="1" spans="2:19">
      <c r="B765" s="990"/>
      <c r="C765" s="990"/>
      <c r="D765" s="990"/>
      <c r="E765" s="1104"/>
      <c r="F765" s="990"/>
      <c r="G765" s="990"/>
      <c r="H765" s="990"/>
      <c r="I765" s="1104"/>
      <c r="J765" s="1770"/>
      <c r="K765" s="1770"/>
      <c r="L765" s="1104"/>
      <c r="M765" s="1205"/>
      <c r="N765" s="1207"/>
      <c r="O765" s="1207"/>
      <c r="P765" s="1207"/>
      <c r="Q765" s="1771"/>
      <c r="R765" s="1458"/>
      <c r="S765" s="990"/>
    </row>
    <row r="766" s="989" customFormat="1" customHeight="1" spans="2:19">
      <c r="B766" s="990"/>
      <c r="C766" s="990"/>
      <c r="D766" s="990"/>
      <c r="E766" s="1104"/>
      <c r="F766" s="990"/>
      <c r="G766" s="990"/>
      <c r="H766" s="990"/>
      <c r="I766" s="1104"/>
      <c r="J766" s="1770"/>
      <c r="K766" s="1770"/>
      <c r="L766" s="1104"/>
      <c r="M766" s="1205"/>
      <c r="N766" s="1207"/>
      <c r="O766" s="1207"/>
      <c r="P766" s="1207"/>
      <c r="Q766" s="1771"/>
      <c r="R766" s="1458"/>
      <c r="S766" s="990"/>
    </row>
    <row r="767" s="989" customFormat="1" customHeight="1" spans="2:19">
      <c r="B767" s="990"/>
      <c r="C767" s="990"/>
      <c r="D767" s="990"/>
      <c r="E767" s="1104"/>
      <c r="F767" s="990"/>
      <c r="G767" s="990"/>
      <c r="H767" s="990"/>
      <c r="I767" s="1104"/>
      <c r="J767" s="1770"/>
      <c r="K767" s="1770"/>
      <c r="L767" s="1104"/>
      <c r="M767" s="1205"/>
      <c r="N767" s="1207"/>
      <c r="O767" s="1207"/>
      <c r="P767" s="1207"/>
      <c r="Q767" s="1771"/>
      <c r="R767" s="1458"/>
      <c r="S767" s="990"/>
    </row>
    <row r="768" s="989" customFormat="1" customHeight="1" spans="2:19">
      <c r="B768" s="990"/>
      <c r="C768" s="990"/>
      <c r="D768" s="990"/>
      <c r="E768" s="1104"/>
      <c r="F768" s="990"/>
      <c r="G768" s="990"/>
      <c r="H768" s="990"/>
      <c r="I768" s="1104"/>
      <c r="J768" s="1770"/>
      <c r="K768" s="1770"/>
      <c r="L768" s="1104"/>
      <c r="M768" s="1205"/>
      <c r="N768" s="1207"/>
      <c r="O768" s="1207"/>
      <c r="P768" s="1207"/>
      <c r="Q768" s="1771"/>
      <c r="R768" s="1458"/>
      <c r="S768" s="990"/>
    </row>
    <row r="769" s="989" customFormat="1" customHeight="1" spans="2:19">
      <c r="B769" s="990"/>
      <c r="C769" s="990"/>
      <c r="D769" s="990"/>
      <c r="E769" s="1104"/>
      <c r="F769" s="990"/>
      <c r="G769" s="990"/>
      <c r="H769" s="990"/>
      <c r="I769" s="1104"/>
      <c r="J769" s="1770"/>
      <c r="K769" s="1770"/>
      <c r="L769" s="1104"/>
      <c r="M769" s="1205"/>
      <c r="N769" s="1207"/>
      <c r="O769" s="1207"/>
      <c r="P769" s="1207"/>
      <c r="Q769" s="1771"/>
      <c r="R769" s="1458"/>
      <c r="S769" s="990"/>
    </row>
    <row r="770" s="989" customFormat="1" customHeight="1" spans="2:19">
      <c r="B770" s="990"/>
      <c r="C770" s="990"/>
      <c r="D770" s="990"/>
      <c r="E770" s="1104"/>
      <c r="F770" s="990"/>
      <c r="G770" s="990"/>
      <c r="H770" s="990"/>
      <c r="I770" s="1104"/>
      <c r="J770" s="1770"/>
      <c r="K770" s="1770"/>
      <c r="L770" s="1104"/>
      <c r="M770" s="1205"/>
      <c r="N770" s="1207"/>
      <c r="O770" s="1207"/>
      <c r="P770" s="1207"/>
      <c r="Q770" s="1771"/>
      <c r="R770" s="1458"/>
      <c r="S770" s="990"/>
    </row>
    <row r="771" s="989" customFormat="1" customHeight="1" spans="2:19">
      <c r="B771" s="990"/>
      <c r="C771" s="990"/>
      <c r="D771" s="990"/>
      <c r="E771" s="1104"/>
      <c r="F771" s="990"/>
      <c r="G771" s="990"/>
      <c r="H771" s="990"/>
      <c r="I771" s="1104"/>
      <c r="J771" s="1770"/>
      <c r="K771" s="1770"/>
      <c r="L771" s="1104"/>
      <c r="M771" s="1205"/>
      <c r="N771" s="1207"/>
      <c r="O771" s="1207"/>
      <c r="P771" s="1207"/>
      <c r="Q771" s="1771"/>
      <c r="R771" s="1458"/>
      <c r="S771" s="990"/>
    </row>
    <row r="772" s="989" customFormat="1" customHeight="1" spans="2:19">
      <c r="B772" s="990"/>
      <c r="C772" s="990"/>
      <c r="D772" s="990"/>
      <c r="E772" s="1104"/>
      <c r="F772" s="990"/>
      <c r="G772" s="990"/>
      <c r="H772" s="990"/>
      <c r="I772" s="1104"/>
      <c r="J772" s="1770"/>
      <c r="K772" s="1770"/>
      <c r="L772" s="1104"/>
      <c r="M772" s="1205"/>
      <c r="N772" s="1207"/>
      <c r="O772" s="1207"/>
      <c r="P772" s="1207"/>
      <c r="Q772" s="1771"/>
      <c r="R772" s="1458"/>
      <c r="S772" s="990"/>
    </row>
    <row r="773" s="989" customFormat="1" customHeight="1" spans="2:19">
      <c r="B773" s="990"/>
      <c r="C773" s="990"/>
      <c r="D773" s="990"/>
      <c r="E773" s="1104"/>
      <c r="F773" s="990"/>
      <c r="G773" s="990"/>
      <c r="H773" s="990"/>
      <c r="I773" s="1104"/>
      <c r="J773" s="1770"/>
      <c r="K773" s="1770"/>
      <c r="L773" s="1104"/>
      <c r="M773" s="1205"/>
      <c r="N773" s="1207"/>
      <c r="O773" s="1207"/>
      <c r="P773" s="1207"/>
      <c r="Q773" s="1771"/>
      <c r="R773" s="1458"/>
      <c r="S773" s="990"/>
    </row>
    <row r="774" s="989" customFormat="1" customHeight="1" spans="2:19">
      <c r="B774" s="990"/>
      <c r="C774" s="990"/>
      <c r="D774" s="990"/>
      <c r="E774" s="1104"/>
      <c r="F774" s="990"/>
      <c r="G774" s="990"/>
      <c r="H774" s="990"/>
      <c r="I774" s="1104"/>
      <c r="J774" s="1770"/>
      <c r="K774" s="1770"/>
      <c r="L774" s="1104"/>
      <c r="M774" s="1205"/>
      <c r="N774" s="1207"/>
      <c r="O774" s="1207"/>
      <c r="P774" s="1207"/>
      <c r="Q774" s="1771"/>
      <c r="R774" s="1458"/>
      <c r="S774" s="990"/>
    </row>
    <row r="775" s="989" customFormat="1" customHeight="1" spans="2:19">
      <c r="B775" s="990"/>
      <c r="C775" s="990"/>
      <c r="D775" s="990"/>
      <c r="E775" s="1104"/>
      <c r="F775" s="990"/>
      <c r="G775" s="990"/>
      <c r="H775" s="990"/>
      <c r="I775" s="1104"/>
      <c r="J775" s="1770"/>
      <c r="K775" s="1770"/>
      <c r="L775" s="1104"/>
      <c r="M775" s="1205"/>
      <c r="N775" s="1207"/>
      <c r="O775" s="1207"/>
      <c r="P775" s="1207"/>
      <c r="Q775" s="1771"/>
      <c r="R775" s="1458"/>
      <c r="S775" s="990"/>
    </row>
    <row r="776" s="989" customFormat="1" customHeight="1" spans="2:19">
      <c r="B776" s="990"/>
      <c r="C776" s="990"/>
      <c r="D776" s="990"/>
      <c r="E776" s="1104"/>
      <c r="F776" s="990"/>
      <c r="G776" s="990"/>
      <c r="H776" s="990"/>
      <c r="I776" s="1104"/>
      <c r="J776" s="1770"/>
      <c r="K776" s="1770"/>
      <c r="L776" s="1104"/>
      <c r="M776" s="1205"/>
      <c r="N776" s="1207"/>
      <c r="O776" s="1207"/>
      <c r="P776" s="1207"/>
      <c r="Q776" s="1771"/>
      <c r="R776" s="1458"/>
      <c r="S776" s="990"/>
    </row>
    <row r="777" s="989" customFormat="1" customHeight="1" spans="2:19">
      <c r="B777" s="990"/>
      <c r="C777" s="990"/>
      <c r="D777" s="990"/>
      <c r="E777" s="1104"/>
      <c r="F777" s="990"/>
      <c r="G777" s="990"/>
      <c r="H777" s="990"/>
      <c r="I777" s="1104"/>
      <c r="J777" s="1770"/>
      <c r="K777" s="1770"/>
      <c r="L777" s="1104"/>
      <c r="M777" s="1205"/>
      <c r="N777" s="1207"/>
      <c r="O777" s="1207"/>
      <c r="P777" s="1207"/>
      <c r="Q777" s="1771"/>
      <c r="R777" s="1458"/>
      <c r="S777" s="990"/>
    </row>
    <row r="778" s="989" customFormat="1" customHeight="1" spans="2:19">
      <c r="B778" s="990"/>
      <c r="C778" s="990"/>
      <c r="D778" s="990"/>
      <c r="E778" s="1104"/>
      <c r="F778" s="990"/>
      <c r="G778" s="990"/>
      <c r="H778" s="990"/>
      <c r="I778" s="1104"/>
      <c r="J778" s="1770"/>
      <c r="K778" s="1770"/>
      <c r="L778" s="1104"/>
      <c r="M778" s="1205"/>
      <c r="N778" s="1207"/>
      <c r="O778" s="1207"/>
      <c r="P778" s="1207"/>
      <c r="Q778" s="1771"/>
      <c r="R778" s="1458"/>
      <c r="S778" s="990"/>
    </row>
    <row r="779" s="989" customFormat="1" customHeight="1" spans="2:19">
      <c r="B779" s="990"/>
      <c r="C779" s="990"/>
      <c r="D779" s="990"/>
      <c r="E779" s="1104"/>
      <c r="F779" s="990"/>
      <c r="G779" s="990"/>
      <c r="H779" s="990"/>
      <c r="I779" s="1104"/>
      <c r="J779" s="1770"/>
      <c r="K779" s="1770"/>
      <c r="L779" s="1104"/>
      <c r="M779" s="1205"/>
      <c r="N779" s="1207"/>
      <c r="O779" s="1207"/>
      <c r="P779" s="1207"/>
      <c r="Q779" s="1771"/>
      <c r="R779" s="1458"/>
      <c r="S779" s="990"/>
    </row>
    <row r="780" s="989" customFormat="1" customHeight="1" spans="2:19">
      <c r="B780" s="990"/>
      <c r="C780" s="990"/>
      <c r="D780" s="990"/>
      <c r="E780" s="1104"/>
      <c r="F780" s="990"/>
      <c r="G780" s="990"/>
      <c r="H780" s="990"/>
      <c r="I780" s="1104"/>
      <c r="J780" s="1770"/>
      <c r="K780" s="1770"/>
      <c r="L780" s="1104"/>
      <c r="M780" s="1205"/>
      <c r="N780" s="1207"/>
      <c r="O780" s="1207"/>
      <c r="P780" s="1207"/>
      <c r="Q780" s="1771"/>
      <c r="R780" s="1458"/>
      <c r="S780" s="990"/>
    </row>
    <row r="781" s="989" customFormat="1" customHeight="1" spans="2:19">
      <c r="B781" s="990"/>
      <c r="C781" s="990"/>
      <c r="D781" s="990"/>
      <c r="E781" s="1104"/>
      <c r="F781" s="990"/>
      <c r="G781" s="990"/>
      <c r="H781" s="990"/>
      <c r="I781" s="1104"/>
      <c r="J781" s="1770"/>
      <c r="K781" s="1770"/>
      <c r="L781" s="1104"/>
      <c r="M781" s="1205"/>
      <c r="N781" s="1207"/>
      <c r="O781" s="1207"/>
      <c r="P781" s="1207"/>
      <c r="Q781" s="1771"/>
      <c r="R781" s="1458"/>
      <c r="S781" s="990"/>
    </row>
    <row r="782" s="989" customFormat="1" customHeight="1" spans="2:19">
      <c r="B782" s="990"/>
      <c r="C782" s="990"/>
      <c r="D782" s="990"/>
      <c r="E782" s="1104"/>
      <c r="F782" s="990"/>
      <c r="G782" s="990"/>
      <c r="H782" s="990"/>
      <c r="I782" s="1104"/>
      <c r="J782" s="1770"/>
      <c r="K782" s="1770"/>
      <c r="L782" s="1104"/>
      <c r="M782" s="1205"/>
      <c r="N782" s="1207"/>
      <c r="O782" s="1207"/>
      <c r="P782" s="1207"/>
      <c r="Q782" s="1771"/>
      <c r="R782" s="1458"/>
      <c r="S782" s="990"/>
    </row>
    <row r="783" s="989" customFormat="1" customHeight="1" spans="2:19">
      <c r="B783" s="990"/>
      <c r="C783" s="990"/>
      <c r="D783" s="990"/>
      <c r="E783" s="1104"/>
      <c r="F783" s="990"/>
      <c r="G783" s="990"/>
      <c r="H783" s="990"/>
      <c r="I783" s="1104"/>
      <c r="J783" s="1770"/>
      <c r="K783" s="1770"/>
      <c r="L783" s="1104"/>
      <c r="M783" s="1205"/>
      <c r="N783" s="1207"/>
      <c r="O783" s="1207"/>
      <c r="P783" s="1207"/>
      <c r="Q783" s="1771"/>
      <c r="R783" s="1458"/>
      <c r="S783" s="990"/>
    </row>
    <row r="784" s="989" customFormat="1" customHeight="1" spans="2:19">
      <c r="B784" s="990"/>
      <c r="C784" s="990"/>
      <c r="D784" s="990"/>
      <c r="E784" s="1104"/>
      <c r="F784" s="990"/>
      <c r="G784" s="990"/>
      <c r="H784" s="990"/>
      <c r="I784" s="1104"/>
      <c r="J784" s="1770"/>
      <c r="K784" s="1770"/>
      <c r="L784" s="1104"/>
      <c r="M784" s="1205"/>
      <c r="N784" s="1207"/>
      <c r="O784" s="1207"/>
      <c r="P784" s="1207"/>
      <c r="Q784" s="1771"/>
      <c r="R784" s="1458"/>
      <c r="S784" s="990"/>
    </row>
    <row r="785" s="989" customFormat="1" customHeight="1" spans="2:19">
      <c r="B785" s="990"/>
      <c r="C785" s="990"/>
      <c r="D785" s="990"/>
      <c r="E785" s="1104"/>
      <c r="F785" s="990"/>
      <c r="G785" s="990"/>
      <c r="H785" s="990"/>
      <c r="I785" s="1104"/>
      <c r="J785" s="1770"/>
      <c r="K785" s="1770"/>
      <c r="L785" s="1104"/>
      <c r="M785" s="1205"/>
      <c r="N785" s="1207"/>
      <c r="O785" s="1207"/>
      <c r="P785" s="1207"/>
      <c r="Q785" s="1771"/>
      <c r="R785" s="1458"/>
      <c r="S785" s="990"/>
    </row>
    <row r="786" s="989" customFormat="1" customHeight="1" spans="2:19">
      <c r="B786" s="990"/>
      <c r="C786" s="990"/>
      <c r="D786" s="990"/>
      <c r="E786" s="1104"/>
      <c r="F786" s="990"/>
      <c r="G786" s="990"/>
      <c r="H786" s="990"/>
      <c r="I786" s="1104"/>
      <c r="J786" s="1770"/>
      <c r="K786" s="1770"/>
      <c r="L786" s="1104"/>
      <c r="M786" s="1205"/>
      <c r="N786" s="1207"/>
      <c r="O786" s="1207"/>
      <c r="P786" s="1207"/>
      <c r="Q786" s="1771"/>
      <c r="R786" s="1458"/>
      <c r="S786" s="990"/>
    </row>
    <row r="787" s="989" customFormat="1" customHeight="1" spans="2:19">
      <c r="B787" s="990"/>
      <c r="C787" s="990"/>
      <c r="D787" s="990"/>
      <c r="E787" s="1104"/>
      <c r="F787" s="990"/>
      <c r="G787" s="990"/>
      <c r="H787" s="990"/>
      <c r="I787" s="1104"/>
      <c r="J787" s="1770"/>
      <c r="K787" s="1770"/>
      <c r="L787" s="1104"/>
      <c r="M787" s="1205"/>
      <c r="N787" s="1207"/>
      <c r="O787" s="1207"/>
      <c r="P787" s="1207"/>
      <c r="Q787" s="1771"/>
      <c r="R787" s="1458"/>
      <c r="S787" s="990"/>
    </row>
    <row r="788" s="989" customFormat="1" customHeight="1" spans="2:19">
      <c r="B788" s="990"/>
      <c r="C788" s="990"/>
      <c r="D788" s="990"/>
      <c r="E788" s="1104"/>
      <c r="F788" s="990"/>
      <c r="G788" s="990"/>
      <c r="H788" s="990"/>
      <c r="I788" s="1104"/>
      <c r="J788" s="1770"/>
      <c r="K788" s="1770"/>
      <c r="L788" s="1104"/>
      <c r="M788" s="1205"/>
      <c r="N788" s="1207"/>
      <c r="O788" s="1207"/>
      <c r="P788" s="1207"/>
      <c r="Q788" s="1771"/>
      <c r="R788" s="1458"/>
      <c r="S788" s="990"/>
    </row>
    <row r="789" s="989" customFormat="1" customHeight="1" spans="2:19">
      <c r="B789" s="990"/>
      <c r="C789" s="990"/>
      <c r="D789" s="990"/>
      <c r="E789" s="1104"/>
      <c r="F789" s="990"/>
      <c r="G789" s="990"/>
      <c r="H789" s="990"/>
      <c r="I789" s="1104"/>
      <c r="J789" s="1770"/>
      <c r="K789" s="1770"/>
      <c r="L789" s="1104"/>
      <c r="M789" s="1205"/>
      <c r="N789" s="1207"/>
      <c r="O789" s="1207"/>
      <c r="P789" s="1207"/>
      <c r="Q789" s="1771"/>
      <c r="R789" s="1458"/>
      <c r="S789" s="990"/>
    </row>
    <row r="790" s="989" customFormat="1" customHeight="1" spans="2:19">
      <c r="B790" s="990"/>
      <c r="C790" s="990"/>
      <c r="D790" s="990"/>
      <c r="E790" s="1104"/>
      <c r="F790" s="990"/>
      <c r="G790" s="990"/>
      <c r="H790" s="990"/>
      <c r="I790" s="1104"/>
      <c r="J790" s="1770"/>
      <c r="K790" s="1770"/>
      <c r="L790" s="1104"/>
      <c r="M790" s="1205"/>
      <c r="N790" s="1207"/>
      <c r="O790" s="1207"/>
      <c r="P790" s="1207"/>
      <c r="Q790" s="1771"/>
      <c r="R790" s="1458"/>
      <c r="S790" s="990"/>
    </row>
    <row r="791" s="989" customFormat="1" customHeight="1" spans="2:19">
      <c r="B791" s="990"/>
      <c r="C791" s="990"/>
      <c r="D791" s="990"/>
      <c r="E791" s="1104"/>
      <c r="F791" s="990"/>
      <c r="G791" s="990"/>
      <c r="H791" s="990"/>
      <c r="I791" s="1104"/>
      <c r="J791" s="1770"/>
      <c r="K791" s="1770"/>
      <c r="L791" s="1104"/>
      <c r="M791" s="1205"/>
      <c r="N791" s="1207"/>
      <c r="O791" s="1207"/>
      <c r="P791" s="1207"/>
      <c r="Q791" s="1771"/>
      <c r="R791" s="1458"/>
      <c r="S791" s="990"/>
    </row>
    <row r="792" s="989" customFormat="1" customHeight="1" spans="2:19">
      <c r="B792" s="990"/>
      <c r="C792" s="990"/>
      <c r="D792" s="990"/>
      <c r="E792" s="1104"/>
      <c r="F792" s="990"/>
      <c r="G792" s="990"/>
      <c r="H792" s="990"/>
      <c r="I792" s="1104"/>
      <c r="J792" s="1770"/>
      <c r="K792" s="1770"/>
      <c r="L792" s="1104"/>
      <c r="M792" s="1205"/>
      <c r="N792" s="1207"/>
      <c r="O792" s="1207"/>
      <c r="P792" s="1207"/>
      <c r="Q792" s="1771"/>
      <c r="R792" s="1458"/>
      <c r="S792" s="990"/>
    </row>
    <row r="793" s="989" customFormat="1" customHeight="1" spans="2:19">
      <c r="B793" s="990"/>
      <c r="C793" s="990"/>
      <c r="D793" s="990"/>
      <c r="E793" s="1104"/>
      <c r="F793" s="990"/>
      <c r="G793" s="990"/>
      <c r="H793" s="990"/>
      <c r="I793" s="1104"/>
      <c r="J793" s="1770"/>
      <c r="K793" s="1770"/>
      <c r="L793" s="1104"/>
      <c r="M793" s="1205"/>
      <c r="N793" s="1207"/>
      <c r="O793" s="1207"/>
      <c r="P793" s="1207"/>
      <c r="Q793" s="1771"/>
      <c r="R793" s="1458"/>
      <c r="S793" s="990"/>
    </row>
    <row r="794" s="989" customFormat="1" customHeight="1" spans="2:19">
      <c r="B794" s="990"/>
      <c r="C794" s="990"/>
      <c r="D794" s="990"/>
      <c r="E794" s="1104"/>
      <c r="F794" s="990"/>
      <c r="G794" s="990"/>
      <c r="H794" s="990"/>
      <c r="I794" s="1104"/>
      <c r="J794" s="1770"/>
      <c r="K794" s="1770"/>
      <c r="L794" s="1104"/>
      <c r="M794" s="1205"/>
      <c r="N794" s="1207"/>
      <c r="O794" s="1207"/>
      <c r="P794" s="1207"/>
      <c r="Q794" s="1771"/>
      <c r="R794" s="1458"/>
      <c r="S794" s="990"/>
    </row>
    <row r="795" s="989" customFormat="1" customHeight="1" spans="2:19">
      <c r="B795" s="990"/>
      <c r="C795" s="990"/>
      <c r="D795" s="990"/>
      <c r="E795" s="1104"/>
      <c r="F795" s="990"/>
      <c r="G795" s="990"/>
      <c r="H795" s="990"/>
      <c r="I795" s="1104"/>
      <c r="J795" s="1770"/>
      <c r="K795" s="1770"/>
      <c r="L795" s="1104"/>
      <c r="M795" s="1205"/>
      <c r="N795" s="1207"/>
      <c r="O795" s="1207"/>
      <c r="P795" s="1207"/>
      <c r="Q795" s="1771"/>
      <c r="R795" s="1458"/>
      <c r="S795" s="990"/>
    </row>
    <row r="796" s="989" customFormat="1" customHeight="1" spans="2:19">
      <c r="B796" s="990"/>
      <c r="C796" s="990"/>
      <c r="D796" s="990"/>
      <c r="E796" s="1104"/>
      <c r="F796" s="990"/>
      <c r="G796" s="990"/>
      <c r="H796" s="990"/>
      <c r="I796" s="1104"/>
      <c r="J796" s="1770"/>
      <c r="K796" s="1770"/>
      <c r="L796" s="1104"/>
      <c r="M796" s="1205"/>
      <c r="N796" s="1207"/>
      <c r="O796" s="1207"/>
      <c r="P796" s="1207"/>
      <c r="Q796" s="1771"/>
      <c r="R796" s="1458"/>
      <c r="S796" s="990"/>
    </row>
    <row r="797" s="989" customFormat="1" customHeight="1" spans="2:19">
      <c r="B797" s="990"/>
      <c r="C797" s="990"/>
      <c r="D797" s="990"/>
      <c r="E797" s="1104"/>
      <c r="F797" s="990"/>
      <c r="G797" s="990"/>
      <c r="H797" s="990"/>
      <c r="I797" s="1104"/>
      <c r="J797" s="1770"/>
      <c r="K797" s="1770"/>
      <c r="L797" s="1104"/>
      <c r="M797" s="1205"/>
      <c r="N797" s="1207"/>
      <c r="O797" s="1207"/>
      <c r="P797" s="1207"/>
      <c r="Q797" s="1771"/>
      <c r="R797" s="1458"/>
      <c r="S797" s="990"/>
    </row>
    <row r="798" s="989" customFormat="1" customHeight="1" spans="2:19">
      <c r="B798" s="990"/>
      <c r="C798" s="990"/>
      <c r="D798" s="990"/>
      <c r="E798" s="1104"/>
      <c r="F798" s="990"/>
      <c r="G798" s="990"/>
      <c r="H798" s="990"/>
      <c r="I798" s="1104"/>
      <c r="J798" s="1770"/>
      <c r="K798" s="1770"/>
      <c r="L798" s="1104"/>
      <c r="M798" s="1205"/>
      <c r="N798" s="1207"/>
      <c r="O798" s="1207"/>
      <c r="P798" s="1207"/>
      <c r="Q798" s="1771"/>
      <c r="R798" s="1458"/>
      <c r="S798" s="990"/>
    </row>
    <row r="799" s="989" customFormat="1" customHeight="1" spans="2:19">
      <c r="B799" s="990"/>
      <c r="C799" s="990"/>
      <c r="D799" s="990"/>
      <c r="E799" s="1104"/>
      <c r="F799" s="990"/>
      <c r="G799" s="990"/>
      <c r="H799" s="990"/>
      <c r="I799" s="1104"/>
      <c r="J799" s="1770"/>
      <c r="K799" s="1770"/>
      <c r="L799" s="1104"/>
      <c r="M799" s="1205"/>
      <c r="N799" s="1207"/>
      <c r="O799" s="1207"/>
      <c r="P799" s="1207"/>
      <c r="Q799" s="1771"/>
      <c r="R799" s="1458"/>
      <c r="S799" s="990"/>
    </row>
    <row r="800" s="989" customFormat="1" customHeight="1" spans="2:19">
      <c r="B800" s="990"/>
      <c r="C800" s="990"/>
      <c r="D800" s="990"/>
      <c r="E800" s="1104"/>
      <c r="F800" s="990"/>
      <c r="G800" s="990"/>
      <c r="H800" s="990"/>
      <c r="I800" s="1104"/>
      <c r="J800" s="1770"/>
      <c r="K800" s="1770"/>
      <c r="L800" s="1104"/>
      <c r="M800" s="1205"/>
      <c r="N800" s="1207"/>
      <c r="O800" s="1207"/>
      <c r="P800" s="1207"/>
      <c r="Q800" s="1771"/>
      <c r="R800" s="1458"/>
      <c r="S800" s="990"/>
    </row>
    <row r="801" s="989" customFormat="1" customHeight="1" spans="2:19">
      <c r="B801" s="990"/>
      <c r="C801" s="990"/>
      <c r="D801" s="990"/>
      <c r="E801" s="1104"/>
      <c r="F801" s="990"/>
      <c r="G801" s="990"/>
      <c r="H801" s="990"/>
      <c r="I801" s="1104"/>
      <c r="J801" s="1770"/>
      <c r="K801" s="1770"/>
      <c r="L801" s="1104"/>
      <c r="M801" s="1205"/>
      <c r="N801" s="1207"/>
      <c r="O801" s="1207"/>
      <c r="P801" s="1207"/>
      <c r="Q801" s="1771"/>
      <c r="R801" s="1458"/>
      <c r="S801" s="990"/>
    </row>
    <row r="802" s="989" customFormat="1" customHeight="1" spans="2:19">
      <c r="B802" s="990"/>
      <c r="C802" s="990"/>
      <c r="D802" s="990"/>
      <c r="E802" s="1104"/>
      <c r="F802" s="990"/>
      <c r="G802" s="990"/>
      <c r="H802" s="990"/>
      <c r="I802" s="1104"/>
      <c r="J802" s="1770"/>
      <c r="K802" s="1770"/>
      <c r="L802" s="1104"/>
      <c r="M802" s="1205"/>
      <c r="N802" s="1207"/>
      <c r="O802" s="1207"/>
      <c r="P802" s="1207"/>
      <c r="Q802" s="1771"/>
      <c r="R802" s="1458"/>
      <c r="S802" s="990"/>
    </row>
    <row r="803" s="989" customFormat="1" customHeight="1" spans="2:19">
      <c r="B803" s="990"/>
      <c r="C803" s="990"/>
      <c r="D803" s="990"/>
      <c r="E803" s="1104"/>
      <c r="F803" s="990"/>
      <c r="G803" s="990"/>
      <c r="H803" s="990"/>
      <c r="I803" s="1104"/>
      <c r="J803" s="1770"/>
      <c r="K803" s="1770"/>
      <c r="L803" s="1104"/>
      <c r="M803" s="1205"/>
      <c r="N803" s="1207"/>
      <c r="O803" s="1207"/>
      <c r="P803" s="1207"/>
      <c r="Q803" s="1771"/>
      <c r="R803" s="1458"/>
      <c r="S803" s="990"/>
    </row>
    <row r="804" s="989" customFormat="1" customHeight="1" spans="2:19">
      <c r="B804" s="990"/>
      <c r="C804" s="990"/>
      <c r="D804" s="990"/>
      <c r="E804" s="1104"/>
      <c r="F804" s="990"/>
      <c r="G804" s="990"/>
      <c r="H804" s="990"/>
      <c r="I804" s="1104"/>
      <c r="J804" s="1770"/>
      <c r="K804" s="1770"/>
      <c r="L804" s="1104"/>
      <c r="M804" s="1205"/>
      <c r="N804" s="1207"/>
      <c r="O804" s="1207"/>
      <c r="P804" s="1207"/>
      <c r="Q804" s="1771"/>
      <c r="R804" s="1458"/>
      <c r="S804" s="990"/>
    </row>
    <row r="805" s="989" customFormat="1" customHeight="1" spans="2:19">
      <c r="B805" s="990"/>
      <c r="C805" s="990"/>
      <c r="D805" s="990"/>
      <c r="E805" s="1104"/>
      <c r="F805" s="990"/>
      <c r="G805" s="990"/>
      <c r="H805" s="990"/>
      <c r="I805" s="1104"/>
      <c r="J805" s="1770"/>
      <c r="K805" s="1770"/>
      <c r="L805" s="1104"/>
      <c r="M805" s="1205"/>
      <c r="N805" s="1207"/>
      <c r="O805" s="1207" t="e">
        <f>36.32/E805/1.13</f>
        <v>#DIV/0!</v>
      </c>
      <c r="P805" s="1207"/>
      <c r="Q805" s="1771"/>
      <c r="R805" s="1458"/>
      <c r="S805" s="990"/>
    </row>
    <row r="806" s="989" customFormat="1" customHeight="1" spans="2:19">
      <c r="B806" s="990"/>
      <c r="C806" s="990"/>
      <c r="D806" s="990"/>
      <c r="E806" s="1104"/>
      <c r="F806" s="990"/>
      <c r="G806" s="990"/>
      <c r="H806" s="990"/>
      <c r="I806" s="1104"/>
      <c r="J806" s="1770"/>
      <c r="K806" s="1770"/>
      <c r="L806" s="1104"/>
      <c r="M806" s="1205"/>
      <c r="N806" s="1207"/>
      <c r="O806" s="1207"/>
      <c r="P806" s="1207"/>
      <c r="Q806" s="1771"/>
      <c r="R806" s="1458"/>
      <c r="S806" s="990"/>
    </row>
    <row r="807" s="989" customFormat="1" customHeight="1" spans="2:19">
      <c r="B807" s="990"/>
      <c r="C807" s="990"/>
      <c r="D807" s="990"/>
      <c r="E807" s="1104"/>
      <c r="F807" s="990"/>
      <c r="G807" s="990"/>
      <c r="H807" s="990"/>
      <c r="I807" s="1104"/>
      <c r="J807" s="1770"/>
      <c r="K807" s="1770"/>
      <c r="L807" s="1104"/>
      <c r="M807" s="1205"/>
      <c r="N807" s="1207"/>
      <c r="O807" s="1207"/>
      <c r="P807" s="1207"/>
      <c r="Q807" s="1771"/>
      <c r="R807" s="1458"/>
      <c r="S807" s="990"/>
    </row>
    <row r="808" s="989" customFormat="1" customHeight="1" spans="2:19">
      <c r="B808" s="990"/>
      <c r="C808" s="990"/>
      <c r="D808" s="990"/>
      <c r="E808" s="1104"/>
      <c r="F808" s="990"/>
      <c r="G808" s="990"/>
      <c r="H808" s="990"/>
      <c r="I808" s="1104"/>
      <c r="J808" s="1770"/>
      <c r="K808" s="1770"/>
      <c r="L808" s="1104"/>
      <c r="M808" s="1205"/>
      <c r="N808" s="1207"/>
      <c r="O808" s="1207"/>
      <c r="P808" s="1207"/>
      <c r="Q808" s="1771"/>
      <c r="R808" s="1458"/>
      <c r="S808" s="990"/>
    </row>
    <row r="809" s="989" customFormat="1" customHeight="1" spans="2:19">
      <c r="B809" s="990"/>
      <c r="C809" s="990"/>
      <c r="D809" s="990"/>
      <c r="E809" s="1104"/>
      <c r="F809" s="990"/>
      <c r="G809" s="990"/>
      <c r="H809" s="990"/>
      <c r="I809" s="1104"/>
      <c r="J809" s="1770"/>
      <c r="K809" s="1770"/>
      <c r="L809" s="1104"/>
      <c r="M809" s="1205"/>
      <c r="N809" s="1207"/>
      <c r="O809" s="1207"/>
      <c r="P809" s="1207"/>
      <c r="Q809" s="1771"/>
      <c r="R809" s="1458"/>
      <c r="S809" s="990"/>
    </row>
    <row r="810" s="989" customFormat="1" customHeight="1" spans="2:19">
      <c r="B810" s="990"/>
      <c r="C810" s="990"/>
      <c r="D810" s="990"/>
      <c r="E810" s="1104"/>
      <c r="F810" s="990"/>
      <c r="G810" s="990"/>
      <c r="H810" s="990"/>
      <c r="I810" s="1104"/>
      <c r="J810" s="1770"/>
      <c r="K810" s="1770"/>
      <c r="L810" s="1104"/>
      <c r="M810" s="1205"/>
      <c r="N810" s="1207"/>
      <c r="O810" s="1207"/>
      <c r="P810" s="1207"/>
      <c r="Q810" s="1771"/>
      <c r="R810" s="1458"/>
      <c r="S810" s="990"/>
    </row>
    <row r="811" s="989" customFormat="1" customHeight="1" spans="2:19">
      <c r="B811" s="990"/>
      <c r="C811" s="990"/>
      <c r="D811" s="990"/>
      <c r="E811" s="1104"/>
      <c r="F811" s="990"/>
      <c r="G811" s="990"/>
      <c r="H811" s="990"/>
      <c r="I811" s="1104"/>
      <c r="J811" s="1770"/>
      <c r="K811" s="1770"/>
      <c r="L811" s="1104"/>
      <c r="M811" s="1205"/>
      <c r="N811" s="1207"/>
      <c r="O811" s="1207"/>
      <c r="P811" s="1207"/>
      <c r="Q811" s="1771"/>
      <c r="R811" s="1458"/>
      <c r="S811" s="990"/>
    </row>
    <row r="812" s="989" customFormat="1" customHeight="1" spans="2:19">
      <c r="B812" s="990"/>
      <c r="C812" s="990"/>
      <c r="D812" s="990"/>
      <c r="E812" s="1104"/>
      <c r="F812" s="990"/>
      <c r="G812" s="990"/>
      <c r="H812" s="990"/>
      <c r="I812" s="1104"/>
      <c r="J812" s="1770"/>
      <c r="K812" s="1770"/>
      <c r="L812" s="1104"/>
      <c r="M812" s="1205"/>
      <c r="N812" s="1207"/>
      <c r="O812" s="1207"/>
      <c r="P812" s="1207"/>
      <c r="Q812" s="1771"/>
      <c r="R812" s="1458"/>
      <c r="S812" s="990"/>
    </row>
    <row r="813" s="989" customFormat="1" customHeight="1" spans="2:19">
      <c r="B813" s="990"/>
      <c r="C813" s="990"/>
      <c r="D813" s="990"/>
      <c r="E813" s="1104"/>
      <c r="F813" s="990"/>
      <c r="G813" s="990"/>
      <c r="H813" s="990"/>
      <c r="I813" s="1104"/>
      <c r="J813" s="1770"/>
      <c r="K813" s="1770"/>
      <c r="L813" s="1104"/>
      <c r="M813" s="1205"/>
      <c r="N813" s="1207"/>
      <c r="O813" s="1207"/>
      <c r="P813" s="1207"/>
      <c r="Q813" s="1771"/>
      <c r="R813" s="1458"/>
      <c r="S813" s="990"/>
    </row>
    <row r="814" s="989" customFormat="1" customHeight="1" spans="2:19">
      <c r="B814" s="990"/>
      <c r="C814" s="990"/>
      <c r="D814" s="990"/>
      <c r="E814" s="1104"/>
      <c r="F814" s="990"/>
      <c r="G814" s="990"/>
      <c r="H814" s="990"/>
      <c r="I814" s="1104"/>
      <c r="J814" s="1770"/>
      <c r="K814" s="1770"/>
      <c r="L814" s="1104"/>
      <c r="M814" s="1205"/>
      <c r="N814" s="1207"/>
      <c r="O814" s="1207"/>
      <c r="P814" s="1207"/>
      <c r="Q814" s="1771"/>
      <c r="R814" s="1458"/>
      <c r="S814" s="990"/>
    </row>
    <row r="815" s="989" customFormat="1" customHeight="1" spans="2:19">
      <c r="B815" s="990"/>
      <c r="C815" s="990"/>
      <c r="D815" s="990"/>
      <c r="E815" s="1104"/>
      <c r="F815" s="990"/>
      <c r="G815" s="990"/>
      <c r="H815" s="990"/>
      <c r="I815" s="1104"/>
      <c r="J815" s="1770"/>
      <c r="K815" s="1770"/>
      <c r="L815" s="1104"/>
      <c r="M815" s="1205"/>
      <c r="N815" s="1207"/>
      <c r="O815" s="1207"/>
      <c r="P815" s="1207"/>
      <c r="Q815" s="1771"/>
      <c r="R815" s="1458"/>
      <c r="S815" s="990"/>
    </row>
    <row r="816" s="989" customFormat="1" customHeight="1" spans="2:19">
      <c r="B816" s="990"/>
      <c r="C816" s="990"/>
      <c r="D816" s="990"/>
      <c r="E816" s="1104"/>
      <c r="F816" s="990"/>
      <c r="G816" s="990"/>
      <c r="H816" s="990"/>
      <c r="I816" s="1104"/>
      <c r="J816" s="1770"/>
      <c r="K816" s="1770"/>
      <c r="L816" s="1104"/>
      <c r="M816" s="1205"/>
      <c r="N816" s="1207"/>
      <c r="O816" s="1207"/>
      <c r="P816" s="1207"/>
      <c r="Q816" s="1771"/>
      <c r="R816" s="1458"/>
      <c r="S816" s="990"/>
    </row>
    <row r="817" s="989" customFormat="1" customHeight="1" spans="2:19">
      <c r="B817" s="990"/>
      <c r="C817" s="990"/>
      <c r="D817" s="990"/>
      <c r="E817" s="1104"/>
      <c r="F817" s="990"/>
      <c r="G817" s="990"/>
      <c r="H817" s="990"/>
      <c r="I817" s="1104"/>
      <c r="J817" s="1770"/>
      <c r="K817" s="1770"/>
      <c r="L817" s="1104"/>
      <c r="M817" s="1205"/>
      <c r="N817" s="1207"/>
      <c r="O817" s="1207"/>
      <c r="P817" s="1207"/>
      <c r="Q817" s="1771"/>
      <c r="R817" s="1458"/>
      <c r="S817" s="990"/>
    </row>
    <row r="818" s="989" customFormat="1" customHeight="1" spans="2:19">
      <c r="B818" s="990"/>
      <c r="C818" s="990"/>
      <c r="D818" s="990"/>
      <c r="E818" s="1104"/>
      <c r="F818" s="990"/>
      <c r="G818" s="990"/>
      <c r="H818" s="990"/>
      <c r="I818" s="1104"/>
      <c r="J818" s="1770"/>
      <c r="K818" s="1770"/>
      <c r="L818" s="1104"/>
      <c r="M818" s="1205"/>
      <c r="N818" s="1207"/>
      <c r="O818" s="1207"/>
      <c r="P818" s="1207"/>
      <c r="Q818" s="1771"/>
      <c r="R818" s="1458"/>
      <c r="S818" s="990"/>
    </row>
    <row r="819" s="989" customFormat="1" customHeight="1" spans="2:19">
      <c r="B819" s="990"/>
      <c r="C819" s="990"/>
      <c r="D819" s="990"/>
      <c r="E819" s="1104"/>
      <c r="F819" s="990"/>
      <c r="G819" s="990"/>
      <c r="H819" s="990"/>
      <c r="I819" s="1104"/>
      <c r="J819" s="1770"/>
      <c r="K819" s="1770"/>
      <c r="L819" s="1104"/>
      <c r="M819" s="1205"/>
      <c r="N819" s="1207"/>
      <c r="O819" s="1207"/>
      <c r="P819" s="1207"/>
      <c r="Q819" s="1771"/>
      <c r="R819" s="1458"/>
      <c r="S819" s="990"/>
    </row>
    <row r="820" s="989" customFormat="1" customHeight="1" spans="2:19">
      <c r="B820" s="990"/>
      <c r="C820" s="990"/>
      <c r="D820" s="990"/>
      <c r="E820" s="1104"/>
      <c r="F820" s="990"/>
      <c r="G820" s="990"/>
      <c r="H820" s="990"/>
      <c r="I820" s="1104"/>
      <c r="J820" s="1770"/>
      <c r="K820" s="1770"/>
      <c r="L820" s="1104"/>
      <c r="M820" s="1205"/>
      <c r="N820" s="1207"/>
      <c r="O820" s="1207"/>
      <c r="P820" s="1207"/>
      <c r="Q820" s="1771"/>
      <c r="R820" s="1458"/>
      <c r="S820" s="990"/>
    </row>
    <row r="821" s="989" customFormat="1" customHeight="1" spans="2:19">
      <c r="B821" s="990"/>
      <c r="C821" s="990"/>
      <c r="D821" s="990"/>
      <c r="E821" s="1104"/>
      <c r="F821" s="990"/>
      <c r="G821" s="990"/>
      <c r="H821" s="990"/>
      <c r="I821" s="1104"/>
      <c r="J821" s="1770"/>
      <c r="K821" s="1770"/>
      <c r="L821" s="1104"/>
      <c r="M821" s="1205"/>
      <c r="N821" s="1207"/>
      <c r="O821" s="1207"/>
      <c r="P821" s="1207"/>
      <c r="Q821" s="1771"/>
      <c r="R821" s="1458"/>
      <c r="S821" s="990"/>
    </row>
    <row r="822" s="989" customFormat="1" customHeight="1" spans="2:19">
      <c r="B822" s="990" t="s">
        <v>3192</v>
      </c>
      <c r="C822" s="990"/>
      <c r="D822" s="990">
        <v>6.8819</v>
      </c>
      <c r="E822" s="990" t="s">
        <v>3193</v>
      </c>
      <c r="F822" s="990"/>
      <c r="G822" s="990"/>
      <c r="H822" s="990"/>
      <c r="I822" s="1104"/>
      <c r="J822" s="1770"/>
      <c r="K822" s="1770"/>
      <c r="L822" s="1104"/>
      <c r="M822" s="1205"/>
      <c r="N822" s="1207"/>
      <c r="O822" s="1207"/>
      <c r="P822" s="1207"/>
      <c r="Q822" s="1771"/>
      <c r="R822" s="1458"/>
      <c r="S822" s="990"/>
    </row>
    <row r="823" s="989" customFormat="1" customHeight="1" spans="2:19">
      <c r="B823" s="990"/>
      <c r="C823" s="990"/>
      <c r="D823" s="990"/>
      <c r="E823" s="1104"/>
      <c r="F823" s="990"/>
      <c r="G823" s="990"/>
      <c r="H823" s="990"/>
      <c r="I823" s="1104"/>
      <c r="J823" s="1770"/>
      <c r="K823" s="1770"/>
      <c r="L823" s="1104"/>
      <c r="M823" s="1205"/>
      <c r="N823" s="1207"/>
      <c r="O823" s="1207"/>
      <c r="P823" s="1207"/>
      <c r="Q823" s="1771"/>
      <c r="R823" s="1458"/>
      <c r="S823" s="990"/>
    </row>
    <row r="824" s="989" customFormat="1" customHeight="1" spans="2:19">
      <c r="B824" s="990"/>
      <c r="C824" s="990"/>
      <c r="D824" s="990"/>
      <c r="E824" s="1104"/>
      <c r="F824" s="990"/>
      <c r="G824" s="990"/>
      <c r="H824" s="990"/>
      <c r="I824" s="1104"/>
      <c r="J824" s="1770"/>
      <c r="K824" s="1770"/>
      <c r="L824" s="1104"/>
      <c r="M824" s="1205"/>
      <c r="N824" s="1207"/>
      <c r="O824" s="1207"/>
      <c r="P824" s="1207"/>
      <c r="Q824" s="1771"/>
      <c r="R824" s="1458"/>
      <c r="S824" s="990"/>
    </row>
    <row r="825" s="989" customFormat="1" customHeight="1" spans="2:19">
      <c r="B825" s="990"/>
      <c r="C825" s="990"/>
      <c r="D825" s="990"/>
      <c r="E825" s="1104"/>
      <c r="F825" s="990"/>
      <c r="G825" s="990"/>
      <c r="H825" s="990"/>
      <c r="I825" s="1104"/>
      <c r="J825" s="1770"/>
      <c r="K825" s="1770"/>
      <c r="L825" s="1104"/>
      <c r="M825" s="1205"/>
      <c r="N825" s="1207"/>
      <c r="O825" s="1207"/>
      <c r="P825" s="1207"/>
      <c r="Q825" s="1771"/>
      <c r="R825" s="1458"/>
      <c r="S825" s="990"/>
    </row>
    <row r="826" s="989" customFormat="1" customHeight="1" spans="2:19">
      <c r="B826" s="990"/>
      <c r="C826" s="990"/>
      <c r="D826" s="990"/>
      <c r="E826" s="1104"/>
      <c r="F826" s="990"/>
      <c r="G826" s="990"/>
      <c r="H826" s="990"/>
      <c r="I826" s="1104"/>
      <c r="J826" s="1770"/>
      <c r="K826" s="1770"/>
      <c r="L826" s="1104"/>
      <c r="M826" s="1205"/>
      <c r="N826" s="1207"/>
      <c r="O826" s="1207"/>
      <c r="P826" s="1207"/>
      <c r="Q826" s="1771"/>
      <c r="R826" s="1458"/>
      <c r="S826" s="990"/>
    </row>
    <row r="827" s="989" customFormat="1" customHeight="1" spans="2:19">
      <c r="B827" s="990"/>
      <c r="C827" s="990"/>
      <c r="D827" s="990"/>
      <c r="E827" s="1104"/>
      <c r="F827" s="990"/>
      <c r="G827" s="990"/>
      <c r="H827" s="990"/>
      <c r="I827" s="1104"/>
      <c r="J827" s="1770"/>
      <c r="K827" s="1770"/>
      <c r="L827" s="1104"/>
      <c r="M827" s="1205"/>
      <c r="N827" s="1207"/>
      <c r="O827" s="1207"/>
      <c r="P827" s="1207"/>
      <c r="Q827" s="1771"/>
      <c r="R827" s="1458"/>
      <c r="S827" s="990"/>
    </row>
    <row r="828" s="989" customFormat="1" customHeight="1" spans="2:19">
      <c r="B828" s="990"/>
      <c r="C828" s="990"/>
      <c r="D828" s="990"/>
      <c r="E828" s="1104"/>
      <c r="F828" s="990"/>
      <c r="G828" s="990"/>
      <c r="H828" s="990"/>
      <c r="I828" s="1104"/>
      <c r="J828" s="1770"/>
      <c r="K828" s="1770"/>
      <c r="L828" s="1104"/>
      <c r="M828" s="1205"/>
      <c r="N828" s="1207"/>
      <c r="O828" s="1207"/>
      <c r="P828" s="1207"/>
      <c r="Q828" s="1771"/>
      <c r="R828" s="1458"/>
      <c r="S828" s="990"/>
    </row>
    <row r="829" s="989" customFormat="1" customHeight="1" spans="2:19">
      <c r="B829" s="990"/>
      <c r="C829" s="990"/>
      <c r="D829" s="990"/>
      <c r="E829" s="1104"/>
      <c r="F829" s="990"/>
      <c r="G829" s="990"/>
      <c r="H829" s="990"/>
      <c r="I829" s="1104"/>
      <c r="J829" s="1770"/>
      <c r="K829" s="1770"/>
      <c r="L829" s="1104"/>
      <c r="M829" s="1205"/>
      <c r="N829" s="1207"/>
      <c r="O829" s="1207"/>
      <c r="P829" s="1207"/>
      <c r="Q829" s="1771"/>
      <c r="R829" s="1458"/>
      <c r="S829" s="990"/>
    </row>
    <row r="830" s="989" customFormat="1" customHeight="1" spans="2:19">
      <c r="B830" s="990"/>
      <c r="C830" s="990"/>
      <c r="D830" s="990"/>
      <c r="E830" s="1104"/>
      <c r="F830" s="990"/>
      <c r="G830" s="990"/>
      <c r="H830" s="990"/>
      <c r="I830" s="1104"/>
      <c r="J830" s="1770"/>
      <c r="K830" s="1770"/>
      <c r="L830" s="1104"/>
      <c r="M830" s="1205"/>
      <c r="N830" s="1207"/>
      <c r="O830" s="1207"/>
      <c r="P830" s="1207"/>
      <c r="Q830" s="1771"/>
      <c r="R830" s="1458"/>
      <c r="S830" s="990"/>
    </row>
    <row r="831" s="989" customFormat="1" customHeight="1" spans="2:19">
      <c r="B831" s="990"/>
      <c r="C831" s="990"/>
      <c r="D831" s="990"/>
      <c r="E831" s="1104"/>
      <c r="F831" s="990"/>
      <c r="G831" s="990"/>
      <c r="H831" s="990"/>
      <c r="I831" s="1104"/>
      <c r="J831" s="1770"/>
      <c r="K831" s="1770"/>
      <c r="L831" s="1104"/>
      <c r="M831" s="1205"/>
      <c r="N831" s="1207"/>
      <c r="O831" s="1207"/>
      <c r="P831" s="1207"/>
      <c r="Q831" s="1771"/>
      <c r="R831" s="1458"/>
      <c r="S831" s="990"/>
    </row>
    <row r="832" s="989" customFormat="1" customHeight="1" spans="2:19">
      <c r="B832" s="990"/>
      <c r="C832" s="990"/>
      <c r="D832" s="990"/>
      <c r="E832" s="1104"/>
      <c r="F832" s="990"/>
      <c r="G832" s="990"/>
      <c r="H832" s="990"/>
      <c r="I832" s="1104"/>
      <c r="J832" s="1770"/>
      <c r="K832" s="1770"/>
      <c r="L832" s="1104"/>
      <c r="M832" s="1205"/>
      <c r="N832" s="1207"/>
      <c r="O832" s="1207"/>
      <c r="P832" s="1207"/>
      <c r="Q832" s="1771"/>
      <c r="R832" s="1458"/>
      <c r="S832" s="990"/>
    </row>
    <row r="833" s="989" customFormat="1" customHeight="1" spans="2:19">
      <c r="B833" s="990"/>
      <c r="C833" s="990"/>
      <c r="D833" s="990"/>
      <c r="E833" s="1104"/>
      <c r="F833" s="990"/>
      <c r="G833" s="990"/>
      <c r="H833" s="990"/>
      <c r="I833" s="1104"/>
      <c r="J833" s="1770"/>
      <c r="K833" s="1770"/>
      <c r="L833" s="1104"/>
      <c r="M833" s="1205"/>
      <c r="N833" s="1207"/>
      <c r="O833" s="1207"/>
      <c r="P833" s="1207"/>
      <c r="Q833" s="1771"/>
      <c r="R833" s="1458"/>
      <c r="S833" s="990"/>
    </row>
    <row r="834" s="989" customFormat="1" customHeight="1" spans="2:19">
      <c r="B834" s="990"/>
      <c r="C834" s="990"/>
      <c r="D834" s="990"/>
      <c r="E834" s="1104"/>
      <c r="F834" s="990"/>
      <c r="G834" s="990"/>
      <c r="H834" s="990"/>
      <c r="I834" s="1104"/>
      <c r="J834" s="1770"/>
      <c r="K834" s="1770"/>
      <c r="L834" s="1104"/>
      <c r="M834" s="1205"/>
      <c r="N834" s="1207"/>
      <c r="O834" s="1207"/>
      <c r="P834" s="1207"/>
      <c r="Q834" s="1771"/>
      <c r="R834" s="1458"/>
      <c r="S834" s="990"/>
    </row>
    <row r="835" s="989" customFormat="1" customHeight="1" spans="2:19">
      <c r="B835" s="990"/>
      <c r="C835" s="990"/>
      <c r="D835" s="990"/>
      <c r="E835" s="1104"/>
      <c r="F835" s="990"/>
      <c r="G835" s="990"/>
      <c r="H835" s="990"/>
      <c r="I835" s="1104"/>
      <c r="J835" s="1770"/>
      <c r="K835" s="1770"/>
      <c r="L835" s="1104"/>
      <c r="M835" s="1205"/>
      <c r="N835" s="1207"/>
      <c r="O835" s="1207"/>
      <c r="P835" s="1207"/>
      <c r="Q835" s="1771"/>
      <c r="R835" s="1458"/>
      <c r="S835" s="990"/>
    </row>
    <row r="836" s="989" customFormat="1" customHeight="1" spans="2:19">
      <c r="B836" s="990"/>
      <c r="C836" s="990"/>
      <c r="D836" s="990"/>
      <c r="E836" s="1104"/>
      <c r="F836" s="990"/>
      <c r="G836" s="990"/>
      <c r="H836" s="990"/>
      <c r="I836" s="1104"/>
      <c r="J836" s="1770"/>
      <c r="K836" s="1770"/>
      <c r="L836" s="1104"/>
      <c r="M836" s="1205"/>
      <c r="N836" s="1207"/>
      <c r="O836" s="1207"/>
      <c r="P836" s="1207"/>
      <c r="Q836" s="1771"/>
      <c r="R836" s="1458"/>
      <c r="S836" s="990"/>
    </row>
    <row r="837" s="989" customFormat="1" customHeight="1" spans="2:19">
      <c r="B837" s="990"/>
      <c r="C837" s="990"/>
      <c r="D837" s="990"/>
      <c r="E837" s="1104"/>
      <c r="F837" s="990"/>
      <c r="G837" s="990"/>
      <c r="H837" s="990"/>
      <c r="I837" s="1104"/>
      <c r="J837" s="1770"/>
      <c r="K837" s="1770"/>
      <c r="L837" s="1104"/>
      <c r="M837" s="1205"/>
      <c r="N837" s="1207"/>
      <c r="O837" s="1207"/>
      <c r="P837" s="1207"/>
      <c r="Q837" s="1771"/>
      <c r="R837" s="1458"/>
      <c r="S837" s="990"/>
    </row>
    <row r="838" s="989" customFormat="1" customHeight="1" spans="2:19">
      <c r="B838" s="990"/>
      <c r="C838" s="990"/>
      <c r="D838" s="990"/>
      <c r="E838" s="1104"/>
      <c r="F838" s="990"/>
      <c r="G838" s="990"/>
      <c r="H838" s="990"/>
      <c r="I838" s="1104"/>
      <c r="J838" s="1770"/>
      <c r="K838" s="1770"/>
      <c r="L838" s="1104"/>
      <c r="M838" s="1205"/>
      <c r="N838" s="1207"/>
      <c r="O838" s="1207"/>
      <c r="P838" s="1207"/>
      <c r="Q838" s="1771"/>
      <c r="R838" s="1458"/>
      <c r="S838" s="990"/>
    </row>
    <row r="839" s="989" customFormat="1" customHeight="1" spans="2:19">
      <c r="B839" s="990"/>
      <c r="C839" s="990"/>
      <c r="D839" s="990"/>
      <c r="E839" s="1104"/>
      <c r="F839" s="990"/>
      <c r="G839" s="990"/>
      <c r="H839" s="990"/>
      <c r="I839" s="1104"/>
      <c r="J839" s="1770"/>
      <c r="K839" s="1770"/>
      <c r="L839" s="1104"/>
      <c r="M839" s="1205"/>
      <c r="N839" s="1207"/>
      <c r="O839" s="1207"/>
      <c r="P839" s="1207"/>
      <c r="Q839" s="1771"/>
      <c r="R839" s="1458"/>
      <c r="S839" s="990"/>
    </row>
    <row r="840" s="989" customFormat="1" customHeight="1" spans="2:19">
      <c r="B840" s="990"/>
      <c r="C840" s="990"/>
      <c r="D840" s="990"/>
      <c r="E840" s="1104"/>
      <c r="F840" s="990"/>
      <c r="G840" s="990"/>
      <c r="H840" s="990"/>
      <c r="I840" s="1104"/>
      <c r="J840" s="1770"/>
      <c r="K840" s="1770"/>
      <c r="L840" s="1104"/>
      <c r="M840" s="1205"/>
      <c r="N840" s="1207"/>
      <c r="O840" s="1207"/>
      <c r="P840" s="1207"/>
      <c r="Q840" s="1771"/>
      <c r="R840" s="1458"/>
      <c r="S840" s="990"/>
    </row>
    <row r="841" s="989" customFormat="1" customHeight="1" spans="2:19">
      <c r="B841" s="990"/>
      <c r="C841" s="990"/>
      <c r="D841" s="990"/>
      <c r="E841" s="1104"/>
      <c r="F841" s="990"/>
      <c r="G841" s="990"/>
      <c r="H841" s="990"/>
      <c r="I841" s="1104"/>
      <c r="J841" s="1770"/>
      <c r="K841" s="1770"/>
      <c r="L841" s="1104"/>
      <c r="M841" s="1205"/>
      <c r="N841" s="1207"/>
      <c r="O841" s="1207"/>
      <c r="P841" s="1207"/>
      <c r="Q841" s="1771"/>
      <c r="R841" s="1458"/>
      <c r="S841" s="990"/>
    </row>
    <row r="842" s="989" customFormat="1" customHeight="1" spans="2:19">
      <c r="B842" s="990"/>
      <c r="C842" s="990"/>
      <c r="D842" s="990"/>
      <c r="E842" s="1104"/>
      <c r="F842" s="990"/>
      <c r="G842" s="990"/>
      <c r="H842" s="990"/>
      <c r="I842" s="1104"/>
      <c r="J842" s="1770"/>
      <c r="K842" s="1770"/>
      <c r="L842" s="1104"/>
      <c r="M842" s="1205"/>
      <c r="N842" s="1207"/>
      <c r="O842" s="1207"/>
      <c r="P842" s="1207"/>
      <c r="Q842" s="1771"/>
      <c r="R842" s="1458"/>
      <c r="S842" s="990"/>
    </row>
    <row r="843" s="989" customFormat="1" customHeight="1" spans="2:19">
      <c r="B843" s="990"/>
      <c r="C843" s="990"/>
      <c r="D843" s="990"/>
      <c r="E843" s="1104"/>
      <c r="F843" s="990"/>
      <c r="G843" s="990"/>
      <c r="H843" s="990"/>
      <c r="I843" s="1104"/>
      <c r="J843" s="1770"/>
      <c r="K843" s="1770"/>
      <c r="L843" s="1104"/>
      <c r="M843" s="1205"/>
      <c r="N843" s="1207"/>
      <c r="O843" s="1207"/>
      <c r="P843" s="1207"/>
      <c r="Q843" s="1771"/>
      <c r="R843" s="1458"/>
      <c r="S843" s="990"/>
    </row>
    <row r="844" s="989" customFormat="1" customHeight="1" spans="2:19">
      <c r="B844" s="990"/>
      <c r="C844" s="990"/>
      <c r="D844" s="990"/>
      <c r="E844" s="1104"/>
      <c r="F844" s="990"/>
      <c r="G844" s="990"/>
      <c r="H844" s="990"/>
      <c r="I844" s="1104"/>
      <c r="J844" s="1770"/>
      <c r="K844" s="1770"/>
      <c r="L844" s="1104"/>
      <c r="M844" s="1205"/>
      <c r="N844" s="1207"/>
      <c r="O844" s="1207"/>
      <c r="P844" s="1207"/>
      <c r="Q844" s="1771"/>
      <c r="R844" s="1458"/>
      <c r="S844" s="990"/>
    </row>
    <row r="845" s="989" customFormat="1" customHeight="1" spans="2:19">
      <c r="B845" s="990"/>
      <c r="C845" s="990"/>
      <c r="D845" s="990"/>
      <c r="E845" s="1104"/>
      <c r="F845" s="990"/>
      <c r="G845" s="990"/>
      <c r="H845" s="990"/>
      <c r="I845" s="1104"/>
      <c r="J845" s="1770"/>
      <c r="K845" s="1770"/>
      <c r="L845" s="1104"/>
      <c r="M845" s="1205"/>
      <c r="N845" s="1207"/>
      <c r="O845" s="1207"/>
      <c r="P845" s="1207"/>
      <c r="Q845" s="1771"/>
      <c r="R845" s="1458"/>
      <c r="S845" s="990"/>
    </row>
    <row r="846" s="989" customFormat="1" customHeight="1" spans="2:19">
      <c r="B846" s="990"/>
      <c r="C846" s="990"/>
      <c r="D846" s="990"/>
      <c r="E846" s="1104"/>
      <c r="F846" s="990"/>
      <c r="G846" s="990"/>
      <c r="H846" s="990"/>
      <c r="I846" s="1104"/>
      <c r="J846" s="1770"/>
      <c r="K846" s="1770"/>
      <c r="L846" s="1104"/>
      <c r="M846" s="1205"/>
      <c r="N846" s="1207"/>
      <c r="O846" s="1207"/>
      <c r="P846" s="1207"/>
      <c r="Q846" s="1771"/>
      <c r="R846" s="1458"/>
      <c r="S846" s="990"/>
    </row>
    <row r="847" s="989" customFormat="1" customHeight="1" spans="2:19">
      <c r="B847" s="990"/>
      <c r="C847" s="990"/>
      <c r="D847" s="990"/>
      <c r="E847" s="1104"/>
      <c r="F847" s="990"/>
      <c r="G847" s="990"/>
      <c r="H847" s="990"/>
      <c r="I847" s="1104"/>
      <c r="J847" s="1770"/>
      <c r="K847" s="1770"/>
      <c r="L847" s="1104"/>
      <c r="M847" s="1205"/>
      <c r="N847" s="1207"/>
      <c r="O847" s="1207"/>
      <c r="P847" s="1207"/>
      <c r="Q847" s="1771"/>
      <c r="R847" s="1458"/>
      <c r="S847" s="990"/>
    </row>
    <row r="848" s="989" customFormat="1" customHeight="1" spans="2:19">
      <c r="B848" s="990"/>
      <c r="C848" s="990"/>
      <c r="D848" s="990"/>
      <c r="E848" s="1104"/>
      <c r="F848" s="990"/>
      <c r="G848" s="990"/>
      <c r="H848" s="990"/>
      <c r="I848" s="1104"/>
      <c r="J848" s="1770"/>
      <c r="K848" s="1770"/>
      <c r="L848" s="1104"/>
      <c r="M848" s="1205"/>
      <c r="N848" s="1207"/>
      <c r="O848" s="1207"/>
      <c r="P848" s="1207"/>
      <c r="Q848" s="1771"/>
      <c r="R848" s="1458"/>
      <c r="S848" s="990"/>
    </row>
    <row r="849" s="989" customFormat="1" customHeight="1" spans="2:19">
      <c r="B849" s="990"/>
      <c r="C849" s="990"/>
      <c r="D849" s="990"/>
      <c r="E849" s="1104"/>
      <c r="F849" s="990"/>
      <c r="G849" s="990"/>
      <c r="H849" s="990"/>
      <c r="I849" s="1104"/>
      <c r="J849" s="1770"/>
      <c r="K849" s="1770"/>
      <c r="L849" s="1104"/>
      <c r="M849" s="1205"/>
      <c r="N849" s="1207"/>
      <c r="O849" s="1207"/>
      <c r="P849" s="1207"/>
      <c r="Q849" s="1771"/>
      <c r="R849" s="1458"/>
      <c r="S849" s="990"/>
    </row>
    <row r="850" s="989" customFormat="1" customHeight="1" spans="2:19">
      <c r="B850" s="990"/>
      <c r="C850" s="990"/>
      <c r="D850" s="990"/>
      <c r="E850" s="1104"/>
      <c r="F850" s="990"/>
      <c r="G850" s="990"/>
      <c r="H850" s="990"/>
      <c r="I850" s="1104"/>
      <c r="J850" s="1770"/>
      <c r="K850" s="1770"/>
      <c r="L850" s="1104"/>
      <c r="M850" s="1205"/>
      <c r="N850" s="1207"/>
      <c r="O850" s="1207"/>
      <c r="P850" s="1207"/>
      <c r="Q850" s="1771"/>
      <c r="R850" s="1458"/>
      <c r="S850" s="990"/>
    </row>
    <row r="851" s="989" customFormat="1" customHeight="1" spans="2:19">
      <c r="B851" s="990"/>
      <c r="C851" s="990"/>
      <c r="D851" s="990"/>
      <c r="E851" s="1104"/>
      <c r="F851" s="990"/>
      <c r="G851" s="990"/>
      <c r="H851" s="990"/>
      <c r="I851" s="1104"/>
      <c r="J851" s="1770"/>
      <c r="K851" s="1770"/>
      <c r="L851" s="1104"/>
      <c r="M851" s="1205"/>
      <c r="N851" s="1207"/>
      <c r="O851" s="1207"/>
      <c r="P851" s="1207"/>
      <c r="Q851" s="1771"/>
      <c r="R851" s="1458"/>
      <c r="S851" s="990"/>
    </row>
    <row r="852" s="989" customFormat="1" customHeight="1" spans="2:19">
      <c r="B852" s="990"/>
      <c r="C852" s="990"/>
      <c r="D852" s="990"/>
      <c r="E852" s="1104"/>
      <c r="F852" s="990"/>
      <c r="G852" s="990"/>
      <c r="H852" s="990"/>
      <c r="I852" s="1104"/>
      <c r="J852" s="1770"/>
      <c r="K852" s="1770"/>
      <c r="L852" s="1104"/>
      <c r="M852" s="1205"/>
      <c r="N852" s="1207"/>
      <c r="O852" s="1207"/>
      <c r="P852" s="1207"/>
      <c r="Q852" s="1771"/>
      <c r="R852" s="1458"/>
      <c r="S852" s="990"/>
    </row>
    <row r="853" s="989" customFormat="1" customHeight="1" spans="2:19">
      <c r="B853" s="990"/>
      <c r="C853" s="990"/>
      <c r="D853" s="990"/>
      <c r="E853" s="1104"/>
      <c r="F853" s="990"/>
      <c r="G853" s="990"/>
      <c r="H853" s="990"/>
      <c r="I853" s="1104"/>
      <c r="J853" s="1770"/>
      <c r="K853" s="1770"/>
      <c r="L853" s="1104"/>
      <c r="M853" s="1205"/>
      <c r="N853" s="1207"/>
      <c r="O853" s="1207"/>
      <c r="P853" s="1207"/>
      <c r="Q853" s="1771"/>
      <c r="R853" s="1458"/>
      <c r="S853" s="990"/>
    </row>
    <row r="854" s="989" customFormat="1" customHeight="1" spans="2:19">
      <c r="B854" s="990"/>
      <c r="C854" s="990"/>
      <c r="D854" s="990"/>
      <c r="E854" s="1104"/>
      <c r="F854" s="990"/>
      <c r="G854" s="990"/>
      <c r="H854" s="990"/>
      <c r="I854" s="1104"/>
      <c r="J854" s="1770"/>
      <c r="K854" s="1770"/>
      <c r="L854" s="1104"/>
      <c r="M854" s="1205"/>
      <c r="N854" s="1207"/>
      <c r="O854" s="1207"/>
      <c r="P854" s="1207"/>
      <c r="Q854" s="1771"/>
      <c r="R854" s="1458"/>
      <c r="S854" s="990"/>
    </row>
    <row r="855" s="989" customFormat="1" customHeight="1" spans="2:19">
      <c r="B855" s="990"/>
      <c r="C855" s="990"/>
      <c r="D855" s="990"/>
      <c r="E855" s="1104"/>
      <c r="F855" s="990"/>
      <c r="G855" s="990"/>
      <c r="H855" s="990"/>
      <c r="I855" s="1104"/>
      <c r="J855" s="1770"/>
      <c r="K855" s="1770"/>
      <c r="L855" s="1104"/>
      <c r="M855" s="1205"/>
      <c r="N855" s="1207"/>
      <c r="O855" s="1207"/>
      <c r="P855" s="1207"/>
      <c r="Q855" s="1771"/>
      <c r="R855" s="1458"/>
      <c r="S855" s="990"/>
    </row>
    <row r="856" s="989" customFormat="1" customHeight="1" spans="2:19">
      <c r="B856" s="990"/>
      <c r="C856" s="990"/>
      <c r="D856" s="990"/>
      <c r="E856" s="1104"/>
      <c r="F856" s="990"/>
      <c r="G856" s="990"/>
      <c r="H856" s="990"/>
      <c r="I856" s="1104"/>
      <c r="J856" s="1770"/>
      <c r="K856" s="1770"/>
      <c r="L856" s="1104"/>
      <c r="M856" s="1205"/>
      <c r="N856" s="1207"/>
      <c r="O856" s="1207"/>
      <c r="P856" s="1207"/>
      <c r="Q856" s="1771"/>
      <c r="R856" s="1458"/>
      <c r="S856" s="990"/>
    </row>
    <row r="857" s="989" customFormat="1" customHeight="1" spans="2:19">
      <c r="B857" s="990"/>
      <c r="C857" s="990"/>
      <c r="D857" s="990"/>
      <c r="E857" s="1104"/>
      <c r="F857" s="990"/>
      <c r="G857" s="990"/>
      <c r="H857" s="990"/>
      <c r="I857" s="1104"/>
      <c r="J857" s="1770"/>
      <c r="K857" s="1770"/>
      <c r="L857" s="1104"/>
      <c r="M857" s="1205"/>
      <c r="N857" s="1207"/>
      <c r="O857" s="1207"/>
      <c r="P857" s="1207"/>
      <c r="Q857" s="1771"/>
      <c r="R857" s="1458"/>
      <c r="S857" s="990"/>
    </row>
    <row r="858" s="989" customFormat="1" customHeight="1" spans="2:19">
      <c r="B858" s="990"/>
      <c r="C858" s="990"/>
      <c r="D858" s="990"/>
      <c r="E858" s="1104"/>
      <c r="F858" s="990"/>
      <c r="G858" s="990"/>
      <c r="H858" s="990"/>
      <c r="I858" s="1104"/>
      <c r="J858" s="1770"/>
      <c r="K858" s="1770"/>
      <c r="L858" s="1104"/>
      <c r="M858" s="1205"/>
      <c r="N858" s="1207"/>
      <c r="O858" s="1207"/>
      <c r="P858" s="1207"/>
      <c r="Q858" s="1771"/>
      <c r="R858" s="1458"/>
      <c r="S858" s="990"/>
    </row>
    <row r="859" s="989" customFormat="1" customHeight="1" spans="2:19">
      <c r="B859" s="990"/>
      <c r="C859" s="990"/>
      <c r="D859" s="990"/>
      <c r="E859" s="1104"/>
      <c r="F859" s="990"/>
      <c r="G859" s="990"/>
      <c r="H859" s="990"/>
      <c r="I859" s="1104"/>
      <c r="J859" s="1770"/>
      <c r="K859" s="1770"/>
      <c r="L859" s="1104"/>
      <c r="M859" s="1205"/>
      <c r="N859" s="1207"/>
      <c r="O859" s="1207"/>
      <c r="P859" s="1207"/>
      <c r="Q859" s="1771"/>
      <c r="R859" s="1458"/>
      <c r="S859" s="990"/>
    </row>
    <row r="860" s="989" customFormat="1" customHeight="1" spans="2:19">
      <c r="B860" s="990"/>
      <c r="C860" s="990"/>
      <c r="D860" s="990"/>
      <c r="E860" s="1104"/>
      <c r="F860" s="990"/>
      <c r="G860" s="990"/>
      <c r="H860" s="990"/>
      <c r="I860" s="1104"/>
      <c r="J860" s="1770"/>
      <c r="K860" s="1770"/>
      <c r="L860" s="1104"/>
      <c r="M860" s="1205"/>
      <c r="N860" s="1207"/>
      <c r="O860" s="1207"/>
      <c r="P860" s="1207"/>
      <c r="Q860" s="1771"/>
      <c r="R860" s="1458"/>
      <c r="S860" s="990"/>
    </row>
    <row r="861" s="989" customFormat="1" customHeight="1" spans="2:19">
      <c r="B861" s="990"/>
      <c r="C861" s="990"/>
      <c r="D861" s="990"/>
      <c r="E861" s="1104"/>
      <c r="F861" s="990"/>
      <c r="G861" s="990"/>
      <c r="H861" s="990"/>
      <c r="I861" s="1104"/>
      <c r="J861" s="1770"/>
      <c r="K861" s="1770"/>
      <c r="L861" s="1104"/>
      <c r="M861" s="1205"/>
      <c r="N861" s="1207"/>
      <c r="O861" s="1207"/>
      <c r="P861" s="1207"/>
      <c r="Q861" s="1771"/>
      <c r="R861" s="1458"/>
      <c r="S861" s="990"/>
    </row>
    <row r="862" s="989" customFormat="1" customHeight="1" spans="2:19">
      <c r="B862" s="990"/>
      <c r="C862" s="990"/>
      <c r="D862" s="990"/>
      <c r="E862" s="1104"/>
      <c r="F862" s="990"/>
      <c r="G862" s="990"/>
      <c r="H862" s="990"/>
      <c r="I862" s="1104"/>
      <c r="J862" s="1770"/>
      <c r="K862" s="1770"/>
      <c r="L862" s="1104"/>
      <c r="M862" s="1205"/>
      <c r="N862" s="1207"/>
      <c r="O862" s="1207"/>
      <c r="P862" s="1207"/>
      <c r="Q862" s="1771"/>
      <c r="R862" s="1458"/>
      <c r="S862" s="990"/>
    </row>
    <row r="863" s="989" customFormat="1" customHeight="1" spans="2:19">
      <c r="B863" s="990"/>
      <c r="C863" s="990"/>
      <c r="D863" s="990"/>
      <c r="E863" s="1104"/>
      <c r="F863" s="990"/>
      <c r="G863" s="990"/>
      <c r="H863" s="990"/>
      <c r="I863" s="1104"/>
      <c r="J863" s="1770"/>
      <c r="K863" s="1770"/>
      <c r="L863" s="1104"/>
      <c r="M863" s="1205"/>
      <c r="N863" s="1207"/>
      <c r="O863" s="1207"/>
      <c r="P863" s="1207"/>
      <c r="Q863" s="1771"/>
      <c r="R863" s="1458"/>
      <c r="S863" s="990"/>
    </row>
    <row r="864" s="989" customFormat="1" customHeight="1" spans="2:19">
      <c r="B864" s="990"/>
      <c r="C864" s="990"/>
      <c r="D864" s="990"/>
      <c r="E864" s="1104"/>
      <c r="F864" s="990"/>
      <c r="G864" s="990"/>
      <c r="H864" s="990"/>
      <c r="I864" s="1104"/>
      <c r="J864" s="1770"/>
      <c r="K864" s="1770"/>
      <c r="L864" s="1104"/>
      <c r="M864" s="1205"/>
      <c r="N864" s="1207"/>
      <c r="O864" s="1207"/>
      <c r="P864" s="1207"/>
      <c r="Q864" s="1771"/>
      <c r="R864" s="1458"/>
      <c r="S864" s="990"/>
    </row>
    <row r="865" s="989" customFormat="1" customHeight="1" spans="2:19">
      <c r="B865" s="990"/>
      <c r="C865" s="990"/>
      <c r="D865" s="990"/>
      <c r="E865" s="1104"/>
      <c r="F865" s="990"/>
      <c r="G865" s="990"/>
      <c r="H865" s="990"/>
      <c r="I865" s="1104"/>
      <c r="J865" s="1770"/>
      <c r="K865" s="1770"/>
      <c r="L865" s="1104"/>
      <c r="M865" s="1205"/>
      <c r="N865" s="1207"/>
      <c r="O865" s="1207"/>
      <c r="P865" s="1207"/>
      <c r="Q865" s="1771"/>
      <c r="R865" s="1458"/>
      <c r="S865" s="990"/>
    </row>
    <row r="866" s="989" customFormat="1" customHeight="1" spans="2:19">
      <c r="B866" s="990"/>
      <c r="C866" s="990"/>
      <c r="D866" s="990"/>
      <c r="E866" s="1104"/>
      <c r="F866" s="990"/>
      <c r="G866" s="990"/>
      <c r="H866" s="990"/>
      <c r="I866" s="1104"/>
      <c r="J866" s="1770"/>
      <c r="K866" s="1770"/>
      <c r="L866" s="1104"/>
      <c r="M866" s="1205"/>
      <c r="N866" s="1207"/>
      <c r="O866" s="1207"/>
      <c r="P866" s="1207"/>
      <c r="Q866" s="1771"/>
      <c r="R866" s="1458"/>
      <c r="S866" s="990"/>
    </row>
    <row r="867" s="989" customFormat="1" customHeight="1" spans="2:19">
      <c r="B867" s="990"/>
      <c r="C867" s="990"/>
      <c r="D867" s="990"/>
      <c r="E867" s="1104"/>
      <c r="F867" s="990"/>
      <c r="G867" s="990"/>
      <c r="H867" s="990"/>
      <c r="I867" s="1104"/>
      <c r="J867" s="1770"/>
      <c r="K867" s="1770"/>
      <c r="L867" s="1104"/>
      <c r="M867" s="1205"/>
      <c r="N867" s="1207"/>
      <c r="O867" s="1207"/>
      <c r="P867" s="1207"/>
      <c r="Q867" s="1771"/>
      <c r="R867" s="1458"/>
      <c r="S867" s="990"/>
    </row>
    <row r="868" s="989" customFormat="1" customHeight="1" spans="2:19">
      <c r="B868" s="990"/>
      <c r="C868" s="990"/>
      <c r="D868" s="990"/>
      <c r="E868" s="1104"/>
      <c r="F868" s="990"/>
      <c r="G868" s="990"/>
      <c r="H868" s="990"/>
      <c r="I868" s="1104"/>
      <c r="J868" s="1770"/>
      <c r="K868" s="1770"/>
      <c r="L868" s="1104"/>
      <c r="M868" s="1205"/>
      <c r="N868" s="1207"/>
      <c r="O868" s="1207"/>
      <c r="P868" s="1207"/>
      <c r="Q868" s="1771"/>
      <c r="R868" s="1458"/>
      <c r="S868" s="990"/>
    </row>
    <row r="869" s="989" customFormat="1" customHeight="1" spans="2:19">
      <c r="B869" s="990"/>
      <c r="C869" s="990"/>
      <c r="D869" s="990"/>
      <c r="E869" s="1104"/>
      <c r="F869" s="990"/>
      <c r="G869" s="990"/>
      <c r="H869" s="990"/>
      <c r="I869" s="1104"/>
      <c r="J869" s="1770"/>
      <c r="K869" s="1770"/>
      <c r="L869" s="1104"/>
      <c r="M869" s="1205"/>
      <c r="N869" s="1207"/>
      <c r="O869" s="1207"/>
      <c r="P869" s="1207"/>
      <c r="Q869" s="1771"/>
      <c r="R869" s="1458"/>
      <c r="S869" s="990"/>
    </row>
    <row r="870" s="989" customFormat="1" customHeight="1" spans="2:19">
      <c r="B870" s="990"/>
      <c r="C870" s="990"/>
      <c r="D870" s="990"/>
      <c r="E870" s="1104"/>
      <c r="F870" s="990"/>
      <c r="G870" s="990"/>
      <c r="H870" s="990"/>
      <c r="I870" s="1104"/>
      <c r="J870" s="1770"/>
      <c r="K870" s="1770"/>
      <c r="L870" s="1104"/>
      <c r="M870" s="1205"/>
      <c r="N870" s="1207"/>
      <c r="O870" s="1207"/>
      <c r="P870" s="1207"/>
      <c r="Q870" s="1771"/>
      <c r="R870" s="1458"/>
      <c r="S870" s="990"/>
    </row>
    <row r="871" s="989" customFormat="1" customHeight="1" spans="2:19">
      <c r="B871" s="990"/>
      <c r="C871" s="990"/>
      <c r="D871" s="990"/>
      <c r="E871" s="1104"/>
      <c r="F871" s="990"/>
      <c r="G871" s="990"/>
      <c r="H871" s="990"/>
      <c r="I871" s="1104"/>
      <c r="J871" s="1770"/>
      <c r="K871" s="1770"/>
      <c r="L871" s="1104"/>
      <c r="M871" s="1205"/>
      <c r="N871" s="1207"/>
      <c r="O871" s="1207"/>
      <c r="P871" s="1207"/>
      <c r="Q871" s="1771"/>
      <c r="R871" s="1458"/>
      <c r="S871" s="990"/>
    </row>
    <row r="872" s="989" customFormat="1" customHeight="1" spans="2:19">
      <c r="B872" s="990"/>
      <c r="C872" s="990"/>
      <c r="D872" s="990"/>
      <c r="E872" s="1104"/>
      <c r="F872" s="990"/>
      <c r="G872" s="990"/>
      <c r="H872" s="990"/>
      <c r="I872" s="1104"/>
      <c r="J872" s="1770"/>
      <c r="K872" s="1770"/>
      <c r="L872" s="1104"/>
      <c r="M872" s="1205"/>
      <c r="N872" s="1207"/>
      <c r="O872" s="1207"/>
      <c r="P872" s="1207"/>
      <c r="Q872" s="1771"/>
      <c r="R872" s="1458"/>
      <c r="S872" s="990"/>
    </row>
    <row r="873" s="989" customFormat="1" customHeight="1" spans="2:19">
      <c r="B873" s="990"/>
      <c r="C873" s="990"/>
      <c r="D873" s="990"/>
      <c r="E873" s="1104"/>
      <c r="F873" s="990"/>
      <c r="G873" s="990"/>
      <c r="H873" s="990"/>
      <c r="I873" s="1104"/>
      <c r="J873" s="1770"/>
      <c r="K873" s="1770"/>
      <c r="L873" s="1104"/>
      <c r="M873" s="1205"/>
      <c r="N873" s="1207"/>
      <c r="O873" s="1207"/>
      <c r="P873" s="1207"/>
      <c r="Q873" s="1771"/>
      <c r="R873" s="1458"/>
      <c r="S873" s="990"/>
    </row>
    <row r="874" s="989" customFormat="1" customHeight="1" spans="2:19">
      <c r="B874" s="990"/>
      <c r="C874" s="990"/>
      <c r="D874" s="990"/>
      <c r="E874" s="1104"/>
      <c r="F874" s="990"/>
      <c r="G874" s="990"/>
      <c r="H874" s="990"/>
      <c r="I874" s="1104"/>
      <c r="J874" s="1770"/>
      <c r="K874" s="1770"/>
      <c r="L874" s="1104"/>
      <c r="M874" s="1205"/>
      <c r="N874" s="1207"/>
      <c r="O874" s="1207"/>
      <c r="P874" s="1207"/>
      <c r="Q874" s="1771"/>
      <c r="R874" s="1458"/>
      <c r="S874" s="990"/>
    </row>
    <row r="875" s="989" customFormat="1" customHeight="1" spans="2:19">
      <c r="B875" s="990"/>
      <c r="C875" s="990"/>
      <c r="D875" s="990"/>
      <c r="E875" s="1104"/>
      <c r="F875" s="990"/>
      <c r="G875" s="990"/>
      <c r="H875" s="990"/>
      <c r="I875" s="1104"/>
      <c r="J875" s="1770"/>
      <c r="K875" s="1770"/>
      <c r="L875" s="1104"/>
      <c r="M875" s="1205"/>
      <c r="N875" s="1207"/>
      <c r="O875" s="1207"/>
      <c r="P875" s="1207"/>
      <c r="Q875" s="1771"/>
      <c r="R875" s="1458"/>
      <c r="S875" s="990"/>
    </row>
    <row r="876" s="989" customFormat="1" customHeight="1" spans="2:19">
      <c r="B876" s="990"/>
      <c r="C876" s="990"/>
      <c r="D876" s="990"/>
      <c r="E876" s="1104"/>
      <c r="F876" s="990"/>
      <c r="G876" s="990"/>
      <c r="H876" s="990"/>
      <c r="I876" s="1104"/>
      <c r="J876" s="1770"/>
      <c r="K876" s="1770"/>
      <c r="L876" s="1104"/>
      <c r="M876" s="1205"/>
      <c r="N876" s="1207"/>
      <c r="O876" s="1207"/>
      <c r="P876" s="1207"/>
      <c r="Q876" s="1771"/>
      <c r="R876" s="1458"/>
      <c r="S876" s="990"/>
    </row>
    <row r="877" s="989" customFormat="1" customHeight="1" spans="2:19">
      <c r="B877" s="990"/>
      <c r="C877" s="990"/>
      <c r="D877" s="990"/>
      <c r="E877" s="1104"/>
      <c r="F877" s="990"/>
      <c r="G877" s="990"/>
      <c r="H877" s="990"/>
      <c r="I877" s="1104"/>
      <c r="J877" s="1770"/>
      <c r="K877" s="1770"/>
      <c r="L877" s="1104"/>
      <c r="M877" s="1205"/>
      <c r="N877" s="1207"/>
      <c r="O877" s="1207"/>
      <c r="P877" s="1207"/>
      <c r="Q877" s="1771"/>
      <c r="R877" s="1458"/>
      <c r="S877" s="990"/>
    </row>
    <row r="878" s="989" customFormat="1" customHeight="1" spans="2:19">
      <c r="B878" s="990"/>
      <c r="C878" s="990"/>
      <c r="D878" s="990"/>
      <c r="E878" s="1104"/>
      <c r="F878" s="990"/>
      <c r="G878" s="990"/>
      <c r="H878" s="990"/>
      <c r="I878" s="1104"/>
      <c r="J878" s="1770"/>
      <c r="K878" s="1770"/>
      <c r="L878" s="1104"/>
      <c r="M878" s="1205"/>
      <c r="N878" s="1207"/>
      <c r="O878" s="1207"/>
      <c r="P878" s="1207"/>
      <c r="Q878" s="1771"/>
      <c r="R878" s="1458"/>
      <c r="S878" s="990"/>
    </row>
    <row r="879" s="989" customFormat="1" customHeight="1" spans="2:19">
      <c r="B879" s="990"/>
      <c r="C879" s="990"/>
      <c r="D879" s="990"/>
      <c r="E879" s="1104"/>
      <c r="F879" s="990"/>
      <c r="G879" s="990"/>
      <c r="H879" s="990"/>
      <c r="I879" s="1104"/>
      <c r="J879" s="1770"/>
      <c r="K879" s="1770"/>
      <c r="L879" s="1104"/>
      <c r="M879" s="1205"/>
      <c r="N879" s="1207"/>
      <c r="O879" s="1207"/>
      <c r="P879" s="1207"/>
      <c r="Q879" s="1771"/>
      <c r="R879" s="1458"/>
      <c r="S879" s="990"/>
    </row>
    <row r="880" s="989" customFormat="1" customHeight="1" spans="2:19">
      <c r="B880" s="990"/>
      <c r="C880" s="990"/>
      <c r="D880" s="990"/>
      <c r="E880" s="1104"/>
      <c r="F880" s="990"/>
      <c r="G880" s="990"/>
      <c r="H880" s="990"/>
      <c r="I880" s="1104"/>
      <c r="J880" s="1770"/>
      <c r="K880" s="1770"/>
      <c r="L880" s="1104"/>
      <c r="M880" s="1205"/>
      <c r="N880" s="1207"/>
      <c r="O880" s="1207"/>
      <c r="P880" s="1207"/>
      <c r="Q880" s="1771"/>
      <c r="R880" s="1458"/>
      <c r="S880" s="990"/>
    </row>
    <row r="881" s="989" customFormat="1" customHeight="1" spans="2:19">
      <c r="B881" s="990"/>
      <c r="C881" s="990"/>
      <c r="D881" s="990"/>
      <c r="E881" s="1104"/>
      <c r="F881" s="990"/>
      <c r="G881" s="990"/>
      <c r="H881" s="990"/>
      <c r="I881" s="1104"/>
      <c r="J881" s="1770"/>
      <c r="K881" s="1770"/>
      <c r="L881" s="1104"/>
      <c r="M881" s="1205"/>
      <c r="N881" s="1207"/>
      <c r="O881" s="1207"/>
      <c r="P881" s="1207"/>
      <c r="Q881" s="1771"/>
      <c r="R881" s="1458"/>
      <c r="S881" s="990"/>
    </row>
    <row r="882" s="989" customFormat="1" customHeight="1" spans="2:19">
      <c r="B882" s="990"/>
      <c r="C882" s="990"/>
      <c r="D882" s="990"/>
      <c r="E882" s="1104"/>
      <c r="F882" s="990"/>
      <c r="G882" s="990"/>
      <c r="H882" s="990"/>
      <c r="I882" s="1104"/>
      <c r="J882" s="1770"/>
      <c r="K882" s="1770"/>
      <c r="L882" s="1104"/>
      <c r="M882" s="1205"/>
      <c r="N882" s="1207"/>
      <c r="O882" s="1207"/>
      <c r="P882" s="1207"/>
      <c r="Q882" s="1771"/>
      <c r="R882" s="1458"/>
      <c r="S882" s="990"/>
    </row>
    <row r="883" s="989" customFormat="1" customHeight="1" spans="2:19">
      <c r="B883" s="990"/>
      <c r="C883" s="990"/>
      <c r="D883" s="990"/>
      <c r="E883" s="1104"/>
      <c r="F883" s="990"/>
      <c r="G883" s="990"/>
      <c r="H883" s="990"/>
      <c r="I883" s="1104"/>
      <c r="J883" s="1770"/>
      <c r="K883" s="1770"/>
      <c r="L883" s="1104"/>
      <c r="M883" s="1205"/>
      <c r="N883" s="1207"/>
      <c r="O883" s="1207"/>
      <c r="P883" s="1207"/>
      <c r="Q883" s="1771"/>
      <c r="R883" s="1458"/>
      <c r="S883" s="990"/>
    </row>
    <row r="884" s="989" customFormat="1" customHeight="1" spans="2:19">
      <c r="B884" s="990"/>
      <c r="C884" s="990"/>
      <c r="D884" s="990"/>
      <c r="E884" s="1104"/>
      <c r="F884" s="990"/>
      <c r="G884" s="990"/>
      <c r="H884" s="990"/>
      <c r="I884" s="1104"/>
      <c r="J884" s="1770"/>
      <c r="K884" s="1770"/>
      <c r="L884" s="1104"/>
      <c r="M884" s="1205"/>
      <c r="N884" s="1207"/>
      <c r="O884" s="1207"/>
      <c r="P884" s="1207"/>
      <c r="Q884" s="1771"/>
      <c r="R884" s="1458"/>
      <c r="S884" s="990"/>
    </row>
    <row r="885" s="989" customFormat="1" customHeight="1" spans="2:19">
      <c r="B885" s="990"/>
      <c r="C885" s="990"/>
      <c r="D885" s="990"/>
      <c r="E885" s="1104"/>
      <c r="F885" s="990"/>
      <c r="G885" s="990"/>
      <c r="H885" s="990"/>
      <c r="I885" s="1104"/>
      <c r="J885" s="1770"/>
      <c r="K885" s="1770"/>
      <c r="L885" s="1104"/>
      <c r="M885" s="1205"/>
      <c r="N885" s="1207"/>
      <c r="O885" s="1207"/>
      <c r="P885" s="1207"/>
      <c r="Q885" s="1771"/>
      <c r="R885" s="1458"/>
      <c r="S885" s="990"/>
    </row>
    <row r="886" s="989" customFormat="1" customHeight="1" spans="2:19">
      <c r="B886" s="990"/>
      <c r="C886" s="990"/>
      <c r="D886" s="990"/>
      <c r="E886" s="1104"/>
      <c r="F886" s="990"/>
      <c r="G886" s="990"/>
      <c r="H886" s="990"/>
      <c r="I886" s="1104"/>
      <c r="J886" s="1770"/>
      <c r="K886" s="1770"/>
      <c r="L886" s="1104"/>
      <c r="M886" s="1205"/>
      <c r="N886" s="1207"/>
      <c r="O886" s="1207"/>
      <c r="P886" s="1207"/>
      <c r="Q886" s="1771"/>
      <c r="R886" s="1458"/>
      <c r="S886" s="990"/>
    </row>
    <row r="887" s="989" customFormat="1" customHeight="1" spans="2:19">
      <c r="B887" s="990"/>
      <c r="C887" s="990"/>
      <c r="D887" s="990"/>
      <c r="E887" s="1104"/>
      <c r="F887" s="990"/>
      <c r="G887" s="990"/>
      <c r="H887" s="990"/>
      <c r="I887" s="1104"/>
      <c r="J887" s="1770"/>
      <c r="K887" s="1770"/>
      <c r="L887" s="1104"/>
      <c r="M887" s="1205"/>
      <c r="N887" s="1207"/>
      <c r="O887" s="1207"/>
      <c r="P887" s="1207"/>
      <c r="Q887" s="1771"/>
      <c r="R887" s="1458"/>
      <c r="S887" s="990"/>
    </row>
    <row r="888" s="989" customFormat="1" customHeight="1" spans="2:19">
      <c r="B888" s="990"/>
      <c r="C888" s="990"/>
      <c r="D888" s="990"/>
      <c r="E888" s="1104"/>
      <c r="F888" s="990"/>
      <c r="G888" s="990"/>
      <c r="H888" s="990"/>
      <c r="I888" s="1104"/>
      <c r="J888" s="1770"/>
      <c r="K888" s="1770"/>
      <c r="L888" s="1104"/>
      <c r="M888" s="1205"/>
      <c r="N888" s="1207"/>
      <c r="O888" s="1207"/>
      <c r="P888" s="1207"/>
      <c r="Q888" s="1771"/>
      <c r="R888" s="1458"/>
      <c r="S888" s="990"/>
    </row>
    <row r="889" s="989" customFormat="1" customHeight="1" spans="2:19">
      <c r="B889" s="990"/>
      <c r="C889" s="990"/>
      <c r="D889" s="990"/>
      <c r="E889" s="1104"/>
      <c r="F889" s="990"/>
      <c r="G889" s="990"/>
      <c r="H889" s="990"/>
      <c r="I889" s="1104"/>
      <c r="J889" s="1770"/>
      <c r="K889" s="1770"/>
      <c r="L889" s="1104"/>
      <c r="M889" s="1205"/>
      <c r="N889" s="1207"/>
      <c r="O889" s="1207"/>
      <c r="P889" s="1207"/>
      <c r="Q889" s="1771"/>
      <c r="R889" s="1458"/>
      <c r="S889" s="990"/>
    </row>
    <row r="890" s="989" customFormat="1" customHeight="1" spans="2:19">
      <c r="B890" s="990"/>
      <c r="C890" s="990"/>
      <c r="D890" s="990"/>
      <c r="E890" s="1104"/>
      <c r="F890" s="990"/>
      <c r="G890" s="990"/>
      <c r="H890" s="990"/>
      <c r="I890" s="1104"/>
      <c r="J890" s="1770"/>
      <c r="K890" s="1770"/>
      <c r="L890" s="1104"/>
      <c r="M890" s="1205"/>
      <c r="N890" s="1207"/>
      <c r="O890" s="1207"/>
      <c r="P890" s="1207"/>
      <c r="Q890" s="1771"/>
      <c r="R890" s="1458"/>
      <c r="S890" s="990"/>
    </row>
    <row r="891" s="989" customFormat="1" customHeight="1" spans="2:19">
      <c r="B891" s="990"/>
      <c r="C891" s="990"/>
      <c r="D891" s="990"/>
      <c r="E891" s="1104"/>
      <c r="F891" s="990"/>
      <c r="G891" s="990"/>
      <c r="H891" s="990"/>
      <c r="I891" s="1104"/>
      <c r="J891" s="1770"/>
      <c r="K891" s="1770"/>
      <c r="L891" s="1104"/>
      <c r="M891" s="1205"/>
      <c r="N891" s="1207"/>
      <c r="O891" s="1207"/>
      <c r="P891" s="1207"/>
      <c r="Q891" s="1771"/>
      <c r="R891" s="1458"/>
      <c r="S891" s="990"/>
    </row>
    <row r="892" s="989" customFormat="1" customHeight="1" spans="2:19">
      <c r="B892" s="990"/>
      <c r="C892" s="990"/>
      <c r="D892" s="990"/>
      <c r="E892" s="1104"/>
      <c r="F892" s="990"/>
      <c r="G892" s="990"/>
      <c r="H892" s="990"/>
      <c r="I892" s="1104"/>
      <c r="J892" s="1770"/>
      <c r="K892" s="1770"/>
      <c r="L892" s="1104"/>
      <c r="M892" s="1205"/>
      <c r="N892" s="1207"/>
      <c r="O892" s="1207"/>
      <c r="P892" s="1207"/>
      <c r="Q892" s="1771"/>
      <c r="R892" s="1458"/>
      <c r="S892" s="990"/>
    </row>
    <row r="893" s="989" customFormat="1" customHeight="1" spans="2:19">
      <c r="B893" s="990"/>
      <c r="C893" s="990"/>
      <c r="D893" s="990"/>
      <c r="E893" s="1104"/>
      <c r="F893" s="990"/>
      <c r="G893" s="990"/>
      <c r="H893" s="990"/>
      <c r="I893" s="1104"/>
      <c r="J893" s="1770"/>
      <c r="K893" s="1770"/>
      <c r="L893" s="1104"/>
      <c r="M893" s="1205"/>
      <c r="N893" s="1207"/>
      <c r="O893" s="1207"/>
      <c r="P893" s="1207"/>
      <c r="Q893" s="1771"/>
      <c r="R893" s="1458"/>
      <c r="S893" s="990"/>
    </row>
    <row r="894" s="989" customFormat="1" customHeight="1" spans="2:19">
      <c r="B894" s="990"/>
      <c r="C894" s="990"/>
      <c r="D894" s="990"/>
      <c r="E894" s="1104"/>
      <c r="F894" s="990"/>
      <c r="G894" s="990"/>
      <c r="H894" s="990"/>
      <c r="I894" s="1104"/>
      <c r="J894" s="1770"/>
      <c r="K894" s="1770"/>
      <c r="L894" s="1104"/>
      <c r="M894" s="1205"/>
      <c r="N894" s="1207"/>
      <c r="O894" s="1207"/>
      <c r="P894" s="1207"/>
      <c r="Q894" s="1771"/>
      <c r="R894" s="1458"/>
      <c r="S894" s="990"/>
    </row>
    <row r="895" s="989" customFormat="1" customHeight="1" spans="2:19">
      <c r="B895" s="990"/>
      <c r="C895" s="990"/>
      <c r="D895" s="990"/>
      <c r="E895" s="1104"/>
      <c r="F895" s="990"/>
      <c r="G895" s="990"/>
      <c r="H895" s="990"/>
      <c r="I895" s="1104"/>
      <c r="J895" s="1770"/>
      <c r="K895" s="1770"/>
      <c r="L895" s="1104"/>
      <c r="M895" s="1205"/>
      <c r="N895" s="1207"/>
      <c r="O895" s="1207"/>
      <c r="P895" s="1207"/>
      <c r="Q895" s="1771"/>
      <c r="R895" s="1458"/>
      <c r="S895" s="990"/>
    </row>
    <row r="896" s="989" customFormat="1" customHeight="1" spans="2:19">
      <c r="B896" s="990"/>
      <c r="C896" s="990"/>
      <c r="D896" s="990"/>
      <c r="E896" s="1104"/>
      <c r="F896" s="990"/>
      <c r="G896" s="990"/>
      <c r="H896" s="990"/>
      <c r="I896" s="1104"/>
      <c r="J896" s="1770"/>
      <c r="K896" s="1770"/>
      <c r="L896" s="1104"/>
      <c r="M896" s="1205"/>
      <c r="N896" s="1207"/>
      <c r="O896" s="1207"/>
      <c r="P896" s="1207"/>
      <c r="Q896" s="1771"/>
      <c r="R896" s="1458"/>
      <c r="S896" s="990"/>
    </row>
    <row r="897" s="989" customFormat="1" customHeight="1" spans="2:19">
      <c r="B897" s="990"/>
      <c r="C897" s="990"/>
      <c r="D897" s="990"/>
      <c r="E897" s="1104"/>
      <c r="F897" s="990"/>
      <c r="G897" s="990"/>
      <c r="H897" s="990"/>
      <c r="I897" s="1104"/>
      <c r="J897" s="1770"/>
      <c r="K897" s="1770"/>
      <c r="L897" s="1104"/>
      <c r="M897" s="1205"/>
      <c r="N897" s="1207"/>
      <c r="O897" s="1207"/>
      <c r="P897" s="1207"/>
      <c r="Q897" s="1771"/>
      <c r="R897" s="1458"/>
      <c r="S897" s="990"/>
    </row>
    <row r="898" s="989" customFormat="1" customHeight="1" spans="2:19">
      <c r="B898" s="990"/>
      <c r="C898" s="990"/>
      <c r="D898" s="990"/>
      <c r="E898" s="1104"/>
      <c r="F898" s="990"/>
      <c r="G898" s="990"/>
      <c r="H898" s="990"/>
      <c r="I898" s="1104"/>
      <c r="J898" s="1770"/>
      <c r="K898" s="1770"/>
      <c r="L898" s="1104"/>
      <c r="M898" s="1205"/>
      <c r="N898" s="1207"/>
      <c r="O898" s="1207"/>
      <c r="P898" s="1207"/>
      <c r="Q898" s="1771"/>
      <c r="R898" s="1458"/>
      <c r="S898" s="990"/>
    </row>
    <row r="899" s="989" customFormat="1" customHeight="1" spans="2:19">
      <c r="B899" s="990"/>
      <c r="C899" s="990"/>
      <c r="D899" s="990"/>
      <c r="E899" s="1104"/>
      <c r="F899" s="990"/>
      <c r="G899" s="990"/>
      <c r="H899" s="990"/>
      <c r="I899" s="1104"/>
      <c r="J899" s="1770"/>
      <c r="K899" s="1770"/>
      <c r="L899" s="1104"/>
      <c r="M899" s="1205"/>
      <c r="N899" s="1207"/>
      <c r="O899" s="1207"/>
      <c r="P899" s="1207"/>
      <c r="Q899" s="1771"/>
      <c r="R899" s="1458"/>
      <c r="S899" s="990"/>
    </row>
    <row r="900" s="989" customFormat="1" customHeight="1" spans="2:19">
      <c r="B900" s="990"/>
      <c r="C900" s="990"/>
      <c r="D900" s="990"/>
      <c r="E900" s="1104"/>
      <c r="F900" s="990"/>
      <c r="G900" s="990"/>
      <c r="H900" s="990"/>
      <c r="I900" s="1104"/>
      <c r="J900" s="1770"/>
      <c r="K900" s="1770"/>
      <c r="L900" s="1104"/>
      <c r="M900" s="1205"/>
      <c r="N900" s="1207"/>
      <c r="O900" s="1207"/>
      <c r="P900" s="1207"/>
      <c r="Q900" s="1771"/>
      <c r="R900" s="1458"/>
      <c r="S900" s="990"/>
    </row>
    <row r="901" s="989" customFormat="1" customHeight="1" spans="2:19">
      <c r="B901" s="990"/>
      <c r="C901" s="990"/>
      <c r="D901" s="990"/>
      <c r="E901" s="1104"/>
      <c r="F901" s="990"/>
      <c r="G901" s="990"/>
      <c r="H901" s="990"/>
      <c r="I901" s="1104"/>
      <c r="J901" s="1770"/>
      <c r="K901" s="1770"/>
      <c r="L901" s="1104"/>
      <c r="M901" s="1205"/>
      <c r="N901" s="1207"/>
      <c r="O901" s="1207"/>
      <c r="P901" s="1207"/>
      <c r="Q901" s="1771"/>
      <c r="R901" s="1458"/>
      <c r="S901" s="990"/>
    </row>
    <row r="902" s="989" customFormat="1" customHeight="1" spans="2:19">
      <c r="B902" s="990"/>
      <c r="C902" s="990"/>
      <c r="D902" s="990"/>
      <c r="E902" s="1104"/>
      <c r="F902" s="990"/>
      <c r="G902" s="990"/>
      <c r="H902" s="990"/>
      <c r="I902" s="1104"/>
      <c r="J902" s="1770"/>
      <c r="K902" s="1770"/>
      <c r="L902" s="1104"/>
      <c r="M902" s="1205"/>
      <c r="N902" s="1207"/>
      <c r="O902" s="1207"/>
      <c r="P902" s="1207"/>
      <c r="Q902" s="1771"/>
      <c r="R902" s="1458"/>
      <c r="S902" s="990"/>
    </row>
    <row r="903" s="989" customFormat="1" customHeight="1" spans="2:19">
      <c r="B903" s="990"/>
      <c r="C903" s="990"/>
      <c r="D903" s="990"/>
      <c r="E903" s="1104"/>
      <c r="F903" s="990"/>
      <c r="G903" s="990"/>
      <c r="H903" s="990"/>
      <c r="I903" s="1104"/>
      <c r="J903" s="1770"/>
      <c r="K903" s="1770"/>
      <c r="L903" s="1104"/>
      <c r="M903" s="1205"/>
      <c r="N903" s="1207"/>
      <c r="O903" s="1207"/>
      <c r="P903" s="1207"/>
      <c r="Q903" s="1771"/>
      <c r="R903" s="1458"/>
      <c r="S903" s="990"/>
    </row>
    <row r="904" s="989" customFormat="1" customHeight="1" spans="2:19">
      <c r="B904" s="990"/>
      <c r="C904" s="990"/>
      <c r="D904" s="990"/>
      <c r="E904" s="1104"/>
      <c r="F904" s="990"/>
      <c r="G904" s="990"/>
      <c r="H904" s="990"/>
      <c r="I904" s="1104"/>
      <c r="J904" s="1770"/>
      <c r="K904" s="1770"/>
      <c r="L904" s="1104"/>
      <c r="M904" s="1205"/>
      <c r="N904" s="1207"/>
      <c r="O904" s="1207"/>
      <c r="P904" s="1207"/>
      <c r="Q904" s="1771"/>
      <c r="R904" s="1458"/>
      <c r="S904" s="990"/>
    </row>
    <row r="905" s="989" customFormat="1" customHeight="1" spans="2:19">
      <c r="B905" s="990"/>
      <c r="C905" s="990"/>
      <c r="D905" s="990"/>
      <c r="E905" s="1104"/>
      <c r="F905" s="990"/>
      <c r="G905" s="990"/>
      <c r="H905" s="990"/>
      <c r="I905" s="1104"/>
      <c r="J905" s="1770"/>
      <c r="K905" s="1770"/>
      <c r="L905" s="1104"/>
      <c r="M905" s="1205"/>
      <c r="N905" s="1207"/>
      <c r="O905" s="1207"/>
      <c r="P905" s="1207"/>
      <c r="Q905" s="1771"/>
      <c r="R905" s="1458"/>
      <c r="S905" s="990"/>
    </row>
    <row r="906" s="989" customFormat="1" customHeight="1" spans="2:19">
      <c r="B906" s="990"/>
      <c r="C906" s="990"/>
      <c r="D906" s="990"/>
      <c r="E906" s="1104"/>
      <c r="F906" s="990"/>
      <c r="G906" s="990"/>
      <c r="H906" s="990"/>
      <c r="I906" s="1104"/>
      <c r="J906" s="1770"/>
      <c r="K906" s="1770"/>
      <c r="L906" s="1104"/>
      <c r="M906" s="1205"/>
      <c r="N906" s="1207"/>
      <c r="O906" s="1207"/>
      <c r="P906" s="1207"/>
      <c r="Q906" s="1771"/>
      <c r="R906" s="1458"/>
      <c r="S906" s="990"/>
    </row>
    <row r="907" s="989" customFormat="1" customHeight="1" spans="2:19">
      <c r="B907" s="990"/>
      <c r="C907" s="990"/>
      <c r="D907" s="990"/>
      <c r="E907" s="1104"/>
      <c r="F907" s="990"/>
      <c r="G907" s="990"/>
      <c r="H907" s="990"/>
      <c r="I907" s="1104"/>
      <c r="J907" s="1770"/>
      <c r="K907" s="1770"/>
      <c r="L907" s="1104"/>
      <c r="M907" s="1205"/>
      <c r="N907" s="1207"/>
      <c r="O907" s="1207"/>
      <c r="P907" s="1207"/>
      <c r="Q907" s="1771"/>
      <c r="R907" s="1458"/>
      <c r="S907" s="990"/>
    </row>
    <row r="908" s="989" customFormat="1" customHeight="1" spans="2:19">
      <c r="B908" s="990"/>
      <c r="C908" s="990"/>
      <c r="D908" s="990"/>
      <c r="E908" s="1104"/>
      <c r="F908" s="990"/>
      <c r="G908" s="990"/>
      <c r="H908" s="990"/>
      <c r="I908" s="1104"/>
      <c r="J908" s="1770"/>
      <c r="K908" s="1770"/>
      <c r="L908" s="1104"/>
      <c r="M908" s="1205"/>
      <c r="N908" s="1207"/>
      <c r="O908" s="1207"/>
      <c r="P908" s="1207"/>
      <c r="Q908" s="1771"/>
      <c r="R908" s="1458"/>
      <c r="S908" s="990"/>
    </row>
    <row r="909" s="989" customFormat="1" customHeight="1" spans="2:19">
      <c r="B909" s="990"/>
      <c r="C909" s="990"/>
      <c r="D909" s="990"/>
      <c r="E909" s="1104"/>
      <c r="F909" s="990"/>
      <c r="G909" s="990"/>
      <c r="H909" s="990"/>
      <c r="I909" s="1104"/>
      <c r="J909" s="1770"/>
      <c r="K909" s="1770"/>
      <c r="L909" s="1104"/>
      <c r="M909" s="1205"/>
      <c r="N909" s="1207"/>
      <c r="O909" s="1207"/>
      <c r="P909" s="1207"/>
      <c r="Q909" s="1771"/>
      <c r="R909" s="1458"/>
      <c r="S909" s="990"/>
    </row>
    <row r="910" s="989" customFormat="1" customHeight="1" spans="2:19">
      <c r="B910" s="990"/>
      <c r="C910" s="990"/>
      <c r="D910" s="990"/>
      <c r="E910" s="1104"/>
      <c r="F910" s="990"/>
      <c r="G910" s="990"/>
      <c r="H910" s="990"/>
      <c r="I910" s="1104"/>
      <c r="J910" s="1770"/>
      <c r="K910" s="1770"/>
      <c r="L910" s="1104"/>
      <c r="M910" s="1205"/>
      <c r="N910" s="1207"/>
      <c r="O910" s="1207"/>
      <c r="P910" s="1207"/>
      <c r="Q910" s="1771"/>
      <c r="R910" s="1458"/>
      <c r="S910" s="990"/>
    </row>
    <row r="911" s="989" customFormat="1" customHeight="1" spans="2:19">
      <c r="B911" s="990"/>
      <c r="C911" s="990"/>
      <c r="D911" s="990"/>
      <c r="E911" s="1104"/>
      <c r="F911" s="990"/>
      <c r="G911" s="990"/>
      <c r="H911" s="990"/>
      <c r="I911" s="1104"/>
      <c r="J911" s="1770"/>
      <c r="K911" s="1770"/>
      <c r="L911" s="1104"/>
      <c r="M911" s="1205"/>
      <c r="N911" s="1207"/>
      <c r="O911" s="1207"/>
      <c r="P911" s="1207"/>
      <c r="Q911" s="1771"/>
      <c r="R911" s="1458"/>
      <c r="S911" s="990"/>
    </row>
    <row r="912" s="989" customFormat="1" customHeight="1" spans="2:19">
      <c r="B912" s="990"/>
      <c r="C912" s="990"/>
      <c r="D912" s="990"/>
      <c r="E912" s="1104"/>
      <c r="F912" s="990"/>
      <c r="G912" s="990"/>
      <c r="H912" s="990"/>
      <c r="I912" s="1104"/>
      <c r="J912" s="1770"/>
      <c r="K912" s="1770"/>
      <c r="L912" s="1104"/>
      <c r="M912" s="1205"/>
      <c r="N912" s="1207"/>
      <c r="O912" s="1207"/>
      <c r="P912" s="1207"/>
      <c r="Q912" s="1771"/>
      <c r="R912" s="1458"/>
      <c r="S912" s="990"/>
    </row>
    <row r="913" s="989" customFormat="1" customHeight="1" spans="2:19">
      <c r="B913" s="990"/>
      <c r="C913" s="990"/>
      <c r="D913" s="990"/>
      <c r="E913" s="1104"/>
      <c r="F913" s="990"/>
      <c r="G913" s="990"/>
      <c r="H913" s="990"/>
      <c r="I913" s="1104"/>
      <c r="J913" s="1770"/>
      <c r="K913" s="1770"/>
      <c r="L913" s="1104"/>
      <c r="M913" s="1205"/>
      <c r="N913" s="1207"/>
      <c r="O913" s="1207"/>
      <c r="P913" s="1207"/>
      <c r="Q913" s="1771"/>
      <c r="R913" s="1458"/>
      <c r="S913" s="990"/>
    </row>
    <row r="914" s="989" customFormat="1" customHeight="1" spans="2:19">
      <c r="B914" s="990"/>
      <c r="C914" s="990"/>
      <c r="D914" s="990"/>
      <c r="E914" s="1104"/>
      <c r="F914" s="990"/>
      <c r="G914" s="990"/>
      <c r="H914" s="990"/>
      <c r="I914" s="1104"/>
      <c r="J914" s="1770"/>
      <c r="K914" s="1770"/>
      <c r="L914" s="1104"/>
      <c r="M914" s="1205"/>
      <c r="N914" s="1207"/>
      <c r="O914" s="1207"/>
      <c r="P914" s="1207"/>
      <c r="Q914" s="1771"/>
      <c r="R914" s="1458"/>
      <c r="S914" s="990"/>
    </row>
    <row r="915" s="989" customFormat="1" customHeight="1" spans="2:19">
      <c r="B915" s="990"/>
      <c r="C915" s="990"/>
      <c r="D915" s="990"/>
      <c r="E915" s="1104"/>
      <c r="F915" s="990"/>
      <c r="G915" s="990"/>
      <c r="H915" s="990"/>
      <c r="I915" s="1104"/>
      <c r="J915" s="1770"/>
      <c r="K915" s="1770"/>
      <c r="L915" s="1104"/>
      <c r="M915" s="1205"/>
      <c r="N915" s="1207"/>
      <c r="O915" s="1207"/>
      <c r="P915" s="1207"/>
      <c r="Q915" s="1771"/>
      <c r="R915" s="1458"/>
      <c r="S915" s="990"/>
    </row>
    <row r="916" s="989" customFormat="1" customHeight="1" spans="2:19">
      <c r="B916" s="990"/>
      <c r="C916" s="990"/>
      <c r="D916" s="990"/>
      <c r="E916" s="1104"/>
      <c r="F916" s="990"/>
      <c r="G916" s="990"/>
      <c r="H916" s="990"/>
      <c r="I916" s="1104"/>
      <c r="J916" s="1770"/>
      <c r="K916" s="1770"/>
      <c r="L916" s="1104"/>
      <c r="M916" s="1205"/>
      <c r="N916" s="1207"/>
      <c r="O916" s="1207"/>
      <c r="P916" s="1207"/>
      <c r="Q916" s="1771"/>
      <c r="R916" s="1458"/>
      <c r="S916" s="990"/>
    </row>
    <row r="917" s="989" customFormat="1" customHeight="1" spans="2:19">
      <c r="B917" s="990"/>
      <c r="C917" s="990"/>
      <c r="D917" s="990"/>
      <c r="E917" s="1104"/>
      <c r="F917" s="990"/>
      <c r="G917" s="990"/>
      <c r="H917" s="990"/>
      <c r="I917" s="1104"/>
      <c r="J917" s="1770"/>
      <c r="K917" s="1770"/>
      <c r="L917" s="1104"/>
      <c r="M917" s="1205"/>
      <c r="N917" s="1207"/>
      <c r="O917" s="1207"/>
      <c r="P917" s="1207"/>
      <c r="Q917" s="1771"/>
      <c r="R917" s="1458"/>
      <c r="S917" s="990"/>
    </row>
    <row r="918" s="989" customFormat="1" customHeight="1" spans="2:19">
      <c r="B918" s="990"/>
      <c r="C918" s="990"/>
      <c r="D918" s="990"/>
      <c r="E918" s="1104"/>
      <c r="F918" s="990"/>
      <c r="G918" s="990"/>
      <c r="H918" s="990"/>
      <c r="I918" s="1104"/>
      <c r="J918" s="1770"/>
      <c r="K918" s="1770"/>
      <c r="L918" s="1104"/>
      <c r="M918" s="1205"/>
      <c r="N918" s="1207"/>
      <c r="O918" s="1207"/>
      <c r="P918" s="1207"/>
      <c r="Q918" s="1771"/>
      <c r="R918" s="1458"/>
      <c r="S918" s="990"/>
    </row>
    <row r="919" s="989" customFormat="1" customHeight="1" spans="2:19">
      <c r="B919" s="990"/>
      <c r="C919" s="990"/>
      <c r="D919" s="990"/>
      <c r="E919" s="1104"/>
      <c r="F919" s="990"/>
      <c r="G919" s="990"/>
      <c r="H919" s="990"/>
      <c r="I919" s="1104"/>
      <c r="J919" s="1770"/>
      <c r="K919" s="1770"/>
      <c r="L919" s="1104"/>
      <c r="M919" s="1205"/>
      <c r="N919" s="1207"/>
      <c r="O919" s="1207"/>
      <c r="P919" s="1207"/>
      <c r="Q919" s="1771"/>
      <c r="R919" s="1458"/>
      <c r="S919" s="990"/>
    </row>
    <row r="920" s="989" customFormat="1" customHeight="1" spans="2:19">
      <c r="B920" s="990"/>
      <c r="C920" s="990"/>
      <c r="D920" s="990"/>
      <c r="E920" s="1104"/>
      <c r="F920" s="990"/>
      <c r="G920" s="990"/>
      <c r="H920" s="990"/>
      <c r="I920" s="1104"/>
      <c r="J920" s="1770"/>
      <c r="K920" s="1770"/>
      <c r="L920" s="1104"/>
      <c r="M920" s="1205"/>
      <c r="N920" s="1207"/>
      <c r="O920" s="1207"/>
      <c r="P920" s="1207"/>
      <c r="Q920" s="1771"/>
      <c r="R920" s="1458"/>
      <c r="S920" s="990"/>
    </row>
    <row r="921" s="989" customFormat="1" customHeight="1" spans="2:19">
      <c r="B921" s="990"/>
      <c r="C921" s="990"/>
      <c r="D921" s="990"/>
      <c r="E921" s="1104"/>
      <c r="F921" s="990"/>
      <c r="G921" s="990"/>
      <c r="H921" s="990"/>
      <c r="I921" s="1104"/>
      <c r="J921" s="1770"/>
      <c r="K921" s="1770"/>
      <c r="L921" s="1104"/>
      <c r="M921" s="1205"/>
      <c r="N921" s="1207"/>
      <c r="O921" s="1207"/>
      <c r="P921" s="1207"/>
      <c r="Q921" s="1771"/>
      <c r="R921" s="1458"/>
      <c r="S921" s="990"/>
    </row>
    <row r="922" s="989" customFormat="1" customHeight="1" spans="2:19">
      <c r="B922" s="990"/>
      <c r="C922" s="990"/>
      <c r="D922" s="990"/>
      <c r="E922" s="1104"/>
      <c r="F922" s="990"/>
      <c r="G922" s="990"/>
      <c r="H922" s="990"/>
      <c r="I922" s="1104"/>
      <c r="J922" s="1770"/>
      <c r="K922" s="1770"/>
      <c r="L922" s="1104"/>
      <c r="M922" s="1205"/>
      <c r="N922" s="1207"/>
      <c r="O922" s="1207"/>
      <c r="P922" s="1207"/>
      <c r="Q922" s="1771"/>
      <c r="R922" s="1458"/>
      <c r="S922" s="990"/>
    </row>
    <row r="923" s="989" customFormat="1" customHeight="1" spans="2:19">
      <c r="B923" s="990"/>
      <c r="C923" s="990"/>
      <c r="D923" s="990"/>
      <c r="E923" s="1104"/>
      <c r="F923" s="990"/>
      <c r="G923" s="990"/>
      <c r="H923" s="990"/>
      <c r="I923" s="1104"/>
      <c r="J923" s="1770"/>
      <c r="K923" s="1770"/>
      <c r="L923" s="1104"/>
      <c r="M923" s="1205"/>
      <c r="N923" s="1207"/>
      <c r="O923" s="1207"/>
      <c r="P923" s="1207"/>
      <c r="Q923" s="1771"/>
      <c r="R923" s="1458"/>
      <c r="S923" s="990"/>
    </row>
    <row r="924" s="989" customFormat="1" customHeight="1" spans="2:19">
      <c r="B924" s="990"/>
      <c r="C924" s="990"/>
      <c r="D924" s="990"/>
      <c r="E924" s="1104"/>
      <c r="F924" s="990"/>
      <c r="G924" s="990"/>
      <c r="H924" s="990"/>
      <c r="I924" s="1104"/>
      <c r="J924" s="1770"/>
      <c r="K924" s="1770"/>
      <c r="L924" s="1104"/>
      <c r="M924" s="1205"/>
      <c r="N924" s="1207"/>
      <c r="O924" s="1207"/>
      <c r="P924" s="1207"/>
      <c r="Q924" s="1771"/>
      <c r="R924" s="1458"/>
      <c r="S924" s="990"/>
    </row>
    <row r="925" s="989" customFormat="1" customHeight="1" spans="2:19">
      <c r="B925" s="990"/>
      <c r="C925" s="990"/>
      <c r="D925" s="990"/>
      <c r="E925" s="1104"/>
      <c r="F925" s="990"/>
      <c r="G925" s="990"/>
      <c r="H925" s="990"/>
      <c r="I925" s="1104"/>
      <c r="J925" s="1770"/>
      <c r="K925" s="1770"/>
      <c r="L925" s="1104"/>
      <c r="M925" s="1205"/>
      <c r="N925" s="1207"/>
      <c r="O925" s="1207"/>
      <c r="P925" s="1207"/>
      <c r="Q925" s="1771"/>
      <c r="R925" s="1458"/>
      <c r="S925" s="990"/>
    </row>
    <row r="926" s="989" customFormat="1" customHeight="1" spans="2:19">
      <c r="B926" s="990"/>
      <c r="C926" s="990"/>
      <c r="D926" s="990"/>
      <c r="E926" s="1104"/>
      <c r="F926" s="990"/>
      <c r="G926" s="990"/>
      <c r="H926" s="990"/>
      <c r="I926" s="1104"/>
      <c r="J926" s="1770"/>
      <c r="K926" s="1770"/>
      <c r="L926" s="1104"/>
      <c r="M926" s="1205"/>
      <c r="N926" s="1207"/>
      <c r="O926" s="1207"/>
      <c r="P926" s="1207"/>
      <c r="Q926" s="1771"/>
      <c r="R926" s="1458"/>
      <c r="S926" s="990"/>
    </row>
    <row r="927" s="989" customFormat="1" customHeight="1" spans="2:19">
      <c r="B927" s="990"/>
      <c r="C927" s="990"/>
      <c r="D927" s="990"/>
      <c r="E927" s="1104"/>
      <c r="F927" s="990"/>
      <c r="G927" s="990"/>
      <c r="H927" s="990"/>
      <c r="I927" s="1104"/>
      <c r="J927" s="1770"/>
      <c r="K927" s="1770"/>
      <c r="L927" s="1104"/>
      <c r="M927" s="1205"/>
      <c r="N927" s="1207"/>
      <c r="O927" s="1207"/>
      <c r="P927" s="1207"/>
      <c r="Q927" s="1771"/>
      <c r="R927" s="1458"/>
      <c r="S927" s="990"/>
    </row>
    <row r="928" s="989" customFormat="1" customHeight="1" spans="2:19">
      <c r="B928" s="990"/>
      <c r="C928" s="990"/>
      <c r="D928" s="990"/>
      <c r="E928" s="1104"/>
      <c r="F928" s="990"/>
      <c r="G928" s="990"/>
      <c r="H928" s="990"/>
      <c r="I928" s="1104"/>
      <c r="J928" s="1770"/>
      <c r="K928" s="1770"/>
      <c r="L928" s="1104"/>
      <c r="M928" s="1205"/>
      <c r="N928" s="1207"/>
      <c r="O928" s="1207"/>
      <c r="P928" s="1207"/>
      <c r="Q928" s="1771"/>
      <c r="R928" s="1458"/>
      <c r="S928" s="990"/>
    </row>
    <row r="929" s="989" customFormat="1" customHeight="1" spans="2:19">
      <c r="B929" s="990"/>
      <c r="C929" s="990"/>
      <c r="D929" s="990"/>
      <c r="E929" s="1104"/>
      <c r="F929" s="990"/>
      <c r="G929" s="990"/>
      <c r="H929" s="990"/>
      <c r="I929" s="1104"/>
      <c r="J929" s="1770"/>
      <c r="K929" s="1770"/>
      <c r="L929" s="1104"/>
      <c r="M929" s="1205"/>
      <c r="N929" s="1207"/>
      <c r="O929" s="1207"/>
      <c r="P929" s="1207"/>
      <c r="Q929" s="1771"/>
      <c r="R929" s="1458"/>
      <c r="S929" s="990"/>
    </row>
    <row r="930" s="989" customFormat="1" customHeight="1" spans="2:19">
      <c r="B930" s="990"/>
      <c r="C930" s="990"/>
      <c r="D930" s="990"/>
      <c r="E930" s="1104"/>
      <c r="F930" s="990"/>
      <c r="G930" s="990"/>
      <c r="H930" s="990"/>
      <c r="I930" s="1104"/>
      <c r="J930" s="1770"/>
      <c r="K930" s="1770"/>
      <c r="L930" s="1104"/>
      <c r="M930" s="1205"/>
      <c r="N930" s="1207"/>
      <c r="O930" s="1207"/>
      <c r="P930" s="1207"/>
      <c r="Q930" s="1771"/>
      <c r="R930" s="1458"/>
      <c r="S930" s="990"/>
    </row>
    <row r="931" s="989" customFormat="1" customHeight="1" spans="2:19">
      <c r="B931" s="990"/>
      <c r="C931" s="990"/>
      <c r="D931" s="990"/>
      <c r="E931" s="1104"/>
      <c r="F931" s="990"/>
      <c r="G931" s="990"/>
      <c r="H931" s="990"/>
      <c r="I931" s="1104"/>
      <c r="J931" s="1770"/>
      <c r="K931" s="1770"/>
      <c r="L931" s="1104"/>
      <c r="M931" s="1205"/>
      <c r="N931" s="1207"/>
      <c r="O931" s="1207"/>
      <c r="P931" s="1207"/>
      <c r="Q931" s="1771"/>
      <c r="R931" s="1458"/>
      <c r="S931" s="990"/>
    </row>
    <row r="932" s="989" customFormat="1" customHeight="1" spans="2:19">
      <c r="B932" s="990"/>
      <c r="C932" s="990"/>
      <c r="D932" s="990"/>
      <c r="E932" s="1104"/>
      <c r="F932" s="990"/>
      <c r="G932" s="990"/>
      <c r="H932" s="990"/>
      <c r="I932" s="1104"/>
      <c r="J932" s="1770"/>
      <c r="K932" s="1770"/>
      <c r="L932" s="1104"/>
      <c r="M932" s="1205"/>
      <c r="N932" s="1207"/>
      <c r="O932" s="1207"/>
      <c r="P932" s="1207"/>
      <c r="Q932" s="1771"/>
      <c r="R932" s="1458"/>
      <c r="S932" s="990"/>
    </row>
    <row r="933" s="989" customFormat="1" customHeight="1" spans="2:19">
      <c r="B933" s="990"/>
      <c r="C933" s="990"/>
      <c r="D933" s="990"/>
      <c r="E933" s="1104"/>
      <c r="F933" s="990"/>
      <c r="G933" s="990"/>
      <c r="H933" s="990"/>
      <c r="I933" s="1104"/>
      <c r="J933" s="1770"/>
      <c r="K933" s="1770"/>
      <c r="L933" s="1104"/>
      <c r="M933" s="1205"/>
      <c r="N933" s="1207"/>
      <c r="O933" s="1207"/>
      <c r="P933" s="1207"/>
      <c r="Q933" s="1771"/>
      <c r="R933" s="1458"/>
      <c r="S933" s="990"/>
    </row>
    <row r="934" s="989" customFormat="1" customHeight="1" spans="2:19">
      <c r="B934" s="990"/>
      <c r="C934" s="990"/>
      <c r="D934" s="990"/>
      <c r="E934" s="1104"/>
      <c r="F934" s="990"/>
      <c r="G934" s="990"/>
      <c r="H934" s="990"/>
      <c r="I934" s="1104"/>
      <c r="J934" s="1770"/>
      <c r="K934" s="1770"/>
      <c r="L934" s="1104"/>
      <c r="M934" s="1205"/>
      <c r="N934" s="1207"/>
      <c r="O934" s="1207"/>
      <c r="P934" s="1207"/>
      <c r="Q934" s="1771"/>
      <c r="R934" s="1458"/>
      <c r="S934" s="990"/>
    </row>
    <row r="935" s="989" customFormat="1" customHeight="1" spans="2:19">
      <c r="B935" s="990"/>
      <c r="C935" s="990"/>
      <c r="D935" s="990"/>
      <c r="E935" s="1104"/>
      <c r="F935" s="990"/>
      <c r="G935" s="990"/>
      <c r="H935" s="990"/>
      <c r="I935" s="1104"/>
      <c r="J935" s="1770"/>
      <c r="K935" s="1770"/>
      <c r="L935" s="1104"/>
      <c r="M935" s="1205"/>
      <c r="N935" s="1207"/>
      <c r="O935" s="1207"/>
      <c r="P935" s="1207"/>
      <c r="Q935" s="1771"/>
      <c r="R935" s="1458"/>
      <c r="S935" s="990"/>
    </row>
    <row r="936" s="989" customFormat="1" customHeight="1" spans="2:19">
      <c r="B936" s="990"/>
      <c r="C936" s="990"/>
      <c r="D936" s="990"/>
      <c r="E936" s="1104"/>
      <c r="F936" s="990"/>
      <c r="G936" s="990"/>
      <c r="H936" s="990"/>
      <c r="I936" s="1104"/>
      <c r="J936" s="1770"/>
      <c r="K936" s="1770"/>
      <c r="L936" s="1104"/>
      <c r="M936" s="1205"/>
      <c r="N936" s="1207"/>
      <c r="O936" s="1207"/>
      <c r="P936" s="1207"/>
      <c r="Q936" s="1771"/>
      <c r="R936" s="1458"/>
      <c r="S936" s="990"/>
    </row>
    <row r="937" s="989" customFormat="1" customHeight="1" spans="2:19">
      <c r="B937" s="990"/>
      <c r="C937" s="990"/>
      <c r="D937" s="990"/>
      <c r="E937" s="1104"/>
      <c r="F937" s="990"/>
      <c r="G937" s="990"/>
      <c r="H937" s="990"/>
      <c r="I937" s="1104"/>
      <c r="J937" s="1770"/>
      <c r="K937" s="1770"/>
      <c r="L937" s="1104"/>
      <c r="M937" s="1205"/>
      <c r="N937" s="1207"/>
      <c r="O937" s="1207"/>
      <c r="P937" s="1207"/>
      <c r="Q937" s="1771"/>
      <c r="R937" s="1458"/>
      <c r="S937" s="990"/>
    </row>
    <row r="938" s="989" customFormat="1" customHeight="1" spans="2:19">
      <c r="B938" s="990"/>
      <c r="C938" s="990"/>
      <c r="D938" s="990"/>
      <c r="E938" s="1104"/>
      <c r="F938" s="990"/>
      <c r="G938" s="990"/>
      <c r="H938" s="990"/>
      <c r="I938" s="1104"/>
      <c r="J938" s="1770"/>
      <c r="K938" s="1770"/>
      <c r="L938" s="1104"/>
      <c r="M938" s="1205"/>
      <c r="N938" s="1207"/>
      <c r="O938" s="1207"/>
      <c r="P938" s="1207"/>
      <c r="Q938" s="1771"/>
      <c r="R938" s="1458"/>
      <c r="S938" s="990"/>
    </row>
    <row r="939" s="989" customFormat="1" customHeight="1" spans="2:19">
      <c r="B939" s="990"/>
      <c r="C939" s="990"/>
      <c r="D939" s="990"/>
      <c r="E939" s="1104"/>
      <c r="F939" s="990"/>
      <c r="G939" s="990"/>
      <c r="H939" s="990"/>
      <c r="I939" s="1104"/>
      <c r="J939" s="1770"/>
      <c r="K939" s="1770"/>
      <c r="L939" s="1104"/>
      <c r="M939" s="1205"/>
      <c r="N939" s="1207"/>
      <c r="O939" s="1207"/>
      <c r="P939" s="1207"/>
      <c r="Q939" s="1771"/>
      <c r="R939" s="1458"/>
      <c r="S939" s="990"/>
    </row>
    <row r="940" s="989" customFormat="1" customHeight="1" spans="2:19">
      <c r="B940" s="990"/>
      <c r="C940" s="990"/>
      <c r="D940" s="990"/>
      <c r="E940" s="1104"/>
      <c r="F940" s="990"/>
      <c r="G940" s="990"/>
      <c r="H940" s="990"/>
      <c r="I940" s="1104"/>
      <c r="J940" s="1770"/>
      <c r="K940" s="1770"/>
      <c r="L940" s="1104"/>
      <c r="M940" s="1205"/>
      <c r="N940" s="1207"/>
      <c r="O940" s="1207"/>
      <c r="P940" s="1207"/>
      <c r="Q940" s="1771"/>
      <c r="R940" s="1458"/>
      <c r="S940" s="990"/>
    </row>
    <row r="941" s="989" customFormat="1" customHeight="1" spans="2:19">
      <c r="B941" s="990"/>
      <c r="C941" s="990"/>
      <c r="D941" s="990"/>
      <c r="E941" s="1104"/>
      <c r="F941" s="990"/>
      <c r="G941" s="990"/>
      <c r="H941" s="990"/>
      <c r="I941" s="1104"/>
      <c r="J941" s="1770"/>
      <c r="K941" s="1770"/>
      <c r="L941" s="1104"/>
      <c r="M941" s="1205"/>
      <c r="N941" s="1207"/>
      <c r="O941" s="1207"/>
      <c r="P941" s="1207"/>
      <c r="Q941" s="1771"/>
      <c r="R941" s="1458"/>
      <c r="S941" s="990"/>
    </row>
    <row r="942" s="989" customFormat="1" customHeight="1" spans="2:19">
      <c r="B942" s="990"/>
      <c r="C942" s="990"/>
      <c r="D942" s="990"/>
      <c r="E942" s="1104"/>
      <c r="F942" s="990"/>
      <c r="G942" s="990"/>
      <c r="H942" s="990"/>
      <c r="I942" s="1104"/>
      <c r="J942" s="1770"/>
      <c r="K942" s="1770"/>
      <c r="L942" s="1104"/>
      <c r="M942" s="1205"/>
      <c r="N942" s="1207"/>
      <c r="O942" s="1207"/>
      <c r="P942" s="1207"/>
      <c r="Q942" s="1771"/>
      <c r="R942" s="1458"/>
      <c r="S942" s="990"/>
    </row>
    <row r="943" s="989" customFormat="1" customHeight="1" spans="2:19">
      <c r="B943" s="990"/>
      <c r="C943" s="990"/>
      <c r="D943" s="990"/>
      <c r="E943" s="1104"/>
      <c r="F943" s="990"/>
      <c r="G943" s="990"/>
      <c r="H943" s="990"/>
      <c r="I943" s="1104"/>
      <c r="J943" s="1770"/>
      <c r="K943" s="1770"/>
      <c r="L943" s="1104"/>
      <c r="M943" s="1205"/>
      <c r="N943" s="1207"/>
      <c r="O943" s="1207"/>
      <c r="P943" s="1207"/>
      <c r="Q943" s="1771"/>
      <c r="R943" s="1458"/>
      <c r="S943" s="990"/>
    </row>
    <row r="944" s="989" customFormat="1" customHeight="1" spans="2:19">
      <c r="B944" s="990"/>
      <c r="C944" s="990"/>
      <c r="D944" s="990"/>
      <c r="E944" s="1104"/>
      <c r="F944" s="990"/>
      <c r="G944" s="990"/>
      <c r="H944" s="990"/>
      <c r="I944" s="1104"/>
      <c r="J944" s="1770"/>
      <c r="K944" s="1770"/>
      <c r="L944" s="1104"/>
      <c r="M944" s="1205"/>
      <c r="N944" s="1207"/>
      <c r="O944" s="1207"/>
      <c r="P944" s="1207"/>
      <c r="Q944" s="1771"/>
      <c r="R944" s="1458"/>
      <c r="S944" s="990"/>
    </row>
    <row r="945" s="989" customFormat="1" customHeight="1" spans="2:19">
      <c r="B945" s="990"/>
      <c r="C945" s="990"/>
      <c r="D945" s="990"/>
      <c r="E945" s="1104"/>
      <c r="F945" s="990"/>
      <c r="G945" s="990"/>
      <c r="H945" s="990"/>
      <c r="I945" s="1104"/>
      <c r="J945" s="1770"/>
      <c r="K945" s="1770"/>
      <c r="L945" s="1104"/>
      <c r="M945" s="1205"/>
      <c r="N945" s="1207"/>
      <c r="O945" s="1207"/>
      <c r="P945" s="1207"/>
      <c r="Q945" s="1771"/>
      <c r="R945" s="1458"/>
      <c r="S945" s="990"/>
    </row>
    <row r="946" s="989" customFormat="1" customHeight="1" spans="2:19">
      <c r="B946" s="990"/>
      <c r="C946" s="990"/>
      <c r="D946" s="990"/>
      <c r="E946" s="1104"/>
      <c r="F946" s="990"/>
      <c r="G946" s="990"/>
      <c r="H946" s="990"/>
      <c r="I946" s="1104"/>
      <c r="J946" s="1770"/>
      <c r="K946" s="1770"/>
      <c r="L946" s="1104"/>
      <c r="M946" s="1205"/>
      <c r="N946" s="1207"/>
      <c r="O946" s="1207"/>
      <c r="P946" s="1207"/>
      <c r="Q946" s="1771"/>
      <c r="R946" s="1458"/>
      <c r="S946" s="990"/>
    </row>
    <row r="947" s="989" customFormat="1" customHeight="1" spans="2:19">
      <c r="B947" s="990"/>
      <c r="C947" s="990"/>
      <c r="D947" s="990"/>
      <c r="E947" s="1104"/>
      <c r="F947" s="990"/>
      <c r="G947" s="990"/>
      <c r="H947" s="990"/>
      <c r="I947" s="1104"/>
      <c r="J947" s="1770"/>
      <c r="K947" s="1770"/>
      <c r="L947" s="1104"/>
      <c r="M947" s="1205"/>
      <c r="N947" s="1207"/>
      <c r="O947" s="1207"/>
      <c r="P947" s="1207"/>
      <c r="Q947" s="1771"/>
      <c r="R947" s="1458"/>
      <c r="S947" s="990"/>
    </row>
    <row r="948" s="989" customFormat="1" customHeight="1" spans="2:19">
      <c r="B948" s="990"/>
      <c r="C948" s="990"/>
      <c r="D948" s="990"/>
      <c r="E948" s="1104"/>
      <c r="F948" s="990"/>
      <c r="G948" s="990"/>
      <c r="H948" s="990"/>
      <c r="I948" s="1104"/>
      <c r="J948" s="1770"/>
      <c r="K948" s="1770"/>
      <c r="L948" s="1104"/>
      <c r="M948" s="1205"/>
      <c r="N948" s="1207"/>
      <c r="O948" s="1207"/>
      <c r="P948" s="1207"/>
      <c r="Q948" s="1771"/>
      <c r="R948" s="1458"/>
      <c r="S948" s="990"/>
    </row>
    <row r="949" s="989" customFormat="1" customHeight="1" spans="2:19">
      <c r="B949" s="990"/>
      <c r="C949" s="990"/>
      <c r="D949" s="990"/>
      <c r="E949" s="1104"/>
      <c r="F949" s="990"/>
      <c r="G949" s="990"/>
      <c r="H949" s="990"/>
      <c r="I949" s="1104"/>
      <c r="J949" s="1770"/>
      <c r="K949" s="1770"/>
      <c r="L949" s="1104"/>
      <c r="M949" s="1205"/>
      <c r="N949" s="1207"/>
      <c r="O949" s="1207"/>
      <c r="P949" s="1207"/>
      <c r="Q949" s="1771"/>
      <c r="R949" s="1458"/>
      <c r="S949" s="990"/>
    </row>
    <row r="950" s="989" customFormat="1" customHeight="1" spans="2:19">
      <c r="B950" s="990"/>
      <c r="C950" s="990"/>
      <c r="D950" s="990"/>
      <c r="E950" s="1104"/>
      <c r="F950" s="990"/>
      <c r="G950" s="990"/>
      <c r="H950" s="990"/>
      <c r="I950" s="1104"/>
      <c r="J950" s="1770"/>
      <c r="K950" s="1770"/>
      <c r="L950" s="1104"/>
      <c r="M950" s="1205"/>
      <c r="N950" s="1207"/>
      <c r="O950" s="1207"/>
      <c r="P950" s="1207"/>
      <c r="Q950" s="1771"/>
      <c r="R950" s="1458"/>
      <c r="S950" s="990"/>
    </row>
    <row r="951" s="989" customFormat="1" customHeight="1" spans="2:19">
      <c r="B951" s="990"/>
      <c r="C951" s="990"/>
      <c r="D951" s="990"/>
      <c r="E951" s="1104"/>
      <c r="F951" s="990"/>
      <c r="G951" s="990"/>
      <c r="H951" s="990"/>
      <c r="I951" s="1104"/>
      <c r="J951" s="1770"/>
      <c r="K951" s="1770"/>
      <c r="L951" s="1104"/>
      <c r="M951" s="1205"/>
      <c r="N951" s="1207"/>
      <c r="O951" s="1207"/>
      <c r="P951" s="1207"/>
      <c r="Q951" s="1771"/>
      <c r="R951" s="1458"/>
      <c r="S951" s="990"/>
    </row>
    <row r="952" s="989" customFormat="1" customHeight="1" spans="2:19">
      <c r="B952" s="990"/>
      <c r="C952" s="990"/>
      <c r="D952" s="990"/>
      <c r="E952" s="1104"/>
      <c r="F952" s="990"/>
      <c r="G952" s="990"/>
      <c r="H952" s="990"/>
      <c r="I952" s="1104"/>
      <c r="J952" s="1770"/>
      <c r="K952" s="1770"/>
      <c r="L952" s="1104"/>
      <c r="M952" s="1205"/>
      <c r="N952" s="1207"/>
      <c r="O952" s="1207"/>
      <c r="P952" s="1207"/>
      <c r="Q952" s="1771"/>
      <c r="R952" s="1458"/>
      <c r="S952" s="990"/>
    </row>
    <row r="953" s="989" customFormat="1" customHeight="1" spans="2:19">
      <c r="B953" s="990"/>
      <c r="C953" s="990"/>
      <c r="D953" s="990"/>
      <c r="E953" s="1104"/>
      <c r="F953" s="990"/>
      <c r="G953" s="990"/>
      <c r="H953" s="990"/>
      <c r="I953" s="1104"/>
      <c r="J953" s="1770"/>
      <c r="K953" s="1770"/>
      <c r="L953" s="1104"/>
      <c r="M953" s="1205"/>
      <c r="N953" s="1207"/>
      <c r="O953" s="1207"/>
      <c r="P953" s="1207"/>
      <c r="Q953" s="1771"/>
      <c r="R953" s="1458"/>
      <c r="S953" s="990"/>
    </row>
    <row r="954" s="989" customFormat="1" customHeight="1" spans="2:19">
      <c r="B954" s="990"/>
      <c r="C954" s="990"/>
      <c r="D954" s="990"/>
      <c r="E954" s="1104"/>
      <c r="F954" s="990"/>
      <c r="G954" s="990"/>
      <c r="H954" s="990"/>
      <c r="I954" s="1104"/>
      <c r="J954" s="1770"/>
      <c r="K954" s="1770"/>
      <c r="L954" s="1104"/>
      <c r="M954" s="1205"/>
      <c r="N954" s="1207"/>
      <c r="O954" s="1207"/>
      <c r="P954" s="1207"/>
      <c r="Q954" s="1771"/>
      <c r="R954" s="1458"/>
      <c r="S954" s="990"/>
    </row>
    <row r="955" s="989" customFormat="1" customHeight="1" spans="2:19">
      <c r="B955" s="990"/>
      <c r="C955" s="990"/>
      <c r="D955" s="990"/>
      <c r="E955" s="1104"/>
      <c r="F955" s="990"/>
      <c r="G955" s="990"/>
      <c r="H955" s="990"/>
      <c r="I955" s="1104"/>
      <c r="J955" s="1770"/>
      <c r="K955" s="1770"/>
      <c r="L955" s="1104"/>
      <c r="M955" s="1205"/>
      <c r="N955" s="1207"/>
      <c r="O955" s="1207"/>
      <c r="P955" s="1207"/>
      <c r="Q955" s="1771"/>
      <c r="R955" s="1458"/>
      <c r="S955" s="990"/>
    </row>
    <row r="956" s="989" customFormat="1" customHeight="1" spans="2:19">
      <c r="B956" s="990"/>
      <c r="C956" s="990"/>
      <c r="D956" s="990"/>
      <c r="E956" s="1104"/>
      <c r="F956" s="990"/>
      <c r="G956" s="990"/>
      <c r="H956" s="990"/>
      <c r="I956" s="1104"/>
      <c r="J956" s="1770"/>
      <c r="K956" s="1770"/>
      <c r="L956" s="1104"/>
      <c r="M956" s="1205"/>
      <c r="N956" s="1207"/>
      <c r="O956" s="1207"/>
      <c r="P956" s="1207"/>
      <c r="Q956" s="1771"/>
      <c r="R956" s="1458"/>
      <c r="S956" s="990"/>
    </row>
    <row r="957" s="989" customFormat="1" customHeight="1" spans="2:19">
      <c r="B957" s="990"/>
      <c r="C957" s="990"/>
      <c r="D957" s="990"/>
      <c r="E957" s="1104"/>
      <c r="F957" s="990"/>
      <c r="G957" s="990"/>
      <c r="H957" s="990"/>
      <c r="I957" s="1104"/>
      <c r="J957" s="1770"/>
      <c r="K957" s="1770"/>
      <c r="L957" s="1104"/>
      <c r="M957" s="1205"/>
      <c r="N957" s="1207"/>
      <c r="O957" s="1207"/>
      <c r="P957" s="1207"/>
      <c r="Q957" s="1771"/>
      <c r="R957" s="1458"/>
      <c r="S957" s="990"/>
    </row>
    <row r="958" s="989" customFormat="1" customHeight="1" spans="2:19">
      <c r="B958" s="990"/>
      <c r="C958" s="990"/>
      <c r="D958" s="990"/>
      <c r="E958" s="1104"/>
      <c r="F958" s="990"/>
      <c r="G958" s="990"/>
      <c r="H958" s="990"/>
      <c r="I958" s="1104"/>
      <c r="J958" s="1770"/>
      <c r="K958" s="1770"/>
      <c r="L958" s="1104"/>
      <c r="M958" s="1205"/>
      <c r="N958" s="1207"/>
      <c r="O958" s="1207"/>
      <c r="P958" s="1207"/>
      <c r="Q958" s="1771"/>
      <c r="R958" s="1458"/>
      <c r="S958" s="990"/>
    </row>
    <row r="959" s="989" customFormat="1" customHeight="1" spans="2:19">
      <c r="B959" s="990"/>
      <c r="C959" s="990"/>
      <c r="D959" s="990"/>
      <c r="E959" s="1104"/>
      <c r="F959" s="990"/>
      <c r="G959" s="990"/>
      <c r="H959" s="990"/>
      <c r="I959" s="1104"/>
      <c r="J959" s="1770"/>
      <c r="K959" s="1770"/>
      <c r="L959" s="1104"/>
      <c r="M959" s="1205"/>
      <c r="N959" s="1207"/>
      <c r="O959" s="1207"/>
      <c r="P959" s="1207"/>
      <c r="Q959" s="1771"/>
      <c r="R959" s="1458"/>
      <c r="S959" s="990"/>
    </row>
    <row r="960" s="989" customFormat="1" customHeight="1" spans="2:19">
      <c r="B960" s="990"/>
      <c r="C960" s="990"/>
      <c r="D960" s="990"/>
      <c r="E960" s="1104"/>
      <c r="F960" s="990"/>
      <c r="G960" s="990"/>
      <c r="H960" s="990"/>
      <c r="I960" s="1104"/>
      <c r="J960" s="1770"/>
      <c r="K960" s="1770"/>
      <c r="L960" s="1104"/>
      <c r="M960" s="1205"/>
      <c r="N960" s="1207"/>
      <c r="O960" s="1207"/>
      <c r="P960" s="1207"/>
      <c r="Q960" s="1771"/>
      <c r="R960" s="1458"/>
      <c r="S960" s="990"/>
    </row>
    <row r="961" s="989" customFormat="1" customHeight="1" spans="2:19">
      <c r="B961" s="990"/>
      <c r="C961" s="990"/>
      <c r="D961" s="990"/>
      <c r="E961" s="1104"/>
      <c r="F961" s="990"/>
      <c r="G961" s="990"/>
      <c r="H961" s="990"/>
      <c r="I961" s="1104"/>
      <c r="J961" s="1770"/>
      <c r="K961" s="1770"/>
      <c r="L961" s="1104"/>
      <c r="M961" s="1205"/>
      <c r="N961" s="1207"/>
      <c r="O961" s="1207"/>
      <c r="P961" s="1207"/>
      <c r="Q961" s="1771"/>
      <c r="R961" s="1458"/>
      <c r="S961" s="990"/>
    </row>
    <row r="962" s="989" customFormat="1" customHeight="1" spans="2:19">
      <c r="B962" s="990"/>
      <c r="C962" s="990"/>
      <c r="D962" s="990"/>
      <c r="E962" s="1104"/>
      <c r="F962" s="990"/>
      <c r="G962" s="990"/>
      <c r="H962" s="990"/>
      <c r="I962" s="1104"/>
      <c r="J962" s="1770"/>
      <c r="K962" s="1770"/>
      <c r="L962" s="1104"/>
      <c r="M962" s="1205"/>
      <c r="N962" s="1207"/>
      <c r="O962" s="1207"/>
      <c r="P962" s="1207"/>
      <c r="Q962" s="1771"/>
      <c r="R962" s="1458"/>
      <c r="S962" s="990"/>
    </row>
    <row r="963" s="989" customFormat="1" customHeight="1" spans="2:19">
      <c r="B963" s="990"/>
      <c r="C963" s="990"/>
      <c r="D963" s="990"/>
      <c r="E963" s="1104"/>
      <c r="F963" s="990"/>
      <c r="G963" s="990"/>
      <c r="H963" s="990"/>
      <c r="I963" s="1104"/>
      <c r="J963" s="1770"/>
      <c r="K963" s="1770"/>
      <c r="L963" s="1104"/>
      <c r="M963" s="1205"/>
      <c r="N963" s="1207"/>
      <c r="O963" s="1207"/>
      <c r="P963" s="1207"/>
      <c r="Q963" s="1771"/>
      <c r="R963" s="1458"/>
      <c r="S963" s="990"/>
    </row>
    <row r="964" s="989" customFormat="1" customHeight="1" spans="2:19">
      <c r="B964" s="990"/>
      <c r="C964" s="990"/>
      <c r="D964" s="990"/>
      <c r="E964" s="1104"/>
      <c r="F964" s="990"/>
      <c r="G964" s="990"/>
      <c r="H964" s="990"/>
      <c r="I964" s="1104"/>
      <c r="J964" s="1770"/>
      <c r="K964" s="1770"/>
      <c r="L964" s="1104"/>
      <c r="M964" s="1205"/>
      <c r="N964" s="1207"/>
      <c r="O964" s="1207"/>
      <c r="P964" s="1207"/>
      <c r="Q964" s="1771"/>
      <c r="R964" s="1458"/>
      <c r="S964" s="990"/>
    </row>
    <row r="965" s="989" customFormat="1" customHeight="1" spans="2:19">
      <c r="B965" s="990"/>
      <c r="C965" s="990"/>
      <c r="D965" s="990"/>
      <c r="E965" s="1104"/>
      <c r="F965" s="990"/>
      <c r="G965" s="990"/>
      <c r="H965" s="990"/>
      <c r="I965" s="1104"/>
      <c r="J965" s="1770"/>
      <c r="K965" s="1770"/>
      <c r="L965" s="1104"/>
      <c r="M965" s="1205"/>
      <c r="N965" s="1207"/>
      <c r="O965" s="1207"/>
      <c r="P965" s="1207"/>
      <c r="Q965" s="1771"/>
      <c r="R965" s="1458"/>
      <c r="S965" s="990"/>
    </row>
    <row r="966" s="989" customFormat="1" customHeight="1" spans="2:19">
      <c r="B966" s="990"/>
      <c r="C966" s="990"/>
      <c r="D966" s="990"/>
      <c r="E966" s="1104"/>
      <c r="F966" s="990"/>
      <c r="G966" s="990"/>
      <c r="H966" s="990"/>
      <c r="I966" s="1104"/>
      <c r="J966" s="1770"/>
      <c r="K966" s="1770"/>
      <c r="L966" s="1104"/>
      <c r="M966" s="1205"/>
      <c r="N966" s="1207"/>
      <c r="O966" s="1207"/>
      <c r="P966" s="1207"/>
      <c r="Q966" s="1771"/>
      <c r="R966" s="1458"/>
      <c r="S966" s="990"/>
    </row>
    <row r="967" s="989" customFormat="1" customHeight="1" spans="2:19">
      <c r="B967" s="990"/>
      <c r="C967" s="990"/>
      <c r="D967" s="990"/>
      <c r="E967" s="1104"/>
      <c r="F967" s="990"/>
      <c r="G967" s="990"/>
      <c r="H967" s="990"/>
      <c r="I967" s="1104"/>
      <c r="J967" s="1770"/>
      <c r="K967" s="1770"/>
      <c r="L967" s="1104"/>
      <c r="M967" s="1205"/>
      <c r="N967" s="1207"/>
      <c r="O967" s="1207"/>
      <c r="P967" s="1207"/>
      <c r="Q967" s="1771"/>
      <c r="R967" s="1458"/>
      <c r="S967" s="990"/>
    </row>
    <row r="968" s="989" customFormat="1" customHeight="1" spans="2:19">
      <c r="B968" s="990"/>
      <c r="C968" s="990"/>
      <c r="D968" s="990"/>
      <c r="E968" s="1104"/>
      <c r="F968" s="990"/>
      <c r="G968" s="990"/>
      <c r="H968" s="990"/>
      <c r="I968" s="1104"/>
      <c r="J968" s="1770"/>
      <c r="K968" s="1770"/>
      <c r="L968" s="1104"/>
      <c r="M968" s="1205"/>
      <c r="N968" s="1207"/>
      <c r="O968" s="1207"/>
      <c r="P968" s="1207"/>
      <c r="Q968" s="1771"/>
      <c r="R968" s="1458"/>
      <c r="S968" s="990"/>
    </row>
    <row r="969" s="989" customFormat="1" customHeight="1" spans="2:19">
      <c r="B969" s="990"/>
      <c r="C969" s="990"/>
      <c r="D969" s="990"/>
      <c r="E969" s="1104"/>
      <c r="F969" s="990"/>
      <c r="G969" s="990"/>
      <c r="H969" s="990"/>
      <c r="I969" s="1104"/>
      <c r="J969" s="1770"/>
      <c r="K969" s="1770"/>
      <c r="L969" s="1104"/>
      <c r="M969" s="1205"/>
      <c r="N969" s="1207"/>
      <c r="O969" s="1207"/>
      <c r="P969" s="1207"/>
      <c r="Q969" s="1771"/>
      <c r="R969" s="1458"/>
      <c r="S969" s="990"/>
    </row>
    <row r="970" s="989" customFormat="1" customHeight="1" spans="2:19">
      <c r="B970" s="990"/>
      <c r="C970" s="990"/>
      <c r="D970" s="990"/>
      <c r="E970" s="1104"/>
      <c r="F970" s="990"/>
      <c r="G970" s="990"/>
      <c r="H970" s="990"/>
      <c r="I970" s="1104"/>
      <c r="J970" s="1770"/>
      <c r="K970" s="1770"/>
      <c r="L970" s="1104"/>
      <c r="M970" s="1205"/>
      <c r="N970" s="1207"/>
      <c r="O970" s="1207"/>
      <c r="P970" s="1207"/>
      <c r="Q970" s="1771"/>
      <c r="R970" s="1458"/>
      <c r="S970" s="990"/>
    </row>
    <row r="971" s="989" customFormat="1" customHeight="1" spans="2:19">
      <c r="B971" s="990"/>
      <c r="C971" s="990"/>
      <c r="D971" s="990"/>
      <c r="E971" s="1104"/>
      <c r="F971" s="990"/>
      <c r="G971" s="990"/>
      <c r="H971" s="990"/>
      <c r="I971" s="1104"/>
      <c r="J971" s="1770"/>
      <c r="K971" s="1770"/>
      <c r="L971" s="1104"/>
      <c r="M971" s="1205"/>
      <c r="N971" s="1207"/>
      <c r="O971" s="1207"/>
      <c r="P971" s="1207"/>
      <c r="Q971" s="1771"/>
      <c r="R971" s="1458"/>
      <c r="S971" s="990"/>
    </row>
    <row r="972" s="989" customFormat="1" customHeight="1" spans="2:19">
      <c r="B972" s="990"/>
      <c r="C972" s="990"/>
      <c r="D972" s="990"/>
      <c r="E972" s="1104"/>
      <c r="F972" s="990"/>
      <c r="G972" s="990"/>
      <c r="H972" s="990"/>
      <c r="I972" s="1104"/>
      <c r="J972" s="1770"/>
      <c r="K972" s="1770"/>
      <c r="L972" s="1104"/>
      <c r="M972" s="1205"/>
      <c r="N972" s="1207"/>
      <c r="O972" s="1207"/>
      <c r="P972" s="1207"/>
      <c r="Q972" s="1771"/>
      <c r="R972" s="1458"/>
      <c r="S972" s="990"/>
    </row>
    <row r="973" s="989" customFormat="1" customHeight="1" spans="2:19">
      <c r="B973" s="990"/>
      <c r="C973" s="990"/>
      <c r="D973" s="990"/>
      <c r="E973" s="1104"/>
      <c r="F973" s="990"/>
      <c r="G973" s="990"/>
      <c r="H973" s="990"/>
      <c r="I973" s="1104"/>
      <c r="J973" s="1770"/>
      <c r="K973" s="1770"/>
      <c r="L973" s="1104"/>
      <c r="M973" s="1205"/>
      <c r="N973" s="1207"/>
      <c r="O973" s="1207"/>
      <c r="P973" s="1207"/>
      <c r="Q973" s="1771"/>
      <c r="R973" s="1458"/>
      <c r="S973" s="990"/>
    </row>
    <row r="974" s="989" customFormat="1" customHeight="1" spans="2:19">
      <c r="B974" s="990"/>
      <c r="C974" s="990"/>
      <c r="D974" s="990"/>
      <c r="E974" s="1104"/>
      <c r="F974" s="990"/>
      <c r="G974" s="990"/>
      <c r="H974" s="990"/>
      <c r="I974" s="1104"/>
      <c r="J974" s="1770"/>
      <c r="K974" s="1770"/>
      <c r="L974" s="1104"/>
      <c r="M974" s="1205"/>
      <c r="N974" s="1207"/>
      <c r="O974" s="1207"/>
      <c r="P974" s="1207"/>
      <c r="Q974" s="1771"/>
      <c r="R974" s="1458"/>
      <c r="S974" s="990"/>
    </row>
    <row r="975" s="989" customFormat="1" customHeight="1" spans="2:19">
      <c r="B975" s="990"/>
      <c r="C975" s="990"/>
      <c r="D975" s="990"/>
      <c r="E975" s="1104"/>
      <c r="F975" s="990"/>
      <c r="G975" s="990"/>
      <c r="H975" s="990"/>
      <c r="I975" s="1104"/>
      <c r="J975" s="1770"/>
      <c r="K975" s="1770"/>
      <c r="L975" s="1104"/>
      <c r="M975" s="1205"/>
      <c r="N975" s="1207"/>
      <c r="O975" s="1207"/>
      <c r="P975" s="1207"/>
      <c r="Q975" s="1771"/>
      <c r="R975" s="1458"/>
      <c r="S975" s="990"/>
    </row>
    <row r="976" s="989" customFormat="1" customHeight="1" spans="2:19">
      <c r="B976" s="990"/>
      <c r="C976" s="990"/>
      <c r="D976" s="990"/>
      <c r="E976" s="1104"/>
      <c r="F976" s="990"/>
      <c r="G976" s="990"/>
      <c r="H976" s="990"/>
      <c r="I976" s="1104"/>
      <c r="J976" s="1770"/>
      <c r="K976" s="1770"/>
      <c r="L976" s="1104"/>
      <c r="M976" s="1205"/>
      <c r="N976" s="1207"/>
      <c r="O976" s="1207"/>
      <c r="P976" s="1207"/>
      <c r="Q976" s="1771"/>
      <c r="R976" s="1458"/>
      <c r="S976" s="990"/>
    </row>
    <row r="977" s="989" customFormat="1" customHeight="1" spans="2:19">
      <c r="B977" s="990"/>
      <c r="C977" s="990"/>
      <c r="D977" s="990"/>
      <c r="E977" s="1104"/>
      <c r="F977" s="990"/>
      <c r="G977" s="990"/>
      <c r="H977" s="990"/>
      <c r="I977" s="1104"/>
      <c r="J977" s="1770"/>
      <c r="K977" s="1770"/>
      <c r="L977" s="1104"/>
      <c r="M977" s="1205"/>
      <c r="N977" s="1207"/>
      <c r="O977" s="1207"/>
      <c r="P977" s="1207"/>
      <c r="Q977" s="1771"/>
      <c r="R977" s="1458"/>
      <c r="S977" s="990"/>
    </row>
    <row r="978" s="989" customFormat="1" customHeight="1" spans="2:19">
      <c r="B978" s="990"/>
      <c r="C978" s="990"/>
      <c r="D978" s="990"/>
      <c r="E978" s="1104"/>
      <c r="F978" s="990"/>
      <c r="G978" s="990"/>
      <c r="H978" s="990"/>
      <c r="I978" s="1104"/>
      <c r="J978" s="1770"/>
      <c r="K978" s="1770"/>
      <c r="L978" s="1104"/>
      <c r="M978" s="1205"/>
      <c r="N978" s="1207"/>
      <c r="O978" s="1207"/>
      <c r="P978" s="1207"/>
      <c r="Q978" s="1771"/>
      <c r="R978" s="1458"/>
      <c r="S978" s="990"/>
    </row>
    <row r="979" s="989" customFormat="1" customHeight="1" spans="2:19">
      <c r="B979" s="990"/>
      <c r="C979" s="990"/>
      <c r="D979" s="990"/>
      <c r="E979" s="1104"/>
      <c r="F979" s="990"/>
      <c r="G979" s="990"/>
      <c r="H979" s="990"/>
      <c r="I979" s="1104"/>
      <c r="J979" s="1770"/>
      <c r="K979" s="1770"/>
      <c r="L979" s="1104"/>
      <c r="M979" s="1205"/>
      <c r="N979" s="1207"/>
      <c r="O979" s="1207"/>
      <c r="P979" s="1207"/>
      <c r="Q979" s="1771"/>
      <c r="R979" s="1458"/>
      <c r="S979" s="990"/>
    </row>
    <row r="980" s="989" customFormat="1" customHeight="1" spans="2:19">
      <c r="B980" s="990"/>
      <c r="C980" s="990"/>
      <c r="D980" s="990"/>
      <c r="E980" s="1104"/>
      <c r="F980" s="990"/>
      <c r="G980" s="990"/>
      <c r="H980" s="990"/>
      <c r="I980" s="1104"/>
      <c r="J980" s="1770"/>
      <c r="K980" s="1770"/>
      <c r="L980" s="1104"/>
      <c r="M980" s="1205"/>
      <c r="N980" s="1207"/>
      <c r="O980" s="1207"/>
      <c r="P980" s="1207"/>
      <c r="Q980" s="1771"/>
      <c r="R980" s="1458"/>
      <c r="S980" s="990"/>
    </row>
    <row r="981" s="989" customFormat="1" customHeight="1" spans="2:19">
      <c r="B981" s="990"/>
      <c r="C981" s="990"/>
      <c r="D981" s="990"/>
      <c r="E981" s="1104"/>
      <c r="F981" s="990"/>
      <c r="G981" s="990"/>
      <c r="H981" s="990"/>
      <c r="I981" s="1104"/>
      <c r="J981" s="1770"/>
      <c r="K981" s="1770"/>
      <c r="L981" s="1104"/>
      <c r="M981" s="1205"/>
      <c r="N981" s="1207"/>
      <c r="O981" s="1207"/>
      <c r="P981" s="1207"/>
      <c r="Q981" s="1771"/>
      <c r="R981" s="1458"/>
      <c r="S981" s="990"/>
    </row>
    <row r="982" s="989" customFormat="1" customHeight="1" spans="2:19">
      <c r="B982" s="990"/>
      <c r="C982" s="990"/>
      <c r="D982" s="990"/>
      <c r="E982" s="1104"/>
      <c r="F982" s="990"/>
      <c r="G982" s="990"/>
      <c r="H982" s="990"/>
      <c r="I982" s="1104"/>
      <c r="J982" s="1770"/>
      <c r="K982" s="1770"/>
      <c r="L982" s="1104"/>
      <c r="M982" s="1205"/>
      <c r="N982" s="1207"/>
      <c r="O982" s="1207"/>
      <c r="P982" s="1207"/>
      <c r="Q982" s="1771"/>
      <c r="R982" s="1458"/>
      <c r="S982" s="990"/>
    </row>
    <row r="983" s="989" customFormat="1" customHeight="1" spans="2:19">
      <c r="B983" s="990"/>
      <c r="C983" s="990"/>
      <c r="D983" s="990"/>
      <c r="E983" s="1104"/>
      <c r="F983" s="990"/>
      <c r="G983" s="990"/>
      <c r="H983" s="990"/>
      <c r="I983" s="1104"/>
      <c r="J983" s="1770"/>
      <c r="K983" s="1770"/>
      <c r="L983" s="1104"/>
      <c r="M983" s="1205"/>
      <c r="N983" s="1207"/>
      <c r="O983" s="1207"/>
      <c r="P983" s="1207"/>
      <c r="Q983" s="1771"/>
      <c r="R983" s="1458"/>
      <c r="S983" s="990"/>
    </row>
    <row r="984" s="989" customFormat="1" customHeight="1" spans="2:19">
      <c r="B984" s="990"/>
      <c r="C984" s="990"/>
      <c r="D984" s="990"/>
      <c r="E984" s="1104"/>
      <c r="F984" s="990"/>
      <c r="G984" s="990"/>
      <c r="H984" s="990"/>
      <c r="I984" s="1104"/>
      <c r="J984" s="1770"/>
      <c r="K984" s="1770"/>
      <c r="L984" s="1104"/>
      <c r="M984" s="1205"/>
      <c r="N984" s="1207"/>
      <c r="O984" s="1207"/>
      <c r="P984" s="1207"/>
      <c r="Q984" s="1771"/>
      <c r="R984" s="1458"/>
      <c r="S984" s="990"/>
    </row>
    <row r="985" s="989" customFormat="1" customHeight="1" spans="2:19">
      <c r="B985" s="990"/>
      <c r="C985" s="990"/>
      <c r="D985" s="990"/>
      <c r="E985" s="1104"/>
      <c r="F985" s="990"/>
      <c r="G985" s="990"/>
      <c r="H985" s="990"/>
      <c r="I985" s="1104"/>
      <c r="J985" s="1770"/>
      <c r="K985" s="1770"/>
      <c r="L985" s="1104"/>
      <c r="M985" s="1205"/>
      <c r="N985" s="1207"/>
      <c r="O985" s="1207"/>
      <c r="P985" s="1207"/>
      <c r="Q985" s="1771"/>
      <c r="R985" s="1458"/>
      <c r="S985" s="990"/>
    </row>
    <row r="986" s="989" customFormat="1" customHeight="1" spans="2:19">
      <c r="B986" s="990"/>
      <c r="C986" s="990"/>
      <c r="D986" s="990"/>
      <c r="E986" s="1104"/>
      <c r="F986" s="990"/>
      <c r="G986" s="990"/>
      <c r="H986" s="990"/>
      <c r="I986" s="1104"/>
      <c r="J986" s="1770"/>
      <c r="K986" s="1770"/>
      <c r="L986" s="1104"/>
      <c r="M986" s="1205"/>
      <c r="N986" s="1207"/>
      <c r="O986" s="1207"/>
      <c r="P986" s="1207"/>
      <c r="Q986" s="1771"/>
      <c r="R986" s="1458"/>
      <c r="S986" s="990"/>
    </row>
    <row r="987" s="989" customFormat="1" customHeight="1" spans="2:19">
      <c r="B987" s="990"/>
      <c r="C987" s="990"/>
      <c r="D987" s="990"/>
      <c r="E987" s="1104"/>
      <c r="F987" s="990"/>
      <c r="G987" s="990"/>
      <c r="H987" s="990"/>
      <c r="I987" s="1104"/>
      <c r="J987" s="1770"/>
      <c r="K987" s="1770"/>
      <c r="L987" s="1104"/>
      <c r="M987" s="1205"/>
      <c r="N987" s="1207"/>
      <c r="O987" s="1207"/>
      <c r="P987" s="1207"/>
      <c r="Q987" s="1771"/>
      <c r="R987" s="1458"/>
      <c r="S987" s="990"/>
    </row>
    <row r="988" s="989" customFormat="1" customHeight="1" spans="2:19">
      <c r="B988" s="990"/>
      <c r="C988" s="990"/>
      <c r="D988" s="990"/>
      <c r="E988" s="1104"/>
      <c r="F988" s="990"/>
      <c r="G988" s="990"/>
      <c r="H988" s="990"/>
      <c r="I988" s="1104"/>
      <c r="J988" s="1770"/>
      <c r="K988" s="1770"/>
      <c r="L988" s="1104"/>
      <c r="M988" s="1205"/>
      <c r="N988" s="1207"/>
      <c r="O988" s="1207"/>
      <c r="P988" s="1207"/>
      <c r="Q988" s="1771"/>
      <c r="R988" s="1458"/>
      <c r="S988" s="990"/>
    </row>
    <row r="989" s="989" customFormat="1" customHeight="1" spans="2:19">
      <c r="B989" s="990"/>
      <c r="C989" s="990"/>
      <c r="D989" s="990"/>
      <c r="E989" s="1104"/>
      <c r="F989" s="990"/>
      <c r="G989" s="990"/>
      <c r="H989" s="990"/>
      <c r="I989" s="1104"/>
      <c r="J989" s="1770"/>
      <c r="K989" s="1770"/>
      <c r="L989" s="1104"/>
      <c r="M989" s="1205"/>
      <c r="N989" s="1207"/>
      <c r="O989" s="1207"/>
      <c r="P989" s="1207"/>
      <c r="Q989" s="1771"/>
      <c r="R989" s="1458"/>
      <c r="S989" s="990"/>
    </row>
    <row r="990" s="989" customFormat="1" customHeight="1" spans="2:19">
      <c r="B990" s="990"/>
      <c r="C990" s="990"/>
      <c r="D990" s="990"/>
      <c r="E990" s="1104"/>
      <c r="F990" s="990"/>
      <c r="G990" s="990"/>
      <c r="H990" s="990"/>
      <c r="I990" s="1104"/>
      <c r="J990" s="1770"/>
      <c r="K990" s="1770"/>
      <c r="L990" s="1104"/>
      <c r="M990" s="1205"/>
      <c r="N990" s="1207"/>
      <c r="O990" s="1207"/>
      <c r="P990" s="1207"/>
      <c r="Q990" s="1771"/>
      <c r="R990" s="1458"/>
      <c r="S990" s="990"/>
    </row>
    <row r="991" s="989" customFormat="1" customHeight="1" spans="2:19">
      <c r="B991" s="990"/>
      <c r="C991" s="990"/>
      <c r="D991" s="990"/>
      <c r="E991" s="1104"/>
      <c r="F991" s="990"/>
      <c r="G991" s="990"/>
      <c r="H991" s="990"/>
      <c r="I991" s="1104"/>
      <c r="J991" s="1770"/>
      <c r="K991" s="1770"/>
      <c r="L991" s="1104"/>
      <c r="M991" s="1205"/>
      <c r="N991" s="1207"/>
      <c r="O991" s="1207"/>
      <c r="P991" s="1207"/>
      <c r="Q991" s="1771"/>
      <c r="R991" s="1458"/>
      <c r="S991" s="990"/>
    </row>
    <row r="992" s="989" customFormat="1" customHeight="1" spans="2:19">
      <c r="B992" s="990"/>
      <c r="C992" s="990"/>
      <c r="D992" s="990"/>
      <c r="E992" s="1104"/>
      <c r="F992" s="990"/>
      <c r="G992" s="990"/>
      <c r="H992" s="990"/>
      <c r="I992" s="1104"/>
      <c r="J992" s="1770"/>
      <c r="K992" s="1770"/>
      <c r="L992" s="1104"/>
      <c r="M992" s="1205"/>
      <c r="N992" s="1207"/>
      <c r="O992" s="1207"/>
      <c r="P992" s="1207"/>
      <c r="Q992" s="1771"/>
      <c r="R992" s="1458"/>
      <c r="S992" s="990"/>
    </row>
    <row r="993" s="989" customFormat="1" customHeight="1" spans="2:19">
      <c r="B993" s="990"/>
      <c r="C993" s="990"/>
      <c r="D993" s="990"/>
      <c r="E993" s="1104"/>
      <c r="F993" s="990"/>
      <c r="G993" s="990"/>
      <c r="H993" s="990"/>
      <c r="I993" s="1104"/>
      <c r="J993" s="1770"/>
      <c r="K993" s="1770"/>
      <c r="L993" s="1104"/>
      <c r="M993" s="1205"/>
      <c r="N993" s="1207"/>
      <c r="O993" s="1207"/>
      <c r="P993" s="1207"/>
      <c r="Q993" s="1771"/>
      <c r="R993" s="1458"/>
      <c r="S993" s="990"/>
    </row>
    <row r="994" s="989" customFormat="1" customHeight="1" spans="2:19">
      <c r="B994" s="990"/>
      <c r="C994" s="990"/>
      <c r="D994" s="990"/>
      <c r="E994" s="1104"/>
      <c r="F994" s="990"/>
      <c r="G994" s="990"/>
      <c r="H994" s="990"/>
      <c r="I994" s="1104"/>
      <c r="J994" s="1770"/>
      <c r="K994" s="1770"/>
      <c r="L994" s="1104"/>
      <c r="M994" s="1205"/>
      <c r="N994" s="1207"/>
      <c r="O994" s="1207"/>
      <c r="P994" s="1207"/>
      <c r="Q994" s="1771"/>
      <c r="R994" s="1458"/>
      <c r="S994" s="990"/>
    </row>
    <row r="995" s="989" customFormat="1" customHeight="1" spans="2:19">
      <c r="B995" s="990"/>
      <c r="C995" s="990"/>
      <c r="D995" s="990"/>
      <c r="E995" s="1104"/>
      <c r="F995" s="990"/>
      <c r="G995" s="990"/>
      <c r="H995" s="990"/>
      <c r="I995" s="1104"/>
      <c r="J995" s="1770"/>
      <c r="K995" s="1770"/>
      <c r="L995" s="1104"/>
      <c r="M995" s="1205"/>
      <c r="N995" s="1207"/>
      <c r="O995" s="1207"/>
      <c r="P995" s="1207"/>
      <c r="Q995" s="1771"/>
      <c r="R995" s="1458"/>
      <c r="S995" s="990"/>
    </row>
    <row r="996" s="989" customFormat="1" customHeight="1" spans="2:19">
      <c r="B996" s="990"/>
      <c r="C996" s="990"/>
      <c r="D996" s="990"/>
      <c r="E996" s="1104"/>
      <c r="F996" s="990"/>
      <c r="G996" s="990"/>
      <c r="H996" s="990"/>
      <c r="I996" s="1104"/>
      <c r="J996" s="1770"/>
      <c r="K996" s="1770"/>
      <c r="L996" s="1104"/>
      <c r="M996" s="1205"/>
      <c r="N996" s="1207"/>
      <c r="O996" s="1207"/>
      <c r="P996" s="1207"/>
      <c r="Q996" s="1771"/>
      <c r="R996" s="1458"/>
      <c r="S996" s="990"/>
    </row>
    <row r="997" s="989" customFormat="1" customHeight="1" spans="2:19">
      <c r="B997" s="990"/>
      <c r="C997" s="990"/>
      <c r="D997" s="990"/>
      <c r="E997" s="1104"/>
      <c r="F997" s="990"/>
      <c r="G997" s="990"/>
      <c r="H997" s="990"/>
      <c r="I997" s="1104"/>
      <c r="J997" s="1770"/>
      <c r="K997" s="1770"/>
      <c r="L997" s="1104"/>
      <c r="M997" s="1205"/>
      <c r="N997" s="1207"/>
      <c r="O997" s="1207"/>
      <c r="P997" s="1207"/>
      <c r="Q997" s="1771"/>
      <c r="R997" s="1458"/>
      <c r="S997" s="990"/>
    </row>
    <row r="998" s="989" customFormat="1" customHeight="1" spans="2:19">
      <c r="B998" s="990"/>
      <c r="C998" s="990"/>
      <c r="D998" s="990"/>
      <c r="E998" s="1104"/>
      <c r="F998" s="990"/>
      <c r="G998" s="990"/>
      <c r="H998" s="990"/>
      <c r="I998" s="1104"/>
      <c r="J998" s="1770"/>
      <c r="K998" s="1770"/>
      <c r="L998" s="1104"/>
      <c r="M998" s="1205"/>
      <c r="N998" s="1207"/>
      <c r="O998" s="1207"/>
      <c r="P998" s="1207"/>
      <c r="Q998" s="1771"/>
      <c r="R998" s="1458"/>
      <c r="S998" s="990"/>
    </row>
  </sheetData>
  <mergeCells count="41">
    <mergeCell ref="B1:B6"/>
    <mergeCell ref="B8:B11"/>
    <mergeCell ref="B21:B23"/>
    <mergeCell ref="B34:B37"/>
    <mergeCell ref="B38:B79"/>
    <mergeCell ref="B80:B84"/>
    <mergeCell ref="B85:B93"/>
    <mergeCell ref="B94:B107"/>
    <mergeCell ref="B108:B121"/>
    <mergeCell ref="B122:B131"/>
    <mergeCell ref="B132:B141"/>
    <mergeCell ref="B142:B144"/>
    <mergeCell ref="B145:B154"/>
    <mergeCell ref="B155:B156"/>
    <mergeCell ref="B160:B178"/>
    <mergeCell ref="B179:B209"/>
    <mergeCell ref="B210:B224"/>
    <mergeCell ref="B225:B231"/>
    <mergeCell ref="B232:B234"/>
    <mergeCell ref="B235:B244"/>
    <mergeCell ref="B245:B246"/>
    <mergeCell ref="B247:B252"/>
    <mergeCell ref="B253:B278"/>
    <mergeCell ref="B279:B288"/>
    <mergeCell ref="B289:B290"/>
    <mergeCell ref="B291:B294"/>
    <mergeCell ref="B295:B298"/>
    <mergeCell ref="B299:B304"/>
    <mergeCell ref="B305:B315"/>
    <mergeCell ref="B320:B322"/>
    <mergeCell ref="B323:B326"/>
    <mergeCell ref="B327:B332"/>
    <mergeCell ref="B333:B337"/>
    <mergeCell ref="B338:B347"/>
    <mergeCell ref="B348:B355"/>
    <mergeCell ref="B356:B358"/>
    <mergeCell ref="B362:B367"/>
    <mergeCell ref="L1:L6"/>
    <mergeCell ref="T1:T6"/>
    <mergeCell ref="V2:V6"/>
    <mergeCell ref="AA4:AA5"/>
  </mergeCells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FF0000"/>
  </sheetPr>
  <dimension ref="A1:AE820"/>
  <sheetViews>
    <sheetView zoomScale="55" zoomScaleNormal="55" topLeftCell="B1" workbookViewId="0">
      <pane ySplit="7" topLeftCell="A64" activePane="bottomLeft" state="frozen"/>
      <selection/>
      <selection pane="bottomLeft" activeCell="G521" sqref="G521"/>
    </sheetView>
  </sheetViews>
  <sheetFormatPr defaultColWidth="9" defaultRowHeight="14.4"/>
  <cols>
    <col min="1" max="1" width="3.08333333333333" style="989" customWidth="1"/>
    <col min="2" max="2" width="24.4537037037037" style="990" customWidth="1"/>
    <col min="3" max="3" width="10.5185185185185" style="990" hidden="1" customWidth="1"/>
    <col min="4" max="4" width="7.52777777777778" style="1104" hidden="1" customWidth="1"/>
    <col min="5" max="5" width="7.52777777777778" style="989" hidden="1" customWidth="1"/>
    <col min="6" max="6" width="23.6296296296296" style="989" hidden="1" customWidth="1"/>
    <col min="7" max="7" width="28.0925925925926" style="989" customWidth="1"/>
    <col min="8" max="8" width="39.3333333333333" style="989" customWidth="1"/>
    <col min="9" max="9" width="15.537037037037" style="990" customWidth="1"/>
    <col min="10" max="10" width="26.3055555555556" style="1104" customWidth="1"/>
    <col min="11" max="11" width="10.5" style="1104" customWidth="1"/>
    <col min="12" max="12" width="17.0833333333333" style="1104" customWidth="1"/>
    <col min="13" max="13" width="9.75" style="1104" customWidth="1"/>
    <col min="14" max="14" width="12.0648148148148" style="1104" customWidth="1"/>
    <col min="15" max="15" width="7.66666666666667" style="1205" customWidth="1"/>
    <col min="16" max="16" width="9.91666666666667" style="1205" customWidth="1"/>
    <col min="17" max="17" width="7.75" style="1457" customWidth="1"/>
    <col min="18" max="18" width="12.6944444444444" style="1457" customWidth="1"/>
    <col min="19" max="19" width="7.16666666666667" style="1745" customWidth="1"/>
    <col min="20" max="20" width="8.25" style="1745" customWidth="1"/>
    <col min="21" max="21" width="19.1666666666667" style="990" customWidth="1"/>
    <col min="22" max="22" width="108.861111111111" style="990" customWidth="1"/>
    <col min="23" max="24" width="9" style="989"/>
    <col min="25" max="25" width="13.712962962963" style="989" customWidth="1"/>
    <col min="26" max="26" width="13.3796296296296" style="989" customWidth="1"/>
    <col min="27" max="27" width="3.18518518518518" style="989" customWidth="1"/>
    <col min="28" max="30" width="9" style="989"/>
    <col min="31" max="31" width="14.8611111111111" style="989" customWidth="1"/>
    <col min="32" max="16382" width="9" style="989"/>
  </cols>
  <sheetData>
    <row r="1" s="188" customFormat="1" ht="21" customHeight="1" spans="1:31">
      <c r="B1" s="1464" t="s">
        <v>3487</v>
      </c>
      <c r="C1" s="1463"/>
      <c r="D1" s="1464"/>
      <c r="E1" s="1463"/>
      <c r="F1" s="1463"/>
      <c r="G1" s="1746"/>
      <c r="H1" s="1746"/>
      <c r="I1" s="1462"/>
      <c r="J1" s="1261"/>
      <c r="K1" s="1464"/>
      <c r="L1" s="1464"/>
      <c r="M1" s="1699"/>
      <c r="N1" s="1747" t="s">
        <v>712</v>
      </c>
      <c r="O1" s="1747" t="s">
        <v>712</v>
      </c>
      <c r="P1" s="1748"/>
      <c r="Q1" s="1466"/>
      <c r="R1" s="1466"/>
      <c r="S1" s="1700"/>
      <c r="T1" s="1700"/>
      <c r="U1" s="1462"/>
      <c r="V1" s="1701" t="s">
        <v>3488</v>
      </c>
      <c r="W1" s="1702" t="s">
        <v>1428</v>
      </c>
      <c r="X1" s="1703" t="s">
        <v>1466</v>
      </c>
      <c r="Y1" s="1703" t="s">
        <v>1467</v>
      </c>
      <c r="Z1" s="1704" t="s">
        <v>1468</v>
      </c>
      <c r="AA1" s="840"/>
      <c r="AB1" s="1702" t="s">
        <v>1428</v>
      </c>
      <c r="AC1" s="1703" t="s">
        <v>1466</v>
      </c>
      <c r="AD1" s="1703" t="s">
        <v>1467</v>
      </c>
      <c r="AE1" s="1704" t="s">
        <v>1468</v>
      </c>
    </row>
    <row r="2" s="188" customFormat="1" ht="21" customHeight="1" spans="1:31">
      <c r="B2" s="1464"/>
      <c r="C2" s="1463"/>
      <c r="D2" s="1464"/>
      <c r="E2" s="1463"/>
      <c r="F2" s="1463"/>
      <c r="G2" s="1746"/>
      <c r="H2" s="1746"/>
      <c r="I2" s="1462"/>
      <c r="J2" s="1261"/>
      <c r="K2" s="1464"/>
      <c r="L2" s="1464"/>
      <c r="M2" s="1699"/>
      <c r="N2" s="1747"/>
      <c r="O2" s="1747"/>
      <c r="P2" s="1748"/>
      <c r="Q2" s="1466"/>
      <c r="R2" s="1466"/>
      <c r="S2" s="1700"/>
      <c r="T2" s="1700"/>
      <c r="U2" s="1462"/>
      <c r="V2" s="1701"/>
      <c r="W2" s="1705" t="s">
        <v>1428</v>
      </c>
      <c r="X2" s="1706" t="s">
        <v>1469</v>
      </c>
      <c r="Y2" s="1707" t="s">
        <v>1470</v>
      </c>
      <c r="Z2" s="1708">
        <v>0.64</v>
      </c>
      <c r="AA2" s="1709"/>
      <c r="AB2" s="1705" t="s">
        <v>1428</v>
      </c>
      <c r="AC2" s="1703" t="s">
        <v>1471</v>
      </c>
      <c r="AD2" s="1703">
        <v>9672</v>
      </c>
      <c r="AE2" s="1708">
        <v>1.05</v>
      </c>
    </row>
    <row r="3" s="188" customFormat="1" ht="21" customHeight="1" spans="1:31">
      <c r="B3" s="1464"/>
      <c r="C3" s="1463"/>
      <c r="D3" s="1464"/>
      <c r="E3" s="1463"/>
      <c r="F3" s="1463"/>
      <c r="G3" s="1746"/>
      <c r="H3" s="1746"/>
      <c r="I3" s="1462"/>
      <c r="J3" s="1261"/>
      <c r="K3" s="1464"/>
      <c r="L3" s="1464"/>
      <c r="M3" s="1699"/>
      <c r="N3" s="1747"/>
      <c r="O3" s="1747"/>
      <c r="P3" s="1748"/>
      <c r="Q3" s="1466"/>
      <c r="R3" s="1466"/>
      <c r="S3" s="1700"/>
      <c r="T3" s="1700"/>
      <c r="U3" s="1462"/>
      <c r="V3" s="1701"/>
      <c r="W3" s="1705" t="s">
        <v>1428</v>
      </c>
      <c r="X3" s="1706"/>
      <c r="Y3" s="1707" t="s">
        <v>1474</v>
      </c>
      <c r="Z3" s="1708">
        <v>1.7769148</v>
      </c>
      <c r="AA3" s="1709"/>
      <c r="AB3" s="1702" t="s">
        <v>1428</v>
      </c>
      <c r="AC3" s="1703" t="s">
        <v>1479</v>
      </c>
      <c r="AD3" s="1703" t="s">
        <v>1480</v>
      </c>
      <c r="AE3" s="1708">
        <v>0.23</v>
      </c>
    </row>
    <row r="4" s="188" customFormat="1" ht="21" customHeight="1" spans="1:31">
      <c r="B4" s="1464"/>
      <c r="C4" s="1463"/>
      <c r="D4" s="1464"/>
      <c r="E4" s="1463"/>
      <c r="F4" s="1463"/>
      <c r="G4" s="1746"/>
      <c r="H4" s="1746"/>
      <c r="I4" s="1462"/>
      <c r="J4" s="1261"/>
      <c r="K4" s="1464"/>
      <c r="L4" s="1464"/>
      <c r="M4" s="1699"/>
      <c r="N4" s="1747"/>
      <c r="O4" s="1747"/>
      <c r="P4" s="1748"/>
      <c r="Q4" s="1466"/>
      <c r="R4" s="1466"/>
      <c r="S4" s="1700"/>
      <c r="T4" s="1700"/>
      <c r="U4" s="1462"/>
      <c r="V4" s="1701"/>
      <c r="W4" s="1705" t="s">
        <v>1428</v>
      </c>
      <c r="X4" s="1706"/>
      <c r="Y4" s="1707" t="s">
        <v>1478</v>
      </c>
      <c r="Z4" s="1708">
        <v>1.8079</v>
      </c>
      <c r="AA4" s="1709"/>
      <c r="AB4" s="1702" t="s">
        <v>1428</v>
      </c>
      <c r="AC4" s="1710" t="s">
        <v>3489</v>
      </c>
      <c r="AD4" s="1709">
        <v>8040</v>
      </c>
      <c r="AE4" s="1708">
        <v>2.948</v>
      </c>
    </row>
    <row r="5" s="188" customFormat="1" ht="21" customHeight="1" spans="1:31">
      <c r="B5" s="1464"/>
      <c r="C5" s="1463"/>
      <c r="D5" s="1464"/>
      <c r="E5" s="1463"/>
      <c r="F5" s="1463"/>
      <c r="G5" s="1746"/>
      <c r="H5" s="1746"/>
      <c r="I5" s="1462"/>
      <c r="J5" s="1261"/>
      <c r="K5" s="1464"/>
      <c r="L5" s="1464"/>
      <c r="M5" s="1699"/>
      <c r="N5" s="1747"/>
      <c r="O5" s="1747"/>
      <c r="P5" s="1748"/>
      <c r="Q5" s="1466"/>
      <c r="R5" s="1466"/>
      <c r="S5" s="1700"/>
      <c r="T5" s="1700"/>
      <c r="U5" s="1462"/>
      <c r="V5" s="1701"/>
      <c r="W5" s="1705" t="s">
        <v>1428</v>
      </c>
      <c r="X5" s="1706"/>
      <c r="Y5" s="1707" t="s">
        <v>1485</v>
      </c>
      <c r="Z5" s="1708">
        <v>0.52</v>
      </c>
      <c r="AA5" s="1709"/>
      <c r="AB5" s="1702" t="s">
        <v>1428</v>
      </c>
      <c r="AC5" s="1711"/>
      <c r="AD5" s="1709">
        <v>9040</v>
      </c>
      <c r="AE5" s="1708">
        <v>3.054</v>
      </c>
    </row>
    <row r="6" s="188" customFormat="1" ht="20" customHeight="1" spans="1:31">
      <c r="B6" s="1464"/>
      <c r="C6" s="1463"/>
      <c r="D6" s="1464"/>
      <c r="E6" s="1463"/>
      <c r="F6" s="1463"/>
      <c r="G6" s="1746"/>
      <c r="H6" s="1746"/>
      <c r="I6" s="1462"/>
      <c r="J6" s="1261"/>
      <c r="K6" s="1464"/>
      <c r="L6" s="1464"/>
      <c r="M6" s="1699"/>
      <c r="N6" s="1747"/>
      <c r="O6" s="1747"/>
      <c r="P6" s="1748"/>
      <c r="Q6" s="1466"/>
      <c r="R6" s="1466"/>
      <c r="S6" s="1700"/>
      <c r="T6" s="1700"/>
      <c r="U6" s="1462"/>
      <c r="V6" s="1701"/>
      <c r="W6" s="131"/>
      <c r="X6" s="131"/>
      <c r="Y6" s="131"/>
      <c r="Z6" s="131"/>
      <c r="AA6" s="1709"/>
      <c r="AB6" s="1702" t="s">
        <v>1428</v>
      </c>
      <c r="AC6" s="1621"/>
      <c r="AD6" s="1709"/>
      <c r="AE6" s="1708"/>
    </row>
    <row r="7" s="799" customFormat="1" ht="18" customHeight="1" spans="1:31">
      <c r="A7" s="16"/>
      <c r="B7" s="132" t="s">
        <v>1490</v>
      </c>
      <c r="C7" s="17" t="s">
        <v>1492</v>
      </c>
      <c r="D7" s="773" t="s">
        <v>3</v>
      </c>
      <c r="E7" s="165" t="s">
        <v>1404</v>
      </c>
      <c r="F7" s="17" t="s">
        <v>4100</v>
      </c>
      <c r="G7" s="18" t="s">
        <v>5</v>
      </c>
      <c r="H7" s="121" t="s">
        <v>1933</v>
      </c>
      <c r="I7" s="1749" t="s">
        <v>1934</v>
      </c>
      <c r="J7" s="1750" t="s">
        <v>4101</v>
      </c>
      <c r="K7" s="18" t="s">
        <v>1910</v>
      </c>
      <c r="L7" s="18" t="s">
        <v>1497</v>
      </c>
      <c r="M7" s="18" t="s">
        <v>4102</v>
      </c>
      <c r="N7" s="18" t="s">
        <v>4103</v>
      </c>
      <c r="O7" s="18" t="s">
        <v>4104</v>
      </c>
      <c r="P7" s="18" t="s">
        <v>1497</v>
      </c>
      <c r="Q7" s="18" t="s">
        <v>6</v>
      </c>
      <c r="R7" s="18" t="s">
        <v>7</v>
      </c>
      <c r="S7" s="18" t="s">
        <v>8</v>
      </c>
      <c r="T7" s="18" t="s">
        <v>9</v>
      </c>
      <c r="U7" s="18" t="s">
        <v>4105</v>
      </c>
      <c r="V7" s="164" t="s">
        <v>4106</v>
      </c>
      <c r="W7" s="16"/>
      <c r="X7" s="16"/>
      <c r="Y7" s="16"/>
      <c r="Z7" s="16"/>
      <c r="AA7" s="1709"/>
      <c r="AB7" s="1702" t="s">
        <v>1428</v>
      </c>
      <c r="AC7" s="1621"/>
      <c r="AD7" s="1709"/>
      <c r="AE7" s="1708"/>
    </row>
    <row r="8" s="1744" customFormat="1" ht="15" hidden="1" customHeight="1" spans="1:31">
      <c r="A8" s="1751"/>
      <c r="B8" s="961" t="s">
        <v>4107</v>
      </c>
      <c r="C8" s="23">
        <v>20250805</v>
      </c>
      <c r="D8" s="23"/>
      <c r="E8" s="23">
        <v>7.13</v>
      </c>
      <c r="F8" s="926" t="s">
        <v>1564</v>
      </c>
      <c r="G8" s="959" t="s">
        <v>1565</v>
      </c>
      <c r="H8" s="1752" t="s">
        <v>2246</v>
      </c>
      <c r="I8" s="959" t="s">
        <v>1506</v>
      </c>
      <c r="J8" s="21"/>
      <c r="K8" s="690"/>
      <c r="L8" s="1753" t="s">
        <v>2247</v>
      </c>
      <c r="M8" s="1588" t="s">
        <v>2247</v>
      </c>
      <c r="N8" s="1588" t="s">
        <v>2247</v>
      </c>
      <c r="O8" s="21"/>
      <c r="P8" s="1588" t="s">
        <v>2247</v>
      </c>
      <c r="Q8" s="964">
        <f>26.1/E8/1.13</f>
        <v>3.2394593454058</v>
      </c>
      <c r="R8" s="964">
        <f>13.9317679638334+0.23</f>
        <v>14.1617679638334</v>
      </c>
      <c r="S8" s="964">
        <v>4</v>
      </c>
      <c r="T8" s="964">
        <f>SUM(M8:S8)</f>
        <v>21.4012273092392</v>
      </c>
      <c r="U8" s="1754" t="s">
        <v>2248</v>
      </c>
      <c r="V8" s="967" t="s">
        <v>2249</v>
      </c>
      <c r="W8" s="1755"/>
    </row>
    <row r="9" s="1744" customFormat="1" ht="15" hidden="1" customHeight="1" spans="1:31">
      <c r="A9" s="1751"/>
      <c r="B9" s="1756" t="s">
        <v>4108</v>
      </c>
      <c r="C9" s="23">
        <v>20250825</v>
      </c>
      <c r="D9" s="23">
        <v>7.17</v>
      </c>
      <c r="E9" s="23" t="s">
        <v>1407</v>
      </c>
      <c r="F9" s="926" t="s">
        <v>1622</v>
      </c>
      <c r="G9" s="959" t="s">
        <v>1565</v>
      </c>
      <c r="H9" s="1752" t="s">
        <v>2255</v>
      </c>
      <c r="I9" s="959" t="s">
        <v>1506</v>
      </c>
      <c r="J9" s="21"/>
      <c r="K9" s="690"/>
      <c r="L9" s="1753" t="s">
        <v>1624</v>
      </c>
      <c r="M9" s="1588" t="s">
        <v>2247</v>
      </c>
      <c r="N9" s="1588"/>
      <c r="O9" s="21"/>
      <c r="P9" s="1588" t="s">
        <v>2247</v>
      </c>
      <c r="Q9" s="964" t="e">
        <f>32.97/E9/1.13</f>
        <v>#VALUE!</v>
      </c>
      <c r="R9" s="964">
        <f>10.8998456682524+1.05+0.23</f>
        <v>12.1798456682524</v>
      </c>
      <c r="S9" s="964">
        <v>4</v>
      </c>
      <c r="T9" s="964" t="e">
        <f t="shared" ref="T9:T14" si="0">SUBTOTAL(9,K9:S9)</f>
        <v>#VALUE!</v>
      </c>
      <c r="U9" s="1754" t="s">
        <v>1526</v>
      </c>
      <c r="V9" s="967" t="s">
        <v>2256</v>
      </c>
      <c r="W9" s="1755"/>
    </row>
    <row r="10" s="1744" customFormat="1" ht="15" hidden="1" customHeight="1" spans="1:31">
      <c r="A10" s="1751"/>
      <c r="B10" s="958"/>
      <c r="C10" s="23">
        <v>20250825</v>
      </c>
      <c r="D10" s="23">
        <v>7.17</v>
      </c>
      <c r="E10" s="23" t="s">
        <v>1408</v>
      </c>
      <c r="F10" s="926" t="s">
        <v>1625</v>
      </c>
      <c r="G10" s="959" t="s">
        <v>1617</v>
      </c>
      <c r="H10" s="1752" t="s">
        <v>2257</v>
      </c>
      <c r="I10" s="959" t="s">
        <v>1511</v>
      </c>
      <c r="J10" s="21"/>
      <c r="K10" s="690"/>
      <c r="L10" s="1753" t="s">
        <v>1627</v>
      </c>
      <c r="M10" s="1588" t="s">
        <v>2247</v>
      </c>
      <c r="N10" s="1588"/>
      <c r="O10" s="21"/>
      <c r="P10" s="1588" t="s">
        <v>2247</v>
      </c>
      <c r="Q10" s="964" t="e">
        <f>32.97/E10/1.13</f>
        <v>#VALUE!</v>
      </c>
      <c r="R10" s="964">
        <f>12.8249086039597+1.05+0.23</f>
        <v>14.1049086039597</v>
      </c>
      <c r="S10" s="964">
        <v>4</v>
      </c>
      <c r="T10" s="964" t="e">
        <f t="shared" si="0"/>
        <v>#VALUE!</v>
      </c>
      <c r="U10" s="1754" t="s">
        <v>1526</v>
      </c>
      <c r="V10" s="967" t="s">
        <v>2258</v>
      </c>
      <c r="W10" s="1755"/>
    </row>
    <row r="11" s="1744" customFormat="1" ht="15" hidden="1" customHeight="1" spans="1:31">
      <c r="A11" s="1751"/>
      <c r="B11" s="1757"/>
      <c r="C11" s="23">
        <v>20250825</v>
      </c>
      <c r="D11" s="23">
        <v>7.17</v>
      </c>
      <c r="E11" s="23">
        <v>7.13</v>
      </c>
      <c r="F11" s="926" t="s">
        <v>1628</v>
      </c>
      <c r="G11" s="959" t="s">
        <v>1629</v>
      </c>
      <c r="H11" s="1752" t="s">
        <v>2255</v>
      </c>
      <c r="I11" s="959" t="s">
        <v>1594</v>
      </c>
      <c r="J11" s="21"/>
      <c r="K11" s="690"/>
      <c r="L11" s="1753" t="s">
        <v>1614</v>
      </c>
      <c r="M11" s="1588" t="s">
        <v>2247</v>
      </c>
      <c r="N11" s="1588"/>
      <c r="O11" s="21"/>
      <c r="P11" s="1588" t="s">
        <v>2247</v>
      </c>
      <c r="Q11" s="964">
        <f>32.97/E11/1.13</f>
        <v>4.09214462138043</v>
      </c>
      <c r="R11" s="964">
        <f>13.241571938046+1.05</f>
        <v>14.291571938046</v>
      </c>
      <c r="S11" s="964">
        <v>4</v>
      </c>
      <c r="T11" s="964">
        <f t="shared" si="0"/>
        <v>22.3837165594264</v>
      </c>
      <c r="U11" s="1754" t="s">
        <v>1526</v>
      </c>
      <c r="V11" s="967" t="s">
        <v>2266</v>
      </c>
      <c r="W11" s="1755"/>
    </row>
    <row r="12" s="1744" customFormat="1" ht="15" hidden="1" customHeight="1" spans="1:31">
      <c r="A12" s="1751"/>
      <c r="B12" s="1756" t="s">
        <v>4109</v>
      </c>
      <c r="C12" s="23">
        <v>20250613</v>
      </c>
      <c r="D12" s="23">
        <v>7.19</v>
      </c>
      <c r="E12" s="23">
        <v>7.13</v>
      </c>
      <c r="F12" s="926" t="s">
        <v>1631</v>
      </c>
      <c r="G12" s="959" t="s">
        <v>1565</v>
      </c>
      <c r="H12" s="1752" t="s">
        <v>2270</v>
      </c>
      <c r="I12" s="959" t="s">
        <v>1506</v>
      </c>
      <c r="J12" s="21"/>
      <c r="K12" s="690" t="s">
        <v>1913</v>
      </c>
      <c r="L12" s="1753" t="s">
        <v>1633</v>
      </c>
      <c r="M12" s="1588" t="s">
        <v>2247</v>
      </c>
      <c r="N12" s="1588"/>
      <c r="O12" s="21"/>
      <c r="P12" s="1588" t="s">
        <v>2247</v>
      </c>
      <c r="Q12" s="964">
        <f>35.53/E12/1.13</f>
        <v>4.40988469510606</v>
      </c>
      <c r="R12" s="964">
        <v>10.4358988894656</v>
      </c>
      <c r="S12" s="964">
        <f>22.5/E12</f>
        <v>3.15568022440393</v>
      </c>
      <c r="T12" s="964">
        <f t="shared" si="0"/>
        <v>18.0014638089756</v>
      </c>
      <c r="U12" s="1754" t="s">
        <v>1526</v>
      </c>
      <c r="V12" s="967" t="s">
        <v>2271</v>
      </c>
      <c r="W12" s="1755"/>
    </row>
    <row r="13" s="1744" customFormat="1" ht="15" hidden="1" customHeight="1" spans="1:31">
      <c r="A13" s="1751"/>
      <c r="B13" s="958"/>
      <c r="C13" s="23">
        <v>20250613</v>
      </c>
      <c r="D13" s="23">
        <v>7.19</v>
      </c>
      <c r="E13" s="23">
        <v>7.13</v>
      </c>
      <c r="F13" s="926" t="s">
        <v>1634</v>
      </c>
      <c r="G13" s="959" t="s">
        <v>1617</v>
      </c>
      <c r="H13" s="1752" t="s">
        <v>2282</v>
      </c>
      <c r="I13" s="959" t="s">
        <v>1594</v>
      </c>
      <c r="J13" s="21"/>
      <c r="K13" s="690" t="s">
        <v>1913</v>
      </c>
      <c r="L13" s="1753" t="s">
        <v>1635</v>
      </c>
      <c r="M13" s="1588" t="s">
        <v>2247</v>
      </c>
      <c r="N13" s="1588"/>
      <c r="O13" s="21"/>
      <c r="P13" s="1588" t="s">
        <v>2247</v>
      </c>
      <c r="Q13" s="964">
        <f>35.53/E13/1.13</f>
        <v>4.40988469510606</v>
      </c>
      <c r="R13" s="964">
        <v>13.9714538843817</v>
      </c>
      <c r="S13" s="964">
        <f>22.5/E13</f>
        <v>3.15568022440393</v>
      </c>
      <c r="T13" s="964">
        <f t="shared" si="0"/>
        <v>21.5370188038917</v>
      </c>
      <c r="U13" s="1754" t="s">
        <v>1526</v>
      </c>
      <c r="V13" s="967" t="s">
        <v>2271</v>
      </c>
      <c r="W13" s="1755"/>
    </row>
    <row r="14" s="1744" customFormat="1" ht="15" hidden="1" customHeight="1" spans="1:31">
      <c r="A14" s="1751"/>
      <c r="B14" s="1757"/>
      <c r="C14" s="23">
        <v>20250613</v>
      </c>
      <c r="D14" s="23">
        <v>7.19</v>
      </c>
      <c r="E14" s="23">
        <v>7.13</v>
      </c>
      <c r="F14" s="926" t="s">
        <v>2283</v>
      </c>
      <c r="G14" s="959" t="s">
        <v>1629</v>
      </c>
      <c r="H14" s="1752" t="s">
        <v>2282</v>
      </c>
      <c r="I14" s="959" t="s">
        <v>1511</v>
      </c>
      <c r="J14" s="21"/>
      <c r="K14" s="690" t="s">
        <v>1913</v>
      </c>
      <c r="L14" s="1753" t="s">
        <v>1637</v>
      </c>
      <c r="M14" s="1588" t="s">
        <v>2247</v>
      </c>
      <c r="N14" s="1588"/>
      <c r="O14" s="21"/>
      <c r="P14" s="1588" t="s">
        <v>2247</v>
      </c>
      <c r="Q14" s="964">
        <f>35.53/E14/1.13</f>
        <v>4.40988469510606</v>
      </c>
      <c r="R14" s="964">
        <v>13.2099553941386</v>
      </c>
      <c r="S14" s="964">
        <f>22.5/E14</f>
        <v>3.15568022440393</v>
      </c>
      <c r="T14" s="964">
        <f t="shared" si="0"/>
        <v>20.7755203136486</v>
      </c>
      <c r="U14" s="1754" t="s">
        <v>1526</v>
      </c>
      <c r="V14" s="967" t="s">
        <v>2271</v>
      </c>
      <c r="W14" s="1755"/>
    </row>
    <row r="15" s="42" customFormat="1" ht="15" hidden="1" customHeight="1" spans="1:31">
      <c r="A15" s="1169"/>
      <c r="B15" s="23" t="s">
        <v>4110</v>
      </c>
      <c r="C15" s="23">
        <v>20240511</v>
      </c>
      <c r="D15" s="23">
        <v>7.22</v>
      </c>
      <c r="E15" s="23">
        <v>7.19</v>
      </c>
      <c r="F15" s="23" t="s">
        <v>4111</v>
      </c>
      <c r="G15" s="23" t="s">
        <v>4112</v>
      </c>
      <c r="H15" s="23" t="s">
        <v>1933</v>
      </c>
      <c r="I15" s="23" t="s">
        <v>4113</v>
      </c>
      <c r="J15" s="21"/>
      <c r="K15" s="690" t="s">
        <v>1913</v>
      </c>
      <c r="L15" s="690" t="s">
        <v>1428</v>
      </c>
      <c r="M15" s="21" t="s">
        <v>1428</v>
      </c>
      <c r="N15" s="21" t="s">
        <v>1428</v>
      </c>
      <c r="O15" s="21" t="s">
        <v>1428</v>
      </c>
      <c r="P15" s="21" t="s">
        <v>1428</v>
      </c>
      <c r="Q15" s="37">
        <f>39.28/E15/1.13</f>
        <v>4.83464004824794</v>
      </c>
      <c r="R15" s="37">
        <v>23.3845483577167</v>
      </c>
      <c r="S15" s="774">
        <v>4.3</v>
      </c>
      <c r="T15" s="37">
        <f t="shared" ref="T15:T25" si="1">SUM(M15:S15)</f>
        <v>32.5191884059646</v>
      </c>
      <c r="U15" s="793" t="s">
        <v>1526</v>
      </c>
      <c r="V15" s="23" t="s">
        <v>4114</v>
      </c>
      <c r="W15" s="120" t="s">
        <v>4115</v>
      </c>
    </row>
    <row r="16" s="42" customFormat="1" ht="15" hidden="1" customHeight="1" spans="1:31">
      <c r="A16" s="1169"/>
      <c r="B16" s="23"/>
      <c r="C16" s="23">
        <v>20240511</v>
      </c>
      <c r="D16" s="23">
        <v>7.22</v>
      </c>
      <c r="E16" s="23">
        <v>7.19</v>
      </c>
      <c r="F16" s="23" t="s">
        <v>4116</v>
      </c>
      <c r="G16" s="23" t="s">
        <v>4117</v>
      </c>
      <c r="H16" s="23" t="s">
        <v>1933</v>
      </c>
      <c r="I16" s="23" t="s">
        <v>4118</v>
      </c>
      <c r="J16" s="21"/>
      <c r="K16" s="690" t="s">
        <v>1913</v>
      </c>
      <c r="L16" s="690" t="s">
        <v>1428</v>
      </c>
      <c r="M16" s="21" t="s">
        <v>1428</v>
      </c>
      <c r="N16" s="21" t="s">
        <v>1428</v>
      </c>
      <c r="O16" s="21" t="s">
        <v>1428</v>
      </c>
      <c r="P16" s="21" t="s">
        <v>1428</v>
      </c>
      <c r="Q16" s="37">
        <v>5.3</v>
      </c>
      <c r="R16" s="37">
        <v>34.6937001841952</v>
      </c>
      <c r="S16" s="774">
        <v>4.3</v>
      </c>
      <c r="T16" s="37">
        <f t="shared" si="1"/>
        <v>44.2937001841952</v>
      </c>
      <c r="U16" s="793" t="s">
        <v>1526</v>
      </c>
      <c r="V16" s="23" t="s">
        <v>4119</v>
      </c>
      <c r="W16" s="120" t="s">
        <v>4115</v>
      </c>
    </row>
    <row r="17" s="42" customFormat="1" ht="15" hidden="1" customHeight="1" spans="1:23">
      <c r="A17" s="1169"/>
      <c r="B17" s="23"/>
      <c r="C17" s="23">
        <v>20240905</v>
      </c>
      <c r="D17" s="23">
        <v>7.11</v>
      </c>
      <c r="E17" s="23">
        <v>7.19</v>
      </c>
      <c r="F17" s="23" t="s">
        <v>4120</v>
      </c>
      <c r="G17" s="23" t="s">
        <v>4121</v>
      </c>
      <c r="H17" s="23" t="s">
        <v>4122</v>
      </c>
      <c r="I17" s="23" t="s">
        <v>4123</v>
      </c>
      <c r="J17" s="21"/>
      <c r="K17" s="690" t="s">
        <v>1913</v>
      </c>
      <c r="L17" s="690" t="s">
        <v>1428</v>
      </c>
      <c r="M17" s="21" t="s">
        <v>1428</v>
      </c>
      <c r="N17" s="21" t="s">
        <v>1428</v>
      </c>
      <c r="O17" s="21" t="s">
        <v>1428</v>
      </c>
      <c r="P17" s="21" t="s">
        <v>1428</v>
      </c>
      <c r="Q17" s="37">
        <f t="shared" ref="Q17:Q22" si="2">39.28/E17/1.13</f>
        <v>4.83464004824794</v>
      </c>
      <c r="R17" s="37">
        <v>22.6878317576745</v>
      </c>
      <c r="S17" s="774">
        <v>4.3</v>
      </c>
      <c r="T17" s="37">
        <f t="shared" si="1"/>
        <v>31.8224718059224</v>
      </c>
      <c r="U17" s="793" t="s">
        <v>1526</v>
      </c>
      <c r="V17" s="167" t="s">
        <v>4124</v>
      </c>
      <c r="W17" s="120" t="s">
        <v>4115</v>
      </c>
    </row>
    <row r="18" s="42" customFormat="1" ht="15" hidden="1" customHeight="1" spans="1:23">
      <c r="A18" s="1169"/>
      <c r="B18" s="23"/>
      <c r="C18" s="23">
        <v>20240905</v>
      </c>
      <c r="D18" s="23">
        <v>7.11</v>
      </c>
      <c r="E18" s="23">
        <v>7.19</v>
      </c>
      <c r="F18" s="23" t="s">
        <v>4125</v>
      </c>
      <c r="G18" s="23" t="s">
        <v>4126</v>
      </c>
      <c r="H18" s="23" t="s">
        <v>4122</v>
      </c>
      <c r="I18" s="23" t="s">
        <v>4123</v>
      </c>
      <c r="J18" s="21"/>
      <c r="K18" s="690" t="s">
        <v>1913</v>
      </c>
      <c r="L18" s="690" t="s">
        <v>1428</v>
      </c>
      <c r="M18" s="21" t="s">
        <v>1428</v>
      </c>
      <c r="N18" s="21" t="s">
        <v>1428</v>
      </c>
      <c r="O18" s="21" t="s">
        <v>1428</v>
      </c>
      <c r="P18" s="21" t="s">
        <v>1428</v>
      </c>
      <c r="Q18" s="37">
        <f t="shared" si="2"/>
        <v>4.83464004824794</v>
      </c>
      <c r="R18" s="37">
        <v>26.6914956422563</v>
      </c>
      <c r="S18" s="774">
        <v>4.3</v>
      </c>
      <c r="T18" s="37">
        <f t="shared" si="1"/>
        <v>35.8261356905042</v>
      </c>
      <c r="U18" s="793" t="s">
        <v>1526</v>
      </c>
      <c r="V18" s="23" t="s">
        <v>4127</v>
      </c>
      <c r="W18" s="120" t="s">
        <v>4115</v>
      </c>
    </row>
    <row r="19" s="42" customFormat="1" ht="15" hidden="1" customHeight="1" spans="1:23">
      <c r="A19" s="1169"/>
      <c r="B19" s="23"/>
      <c r="C19" s="23">
        <v>20240913</v>
      </c>
      <c r="D19" s="23">
        <v>7.11</v>
      </c>
      <c r="E19" s="23">
        <v>7.19</v>
      </c>
      <c r="F19" s="23" t="s">
        <v>4128</v>
      </c>
      <c r="G19" s="23" t="s">
        <v>4129</v>
      </c>
      <c r="H19" s="23" t="s">
        <v>4122</v>
      </c>
      <c r="I19" s="23" t="s">
        <v>4130</v>
      </c>
      <c r="J19" s="21"/>
      <c r="K19" s="690" t="s">
        <v>1913</v>
      </c>
      <c r="L19" s="690" t="s">
        <v>1428</v>
      </c>
      <c r="M19" s="21" t="s">
        <v>1428</v>
      </c>
      <c r="N19" s="21" t="s">
        <v>1428</v>
      </c>
      <c r="O19" s="21" t="s">
        <v>1428</v>
      </c>
      <c r="P19" s="21" t="s">
        <v>1428</v>
      </c>
      <c r="Q19" s="37">
        <f t="shared" si="2"/>
        <v>4.83464004824794</v>
      </c>
      <c r="R19" s="37">
        <v>22.3194600446826</v>
      </c>
      <c r="S19" s="774">
        <v>4.3</v>
      </c>
      <c r="T19" s="37">
        <f t="shared" si="1"/>
        <v>31.4541000929305</v>
      </c>
      <c r="U19" s="793" t="s">
        <v>1526</v>
      </c>
      <c r="V19" s="167" t="s">
        <v>4124</v>
      </c>
      <c r="W19" s="120"/>
    </row>
    <row r="20" s="42" customFormat="1" ht="15" hidden="1" customHeight="1" spans="1:23">
      <c r="A20" s="1169"/>
      <c r="B20" s="23"/>
      <c r="C20" s="23">
        <v>20240913</v>
      </c>
      <c r="D20" s="23">
        <v>7.11</v>
      </c>
      <c r="E20" s="23">
        <v>7.19</v>
      </c>
      <c r="F20" s="23" t="s">
        <v>4131</v>
      </c>
      <c r="G20" s="23" t="s">
        <v>2025</v>
      </c>
      <c r="H20" s="23" t="s">
        <v>4122</v>
      </c>
      <c r="I20" s="23" t="s">
        <v>4130</v>
      </c>
      <c r="J20" s="21"/>
      <c r="K20" s="690" t="s">
        <v>1913</v>
      </c>
      <c r="L20" s="690" t="s">
        <v>1428</v>
      </c>
      <c r="M20" s="21" t="s">
        <v>1428</v>
      </c>
      <c r="N20" s="21" t="s">
        <v>1428</v>
      </c>
      <c r="O20" s="21" t="s">
        <v>1428</v>
      </c>
      <c r="P20" s="21" t="s">
        <v>1428</v>
      </c>
      <c r="Q20" s="37">
        <f t="shared" si="2"/>
        <v>4.83464004824794</v>
      </c>
      <c r="R20" s="37">
        <v>22.5943351568796</v>
      </c>
      <c r="S20" s="774">
        <v>4.3</v>
      </c>
      <c r="T20" s="37">
        <f t="shared" si="1"/>
        <v>31.7289752051275</v>
      </c>
      <c r="U20" s="793" t="s">
        <v>1526</v>
      </c>
      <c r="V20" s="167" t="s">
        <v>4124</v>
      </c>
      <c r="W20" s="120"/>
    </row>
    <row r="21" s="42" customFormat="1" ht="15" hidden="1" customHeight="1" spans="1:23">
      <c r="A21" s="1169"/>
      <c r="B21" s="23"/>
      <c r="C21" s="23">
        <v>20240913</v>
      </c>
      <c r="D21" s="23">
        <v>7.11</v>
      </c>
      <c r="E21" s="23">
        <v>7.19</v>
      </c>
      <c r="F21" s="23" t="s">
        <v>2085</v>
      </c>
      <c r="G21" s="23" t="s">
        <v>2086</v>
      </c>
      <c r="H21" s="23" t="s">
        <v>4122</v>
      </c>
      <c r="I21" s="23" t="s">
        <v>4130</v>
      </c>
      <c r="J21" s="21"/>
      <c r="K21" s="690" t="s">
        <v>1913</v>
      </c>
      <c r="L21" s="690" t="s">
        <v>1428</v>
      </c>
      <c r="M21" s="21" t="s">
        <v>1428</v>
      </c>
      <c r="N21" s="21" t="s">
        <v>1428</v>
      </c>
      <c r="O21" s="21" t="s">
        <v>1428</v>
      </c>
      <c r="P21" s="21" t="s">
        <v>1428</v>
      </c>
      <c r="Q21" s="37">
        <f t="shared" si="2"/>
        <v>4.83464004824794</v>
      </c>
      <c r="R21" s="37">
        <v>26.0965440547973</v>
      </c>
      <c r="S21" s="774">
        <v>4.3</v>
      </c>
      <c r="T21" s="37">
        <f t="shared" si="1"/>
        <v>35.2311841030452</v>
      </c>
      <c r="U21" s="793" t="s">
        <v>1526</v>
      </c>
      <c r="V21" s="167" t="s">
        <v>4132</v>
      </c>
      <c r="W21" s="120"/>
    </row>
    <row r="22" s="42" customFormat="1" ht="15" hidden="1" customHeight="1" spans="1:23">
      <c r="A22" s="1169"/>
      <c r="B22" s="23"/>
      <c r="C22" s="880">
        <v>20241104</v>
      </c>
      <c r="D22" s="23">
        <v>7.11</v>
      </c>
      <c r="E22" s="23">
        <v>7.19</v>
      </c>
      <c r="F22" s="880" t="s">
        <v>4133</v>
      </c>
      <c r="G22" s="23" t="s">
        <v>4134</v>
      </c>
      <c r="H22" s="23" t="s">
        <v>4122</v>
      </c>
      <c r="I22" s="23" t="s">
        <v>4135</v>
      </c>
      <c r="J22" s="21"/>
      <c r="K22" s="690" t="s">
        <v>1913</v>
      </c>
      <c r="L22" s="690" t="s">
        <v>1428</v>
      </c>
      <c r="M22" s="21" t="s">
        <v>1428</v>
      </c>
      <c r="N22" s="21" t="s">
        <v>1428</v>
      </c>
      <c r="O22" s="21" t="s">
        <v>1428</v>
      </c>
      <c r="P22" s="21" t="s">
        <v>1428</v>
      </c>
      <c r="Q22" s="37">
        <f t="shared" si="2"/>
        <v>4.83464004824794</v>
      </c>
      <c r="R22" s="37">
        <v>22.206039810837</v>
      </c>
      <c r="S22" s="774">
        <v>4.3</v>
      </c>
      <c r="T22" s="37">
        <f t="shared" si="1"/>
        <v>31.3406798590849</v>
      </c>
      <c r="U22" s="793" t="s">
        <v>1526</v>
      </c>
      <c r="V22" s="23" t="s">
        <v>4136</v>
      </c>
      <c r="W22" s="120"/>
    </row>
    <row r="23" s="42" customFormat="1" ht="15" hidden="1" customHeight="1" spans="1:23">
      <c r="A23" s="1169"/>
      <c r="B23" s="705"/>
      <c r="C23" s="880">
        <v>20250305</v>
      </c>
      <c r="D23" s="23">
        <v>7.25</v>
      </c>
      <c r="E23" s="23">
        <v>7.17</v>
      </c>
      <c r="F23" s="880" t="s">
        <v>4137</v>
      </c>
      <c r="G23" s="23" t="s">
        <v>1565</v>
      </c>
      <c r="H23" s="23" t="s">
        <v>2801</v>
      </c>
      <c r="I23" s="880" t="s">
        <v>4138</v>
      </c>
      <c r="J23" s="187"/>
      <c r="K23" s="690" t="s">
        <v>1913</v>
      </c>
      <c r="L23" s="690" t="s">
        <v>1731</v>
      </c>
      <c r="M23" s="21" t="s">
        <v>1428</v>
      </c>
      <c r="N23" s="21" t="s">
        <v>1428</v>
      </c>
      <c r="O23" s="21" t="s">
        <v>1428</v>
      </c>
      <c r="P23" s="792">
        <v>13</v>
      </c>
      <c r="Q23" s="37">
        <v>6.26448442771232</v>
      </c>
      <c r="R23" s="37">
        <v>38.3712750801993</v>
      </c>
      <c r="S23" s="774">
        <v>4.3</v>
      </c>
      <c r="T23" s="37">
        <f t="shared" si="1"/>
        <v>61.9357595079116</v>
      </c>
      <c r="U23" s="793" t="s">
        <v>1526</v>
      </c>
      <c r="V23" s="750" t="s">
        <v>4139</v>
      </c>
      <c r="W23" s="120"/>
    </row>
    <row r="24" s="42" customFormat="1" ht="15" hidden="1" customHeight="1" spans="1:23">
      <c r="A24" s="1169"/>
      <c r="B24" s="706"/>
      <c r="C24" s="880">
        <v>20250512</v>
      </c>
      <c r="D24" s="23">
        <v>7.24</v>
      </c>
      <c r="E24" s="23">
        <v>7.17</v>
      </c>
      <c r="F24" s="791" t="s">
        <v>4140</v>
      </c>
      <c r="G24" s="23" t="s">
        <v>1617</v>
      </c>
      <c r="H24" s="23" t="s">
        <v>2801</v>
      </c>
      <c r="I24" s="880"/>
      <c r="J24" s="880" t="s">
        <v>4141</v>
      </c>
      <c r="K24" s="690" t="s">
        <v>1913</v>
      </c>
      <c r="L24" s="690" t="s">
        <v>1731</v>
      </c>
      <c r="M24" s="21">
        <v>405</v>
      </c>
      <c r="N24" s="21"/>
      <c r="O24" s="21"/>
      <c r="P24" s="792">
        <v>13</v>
      </c>
      <c r="Q24" s="37">
        <v>6.26448442771232</v>
      </c>
      <c r="R24" s="795">
        <v>39.6068415451474</v>
      </c>
      <c r="S24" s="774">
        <v>4.3</v>
      </c>
      <c r="T24" s="37">
        <f t="shared" si="1"/>
        <v>468.17132597286</v>
      </c>
      <c r="U24" s="793" t="s">
        <v>1526</v>
      </c>
      <c r="V24" s="750" t="s">
        <v>4142</v>
      </c>
      <c r="W24" s="120"/>
    </row>
    <row r="25" s="42" customFormat="1" ht="15" hidden="1" customHeight="1" spans="1:23">
      <c r="A25" s="1169"/>
      <c r="B25" s="706"/>
      <c r="C25" s="880">
        <v>20250512</v>
      </c>
      <c r="D25" s="23">
        <v>7.24</v>
      </c>
      <c r="E25" s="23">
        <v>7.17</v>
      </c>
      <c r="F25" s="880" t="s">
        <v>4143</v>
      </c>
      <c r="G25" s="23" t="s">
        <v>1629</v>
      </c>
      <c r="H25" s="23" t="s">
        <v>2801</v>
      </c>
      <c r="I25" s="880"/>
      <c r="J25" s="880" t="s">
        <v>4144</v>
      </c>
      <c r="K25" s="690" t="s">
        <v>1913</v>
      </c>
      <c r="L25" s="690" t="s">
        <v>1731</v>
      </c>
      <c r="M25" s="21">
        <v>260</v>
      </c>
      <c r="N25" s="21"/>
      <c r="O25" s="21"/>
      <c r="P25" s="792">
        <v>13</v>
      </c>
      <c r="Q25" s="37">
        <v>6.26448442771232</v>
      </c>
      <c r="R25" s="795">
        <v>38.4277648524789</v>
      </c>
      <c r="S25" s="774">
        <v>4.3</v>
      </c>
      <c r="T25" s="37">
        <f t="shared" si="1"/>
        <v>321.992249280191</v>
      </c>
      <c r="U25" s="793" t="s">
        <v>1526</v>
      </c>
      <c r="V25" s="750" t="s">
        <v>4145</v>
      </c>
      <c r="W25" s="120"/>
    </row>
    <row r="26" s="42" customFormat="1" ht="15" hidden="1" customHeight="1" spans="1:23">
      <c r="A26" s="1169"/>
      <c r="B26" s="706"/>
      <c r="C26" s="1653">
        <v>46105</v>
      </c>
      <c r="D26" s="23">
        <v>6.91</v>
      </c>
      <c r="E26" s="23"/>
      <c r="F26" s="972"/>
      <c r="G26" s="23"/>
      <c r="H26" s="23"/>
      <c r="I26" s="880"/>
      <c r="J26" s="880"/>
      <c r="K26" s="690"/>
      <c r="L26" s="690"/>
      <c r="M26" s="21"/>
      <c r="N26" s="21"/>
      <c r="O26" s="21"/>
      <c r="P26" s="792"/>
      <c r="Q26" s="37"/>
      <c r="R26" s="795"/>
      <c r="S26" s="774"/>
      <c r="T26" s="37"/>
      <c r="U26" s="793"/>
      <c r="V26" s="750"/>
      <c r="W26" s="120"/>
    </row>
    <row r="27" s="42" customFormat="1" ht="15" hidden="1" customHeight="1" spans="1:23">
      <c r="A27" s="1169"/>
      <c r="B27" s="706"/>
      <c r="C27" s="1653">
        <v>46105</v>
      </c>
      <c r="D27" s="23">
        <v>6.91</v>
      </c>
      <c r="E27" s="23"/>
      <c r="F27" s="972"/>
      <c r="G27" s="23"/>
      <c r="H27" s="23"/>
      <c r="I27" s="880"/>
      <c r="J27" s="880"/>
      <c r="K27" s="690"/>
      <c r="L27" s="690"/>
      <c r="M27" s="21"/>
      <c r="N27" s="21"/>
      <c r="O27" s="21"/>
      <c r="P27" s="792"/>
      <c r="Q27" s="37"/>
      <c r="R27" s="795"/>
      <c r="S27" s="774"/>
      <c r="T27" s="37"/>
      <c r="U27" s="793"/>
      <c r="V27" s="750"/>
      <c r="W27" s="120"/>
    </row>
    <row r="28" s="42" customFormat="1" ht="15" hidden="1" customHeight="1" spans="1:23">
      <c r="A28" s="1169"/>
      <c r="B28" s="706"/>
      <c r="C28" s="880">
        <v>20250702</v>
      </c>
      <c r="D28" s="23">
        <v>7.17</v>
      </c>
      <c r="E28" s="23" t="s">
        <v>1411</v>
      </c>
      <c r="F28" s="972" t="s">
        <v>4146</v>
      </c>
      <c r="G28" s="23" t="s">
        <v>1645</v>
      </c>
      <c r="H28" s="23" t="s">
        <v>2801</v>
      </c>
      <c r="I28" s="880"/>
      <c r="J28" s="880" t="s">
        <v>4147</v>
      </c>
      <c r="K28" s="690" t="s">
        <v>1913</v>
      </c>
      <c r="L28" s="690" t="s">
        <v>1731</v>
      </c>
      <c r="M28" s="21" t="s">
        <v>1428</v>
      </c>
      <c r="N28" s="21"/>
      <c r="O28" s="21"/>
      <c r="P28" s="792">
        <f>42.7/D28/1.13</f>
        <v>5.2702385801212</v>
      </c>
      <c r="Q28" s="37">
        <v>28.5</v>
      </c>
      <c r="R28" s="795">
        <v>38.164635212171</v>
      </c>
      <c r="S28" s="774">
        <v>4.3</v>
      </c>
      <c r="T28" s="37">
        <f t="shared" ref="T28:T80" si="3">SUM(M28:S28)</f>
        <v>76.2348737922922</v>
      </c>
      <c r="U28" s="793" t="s">
        <v>1526</v>
      </c>
      <c r="V28" s="750" t="s">
        <v>4148</v>
      </c>
      <c r="W28" s="120"/>
    </row>
    <row r="29" s="42" customFormat="1" ht="15" hidden="1" customHeight="1" spans="1:23">
      <c r="A29" s="1169"/>
      <c r="B29" s="706"/>
      <c r="C29" s="880">
        <v>20250702</v>
      </c>
      <c r="D29" s="23">
        <v>7.17</v>
      </c>
      <c r="E29" s="23">
        <v>7.17</v>
      </c>
      <c r="F29" s="1758" t="s">
        <v>4149</v>
      </c>
      <c r="G29" s="23" t="s">
        <v>1604</v>
      </c>
      <c r="H29" s="23" t="s">
        <v>2801</v>
      </c>
      <c r="I29" s="880"/>
      <c r="J29" s="880" t="s">
        <v>4150</v>
      </c>
      <c r="K29" s="690" t="s">
        <v>1913</v>
      </c>
      <c r="L29" s="690" t="s">
        <v>1731</v>
      </c>
      <c r="M29" s="21" t="s">
        <v>1428</v>
      </c>
      <c r="N29" s="21"/>
      <c r="O29" s="21"/>
      <c r="P29" s="792">
        <v>13</v>
      </c>
      <c r="Q29" s="37">
        <v>6.26448442771232</v>
      </c>
      <c r="R29" s="795">
        <v>37.49</v>
      </c>
      <c r="S29" s="774">
        <v>4.3</v>
      </c>
      <c r="T29" s="37">
        <f t="shared" si="3"/>
        <v>61.0544844277123</v>
      </c>
      <c r="U29" s="793" t="s">
        <v>1526</v>
      </c>
      <c r="V29" s="750" t="s">
        <v>4151</v>
      </c>
      <c r="W29" s="120"/>
    </row>
    <row r="30" s="42" customFormat="1" ht="15" hidden="1" customHeight="1" spans="1:23">
      <c r="A30" s="1169"/>
      <c r="B30" s="706"/>
      <c r="C30" s="880">
        <v>20250820</v>
      </c>
      <c r="D30" s="23"/>
      <c r="E30" s="23">
        <v>7.17</v>
      </c>
      <c r="F30" s="1758" t="s">
        <v>4152</v>
      </c>
      <c r="G30" s="23" t="s">
        <v>4153</v>
      </c>
      <c r="H30" s="23" t="s">
        <v>2801</v>
      </c>
      <c r="I30" s="880"/>
      <c r="J30" s="880" t="s">
        <v>4147</v>
      </c>
      <c r="K30" s="690" t="s">
        <v>1913</v>
      </c>
      <c r="L30" s="690" t="s">
        <v>1731</v>
      </c>
      <c r="M30" s="21" t="s">
        <v>1428</v>
      </c>
      <c r="N30" s="21"/>
      <c r="O30" s="21"/>
      <c r="P30" s="792">
        <v>13</v>
      </c>
      <c r="Q30" s="37">
        <f>49.255/E30/1.13</f>
        <v>6.07928808580492</v>
      </c>
      <c r="R30" s="709">
        <f>37.7034212008221+0.5</f>
        <v>38.2034212008221</v>
      </c>
      <c r="S30" s="774">
        <f>24.05/E30</f>
        <v>3.35425383542538</v>
      </c>
      <c r="T30" s="37">
        <f t="shared" si="3"/>
        <v>60.6369631220524</v>
      </c>
      <c r="U30" s="793" t="s">
        <v>1526</v>
      </c>
      <c r="V30" s="750" t="s">
        <v>4154</v>
      </c>
      <c r="W30" s="120"/>
    </row>
    <row r="31" s="42" customFormat="1" ht="15" hidden="1" customHeight="1" spans="1:23">
      <c r="A31" s="1169"/>
      <c r="B31" s="707"/>
      <c r="C31" s="880">
        <v>20250820</v>
      </c>
      <c r="D31" s="23"/>
      <c r="E31" s="23">
        <v>7.17</v>
      </c>
      <c r="F31" s="1758" t="s">
        <v>1728</v>
      </c>
      <c r="G31" s="23" t="s">
        <v>4155</v>
      </c>
      <c r="H31" s="23" t="s">
        <v>2801</v>
      </c>
      <c r="I31" s="880"/>
      <c r="J31" s="880" t="s">
        <v>4150</v>
      </c>
      <c r="K31" s="690" t="s">
        <v>1913</v>
      </c>
      <c r="L31" s="690" t="s">
        <v>1731</v>
      </c>
      <c r="M31" s="21" t="s">
        <v>1428</v>
      </c>
      <c r="N31" s="21"/>
      <c r="O31" s="21"/>
      <c r="P31" s="792">
        <v>13</v>
      </c>
      <c r="Q31" s="37">
        <f>49.255/E31/1.13</f>
        <v>6.07928808580492</v>
      </c>
      <c r="R31" s="709">
        <f>37.7034212008221+0.5</f>
        <v>38.2034212008221</v>
      </c>
      <c r="S31" s="774">
        <f>24.05/E31</f>
        <v>3.35425383542538</v>
      </c>
      <c r="T31" s="37">
        <f t="shared" si="3"/>
        <v>60.6369631220524</v>
      </c>
      <c r="U31" s="793" t="s">
        <v>1526</v>
      </c>
      <c r="V31" s="750" t="s">
        <v>4154</v>
      </c>
      <c r="W31" s="120"/>
    </row>
    <row r="32" s="42" customFormat="1" ht="15" hidden="1" customHeight="1" spans="1:23">
      <c r="A32" s="1169"/>
      <c r="B32" s="23" t="s">
        <v>4156</v>
      </c>
      <c r="C32" s="23"/>
      <c r="D32" s="23"/>
      <c r="E32" s="23"/>
      <c r="F32" s="23"/>
      <c r="G32" s="23" t="s">
        <v>1565</v>
      </c>
      <c r="H32" s="23" t="s">
        <v>1933</v>
      </c>
      <c r="I32" s="23" t="s">
        <v>4157</v>
      </c>
      <c r="J32" s="21"/>
      <c r="K32" s="22" t="s">
        <v>1913</v>
      </c>
      <c r="L32" s="21" t="s">
        <v>2955</v>
      </c>
      <c r="M32" s="21">
        <v>90</v>
      </c>
      <c r="N32" s="21" t="s">
        <v>1428</v>
      </c>
      <c r="O32" s="21" t="s">
        <v>1428</v>
      </c>
      <c r="P32" s="21" t="s">
        <v>1428</v>
      </c>
      <c r="Q32" s="37">
        <v>5.75583129537064</v>
      </c>
      <c r="R32" s="37">
        <v>27.0297110838894</v>
      </c>
      <c r="S32" s="774">
        <v>5</v>
      </c>
      <c r="T32" s="37">
        <f t="shared" si="3"/>
        <v>127.78554237926</v>
      </c>
      <c r="U32" s="793" t="s">
        <v>1526</v>
      </c>
      <c r="V32" s="23" t="s">
        <v>4158</v>
      </c>
      <c r="W32" s="120" t="s">
        <v>1406</v>
      </c>
    </row>
    <row r="33" s="42" customFormat="1" ht="15" hidden="1" customHeight="1" spans="1:23">
      <c r="A33" s="1169"/>
      <c r="B33" s="23"/>
      <c r="C33" s="23"/>
      <c r="D33" s="23"/>
      <c r="E33" s="23"/>
      <c r="F33" s="23"/>
      <c r="G33" s="23" t="s">
        <v>1617</v>
      </c>
      <c r="H33" s="23" t="s">
        <v>1933</v>
      </c>
      <c r="I33" s="23" t="s">
        <v>4159</v>
      </c>
      <c r="J33" s="21"/>
      <c r="K33" s="22" t="s">
        <v>1913</v>
      </c>
      <c r="L33" s="21" t="s">
        <v>3696</v>
      </c>
      <c r="M33" s="21" t="s">
        <v>1428</v>
      </c>
      <c r="N33" s="21" t="s">
        <v>1428</v>
      </c>
      <c r="O33" s="21" t="s">
        <v>1428</v>
      </c>
      <c r="P33" s="21">
        <v>3.3</v>
      </c>
      <c r="Q33" s="37">
        <v>5.75583129537064</v>
      </c>
      <c r="R33" s="37">
        <v>26.8114062135361</v>
      </c>
      <c r="S33" s="774">
        <v>5</v>
      </c>
      <c r="T33" s="37">
        <f t="shared" si="3"/>
        <v>40.8672375089067</v>
      </c>
      <c r="U33" s="793" t="s">
        <v>1526</v>
      </c>
      <c r="V33" s="23" t="s">
        <v>4160</v>
      </c>
      <c r="W33" s="120" t="s">
        <v>1406</v>
      </c>
    </row>
    <row r="34" s="42" customFormat="1" ht="15" hidden="1" customHeight="1" spans="1:23">
      <c r="A34" s="1169"/>
      <c r="B34" s="23" t="s">
        <v>4161</v>
      </c>
      <c r="C34" s="23"/>
      <c r="D34" s="23"/>
      <c r="E34" s="23"/>
      <c r="F34" s="23"/>
      <c r="G34" s="23" t="s">
        <v>1565</v>
      </c>
      <c r="H34" s="23" t="s">
        <v>1933</v>
      </c>
      <c r="I34" s="23" t="s">
        <v>4162</v>
      </c>
      <c r="J34" s="21"/>
      <c r="K34" s="22" t="s">
        <v>1913</v>
      </c>
      <c r="L34" s="21" t="s">
        <v>2955</v>
      </c>
      <c r="M34" s="21">
        <v>70</v>
      </c>
      <c r="N34" s="21" t="s">
        <v>1428</v>
      </c>
      <c r="O34" s="21" t="s">
        <v>1428</v>
      </c>
      <c r="P34" s="21" t="s">
        <v>1428</v>
      </c>
      <c r="Q34" s="37">
        <v>4.62798620689655</v>
      </c>
      <c r="R34" s="37">
        <v>25.0572468370206</v>
      </c>
      <c r="S34" s="774">
        <v>5</v>
      </c>
      <c r="T34" s="37">
        <f t="shared" si="3"/>
        <v>104.685233043917</v>
      </c>
      <c r="U34" s="793" t="s">
        <v>1526</v>
      </c>
      <c r="V34" s="23" t="s">
        <v>4163</v>
      </c>
      <c r="W34" s="120" t="s">
        <v>1406</v>
      </c>
    </row>
    <row r="35" s="42" customFormat="1" ht="15" hidden="1" customHeight="1" spans="1:23">
      <c r="A35" s="1169"/>
      <c r="B35" s="23"/>
      <c r="C35" s="23"/>
      <c r="D35" s="23"/>
      <c r="E35" s="23"/>
      <c r="F35" s="23"/>
      <c r="G35" s="23" t="s">
        <v>1604</v>
      </c>
      <c r="H35" s="23" t="s">
        <v>1933</v>
      </c>
      <c r="I35" s="23" t="s">
        <v>4157</v>
      </c>
      <c r="J35" s="21"/>
      <c r="K35" s="22" t="s">
        <v>1913</v>
      </c>
      <c r="L35" s="21" t="s">
        <v>3696</v>
      </c>
      <c r="M35" s="21">
        <v>90</v>
      </c>
      <c r="N35" s="21" t="s">
        <v>1428</v>
      </c>
      <c r="O35" s="21" t="s">
        <v>1428</v>
      </c>
      <c r="P35" s="21">
        <v>3.3</v>
      </c>
      <c r="Q35" s="37">
        <v>4.62798620689655</v>
      </c>
      <c r="R35" s="37">
        <v>23.1242369486726</v>
      </c>
      <c r="S35" s="774">
        <v>5</v>
      </c>
      <c r="T35" s="37">
        <f t="shared" si="3"/>
        <v>126.052223155569</v>
      </c>
      <c r="U35" s="793" t="s">
        <v>1526</v>
      </c>
      <c r="V35" s="23" t="s">
        <v>4164</v>
      </c>
      <c r="W35" s="120" t="s">
        <v>1406</v>
      </c>
    </row>
    <row r="36" s="42" customFormat="1" ht="15" hidden="1" customHeight="1" spans="1:23">
      <c r="A36" s="1169"/>
      <c r="B36" s="23"/>
      <c r="C36" s="23"/>
      <c r="D36" s="23"/>
      <c r="E36" s="23"/>
      <c r="F36" s="23"/>
      <c r="G36" s="23" t="s">
        <v>1571</v>
      </c>
      <c r="H36" s="23" t="s">
        <v>1933</v>
      </c>
      <c r="I36" s="23" t="s">
        <v>4159</v>
      </c>
      <c r="J36" s="21"/>
      <c r="K36" s="22" t="s">
        <v>1913</v>
      </c>
      <c r="L36" s="21" t="s">
        <v>2955</v>
      </c>
      <c r="M36" s="21" t="s">
        <v>1428</v>
      </c>
      <c r="N36" s="21" t="s">
        <v>1428</v>
      </c>
      <c r="O36" s="21" t="s">
        <v>1428</v>
      </c>
      <c r="P36" s="21" t="s">
        <v>1428</v>
      </c>
      <c r="Q36" s="37">
        <v>16</v>
      </c>
      <c r="R36" s="37">
        <v>21.5817695816951</v>
      </c>
      <c r="S36" s="774">
        <v>5</v>
      </c>
      <c r="T36" s="37">
        <f t="shared" si="3"/>
        <v>42.5817695816951</v>
      </c>
      <c r="U36" s="793" t="s">
        <v>1526</v>
      </c>
      <c r="V36" s="1759" t="s">
        <v>1413</v>
      </c>
      <c r="W36" s="120" t="s">
        <v>1406</v>
      </c>
    </row>
    <row r="37" s="42" customFormat="1" ht="15" hidden="1" customHeight="1" spans="1:23">
      <c r="A37" s="1169"/>
      <c r="B37" s="23"/>
      <c r="C37" s="23"/>
      <c r="D37" s="23"/>
      <c r="E37" s="23"/>
      <c r="F37" s="23"/>
      <c r="G37" s="23" t="s">
        <v>4165</v>
      </c>
      <c r="H37" s="23" t="s">
        <v>1933</v>
      </c>
      <c r="I37" s="23" t="s">
        <v>4159</v>
      </c>
      <c r="J37" s="21"/>
      <c r="K37" s="22" t="s">
        <v>1913</v>
      </c>
      <c r="L37" s="21" t="s">
        <v>2955</v>
      </c>
      <c r="M37" s="21" t="s">
        <v>1428</v>
      </c>
      <c r="N37" s="21" t="s">
        <v>1428</v>
      </c>
      <c r="O37" s="21" t="s">
        <v>1428</v>
      </c>
      <c r="P37" s="21" t="s">
        <v>1428</v>
      </c>
      <c r="Q37" s="37">
        <v>4.62798620689655</v>
      </c>
      <c r="R37" s="37">
        <v>19.3667771469408</v>
      </c>
      <c r="S37" s="774">
        <v>5</v>
      </c>
      <c r="T37" s="37">
        <f t="shared" si="3"/>
        <v>28.9947633538373</v>
      </c>
      <c r="U37" s="793" t="s">
        <v>1526</v>
      </c>
      <c r="V37" s="23" t="s">
        <v>4166</v>
      </c>
      <c r="W37" s="120" t="s">
        <v>1406</v>
      </c>
    </row>
    <row r="38" s="42" customFormat="1" ht="15" hidden="1" customHeight="1" spans="1:23">
      <c r="A38" s="1169"/>
      <c r="B38" s="23"/>
      <c r="C38" s="23"/>
      <c r="D38" s="23"/>
      <c r="E38" s="23"/>
      <c r="F38" s="23"/>
      <c r="G38" s="23" t="s">
        <v>1685</v>
      </c>
      <c r="H38" s="23" t="s">
        <v>1933</v>
      </c>
      <c r="I38" s="23" t="s">
        <v>4162</v>
      </c>
      <c r="J38" s="21"/>
      <c r="K38" s="22" t="s">
        <v>1913</v>
      </c>
      <c r="L38" s="21" t="s">
        <v>2955</v>
      </c>
      <c r="M38" s="21">
        <v>70</v>
      </c>
      <c r="N38" s="21" t="s">
        <v>1428</v>
      </c>
      <c r="O38" s="21" t="s">
        <v>1428</v>
      </c>
      <c r="P38" s="21" t="s">
        <v>1428</v>
      </c>
      <c r="Q38" s="37">
        <v>4.62798620689655</v>
      </c>
      <c r="R38" s="37">
        <v>22.883145559115</v>
      </c>
      <c r="S38" s="774">
        <v>5</v>
      </c>
      <c r="T38" s="37">
        <f t="shared" si="3"/>
        <v>102.511131766012</v>
      </c>
      <c r="U38" s="793" t="s">
        <v>1526</v>
      </c>
      <c r="V38" s="167" t="s">
        <v>4167</v>
      </c>
      <c r="W38" s="120" t="s">
        <v>1406</v>
      </c>
    </row>
    <row r="39" s="42" customFormat="1" ht="15" hidden="1" customHeight="1" spans="1:23">
      <c r="A39" s="1169"/>
      <c r="B39" s="23"/>
      <c r="C39" s="23"/>
      <c r="D39" s="23"/>
      <c r="E39" s="23"/>
      <c r="F39" s="23" t="s">
        <v>4168</v>
      </c>
      <c r="G39" s="23" t="s">
        <v>1671</v>
      </c>
      <c r="H39" s="23" t="s">
        <v>1933</v>
      </c>
      <c r="I39" s="23" t="s">
        <v>4157</v>
      </c>
      <c r="J39" s="21"/>
      <c r="K39" s="22" t="s">
        <v>1913</v>
      </c>
      <c r="L39" s="21" t="s">
        <v>2955</v>
      </c>
      <c r="M39" s="21">
        <v>90</v>
      </c>
      <c r="N39" s="21" t="s">
        <v>1428</v>
      </c>
      <c r="O39" s="21" t="s">
        <v>1428</v>
      </c>
      <c r="P39" s="21" t="s">
        <v>1428</v>
      </c>
      <c r="Q39" s="37">
        <v>4.62798620689655</v>
      </c>
      <c r="R39" s="37">
        <v>21.0946313805335</v>
      </c>
      <c r="S39" s="774">
        <v>5</v>
      </c>
      <c r="T39" s="37">
        <f t="shared" si="3"/>
        <v>120.72261758743</v>
      </c>
      <c r="U39" s="793" t="s">
        <v>1526</v>
      </c>
      <c r="V39" s="23" t="s">
        <v>4167</v>
      </c>
      <c r="W39" s="120" t="s">
        <v>1406</v>
      </c>
    </row>
    <row r="40" s="42" customFormat="1" ht="15" hidden="1" customHeight="1" spans="1:23">
      <c r="A40" s="1169"/>
      <c r="B40" s="23"/>
      <c r="C40" s="23"/>
      <c r="D40" s="23"/>
      <c r="E40" s="23"/>
      <c r="F40" s="23"/>
      <c r="G40" s="23" t="s">
        <v>4169</v>
      </c>
      <c r="H40" s="23"/>
      <c r="I40" s="23"/>
      <c r="J40" s="21"/>
      <c r="K40" s="22"/>
      <c r="L40" s="21"/>
      <c r="M40" s="21"/>
      <c r="N40" s="21"/>
      <c r="O40" s="21"/>
      <c r="P40" s="21"/>
      <c r="Q40" s="37">
        <v>0.0647517796774192</v>
      </c>
      <c r="R40" s="37">
        <v>0.297506967902693</v>
      </c>
      <c r="S40" s="774">
        <v>0.2</v>
      </c>
      <c r="T40" s="37">
        <f t="shared" si="3"/>
        <v>0.562258747580112</v>
      </c>
      <c r="U40" s="813"/>
      <c r="V40" s="23"/>
      <c r="W40" s="120" t="s">
        <v>1406</v>
      </c>
    </row>
    <row r="41" s="42" customFormat="1" ht="15" hidden="1" customHeight="1" spans="1:23">
      <c r="A41" s="1169"/>
      <c r="B41" s="23"/>
      <c r="C41" s="23"/>
      <c r="D41" s="23"/>
      <c r="E41" s="23"/>
      <c r="F41" s="23"/>
      <c r="G41" s="23" t="s">
        <v>4170</v>
      </c>
      <c r="H41" s="23"/>
      <c r="I41" s="23"/>
      <c r="J41" s="21"/>
      <c r="K41" s="22"/>
      <c r="L41" s="21"/>
      <c r="M41" s="21"/>
      <c r="N41" s="21"/>
      <c r="O41" s="21"/>
      <c r="P41" s="21"/>
      <c r="Q41" s="37">
        <v>0.932425627354837</v>
      </c>
      <c r="R41" s="37">
        <v>6.91365273148465</v>
      </c>
      <c r="S41" s="774">
        <v>0.4</v>
      </c>
      <c r="T41" s="37">
        <f t="shared" si="3"/>
        <v>8.24607835883949</v>
      </c>
      <c r="U41" s="813"/>
      <c r="V41" s="23"/>
      <c r="W41" s="120" t="s">
        <v>1406</v>
      </c>
    </row>
    <row r="42" s="42" customFormat="1" ht="15" hidden="1" customHeight="1" spans="1:23">
      <c r="A42" s="1169"/>
      <c r="B42" s="23" t="s">
        <v>4171</v>
      </c>
      <c r="C42" s="23"/>
      <c r="D42" s="23"/>
      <c r="E42" s="23"/>
      <c r="F42" s="23"/>
      <c r="G42" s="167" t="s">
        <v>4172</v>
      </c>
      <c r="H42" s="23" t="s">
        <v>4173</v>
      </c>
      <c r="I42" s="23" t="s">
        <v>2982</v>
      </c>
      <c r="J42" s="21"/>
      <c r="K42" s="22" t="s">
        <v>4174</v>
      </c>
      <c r="L42" s="21" t="s">
        <v>1742</v>
      </c>
      <c r="M42" s="1760">
        <v>100</v>
      </c>
      <c r="N42" s="700" t="s">
        <v>1428</v>
      </c>
      <c r="O42" s="21" t="s">
        <v>1428</v>
      </c>
      <c r="P42" s="21">
        <v>6</v>
      </c>
      <c r="Q42" s="37">
        <v>3.75677019626111</v>
      </c>
      <c r="R42" s="37">
        <v>18.9197515440676</v>
      </c>
      <c r="S42" s="774">
        <v>5</v>
      </c>
      <c r="T42" s="37">
        <f t="shared" si="3"/>
        <v>133.676521740329</v>
      </c>
      <c r="U42" s="813" t="s">
        <v>4175</v>
      </c>
      <c r="V42" s="23" t="s">
        <v>4176</v>
      </c>
      <c r="W42" s="120"/>
    </row>
    <row r="43" s="42" customFormat="1" ht="15" hidden="1" customHeight="1" spans="1:23">
      <c r="A43" s="1169"/>
      <c r="B43" s="23"/>
      <c r="C43" s="23"/>
      <c r="D43" s="23"/>
      <c r="E43" s="23" t="s">
        <v>1414</v>
      </c>
      <c r="F43" s="23"/>
      <c r="G43" s="167" t="s">
        <v>4177</v>
      </c>
      <c r="H43" s="23"/>
      <c r="I43" s="23"/>
      <c r="J43" s="21"/>
      <c r="K43" s="22"/>
      <c r="L43" s="21"/>
      <c r="M43" s="21"/>
      <c r="N43" s="21"/>
      <c r="O43" s="21"/>
      <c r="P43" s="21"/>
      <c r="Q43" s="37">
        <v>0.295769535795614</v>
      </c>
      <c r="R43" s="37">
        <v>1.12129789002312</v>
      </c>
      <c r="S43" s="774">
        <v>0.2</v>
      </c>
      <c r="T43" s="37">
        <f t="shared" si="3"/>
        <v>1.61706742581873</v>
      </c>
      <c r="U43" s="813"/>
      <c r="V43" s="23"/>
      <c r="W43" s="120"/>
    </row>
    <row r="44" s="42" customFormat="1" ht="15" hidden="1" customHeight="1" spans="1:23">
      <c r="A44" s="1169"/>
      <c r="B44" s="23"/>
      <c r="C44" s="23"/>
      <c r="D44" s="23"/>
      <c r="E44" s="23"/>
      <c r="F44" s="23"/>
      <c r="G44" s="167" t="s">
        <v>4178</v>
      </c>
      <c r="H44" s="23"/>
      <c r="I44" s="23"/>
      <c r="J44" s="21"/>
      <c r="K44" s="22"/>
      <c r="L44" s="21"/>
      <c r="M44" s="21"/>
      <c r="N44" s="21"/>
      <c r="O44" s="21"/>
      <c r="P44" s="21"/>
      <c r="Q44" s="37">
        <v>0.152855684465801</v>
      </c>
      <c r="R44" s="37">
        <v>0.434925990758005</v>
      </c>
      <c r="S44" s="774">
        <v>0.2</v>
      </c>
      <c r="T44" s="37">
        <f t="shared" si="3"/>
        <v>0.787781675223806</v>
      </c>
      <c r="U44" s="813"/>
      <c r="V44" s="23"/>
      <c r="W44" s="120"/>
    </row>
    <row r="45" s="42" customFormat="1" ht="15" hidden="1" customHeight="1" spans="1:23">
      <c r="A45" s="1169"/>
      <c r="B45" s="23" t="s">
        <v>4179</v>
      </c>
      <c r="C45" s="23">
        <v>20240305</v>
      </c>
      <c r="D45" s="23">
        <v>6.91</v>
      </c>
      <c r="E45" s="23" t="s">
        <v>1415</v>
      </c>
      <c r="F45" s="23" t="s">
        <v>4180</v>
      </c>
      <c r="G45" s="23" t="s">
        <v>1617</v>
      </c>
      <c r="H45" s="23" t="s">
        <v>4181</v>
      </c>
      <c r="I45" s="23" t="s">
        <v>2982</v>
      </c>
      <c r="J45" s="21"/>
      <c r="K45" s="22"/>
      <c r="L45" s="21"/>
      <c r="M45" s="21"/>
      <c r="N45" s="21"/>
      <c r="O45" s="21" t="s">
        <v>1428</v>
      </c>
      <c r="P45" s="21">
        <v>6</v>
      </c>
      <c r="Q45" s="37">
        <v>5.23944099336352</v>
      </c>
      <c r="R45" s="37">
        <v>19.2218880105195</v>
      </c>
      <c r="S45" s="774">
        <v>3</v>
      </c>
      <c r="T45" s="37">
        <f t="shared" si="3"/>
        <v>33.461329003883</v>
      </c>
      <c r="U45" s="813" t="s">
        <v>3625</v>
      </c>
      <c r="V45" s="23" t="s">
        <v>4182</v>
      </c>
      <c r="W45" s="120" t="s">
        <v>1406</v>
      </c>
    </row>
    <row r="46" s="42" customFormat="1" ht="15" hidden="1" customHeight="1" spans="1:23">
      <c r="A46" s="1169"/>
      <c r="B46" s="23"/>
      <c r="C46" s="23">
        <v>20240305</v>
      </c>
      <c r="D46" s="23">
        <v>7.2</v>
      </c>
      <c r="E46" s="23">
        <v>7.24</v>
      </c>
      <c r="F46" s="23" t="s">
        <v>4183</v>
      </c>
      <c r="G46" s="23" t="s">
        <v>1629</v>
      </c>
      <c r="H46" s="23" t="s">
        <v>4181</v>
      </c>
      <c r="I46" s="23" t="s">
        <v>2982</v>
      </c>
      <c r="J46" s="21"/>
      <c r="K46" s="22" t="s">
        <v>3432</v>
      </c>
      <c r="L46" s="21" t="s">
        <v>1742</v>
      </c>
      <c r="M46" s="1760">
        <v>100</v>
      </c>
      <c r="N46" s="700" t="s">
        <v>1428</v>
      </c>
      <c r="O46" s="21" t="s">
        <v>1428</v>
      </c>
      <c r="P46" s="21">
        <v>6</v>
      </c>
      <c r="Q46" s="37">
        <v>5.23944099336352</v>
      </c>
      <c r="R46" s="37">
        <v>17.0247060280876</v>
      </c>
      <c r="S46" s="774">
        <v>3</v>
      </c>
      <c r="T46" s="37">
        <f t="shared" si="3"/>
        <v>131.264147021451</v>
      </c>
      <c r="U46" s="813" t="s">
        <v>3625</v>
      </c>
      <c r="V46" s="23" t="s">
        <v>4184</v>
      </c>
      <c r="W46" s="120" t="s">
        <v>1406</v>
      </c>
    </row>
    <row r="47" s="42" customFormat="1" ht="15" hidden="1" customHeight="1" spans="1:23">
      <c r="A47" s="1169"/>
      <c r="B47" s="23"/>
      <c r="C47" s="23">
        <v>20240305</v>
      </c>
      <c r="D47" s="23">
        <v>7.2</v>
      </c>
      <c r="E47" s="23">
        <v>7.24</v>
      </c>
      <c r="F47" s="23" t="s">
        <v>4185</v>
      </c>
      <c r="G47" s="23" t="s">
        <v>1645</v>
      </c>
      <c r="H47" s="23" t="s">
        <v>4181</v>
      </c>
      <c r="I47" s="23" t="s">
        <v>2858</v>
      </c>
      <c r="J47" s="21"/>
      <c r="K47" s="22" t="s">
        <v>3432</v>
      </c>
      <c r="L47" s="21" t="s">
        <v>1742</v>
      </c>
      <c r="M47" s="700" t="s">
        <v>1428</v>
      </c>
      <c r="N47" s="700" t="s">
        <v>1428</v>
      </c>
      <c r="O47" s="21" t="s">
        <v>1428</v>
      </c>
      <c r="P47" s="21">
        <v>6</v>
      </c>
      <c r="Q47" s="37">
        <v>5.23944099336352</v>
      </c>
      <c r="R47" s="37">
        <v>17.406189157296</v>
      </c>
      <c r="S47" s="774">
        <v>3</v>
      </c>
      <c r="T47" s="37">
        <f t="shared" si="3"/>
        <v>31.6456301506595</v>
      </c>
      <c r="U47" s="813" t="s">
        <v>3625</v>
      </c>
      <c r="V47" s="23" t="s">
        <v>4184</v>
      </c>
      <c r="W47" s="120" t="s">
        <v>1406</v>
      </c>
    </row>
    <row r="48" s="42" customFormat="1" ht="15" hidden="1" customHeight="1" spans="1:23">
      <c r="A48" s="1169"/>
      <c r="B48" s="23"/>
      <c r="C48" s="23">
        <v>20240815</v>
      </c>
      <c r="D48" s="23">
        <v>7.18</v>
      </c>
      <c r="E48" s="23">
        <v>7.24</v>
      </c>
      <c r="F48" s="23" t="s">
        <v>4186</v>
      </c>
      <c r="G48" s="23" t="s">
        <v>1604</v>
      </c>
      <c r="H48" s="23" t="s">
        <v>4181</v>
      </c>
      <c r="I48" s="23" t="s">
        <v>4187</v>
      </c>
      <c r="J48" s="21"/>
      <c r="K48" s="22" t="s">
        <v>3432</v>
      </c>
      <c r="L48" s="21" t="s">
        <v>1742</v>
      </c>
      <c r="M48" s="1760">
        <v>100</v>
      </c>
      <c r="N48" s="700" t="s">
        <v>1428</v>
      </c>
      <c r="O48" s="21" t="s">
        <v>1428</v>
      </c>
      <c r="P48" s="21">
        <v>6</v>
      </c>
      <c r="Q48" s="37">
        <v>5.25403553652052</v>
      </c>
      <c r="R48" s="37">
        <v>18.0809231178531</v>
      </c>
      <c r="S48" s="774">
        <v>3</v>
      </c>
      <c r="T48" s="37">
        <f t="shared" si="3"/>
        <v>132.334958654374</v>
      </c>
      <c r="U48" s="813" t="s">
        <v>3625</v>
      </c>
      <c r="V48" s="23" t="s">
        <v>4184</v>
      </c>
      <c r="W48" s="120"/>
    </row>
    <row r="49" s="42" customFormat="1" ht="15" hidden="1" customHeight="1" spans="1:23">
      <c r="A49" s="1169"/>
      <c r="B49" s="23"/>
      <c r="C49" s="23">
        <v>20250507</v>
      </c>
      <c r="D49" s="23">
        <v>7.24</v>
      </c>
      <c r="E49" s="23"/>
      <c r="F49" s="23" t="s">
        <v>4188</v>
      </c>
      <c r="G49" s="23" t="s">
        <v>1571</v>
      </c>
      <c r="H49" s="23" t="s">
        <v>4189</v>
      </c>
      <c r="I49" s="23" t="s">
        <v>4190</v>
      </c>
      <c r="J49" s="21"/>
      <c r="K49" s="22" t="s">
        <v>3432</v>
      </c>
      <c r="L49" s="21" t="s">
        <v>1742</v>
      </c>
      <c r="M49" s="700" t="s">
        <v>1428</v>
      </c>
      <c r="N49" s="700" t="s">
        <v>1428</v>
      </c>
      <c r="O49" s="21" t="s">
        <v>1428</v>
      </c>
      <c r="P49" s="21">
        <f>31.73/7.13/1.13</f>
        <v>3.93823927316958</v>
      </c>
      <c r="Q49" s="37">
        <v>5.23944099336352</v>
      </c>
      <c r="R49" s="37">
        <f>23.5/6.91</f>
        <v>3.40086830680174</v>
      </c>
      <c r="S49" s="774">
        <v>3</v>
      </c>
      <c r="T49" s="37">
        <f t="shared" si="3"/>
        <v>15.5785485733348</v>
      </c>
      <c r="U49" s="813" t="s">
        <v>3625</v>
      </c>
      <c r="V49" s="23" t="s">
        <v>4191</v>
      </c>
      <c r="W49" s="120"/>
    </row>
    <row r="50" s="42" customFormat="1" ht="15" hidden="1" customHeight="1" spans="1:23">
      <c r="A50" s="1169"/>
      <c r="B50" s="23"/>
      <c r="C50" s="23">
        <v>20250507</v>
      </c>
      <c r="D50" s="23">
        <v>7.24</v>
      </c>
      <c r="E50" s="23"/>
      <c r="F50" s="23" t="s">
        <v>4192</v>
      </c>
      <c r="G50" s="23" t="s">
        <v>1685</v>
      </c>
      <c r="H50" s="23" t="s">
        <v>4189</v>
      </c>
      <c r="I50" s="23" t="s">
        <v>4190</v>
      </c>
      <c r="J50" s="21"/>
      <c r="K50" s="22" t="s">
        <v>4193</v>
      </c>
      <c r="L50" s="21" t="s">
        <v>1742</v>
      </c>
      <c r="M50" s="700" t="s">
        <v>1428</v>
      </c>
      <c r="N50" s="700" t="s">
        <v>1428</v>
      </c>
      <c r="O50" s="21"/>
      <c r="P50" s="21">
        <v>6</v>
      </c>
      <c r="Q50" s="37">
        <v>5.23944099336352</v>
      </c>
      <c r="R50" s="37">
        <f>23.5/6.91</f>
        <v>3.40086830680174</v>
      </c>
      <c r="S50" s="774">
        <v>3</v>
      </c>
      <c r="T50" s="37">
        <f t="shared" si="3"/>
        <v>17.6403093001653</v>
      </c>
      <c r="U50" s="813" t="s">
        <v>3414</v>
      </c>
      <c r="V50" s="23" t="s">
        <v>4194</v>
      </c>
      <c r="W50" s="120"/>
    </row>
    <row r="51" s="42" customFormat="1" ht="15" hidden="1" customHeight="1" spans="1:23">
      <c r="A51" s="1169"/>
      <c r="B51" s="23"/>
      <c r="C51" s="23">
        <v>20240815</v>
      </c>
      <c r="D51" s="23">
        <v>7.12</v>
      </c>
      <c r="E51" s="23">
        <v>7.24</v>
      </c>
      <c r="F51" s="23" t="s">
        <v>4195</v>
      </c>
      <c r="G51" s="23" t="s">
        <v>4196</v>
      </c>
      <c r="H51" s="23"/>
      <c r="I51" s="23"/>
      <c r="J51" s="21"/>
      <c r="K51" s="22"/>
      <c r="L51" s="21"/>
      <c r="M51" s="690"/>
      <c r="N51" s="21"/>
      <c r="O51" s="21"/>
      <c r="P51" s="21">
        <f>31.73/D51/1.13</f>
        <v>3.94377050810381</v>
      </c>
      <c r="Q51" s="37">
        <v>0.63931761711056</v>
      </c>
      <c r="R51" s="37">
        <f>23.5/6.91</f>
        <v>3.40086830680174</v>
      </c>
      <c r="S51" s="774">
        <v>0.2</v>
      </c>
      <c r="T51" s="37">
        <f t="shared" si="3"/>
        <v>8.1839564320161</v>
      </c>
      <c r="U51" s="813"/>
      <c r="V51" s="23"/>
      <c r="W51" s="120"/>
    </row>
    <row r="52" s="42" customFormat="1" ht="15" hidden="1" customHeight="1" spans="1:23">
      <c r="A52" s="1169"/>
      <c r="B52" s="23"/>
      <c r="C52" s="23">
        <v>20240314</v>
      </c>
      <c r="D52" s="23">
        <v>7.2</v>
      </c>
      <c r="E52" s="23">
        <v>7.24</v>
      </c>
      <c r="F52" s="23" t="s">
        <v>4197</v>
      </c>
      <c r="G52" s="23" t="s">
        <v>4198</v>
      </c>
      <c r="H52" s="23"/>
      <c r="I52" s="23"/>
      <c r="J52" s="21"/>
      <c r="K52" s="22"/>
      <c r="L52" s="21"/>
      <c r="M52" s="690"/>
      <c r="N52" s="21"/>
      <c r="O52" s="21"/>
      <c r="P52" s="36">
        <f>31.73/D52/1.13</f>
        <v>3.89995083579154</v>
      </c>
      <c r="Q52" s="37">
        <v>0.265799123238283</v>
      </c>
      <c r="R52" s="37">
        <f>23.5/6.91</f>
        <v>3.40086830680174</v>
      </c>
      <c r="S52" s="774">
        <v>0.4</v>
      </c>
      <c r="T52" s="37">
        <f t="shared" si="3"/>
        <v>7.96661826583156</v>
      </c>
      <c r="U52" s="813"/>
      <c r="V52" s="23"/>
      <c r="W52" s="120" t="s">
        <v>1406</v>
      </c>
    </row>
    <row r="53" s="42" customFormat="1" ht="15" hidden="1" customHeight="1" spans="1:23">
      <c r="A53" s="1169"/>
      <c r="B53" s="23"/>
      <c r="C53" s="23">
        <v>20240314</v>
      </c>
      <c r="D53" s="23">
        <v>7.2</v>
      </c>
      <c r="E53" s="23">
        <v>7.24</v>
      </c>
      <c r="F53" s="23" t="s">
        <v>4199</v>
      </c>
      <c r="G53" s="23" t="s">
        <v>4200</v>
      </c>
      <c r="H53" s="23"/>
      <c r="I53" s="23"/>
      <c r="J53" s="21"/>
      <c r="K53" s="22"/>
      <c r="L53" s="21"/>
      <c r="M53" s="690"/>
      <c r="N53" s="21"/>
      <c r="O53" s="21"/>
      <c r="P53" s="36"/>
      <c r="Q53" s="37">
        <v>0.57776992516115</v>
      </c>
      <c r="R53" s="37">
        <v>1.98904939030919</v>
      </c>
      <c r="S53" s="774">
        <v>0.2</v>
      </c>
      <c r="T53" s="37">
        <f t="shared" si="3"/>
        <v>2.76681931547034</v>
      </c>
      <c r="U53" s="813"/>
      <c r="V53" s="23"/>
      <c r="W53" s="120" t="s">
        <v>1406</v>
      </c>
    </row>
    <row r="54" s="42" customFormat="1" ht="15" hidden="1" spans="1:23">
      <c r="A54" s="1169"/>
      <c r="B54" s="23" t="s">
        <v>4201</v>
      </c>
      <c r="C54" s="23"/>
      <c r="D54" s="23"/>
      <c r="E54" s="23"/>
      <c r="F54" s="23"/>
      <c r="G54" s="20" t="s">
        <v>1565</v>
      </c>
      <c r="H54" s="688" t="s">
        <v>1933</v>
      </c>
      <c r="I54" s="688" t="s">
        <v>2858</v>
      </c>
      <c r="J54" s="690"/>
      <c r="K54" s="690" t="s">
        <v>1913</v>
      </c>
      <c r="L54" s="690" t="s">
        <v>1428</v>
      </c>
      <c r="M54" s="700" t="s">
        <v>1428</v>
      </c>
      <c r="N54" s="690" t="s">
        <v>1428</v>
      </c>
      <c r="O54" s="690" t="s">
        <v>1428</v>
      </c>
      <c r="P54" s="690" t="s">
        <v>1428</v>
      </c>
      <c r="Q54" s="37">
        <v>4.00879206414491</v>
      </c>
      <c r="R54" s="37">
        <v>17.0521138602385</v>
      </c>
      <c r="S54" s="774">
        <v>5</v>
      </c>
      <c r="T54" s="37">
        <f t="shared" si="3"/>
        <v>26.0609059243834</v>
      </c>
      <c r="U54" s="693" t="s">
        <v>1526</v>
      </c>
      <c r="V54" s="23" t="s">
        <v>4202</v>
      </c>
      <c r="W54" s="120" t="s">
        <v>1406</v>
      </c>
    </row>
    <row r="55" s="42" customFormat="1" ht="15" hidden="1" spans="1:23">
      <c r="A55" s="1169"/>
      <c r="B55" s="23"/>
      <c r="C55" s="23"/>
      <c r="D55" s="23"/>
      <c r="E55" s="23"/>
      <c r="F55" s="23"/>
      <c r="G55" s="20" t="s">
        <v>1617</v>
      </c>
      <c r="H55" s="688" t="s">
        <v>1933</v>
      </c>
      <c r="I55" s="729" t="s">
        <v>2369</v>
      </c>
      <c r="J55" s="689"/>
      <c r="K55" s="690" t="s">
        <v>1913</v>
      </c>
      <c r="L55" s="21" t="s">
        <v>1428</v>
      </c>
      <c r="M55" s="700">
        <v>190</v>
      </c>
      <c r="N55" s="690" t="s">
        <v>1428</v>
      </c>
      <c r="O55" s="690" t="s">
        <v>1428</v>
      </c>
      <c r="P55" s="690" t="s">
        <v>1428</v>
      </c>
      <c r="Q55" s="37">
        <v>4.00879206414491</v>
      </c>
      <c r="R55" s="37">
        <v>16.9983498427126</v>
      </c>
      <c r="S55" s="774">
        <v>5</v>
      </c>
      <c r="T55" s="37">
        <f t="shared" si="3"/>
        <v>216.007141906857</v>
      </c>
      <c r="U55" s="693" t="s">
        <v>1526</v>
      </c>
      <c r="V55" s="23" t="s">
        <v>4202</v>
      </c>
      <c r="W55" s="120" t="s">
        <v>1406</v>
      </c>
    </row>
    <row r="56" s="42" customFormat="1" ht="13.2" hidden="1" spans="1:23">
      <c r="A56" s="1169"/>
      <c r="B56" s="23"/>
      <c r="C56" s="23"/>
      <c r="D56" s="23"/>
      <c r="E56" s="23"/>
      <c r="F56" s="23"/>
      <c r="G56" s="20" t="s">
        <v>4203</v>
      </c>
      <c r="H56" s="688"/>
      <c r="I56" s="23"/>
      <c r="J56" s="21"/>
      <c r="K56" s="21"/>
      <c r="L56" s="21"/>
      <c r="M56" s="21"/>
      <c r="N56" s="21"/>
      <c r="O56" s="21"/>
      <c r="P56" s="21"/>
      <c r="Q56" s="37">
        <v>0.439673968325572</v>
      </c>
      <c r="R56" s="37">
        <v>1.16184372547133</v>
      </c>
      <c r="S56" s="774">
        <v>0.2</v>
      </c>
      <c r="T56" s="37">
        <f t="shared" si="3"/>
        <v>1.8015176937969</v>
      </c>
      <c r="U56" s="23"/>
      <c r="V56" s="23"/>
      <c r="W56" s="120" t="s">
        <v>1406</v>
      </c>
    </row>
    <row r="57" s="42" customFormat="1" ht="15" hidden="1" spans="1:23">
      <c r="A57" s="1169"/>
      <c r="B57" s="23" t="s">
        <v>4204</v>
      </c>
      <c r="C57" s="23">
        <v>20240513</v>
      </c>
      <c r="D57" s="23">
        <v>7.24</v>
      </c>
      <c r="E57" s="732">
        <v>7.17</v>
      </c>
      <c r="F57" s="23" t="s">
        <v>4205</v>
      </c>
      <c r="G57" s="20" t="s">
        <v>1565</v>
      </c>
      <c r="H57" s="688" t="s">
        <v>1933</v>
      </c>
      <c r="I57" s="23" t="s">
        <v>2972</v>
      </c>
      <c r="J57" s="21"/>
      <c r="K57" s="21" t="s">
        <v>1913</v>
      </c>
      <c r="L57" s="21" t="s">
        <v>1428</v>
      </c>
      <c r="M57" s="691">
        <v>65</v>
      </c>
      <c r="N57" s="21" t="s">
        <v>1428</v>
      </c>
      <c r="O57" s="21" t="s">
        <v>1428</v>
      </c>
      <c r="P57" s="21" t="s">
        <v>1428</v>
      </c>
      <c r="Q57" s="1761">
        <f t="shared" ref="Q57:Q69" si="4">45.045/E57/1.13</f>
        <v>5.55966971525901</v>
      </c>
      <c r="R57" s="37">
        <v>15.5397571769374</v>
      </c>
      <c r="S57" s="774">
        <v>5</v>
      </c>
      <c r="T57" s="37">
        <f t="shared" si="3"/>
        <v>91.0994268921964</v>
      </c>
      <c r="U57" s="167" t="s">
        <v>1526</v>
      </c>
      <c r="V57" s="23" t="s">
        <v>4206</v>
      </c>
      <c r="W57" s="120"/>
    </row>
    <row r="58" s="42" customFormat="1" ht="15" hidden="1" spans="1:23">
      <c r="A58" s="1169"/>
      <c r="B58" s="23"/>
      <c r="C58" s="23">
        <v>20240513</v>
      </c>
      <c r="D58" s="23">
        <v>7.24</v>
      </c>
      <c r="E58" s="732">
        <v>7.17</v>
      </c>
      <c r="F58" s="23" t="s">
        <v>4207</v>
      </c>
      <c r="G58" s="20" t="s">
        <v>1617</v>
      </c>
      <c r="H58" s="688" t="s">
        <v>1933</v>
      </c>
      <c r="I58" s="23" t="s">
        <v>2982</v>
      </c>
      <c r="J58" s="21"/>
      <c r="K58" s="21" t="s">
        <v>1913</v>
      </c>
      <c r="L58" s="21" t="s">
        <v>1428</v>
      </c>
      <c r="M58" s="1760">
        <v>100</v>
      </c>
      <c r="N58" s="21" t="s">
        <v>1428</v>
      </c>
      <c r="O58" s="21" t="s">
        <v>1428</v>
      </c>
      <c r="P58" s="21" t="s">
        <v>1428</v>
      </c>
      <c r="Q58" s="1761">
        <f t="shared" si="4"/>
        <v>5.55966971525901</v>
      </c>
      <c r="R58" s="37">
        <v>16.730507422669</v>
      </c>
      <c r="S58" s="774">
        <v>5</v>
      </c>
      <c r="T58" s="37">
        <f t="shared" si="3"/>
        <v>127.290177137928</v>
      </c>
      <c r="U58" s="167" t="s">
        <v>1526</v>
      </c>
      <c r="V58" s="23" t="s">
        <v>4208</v>
      </c>
      <c r="W58" s="120"/>
    </row>
    <row r="59" s="42" customFormat="1" ht="15" hidden="1" spans="1:23">
      <c r="A59" s="1169"/>
      <c r="B59" s="23"/>
      <c r="C59" s="23">
        <v>20240513</v>
      </c>
      <c r="D59" s="23">
        <v>7.24</v>
      </c>
      <c r="E59" s="732" t="s">
        <v>1419</v>
      </c>
      <c r="F59" s="23" t="s">
        <v>4209</v>
      </c>
      <c r="G59" s="20" t="s">
        <v>1629</v>
      </c>
      <c r="H59" s="688" t="s">
        <v>1933</v>
      </c>
      <c r="I59" s="23" t="s">
        <v>2972</v>
      </c>
      <c r="J59" s="21"/>
      <c r="K59" s="21" t="s">
        <v>1913</v>
      </c>
      <c r="L59" s="21" t="s">
        <v>1428</v>
      </c>
      <c r="M59" s="691">
        <v>65</v>
      </c>
      <c r="N59" s="21" t="s">
        <v>1428</v>
      </c>
      <c r="O59" s="21" t="s">
        <v>1428</v>
      </c>
      <c r="P59" s="21" t="s">
        <v>1428</v>
      </c>
      <c r="Q59" s="1761" t="e">
        <f t="shared" si="4"/>
        <v>#VALUE!</v>
      </c>
      <c r="R59" s="37">
        <v>16.5879341627585</v>
      </c>
      <c r="S59" s="774">
        <v>5</v>
      </c>
      <c r="T59" s="37" t="e">
        <f t="shared" si="3"/>
        <v>#VALUE!</v>
      </c>
      <c r="U59" s="167" t="s">
        <v>1526</v>
      </c>
      <c r="V59" s="23" t="s">
        <v>4206</v>
      </c>
      <c r="W59" s="120"/>
    </row>
    <row r="60" s="42" customFormat="1" ht="15" hidden="1" spans="1:23">
      <c r="A60" s="1169"/>
      <c r="B60" s="23"/>
      <c r="C60" s="23">
        <v>20240513</v>
      </c>
      <c r="D60" s="23">
        <v>6.9264</v>
      </c>
      <c r="E60" s="732" t="s">
        <v>1420</v>
      </c>
      <c r="F60" s="23" t="s">
        <v>4210</v>
      </c>
      <c r="G60" s="20" t="s">
        <v>1645</v>
      </c>
      <c r="H60" s="688" t="s">
        <v>1933</v>
      </c>
      <c r="I60" s="23" t="s">
        <v>2982</v>
      </c>
      <c r="J60" s="21"/>
      <c r="K60" s="21" t="s">
        <v>1913</v>
      </c>
      <c r="L60" s="21" t="s">
        <v>1428</v>
      </c>
      <c r="M60" s="1760">
        <v>100</v>
      </c>
      <c r="N60" s="21" t="s">
        <v>1428</v>
      </c>
      <c r="O60" s="21" t="s">
        <v>1428</v>
      </c>
      <c r="P60" s="21" t="s">
        <v>1428</v>
      </c>
      <c r="Q60" s="1761">
        <v>21.9</v>
      </c>
      <c r="R60" s="37">
        <v>17.8583007147558</v>
      </c>
      <c r="S60" s="774">
        <v>5</v>
      </c>
      <c r="T60" s="37">
        <f t="shared" si="3"/>
        <v>144.758300714756</v>
      </c>
      <c r="U60" s="167" t="s">
        <v>1526</v>
      </c>
      <c r="V60" s="23" t="s">
        <v>4208</v>
      </c>
      <c r="W60" s="120"/>
    </row>
    <row r="61" s="42" customFormat="1" ht="15" hidden="1" spans="1:23">
      <c r="A61" s="1169"/>
      <c r="B61" s="23"/>
      <c r="C61" s="23">
        <v>20240924</v>
      </c>
      <c r="D61" s="23">
        <v>7.11</v>
      </c>
      <c r="E61" s="732">
        <v>7.17</v>
      </c>
      <c r="F61" s="23" t="s">
        <v>4211</v>
      </c>
      <c r="G61" s="20" t="s">
        <v>4212</v>
      </c>
      <c r="H61" s="688" t="s">
        <v>4122</v>
      </c>
      <c r="I61" s="23" t="s">
        <v>4213</v>
      </c>
      <c r="J61" s="21"/>
      <c r="K61" s="21" t="s">
        <v>1913</v>
      </c>
      <c r="L61" s="21" t="s">
        <v>2513</v>
      </c>
      <c r="M61" s="691">
        <v>65</v>
      </c>
      <c r="N61" s="21" t="s">
        <v>1428</v>
      </c>
      <c r="O61" s="21" t="s">
        <v>1428</v>
      </c>
      <c r="P61" s="1762">
        <v>6</v>
      </c>
      <c r="Q61" s="1761">
        <f t="shared" si="4"/>
        <v>5.55966971525901</v>
      </c>
      <c r="R61" s="37">
        <v>15.5102938444862</v>
      </c>
      <c r="S61" s="1763">
        <v>0.3</v>
      </c>
      <c r="T61" s="37">
        <f t="shared" si="3"/>
        <v>92.3699635597452</v>
      </c>
      <c r="U61" s="167" t="s">
        <v>1526</v>
      </c>
      <c r="V61" s="750" t="s">
        <v>4214</v>
      </c>
      <c r="W61" s="120"/>
    </row>
    <row r="62" s="42" customFormat="1" ht="15" hidden="1" spans="1:23">
      <c r="A62" s="1169"/>
      <c r="B62" s="23"/>
      <c r="C62" s="23">
        <v>20240924</v>
      </c>
      <c r="D62" s="23">
        <v>7.11</v>
      </c>
      <c r="E62" s="732">
        <v>7.17</v>
      </c>
      <c r="F62" s="23" t="s">
        <v>4215</v>
      </c>
      <c r="G62" s="20" t="s">
        <v>4216</v>
      </c>
      <c r="H62" s="688" t="s">
        <v>4122</v>
      </c>
      <c r="I62" s="23" t="s">
        <v>4187</v>
      </c>
      <c r="J62" s="21"/>
      <c r="K62" s="21" t="s">
        <v>1913</v>
      </c>
      <c r="L62" s="21" t="s">
        <v>2513</v>
      </c>
      <c r="M62" s="1760">
        <v>100</v>
      </c>
      <c r="N62" s="21" t="s">
        <v>1428</v>
      </c>
      <c r="O62" s="21" t="s">
        <v>1428</v>
      </c>
      <c r="P62" s="1762">
        <v>6</v>
      </c>
      <c r="Q62" s="1761">
        <f t="shared" si="4"/>
        <v>5.55966971525901</v>
      </c>
      <c r="R62" s="37">
        <v>15.5102938444862</v>
      </c>
      <c r="S62" s="1763">
        <v>0.3</v>
      </c>
      <c r="T62" s="37">
        <f t="shared" si="3"/>
        <v>127.369963559745</v>
      </c>
      <c r="U62" s="167" t="s">
        <v>1526</v>
      </c>
      <c r="V62" s="750" t="s">
        <v>4214</v>
      </c>
      <c r="W62" s="120"/>
    </row>
    <row r="63" s="42" customFormat="1" ht="15" hidden="1" spans="1:23">
      <c r="A63" s="1169"/>
      <c r="B63" s="23"/>
      <c r="C63" s="23">
        <v>20240924</v>
      </c>
      <c r="D63" s="23">
        <v>7.11</v>
      </c>
      <c r="E63" s="732">
        <v>7.17</v>
      </c>
      <c r="F63" s="23" t="s">
        <v>4217</v>
      </c>
      <c r="G63" s="20" t="s">
        <v>4218</v>
      </c>
      <c r="H63" s="688" t="s">
        <v>4122</v>
      </c>
      <c r="I63" s="23" t="s">
        <v>4219</v>
      </c>
      <c r="J63" s="21"/>
      <c r="K63" s="21" t="s">
        <v>1913</v>
      </c>
      <c r="L63" s="21" t="s">
        <v>2513</v>
      </c>
      <c r="M63" s="700" t="s">
        <v>1428</v>
      </c>
      <c r="N63" s="21" t="s">
        <v>1428</v>
      </c>
      <c r="O63" s="21" t="s">
        <v>1428</v>
      </c>
      <c r="P63" s="1762">
        <v>6</v>
      </c>
      <c r="Q63" s="1761">
        <f t="shared" si="4"/>
        <v>5.55966971525901</v>
      </c>
      <c r="R63" s="37">
        <v>15.5102938444862</v>
      </c>
      <c r="S63" s="1763">
        <v>0.3</v>
      </c>
      <c r="T63" s="37">
        <f t="shared" si="3"/>
        <v>27.3699635597452</v>
      </c>
      <c r="U63" s="167" t="s">
        <v>1526</v>
      </c>
      <c r="V63" s="750" t="s">
        <v>4214</v>
      </c>
      <c r="W63" s="120"/>
    </row>
    <row r="64" s="42" customFormat="1" ht="15" hidden="1" spans="1:23">
      <c r="A64" s="1169"/>
      <c r="B64" s="23"/>
      <c r="C64" s="23">
        <v>20240924</v>
      </c>
      <c r="D64" s="23">
        <v>7.11</v>
      </c>
      <c r="E64" s="732">
        <v>7.17</v>
      </c>
      <c r="F64" s="23" t="s">
        <v>4220</v>
      </c>
      <c r="G64" s="20" t="s">
        <v>4221</v>
      </c>
      <c r="H64" s="688" t="s">
        <v>4122</v>
      </c>
      <c r="I64" s="23" t="s">
        <v>4222</v>
      </c>
      <c r="J64" s="21"/>
      <c r="K64" s="21" t="s">
        <v>1913</v>
      </c>
      <c r="L64" s="21" t="s">
        <v>2513</v>
      </c>
      <c r="M64" s="698">
        <v>70</v>
      </c>
      <c r="N64" s="21" t="s">
        <v>1428</v>
      </c>
      <c r="O64" s="21" t="s">
        <v>1428</v>
      </c>
      <c r="P64" s="1762">
        <v>6</v>
      </c>
      <c r="Q64" s="1761">
        <f t="shared" si="4"/>
        <v>5.55966971525901</v>
      </c>
      <c r="R64" s="37">
        <v>15.5102938444862</v>
      </c>
      <c r="S64" s="1763">
        <v>0.3</v>
      </c>
      <c r="T64" s="37">
        <f t="shared" si="3"/>
        <v>97.3699635597452</v>
      </c>
      <c r="U64" s="167" t="s">
        <v>1526</v>
      </c>
      <c r="V64" s="750" t="s">
        <v>4214</v>
      </c>
      <c r="W64" s="120"/>
    </row>
    <row r="65" s="42" customFormat="1" ht="15" hidden="1" spans="1:23">
      <c r="A65" s="1169"/>
      <c r="B65" s="23"/>
      <c r="C65" s="23">
        <v>20240924</v>
      </c>
      <c r="D65" s="23">
        <v>7.11</v>
      </c>
      <c r="E65" s="732">
        <v>7.17</v>
      </c>
      <c r="F65" s="23" t="s">
        <v>4223</v>
      </c>
      <c r="G65" s="20" t="s">
        <v>4224</v>
      </c>
      <c r="H65" s="688" t="s">
        <v>4122</v>
      </c>
      <c r="I65" s="23" t="s">
        <v>4225</v>
      </c>
      <c r="J65" s="21"/>
      <c r="K65" s="21" t="s">
        <v>1913</v>
      </c>
      <c r="L65" s="21" t="s">
        <v>2513</v>
      </c>
      <c r="M65" s="700">
        <v>145</v>
      </c>
      <c r="N65" s="21" t="s">
        <v>1428</v>
      </c>
      <c r="O65" s="21" t="s">
        <v>1428</v>
      </c>
      <c r="P65" s="1762">
        <v>6</v>
      </c>
      <c r="Q65" s="1761">
        <f t="shared" si="4"/>
        <v>5.55966971525901</v>
      </c>
      <c r="R65" s="37">
        <v>15.5102938444862</v>
      </c>
      <c r="S65" s="1763">
        <v>0.3</v>
      </c>
      <c r="T65" s="37">
        <f t="shared" si="3"/>
        <v>172.369963559745</v>
      </c>
      <c r="U65" s="167" t="s">
        <v>1526</v>
      </c>
      <c r="V65" s="750" t="s">
        <v>4214</v>
      </c>
      <c r="W65" s="120"/>
    </row>
    <row r="66" s="42" customFormat="1" ht="15" hidden="1" spans="1:23">
      <c r="A66" s="1169"/>
      <c r="B66" s="23"/>
      <c r="C66" s="23">
        <v>20240924</v>
      </c>
      <c r="D66" s="23">
        <v>7.11</v>
      </c>
      <c r="E66" s="732">
        <v>7.17</v>
      </c>
      <c r="F66" s="23" t="s">
        <v>4226</v>
      </c>
      <c r="G66" s="20" t="s">
        <v>4227</v>
      </c>
      <c r="H66" s="688" t="s">
        <v>4122</v>
      </c>
      <c r="I66" s="23" t="s">
        <v>2369</v>
      </c>
      <c r="J66" s="21"/>
      <c r="K66" s="21" t="s">
        <v>1913</v>
      </c>
      <c r="L66" s="21" t="s">
        <v>2513</v>
      </c>
      <c r="M66" s="700">
        <v>190</v>
      </c>
      <c r="N66" s="21" t="s">
        <v>1428</v>
      </c>
      <c r="O66" s="21" t="s">
        <v>1428</v>
      </c>
      <c r="P66" s="1762">
        <v>6</v>
      </c>
      <c r="Q66" s="1761">
        <f t="shared" si="4"/>
        <v>5.55966971525901</v>
      </c>
      <c r="R66" s="37">
        <v>15.5102938444862</v>
      </c>
      <c r="S66" s="1763">
        <v>0.3</v>
      </c>
      <c r="T66" s="37">
        <f t="shared" si="3"/>
        <v>217.369963559745</v>
      </c>
      <c r="U66" s="167" t="s">
        <v>1526</v>
      </c>
      <c r="V66" s="750" t="s">
        <v>4214</v>
      </c>
      <c r="W66" s="120"/>
    </row>
    <row r="67" s="42" customFormat="1" ht="15" hidden="1" spans="1:23">
      <c r="A67" s="1169"/>
      <c r="B67" s="23"/>
      <c r="C67" s="23">
        <v>20240924</v>
      </c>
      <c r="D67" s="23">
        <v>7.11</v>
      </c>
      <c r="E67" s="732">
        <v>7.17</v>
      </c>
      <c r="F67" s="23" t="s">
        <v>4228</v>
      </c>
      <c r="G67" s="20" t="s">
        <v>1998</v>
      </c>
      <c r="H67" s="688" t="s">
        <v>4122</v>
      </c>
      <c r="I67" s="23" t="s">
        <v>4222</v>
      </c>
      <c r="J67" s="21"/>
      <c r="K67" s="21" t="s">
        <v>1913</v>
      </c>
      <c r="L67" s="21" t="s">
        <v>1428</v>
      </c>
      <c r="M67" s="698">
        <v>70</v>
      </c>
      <c r="N67" s="21" t="s">
        <v>1428</v>
      </c>
      <c r="O67" s="21" t="s">
        <v>1428</v>
      </c>
      <c r="P67" s="21" t="s">
        <v>1428</v>
      </c>
      <c r="Q67" s="1761">
        <f t="shared" si="4"/>
        <v>5.55966971525901</v>
      </c>
      <c r="R67" s="37">
        <v>15.7777642561434</v>
      </c>
      <c r="S67" s="774">
        <v>5</v>
      </c>
      <c r="T67" s="37">
        <f t="shared" si="3"/>
        <v>96.3374339714024</v>
      </c>
      <c r="U67" s="167" t="s">
        <v>1526</v>
      </c>
      <c r="V67" s="750" t="s">
        <v>4214</v>
      </c>
      <c r="W67" s="120"/>
    </row>
    <row r="68" s="42" customFormat="1" ht="15" hidden="1" spans="1:23">
      <c r="A68" s="1169"/>
      <c r="B68" s="23"/>
      <c r="C68" s="23">
        <v>20240924</v>
      </c>
      <c r="D68" s="23">
        <v>7.11</v>
      </c>
      <c r="E68" s="732">
        <v>7.17</v>
      </c>
      <c r="F68" s="23" t="s">
        <v>4229</v>
      </c>
      <c r="G68" s="20" t="s">
        <v>1581</v>
      </c>
      <c r="H68" s="688" t="s">
        <v>4122</v>
      </c>
      <c r="I68" s="23" t="s">
        <v>4225</v>
      </c>
      <c r="J68" s="21"/>
      <c r="K68" s="21" t="s">
        <v>1913</v>
      </c>
      <c r="L68" s="21" t="s">
        <v>1428</v>
      </c>
      <c r="M68" s="700">
        <v>145</v>
      </c>
      <c r="N68" s="21" t="s">
        <v>1428</v>
      </c>
      <c r="O68" s="21" t="s">
        <v>1428</v>
      </c>
      <c r="P68" s="21" t="s">
        <v>1428</v>
      </c>
      <c r="Q68" s="1761">
        <f t="shared" si="4"/>
        <v>5.55966971525901</v>
      </c>
      <c r="R68" s="37">
        <v>15.9375319075923</v>
      </c>
      <c r="S68" s="774">
        <v>5</v>
      </c>
      <c r="T68" s="37">
        <f t="shared" si="3"/>
        <v>171.497201622851</v>
      </c>
      <c r="U68" s="167" t="s">
        <v>1526</v>
      </c>
      <c r="V68" s="750" t="s">
        <v>4214</v>
      </c>
      <c r="W68" s="120"/>
    </row>
    <row r="69" s="42" customFormat="1" ht="15" hidden="1" spans="1:23">
      <c r="A69" s="1169"/>
      <c r="B69" s="23"/>
      <c r="C69" s="23">
        <v>20250814</v>
      </c>
      <c r="D69" s="23">
        <v>7.11</v>
      </c>
      <c r="E69" s="23">
        <v>7.17</v>
      </c>
      <c r="F69" s="23" t="s">
        <v>4230</v>
      </c>
      <c r="G69" s="20" t="s">
        <v>4231</v>
      </c>
      <c r="H69" s="688" t="s">
        <v>4122</v>
      </c>
      <c r="I69" s="23" t="s">
        <v>2369</v>
      </c>
      <c r="J69" s="21"/>
      <c r="K69" s="21" t="s">
        <v>1913</v>
      </c>
      <c r="L69" s="21" t="s">
        <v>2513</v>
      </c>
      <c r="M69" s="700">
        <v>190</v>
      </c>
      <c r="N69" s="21" t="s">
        <v>1428</v>
      </c>
      <c r="O69" s="21" t="s">
        <v>1428</v>
      </c>
      <c r="P69" s="21">
        <v>6</v>
      </c>
      <c r="Q69" s="37">
        <f t="shared" si="4"/>
        <v>5.55966971525901</v>
      </c>
      <c r="R69" s="37">
        <v>15.5502176080588</v>
      </c>
      <c r="S69" s="774">
        <v>0.3</v>
      </c>
      <c r="T69" s="37">
        <f t="shared" si="3"/>
        <v>217.409887323318</v>
      </c>
      <c r="U69" s="167" t="s">
        <v>1526</v>
      </c>
      <c r="V69" s="750" t="s">
        <v>4232</v>
      </c>
      <c r="W69" s="120"/>
    </row>
    <row r="70" s="42" customFormat="1" ht="15" hidden="1" spans="1:23">
      <c r="A70" s="1169"/>
      <c r="B70" s="23"/>
      <c r="C70" s="23">
        <v>20250424</v>
      </c>
      <c r="D70" s="23">
        <v>7.31</v>
      </c>
      <c r="E70" s="23">
        <v>7.24</v>
      </c>
      <c r="F70" s="23"/>
      <c r="G70" s="139" t="s">
        <v>4233</v>
      </c>
      <c r="H70" s="688" t="s">
        <v>3916</v>
      </c>
      <c r="I70" s="23" t="s">
        <v>2082</v>
      </c>
      <c r="J70" s="21"/>
      <c r="K70" s="21" t="s">
        <v>1913</v>
      </c>
      <c r="L70" s="21"/>
      <c r="M70" s="1760">
        <v>100</v>
      </c>
      <c r="N70" s="21"/>
      <c r="O70" s="21"/>
      <c r="P70" s="21"/>
      <c r="Q70" s="37">
        <v>4.19605477380709</v>
      </c>
      <c r="R70" s="37">
        <v>14.9109485368337</v>
      </c>
      <c r="S70" s="774">
        <v>5</v>
      </c>
      <c r="T70" s="37">
        <f t="shared" si="3"/>
        <v>124.107003310641</v>
      </c>
      <c r="U70" s="167" t="s">
        <v>1526</v>
      </c>
      <c r="V70" s="750" t="s">
        <v>4234</v>
      </c>
      <c r="W70" s="120"/>
    </row>
    <row r="71" s="42" customFormat="1" ht="15" hidden="1" spans="1:23">
      <c r="A71" s="1169"/>
      <c r="B71" s="705" t="s">
        <v>4235</v>
      </c>
      <c r="C71" s="23">
        <v>20241112</v>
      </c>
      <c r="D71" s="23">
        <v>7.2</v>
      </c>
      <c r="E71" s="23">
        <v>7.24</v>
      </c>
      <c r="F71" s="23" t="s">
        <v>1740</v>
      </c>
      <c r="G71" s="20" t="s">
        <v>1565</v>
      </c>
      <c r="H71" s="688" t="s">
        <v>4122</v>
      </c>
      <c r="I71" s="23" t="s">
        <v>2354</v>
      </c>
      <c r="J71" s="21"/>
      <c r="K71" s="21" t="s">
        <v>3432</v>
      </c>
      <c r="L71" s="21" t="s">
        <v>1742</v>
      </c>
      <c r="M71" s="691">
        <v>125</v>
      </c>
      <c r="N71" s="700" t="s">
        <v>1428</v>
      </c>
      <c r="O71" s="21" t="s">
        <v>1428</v>
      </c>
      <c r="P71" s="21">
        <v>6</v>
      </c>
      <c r="Q71" s="37">
        <v>4.52732027750465</v>
      </c>
      <c r="R71" s="37">
        <v>12.2508818909563</v>
      </c>
      <c r="S71" s="774">
        <v>5</v>
      </c>
      <c r="T71" s="37">
        <f t="shared" si="3"/>
        <v>152.778202168461</v>
      </c>
      <c r="U71" s="167" t="s">
        <v>4236</v>
      </c>
      <c r="V71" s="750" t="s">
        <v>4237</v>
      </c>
      <c r="W71" s="120"/>
    </row>
    <row r="72" s="42" customFormat="1" ht="15" hidden="1" spans="1:23">
      <c r="A72" s="1169"/>
      <c r="B72" s="706"/>
      <c r="C72" s="23">
        <v>20241112</v>
      </c>
      <c r="D72" s="23">
        <v>7.2</v>
      </c>
      <c r="E72" s="23">
        <v>7.24</v>
      </c>
      <c r="F72" s="23" t="s">
        <v>4238</v>
      </c>
      <c r="G72" s="20" t="s">
        <v>1617</v>
      </c>
      <c r="H72" s="696" t="s">
        <v>4239</v>
      </c>
      <c r="I72" s="23" t="s">
        <v>2643</v>
      </c>
      <c r="J72" s="21"/>
      <c r="K72" s="21" t="s">
        <v>4193</v>
      </c>
      <c r="L72" s="21" t="s">
        <v>1742</v>
      </c>
      <c r="M72" s="700">
        <v>145</v>
      </c>
      <c r="N72" s="21" t="s">
        <v>1428</v>
      </c>
      <c r="O72" s="21" t="s">
        <v>1428</v>
      </c>
      <c r="P72" s="21">
        <v>6</v>
      </c>
      <c r="Q72" s="37">
        <v>4.52732027750465</v>
      </c>
      <c r="R72" s="37">
        <v>13.6401749547468</v>
      </c>
      <c r="S72" s="774">
        <v>5</v>
      </c>
      <c r="T72" s="37">
        <f t="shared" si="3"/>
        <v>174.167495232251</v>
      </c>
      <c r="U72" s="167" t="s">
        <v>3942</v>
      </c>
      <c r="V72" s="750" t="s">
        <v>4240</v>
      </c>
      <c r="W72" s="120"/>
    </row>
    <row r="73" s="42" customFormat="1" ht="15" hidden="1" spans="1:23">
      <c r="A73" s="1120"/>
      <c r="B73" s="23" t="s">
        <v>4241</v>
      </c>
      <c r="C73" s="23"/>
      <c r="D73" s="23"/>
      <c r="E73" s="23"/>
      <c r="F73" s="23"/>
      <c r="G73" s="20" t="s">
        <v>1565</v>
      </c>
      <c r="H73" s="20" t="s">
        <v>1933</v>
      </c>
      <c r="I73" s="23" t="s">
        <v>2315</v>
      </c>
      <c r="J73" s="21"/>
      <c r="K73" s="21" t="s">
        <v>1913</v>
      </c>
      <c r="L73" s="21" t="s">
        <v>1428</v>
      </c>
      <c r="M73" s="731">
        <v>105</v>
      </c>
      <c r="N73" s="21" t="s">
        <v>1428</v>
      </c>
      <c r="O73" s="21" t="s">
        <v>1428</v>
      </c>
      <c r="P73" s="21" t="s">
        <v>1428</v>
      </c>
      <c r="Q73" s="37">
        <v>5.61713572183267</v>
      </c>
      <c r="R73" s="37">
        <v>24.7586309306838</v>
      </c>
      <c r="S73" s="774">
        <v>5</v>
      </c>
      <c r="T73" s="37">
        <f t="shared" si="3"/>
        <v>140.375766652516</v>
      </c>
      <c r="U73" s="167" t="s">
        <v>1526</v>
      </c>
      <c r="V73" s="23" t="s">
        <v>4242</v>
      </c>
      <c r="W73" s="120" t="s">
        <v>1406</v>
      </c>
    </row>
    <row r="74" s="42" customFormat="1" ht="15" hidden="1" spans="1:23">
      <c r="A74" s="1120"/>
      <c r="B74" s="23"/>
      <c r="C74" s="23"/>
      <c r="D74" s="23"/>
      <c r="E74" s="23"/>
      <c r="F74" s="23"/>
      <c r="G74" s="20" t="s">
        <v>1617</v>
      </c>
      <c r="H74" s="20" t="s">
        <v>1933</v>
      </c>
      <c r="I74" s="23" t="s">
        <v>2982</v>
      </c>
      <c r="J74" s="21"/>
      <c r="K74" s="21" t="s">
        <v>1913</v>
      </c>
      <c r="L74" s="21" t="s">
        <v>1428</v>
      </c>
      <c r="M74" s="1760">
        <v>100</v>
      </c>
      <c r="N74" s="21" t="s">
        <v>1428</v>
      </c>
      <c r="O74" s="21" t="s">
        <v>1428</v>
      </c>
      <c r="P74" s="21" t="s">
        <v>1428</v>
      </c>
      <c r="Q74" s="37">
        <v>5.61713572183267</v>
      </c>
      <c r="R74" s="37">
        <v>22.5545185453763</v>
      </c>
      <c r="S74" s="774">
        <v>5</v>
      </c>
      <c r="T74" s="37">
        <f t="shared" si="3"/>
        <v>133.171654267209</v>
      </c>
      <c r="U74" s="167" t="s">
        <v>1526</v>
      </c>
      <c r="V74" s="23" t="s">
        <v>4243</v>
      </c>
      <c r="W74" s="120" t="s">
        <v>1406</v>
      </c>
    </row>
    <row r="75" s="42" customFormat="1" ht="15" hidden="1" spans="1:23">
      <c r="A75" s="1120"/>
      <c r="B75" s="23"/>
      <c r="C75" s="23"/>
      <c r="D75" s="23"/>
      <c r="E75" s="23"/>
      <c r="F75" s="23"/>
      <c r="G75" s="20" t="s">
        <v>1629</v>
      </c>
      <c r="H75" s="20" t="s">
        <v>1933</v>
      </c>
      <c r="I75" s="688" t="s">
        <v>2858</v>
      </c>
      <c r="J75" s="690"/>
      <c r="K75" s="21" t="s">
        <v>1913</v>
      </c>
      <c r="L75" s="21" t="s">
        <v>1428</v>
      </c>
      <c r="M75" s="700" t="s">
        <v>1428</v>
      </c>
      <c r="N75" s="21" t="s">
        <v>1428</v>
      </c>
      <c r="O75" s="21" t="s">
        <v>1428</v>
      </c>
      <c r="P75" s="21" t="s">
        <v>1428</v>
      </c>
      <c r="Q75" s="37">
        <v>5.61713572183267</v>
      </c>
      <c r="R75" s="37">
        <v>22.8010954236117</v>
      </c>
      <c r="S75" s="774">
        <v>5</v>
      </c>
      <c r="T75" s="37">
        <f t="shared" si="3"/>
        <v>33.4182311454444</v>
      </c>
      <c r="U75" s="167" t="s">
        <v>1526</v>
      </c>
      <c r="V75" s="23" t="s">
        <v>4243</v>
      </c>
      <c r="W75" s="120" t="s">
        <v>1406</v>
      </c>
    </row>
    <row r="76" s="42" customFormat="1" ht="15" hidden="1" spans="1:23">
      <c r="A76" s="1120"/>
      <c r="B76" s="23"/>
      <c r="C76" s="23"/>
      <c r="D76" s="23"/>
      <c r="E76" s="23"/>
      <c r="F76" s="23"/>
      <c r="G76" s="20" t="s">
        <v>1645</v>
      </c>
      <c r="H76" s="20" t="s">
        <v>1933</v>
      </c>
      <c r="I76" s="23" t="s">
        <v>2962</v>
      </c>
      <c r="J76" s="21"/>
      <c r="K76" s="21" t="s">
        <v>1913</v>
      </c>
      <c r="L76" s="21" t="s">
        <v>1428</v>
      </c>
      <c r="M76" s="700">
        <v>145</v>
      </c>
      <c r="N76" s="21" t="s">
        <v>1428</v>
      </c>
      <c r="O76" s="21" t="s">
        <v>1428</v>
      </c>
      <c r="P76" s="21" t="s">
        <v>1428</v>
      </c>
      <c r="Q76" s="37">
        <v>5.61713572183267</v>
      </c>
      <c r="R76" s="37">
        <v>22.8178988381038</v>
      </c>
      <c r="S76" s="774">
        <v>5</v>
      </c>
      <c r="T76" s="37">
        <f t="shared" si="3"/>
        <v>178.435034559936</v>
      </c>
      <c r="U76" s="167" t="s">
        <v>1526</v>
      </c>
      <c r="V76" s="23" t="s">
        <v>4243</v>
      </c>
      <c r="W76" s="120" t="s">
        <v>1406</v>
      </c>
    </row>
    <row r="77" s="42" customFormat="1" ht="15" hidden="1" spans="1:23">
      <c r="A77" s="1120"/>
      <c r="B77" s="23"/>
      <c r="C77" s="23"/>
      <c r="D77" s="23"/>
      <c r="E77" s="23"/>
      <c r="F77" s="23"/>
      <c r="G77" s="20" t="s">
        <v>1604</v>
      </c>
      <c r="H77" s="20" t="s">
        <v>1933</v>
      </c>
      <c r="I77" s="729" t="s">
        <v>2369</v>
      </c>
      <c r="J77" s="689"/>
      <c r="K77" s="21" t="s">
        <v>1913</v>
      </c>
      <c r="L77" s="21" t="s">
        <v>1428</v>
      </c>
      <c r="M77" s="700">
        <v>190</v>
      </c>
      <c r="N77" s="21" t="s">
        <v>1428</v>
      </c>
      <c r="O77" s="21" t="s">
        <v>1428</v>
      </c>
      <c r="P77" s="21" t="s">
        <v>1428</v>
      </c>
      <c r="Q77" s="37">
        <v>5.61713572183267</v>
      </c>
      <c r="R77" s="37">
        <v>22.6112106148226</v>
      </c>
      <c r="S77" s="774">
        <v>5</v>
      </c>
      <c r="T77" s="37">
        <f t="shared" si="3"/>
        <v>223.228346336655</v>
      </c>
      <c r="U77" s="167" t="s">
        <v>1526</v>
      </c>
      <c r="V77" s="23" t="s">
        <v>4243</v>
      </c>
      <c r="W77" s="120" t="s">
        <v>1406</v>
      </c>
    </row>
    <row r="78" s="42" customFormat="1" ht="15" hidden="1" spans="1:23">
      <c r="A78" s="1120"/>
      <c r="B78" s="23"/>
      <c r="C78" s="23"/>
      <c r="D78" s="23"/>
      <c r="E78" s="23"/>
      <c r="F78" s="23"/>
      <c r="G78" s="20" t="s">
        <v>1685</v>
      </c>
      <c r="H78" s="20" t="s">
        <v>1933</v>
      </c>
      <c r="I78" s="23" t="s">
        <v>2951</v>
      </c>
      <c r="J78" s="21"/>
      <c r="K78" s="21" t="s">
        <v>1913</v>
      </c>
      <c r="L78" s="21" t="s">
        <v>1428</v>
      </c>
      <c r="M78" s="691" t="s">
        <v>4244</v>
      </c>
      <c r="N78" s="21" t="s">
        <v>1428</v>
      </c>
      <c r="O78" s="21" t="s">
        <v>1428</v>
      </c>
      <c r="P78" s="21" t="s">
        <v>1428</v>
      </c>
      <c r="Q78" s="37">
        <v>5.61713572183267</v>
      </c>
      <c r="R78" s="37">
        <v>27.6807221667572</v>
      </c>
      <c r="S78" s="774">
        <v>5</v>
      </c>
      <c r="T78" s="37">
        <f t="shared" si="3"/>
        <v>38.2978578885899</v>
      </c>
      <c r="U78" s="167" t="s">
        <v>1526</v>
      </c>
      <c r="V78" s="23" t="s">
        <v>4245</v>
      </c>
      <c r="W78" s="120" t="s">
        <v>1406</v>
      </c>
    </row>
    <row r="79" s="42" customFormat="1" ht="15" hidden="1" spans="1:23">
      <c r="A79" s="1120"/>
      <c r="B79" s="23"/>
      <c r="C79" s="23">
        <v>20240724</v>
      </c>
      <c r="D79" s="23">
        <v>7.27</v>
      </c>
      <c r="E79" s="23">
        <v>7.24</v>
      </c>
      <c r="F79" s="23"/>
      <c r="G79" s="759" t="s">
        <v>4246</v>
      </c>
      <c r="H79" s="20" t="s">
        <v>3540</v>
      </c>
      <c r="I79" s="23" t="s">
        <v>2993</v>
      </c>
      <c r="J79" s="21"/>
      <c r="K79" s="21" t="s">
        <v>1913</v>
      </c>
      <c r="L79" s="21" t="s">
        <v>1428</v>
      </c>
      <c r="M79" s="698">
        <v>70</v>
      </c>
      <c r="N79" s="21" t="s">
        <v>1428</v>
      </c>
      <c r="O79" s="21" t="s">
        <v>1428</v>
      </c>
      <c r="P79" s="21" t="s">
        <v>1428</v>
      </c>
      <c r="Q79" s="37">
        <v>5.53233597399575</v>
      </c>
      <c r="R79" s="37">
        <v>15.0957261705579</v>
      </c>
      <c r="S79" s="774">
        <v>5</v>
      </c>
      <c r="T79" s="37">
        <f t="shared" si="3"/>
        <v>95.6280621445536</v>
      </c>
      <c r="U79" s="23"/>
      <c r="V79" s="23"/>
      <c r="W79" s="120"/>
    </row>
    <row r="80" s="42" customFormat="1" ht="15" hidden="1" spans="1:23">
      <c r="A80" s="1120"/>
      <c r="B80" s="23" t="s">
        <v>4247</v>
      </c>
      <c r="C80" s="23"/>
      <c r="D80" s="23"/>
      <c r="E80" s="23"/>
      <c r="F80" s="23"/>
      <c r="G80" s="20" t="s">
        <v>1565</v>
      </c>
      <c r="H80" s="20" t="s">
        <v>1933</v>
      </c>
      <c r="I80" s="688" t="s">
        <v>2858</v>
      </c>
      <c r="J80" s="690"/>
      <c r="K80" s="21" t="s">
        <v>4248</v>
      </c>
      <c r="L80" s="21" t="s">
        <v>1742</v>
      </c>
      <c r="M80" s="700" t="s">
        <v>1428</v>
      </c>
      <c r="N80" s="700" t="s">
        <v>1428</v>
      </c>
      <c r="O80" s="21">
        <v>0</v>
      </c>
      <c r="P80" s="21">
        <v>6</v>
      </c>
      <c r="Q80" s="37">
        <v>4.51755507233079</v>
      </c>
      <c r="R80" s="37">
        <v>21.6887322991918</v>
      </c>
      <c r="S80" s="774">
        <v>5</v>
      </c>
      <c r="T80" s="37">
        <f t="shared" si="3"/>
        <v>37.2062873715226</v>
      </c>
      <c r="U80" s="23" t="s">
        <v>3984</v>
      </c>
      <c r="V80" s="23" t="s">
        <v>4249</v>
      </c>
      <c r="W80" s="120" t="s">
        <v>1406</v>
      </c>
    </row>
    <row r="81" s="42" customFormat="1" ht="15" hidden="1" spans="1:23">
      <c r="A81" s="1120"/>
      <c r="B81" s="23"/>
      <c r="C81" s="23"/>
      <c r="D81" s="23"/>
      <c r="E81" s="23"/>
      <c r="F81" s="23"/>
      <c r="G81" s="20" t="s">
        <v>1617</v>
      </c>
      <c r="H81" s="20" t="s">
        <v>1933</v>
      </c>
      <c r="I81" s="23" t="s">
        <v>2982</v>
      </c>
      <c r="J81" s="21"/>
      <c r="K81" s="21" t="s">
        <v>4174</v>
      </c>
      <c r="L81" s="21" t="s">
        <v>1742</v>
      </c>
      <c r="M81" s="1760">
        <v>100</v>
      </c>
      <c r="N81" s="21" t="s">
        <v>1428</v>
      </c>
      <c r="O81" s="21">
        <v>0</v>
      </c>
      <c r="P81" s="21">
        <v>6</v>
      </c>
      <c r="Q81" s="37">
        <v>4.51755507233079</v>
      </c>
      <c r="R81" s="37">
        <v>21.7503225545974</v>
      </c>
      <c r="S81" s="774">
        <v>5</v>
      </c>
      <c r="T81" s="37">
        <f t="shared" ref="T81:T144" si="5">SUM(M81:S81)</f>
        <v>137.267877626928</v>
      </c>
      <c r="U81" s="23" t="s">
        <v>4250</v>
      </c>
      <c r="V81" s="23" t="s">
        <v>4249</v>
      </c>
      <c r="W81" s="120" t="s">
        <v>1406</v>
      </c>
    </row>
    <row r="82" s="42" customFormat="1" ht="13.2" hidden="1" spans="1:23">
      <c r="A82" s="1120"/>
      <c r="B82" s="23"/>
      <c r="C82" s="23"/>
      <c r="D82" s="23"/>
      <c r="E82" s="23"/>
      <c r="F82" s="23"/>
      <c r="G82" s="20" t="s">
        <v>4251</v>
      </c>
      <c r="H82" s="20"/>
      <c r="I82" s="23"/>
      <c r="J82" s="21"/>
      <c r="K82" s="21"/>
      <c r="L82" s="21"/>
      <c r="M82" s="690"/>
      <c r="N82" s="21"/>
      <c r="O82" s="21"/>
      <c r="P82" s="21"/>
      <c r="Q82" s="37">
        <v>0.019967094242346</v>
      </c>
      <c r="R82" s="37">
        <v>0.15595024444582</v>
      </c>
      <c r="S82" s="774">
        <v>0.2</v>
      </c>
      <c r="T82" s="37">
        <f t="shared" si="5"/>
        <v>0.375917338688166</v>
      </c>
      <c r="U82" s="23"/>
      <c r="V82" s="23"/>
      <c r="W82" s="120" t="s">
        <v>1406</v>
      </c>
    </row>
    <row r="83" s="42" customFormat="1" ht="15" hidden="1" spans="1:23">
      <c r="A83" s="1120"/>
      <c r="B83" s="23" t="s">
        <v>4252</v>
      </c>
      <c r="C83" s="23"/>
      <c r="D83" s="23"/>
      <c r="E83" s="23"/>
      <c r="F83" s="23"/>
      <c r="G83" s="20" t="s">
        <v>1565</v>
      </c>
      <c r="H83" s="20" t="s">
        <v>1933</v>
      </c>
      <c r="I83" s="688" t="s">
        <v>2858</v>
      </c>
      <c r="J83" s="690"/>
      <c r="K83" s="21" t="s">
        <v>1913</v>
      </c>
      <c r="L83" s="21" t="s">
        <v>1428</v>
      </c>
      <c r="M83" s="700" t="s">
        <v>1428</v>
      </c>
      <c r="N83" s="21" t="s">
        <v>1428</v>
      </c>
      <c r="O83" s="21" t="s">
        <v>1428</v>
      </c>
      <c r="P83" s="21" t="s">
        <v>1428</v>
      </c>
      <c r="Q83" s="37">
        <v>4.70139004345859</v>
      </c>
      <c r="R83" s="37">
        <v>22.8532158825548</v>
      </c>
      <c r="S83" s="774">
        <v>5</v>
      </c>
      <c r="T83" s="37">
        <f t="shared" si="5"/>
        <v>32.5546059260134</v>
      </c>
      <c r="U83" s="167" t="s">
        <v>1526</v>
      </c>
      <c r="V83" s="23" t="s">
        <v>4206</v>
      </c>
      <c r="W83" s="120" t="s">
        <v>1406</v>
      </c>
    </row>
    <row r="84" s="42" customFormat="1" ht="15" hidden="1" spans="1:23">
      <c r="A84" s="1120"/>
      <c r="B84" s="23"/>
      <c r="C84" s="23"/>
      <c r="D84" s="23"/>
      <c r="E84" s="23"/>
      <c r="F84" s="23"/>
      <c r="G84" s="20" t="s">
        <v>1617</v>
      </c>
      <c r="H84" s="20" t="s">
        <v>1933</v>
      </c>
      <c r="I84" s="688" t="s">
        <v>2858</v>
      </c>
      <c r="J84" s="690"/>
      <c r="K84" s="21" t="s">
        <v>1913</v>
      </c>
      <c r="L84" s="21" t="s">
        <v>1428</v>
      </c>
      <c r="M84" s="700" t="s">
        <v>1428</v>
      </c>
      <c r="N84" s="21" t="s">
        <v>1428</v>
      </c>
      <c r="O84" s="21" t="s">
        <v>1428</v>
      </c>
      <c r="P84" s="21" t="s">
        <v>1428</v>
      </c>
      <c r="Q84" s="37">
        <v>4.70139004345859</v>
      </c>
      <c r="R84" s="37">
        <v>18.3024346724548</v>
      </c>
      <c r="S84" s="774">
        <v>5</v>
      </c>
      <c r="T84" s="37">
        <f t="shared" si="5"/>
        <v>28.0038247159134</v>
      </c>
      <c r="U84" s="167" t="s">
        <v>1526</v>
      </c>
      <c r="V84" s="23" t="s">
        <v>4206</v>
      </c>
      <c r="W84" s="120" t="s">
        <v>1406</v>
      </c>
    </row>
    <row r="85" s="42" customFormat="1" ht="15" hidden="1" spans="1:23">
      <c r="A85" s="1120"/>
      <c r="B85" s="23"/>
      <c r="C85" s="23">
        <v>20240312</v>
      </c>
      <c r="D85" s="23">
        <v>7.2</v>
      </c>
      <c r="E85" s="23">
        <v>7.24</v>
      </c>
      <c r="F85" s="23" t="s">
        <v>4253</v>
      </c>
      <c r="G85" s="20" t="s">
        <v>1629</v>
      </c>
      <c r="H85" s="20" t="s">
        <v>1933</v>
      </c>
      <c r="I85" s="688" t="s">
        <v>2858</v>
      </c>
      <c r="J85" s="690"/>
      <c r="K85" s="21" t="s">
        <v>1913</v>
      </c>
      <c r="L85" s="21" t="s">
        <v>1428</v>
      </c>
      <c r="M85" s="700" t="s">
        <v>1428</v>
      </c>
      <c r="N85" s="21" t="s">
        <v>1428</v>
      </c>
      <c r="O85" s="21" t="s">
        <v>1428</v>
      </c>
      <c r="P85" s="21" t="s">
        <v>1428</v>
      </c>
      <c r="Q85" s="37">
        <v>4.73403858542705</v>
      </c>
      <c r="R85" s="37">
        <v>17.2895563692871</v>
      </c>
      <c r="S85" s="774">
        <v>5</v>
      </c>
      <c r="T85" s="37">
        <f t="shared" si="5"/>
        <v>27.0235949547142</v>
      </c>
      <c r="U85" s="167" t="s">
        <v>1526</v>
      </c>
      <c r="V85" s="23" t="s">
        <v>3861</v>
      </c>
      <c r="W85" s="120" t="s">
        <v>1406</v>
      </c>
    </row>
    <row r="86" s="42" customFormat="1" ht="15" hidden="1" spans="1:23">
      <c r="A86" s="1120"/>
      <c r="B86" s="23"/>
      <c r="C86" s="23">
        <v>20240617</v>
      </c>
      <c r="D86" s="23">
        <v>7.26</v>
      </c>
      <c r="E86" s="23">
        <v>7.24</v>
      </c>
      <c r="F86" s="23" t="s">
        <v>4254</v>
      </c>
      <c r="G86" s="20" t="s">
        <v>1645</v>
      </c>
      <c r="H86" s="20" t="s">
        <v>1933</v>
      </c>
      <c r="I86" s="688" t="s">
        <v>2982</v>
      </c>
      <c r="J86" s="690"/>
      <c r="K86" s="21" t="s">
        <v>1913</v>
      </c>
      <c r="L86" s="21" t="s">
        <v>1428</v>
      </c>
      <c r="M86" s="1760">
        <v>100</v>
      </c>
      <c r="N86" s="21" t="s">
        <v>1428</v>
      </c>
      <c r="O86" s="21" t="s">
        <v>1428</v>
      </c>
      <c r="P86" s="21" t="s">
        <v>1428</v>
      </c>
      <c r="Q86" s="37">
        <v>4.69491429959708</v>
      </c>
      <c r="R86" s="37">
        <v>17.1191841252608</v>
      </c>
      <c r="S86" s="774">
        <v>5</v>
      </c>
      <c r="T86" s="37">
        <f t="shared" si="5"/>
        <v>126.814098424858</v>
      </c>
      <c r="U86" s="167" t="s">
        <v>1526</v>
      </c>
      <c r="V86" s="23" t="s">
        <v>3861</v>
      </c>
      <c r="W86" s="120"/>
    </row>
    <row r="87" s="42" customFormat="1" ht="15" hidden="1" spans="1:23">
      <c r="A87" s="1120"/>
      <c r="B87" s="23"/>
      <c r="C87" s="23">
        <v>20240617</v>
      </c>
      <c r="D87" s="23">
        <v>7.26</v>
      </c>
      <c r="E87" s="23">
        <v>7.24</v>
      </c>
      <c r="F87" s="23" t="s">
        <v>4255</v>
      </c>
      <c r="G87" s="20" t="s">
        <v>1604</v>
      </c>
      <c r="H87" s="20" t="s">
        <v>1933</v>
      </c>
      <c r="I87" s="688" t="s">
        <v>2972</v>
      </c>
      <c r="J87" s="690"/>
      <c r="K87" s="21" t="s">
        <v>1913</v>
      </c>
      <c r="L87" s="21" t="s">
        <v>1428</v>
      </c>
      <c r="M87" s="691">
        <v>65</v>
      </c>
      <c r="N87" s="21" t="s">
        <v>1428</v>
      </c>
      <c r="O87" s="21" t="s">
        <v>1428</v>
      </c>
      <c r="P87" s="21">
        <f>55.2/D87/1.13</f>
        <v>6.72858919037519</v>
      </c>
      <c r="Q87" s="37">
        <v>4.69491429959708</v>
      </c>
      <c r="R87" s="37">
        <f>22.36/D87</f>
        <v>3.07988980716253</v>
      </c>
      <c r="S87" s="774">
        <v>5</v>
      </c>
      <c r="T87" s="37">
        <f t="shared" si="5"/>
        <v>84.5033932971348</v>
      </c>
      <c r="U87" s="167" t="s">
        <v>1526</v>
      </c>
      <c r="V87" s="23" t="s">
        <v>3861</v>
      </c>
      <c r="W87" s="120"/>
    </row>
    <row r="88" s="42" customFormat="1" ht="15" hidden="1" spans="1:23">
      <c r="A88" s="1120"/>
      <c r="B88" s="23"/>
      <c r="C88" s="23">
        <v>20240617</v>
      </c>
      <c r="D88" s="23">
        <v>7.26</v>
      </c>
      <c r="E88" s="23">
        <v>7.24</v>
      </c>
      <c r="F88" s="23" t="s">
        <v>4256</v>
      </c>
      <c r="G88" s="20" t="s">
        <v>1571</v>
      </c>
      <c r="H88" s="20" t="s">
        <v>1933</v>
      </c>
      <c r="I88" s="688" t="s">
        <v>2858</v>
      </c>
      <c r="J88" s="690"/>
      <c r="K88" s="21" t="s">
        <v>1913</v>
      </c>
      <c r="L88" s="21" t="s">
        <v>1428</v>
      </c>
      <c r="M88" s="700" t="s">
        <v>1428</v>
      </c>
      <c r="N88" s="21" t="s">
        <v>1428</v>
      </c>
      <c r="O88" s="21" t="s">
        <v>1428</v>
      </c>
      <c r="P88" s="21">
        <f>55.2/D88/1.13</f>
        <v>6.72858919037519</v>
      </c>
      <c r="Q88" s="37">
        <v>4.69491429959708</v>
      </c>
      <c r="R88" s="37">
        <f>22.36/D88</f>
        <v>3.07988980716253</v>
      </c>
      <c r="S88" s="774">
        <v>5</v>
      </c>
      <c r="T88" s="37">
        <f t="shared" si="5"/>
        <v>19.5033932971348</v>
      </c>
      <c r="U88" s="167" t="s">
        <v>1526</v>
      </c>
      <c r="V88" s="167" t="s">
        <v>3861</v>
      </c>
      <c r="W88" s="120"/>
    </row>
    <row r="89" s="42" customFormat="1" ht="15" hidden="1" spans="1:23">
      <c r="A89" s="1120"/>
      <c r="B89" s="23"/>
      <c r="C89" s="23">
        <v>20241129</v>
      </c>
      <c r="D89" s="23">
        <v>7.25</v>
      </c>
      <c r="E89" s="23">
        <v>7.24</v>
      </c>
      <c r="F89" s="23" t="s">
        <v>4257</v>
      </c>
      <c r="G89" s="20" t="s">
        <v>1685</v>
      </c>
      <c r="H89" s="20" t="s">
        <v>4258</v>
      </c>
      <c r="I89" s="688" t="s">
        <v>4219</v>
      </c>
      <c r="J89" s="690"/>
      <c r="K89" s="21" t="s">
        <v>1913</v>
      </c>
      <c r="L89" s="21" t="s">
        <v>1428</v>
      </c>
      <c r="M89" s="700" t="s">
        <v>1428</v>
      </c>
      <c r="N89" s="21" t="s">
        <v>1428</v>
      </c>
      <c r="O89" s="21" t="s">
        <v>1428</v>
      </c>
      <c r="P89" s="21" t="s">
        <v>1428</v>
      </c>
      <c r="Q89" s="37">
        <v>4.26448075931518</v>
      </c>
      <c r="R89" s="37">
        <v>16.0310675410906</v>
      </c>
      <c r="S89" s="774">
        <v>5</v>
      </c>
      <c r="T89" s="37">
        <f t="shared" si="5"/>
        <v>25.2955483004058</v>
      </c>
      <c r="U89" s="167" t="s">
        <v>1526</v>
      </c>
      <c r="V89" s="750" t="s">
        <v>4259</v>
      </c>
      <c r="W89" s="120"/>
    </row>
    <row r="90" s="42" customFormat="1" ht="15" hidden="1" spans="1:23">
      <c r="A90" s="1120"/>
      <c r="B90" s="23"/>
      <c r="C90" s="23">
        <v>20241129</v>
      </c>
      <c r="D90" s="23">
        <v>7.25</v>
      </c>
      <c r="E90" s="23">
        <v>7.24</v>
      </c>
      <c r="F90" s="23" t="s">
        <v>4260</v>
      </c>
      <c r="G90" s="20" t="s">
        <v>1669</v>
      </c>
      <c r="H90" s="20" t="s">
        <v>4258</v>
      </c>
      <c r="I90" s="688" t="s">
        <v>4187</v>
      </c>
      <c r="J90" s="690"/>
      <c r="K90" s="21" t="s">
        <v>1913</v>
      </c>
      <c r="L90" s="21" t="s">
        <v>1428</v>
      </c>
      <c r="M90" s="1760">
        <v>100</v>
      </c>
      <c r="N90" s="21" t="s">
        <v>1428</v>
      </c>
      <c r="O90" s="21" t="s">
        <v>1428</v>
      </c>
      <c r="P90" s="21" t="s">
        <v>1428</v>
      </c>
      <c r="Q90" s="37">
        <v>4.26448075931518</v>
      </c>
      <c r="R90" s="37">
        <v>15.8681431841469</v>
      </c>
      <c r="S90" s="774">
        <v>5</v>
      </c>
      <c r="T90" s="37">
        <f t="shared" si="5"/>
        <v>125.132623943462</v>
      </c>
      <c r="U90" s="167" t="s">
        <v>1526</v>
      </c>
      <c r="V90" s="750" t="s">
        <v>4259</v>
      </c>
      <c r="W90" s="120"/>
    </row>
    <row r="91" s="42" customFormat="1" ht="15" hidden="1" spans="1:23">
      <c r="A91" s="1120"/>
      <c r="B91" s="23"/>
      <c r="C91" s="23">
        <v>20241129</v>
      </c>
      <c r="D91" s="23">
        <v>7.25</v>
      </c>
      <c r="E91" s="23">
        <v>7.24</v>
      </c>
      <c r="F91" s="23" t="s">
        <v>4261</v>
      </c>
      <c r="G91" s="20" t="s">
        <v>1671</v>
      </c>
      <c r="H91" s="20" t="s">
        <v>4258</v>
      </c>
      <c r="I91" s="688" t="s">
        <v>2323</v>
      </c>
      <c r="J91" s="690"/>
      <c r="K91" s="21" t="s">
        <v>1913</v>
      </c>
      <c r="L91" s="21" t="s">
        <v>1428</v>
      </c>
      <c r="M91" s="691">
        <v>65</v>
      </c>
      <c r="N91" s="21" t="s">
        <v>1428</v>
      </c>
      <c r="O91" s="21" t="s">
        <v>1428</v>
      </c>
      <c r="P91" s="21" t="s">
        <v>1428</v>
      </c>
      <c r="Q91" s="37">
        <v>4.26448075931518</v>
      </c>
      <c r="R91" s="37">
        <v>15.6969963290419</v>
      </c>
      <c r="S91" s="774">
        <v>5</v>
      </c>
      <c r="T91" s="37">
        <f t="shared" si="5"/>
        <v>89.9614770883571</v>
      </c>
      <c r="U91" s="167" t="s">
        <v>1526</v>
      </c>
      <c r="V91" s="750" t="s">
        <v>4259</v>
      </c>
      <c r="W91" s="120"/>
    </row>
    <row r="92" s="42" customFormat="1" ht="15" hidden="1" spans="1:23">
      <c r="A92" s="1120"/>
      <c r="B92" s="23"/>
      <c r="C92" s="23">
        <v>20250408</v>
      </c>
      <c r="D92" s="23">
        <v>7.25</v>
      </c>
      <c r="E92" s="23">
        <v>7.24</v>
      </c>
      <c r="F92" s="23" t="s">
        <v>4262</v>
      </c>
      <c r="G92" s="20" t="s">
        <v>1672</v>
      </c>
      <c r="H92" s="20" t="s">
        <v>4258</v>
      </c>
      <c r="I92" s="688" t="s">
        <v>2369</v>
      </c>
      <c r="J92" s="690"/>
      <c r="K92" s="21" t="s">
        <v>1913</v>
      </c>
      <c r="L92" s="21"/>
      <c r="M92" s="691">
        <v>190</v>
      </c>
      <c r="N92" s="21"/>
      <c r="O92" s="21"/>
      <c r="P92" s="21"/>
      <c r="Q92" s="37">
        <v>4.26448075931518</v>
      </c>
      <c r="R92" s="37">
        <v>15.3318086217602</v>
      </c>
      <c r="S92" s="774">
        <v>5</v>
      </c>
      <c r="T92" s="37">
        <f t="shared" si="5"/>
        <v>214.596289381075</v>
      </c>
      <c r="U92" s="167" t="s">
        <v>1526</v>
      </c>
      <c r="V92" s="750" t="s">
        <v>4263</v>
      </c>
      <c r="W92" s="120"/>
    </row>
    <row r="93" s="42" customFormat="1" ht="15" hidden="1" spans="1:23">
      <c r="A93" s="1120"/>
      <c r="B93" s="23"/>
      <c r="C93" s="23">
        <v>20250408</v>
      </c>
      <c r="D93" s="23">
        <v>7.25</v>
      </c>
      <c r="E93" s="23">
        <v>7.24</v>
      </c>
      <c r="F93" s="23" t="s">
        <v>4264</v>
      </c>
      <c r="G93" s="20" t="s">
        <v>1998</v>
      </c>
      <c r="H93" s="20" t="s">
        <v>4258</v>
      </c>
      <c r="I93" s="688" t="s">
        <v>2643</v>
      </c>
      <c r="J93" s="690"/>
      <c r="K93" s="21" t="s">
        <v>1913</v>
      </c>
      <c r="L93" s="21"/>
      <c r="M93" s="700">
        <v>145</v>
      </c>
      <c r="N93" s="21"/>
      <c r="O93" s="21"/>
      <c r="P93" s="21"/>
      <c r="Q93" s="37">
        <v>4.26448075931518</v>
      </c>
      <c r="R93" s="37">
        <v>15.2069744891027</v>
      </c>
      <c r="S93" s="774">
        <v>5</v>
      </c>
      <c r="T93" s="37">
        <f t="shared" si="5"/>
        <v>169.471455248418</v>
      </c>
      <c r="U93" s="167" t="s">
        <v>1526</v>
      </c>
      <c r="V93" s="750" t="s">
        <v>4263</v>
      </c>
      <c r="W93" s="120"/>
    </row>
    <row r="94" s="42" customFormat="1" ht="15" hidden="1" spans="1:23">
      <c r="A94" s="1120"/>
      <c r="B94" s="23"/>
      <c r="C94" s="23">
        <v>20250408</v>
      </c>
      <c r="D94" s="23">
        <v>7.25</v>
      </c>
      <c r="E94" s="23">
        <v>7.24</v>
      </c>
      <c r="F94" s="23" t="s">
        <v>4265</v>
      </c>
      <c r="G94" s="20" t="s">
        <v>1581</v>
      </c>
      <c r="H94" s="20" t="s">
        <v>4258</v>
      </c>
      <c r="I94" s="688" t="s">
        <v>4222</v>
      </c>
      <c r="J94" s="690"/>
      <c r="K94" s="21" t="s">
        <v>1913</v>
      </c>
      <c r="L94" s="21"/>
      <c r="M94" s="698">
        <v>70</v>
      </c>
      <c r="N94" s="21"/>
      <c r="O94" s="21"/>
      <c r="P94" s="21"/>
      <c r="Q94" s="37">
        <v>4.26448075931518</v>
      </c>
      <c r="R94" s="37">
        <v>15.1479845052933</v>
      </c>
      <c r="S94" s="774">
        <v>5</v>
      </c>
      <c r="T94" s="37">
        <f t="shared" si="5"/>
        <v>94.4124652646085</v>
      </c>
      <c r="U94" s="167" t="s">
        <v>1526</v>
      </c>
      <c r="V94" s="750" t="s">
        <v>4263</v>
      </c>
      <c r="W94" s="120"/>
    </row>
    <row r="95" s="42" customFormat="1" ht="13.2" hidden="1" spans="1:23">
      <c r="A95" s="1120"/>
      <c r="B95" s="23"/>
      <c r="C95" s="23">
        <v>20240312</v>
      </c>
      <c r="D95" s="23">
        <v>7.2</v>
      </c>
      <c r="E95" s="23">
        <v>7.24</v>
      </c>
      <c r="F95" s="23" t="s">
        <v>4266</v>
      </c>
      <c r="G95" s="20" t="s">
        <v>4267</v>
      </c>
      <c r="H95" s="20"/>
      <c r="I95" s="688"/>
      <c r="J95" s="690"/>
      <c r="K95" s="21"/>
      <c r="L95" s="21"/>
      <c r="M95" s="690"/>
      <c r="N95" s="21"/>
      <c r="O95" s="21"/>
      <c r="P95" s="21"/>
      <c r="Q95" s="37">
        <v>0.60272758931498</v>
      </c>
      <c r="R95" s="37">
        <v>3.09942774354605</v>
      </c>
      <c r="S95" s="774">
        <v>0.4</v>
      </c>
      <c r="T95" s="37">
        <f t="shared" si="5"/>
        <v>4.10215533286103</v>
      </c>
      <c r="U95" s="23"/>
      <c r="V95" s="23" t="s">
        <v>25</v>
      </c>
      <c r="W95" s="120" t="s">
        <v>1406</v>
      </c>
    </row>
    <row r="96" s="42" customFormat="1" ht="13.2" hidden="1" spans="1:23">
      <c r="A96" s="1120"/>
      <c r="B96" s="23"/>
      <c r="C96" s="23">
        <v>20240312</v>
      </c>
      <c r="D96" s="23">
        <v>7.2</v>
      </c>
      <c r="E96" s="23">
        <v>7.24</v>
      </c>
      <c r="F96" s="23" t="s">
        <v>4268</v>
      </c>
      <c r="G96" s="20" t="s">
        <v>4269</v>
      </c>
      <c r="H96" s="20"/>
      <c r="I96" s="688"/>
      <c r="J96" s="690"/>
      <c r="K96" s="21"/>
      <c r="L96" s="21"/>
      <c r="M96" s="690"/>
      <c r="N96" s="21"/>
      <c r="O96" s="21"/>
      <c r="P96" s="21">
        <f>25.54/D96/1.13</f>
        <v>3.13913470993117</v>
      </c>
      <c r="Q96" s="37">
        <v>0.677600581776467</v>
      </c>
      <c r="R96" s="37">
        <v>0.0685460624931717</v>
      </c>
      <c r="S96" s="774">
        <v>0.2</v>
      </c>
      <c r="T96" s="37">
        <f t="shared" si="5"/>
        <v>4.08528135420081</v>
      </c>
      <c r="U96" s="23"/>
      <c r="V96" s="23"/>
      <c r="W96" s="120" t="s">
        <v>1406</v>
      </c>
    </row>
    <row r="97" s="42" customFormat="1" ht="15" hidden="1" spans="1:23">
      <c r="A97" s="1120"/>
      <c r="B97" s="705" t="s">
        <v>4270</v>
      </c>
      <c r="C97" s="23">
        <v>20240531</v>
      </c>
      <c r="D97" s="23">
        <v>7.25</v>
      </c>
      <c r="E97" s="23">
        <v>7.24</v>
      </c>
      <c r="F97" s="23" t="s">
        <v>4271</v>
      </c>
      <c r="G97" s="775" t="s">
        <v>1565</v>
      </c>
      <c r="H97" s="862" t="s">
        <v>1933</v>
      </c>
      <c r="I97" s="688" t="s">
        <v>2474</v>
      </c>
      <c r="J97" s="690"/>
      <c r="K97" s="21" t="s">
        <v>1913</v>
      </c>
      <c r="L97" s="21" t="s">
        <v>1428</v>
      </c>
      <c r="M97" s="781" t="s">
        <v>1428</v>
      </c>
      <c r="N97" s="21" t="s">
        <v>1428</v>
      </c>
      <c r="O97" s="21" t="s">
        <v>1428</v>
      </c>
      <c r="P97" s="21" t="s">
        <v>1428</v>
      </c>
      <c r="Q97" s="37">
        <v>5.94442772510601</v>
      </c>
      <c r="R97" s="37">
        <v>24.1306502020968</v>
      </c>
      <c r="S97" s="37">
        <v>5</v>
      </c>
      <c r="T97" s="37">
        <f t="shared" si="5"/>
        <v>35.0750779272028</v>
      </c>
      <c r="U97" s="23" t="s">
        <v>3984</v>
      </c>
      <c r="V97" s="1764" t="s">
        <v>4272</v>
      </c>
      <c r="W97" s="120"/>
    </row>
    <row r="98" s="42" customFormat="1" ht="15" hidden="1" spans="1:23">
      <c r="A98" s="1120"/>
      <c r="B98" s="706"/>
      <c r="C98" s="23">
        <v>20240531</v>
      </c>
      <c r="D98" s="23">
        <v>6.901</v>
      </c>
      <c r="E98" s="23">
        <v>7.24</v>
      </c>
      <c r="F98" s="23" t="s">
        <v>4273</v>
      </c>
      <c r="G98" s="775" t="s">
        <v>1617</v>
      </c>
      <c r="H98" s="862" t="s">
        <v>1933</v>
      </c>
      <c r="I98" s="688" t="s">
        <v>2438</v>
      </c>
      <c r="J98" s="690"/>
      <c r="K98" s="21" t="s">
        <v>1913</v>
      </c>
      <c r="L98" s="21" t="s">
        <v>1428</v>
      </c>
      <c r="M98" s="700">
        <v>125</v>
      </c>
      <c r="N98" s="21" t="s">
        <v>1428</v>
      </c>
      <c r="O98" s="21" t="s">
        <v>1428</v>
      </c>
      <c r="P98" s="21" t="s">
        <v>1428</v>
      </c>
      <c r="Q98" s="37">
        <v>5.94442772510601</v>
      </c>
      <c r="R98" s="37">
        <v>24.2100144427906</v>
      </c>
      <c r="S98" s="37">
        <v>5</v>
      </c>
      <c r="T98" s="37" t="s">
        <v>1423</v>
      </c>
      <c r="U98" s="23" t="s">
        <v>3984</v>
      </c>
      <c r="V98" s="1764" t="s">
        <v>4274</v>
      </c>
      <c r="W98" s="120"/>
    </row>
    <row r="99" s="42" customFormat="1" ht="15" hidden="1" spans="1:23">
      <c r="A99" s="1120"/>
      <c r="B99" s="707"/>
      <c r="C99" s="23">
        <v>20240531</v>
      </c>
      <c r="D99" s="23">
        <v>7.25</v>
      </c>
      <c r="E99" s="23" t="s">
        <v>1424</v>
      </c>
      <c r="F99" s="23" t="s">
        <v>4275</v>
      </c>
      <c r="G99" s="775" t="s">
        <v>4276</v>
      </c>
      <c r="H99" s="862"/>
      <c r="I99" s="688"/>
      <c r="J99" s="690"/>
      <c r="K99" s="21"/>
      <c r="L99" s="21"/>
      <c r="M99" s="690"/>
      <c r="N99" s="21"/>
      <c r="O99" s="21"/>
      <c r="P99" s="21"/>
      <c r="Q99" s="37"/>
      <c r="R99" s="37">
        <f>24.03/6.91/1.13</f>
        <v>3.07749446102225</v>
      </c>
      <c r="S99" s="37">
        <v>5</v>
      </c>
      <c r="T99" s="37" t="s">
        <v>1425</v>
      </c>
      <c r="U99" s="23"/>
      <c r="V99" s="23" t="s">
        <v>2851</v>
      </c>
      <c r="W99" s="120"/>
    </row>
    <row r="100" s="42" customFormat="1" ht="15" hidden="1" spans="1:23">
      <c r="A100" s="1120"/>
      <c r="B100" s="23" t="s">
        <v>4277</v>
      </c>
      <c r="C100" s="23">
        <v>20240927</v>
      </c>
      <c r="D100" s="20">
        <v>7.11</v>
      </c>
      <c r="E100" s="23">
        <v>7.24</v>
      </c>
      <c r="F100" s="20"/>
      <c r="G100" s="20" t="s">
        <v>4278</v>
      </c>
      <c r="H100" s="23" t="s">
        <v>4279</v>
      </c>
      <c r="I100" s="23" t="s">
        <v>2972</v>
      </c>
      <c r="J100" s="21"/>
      <c r="K100" s="21" t="s">
        <v>1913</v>
      </c>
      <c r="L100" s="21" t="s">
        <v>1428</v>
      </c>
      <c r="M100" s="691">
        <v>65</v>
      </c>
      <c r="N100" s="37" t="s">
        <v>1428</v>
      </c>
      <c r="O100" s="37" t="s">
        <v>1428</v>
      </c>
      <c r="P100" s="37" t="s">
        <v>1428</v>
      </c>
      <c r="Q100" s="37" t="s">
        <v>1428</v>
      </c>
      <c r="R100" s="37">
        <v>12.351088214185</v>
      </c>
      <c r="S100" s="37">
        <v>5</v>
      </c>
      <c r="T100" s="22">
        <f t="shared" si="5"/>
        <v>82.351088214185</v>
      </c>
      <c r="U100" s="23"/>
      <c r="V100" s="880" t="s">
        <v>4280</v>
      </c>
      <c r="W100" s="120"/>
    </row>
    <row r="101" s="42" customFormat="1" ht="15" hidden="1" spans="1:23">
      <c r="A101" s="1120"/>
      <c r="B101" s="23"/>
      <c r="C101" s="23">
        <v>20240927</v>
      </c>
      <c r="D101" s="20">
        <v>7.11</v>
      </c>
      <c r="E101" s="23">
        <v>7.24</v>
      </c>
      <c r="F101" s="20"/>
      <c r="G101" s="20" t="s">
        <v>4281</v>
      </c>
      <c r="H101" s="23" t="s">
        <v>4279</v>
      </c>
      <c r="I101" s="23" t="s">
        <v>2982</v>
      </c>
      <c r="J101" s="21"/>
      <c r="K101" s="21" t="s">
        <v>1913</v>
      </c>
      <c r="L101" s="21" t="s">
        <v>1428</v>
      </c>
      <c r="M101" s="1760">
        <v>100</v>
      </c>
      <c r="N101" s="37" t="s">
        <v>1428</v>
      </c>
      <c r="O101" s="37" t="s">
        <v>1428</v>
      </c>
      <c r="P101" s="37" t="s">
        <v>1428</v>
      </c>
      <c r="Q101" s="37" t="s">
        <v>1428</v>
      </c>
      <c r="R101" s="37">
        <v>12.3819971919429</v>
      </c>
      <c r="S101" s="37">
        <v>5</v>
      </c>
      <c r="T101" s="22">
        <f t="shared" si="5"/>
        <v>117.381997191943</v>
      </c>
      <c r="U101" s="23"/>
      <c r="V101" s="880" t="s">
        <v>4280</v>
      </c>
      <c r="W101" s="120"/>
    </row>
    <row r="102" s="42" customFormat="1" ht="15" hidden="1" spans="1:23">
      <c r="A102" s="1120"/>
      <c r="B102" s="23"/>
      <c r="C102" s="23"/>
      <c r="D102" s="20"/>
      <c r="E102" s="20"/>
      <c r="F102" s="20"/>
      <c r="G102" s="20" t="s">
        <v>4282</v>
      </c>
      <c r="H102" s="23" t="s">
        <v>4279</v>
      </c>
      <c r="I102" s="23" t="s">
        <v>2972</v>
      </c>
      <c r="J102" s="21"/>
      <c r="K102" s="21" t="s">
        <v>1913</v>
      </c>
      <c r="L102" s="21" t="s">
        <v>1428</v>
      </c>
      <c r="M102" s="691">
        <v>65</v>
      </c>
      <c r="N102" s="37" t="s">
        <v>1428</v>
      </c>
      <c r="O102" s="37" t="s">
        <v>1428</v>
      </c>
      <c r="P102" s="37" t="s">
        <v>1428</v>
      </c>
      <c r="Q102" s="37" t="s">
        <v>1428</v>
      </c>
      <c r="R102" s="37">
        <v>12.2546395186457</v>
      </c>
      <c r="S102" s="37">
        <v>5</v>
      </c>
      <c r="T102" s="22">
        <f t="shared" si="5"/>
        <v>82.2546395186457</v>
      </c>
      <c r="U102" s="23"/>
      <c r="V102" s="1765" t="s">
        <v>4280</v>
      </c>
      <c r="W102" s="120"/>
    </row>
    <row r="103" s="42" customFormat="1" ht="13.2" hidden="1" spans="1:23">
      <c r="A103" s="1120"/>
      <c r="B103" s="23"/>
      <c r="C103" s="23">
        <v>20241011</v>
      </c>
      <c r="D103" s="20">
        <v>7.11</v>
      </c>
      <c r="E103" s="23">
        <v>7.17</v>
      </c>
      <c r="F103" s="20" t="s">
        <v>4283</v>
      </c>
      <c r="G103" s="20" t="s">
        <v>1565</v>
      </c>
      <c r="H103" s="23" t="s">
        <v>4284</v>
      </c>
      <c r="I103" s="23" t="s">
        <v>2323</v>
      </c>
      <c r="J103" s="21"/>
      <c r="K103" s="21" t="s">
        <v>1913</v>
      </c>
      <c r="L103" s="21" t="s">
        <v>1428</v>
      </c>
      <c r="M103" s="691">
        <v>65</v>
      </c>
      <c r="N103" s="37" t="s">
        <v>1428</v>
      </c>
      <c r="O103" s="37" t="s">
        <v>1428</v>
      </c>
      <c r="P103" s="37" t="s">
        <v>1428</v>
      </c>
      <c r="Q103" s="37">
        <v>4.7</v>
      </c>
      <c r="R103" s="37">
        <v>12.4659435588149</v>
      </c>
      <c r="S103" s="37">
        <v>5</v>
      </c>
      <c r="T103" s="22">
        <f t="shared" si="5"/>
        <v>87.1659435588149</v>
      </c>
      <c r="U103" s="750" t="s">
        <v>1526</v>
      </c>
      <c r="V103" s="1766" t="s">
        <v>4285</v>
      </c>
      <c r="W103" s="120"/>
    </row>
    <row r="104" s="42" customFormat="1" ht="13.2" hidden="1" spans="1:23">
      <c r="A104" s="1120"/>
      <c r="B104" s="23"/>
      <c r="C104" s="23">
        <v>20241011</v>
      </c>
      <c r="D104" s="20">
        <v>7.11</v>
      </c>
      <c r="E104" s="23">
        <v>7.17</v>
      </c>
      <c r="F104" s="20" t="s">
        <v>4286</v>
      </c>
      <c r="G104" s="20" t="s">
        <v>1617</v>
      </c>
      <c r="H104" s="23" t="s">
        <v>3916</v>
      </c>
      <c r="I104" s="23" t="s">
        <v>4187</v>
      </c>
      <c r="J104" s="21"/>
      <c r="K104" s="21" t="s">
        <v>1913</v>
      </c>
      <c r="L104" s="21" t="s">
        <v>1428</v>
      </c>
      <c r="M104" s="1760">
        <v>100</v>
      </c>
      <c r="N104" s="37" t="s">
        <v>1428</v>
      </c>
      <c r="O104" s="37" t="s">
        <v>1428</v>
      </c>
      <c r="P104" s="37" t="s">
        <v>1428</v>
      </c>
      <c r="Q104" s="37">
        <v>4.7</v>
      </c>
      <c r="R104" s="37">
        <v>12.1987269403801</v>
      </c>
      <c r="S104" s="37">
        <v>5</v>
      </c>
      <c r="T104" s="22">
        <f t="shared" si="5"/>
        <v>121.89872694038</v>
      </c>
      <c r="U104" s="750" t="s">
        <v>1526</v>
      </c>
      <c r="V104" s="1766" t="s">
        <v>4285</v>
      </c>
      <c r="W104" s="120"/>
    </row>
    <row r="105" s="42" customFormat="1" ht="13.2" hidden="1" spans="1:23">
      <c r="A105" s="1120"/>
      <c r="B105" s="23"/>
      <c r="C105" s="23">
        <v>20241112</v>
      </c>
      <c r="D105" s="20">
        <v>7.2</v>
      </c>
      <c r="E105" s="23">
        <v>7.17</v>
      </c>
      <c r="F105" s="20" t="s">
        <v>1792</v>
      </c>
      <c r="G105" s="20" t="s">
        <v>1629</v>
      </c>
      <c r="H105" s="23" t="s">
        <v>4284</v>
      </c>
      <c r="I105" s="23" t="s">
        <v>2323</v>
      </c>
      <c r="J105" s="21"/>
      <c r="K105" s="21" t="s">
        <v>1913</v>
      </c>
      <c r="L105" s="21"/>
      <c r="M105" s="691">
        <v>65</v>
      </c>
      <c r="N105" s="37"/>
      <c r="O105" s="37"/>
      <c r="P105" s="37"/>
      <c r="Q105" s="37">
        <v>4.7</v>
      </c>
      <c r="R105" s="37">
        <v>11.6418262338725</v>
      </c>
      <c r="S105" s="37">
        <v>5</v>
      </c>
      <c r="T105" s="22">
        <f t="shared" si="5"/>
        <v>86.3418262338725</v>
      </c>
      <c r="U105" s="750" t="s">
        <v>1526</v>
      </c>
      <c r="V105" s="1766" t="s">
        <v>4287</v>
      </c>
      <c r="W105" s="120"/>
    </row>
    <row r="106" s="42" customFormat="1" ht="13.2" hidden="1" spans="1:23">
      <c r="A106" s="1120"/>
      <c r="B106" s="23"/>
      <c r="C106" s="23">
        <v>20241112</v>
      </c>
      <c r="D106" s="20">
        <v>7.2</v>
      </c>
      <c r="E106" s="23">
        <v>7.17</v>
      </c>
      <c r="F106" s="20" t="s">
        <v>4288</v>
      </c>
      <c r="G106" s="20" t="s">
        <v>1645</v>
      </c>
      <c r="H106" s="23" t="s">
        <v>4284</v>
      </c>
      <c r="I106" s="23" t="s">
        <v>4289</v>
      </c>
      <c r="J106" s="21"/>
      <c r="K106" s="21" t="s">
        <v>1913</v>
      </c>
      <c r="L106" s="21"/>
      <c r="M106" s="1760">
        <v>100</v>
      </c>
      <c r="N106" s="37"/>
      <c r="O106" s="37"/>
      <c r="P106" s="37"/>
      <c r="Q106" s="37">
        <v>4.7</v>
      </c>
      <c r="R106" s="37">
        <v>11.7958114640389</v>
      </c>
      <c r="S106" s="37">
        <v>5</v>
      </c>
      <c r="T106" s="22">
        <f t="shared" si="5"/>
        <v>121.495811464039</v>
      </c>
      <c r="U106" s="750" t="s">
        <v>1526</v>
      </c>
      <c r="V106" s="1766" t="s">
        <v>4287</v>
      </c>
      <c r="W106" s="120"/>
    </row>
    <row r="107" s="42" customFormat="1" ht="13.2" hidden="1" spans="1:23">
      <c r="A107" s="1120"/>
      <c r="B107" s="23"/>
      <c r="C107" s="23">
        <v>20241112</v>
      </c>
      <c r="D107" s="20">
        <v>7.2</v>
      </c>
      <c r="E107" s="23">
        <v>7.17</v>
      </c>
      <c r="F107" s="20" t="s">
        <v>4290</v>
      </c>
      <c r="G107" s="20" t="s">
        <v>1604</v>
      </c>
      <c r="H107" s="23" t="s">
        <v>4284</v>
      </c>
      <c r="I107" s="23" t="s">
        <v>2082</v>
      </c>
      <c r="J107" s="21"/>
      <c r="K107" s="21" t="s">
        <v>1913</v>
      </c>
      <c r="L107" s="21"/>
      <c r="M107" s="1760">
        <v>100</v>
      </c>
      <c r="N107" s="37"/>
      <c r="O107" s="37"/>
      <c r="P107" s="37"/>
      <c r="Q107" s="37">
        <v>4.7</v>
      </c>
      <c r="R107" s="37">
        <v>11.773156535413</v>
      </c>
      <c r="S107" s="37">
        <v>5</v>
      </c>
      <c r="T107" s="22">
        <f t="shared" si="5"/>
        <v>121.473156535413</v>
      </c>
      <c r="U107" s="750" t="s">
        <v>1526</v>
      </c>
      <c r="V107" s="1766" t="s">
        <v>4287</v>
      </c>
      <c r="W107" s="120"/>
    </row>
    <row r="108" s="42" customFormat="1" ht="13.2" hidden="1" spans="1:23">
      <c r="A108" s="1120"/>
      <c r="B108" s="23"/>
      <c r="C108" s="23">
        <v>20241112</v>
      </c>
      <c r="D108" s="20">
        <v>7.2</v>
      </c>
      <c r="E108" s="23">
        <v>7.24</v>
      </c>
      <c r="F108" s="20" t="s">
        <v>1153</v>
      </c>
      <c r="G108" s="20" t="s">
        <v>1154</v>
      </c>
      <c r="H108" s="23"/>
      <c r="I108" s="23"/>
      <c r="J108" s="21"/>
      <c r="K108" s="21"/>
      <c r="L108" s="21"/>
      <c r="M108" s="21"/>
      <c r="N108" s="37"/>
      <c r="O108" s="37"/>
      <c r="P108" s="37"/>
      <c r="Q108" s="37">
        <v>0.478763274682023</v>
      </c>
      <c r="R108" s="37">
        <v>1.99912049662815</v>
      </c>
      <c r="S108" s="774">
        <v>0.4</v>
      </c>
      <c r="T108" s="37">
        <f t="shared" si="5"/>
        <v>2.87788377131017</v>
      </c>
      <c r="U108" s="750"/>
      <c r="V108" s="1766" t="s">
        <v>4291</v>
      </c>
      <c r="W108" s="120"/>
    </row>
    <row r="109" s="42" customFormat="1" ht="15" hidden="1" spans="1:23">
      <c r="A109" s="1120"/>
      <c r="B109" s="23"/>
      <c r="C109" s="23">
        <v>20240927</v>
      </c>
      <c r="D109" s="20">
        <v>7.11</v>
      </c>
      <c r="E109" s="23">
        <v>7.24</v>
      </c>
      <c r="F109" s="23" t="s">
        <v>1157</v>
      </c>
      <c r="G109" s="20" t="s">
        <v>1158</v>
      </c>
      <c r="H109" s="20"/>
      <c r="I109" s="688"/>
      <c r="J109" s="690"/>
      <c r="K109" s="21"/>
      <c r="L109" s="21"/>
      <c r="M109" s="690"/>
      <c r="N109" s="21"/>
      <c r="O109" s="21"/>
      <c r="P109" s="21"/>
      <c r="Q109" s="37">
        <v>0.484823569298251</v>
      </c>
      <c r="R109" s="37">
        <v>1.69757666253173</v>
      </c>
      <c r="S109" s="774">
        <v>0.4</v>
      </c>
      <c r="T109" s="37">
        <f t="shared" si="5"/>
        <v>2.58240023182998</v>
      </c>
      <c r="U109" s="23"/>
      <c r="V109" s="751" t="s">
        <v>4292</v>
      </c>
      <c r="W109" s="120"/>
    </row>
    <row r="110" s="42" customFormat="1" ht="16" hidden="1" customHeight="1" spans="1:23">
      <c r="A110" s="1120"/>
      <c r="B110" s="23"/>
      <c r="C110" s="23">
        <v>20240927</v>
      </c>
      <c r="D110" s="20">
        <v>7.11</v>
      </c>
      <c r="E110" s="23">
        <v>7.24</v>
      </c>
      <c r="F110" s="23" t="s">
        <v>1159</v>
      </c>
      <c r="G110" s="20" t="s">
        <v>1160</v>
      </c>
      <c r="H110" s="20"/>
      <c r="I110" s="688"/>
      <c r="J110" s="690"/>
      <c r="K110" s="21"/>
      <c r="L110" s="21"/>
      <c r="M110" s="690"/>
      <c r="N110" s="21"/>
      <c r="O110" s="21"/>
      <c r="P110" s="21"/>
      <c r="Q110" s="37">
        <v>0.484823569298251</v>
      </c>
      <c r="R110" s="37">
        <v>2.80519719665879</v>
      </c>
      <c r="S110" s="774">
        <v>0.4</v>
      </c>
      <c r="T110" s="37">
        <f t="shared" si="5"/>
        <v>3.69002076595704</v>
      </c>
      <c r="U110" s="23"/>
      <c r="V110" s="35" t="s">
        <v>4293</v>
      </c>
      <c r="W110" s="120"/>
    </row>
    <row r="111" s="42" customFormat="1" ht="15" hidden="1" spans="1:23">
      <c r="A111" s="1120"/>
      <c r="B111" s="23" t="s">
        <v>4294</v>
      </c>
      <c r="C111" s="23"/>
      <c r="D111" s="23"/>
      <c r="E111" s="23"/>
      <c r="F111" s="23"/>
      <c r="G111" s="20" t="s">
        <v>1629</v>
      </c>
      <c r="H111" s="20" t="s">
        <v>1933</v>
      </c>
      <c r="I111" s="23" t="s">
        <v>2972</v>
      </c>
      <c r="J111" s="21"/>
      <c r="K111" s="21" t="s">
        <v>4295</v>
      </c>
      <c r="L111" s="21" t="s">
        <v>1742</v>
      </c>
      <c r="M111" s="691">
        <v>65</v>
      </c>
      <c r="N111" s="138" t="s">
        <v>3513</v>
      </c>
      <c r="O111" s="21" t="s">
        <v>1428</v>
      </c>
      <c r="P111" s="21">
        <v>6</v>
      </c>
      <c r="Q111" s="37">
        <v>3.6812208976328</v>
      </c>
      <c r="R111" s="37">
        <v>27.6059113300493</v>
      </c>
      <c r="S111" s="774">
        <v>5</v>
      </c>
      <c r="T111" s="37">
        <f t="shared" si="5"/>
        <v>107.287132227682</v>
      </c>
      <c r="U111" s="23" t="s">
        <v>4296</v>
      </c>
      <c r="V111" s="35" t="s">
        <v>4297</v>
      </c>
      <c r="W111" s="120"/>
    </row>
    <row r="112" s="42" customFormat="1" ht="15" hidden="1" spans="1:23">
      <c r="A112" s="1120"/>
      <c r="B112" s="23"/>
      <c r="C112" s="23"/>
      <c r="D112" s="23"/>
      <c r="E112" s="23"/>
      <c r="F112" s="23"/>
      <c r="G112" s="20" t="s">
        <v>1645</v>
      </c>
      <c r="H112" s="20" t="s">
        <v>1933</v>
      </c>
      <c r="I112" s="23" t="s">
        <v>2982</v>
      </c>
      <c r="J112" s="21"/>
      <c r="K112" s="21" t="s">
        <v>4174</v>
      </c>
      <c r="L112" s="21" t="s">
        <v>1742</v>
      </c>
      <c r="M112" s="1760">
        <v>100</v>
      </c>
      <c r="N112" s="700" t="s">
        <v>1428</v>
      </c>
      <c r="O112" s="21" t="s">
        <v>1428</v>
      </c>
      <c r="P112" s="21">
        <v>6</v>
      </c>
      <c r="Q112" s="37">
        <v>3.6812208976328</v>
      </c>
      <c r="R112" s="37">
        <v>23.4301649126997</v>
      </c>
      <c r="S112" s="774">
        <v>5</v>
      </c>
      <c r="T112" s="37">
        <f t="shared" si="5"/>
        <v>138.111385810333</v>
      </c>
      <c r="U112" s="23" t="s">
        <v>4175</v>
      </c>
      <c r="V112" s="35" t="s">
        <v>4298</v>
      </c>
      <c r="W112" s="120"/>
    </row>
    <row r="113" s="42" customFormat="1" ht="15" hidden="1" spans="1:23">
      <c r="A113" s="1120"/>
      <c r="B113" s="23"/>
      <c r="C113" s="23"/>
      <c r="D113" s="23"/>
      <c r="E113" s="23"/>
      <c r="F113" s="23"/>
      <c r="G113" s="20" t="s">
        <v>1571</v>
      </c>
      <c r="H113" s="20" t="s">
        <v>1933</v>
      </c>
      <c r="I113" s="23" t="s">
        <v>4299</v>
      </c>
      <c r="J113" s="21"/>
      <c r="K113" s="21" t="s">
        <v>4174</v>
      </c>
      <c r="L113" s="21" t="s">
        <v>4300</v>
      </c>
      <c r="M113" s="21" t="s">
        <v>1428</v>
      </c>
      <c r="N113" s="700" t="s">
        <v>1428</v>
      </c>
      <c r="O113" s="21" t="s">
        <v>1428</v>
      </c>
      <c r="P113" s="21">
        <v>6.6</v>
      </c>
      <c r="Q113" s="37">
        <v>3.6812208976328</v>
      </c>
      <c r="R113" s="37">
        <v>20.3801967534825</v>
      </c>
      <c r="S113" s="774">
        <v>5</v>
      </c>
      <c r="T113" s="37">
        <f t="shared" si="5"/>
        <v>35.6614176511153</v>
      </c>
      <c r="U113" s="23" t="s">
        <v>4175</v>
      </c>
      <c r="V113" s="35" t="s">
        <v>4298</v>
      </c>
      <c r="W113" s="120" t="s">
        <v>1406</v>
      </c>
    </row>
    <row r="114" s="42" customFormat="1" ht="15" hidden="1" spans="1:23">
      <c r="A114" s="1120"/>
      <c r="B114" s="23"/>
      <c r="C114" s="23"/>
      <c r="D114" s="23"/>
      <c r="E114" s="23"/>
      <c r="F114" s="23"/>
      <c r="G114" s="20" t="s">
        <v>1669</v>
      </c>
      <c r="H114" s="20" t="s">
        <v>1933</v>
      </c>
      <c r="I114" s="688" t="s">
        <v>2858</v>
      </c>
      <c r="J114" s="690"/>
      <c r="K114" s="21" t="s">
        <v>4248</v>
      </c>
      <c r="L114" s="21" t="s">
        <v>1742</v>
      </c>
      <c r="M114" s="700" t="s">
        <v>1428</v>
      </c>
      <c r="N114" s="700" t="s">
        <v>1428</v>
      </c>
      <c r="O114" s="21" t="s">
        <v>1428</v>
      </c>
      <c r="P114" s="21">
        <v>6</v>
      </c>
      <c r="Q114" s="37">
        <v>3.6812208976328</v>
      </c>
      <c r="R114" s="37">
        <v>19.4718149184956</v>
      </c>
      <c r="S114" s="774">
        <v>5</v>
      </c>
      <c r="T114" s="37">
        <f t="shared" si="5"/>
        <v>34.1530358161284</v>
      </c>
      <c r="U114" s="23" t="s">
        <v>4301</v>
      </c>
      <c r="V114" s="35" t="s">
        <v>4302</v>
      </c>
      <c r="W114" s="120"/>
    </row>
    <row r="115" s="42" customFormat="1" ht="15" hidden="1" spans="1:23">
      <c r="A115" s="1120"/>
      <c r="B115" s="23"/>
      <c r="C115" s="23"/>
      <c r="D115" s="23"/>
      <c r="E115" s="23"/>
      <c r="F115" s="23"/>
      <c r="G115" s="20" t="s">
        <v>1672</v>
      </c>
      <c r="H115" s="20" t="s">
        <v>1933</v>
      </c>
      <c r="I115" s="23" t="s">
        <v>2993</v>
      </c>
      <c r="J115" s="21"/>
      <c r="K115" s="21" t="s">
        <v>4295</v>
      </c>
      <c r="L115" s="21" t="s">
        <v>1742</v>
      </c>
      <c r="M115" s="698">
        <v>70</v>
      </c>
      <c r="N115" s="21" t="s">
        <v>1428</v>
      </c>
      <c r="O115" s="21" t="s">
        <v>1428</v>
      </c>
      <c r="P115" s="21">
        <v>6</v>
      </c>
      <c r="Q115" s="37">
        <v>3.6812208976328</v>
      </c>
      <c r="R115" s="37">
        <v>18.2381456558471</v>
      </c>
      <c r="S115" s="774">
        <v>5</v>
      </c>
      <c r="T115" s="37">
        <f t="shared" si="5"/>
        <v>102.91936655348</v>
      </c>
      <c r="U115" s="23" t="s">
        <v>4296</v>
      </c>
      <c r="V115" s="35" t="s">
        <v>4303</v>
      </c>
      <c r="W115" s="120"/>
    </row>
    <row r="116" s="42" customFormat="1" ht="15" hidden="1" spans="1:23">
      <c r="A116" s="1120"/>
      <c r="B116" s="23"/>
      <c r="C116" s="23"/>
      <c r="D116" s="23"/>
      <c r="E116" s="23"/>
      <c r="F116" s="23"/>
      <c r="G116" s="20" t="s">
        <v>1998</v>
      </c>
      <c r="H116" s="20" t="s">
        <v>1933</v>
      </c>
      <c r="I116" s="23" t="s">
        <v>2962</v>
      </c>
      <c r="J116" s="21"/>
      <c r="K116" s="21" t="s">
        <v>4174</v>
      </c>
      <c r="L116" s="21" t="s">
        <v>1742</v>
      </c>
      <c r="M116" s="700">
        <v>145</v>
      </c>
      <c r="N116" s="700" t="s">
        <v>1428</v>
      </c>
      <c r="O116" s="21" t="s">
        <v>1428</v>
      </c>
      <c r="P116" s="21">
        <v>6</v>
      </c>
      <c r="Q116" s="37">
        <v>3.6812208976328</v>
      </c>
      <c r="R116" s="37">
        <v>19.2539866091416</v>
      </c>
      <c r="S116" s="774">
        <v>5</v>
      </c>
      <c r="T116" s="37">
        <f t="shared" si="5"/>
        <v>178.935207506774</v>
      </c>
      <c r="U116" s="23" t="s">
        <v>4175</v>
      </c>
      <c r="V116" s="35" t="s">
        <v>4304</v>
      </c>
      <c r="W116" s="120"/>
    </row>
    <row r="117" s="42" customFormat="1" ht="15" hidden="1" spans="1:23">
      <c r="A117" s="1120"/>
      <c r="B117" s="23"/>
      <c r="C117" s="23"/>
      <c r="D117" s="23"/>
      <c r="E117" s="23"/>
      <c r="F117" s="23"/>
      <c r="G117" s="20" t="s">
        <v>2306</v>
      </c>
      <c r="H117" s="20" t="s">
        <v>1933</v>
      </c>
      <c r="I117" s="23" t="s">
        <v>2962</v>
      </c>
      <c r="J117" s="21"/>
      <c r="K117" s="21" t="s">
        <v>4174</v>
      </c>
      <c r="L117" s="21" t="s">
        <v>1742</v>
      </c>
      <c r="M117" s="700">
        <v>145</v>
      </c>
      <c r="N117" s="700" t="s">
        <v>1428</v>
      </c>
      <c r="O117" s="21" t="s">
        <v>1428</v>
      </c>
      <c r="P117" s="21">
        <v>6</v>
      </c>
      <c r="Q117" s="37">
        <v>3.6812208976328</v>
      </c>
      <c r="R117" s="37">
        <v>19.6113269624142</v>
      </c>
      <c r="S117" s="774">
        <v>5</v>
      </c>
      <c r="T117" s="37">
        <f t="shared" si="5"/>
        <v>179.292547860047</v>
      </c>
      <c r="U117" s="23" t="s">
        <v>4175</v>
      </c>
      <c r="V117" s="35" t="s">
        <v>4304</v>
      </c>
      <c r="W117" s="120"/>
    </row>
    <row r="118" s="42" customFormat="1" ht="13.2" hidden="1" spans="1:23">
      <c r="A118" s="1120"/>
      <c r="B118" s="23"/>
      <c r="C118" s="23">
        <v>20240802</v>
      </c>
      <c r="D118" s="23">
        <v>7.26</v>
      </c>
      <c r="E118" s="23">
        <v>7.24</v>
      </c>
      <c r="F118" s="23" t="s">
        <v>89</v>
      </c>
      <c r="G118" s="20" t="s">
        <v>90</v>
      </c>
      <c r="H118" s="20"/>
      <c r="I118" s="23"/>
      <c r="J118" s="21"/>
      <c r="K118" s="21"/>
      <c r="L118" s="21"/>
      <c r="M118" s="21"/>
      <c r="N118" s="21"/>
      <c r="O118" s="21"/>
      <c r="P118" s="36"/>
      <c r="Q118" s="37">
        <v>0.582656817572345</v>
      </c>
      <c r="R118" s="37">
        <v>0.636355717168493</v>
      </c>
      <c r="S118" s="37">
        <v>0.2</v>
      </c>
      <c r="T118" s="37">
        <f t="shared" si="5"/>
        <v>1.41901253474084</v>
      </c>
      <c r="U118" s="23"/>
      <c r="V118" s="35"/>
      <c r="W118" s="120"/>
    </row>
    <row r="119" s="42" customFormat="1" ht="13.2" hidden="1" spans="1:23">
      <c r="A119" s="1120"/>
      <c r="B119" s="23"/>
      <c r="C119" s="23"/>
      <c r="D119" s="23"/>
      <c r="E119" s="23"/>
      <c r="F119" s="23"/>
      <c r="G119" s="20" t="s">
        <v>91</v>
      </c>
      <c r="H119" s="20"/>
      <c r="I119" s="23"/>
      <c r="J119" s="21"/>
      <c r="K119" s="21"/>
      <c r="L119" s="21"/>
      <c r="M119" s="21"/>
      <c r="N119" s="21"/>
      <c r="O119" s="21"/>
      <c r="P119" s="36"/>
      <c r="Q119" s="37">
        <v>0.248909042151198</v>
      </c>
      <c r="R119" s="37">
        <v>0.964956446189571</v>
      </c>
      <c r="S119" s="37">
        <v>0.2</v>
      </c>
      <c r="T119" s="37">
        <f t="shared" si="5"/>
        <v>1.41386548834077</v>
      </c>
      <c r="U119" s="23"/>
      <c r="V119" s="35"/>
      <c r="W119" s="120"/>
    </row>
    <row r="120" s="42" customFormat="1" ht="13.2" hidden="1" spans="1:23">
      <c r="A120" s="1120"/>
      <c r="B120" s="23"/>
      <c r="C120" s="23"/>
      <c r="D120" s="23"/>
      <c r="E120" s="23"/>
      <c r="F120" s="23"/>
      <c r="G120" s="20" t="s">
        <v>92</v>
      </c>
      <c r="H120" s="20"/>
      <c r="I120" s="23"/>
      <c r="J120" s="21"/>
      <c r="K120" s="21"/>
      <c r="L120" s="21"/>
      <c r="M120" s="21"/>
      <c r="N120" s="21"/>
      <c r="O120" s="21"/>
      <c r="P120" s="36"/>
      <c r="Q120" s="37">
        <v>0.356936256107918</v>
      </c>
      <c r="R120" s="37">
        <v>1.38965038709122</v>
      </c>
      <c r="S120" s="37">
        <v>0.2</v>
      </c>
      <c r="T120" s="37">
        <f t="shared" si="5"/>
        <v>1.94658664319914</v>
      </c>
      <c r="U120" s="23"/>
      <c r="V120" s="35"/>
      <c r="W120" s="120"/>
    </row>
    <row r="121" s="42" customFormat="1" ht="15" hidden="1" customHeight="1" spans="1:23">
      <c r="A121" s="1120"/>
      <c r="B121" s="23"/>
      <c r="C121" s="23"/>
      <c r="D121" s="23"/>
      <c r="E121" s="23"/>
      <c r="F121" s="23"/>
      <c r="G121" s="20" t="s">
        <v>93</v>
      </c>
      <c r="H121" s="20"/>
      <c r="I121" s="23"/>
      <c r="J121" s="21"/>
      <c r="K121" s="21"/>
      <c r="L121" s="21"/>
      <c r="M121" s="690"/>
      <c r="N121" s="21"/>
      <c r="O121" s="21"/>
      <c r="P121" s="21"/>
      <c r="Q121" s="37">
        <v>1.57829715351839</v>
      </c>
      <c r="R121" s="37">
        <v>2.00003106799788</v>
      </c>
      <c r="S121" s="37">
        <v>0.2</v>
      </c>
      <c r="T121" s="37">
        <f t="shared" si="5"/>
        <v>3.77832822151627</v>
      </c>
      <c r="U121" s="23"/>
      <c r="V121" s="35"/>
      <c r="W121" s="120"/>
    </row>
    <row r="122" s="42" customFormat="1" ht="15" hidden="1" spans="1:23">
      <c r="A122" s="1120"/>
      <c r="B122" s="23" t="s">
        <v>4305</v>
      </c>
      <c r="C122" s="23">
        <v>20240220</v>
      </c>
      <c r="D122" s="23">
        <v>7.2</v>
      </c>
      <c r="E122" s="23">
        <v>7.24</v>
      </c>
      <c r="F122" s="23" t="s">
        <v>4306</v>
      </c>
      <c r="G122" s="20" t="s">
        <v>1565</v>
      </c>
      <c r="H122" s="20" t="s">
        <v>3540</v>
      </c>
      <c r="I122" s="23" t="s">
        <v>2972</v>
      </c>
      <c r="J122" s="21"/>
      <c r="K122" s="21" t="s">
        <v>1913</v>
      </c>
      <c r="L122" s="21" t="s">
        <v>1428</v>
      </c>
      <c r="M122" s="691">
        <v>65</v>
      </c>
      <c r="N122" s="21" t="s">
        <v>1428</v>
      </c>
      <c r="O122" s="21" t="s">
        <v>1428</v>
      </c>
      <c r="P122" s="21" t="s">
        <v>1428</v>
      </c>
      <c r="Q122" s="37">
        <v>2.67699115044248</v>
      </c>
      <c r="R122" s="37">
        <v>15.3908885193921</v>
      </c>
      <c r="S122" s="774">
        <v>5</v>
      </c>
      <c r="T122" s="37">
        <f t="shared" si="5"/>
        <v>88.0678796698346</v>
      </c>
      <c r="U122" s="167" t="s">
        <v>1526</v>
      </c>
      <c r="V122" s="35" t="s">
        <v>4307</v>
      </c>
      <c r="W122" s="120" t="s">
        <v>1406</v>
      </c>
    </row>
    <row r="123" s="42" customFormat="1" ht="15" hidden="1" spans="1:23">
      <c r="A123" s="1120"/>
      <c r="B123" s="23"/>
      <c r="C123" s="23">
        <v>20240220</v>
      </c>
      <c r="D123" s="23">
        <v>7.2</v>
      </c>
      <c r="E123" s="23">
        <v>7.24</v>
      </c>
      <c r="F123" s="23" t="s">
        <v>4308</v>
      </c>
      <c r="G123" s="20" t="s">
        <v>1617</v>
      </c>
      <c r="H123" s="20" t="s">
        <v>3540</v>
      </c>
      <c r="I123" s="23" t="s">
        <v>2951</v>
      </c>
      <c r="J123" s="21"/>
      <c r="K123" s="21" t="s">
        <v>1913</v>
      </c>
      <c r="L123" s="21" t="s">
        <v>1428</v>
      </c>
      <c r="M123" s="691" t="s">
        <v>4244</v>
      </c>
      <c r="N123" s="21" t="s">
        <v>1428</v>
      </c>
      <c r="O123" s="21" t="s">
        <v>1428</v>
      </c>
      <c r="P123" s="21" t="s">
        <v>1428</v>
      </c>
      <c r="Q123" s="37">
        <v>2.67699115044248</v>
      </c>
      <c r="R123" s="37">
        <v>16.4876283970305</v>
      </c>
      <c r="S123" s="774">
        <v>5</v>
      </c>
      <c r="T123" s="37">
        <f t="shared" si="5"/>
        <v>24.164619547473</v>
      </c>
      <c r="U123" s="167" t="s">
        <v>1526</v>
      </c>
      <c r="V123" s="35" t="s">
        <v>4309</v>
      </c>
      <c r="W123" s="120"/>
    </row>
    <row r="124" s="42" customFormat="1" ht="15" hidden="1" spans="1:23">
      <c r="A124" s="1120"/>
      <c r="B124" s="23"/>
      <c r="C124" s="23">
        <v>20240220</v>
      </c>
      <c r="D124" s="23">
        <v>7.2</v>
      </c>
      <c r="E124" s="23">
        <v>7.24</v>
      </c>
      <c r="F124" s="23" t="s">
        <v>4310</v>
      </c>
      <c r="G124" s="20" t="s">
        <v>1629</v>
      </c>
      <c r="H124" s="20" t="s">
        <v>3540</v>
      </c>
      <c r="I124" s="23" t="s">
        <v>2438</v>
      </c>
      <c r="J124" s="21"/>
      <c r="K124" s="21" t="s">
        <v>1913</v>
      </c>
      <c r="L124" s="21" t="s">
        <v>1428</v>
      </c>
      <c r="M124" s="700">
        <v>125</v>
      </c>
      <c r="N124" s="21" t="s">
        <v>1428</v>
      </c>
      <c r="O124" s="21" t="s">
        <v>1428</v>
      </c>
      <c r="P124" s="21" t="s">
        <v>1428</v>
      </c>
      <c r="Q124" s="37">
        <v>2.67699115044248</v>
      </c>
      <c r="R124" s="37">
        <v>17.622713026783</v>
      </c>
      <c r="S124" s="774">
        <v>5</v>
      </c>
      <c r="T124" s="37">
        <f t="shared" si="5"/>
        <v>150.299704177225</v>
      </c>
      <c r="U124" s="167" t="s">
        <v>1526</v>
      </c>
      <c r="V124" s="751" t="s">
        <v>4311</v>
      </c>
      <c r="W124" s="120"/>
    </row>
    <row r="125" s="42" customFormat="1" ht="15" hidden="1" spans="1:23">
      <c r="A125" s="1120"/>
      <c r="B125" s="23" t="s">
        <v>4312</v>
      </c>
      <c r="C125" s="23"/>
      <c r="D125" s="23"/>
      <c r="E125" s="23"/>
      <c r="F125" s="23"/>
      <c r="G125" s="23" t="s">
        <v>1565</v>
      </c>
      <c r="H125" s="20" t="s">
        <v>1933</v>
      </c>
      <c r="I125" s="23" t="s">
        <v>4313</v>
      </c>
      <c r="J125" s="21"/>
      <c r="K125" s="21" t="s">
        <v>3436</v>
      </c>
      <c r="L125" s="21" t="s">
        <v>4314</v>
      </c>
      <c r="M125" s="21" t="s">
        <v>1428</v>
      </c>
      <c r="N125" s="21">
        <v>0</v>
      </c>
      <c r="O125" s="21" t="s">
        <v>1428</v>
      </c>
      <c r="P125" s="21" t="s">
        <v>1428</v>
      </c>
      <c r="Q125" s="37">
        <v>6.831</v>
      </c>
      <c r="R125" s="37">
        <v>17.7333333333333</v>
      </c>
      <c r="S125" s="774">
        <v>4.33</v>
      </c>
      <c r="T125" s="37">
        <f t="shared" si="5"/>
        <v>28.8943333333333</v>
      </c>
      <c r="U125" s="38" t="s">
        <v>4315</v>
      </c>
      <c r="V125" s="35" t="s">
        <v>4316</v>
      </c>
      <c r="W125" s="120" t="s">
        <v>1406</v>
      </c>
    </row>
    <row r="126" s="42" customFormat="1" ht="13.2" hidden="1" spans="1:23">
      <c r="A126" s="1120"/>
      <c r="B126" s="23"/>
      <c r="C126" s="23"/>
      <c r="D126" s="23"/>
      <c r="E126" s="23"/>
      <c r="F126" s="23"/>
      <c r="G126" s="23" t="s">
        <v>4317</v>
      </c>
      <c r="H126" s="20"/>
      <c r="I126" s="23"/>
      <c r="J126" s="21"/>
      <c r="K126" s="21"/>
      <c r="L126" s="21"/>
      <c r="M126" s="21"/>
      <c r="N126" s="21"/>
      <c r="O126" s="21"/>
      <c r="P126" s="21"/>
      <c r="Q126" s="37">
        <v>0.31625</v>
      </c>
      <c r="R126" s="37">
        <v>1.06666666666667</v>
      </c>
      <c r="S126" s="37">
        <v>0.4</v>
      </c>
      <c r="T126" s="37">
        <f t="shared" si="5"/>
        <v>1.78291666666667</v>
      </c>
      <c r="U126" s="38"/>
      <c r="V126" s="35"/>
      <c r="W126" s="120" t="s">
        <v>1406</v>
      </c>
    </row>
    <row r="127" s="42" customFormat="1" ht="13.2" hidden="1" spans="1:23">
      <c r="A127" s="1120"/>
      <c r="B127" s="23"/>
      <c r="C127" s="23"/>
      <c r="D127" s="23"/>
      <c r="E127" s="23"/>
      <c r="F127" s="23"/>
      <c r="G127" s="23" t="s">
        <v>4318</v>
      </c>
      <c r="H127" s="23"/>
      <c r="I127" s="23"/>
      <c r="J127" s="21"/>
      <c r="K127" s="21"/>
      <c r="L127" s="21"/>
      <c r="M127" s="21"/>
      <c r="N127" s="21"/>
      <c r="O127" s="21"/>
      <c r="P127" s="21"/>
      <c r="Q127" s="37">
        <v>0.33891</v>
      </c>
      <c r="R127" s="37">
        <v>1.27619047619047</v>
      </c>
      <c r="S127" s="37">
        <v>0.4</v>
      </c>
      <c r="T127" s="37">
        <f t="shared" si="5"/>
        <v>2.01510047619047</v>
      </c>
      <c r="U127" s="38"/>
      <c r="V127" s="35"/>
      <c r="W127" s="120" t="s">
        <v>1406</v>
      </c>
    </row>
    <row r="128" s="42" customFormat="1" ht="16" hidden="1" customHeight="1" spans="1:23">
      <c r="A128" s="1120"/>
      <c r="B128" s="23" t="s">
        <v>4319</v>
      </c>
      <c r="C128" s="23"/>
      <c r="D128" s="23"/>
      <c r="E128" s="23"/>
      <c r="F128" s="23"/>
      <c r="G128" s="23" t="s">
        <v>1565</v>
      </c>
      <c r="H128" s="23" t="s">
        <v>1933</v>
      </c>
      <c r="I128" s="23" t="s">
        <v>4320</v>
      </c>
      <c r="J128" s="21"/>
      <c r="K128" s="21" t="s">
        <v>4248</v>
      </c>
      <c r="L128" s="21" t="s">
        <v>1428</v>
      </c>
      <c r="M128" s="21" t="s">
        <v>1428</v>
      </c>
      <c r="N128" s="700" t="s">
        <v>1428</v>
      </c>
      <c r="O128" s="21" t="s">
        <v>1428</v>
      </c>
      <c r="P128" s="21" t="s">
        <v>1428</v>
      </c>
      <c r="Q128" s="37">
        <v>6.42121902343701</v>
      </c>
      <c r="R128" s="37">
        <v>32.4451355688275</v>
      </c>
      <c r="S128" s="37">
        <v>5</v>
      </c>
      <c r="T128" s="37">
        <f t="shared" si="5"/>
        <v>43.8663545922645</v>
      </c>
      <c r="U128" s="38" t="s">
        <v>3984</v>
      </c>
      <c r="V128" s="35" t="s">
        <v>4321</v>
      </c>
      <c r="W128" s="120" t="s">
        <v>1406</v>
      </c>
    </row>
    <row r="129" s="42" customFormat="1" ht="16" hidden="1" customHeight="1" spans="1:23">
      <c r="A129" s="1120"/>
      <c r="B129" s="23"/>
      <c r="C129" s="23"/>
      <c r="D129" s="23"/>
      <c r="E129" s="23"/>
      <c r="F129" s="23"/>
      <c r="G129" s="23" t="s">
        <v>1617</v>
      </c>
      <c r="H129" s="23" t="s">
        <v>1933</v>
      </c>
      <c r="I129" s="23" t="s">
        <v>4322</v>
      </c>
      <c r="J129" s="21"/>
      <c r="K129" s="21" t="s">
        <v>4248</v>
      </c>
      <c r="L129" s="21" t="s">
        <v>1428</v>
      </c>
      <c r="M129" s="21" t="s">
        <v>1428</v>
      </c>
      <c r="N129" s="700" t="s">
        <v>1428</v>
      </c>
      <c r="O129" s="21" t="s">
        <v>1428</v>
      </c>
      <c r="P129" s="21" t="s">
        <v>1428</v>
      </c>
      <c r="Q129" s="37">
        <v>6.42121902343701</v>
      </c>
      <c r="R129" s="37">
        <v>34.0827284163838</v>
      </c>
      <c r="S129" s="37">
        <v>5</v>
      </c>
      <c r="T129" s="37">
        <f t="shared" si="5"/>
        <v>45.5039474398208</v>
      </c>
      <c r="U129" s="38" t="s">
        <v>3984</v>
      </c>
      <c r="V129" s="35" t="s">
        <v>4323</v>
      </c>
      <c r="W129" s="120" t="s">
        <v>1406</v>
      </c>
    </row>
    <row r="130" s="42" customFormat="1" ht="16" hidden="1" customHeight="1" spans="1:23">
      <c r="A130" s="1120"/>
      <c r="B130" s="23"/>
      <c r="C130" s="23"/>
      <c r="D130" s="23"/>
      <c r="E130" s="23"/>
      <c r="F130" s="23"/>
      <c r="G130" s="23" t="s">
        <v>1629</v>
      </c>
      <c r="H130" s="23">
        <f>2.75/6.9514/1.13</f>
        <v>0.350091825903282</v>
      </c>
      <c r="I130" s="23" t="s">
        <v>4324</v>
      </c>
      <c r="J130" s="21"/>
      <c r="K130" s="21" t="s">
        <v>4174</v>
      </c>
      <c r="L130" s="21" t="s">
        <v>1428</v>
      </c>
      <c r="M130" s="21">
        <v>320</v>
      </c>
      <c r="N130" s="21" t="s">
        <v>1428</v>
      </c>
      <c r="O130" s="21" t="s">
        <v>1428</v>
      </c>
      <c r="P130" s="21" t="s">
        <v>1428</v>
      </c>
      <c r="Q130" s="37">
        <v>6.42121902343701</v>
      </c>
      <c r="R130" s="37">
        <v>33.2713872034836</v>
      </c>
      <c r="S130" s="37">
        <v>5</v>
      </c>
      <c r="T130" s="37">
        <f t="shared" si="5"/>
        <v>364.692606226921</v>
      </c>
      <c r="U130" s="38" t="s">
        <v>4250</v>
      </c>
      <c r="V130" s="35" t="s">
        <v>4325</v>
      </c>
      <c r="W130" s="120" t="s">
        <v>1406</v>
      </c>
    </row>
    <row r="131" s="42" customFormat="1" ht="16" hidden="1" customHeight="1" spans="1:23">
      <c r="A131" s="1120"/>
      <c r="B131" s="23"/>
      <c r="C131" s="23"/>
      <c r="D131" s="23"/>
      <c r="E131" s="23"/>
      <c r="F131" s="23"/>
      <c r="G131" s="23" t="s">
        <v>1645</v>
      </c>
      <c r="H131" s="23" t="s">
        <v>1933</v>
      </c>
      <c r="I131" s="23" t="s">
        <v>4326</v>
      </c>
      <c r="J131" s="21"/>
      <c r="K131" s="21" t="s">
        <v>4248</v>
      </c>
      <c r="L131" s="21" t="s">
        <v>1428</v>
      </c>
      <c r="M131" s="21">
        <v>430</v>
      </c>
      <c r="N131" s="21" t="s">
        <v>1428</v>
      </c>
      <c r="O131" s="21"/>
      <c r="P131" s="21"/>
      <c r="Q131" s="37">
        <v>6.42121902343701</v>
      </c>
      <c r="R131" s="37">
        <v>31.9702080561004</v>
      </c>
      <c r="S131" s="37">
        <v>5</v>
      </c>
      <c r="T131" s="37">
        <f t="shared" si="5"/>
        <v>473.391427079537</v>
      </c>
      <c r="U131" s="38" t="s">
        <v>3984</v>
      </c>
      <c r="V131" s="35" t="s">
        <v>4325</v>
      </c>
      <c r="W131" s="120"/>
    </row>
    <row r="132" s="42" customFormat="1" ht="16" hidden="1" customHeight="1" spans="1:23">
      <c r="A132" s="1120"/>
      <c r="B132" s="23"/>
      <c r="C132" s="23"/>
      <c r="D132" s="23"/>
      <c r="E132" s="23"/>
      <c r="F132" s="23"/>
      <c r="G132" s="23" t="s">
        <v>1604</v>
      </c>
      <c r="H132" s="23" t="s">
        <v>1933</v>
      </c>
      <c r="I132" s="23" t="s">
        <v>4327</v>
      </c>
      <c r="J132" s="21"/>
      <c r="K132" s="21" t="s">
        <v>4328</v>
      </c>
      <c r="L132" s="21" t="s">
        <v>1428</v>
      </c>
      <c r="M132" s="700">
        <v>280</v>
      </c>
      <c r="N132" s="21" t="s">
        <v>1428</v>
      </c>
      <c r="O132" s="21" t="s">
        <v>1428</v>
      </c>
      <c r="P132" s="21" t="s">
        <v>1428</v>
      </c>
      <c r="Q132" s="37">
        <v>6.42121902343701</v>
      </c>
      <c r="R132" s="37">
        <v>34.5965568628754</v>
      </c>
      <c r="S132" s="37">
        <v>5</v>
      </c>
      <c r="T132" s="37">
        <f t="shared" si="5"/>
        <v>326.017775886312</v>
      </c>
      <c r="U132" s="38" t="s">
        <v>4329</v>
      </c>
      <c r="V132" s="35" t="s">
        <v>4330</v>
      </c>
      <c r="W132" s="120"/>
    </row>
    <row r="133" s="42" customFormat="1" ht="16" hidden="1" customHeight="1" spans="1:23">
      <c r="A133" s="1120"/>
      <c r="B133" s="23"/>
      <c r="C133" s="23"/>
      <c r="D133" s="23"/>
      <c r="E133" s="23"/>
      <c r="F133" s="23"/>
      <c r="G133" s="23" t="s">
        <v>1571</v>
      </c>
      <c r="H133" s="23" t="s">
        <v>1933</v>
      </c>
      <c r="I133" s="23" t="s">
        <v>4331</v>
      </c>
      <c r="J133" s="21"/>
      <c r="K133" s="21" t="s">
        <v>4174</v>
      </c>
      <c r="L133" s="21" t="s">
        <v>1428</v>
      </c>
      <c r="M133" s="700">
        <v>155</v>
      </c>
      <c r="N133" s="700" t="s">
        <v>1428</v>
      </c>
      <c r="O133" s="21" t="s">
        <v>1428</v>
      </c>
      <c r="P133" s="21" t="s">
        <v>1428</v>
      </c>
      <c r="Q133" s="37">
        <v>6.42121902343701</v>
      </c>
      <c r="R133" s="37">
        <v>33.1356123220368</v>
      </c>
      <c r="S133" s="37">
        <v>5</v>
      </c>
      <c r="T133" s="37">
        <f t="shared" si="5"/>
        <v>199.556831345474</v>
      </c>
      <c r="U133" s="38" t="s">
        <v>4250</v>
      </c>
      <c r="V133" s="35" t="s">
        <v>4332</v>
      </c>
      <c r="W133" s="120"/>
    </row>
    <row r="134" s="42" customFormat="1" ht="16" hidden="1" customHeight="1" spans="1:23">
      <c r="A134" s="1120"/>
      <c r="B134" s="23"/>
      <c r="C134" s="23"/>
      <c r="D134" s="23"/>
      <c r="E134" s="23"/>
      <c r="F134" s="23"/>
      <c r="G134" s="23" t="s">
        <v>1685</v>
      </c>
      <c r="H134" s="23" t="s">
        <v>1933</v>
      </c>
      <c r="I134" s="23" t="s">
        <v>2786</v>
      </c>
      <c r="J134" s="21"/>
      <c r="K134" s="21" t="s">
        <v>4248</v>
      </c>
      <c r="L134" s="21" t="s">
        <v>1428</v>
      </c>
      <c r="M134" s="700">
        <v>270</v>
      </c>
      <c r="N134" s="21" t="s">
        <v>1428</v>
      </c>
      <c r="O134" s="21" t="s">
        <v>1428</v>
      </c>
      <c r="P134" s="21" t="s">
        <v>1428</v>
      </c>
      <c r="Q134" s="37">
        <v>6.42121902343701</v>
      </c>
      <c r="R134" s="37">
        <v>31.9613222298999</v>
      </c>
      <c r="S134" s="37">
        <v>5</v>
      </c>
      <c r="T134" s="37">
        <f t="shared" si="5"/>
        <v>313.382541253337</v>
      </c>
      <c r="U134" s="38" t="s">
        <v>3984</v>
      </c>
      <c r="V134" s="35" t="s">
        <v>4333</v>
      </c>
      <c r="W134" s="120" t="s">
        <v>1406</v>
      </c>
    </row>
    <row r="135" s="42" customFormat="1" ht="16" hidden="1" customHeight="1" spans="1:23">
      <c r="A135" s="1120"/>
      <c r="B135" s="23"/>
      <c r="C135" s="23"/>
      <c r="D135" s="23"/>
      <c r="E135" s="23"/>
      <c r="F135" s="23"/>
      <c r="G135" s="23" t="s">
        <v>4334</v>
      </c>
      <c r="H135" s="23" t="s">
        <v>4122</v>
      </c>
      <c r="I135" s="23" t="s">
        <v>2680</v>
      </c>
      <c r="J135" s="21"/>
      <c r="K135" s="21" t="s">
        <v>4248</v>
      </c>
      <c r="L135" s="21" t="s">
        <v>1428</v>
      </c>
      <c r="M135" s="700">
        <v>270</v>
      </c>
      <c r="N135" s="21" t="s">
        <v>1428</v>
      </c>
      <c r="O135" s="21"/>
      <c r="P135" s="21"/>
      <c r="Q135" s="37">
        <v>6.42121902343701</v>
      </c>
      <c r="R135" s="37">
        <v>26.4245193358818</v>
      </c>
      <c r="S135" s="37">
        <v>5</v>
      </c>
      <c r="T135" s="37">
        <f t="shared" si="5"/>
        <v>307.845738359319</v>
      </c>
      <c r="U135" s="38" t="s">
        <v>3984</v>
      </c>
      <c r="V135" s="35" t="s">
        <v>4335</v>
      </c>
      <c r="W135" s="120"/>
    </row>
    <row r="136" s="42" customFormat="1" ht="16" hidden="1" customHeight="1" spans="1:23">
      <c r="A136" s="1120"/>
      <c r="B136" s="23"/>
      <c r="C136" s="23"/>
      <c r="D136" s="23"/>
      <c r="E136" s="23"/>
      <c r="F136" s="23"/>
      <c r="G136" s="23" t="s">
        <v>1669</v>
      </c>
      <c r="H136" s="23" t="s">
        <v>1933</v>
      </c>
      <c r="I136" s="23" t="s">
        <v>4331</v>
      </c>
      <c r="J136" s="21"/>
      <c r="K136" s="21" t="s">
        <v>4174</v>
      </c>
      <c r="L136" s="21" t="s">
        <v>1428</v>
      </c>
      <c r="M136" s="700">
        <v>155</v>
      </c>
      <c r="N136" s="700" t="s">
        <v>1428</v>
      </c>
      <c r="O136" s="21" t="s">
        <v>1428</v>
      </c>
      <c r="P136" s="21" t="s">
        <v>1428</v>
      </c>
      <c r="Q136" s="37">
        <v>6.39423911157383</v>
      </c>
      <c r="R136" s="37">
        <v>32.3456980461925</v>
      </c>
      <c r="S136" s="37">
        <v>5</v>
      </c>
      <c r="T136" s="37">
        <f t="shared" si="5"/>
        <v>198.739937157766</v>
      </c>
      <c r="U136" s="38" t="s">
        <v>4250</v>
      </c>
      <c r="V136" s="35" t="s">
        <v>4336</v>
      </c>
      <c r="W136" s="120" t="s">
        <v>1406</v>
      </c>
    </row>
    <row r="137" s="42" customFormat="1" ht="16" hidden="1" customHeight="1" spans="1:23">
      <c r="A137" s="1120"/>
      <c r="B137" s="23"/>
      <c r="C137" s="23"/>
      <c r="D137" s="23"/>
      <c r="E137" s="23"/>
      <c r="F137" s="23"/>
      <c r="G137" s="23" t="s">
        <v>453</v>
      </c>
      <c r="H137" s="23"/>
      <c r="I137" s="23"/>
      <c r="J137" s="21"/>
      <c r="K137" s="21"/>
      <c r="L137" s="21"/>
      <c r="M137" s="21"/>
      <c r="N137" s="21"/>
      <c r="O137" s="21"/>
      <c r="P137" s="21"/>
      <c r="Q137" s="37">
        <v>0.364179321898103</v>
      </c>
      <c r="R137" s="37">
        <v>3.22256856771004</v>
      </c>
      <c r="S137" s="37">
        <v>0.4</v>
      </c>
      <c r="T137" s="37">
        <f t="shared" si="5"/>
        <v>3.98674788960814</v>
      </c>
      <c r="U137" s="38"/>
      <c r="V137" s="35"/>
      <c r="W137" s="120" t="s">
        <v>1406</v>
      </c>
    </row>
    <row r="138" s="42" customFormat="1" ht="16" hidden="1" customHeight="1" spans="1:23">
      <c r="A138" s="1120"/>
      <c r="B138" s="1143" t="s">
        <v>4337</v>
      </c>
      <c r="C138" s="23">
        <v>20250414</v>
      </c>
      <c r="D138" s="23">
        <v>7.31</v>
      </c>
      <c r="E138" s="23">
        <v>7.17</v>
      </c>
      <c r="F138" s="23" t="s">
        <v>4338</v>
      </c>
      <c r="G138" s="23" t="s">
        <v>1565</v>
      </c>
      <c r="H138" s="23" t="s">
        <v>4122</v>
      </c>
      <c r="I138" s="23" t="s">
        <v>2692</v>
      </c>
      <c r="J138" s="21"/>
      <c r="K138" s="21" t="s">
        <v>1913</v>
      </c>
      <c r="L138" s="21" t="s">
        <v>1633</v>
      </c>
      <c r="M138" s="700">
        <v>150</v>
      </c>
      <c r="N138" s="21"/>
      <c r="O138" s="21"/>
      <c r="P138" s="22">
        <v>1.63790153033785</v>
      </c>
      <c r="Q138" s="37">
        <f t="shared" ref="Q138:Q140" si="6">34.05/7.19/1.13</f>
        <v>4.19092397257745</v>
      </c>
      <c r="R138" s="37">
        <v>15.8845641418965</v>
      </c>
      <c r="S138" s="37">
        <f>21.6/E138</f>
        <v>3.01255230125523</v>
      </c>
      <c r="T138" s="37">
        <f t="shared" si="5"/>
        <v>174.725941946067</v>
      </c>
      <c r="U138" s="38" t="s">
        <v>1526</v>
      </c>
      <c r="V138" s="760" t="s">
        <v>4339</v>
      </c>
      <c r="W138" s="120"/>
    </row>
    <row r="139" s="42" customFormat="1" ht="16" hidden="1" customHeight="1" spans="1:23">
      <c r="A139" s="1120"/>
      <c r="B139" s="1145"/>
      <c r="C139" s="23">
        <v>20250414</v>
      </c>
      <c r="D139" s="23">
        <v>7.31</v>
      </c>
      <c r="E139" s="23">
        <v>7.17</v>
      </c>
      <c r="F139" s="23" t="s">
        <v>4340</v>
      </c>
      <c r="G139" s="23" t="s">
        <v>1617</v>
      </c>
      <c r="H139" s="750" t="s">
        <v>4239</v>
      </c>
      <c r="I139" s="23" t="s">
        <v>2664</v>
      </c>
      <c r="J139" s="21"/>
      <c r="K139" s="21" t="s">
        <v>1913</v>
      </c>
      <c r="L139" s="21" t="s">
        <v>1635</v>
      </c>
      <c r="M139" s="700">
        <v>155</v>
      </c>
      <c r="N139" s="21"/>
      <c r="O139" s="21"/>
      <c r="P139" s="21">
        <v>3.1</v>
      </c>
      <c r="Q139" s="37">
        <f t="shared" si="6"/>
        <v>4.19092397257745</v>
      </c>
      <c r="R139" s="37">
        <v>17.6774159528338</v>
      </c>
      <c r="S139" s="37">
        <f>21.6/E139</f>
        <v>3.01255230125523</v>
      </c>
      <c r="T139" s="37">
        <f t="shared" si="5"/>
        <v>182.980892226666</v>
      </c>
      <c r="U139" s="38" t="s">
        <v>1526</v>
      </c>
      <c r="V139" s="760" t="s">
        <v>4341</v>
      </c>
      <c r="W139" s="120"/>
    </row>
    <row r="140" s="42" customFormat="1" ht="16" hidden="1" customHeight="1" spans="1:23">
      <c r="A140" s="1120"/>
      <c r="B140" s="1145"/>
      <c r="C140" s="23">
        <v>20250414</v>
      </c>
      <c r="D140" s="23">
        <v>7.31</v>
      </c>
      <c r="E140" s="23">
        <v>7.17</v>
      </c>
      <c r="F140" s="23" t="s">
        <v>4342</v>
      </c>
      <c r="G140" s="23" t="s">
        <v>1629</v>
      </c>
      <c r="H140" s="750" t="s">
        <v>4239</v>
      </c>
      <c r="I140" s="23" t="s">
        <v>2742</v>
      </c>
      <c r="J140" s="21"/>
      <c r="K140" s="21" t="s">
        <v>1913</v>
      </c>
      <c r="L140" s="21" t="s">
        <v>4343</v>
      </c>
      <c r="M140" s="700">
        <v>155</v>
      </c>
      <c r="N140" s="21"/>
      <c r="O140" s="21"/>
      <c r="P140" s="21">
        <v>3.58</v>
      </c>
      <c r="Q140" s="37">
        <f t="shared" si="6"/>
        <v>4.19092397257745</v>
      </c>
      <c r="R140" s="37">
        <v>20.8703722067257</v>
      </c>
      <c r="S140" s="37">
        <f>21.6/E140</f>
        <v>3.01255230125523</v>
      </c>
      <c r="T140" s="37">
        <f t="shared" si="5"/>
        <v>186.653848480558</v>
      </c>
      <c r="U140" s="38" t="s">
        <v>1526</v>
      </c>
      <c r="V140" s="760" t="s">
        <v>4344</v>
      </c>
      <c r="W140" s="120"/>
    </row>
    <row r="141" s="42" customFormat="1" ht="16" hidden="1" customHeight="1" spans="1:23">
      <c r="A141" s="1120"/>
      <c r="B141" s="23" t="s">
        <v>4345</v>
      </c>
      <c r="C141" s="23"/>
      <c r="D141" s="23"/>
      <c r="E141" s="23"/>
      <c r="F141" s="23"/>
      <c r="G141" s="23" t="s">
        <v>1565</v>
      </c>
      <c r="H141" s="23" t="s">
        <v>1933</v>
      </c>
      <c r="I141" s="23" t="s">
        <v>4346</v>
      </c>
      <c r="J141" s="21"/>
      <c r="K141" s="21" t="s">
        <v>4174</v>
      </c>
      <c r="L141" s="21" t="s">
        <v>1428</v>
      </c>
      <c r="M141" s="21" t="s">
        <v>1428</v>
      </c>
      <c r="N141" s="700" t="s">
        <v>1428</v>
      </c>
      <c r="O141" s="21" t="s">
        <v>1428</v>
      </c>
      <c r="P141" s="21" t="s">
        <v>1428</v>
      </c>
      <c r="Q141" s="37">
        <v>2.48279252704031</v>
      </c>
      <c r="R141" s="37">
        <v>39.2372395802234</v>
      </c>
      <c r="S141" s="37">
        <v>5</v>
      </c>
      <c r="T141" s="37">
        <f t="shared" si="5"/>
        <v>46.7200321072637</v>
      </c>
      <c r="U141" s="38" t="s">
        <v>4250</v>
      </c>
      <c r="V141" s="35" t="s">
        <v>4347</v>
      </c>
      <c r="W141" s="120" t="s">
        <v>1406</v>
      </c>
    </row>
    <row r="142" s="42" customFormat="1" ht="16" hidden="1" customHeight="1" spans="1:23">
      <c r="A142" s="1120"/>
      <c r="B142" s="23"/>
      <c r="C142" s="23"/>
      <c r="D142" s="23"/>
      <c r="E142" s="23"/>
      <c r="F142" s="23"/>
      <c r="G142" s="23" t="s">
        <v>1617</v>
      </c>
      <c r="H142" s="23" t="s">
        <v>1933</v>
      </c>
      <c r="I142" s="23" t="s">
        <v>4348</v>
      </c>
      <c r="J142" s="21"/>
      <c r="K142" s="21" t="s">
        <v>4248</v>
      </c>
      <c r="L142" s="21" t="s">
        <v>1428</v>
      </c>
      <c r="M142" s="21" t="s">
        <v>1428</v>
      </c>
      <c r="N142" s="21" t="s">
        <v>1428</v>
      </c>
      <c r="O142" s="21" t="s">
        <v>1428</v>
      </c>
      <c r="P142" s="21" t="s">
        <v>1428</v>
      </c>
      <c r="Q142" s="37">
        <v>2.48279252704031</v>
      </c>
      <c r="R142" s="37">
        <v>39.1141561878543</v>
      </c>
      <c r="S142" s="37">
        <v>5</v>
      </c>
      <c r="T142" s="37">
        <f t="shared" si="5"/>
        <v>46.5969487148946</v>
      </c>
      <c r="U142" s="38" t="s">
        <v>4349</v>
      </c>
      <c r="V142" s="35" t="s">
        <v>4350</v>
      </c>
      <c r="W142" s="120" t="s">
        <v>1406</v>
      </c>
    </row>
    <row r="143" s="42" customFormat="1" ht="16" hidden="1" customHeight="1" spans="1:23">
      <c r="A143" s="1120"/>
      <c r="B143" s="23"/>
      <c r="C143" s="23"/>
      <c r="D143" s="23"/>
      <c r="E143" s="23"/>
      <c r="F143" s="23"/>
      <c r="G143" s="23" t="s">
        <v>1629</v>
      </c>
      <c r="H143" s="23" t="s">
        <v>1933</v>
      </c>
      <c r="I143" s="23" t="s">
        <v>4331</v>
      </c>
      <c r="J143" s="21"/>
      <c r="K143" s="21" t="s">
        <v>4174</v>
      </c>
      <c r="L143" s="21" t="s">
        <v>1428</v>
      </c>
      <c r="M143" s="700">
        <v>155</v>
      </c>
      <c r="N143" s="700" t="s">
        <v>1428</v>
      </c>
      <c r="O143" s="21" t="s">
        <v>1428</v>
      </c>
      <c r="P143" s="21" t="s">
        <v>1428</v>
      </c>
      <c r="Q143" s="37">
        <v>2.48279252704031</v>
      </c>
      <c r="R143" s="37">
        <v>39.5504461267291</v>
      </c>
      <c r="S143" s="37">
        <v>5</v>
      </c>
      <c r="T143" s="37">
        <f t="shared" si="5"/>
        <v>202.033238653769</v>
      </c>
      <c r="U143" s="38" t="s">
        <v>4250</v>
      </c>
      <c r="V143" s="35" t="s">
        <v>4351</v>
      </c>
      <c r="W143" s="120" t="s">
        <v>1406</v>
      </c>
    </row>
    <row r="144" s="42" customFormat="1" ht="16" hidden="1" customHeight="1" spans="1:23">
      <c r="A144" s="1120"/>
      <c r="B144" s="23"/>
      <c r="C144" s="23"/>
      <c r="D144" s="23"/>
      <c r="E144" s="23"/>
      <c r="F144" s="23"/>
      <c r="G144" s="23" t="s">
        <v>1645</v>
      </c>
      <c r="H144" s="23" t="s">
        <v>1933</v>
      </c>
      <c r="I144" s="23" t="s">
        <v>2786</v>
      </c>
      <c r="J144" s="21"/>
      <c r="K144" s="21" t="s">
        <v>4248</v>
      </c>
      <c r="L144" s="21" t="s">
        <v>1428</v>
      </c>
      <c r="M144" s="700">
        <v>270</v>
      </c>
      <c r="N144" s="21" t="s">
        <v>1428</v>
      </c>
      <c r="O144" s="21" t="s">
        <v>1428</v>
      </c>
      <c r="P144" s="21" t="s">
        <v>1428</v>
      </c>
      <c r="Q144" s="37">
        <v>2.48279252704031</v>
      </c>
      <c r="R144" s="37">
        <v>35.856590261515</v>
      </c>
      <c r="S144" s="37">
        <v>5</v>
      </c>
      <c r="T144" s="37">
        <f t="shared" si="5"/>
        <v>313.339382788555</v>
      </c>
      <c r="U144" s="38" t="s">
        <v>4349</v>
      </c>
      <c r="V144" s="35" t="s">
        <v>4352</v>
      </c>
      <c r="W144" s="120" t="s">
        <v>1406</v>
      </c>
    </row>
    <row r="145" s="42" customFormat="1" ht="16" hidden="1" customHeight="1" spans="1:23">
      <c r="A145" s="1120"/>
      <c r="B145" s="23"/>
      <c r="C145" s="23"/>
      <c r="D145" s="23"/>
      <c r="E145" s="23"/>
      <c r="F145" s="23" t="s">
        <v>4353</v>
      </c>
      <c r="G145" s="23" t="s">
        <v>1604</v>
      </c>
      <c r="H145" s="23" t="s">
        <v>1933</v>
      </c>
      <c r="I145" s="23" t="s">
        <v>2690</v>
      </c>
      <c r="J145" s="21"/>
      <c r="K145" s="21" t="s">
        <v>4174</v>
      </c>
      <c r="L145" s="21" t="s">
        <v>1428</v>
      </c>
      <c r="M145" s="700">
        <v>240</v>
      </c>
      <c r="N145" s="700" t="s">
        <v>1428</v>
      </c>
      <c r="O145" s="21" t="s">
        <v>1428</v>
      </c>
      <c r="P145" s="21" t="s">
        <v>1428</v>
      </c>
      <c r="Q145" s="37">
        <v>2.48279252704031</v>
      </c>
      <c r="R145" s="37">
        <v>39.3155029746173</v>
      </c>
      <c r="S145" s="37">
        <v>5</v>
      </c>
      <c r="T145" s="37">
        <f t="shared" ref="T145:T208" si="7">SUM(M145:S145)</f>
        <v>286.798295501658</v>
      </c>
      <c r="U145" s="38" t="s">
        <v>4250</v>
      </c>
      <c r="V145" s="35" t="s">
        <v>4351</v>
      </c>
      <c r="W145" s="120" t="s">
        <v>1406</v>
      </c>
    </row>
    <row r="146" s="42" customFormat="1" ht="16" hidden="1" customHeight="1" spans="1:23">
      <c r="A146" s="1120"/>
      <c r="B146" s="23"/>
      <c r="C146" s="23">
        <v>20240228</v>
      </c>
      <c r="D146" s="23">
        <v>7.2</v>
      </c>
      <c r="E146" s="23">
        <v>7.24</v>
      </c>
      <c r="F146" s="23" t="s">
        <v>4354</v>
      </c>
      <c r="G146" s="23" t="s">
        <v>1571</v>
      </c>
      <c r="H146" s="23" t="s">
        <v>1933</v>
      </c>
      <c r="I146" s="23" t="s">
        <v>2664</v>
      </c>
      <c r="J146" s="21"/>
      <c r="K146" s="21" t="s">
        <v>4174</v>
      </c>
      <c r="L146" s="21" t="s">
        <v>1428</v>
      </c>
      <c r="M146" s="700">
        <v>155</v>
      </c>
      <c r="N146" s="21" t="s">
        <v>1428</v>
      </c>
      <c r="O146" s="21" t="s">
        <v>1428</v>
      </c>
      <c r="P146" s="21" t="s">
        <v>1428</v>
      </c>
      <c r="Q146" s="37">
        <v>2.50003414181142</v>
      </c>
      <c r="R146" s="37">
        <v>25.6299463211938</v>
      </c>
      <c r="S146" s="37">
        <v>5</v>
      </c>
      <c r="T146" s="37">
        <f t="shared" si="7"/>
        <v>188.129980463005</v>
      </c>
      <c r="U146" s="38" t="s">
        <v>4349</v>
      </c>
      <c r="V146" s="35" t="s">
        <v>4355</v>
      </c>
      <c r="W146" s="120" t="s">
        <v>1406</v>
      </c>
    </row>
    <row r="147" s="42" customFormat="1" ht="16" hidden="1" customHeight="1" spans="1:23">
      <c r="A147" s="1120"/>
      <c r="B147" s="23"/>
      <c r="C147" s="23">
        <v>20240228</v>
      </c>
      <c r="D147" s="23">
        <v>7.2</v>
      </c>
      <c r="E147" s="23">
        <v>7.24</v>
      </c>
      <c r="F147" s="23" t="s">
        <v>4356</v>
      </c>
      <c r="G147" s="23" t="s">
        <v>1685</v>
      </c>
      <c r="H147" s="23" t="s">
        <v>1933</v>
      </c>
      <c r="I147" s="23" t="s">
        <v>2680</v>
      </c>
      <c r="J147" s="21"/>
      <c r="K147" s="21" t="s">
        <v>4174</v>
      </c>
      <c r="L147" s="21" t="s">
        <v>1428</v>
      </c>
      <c r="M147" s="700">
        <v>270</v>
      </c>
      <c r="N147" s="21" t="s">
        <v>1428</v>
      </c>
      <c r="O147" s="21" t="s">
        <v>1428</v>
      </c>
      <c r="P147" s="21" t="s">
        <v>1428</v>
      </c>
      <c r="Q147" s="37">
        <v>2.50003414181142</v>
      </c>
      <c r="R147" s="37">
        <v>25.4272408557727</v>
      </c>
      <c r="S147" s="37">
        <v>5</v>
      </c>
      <c r="T147" s="37">
        <f t="shared" si="7"/>
        <v>302.927274997584</v>
      </c>
      <c r="U147" s="38" t="s">
        <v>4349</v>
      </c>
      <c r="V147" s="35" t="s">
        <v>4355</v>
      </c>
      <c r="W147" s="120" t="s">
        <v>1406</v>
      </c>
    </row>
    <row r="148" s="42" customFormat="1" ht="16" hidden="1" customHeight="1" spans="1:23">
      <c r="A148" s="1120"/>
      <c r="B148" s="23"/>
      <c r="C148" s="23">
        <v>20240220</v>
      </c>
      <c r="D148" s="23">
        <v>7.2</v>
      </c>
      <c r="E148" s="23">
        <v>7.24</v>
      </c>
      <c r="F148" s="23" t="s">
        <v>4357</v>
      </c>
      <c r="G148" s="23" t="s">
        <v>4358</v>
      </c>
      <c r="H148" s="23"/>
      <c r="I148" s="23"/>
      <c r="J148" s="21"/>
      <c r="K148" s="21"/>
      <c r="L148" s="21"/>
      <c r="M148" s="21"/>
      <c r="N148" s="21"/>
      <c r="O148" s="21"/>
      <c r="P148" s="21"/>
      <c r="Q148" s="37">
        <v>1.05199456462362</v>
      </c>
      <c r="R148" s="37">
        <v>1.5431608523353</v>
      </c>
      <c r="S148" s="37">
        <v>0.2</v>
      </c>
      <c r="T148" s="37">
        <f t="shared" si="7"/>
        <v>2.79515541695892</v>
      </c>
      <c r="U148" s="38"/>
      <c r="V148" s="35" t="s">
        <v>4359</v>
      </c>
      <c r="W148" s="120" t="s">
        <v>1406</v>
      </c>
    </row>
    <row r="149" s="42" customFormat="1" ht="16" hidden="1" customHeight="1" spans="1:23">
      <c r="A149" s="1120"/>
      <c r="B149" s="23"/>
      <c r="C149" s="23"/>
      <c r="D149" s="23"/>
      <c r="E149" s="23"/>
      <c r="F149" s="23"/>
      <c r="G149" s="23" t="s">
        <v>4360</v>
      </c>
      <c r="H149" s="23"/>
      <c r="I149" s="23"/>
      <c r="J149" s="21"/>
      <c r="K149" s="21"/>
      <c r="L149" s="21"/>
      <c r="M149" s="21"/>
      <c r="N149" s="21"/>
      <c r="O149" s="21"/>
      <c r="P149" s="21"/>
      <c r="Q149" s="37">
        <v>0.52749816927106</v>
      </c>
      <c r="R149" s="37">
        <v>0.689936129280493</v>
      </c>
      <c r="S149" s="37">
        <v>0.2</v>
      </c>
      <c r="T149" s="37">
        <f t="shared" si="7"/>
        <v>1.41743429855155</v>
      </c>
      <c r="U149" s="38"/>
      <c r="V149" s="35" t="s">
        <v>4361</v>
      </c>
      <c r="W149" s="120" t="s">
        <v>1406</v>
      </c>
    </row>
    <row r="150" s="42" customFormat="1" ht="16" hidden="1" customHeight="1" spans="1:23">
      <c r="A150" s="1120"/>
      <c r="B150" s="23"/>
      <c r="C150" s="23"/>
      <c r="D150" s="23"/>
      <c r="E150" s="23"/>
      <c r="F150" s="23"/>
      <c r="G150" s="23" t="s">
        <v>4362</v>
      </c>
      <c r="H150" s="23"/>
      <c r="I150" s="23"/>
      <c r="J150" s="21"/>
      <c r="K150" s="21"/>
      <c r="L150" s="21"/>
      <c r="M150" s="21"/>
      <c r="N150" s="21"/>
      <c r="O150" s="21"/>
      <c r="P150" s="21"/>
      <c r="Q150" s="37">
        <v>1.04764956738236</v>
      </c>
      <c r="R150" s="37">
        <v>0.438185282180491</v>
      </c>
      <c r="S150" s="37">
        <v>0.4</v>
      </c>
      <c r="T150" s="37">
        <f t="shared" si="7"/>
        <v>1.88583484956285</v>
      </c>
      <c r="U150" s="38"/>
      <c r="V150" s="35"/>
      <c r="W150" s="120" t="s">
        <v>1406</v>
      </c>
    </row>
    <row r="151" s="42" customFormat="1" ht="15" hidden="1" customHeight="1" spans="1:23">
      <c r="A151" s="1169"/>
      <c r="B151" s="23"/>
      <c r="C151" s="23"/>
      <c r="D151" s="23"/>
      <c r="E151" s="23"/>
      <c r="F151" s="23"/>
      <c r="G151" s="23" t="s">
        <v>4363</v>
      </c>
      <c r="H151" s="23"/>
      <c r="I151" s="23"/>
      <c r="J151" s="21"/>
      <c r="K151" s="21"/>
      <c r="L151" s="21"/>
      <c r="M151" s="21"/>
      <c r="N151" s="21"/>
      <c r="O151" s="21"/>
      <c r="P151" s="21"/>
      <c r="Q151" s="37">
        <v>1.05499633854212</v>
      </c>
      <c r="R151" s="37">
        <v>1.63346944854721</v>
      </c>
      <c r="S151" s="37">
        <v>0.4</v>
      </c>
      <c r="T151" s="37">
        <f t="shared" si="7"/>
        <v>3.08846578708933</v>
      </c>
      <c r="U151" s="38"/>
      <c r="V151" s="35" t="s">
        <v>4359</v>
      </c>
      <c r="W151" s="120" t="s">
        <v>1406</v>
      </c>
    </row>
    <row r="152" s="42" customFormat="1" ht="15" hidden="1" customHeight="1" spans="1:23">
      <c r="A152" s="1169"/>
      <c r="B152" s="23" t="s">
        <v>4364</v>
      </c>
      <c r="C152" s="23">
        <v>20240506</v>
      </c>
      <c r="D152" s="23">
        <v>7.22</v>
      </c>
      <c r="E152" s="687">
        <v>7.17</v>
      </c>
      <c r="F152" s="23" t="s">
        <v>4365</v>
      </c>
      <c r="G152" s="23" t="s">
        <v>1565</v>
      </c>
      <c r="H152" s="23" t="s">
        <v>1933</v>
      </c>
      <c r="I152" s="23" t="s">
        <v>2695</v>
      </c>
      <c r="J152" s="21"/>
      <c r="K152" s="21" t="s">
        <v>1913</v>
      </c>
      <c r="L152" s="21" t="s">
        <v>1428</v>
      </c>
      <c r="M152" s="700">
        <v>240</v>
      </c>
      <c r="N152" s="21" t="s">
        <v>1428</v>
      </c>
      <c r="O152" s="21" t="s">
        <v>1428</v>
      </c>
      <c r="P152" s="21" t="s">
        <v>1428</v>
      </c>
      <c r="Q152" s="37">
        <v>6.42330887115837</v>
      </c>
      <c r="R152" s="37">
        <v>20.7732124048596</v>
      </c>
      <c r="S152" s="37">
        <v>5</v>
      </c>
      <c r="T152" s="37">
        <f t="shared" si="7"/>
        <v>272.196521276018</v>
      </c>
      <c r="U152" s="166" t="s">
        <v>1526</v>
      </c>
      <c r="V152" s="35"/>
      <c r="W152" s="120"/>
    </row>
    <row r="153" s="42" customFormat="1" ht="15" hidden="1" customHeight="1" spans="1:23">
      <c r="A153" s="1169"/>
      <c r="B153" s="23"/>
      <c r="C153" s="23">
        <v>20240506</v>
      </c>
      <c r="D153" s="23">
        <v>7.22</v>
      </c>
      <c r="E153" s="687">
        <v>7.17</v>
      </c>
      <c r="F153" s="23" t="s">
        <v>4366</v>
      </c>
      <c r="G153" s="23" t="s">
        <v>1617</v>
      </c>
      <c r="H153" s="23" t="s">
        <v>1933</v>
      </c>
      <c r="I153" s="23" t="s">
        <v>2692</v>
      </c>
      <c r="J153" s="21"/>
      <c r="K153" s="21" t="s">
        <v>1913</v>
      </c>
      <c r="L153" s="21" t="s">
        <v>1428</v>
      </c>
      <c r="M153" s="700">
        <v>150</v>
      </c>
      <c r="N153" s="21" t="s">
        <v>1428</v>
      </c>
      <c r="O153" s="21" t="s">
        <v>1428</v>
      </c>
      <c r="P153" s="21" t="s">
        <v>1428</v>
      </c>
      <c r="Q153" s="37">
        <v>6.42330887115837</v>
      </c>
      <c r="R153" s="37">
        <v>20.7745029554287</v>
      </c>
      <c r="S153" s="37">
        <v>5</v>
      </c>
      <c r="T153" s="37">
        <f t="shared" si="7"/>
        <v>182.197811826587</v>
      </c>
      <c r="U153" s="166" t="s">
        <v>1526</v>
      </c>
      <c r="V153" s="35"/>
      <c r="W153" s="120"/>
    </row>
    <row r="154" s="42" customFormat="1" ht="15" hidden="1" customHeight="1" spans="1:23">
      <c r="A154" s="1169"/>
      <c r="B154" s="23"/>
      <c r="C154" s="23">
        <v>20241203</v>
      </c>
      <c r="D154" s="23">
        <v>7.25</v>
      </c>
      <c r="E154" s="687">
        <v>7.17</v>
      </c>
      <c r="F154" s="23" t="s">
        <v>4367</v>
      </c>
      <c r="G154" s="23" t="s">
        <v>1629</v>
      </c>
      <c r="H154" s="23" t="s">
        <v>4122</v>
      </c>
      <c r="I154" s="23" t="s">
        <v>2695</v>
      </c>
      <c r="J154" s="21"/>
      <c r="K154" s="21" t="s">
        <v>1913</v>
      </c>
      <c r="L154" s="21" t="s">
        <v>1428</v>
      </c>
      <c r="M154" s="700">
        <v>240</v>
      </c>
      <c r="N154" s="21" t="s">
        <v>1428</v>
      </c>
      <c r="O154" s="21" t="s">
        <v>1428</v>
      </c>
      <c r="P154" s="21" t="s">
        <v>1428</v>
      </c>
      <c r="Q154" s="37">
        <f>32.76/E154/1.13</f>
        <v>4.04339615655201</v>
      </c>
      <c r="R154" s="37">
        <v>19.4825539395116</v>
      </c>
      <c r="S154" s="37">
        <v>5</v>
      </c>
      <c r="T154" s="37">
        <f t="shared" si="7"/>
        <v>268.525950096064</v>
      </c>
      <c r="U154" s="166" t="s">
        <v>1526</v>
      </c>
      <c r="V154" s="760" t="s">
        <v>4368</v>
      </c>
      <c r="W154" s="120"/>
    </row>
    <row r="155" s="42" customFormat="1" ht="15" hidden="1" customHeight="1" spans="1:23">
      <c r="A155" s="1169"/>
      <c r="B155" s="23"/>
      <c r="C155" s="23">
        <v>20241203</v>
      </c>
      <c r="D155" s="23">
        <v>7.25</v>
      </c>
      <c r="E155" s="687">
        <v>7.17</v>
      </c>
      <c r="F155" s="23" t="s">
        <v>4369</v>
      </c>
      <c r="G155" s="23" t="s">
        <v>1645</v>
      </c>
      <c r="H155" s="23" t="s">
        <v>4122</v>
      </c>
      <c r="I155" s="23" t="s">
        <v>2692</v>
      </c>
      <c r="J155" s="21"/>
      <c r="K155" s="21" t="s">
        <v>1913</v>
      </c>
      <c r="L155" s="21" t="s">
        <v>1428</v>
      </c>
      <c r="M155" s="700">
        <v>150</v>
      </c>
      <c r="N155" s="21" t="s">
        <v>1428</v>
      </c>
      <c r="O155" s="21" t="s">
        <v>1428</v>
      </c>
      <c r="P155" s="21" t="s">
        <v>1428</v>
      </c>
      <c r="Q155" s="37">
        <f>32.76/E155/1.13</f>
        <v>4.04339615655201</v>
      </c>
      <c r="R155" s="37">
        <v>20.2814445427247</v>
      </c>
      <c r="S155" s="37">
        <v>5</v>
      </c>
      <c r="T155" s="37">
        <f t="shared" si="7"/>
        <v>179.324840699277</v>
      </c>
      <c r="U155" s="166" t="s">
        <v>1526</v>
      </c>
      <c r="V155" s="760" t="s">
        <v>4370</v>
      </c>
      <c r="W155" s="120"/>
    </row>
    <row r="156" s="42" customFormat="1" ht="15" hidden="1" customHeight="1" spans="1:23">
      <c r="A156" s="1169"/>
      <c r="B156" s="23"/>
      <c r="C156" s="23">
        <v>20241203</v>
      </c>
      <c r="D156" s="23">
        <v>7.25</v>
      </c>
      <c r="E156" s="687">
        <v>7.17</v>
      </c>
      <c r="F156" s="23" t="s">
        <v>4371</v>
      </c>
      <c r="G156" s="23" t="s">
        <v>1604</v>
      </c>
      <c r="H156" s="23" t="s">
        <v>4122</v>
      </c>
      <c r="I156" s="23" t="s">
        <v>2779</v>
      </c>
      <c r="J156" s="21"/>
      <c r="K156" s="21" t="s">
        <v>1913</v>
      </c>
      <c r="L156" s="21" t="s">
        <v>1428</v>
      </c>
      <c r="M156" s="21">
        <v>310</v>
      </c>
      <c r="N156" s="21" t="s">
        <v>1428</v>
      </c>
      <c r="O156" s="21" t="s">
        <v>1428</v>
      </c>
      <c r="P156" s="21" t="s">
        <v>1428</v>
      </c>
      <c r="Q156" s="37">
        <f>32.76/E156/1.13</f>
        <v>4.04339615655201</v>
      </c>
      <c r="R156" s="37">
        <v>19.2258218190027</v>
      </c>
      <c r="S156" s="37">
        <v>5</v>
      </c>
      <c r="T156" s="37">
        <f t="shared" si="7"/>
        <v>338.269217975555</v>
      </c>
      <c r="U156" s="166" t="s">
        <v>1526</v>
      </c>
      <c r="V156" s="760" t="s">
        <v>4372</v>
      </c>
      <c r="W156" s="120"/>
    </row>
    <row r="157" s="42" customFormat="1" ht="15" hidden="1" customHeight="1" spans="1:23">
      <c r="A157" s="1169"/>
      <c r="B157" s="23"/>
      <c r="C157" s="687">
        <v>20250730</v>
      </c>
      <c r="D157" s="687">
        <v>7.17</v>
      </c>
      <c r="E157" s="687">
        <v>7.17</v>
      </c>
      <c r="F157" s="687" t="s">
        <v>4373</v>
      </c>
      <c r="G157" s="23" t="s">
        <v>1571</v>
      </c>
      <c r="H157" s="23" t="s">
        <v>4122</v>
      </c>
      <c r="I157" s="23" t="s">
        <v>2768</v>
      </c>
      <c r="J157" s="153"/>
      <c r="K157" s="21" t="s">
        <v>1913</v>
      </c>
      <c r="L157" s="21"/>
      <c r="M157" s="21">
        <v>220</v>
      </c>
      <c r="N157" s="21"/>
      <c r="O157" s="21"/>
      <c r="P157" s="21"/>
      <c r="Q157" s="37">
        <f>32.76/E157/1.13</f>
        <v>4.04339615655201</v>
      </c>
      <c r="R157" s="37">
        <v>18.3060714700228</v>
      </c>
      <c r="S157" s="37">
        <v>5</v>
      </c>
      <c r="T157" s="37">
        <f t="shared" si="7"/>
        <v>247.349467626575</v>
      </c>
      <c r="U157" s="166" t="s">
        <v>1526</v>
      </c>
      <c r="V157" s="760" t="s">
        <v>4374</v>
      </c>
      <c r="W157" s="120"/>
    </row>
    <row r="158" s="42" customFormat="1" ht="15" hidden="1" customHeight="1" spans="1:23">
      <c r="A158" s="1169"/>
      <c r="B158" s="23"/>
      <c r="C158" s="687">
        <v>20250730</v>
      </c>
      <c r="D158" s="687">
        <v>7.17</v>
      </c>
      <c r="E158" s="687">
        <v>7.17</v>
      </c>
      <c r="F158" s="687" t="s">
        <v>4375</v>
      </c>
      <c r="G158" s="23" t="s">
        <v>1685</v>
      </c>
      <c r="H158" s="23" t="s">
        <v>4122</v>
      </c>
      <c r="I158" s="23" t="s">
        <v>4376</v>
      </c>
      <c r="J158" s="153"/>
      <c r="K158" s="21" t="s">
        <v>1913</v>
      </c>
      <c r="L158" s="21"/>
      <c r="M158" s="21">
        <v>310</v>
      </c>
      <c r="N158" s="21"/>
      <c r="O158" s="21"/>
      <c r="P158" s="21"/>
      <c r="Q158" s="37">
        <f>32.76/E158/1.13</f>
        <v>4.04339615655201</v>
      </c>
      <c r="R158" s="37">
        <v>18.3060714700228</v>
      </c>
      <c r="S158" s="37">
        <v>5</v>
      </c>
      <c r="T158" s="37">
        <f t="shared" si="7"/>
        <v>337.349467626575</v>
      </c>
      <c r="U158" s="166" t="s">
        <v>1526</v>
      </c>
      <c r="V158" s="760" t="s">
        <v>4374</v>
      </c>
      <c r="W158" s="120"/>
    </row>
    <row r="159" s="42" customFormat="1" ht="15" hidden="1" customHeight="1" spans="1:23">
      <c r="A159" s="1169"/>
      <c r="B159" s="23"/>
      <c r="C159" s="23">
        <v>20240506</v>
      </c>
      <c r="D159" s="23">
        <v>7.22</v>
      </c>
      <c r="E159" s="23">
        <v>7.24</v>
      </c>
      <c r="F159" s="23" t="s">
        <v>4377</v>
      </c>
      <c r="G159" s="23" t="s">
        <v>4378</v>
      </c>
      <c r="H159" s="23"/>
      <c r="I159" s="23"/>
      <c r="J159" s="21"/>
      <c r="K159" s="21"/>
      <c r="L159" s="21"/>
      <c r="M159" s="21"/>
      <c r="N159" s="21"/>
      <c r="O159" s="21"/>
      <c r="P159" s="21"/>
      <c r="Q159" s="37">
        <v>0.577055375789923</v>
      </c>
      <c r="R159" s="37">
        <v>2.91893718856658</v>
      </c>
      <c r="S159" s="37">
        <v>0.4</v>
      </c>
      <c r="T159" s="37">
        <f t="shared" si="7"/>
        <v>3.8959925643565</v>
      </c>
      <c r="U159" s="38"/>
      <c r="V159" s="35" t="s">
        <v>4379</v>
      </c>
      <c r="W159" s="120"/>
    </row>
    <row r="160" s="42" customFormat="1" ht="15" hidden="1" spans="1:23">
      <c r="A160" s="931"/>
      <c r="B160" s="19" t="s">
        <v>2976</v>
      </c>
      <c r="C160" s="23"/>
      <c r="D160" s="23"/>
      <c r="E160" s="23"/>
      <c r="F160" s="23"/>
      <c r="G160" s="23" t="s">
        <v>4380</v>
      </c>
      <c r="H160" s="23" t="s">
        <v>1933</v>
      </c>
      <c r="I160" s="23" t="s">
        <v>2315</v>
      </c>
      <c r="J160" s="21"/>
      <c r="K160" s="22" t="s">
        <v>1913</v>
      </c>
      <c r="L160" s="21" t="s">
        <v>1428</v>
      </c>
      <c r="M160" s="731">
        <v>105</v>
      </c>
      <c r="N160" s="21" t="s">
        <v>1428</v>
      </c>
      <c r="O160" s="21" t="s">
        <v>1428</v>
      </c>
      <c r="P160" s="21" t="s">
        <v>1428</v>
      </c>
      <c r="Q160" s="37">
        <v>4.11376551724138</v>
      </c>
      <c r="R160" s="37">
        <v>29.1570684818295</v>
      </c>
      <c r="S160" s="770">
        <v>3.02963074512535</v>
      </c>
      <c r="T160" s="37">
        <f t="shared" si="7"/>
        <v>141.300464744196</v>
      </c>
      <c r="U160" s="793" t="s">
        <v>1526</v>
      </c>
      <c r="V160" s="751" t="s">
        <v>4164</v>
      </c>
      <c r="W160" s="120"/>
    </row>
    <row r="161" s="42" customFormat="1" ht="15" hidden="1" customHeight="1" spans="1:23">
      <c r="A161" s="931"/>
      <c r="B161" s="19"/>
      <c r="C161" s="23"/>
      <c r="D161" s="23"/>
      <c r="E161" s="23"/>
      <c r="F161" s="23"/>
      <c r="G161" s="23" t="s">
        <v>4381</v>
      </c>
      <c r="H161" s="23" t="s">
        <v>1933</v>
      </c>
      <c r="I161" s="23" t="s">
        <v>2972</v>
      </c>
      <c r="J161" s="21"/>
      <c r="K161" s="22" t="s">
        <v>1913</v>
      </c>
      <c r="L161" s="21" t="s">
        <v>1428</v>
      </c>
      <c r="M161" s="691">
        <v>65</v>
      </c>
      <c r="N161" s="21" t="s">
        <v>1428</v>
      </c>
      <c r="O161" s="21" t="s">
        <v>1428</v>
      </c>
      <c r="P161" s="21" t="s">
        <v>1428</v>
      </c>
      <c r="Q161" s="37">
        <v>4.11376551724138</v>
      </c>
      <c r="R161" s="37">
        <v>27.4098627698335</v>
      </c>
      <c r="S161" s="770">
        <v>3.02963074512535</v>
      </c>
      <c r="T161" s="37">
        <f t="shared" si="7"/>
        <v>99.5532590322002</v>
      </c>
      <c r="U161" s="793" t="s">
        <v>1526</v>
      </c>
      <c r="V161" s="751" t="s">
        <v>4164</v>
      </c>
      <c r="W161" s="120" t="s">
        <v>1406</v>
      </c>
    </row>
    <row r="162" s="42" customFormat="1" ht="15" hidden="1" customHeight="1" spans="1:23">
      <c r="A162" s="931"/>
      <c r="B162" s="19"/>
      <c r="C162" s="23"/>
      <c r="D162" s="23"/>
      <c r="E162" s="23"/>
      <c r="F162" s="23"/>
      <c r="G162" s="23" t="s">
        <v>4382</v>
      </c>
      <c r="H162" s="23" t="s">
        <v>1933</v>
      </c>
      <c r="I162" s="23" t="s">
        <v>2951</v>
      </c>
      <c r="J162" s="21"/>
      <c r="K162" s="22" t="s">
        <v>1913</v>
      </c>
      <c r="L162" s="21" t="s">
        <v>1428</v>
      </c>
      <c r="M162" s="691" t="s">
        <v>4244</v>
      </c>
      <c r="N162" s="21" t="s">
        <v>1428</v>
      </c>
      <c r="O162" s="21" t="s">
        <v>1428</v>
      </c>
      <c r="P162" s="21" t="s">
        <v>1428</v>
      </c>
      <c r="Q162" s="37">
        <v>4.11376551724138</v>
      </c>
      <c r="R162" s="37">
        <v>32.3112124743556</v>
      </c>
      <c r="S162" s="770">
        <v>3.02963074512535</v>
      </c>
      <c r="T162" s="37">
        <f t="shared" si="7"/>
        <v>39.4546087367223</v>
      </c>
      <c r="U162" s="793" t="s">
        <v>1526</v>
      </c>
      <c r="V162" s="751" t="s">
        <v>4383</v>
      </c>
      <c r="W162" s="120" t="s">
        <v>1406</v>
      </c>
    </row>
    <row r="163" s="42" customFormat="1" ht="15" hidden="1" customHeight="1" spans="1:23">
      <c r="A163" s="931"/>
      <c r="B163" s="19"/>
      <c r="C163" s="23"/>
      <c r="D163" s="23"/>
      <c r="E163" s="23"/>
      <c r="F163" s="23"/>
      <c r="G163" s="23" t="s">
        <v>4384</v>
      </c>
      <c r="H163" s="23" t="s">
        <v>1933</v>
      </c>
      <c r="I163" s="23" t="s">
        <v>2438</v>
      </c>
      <c r="J163" s="21"/>
      <c r="K163" s="22" t="s">
        <v>1913</v>
      </c>
      <c r="L163" s="21" t="s">
        <v>1428</v>
      </c>
      <c r="M163" s="700">
        <v>125</v>
      </c>
      <c r="N163" s="21" t="s">
        <v>1428</v>
      </c>
      <c r="O163" s="21" t="s">
        <v>1428</v>
      </c>
      <c r="P163" s="21" t="s">
        <v>1428</v>
      </c>
      <c r="Q163" s="37">
        <v>4.11376551724138</v>
      </c>
      <c r="R163" s="37">
        <v>32.1352156056543</v>
      </c>
      <c r="S163" s="770">
        <v>3.02963074512535</v>
      </c>
      <c r="T163" s="37">
        <f t="shared" si="7"/>
        <v>164.278611868021</v>
      </c>
      <c r="U163" s="793" t="s">
        <v>1526</v>
      </c>
      <c r="V163" s="751" t="s">
        <v>4385</v>
      </c>
      <c r="W163" s="120" t="s">
        <v>1406</v>
      </c>
    </row>
    <row r="164" s="42" customFormat="1" ht="15" hidden="1" customHeight="1" spans="1:23">
      <c r="A164" s="931"/>
      <c r="B164" s="19"/>
      <c r="C164" s="23"/>
      <c r="D164" s="23"/>
      <c r="E164" s="23"/>
      <c r="F164" s="23"/>
      <c r="G164" s="23" t="s">
        <v>4386</v>
      </c>
      <c r="H164" s="23" t="s">
        <v>1933</v>
      </c>
      <c r="I164" s="23" t="s">
        <v>2315</v>
      </c>
      <c r="J164" s="21"/>
      <c r="K164" s="22" t="s">
        <v>1913</v>
      </c>
      <c r="L164" s="21" t="s">
        <v>1428</v>
      </c>
      <c r="M164" s="731">
        <v>105</v>
      </c>
      <c r="N164" s="21" t="s">
        <v>1428</v>
      </c>
      <c r="O164" s="21" t="s">
        <v>1428</v>
      </c>
      <c r="P164" s="21" t="s">
        <v>1428</v>
      </c>
      <c r="Q164" s="37">
        <v>4.11376551724138</v>
      </c>
      <c r="R164" s="37">
        <v>29.5985029336895</v>
      </c>
      <c r="S164" s="770">
        <v>3.02963074512535</v>
      </c>
      <c r="T164" s="37">
        <f t="shared" si="7"/>
        <v>141.741899196056</v>
      </c>
      <c r="U164" s="793" t="s">
        <v>1526</v>
      </c>
      <c r="V164" s="751" t="s">
        <v>4387</v>
      </c>
      <c r="W164" s="120" t="s">
        <v>1406</v>
      </c>
    </row>
    <row r="165" s="42" customFormat="1" ht="15" hidden="1" customHeight="1" spans="1:23">
      <c r="A165" s="931"/>
      <c r="B165" s="19"/>
      <c r="C165" s="23"/>
      <c r="D165" s="23"/>
      <c r="E165" s="23"/>
      <c r="F165" s="23"/>
      <c r="G165" s="23" t="s">
        <v>4388</v>
      </c>
      <c r="H165" s="23" t="s">
        <v>1933</v>
      </c>
      <c r="I165" s="23" t="s">
        <v>2972</v>
      </c>
      <c r="J165" s="21"/>
      <c r="K165" s="22" t="s">
        <v>1913</v>
      </c>
      <c r="L165" s="21" t="s">
        <v>1428</v>
      </c>
      <c r="M165" s="691">
        <v>65</v>
      </c>
      <c r="N165" s="21" t="s">
        <v>1428</v>
      </c>
      <c r="O165" s="21" t="s">
        <v>1428</v>
      </c>
      <c r="P165" s="21" t="s">
        <v>1428</v>
      </c>
      <c r="Q165" s="37">
        <v>4.11376551724138</v>
      </c>
      <c r="R165" s="37">
        <v>27.1305957631378</v>
      </c>
      <c r="S165" s="770">
        <v>3.02963074512535</v>
      </c>
      <c r="T165" s="37">
        <f t="shared" si="7"/>
        <v>99.2739920255045</v>
      </c>
      <c r="U165" s="793" t="s">
        <v>1526</v>
      </c>
      <c r="V165" s="751" t="s">
        <v>2979</v>
      </c>
      <c r="W165" s="120" t="s">
        <v>1406</v>
      </c>
    </row>
    <row r="166" s="42" customFormat="1" ht="15" hidden="1" spans="1:23">
      <c r="A166" s="931"/>
      <c r="B166" s="19"/>
      <c r="C166" s="23"/>
      <c r="D166" s="23"/>
      <c r="E166" s="23"/>
      <c r="F166" s="23"/>
      <c r="G166" s="23" t="s">
        <v>4389</v>
      </c>
      <c r="H166" s="23" t="s">
        <v>1933</v>
      </c>
      <c r="I166" s="23" t="s">
        <v>2951</v>
      </c>
      <c r="J166" s="21"/>
      <c r="K166" s="22" t="s">
        <v>1913</v>
      </c>
      <c r="L166" s="21" t="s">
        <v>1428</v>
      </c>
      <c r="M166" s="691" t="s">
        <v>4244</v>
      </c>
      <c r="N166" s="21" t="s">
        <v>1428</v>
      </c>
      <c r="O166" s="21" t="s">
        <v>1428</v>
      </c>
      <c r="P166" s="21" t="s">
        <v>1428</v>
      </c>
      <c r="Q166" s="37">
        <v>4.11376551724138</v>
      </c>
      <c r="R166" s="37">
        <v>31.017794574423</v>
      </c>
      <c r="S166" s="770">
        <v>3.02963074512535</v>
      </c>
      <c r="T166" s="37">
        <f t="shared" si="7"/>
        <v>38.1611908367897</v>
      </c>
      <c r="U166" s="793" t="s">
        <v>1526</v>
      </c>
      <c r="V166" s="751" t="s">
        <v>2979</v>
      </c>
      <c r="W166" s="120" t="s">
        <v>1406</v>
      </c>
    </row>
    <row r="167" s="42" customFormat="1" ht="15" hidden="1" customHeight="1" spans="1:23">
      <c r="A167" s="931"/>
      <c r="B167" s="19"/>
      <c r="C167" s="23"/>
      <c r="D167" s="23"/>
      <c r="E167" s="23"/>
      <c r="F167" s="23"/>
      <c r="G167" s="23" t="s">
        <v>4390</v>
      </c>
      <c r="H167" s="23" t="s">
        <v>1933</v>
      </c>
      <c r="I167" s="23" t="s">
        <v>2438</v>
      </c>
      <c r="J167" s="21"/>
      <c r="K167" s="22" t="s">
        <v>1913</v>
      </c>
      <c r="L167" s="21" t="s">
        <v>1428</v>
      </c>
      <c r="M167" s="700">
        <v>125</v>
      </c>
      <c r="N167" s="21" t="s">
        <v>1428</v>
      </c>
      <c r="O167" s="21" t="s">
        <v>1428</v>
      </c>
      <c r="P167" s="21" t="s">
        <v>1428</v>
      </c>
      <c r="Q167" s="37">
        <v>4.11376551724138</v>
      </c>
      <c r="R167" s="37">
        <v>30.7142611245522</v>
      </c>
      <c r="S167" s="770">
        <v>3.02963074512535</v>
      </c>
      <c r="T167" s="37">
        <f t="shared" si="7"/>
        <v>162.857657386919</v>
      </c>
      <c r="U167" s="793" t="s">
        <v>1526</v>
      </c>
      <c r="V167" s="751" t="s">
        <v>4391</v>
      </c>
      <c r="W167" s="120" t="s">
        <v>1406</v>
      </c>
    </row>
    <row r="168" s="42" customFormat="1" ht="15" hidden="1" customHeight="1" spans="1:23">
      <c r="A168" s="931"/>
      <c r="B168" s="19"/>
      <c r="C168" s="23">
        <v>20240126</v>
      </c>
      <c r="D168" s="23">
        <v>7.2</v>
      </c>
      <c r="E168" s="23">
        <v>7.24</v>
      </c>
      <c r="F168" s="23" t="s">
        <v>2977</v>
      </c>
      <c r="G168" s="23" t="s">
        <v>2978</v>
      </c>
      <c r="H168" s="23" t="s">
        <v>1933</v>
      </c>
      <c r="I168" s="23" t="s">
        <v>2951</v>
      </c>
      <c r="J168" s="21"/>
      <c r="K168" s="22" t="s">
        <v>1913</v>
      </c>
      <c r="L168" s="21" t="s">
        <v>1428</v>
      </c>
      <c r="M168" s="691" t="s">
        <v>4244</v>
      </c>
      <c r="N168" s="21" t="s">
        <v>1428</v>
      </c>
      <c r="O168" s="21" t="s">
        <v>1428</v>
      </c>
      <c r="P168" s="21" t="s">
        <v>1428</v>
      </c>
      <c r="Q168" s="37">
        <v>4.11376551724138</v>
      </c>
      <c r="R168" s="37">
        <v>30.0252751823453</v>
      </c>
      <c r="S168" s="770">
        <v>3.02963074512535</v>
      </c>
      <c r="T168" s="37">
        <f t="shared" si="7"/>
        <v>37.168671444712</v>
      </c>
      <c r="U168" s="793" t="s">
        <v>1526</v>
      </c>
      <c r="V168" s="751" t="s">
        <v>2979</v>
      </c>
      <c r="W168" s="120" t="s">
        <v>1406</v>
      </c>
    </row>
    <row r="169" s="42" customFormat="1" ht="15" hidden="1" customHeight="1" spans="1:23">
      <c r="A169" s="931"/>
      <c r="B169" s="19"/>
      <c r="C169" s="23">
        <v>20240617</v>
      </c>
      <c r="D169" s="23">
        <v>7.26</v>
      </c>
      <c r="E169" s="23">
        <v>7.24</v>
      </c>
      <c r="F169" s="23" t="s">
        <v>2980</v>
      </c>
      <c r="G169" s="23" t="s">
        <v>2981</v>
      </c>
      <c r="H169" s="23" t="s">
        <v>1933</v>
      </c>
      <c r="I169" s="23" t="s">
        <v>2982</v>
      </c>
      <c r="J169" s="21"/>
      <c r="K169" s="22" t="s">
        <v>1913</v>
      </c>
      <c r="L169" s="21" t="s">
        <v>1428</v>
      </c>
      <c r="M169" s="1760">
        <v>100</v>
      </c>
      <c r="N169" s="21" t="s">
        <v>1428</v>
      </c>
      <c r="O169" s="21" t="s">
        <v>1428</v>
      </c>
      <c r="P169" s="21" t="s">
        <v>1428</v>
      </c>
      <c r="Q169" s="37">
        <v>5.11678992809689</v>
      </c>
      <c r="R169" s="37">
        <v>25.8367984624462</v>
      </c>
      <c r="S169" s="770">
        <v>3.02963074512535</v>
      </c>
      <c r="T169" s="37">
        <f t="shared" si="7"/>
        <v>133.983219135668</v>
      </c>
      <c r="U169" s="793" t="s">
        <v>1526</v>
      </c>
      <c r="V169" s="751" t="s">
        <v>4392</v>
      </c>
      <c r="W169" s="120" t="s">
        <v>1406</v>
      </c>
    </row>
    <row r="170" s="42" customFormat="1" ht="15" hidden="1" customHeight="1" spans="1:23">
      <c r="A170" s="931"/>
      <c r="B170" s="19"/>
      <c r="C170" s="23">
        <v>20240716</v>
      </c>
      <c r="D170" s="23">
        <v>7.26</v>
      </c>
      <c r="E170" s="23">
        <v>7.24</v>
      </c>
      <c r="F170" s="23" t="s">
        <v>2983</v>
      </c>
      <c r="G170" s="23" t="s">
        <v>2984</v>
      </c>
      <c r="H170" s="23" t="s">
        <v>1933</v>
      </c>
      <c r="I170" s="23" t="s">
        <v>2982</v>
      </c>
      <c r="J170" s="21"/>
      <c r="K170" s="22" t="s">
        <v>1913</v>
      </c>
      <c r="L170" s="21" t="s">
        <v>1428</v>
      </c>
      <c r="M170" s="1760">
        <v>100</v>
      </c>
      <c r="N170" s="21" t="s">
        <v>1428</v>
      </c>
      <c r="O170" s="21" t="s">
        <v>1428</v>
      </c>
      <c r="P170" s="21" t="s">
        <v>1428</v>
      </c>
      <c r="Q170" s="37">
        <v>5.11678992809689</v>
      </c>
      <c r="R170" s="37">
        <v>25.9159333281877</v>
      </c>
      <c r="S170" s="770">
        <v>3.02963074512535</v>
      </c>
      <c r="T170" s="37">
        <f t="shared" si="7"/>
        <v>134.06235400141</v>
      </c>
      <c r="U170" s="793" t="s">
        <v>1526</v>
      </c>
      <c r="V170" s="751" t="s">
        <v>4393</v>
      </c>
      <c r="W170" s="120" t="s">
        <v>1406</v>
      </c>
    </row>
    <row r="171" s="42" customFormat="1" ht="15" hidden="1" customHeight="1" spans="1:23">
      <c r="A171" s="931"/>
      <c r="B171" s="1143" t="s">
        <v>4394</v>
      </c>
      <c r="C171" s="23">
        <v>20250226</v>
      </c>
      <c r="D171" s="23">
        <v>7.25</v>
      </c>
      <c r="E171" s="23">
        <v>7.24</v>
      </c>
      <c r="F171" s="23" t="s">
        <v>4395</v>
      </c>
      <c r="G171" s="23" t="s">
        <v>1565</v>
      </c>
      <c r="H171" s="23" t="s">
        <v>2801</v>
      </c>
      <c r="I171" s="23" t="s">
        <v>4396</v>
      </c>
      <c r="J171" s="21"/>
      <c r="K171" s="22" t="s">
        <v>1913</v>
      </c>
      <c r="L171" s="21"/>
      <c r="M171" s="691" t="s">
        <v>4244</v>
      </c>
      <c r="N171" s="21"/>
      <c r="O171" s="21"/>
      <c r="P171" s="21"/>
      <c r="Q171" s="37">
        <v>2.65402083065883</v>
      </c>
      <c r="R171" s="37">
        <v>23.0758085739276</v>
      </c>
      <c r="S171" s="770">
        <v>3.5</v>
      </c>
      <c r="T171" s="37">
        <f t="shared" si="7"/>
        <v>29.2298294045864</v>
      </c>
      <c r="U171" s="793" t="s">
        <v>1526</v>
      </c>
      <c r="V171" s="751" t="s">
        <v>4397</v>
      </c>
      <c r="W171" s="120"/>
    </row>
    <row r="172" s="42" customFormat="1" ht="15" hidden="1" customHeight="1" spans="1:23">
      <c r="A172" s="931"/>
      <c r="B172" s="1136"/>
      <c r="C172" s="23">
        <v>20250226</v>
      </c>
      <c r="D172" s="23">
        <v>7.25</v>
      </c>
      <c r="E172" s="23">
        <v>7.24</v>
      </c>
      <c r="F172" s="23" t="s">
        <v>4398</v>
      </c>
      <c r="G172" s="23" t="s">
        <v>1617</v>
      </c>
      <c r="H172" s="23" t="s">
        <v>2801</v>
      </c>
      <c r="I172" s="23" t="s">
        <v>2323</v>
      </c>
      <c r="J172" s="21"/>
      <c r="K172" s="22" t="s">
        <v>1913</v>
      </c>
      <c r="L172" s="21"/>
      <c r="M172" s="691">
        <v>65</v>
      </c>
      <c r="N172" s="21"/>
      <c r="O172" s="21"/>
      <c r="P172" s="21"/>
      <c r="Q172" s="37">
        <v>2.65402083065883</v>
      </c>
      <c r="R172" s="37">
        <v>20.1534507090371</v>
      </c>
      <c r="S172" s="770">
        <v>3.5</v>
      </c>
      <c r="T172" s="37">
        <f t="shared" si="7"/>
        <v>91.3074715396959</v>
      </c>
      <c r="U172" s="793" t="s">
        <v>1526</v>
      </c>
      <c r="V172" s="751" t="s">
        <v>4399</v>
      </c>
      <c r="W172" s="120"/>
    </row>
    <row r="173" s="42" customFormat="1" ht="15" hidden="1" customHeight="1" spans="1:23">
      <c r="A173" s="931"/>
      <c r="B173" s="880" t="s">
        <v>4400</v>
      </c>
      <c r="C173" s="23">
        <v>20240102</v>
      </c>
      <c r="D173" s="23">
        <v>7.3</v>
      </c>
      <c r="E173" s="23">
        <v>7.24</v>
      </c>
      <c r="F173" s="23" t="s">
        <v>4401</v>
      </c>
      <c r="G173" s="759" t="s">
        <v>1565</v>
      </c>
      <c r="H173" s="23" t="s">
        <v>3916</v>
      </c>
      <c r="I173" s="23" t="s">
        <v>2390</v>
      </c>
      <c r="J173" s="21"/>
      <c r="K173" s="21" t="s">
        <v>1913</v>
      </c>
      <c r="L173" s="21" t="s">
        <v>1428</v>
      </c>
      <c r="M173" s="698">
        <v>70</v>
      </c>
      <c r="N173" s="21" t="s">
        <v>1428</v>
      </c>
      <c r="O173" s="21" t="s">
        <v>1428</v>
      </c>
      <c r="P173" s="21" t="s">
        <v>1428</v>
      </c>
      <c r="Q173" s="37">
        <v>4.76254614507031</v>
      </c>
      <c r="R173" s="37">
        <v>11.8413266899502</v>
      </c>
      <c r="S173" s="37">
        <v>5</v>
      </c>
      <c r="T173" s="22">
        <f t="shared" si="7"/>
        <v>91.6038728350205</v>
      </c>
      <c r="U173" s="167" t="s">
        <v>1526</v>
      </c>
      <c r="V173" s="1129" t="s">
        <v>4402</v>
      </c>
      <c r="W173" s="120" t="s">
        <v>1406</v>
      </c>
    </row>
    <row r="174" s="42" customFormat="1" ht="15" hidden="1" customHeight="1" spans="1:23">
      <c r="A174" s="931"/>
      <c r="B174" s="880"/>
      <c r="C174" s="23">
        <v>20240102</v>
      </c>
      <c r="D174" s="23">
        <v>7.3</v>
      </c>
      <c r="E174" s="23">
        <v>7.24</v>
      </c>
      <c r="F174" s="23" t="s">
        <v>1702</v>
      </c>
      <c r="G174" s="759" t="s">
        <v>1617</v>
      </c>
      <c r="H174" s="23" t="s">
        <v>4284</v>
      </c>
      <c r="I174" s="23" t="s">
        <v>2390</v>
      </c>
      <c r="J174" s="21"/>
      <c r="K174" s="21" t="s">
        <v>1913</v>
      </c>
      <c r="L174" s="21" t="s">
        <v>1633</v>
      </c>
      <c r="M174" s="698">
        <v>70</v>
      </c>
      <c r="N174" s="21" t="s">
        <v>1428</v>
      </c>
      <c r="O174" s="21" t="s">
        <v>1428</v>
      </c>
      <c r="P174" s="22">
        <v>1.63790153033785</v>
      </c>
      <c r="Q174" s="37">
        <v>4.76254614507031</v>
      </c>
      <c r="R174" s="37">
        <v>13.2660209106558</v>
      </c>
      <c r="S174" s="37">
        <v>5</v>
      </c>
      <c r="T174" s="22">
        <f t="shared" si="7"/>
        <v>94.666468586064</v>
      </c>
      <c r="U174" s="167" t="s">
        <v>1526</v>
      </c>
      <c r="V174" s="1129" t="s">
        <v>4403</v>
      </c>
      <c r="W174" s="120"/>
    </row>
    <row r="175" s="42" customFormat="1" ht="15" hidden="1" customHeight="1" spans="1:23">
      <c r="A175" s="931"/>
      <c r="B175" s="880"/>
      <c r="C175" s="23">
        <v>20240103</v>
      </c>
      <c r="D175" s="23">
        <v>7.3</v>
      </c>
      <c r="E175" s="23">
        <v>7.24</v>
      </c>
      <c r="F175" s="23" t="s">
        <v>1085</v>
      </c>
      <c r="G175" s="759" t="s">
        <v>1086</v>
      </c>
      <c r="H175" s="23"/>
      <c r="I175" s="23"/>
      <c r="J175" s="21"/>
      <c r="K175" s="21"/>
      <c r="L175" s="21"/>
      <c r="M175" s="21"/>
      <c r="N175" s="21"/>
      <c r="O175" s="21"/>
      <c r="P175" s="21"/>
      <c r="Q175" s="37">
        <v>0.485571518008825</v>
      </c>
      <c r="R175" s="37">
        <v>1.98011724844455</v>
      </c>
      <c r="S175" s="37">
        <v>0.4</v>
      </c>
      <c r="T175" s="22">
        <f t="shared" si="7"/>
        <v>2.86568876645337</v>
      </c>
      <c r="U175" s="167"/>
      <c r="V175" s="1129" t="s">
        <v>1087</v>
      </c>
      <c r="W175" s="120"/>
    </row>
    <row r="176" s="42" customFormat="1" ht="15" hidden="1" customHeight="1" spans="1:23">
      <c r="A176" s="931"/>
      <c r="B176" s="880"/>
      <c r="C176" s="23">
        <v>20240103</v>
      </c>
      <c r="D176" s="23">
        <v>7.3</v>
      </c>
      <c r="E176" s="23">
        <v>7.24</v>
      </c>
      <c r="F176" s="23" t="s">
        <v>4404</v>
      </c>
      <c r="G176" s="759" t="s">
        <v>4405</v>
      </c>
      <c r="H176" s="23"/>
      <c r="I176" s="23"/>
      <c r="J176" s="21"/>
      <c r="K176" s="21"/>
      <c r="L176" s="21"/>
      <c r="M176" s="21"/>
      <c r="N176" s="21"/>
      <c r="O176" s="21"/>
      <c r="P176" s="21"/>
      <c r="Q176" s="37">
        <v>0.485571518008825</v>
      </c>
      <c r="R176" s="37">
        <v>2.11125258009166</v>
      </c>
      <c r="S176" s="37">
        <v>0.4</v>
      </c>
      <c r="T176" s="22">
        <f t="shared" si="7"/>
        <v>2.99682409810048</v>
      </c>
      <c r="U176" s="167"/>
      <c r="V176" s="1129" t="s">
        <v>1087</v>
      </c>
      <c r="W176" s="120" t="s">
        <v>1406</v>
      </c>
    </row>
    <row r="177" s="42" customFormat="1" ht="13.2" hidden="1" spans="1:23">
      <c r="A177" s="1120"/>
      <c r="B177" s="23" t="s">
        <v>4406</v>
      </c>
      <c r="C177" s="23">
        <v>20250108</v>
      </c>
      <c r="D177" s="23">
        <v>7.25</v>
      </c>
      <c r="E177" s="23">
        <v>7.24</v>
      </c>
      <c r="F177" s="23" t="s">
        <v>1658</v>
      </c>
      <c r="G177" s="695" t="s">
        <v>1565</v>
      </c>
      <c r="H177" s="688" t="s">
        <v>4122</v>
      </c>
      <c r="I177" s="23" t="s">
        <v>2692</v>
      </c>
      <c r="J177" s="21"/>
      <c r="K177" s="21" t="s">
        <v>1913</v>
      </c>
      <c r="L177" s="21" t="s">
        <v>1428</v>
      </c>
      <c r="M177" s="700">
        <v>150</v>
      </c>
      <c r="N177" s="21"/>
      <c r="O177" s="22"/>
      <c r="P177" s="22"/>
      <c r="Q177" s="154">
        <v>3.91256587798225</v>
      </c>
      <c r="R177" s="37">
        <v>26.2922151419447</v>
      </c>
      <c r="S177" s="770">
        <v>5</v>
      </c>
      <c r="T177" s="22">
        <f t="shared" si="7"/>
        <v>185.204781019927</v>
      </c>
      <c r="U177" s="23"/>
      <c r="V177" s="760" t="s">
        <v>4407</v>
      </c>
      <c r="W177" s="120"/>
    </row>
    <row r="178" s="42" customFormat="1" ht="13.2" hidden="1" spans="1:23">
      <c r="A178" s="1120"/>
      <c r="B178" s="23"/>
      <c r="C178" s="23">
        <v>20250108</v>
      </c>
      <c r="D178" s="23">
        <v>7.25</v>
      </c>
      <c r="E178" s="23">
        <v>7.24</v>
      </c>
      <c r="F178" s="23" t="s">
        <v>4408</v>
      </c>
      <c r="G178" s="695" t="s">
        <v>1617</v>
      </c>
      <c r="H178" s="688" t="s">
        <v>4122</v>
      </c>
      <c r="I178" s="23" t="s">
        <v>4409</v>
      </c>
      <c r="J178" s="21"/>
      <c r="K178" s="21" t="s">
        <v>1913</v>
      </c>
      <c r="L178" s="22"/>
      <c r="M178" s="700">
        <v>300</v>
      </c>
      <c r="N178" s="21"/>
      <c r="O178" s="22"/>
      <c r="P178" s="22"/>
      <c r="Q178" s="154">
        <v>3.91256587798225</v>
      </c>
      <c r="R178" s="37">
        <v>27.8897409197552</v>
      </c>
      <c r="S178" s="770">
        <v>5</v>
      </c>
      <c r="T178" s="22">
        <f t="shared" si="7"/>
        <v>336.802306797737</v>
      </c>
      <c r="U178" s="23"/>
      <c r="V178" s="760" t="s">
        <v>4410</v>
      </c>
      <c r="W178" s="120"/>
    </row>
    <row r="179" s="42" customFormat="1" ht="13.2" hidden="1" spans="1:23">
      <c r="A179" s="1120"/>
      <c r="B179" s="23"/>
      <c r="C179" s="23">
        <v>20250804</v>
      </c>
      <c r="D179" s="23">
        <v>7.25</v>
      </c>
      <c r="E179" s="23">
        <v>7.17</v>
      </c>
      <c r="F179" s="23" t="s">
        <v>4411</v>
      </c>
      <c r="G179" s="695" t="s">
        <v>1629</v>
      </c>
      <c r="H179" s="688" t="s">
        <v>4122</v>
      </c>
      <c r="I179" s="23" t="s">
        <v>2664</v>
      </c>
      <c r="J179" s="21"/>
      <c r="K179" s="21" t="s">
        <v>1913</v>
      </c>
      <c r="L179" s="22"/>
      <c r="M179" s="700">
        <v>155</v>
      </c>
      <c r="N179" s="21"/>
      <c r="O179" s="22"/>
      <c r="P179" s="22"/>
      <c r="Q179" s="154">
        <v>3.91256587798225</v>
      </c>
      <c r="R179" s="37">
        <v>21.3383592537947</v>
      </c>
      <c r="S179" s="770">
        <v>5</v>
      </c>
      <c r="T179" s="22">
        <f t="shared" si="7"/>
        <v>185.250925131777</v>
      </c>
      <c r="U179" s="23"/>
      <c r="V179" s="760" t="s">
        <v>4412</v>
      </c>
      <c r="W179" s="120"/>
    </row>
    <row r="180" s="42" customFormat="1" ht="13.2" hidden="1" spans="1:23">
      <c r="A180" s="1120"/>
      <c r="B180" s="23"/>
      <c r="C180" s="23">
        <v>20250813</v>
      </c>
      <c r="D180" s="23">
        <v>7.17</v>
      </c>
      <c r="E180" s="23">
        <v>7.17</v>
      </c>
      <c r="F180" s="23" t="s">
        <v>4413</v>
      </c>
      <c r="G180" s="695" t="s">
        <v>1645</v>
      </c>
      <c r="H180" s="688" t="s">
        <v>4122</v>
      </c>
      <c r="I180" s="23" t="s">
        <v>2680</v>
      </c>
      <c r="J180" s="21"/>
      <c r="K180" s="21" t="s">
        <v>1913</v>
      </c>
      <c r="L180" s="22"/>
      <c r="M180" s="138" t="s">
        <v>712</v>
      </c>
      <c r="N180" s="21"/>
      <c r="O180" s="22"/>
      <c r="P180" s="22"/>
      <c r="Q180" s="37">
        <v>3.91256587798225</v>
      </c>
      <c r="R180" s="37">
        <v>21.1357276627784</v>
      </c>
      <c r="S180" s="770">
        <v>5</v>
      </c>
      <c r="T180" s="22">
        <f t="shared" si="7"/>
        <v>30.0482935407606</v>
      </c>
      <c r="U180" s="23"/>
      <c r="V180" s="760" t="s">
        <v>4414</v>
      </c>
      <c r="W180" s="120"/>
    </row>
    <row r="181" s="42" customFormat="1" ht="13.2" hidden="1" spans="1:23">
      <c r="A181" s="1120"/>
      <c r="B181" s="23"/>
      <c r="C181" s="23">
        <v>20250813</v>
      </c>
      <c r="D181" s="23">
        <v>7.17</v>
      </c>
      <c r="E181" s="23">
        <v>7.17</v>
      </c>
      <c r="F181" s="23" t="s">
        <v>4415</v>
      </c>
      <c r="G181" s="695" t="s">
        <v>1604</v>
      </c>
      <c r="H181" s="688" t="s">
        <v>4122</v>
      </c>
      <c r="I181" s="23" t="s">
        <v>2680</v>
      </c>
      <c r="J181" s="21"/>
      <c r="K181" s="21" t="s">
        <v>1913</v>
      </c>
      <c r="L181" s="22"/>
      <c r="M181" s="138" t="s">
        <v>712</v>
      </c>
      <c r="N181" s="21"/>
      <c r="O181" s="22"/>
      <c r="P181" s="22"/>
      <c r="Q181" s="37">
        <v>3.91256587798225</v>
      </c>
      <c r="R181" s="37">
        <v>21.3708944016979</v>
      </c>
      <c r="S181" s="770">
        <v>5</v>
      </c>
      <c r="T181" s="22">
        <f t="shared" si="7"/>
        <v>30.2834602796801</v>
      </c>
      <c r="U181" s="23"/>
      <c r="V181" s="760" t="s">
        <v>4416</v>
      </c>
      <c r="W181" s="120"/>
    </row>
    <row r="182" s="839" customFormat="1" ht="15" hidden="1" customHeight="1" spans="1:23">
      <c r="A182" s="1169"/>
      <c r="B182" s="880" t="s">
        <v>4417</v>
      </c>
      <c r="C182" s="777">
        <v>20250206</v>
      </c>
      <c r="D182" s="777">
        <v>7.3</v>
      </c>
      <c r="E182" s="23">
        <v>7.24</v>
      </c>
      <c r="F182" s="777" t="s">
        <v>4418</v>
      </c>
      <c r="G182" s="777" t="s">
        <v>1565</v>
      </c>
      <c r="H182" s="39" t="s">
        <v>2801</v>
      </c>
      <c r="I182" s="23" t="s">
        <v>2664</v>
      </c>
      <c r="J182" s="21"/>
      <c r="K182" s="21" t="s">
        <v>1913</v>
      </c>
      <c r="L182" s="21"/>
      <c r="M182" s="700">
        <v>155</v>
      </c>
      <c r="N182" s="779"/>
      <c r="O182" s="779"/>
      <c r="P182" s="779"/>
      <c r="Q182" s="37">
        <v>6.39957541871861</v>
      </c>
      <c r="R182" s="37">
        <v>81.0186000690983</v>
      </c>
      <c r="S182" s="770">
        <v>5</v>
      </c>
      <c r="T182" s="22">
        <f t="shared" si="7"/>
        <v>247.418175487817</v>
      </c>
      <c r="U182" s="23"/>
      <c r="V182" s="710" t="s">
        <v>4419</v>
      </c>
    </row>
    <row r="183" s="839" customFormat="1" ht="15" hidden="1" customHeight="1" spans="1:23">
      <c r="A183" s="1169"/>
      <c r="B183" s="880"/>
      <c r="C183" s="777">
        <v>20250206</v>
      </c>
      <c r="D183" s="777">
        <v>7.3</v>
      </c>
      <c r="E183" s="23">
        <v>7.24</v>
      </c>
      <c r="F183" s="777" t="s">
        <v>4420</v>
      </c>
      <c r="G183" s="777" t="s">
        <v>1617</v>
      </c>
      <c r="H183" s="39" t="s">
        <v>2801</v>
      </c>
      <c r="I183" s="23" t="s">
        <v>4327</v>
      </c>
      <c r="J183" s="21"/>
      <c r="K183" s="21" t="s">
        <v>1913</v>
      </c>
      <c r="L183" s="21"/>
      <c r="M183" s="700">
        <v>280</v>
      </c>
      <c r="N183" s="779"/>
      <c r="O183" s="779"/>
      <c r="P183" s="779"/>
      <c r="Q183" s="37">
        <v>6.39957541871861</v>
      </c>
      <c r="R183" s="37">
        <v>82.6018907299705</v>
      </c>
      <c r="S183" s="770">
        <v>5</v>
      </c>
      <c r="T183" s="22">
        <f t="shared" si="7"/>
        <v>374.001466148689</v>
      </c>
      <c r="U183" s="23"/>
      <c r="V183" s="710" t="s">
        <v>4421</v>
      </c>
    </row>
    <row r="184" s="42" customFormat="1" ht="15" hidden="1" customHeight="1" spans="1:23">
      <c r="A184" s="1169"/>
      <c r="B184" s="880"/>
      <c r="C184" s="777">
        <v>20250529</v>
      </c>
      <c r="D184" s="777">
        <v>7.17</v>
      </c>
      <c r="E184" s="23"/>
      <c r="F184" s="777" t="s">
        <v>4422</v>
      </c>
      <c r="G184" s="777" t="s">
        <v>1629</v>
      </c>
      <c r="H184" s="39" t="s">
        <v>2801</v>
      </c>
      <c r="I184" s="23" t="s">
        <v>4423</v>
      </c>
      <c r="J184" s="21"/>
      <c r="K184" s="21" t="s">
        <v>1913</v>
      </c>
      <c r="L184" s="21"/>
      <c r="M184" s="700">
        <v>155</v>
      </c>
      <c r="N184" s="779"/>
      <c r="O184" s="779"/>
      <c r="P184" s="779"/>
      <c r="Q184" s="37">
        <v>6.39957541871861</v>
      </c>
      <c r="R184" s="37">
        <v>66.6244971996464</v>
      </c>
      <c r="S184" s="770">
        <v>5</v>
      </c>
      <c r="T184" s="22">
        <f t="shared" si="7"/>
        <v>233.024072618365</v>
      </c>
      <c r="U184" s="23"/>
      <c r="V184" s="710" t="s">
        <v>4424</v>
      </c>
    </row>
    <row r="185" s="42" customFormat="1" ht="15" hidden="1" customHeight="1" spans="1:23">
      <c r="A185" s="1169"/>
      <c r="B185" s="880"/>
      <c r="C185" s="777">
        <v>20250529</v>
      </c>
      <c r="D185" s="777">
        <v>7.17</v>
      </c>
      <c r="E185" s="23"/>
      <c r="F185" s="777" t="s">
        <v>4425</v>
      </c>
      <c r="G185" s="777" t="s">
        <v>1645</v>
      </c>
      <c r="H185" s="39" t="s">
        <v>2801</v>
      </c>
      <c r="I185" s="23" t="s">
        <v>2698</v>
      </c>
      <c r="J185" s="21"/>
      <c r="K185" s="21" t="s">
        <v>1913</v>
      </c>
      <c r="L185" s="21"/>
      <c r="M185" s="700">
        <v>280</v>
      </c>
      <c r="N185" s="779"/>
      <c r="O185" s="779"/>
      <c r="P185" s="779"/>
      <c r="Q185" s="37">
        <v>6.39957541871861</v>
      </c>
      <c r="R185" s="37">
        <v>68.0823541565335</v>
      </c>
      <c r="S185" s="770">
        <v>5</v>
      </c>
      <c r="T185" s="22">
        <f t="shared" si="7"/>
        <v>359.481929575252</v>
      </c>
      <c r="U185" s="23"/>
      <c r="V185" s="710" t="s">
        <v>4426</v>
      </c>
    </row>
    <row r="186" s="193" customFormat="1" ht="13.2" hidden="1" spans="1:23">
      <c r="A186" s="1169"/>
      <c r="B186" s="791"/>
      <c r="C186" s="777">
        <v>20250521</v>
      </c>
      <c r="D186" s="777">
        <v>7.21</v>
      </c>
      <c r="E186" s="23"/>
      <c r="F186" s="777" t="s">
        <v>1095</v>
      </c>
      <c r="G186" s="777" t="s">
        <v>1096</v>
      </c>
      <c r="H186" s="39"/>
      <c r="I186" s="23"/>
      <c r="J186" s="21"/>
      <c r="K186" s="21"/>
      <c r="L186" s="21"/>
      <c r="M186" s="700"/>
      <c r="N186" s="779"/>
      <c r="O186" s="779"/>
      <c r="P186" s="779"/>
      <c r="Q186" s="37">
        <v>0.0672273016183445</v>
      </c>
      <c r="R186" s="37">
        <v>0.0480600935279172</v>
      </c>
      <c r="S186" s="770">
        <v>0.2</v>
      </c>
      <c r="T186" s="22">
        <f t="shared" si="7"/>
        <v>0.315287395146262</v>
      </c>
      <c r="U186" s="23"/>
      <c r="V186" s="710"/>
    </row>
    <row r="187" s="42" customFormat="1" ht="15" hidden="1" customHeight="1" spans="1:23">
      <c r="A187" s="1169"/>
      <c r="B187" s="880"/>
      <c r="C187" s="777">
        <v>20250811</v>
      </c>
      <c r="D187" s="777">
        <v>7.17</v>
      </c>
      <c r="E187" s="777">
        <v>7.17</v>
      </c>
      <c r="F187" s="777" t="s">
        <v>1092</v>
      </c>
      <c r="G187" s="777" t="s">
        <v>1093</v>
      </c>
      <c r="H187" s="39"/>
      <c r="I187" s="23"/>
      <c r="J187" s="21"/>
      <c r="K187" s="21"/>
      <c r="L187" s="21"/>
      <c r="M187" s="700"/>
      <c r="N187" s="779"/>
      <c r="O187" s="779"/>
      <c r="P187" s="779"/>
      <c r="Q187" s="37">
        <v>3.35715431801632</v>
      </c>
      <c r="R187" s="37">
        <v>11.7194434118932</v>
      </c>
      <c r="S187" s="770">
        <v>3</v>
      </c>
      <c r="T187" s="22">
        <f t="shared" si="7"/>
        <v>18.0765977299095</v>
      </c>
      <c r="U187" s="23"/>
      <c r="V187" s="710" t="s">
        <v>1094</v>
      </c>
    </row>
    <row r="188" s="42" customFormat="1" ht="15" hidden="1" customHeight="1" spans="1:23">
      <c r="A188" s="1169"/>
      <c r="B188" s="880"/>
      <c r="C188" s="777">
        <v>20250521</v>
      </c>
      <c r="D188" s="777">
        <v>7.21</v>
      </c>
      <c r="E188" s="23"/>
      <c r="F188" s="777" t="s">
        <v>4427</v>
      </c>
      <c r="G188" s="777" t="s">
        <v>4428</v>
      </c>
      <c r="H188" s="39"/>
      <c r="I188" s="23"/>
      <c r="J188" s="21"/>
      <c r="K188" s="21"/>
      <c r="L188" s="21"/>
      <c r="M188" s="700"/>
      <c r="N188" s="779"/>
      <c r="O188" s="779"/>
      <c r="P188" s="779"/>
      <c r="Q188" s="37">
        <v>3.35715431801632</v>
      </c>
      <c r="R188" s="37">
        <v>9.15827325545229</v>
      </c>
      <c r="S188" s="770">
        <v>3</v>
      </c>
      <c r="T188" s="22">
        <f t="shared" si="7"/>
        <v>15.5154275734686</v>
      </c>
      <c r="U188" s="23"/>
      <c r="V188" s="710" t="s">
        <v>4429</v>
      </c>
    </row>
    <row r="189" s="42" customFormat="1" ht="15" hidden="1" customHeight="1" spans="1:23">
      <c r="A189" s="1169"/>
      <c r="B189" s="880"/>
      <c r="C189" s="777">
        <v>20250218</v>
      </c>
      <c r="D189" s="777">
        <v>7.3</v>
      </c>
      <c r="E189" s="23">
        <v>7.24</v>
      </c>
      <c r="F189" s="777" t="s">
        <v>4430</v>
      </c>
      <c r="G189" s="777" t="s">
        <v>4431</v>
      </c>
      <c r="H189" s="39"/>
      <c r="I189" s="23"/>
      <c r="J189" s="21"/>
      <c r="K189" s="21"/>
      <c r="L189" s="21"/>
      <c r="M189" s="700"/>
      <c r="N189" s="779"/>
      <c r="O189" s="779"/>
      <c r="P189" s="779"/>
      <c r="Q189" s="37">
        <v>4.20878537663075</v>
      </c>
      <c r="R189" s="37">
        <v>12.0533480775355</v>
      </c>
      <c r="S189" s="770">
        <v>3</v>
      </c>
      <c r="T189" s="22">
        <f t="shared" si="7"/>
        <v>19.2621334541662</v>
      </c>
      <c r="U189" s="23"/>
      <c r="V189" s="710" t="s">
        <v>4432</v>
      </c>
    </row>
    <row r="190" s="42" customFormat="1" ht="15" hidden="1" customHeight="1" spans="1:23">
      <c r="A190" s="1169"/>
      <c r="B190" s="880"/>
      <c r="C190" s="777">
        <v>20250218</v>
      </c>
      <c r="D190" s="777">
        <v>7.3</v>
      </c>
      <c r="E190" s="23">
        <v>7.24</v>
      </c>
      <c r="F190" s="777" t="s">
        <v>4433</v>
      </c>
      <c r="G190" s="777" t="s">
        <v>4434</v>
      </c>
      <c r="H190" s="39"/>
      <c r="I190" s="23"/>
      <c r="J190" s="21"/>
      <c r="K190" s="21"/>
      <c r="L190" s="21"/>
      <c r="M190" s="700"/>
      <c r="N190" s="779"/>
      <c r="O190" s="779"/>
      <c r="P190" s="779"/>
      <c r="Q190" s="37">
        <v>0.0728357277013237</v>
      </c>
      <c r="R190" s="37">
        <v>0.0619592451339776</v>
      </c>
      <c r="S190" s="770">
        <v>0.2</v>
      </c>
      <c r="T190" s="22">
        <f t="shared" si="7"/>
        <v>0.334794972835301</v>
      </c>
      <c r="U190" s="23"/>
      <c r="V190" s="710"/>
    </row>
    <row r="191" s="42" customFormat="1" ht="15" hidden="1" customHeight="1" spans="1:23">
      <c r="A191" s="931"/>
      <c r="B191" s="880"/>
      <c r="C191" s="777">
        <v>20250206</v>
      </c>
      <c r="D191" s="777">
        <v>7.3</v>
      </c>
      <c r="E191" s="23">
        <v>7.24</v>
      </c>
      <c r="F191" s="777" t="s">
        <v>4435</v>
      </c>
      <c r="G191" s="777" t="s">
        <v>4436</v>
      </c>
      <c r="H191" s="39"/>
      <c r="I191" s="23"/>
      <c r="J191" s="21"/>
      <c r="K191" s="21"/>
      <c r="L191" s="21"/>
      <c r="M191" s="779"/>
      <c r="N191" s="779"/>
      <c r="O191" s="779"/>
      <c r="P191" s="779"/>
      <c r="Q191" s="37">
        <v>2.32588757126227</v>
      </c>
      <c r="R191" s="37">
        <v>10.7067834625181</v>
      </c>
      <c r="S191" s="37">
        <v>3</v>
      </c>
      <c r="T191" s="37">
        <f t="shared" si="7"/>
        <v>16.0326710337804</v>
      </c>
      <c r="U191" s="23"/>
      <c r="V191" s="710" t="s">
        <v>4437</v>
      </c>
      <c r="W191" s="120" t="s">
        <v>1406</v>
      </c>
    </row>
    <row r="192" s="42" customFormat="1" ht="15" hidden="1" customHeight="1" spans="1:23">
      <c r="A192" s="1120"/>
      <c r="B192" s="776" t="s">
        <v>4438</v>
      </c>
      <c r="C192" s="880">
        <v>20250313</v>
      </c>
      <c r="D192" s="776">
        <v>7.25</v>
      </c>
      <c r="E192" s="687">
        <v>7.17</v>
      </c>
      <c r="F192" s="23" t="s">
        <v>4439</v>
      </c>
      <c r="G192" s="23" t="s">
        <v>1565</v>
      </c>
      <c r="H192" s="750" t="s">
        <v>2801</v>
      </c>
      <c r="I192" s="880" t="s">
        <v>4440</v>
      </c>
      <c r="J192" s="798"/>
      <c r="K192" s="798" t="s">
        <v>1913</v>
      </c>
      <c r="L192" s="798" t="s">
        <v>1567</v>
      </c>
      <c r="M192" s="798" t="s">
        <v>1428</v>
      </c>
      <c r="N192" s="798"/>
      <c r="O192" s="21"/>
      <c r="P192" s="21">
        <v>7.9</v>
      </c>
      <c r="Q192" s="37">
        <f>41.992/E192/1.13</f>
        <v>5.1828538280199</v>
      </c>
      <c r="R192" s="37">
        <v>19.5216845009638</v>
      </c>
      <c r="S192" s="774">
        <v>4</v>
      </c>
      <c r="T192" s="37">
        <f t="shared" si="7"/>
        <v>36.6045383289837</v>
      </c>
      <c r="U192" s="166" t="s">
        <v>1526</v>
      </c>
      <c r="V192" s="1654" t="s">
        <v>4441</v>
      </c>
      <c r="W192" s="120" t="s">
        <v>1406</v>
      </c>
    </row>
    <row r="193" s="42" customFormat="1" ht="15" hidden="1" customHeight="1" spans="1:23">
      <c r="A193" s="1120"/>
      <c r="B193" s="776"/>
      <c r="C193" s="880">
        <v>20250313</v>
      </c>
      <c r="D193" s="776">
        <v>7.25</v>
      </c>
      <c r="E193" s="687">
        <v>7.17</v>
      </c>
      <c r="F193" s="23" t="s">
        <v>4442</v>
      </c>
      <c r="G193" s="23" t="s">
        <v>1617</v>
      </c>
      <c r="H193" s="750" t="s">
        <v>2801</v>
      </c>
      <c r="I193" s="880" t="s">
        <v>4443</v>
      </c>
      <c r="J193" s="798"/>
      <c r="K193" s="798" t="s">
        <v>1913</v>
      </c>
      <c r="L193" s="798" t="s">
        <v>1567</v>
      </c>
      <c r="M193" s="798" t="s">
        <v>1428</v>
      </c>
      <c r="N193" s="798"/>
      <c r="O193" s="21"/>
      <c r="P193" s="21">
        <v>7.9</v>
      </c>
      <c r="Q193" s="37">
        <f>41.992/E193/1.13</f>
        <v>5.1828538280199</v>
      </c>
      <c r="R193" s="37">
        <v>18.8880321494383</v>
      </c>
      <c r="S193" s="774">
        <v>4</v>
      </c>
      <c r="T193" s="37">
        <f t="shared" si="7"/>
        <v>35.9708859774582</v>
      </c>
      <c r="U193" s="166" t="s">
        <v>1526</v>
      </c>
      <c r="V193" s="1654" t="s">
        <v>4444</v>
      </c>
      <c r="W193" s="120" t="s">
        <v>1406</v>
      </c>
    </row>
    <row r="194" s="42" customFormat="1" ht="15" hidden="1" customHeight="1" spans="1:23">
      <c r="A194" s="1120"/>
      <c r="B194" s="776"/>
      <c r="C194" s="880">
        <v>20250313</v>
      </c>
      <c r="D194" s="776">
        <v>7.25</v>
      </c>
      <c r="E194" s="687">
        <v>7.17</v>
      </c>
      <c r="F194" s="23" t="s">
        <v>4445</v>
      </c>
      <c r="G194" s="20" t="s">
        <v>1629</v>
      </c>
      <c r="H194" s="750" t="s">
        <v>2801</v>
      </c>
      <c r="I194" s="880" t="s">
        <v>4446</v>
      </c>
      <c r="J194" s="798"/>
      <c r="K194" s="798" t="s">
        <v>1913</v>
      </c>
      <c r="L194" s="798" t="s">
        <v>1567</v>
      </c>
      <c r="M194" s="798" t="s">
        <v>1428</v>
      </c>
      <c r="N194" s="798"/>
      <c r="O194" s="21"/>
      <c r="P194" s="21">
        <v>7.9</v>
      </c>
      <c r="Q194" s="37">
        <f>41.992/E194/1.13</f>
        <v>5.1828538280199</v>
      </c>
      <c r="R194" s="37">
        <v>24.1865474936157</v>
      </c>
      <c r="S194" s="774">
        <v>4</v>
      </c>
      <c r="T194" s="37">
        <f t="shared" si="7"/>
        <v>41.2694013216356</v>
      </c>
      <c r="U194" s="166" t="s">
        <v>1526</v>
      </c>
      <c r="V194" s="1654" t="s">
        <v>4447</v>
      </c>
      <c r="W194" s="120" t="s">
        <v>1406</v>
      </c>
    </row>
    <row r="195" s="42" customFormat="1" ht="15" hidden="1" customHeight="1" spans="1:23">
      <c r="A195" s="1120"/>
      <c r="B195" s="776"/>
      <c r="C195" s="880">
        <v>20250814</v>
      </c>
      <c r="D195" s="23">
        <v>7.17</v>
      </c>
      <c r="E195" s="23">
        <v>7.17</v>
      </c>
      <c r="F195" s="23" t="s">
        <v>4448</v>
      </c>
      <c r="G195" s="20" t="s">
        <v>1645</v>
      </c>
      <c r="H195" s="750" t="s">
        <v>2801</v>
      </c>
      <c r="I195" s="880"/>
      <c r="J195" s="798" t="s">
        <v>4144</v>
      </c>
      <c r="K195" s="798" t="s">
        <v>1913</v>
      </c>
      <c r="L195" s="798" t="s">
        <v>1567</v>
      </c>
      <c r="M195" s="798">
        <v>260</v>
      </c>
      <c r="N195" s="798"/>
      <c r="O195" s="21"/>
      <c r="P195" s="21">
        <v>7.9</v>
      </c>
      <c r="Q195" s="37">
        <f>41.992/E195/1.13</f>
        <v>5.1828538280199</v>
      </c>
      <c r="R195" s="37">
        <v>19.4537814046142</v>
      </c>
      <c r="S195" s="774">
        <v>4</v>
      </c>
      <c r="T195" s="37">
        <f t="shared" si="7"/>
        <v>296.536635232634</v>
      </c>
      <c r="U195" s="166" t="s">
        <v>1526</v>
      </c>
      <c r="V195" s="1654" t="s">
        <v>4449</v>
      </c>
      <c r="W195" s="120"/>
    </row>
    <row r="196" s="42" customFormat="1" ht="15" hidden="1" customHeight="1" spans="1:23">
      <c r="A196" s="1120"/>
      <c r="B196" s="776"/>
      <c r="C196" s="880">
        <v>20250814</v>
      </c>
      <c r="D196" s="23">
        <v>7.17</v>
      </c>
      <c r="E196" s="23">
        <v>7.17</v>
      </c>
      <c r="F196" s="23" t="s">
        <v>4450</v>
      </c>
      <c r="G196" s="20" t="s">
        <v>1571</v>
      </c>
      <c r="H196" s="750" t="s">
        <v>2801</v>
      </c>
      <c r="I196" s="880"/>
      <c r="J196" s="798" t="s">
        <v>4451</v>
      </c>
      <c r="K196" s="798" t="s">
        <v>1913</v>
      </c>
      <c r="L196" s="798" t="s">
        <v>1567</v>
      </c>
      <c r="M196" s="798">
        <v>305</v>
      </c>
      <c r="N196" s="798"/>
      <c r="O196" s="21"/>
      <c r="P196" s="21">
        <v>7.9</v>
      </c>
      <c r="Q196" s="37">
        <f>41.992/E196/1.13</f>
        <v>5.1828538280199</v>
      </c>
      <c r="R196" s="37">
        <v>21.5356221873599</v>
      </c>
      <c r="S196" s="774">
        <v>4</v>
      </c>
      <c r="T196" s="37">
        <f t="shared" si="7"/>
        <v>343.61847601538</v>
      </c>
      <c r="U196" s="166" t="s">
        <v>1526</v>
      </c>
      <c r="V196" s="1654" t="s">
        <v>4452</v>
      </c>
      <c r="W196" s="120"/>
    </row>
    <row r="197" s="42" customFormat="1" ht="15" hidden="1" customHeight="1" spans="1:23">
      <c r="A197" s="1120"/>
      <c r="B197" s="916" t="s">
        <v>4453</v>
      </c>
      <c r="C197" s="880">
        <v>20250516</v>
      </c>
      <c r="D197" s="798">
        <v>7.24</v>
      </c>
      <c r="E197" s="23">
        <v>7.13</v>
      </c>
      <c r="F197" s="23" t="s">
        <v>4454</v>
      </c>
      <c r="G197" s="35" t="s">
        <v>1565</v>
      </c>
      <c r="H197" s="750" t="s">
        <v>2801</v>
      </c>
      <c r="I197" s="880" t="s">
        <v>2392</v>
      </c>
      <c r="J197" s="798"/>
      <c r="K197" s="798" t="s">
        <v>1913</v>
      </c>
      <c r="L197" s="798" t="s">
        <v>1428</v>
      </c>
      <c r="M197" s="698"/>
      <c r="N197" s="798" t="s">
        <v>1428</v>
      </c>
      <c r="O197" s="21" t="s">
        <v>1428</v>
      </c>
      <c r="P197" s="21" t="s">
        <v>1428</v>
      </c>
      <c r="Q197" s="37">
        <f>30.63/E197/1.13</f>
        <v>3.8017103352406</v>
      </c>
      <c r="R197" s="37">
        <v>11.7030447888655</v>
      </c>
      <c r="S197" s="37">
        <v>5</v>
      </c>
      <c r="T197" s="37">
        <f t="shared" si="7"/>
        <v>20.5047551241061</v>
      </c>
      <c r="U197" s="166" t="s">
        <v>1526</v>
      </c>
      <c r="V197" s="1654" t="s">
        <v>4455</v>
      </c>
      <c r="W197" s="120"/>
    </row>
    <row r="198" s="42" customFormat="1" ht="15" hidden="1" customHeight="1" spans="1:23">
      <c r="A198" s="1120"/>
      <c r="B198" s="1767"/>
      <c r="C198" s="880">
        <v>20250516</v>
      </c>
      <c r="D198" s="798">
        <v>7.24</v>
      </c>
      <c r="E198" s="23">
        <v>7.13</v>
      </c>
      <c r="F198" s="23" t="s">
        <v>4456</v>
      </c>
      <c r="G198" s="35" t="s">
        <v>1617</v>
      </c>
      <c r="H198" s="750" t="s">
        <v>4457</v>
      </c>
      <c r="I198" s="880" t="s">
        <v>2392</v>
      </c>
      <c r="J198" s="798"/>
      <c r="K198" s="798" t="s">
        <v>1913</v>
      </c>
      <c r="L198" s="798" t="s">
        <v>1428</v>
      </c>
      <c r="M198" s="698"/>
      <c r="N198" s="798" t="s">
        <v>1428</v>
      </c>
      <c r="O198" s="21" t="s">
        <v>1428</v>
      </c>
      <c r="P198" s="21" t="s">
        <v>1428</v>
      </c>
      <c r="Q198" s="37">
        <f>30.63/E198/1.13</f>
        <v>3.8017103352406</v>
      </c>
      <c r="R198" s="37">
        <f>13.8115132962014+0.23</f>
        <v>14.0415132962014</v>
      </c>
      <c r="S198" s="37">
        <v>5</v>
      </c>
      <c r="T198" s="37">
        <f t="shared" si="7"/>
        <v>22.843223631442</v>
      </c>
      <c r="U198" s="166" t="s">
        <v>1526</v>
      </c>
      <c r="V198" s="1654" t="s">
        <v>4458</v>
      </c>
      <c r="W198" s="120"/>
    </row>
    <row r="199" s="42" customFormat="1" ht="15" hidden="1" customHeight="1" spans="1:23">
      <c r="A199" s="1120"/>
      <c r="B199" s="1767"/>
      <c r="C199" s="880">
        <v>20250611</v>
      </c>
      <c r="D199" s="798">
        <v>7.19</v>
      </c>
      <c r="E199" s="23">
        <v>7.13</v>
      </c>
      <c r="F199" s="23" t="s">
        <v>4459</v>
      </c>
      <c r="G199" s="35" t="s">
        <v>1629</v>
      </c>
      <c r="H199" s="750" t="s">
        <v>4457</v>
      </c>
      <c r="I199" s="880" t="s">
        <v>4460</v>
      </c>
      <c r="J199" s="798"/>
      <c r="K199" s="798" t="s">
        <v>1913</v>
      </c>
      <c r="L199" s="798"/>
      <c r="M199" s="798"/>
      <c r="N199" s="798"/>
      <c r="O199" s="21"/>
      <c r="P199" s="21"/>
      <c r="Q199" s="37">
        <f>30.63/E199/1.13</f>
        <v>3.8017103352406</v>
      </c>
      <c r="R199" s="37">
        <v>10.4438712393706</v>
      </c>
      <c r="S199" s="37">
        <v>5</v>
      </c>
      <c r="T199" s="37">
        <f t="shared" si="7"/>
        <v>19.2455815746112</v>
      </c>
      <c r="U199" s="166" t="s">
        <v>1526</v>
      </c>
      <c r="V199" s="1654" t="s">
        <v>4461</v>
      </c>
      <c r="W199" s="120"/>
    </row>
    <row r="200" s="42" customFormat="1" ht="15" hidden="1" customHeight="1" spans="1:23">
      <c r="A200" s="1120"/>
      <c r="B200" s="918"/>
      <c r="C200" s="880">
        <v>20250611</v>
      </c>
      <c r="D200" s="798">
        <v>7.19</v>
      </c>
      <c r="E200" s="23">
        <v>7.13</v>
      </c>
      <c r="F200" s="23" t="s">
        <v>4462</v>
      </c>
      <c r="G200" s="35" t="s">
        <v>1645</v>
      </c>
      <c r="H200" s="750" t="s">
        <v>4457</v>
      </c>
      <c r="I200" s="880" t="s">
        <v>2392</v>
      </c>
      <c r="J200" s="798"/>
      <c r="K200" s="798" t="s">
        <v>1913</v>
      </c>
      <c r="L200" s="798"/>
      <c r="M200" s="698"/>
      <c r="N200" s="798"/>
      <c r="O200" s="21"/>
      <c r="P200" s="21"/>
      <c r="Q200" s="37">
        <f>30.63/E200/1.13</f>
        <v>3.8017103352406</v>
      </c>
      <c r="R200" s="37">
        <v>11.3793884020082</v>
      </c>
      <c r="S200" s="37">
        <v>5</v>
      </c>
      <c r="T200" s="37">
        <f t="shared" si="7"/>
        <v>20.1810987372488</v>
      </c>
      <c r="U200" s="166" t="s">
        <v>1526</v>
      </c>
      <c r="V200" s="1654" t="s">
        <v>4463</v>
      </c>
      <c r="W200" s="120"/>
    </row>
    <row r="201" s="839" customFormat="1" ht="15" hidden="1" spans="1:23">
      <c r="B201" s="916" t="s">
        <v>4464</v>
      </c>
      <c r="C201" s="777">
        <v>20250515</v>
      </c>
      <c r="D201" s="876">
        <v>7.24</v>
      </c>
      <c r="E201" s="21">
        <v>7.17</v>
      </c>
      <c r="F201" s="35" t="s">
        <v>4465</v>
      </c>
      <c r="G201" s="35" t="s">
        <v>1565</v>
      </c>
      <c r="H201" s="750" t="s">
        <v>4457</v>
      </c>
      <c r="I201" s="880" t="s">
        <v>2692</v>
      </c>
      <c r="J201" s="798"/>
      <c r="K201" s="798"/>
      <c r="L201" s="798"/>
      <c r="M201" s="700">
        <v>150</v>
      </c>
      <c r="N201" s="878"/>
      <c r="O201" s="779"/>
      <c r="P201" s="779"/>
      <c r="Q201" s="22">
        <f>28.4/E201/1.13</f>
        <v>3.50526406734057</v>
      </c>
      <c r="R201" s="22">
        <v>16.4148950512465</v>
      </c>
      <c r="S201" s="37">
        <v>5</v>
      </c>
      <c r="T201" s="37">
        <f t="shared" si="7"/>
        <v>174.920159118587</v>
      </c>
      <c r="U201" s="166" t="s">
        <v>1526</v>
      </c>
      <c r="V201" s="879" t="s">
        <v>4466</v>
      </c>
    </row>
    <row r="202" s="839" customFormat="1" ht="15" hidden="1" spans="1:23">
      <c r="B202" s="1767"/>
      <c r="C202" s="777">
        <v>20250515</v>
      </c>
      <c r="D202" s="876">
        <v>7.24</v>
      </c>
      <c r="E202" s="21">
        <v>7.17</v>
      </c>
      <c r="F202" s="35" t="s">
        <v>4467</v>
      </c>
      <c r="G202" s="35" t="s">
        <v>1617</v>
      </c>
      <c r="H202" s="750" t="s">
        <v>4457</v>
      </c>
      <c r="I202" s="880" t="s">
        <v>2664</v>
      </c>
      <c r="J202" s="798"/>
      <c r="K202" s="798"/>
      <c r="L202" s="798"/>
      <c r="M202" s="700">
        <v>155</v>
      </c>
      <c r="N202" s="878"/>
      <c r="O202" s="779"/>
      <c r="P202" s="779"/>
      <c r="Q202" s="22">
        <f>28.4/E202/1.13</f>
        <v>3.50526406734057</v>
      </c>
      <c r="R202" s="22">
        <v>15.9603596401353</v>
      </c>
      <c r="S202" s="37">
        <v>5</v>
      </c>
      <c r="T202" s="37">
        <f t="shared" si="7"/>
        <v>179.465623707476</v>
      </c>
      <c r="U202" s="166" t="s">
        <v>1526</v>
      </c>
      <c r="V202" s="879" t="s">
        <v>4468</v>
      </c>
    </row>
    <row r="203" s="839" customFormat="1" ht="15" hidden="1" spans="1:23">
      <c r="B203" s="1767"/>
      <c r="C203" s="777">
        <v>20250604</v>
      </c>
      <c r="D203" s="876">
        <v>7.2</v>
      </c>
      <c r="E203" s="21">
        <v>7.17</v>
      </c>
      <c r="F203" s="35"/>
      <c r="G203" s="35" t="s">
        <v>4029</v>
      </c>
      <c r="H203" s="750" t="s">
        <v>4457</v>
      </c>
      <c r="I203" s="880" t="s">
        <v>2692</v>
      </c>
      <c r="J203" s="798"/>
      <c r="K203" s="798"/>
      <c r="L203" s="798"/>
      <c r="M203" s="700">
        <v>150</v>
      </c>
      <c r="N203" s="878"/>
      <c r="O203" s="779"/>
      <c r="P203" s="779"/>
      <c r="Q203" s="22">
        <f>28.4/E203/1.13</f>
        <v>3.50526406734057</v>
      </c>
      <c r="R203" s="22">
        <v>15.3077787394196</v>
      </c>
      <c r="S203" s="37">
        <v>5</v>
      </c>
      <c r="T203" s="37">
        <f t="shared" si="7"/>
        <v>173.81304280676</v>
      </c>
      <c r="U203" s="166" t="s">
        <v>1526</v>
      </c>
      <c r="V203" s="899" t="s">
        <v>4469</v>
      </c>
    </row>
    <row r="204" s="839" customFormat="1" ht="15" hidden="1" spans="1:23">
      <c r="B204" s="918"/>
      <c r="C204" s="777">
        <v>20250604</v>
      </c>
      <c r="D204" s="876">
        <v>7.2</v>
      </c>
      <c r="E204" s="21">
        <v>7.17</v>
      </c>
      <c r="F204" s="35"/>
      <c r="G204" s="35" t="s">
        <v>4470</v>
      </c>
      <c r="H204" s="750" t="s">
        <v>4471</v>
      </c>
      <c r="I204" s="880" t="s">
        <v>2692</v>
      </c>
      <c r="J204" s="798"/>
      <c r="K204" s="798"/>
      <c r="L204" s="798"/>
      <c r="M204" s="700">
        <v>150</v>
      </c>
      <c r="N204" s="878"/>
      <c r="O204" s="779"/>
      <c r="P204" s="779"/>
      <c r="Q204" s="22">
        <f>28.4/E204/1.13</f>
        <v>3.50526406734057</v>
      </c>
      <c r="R204" s="22">
        <v>14.5979032748734</v>
      </c>
      <c r="S204" s="37">
        <v>5</v>
      </c>
      <c r="T204" s="37">
        <f t="shared" si="7"/>
        <v>173.103167342214</v>
      </c>
      <c r="U204" s="166" t="s">
        <v>1526</v>
      </c>
      <c r="V204" s="899" t="s">
        <v>4472</v>
      </c>
    </row>
    <row r="205" s="42" customFormat="1" ht="16" hidden="1" customHeight="1" spans="1:23">
      <c r="A205" s="1120"/>
      <c r="B205" s="705" t="s">
        <v>4473</v>
      </c>
      <c r="C205" s="23">
        <v>20250519</v>
      </c>
      <c r="D205" s="21">
        <v>7.21</v>
      </c>
      <c r="E205" s="23"/>
      <c r="F205" s="23" t="s">
        <v>4467</v>
      </c>
      <c r="G205" s="23" t="s">
        <v>4233</v>
      </c>
      <c r="H205" s="750" t="s">
        <v>4239</v>
      </c>
      <c r="I205" s="880" t="s">
        <v>2692</v>
      </c>
      <c r="J205" s="798"/>
      <c r="K205" s="21" t="s">
        <v>4474</v>
      </c>
      <c r="L205" s="21" t="s">
        <v>1635</v>
      </c>
      <c r="M205" s="700">
        <v>150</v>
      </c>
      <c r="N205" s="700" t="s">
        <v>1428</v>
      </c>
      <c r="O205" s="21"/>
      <c r="P205" s="21">
        <v>3.1</v>
      </c>
      <c r="Q205" s="37">
        <v>4.86417101739055</v>
      </c>
      <c r="R205" s="37">
        <v>23.9149361070539</v>
      </c>
      <c r="S205" s="37">
        <v>4</v>
      </c>
      <c r="T205" s="37">
        <f t="shared" si="7"/>
        <v>185.879107124444</v>
      </c>
      <c r="U205" s="38" t="s">
        <v>3977</v>
      </c>
      <c r="V205" s="760" t="s">
        <v>4475</v>
      </c>
      <c r="W205" s="120"/>
    </row>
    <row r="206" s="42" customFormat="1" ht="16" hidden="1" customHeight="1" spans="1:23">
      <c r="A206" s="931"/>
      <c r="B206" s="706"/>
      <c r="C206" s="23">
        <v>20250630</v>
      </c>
      <c r="D206" s="21">
        <v>7.17</v>
      </c>
      <c r="E206" s="23"/>
      <c r="F206" s="926" t="s">
        <v>4476</v>
      </c>
      <c r="G206" s="35" t="s">
        <v>1565</v>
      </c>
      <c r="H206" s="750" t="s">
        <v>4477</v>
      </c>
      <c r="I206" s="880" t="s">
        <v>2692</v>
      </c>
      <c r="J206" s="798"/>
      <c r="K206" s="21" t="s">
        <v>4174</v>
      </c>
      <c r="L206" s="21" t="s">
        <v>1567</v>
      </c>
      <c r="M206" s="700">
        <v>150</v>
      </c>
      <c r="N206" s="138" t="s">
        <v>712</v>
      </c>
      <c r="O206" s="21"/>
      <c r="P206" s="21">
        <v>7.9</v>
      </c>
      <c r="Q206" s="37">
        <v>4.86417101739055</v>
      </c>
      <c r="R206" s="37">
        <v>15.7632090862332</v>
      </c>
      <c r="S206" s="37">
        <v>4</v>
      </c>
      <c r="T206" s="37">
        <f t="shared" si="7"/>
        <v>182.527380103624</v>
      </c>
      <c r="U206" s="38" t="s">
        <v>4478</v>
      </c>
      <c r="V206" s="760" t="s">
        <v>4479</v>
      </c>
      <c r="W206" s="120"/>
    </row>
    <row r="207" s="42" customFormat="1" ht="16" hidden="1" customHeight="1" spans="1:23">
      <c r="A207" s="931"/>
      <c r="B207" s="706"/>
      <c r="C207" s="23">
        <v>20250630</v>
      </c>
      <c r="D207" s="21">
        <v>7.17</v>
      </c>
      <c r="E207" s="23"/>
      <c r="F207" s="926" t="s">
        <v>1747</v>
      </c>
      <c r="G207" s="35" t="s">
        <v>1617</v>
      </c>
      <c r="H207" s="750" t="s">
        <v>4477</v>
      </c>
      <c r="I207" s="880" t="s">
        <v>2695</v>
      </c>
      <c r="J207" s="798"/>
      <c r="K207" s="21" t="s">
        <v>4248</v>
      </c>
      <c r="L207" s="21" t="s">
        <v>1731</v>
      </c>
      <c r="M207" s="700">
        <v>240</v>
      </c>
      <c r="N207" s="138" t="s">
        <v>712</v>
      </c>
      <c r="O207" s="21"/>
      <c r="P207" s="21">
        <v>13</v>
      </c>
      <c r="Q207" s="37">
        <v>4.86417101739055</v>
      </c>
      <c r="R207" s="37">
        <v>22.9824370075592</v>
      </c>
      <c r="S207" s="37">
        <v>4</v>
      </c>
      <c r="T207" s="37">
        <f t="shared" si="7"/>
        <v>284.84660802495</v>
      </c>
      <c r="U207" s="38" t="s">
        <v>3984</v>
      </c>
      <c r="V207" s="760" t="s">
        <v>4480</v>
      </c>
      <c r="W207" s="120"/>
    </row>
    <row r="208" s="42" customFormat="1" ht="16" hidden="1" customHeight="1" spans="1:23">
      <c r="A208" s="931"/>
      <c r="B208" s="706"/>
      <c r="C208" s="23">
        <v>20250630</v>
      </c>
      <c r="D208" s="21">
        <v>7.17</v>
      </c>
      <c r="E208" s="23"/>
      <c r="F208" s="926" t="s">
        <v>4481</v>
      </c>
      <c r="G208" s="35" t="s">
        <v>1629</v>
      </c>
      <c r="H208" s="750" t="s">
        <v>4477</v>
      </c>
      <c r="I208" s="880" t="s">
        <v>2768</v>
      </c>
      <c r="J208" s="798"/>
      <c r="K208" s="21" t="s">
        <v>4474</v>
      </c>
      <c r="L208" s="21" t="s">
        <v>4482</v>
      </c>
      <c r="M208" s="700">
        <v>220</v>
      </c>
      <c r="N208" s="138" t="s">
        <v>712</v>
      </c>
      <c r="O208" s="21"/>
      <c r="P208" s="138" t="s">
        <v>712</v>
      </c>
      <c r="Q208" s="37">
        <v>4.86417101739055</v>
      </c>
      <c r="R208" s="37">
        <v>20.4690260772466</v>
      </c>
      <c r="S208" s="37">
        <v>4</v>
      </c>
      <c r="T208" s="37">
        <f t="shared" si="7"/>
        <v>249.333197094637</v>
      </c>
      <c r="U208" s="38" t="s">
        <v>3977</v>
      </c>
      <c r="V208" s="760" t="s">
        <v>4483</v>
      </c>
      <c r="W208" s="120"/>
    </row>
    <row r="209" s="42" customFormat="1" ht="16" hidden="1" customHeight="1" spans="1:23">
      <c r="A209" s="931"/>
      <c r="B209" s="706"/>
      <c r="C209" s="23">
        <v>20250630</v>
      </c>
      <c r="D209" s="21">
        <v>7.17</v>
      </c>
      <c r="E209" s="23"/>
      <c r="F209" s="926" t="s">
        <v>4484</v>
      </c>
      <c r="G209" s="35" t="s">
        <v>1645</v>
      </c>
      <c r="H209" s="750" t="s">
        <v>4477</v>
      </c>
      <c r="I209" s="880" t="s">
        <v>2692</v>
      </c>
      <c r="J209" s="798"/>
      <c r="K209" s="21" t="s">
        <v>4248</v>
      </c>
      <c r="L209" s="21" t="s">
        <v>1567</v>
      </c>
      <c r="M209" s="700">
        <v>150</v>
      </c>
      <c r="N209" s="138" t="s">
        <v>712</v>
      </c>
      <c r="O209" s="21"/>
      <c r="P209" s="21">
        <v>7.9</v>
      </c>
      <c r="Q209" s="37">
        <v>4.86417101739055</v>
      </c>
      <c r="R209" s="37">
        <v>22.9018268372348</v>
      </c>
      <c r="S209" s="37">
        <v>4</v>
      </c>
      <c r="T209" s="37">
        <f t="shared" ref="T209:T215" si="8">SUM(M209:S209)</f>
        <v>189.665997854625</v>
      </c>
      <c r="U209" s="38" t="s">
        <v>3984</v>
      </c>
      <c r="V209" s="760" t="s">
        <v>4485</v>
      </c>
      <c r="W209" s="120"/>
    </row>
    <row r="210" s="839" customFormat="1" ht="15" hidden="1" spans="1:23">
      <c r="B210" s="916" t="s">
        <v>4486</v>
      </c>
      <c r="C210" s="777">
        <v>20250527</v>
      </c>
      <c r="D210" s="876">
        <v>7.17</v>
      </c>
      <c r="E210" s="876">
        <v>7.17</v>
      </c>
      <c r="F210" s="35" t="s">
        <v>4487</v>
      </c>
      <c r="G210" s="35" t="s">
        <v>1565</v>
      </c>
      <c r="H210" s="750" t="s">
        <v>4488</v>
      </c>
      <c r="I210" s="880" t="s">
        <v>3087</v>
      </c>
      <c r="J210" s="798"/>
      <c r="K210" s="798" t="s">
        <v>1913</v>
      </c>
      <c r="L210" s="798" t="s">
        <v>1635</v>
      </c>
      <c r="M210" s="779">
        <v>125</v>
      </c>
      <c r="N210" s="878"/>
      <c r="O210" s="779"/>
      <c r="P210" s="21">
        <v>3.1</v>
      </c>
      <c r="Q210" s="22">
        <v>3.51143530689574</v>
      </c>
      <c r="R210" s="22">
        <v>14.4785160460769</v>
      </c>
      <c r="S210" s="37">
        <f t="shared" ref="S210:S215" si="9">20/E210</f>
        <v>2.78940027894003</v>
      </c>
      <c r="T210" s="37">
        <f t="shared" si="8"/>
        <v>148.879351631913</v>
      </c>
      <c r="U210" s="166" t="s">
        <v>1526</v>
      </c>
      <c r="V210" s="879" t="s">
        <v>4489</v>
      </c>
    </row>
    <row r="211" s="839" customFormat="1" ht="15" hidden="1" spans="1:23">
      <c r="B211" s="1767"/>
      <c r="C211" s="777">
        <v>20250527</v>
      </c>
      <c r="D211" s="876">
        <v>7.17</v>
      </c>
      <c r="E211" s="876">
        <v>7.17</v>
      </c>
      <c r="F211" s="35" t="s">
        <v>4490</v>
      </c>
      <c r="G211" s="35" t="s">
        <v>1617</v>
      </c>
      <c r="H211" s="750" t="s">
        <v>4488</v>
      </c>
      <c r="I211" s="814" t="s">
        <v>4491</v>
      </c>
      <c r="J211" s="798"/>
      <c r="K211" s="798" t="s">
        <v>1913</v>
      </c>
      <c r="L211" s="798" t="s">
        <v>1635</v>
      </c>
      <c r="M211" s="1768" t="s">
        <v>1428</v>
      </c>
      <c r="N211" s="878"/>
      <c r="O211" s="779"/>
      <c r="P211" s="21">
        <v>3.1</v>
      </c>
      <c r="Q211" s="22">
        <v>3.51143530689574</v>
      </c>
      <c r="R211" s="22">
        <v>14.6316431296312</v>
      </c>
      <c r="S211" s="37">
        <f t="shared" si="9"/>
        <v>2.78940027894003</v>
      </c>
      <c r="T211" s="37">
        <f t="shared" si="8"/>
        <v>24.032478715467</v>
      </c>
      <c r="U211" s="166" t="s">
        <v>1526</v>
      </c>
      <c r="V211" s="879" t="s">
        <v>4489</v>
      </c>
    </row>
    <row r="212" s="839" customFormat="1" ht="15" hidden="1" spans="1:23">
      <c r="B212" s="1767"/>
      <c r="C212" s="777">
        <v>20250723</v>
      </c>
      <c r="D212" s="876">
        <v>7.17</v>
      </c>
      <c r="E212" s="876">
        <v>7.17</v>
      </c>
      <c r="F212" s="35" t="s">
        <v>4492</v>
      </c>
      <c r="G212" s="35" t="s">
        <v>1629</v>
      </c>
      <c r="H212" s="750" t="s">
        <v>4457</v>
      </c>
      <c r="I212" s="880" t="s">
        <v>4493</v>
      </c>
      <c r="J212" s="924"/>
      <c r="K212" s="798" t="s">
        <v>1913</v>
      </c>
      <c r="L212" s="798" t="s">
        <v>1635</v>
      </c>
      <c r="M212" s="1769" t="s">
        <v>4494</v>
      </c>
      <c r="N212" s="878"/>
      <c r="O212" s="779"/>
      <c r="P212" s="21">
        <v>3.1</v>
      </c>
      <c r="Q212" s="22">
        <v>3.51143530689574</v>
      </c>
      <c r="R212" s="22">
        <v>13.9872205519143</v>
      </c>
      <c r="S212" s="37">
        <f t="shared" si="9"/>
        <v>2.78940027894003</v>
      </c>
      <c r="T212" s="37">
        <f t="shared" si="8"/>
        <v>23.3880561377501</v>
      </c>
      <c r="U212" s="166" t="s">
        <v>1526</v>
      </c>
      <c r="V212" s="879" t="s">
        <v>4495</v>
      </c>
    </row>
    <row r="213" s="839" customFormat="1" ht="15" hidden="1" spans="1:23">
      <c r="B213" s="1767"/>
      <c r="C213" s="777">
        <v>20250818</v>
      </c>
      <c r="D213" s="876"/>
      <c r="E213" s="876">
        <v>7.17</v>
      </c>
      <c r="F213" s="35" t="s">
        <v>4496</v>
      </c>
      <c r="G213" s="35" t="s">
        <v>1645</v>
      </c>
      <c r="H213" s="750" t="s">
        <v>4457</v>
      </c>
      <c r="I213" s="880" t="s">
        <v>4493</v>
      </c>
      <c r="J213" s="798"/>
      <c r="K213" s="798" t="s">
        <v>1913</v>
      </c>
      <c r="L213" s="798" t="s">
        <v>1635</v>
      </c>
      <c r="M213" s="1769" t="s">
        <v>4494</v>
      </c>
      <c r="N213" s="878"/>
      <c r="O213" s="779"/>
      <c r="P213" s="21">
        <v>3.1</v>
      </c>
      <c r="Q213" s="22">
        <v>3.51143530689574</v>
      </c>
      <c r="R213" s="22">
        <v>13.9027978484115</v>
      </c>
      <c r="S213" s="37">
        <f t="shared" si="9"/>
        <v>2.78940027894003</v>
      </c>
      <c r="T213" s="37">
        <f t="shared" si="8"/>
        <v>23.3036334342473</v>
      </c>
      <c r="U213" s="166" t="s">
        <v>1526</v>
      </c>
      <c r="V213" s="879" t="s">
        <v>4495</v>
      </c>
    </row>
    <row r="214" s="839" customFormat="1" ht="15" hidden="1" spans="1:23">
      <c r="B214" s="1767"/>
      <c r="C214" s="777">
        <v>20250818</v>
      </c>
      <c r="D214" s="876"/>
      <c r="E214" s="876">
        <v>7.17</v>
      </c>
      <c r="F214" s="35" t="s">
        <v>4497</v>
      </c>
      <c r="G214" s="35" t="s">
        <v>1604</v>
      </c>
      <c r="H214" s="750" t="s">
        <v>4457</v>
      </c>
      <c r="I214" s="880" t="s">
        <v>4498</v>
      </c>
      <c r="J214" s="798"/>
      <c r="K214" s="798" t="s">
        <v>1913</v>
      </c>
      <c r="L214" s="798" t="s">
        <v>1635</v>
      </c>
      <c r="M214" s="1769"/>
      <c r="N214" s="878"/>
      <c r="O214" s="779"/>
      <c r="P214" s="21">
        <v>3.1</v>
      </c>
      <c r="Q214" s="22">
        <v>3.51143530689574</v>
      </c>
      <c r="R214" s="22">
        <v>13.6845270297349</v>
      </c>
      <c r="S214" s="37">
        <f t="shared" si="9"/>
        <v>2.78940027894003</v>
      </c>
      <c r="T214" s="37">
        <f t="shared" si="8"/>
        <v>23.0853626155707</v>
      </c>
      <c r="U214" s="166" t="s">
        <v>1526</v>
      </c>
      <c r="V214" s="879" t="s">
        <v>4495</v>
      </c>
    </row>
    <row r="215" s="839" customFormat="1" ht="15" hidden="1" spans="1:23">
      <c r="B215" s="1767"/>
      <c r="C215" s="777">
        <v>20250818</v>
      </c>
      <c r="D215" s="876"/>
      <c r="E215" s="876">
        <v>7.17</v>
      </c>
      <c r="F215" s="35" t="s">
        <v>4499</v>
      </c>
      <c r="G215" s="35" t="s">
        <v>1571</v>
      </c>
      <c r="H215" s="750" t="s">
        <v>4457</v>
      </c>
      <c r="I215" s="880" t="s">
        <v>4493</v>
      </c>
      <c r="J215" s="798"/>
      <c r="K215" s="798" t="s">
        <v>1913</v>
      </c>
      <c r="L215" s="798" t="s">
        <v>1635</v>
      </c>
      <c r="M215" s="1769"/>
      <c r="N215" s="878"/>
      <c r="O215" s="779"/>
      <c r="P215" s="21">
        <v>3.1</v>
      </c>
      <c r="Q215" s="22">
        <v>3.51143530689574</v>
      </c>
      <c r="R215" s="22">
        <v>13.6845270297349</v>
      </c>
      <c r="S215" s="37">
        <f t="shared" si="9"/>
        <v>2.78940027894003</v>
      </c>
      <c r="T215" s="37">
        <f t="shared" si="8"/>
        <v>23.0853626155707</v>
      </c>
      <c r="U215" s="166" t="s">
        <v>1526</v>
      </c>
      <c r="V215" s="879" t="s">
        <v>4495</v>
      </c>
    </row>
    <row r="216" s="42" customFormat="1" ht="16" hidden="1" customHeight="1" spans="1:23">
      <c r="A216" s="1120"/>
      <c r="B216" s="705" t="s">
        <v>4500</v>
      </c>
      <c r="C216" s="23">
        <v>20250613</v>
      </c>
      <c r="D216" s="21">
        <v>7.19</v>
      </c>
      <c r="E216" s="876">
        <v>7.17</v>
      </c>
      <c r="F216" s="23" t="s">
        <v>1631</v>
      </c>
      <c r="G216" s="23" t="s">
        <v>1565</v>
      </c>
      <c r="H216" s="750" t="s">
        <v>4471</v>
      </c>
      <c r="I216" s="23" t="s">
        <v>2392</v>
      </c>
      <c r="J216" s="21"/>
      <c r="K216" s="798" t="s">
        <v>1913</v>
      </c>
      <c r="L216" s="21" t="s">
        <v>1633</v>
      </c>
      <c r="M216" s="698">
        <v>70</v>
      </c>
      <c r="N216" s="21"/>
      <c r="O216" s="22"/>
      <c r="P216" s="37">
        <v>1.64929166615383</v>
      </c>
      <c r="Q216" s="22">
        <f>35.53/E216/1.13</f>
        <v>4.38528282790881</v>
      </c>
      <c r="R216" s="709">
        <v>11.288846581203</v>
      </c>
      <c r="S216" s="709">
        <f>22.5/E216</f>
        <v>3.13807531380753</v>
      </c>
      <c r="T216" s="22">
        <f t="shared" ref="T216:T226" si="10">SUBTOTAL(9,K216:S216)</f>
        <v>90.4614963890732</v>
      </c>
      <c r="U216" s="192"/>
      <c r="V216" s="192" t="s">
        <v>4501</v>
      </c>
      <c r="W216" s="120"/>
    </row>
    <row r="217" s="42" customFormat="1" ht="16" hidden="1" customHeight="1" spans="1:23">
      <c r="A217" s="1120"/>
      <c r="B217" s="706"/>
      <c r="C217" s="23">
        <v>20250613</v>
      </c>
      <c r="D217" s="21">
        <v>7.19</v>
      </c>
      <c r="E217" s="876">
        <v>7.17</v>
      </c>
      <c r="F217" s="23" t="s">
        <v>1634</v>
      </c>
      <c r="G217" s="23" t="s">
        <v>1617</v>
      </c>
      <c r="H217" s="750" t="s">
        <v>4457</v>
      </c>
      <c r="I217" s="23" t="s">
        <v>2365</v>
      </c>
      <c r="J217" s="21"/>
      <c r="K217" s="798" t="s">
        <v>1913</v>
      </c>
      <c r="L217" s="21" t="s">
        <v>1635</v>
      </c>
      <c r="M217" s="700">
        <v>145</v>
      </c>
      <c r="N217" s="21"/>
      <c r="O217" s="22"/>
      <c r="P217" s="37">
        <v>3.1</v>
      </c>
      <c r="Q217" s="22">
        <f>35.53/E217/1.13</f>
        <v>4.38528282790881</v>
      </c>
      <c r="R217" s="709">
        <v>14.922042239225</v>
      </c>
      <c r="S217" s="709">
        <f>22.5/E217</f>
        <v>3.13807531380753</v>
      </c>
      <c r="T217" s="22">
        <f t="shared" si="10"/>
        <v>170.545400380941</v>
      </c>
      <c r="U217" s="192"/>
      <c r="V217" s="192" t="s">
        <v>4502</v>
      </c>
      <c r="W217" s="120"/>
    </row>
    <row r="218" s="42" customFormat="1" ht="16" hidden="1" customHeight="1" spans="1:23">
      <c r="A218" s="1120"/>
      <c r="B218" s="707"/>
      <c r="C218" s="23">
        <v>20250613</v>
      </c>
      <c r="D218" s="21">
        <v>7.19</v>
      </c>
      <c r="E218" s="876">
        <v>7.17</v>
      </c>
      <c r="F218" s="23" t="s">
        <v>2283</v>
      </c>
      <c r="G218" s="687" t="s">
        <v>1629</v>
      </c>
      <c r="H218" s="923" t="s">
        <v>4457</v>
      </c>
      <c r="I218" s="687" t="s">
        <v>4503</v>
      </c>
      <c r="J218" s="21"/>
      <c r="K218" s="798" t="s">
        <v>1913</v>
      </c>
      <c r="L218" s="153" t="s">
        <v>1637</v>
      </c>
      <c r="M218" s="153">
        <v>125</v>
      </c>
      <c r="N218" s="21"/>
      <c r="O218" s="22"/>
      <c r="P218" s="154">
        <v>3.17</v>
      </c>
      <c r="Q218" s="727">
        <f>35.53/E218/1.13</f>
        <v>4.38528282790881</v>
      </c>
      <c r="R218" s="795">
        <v>14.8104218204003</v>
      </c>
      <c r="S218" s="795">
        <f>22.5/E218</f>
        <v>3.13807531380753</v>
      </c>
      <c r="T218" s="727">
        <f t="shared" si="10"/>
        <v>150.503779962117</v>
      </c>
      <c r="U218" s="192"/>
      <c r="V218" s="900" t="s">
        <v>4504</v>
      </c>
      <c r="W218" s="120"/>
    </row>
    <row r="219" s="42" customFormat="1" ht="16" hidden="1" customHeight="1" spans="1:23">
      <c r="A219" s="1120"/>
      <c r="B219" s="23" t="s">
        <v>4505</v>
      </c>
      <c r="C219" s="23">
        <v>20250616</v>
      </c>
      <c r="D219" s="21">
        <v>7.19</v>
      </c>
      <c r="E219" s="21">
        <v>7.19</v>
      </c>
      <c r="F219" s="23" t="s">
        <v>4506</v>
      </c>
      <c r="G219" s="23" t="s">
        <v>1565</v>
      </c>
      <c r="H219" s="750" t="s">
        <v>4507</v>
      </c>
      <c r="I219" s="23" t="s">
        <v>2392</v>
      </c>
      <c r="J219" s="21"/>
      <c r="K219" s="798" t="s">
        <v>1913</v>
      </c>
      <c r="L219" s="21"/>
      <c r="M219" s="698">
        <v>70</v>
      </c>
      <c r="N219" s="21"/>
      <c r="O219" s="22"/>
      <c r="P219" s="37"/>
      <c r="Q219" s="22">
        <f>39.48/E219/1.13</f>
        <v>4.85925634177262</v>
      </c>
      <c r="R219" s="37">
        <v>11.3769721023656</v>
      </c>
      <c r="S219" s="709">
        <v>4</v>
      </c>
      <c r="T219" s="22">
        <f t="shared" si="10"/>
        <v>90.2362284441382</v>
      </c>
      <c r="U219" s="192"/>
      <c r="V219" s="192" t="s">
        <v>4508</v>
      </c>
      <c r="W219" s="120"/>
    </row>
    <row r="220" s="42" customFormat="1" ht="16" hidden="1" customHeight="1" spans="1:23">
      <c r="A220" s="1120"/>
      <c r="B220" s="23"/>
      <c r="C220" s="23">
        <v>20250616</v>
      </c>
      <c r="D220" s="21">
        <v>7.19</v>
      </c>
      <c r="E220" s="21">
        <v>7.19</v>
      </c>
      <c r="F220" s="23" t="s">
        <v>4509</v>
      </c>
      <c r="G220" s="23" t="s">
        <v>1617</v>
      </c>
      <c r="H220" s="750" t="s">
        <v>4507</v>
      </c>
      <c r="I220" s="23" t="s">
        <v>2392</v>
      </c>
      <c r="J220" s="21"/>
      <c r="K220" s="798" t="s">
        <v>1913</v>
      </c>
      <c r="L220" s="21"/>
      <c r="M220" s="698">
        <v>70</v>
      </c>
      <c r="N220" s="21"/>
      <c r="O220" s="22"/>
      <c r="P220" s="37"/>
      <c r="Q220" s="22">
        <f>39.48/E220/1.13</f>
        <v>4.85925634177262</v>
      </c>
      <c r="R220" s="37">
        <v>12.7041649899522</v>
      </c>
      <c r="S220" s="709">
        <v>4</v>
      </c>
      <c r="T220" s="22">
        <f t="shared" si="10"/>
        <v>91.5634213317248</v>
      </c>
      <c r="U220" s="192"/>
      <c r="V220" s="192" t="s">
        <v>4510</v>
      </c>
      <c r="W220" s="120"/>
    </row>
    <row r="221" s="42" customFormat="1" ht="16" hidden="1" customHeight="1" spans="1:23">
      <c r="A221" s="1120"/>
      <c r="B221" s="23"/>
      <c r="C221" s="23">
        <v>20250616</v>
      </c>
      <c r="D221" s="21">
        <v>7.19</v>
      </c>
      <c r="E221" s="23"/>
      <c r="F221" s="23" t="s">
        <v>4511</v>
      </c>
      <c r="G221" s="23" t="s">
        <v>4512</v>
      </c>
      <c r="H221" s="750"/>
      <c r="I221" s="23"/>
      <c r="J221" s="21"/>
      <c r="K221" s="798"/>
      <c r="L221" s="21"/>
      <c r="M221" s="21"/>
      <c r="N221" s="21"/>
      <c r="O221" s="22"/>
      <c r="P221" s="37"/>
      <c r="Q221" s="22">
        <v>0.651593289598385</v>
      </c>
      <c r="R221" s="37">
        <v>1.94801325596317</v>
      </c>
      <c r="S221" s="709">
        <v>0.4</v>
      </c>
      <c r="T221" s="22">
        <f t="shared" si="10"/>
        <v>2.99960654556155</v>
      </c>
      <c r="U221" s="192"/>
      <c r="V221" s="192" t="s">
        <v>4513</v>
      </c>
      <c r="W221" s="120"/>
    </row>
    <row r="222" s="42" customFormat="1" ht="16" hidden="1" customHeight="1" spans="1:23">
      <c r="A222" s="1120"/>
      <c r="B222" s="23"/>
      <c r="C222" s="23">
        <v>20250616</v>
      </c>
      <c r="D222" s="21">
        <v>7.19</v>
      </c>
      <c r="E222" s="23"/>
      <c r="F222" s="23" t="s">
        <v>4514</v>
      </c>
      <c r="G222" s="23" t="s">
        <v>4515</v>
      </c>
      <c r="H222" s="750"/>
      <c r="I222" s="23"/>
      <c r="J222" s="21"/>
      <c r="K222" s="798"/>
      <c r="L222" s="21"/>
      <c r="M222" s="21"/>
      <c r="N222" s="21"/>
      <c r="O222" s="22"/>
      <c r="P222" s="37"/>
      <c r="Q222" s="22">
        <v>0.651593289598385</v>
      </c>
      <c r="R222" s="37">
        <v>1.97801450154763</v>
      </c>
      <c r="S222" s="709">
        <v>0.4</v>
      </c>
      <c r="T222" s="22">
        <f t="shared" si="10"/>
        <v>3.02960779114601</v>
      </c>
      <c r="U222" s="192"/>
      <c r="V222" s="192" t="s">
        <v>4513</v>
      </c>
      <c r="W222" s="120"/>
    </row>
    <row r="223" s="42" customFormat="1" ht="16" hidden="1" customHeight="1" spans="1:23">
      <c r="A223" s="1120"/>
      <c r="B223" s="23" t="s">
        <v>4516</v>
      </c>
      <c r="C223" s="23">
        <v>20250714</v>
      </c>
      <c r="D223" s="21">
        <v>7.17</v>
      </c>
      <c r="E223" s="21"/>
      <c r="F223" s="23" t="s">
        <v>4517</v>
      </c>
      <c r="G223" s="23" t="s">
        <v>1565</v>
      </c>
      <c r="H223" s="750" t="s">
        <v>4507</v>
      </c>
      <c r="I223" s="23" t="s">
        <v>4518</v>
      </c>
      <c r="J223" s="153"/>
      <c r="K223" s="798" t="s">
        <v>4248</v>
      </c>
      <c r="L223" s="21"/>
      <c r="M223" s="698" t="s">
        <v>4519</v>
      </c>
      <c r="N223" s="21" t="s">
        <v>712</v>
      </c>
      <c r="O223" s="22"/>
      <c r="P223" s="37"/>
      <c r="Q223" s="22">
        <v>3.01403339874847</v>
      </c>
      <c r="R223" s="37">
        <v>19.6194090789851</v>
      </c>
      <c r="S223" s="709">
        <v>5</v>
      </c>
      <c r="T223" s="22">
        <f t="shared" si="10"/>
        <v>27.6334424777336</v>
      </c>
      <c r="U223" s="192" t="s">
        <v>4520</v>
      </c>
      <c r="V223" s="192" t="s">
        <v>4521</v>
      </c>
      <c r="W223" s="120"/>
    </row>
    <row r="224" s="42" customFormat="1" ht="16" hidden="1" customHeight="1" spans="1:23">
      <c r="A224" s="1120"/>
      <c r="B224" s="23"/>
      <c r="C224" s="23">
        <v>20250714</v>
      </c>
      <c r="D224" s="21">
        <v>7.17</v>
      </c>
      <c r="E224" s="21"/>
      <c r="F224" s="23" t="s">
        <v>4522</v>
      </c>
      <c r="G224" s="23" t="s">
        <v>1617</v>
      </c>
      <c r="H224" s="750" t="s">
        <v>4507</v>
      </c>
      <c r="I224" s="23" t="s">
        <v>4523</v>
      </c>
      <c r="J224" s="153"/>
      <c r="K224" s="798" t="s">
        <v>4248</v>
      </c>
      <c r="L224" s="21"/>
      <c r="M224" s="698" t="s">
        <v>4519</v>
      </c>
      <c r="N224" s="21" t="s">
        <v>712</v>
      </c>
      <c r="O224" s="22"/>
      <c r="P224" s="37"/>
      <c r="Q224" s="22">
        <v>3.01403339874847</v>
      </c>
      <c r="R224" s="37">
        <v>19.5142855983449</v>
      </c>
      <c r="S224" s="709">
        <v>5</v>
      </c>
      <c r="T224" s="22">
        <f t="shared" si="10"/>
        <v>27.5283189970934</v>
      </c>
      <c r="U224" s="192" t="s">
        <v>4520</v>
      </c>
      <c r="V224" s="192" t="s">
        <v>4524</v>
      </c>
      <c r="W224" s="120"/>
    </row>
    <row r="225" s="42" customFormat="1" ht="16" hidden="1" customHeight="1" spans="1:23">
      <c r="A225" s="1120"/>
      <c r="B225" s="23"/>
      <c r="C225" s="23">
        <v>20250714</v>
      </c>
      <c r="D225" s="21">
        <v>7.17</v>
      </c>
      <c r="E225" s="21"/>
      <c r="F225" s="23" t="s">
        <v>1123</v>
      </c>
      <c r="G225" s="23" t="s">
        <v>1124</v>
      </c>
      <c r="H225" s="750"/>
      <c r="I225" s="23"/>
      <c r="J225" s="153"/>
      <c r="K225" s="798"/>
      <c r="L225" s="21"/>
      <c r="M225" s="698"/>
      <c r="N225" s="21"/>
      <c r="O225" s="22"/>
      <c r="P225" s="37"/>
      <c r="Q225" s="22">
        <v>0.322138704780242</v>
      </c>
      <c r="R225" s="37">
        <v>1.50590593249222</v>
      </c>
      <c r="S225" s="709">
        <v>0.2</v>
      </c>
      <c r="T225" s="22">
        <f t="shared" si="10"/>
        <v>2.02804463727246</v>
      </c>
      <c r="U225" s="192"/>
      <c r="V225" s="192" t="s">
        <v>63</v>
      </c>
      <c r="W225" s="120"/>
    </row>
    <row r="226" s="42" customFormat="1" ht="16" hidden="1" customHeight="1" spans="1:23">
      <c r="A226" s="1120"/>
      <c r="B226" s="23"/>
      <c r="C226" s="23">
        <v>20250714</v>
      </c>
      <c r="D226" s="21">
        <v>7.17</v>
      </c>
      <c r="E226" s="21"/>
      <c r="F226" s="23" t="s">
        <v>1125</v>
      </c>
      <c r="G226" s="23" t="s">
        <v>1126</v>
      </c>
      <c r="H226" s="750"/>
      <c r="I226" s="23"/>
      <c r="J226" s="153"/>
      <c r="K226" s="798"/>
      <c r="L226" s="21"/>
      <c r="M226" s="698"/>
      <c r="N226" s="21"/>
      <c r="O226" s="22"/>
      <c r="P226" s="37"/>
      <c r="Q226" s="22">
        <v>0.229570111452586</v>
      </c>
      <c r="R226" s="37">
        <v>0.75549537005912</v>
      </c>
      <c r="S226" s="709">
        <v>0.2</v>
      </c>
      <c r="T226" s="22">
        <f t="shared" si="10"/>
        <v>1.18506548151171</v>
      </c>
      <c r="U226" s="192"/>
      <c r="V226" s="192"/>
      <c r="W226" s="120"/>
    </row>
    <row r="227" s="42" customFormat="1" ht="15" hidden="1" spans="1:23">
      <c r="A227" s="1120"/>
      <c r="B227" s="697" t="s">
        <v>4525</v>
      </c>
      <c r="C227" s="35">
        <v>20240726</v>
      </c>
      <c r="D227" s="35"/>
      <c r="E227" s="23">
        <v>7.17</v>
      </c>
      <c r="F227" s="23" t="s">
        <v>4526</v>
      </c>
      <c r="G227" s="695" t="s">
        <v>4527</v>
      </c>
      <c r="H227" s="688" t="s">
        <v>1933</v>
      </c>
      <c r="I227" s="688" t="s">
        <v>2962</v>
      </c>
      <c r="J227" s="690"/>
      <c r="K227" s="690" t="s">
        <v>1913</v>
      </c>
      <c r="L227" s="21" t="s">
        <v>1635</v>
      </c>
      <c r="M227" s="700">
        <v>145</v>
      </c>
      <c r="N227" s="36" t="s">
        <v>1428</v>
      </c>
      <c r="O227" s="36" t="s">
        <v>1428</v>
      </c>
      <c r="P227" s="21">
        <v>3.1</v>
      </c>
      <c r="Q227" s="22">
        <v>4.86170252156848</v>
      </c>
      <c r="R227" s="22">
        <v>23.5322515922249</v>
      </c>
      <c r="S227" s="37">
        <v>3.77</v>
      </c>
      <c r="T227" s="1171">
        <f t="shared" ref="T227:T232" si="11">SUM(M227:S227)</f>
        <v>180.263954113793</v>
      </c>
      <c r="U227" s="167" t="s">
        <v>1526</v>
      </c>
      <c r="V227" s="167" t="s">
        <v>4528</v>
      </c>
      <c r="W227" s="1170"/>
    </row>
    <row r="228" s="42" customFormat="1" ht="15" hidden="1" spans="1:23">
      <c r="A228" s="1120"/>
      <c r="B228" s="697"/>
      <c r="C228" s="35">
        <v>20250730</v>
      </c>
      <c r="D228" s="35"/>
      <c r="E228" s="23">
        <v>7.17</v>
      </c>
      <c r="F228" s="23" t="s">
        <v>4529</v>
      </c>
      <c r="G228" s="23" t="s">
        <v>4530</v>
      </c>
      <c r="H228" s="688"/>
      <c r="I228" s="688"/>
      <c r="J228" s="690"/>
      <c r="K228" s="690"/>
      <c r="L228" s="21"/>
      <c r="M228" s="700"/>
      <c r="N228" s="36"/>
      <c r="O228" s="36"/>
      <c r="P228" s="21"/>
      <c r="Q228" s="22">
        <v>0.493699164414164</v>
      </c>
      <c r="R228" s="22">
        <v>2.26612106005998</v>
      </c>
      <c r="S228" s="37">
        <v>0.4</v>
      </c>
      <c r="T228" s="1171">
        <f t="shared" si="11"/>
        <v>3.15982022447414</v>
      </c>
      <c r="U228" s="167"/>
      <c r="V228" s="167" t="s">
        <v>609</v>
      </c>
      <c r="W228" s="1170"/>
    </row>
    <row r="229" s="42" customFormat="1" ht="15" hidden="1" spans="1:23">
      <c r="A229" s="1120"/>
      <c r="B229" s="697"/>
      <c r="C229" s="35">
        <v>20250730</v>
      </c>
      <c r="D229" s="35"/>
      <c r="E229" s="23">
        <v>7.17</v>
      </c>
      <c r="F229" s="23" t="s">
        <v>4531</v>
      </c>
      <c r="G229" s="23" t="s">
        <v>4532</v>
      </c>
      <c r="H229" s="688"/>
      <c r="I229" s="688"/>
      <c r="J229" s="690"/>
      <c r="K229" s="690"/>
      <c r="L229" s="21"/>
      <c r="M229" s="700"/>
      <c r="N229" s="36"/>
      <c r="O229" s="36"/>
      <c r="P229" s="21"/>
      <c r="Q229" s="22">
        <v>0.217227632342232</v>
      </c>
      <c r="R229" s="22">
        <v>0.667061907406722</v>
      </c>
      <c r="S229" s="37">
        <v>0.2</v>
      </c>
      <c r="T229" s="1171">
        <f t="shared" si="11"/>
        <v>1.08428953974895</v>
      </c>
      <c r="U229" s="167"/>
      <c r="V229" s="167"/>
      <c r="W229" s="1170"/>
    </row>
    <row r="230" s="42" customFormat="1" ht="15" hidden="1" spans="1:23">
      <c r="A230" s="1120"/>
      <c r="B230" s="697"/>
      <c r="C230" s="35">
        <v>20250730</v>
      </c>
      <c r="D230" s="35"/>
      <c r="E230" s="23">
        <v>7.17</v>
      </c>
      <c r="F230" s="23" t="s">
        <v>4533</v>
      </c>
      <c r="G230" s="23" t="s">
        <v>4534</v>
      </c>
      <c r="H230" s="688"/>
      <c r="I230" s="688"/>
      <c r="J230" s="690"/>
      <c r="K230" s="690"/>
      <c r="L230" s="21"/>
      <c r="M230" s="700"/>
      <c r="N230" s="36"/>
      <c r="O230" s="36"/>
      <c r="P230" s="21"/>
      <c r="Q230" s="22">
        <v>0.0518384122634872</v>
      </c>
      <c r="R230" s="22">
        <v>0.258246133718419</v>
      </c>
      <c r="S230" s="37">
        <v>0.2</v>
      </c>
      <c r="T230" s="1171">
        <f t="shared" si="11"/>
        <v>0.510084545981906</v>
      </c>
      <c r="U230" s="167"/>
      <c r="V230" s="167"/>
      <c r="W230" s="1170"/>
    </row>
    <row r="231" s="42" customFormat="1" ht="15" hidden="1" spans="1:23">
      <c r="A231" s="1120"/>
      <c r="B231" s="697"/>
      <c r="C231" s="35">
        <v>20250730</v>
      </c>
      <c r="D231" s="35"/>
      <c r="E231" s="23">
        <v>7.17</v>
      </c>
      <c r="F231" s="23" t="s">
        <v>4535</v>
      </c>
      <c r="G231" s="23" t="s">
        <v>4536</v>
      </c>
      <c r="H231" s="688" t="s">
        <v>2801</v>
      </c>
      <c r="I231" s="688" t="s">
        <v>2982</v>
      </c>
      <c r="J231" s="690"/>
      <c r="K231" s="21" t="s">
        <v>1913</v>
      </c>
      <c r="L231" s="21" t="s">
        <v>1742</v>
      </c>
      <c r="M231" s="138">
        <v>100</v>
      </c>
      <c r="N231" s="21" t="s">
        <v>1428</v>
      </c>
      <c r="O231" s="21" t="s">
        <v>1428</v>
      </c>
      <c r="P231" s="21">
        <v>6</v>
      </c>
      <c r="Q231" s="37">
        <v>4.86170252156848</v>
      </c>
      <c r="R231" s="22">
        <v>21.7204069866683</v>
      </c>
      <c r="S231" s="37">
        <v>3.77</v>
      </c>
      <c r="T231" s="37">
        <f t="shared" si="11"/>
        <v>136.352109508237</v>
      </c>
      <c r="U231" s="167" t="s">
        <v>1526</v>
      </c>
      <c r="V231" s="750" t="s">
        <v>4528</v>
      </c>
      <c r="W231" s="1170"/>
    </row>
    <row r="232" s="42" customFormat="1" ht="15" hidden="1" spans="1:23">
      <c r="A232" s="1120"/>
      <c r="B232" s="697"/>
      <c r="C232" s="35">
        <v>20250730</v>
      </c>
      <c r="D232" s="35"/>
      <c r="E232" s="23">
        <v>7.17</v>
      </c>
      <c r="F232" s="23" t="s">
        <v>4537</v>
      </c>
      <c r="G232" s="23" t="s">
        <v>4538</v>
      </c>
      <c r="H232" s="688" t="s">
        <v>2801</v>
      </c>
      <c r="I232" s="688" t="s">
        <v>3010</v>
      </c>
      <c r="J232" s="690"/>
      <c r="K232" s="21" t="s">
        <v>1913</v>
      </c>
      <c r="L232" s="21" t="s">
        <v>1742</v>
      </c>
      <c r="M232" s="698" t="s">
        <v>4539</v>
      </c>
      <c r="N232" s="21" t="s">
        <v>1428</v>
      </c>
      <c r="O232" s="21" t="s">
        <v>1428</v>
      </c>
      <c r="P232" s="21">
        <v>6</v>
      </c>
      <c r="Q232" s="37">
        <v>4.86170252156848</v>
      </c>
      <c r="R232" s="22">
        <v>22.8142339397545</v>
      </c>
      <c r="S232" s="37">
        <v>3.77</v>
      </c>
      <c r="T232" s="37">
        <f t="shared" si="11"/>
        <v>37.445936461323</v>
      </c>
      <c r="U232" s="167" t="s">
        <v>1526</v>
      </c>
      <c r="V232" s="750" t="s">
        <v>4528</v>
      </c>
      <c r="W232" s="1170"/>
    </row>
    <row r="233" s="989" customFormat="1" ht="13.2" hidden="1" spans="1:23">
      <c r="B233" s="990"/>
      <c r="D233" s="1104"/>
      <c r="I233" s="990"/>
      <c r="O233" s="1204"/>
      <c r="P233" s="1204"/>
      <c r="Q233" s="1204"/>
      <c r="R233" s="1204"/>
      <c r="T233" s="990"/>
      <c r="U233" s="990"/>
    </row>
    <row r="234" s="989" customFormat="1" ht="13.2" hidden="1" spans="1:23">
      <c r="B234" s="990"/>
      <c r="D234" s="1104"/>
      <c r="I234" s="990"/>
      <c r="O234" s="1204"/>
      <c r="P234" s="1204"/>
      <c r="Q234" s="1204"/>
      <c r="R234" s="1204"/>
      <c r="T234" s="1745"/>
      <c r="U234" s="990"/>
      <c r="V234" s="990"/>
    </row>
    <row r="235" s="989" customFormat="1" ht="13.2" hidden="1" spans="1:23">
      <c r="B235" s="990"/>
      <c r="D235" s="1104"/>
      <c r="I235" s="990"/>
      <c r="O235" s="1204"/>
      <c r="P235" s="1204"/>
      <c r="Q235" s="1204"/>
      <c r="R235" s="1204"/>
      <c r="T235" s="1745"/>
      <c r="U235" s="990"/>
      <c r="V235" s="990"/>
    </row>
    <row r="236" s="989" customFormat="1" ht="13.2" hidden="1" spans="1:23">
      <c r="B236" s="990"/>
      <c r="D236" s="1104"/>
      <c r="I236" s="990"/>
      <c r="O236" s="1204"/>
      <c r="P236" s="1204"/>
      <c r="Q236" s="1204"/>
      <c r="R236" s="1204"/>
      <c r="T236" s="1745"/>
      <c r="U236" s="990"/>
      <c r="V236" s="990"/>
    </row>
    <row r="237" s="989" customFormat="1" ht="13.2" hidden="1" spans="1:23">
      <c r="B237" s="990"/>
      <c r="D237" s="1104"/>
      <c r="I237" s="990"/>
      <c r="O237" s="1204"/>
      <c r="P237" s="1204"/>
      <c r="Q237" s="1204"/>
      <c r="R237" s="1204"/>
      <c r="T237" s="1745"/>
      <c r="U237" s="990"/>
      <c r="V237" s="990"/>
    </row>
    <row r="238" s="989" customFormat="1" ht="13.2" hidden="1" spans="1:23">
      <c r="B238" s="990"/>
      <c r="D238" s="1104"/>
      <c r="I238" s="990"/>
      <c r="O238" s="1204"/>
      <c r="P238" s="1204"/>
      <c r="Q238" s="1204"/>
      <c r="R238" s="1204"/>
      <c r="T238" s="1745"/>
      <c r="U238" s="990"/>
      <c r="V238" s="990"/>
    </row>
    <row r="239" s="989" customFormat="1" ht="13.2" hidden="1" spans="1:23">
      <c r="B239" s="990"/>
      <c r="D239" s="1104"/>
      <c r="I239" s="990"/>
      <c r="O239" s="1204"/>
      <c r="P239" s="1204"/>
      <c r="Q239" s="1204"/>
      <c r="R239" s="1204"/>
      <c r="T239" s="1745"/>
      <c r="U239" s="990"/>
      <c r="V239" s="990"/>
    </row>
    <row r="240" s="989" customFormat="1" ht="13.2" hidden="1" spans="1:23">
      <c r="B240" s="990"/>
      <c r="D240" s="1104"/>
      <c r="I240" s="990"/>
      <c r="O240" s="1204"/>
      <c r="P240" s="1204"/>
      <c r="Q240" s="1204"/>
      <c r="R240" s="1204"/>
      <c r="T240" s="1745"/>
      <c r="U240" s="990"/>
      <c r="V240" s="990"/>
    </row>
    <row r="241" s="989" customFormat="1" ht="13.2" hidden="1" spans="2:22">
      <c r="B241" s="990"/>
      <c r="D241" s="1104"/>
      <c r="I241" s="990"/>
      <c r="O241" s="1204"/>
      <c r="P241" s="1204"/>
      <c r="Q241" s="1204"/>
      <c r="R241" s="1204"/>
      <c r="T241" s="1745"/>
      <c r="U241" s="990"/>
      <c r="V241" s="990"/>
    </row>
    <row r="242" s="989" customFormat="1" ht="13.2" hidden="1" spans="2:22">
      <c r="B242" s="990"/>
      <c r="D242" s="1104"/>
      <c r="I242" s="990"/>
      <c r="O242" s="1204"/>
      <c r="P242" s="1204"/>
      <c r="Q242" s="1204"/>
      <c r="R242" s="1204"/>
      <c r="T242" s="1745"/>
      <c r="U242" s="990"/>
      <c r="V242" s="990"/>
    </row>
    <row r="243" s="989" customFormat="1" ht="13.2" hidden="1" spans="2:22">
      <c r="B243" s="990"/>
      <c r="D243" s="1104"/>
      <c r="I243" s="990"/>
      <c r="O243" s="1204"/>
      <c r="P243" s="1204"/>
      <c r="Q243" s="1204"/>
      <c r="R243" s="1204"/>
      <c r="T243" s="1745"/>
      <c r="U243" s="990"/>
      <c r="V243" s="990"/>
    </row>
    <row r="244" s="989" customFormat="1" ht="13.2" hidden="1" spans="2:22">
      <c r="B244" s="990"/>
      <c r="D244" s="1104"/>
      <c r="I244" s="990"/>
      <c r="O244" s="1204"/>
      <c r="P244" s="1204"/>
      <c r="Q244" s="1204"/>
      <c r="R244" s="1204"/>
      <c r="T244" s="1745"/>
      <c r="U244" s="990"/>
      <c r="V244" s="990"/>
    </row>
    <row r="245" s="989" customFormat="1" ht="13.2" hidden="1" spans="2:22">
      <c r="B245" s="990"/>
      <c r="D245" s="1104"/>
      <c r="I245" s="990"/>
      <c r="O245" s="1204"/>
      <c r="P245" s="1204"/>
      <c r="Q245" s="1204"/>
      <c r="R245" s="1204"/>
      <c r="T245" s="1745"/>
      <c r="U245" s="990"/>
      <c r="V245" s="990"/>
    </row>
    <row r="246" s="989" customFormat="1" ht="13.2" hidden="1" spans="2:22">
      <c r="B246" s="990"/>
      <c r="D246" s="1104"/>
      <c r="I246" s="990"/>
      <c r="O246" s="1204"/>
      <c r="P246" s="1204"/>
      <c r="Q246" s="1204"/>
      <c r="R246" s="1204"/>
      <c r="T246" s="1745"/>
      <c r="U246" s="990"/>
      <c r="V246" s="990"/>
    </row>
    <row r="247" s="989" customFormat="1" ht="13.2" hidden="1" spans="2:22">
      <c r="B247" s="990"/>
      <c r="D247" s="1104"/>
      <c r="I247" s="990"/>
      <c r="O247" s="1204"/>
      <c r="P247" s="1204"/>
      <c r="Q247" s="1204"/>
      <c r="R247" s="1204"/>
      <c r="T247" s="1745"/>
      <c r="U247" s="990"/>
      <c r="V247" s="990"/>
    </row>
    <row r="248" s="989" customFormat="1" ht="13.2" hidden="1" spans="2:22">
      <c r="B248" s="990"/>
      <c r="D248" s="1104"/>
      <c r="I248" s="990"/>
      <c r="O248" s="1204"/>
      <c r="P248" s="1204"/>
      <c r="Q248" s="1204"/>
      <c r="R248" s="1204"/>
      <c r="T248" s="1745"/>
      <c r="U248" s="990"/>
      <c r="V248" s="990"/>
    </row>
    <row r="249" s="989" customFormat="1" ht="13.2" hidden="1" spans="2:22">
      <c r="B249" s="990"/>
      <c r="D249" s="1104"/>
      <c r="I249" s="990"/>
      <c r="O249" s="1204"/>
      <c r="P249" s="1204"/>
      <c r="Q249" s="1204"/>
      <c r="R249" s="1204"/>
      <c r="T249" s="1745"/>
      <c r="U249" s="990"/>
      <c r="V249" s="990"/>
    </row>
    <row r="250" s="989" customFormat="1" ht="13.2" hidden="1" spans="2:22">
      <c r="B250" s="990"/>
      <c r="D250" s="1104"/>
      <c r="I250" s="990"/>
      <c r="O250" s="1204"/>
      <c r="P250" s="1204"/>
      <c r="Q250" s="1204"/>
      <c r="R250" s="1204"/>
      <c r="T250" s="1745"/>
      <c r="U250" s="990"/>
      <c r="V250" s="990"/>
    </row>
    <row r="251" s="989" customFormat="1" ht="13.2" hidden="1" spans="2:22">
      <c r="B251" s="990"/>
      <c r="D251" s="1104"/>
      <c r="I251" s="990"/>
      <c r="O251" s="1204"/>
      <c r="P251" s="1204"/>
      <c r="Q251" s="1204"/>
      <c r="R251" s="1204"/>
      <c r="T251" s="1745"/>
      <c r="U251" s="990"/>
      <c r="V251" s="990"/>
    </row>
    <row r="252" s="989" customFormat="1" ht="13.2" hidden="1" spans="2:22">
      <c r="B252" s="990"/>
      <c r="D252" s="1104"/>
      <c r="I252" s="990"/>
      <c r="O252" s="1204"/>
      <c r="P252" s="1204"/>
      <c r="Q252" s="1204"/>
      <c r="R252" s="1204"/>
      <c r="T252" s="1745"/>
      <c r="U252" s="990"/>
      <c r="V252" s="990"/>
    </row>
    <row r="253" s="989" customFormat="1" ht="13.2" hidden="1" spans="2:22">
      <c r="B253" s="990"/>
      <c r="D253" s="1104"/>
      <c r="I253" s="990"/>
      <c r="O253" s="1204"/>
      <c r="P253" s="1204"/>
      <c r="Q253" s="1204"/>
      <c r="R253" s="1204"/>
      <c r="T253" s="1745"/>
      <c r="U253" s="990"/>
      <c r="V253" s="990"/>
    </row>
    <row r="254" s="989" customFormat="1" ht="13.2" hidden="1" spans="2:22">
      <c r="B254" s="990"/>
      <c r="D254" s="1104"/>
      <c r="I254" s="990"/>
      <c r="O254" s="1204"/>
      <c r="P254" s="1204"/>
      <c r="Q254" s="1204"/>
      <c r="R254" s="1204"/>
      <c r="T254" s="1745"/>
      <c r="U254" s="990"/>
      <c r="V254" s="990"/>
    </row>
    <row r="255" s="989" customFormat="1" ht="13.2" hidden="1" spans="2:22">
      <c r="B255" s="990"/>
      <c r="D255" s="1104"/>
      <c r="I255" s="990"/>
      <c r="O255" s="1204"/>
      <c r="P255" s="1204"/>
      <c r="Q255" s="1204"/>
      <c r="R255" s="1204"/>
      <c r="T255" s="1745"/>
      <c r="U255" s="990"/>
      <c r="V255" s="990"/>
    </row>
    <row r="256" s="989" customFormat="1" ht="13.2" hidden="1" spans="2:22">
      <c r="B256" s="990"/>
      <c r="D256" s="1104"/>
      <c r="I256" s="990"/>
      <c r="O256" s="1204"/>
      <c r="P256" s="1204"/>
      <c r="Q256" s="1204"/>
      <c r="R256" s="1204"/>
      <c r="T256" s="1745"/>
      <c r="U256" s="990"/>
      <c r="V256" s="990"/>
    </row>
    <row r="257" s="989" customFormat="1" ht="13.2" hidden="1" spans="2:22">
      <c r="B257" s="990"/>
      <c r="D257" s="1104"/>
      <c r="I257" s="990"/>
      <c r="O257" s="1204"/>
      <c r="P257" s="1204"/>
      <c r="Q257" s="1204"/>
      <c r="R257" s="1204"/>
      <c r="T257" s="1745"/>
      <c r="U257" s="990"/>
      <c r="V257" s="990"/>
    </row>
    <row r="258" s="989" customFormat="1" ht="13.2" hidden="1" spans="2:22">
      <c r="B258" s="990"/>
      <c r="D258" s="1104"/>
      <c r="I258" s="990"/>
      <c r="O258" s="1204"/>
      <c r="P258" s="1204"/>
      <c r="Q258" s="1204"/>
      <c r="R258" s="1204"/>
      <c r="T258" s="1745"/>
      <c r="U258" s="990"/>
      <c r="V258" s="990"/>
    </row>
    <row r="259" s="989" customFormat="1" ht="13.2" hidden="1" spans="2:22">
      <c r="B259" s="990"/>
      <c r="D259" s="1104"/>
      <c r="I259" s="990"/>
      <c r="O259" s="1204"/>
      <c r="P259" s="1204"/>
      <c r="Q259" s="1204"/>
      <c r="R259" s="1204"/>
      <c r="T259" s="1745"/>
      <c r="U259" s="990"/>
      <c r="V259" s="990"/>
    </row>
    <row r="260" s="989" customFormat="1" ht="13.2" hidden="1" spans="2:22">
      <c r="B260" s="990"/>
      <c r="D260" s="1104"/>
      <c r="I260" s="990"/>
      <c r="O260" s="1204"/>
      <c r="P260" s="1204"/>
      <c r="Q260" s="1204"/>
      <c r="R260" s="1204"/>
      <c r="T260" s="1745"/>
      <c r="U260" s="990"/>
      <c r="V260" s="990"/>
    </row>
    <row r="261" s="989" customFormat="1" ht="13.2" hidden="1" spans="2:22">
      <c r="B261" s="990"/>
      <c r="D261" s="1104"/>
      <c r="I261" s="990"/>
      <c r="O261" s="1204"/>
      <c r="P261" s="1204"/>
      <c r="Q261" s="1204"/>
      <c r="R261" s="1204"/>
      <c r="T261" s="1745"/>
      <c r="U261" s="990"/>
      <c r="V261" s="990"/>
    </row>
    <row r="262" s="989" customFormat="1" ht="13.2" hidden="1" spans="2:22">
      <c r="B262" s="990"/>
      <c r="D262" s="1104"/>
      <c r="I262" s="990"/>
      <c r="O262" s="1204"/>
      <c r="P262" s="1204"/>
      <c r="Q262" s="1204"/>
      <c r="R262" s="1204"/>
      <c r="T262" s="1745"/>
      <c r="U262" s="990"/>
      <c r="V262" s="990"/>
    </row>
    <row r="263" s="989" customFormat="1" ht="13.2" hidden="1" spans="2:22">
      <c r="B263" s="990"/>
      <c r="D263" s="1104"/>
      <c r="I263" s="990"/>
      <c r="O263" s="1204"/>
      <c r="P263" s="1204"/>
      <c r="Q263" s="1204"/>
      <c r="R263" s="1204"/>
      <c r="T263" s="1745"/>
      <c r="U263" s="990"/>
      <c r="V263" s="990"/>
    </row>
    <row r="264" s="989" customFormat="1" ht="13.2" hidden="1" spans="2:22">
      <c r="B264" s="990"/>
      <c r="D264" s="1104"/>
      <c r="I264" s="990"/>
      <c r="O264" s="1204"/>
      <c r="P264" s="1204"/>
      <c r="Q264" s="1204"/>
      <c r="R264" s="1204"/>
      <c r="T264" s="1745"/>
      <c r="U264" s="990"/>
      <c r="V264" s="990"/>
    </row>
    <row r="265" s="989" customFormat="1" ht="13.2" hidden="1" spans="2:22">
      <c r="B265" s="990"/>
      <c r="D265" s="1104"/>
      <c r="I265" s="990"/>
      <c r="O265" s="1204"/>
      <c r="P265" s="1204"/>
      <c r="Q265" s="1204"/>
      <c r="R265" s="1204"/>
      <c r="T265" s="1745"/>
      <c r="U265" s="990"/>
      <c r="V265" s="990"/>
    </row>
    <row r="266" s="989" customFormat="1" ht="13.2" hidden="1" spans="2:22">
      <c r="B266" s="990"/>
      <c r="D266" s="1104"/>
      <c r="I266" s="990"/>
      <c r="O266" s="1204"/>
      <c r="P266" s="1204"/>
      <c r="Q266" s="1204"/>
      <c r="R266" s="1204"/>
      <c r="T266" s="1745"/>
      <c r="U266" s="990"/>
      <c r="V266" s="990"/>
    </row>
    <row r="267" s="989" customFormat="1" ht="13.2" hidden="1" spans="2:22">
      <c r="B267" s="990"/>
      <c r="D267" s="1104"/>
      <c r="I267" s="990"/>
      <c r="O267" s="1204"/>
      <c r="P267" s="1204"/>
      <c r="Q267" s="1204"/>
      <c r="R267" s="1204"/>
      <c r="T267" s="1745"/>
      <c r="U267" s="990"/>
      <c r="V267" s="990"/>
    </row>
    <row r="268" s="989" customFormat="1" ht="13.2" hidden="1" spans="2:22">
      <c r="B268" s="990"/>
      <c r="D268" s="1104"/>
      <c r="I268" s="990"/>
      <c r="O268" s="1204"/>
      <c r="P268" s="1204"/>
      <c r="Q268" s="1204"/>
      <c r="R268" s="1204"/>
      <c r="T268" s="1745"/>
      <c r="U268" s="990"/>
      <c r="V268" s="990"/>
    </row>
    <row r="269" s="989" customFormat="1" ht="13.2" hidden="1" spans="2:22">
      <c r="B269" s="990"/>
      <c r="D269" s="1104"/>
      <c r="I269" s="990"/>
      <c r="O269" s="1204"/>
      <c r="P269" s="1204"/>
      <c r="Q269" s="1204"/>
      <c r="R269" s="1204"/>
      <c r="T269" s="1745"/>
      <c r="U269" s="990"/>
      <c r="V269" s="990"/>
    </row>
    <row r="270" s="989" customFormat="1" ht="13.2" hidden="1" spans="2:22">
      <c r="B270" s="990"/>
      <c r="D270" s="1104"/>
      <c r="I270" s="990"/>
      <c r="O270" s="1204"/>
      <c r="P270" s="1204"/>
      <c r="Q270" s="1204"/>
      <c r="R270" s="1204"/>
      <c r="T270" s="1745"/>
      <c r="U270" s="990"/>
      <c r="V270" s="990"/>
    </row>
    <row r="271" s="989" customFormat="1" ht="13.2" hidden="1" spans="2:22">
      <c r="B271" s="990"/>
      <c r="D271" s="1104"/>
      <c r="I271" s="990"/>
      <c r="O271" s="1204"/>
      <c r="P271" s="1204"/>
      <c r="Q271" s="1204"/>
      <c r="R271" s="1204"/>
      <c r="T271" s="1745"/>
      <c r="U271" s="990"/>
      <c r="V271" s="990"/>
    </row>
    <row r="272" s="989" customFormat="1" ht="13.2" hidden="1" spans="2:22">
      <c r="B272" s="990"/>
      <c r="D272" s="1104"/>
      <c r="I272" s="990"/>
      <c r="O272" s="1204"/>
      <c r="P272" s="1204"/>
      <c r="Q272" s="1204"/>
      <c r="R272" s="1204"/>
      <c r="T272" s="1745"/>
      <c r="U272" s="990"/>
      <c r="V272" s="990"/>
    </row>
    <row r="273" s="989" customFormat="1" ht="13.2" hidden="1" spans="2:22">
      <c r="B273" s="990"/>
      <c r="D273" s="1104"/>
      <c r="I273" s="990"/>
      <c r="O273" s="1204"/>
      <c r="P273" s="1204"/>
      <c r="Q273" s="1204"/>
      <c r="R273" s="1204"/>
      <c r="T273" s="1745"/>
      <c r="U273" s="990"/>
      <c r="V273" s="990"/>
    </row>
    <row r="274" s="989" customFormat="1" ht="13.2" hidden="1" spans="2:22">
      <c r="B274" s="990"/>
      <c r="D274" s="1104"/>
      <c r="I274" s="990"/>
      <c r="O274" s="1204"/>
      <c r="P274" s="1204"/>
      <c r="Q274" s="1204"/>
      <c r="R274" s="1204"/>
      <c r="T274" s="1745"/>
      <c r="U274" s="990"/>
      <c r="V274" s="990"/>
    </row>
    <row r="275" s="989" customFormat="1" ht="13.2" hidden="1" spans="2:22">
      <c r="B275" s="990"/>
      <c r="D275" s="1104"/>
      <c r="I275" s="990"/>
      <c r="O275" s="1204"/>
      <c r="P275" s="1204"/>
      <c r="Q275" s="1204"/>
      <c r="R275" s="1204"/>
      <c r="T275" s="1745"/>
      <c r="U275" s="990"/>
      <c r="V275" s="990"/>
    </row>
    <row r="276" s="989" customFormat="1" ht="13.2" hidden="1" spans="2:22">
      <c r="B276" s="990"/>
      <c r="D276" s="1104"/>
      <c r="I276" s="990"/>
      <c r="O276" s="1204"/>
      <c r="P276" s="1204"/>
      <c r="Q276" s="1204"/>
      <c r="R276" s="1204"/>
      <c r="T276" s="1745"/>
      <c r="U276" s="990"/>
      <c r="V276" s="990"/>
    </row>
    <row r="277" s="989" customFormat="1" ht="13.2" hidden="1" spans="2:22">
      <c r="B277" s="990"/>
      <c r="D277" s="1104"/>
      <c r="I277" s="990"/>
      <c r="O277" s="1204"/>
      <c r="P277" s="1204"/>
      <c r="Q277" s="1204"/>
      <c r="R277" s="1204"/>
      <c r="T277" s="1745"/>
      <c r="U277" s="990"/>
      <c r="V277" s="990"/>
    </row>
    <row r="278" s="989" customFormat="1" ht="13.2" hidden="1" spans="2:22">
      <c r="B278" s="990"/>
      <c r="D278" s="1104"/>
      <c r="I278" s="990"/>
      <c r="O278" s="1204"/>
      <c r="P278" s="1204"/>
      <c r="Q278" s="1204"/>
      <c r="R278" s="1204"/>
      <c r="T278" s="1745"/>
      <c r="U278" s="990"/>
      <c r="V278" s="990"/>
    </row>
    <row r="279" s="989" customFormat="1" ht="13.2" hidden="1" spans="2:22">
      <c r="B279" s="990"/>
      <c r="D279" s="1104"/>
      <c r="I279" s="990"/>
      <c r="O279" s="1204"/>
      <c r="P279" s="1204"/>
      <c r="Q279" s="1204"/>
      <c r="R279" s="1204"/>
      <c r="T279" s="1745"/>
      <c r="U279" s="990"/>
      <c r="V279" s="990"/>
    </row>
    <row r="280" s="989" customFormat="1" ht="13.2" hidden="1" spans="2:22">
      <c r="B280" s="990"/>
      <c r="D280" s="1104"/>
      <c r="I280" s="990"/>
      <c r="O280" s="1204"/>
      <c r="P280" s="1204"/>
      <c r="Q280" s="1204"/>
      <c r="R280" s="1204"/>
      <c r="T280" s="1745"/>
      <c r="U280" s="990"/>
      <c r="V280" s="990"/>
    </row>
    <row r="281" s="989" customFormat="1" ht="13.2" hidden="1" spans="2:22">
      <c r="B281" s="990"/>
      <c r="D281" s="1104"/>
      <c r="I281" s="990"/>
      <c r="O281" s="1204"/>
      <c r="P281" s="1204"/>
      <c r="Q281" s="1204"/>
      <c r="R281" s="1204"/>
      <c r="T281" s="1745"/>
      <c r="U281" s="990"/>
      <c r="V281" s="990"/>
    </row>
    <row r="282" s="989" customFormat="1" ht="13.2" hidden="1" spans="2:22">
      <c r="B282" s="990"/>
      <c r="D282" s="1104"/>
      <c r="I282" s="990"/>
      <c r="O282" s="1204"/>
      <c r="P282" s="1204"/>
      <c r="Q282" s="1204"/>
      <c r="R282" s="1204"/>
      <c r="T282" s="1745"/>
      <c r="U282" s="990"/>
      <c r="V282" s="990"/>
    </row>
    <row r="283" s="989" customFormat="1" ht="13.2" hidden="1" spans="2:22">
      <c r="B283" s="990"/>
      <c r="D283" s="1104"/>
      <c r="I283" s="990"/>
      <c r="O283" s="1204"/>
      <c r="P283" s="1204"/>
      <c r="Q283" s="1204"/>
      <c r="R283" s="1204"/>
      <c r="T283" s="1745"/>
      <c r="U283" s="990"/>
      <c r="V283" s="990"/>
    </row>
    <row r="284" s="989" customFormat="1" ht="13.2" hidden="1" spans="2:22">
      <c r="B284" s="990"/>
      <c r="D284" s="1104"/>
      <c r="I284" s="990"/>
      <c r="O284" s="1204"/>
      <c r="P284" s="1204"/>
      <c r="Q284" s="1204"/>
      <c r="R284" s="1204"/>
      <c r="T284" s="1745"/>
      <c r="U284" s="990"/>
      <c r="V284" s="990"/>
    </row>
    <row r="285" s="989" customFormat="1" ht="13.2" hidden="1" spans="2:22">
      <c r="B285" s="990"/>
      <c r="D285" s="1104"/>
      <c r="I285" s="990"/>
      <c r="O285" s="1204"/>
      <c r="P285" s="1204"/>
      <c r="Q285" s="1204"/>
      <c r="R285" s="1204"/>
      <c r="T285" s="1745"/>
      <c r="U285" s="990"/>
      <c r="V285" s="990"/>
    </row>
    <row r="286" s="989" customFormat="1" ht="13.2" hidden="1" spans="2:22">
      <c r="B286" s="990"/>
      <c r="D286" s="1104"/>
      <c r="I286" s="990"/>
      <c r="O286" s="1204"/>
      <c r="P286" s="1204"/>
      <c r="Q286" s="1204"/>
      <c r="R286" s="1204"/>
      <c r="T286" s="1745"/>
      <c r="U286" s="990"/>
      <c r="V286" s="990"/>
    </row>
    <row r="287" s="989" customFormat="1" ht="13.2" hidden="1" spans="2:22">
      <c r="B287" s="990"/>
      <c r="D287" s="1104"/>
      <c r="I287" s="990"/>
      <c r="O287" s="1204"/>
      <c r="P287" s="1204"/>
      <c r="Q287" s="1204"/>
      <c r="R287" s="1204"/>
      <c r="T287" s="1745"/>
      <c r="U287" s="990"/>
      <c r="V287" s="990"/>
    </row>
    <row r="288" s="989" customFormat="1" ht="13.2" hidden="1" spans="2:22">
      <c r="B288" s="990"/>
      <c r="D288" s="1104"/>
      <c r="I288" s="990"/>
      <c r="O288" s="1204"/>
      <c r="P288" s="1204"/>
      <c r="Q288" s="1204"/>
      <c r="R288" s="1204"/>
      <c r="T288" s="1745"/>
      <c r="U288" s="990"/>
      <c r="V288" s="990"/>
    </row>
    <row r="289" s="989" customFormat="1" ht="13.2" hidden="1" spans="2:22">
      <c r="B289" s="990"/>
      <c r="D289" s="1104"/>
      <c r="I289" s="990"/>
      <c r="O289" s="1204"/>
      <c r="P289" s="1204"/>
      <c r="Q289" s="1204"/>
      <c r="R289" s="1204"/>
      <c r="T289" s="1745"/>
      <c r="U289" s="990"/>
      <c r="V289" s="990"/>
    </row>
    <row r="290" s="989" customFormat="1" ht="13.2" hidden="1" spans="2:22">
      <c r="B290" s="990"/>
      <c r="D290" s="1104"/>
      <c r="I290" s="990"/>
      <c r="O290" s="1204"/>
      <c r="P290" s="1204"/>
      <c r="Q290" s="1204"/>
      <c r="R290" s="1204"/>
      <c r="T290" s="1745"/>
      <c r="U290" s="990"/>
      <c r="V290" s="990"/>
    </row>
    <row r="291" s="989" customFormat="1" ht="13.2" hidden="1" spans="2:22">
      <c r="B291" s="990"/>
      <c r="D291" s="1104"/>
      <c r="I291" s="990"/>
      <c r="O291" s="1204"/>
      <c r="P291" s="1204"/>
      <c r="Q291" s="1204"/>
      <c r="R291" s="1204"/>
      <c r="T291" s="1745"/>
      <c r="U291" s="990"/>
      <c r="V291" s="990"/>
    </row>
    <row r="292" s="989" customFormat="1" ht="13.2" hidden="1" spans="2:22">
      <c r="B292" s="990"/>
      <c r="D292" s="1104"/>
      <c r="I292" s="990"/>
      <c r="O292" s="1204"/>
      <c r="P292" s="1204"/>
      <c r="Q292" s="1204"/>
      <c r="R292" s="1204"/>
      <c r="T292" s="1745"/>
      <c r="U292" s="990"/>
      <c r="V292" s="990"/>
    </row>
    <row r="293" s="989" customFormat="1" ht="13.2" hidden="1" spans="2:22">
      <c r="B293" s="990"/>
      <c r="D293" s="1104"/>
      <c r="I293" s="990"/>
      <c r="O293" s="1204"/>
      <c r="P293" s="1204"/>
      <c r="Q293" s="1204"/>
      <c r="R293" s="1204"/>
      <c r="T293" s="1745"/>
      <c r="U293" s="990"/>
      <c r="V293" s="990"/>
    </row>
    <row r="294" s="989" customFormat="1" ht="13.2" hidden="1" spans="2:22">
      <c r="B294" s="990"/>
      <c r="D294" s="1104"/>
      <c r="I294" s="990"/>
      <c r="O294" s="1204"/>
      <c r="P294" s="1204"/>
      <c r="Q294" s="1204"/>
      <c r="R294" s="1204"/>
      <c r="T294" s="1745"/>
      <c r="U294" s="990"/>
      <c r="V294" s="990"/>
    </row>
    <row r="295" s="989" customFormat="1" ht="13.2" hidden="1" spans="2:22">
      <c r="B295" s="990"/>
      <c r="D295" s="1104"/>
      <c r="I295" s="990"/>
      <c r="O295" s="1204"/>
      <c r="P295" s="1204"/>
      <c r="Q295" s="1204"/>
      <c r="R295" s="1204"/>
      <c r="T295" s="1745"/>
      <c r="U295" s="990"/>
      <c r="V295" s="990"/>
    </row>
    <row r="296" s="989" customFormat="1" ht="13.2" hidden="1" spans="2:22">
      <c r="B296" s="990"/>
      <c r="D296" s="1104"/>
      <c r="I296" s="990"/>
      <c r="O296" s="1204"/>
      <c r="P296" s="1204"/>
      <c r="Q296" s="1204"/>
      <c r="R296" s="1204"/>
      <c r="T296" s="1745"/>
      <c r="U296" s="990"/>
      <c r="V296" s="990"/>
    </row>
    <row r="297" s="989" customFormat="1" ht="13.2" hidden="1" spans="2:22">
      <c r="B297" s="990"/>
      <c r="D297" s="1104"/>
      <c r="I297" s="990"/>
      <c r="O297" s="1204"/>
      <c r="P297" s="1204"/>
      <c r="Q297" s="1204"/>
      <c r="R297" s="1204"/>
      <c r="T297" s="1745"/>
      <c r="U297" s="990"/>
      <c r="V297" s="990"/>
    </row>
    <row r="298" s="989" customFormat="1" ht="13.2" hidden="1" spans="2:22">
      <c r="B298" s="990"/>
      <c r="D298" s="1104"/>
      <c r="I298" s="990"/>
      <c r="O298" s="1204"/>
      <c r="P298" s="1204"/>
      <c r="Q298" s="1204"/>
      <c r="R298" s="1204"/>
      <c r="T298" s="1745"/>
      <c r="U298" s="990"/>
      <c r="V298" s="990"/>
    </row>
    <row r="299" s="989" customFormat="1" ht="13.2" hidden="1" spans="2:22">
      <c r="B299" s="990"/>
      <c r="D299" s="1104"/>
      <c r="I299" s="990"/>
      <c r="O299" s="1204"/>
      <c r="P299" s="1204"/>
      <c r="Q299" s="1204"/>
      <c r="R299" s="1204"/>
      <c r="T299" s="1745"/>
      <c r="U299" s="990"/>
      <c r="V299" s="990"/>
    </row>
    <row r="300" s="989" customFormat="1" ht="13.2" hidden="1" spans="2:22">
      <c r="B300" s="990"/>
      <c r="D300" s="1104"/>
      <c r="I300" s="990"/>
      <c r="O300" s="1204"/>
      <c r="P300" s="1204"/>
      <c r="Q300" s="1204"/>
      <c r="R300" s="1204"/>
      <c r="T300" s="1745"/>
      <c r="U300" s="990"/>
      <c r="V300" s="990"/>
    </row>
    <row r="301" s="989" customFormat="1" ht="13.2" hidden="1" spans="2:22">
      <c r="B301" s="990"/>
      <c r="D301" s="1104"/>
      <c r="I301" s="990"/>
      <c r="O301" s="1204"/>
      <c r="P301" s="1204"/>
      <c r="Q301" s="1204"/>
      <c r="R301" s="1204"/>
      <c r="T301" s="1745"/>
      <c r="U301" s="990"/>
      <c r="V301" s="990"/>
    </row>
    <row r="302" s="989" customFormat="1" ht="13.2" hidden="1" spans="2:22">
      <c r="B302" s="990"/>
      <c r="D302" s="1104"/>
      <c r="I302" s="990"/>
      <c r="O302" s="1204"/>
      <c r="P302" s="1204"/>
      <c r="Q302" s="1204"/>
      <c r="R302" s="1204"/>
      <c r="T302" s="1745"/>
      <c r="U302" s="990"/>
      <c r="V302" s="990"/>
    </row>
    <row r="303" s="989" customFormat="1" ht="13.2" hidden="1" spans="2:22">
      <c r="B303" s="990"/>
      <c r="D303" s="1104"/>
      <c r="I303" s="990"/>
      <c r="O303" s="1204"/>
      <c r="P303" s="1204"/>
      <c r="Q303" s="1204"/>
      <c r="R303" s="1204"/>
      <c r="T303" s="1745"/>
      <c r="U303" s="990"/>
      <c r="V303" s="990"/>
    </row>
    <row r="304" s="989" customFormat="1" ht="13.2" hidden="1" spans="2:22">
      <c r="B304" s="990"/>
      <c r="D304" s="1104"/>
      <c r="I304" s="990"/>
      <c r="O304" s="1204"/>
      <c r="P304" s="1204"/>
      <c r="Q304" s="1204"/>
      <c r="R304" s="1204"/>
      <c r="T304" s="1745"/>
      <c r="U304" s="990"/>
      <c r="V304" s="990"/>
    </row>
    <row r="305" s="989" customFormat="1" ht="13.2" hidden="1" spans="2:22">
      <c r="B305" s="990"/>
      <c r="D305" s="1104"/>
      <c r="I305" s="990"/>
      <c r="O305" s="1204"/>
      <c r="P305" s="1204"/>
      <c r="Q305" s="1204"/>
      <c r="R305" s="1204"/>
      <c r="T305" s="1745"/>
      <c r="U305" s="990"/>
      <c r="V305" s="990"/>
    </row>
    <row r="306" s="989" customFormat="1" ht="13.2" hidden="1" spans="2:22">
      <c r="B306" s="990"/>
      <c r="D306" s="1104"/>
      <c r="I306" s="990"/>
      <c r="O306" s="1204"/>
      <c r="P306" s="1204"/>
      <c r="Q306" s="1204"/>
      <c r="R306" s="1204"/>
      <c r="T306" s="1745"/>
      <c r="U306" s="990"/>
      <c r="V306" s="990"/>
    </row>
    <row r="307" s="989" customFormat="1" ht="13.2" hidden="1" spans="2:22">
      <c r="B307" s="990"/>
      <c r="D307" s="1104"/>
      <c r="I307" s="990"/>
      <c r="O307" s="1204"/>
      <c r="P307" s="1204"/>
      <c r="Q307" s="1204"/>
      <c r="R307" s="1204"/>
      <c r="T307" s="1745"/>
      <c r="U307" s="990"/>
      <c r="V307" s="990"/>
    </row>
    <row r="308" s="989" customFormat="1" ht="13.2" hidden="1" spans="2:22">
      <c r="B308" s="990"/>
      <c r="D308" s="1104"/>
      <c r="I308" s="990"/>
      <c r="O308" s="1204"/>
      <c r="P308" s="1204"/>
      <c r="Q308" s="1204"/>
      <c r="R308" s="1204"/>
      <c r="T308" s="1745"/>
      <c r="U308" s="990"/>
      <c r="V308" s="990"/>
    </row>
    <row r="309" s="989" customFormat="1" ht="13.2" hidden="1" spans="2:22">
      <c r="B309" s="990"/>
      <c r="D309" s="1104"/>
      <c r="I309" s="990"/>
      <c r="O309" s="1204"/>
      <c r="P309" s="1204"/>
      <c r="Q309" s="1204"/>
      <c r="R309" s="1204"/>
      <c r="T309" s="1745"/>
      <c r="U309" s="990"/>
      <c r="V309" s="990"/>
    </row>
    <row r="310" s="989" customFormat="1" ht="13.2" hidden="1" spans="2:22">
      <c r="B310" s="990"/>
      <c r="D310" s="1104"/>
      <c r="I310" s="990"/>
      <c r="O310" s="1204"/>
      <c r="P310" s="1204"/>
      <c r="Q310" s="1204"/>
      <c r="R310" s="1204"/>
      <c r="T310" s="1745"/>
      <c r="U310" s="990"/>
      <c r="V310" s="990"/>
    </row>
    <row r="311" s="989" customFormat="1" ht="13.2" hidden="1" spans="2:22">
      <c r="B311" s="990"/>
      <c r="D311" s="1104"/>
      <c r="I311" s="990"/>
      <c r="O311" s="1204"/>
      <c r="P311" s="1204"/>
      <c r="Q311" s="1204"/>
      <c r="R311" s="1204"/>
      <c r="T311" s="1745"/>
      <c r="U311" s="990"/>
      <c r="V311" s="990"/>
    </row>
    <row r="312" s="989" customFormat="1" ht="13.2" hidden="1" spans="2:22">
      <c r="B312" s="990"/>
      <c r="D312" s="1104"/>
      <c r="I312" s="990"/>
      <c r="O312" s="1204"/>
      <c r="P312" s="1204"/>
      <c r="Q312" s="1204"/>
      <c r="R312" s="1204"/>
      <c r="T312" s="1745"/>
      <c r="U312" s="990"/>
      <c r="V312" s="990"/>
    </row>
    <row r="313" s="989" customFormat="1" ht="13.2" hidden="1" spans="2:22">
      <c r="B313" s="990"/>
      <c r="D313" s="1104"/>
      <c r="I313" s="990"/>
      <c r="O313" s="1204"/>
      <c r="P313" s="1204"/>
      <c r="Q313" s="1204"/>
      <c r="R313" s="1204"/>
      <c r="T313" s="1745"/>
      <c r="U313" s="990"/>
      <c r="V313" s="990"/>
    </row>
    <row r="314" s="989" customFormat="1" ht="13.2" hidden="1" spans="2:22">
      <c r="B314" s="990"/>
      <c r="D314" s="1104"/>
      <c r="I314" s="990"/>
      <c r="O314" s="1204"/>
      <c r="P314" s="1204"/>
      <c r="Q314" s="1204"/>
      <c r="R314" s="1204"/>
      <c r="T314" s="1745"/>
      <c r="U314" s="990"/>
      <c r="V314" s="990"/>
    </row>
    <row r="315" s="989" customFormat="1" ht="13.2" hidden="1" spans="2:22">
      <c r="B315" s="990"/>
      <c r="D315" s="1104"/>
      <c r="I315" s="990"/>
      <c r="O315" s="1204"/>
      <c r="P315" s="1204"/>
      <c r="Q315" s="1204"/>
      <c r="R315" s="1204"/>
      <c r="T315" s="1745"/>
      <c r="U315" s="990"/>
      <c r="V315" s="990"/>
    </row>
    <row r="316" s="989" customFormat="1" ht="13.2" hidden="1" spans="2:22">
      <c r="B316" s="990"/>
      <c r="D316" s="1104"/>
      <c r="I316" s="990"/>
      <c r="O316" s="1204"/>
      <c r="P316" s="1204"/>
      <c r="Q316" s="1204"/>
      <c r="R316" s="1204"/>
      <c r="T316" s="1745"/>
      <c r="U316" s="990"/>
      <c r="V316" s="990"/>
    </row>
    <row r="317" s="989" customFormat="1" ht="13.2" hidden="1" spans="2:22">
      <c r="B317" s="990"/>
      <c r="D317" s="1104"/>
      <c r="I317" s="990"/>
      <c r="O317" s="1204"/>
      <c r="P317" s="1204"/>
      <c r="Q317" s="1204"/>
      <c r="R317" s="1204"/>
      <c r="T317" s="1745"/>
      <c r="U317" s="990"/>
      <c r="V317" s="990"/>
    </row>
    <row r="318" s="989" customFormat="1" ht="13.2" hidden="1" spans="2:22">
      <c r="B318" s="990"/>
      <c r="D318" s="1104"/>
      <c r="I318" s="990"/>
      <c r="O318" s="1204"/>
      <c r="P318" s="1204"/>
      <c r="Q318" s="1204"/>
      <c r="R318" s="1204"/>
      <c r="T318" s="1745"/>
      <c r="U318" s="990"/>
      <c r="V318" s="990"/>
    </row>
    <row r="319" s="989" customFormat="1" ht="13.2" hidden="1" spans="2:22">
      <c r="B319" s="990"/>
      <c r="D319" s="1104"/>
      <c r="I319" s="990"/>
      <c r="O319" s="1204"/>
      <c r="P319" s="1204"/>
      <c r="Q319" s="1204"/>
      <c r="R319" s="1204"/>
      <c r="T319" s="1745"/>
      <c r="U319" s="990"/>
      <c r="V319" s="990"/>
    </row>
    <row r="320" s="989" customFormat="1" ht="13.2" hidden="1" spans="2:22">
      <c r="B320" s="990"/>
      <c r="D320" s="1104"/>
      <c r="I320" s="990"/>
      <c r="O320" s="1204"/>
      <c r="P320" s="1204"/>
      <c r="Q320" s="1204"/>
      <c r="R320" s="1204"/>
      <c r="T320" s="1745"/>
      <c r="U320" s="990"/>
      <c r="V320" s="990"/>
    </row>
    <row r="321" s="989" customFormat="1" ht="13.2" hidden="1" spans="2:22">
      <c r="B321" s="990"/>
      <c r="D321" s="1104"/>
      <c r="I321" s="990"/>
      <c r="O321" s="1204"/>
      <c r="P321" s="1204"/>
      <c r="Q321" s="1204"/>
      <c r="R321" s="1204"/>
      <c r="T321" s="1745"/>
      <c r="U321" s="990"/>
      <c r="V321" s="990"/>
    </row>
    <row r="322" s="989" customFormat="1" ht="13.2" hidden="1" spans="2:22">
      <c r="B322" s="990"/>
      <c r="D322" s="1104"/>
      <c r="I322" s="990"/>
      <c r="O322" s="1204"/>
      <c r="P322" s="1204"/>
      <c r="Q322" s="1204"/>
      <c r="R322" s="1204"/>
      <c r="T322" s="1745"/>
      <c r="U322" s="990"/>
      <c r="V322" s="990"/>
    </row>
    <row r="323" s="989" customFormat="1" ht="13.2" hidden="1" spans="2:22">
      <c r="B323" s="990"/>
      <c r="D323" s="1104"/>
      <c r="I323" s="990"/>
      <c r="O323" s="1204"/>
      <c r="P323" s="1204"/>
      <c r="Q323" s="1204"/>
      <c r="R323" s="1204"/>
      <c r="T323" s="1745"/>
      <c r="U323" s="990"/>
      <c r="V323" s="990"/>
    </row>
    <row r="324" s="989" customFormat="1" ht="13.2" hidden="1" spans="2:22">
      <c r="B324" s="990"/>
      <c r="D324" s="1104"/>
      <c r="I324" s="990"/>
      <c r="O324" s="1204"/>
      <c r="P324" s="1204"/>
      <c r="Q324" s="1204"/>
      <c r="R324" s="1204"/>
      <c r="T324" s="1745"/>
      <c r="U324" s="990"/>
      <c r="V324" s="990"/>
    </row>
    <row r="325" s="989" customFormat="1" ht="13.2" hidden="1" spans="2:22">
      <c r="B325" s="990"/>
      <c r="D325" s="1104"/>
      <c r="I325" s="990"/>
      <c r="O325" s="1204"/>
      <c r="P325" s="1204"/>
      <c r="Q325" s="1204"/>
      <c r="R325" s="1204"/>
      <c r="T325" s="1745"/>
      <c r="U325" s="990"/>
      <c r="V325" s="990"/>
    </row>
    <row r="326" s="989" customFormat="1" ht="13.2" hidden="1" spans="2:22">
      <c r="B326" s="990"/>
      <c r="D326" s="1104"/>
      <c r="I326" s="990"/>
      <c r="O326" s="1204"/>
      <c r="P326" s="1204"/>
      <c r="Q326" s="1204"/>
      <c r="R326" s="1204"/>
      <c r="T326" s="1745"/>
      <c r="U326" s="990"/>
      <c r="V326" s="990"/>
    </row>
    <row r="327" s="989" customFormat="1" ht="13.2" hidden="1" spans="2:22">
      <c r="B327" s="990"/>
      <c r="D327" s="1104"/>
      <c r="I327" s="990"/>
      <c r="O327" s="1204"/>
      <c r="P327" s="1204"/>
      <c r="Q327" s="1204"/>
      <c r="R327" s="1204"/>
      <c r="T327" s="1745"/>
      <c r="U327" s="990"/>
      <c r="V327" s="990"/>
    </row>
    <row r="328" s="989" customFormat="1" ht="13.2" hidden="1" spans="2:22">
      <c r="B328" s="990"/>
      <c r="D328" s="1104"/>
      <c r="I328" s="990"/>
      <c r="O328" s="1204"/>
      <c r="P328" s="1204"/>
      <c r="Q328" s="1204"/>
      <c r="R328" s="1204"/>
      <c r="T328" s="1745"/>
      <c r="U328" s="990"/>
      <c r="V328" s="990"/>
    </row>
    <row r="329" s="989" customFormat="1" ht="13.2" hidden="1" spans="2:22">
      <c r="B329" s="990"/>
      <c r="D329" s="1104"/>
      <c r="I329" s="990"/>
      <c r="O329" s="1204"/>
      <c r="P329" s="1204"/>
      <c r="Q329" s="1204"/>
      <c r="R329" s="1204"/>
      <c r="T329" s="1745"/>
      <c r="U329" s="990"/>
      <c r="V329" s="990"/>
    </row>
    <row r="330" s="989" customFormat="1" ht="13.2" hidden="1" spans="2:22">
      <c r="B330" s="990"/>
      <c r="D330" s="1104"/>
      <c r="I330" s="990"/>
      <c r="O330" s="1204"/>
      <c r="P330" s="1204"/>
      <c r="Q330" s="1204"/>
      <c r="R330" s="1204"/>
      <c r="T330" s="1745"/>
      <c r="U330" s="990"/>
      <c r="V330" s="990"/>
    </row>
    <row r="331" s="989" customFormat="1" ht="13.2" hidden="1" spans="2:22">
      <c r="B331" s="990"/>
      <c r="D331" s="1104"/>
      <c r="I331" s="990"/>
      <c r="O331" s="1204"/>
      <c r="P331" s="1204"/>
      <c r="Q331" s="1204"/>
      <c r="R331" s="1204"/>
      <c r="T331" s="1745"/>
      <c r="U331" s="990"/>
      <c r="V331" s="990"/>
    </row>
    <row r="332" s="989" customFormat="1" ht="13.2" hidden="1" spans="2:22">
      <c r="B332" s="990"/>
      <c r="D332" s="1104"/>
      <c r="I332" s="990"/>
      <c r="O332" s="1204"/>
      <c r="P332" s="1204"/>
      <c r="Q332" s="1204"/>
      <c r="R332" s="1204"/>
      <c r="T332" s="1745"/>
      <c r="U332" s="990"/>
      <c r="V332" s="990"/>
    </row>
    <row r="333" s="989" customFormat="1" ht="13.2" hidden="1" spans="2:22">
      <c r="B333" s="990"/>
      <c r="D333" s="1104"/>
      <c r="I333" s="990"/>
      <c r="O333" s="1204"/>
      <c r="P333" s="1204"/>
      <c r="Q333" s="1204"/>
      <c r="R333" s="1204"/>
      <c r="T333" s="1745"/>
      <c r="U333" s="990"/>
      <c r="V333" s="990"/>
    </row>
    <row r="334" s="989" customFormat="1" ht="13.2" hidden="1" spans="2:22">
      <c r="B334" s="990"/>
      <c r="D334" s="1104"/>
      <c r="I334" s="990"/>
      <c r="O334" s="1204"/>
      <c r="P334" s="1204"/>
      <c r="Q334" s="1204"/>
      <c r="R334" s="1204"/>
      <c r="T334" s="1745"/>
      <c r="U334" s="990"/>
      <c r="V334" s="990"/>
    </row>
    <row r="335" s="989" customFormat="1" ht="13.2" hidden="1" spans="2:22">
      <c r="B335" s="990"/>
      <c r="D335" s="1104"/>
      <c r="I335" s="990"/>
      <c r="O335" s="1204"/>
      <c r="P335" s="1204"/>
      <c r="Q335" s="1204"/>
      <c r="R335" s="1204"/>
      <c r="T335" s="1745"/>
      <c r="U335" s="990"/>
      <c r="V335" s="990"/>
    </row>
    <row r="336" s="989" customFormat="1" ht="13.2" hidden="1" spans="2:22">
      <c r="B336" s="990"/>
      <c r="D336" s="1104"/>
      <c r="I336" s="990"/>
      <c r="O336" s="1204"/>
      <c r="P336" s="1204"/>
      <c r="Q336" s="1204"/>
      <c r="R336" s="1204"/>
      <c r="T336" s="1745"/>
      <c r="U336" s="990"/>
      <c r="V336" s="990"/>
    </row>
    <row r="337" s="989" customFormat="1" ht="13.2" hidden="1" spans="2:22">
      <c r="B337" s="990"/>
      <c r="D337" s="1104"/>
      <c r="I337" s="990"/>
      <c r="O337" s="1204"/>
      <c r="P337" s="1204"/>
      <c r="Q337" s="1204"/>
      <c r="R337" s="1204"/>
      <c r="T337" s="1745"/>
      <c r="U337" s="990"/>
      <c r="V337" s="990"/>
    </row>
    <row r="338" s="989" customFormat="1" ht="13.2" hidden="1" spans="2:22">
      <c r="B338" s="990"/>
      <c r="D338" s="1104"/>
      <c r="I338" s="990"/>
      <c r="O338" s="1204"/>
      <c r="P338" s="1204"/>
      <c r="Q338" s="1204"/>
      <c r="R338" s="1204"/>
      <c r="T338" s="1745"/>
      <c r="U338" s="990"/>
      <c r="V338" s="990"/>
    </row>
    <row r="339" s="989" customFormat="1" ht="13.2" hidden="1" spans="2:22">
      <c r="B339" s="990"/>
      <c r="D339" s="1104"/>
      <c r="I339" s="990"/>
      <c r="O339" s="1204"/>
      <c r="P339" s="1204"/>
      <c r="Q339" s="1204"/>
      <c r="R339" s="1204"/>
      <c r="T339" s="1745"/>
      <c r="U339" s="990"/>
      <c r="V339" s="990"/>
    </row>
    <row r="340" s="989" customFormat="1" ht="13.2" hidden="1" spans="2:22">
      <c r="B340" s="990"/>
      <c r="D340" s="1104"/>
      <c r="I340" s="990"/>
      <c r="O340" s="1204"/>
      <c r="P340" s="1204"/>
      <c r="Q340" s="1204"/>
      <c r="R340" s="1204"/>
      <c r="T340" s="1745"/>
      <c r="U340" s="990"/>
      <c r="V340" s="990"/>
    </row>
    <row r="341" s="989" customFormat="1" ht="13.2" hidden="1" spans="2:22">
      <c r="B341" s="990"/>
      <c r="D341" s="1104"/>
      <c r="I341" s="990"/>
      <c r="O341" s="1204"/>
      <c r="P341" s="1204"/>
      <c r="Q341" s="1204"/>
      <c r="R341" s="1204"/>
      <c r="T341" s="1745"/>
      <c r="U341" s="990"/>
      <c r="V341" s="990"/>
    </row>
    <row r="342" s="989" customFormat="1" ht="13.2" hidden="1" spans="2:22">
      <c r="B342" s="990"/>
      <c r="D342" s="1104"/>
      <c r="I342" s="990"/>
      <c r="O342" s="1204"/>
      <c r="P342" s="1204"/>
      <c r="Q342" s="1204"/>
      <c r="R342" s="1204"/>
      <c r="T342" s="1745"/>
      <c r="U342" s="990"/>
      <c r="V342" s="990"/>
    </row>
    <row r="343" s="989" customFormat="1" ht="13.2" hidden="1" spans="2:22">
      <c r="B343" s="990"/>
      <c r="D343" s="1104"/>
      <c r="I343" s="990"/>
      <c r="O343" s="1204"/>
      <c r="P343" s="1204"/>
      <c r="Q343" s="1204"/>
      <c r="R343" s="1204"/>
      <c r="T343" s="1745"/>
      <c r="U343" s="990"/>
      <c r="V343" s="990"/>
    </row>
    <row r="344" s="989" customFormat="1" ht="13.2" hidden="1" spans="2:22">
      <c r="B344" s="990"/>
      <c r="D344" s="1104"/>
      <c r="I344" s="990"/>
      <c r="O344" s="1204"/>
      <c r="P344" s="1204"/>
      <c r="Q344" s="1204"/>
      <c r="R344" s="1204"/>
      <c r="T344" s="1745"/>
      <c r="U344" s="990"/>
      <c r="V344" s="990"/>
    </row>
    <row r="345" s="989" customFormat="1" ht="13.2" hidden="1" spans="2:22">
      <c r="B345" s="990"/>
      <c r="D345" s="1104"/>
      <c r="I345" s="990"/>
      <c r="O345" s="1204"/>
      <c r="P345" s="1204"/>
      <c r="Q345" s="1204"/>
      <c r="R345" s="1204"/>
      <c r="T345" s="1745"/>
      <c r="U345" s="990"/>
      <c r="V345" s="990"/>
    </row>
    <row r="346" s="989" customFormat="1" ht="13.2" hidden="1" spans="2:22">
      <c r="B346" s="990"/>
      <c r="D346" s="1104"/>
      <c r="I346" s="990"/>
      <c r="O346" s="1204"/>
      <c r="P346" s="1204"/>
      <c r="Q346" s="1204"/>
      <c r="R346" s="1204"/>
      <c r="T346" s="1745"/>
      <c r="U346" s="990"/>
      <c r="V346" s="990"/>
    </row>
    <row r="347" s="989" customFormat="1" ht="13.2" hidden="1" spans="2:22">
      <c r="B347" s="990"/>
      <c r="D347" s="1104"/>
      <c r="I347" s="990"/>
      <c r="O347" s="1204"/>
      <c r="P347" s="1204"/>
      <c r="Q347" s="1204"/>
      <c r="R347" s="1204"/>
      <c r="T347" s="1745"/>
      <c r="U347" s="990"/>
      <c r="V347" s="990"/>
    </row>
    <row r="348" s="989" customFormat="1" ht="13.2" hidden="1" spans="2:22">
      <c r="B348" s="990" t="s">
        <v>1430</v>
      </c>
      <c r="D348" s="1104"/>
      <c r="I348" s="990"/>
      <c r="O348" s="1204"/>
      <c r="P348" s="1204"/>
      <c r="Q348" s="1204"/>
      <c r="R348" s="1204"/>
      <c r="T348" s="1745"/>
      <c r="U348" s="990"/>
      <c r="V348" s="990"/>
    </row>
    <row r="349" s="989" customFormat="1" ht="13.2" hidden="1" spans="2:22">
      <c r="B349" s="990"/>
      <c r="D349" s="1104"/>
      <c r="I349" s="990"/>
      <c r="O349" s="1204"/>
      <c r="P349" s="1204"/>
      <c r="Q349" s="1204"/>
      <c r="R349" s="1204"/>
      <c r="T349" s="1745"/>
      <c r="U349" s="990"/>
      <c r="V349" s="990"/>
    </row>
    <row r="350" s="989" customFormat="1" ht="13.2" hidden="1" spans="2:22">
      <c r="B350" s="990"/>
      <c r="D350" s="1104"/>
      <c r="I350" s="990"/>
      <c r="O350" s="1204"/>
      <c r="P350" s="1204"/>
      <c r="Q350" s="1204"/>
      <c r="R350" s="1204"/>
      <c r="S350" s="1745"/>
      <c r="T350" s="1745"/>
      <c r="U350" s="990"/>
      <c r="V350" s="990"/>
    </row>
    <row r="351" s="989" customFormat="1" ht="13.2" hidden="1" spans="2:22">
      <c r="B351" s="990"/>
      <c r="C351" s="990"/>
      <c r="D351" s="1104"/>
      <c r="I351" s="990"/>
      <c r="J351" s="1104"/>
      <c r="K351" s="1104"/>
      <c r="L351" s="1104"/>
      <c r="M351" s="1104"/>
      <c r="N351" s="1104"/>
      <c r="O351" s="1205"/>
      <c r="P351" s="1205"/>
      <c r="Q351" s="1457"/>
      <c r="R351" s="1457"/>
      <c r="S351" s="1745"/>
      <c r="T351" s="1745"/>
      <c r="U351" s="990"/>
      <c r="V351" s="990"/>
    </row>
    <row r="352" s="989" customFormat="1" ht="13.2" hidden="1" spans="2:22">
      <c r="B352" s="990"/>
      <c r="C352" s="990"/>
      <c r="D352" s="1104"/>
      <c r="I352" s="990"/>
      <c r="J352" s="1104"/>
      <c r="K352" s="1104"/>
      <c r="L352" s="1104"/>
      <c r="M352" s="1104"/>
      <c r="N352" s="1104"/>
      <c r="O352" s="1205"/>
      <c r="P352" s="1205"/>
      <c r="Q352" s="1457"/>
      <c r="R352" s="1457"/>
      <c r="S352" s="1745"/>
      <c r="T352" s="1745"/>
      <c r="U352" s="990"/>
      <c r="V352" s="990"/>
    </row>
    <row r="353" s="989" customFormat="1" ht="13.2" hidden="1" spans="2:22">
      <c r="B353" s="990"/>
      <c r="C353" s="990"/>
      <c r="D353" s="1104"/>
      <c r="I353" s="990"/>
      <c r="J353" s="1104"/>
      <c r="K353" s="1104"/>
      <c r="L353" s="1104"/>
      <c r="M353" s="1104"/>
      <c r="N353" s="1104"/>
      <c r="O353" s="1205"/>
      <c r="P353" s="1205"/>
      <c r="Q353" s="1457"/>
      <c r="R353" s="1457"/>
      <c r="S353" s="1745"/>
      <c r="T353" s="1745"/>
      <c r="U353" s="990"/>
      <c r="V353" s="990"/>
    </row>
    <row r="354" s="989" customFormat="1" ht="13.2" hidden="1" spans="2:22">
      <c r="B354" s="990"/>
      <c r="C354" s="990"/>
      <c r="D354" s="1104"/>
      <c r="I354" s="990"/>
      <c r="J354" s="1104"/>
      <c r="K354" s="1104"/>
      <c r="L354" s="1104"/>
      <c r="M354" s="1104"/>
      <c r="N354" s="1104"/>
      <c r="O354" s="1205"/>
      <c r="P354" s="1205"/>
      <c r="Q354" s="1457"/>
      <c r="R354" s="1457"/>
      <c r="S354" s="1745"/>
      <c r="T354" s="1745"/>
      <c r="U354" s="990"/>
      <c r="V354" s="990"/>
    </row>
    <row r="355" s="989" customFormat="1" ht="13.2" spans="2:22">
      <c r="B355" s="990"/>
      <c r="C355" s="990"/>
      <c r="D355" s="1104"/>
      <c r="I355" s="990"/>
      <c r="J355" s="1104"/>
      <c r="K355" s="1104"/>
      <c r="L355" s="1104"/>
      <c r="M355" s="1104"/>
      <c r="N355" s="1104"/>
      <c r="O355" s="1205"/>
      <c r="P355" s="1205"/>
      <c r="Q355" s="1457"/>
      <c r="R355" s="1457"/>
      <c r="S355" s="1745"/>
      <c r="T355" s="1745"/>
      <c r="U355" s="990"/>
      <c r="V355" s="990"/>
    </row>
    <row r="356" s="989" customFormat="1" ht="13.2" spans="2:22">
      <c r="B356" s="990"/>
      <c r="C356" s="990"/>
      <c r="D356" s="1104"/>
      <c r="I356" s="990"/>
      <c r="J356" s="1104"/>
      <c r="K356" s="1104"/>
      <c r="L356" s="1104"/>
      <c r="M356" s="1104"/>
      <c r="N356" s="1104"/>
      <c r="O356" s="1205"/>
      <c r="P356" s="1205"/>
      <c r="Q356" s="1457"/>
      <c r="R356" s="1457"/>
      <c r="S356" s="1745"/>
      <c r="T356" s="1745"/>
      <c r="U356" s="990"/>
      <c r="V356" s="990"/>
    </row>
    <row r="357" s="989" customFormat="1" ht="13.2" spans="2:22">
      <c r="B357" s="990"/>
      <c r="C357" s="990"/>
      <c r="D357" s="1104"/>
      <c r="I357" s="990"/>
      <c r="J357" s="1104"/>
      <c r="K357" s="1104"/>
      <c r="L357" s="1104"/>
      <c r="M357" s="1104"/>
      <c r="N357" s="1104"/>
      <c r="O357" s="1205"/>
      <c r="P357" s="1205"/>
      <c r="Q357" s="1457"/>
      <c r="R357" s="1457"/>
      <c r="S357" s="1745"/>
      <c r="T357" s="1745"/>
      <c r="U357" s="990"/>
      <c r="V357" s="990"/>
    </row>
    <row r="358" s="989" customFormat="1" ht="13.2" spans="2:22">
      <c r="B358" s="990"/>
      <c r="C358" s="990"/>
      <c r="D358" s="1104"/>
      <c r="I358" s="990"/>
      <c r="J358" s="1104"/>
      <c r="K358" s="1104"/>
      <c r="L358" s="1104"/>
      <c r="M358" s="1104"/>
      <c r="N358" s="1104"/>
      <c r="O358" s="1205"/>
      <c r="P358" s="1205"/>
      <c r="Q358" s="1457"/>
      <c r="R358" s="1457"/>
      <c r="S358" s="1745"/>
      <c r="T358" s="1745"/>
      <c r="U358" s="990"/>
      <c r="V358" s="990"/>
    </row>
    <row r="359" s="989" customFormat="1" ht="13.2" spans="2:22">
      <c r="B359" s="990"/>
      <c r="C359" s="990"/>
      <c r="D359" s="1104"/>
      <c r="I359" s="990"/>
      <c r="J359" s="1104"/>
      <c r="K359" s="1104"/>
      <c r="L359" s="1104"/>
      <c r="M359" s="1104"/>
      <c r="N359" s="1104"/>
      <c r="O359" s="1205"/>
      <c r="P359" s="1205"/>
      <c r="Q359" s="1457"/>
      <c r="R359" s="1457"/>
      <c r="S359" s="1745"/>
      <c r="T359" s="1745"/>
      <c r="U359" s="990"/>
      <c r="V359" s="990"/>
    </row>
    <row r="360" s="989" customFormat="1" ht="13.2" spans="2:22">
      <c r="B360" s="990"/>
      <c r="C360" s="990"/>
      <c r="D360" s="1104"/>
      <c r="I360" s="990"/>
      <c r="J360" s="1104"/>
      <c r="K360" s="1104"/>
      <c r="L360" s="1104"/>
      <c r="M360" s="1104"/>
      <c r="N360" s="1104"/>
      <c r="O360" s="1205"/>
      <c r="P360" s="1205"/>
      <c r="Q360" s="1457"/>
      <c r="R360" s="1457"/>
      <c r="S360" s="1745"/>
      <c r="T360" s="1745"/>
      <c r="U360" s="990"/>
      <c r="V360" s="990"/>
    </row>
    <row r="361" s="989" customFormat="1" ht="13.2" spans="2:22">
      <c r="B361" s="990"/>
      <c r="C361" s="990"/>
      <c r="D361" s="1104"/>
      <c r="I361" s="990"/>
      <c r="J361" s="1104"/>
      <c r="K361" s="1104"/>
      <c r="L361" s="1104"/>
      <c r="M361" s="1104"/>
      <c r="N361" s="1104"/>
      <c r="O361" s="1205"/>
      <c r="P361" s="1205"/>
      <c r="Q361" s="1457"/>
      <c r="R361" s="1457"/>
      <c r="S361" s="1745"/>
      <c r="T361" s="1745"/>
      <c r="U361" s="990"/>
      <c r="V361" s="990"/>
    </row>
    <row r="362" s="989" customFormat="1" ht="13.2" spans="2:22">
      <c r="B362" s="990"/>
      <c r="C362" s="990"/>
      <c r="D362" s="1104"/>
      <c r="I362" s="990"/>
      <c r="J362" s="1104"/>
      <c r="K362" s="1104"/>
      <c r="L362" s="1104"/>
      <c r="M362" s="1104"/>
      <c r="N362" s="1104"/>
      <c r="O362" s="1205"/>
      <c r="P362" s="1205"/>
      <c r="Q362" s="1457"/>
      <c r="R362" s="1457"/>
      <c r="S362" s="1745"/>
      <c r="T362" s="1745"/>
      <c r="U362" s="990"/>
      <c r="V362" s="990"/>
    </row>
    <row r="363" s="989" customFormat="1" ht="13.2" spans="2:22">
      <c r="B363" s="990"/>
      <c r="C363" s="990"/>
      <c r="D363" s="1104"/>
      <c r="I363" s="990"/>
      <c r="J363" s="1104"/>
      <c r="K363" s="1104"/>
      <c r="L363" s="1104"/>
      <c r="M363" s="1104"/>
      <c r="N363" s="1104"/>
      <c r="O363" s="1205"/>
      <c r="P363" s="1205"/>
      <c r="Q363" s="1457"/>
      <c r="R363" s="1457"/>
      <c r="S363" s="1745"/>
      <c r="T363" s="1745"/>
      <c r="U363" s="990"/>
      <c r="V363" s="990"/>
    </row>
    <row r="364" s="989" customFormat="1" ht="13.2" spans="2:22">
      <c r="B364" s="990"/>
      <c r="C364" s="990"/>
      <c r="D364" s="1104"/>
      <c r="I364" s="990"/>
      <c r="J364" s="1104"/>
      <c r="K364" s="1104"/>
      <c r="L364" s="1104"/>
      <c r="M364" s="1104"/>
      <c r="N364" s="1104"/>
      <c r="O364" s="1205"/>
      <c r="P364" s="1205"/>
      <c r="Q364" s="1457"/>
      <c r="R364" s="1457"/>
      <c r="S364" s="1745"/>
      <c r="T364" s="1745"/>
      <c r="U364" s="990"/>
      <c r="V364" s="990"/>
    </row>
    <row r="365" s="989" customFormat="1" ht="13.2" spans="2:22">
      <c r="B365" s="990"/>
      <c r="C365" s="990"/>
      <c r="D365" s="1104"/>
      <c r="I365" s="990"/>
      <c r="J365" s="1104"/>
      <c r="K365" s="1104"/>
      <c r="L365" s="1104"/>
      <c r="M365" s="1104"/>
      <c r="N365" s="1104"/>
      <c r="O365" s="1205"/>
      <c r="P365" s="1205"/>
      <c r="Q365" s="1457"/>
      <c r="R365" s="1457"/>
      <c r="S365" s="1745"/>
      <c r="T365" s="1745"/>
      <c r="U365" s="990"/>
      <c r="V365" s="990"/>
    </row>
    <row r="366" s="989" customFormat="1" ht="13.2" spans="2:22">
      <c r="B366" s="990"/>
      <c r="C366" s="990"/>
      <c r="D366" s="1104"/>
      <c r="I366" s="990"/>
      <c r="J366" s="1104"/>
      <c r="K366" s="1104"/>
      <c r="L366" s="1104"/>
      <c r="M366" s="1104"/>
      <c r="N366" s="1104"/>
      <c r="O366" s="1205"/>
      <c r="P366" s="1205"/>
      <c r="Q366" s="1457"/>
      <c r="R366" s="1457"/>
      <c r="S366" s="1745"/>
      <c r="T366" s="1745"/>
      <c r="U366" s="990"/>
      <c r="V366" s="990"/>
    </row>
    <row r="367" s="989" customFormat="1" ht="13.2" spans="2:22">
      <c r="B367" s="990"/>
      <c r="C367" s="990"/>
      <c r="D367" s="1104"/>
      <c r="I367" s="990"/>
      <c r="J367" s="1104"/>
      <c r="K367" s="1104"/>
      <c r="L367" s="1104"/>
      <c r="M367" s="1104"/>
      <c r="N367" s="1104"/>
      <c r="O367" s="1205"/>
      <c r="P367" s="1205"/>
      <c r="Q367" s="1457"/>
      <c r="R367" s="1457"/>
      <c r="S367" s="1745"/>
      <c r="T367" s="1745"/>
      <c r="U367" s="990"/>
      <c r="V367" s="990"/>
    </row>
    <row r="368" s="989" customFormat="1" ht="13.2" spans="2:22">
      <c r="B368" s="990"/>
      <c r="C368" s="990"/>
      <c r="D368" s="1104"/>
      <c r="I368" s="990"/>
      <c r="J368" s="1104"/>
      <c r="K368" s="1104"/>
      <c r="L368" s="1104"/>
      <c r="M368" s="1104"/>
      <c r="N368" s="1104"/>
      <c r="O368" s="1205"/>
      <c r="P368" s="1205"/>
      <c r="Q368" s="1457"/>
      <c r="R368" s="1457"/>
      <c r="S368" s="1745"/>
      <c r="T368" s="1745"/>
      <c r="U368" s="990"/>
      <c r="V368" s="990"/>
    </row>
    <row r="369" s="989" customFormat="1" ht="13.2" spans="2:22">
      <c r="B369" s="990"/>
      <c r="C369" s="990"/>
      <c r="D369" s="1104"/>
      <c r="I369" s="990"/>
      <c r="J369" s="1104"/>
      <c r="K369" s="1104"/>
      <c r="L369" s="1104"/>
      <c r="M369" s="1104"/>
      <c r="N369" s="1104"/>
      <c r="O369" s="1205"/>
      <c r="P369" s="1205"/>
      <c r="Q369" s="1457"/>
      <c r="R369" s="1457"/>
      <c r="S369" s="1745"/>
      <c r="T369" s="1745"/>
      <c r="U369" s="990"/>
      <c r="V369" s="990"/>
    </row>
    <row r="370" s="989" customFormat="1" ht="13.2" spans="2:22">
      <c r="B370" s="990"/>
      <c r="C370" s="990"/>
      <c r="D370" s="1104"/>
      <c r="I370" s="990"/>
      <c r="J370" s="1104"/>
      <c r="K370" s="1104"/>
      <c r="L370" s="1104"/>
      <c r="M370" s="1104"/>
      <c r="N370" s="1104"/>
      <c r="O370" s="1205"/>
      <c r="P370" s="1205"/>
      <c r="Q370" s="1457"/>
      <c r="R370" s="1457"/>
      <c r="S370" s="1745"/>
      <c r="T370" s="1745"/>
      <c r="U370" s="990"/>
      <c r="V370" s="990"/>
    </row>
    <row r="371" s="989" customFormat="1" ht="13.2" spans="2:22">
      <c r="B371" s="990"/>
      <c r="C371" s="990"/>
      <c r="D371" s="1104"/>
      <c r="I371" s="990"/>
      <c r="J371" s="1104"/>
      <c r="K371" s="1104"/>
      <c r="L371" s="1104"/>
      <c r="M371" s="1104"/>
      <c r="N371" s="1104"/>
      <c r="O371" s="1205"/>
      <c r="P371" s="1205"/>
      <c r="Q371" s="1457"/>
      <c r="R371" s="1457"/>
      <c r="S371" s="1745"/>
      <c r="T371" s="1745"/>
      <c r="U371" s="990"/>
      <c r="V371" s="990"/>
    </row>
    <row r="372" s="989" customFormat="1" ht="13.2" spans="2:22">
      <c r="B372" s="990"/>
      <c r="C372" s="990"/>
      <c r="D372" s="1104"/>
      <c r="I372" s="990"/>
      <c r="J372" s="1104"/>
      <c r="K372" s="1104"/>
      <c r="L372" s="1104"/>
      <c r="M372" s="1104"/>
      <c r="N372" s="1104"/>
      <c r="O372" s="1205"/>
      <c r="P372" s="1205"/>
      <c r="Q372" s="1457"/>
      <c r="R372" s="1457"/>
      <c r="S372" s="1745"/>
      <c r="T372" s="1745"/>
      <c r="U372" s="990"/>
      <c r="V372" s="990"/>
    </row>
    <row r="373" s="989" customFormat="1" ht="13.2" spans="2:22">
      <c r="B373" s="990"/>
      <c r="C373" s="990"/>
      <c r="D373" s="1104"/>
      <c r="I373" s="990"/>
      <c r="J373" s="1104"/>
      <c r="K373" s="1104"/>
      <c r="L373" s="1104"/>
      <c r="M373" s="1104"/>
      <c r="N373" s="1104"/>
      <c r="O373" s="1205"/>
      <c r="P373" s="1205"/>
      <c r="Q373" s="1457"/>
      <c r="R373" s="1457"/>
      <c r="S373" s="1745"/>
      <c r="T373" s="1745"/>
      <c r="U373" s="990"/>
      <c r="V373" s="990"/>
    </row>
    <row r="374" s="989" customFormat="1" ht="13.2" spans="2:22">
      <c r="B374" s="990"/>
      <c r="C374" s="990"/>
      <c r="D374" s="1104"/>
      <c r="I374" s="990"/>
      <c r="J374" s="1104"/>
      <c r="K374" s="1104"/>
      <c r="L374" s="1104"/>
      <c r="M374" s="1104"/>
      <c r="N374" s="1104"/>
      <c r="O374" s="1205"/>
      <c r="P374" s="1205"/>
      <c r="Q374" s="1457"/>
      <c r="R374" s="1457"/>
      <c r="S374" s="1745"/>
      <c r="T374" s="1745"/>
      <c r="U374" s="990"/>
      <c r="V374" s="990"/>
    </row>
    <row r="375" s="989" customFormat="1" ht="13.2" spans="2:22">
      <c r="B375" s="990"/>
      <c r="C375" s="990"/>
      <c r="D375" s="1104"/>
      <c r="I375" s="990"/>
      <c r="J375" s="1104"/>
      <c r="K375" s="1104"/>
      <c r="L375" s="1104"/>
      <c r="M375" s="1104"/>
      <c r="N375" s="1104"/>
      <c r="O375" s="1205"/>
      <c r="P375" s="1205"/>
      <c r="Q375" s="1457"/>
      <c r="R375" s="1457"/>
      <c r="S375" s="1745"/>
      <c r="T375" s="1745"/>
      <c r="U375" s="990"/>
      <c r="V375" s="990"/>
    </row>
    <row r="376" s="989" customFormat="1" ht="13.2" spans="2:22">
      <c r="B376" s="990"/>
      <c r="C376" s="990"/>
      <c r="D376" s="1104"/>
      <c r="I376" s="990"/>
      <c r="J376" s="1104"/>
      <c r="K376" s="1104"/>
      <c r="L376" s="1104"/>
      <c r="M376" s="1104"/>
      <c r="N376" s="1104"/>
      <c r="O376" s="1205"/>
      <c r="P376" s="1205"/>
      <c r="Q376" s="1457"/>
      <c r="R376" s="1457"/>
      <c r="S376" s="1745"/>
      <c r="T376" s="1745"/>
      <c r="U376" s="990"/>
      <c r="V376" s="990"/>
    </row>
    <row r="377" s="989" customFormat="1" ht="13.2" spans="2:22">
      <c r="B377" s="990"/>
      <c r="C377" s="990"/>
      <c r="D377" s="1104"/>
      <c r="I377" s="990"/>
      <c r="J377" s="1104"/>
      <c r="K377" s="1104"/>
      <c r="L377" s="1104"/>
      <c r="M377" s="1104"/>
      <c r="N377" s="1104"/>
      <c r="O377" s="1205"/>
      <c r="P377" s="1205"/>
      <c r="Q377" s="1457"/>
      <c r="R377" s="1457"/>
      <c r="S377" s="1745"/>
      <c r="T377" s="1745"/>
      <c r="U377" s="990"/>
      <c r="V377" s="990"/>
    </row>
    <row r="378" s="989" customFormat="1" ht="13.2" spans="2:22">
      <c r="B378" s="990"/>
      <c r="C378" s="990"/>
      <c r="D378" s="1104"/>
      <c r="I378" s="990"/>
      <c r="J378" s="1104"/>
      <c r="K378" s="1104"/>
      <c r="L378" s="1104"/>
      <c r="M378" s="1104"/>
      <c r="N378" s="1104"/>
      <c r="O378" s="1205"/>
      <c r="P378" s="1205"/>
      <c r="Q378" s="1457"/>
      <c r="R378" s="1457"/>
      <c r="S378" s="1745"/>
      <c r="T378" s="1745"/>
      <c r="U378" s="990"/>
      <c r="V378" s="990"/>
    </row>
    <row r="379" s="989" customFormat="1" ht="13.2" spans="2:22">
      <c r="B379" s="990"/>
      <c r="C379" s="990"/>
      <c r="D379" s="1104"/>
      <c r="I379" s="990"/>
      <c r="J379" s="1104"/>
      <c r="K379" s="1104"/>
      <c r="L379" s="1104"/>
      <c r="M379" s="1104"/>
      <c r="N379" s="1104"/>
      <c r="O379" s="1205"/>
      <c r="P379" s="1205"/>
      <c r="Q379" s="1457"/>
      <c r="R379" s="1457"/>
      <c r="S379" s="1745"/>
      <c r="T379" s="1745"/>
      <c r="U379" s="990"/>
      <c r="V379" s="990"/>
    </row>
    <row r="380" s="989" customFormat="1" ht="13.2" spans="2:22">
      <c r="B380" s="990"/>
      <c r="C380" s="990"/>
      <c r="D380" s="1104"/>
      <c r="I380" s="990"/>
      <c r="J380" s="1104"/>
      <c r="K380" s="1104"/>
      <c r="L380" s="1104"/>
      <c r="M380" s="1104"/>
      <c r="N380" s="1104"/>
      <c r="O380" s="1205"/>
      <c r="P380" s="1205"/>
      <c r="Q380" s="1457"/>
      <c r="R380" s="1457"/>
      <c r="S380" s="1745"/>
      <c r="T380" s="1745"/>
      <c r="U380" s="990"/>
      <c r="V380" s="990"/>
    </row>
    <row r="381" s="989" customFormat="1" ht="13.2" spans="2:22">
      <c r="B381" s="990"/>
      <c r="C381" s="990"/>
      <c r="D381" s="1104"/>
      <c r="I381" s="990"/>
      <c r="J381" s="1104"/>
      <c r="K381" s="1104"/>
      <c r="L381" s="1104"/>
      <c r="M381" s="1104"/>
      <c r="N381" s="1104"/>
      <c r="O381" s="1205"/>
      <c r="P381" s="1205"/>
      <c r="Q381" s="1457"/>
      <c r="R381" s="1457"/>
      <c r="S381" s="1745"/>
      <c r="T381" s="1745"/>
      <c r="U381" s="990"/>
      <c r="V381" s="990"/>
    </row>
    <row r="382" s="989" customFormat="1" ht="13.2" spans="2:22">
      <c r="B382" s="990"/>
      <c r="C382" s="990"/>
      <c r="D382" s="1104"/>
      <c r="I382" s="990"/>
      <c r="J382" s="1104"/>
      <c r="K382" s="1104"/>
      <c r="L382" s="1104"/>
      <c r="M382" s="1104"/>
      <c r="N382" s="1104"/>
      <c r="O382" s="1205"/>
      <c r="P382" s="1205"/>
      <c r="Q382" s="1457"/>
      <c r="R382" s="1457"/>
      <c r="S382" s="1745"/>
      <c r="T382" s="1745"/>
      <c r="U382" s="990"/>
      <c r="V382" s="990"/>
    </row>
    <row r="383" s="989" customFormat="1" ht="13.2" spans="2:22">
      <c r="B383" s="990"/>
      <c r="C383" s="990"/>
      <c r="D383" s="1104"/>
      <c r="I383" s="990"/>
      <c r="J383" s="1104"/>
      <c r="K383" s="1104"/>
      <c r="L383" s="1104"/>
      <c r="M383" s="1104"/>
      <c r="N383" s="1104"/>
      <c r="O383" s="1205"/>
      <c r="P383" s="1205"/>
      <c r="Q383" s="1457"/>
      <c r="R383" s="1457"/>
      <c r="S383" s="1745"/>
      <c r="T383" s="1745"/>
      <c r="U383" s="990"/>
      <c r="V383" s="990"/>
    </row>
    <row r="384" s="989" customFormat="1" ht="13.2" spans="2:22">
      <c r="B384" s="990"/>
      <c r="C384" s="990"/>
      <c r="D384" s="1104"/>
      <c r="I384" s="990"/>
      <c r="J384" s="1104"/>
      <c r="K384" s="1104"/>
      <c r="L384" s="1104"/>
      <c r="M384" s="1104"/>
      <c r="N384" s="1104"/>
      <c r="O384" s="1205"/>
      <c r="P384" s="1205"/>
      <c r="Q384" s="1457"/>
      <c r="R384" s="1457"/>
      <c r="S384" s="1745"/>
      <c r="T384" s="1745"/>
      <c r="U384" s="990"/>
      <c r="V384" s="990"/>
    </row>
    <row r="385" s="989" customFormat="1" ht="13.2" spans="2:22">
      <c r="B385" s="990"/>
      <c r="C385" s="990"/>
      <c r="D385" s="1104"/>
      <c r="I385" s="990"/>
      <c r="J385" s="1104"/>
      <c r="K385" s="1104"/>
      <c r="L385" s="1104"/>
      <c r="M385" s="1104"/>
      <c r="N385" s="1104"/>
      <c r="O385" s="1205"/>
      <c r="P385" s="1205"/>
      <c r="Q385" s="1457"/>
      <c r="R385" s="1457"/>
      <c r="S385" s="1745"/>
      <c r="T385" s="1745"/>
      <c r="U385" s="990"/>
      <c r="V385" s="990"/>
    </row>
    <row r="386" s="989" customFormat="1" ht="13.2" spans="2:22">
      <c r="B386" s="990"/>
      <c r="C386" s="990"/>
      <c r="D386" s="1104"/>
      <c r="I386" s="990"/>
      <c r="J386" s="1104"/>
      <c r="K386" s="1104"/>
      <c r="L386" s="1104"/>
      <c r="M386" s="1104"/>
      <c r="N386" s="1104"/>
      <c r="O386" s="1205"/>
      <c r="P386" s="1205"/>
      <c r="Q386" s="1457"/>
      <c r="R386" s="1457"/>
      <c r="S386" s="1745"/>
      <c r="T386" s="1745"/>
      <c r="U386" s="990"/>
      <c r="V386" s="990"/>
    </row>
    <row r="387" s="989" customFormat="1" ht="13.2" spans="2:22">
      <c r="B387" s="990"/>
      <c r="C387" s="990"/>
      <c r="D387" s="1104"/>
      <c r="I387" s="990"/>
      <c r="J387" s="1104"/>
      <c r="K387" s="1104"/>
      <c r="L387" s="1104"/>
      <c r="M387" s="1104"/>
      <c r="N387" s="1104"/>
      <c r="O387" s="1205"/>
      <c r="P387" s="1205"/>
      <c r="Q387" s="1457"/>
      <c r="R387" s="1457"/>
      <c r="S387" s="1745"/>
      <c r="T387" s="1745"/>
      <c r="U387" s="990"/>
      <c r="V387" s="990"/>
    </row>
    <row r="602" spans="2:7">
      <c r="B602" s="1503" t="s">
        <v>313</v>
      </c>
      <c r="F602" s="989" t="s">
        <v>1241</v>
      </c>
      <c r="G602" s="989" t="s">
        <v>1242</v>
      </c>
    </row>
    <row r="820" spans="16:16">
      <c r="P820" s="1205" t="e">
        <f>36.32/D820/1.13</f>
        <v>#DIV/0!</v>
      </c>
    </row>
  </sheetData>
  <mergeCells count="42">
    <mergeCell ref="A15:A194"/>
    <mergeCell ref="B1:B6"/>
    <mergeCell ref="B9:B11"/>
    <mergeCell ref="B12:B14"/>
    <mergeCell ref="B15:B22"/>
    <mergeCell ref="B23:B31"/>
    <mergeCell ref="B32:B33"/>
    <mergeCell ref="B34:B41"/>
    <mergeCell ref="B42:B44"/>
    <mergeCell ref="B45:B53"/>
    <mergeCell ref="B54:B56"/>
    <mergeCell ref="B57:B70"/>
    <mergeCell ref="B71:B72"/>
    <mergeCell ref="B73:B79"/>
    <mergeCell ref="B80:B82"/>
    <mergeCell ref="B83:B96"/>
    <mergeCell ref="B97:B99"/>
    <mergeCell ref="B100:B110"/>
    <mergeCell ref="B111:B121"/>
    <mergeCell ref="B122:B124"/>
    <mergeCell ref="B125:B127"/>
    <mergeCell ref="B128:B137"/>
    <mergeCell ref="B138:B140"/>
    <mergeCell ref="B141:B151"/>
    <mergeCell ref="B152:B159"/>
    <mergeCell ref="B160:B170"/>
    <mergeCell ref="B171:B172"/>
    <mergeCell ref="B173:B176"/>
    <mergeCell ref="B177:B181"/>
    <mergeCell ref="B182:B191"/>
    <mergeCell ref="B192:B196"/>
    <mergeCell ref="B197:B200"/>
    <mergeCell ref="B201:B204"/>
    <mergeCell ref="B205:B209"/>
    <mergeCell ref="B210:B215"/>
    <mergeCell ref="B216:B218"/>
    <mergeCell ref="B219:B222"/>
    <mergeCell ref="B223:B226"/>
    <mergeCell ref="B227:B232"/>
    <mergeCell ref="V1:V6"/>
    <mergeCell ref="X2:X5"/>
    <mergeCell ref="AC4:AC5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rgb="FFFF0000"/>
  </sheetPr>
  <dimension ref="A1:AD835"/>
  <sheetViews>
    <sheetView zoomScale="85" zoomScaleNormal="85" workbookViewId="0">
      <pane ySplit="7" topLeftCell="A8" activePane="bottomLeft" state="frozen"/>
      <selection/>
      <selection pane="bottomLeft" activeCell="G521" sqref="G521"/>
    </sheetView>
  </sheetViews>
  <sheetFormatPr defaultColWidth="9" defaultRowHeight="14.4"/>
  <cols>
    <col min="1" max="1" width="5.49074074074074" style="989" customWidth="1"/>
    <col min="2" max="2" width="27.7037037037037" style="1203" customWidth="1"/>
    <col min="3" max="3" width="17.8981481481481" style="990" hidden="1" customWidth="1"/>
    <col min="4" max="5" width="5.5462962962963" style="990" hidden="1" customWidth="1"/>
    <col min="6" max="6" width="18.0185185185185" style="990" customWidth="1"/>
    <col min="7" max="7" width="23.2962962962963" style="989" hidden="1" customWidth="1"/>
    <col min="8" max="8" width="25.9351851851852" style="989" hidden="1" customWidth="1"/>
    <col min="9" max="9" width="16.0277777777778" style="1104" hidden="1" customWidth="1"/>
    <col min="10" max="10" width="12.5" style="989" hidden="1" customWidth="1"/>
    <col min="11" max="11" width="13.5" style="989" customWidth="1"/>
    <col min="12" max="12" width="9.90740740740741" style="1204" customWidth="1"/>
    <col min="13" max="13" width="9.58333333333333" style="989" hidden="1" customWidth="1"/>
    <col min="14" max="14" width="16.3611111111111" style="805" hidden="1" customWidth="1"/>
    <col min="15" max="15" width="9.61111111111111" style="1204" customWidth="1"/>
    <col min="16" max="16" width="13.3888888888889" style="1206" customWidth="1"/>
    <col min="17" max="17" width="10.3333333333333" style="1207" customWidth="1"/>
    <col min="18" max="18" width="12.6944444444444" style="1695" customWidth="1"/>
    <col min="19" max="19" width="12.9259259259259" style="1696" customWidth="1"/>
    <col min="20" max="20" width="25.8333333333333" style="990" customWidth="1"/>
    <col min="21" max="21" width="105.416666666667" style="989" customWidth="1"/>
    <col min="25" max="25" width="11.5555555555556" customWidth="1"/>
    <col min="26" max="26" width="3.24074074074074" customWidth="1"/>
    <col min="29" max="29" width="13.7592592592593" customWidth="1"/>
    <col min="30" max="30" width="11.4166666666667" customWidth="1"/>
  </cols>
  <sheetData>
    <row r="1" s="188" customFormat="1" ht="13.2" spans="1:30">
      <c r="B1" s="1697" t="s">
        <v>3487</v>
      </c>
      <c r="C1" s="162"/>
      <c r="D1" s="11"/>
      <c r="E1" s="11"/>
      <c r="F1" s="11"/>
      <c r="G1" s="127"/>
      <c r="H1" s="1698"/>
      <c r="I1" s="1261"/>
      <c r="J1" s="1464"/>
      <c r="K1" s="1464"/>
      <c r="L1" s="1699"/>
      <c r="M1" s="1699"/>
      <c r="N1" s="1699"/>
      <c r="O1" s="1699"/>
      <c r="P1" s="1466"/>
      <c r="Q1" s="1466"/>
      <c r="R1" s="1700"/>
      <c r="S1" s="1700"/>
      <c r="T1" s="1462"/>
      <c r="U1" s="1701" t="s">
        <v>3488</v>
      </c>
      <c r="V1" s="1702" t="s">
        <v>1428</v>
      </c>
      <c r="W1" s="1703" t="s">
        <v>1466</v>
      </c>
      <c r="X1" s="1703" t="s">
        <v>1467</v>
      </c>
      <c r="Y1" s="1704" t="s">
        <v>1468</v>
      </c>
      <c r="Z1" s="840"/>
      <c r="AA1" s="1702" t="s">
        <v>1428</v>
      </c>
      <c r="AB1" s="1703" t="s">
        <v>1466</v>
      </c>
      <c r="AC1" s="1703" t="s">
        <v>1467</v>
      </c>
      <c r="AD1" s="1704" t="s">
        <v>1468</v>
      </c>
    </row>
    <row r="2" s="188" customFormat="1" ht="13.2" spans="1:30">
      <c r="B2" s="1697"/>
      <c r="C2" s="162"/>
      <c r="D2" s="11"/>
      <c r="E2" s="160"/>
      <c r="F2" s="11"/>
      <c r="G2" s="127"/>
      <c r="H2" s="1698"/>
      <c r="I2" s="1261"/>
      <c r="J2" s="1464"/>
      <c r="K2" s="1464"/>
      <c r="L2" s="1699"/>
      <c r="M2" s="1699"/>
      <c r="N2" s="1699"/>
      <c r="O2" s="1699"/>
      <c r="P2" s="1466"/>
      <c r="Q2" s="1466"/>
      <c r="R2" s="1700"/>
      <c r="S2" s="1700"/>
      <c r="T2" s="1462"/>
      <c r="U2" s="1701"/>
      <c r="V2" s="1705" t="s">
        <v>1428</v>
      </c>
      <c r="W2" s="1706" t="s">
        <v>1469</v>
      </c>
      <c r="X2" s="1707" t="s">
        <v>1470</v>
      </c>
      <c r="Y2" s="1708">
        <v>0.64</v>
      </c>
      <c r="Z2" s="1709"/>
      <c r="AA2" s="1705" t="s">
        <v>1428</v>
      </c>
      <c r="AB2" s="1703" t="s">
        <v>1471</v>
      </c>
      <c r="AC2" s="1703">
        <v>9672</v>
      </c>
      <c r="AD2" s="1708">
        <v>1.05</v>
      </c>
    </row>
    <row r="3" s="188" customFormat="1" ht="13.2" spans="1:30">
      <c r="B3" s="1697"/>
      <c r="C3" s="162"/>
      <c r="D3" s="11"/>
      <c r="E3" s="160"/>
      <c r="F3" s="11"/>
      <c r="G3" s="127"/>
      <c r="H3" s="1698"/>
      <c r="I3" s="1261"/>
      <c r="J3" s="1464"/>
      <c r="K3" s="1464"/>
      <c r="L3" s="1699"/>
      <c r="M3" s="1699"/>
      <c r="N3" s="1699"/>
      <c r="O3" s="1699"/>
      <c r="P3" s="1466"/>
      <c r="Q3" s="1466"/>
      <c r="R3" s="1700"/>
      <c r="S3" s="1700"/>
      <c r="T3" s="1462"/>
      <c r="U3" s="1701"/>
      <c r="V3" s="1705" t="s">
        <v>1428</v>
      </c>
      <c r="W3" s="1706"/>
      <c r="X3" s="1707" t="s">
        <v>1474</v>
      </c>
      <c r="Y3" s="1708">
        <v>1.7769148</v>
      </c>
      <c r="Z3" s="1709"/>
      <c r="AA3" s="1702" t="s">
        <v>1428</v>
      </c>
      <c r="AB3" s="1703" t="s">
        <v>1479</v>
      </c>
      <c r="AC3" s="1703" t="s">
        <v>1480</v>
      </c>
      <c r="AD3" s="1708">
        <v>0.23</v>
      </c>
    </row>
    <row r="4" s="188" customFormat="1" ht="13.2" spans="1:30">
      <c r="B4" s="1697"/>
      <c r="C4" s="162"/>
      <c r="D4" s="11"/>
      <c r="E4" s="160"/>
      <c r="F4" s="11"/>
      <c r="G4" s="127"/>
      <c r="H4" s="1698"/>
      <c r="I4" s="1261"/>
      <c r="J4" s="1464"/>
      <c r="K4" s="1464"/>
      <c r="L4" s="1699"/>
      <c r="M4" s="1699"/>
      <c r="N4" s="1699"/>
      <c r="O4" s="1699"/>
      <c r="P4" s="1466"/>
      <c r="Q4" s="1466"/>
      <c r="R4" s="1700"/>
      <c r="S4" s="1700"/>
      <c r="T4" s="1462"/>
      <c r="U4" s="1701"/>
      <c r="V4" s="1705" t="s">
        <v>1428</v>
      </c>
      <c r="W4" s="1706"/>
      <c r="X4" s="1707" t="s">
        <v>1478</v>
      </c>
      <c r="Y4" s="1708">
        <v>1.8079</v>
      </c>
      <c r="Z4" s="1709"/>
      <c r="AA4" s="1702" t="s">
        <v>1428</v>
      </c>
      <c r="AB4" s="1710" t="s">
        <v>3489</v>
      </c>
      <c r="AC4" s="1709">
        <v>8040</v>
      </c>
      <c r="AD4" s="1708">
        <v>2.948</v>
      </c>
    </row>
    <row r="5" s="188" customFormat="1" ht="13.2" spans="1:30">
      <c r="B5" s="1697"/>
      <c r="C5" s="162"/>
      <c r="D5" s="11"/>
      <c r="E5" s="160"/>
      <c r="F5" s="11"/>
      <c r="G5" s="127"/>
      <c r="H5" s="1698"/>
      <c r="I5" s="1261"/>
      <c r="J5" s="1464"/>
      <c r="K5" s="1464"/>
      <c r="L5" s="1699"/>
      <c r="M5" s="1699"/>
      <c r="N5" s="1699"/>
      <c r="O5" s="1699"/>
      <c r="P5" s="1466"/>
      <c r="Q5" s="1466"/>
      <c r="R5" s="1700"/>
      <c r="S5" s="1700"/>
      <c r="T5" s="1462"/>
      <c r="U5" s="1701"/>
      <c r="V5" s="1705" t="s">
        <v>1428</v>
      </c>
      <c r="W5" s="1706"/>
      <c r="X5" s="1707" t="s">
        <v>1485</v>
      </c>
      <c r="Y5" s="1708">
        <v>0.52</v>
      </c>
      <c r="Z5" s="1709"/>
      <c r="AA5" s="1702" t="s">
        <v>1428</v>
      </c>
      <c r="AB5" s="1711"/>
      <c r="AC5" s="1709">
        <v>9040</v>
      </c>
      <c r="AD5" s="1708">
        <v>3.054</v>
      </c>
    </row>
    <row r="6" s="188" customFormat="1" ht="13.2" spans="1:30">
      <c r="B6" s="1697"/>
      <c r="C6" s="162"/>
      <c r="D6" s="11"/>
      <c r="E6" s="160"/>
      <c r="F6" s="11"/>
      <c r="G6" s="127"/>
      <c r="H6" s="1698"/>
      <c r="I6" s="1261"/>
      <c r="J6" s="1464"/>
      <c r="K6" s="1464"/>
      <c r="L6" s="1699"/>
      <c r="M6" s="1699"/>
      <c r="N6" s="1699"/>
      <c r="O6" s="1699"/>
      <c r="P6" s="1466"/>
      <c r="Q6" s="1466"/>
      <c r="R6" s="1700"/>
      <c r="S6" s="1700"/>
      <c r="T6" s="1462"/>
      <c r="U6" s="1701"/>
      <c r="V6" s="131"/>
      <c r="W6" s="131"/>
      <c r="X6" s="131"/>
      <c r="Y6" s="131"/>
      <c r="Z6" s="1709"/>
      <c r="AA6" s="1702" t="s">
        <v>1428</v>
      </c>
      <c r="AB6" s="1621"/>
      <c r="AC6" s="1709"/>
      <c r="AD6" s="1708"/>
    </row>
    <row r="7" s="189" customFormat="1" ht="12" customHeight="1" spans="1:30">
      <c r="A7" s="1712" t="s">
        <v>4540</v>
      </c>
      <c r="B7" s="752" t="s">
        <v>1</v>
      </c>
      <c r="C7" s="753" t="s">
        <v>2</v>
      </c>
      <c r="D7" s="773" t="s">
        <v>3</v>
      </c>
      <c r="E7" s="165" t="s">
        <v>1404</v>
      </c>
      <c r="F7" s="753" t="s">
        <v>4</v>
      </c>
      <c r="G7" s="18" t="s">
        <v>5</v>
      </c>
      <c r="H7" s="18" t="s">
        <v>1933</v>
      </c>
      <c r="I7" s="1713" t="s">
        <v>1934</v>
      </c>
      <c r="J7" s="141" t="s">
        <v>4541</v>
      </c>
      <c r="K7" s="18" t="s">
        <v>1497</v>
      </c>
      <c r="L7" s="18" t="s">
        <v>1498</v>
      </c>
      <c r="M7" s="18" t="s">
        <v>4103</v>
      </c>
      <c r="N7" s="18" t="s">
        <v>4104</v>
      </c>
      <c r="O7" s="18" t="s">
        <v>1497</v>
      </c>
      <c r="P7" s="18" t="s">
        <v>6</v>
      </c>
      <c r="Q7" s="18" t="s">
        <v>7</v>
      </c>
      <c r="R7" s="18" t="s">
        <v>8</v>
      </c>
      <c r="S7" s="18" t="s">
        <v>9</v>
      </c>
      <c r="T7" s="18" t="s">
        <v>4105</v>
      </c>
      <c r="U7" s="141" t="s">
        <v>10</v>
      </c>
      <c r="V7" s="16"/>
      <c r="W7" s="16"/>
      <c r="X7" s="16"/>
      <c r="Y7" s="16"/>
      <c r="Z7" s="1709"/>
      <c r="AA7" s="1702" t="s">
        <v>1428</v>
      </c>
      <c r="AB7" s="1621"/>
      <c r="AC7" s="1709"/>
      <c r="AD7" s="1708"/>
    </row>
    <row r="8" s="1692" customFormat="1" ht="12" hidden="1" customHeight="1" spans="1:30">
      <c r="A8" s="1686"/>
      <c r="B8" s="1660" t="s">
        <v>4542</v>
      </c>
      <c r="C8" s="1714">
        <v>20250902</v>
      </c>
      <c r="D8" s="1715">
        <v>7.13</v>
      </c>
      <c r="E8" s="1715">
        <v>7.13</v>
      </c>
      <c r="F8" s="1714" t="s">
        <v>3372</v>
      </c>
      <c r="G8" s="1716" t="s">
        <v>2431</v>
      </c>
      <c r="H8" s="1717" t="s">
        <v>4543</v>
      </c>
      <c r="I8" s="1663" t="s">
        <v>3348</v>
      </c>
      <c r="J8" s="1663" t="s">
        <v>1913</v>
      </c>
      <c r="K8" s="1718" t="s">
        <v>2247</v>
      </c>
      <c r="L8" s="1718" t="s">
        <v>2247</v>
      </c>
      <c r="M8" s="1718" t="s">
        <v>2247</v>
      </c>
      <c r="N8" s="1718" t="s">
        <v>2247</v>
      </c>
      <c r="O8" s="1718" t="s">
        <v>2247</v>
      </c>
      <c r="P8" s="965">
        <f>33.47/E8/1.13</f>
        <v>4.15420322952997</v>
      </c>
      <c r="Q8" s="965">
        <f>0.23+1.05+13.58165475074</f>
        <v>14.86165475074</v>
      </c>
      <c r="R8" s="964">
        <v>3</v>
      </c>
      <c r="S8" s="965">
        <f>SUBTOTAL(9,J8:R8)</f>
        <v>22.01585798027</v>
      </c>
      <c r="T8" s="959" t="s">
        <v>3374</v>
      </c>
      <c r="U8" s="1591" t="s">
        <v>4544</v>
      </c>
      <c r="V8" s="1686"/>
    </row>
    <row r="9" s="931" customFormat="1" ht="17" customHeight="1" spans="1:30">
      <c r="A9" s="1156"/>
      <c r="B9" s="1719" t="s">
        <v>4542</v>
      </c>
      <c r="C9" s="1188">
        <v>46157</v>
      </c>
      <c r="D9" s="21">
        <v>6.7986</v>
      </c>
      <c r="E9" s="21"/>
      <c r="F9" s="687" t="s">
        <v>3525</v>
      </c>
      <c r="G9" s="20" t="s">
        <v>2311</v>
      </c>
      <c r="H9" s="729"/>
      <c r="I9" s="21"/>
      <c r="J9" s="21"/>
      <c r="K9" s="153" t="s">
        <v>1428</v>
      </c>
      <c r="L9" s="1019" t="s">
        <v>712</v>
      </c>
      <c r="M9" s="153"/>
      <c r="N9" s="153"/>
      <c r="O9" s="153" t="s">
        <v>1428</v>
      </c>
      <c r="P9" s="727">
        <f>33.47/D9/1.13*1.5</f>
        <v>6.5350518547676</v>
      </c>
      <c r="Q9" s="727">
        <v>15.6</v>
      </c>
      <c r="R9" s="154">
        <v>3</v>
      </c>
      <c r="S9" s="727">
        <f>SUBTOTAL(109,P9:R9)</f>
        <v>25.1350518547676</v>
      </c>
      <c r="T9" s="1720"/>
      <c r="U9" s="1721"/>
    </row>
    <row r="10" s="931" customFormat="1" ht="17" customHeight="1" spans="1:30">
      <c r="A10" s="1156"/>
      <c r="B10" s="23" t="s">
        <v>4545</v>
      </c>
      <c r="C10" s="23">
        <v>20240117</v>
      </c>
      <c r="D10" s="21">
        <v>7.18</v>
      </c>
      <c r="E10" s="21" t="s">
        <v>1407</v>
      </c>
      <c r="F10" s="23" t="s">
        <v>4546</v>
      </c>
      <c r="G10" s="20" t="s">
        <v>1565</v>
      </c>
      <c r="H10" s="729" t="s">
        <v>4547</v>
      </c>
      <c r="I10" s="21" t="s">
        <v>3541</v>
      </c>
      <c r="J10" s="21" t="s">
        <v>1428</v>
      </c>
      <c r="K10" s="21" t="s">
        <v>1428</v>
      </c>
      <c r="L10" s="138" t="s">
        <v>3513</v>
      </c>
      <c r="M10" s="21" t="s">
        <v>1428</v>
      </c>
      <c r="N10" s="21" t="s">
        <v>1428</v>
      </c>
      <c r="O10" s="21" t="s">
        <v>1428</v>
      </c>
      <c r="P10" s="22">
        <v>2.60914840108173</v>
      </c>
      <c r="Q10" s="22">
        <v>20.9304503792173</v>
      </c>
      <c r="R10" s="37">
        <v>3</v>
      </c>
      <c r="S10" s="22">
        <f t="shared" ref="S10:S26" si="0">SUM(L10:R10)</f>
        <v>26.539598780299</v>
      </c>
      <c r="T10" s="1720" t="s">
        <v>1526</v>
      </c>
      <c r="U10" s="1721" t="s">
        <v>4548</v>
      </c>
    </row>
    <row r="11" s="931" customFormat="1" ht="17" customHeight="1" spans="1:30">
      <c r="A11" s="1156"/>
      <c r="B11" s="23"/>
      <c r="C11" s="23">
        <v>20240117</v>
      </c>
      <c r="D11" s="21">
        <v>7.18</v>
      </c>
      <c r="E11" s="21" t="s">
        <v>1408</v>
      </c>
      <c r="F11" s="23" t="s">
        <v>4549</v>
      </c>
      <c r="G11" s="20" t="s">
        <v>1617</v>
      </c>
      <c r="H11" s="729" t="s">
        <v>4547</v>
      </c>
      <c r="I11" s="21" t="s">
        <v>3542</v>
      </c>
      <c r="J11" s="21" t="s">
        <v>1428</v>
      </c>
      <c r="K11" s="21" t="s">
        <v>1428</v>
      </c>
      <c r="L11" s="138" t="s">
        <v>3513</v>
      </c>
      <c r="M11" s="21" t="s">
        <v>1428</v>
      </c>
      <c r="N11" s="21" t="s">
        <v>1428</v>
      </c>
      <c r="O11" s="21" t="s">
        <v>1428</v>
      </c>
      <c r="P11" s="22">
        <v>2.60914840108173</v>
      </c>
      <c r="Q11" s="22">
        <v>19.3682600811064</v>
      </c>
      <c r="R11" s="37">
        <v>3</v>
      </c>
      <c r="S11" s="22">
        <f t="shared" si="0"/>
        <v>24.9774084821881</v>
      </c>
      <c r="T11" s="1722" t="s">
        <v>1526</v>
      </c>
      <c r="U11" s="759" t="s">
        <v>4550</v>
      </c>
    </row>
    <row r="12" s="931" customFormat="1" ht="17" customHeight="1" spans="1:30">
      <c r="A12" s="1156"/>
      <c r="B12" s="23"/>
      <c r="C12" s="23">
        <v>20240729</v>
      </c>
      <c r="D12" s="21">
        <v>7.26</v>
      </c>
      <c r="E12" s="21">
        <v>7.24</v>
      </c>
      <c r="F12" s="23" t="s">
        <v>4551</v>
      </c>
      <c r="G12" s="20" t="s">
        <v>1629</v>
      </c>
      <c r="H12" s="729" t="s">
        <v>3540</v>
      </c>
      <c r="I12" s="21" t="s">
        <v>3542</v>
      </c>
      <c r="J12" s="21" t="s">
        <v>1428</v>
      </c>
      <c r="K12" s="21" t="s">
        <v>1428</v>
      </c>
      <c r="L12" s="138" t="s">
        <v>3513</v>
      </c>
      <c r="M12" s="21" t="s">
        <v>1428</v>
      </c>
      <c r="N12" s="21" t="s">
        <v>1428</v>
      </c>
      <c r="O12" s="21" t="s">
        <v>1428</v>
      </c>
      <c r="P12" s="22">
        <v>2.60555453276068</v>
      </c>
      <c r="Q12" s="22">
        <v>16.1724016256706</v>
      </c>
      <c r="R12" s="37">
        <v>3</v>
      </c>
      <c r="S12" s="22">
        <f t="shared" si="0"/>
        <v>21.7779561584313</v>
      </c>
      <c r="T12" s="1722" t="s">
        <v>1526</v>
      </c>
      <c r="U12" s="167" t="s">
        <v>4552</v>
      </c>
    </row>
    <row r="13" s="931" customFormat="1" ht="17" customHeight="1" spans="1:30">
      <c r="A13" s="1156"/>
      <c r="B13" s="23"/>
      <c r="C13" s="23">
        <v>20240729</v>
      </c>
      <c r="D13" s="21">
        <v>7.26</v>
      </c>
      <c r="E13" s="21">
        <v>7.24</v>
      </c>
      <c r="F13" s="23" t="s">
        <v>4553</v>
      </c>
      <c r="G13" s="20" t="s">
        <v>1645</v>
      </c>
      <c r="H13" s="729" t="s">
        <v>3540</v>
      </c>
      <c r="I13" s="21" t="s">
        <v>3541</v>
      </c>
      <c r="J13" s="21" t="s">
        <v>1428</v>
      </c>
      <c r="K13" s="21" t="s">
        <v>1428</v>
      </c>
      <c r="L13" s="138" t="s">
        <v>3513</v>
      </c>
      <c r="M13" s="21" t="s">
        <v>1428</v>
      </c>
      <c r="N13" s="21" t="s">
        <v>1428</v>
      </c>
      <c r="O13" s="21" t="s">
        <v>1428</v>
      </c>
      <c r="P13" s="22">
        <v>2.60555453276068</v>
      </c>
      <c r="Q13" s="22">
        <v>17.7868617310925</v>
      </c>
      <c r="R13" s="37">
        <v>3</v>
      </c>
      <c r="S13" s="22">
        <f t="shared" si="0"/>
        <v>23.3924162638532</v>
      </c>
      <c r="T13" s="1722" t="s">
        <v>1526</v>
      </c>
      <c r="U13" s="167" t="s">
        <v>4552</v>
      </c>
    </row>
    <row r="14" s="931" customFormat="1" ht="17" customHeight="1" spans="1:30">
      <c r="A14" s="1156"/>
      <c r="B14" s="23"/>
      <c r="C14" s="23">
        <v>20240729</v>
      </c>
      <c r="D14" s="21">
        <v>7.26</v>
      </c>
      <c r="E14" s="21">
        <v>7.24</v>
      </c>
      <c r="F14" s="23" t="s">
        <v>4554</v>
      </c>
      <c r="G14" s="20" t="s">
        <v>1604</v>
      </c>
      <c r="H14" s="729" t="s">
        <v>3540</v>
      </c>
      <c r="I14" s="21" t="s">
        <v>3542</v>
      </c>
      <c r="J14" s="21" t="s">
        <v>1428</v>
      </c>
      <c r="K14" s="21" t="s">
        <v>1428</v>
      </c>
      <c r="L14" s="138" t="s">
        <v>3513</v>
      </c>
      <c r="M14" s="21" t="s">
        <v>1428</v>
      </c>
      <c r="N14" s="21" t="s">
        <v>1428</v>
      </c>
      <c r="O14" s="21" t="s">
        <v>1428</v>
      </c>
      <c r="P14" s="22">
        <v>2.60555453276068</v>
      </c>
      <c r="Q14" s="22">
        <v>16.3268010933308</v>
      </c>
      <c r="R14" s="37">
        <v>3</v>
      </c>
      <c r="S14" s="22">
        <f t="shared" si="0"/>
        <v>21.9323556260915</v>
      </c>
      <c r="T14" s="1722" t="s">
        <v>1526</v>
      </c>
      <c r="U14" s="167" t="s">
        <v>4552</v>
      </c>
    </row>
    <row r="15" s="931" customFormat="1" ht="17" customHeight="1" spans="1:30">
      <c r="A15" s="1156"/>
      <c r="B15" s="23"/>
      <c r="C15" s="23"/>
      <c r="D15" s="21"/>
      <c r="E15" s="21"/>
      <c r="F15" s="23"/>
      <c r="G15" s="139" t="s">
        <v>4555</v>
      </c>
      <c r="H15" s="729" t="s">
        <v>4556</v>
      </c>
      <c r="I15" s="21" t="s">
        <v>3541</v>
      </c>
      <c r="J15" s="21" t="s">
        <v>1428</v>
      </c>
      <c r="K15" s="21" t="s">
        <v>1428</v>
      </c>
      <c r="L15" s="138" t="s">
        <v>3513</v>
      </c>
      <c r="M15" s="21" t="s">
        <v>1428</v>
      </c>
      <c r="N15" s="21" t="s">
        <v>1428</v>
      </c>
      <c r="O15" s="21" t="s">
        <v>1428</v>
      </c>
      <c r="P15" s="22">
        <v>2.60914840108173</v>
      </c>
      <c r="Q15" s="22">
        <v>12.6343557264201</v>
      </c>
      <c r="R15" s="37">
        <v>3</v>
      </c>
      <c r="S15" s="22">
        <f t="shared" si="0"/>
        <v>18.2435041275018</v>
      </c>
      <c r="T15" s="1722" t="s">
        <v>1526</v>
      </c>
      <c r="U15" s="167" t="s">
        <v>4557</v>
      </c>
    </row>
    <row r="16" s="42" customFormat="1" ht="15" spans="1:30">
      <c r="A16" s="1156"/>
      <c r="B16" s="23" t="s">
        <v>4558</v>
      </c>
      <c r="C16" s="23">
        <v>20241114</v>
      </c>
      <c r="D16" s="21">
        <v>7.25</v>
      </c>
      <c r="E16" s="21">
        <v>7.24</v>
      </c>
      <c r="F16" s="20" t="s">
        <v>4559</v>
      </c>
      <c r="G16" s="20" t="s">
        <v>1565</v>
      </c>
      <c r="H16" s="729" t="s">
        <v>4560</v>
      </c>
      <c r="I16" s="21" t="s">
        <v>4561</v>
      </c>
      <c r="J16" s="21" t="s">
        <v>1913</v>
      </c>
      <c r="K16" s="21" t="s">
        <v>1428</v>
      </c>
      <c r="L16" s="138" t="s">
        <v>3513</v>
      </c>
      <c r="M16" s="21" t="s">
        <v>1428</v>
      </c>
      <c r="N16" s="21" t="s">
        <v>1428</v>
      </c>
      <c r="O16" s="21" t="s">
        <v>1428</v>
      </c>
      <c r="P16" s="22">
        <v>2.25063664200856</v>
      </c>
      <c r="Q16" s="22">
        <v>10.0424242347946</v>
      </c>
      <c r="R16" s="37">
        <v>3</v>
      </c>
      <c r="S16" s="22">
        <f t="shared" si="0"/>
        <v>15.2930608768032</v>
      </c>
      <c r="T16" s="38" t="s">
        <v>1526</v>
      </c>
      <c r="U16" s="759" t="s">
        <v>4562</v>
      </c>
    </row>
    <row r="17" s="42" customFormat="1" ht="15" spans="1:21">
      <c r="A17" s="1156"/>
      <c r="B17" s="23"/>
      <c r="C17" s="23">
        <v>20241114</v>
      </c>
      <c r="D17" s="21">
        <v>7.25</v>
      </c>
      <c r="E17" s="21">
        <v>7.24</v>
      </c>
      <c r="F17" s="23" t="s">
        <v>4563</v>
      </c>
      <c r="G17" s="20" t="s">
        <v>1617</v>
      </c>
      <c r="H17" s="729" t="s">
        <v>4560</v>
      </c>
      <c r="I17" s="21" t="s">
        <v>4564</v>
      </c>
      <c r="J17" s="21" t="s">
        <v>1913</v>
      </c>
      <c r="K17" s="21" t="s">
        <v>1428</v>
      </c>
      <c r="L17" s="138" t="s">
        <v>3513</v>
      </c>
      <c r="M17" s="21" t="s">
        <v>1428</v>
      </c>
      <c r="N17" s="21" t="s">
        <v>1428</v>
      </c>
      <c r="O17" s="21" t="s">
        <v>1428</v>
      </c>
      <c r="P17" s="22">
        <v>1.75437025734921</v>
      </c>
      <c r="Q17" s="22">
        <v>12.073523276133</v>
      </c>
      <c r="R17" s="37">
        <v>3</v>
      </c>
      <c r="S17" s="22">
        <f t="shared" si="0"/>
        <v>16.8278935334822</v>
      </c>
      <c r="T17" s="38" t="s">
        <v>1526</v>
      </c>
      <c r="U17" s="759" t="s">
        <v>4565</v>
      </c>
    </row>
    <row r="18" s="931" customFormat="1" ht="17" customHeight="1" spans="1:21">
      <c r="A18" s="1156"/>
      <c r="B18" s="23" t="s">
        <v>4566</v>
      </c>
      <c r="C18" s="23">
        <v>20240726</v>
      </c>
      <c r="D18" s="21">
        <v>7.27</v>
      </c>
      <c r="E18" s="21">
        <v>7.24</v>
      </c>
      <c r="F18" s="23" t="s">
        <v>4567</v>
      </c>
      <c r="G18" s="20" t="s">
        <v>1565</v>
      </c>
      <c r="H18" s="729" t="s">
        <v>3540</v>
      </c>
      <c r="I18" s="21" t="s">
        <v>4568</v>
      </c>
      <c r="J18" s="21" t="s">
        <v>4569</v>
      </c>
      <c r="K18" s="21" t="s">
        <v>1428</v>
      </c>
      <c r="L18" s="138" t="s">
        <v>3513</v>
      </c>
      <c r="M18" s="21" t="s">
        <v>712</v>
      </c>
      <c r="N18" s="913" t="s">
        <v>712</v>
      </c>
      <c r="O18" s="21" t="s">
        <v>1428</v>
      </c>
      <c r="P18" s="22">
        <v>2.78825722145805</v>
      </c>
      <c r="Q18" s="22">
        <v>12.031787500736</v>
      </c>
      <c r="R18" s="37">
        <v>4</v>
      </c>
      <c r="S18" s="22">
        <f t="shared" si="0"/>
        <v>18.820044722194</v>
      </c>
      <c r="T18" s="824" t="s">
        <v>4570</v>
      </c>
      <c r="U18" s="23" t="s">
        <v>4571</v>
      </c>
    </row>
    <row r="19" s="931" customFormat="1" ht="17" customHeight="1" spans="1:21">
      <c r="A19" s="1156"/>
      <c r="B19" s="23"/>
      <c r="C19" s="23">
        <v>20240726</v>
      </c>
      <c r="D19" s="21">
        <v>7.27</v>
      </c>
      <c r="E19" s="21">
        <v>7.24</v>
      </c>
      <c r="F19" s="23" t="s">
        <v>4572</v>
      </c>
      <c r="G19" s="20" t="s">
        <v>1617</v>
      </c>
      <c r="H19" s="729" t="s">
        <v>3540</v>
      </c>
      <c r="I19" s="21" t="s">
        <v>3855</v>
      </c>
      <c r="J19" s="21" t="s">
        <v>4573</v>
      </c>
      <c r="K19" s="21" t="s">
        <v>1428</v>
      </c>
      <c r="L19" s="138" t="s">
        <v>3513</v>
      </c>
      <c r="M19" s="21" t="s">
        <v>712</v>
      </c>
      <c r="N19" s="699" t="s">
        <v>4574</v>
      </c>
      <c r="O19" s="700" t="s">
        <v>1428</v>
      </c>
      <c r="P19" s="22">
        <v>2.78825722145805</v>
      </c>
      <c r="Q19" s="22">
        <v>12.3137057169366</v>
      </c>
      <c r="R19" s="37">
        <v>4</v>
      </c>
      <c r="S19" s="22">
        <f t="shared" si="0"/>
        <v>19.1019629383946</v>
      </c>
      <c r="T19" s="824" t="s">
        <v>4575</v>
      </c>
      <c r="U19" s="23" t="s">
        <v>4576</v>
      </c>
    </row>
    <row r="20" s="931" customFormat="1" ht="17" customHeight="1" spans="1:21">
      <c r="A20" s="1156"/>
      <c r="B20" s="23"/>
      <c r="C20" s="23">
        <v>20240726</v>
      </c>
      <c r="D20" s="21">
        <v>7.27</v>
      </c>
      <c r="E20" s="21">
        <v>7.24</v>
      </c>
      <c r="F20" s="23" t="s">
        <v>4577</v>
      </c>
      <c r="G20" s="20" t="s">
        <v>1629</v>
      </c>
      <c r="H20" s="729" t="s">
        <v>3540</v>
      </c>
      <c r="I20" s="21" t="s">
        <v>4568</v>
      </c>
      <c r="J20" s="21" t="s">
        <v>4569</v>
      </c>
      <c r="K20" s="21" t="s">
        <v>1428</v>
      </c>
      <c r="L20" s="138" t="s">
        <v>3513</v>
      </c>
      <c r="M20" s="21" t="s">
        <v>712</v>
      </c>
      <c r="N20" s="699" t="s">
        <v>4574</v>
      </c>
      <c r="O20" s="21" t="s">
        <v>1428</v>
      </c>
      <c r="P20" s="22">
        <v>2.78825722145805</v>
      </c>
      <c r="Q20" s="22">
        <v>13.4923816120937</v>
      </c>
      <c r="R20" s="37">
        <v>4</v>
      </c>
      <c r="S20" s="22">
        <f t="shared" si="0"/>
        <v>20.2806388335517</v>
      </c>
      <c r="T20" s="824" t="s">
        <v>4578</v>
      </c>
      <c r="U20" s="23" t="s">
        <v>4579</v>
      </c>
    </row>
    <row r="21" s="931" customFormat="1" ht="17" customHeight="1" spans="1:21">
      <c r="A21" s="1156"/>
      <c r="B21" s="23"/>
      <c r="C21" s="23">
        <v>20250221</v>
      </c>
      <c r="D21" s="21">
        <v>7.3</v>
      </c>
      <c r="E21" s="21">
        <v>7.24</v>
      </c>
      <c r="F21" s="23" t="s">
        <v>1002</v>
      </c>
      <c r="G21" s="20" t="s">
        <v>1003</v>
      </c>
      <c r="H21" s="729"/>
      <c r="I21" s="21"/>
      <c r="J21" s="21"/>
      <c r="K21" s="21"/>
      <c r="L21" s="21"/>
      <c r="M21" s="21"/>
      <c r="N21" s="21"/>
      <c r="O21" s="21"/>
      <c r="P21" s="22">
        <v>0.617261862461908</v>
      </c>
      <c r="Q21" s="22">
        <v>1.7842636357176</v>
      </c>
      <c r="R21" s="37">
        <v>0.2</v>
      </c>
      <c r="S21" s="22">
        <f t="shared" si="0"/>
        <v>2.60152549817951</v>
      </c>
      <c r="T21" s="729"/>
      <c r="U21" s="750" t="s">
        <v>1004</v>
      </c>
    </row>
    <row r="22" s="931" customFormat="1" ht="17" customHeight="1" spans="1:21">
      <c r="A22" s="1156"/>
      <c r="B22" s="23"/>
      <c r="C22" s="23">
        <v>20240813</v>
      </c>
      <c r="D22" s="21">
        <v>7.15</v>
      </c>
      <c r="E22" s="21">
        <v>7.24</v>
      </c>
      <c r="F22" s="23" t="s">
        <v>1005</v>
      </c>
      <c r="G22" s="20" t="s">
        <v>1006</v>
      </c>
      <c r="H22" s="729"/>
      <c r="I22" s="21"/>
      <c r="J22" s="21"/>
      <c r="K22" s="21"/>
      <c r="L22" s="21"/>
      <c r="M22" s="21"/>
      <c r="N22" s="21"/>
      <c r="O22" s="21"/>
      <c r="P22" s="22">
        <v>0.639025557646759</v>
      </c>
      <c r="Q22" s="22">
        <v>1.87611473915032</v>
      </c>
      <c r="R22" s="37">
        <v>0.4</v>
      </c>
      <c r="S22" s="22">
        <f t="shared" si="0"/>
        <v>2.91514029679708</v>
      </c>
      <c r="T22" s="729"/>
      <c r="U22" s="23"/>
    </row>
    <row r="23" s="931" customFormat="1" ht="17" customHeight="1" spans="1:21">
      <c r="A23" s="1156"/>
      <c r="B23" s="729"/>
      <c r="C23" s="729"/>
      <c r="D23" s="21"/>
      <c r="E23" s="21"/>
      <c r="F23" s="729"/>
      <c r="G23" s="729" t="s">
        <v>1565</v>
      </c>
      <c r="H23" s="729" t="s">
        <v>1933</v>
      </c>
      <c r="I23" s="21" t="s">
        <v>3566</v>
      </c>
      <c r="J23" s="689" t="s">
        <v>4580</v>
      </c>
      <c r="K23" s="689" t="s">
        <v>1720</v>
      </c>
      <c r="L23" s="138" t="s">
        <v>3513</v>
      </c>
      <c r="M23" s="689" t="s">
        <v>1428</v>
      </c>
      <c r="N23" s="913" t="s">
        <v>712</v>
      </c>
      <c r="O23" s="21">
        <v>2.3</v>
      </c>
      <c r="P23" s="22">
        <v>3.37378515886023</v>
      </c>
      <c r="Q23" s="22">
        <v>13.2285793103448</v>
      </c>
      <c r="R23" s="37">
        <v>2.88</v>
      </c>
      <c r="S23" s="22">
        <f t="shared" si="0"/>
        <v>21.782364469205</v>
      </c>
      <c r="T23" s="824" t="s">
        <v>4581</v>
      </c>
      <c r="U23" s="729" t="s">
        <v>4582</v>
      </c>
    </row>
    <row r="24" s="931" customFormat="1" ht="17" customHeight="1" spans="1:21">
      <c r="A24" s="1156"/>
      <c r="B24" s="729"/>
      <c r="C24" s="729">
        <v>20240315</v>
      </c>
      <c r="D24" s="21">
        <v>7.2</v>
      </c>
      <c r="E24" s="21">
        <v>7.24</v>
      </c>
      <c r="F24" s="729" t="s">
        <v>4583</v>
      </c>
      <c r="G24" s="729" t="s">
        <v>1617</v>
      </c>
      <c r="H24" s="729" t="s">
        <v>1933</v>
      </c>
      <c r="I24" s="21" t="s">
        <v>3566</v>
      </c>
      <c r="J24" s="689" t="s">
        <v>4011</v>
      </c>
      <c r="K24" s="689" t="s">
        <v>1720</v>
      </c>
      <c r="L24" s="138" t="s">
        <v>3513</v>
      </c>
      <c r="M24" s="689" t="s">
        <v>1428</v>
      </c>
      <c r="N24" s="913" t="s">
        <v>712</v>
      </c>
      <c r="O24" s="21">
        <v>2.3</v>
      </c>
      <c r="P24" s="22">
        <v>3.37378515886023</v>
      </c>
      <c r="Q24" s="22">
        <v>13.7654662905436</v>
      </c>
      <c r="R24" s="37">
        <v>2.88</v>
      </c>
      <c r="S24" s="22">
        <f t="shared" si="0"/>
        <v>22.3192514494038</v>
      </c>
      <c r="T24" s="824" t="s">
        <v>3872</v>
      </c>
      <c r="U24" s="729" t="s">
        <v>4584</v>
      </c>
    </row>
    <row r="25" s="931" customFormat="1" ht="17" customHeight="1" spans="1:21">
      <c r="A25" s="1156"/>
      <c r="B25" s="729"/>
      <c r="C25" s="729">
        <v>20240315</v>
      </c>
      <c r="D25" s="21">
        <v>7.2</v>
      </c>
      <c r="E25" s="21">
        <v>7.24</v>
      </c>
      <c r="F25" s="729" t="s">
        <v>4585</v>
      </c>
      <c r="G25" s="729" t="s">
        <v>1629</v>
      </c>
      <c r="H25" s="729" t="s">
        <v>1933</v>
      </c>
      <c r="I25" s="21" t="s">
        <v>3541</v>
      </c>
      <c r="J25" s="689" t="s">
        <v>4011</v>
      </c>
      <c r="K25" s="689" t="s">
        <v>1742</v>
      </c>
      <c r="L25" s="138" t="s">
        <v>3513</v>
      </c>
      <c r="M25" s="689" t="s">
        <v>1428</v>
      </c>
      <c r="N25" s="913" t="s">
        <v>712</v>
      </c>
      <c r="O25" s="21">
        <v>6</v>
      </c>
      <c r="P25" s="22">
        <v>3.37378515886023</v>
      </c>
      <c r="Q25" s="22">
        <v>12.7342977062352</v>
      </c>
      <c r="R25" s="37">
        <v>2.88</v>
      </c>
      <c r="S25" s="22">
        <f t="shared" si="0"/>
        <v>24.9880828650954</v>
      </c>
      <c r="T25" s="824" t="s">
        <v>3872</v>
      </c>
      <c r="U25" s="729" t="s">
        <v>4586</v>
      </c>
    </row>
    <row r="26" s="931" customFormat="1" ht="17" customHeight="1" spans="1:21">
      <c r="A26" s="1156"/>
      <c r="B26" s="729"/>
      <c r="C26" s="729">
        <v>20240315</v>
      </c>
      <c r="D26" s="21">
        <v>7.2</v>
      </c>
      <c r="E26" s="21">
        <v>7.24</v>
      </c>
      <c r="F26" s="729" t="s">
        <v>4587</v>
      </c>
      <c r="G26" s="729" t="s">
        <v>1645</v>
      </c>
      <c r="H26" s="729" t="s">
        <v>1933</v>
      </c>
      <c r="I26" s="21" t="s">
        <v>3542</v>
      </c>
      <c r="J26" s="689" t="s">
        <v>4580</v>
      </c>
      <c r="K26" s="689" t="s">
        <v>1635</v>
      </c>
      <c r="L26" s="138" t="s">
        <v>3513</v>
      </c>
      <c r="M26" s="689" t="s">
        <v>1428</v>
      </c>
      <c r="N26" s="913" t="s">
        <v>712</v>
      </c>
      <c r="O26" s="689">
        <v>3.3</v>
      </c>
      <c r="P26" s="22">
        <v>3.37378515886023</v>
      </c>
      <c r="Q26" s="22">
        <v>12.0467614519325</v>
      </c>
      <c r="R26" s="37">
        <v>2.88</v>
      </c>
      <c r="S26" s="22">
        <f t="shared" si="0"/>
        <v>21.6005466107927</v>
      </c>
      <c r="T26" s="824" t="s">
        <v>4581</v>
      </c>
      <c r="U26" s="729" t="s">
        <v>4588</v>
      </c>
    </row>
    <row r="27" s="931" customFormat="1" ht="17" customHeight="1" spans="1:21">
      <c r="A27" s="1156"/>
      <c r="B27" s="729"/>
      <c r="C27" s="1616">
        <v>46105</v>
      </c>
      <c r="D27" s="21">
        <v>6.91</v>
      </c>
      <c r="E27" s="21"/>
      <c r="F27" s="729"/>
      <c r="G27" s="729"/>
      <c r="H27" s="729"/>
      <c r="I27" s="21"/>
      <c r="J27" s="689"/>
      <c r="K27" s="689"/>
      <c r="L27" s="138"/>
      <c r="M27" s="689"/>
      <c r="N27" s="913"/>
      <c r="O27" s="21"/>
      <c r="P27" s="22"/>
      <c r="Q27" s="22"/>
      <c r="R27" s="37"/>
      <c r="S27" s="22"/>
      <c r="T27" s="824"/>
      <c r="U27" s="729"/>
    </row>
    <row r="28" s="931" customFormat="1" ht="17" customHeight="1" spans="1:21">
      <c r="A28" s="1156"/>
      <c r="B28" s="729"/>
      <c r="C28" s="1616">
        <v>46105</v>
      </c>
      <c r="D28" s="21">
        <v>6.91</v>
      </c>
      <c r="E28" s="21"/>
      <c r="F28" s="729"/>
      <c r="G28" s="729"/>
      <c r="H28" s="729"/>
      <c r="I28" s="21"/>
      <c r="J28" s="689"/>
      <c r="K28" s="689"/>
      <c r="L28" s="138"/>
      <c r="M28" s="689"/>
      <c r="N28" s="913"/>
      <c r="O28" s="21"/>
      <c r="P28" s="22"/>
      <c r="Q28" s="22"/>
      <c r="R28" s="37"/>
      <c r="S28" s="22"/>
      <c r="T28" s="824"/>
      <c r="U28" s="729"/>
    </row>
    <row r="29" s="931" customFormat="1" ht="17" customHeight="1" spans="1:21">
      <c r="A29" s="1156"/>
      <c r="B29" s="729"/>
      <c r="C29" s="729">
        <v>20240315</v>
      </c>
      <c r="D29" s="21">
        <v>7.2</v>
      </c>
      <c r="E29" s="21" t="s">
        <v>1411</v>
      </c>
      <c r="F29" s="729" t="s">
        <v>4589</v>
      </c>
      <c r="G29" s="729" t="s">
        <v>1604</v>
      </c>
      <c r="H29" s="729" t="s">
        <v>1933</v>
      </c>
      <c r="I29" s="21" t="s">
        <v>3553</v>
      </c>
      <c r="J29" s="689" t="s">
        <v>4580</v>
      </c>
      <c r="K29" s="689" t="s">
        <v>1720</v>
      </c>
      <c r="L29" s="138" t="s">
        <v>3513</v>
      </c>
      <c r="M29" s="689" t="s">
        <v>1428</v>
      </c>
      <c r="N29" s="913" t="s">
        <v>712</v>
      </c>
      <c r="O29" s="21">
        <v>2.3</v>
      </c>
      <c r="P29" s="22">
        <f>42.7/D29/1.13</f>
        <v>5.24827925270403</v>
      </c>
      <c r="Q29" s="22">
        <v>28.5</v>
      </c>
      <c r="R29" s="37">
        <v>3</v>
      </c>
      <c r="S29" s="22">
        <f t="shared" ref="S29:S75" si="1">SUM(L29:R29)</f>
        <v>39.048279252704</v>
      </c>
      <c r="T29" s="824" t="s">
        <v>4581</v>
      </c>
      <c r="U29" s="729" t="s">
        <v>4590</v>
      </c>
    </row>
    <row r="30" s="931" customFormat="1" ht="17" customHeight="1" spans="1:21">
      <c r="A30" s="1156"/>
      <c r="B30" s="729"/>
      <c r="C30" s="729">
        <v>20240315</v>
      </c>
      <c r="D30" s="21">
        <v>7.2</v>
      </c>
      <c r="E30" s="21">
        <v>7.24</v>
      </c>
      <c r="F30" s="729" t="s">
        <v>4591</v>
      </c>
      <c r="G30" s="729" t="s">
        <v>1571</v>
      </c>
      <c r="H30" s="729" t="s">
        <v>1933</v>
      </c>
      <c r="I30" s="21" t="s">
        <v>3644</v>
      </c>
      <c r="J30" s="689" t="s">
        <v>4592</v>
      </c>
      <c r="K30" s="689" t="s">
        <v>1720</v>
      </c>
      <c r="L30" s="138" t="s">
        <v>3513</v>
      </c>
      <c r="M30" s="689" t="s">
        <v>1428</v>
      </c>
      <c r="N30" s="913" t="s">
        <v>712</v>
      </c>
      <c r="O30" s="21">
        <v>2.3</v>
      </c>
      <c r="P30" s="22">
        <v>3.37378515886023</v>
      </c>
      <c r="Q30" s="22">
        <v>12.2015236697847</v>
      </c>
      <c r="R30" s="37">
        <v>3</v>
      </c>
      <c r="S30" s="22">
        <f t="shared" si="1"/>
        <v>20.8753088286449</v>
      </c>
      <c r="T30" s="824" t="s">
        <v>4593</v>
      </c>
      <c r="U30" s="729" t="s">
        <v>4594</v>
      </c>
    </row>
    <row r="31" s="931" customFormat="1" ht="17" customHeight="1" spans="1:21">
      <c r="A31" s="1156"/>
      <c r="B31" s="729"/>
      <c r="C31" s="729">
        <v>20240315</v>
      </c>
      <c r="D31" s="21">
        <v>7.2</v>
      </c>
      <c r="E31" s="21">
        <v>7.24</v>
      </c>
      <c r="F31" s="729" t="s">
        <v>4595</v>
      </c>
      <c r="G31" s="729" t="s">
        <v>1685</v>
      </c>
      <c r="H31" s="729" t="s">
        <v>1933</v>
      </c>
      <c r="I31" s="21" t="s">
        <v>3549</v>
      </c>
      <c r="J31" s="689" t="s">
        <v>4592</v>
      </c>
      <c r="K31" s="689" t="s">
        <v>1742</v>
      </c>
      <c r="L31" s="138" t="s">
        <v>3513</v>
      </c>
      <c r="M31" s="689" t="s">
        <v>1428</v>
      </c>
      <c r="N31" s="913" t="s">
        <v>712</v>
      </c>
      <c r="O31" s="21">
        <v>6</v>
      </c>
      <c r="P31" s="22">
        <v>3.37378515886023</v>
      </c>
      <c r="Q31" s="22">
        <v>12.3640541873419</v>
      </c>
      <c r="R31" s="37">
        <v>3</v>
      </c>
      <c r="S31" s="22">
        <f t="shared" si="1"/>
        <v>24.7378393462021</v>
      </c>
      <c r="T31" s="824" t="s">
        <v>4596</v>
      </c>
      <c r="U31" s="729" t="s">
        <v>4590</v>
      </c>
    </row>
    <row r="32" s="931" customFormat="1" ht="17" customHeight="1" spans="1:21">
      <c r="A32" s="1156"/>
      <c r="B32" s="729"/>
      <c r="C32" s="729">
        <v>20240827</v>
      </c>
      <c r="D32" s="21">
        <v>7.15</v>
      </c>
      <c r="E32" s="21">
        <v>7.24</v>
      </c>
      <c r="F32" s="729" t="s">
        <v>4597</v>
      </c>
      <c r="G32" s="729" t="s">
        <v>1672</v>
      </c>
      <c r="H32" s="729" t="s">
        <v>3976</v>
      </c>
      <c r="I32" s="21" t="s">
        <v>3541</v>
      </c>
      <c r="J32" s="689" t="s">
        <v>4580</v>
      </c>
      <c r="K32" s="689" t="s">
        <v>1633</v>
      </c>
      <c r="L32" s="138" t="s">
        <v>3513</v>
      </c>
      <c r="M32" s="689" t="s">
        <v>1428</v>
      </c>
      <c r="N32" s="913" t="s">
        <v>712</v>
      </c>
      <c r="O32" s="22">
        <v>1.63790153033785</v>
      </c>
      <c r="P32" s="22">
        <v>3.37378515886023</v>
      </c>
      <c r="Q32" s="22">
        <v>10.5338142848197</v>
      </c>
      <c r="R32" s="37">
        <v>3</v>
      </c>
      <c r="S32" s="22">
        <f t="shared" si="1"/>
        <v>18.5455009740178</v>
      </c>
      <c r="T32" s="824" t="s">
        <v>4581</v>
      </c>
      <c r="U32" s="729" t="s">
        <v>4598</v>
      </c>
    </row>
    <row r="33" s="931" customFormat="1" ht="17" customHeight="1" spans="1:22">
      <c r="A33" s="1156"/>
      <c r="B33" s="729"/>
      <c r="C33" s="729">
        <v>20240827</v>
      </c>
      <c r="D33" s="21">
        <v>7.15</v>
      </c>
      <c r="E33" s="21">
        <v>7.24</v>
      </c>
      <c r="F33" s="729" t="s">
        <v>4599</v>
      </c>
      <c r="G33" s="729" t="s">
        <v>1998</v>
      </c>
      <c r="H33" s="729" t="s">
        <v>3976</v>
      </c>
      <c r="I33" s="21" t="s">
        <v>3542</v>
      </c>
      <c r="J33" s="689" t="s">
        <v>4592</v>
      </c>
      <c r="K33" s="689" t="s">
        <v>1635</v>
      </c>
      <c r="L33" s="138" t="s">
        <v>3513</v>
      </c>
      <c r="M33" s="689" t="s">
        <v>1428</v>
      </c>
      <c r="N33" s="913" t="s">
        <v>712</v>
      </c>
      <c r="O33" s="689">
        <v>3.3</v>
      </c>
      <c r="P33" s="22">
        <v>3.37378515886023</v>
      </c>
      <c r="Q33" s="22">
        <v>10.4385981996601</v>
      </c>
      <c r="R33" s="37">
        <v>3</v>
      </c>
      <c r="S33" s="22">
        <f t="shared" si="1"/>
        <v>20.1123833585203</v>
      </c>
      <c r="T33" s="824" t="s">
        <v>4600</v>
      </c>
      <c r="U33" s="729" t="s">
        <v>4601</v>
      </c>
    </row>
    <row r="34" s="931" customFormat="1" ht="17" customHeight="1" spans="1:22">
      <c r="A34" s="1156"/>
      <c r="B34" s="729"/>
      <c r="C34" s="729">
        <v>20240827</v>
      </c>
      <c r="D34" s="21">
        <v>7.15</v>
      </c>
      <c r="E34" s="21">
        <v>7.24</v>
      </c>
      <c r="F34" s="729" t="s">
        <v>4602</v>
      </c>
      <c r="G34" s="729" t="s">
        <v>1581</v>
      </c>
      <c r="H34" s="729" t="s">
        <v>3976</v>
      </c>
      <c r="I34" s="21" t="s">
        <v>3553</v>
      </c>
      <c r="J34" s="689" t="s">
        <v>3624</v>
      </c>
      <c r="K34" s="689" t="s">
        <v>1742</v>
      </c>
      <c r="L34" s="138" t="s">
        <v>3513</v>
      </c>
      <c r="M34" s="689" t="s">
        <v>1428</v>
      </c>
      <c r="N34" s="689" t="s">
        <v>1428</v>
      </c>
      <c r="O34" s="689">
        <v>6</v>
      </c>
      <c r="P34" s="22">
        <v>3.37378515886023</v>
      </c>
      <c r="Q34" s="22">
        <v>10.7090591089177</v>
      </c>
      <c r="R34" s="37">
        <v>3</v>
      </c>
      <c r="S34" s="22">
        <f t="shared" si="1"/>
        <v>23.0828442677779</v>
      </c>
      <c r="T34" s="729" t="s">
        <v>3719</v>
      </c>
      <c r="U34" s="729" t="s">
        <v>4603</v>
      </c>
    </row>
    <row r="35" s="931" customFormat="1" ht="17" customHeight="1" spans="1:22">
      <c r="A35" s="1156"/>
      <c r="B35" s="729"/>
      <c r="C35" s="729">
        <v>20240827</v>
      </c>
      <c r="D35" s="21">
        <v>7.15</v>
      </c>
      <c r="E35" s="21">
        <v>7.24</v>
      </c>
      <c r="F35" s="729" t="s">
        <v>4604</v>
      </c>
      <c r="G35" s="729" t="s">
        <v>2427</v>
      </c>
      <c r="H35" s="729" t="s">
        <v>3976</v>
      </c>
      <c r="I35" s="21" t="s">
        <v>3566</v>
      </c>
      <c r="J35" s="689" t="s">
        <v>4580</v>
      </c>
      <c r="K35" s="689" t="s">
        <v>1720</v>
      </c>
      <c r="L35" s="138" t="s">
        <v>3513</v>
      </c>
      <c r="M35" s="689" t="s">
        <v>1428</v>
      </c>
      <c r="N35" s="913" t="s">
        <v>712</v>
      </c>
      <c r="O35" s="21">
        <v>2.3</v>
      </c>
      <c r="P35" s="22">
        <v>3.37378515886023</v>
      </c>
      <c r="Q35" s="22">
        <v>11.1518996411606</v>
      </c>
      <c r="R35" s="37">
        <v>3</v>
      </c>
      <c r="S35" s="22">
        <f t="shared" si="1"/>
        <v>19.8256848000208</v>
      </c>
      <c r="T35" s="824" t="s">
        <v>4581</v>
      </c>
      <c r="U35" s="729" t="s">
        <v>4598</v>
      </c>
    </row>
    <row r="36" s="931" customFormat="1" ht="17" customHeight="1" spans="1:22">
      <c r="A36" s="1156"/>
      <c r="B36" s="729"/>
      <c r="C36" s="729">
        <v>20240827</v>
      </c>
      <c r="D36" s="21">
        <v>7.15</v>
      </c>
      <c r="E36" s="21">
        <v>7.24</v>
      </c>
      <c r="F36" s="729" t="s">
        <v>4605</v>
      </c>
      <c r="G36" s="729" t="s">
        <v>2449</v>
      </c>
      <c r="H36" s="729" t="s">
        <v>3976</v>
      </c>
      <c r="I36" s="21" t="s">
        <v>3566</v>
      </c>
      <c r="J36" s="689" t="s">
        <v>3624</v>
      </c>
      <c r="K36" s="689" t="s">
        <v>1720</v>
      </c>
      <c r="L36" s="138" t="s">
        <v>3513</v>
      </c>
      <c r="M36" s="689" t="s">
        <v>1428</v>
      </c>
      <c r="N36" s="689" t="s">
        <v>1428</v>
      </c>
      <c r="O36" s="21">
        <v>2.3</v>
      </c>
      <c r="P36" s="22">
        <v>3.37378515886023</v>
      </c>
      <c r="Q36" s="22">
        <v>11.3050441937294</v>
      </c>
      <c r="R36" s="37">
        <v>3</v>
      </c>
      <c r="S36" s="22">
        <f t="shared" si="1"/>
        <v>19.9788293525896</v>
      </c>
      <c r="T36" s="729" t="s">
        <v>3719</v>
      </c>
      <c r="U36" s="729" t="s">
        <v>4601</v>
      </c>
    </row>
    <row r="37" s="931" customFormat="1" ht="17" customHeight="1" spans="1:22">
      <c r="A37" s="1156"/>
      <c r="B37" s="729"/>
      <c r="C37" s="729">
        <v>20240827</v>
      </c>
      <c r="D37" s="21">
        <v>7.15</v>
      </c>
      <c r="E37" s="21">
        <v>7.24</v>
      </c>
      <c r="F37" s="729" t="s">
        <v>4606</v>
      </c>
      <c r="G37" s="729" t="s">
        <v>2546</v>
      </c>
      <c r="H37" s="729" t="s">
        <v>3754</v>
      </c>
      <c r="I37" s="21" t="s">
        <v>3541</v>
      </c>
      <c r="J37" s="689" t="s">
        <v>4580</v>
      </c>
      <c r="K37" s="689" t="s">
        <v>1633</v>
      </c>
      <c r="L37" s="138" t="s">
        <v>3513</v>
      </c>
      <c r="M37" s="689" t="s">
        <v>1428</v>
      </c>
      <c r="N37" s="913" t="s">
        <v>712</v>
      </c>
      <c r="O37" s="22">
        <v>1.63790153033785</v>
      </c>
      <c r="P37" s="22">
        <v>3.37378515886023</v>
      </c>
      <c r="Q37" s="22">
        <v>16</v>
      </c>
      <c r="R37" s="37">
        <v>3</v>
      </c>
      <c r="S37" s="22">
        <f t="shared" si="1"/>
        <v>24.0116866891981</v>
      </c>
      <c r="T37" s="729" t="s">
        <v>3719</v>
      </c>
      <c r="U37" s="729" t="s">
        <v>4601</v>
      </c>
      <c r="V37" s="1723" t="s">
        <v>1413</v>
      </c>
    </row>
    <row r="38" s="931" customFormat="1" ht="17" customHeight="1" spans="1:22">
      <c r="A38" s="1156"/>
      <c r="B38" s="729" t="s">
        <v>4607</v>
      </c>
      <c r="C38" s="729"/>
      <c r="D38" s="729"/>
      <c r="E38" s="729"/>
      <c r="F38" s="729"/>
      <c r="G38" s="729" t="s">
        <v>1617</v>
      </c>
      <c r="H38" s="729" t="s">
        <v>3540</v>
      </c>
      <c r="I38" s="21" t="s">
        <v>3855</v>
      </c>
      <c r="J38" s="689" t="s">
        <v>1428</v>
      </c>
      <c r="K38" s="689" t="s">
        <v>1428</v>
      </c>
      <c r="L38" s="138" t="s">
        <v>3513</v>
      </c>
      <c r="M38" s="689" t="s">
        <v>1428</v>
      </c>
      <c r="N38" s="689" t="s">
        <v>1428</v>
      </c>
      <c r="O38" s="689" t="s">
        <v>1428</v>
      </c>
      <c r="P38" s="22">
        <v>2.97385764627687</v>
      </c>
      <c r="Q38" s="22">
        <v>13.7882164607639</v>
      </c>
      <c r="R38" s="37">
        <v>3</v>
      </c>
      <c r="S38" s="22">
        <f t="shared" si="1"/>
        <v>19.7620741070408</v>
      </c>
      <c r="T38" s="824" t="s">
        <v>1526</v>
      </c>
      <c r="U38" s="729"/>
    </row>
    <row r="39" s="931" customFormat="1" ht="17" customHeight="1" spans="1:22">
      <c r="A39" s="1156"/>
      <c r="B39" s="729"/>
      <c r="C39" s="729"/>
      <c r="D39" s="729"/>
      <c r="E39" s="729"/>
      <c r="F39" s="729"/>
      <c r="G39" s="729" t="s">
        <v>1629</v>
      </c>
      <c r="H39" s="729" t="s">
        <v>3540</v>
      </c>
      <c r="I39" s="21" t="s">
        <v>3853</v>
      </c>
      <c r="J39" s="689" t="s">
        <v>1428</v>
      </c>
      <c r="K39" s="689" t="s">
        <v>1428</v>
      </c>
      <c r="L39" s="138" t="s">
        <v>3513</v>
      </c>
      <c r="M39" s="689" t="s">
        <v>1428</v>
      </c>
      <c r="N39" s="689" t="s">
        <v>1428</v>
      </c>
      <c r="O39" s="689" t="s">
        <v>1428</v>
      </c>
      <c r="P39" s="22">
        <v>2.97385764627687</v>
      </c>
      <c r="Q39" s="22">
        <v>14.2357768745718</v>
      </c>
      <c r="R39" s="37">
        <v>3</v>
      </c>
      <c r="S39" s="22">
        <f t="shared" si="1"/>
        <v>20.2096345208487</v>
      </c>
      <c r="T39" s="824" t="s">
        <v>1526</v>
      </c>
      <c r="U39" s="824" t="s">
        <v>3543</v>
      </c>
    </row>
    <row r="40" s="42" customFormat="1" ht="15" spans="1:22">
      <c r="A40" s="1156"/>
      <c r="B40" s="23" t="s">
        <v>4608</v>
      </c>
      <c r="C40" s="23"/>
      <c r="D40" s="23"/>
      <c r="E40" s="23"/>
      <c r="F40" s="23"/>
      <c r="G40" s="20" t="s">
        <v>1565</v>
      </c>
      <c r="H40" s="729" t="s">
        <v>1933</v>
      </c>
      <c r="I40" s="21" t="s">
        <v>4010</v>
      </c>
      <c r="J40" s="21" t="s">
        <v>3670</v>
      </c>
      <c r="K40" s="21" t="s">
        <v>1428</v>
      </c>
      <c r="L40" s="21" t="s">
        <v>1428</v>
      </c>
      <c r="M40" s="21" t="s">
        <v>1428</v>
      </c>
      <c r="N40" s="913" t="s">
        <v>712</v>
      </c>
      <c r="O40" s="21" t="s">
        <v>1428</v>
      </c>
      <c r="P40" s="22">
        <v>3.84153103448276</v>
      </c>
      <c r="Q40" s="22">
        <v>16.6970482758621</v>
      </c>
      <c r="R40" s="37">
        <v>3</v>
      </c>
      <c r="S40" s="22">
        <f t="shared" si="1"/>
        <v>23.5385793103449</v>
      </c>
      <c r="T40" s="166" t="s">
        <v>4609</v>
      </c>
      <c r="U40" s="167" t="s">
        <v>4610</v>
      </c>
    </row>
    <row r="41" s="42" customFormat="1" ht="15" spans="1:22">
      <c r="A41" s="1156"/>
      <c r="B41" s="23" t="s">
        <v>4611</v>
      </c>
      <c r="C41" s="23">
        <v>20250610</v>
      </c>
      <c r="D41" s="23">
        <v>7.31</v>
      </c>
      <c r="E41" s="687">
        <v>7.17</v>
      </c>
      <c r="F41" s="729" t="s">
        <v>4612</v>
      </c>
      <c r="G41" s="20" t="s">
        <v>1565</v>
      </c>
      <c r="H41" s="729" t="s">
        <v>3767</v>
      </c>
      <c r="I41" s="21" t="s">
        <v>3457</v>
      </c>
      <c r="J41" s="21" t="s">
        <v>3425</v>
      </c>
      <c r="K41" s="21" t="s">
        <v>1428</v>
      </c>
      <c r="L41" s="138" t="s">
        <v>3513</v>
      </c>
      <c r="M41" s="21" t="s">
        <v>1428</v>
      </c>
      <c r="N41" s="913" t="s">
        <v>712</v>
      </c>
      <c r="O41" s="21">
        <v>4.2</v>
      </c>
      <c r="P41" s="727">
        <f>18/E41/1.13</f>
        <v>2.22164623986374</v>
      </c>
      <c r="Q41" s="22">
        <v>11.1472044515857</v>
      </c>
      <c r="R41" s="37">
        <v>3</v>
      </c>
      <c r="S41" s="22">
        <f t="shared" si="1"/>
        <v>20.5688506914494</v>
      </c>
      <c r="T41" s="166" t="s">
        <v>3452</v>
      </c>
      <c r="U41" s="167" t="s">
        <v>4613</v>
      </c>
    </row>
    <row r="42" s="42" customFormat="1" ht="15" spans="1:22">
      <c r="A42" s="1156"/>
      <c r="B42" s="23"/>
      <c r="C42" s="23">
        <v>20250411</v>
      </c>
      <c r="D42" s="23">
        <v>7.31</v>
      </c>
      <c r="E42" s="687">
        <v>7.17</v>
      </c>
      <c r="F42" s="729" t="s">
        <v>4614</v>
      </c>
      <c r="G42" s="729" t="s">
        <v>1617</v>
      </c>
      <c r="H42" s="729" t="s">
        <v>3767</v>
      </c>
      <c r="I42" s="21" t="s">
        <v>3457</v>
      </c>
      <c r="J42" s="21" t="s">
        <v>3425</v>
      </c>
      <c r="K42" s="21" t="s">
        <v>1428</v>
      </c>
      <c r="L42" s="138" t="s">
        <v>3513</v>
      </c>
      <c r="M42" s="21" t="s">
        <v>1428</v>
      </c>
      <c r="N42" s="913" t="s">
        <v>712</v>
      </c>
      <c r="O42" s="21">
        <v>4.2</v>
      </c>
      <c r="P42" s="727">
        <f>18/E42/1.13</f>
        <v>2.22164623986374</v>
      </c>
      <c r="Q42" s="22">
        <v>11.062</v>
      </c>
      <c r="R42" s="37">
        <v>3</v>
      </c>
      <c r="S42" s="22">
        <f t="shared" si="1"/>
        <v>20.4836462398637</v>
      </c>
      <c r="T42" s="166" t="s">
        <v>3452</v>
      </c>
      <c r="U42" s="167" t="s">
        <v>4615</v>
      </c>
    </row>
    <row r="43" s="42" customFormat="1" ht="15" spans="1:22">
      <c r="A43" s="1156"/>
      <c r="B43" s="23"/>
      <c r="C43" s="23">
        <v>20250708</v>
      </c>
      <c r="D43" s="23">
        <v>7.17</v>
      </c>
      <c r="E43" s="23">
        <v>7.17</v>
      </c>
      <c r="F43" s="729" t="s">
        <v>4616</v>
      </c>
      <c r="G43" s="729" t="s">
        <v>1629</v>
      </c>
      <c r="H43" s="729" t="s">
        <v>3767</v>
      </c>
      <c r="I43" s="21" t="s">
        <v>3457</v>
      </c>
      <c r="J43" s="21" t="s">
        <v>3425</v>
      </c>
      <c r="K43" s="21"/>
      <c r="L43" s="138" t="s">
        <v>3513</v>
      </c>
      <c r="M43" s="21"/>
      <c r="N43" s="913" t="s">
        <v>712</v>
      </c>
      <c r="O43" s="21">
        <v>4.2</v>
      </c>
      <c r="P43" s="22">
        <f>18/E43/1.13</f>
        <v>2.22164623986374</v>
      </c>
      <c r="Q43" s="22">
        <v>11.3298965562769</v>
      </c>
      <c r="R43" s="37">
        <v>3</v>
      </c>
      <c r="S43" s="22">
        <f t="shared" si="1"/>
        <v>20.7515427961406</v>
      </c>
      <c r="T43" s="166" t="s">
        <v>3452</v>
      </c>
      <c r="U43" s="167" t="s">
        <v>4617</v>
      </c>
    </row>
    <row r="44" s="42" customFormat="1" ht="15" spans="1:22">
      <c r="A44" s="1156"/>
      <c r="B44" s="23"/>
      <c r="C44" s="23">
        <v>20250815</v>
      </c>
      <c r="D44" s="23"/>
      <c r="E44" s="23" t="s">
        <v>1414</v>
      </c>
      <c r="F44" s="729" t="s">
        <v>4618</v>
      </c>
      <c r="G44" s="729" t="s">
        <v>1645</v>
      </c>
      <c r="H44" s="729" t="s">
        <v>3767</v>
      </c>
      <c r="I44" s="21" t="s">
        <v>3457</v>
      </c>
      <c r="J44" s="21" t="s">
        <v>3425</v>
      </c>
      <c r="K44" s="21"/>
      <c r="L44" s="138" t="s">
        <v>3513</v>
      </c>
      <c r="M44" s="21"/>
      <c r="N44" s="913" t="s">
        <v>712</v>
      </c>
      <c r="O44" s="21">
        <v>4.2</v>
      </c>
      <c r="P44" s="22" t="e">
        <f>18/E44/1.13</f>
        <v>#VALUE!</v>
      </c>
      <c r="Q44" s="22">
        <v>12.0079436777359</v>
      </c>
      <c r="R44" s="37">
        <v>3</v>
      </c>
      <c r="S44" s="22" t="e">
        <f t="shared" si="1"/>
        <v>#VALUE!</v>
      </c>
      <c r="T44" s="166" t="s">
        <v>3452</v>
      </c>
      <c r="U44" s="167" t="s">
        <v>4619</v>
      </c>
    </row>
    <row r="45" s="42" customFormat="1" ht="15" spans="1:22">
      <c r="A45" s="1156"/>
      <c r="B45" s="23"/>
      <c r="C45" s="23">
        <v>20250623</v>
      </c>
      <c r="D45" s="23">
        <v>7.19</v>
      </c>
      <c r="E45" s="21"/>
      <c r="F45" s="729" t="s">
        <v>1440</v>
      </c>
      <c r="G45" s="729" t="s">
        <v>1012</v>
      </c>
      <c r="H45" s="729"/>
      <c r="I45" s="21"/>
      <c r="J45" s="21"/>
      <c r="K45" s="21"/>
      <c r="L45" s="138"/>
      <c r="M45" s="21"/>
      <c r="N45" s="21"/>
      <c r="O45" s="21"/>
      <c r="P45" s="22">
        <v>0.648639334375423</v>
      </c>
      <c r="Q45" s="22">
        <v>3.30304923957315</v>
      </c>
      <c r="R45" s="37">
        <v>0.2</v>
      </c>
      <c r="S45" s="22">
        <f t="shared" si="1"/>
        <v>4.15168857394857</v>
      </c>
      <c r="T45" s="166"/>
      <c r="U45" s="167"/>
    </row>
    <row r="46" s="42" customFormat="1" ht="15" spans="1:22">
      <c r="A46" s="1156"/>
      <c r="B46" s="23"/>
      <c r="C46" s="23">
        <v>20250610</v>
      </c>
      <c r="D46" s="23">
        <v>6.91</v>
      </c>
      <c r="E46" s="21" t="s">
        <v>1415</v>
      </c>
      <c r="F46" s="729" t="s">
        <v>1008</v>
      </c>
      <c r="G46" s="875" t="s">
        <v>1009</v>
      </c>
      <c r="H46" s="729"/>
      <c r="I46" s="21"/>
      <c r="J46" s="21"/>
      <c r="K46" s="21"/>
      <c r="L46" s="138"/>
      <c r="M46" s="21"/>
      <c r="N46" s="21"/>
      <c r="O46" s="21"/>
      <c r="P46" s="704">
        <v>0.637991356246141</v>
      </c>
      <c r="Q46" s="704">
        <v>3.29615382189619</v>
      </c>
      <c r="R46" s="37">
        <v>0.2</v>
      </c>
      <c r="S46" s="22">
        <f t="shared" si="1"/>
        <v>4.13414517814233</v>
      </c>
      <c r="T46" s="166"/>
      <c r="U46" s="167" t="s">
        <v>1010</v>
      </c>
    </row>
    <row r="47" s="42" customFormat="1" ht="15" spans="1:22">
      <c r="A47" s="1156"/>
      <c r="B47" s="23" t="s">
        <v>4620</v>
      </c>
      <c r="C47" s="23"/>
      <c r="D47" s="23"/>
      <c r="E47" s="23"/>
      <c r="F47" s="23"/>
      <c r="G47" s="20" t="s">
        <v>1565</v>
      </c>
      <c r="H47" s="729" t="s">
        <v>1933</v>
      </c>
      <c r="I47" s="21" t="s">
        <v>3542</v>
      </c>
      <c r="J47" s="21" t="s">
        <v>3645</v>
      </c>
      <c r="K47" s="21" t="s">
        <v>3696</v>
      </c>
      <c r="L47" s="138" t="s">
        <v>3513</v>
      </c>
      <c r="M47" s="21" t="s">
        <v>1428</v>
      </c>
      <c r="N47" s="913" t="s">
        <v>712</v>
      </c>
      <c r="O47" s="22">
        <v>3.3</v>
      </c>
      <c r="P47" s="37">
        <v>2.8</v>
      </c>
      <c r="Q47" s="22">
        <v>14.5698713198381</v>
      </c>
      <c r="R47" s="742">
        <v>2.55</v>
      </c>
      <c r="S47" s="22">
        <f t="shared" si="1"/>
        <v>23.2198713198381</v>
      </c>
      <c r="T47" s="166" t="s">
        <v>3646</v>
      </c>
      <c r="U47" s="20" t="s">
        <v>4621</v>
      </c>
    </row>
    <row r="48" s="42" customFormat="1" ht="15" spans="1:22">
      <c r="A48" s="1156"/>
      <c r="B48" s="23"/>
      <c r="C48" s="23"/>
      <c r="D48" s="23"/>
      <c r="E48" s="23"/>
      <c r="F48" s="23"/>
      <c r="G48" s="20" t="s">
        <v>1617</v>
      </c>
      <c r="H48" s="729" t="s">
        <v>1933</v>
      </c>
      <c r="I48" s="21" t="s">
        <v>3541</v>
      </c>
      <c r="J48" s="21" t="s">
        <v>3663</v>
      </c>
      <c r="K48" s="21" t="s">
        <v>3926</v>
      </c>
      <c r="L48" s="138" t="s">
        <v>3513</v>
      </c>
      <c r="M48" s="21" t="s">
        <v>1428</v>
      </c>
      <c r="N48" s="913" t="s">
        <v>712</v>
      </c>
      <c r="O48" s="22">
        <v>3.5</v>
      </c>
      <c r="P48" s="37">
        <v>2.8</v>
      </c>
      <c r="Q48" s="22">
        <v>15.6301221621363</v>
      </c>
      <c r="R48" s="742">
        <v>2.55</v>
      </c>
      <c r="S48" s="22">
        <f t="shared" si="1"/>
        <v>24.4801221621363</v>
      </c>
      <c r="T48" s="166" t="s">
        <v>3642</v>
      </c>
      <c r="U48" s="20" t="s">
        <v>4622</v>
      </c>
    </row>
    <row r="49" s="42" customFormat="1" ht="15" spans="1:21">
      <c r="A49" s="1156"/>
      <c r="B49" s="23"/>
      <c r="C49" s="23"/>
      <c r="D49" s="23"/>
      <c r="E49" s="23"/>
      <c r="F49" s="23"/>
      <c r="G49" s="20" t="s">
        <v>1629</v>
      </c>
      <c r="H49" s="729" t="s">
        <v>3540</v>
      </c>
      <c r="I49" s="21" t="s">
        <v>3553</v>
      </c>
      <c r="J49" s="21" t="s">
        <v>3624</v>
      </c>
      <c r="K49" s="21" t="s">
        <v>3696</v>
      </c>
      <c r="L49" s="138" t="s">
        <v>3513</v>
      </c>
      <c r="M49" s="21" t="s">
        <v>1428</v>
      </c>
      <c r="N49" s="21" t="s">
        <v>1428</v>
      </c>
      <c r="O49" s="22">
        <v>3.3</v>
      </c>
      <c r="P49" s="37">
        <v>2.8</v>
      </c>
      <c r="Q49" s="22">
        <v>13.1064116144249</v>
      </c>
      <c r="R49" s="742">
        <v>2.55</v>
      </c>
      <c r="S49" s="22">
        <f t="shared" si="1"/>
        <v>21.7564116144249</v>
      </c>
      <c r="T49" s="38" t="s">
        <v>3625</v>
      </c>
      <c r="U49" s="20" t="s">
        <v>4623</v>
      </c>
    </row>
    <row r="50" s="42" customFormat="1" ht="15" spans="1:21">
      <c r="A50" s="1156"/>
      <c r="B50" s="23"/>
      <c r="C50" s="23"/>
      <c r="D50" s="23"/>
      <c r="E50" s="23"/>
      <c r="F50" s="23"/>
      <c r="G50" s="20" t="s">
        <v>1645</v>
      </c>
      <c r="H50" s="729" t="s">
        <v>3540</v>
      </c>
      <c r="I50" s="21" t="s">
        <v>3542</v>
      </c>
      <c r="J50" s="21" t="s">
        <v>3645</v>
      </c>
      <c r="K50" s="21" t="s">
        <v>1720</v>
      </c>
      <c r="L50" s="138" t="s">
        <v>3513</v>
      </c>
      <c r="M50" s="21" t="s">
        <v>1428</v>
      </c>
      <c r="N50" s="913" t="s">
        <v>712</v>
      </c>
      <c r="O50" s="21">
        <v>2.3</v>
      </c>
      <c r="P50" s="37">
        <f>31.73/7.13/1.13</f>
        <v>3.93823927316958</v>
      </c>
      <c r="Q50" s="22">
        <v>10.1632622748438</v>
      </c>
      <c r="R50" s="742">
        <f>23.5/6.91</f>
        <v>3.40086830680174</v>
      </c>
      <c r="S50" s="22">
        <f t="shared" si="1"/>
        <v>19.8023698548151</v>
      </c>
      <c r="T50" s="166" t="s">
        <v>3646</v>
      </c>
      <c r="U50" s="20" t="s">
        <v>4624</v>
      </c>
    </row>
    <row r="51" s="42" customFormat="1" ht="15" spans="1:21">
      <c r="A51" s="1156"/>
      <c r="B51" s="23"/>
      <c r="C51" s="23"/>
      <c r="D51" s="23"/>
      <c r="E51" s="23"/>
      <c r="F51" s="23"/>
      <c r="G51" s="20" t="s">
        <v>1604</v>
      </c>
      <c r="H51" s="729" t="s">
        <v>1933</v>
      </c>
      <c r="I51" s="21" t="s">
        <v>3549</v>
      </c>
      <c r="J51" s="21" t="s">
        <v>3413</v>
      </c>
      <c r="K51" s="21" t="s">
        <v>1720</v>
      </c>
      <c r="L51" s="138" t="s">
        <v>3513</v>
      </c>
      <c r="M51" s="21" t="s">
        <v>1428</v>
      </c>
      <c r="N51" s="21" t="s">
        <v>1428</v>
      </c>
      <c r="O51" s="21">
        <v>2.3</v>
      </c>
      <c r="P51" s="37">
        <v>2.8</v>
      </c>
      <c r="Q51" s="22">
        <v>11.7452994825925</v>
      </c>
      <c r="R51" s="742">
        <f>23.5/6.91</f>
        <v>3.40086830680174</v>
      </c>
      <c r="S51" s="22">
        <f t="shared" si="1"/>
        <v>20.2461677893942</v>
      </c>
      <c r="T51" s="38" t="s">
        <v>3414</v>
      </c>
      <c r="U51" s="20" t="s">
        <v>4625</v>
      </c>
    </row>
    <row r="52" s="42" customFormat="1" ht="15" spans="1:21">
      <c r="A52" s="1156"/>
      <c r="B52" s="23"/>
      <c r="C52" s="23"/>
      <c r="D52" s="23"/>
      <c r="E52" s="23"/>
      <c r="F52" s="23"/>
      <c r="G52" s="20" t="s">
        <v>1571</v>
      </c>
      <c r="H52" s="729" t="s">
        <v>1933</v>
      </c>
      <c r="I52" s="21" t="s">
        <v>3542</v>
      </c>
      <c r="J52" s="21" t="s">
        <v>3624</v>
      </c>
      <c r="K52" s="21" t="s">
        <v>1720</v>
      </c>
      <c r="L52" s="138" t="s">
        <v>3513</v>
      </c>
      <c r="M52" s="21" t="s">
        <v>1428</v>
      </c>
      <c r="N52" s="21" t="s">
        <v>1428</v>
      </c>
      <c r="O52" s="21">
        <v>2.3</v>
      </c>
      <c r="P52" s="37" t="e">
        <f>31.73/D52/1.13</f>
        <v>#DIV/0!</v>
      </c>
      <c r="Q52" s="22">
        <v>11.4626783751776</v>
      </c>
      <c r="R52" s="742">
        <f>23.5/6.91</f>
        <v>3.40086830680174</v>
      </c>
      <c r="S52" s="22" t="e">
        <f t="shared" si="1"/>
        <v>#DIV/0!</v>
      </c>
      <c r="T52" s="38" t="s">
        <v>3625</v>
      </c>
      <c r="U52" s="20" t="s">
        <v>4625</v>
      </c>
    </row>
    <row r="53" s="42" customFormat="1" ht="15" spans="1:21">
      <c r="A53" s="1156"/>
      <c r="B53" s="23" t="s">
        <v>4626</v>
      </c>
      <c r="C53" s="23"/>
      <c r="D53" s="23"/>
      <c r="E53" s="23"/>
      <c r="F53" s="23"/>
      <c r="G53" s="20" t="s">
        <v>1565</v>
      </c>
      <c r="H53" s="729" t="s">
        <v>1933</v>
      </c>
      <c r="I53" s="21" t="s">
        <v>3542</v>
      </c>
      <c r="J53" s="21" t="s">
        <v>3898</v>
      </c>
      <c r="K53" s="21" t="s">
        <v>3696</v>
      </c>
      <c r="L53" s="138" t="s">
        <v>3513</v>
      </c>
      <c r="M53" s="21" t="s">
        <v>1428</v>
      </c>
      <c r="N53" s="913" t="s">
        <v>712</v>
      </c>
      <c r="O53" s="22">
        <v>3.3</v>
      </c>
      <c r="P53" s="37" t="e">
        <f>31.73/D53/1.13</f>
        <v>#DIV/0!</v>
      </c>
      <c r="Q53" s="22">
        <v>11.8167538100824</v>
      </c>
      <c r="R53" s="742">
        <f>23.5/6.91</f>
        <v>3.40086830680174</v>
      </c>
      <c r="S53" s="22" t="e">
        <f t="shared" si="1"/>
        <v>#DIV/0!</v>
      </c>
      <c r="T53" s="166" t="s">
        <v>4627</v>
      </c>
      <c r="U53" s="1124" t="s">
        <v>4628</v>
      </c>
    </row>
    <row r="54" s="42" customFormat="1" ht="15" spans="1:21">
      <c r="A54" s="1156"/>
      <c r="B54" s="23"/>
      <c r="C54" s="23"/>
      <c r="D54" s="23"/>
      <c r="E54" s="23"/>
      <c r="F54" s="23"/>
      <c r="G54" s="20" t="s">
        <v>1617</v>
      </c>
      <c r="H54" s="729" t="s">
        <v>1933</v>
      </c>
      <c r="I54" s="21" t="s">
        <v>3553</v>
      </c>
      <c r="J54" s="21" t="s">
        <v>3909</v>
      </c>
      <c r="K54" s="21" t="s">
        <v>3696</v>
      </c>
      <c r="L54" s="138" t="s">
        <v>3513</v>
      </c>
      <c r="M54" s="21" t="s">
        <v>1428</v>
      </c>
      <c r="N54" s="21" t="s">
        <v>1428</v>
      </c>
      <c r="O54" s="22">
        <v>3.3</v>
      </c>
      <c r="P54" s="37">
        <v>2.8</v>
      </c>
      <c r="Q54" s="22">
        <v>11.5394579283633</v>
      </c>
      <c r="R54" s="742">
        <v>2.55</v>
      </c>
      <c r="S54" s="22">
        <f t="shared" si="1"/>
        <v>20.1894579283633</v>
      </c>
      <c r="T54" s="38" t="s">
        <v>3977</v>
      </c>
      <c r="U54" s="1124" t="s">
        <v>4629</v>
      </c>
    </row>
    <row r="55" s="42" customFormat="1" ht="15" spans="1:21">
      <c r="A55" s="1156"/>
      <c r="B55" s="23"/>
      <c r="C55" s="23"/>
      <c r="D55" s="23"/>
      <c r="E55" s="23"/>
      <c r="F55" s="23"/>
      <c r="G55" s="20" t="s">
        <v>1629</v>
      </c>
      <c r="H55" s="729" t="s">
        <v>1933</v>
      </c>
      <c r="I55" s="21" t="s">
        <v>3549</v>
      </c>
      <c r="J55" s="21" t="s">
        <v>3432</v>
      </c>
      <c r="K55" s="21" t="s">
        <v>3696</v>
      </c>
      <c r="L55" s="138" t="s">
        <v>3513</v>
      </c>
      <c r="M55" s="21" t="s">
        <v>1428</v>
      </c>
      <c r="N55" s="21" t="s">
        <v>1428</v>
      </c>
      <c r="O55" s="22">
        <v>3.3</v>
      </c>
      <c r="P55" s="37">
        <v>2.8</v>
      </c>
      <c r="Q55" s="22">
        <v>12.5743531621074</v>
      </c>
      <c r="R55" s="742">
        <v>2.55</v>
      </c>
      <c r="S55" s="22">
        <f t="shared" si="1"/>
        <v>21.2243531621074</v>
      </c>
      <c r="T55" s="38" t="s">
        <v>3984</v>
      </c>
      <c r="U55" s="1124" t="s">
        <v>4630</v>
      </c>
    </row>
    <row r="56" s="42" customFormat="1" ht="15" spans="1:21">
      <c r="A56" s="1156"/>
      <c r="B56" s="23" t="s">
        <v>4631</v>
      </c>
      <c r="C56" s="23">
        <v>20240114</v>
      </c>
      <c r="D56" s="21">
        <v>7.12</v>
      </c>
      <c r="E56" s="21">
        <v>7.24</v>
      </c>
      <c r="F56" s="23" t="s">
        <v>4632</v>
      </c>
      <c r="G56" s="20" t="s">
        <v>1565</v>
      </c>
      <c r="H56" s="729" t="s">
        <v>1933</v>
      </c>
      <c r="I56" s="21" t="s">
        <v>3542</v>
      </c>
      <c r="J56" s="21" t="s">
        <v>1913</v>
      </c>
      <c r="K56" s="21" t="s">
        <v>1635</v>
      </c>
      <c r="L56" s="138" t="s">
        <v>3513</v>
      </c>
      <c r="M56" s="21" t="s">
        <v>1428</v>
      </c>
      <c r="N56" s="21" t="s">
        <v>1428</v>
      </c>
      <c r="O56" s="689">
        <v>3.3</v>
      </c>
      <c r="P56" s="22">
        <v>2.8994292368438</v>
      </c>
      <c r="Q56" s="22">
        <v>12.5716274322682</v>
      </c>
      <c r="R56" s="37">
        <v>2.63961485557084</v>
      </c>
      <c r="S56" s="22">
        <f t="shared" si="1"/>
        <v>21.4106715246828</v>
      </c>
      <c r="T56" s="166" t="s">
        <v>1526</v>
      </c>
      <c r="U56" s="20"/>
    </row>
    <row r="57" s="42" customFormat="1" ht="13.2" spans="1:21">
      <c r="A57" s="1156"/>
      <c r="B57" s="23"/>
      <c r="C57" s="23"/>
      <c r="D57" s="21"/>
      <c r="E57" s="21"/>
      <c r="F57" s="23" t="s">
        <v>1015</v>
      </c>
      <c r="G57" s="20" t="s">
        <v>1016</v>
      </c>
      <c r="H57" s="729"/>
      <c r="I57" s="21"/>
      <c r="J57" s="21"/>
      <c r="K57" s="21"/>
      <c r="L57" s="21"/>
      <c r="M57" s="21"/>
      <c r="N57" s="21"/>
      <c r="O57" s="22"/>
      <c r="P57" s="22">
        <v>0.31580679780424</v>
      </c>
      <c r="Q57" s="22">
        <v>1.08233372703533</v>
      </c>
      <c r="R57" s="37">
        <v>0.2</v>
      </c>
      <c r="S57" s="22">
        <f t="shared" si="1"/>
        <v>1.59814052483957</v>
      </c>
      <c r="T57" s="38"/>
      <c r="U57" s="20"/>
    </row>
    <row r="58" s="42" customFormat="1" ht="15" spans="1:21">
      <c r="A58" s="1156"/>
      <c r="B58" s="23" t="s">
        <v>4633</v>
      </c>
      <c r="C58" s="23">
        <v>20240418</v>
      </c>
      <c r="D58" s="21">
        <v>7.24</v>
      </c>
      <c r="E58" s="21">
        <v>7.24</v>
      </c>
      <c r="F58" s="23" t="s">
        <v>4634</v>
      </c>
      <c r="G58" s="20" t="s">
        <v>1565</v>
      </c>
      <c r="H58" s="729" t="s">
        <v>1933</v>
      </c>
      <c r="I58" s="21" t="s">
        <v>3542</v>
      </c>
      <c r="J58" s="21" t="s">
        <v>1913</v>
      </c>
      <c r="K58" s="21" t="s">
        <v>1428</v>
      </c>
      <c r="L58" s="138" t="s">
        <v>3513</v>
      </c>
      <c r="M58" s="21" t="s">
        <v>1428</v>
      </c>
      <c r="N58" s="21" t="s">
        <v>1428</v>
      </c>
      <c r="O58" s="22" t="s">
        <v>1428</v>
      </c>
      <c r="P58" s="22">
        <v>4.67584048879095</v>
      </c>
      <c r="Q58" s="22">
        <v>11.2425918652917</v>
      </c>
      <c r="R58" s="37">
        <v>3.05</v>
      </c>
      <c r="S58" s="22">
        <f t="shared" si="1"/>
        <v>18.9684323540827</v>
      </c>
      <c r="T58" s="166" t="s">
        <v>1526</v>
      </c>
      <c r="U58" s="1724" t="s">
        <v>4635</v>
      </c>
    </row>
    <row r="59" s="42" customFormat="1" ht="15" spans="1:21">
      <c r="A59" s="1156"/>
      <c r="B59" s="23"/>
      <c r="C59" s="23">
        <v>20240418</v>
      </c>
      <c r="D59" s="21">
        <v>7.24</v>
      </c>
      <c r="E59" s="21">
        <v>7.24</v>
      </c>
      <c r="F59" s="23" t="s">
        <v>4636</v>
      </c>
      <c r="G59" s="20" t="s">
        <v>1617</v>
      </c>
      <c r="H59" s="729" t="s">
        <v>1933</v>
      </c>
      <c r="I59" s="21" t="s">
        <v>3549</v>
      </c>
      <c r="J59" s="21" t="s">
        <v>1913</v>
      </c>
      <c r="K59" s="21" t="s">
        <v>1428</v>
      </c>
      <c r="L59" s="138" t="s">
        <v>3513</v>
      </c>
      <c r="M59" s="21" t="s">
        <v>1428</v>
      </c>
      <c r="N59" s="21" t="s">
        <v>1428</v>
      </c>
      <c r="O59" s="22" t="s">
        <v>1428</v>
      </c>
      <c r="P59" s="22">
        <v>4.67584048879095</v>
      </c>
      <c r="Q59" s="22">
        <v>10.8598878592298</v>
      </c>
      <c r="R59" s="37">
        <v>3.05</v>
      </c>
      <c r="S59" s="22">
        <f t="shared" si="1"/>
        <v>18.5857283480208</v>
      </c>
      <c r="T59" s="166" t="s">
        <v>1526</v>
      </c>
      <c r="U59" s="1724" t="s">
        <v>4637</v>
      </c>
    </row>
    <row r="60" s="42" customFormat="1" ht="15" spans="1:21">
      <c r="A60" s="1156"/>
      <c r="B60" s="23"/>
      <c r="C60" s="23">
        <v>20240418</v>
      </c>
      <c r="D60" s="21">
        <v>7.24</v>
      </c>
      <c r="E60" s="21" t="s">
        <v>1419</v>
      </c>
      <c r="F60" s="23" t="s">
        <v>4638</v>
      </c>
      <c r="G60" s="20" t="s">
        <v>1629</v>
      </c>
      <c r="H60" s="729" t="s">
        <v>1933</v>
      </c>
      <c r="I60" s="21" t="s">
        <v>3566</v>
      </c>
      <c r="J60" s="21" t="s">
        <v>1913</v>
      </c>
      <c r="K60" s="21" t="s">
        <v>1428</v>
      </c>
      <c r="L60" s="138" t="s">
        <v>3513</v>
      </c>
      <c r="M60" s="21" t="s">
        <v>1428</v>
      </c>
      <c r="N60" s="21" t="s">
        <v>1428</v>
      </c>
      <c r="O60" s="22" t="s">
        <v>1428</v>
      </c>
      <c r="P60" s="22">
        <v>4.67584048879095</v>
      </c>
      <c r="Q60" s="22">
        <v>11.3137908333198</v>
      </c>
      <c r="R60" s="37">
        <v>3.05</v>
      </c>
      <c r="S60" s="22">
        <f t="shared" si="1"/>
        <v>19.0396313221108</v>
      </c>
      <c r="T60" s="166" t="s">
        <v>1526</v>
      </c>
      <c r="U60" s="1724" t="s">
        <v>4637</v>
      </c>
    </row>
    <row r="61" s="42" customFormat="1" ht="15" spans="1:21">
      <c r="A61" s="1156"/>
      <c r="B61" s="23"/>
      <c r="C61" s="23">
        <v>20240521</v>
      </c>
      <c r="D61" s="21">
        <v>6.9264</v>
      </c>
      <c r="E61" s="21" t="s">
        <v>1420</v>
      </c>
      <c r="F61" s="23" t="s">
        <v>4639</v>
      </c>
      <c r="G61" s="20" t="s">
        <v>1645</v>
      </c>
      <c r="H61" s="729" t="s">
        <v>1933</v>
      </c>
      <c r="I61" s="21" t="s">
        <v>3542</v>
      </c>
      <c r="J61" s="21" t="s">
        <v>1913</v>
      </c>
      <c r="K61" s="21" t="s">
        <v>1428</v>
      </c>
      <c r="L61" s="138" t="s">
        <v>3513</v>
      </c>
      <c r="M61" s="21" t="s">
        <v>1428</v>
      </c>
      <c r="N61" s="21" t="s">
        <v>1428</v>
      </c>
      <c r="O61" s="22" t="s">
        <v>1428</v>
      </c>
      <c r="P61" s="22">
        <v>4.67584048879095</v>
      </c>
      <c r="Q61" s="22">
        <v>21.9</v>
      </c>
      <c r="R61" s="37">
        <v>3.05</v>
      </c>
      <c r="S61" s="22">
        <f t="shared" si="1"/>
        <v>29.6258404887909</v>
      </c>
      <c r="T61" s="166" t="s">
        <v>1526</v>
      </c>
      <c r="U61" s="1724" t="s">
        <v>4635</v>
      </c>
    </row>
    <row r="62" s="42" customFormat="1" ht="15" spans="1:21">
      <c r="A62" s="1156"/>
      <c r="B62" s="23"/>
      <c r="C62" s="23">
        <v>20240521</v>
      </c>
      <c r="D62" s="21">
        <v>7.24</v>
      </c>
      <c r="E62" s="21">
        <v>7.24</v>
      </c>
      <c r="F62" s="23" t="s">
        <v>4640</v>
      </c>
      <c r="G62" s="20" t="s">
        <v>1604</v>
      </c>
      <c r="H62" s="729" t="s">
        <v>1933</v>
      </c>
      <c r="I62" s="21" t="s">
        <v>3549</v>
      </c>
      <c r="J62" s="21" t="s">
        <v>1913</v>
      </c>
      <c r="K62" s="21" t="s">
        <v>1428</v>
      </c>
      <c r="L62" s="138" t="s">
        <v>3513</v>
      </c>
      <c r="M62" s="21" t="s">
        <v>1428</v>
      </c>
      <c r="N62" s="21" t="s">
        <v>1428</v>
      </c>
      <c r="O62" s="22" t="s">
        <v>1428</v>
      </c>
      <c r="P62" s="22">
        <v>4.67584048879095</v>
      </c>
      <c r="Q62" s="22">
        <v>10.7738854146007</v>
      </c>
      <c r="R62" s="37">
        <v>3.05</v>
      </c>
      <c r="S62" s="22">
        <f t="shared" si="1"/>
        <v>18.4997259033916</v>
      </c>
      <c r="T62" s="166" t="s">
        <v>1526</v>
      </c>
      <c r="U62" s="1724" t="s">
        <v>4637</v>
      </c>
    </row>
    <row r="63" s="42" customFormat="1" ht="15" spans="1:21">
      <c r="A63" s="1156"/>
      <c r="B63" s="23"/>
      <c r="C63" s="23">
        <v>20241028</v>
      </c>
      <c r="D63" s="21">
        <v>7.11</v>
      </c>
      <c r="E63" s="21">
        <v>7.24</v>
      </c>
      <c r="F63" s="23" t="s">
        <v>1443</v>
      </c>
      <c r="G63" s="20" t="s">
        <v>1444</v>
      </c>
      <c r="H63" s="729"/>
      <c r="I63" s="21"/>
      <c r="J63" s="21"/>
      <c r="K63" s="21"/>
      <c r="L63" s="690"/>
      <c r="M63" s="21"/>
      <c r="N63" s="21"/>
      <c r="O63" s="22"/>
      <c r="P63" s="22">
        <v>0.607845690014751</v>
      </c>
      <c r="Q63" s="22">
        <v>2.46714414209328</v>
      </c>
      <c r="R63" s="37">
        <v>0.4</v>
      </c>
      <c r="S63" s="22">
        <f t="shared" si="1"/>
        <v>3.47498983210803</v>
      </c>
      <c r="T63" s="166"/>
      <c r="U63" s="759" t="s">
        <v>1445</v>
      </c>
    </row>
    <row r="64" s="42" customFormat="1" ht="15" spans="1:21">
      <c r="A64" s="1156"/>
      <c r="B64" s="23"/>
      <c r="C64" s="23">
        <v>20241028</v>
      </c>
      <c r="D64" s="21">
        <v>7.11</v>
      </c>
      <c r="E64" s="21">
        <v>7.24</v>
      </c>
      <c r="F64" s="23" t="s">
        <v>1446</v>
      </c>
      <c r="G64" s="20" t="s">
        <v>1447</v>
      </c>
      <c r="H64" s="729"/>
      <c r="I64" s="21"/>
      <c r="J64" s="21"/>
      <c r="K64" s="21"/>
      <c r="L64" s="21"/>
      <c r="M64" s="21"/>
      <c r="N64" s="21"/>
      <c r="O64" s="22"/>
      <c r="P64" s="22">
        <v>0.557938359676698</v>
      </c>
      <c r="Q64" s="22">
        <v>2.23380779258685</v>
      </c>
      <c r="R64" s="37">
        <v>0.4</v>
      </c>
      <c r="S64" s="22">
        <f t="shared" si="1"/>
        <v>3.19174615226355</v>
      </c>
      <c r="T64" s="38"/>
      <c r="U64" s="759" t="s">
        <v>1448</v>
      </c>
    </row>
    <row r="65" s="42" customFormat="1" ht="15" spans="1:21">
      <c r="A65" s="1156"/>
      <c r="B65" s="23" t="s">
        <v>4641</v>
      </c>
      <c r="C65" s="23"/>
      <c r="D65" s="23"/>
      <c r="E65" s="23"/>
      <c r="F65" s="23"/>
      <c r="G65" s="20" t="s">
        <v>1565</v>
      </c>
      <c r="H65" s="729" t="s">
        <v>1933</v>
      </c>
      <c r="I65" s="21" t="s">
        <v>3542</v>
      </c>
      <c r="J65" s="21" t="s">
        <v>3909</v>
      </c>
      <c r="K65" s="21" t="s">
        <v>1635</v>
      </c>
      <c r="L65" s="138" t="s">
        <v>3513</v>
      </c>
      <c r="M65" s="21" t="s">
        <v>1428</v>
      </c>
      <c r="N65" s="21" t="s">
        <v>1428</v>
      </c>
      <c r="O65" s="689">
        <v>3.3</v>
      </c>
      <c r="P65" s="22">
        <v>2.27013657890167</v>
      </c>
      <c r="Q65" s="22">
        <v>12.8856490910064</v>
      </c>
      <c r="R65" s="37">
        <v>3</v>
      </c>
      <c r="S65" s="22">
        <f t="shared" si="1"/>
        <v>21.4557856699081</v>
      </c>
      <c r="T65" s="38" t="s">
        <v>3977</v>
      </c>
      <c r="U65" s="1124" t="s">
        <v>4629</v>
      </c>
    </row>
    <row r="66" s="42" customFormat="1" ht="15" spans="1:21">
      <c r="A66" s="1156"/>
      <c r="B66" s="23"/>
      <c r="C66" s="23"/>
      <c r="D66" s="23"/>
      <c r="E66" s="23"/>
      <c r="F66" s="23"/>
      <c r="G66" s="20" t="s">
        <v>1617</v>
      </c>
      <c r="H66" s="729" t="s">
        <v>1933</v>
      </c>
      <c r="I66" s="21" t="s">
        <v>3542</v>
      </c>
      <c r="J66" s="21" t="s">
        <v>3432</v>
      </c>
      <c r="K66" s="21" t="s">
        <v>1635</v>
      </c>
      <c r="L66" s="138" t="s">
        <v>3513</v>
      </c>
      <c r="M66" s="21" t="s">
        <v>1428</v>
      </c>
      <c r="N66" s="21" t="s">
        <v>1428</v>
      </c>
      <c r="O66" s="689">
        <v>3.3</v>
      </c>
      <c r="P66" s="22">
        <v>2.27013657890167</v>
      </c>
      <c r="Q66" s="22">
        <v>12.7522412632938</v>
      </c>
      <c r="R66" s="37">
        <v>3</v>
      </c>
      <c r="S66" s="22">
        <f t="shared" si="1"/>
        <v>21.3223778421955</v>
      </c>
      <c r="T66" s="38" t="s">
        <v>3984</v>
      </c>
      <c r="U66" s="1124" t="s">
        <v>4629</v>
      </c>
    </row>
    <row r="67" s="42" customFormat="1" ht="15" spans="1:21">
      <c r="A67" s="1156"/>
      <c r="B67" s="23"/>
      <c r="C67" s="23"/>
      <c r="D67" s="23"/>
      <c r="E67" s="23"/>
      <c r="F67" s="23"/>
      <c r="G67" s="20" t="s">
        <v>1629</v>
      </c>
      <c r="H67" s="729" t="s">
        <v>1933</v>
      </c>
      <c r="I67" s="21" t="s">
        <v>3549</v>
      </c>
      <c r="J67" s="21" t="s">
        <v>3432</v>
      </c>
      <c r="K67" s="21" t="s">
        <v>1635</v>
      </c>
      <c r="L67" s="138" t="s">
        <v>3513</v>
      </c>
      <c r="M67" s="21" t="s">
        <v>1428</v>
      </c>
      <c r="N67" s="21" t="s">
        <v>1428</v>
      </c>
      <c r="O67" s="689">
        <v>3.3</v>
      </c>
      <c r="P67" s="22">
        <v>2.27013657890167</v>
      </c>
      <c r="Q67" s="22">
        <v>13.2502299410611</v>
      </c>
      <c r="R67" s="37">
        <v>3</v>
      </c>
      <c r="S67" s="22">
        <f t="shared" si="1"/>
        <v>21.8203665199628</v>
      </c>
      <c r="T67" s="38" t="s">
        <v>3984</v>
      </c>
      <c r="U67" s="1124" t="s">
        <v>4629</v>
      </c>
    </row>
    <row r="68" s="42" customFormat="1" ht="15" spans="1:21">
      <c r="A68" s="1156"/>
      <c r="B68" s="23"/>
      <c r="C68" s="23"/>
      <c r="D68" s="23"/>
      <c r="E68" s="23"/>
      <c r="F68" s="23"/>
      <c r="G68" s="20" t="s">
        <v>1645</v>
      </c>
      <c r="H68" s="729" t="s">
        <v>1933</v>
      </c>
      <c r="I68" s="21" t="s">
        <v>3553</v>
      </c>
      <c r="J68" s="21" t="s">
        <v>3432</v>
      </c>
      <c r="K68" s="21" t="s">
        <v>1635</v>
      </c>
      <c r="L68" s="138" t="s">
        <v>3513</v>
      </c>
      <c r="M68" s="21" t="s">
        <v>1428</v>
      </c>
      <c r="N68" s="21" t="s">
        <v>1428</v>
      </c>
      <c r="O68" s="689">
        <v>3.3</v>
      </c>
      <c r="P68" s="22">
        <v>2.27013657890167</v>
      </c>
      <c r="Q68" s="22">
        <v>12.7535862702082</v>
      </c>
      <c r="R68" s="37">
        <v>3</v>
      </c>
      <c r="S68" s="22">
        <f t="shared" si="1"/>
        <v>21.3237228491099</v>
      </c>
      <c r="T68" s="38" t="s">
        <v>3984</v>
      </c>
      <c r="U68" s="1124" t="s">
        <v>4629</v>
      </c>
    </row>
    <row r="69" s="42" customFormat="1" ht="15" spans="1:21">
      <c r="A69" s="1156"/>
      <c r="B69" s="23"/>
      <c r="C69" s="23">
        <v>20240515</v>
      </c>
      <c r="D69" s="21">
        <v>7.24</v>
      </c>
      <c r="E69" s="21">
        <v>7.24</v>
      </c>
      <c r="F69" s="23" t="s">
        <v>4642</v>
      </c>
      <c r="G69" s="20" t="s">
        <v>1604</v>
      </c>
      <c r="H69" s="729" t="s">
        <v>1933</v>
      </c>
      <c r="I69" s="21" t="s">
        <v>3542</v>
      </c>
      <c r="J69" s="21" t="s">
        <v>3909</v>
      </c>
      <c r="K69" s="21" t="s">
        <v>1635</v>
      </c>
      <c r="L69" s="138" t="s">
        <v>3513</v>
      </c>
      <c r="M69" s="21" t="s">
        <v>1428</v>
      </c>
      <c r="N69" s="21" t="s">
        <v>1428</v>
      </c>
      <c r="O69" s="689">
        <v>3.3</v>
      </c>
      <c r="P69" s="22">
        <v>2.27327212666258</v>
      </c>
      <c r="Q69" s="22">
        <v>11.342911687991</v>
      </c>
      <c r="R69" s="37">
        <v>3</v>
      </c>
      <c r="S69" s="22">
        <f t="shared" si="1"/>
        <v>19.9161838146536</v>
      </c>
      <c r="T69" s="38" t="s">
        <v>3977</v>
      </c>
      <c r="U69" s="1124" t="s">
        <v>4629</v>
      </c>
    </row>
    <row r="70" s="42" customFormat="1" ht="15" spans="1:21">
      <c r="A70" s="1156"/>
      <c r="B70" s="23"/>
      <c r="C70" s="23">
        <v>20240515</v>
      </c>
      <c r="D70" s="21">
        <v>7.24</v>
      </c>
      <c r="E70" s="21">
        <v>7.24</v>
      </c>
      <c r="F70" s="23" t="s">
        <v>4643</v>
      </c>
      <c r="G70" s="20" t="s">
        <v>1571</v>
      </c>
      <c r="H70" s="729" t="s">
        <v>1933</v>
      </c>
      <c r="I70" s="21" t="s">
        <v>3542</v>
      </c>
      <c r="J70" s="21" t="s">
        <v>3432</v>
      </c>
      <c r="K70" s="21" t="s">
        <v>1635</v>
      </c>
      <c r="L70" s="138" t="s">
        <v>3513</v>
      </c>
      <c r="M70" s="21">
        <f>18*2</f>
        <v>36</v>
      </c>
      <c r="N70" s="21" t="s">
        <v>1428</v>
      </c>
      <c r="O70" s="689">
        <v>3.3</v>
      </c>
      <c r="P70" s="22">
        <v>2.27327212666258</v>
      </c>
      <c r="Q70" s="22">
        <v>11.3942210802562</v>
      </c>
      <c r="R70" s="37">
        <v>3</v>
      </c>
      <c r="S70" s="22">
        <f t="shared" si="1"/>
        <v>55.9674932069188</v>
      </c>
      <c r="T70" s="38" t="s">
        <v>3984</v>
      </c>
      <c r="U70" s="1124" t="s">
        <v>4644</v>
      </c>
    </row>
    <row r="71" s="42" customFormat="1" ht="15" spans="1:21">
      <c r="A71" s="1156"/>
      <c r="B71" s="23"/>
      <c r="C71" s="23">
        <v>20240515</v>
      </c>
      <c r="D71" s="21">
        <v>7.24</v>
      </c>
      <c r="E71" s="21">
        <v>7.24</v>
      </c>
      <c r="F71" s="23" t="s">
        <v>4645</v>
      </c>
      <c r="G71" s="20" t="s">
        <v>1685</v>
      </c>
      <c r="H71" s="729" t="s">
        <v>1933</v>
      </c>
      <c r="I71" s="21" t="s">
        <v>3553</v>
      </c>
      <c r="J71" s="21" t="s">
        <v>3432</v>
      </c>
      <c r="K71" s="21" t="s">
        <v>1635</v>
      </c>
      <c r="L71" s="138" t="s">
        <v>3513</v>
      </c>
      <c r="M71" s="21" t="s">
        <v>1428</v>
      </c>
      <c r="N71" s="21" t="s">
        <v>1428</v>
      </c>
      <c r="O71" s="689">
        <v>3.3</v>
      </c>
      <c r="P71" s="22">
        <v>2.27327212666258</v>
      </c>
      <c r="Q71" s="22">
        <v>11.3961846063893</v>
      </c>
      <c r="R71" s="37">
        <v>3</v>
      </c>
      <c r="S71" s="22">
        <f t="shared" si="1"/>
        <v>19.9694567330519</v>
      </c>
      <c r="T71" s="38" t="s">
        <v>3984</v>
      </c>
      <c r="U71" s="1124" t="s">
        <v>4629</v>
      </c>
    </row>
    <row r="72" s="42" customFormat="1" ht="15" spans="1:21">
      <c r="A72" s="1156"/>
      <c r="B72" s="23"/>
      <c r="C72" s="23">
        <v>20240515</v>
      </c>
      <c r="D72" s="21">
        <v>7.24</v>
      </c>
      <c r="E72" s="21">
        <v>7.24</v>
      </c>
      <c r="F72" s="23" t="s">
        <v>4646</v>
      </c>
      <c r="G72" s="20" t="s">
        <v>1669</v>
      </c>
      <c r="H72" s="729" t="s">
        <v>1933</v>
      </c>
      <c r="I72" s="21" t="s">
        <v>3549</v>
      </c>
      <c r="J72" s="21" t="s">
        <v>3432</v>
      </c>
      <c r="K72" s="21" t="s">
        <v>1635</v>
      </c>
      <c r="L72" s="138" t="s">
        <v>3513</v>
      </c>
      <c r="M72" s="21" t="s">
        <v>1428</v>
      </c>
      <c r="N72" s="21" t="s">
        <v>1428</v>
      </c>
      <c r="O72" s="689">
        <v>3.3</v>
      </c>
      <c r="P72" s="22">
        <v>2.27327212666258</v>
      </c>
      <c r="Q72" s="22">
        <v>11.8761105454613</v>
      </c>
      <c r="R72" s="37">
        <v>3</v>
      </c>
      <c r="S72" s="22">
        <f t="shared" si="1"/>
        <v>20.4493826721239</v>
      </c>
      <c r="T72" s="38" t="s">
        <v>3984</v>
      </c>
      <c r="U72" s="20" t="s">
        <v>4629</v>
      </c>
    </row>
    <row r="73" s="42" customFormat="1" ht="15" spans="1:21">
      <c r="A73" s="1156"/>
      <c r="B73" s="23" t="s">
        <v>4647</v>
      </c>
      <c r="C73" s="23"/>
      <c r="D73" s="23"/>
      <c r="E73" s="23"/>
      <c r="F73" s="23"/>
      <c r="G73" s="20" t="s">
        <v>1565</v>
      </c>
      <c r="H73" s="729" t="s">
        <v>1933</v>
      </c>
      <c r="I73" s="21" t="s">
        <v>3542</v>
      </c>
      <c r="J73" s="21" t="s">
        <v>3909</v>
      </c>
      <c r="K73" s="21" t="s">
        <v>1635</v>
      </c>
      <c r="L73" s="138" t="s">
        <v>3513</v>
      </c>
      <c r="M73" s="21" t="s">
        <v>1428</v>
      </c>
      <c r="N73" s="21" t="s">
        <v>1428</v>
      </c>
      <c r="O73" s="689">
        <v>3.3</v>
      </c>
      <c r="P73" s="22">
        <v>2.35790138458163</v>
      </c>
      <c r="Q73" s="22">
        <v>12.967493132103</v>
      </c>
      <c r="R73" s="37">
        <v>3</v>
      </c>
      <c r="S73" s="22">
        <f t="shared" si="1"/>
        <v>21.6253945166846</v>
      </c>
      <c r="T73" s="38" t="s">
        <v>3977</v>
      </c>
      <c r="U73" s="1124" t="s">
        <v>4648</v>
      </c>
    </row>
    <row r="74" s="42" customFormat="1" ht="15" spans="1:21">
      <c r="A74" s="1156"/>
      <c r="B74" s="23"/>
      <c r="C74" s="23"/>
      <c r="D74" s="23"/>
      <c r="E74" s="23"/>
      <c r="F74" s="23"/>
      <c r="G74" s="20" t="s">
        <v>1617</v>
      </c>
      <c r="H74" s="729" t="s">
        <v>1933</v>
      </c>
      <c r="I74" s="21" t="s">
        <v>3542</v>
      </c>
      <c r="J74" s="21" t="s">
        <v>3432</v>
      </c>
      <c r="K74" s="21" t="s">
        <v>1635</v>
      </c>
      <c r="L74" s="138" t="s">
        <v>3513</v>
      </c>
      <c r="M74" s="21" t="s">
        <v>1428</v>
      </c>
      <c r="N74" s="21" t="s">
        <v>1428</v>
      </c>
      <c r="O74" s="689">
        <v>3.3</v>
      </c>
      <c r="P74" s="22">
        <v>2.35790138458163</v>
      </c>
      <c r="Q74" s="22">
        <v>12.8350320831281</v>
      </c>
      <c r="R74" s="37">
        <v>3</v>
      </c>
      <c r="S74" s="22">
        <f t="shared" si="1"/>
        <v>21.4929334677097</v>
      </c>
      <c r="T74" s="38" t="s">
        <v>3984</v>
      </c>
      <c r="U74" s="1124" t="s">
        <v>4648</v>
      </c>
    </row>
    <row r="75" s="42" customFormat="1" ht="15" spans="1:21">
      <c r="A75" s="1156"/>
      <c r="B75" s="23"/>
      <c r="C75" s="23"/>
      <c r="D75" s="23"/>
      <c r="E75" s="23"/>
      <c r="F75" s="23"/>
      <c r="G75" s="20" t="s">
        <v>1629</v>
      </c>
      <c r="H75" s="729" t="s">
        <v>1933</v>
      </c>
      <c r="I75" s="21" t="s">
        <v>3549</v>
      </c>
      <c r="J75" s="21" t="s">
        <v>3432</v>
      </c>
      <c r="K75" s="21" t="s">
        <v>1635</v>
      </c>
      <c r="L75" s="138" t="s">
        <v>3513</v>
      </c>
      <c r="M75" s="21" t="s">
        <v>1428</v>
      </c>
      <c r="N75" s="21" t="s">
        <v>1428</v>
      </c>
      <c r="O75" s="689">
        <v>3.3</v>
      </c>
      <c r="P75" s="22">
        <v>2.35790138458163</v>
      </c>
      <c r="Q75" s="22">
        <v>13.5676803438264</v>
      </c>
      <c r="R75" s="37">
        <v>3</v>
      </c>
      <c r="S75" s="22">
        <f t="shared" si="1"/>
        <v>22.225581728408</v>
      </c>
      <c r="T75" s="38" t="s">
        <v>3984</v>
      </c>
      <c r="U75" s="1124" t="s">
        <v>4648</v>
      </c>
    </row>
    <row r="76" s="42" customFormat="1" ht="15" spans="1:21">
      <c r="A76" s="1156"/>
      <c r="B76" s="23"/>
      <c r="C76" s="23"/>
      <c r="D76" s="23"/>
      <c r="E76" s="23"/>
      <c r="F76" s="23"/>
      <c r="G76" s="20" t="s">
        <v>1645</v>
      </c>
      <c r="H76" s="729" t="s">
        <v>1933</v>
      </c>
      <c r="I76" s="21" t="s">
        <v>3553</v>
      </c>
      <c r="J76" s="21" t="s">
        <v>3432</v>
      </c>
      <c r="K76" s="21" t="s">
        <v>1635</v>
      </c>
      <c r="L76" s="138" t="s">
        <v>3513</v>
      </c>
      <c r="M76" s="21" t="s">
        <v>1428</v>
      </c>
      <c r="N76" s="21" t="s">
        <v>1428</v>
      </c>
      <c r="O76" s="689">
        <v>3.3</v>
      </c>
      <c r="P76" s="22">
        <v>2.35790138458163</v>
      </c>
      <c r="Q76" s="22">
        <v>12.829400322541</v>
      </c>
      <c r="R76" s="37">
        <v>3</v>
      </c>
      <c r="S76" s="22">
        <f t="shared" ref="S76:S129" si="2">SUM(L76:R76)</f>
        <v>21.4873017071226</v>
      </c>
      <c r="T76" s="38" t="s">
        <v>3984</v>
      </c>
      <c r="U76" s="1124" t="s">
        <v>4648</v>
      </c>
    </row>
    <row r="77" s="42" customFormat="1" ht="13.2" spans="1:21">
      <c r="A77" s="1156"/>
      <c r="B77" s="23" t="s">
        <v>4072</v>
      </c>
      <c r="C77" s="23">
        <v>20250305</v>
      </c>
      <c r="D77" s="23">
        <v>7.25</v>
      </c>
      <c r="E77" s="21">
        <v>7.24</v>
      </c>
      <c r="F77" s="23" t="s">
        <v>1017</v>
      </c>
      <c r="G77" s="20" t="s">
        <v>1018</v>
      </c>
      <c r="H77" s="729"/>
      <c r="I77" s="21"/>
      <c r="J77" s="21"/>
      <c r="K77" s="21"/>
      <c r="L77" s="21"/>
      <c r="M77" s="21" t="s">
        <v>1428</v>
      </c>
      <c r="N77" s="21"/>
      <c r="O77" s="776"/>
      <c r="P77" s="22">
        <v>1.76991150442478</v>
      </c>
      <c r="Q77" s="22">
        <v>2.66560816578418</v>
      </c>
      <c r="R77" s="37">
        <v>0.4</v>
      </c>
      <c r="S77" s="22">
        <f t="shared" si="2"/>
        <v>4.83551967020896</v>
      </c>
      <c r="T77" s="38"/>
      <c r="U77" s="1725" t="s">
        <v>1019</v>
      </c>
    </row>
    <row r="78" s="42" customFormat="1" ht="13.2" spans="1:21">
      <c r="A78" s="1156"/>
      <c r="B78" s="23"/>
      <c r="C78" s="23">
        <v>20250305</v>
      </c>
      <c r="D78" s="23">
        <v>7.25</v>
      </c>
      <c r="E78" s="21">
        <v>7.24</v>
      </c>
      <c r="F78" s="23" t="s">
        <v>4649</v>
      </c>
      <c r="G78" s="20" t="s">
        <v>1565</v>
      </c>
      <c r="H78" s="729" t="s">
        <v>4074</v>
      </c>
      <c r="I78" s="21" t="s">
        <v>3542</v>
      </c>
      <c r="J78" s="21" t="s">
        <v>3425</v>
      </c>
      <c r="K78" s="21" t="s">
        <v>1784</v>
      </c>
      <c r="L78" s="138" t="s">
        <v>3513</v>
      </c>
      <c r="M78" s="21" t="s">
        <v>1428</v>
      </c>
      <c r="N78" s="913" t="s">
        <v>712</v>
      </c>
      <c r="O78" s="689">
        <v>2.2</v>
      </c>
      <c r="P78" s="22">
        <v>3.93995556810232</v>
      </c>
      <c r="Q78" s="22">
        <v>10.8456447021925</v>
      </c>
      <c r="R78" s="37">
        <v>3.21</v>
      </c>
      <c r="S78" s="22">
        <f t="shared" si="2"/>
        <v>20.1956002702948</v>
      </c>
      <c r="T78" s="895" t="s">
        <v>3452</v>
      </c>
      <c r="U78" s="1124" t="s">
        <v>4650</v>
      </c>
    </row>
    <row r="79" s="42" customFormat="1" ht="13.2" spans="1:21">
      <c r="A79" s="1156"/>
      <c r="B79" s="23"/>
      <c r="C79" s="23">
        <v>20250305</v>
      </c>
      <c r="D79" s="23">
        <v>7.25</v>
      </c>
      <c r="E79" s="21">
        <v>7.24</v>
      </c>
      <c r="F79" s="23" t="s">
        <v>4651</v>
      </c>
      <c r="G79" s="20" t="s">
        <v>1617</v>
      </c>
      <c r="H79" s="729" t="s">
        <v>4074</v>
      </c>
      <c r="I79" s="21" t="s">
        <v>3457</v>
      </c>
      <c r="J79" s="21" t="s">
        <v>3670</v>
      </c>
      <c r="K79" s="21" t="s">
        <v>1784</v>
      </c>
      <c r="L79" s="138" t="s">
        <v>3513</v>
      </c>
      <c r="M79" s="21" t="s">
        <v>1428</v>
      </c>
      <c r="N79" s="913" t="s">
        <v>712</v>
      </c>
      <c r="O79" s="689">
        <v>2.2</v>
      </c>
      <c r="P79" s="22">
        <v>3.93995556810232</v>
      </c>
      <c r="Q79" s="22">
        <v>11.7887234765255</v>
      </c>
      <c r="R79" s="37">
        <v>3.21</v>
      </c>
      <c r="S79" s="22">
        <f t="shared" si="2"/>
        <v>21.1386790446278</v>
      </c>
      <c r="T79" s="895" t="s">
        <v>3452</v>
      </c>
      <c r="U79" s="1124" t="s">
        <v>4652</v>
      </c>
    </row>
    <row r="80" s="42" customFormat="1" ht="13.2" spans="1:21">
      <c r="A80" s="1156"/>
      <c r="B80" s="23"/>
      <c r="C80" s="23">
        <v>20250415</v>
      </c>
      <c r="D80" s="23">
        <v>7.31</v>
      </c>
      <c r="E80" s="21">
        <v>7.24</v>
      </c>
      <c r="F80" s="23" t="s">
        <v>4653</v>
      </c>
      <c r="G80" s="20" t="s">
        <v>1629</v>
      </c>
      <c r="H80" s="729" t="s">
        <v>4074</v>
      </c>
      <c r="I80" s="21" t="s">
        <v>3542</v>
      </c>
      <c r="J80" s="21" t="s">
        <v>3425</v>
      </c>
      <c r="K80" s="21" t="s">
        <v>1784</v>
      </c>
      <c r="L80" s="138" t="s">
        <v>3513</v>
      </c>
      <c r="M80" s="21"/>
      <c r="N80" s="913" t="s">
        <v>712</v>
      </c>
      <c r="O80" s="689">
        <v>2.2</v>
      </c>
      <c r="P80" s="22">
        <v>3.93995556810232</v>
      </c>
      <c r="Q80" s="22">
        <v>14.3827206925431</v>
      </c>
      <c r="R80" s="37">
        <v>3.21</v>
      </c>
      <c r="S80" s="22">
        <f t="shared" si="2"/>
        <v>23.7326762606454</v>
      </c>
      <c r="T80" s="895" t="s">
        <v>3452</v>
      </c>
      <c r="U80" s="1725" t="s">
        <v>4654</v>
      </c>
    </row>
    <row r="81" s="42" customFormat="1" ht="13.2" spans="1:21">
      <c r="A81" s="1156"/>
      <c r="B81" s="23"/>
      <c r="C81" s="23">
        <v>20250415</v>
      </c>
      <c r="D81" s="23">
        <v>7.31</v>
      </c>
      <c r="E81" s="21">
        <v>7.24</v>
      </c>
      <c r="F81" s="23" t="s">
        <v>4655</v>
      </c>
      <c r="G81" s="20" t="s">
        <v>1645</v>
      </c>
      <c r="H81" s="729" t="s">
        <v>4074</v>
      </c>
      <c r="I81" s="21" t="s">
        <v>3457</v>
      </c>
      <c r="J81" s="21" t="s">
        <v>3670</v>
      </c>
      <c r="K81" s="21" t="s">
        <v>1784</v>
      </c>
      <c r="L81" s="138" t="s">
        <v>3513</v>
      </c>
      <c r="M81" s="21"/>
      <c r="N81" s="913" t="s">
        <v>712</v>
      </c>
      <c r="O81" s="689">
        <v>2.2</v>
      </c>
      <c r="P81" s="22">
        <v>3.93995556810232</v>
      </c>
      <c r="Q81" s="22">
        <v>15.3047630639683</v>
      </c>
      <c r="R81" s="37">
        <v>3.21</v>
      </c>
      <c r="S81" s="22">
        <f t="shared" si="2"/>
        <v>24.6547186320706</v>
      </c>
      <c r="T81" s="895" t="s">
        <v>3452</v>
      </c>
      <c r="U81" s="1725" t="s">
        <v>4656</v>
      </c>
    </row>
    <row r="82" s="42" customFormat="1" ht="13.2" spans="1:21">
      <c r="A82" s="1156"/>
      <c r="B82" s="23"/>
      <c r="C82" s="23">
        <v>20250516</v>
      </c>
      <c r="D82" s="23">
        <v>7.21</v>
      </c>
      <c r="E82" s="21"/>
      <c r="F82" s="23" t="s">
        <v>4073</v>
      </c>
      <c r="G82" s="20" t="s">
        <v>1604</v>
      </c>
      <c r="H82" s="729" t="s">
        <v>4074</v>
      </c>
      <c r="I82" s="21" t="s">
        <v>3542</v>
      </c>
      <c r="J82" s="21" t="s">
        <v>3425</v>
      </c>
      <c r="K82" s="21" t="s">
        <v>1784</v>
      </c>
      <c r="L82" s="138" t="s">
        <v>3513</v>
      </c>
      <c r="M82" s="21"/>
      <c r="N82" s="913" t="s">
        <v>712</v>
      </c>
      <c r="O82" s="689">
        <v>2.2</v>
      </c>
      <c r="P82" s="22">
        <v>3.93995556810232</v>
      </c>
      <c r="Q82" s="22">
        <v>13.9273717362523</v>
      </c>
      <c r="R82" s="37">
        <v>3.21</v>
      </c>
      <c r="S82" s="22">
        <f t="shared" si="2"/>
        <v>23.2773273043546</v>
      </c>
      <c r="T82" s="895" t="s">
        <v>3452</v>
      </c>
      <c r="U82" s="1725" t="s">
        <v>4075</v>
      </c>
    </row>
    <row r="83" s="42" customFormat="1" ht="13.2" spans="1:21">
      <c r="A83" s="1156"/>
      <c r="B83" s="23"/>
      <c r="C83" s="23">
        <v>20250516</v>
      </c>
      <c r="D83" s="23">
        <v>7.21</v>
      </c>
      <c r="E83" s="21"/>
      <c r="F83" s="23" t="s">
        <v>3451</v>
      </c>
      <c r="G83" s="20" t="s">
        <v>1571</v>
      </c>
      <c r="H83" s="729" t="s">
        <v>4074</v>
      </c>
      <c r="I83" s="21" t="s">
        <v>3457</v>
      </c>
      <c r="J83" s="21" t="s">
        <v>3425</v>
      </c>
      <c r="K83" s="21" t="s">
        <v>1784</v>
      </c>
      <c r="L83" s="138" t="s">
        <v>3513</v>
      </c>
      <c r="M83" s="21"/>
      <c r="N83" s="913" t="s">
        <v>712</v>
      </c>
      <c r="O83" s="689">
        <v>2.2</v>
      </c>
      <c r="P83" s="22">
        <v>3.93995556810232</v>
      </c>
      <c r="Q83" s="22">
        <v>14.0015939551832</v>
      </c>
      <c r="R83" s="37">
        <v>3.21</v>
      </c>
      <c r="S83" s="22">
        <f t="shared" si="2"/>
        <v>23.3515495232855</v>
      </c>
      <c r="T83" s="895" t="s">
        <v>3452</v>
      </c>
      <c r="U83" s="1725" t="s">
        <v>4075</v>
      </c>
    </row>
    <row r="84" s="42" customFormat="1" ht="13.2" spans="1:21">
      <c r="A84" s="1156"/>
      <c r="B84" s="23"/>
      <c r="C84" s="23">
        <v>20250415</v>
      </c>
      <c r="D84" s="23">
        <v>7.31</v>
      </c>
      <c r="E84" s="21">
        <v>7.24</v>
      </c>
      <c r="F84" s="23" t="s">
        <v>990</v>
      </c>
      <c r="G84" s="23" t="s">
        <v>991</v>
      </c>
      <c r="H84" s="729"/>
      <c r="I84" s="21"/>
      <c r="J84" s="21"/>
      <c r="K84" s="21"/>
      <c r="L84" s="700"/>
      <c r="M84" s="21"/>
      <c r="N84" s="700"/>
      <c r="O84" s="689"/>
      <c r="P84" s="22">
        <v>1.87605682477382</v>
      </c>
      <c r="Q84" s="22">
        <v>2.17605400237963</v>
      </c>
      <c r="R84" s="37">
        <v>0.4</v>
      </c>
      <c r="S84" s="22">
        <f t="shared" si="2"/>
        <v>4.45211082715345</v>
      </c>
      <c r="T84" s="895"/>
      <c r="U84" s="20"/>
    </row>
    <row r="85" s="42" customFormat="1" ht="16" customHeight="1" spans="1:21">
      <c r="A85" s="1156"/>
      <c r="B85" s="19" t="s">
        <v>4657</v>
      </c>
      <c r="C85" s="19"/>
      <c r="D85" s="19"/>
      <c r="E85" s="19"/>
      <c r="F85" s="19"/>
      <c r="G85" s="20" t="s">
        <v>2314</v>
      </c>
      <c r="H85" s="23" t="s">
        <v>1933</v>
      </c>
      <c r="I85" s="21" t="s">
        <v>4010</v>
      </c>
      <c r="J85" s="21" t="s">
        <v>4658</v>
      </c>
      <c r="K85" s="21" t="s">
        <v>1742</v>
      </c>
      <c r="L85" s="21" t="s">
        <v>1428</v>
      </c>
      <c r="M85" s="21" t="s">
        <v>1428</v>
      </c>
      <c r="N85" s="913" t="s">
        <v>712</v>
      </c>
      <c r="O85" s="21">
        <v>6</v>
      </c>
      <c r="P85" s="22">
        <v>7.23942068965517</v>
      </c>
      <c r="Q85" s="22">
        <v>51.0682024977952</v>
      </c>
      <c r="R85" s="37">
        <v>3</v>
      </c>
      <c r="S85" s="22">
        <f t="shared" si="2"/>
        <v>67.3076231874504</v>
      </c>
      <c r="T85" s="167" t="s">
        <v>4659</v>
      </c>
      <c r="U85" s="35" t="s">
        <v>4660</v>
      </c>
    </row>
    <row r="86" s="42" customFormat="1" ht="16" customHeight="1" spans="1:21">
      <c r="A86" s="1156"/>
      <c r="B86" s="19"/>
      <c r="C86" s="19"/>
      <c r="D86" s="19"/>
      <c r="E86" s="19"/>
      <c r="F86" s="19" t="s">
        <v>1021</v>
      </c>
      <c r="G86" s="20" t="s">
        <v>1022</v>
      </c>
      <c r="H86" s="23"/>
      <c r="I86" s="21"/>
      <c r="J86" s="21"/>
      <c r="K86" s="21"/>
      <c r="L86" s="21"/>
      <c r="M86" s="21"/>
      <c r="N86" s="21"/>
      <c r="O86" s="21"/>
      <c r="P86" s="22">
        <v>0.248343808391371</v>
      </c>
      <c r="Q86" s="22">
        <v>1.55155750766418</v>
      </c>
      <c r="R86" s="37">
        <v>0.2</v>
      </c>
      <c r="S86" s="22">
        <f t="shared" si="2"/>
        <v>1.99990131605555</v>
      </c>
      <c r="T86" s="38"/>
      <c r="U86" s="23" t="s">
        <v>1023</v>
      </c>
    </row>
    <row r="87" s="42" customFormat="1" ht="15" spans="1:21">
      <c r="A87" s="1156"/>
      <c r="B87" s="19" t="s">
        <v>4661</v>
      </c>
      <c r="C87" s="729">
        <v>20250416</v>
      </c>
      <c r="D87" s="21">
        <v>7.31</v>
      </c>
      <c r="E87" s="21">
        <v>7.24</v>
      </c>
      <c r="F87" s="19" t="s">
        <v>4662</v>
      </c>
      <c r="G87" s="20" t="s">
        <v>1565</v>
      </c>
      <c r="H87" s="23" t="s">
        <v>1933</v>
      </c>
      <c r="I87" s="21" t="s">
        <v>3855</v>
      </c>
      <c r="J87" s="21" t="s">
        <v>4663</v>
      </c>
      <c r="K87" s="21" t="s">
        <v>3891</v>
      </c>
      <c r="L87" s="138" t="s">
        <v>3513</v>
      </c>
      <c r="M87" s="689" t="s">
        <v>1428</v>
      </c>
      <c r="N87" s="913" t="s">
        <v>712</v>
      </c>
      <c r="O87" s="21" t="s">
        <v>1428</v>
      </c>
      <c r="P87" s="22">
        <v>2.83877019538144</v>
      </c>
      <c r="Q87" s="22">
        <v>9.73364237990051</v>
      </c>
      <c r="R87" s="37">
        <v>3</v>
      </c>
      <c r="S87" s="22">
        <f t="shared" si="2"/>
        <v>15.572412575282</v>
      </c>
      <c r="T87" s="166" t="s">
        <v>4596</v>
      </c>
      <c r="U87" s="23" t="s">
        <v>4664</v>
      </c>
    </row>
    <row r="88" s="42" customFormat="1" ht="15" spans="1:21">
      <c r="A88" s="1156"/>
      <c r="B88" s="19"/>
      <c r="C88" s="729">
        <v>20250416</v>
      </c>
      <c r="D88" s="21">
        <v>7.31</v>
      </c>
      <c r="E88" s="21">
        <v>7.24</v>
      </c>
      <c r="F88" s="19" t="s">
        <v>4665</v>
      </c>
      <c r="G88" s="20" t="s">
        <v>1617</v>
      </c>
      <c r="H88" s="23" t="s">
        <v>1933</v>
      </c>
      <c r="I88" s="21" t="s">
        <v>3794</v>
      </c>
      <c r="J88" s="21" t="s">
        <v>4666</v>
      </c>
      <c r="K88" s="21" t="s">
        <v>3787</v>
      </c>
      <c r="L88" s="138" t="s">
        <v>3513</v>
      </c>
      <c r="M88" s="689" t="s">
        <v>1428</v>
      </c>
      <c r="N88" s="913" t="s">
        <v>712</v>
      </c>
      <c r="O88" s="699" t="s">
        <v>1428</v>
      </c>
      <c r="P88" s="22">
        <f>55.2/D88/1.13</f>
        <v>6.68256600849848</v>
      </c>
      <c r="Q88" s="22">
        <v>9.90156099607537</v>
      </c>
      <c r="R88" s="37">
        <f>22.36/D88</f>
        <v>3.05882352941176</v>
      </c>
      <c r="S88" s="22">
        <f t="shared" si="2"/>
        <v>19.6429505339856</v>
      </c>
      <c r="T88" s="166" t="s">
        <v>4596</v>
      </c>
      <c r="U88" s="23" t="s">
        <v>4667</v>
      </c>
    </row>
    <row r="89" s="42" customFormat="1" ht="15" spans="1:21">
      <c r="A89" s="1156"/>
      <c r="B89" s="19"/>
      <c r="C89" s="729">
        <v>20250416</v>
      </c>
      <c r="D89" s="21">
        <v>7.31</v>
      </c>
      <c r="E89" s="21">
        <v>7.24</v>
      </c>
      <c r="F89" s="19" t="s">
        <v>4668</v>
      </c>
      <c r="G89" s="20" t="s">
        <v>1629</v>
      </c>
      <c r="H89" s="23" t="s">
        <v>1933</v>
      </c>
      <c r="I89" s="21" t="s">
        <v>3853</v>
      </c>
      <c r="J89" s="21" t="s">
        <v>4669</v>
      </c>
      <c r="K89" s="21" t="s">
        <v>4670</v>
      </c>
      <c r="L89" s="138" t="s">
        <v>3513</v>
      </c>
      <c r="M89" s="689" t="s">
        <v>1428</v>
      </c>
      <c r="N89" s="138" t="s">
        <v>4671</v>
      </c>
      <c r="O89" s="700">
        <v>1</v>
      </c>
      <c r="P89" s="22">
        <f>55.2/D89/1.13</f>
        <v>6.68256600849848</v>
      </c>
      <c r="Q89" s="22">
        <v>11.2513858308794</v>
      </c>
      <c r="R89" s="37">
        <f>22.36/D89</f>
        <v>3.05882352941176</v>
      </c>
      <c r="S89" s="22">
        <f t="shared" si="2"/>
        <v>21.9927753687896</v>
      </c>
      <c r="T89" s="166" t="s">
        <v>4672</v>
      </c>
      <c r="U89" s="23" t="s">
        <v>4673</v>
      </c>
    </row>
    <row r="90" s="839" customFormat="1" ht="14" customHeight="1" spans="1:21">
      <c r="A90" s="1156"/>
      <c r="B90" s="19" t="s">
        <v>4674</v>
      </c>
      <c r="C90" s="19"/>
      <c r="D90" s="19"/>
      <c r="E90" s="19"/>
      <c r="F90" s="19"/>
      <c r="G90" s="20" t="s">
        <v>1565</v>
      </c>
      <c r="H90" s="23" t="s">
        <v>3540</v>
      </c>
      <c r="I90" s="21" t="s">
        <v>3853</v>
      </c>
      <c r="J90" s="21" t="s">
        <v>3909</v>
      </c>
      <c r="K90" s="690" t="s">
        <v>3787</v>
      </c>
      <c r="L90" s="138" t="s">
        <v>3513</v>
      </c>
      <c r="M90" s="689" t="s">
        <v>1428</v>
      </c>
      <c r="N90" s="21" t="s">
        <v>1428</v>
      </c>
      <c r="O90" s="21">
        <v>3.5</v>
      </c>
      <c r="P90" s="22">
        <v>3.00435157632192</v>
      </c>
      <c r="Q90" s="22">
        <v>8.68577499733573</v>
      </c>
      <c r="R90" s="37">
        <v>3</v>
      </c>
      <c r="S90" s="22">
        <f t="shared" si="2"/>
        <v>18.1901265736577</v>
      </c>
      <c r="T90" s="23" t="s">
        <v>3922</v>
      </c>
      <c r="U90" s="20" t="s">
        <v>4675</v>
      </c>
    </row>
    <row r="91" s="839" customFormat="1" ht="15" spans="1:21">
      <c r="A91" s="1156"/>
      <c r="B91" s="19"/>
      <c r="C91" s="19"/>
      <c r="D91" s="19"/>
      <c r="E91" s="19"/>
      <c r="F91" s="19"/>
      <c r="G91" s="20" t="s">
        <v>1617</v>
      </c>
      <c r="H91" s="23" t="s">
        <v>3540</v>
      </c>
      <c r="I91" s="21" t="s">
        <v>3853</v>
      </c>
      <c r="J91" s="21" t="s">
        <v>3432</v>
      </c>
      <c r="K91" s="690" t="s">
        <v>3787</v>
      </c>
      <c r="L91" s="138" t="s">
        <v>3513</v>
      </c>
      <c r="M91" s="689" t="s">
        <v>1428</v>
      </c>
      <c r="N91" s="21" t="s">
        <v>1428</v>
      </c>
      <c r="O91" s="21">
        <v>3.5</v>
      </c>
      <c r="P91" s="22">
        <v>3.00435157632192</v>
      </c>
      <c r="Q91" s="22">
        <v>8.95597177433149</v>
      </c>
      <c r="R91" s="37">
        <v>3</v>
      </c>
      <c r="S91" s="22">
        <f t="shared" si="2"/>
        <v>18.4603233506534</v>
      </c>
      <c r="T91" s="23" t="s">
        <v>3719</v>
      </c>
      <c r="U91" s="20" t="s">
        <v>4675</v>
      </c>
    </row>
    <row r="92" s="839" customFormat="1" ht="15" spans="1:21">
      <c r="A92" s="1156"/>
      <c r="B92" s="19"/>
      <c r="C92" s="23">
        <v>20250403</v>
      </c>
      <c r="D92" s="21">
        <v>7.25</v>
      </c>
      <c r="E92" s="21">
        <v>7.24</v>
      </c>
      <c r="F92" s="19" t="s">
        <v>4676</v>
      </c>
      <c r="G92" s="20" t="s">
        <v>1629</v>
      </c>
      <c r="H92" s="23" t="s">
        <v>3540</v>
      </c>
      <c r="I92" s="690" t="s">
        <v>3799</v>
      </c>
      <c r="J92" s="21" t="s">
        <v>4677</v>
      </c>
      <c r="K92" s="690" t="s">
        <v>4670</v>
      </c>
      <c r="L92" s="138" t="s">
        <v>3513</v>
      </c>
      <c r="M92" s="689" t="s">
        <v>1428</v>
      </c>
      <c r="N92" s="913" t="s">
        <v>712</v>
      </c>
      <c r="O92" s="21">
        <v>1.3</v>
      </c>
      <c r="P92" s="22">
        <v>3.00435157632192</v>
      </c>
      <c r="Q92" s="22">
        <v>7.2239682275639</v>
      </c>
      <c r="R92" s="37">
        <v>3</v>
      </c>
      <c r="S92" s="22">
        <f t="shared" si="2"/>
        <v>14.5283198038858</v>
      </c>
      <c r="T92" s="167" t="s">
        <v>4678</v>
      </c>
      <c r="U92" s="20" t="s">
        <v>4675</v>
      </c>
    </row>
    <row r="93" s="839" customFormat="1" ht="15" spans="1:21">
      <c r="A93" s="1156"/>
      <c r="B93" s="19" t="s">
        <v>1024</v>
      </c>
      <c r="C93" s="19"/>
      <c r="D93" s="19"/>
      <c r="E93" s="19"/>
      <c r="F93" s="19"/>
      <c r="G93" s="20" t="s">
        <v>1565</v>
      </c>
      <c r="H93" s="23" t="s">
        <v>1933</v>
      </c>
      <c r="I93" s="21" t="s">
        <v>3794</v>
      </c>
      <c r="J93" s="21" t="s">
        <v>4679</v>
      </c>
      <c r="K93" s="690" t="s">
        <v>1635</v>
      </c>
      <c r="L93" s="138" t="s">
        <v>3513</v>
      </c>
      <c r="M93" s="21" t="s">
        <v>1428</v>
      </c>
      <c r="N93" s="700" t="s">
        <v>4680</v>
      </c>
      <c r="O93" s="689">
        <v>3.3</v>
      </c>
      <c r="P93" s="22">
        <v>2.68906157904197</v>
      </c>
      <c r="Q93" s="22">
        <v>13.6688979007152</v>
      </c>
      <c r="R93" s="37">
        <v>3</v>
      </c>
      <c r="S93" s="22">
        <f t="shared" si="2"/>
        <v>22.6579594797572</v>
      </c>
      <c r="T93" s="167" t="s">
        <v>4681</v>
      </c>
      <c r="U93" s="759" t="s">
        <v>4682</v>
      </c>
    </row>
    <row r="94" s="42" customFormat="1" ht="15.5" customHeight="1" spans="1:21">
      <c r="A94" s="1156"/>
      <c r="B94" s="19"/>
      <c r="C94" s="19"/>
      <c r="D94" s="19"/>
      <c r="E94" s="19"/>
      <c r="F94" s="19"/>
      <c r="G94" s="20" t="s">
        <v>1617</v>
      </c>
      <c r="H94" s="23" t="s">
        <v>1933</v>
      </c>
      <c r="I94" s="21" t="s">
        <v>3794</v>
      </c>
      <c r="J94" s="21" t="s">
        <v>4295</v>
      </c>
      <c r="K94" s="21" t="s">
        <v>1635</v>
      </c>
      <c r="L94" s="138" t="s">
        <v>3513</v>
      </c>
      <c r="M94" s="699" t="s">
        <v>3513</v>
      </c>
      <c r="N94" s="913" t="s">
        <v>712</v>
      </c>
      <c r="O94" s="689">
        <v>3.3</v>
      </c>
      <c r="P94" s="22">
        <v>2.68906157904197</v>
      </c>
      <c r="Q94" s="22">
        <v>15.4691506447433</v>
      </c>
      <c r="R94" s="37">
        <v>3</v>
      </c>
      <c r="S94" s="22">
        <f t="shared" si="2"/>
        <v>24.4582122237853</v>
      </c>
      <c r="T94" s="23" t="s">
        <v>4683</v>
      </c>
      <c r="U94" s="759" t="s">
        <v>4684</v>
      </c>
    </row>
    <row r="95" s="42" customFormat="1" ht="15.5" customHeight="1" spans="1:21">
      <c r="A95" s="1156"/>
      <c r="B95" s="19"/>
      <c r="C95" s="19"/>
      <c r="D95" s="21"/>
      <c r="E95" s="21"/>
      <c r="F95" s="19" t="s">
        <v>1025</v>
      </c>
      <c r="G95" s="20" t="s">
        <v>1026</v>
      </c>
      <c r="H95" s="23"/>
      <c r="I95" s="21"/>
      <c r="J95" s="21"/>
      <c r="K95" s="21"/>
      <c r="L95" s="21"/>
      <c r="M95" s="21"/>
      <c r="N95" s="21"/>
      <c r="O95" s="21"/>
      <c r="P95" s="22">
        <v>0.325131990920529</v>
      </c>
      <c r="Q95" s="22">
        <v>0.863179996534803</v>
      </c>
      <c r="R95" s="37">
        <v>0.2</v>
      </c>
      <c r="S95" s="22">
        <f t="shared" si="2"/>
        <v>1.38831198745533</v>
      </c>
      <c r="T95" s="23"/>
      <c r="U95" s="20"/>
    </row>
    <row r="96" s="839" customFormat="1" ht="15" spans="1:21">
      <c r="A96" s="1156"/>
      <c r="B96" s="23" t="s">
        <v>4685</v>
      </c>
      <c r="C96" s="23"/>
      <c r="D96" s="23"/>
      <c r="E96" s="23"/>
      <c r="F96" s="23"/>
      <c r="G96" s="39" t="s">
        <v>1629</v>
      </c>
      <c r="H96" s="23" t="s">
        <v>3540</v>
      </c>
      <c r="I96" s="690" t="s">
        <v>4686</v>
      </c>
      <c r="J96" s="21" t="s">
        <v>4295</v>
      </c>
      <c r="K96" s="690" t="s">
        <v>4687</v>
      </c>
      <c r="L96" s="690" t="s">
        <v>1428</v>
      </c>
      <c r="M96" s="699" t="s">
        <v>3513</v>
      </c>
      <c r="N96" s="690" t="s">
        <v>1428</v>
      </c>
      <c r="O96" s="21">
        <v>3.5</v>
      </c>
      <c r="P96" s="22">
        <v>4.45657931034483</v>
      </c>
      <c r="Q96" s="22">
        <v>12.2383828775268</v>
      </c>
      <c r="R96" s="37">
        <v>3</v>
      </c>
      <c r="S96" s="22">
        <f t="shared" si="2"/>
        <v>23.1949621878716</v>
      </c>
      <c r="T96" s="23" t="s">
        <v>4683</v>
      </c>
      <c r="U96" s="20" t="s">
        <v>4688</v>
      </c>
    </row>
    <row r="97" s="839" customFormat="1" ht="14" customHeight="1" spans="1:21">
      <c r="A97" s="1156"/>
      <c r="B97" s="23" t="s">
        <v>1027</v>
      </c>
      <c r="C97" s="23"/>
      <c r="D97" s="23"/>
      <c r="E97" s="23"/>
      <c r="F97" s="23"/>
      <c r="G97" s="20" t="s">
        <v>1604</v>
      </c>
      <c r="H97" s="23" t="s">
        <v>1933</v>
      </c>
      <c r="I97" s="690" t="s">
        <v>4686</v>
      </c>
      <c r="J97" s="21" t="s">
        <v>3670</v>
      </c>
      <c r="K97" s="690" t="s">
        <v>3787</v>
      </c>
      <c r="L97" s="690" t="s">
        <v>1428</v>
      </c>
      <c r="M97" s="690" t="s">
        <v>1428</v>
      </c>
      <c r="N97" s="913" t="s">
        <v>712</v>
      </c>
      <c r="O97" s="21">
        <v>3.5</v>
      </c>
      <c r="P97" s="22" t="e">
        <f>25.54/D97/1.13</f>
        <v>#DIV/0!</v>
      </c>
      <c r="Q97" s="22">
        <v>21.3440719948708</v>
      </c>
      <c r="R97" s="37">
        <v>3.24</v>
      </c>
      <c r="S97" s="22" t="e">
        <f t="shared" si="2"/>
        <v>#DIV/0!</v>
      </c>
      <c r="T97" s="167" t="s">
        <v>3800</v>
      </c>
      <c r="U97" s="759" t="s">
        <v>4689</v>
      </c>
    </row>
    <row r="98" s="839" customFormat="1" ht="15" spans="1:21">
      <c r="A98" s="1156"/>
      <c r="B98" s="23"/>
      <c r="C98" s="23"/>
      <c r="D98" s="23"/>
      <c r="E98" s="23"/>
      <c r="F98" s="23"/>
      <c r="G98" s="39" t="s">
        <v>1571</v>
      </c>
      <c r="H98" s="23" t="s">
        <v>1933</v>
      </c>
      <c r="I98" s="21" t="s">
        <v>3853</v>
      </c>
      <c r="J98" s="21" t="s">
        <v>3670</v>
      </c>
      <c r="K98" s="690" t="s">
        <v>3787</v>
      </c>
      <c r="L98" s="138" t="s">
        <v>3513</v>
      </c>
      <c r="M98" s="690" t="s">
        <v>1428</v>
      </c>
      <c r="N98" s="913" t="s">
        <v>712</v>
      </c>
      <c r="O98" s="21">
        <v>3.5</v>
      </c>
      <c r="P98" s="22">
        <v>5.88387222318045</v>
      </c>
      <c r="Q98" s="22">
        <v>19.4204858162052</v>
      </c>
      <c r="R98" s="37">
        <v>3.24</v>
      </c>
      <c r="S98" s="22">
        <f t="shared" si="2"/>
        <v>32.0443580393856</v>
      </c>
      <c r="T98" s="167" t="s">
        <v>3800</v>
      </c>
      <c r="U98" s="759" t="s">
        <v>4690</v>
      </c>
    </row>
    <row r="99" s="839" customFormat="1" ht="15" spans="1:21">
      <c r="A99" s="1156"/>
      <c r="B99" s="23"/>
      <c r="C99" s="23"/>
      <c r="D99" s="23">
        <v>6.901</v>
      </c>
      <c r="E99" s="23"/>
      <c r="F99" s="23"/>
      <c r="G99" s="39" t="s">
        <v>1672</v>
      </c>
      <c r="H99" s="23" t="s">
        <v>3540</v>
      </c>
      <c r="I99" s="21" t="s">
        <v>3794</v>
      </c>
      <c r="J99" s="21" t="s">
        <v>1913</v>
      </c>
      <c r="K99" s="690" t="s">
        <v>1428</v>
      </c>
      <c r="L99" s="138" t="s">
        <v>3513</v>
      </c>
      <c r="M99" s="690" t="s">
        <v>1428</v>
      </c>
      <c r="N99" s="690" t="s">
        <v>1428</v>
      </c>
      <c r="O99" s="690" t="s">
        <v>1428</v>
      </c>
      <c r="P99" s="22">
        <v>5.88387222318045</v>
      </c>
      <c r="Q99" s="22">
        <v>14.5463422250144</v>
      </c>
      <c r="R99" s="37">
        <v>3.24</v>
      </c>
      <c r="S99" s="22">
        <f t="shared" si="2"/>
        <v>23.6702144481948</v>
      </c>
      <c r="T99" s="167" t="s">
        <v>1423</v>
      </c>
      <c r="U99" s="20"/>
    </row>
    <row r="100" s="42" customFormat="1" ht="15" customHeight="1" spans="1:21">
      <c r="A100" s="1156"/>
      <c r="B100" s="23"/>
      <c r="C100" s="23"/>
      <c r="D100" s="23"/>
      <c r="E100" s="23" t="s">
        <v>1424</v>
      </c>
      <c r="F100" s="23" t="s">
        <v>1028</v>
      </c>
      <c r="G100" s="20" t="s">
        <v>652</v>
      </c>
      <c r="H100" s="20"/>
      <c r="I100" s="21"/>
      <c r="J100" s="22"/>
      <c r="K100" s="21"/>
      <c r="L100" s="21"/>
      <c r="M100" s="21"/>
      <c r="N100" s="21"/>
      <c r="O100" s="21"/>
      <c r="P100" s="22">
        <v>0.158940037370478</v>
      </c>
      <c r="Q100" s="22">
        <v>0.735097672838458</v>
      </c>
      <c r="R100" s="774">
        <f>24.03/6.91/1.13</f>
        <v>3.07749446102225</v>
      </c>
      <c r="S100" s="22">
        <f t="shared" si="2"/>
        <v>3.97153217123118</v>
      </c>
      <c r="T100" s="813" t="s">
        <v>1425</v>
      </c>
      <c r="U100" s="39"/>
    </row>
    <row r="101" s="42" customFormat="1" ht="15" customHeight="1" spans="1:21">
      <c r="A101" s="1156"/>
      <c r="B101" s="23"/>
      <c r="C101" s="23"/>
      <c r="D101" s="23"/>
      <c r="E101" s="23"/>
      <c r="F101" s="23" t="s">
        <v>1029</v>
      </c>
      <c r="G101" s="20" t="s">
        <v>1030</v>
      </c>
      <c r="H101" s="20"/>
      <c r="I101" s="21"/>
      <c r="J101" s="20"/>
      <c r="K101" s="21"/>
      <c r="L101" s="21"/>
      <c r="M101" s="21"/>
      <c r="N101" s="21"/>
      <c r="O101" s="21"/>
      <c r="P101" s="22">
        <v>0.317880074740955</v>
      </c>
      <c r="Q101" s="22">
        <v>1.17218277560727</v>
      </c>
      <c r="R101" s="37">
        <v>0.4</v>
      </c>
      <c r="S101" s="22">
        <f t="shared" si="2"/>
        <v>1.89006285034823</v>
      </c>
      <c r="T101" s="813"/>
      <c r="U101" s="20"/>
    </row>
    <row r="102" s="42" customFormat="1" ht="15" spans="1:21">
      <c r="A102" s="1156"/>
      <c r="B102" s="23" t="s">
        <v>1031</v>
      </c>
      <c r="C102" s="23"/>
      <c r="D102" s="23"/>
      <c r="E102" s="23"/>
      <c r="F102" s="23"/>
      <c r="G102" s="20" t="s">
        <v>1617</v>
      </c>
      <c r="H102" s="23" t="s">
        <v>1933</v>
      </c>
      <c r="I102" s="21" t="s">
        <v>3850</v>
      </c>
      <c r="J102" s="21" t="s">
        <v>4691</v>
      </c>
      <c r="K102" s="690" t="s">
        <v>3894</v>
      </c>
      <c r="L102" s="138" t="s">
        <v>3513</v>
      </c>
      <c r="M102" s="21" t="s">
        <v>1428</v>
      </c>
      <c r="N102" s="913" t="s">
        <v>712</v>
      </c>
      <c r="O102" s="21">
        <v>3.5</v>
      </c>
      <c r="P102" s="22">
        <v>2.61665549546873</v>
      </c>
      <c r="Q102" s="22">
        <v>15.4072498726006</v>
      </c>
      <c r="R102" s="37">
        <v>3</v>
      </c>
      <c r="S102" s="22">
        <f t="shared" si="2"/>
        <v>24.5239053680693</v>
      </c>
      <c r="T102" s="1726" t="s">
        <v>3899</v>
      </c>
      <c r="U102" s="20" t="s">
        <v>4692</v>
      </c>
    </row>
    <row r="103" s="42" customFormat="1" ht="15" spans="1:21">
      <c r="A103" s="1156"/>
      <c r="B103" s="23"/>
      <c r="C103" s="23"/>
      <c r="D103" s="23"/>
      <c r="E103" s="23"/>
      <c r="F103" s="23"/>
      <c r="G103" s="20" t="s">
        <v>1629</v>
      </c>
      <c r="H103" s="23" t="s">
        <v>1933</v>
      </c>
      <c r="I103" s="21" t="s">
        <v>3794</v>
      </c>
      <c r="J103" s="21" t="s">
        <v>4691</v>
      </c>
      <c r="K103" s="690" t="s">
        <v>3894</v>
      </c>
      <c r="L103" s="138" t="s">
        <v>3513</v>
      </c>
      <c r="M103" s="21" t="s">
        <v>1428</v>
      </c>
      <c r="N103" s="913" t="s">
        <v>712</v>
      </c>
      <c r="O103" s="21">
        <v>3.5</v>
      </c>
      <c r="P103" s="22">
        <v>2.61665549546873</v>
      </c>
      <c r="Q103" s="22">
        <v>12.8094461943424</v>
      </c>
      <c r="R103" s="37">
        <v>3</v>
      </c>
      <c r="S103" s="22">
        <f t="shared" si="2"/>
        <v>21.9261016898111</v>
      </c>
      <c r="T103" s="1726" t="s">
        <v>3899</v>
      </c>
      <c r="U103" s="759" t="s">
        <v>4693</v>
      </c>
    </row>
    <row r="104" s="42" customFormat="1" ht="15" spans="1:21">
      <c r="A104" s="1156"/>
      <c r="B104" s="23"/>
      <c r="C104" s="23"/>
      <c r="D104" s="23"/>
      <c r="E104" s="23"/>
      <c r="F104" s="23"/>
      <c r="G104" s="20" t="s">
        <v>2427</v>
      </c>
      <c r="H104" s="23" t="s">
        <v>1933</v>
      </c>
      <c r="I104" s="21" t="s">
        <v>3785</v>
      </c>
      <c r="J104" s="21" t="s">
        <v>3786</v>
      </c>
      <c r="K104" s="690" t="s">
        <v>3894</v>
      </c>
      <c r="L104" s="21" t="s">
        <v>1428</v>
      </c>
      <c r="M104" s="689" t="s">
        <v>1428</v>
      </c>
      <c r="N104" s="913" t="s">
        <v>712</v>
      </c>
      <c r="O104" s="21">
        <v>3.5</v>
      </c>
      <c r="P104" s="22">
        <v>2.61665549546873</v>
      </c>
      <c r="Q104" s="22">
        <v>13.5915713998812</v>
      </c>
      <c r="R104" s="37">
        <v>3</v>
      </c>
      <c r="S104" s="22">
        <f t="shared" si="2"/>
        <v>22.7082268953499</v>
      </c>
      <c r="T104" s="1726" t="s">
        <v>3788</v>
      </c>
      <c r="U104" s="20" t="s">
        <v>4694</v>
      </c>
    </row>
    <row r="105" s="42" customFormat="1" ht="13.2" spans="1:21">
      <c r="A105" s="1156"/>
      <c r="B105" s="19"/>
      <c r="C105" s="19"/>
      <c r="D105" s="19"/>
      <c r="E105" s="19"/>
      <c r="F105" s="19" t="s">
        <v>1032</v>
      </c>
      <c r="G105" s="20" t="s">
        <v>1033</v>
      </c>
      <c r="H105" s="23"/>
      <c r="I105" s="21"/>
      <c r="J105" s="20"/>
      <c r="K105" s="20"/>
      <c r="L105" s="20"/>
      <c r="M105" s="20"/>
      <c r="N105" s="20"/>
      <c r="O105" s="20"/>
      <c r="P105" s="22">
        <v>0.109271275692203</v>
      </c>
      <c r="Q105" s="22">
        <v>0.3079463224053</v>
      </c>
      <c r="R105" s="37">
        <v>0.2</v>
      </c>
      <c r="S105" s="22">
        <f t="shared" si="2"/>
        <v>0.617217598097503</v>
      </c>
      <c r="T105" s="756"/>
      <c r="U105" s="20"/>
    </row>
    <row r="106" s="42" customFormat="1" ht="13.2" spans="1:21">
      <c r="A106" s="1156"/>
      <c r="B106" s="19"/>
      <c r="C106" s="19"/>
      <c r="D106" s="19"/>
      <c r="E106" s="19"/>
      <c r="F106" s="19" t="s">
        <v>919</v>
      </c>
      <c r="G106" s="20" t="s">
        <v>920</v>
      </c>
      <c r="H106" s="23"/>
      <c r="I106" s="21"/>
      <c r="J106" s="21"/>
      <c r="K106" s="21"/>
      <c r="L106" s="21"/>
      <c r="M106" s="21"/>
      <c r="N106" s="21"/>
      <c r="O106" s="21"/>
      <c r="P106" s="22">
        <v>0.119205028027858</v>
      </c>
      <c r="Q106" s="22">
        <v>0.198675046713096</v>
      </c>
      <c r="R106" s="37">
        <v>0.2</v>
      </c>
      <c r="S106" s="22">
        <f t="shared" si="2"/>
        <v>0.517880074740954</v>
      </c>
      <c r="T106" s="756"/>
      <c r="U106" s="20"/>
    </row>
    <row r="107" s="42" customFormat="1" ht="15" spans="1:21">
      <c r="A107" s="1156"/>
      <c r="B107" s="19" t="s">
        <v>4695</v>
      </c>
      <c r="C107" s="19"/>
      <c r="D107" s="19"/>
      <c r="E107" s="19"/>
      <c r="F107" s="19"/>
      <c r="G107" s="20" t="s">
        <v>1565</v>
      </c>
      <c r="H107" s="23" t="s">
        <v>3540</v>
      </c>
      <c r="I107" s="21" t="s">
        <v>3853</v>
      </c>
      <c r="J107" s="21" t="s">
        <v>4696</v>
      </c>
      <c r="K107" s="21" t="s">
        <v>1428</v>
      </c>
      <c r="L107" s="138" t="s">
        <v>3513</v>
      </c>
      <c r="M107" s="21" t="s">
        <v>1428</v>
      </c>
      <c r="N107" s="913" t="s">
        <v>712</v>
      </c>
      <c r="O107" s="21" t="s">
        <v>1428</v>
      </c>
      <c r="P107" s="22">
        <v>2.93318407045927</v>
      </c>
      <c r="Q107" s="22">
        <v>20.2497699716354</v>
      </c>
      <c r="R107" s="37">
        <v>3</v>
      </c>
      <c r="S107" s="22">
        <f t="shared" si="2"/>
        <v>26.1829540420947</v>
      </c>
      <c r="T107" s="166" t="s">
        <v>3562</v>
      </c>
      <c r="U107" s="759" t="s">
        <v>4697</v>
      </c>
    </row>
    <row r="108" s="42" customFormat="1" ht="15" spans="1:21">
      <c r="A108" s="1156"/>
      <c r="B108" s="19"/>
      <c r="C108" s="19"/>
      <c r="D108" s="19"/>
      <c r="E108" s="19"/>
      <c r="F108" s="19"/>
      <c r="G108" s="20" t="s">
        <v>1617</v>
      </c>
      <c r="H108" s="23" t="s">
        <v>3540</v>
      </c>
      <c r="I108" s="21" t="s">
        <v>3853</v>
      </c>
      <c r="J108" s="21" t="s">
        <v>4696</v>
      </c>
      <c r="K108" s="21" t="s">
        <v>1428</v>
      </c>
      <c r="L108" s="138" t="s">
        <v>3513</v>
      </c>
      <c r="M108" s="21" t="s">
        <v>1428</v>
      </c>
      <c r="N108" s="913" t="s">
        <v>712</v>
      </c>
      <c r="O108" s="21" t="s">
        <v>1428</v>
      </c>
      <c r="P108" s="22">
        <v>2.93318407045927</v>
      </c>
      <c r="Q108" s="22">
        <v>19.593872766348</v>
      </c>
      <c r="R108" s="37">
        <v>3</v>
      </c>
      <c r="S108" s="22">
        <f t="shared" si="2"/>
        <v>25.5270568368073</v>
      </c>
      <c r="T108" s="166" t="s">
        <v>3558</v>
      </c>
      <c r="U108" s="759" t="s">
        <v>4697</v>
      </c>
    </row>
    <row r="109" s="42" customFormat="1" ht="15" spans="1:21">
      <c r="A109" s="1156"/>
      <c r="B109" s="19"/>
      <c r="C109" s="19"/>
      <c r="D109" s="19"/>
      <c r="E109" s="19"/>
      <c r="F109" s="19"/>
      <c r="G109" s="20" t="s">
        <v>1629</v>
      </c>
      <c r="H109" s="23" t="s">
        <v>3540</v>
      </c>
      <c r="I109" s="21" t="s">
        <v>3855</v>
      </c>
      <c r="J109" s="21" t="s">
        <v>4696</v>
      </c>
      <c r="K109" s="21" t="s">
        <v>1428</v>
      </c>
      <c r="L109" s="138" t="s">
        <v>3513</v>
      </c>
      <c r="M109" s="21" t="s">
        <v>1428</v>
      </c>
      <c r="N109" s="913" t="s">
        <v>712</v>
      </c>
      <c r="O109" s="21" t="s">
        <v>1428</v>
      </c>
      <c r="P109" s="22">
        <v>2.93318407045927</v>
      </c>
      <c r="Q109" s="22">
        <v>18.6529152646333</v>
      </c>
      <c r="R109" s="37">
        <v>3</v>
      </c>
      <c r="S109" s="22">
        <f t="shared" si="2"/>
        <v>24.5860993350926</v>
      </c>
      <c r="T109" s="166" t="s">
        <v>3562</v>
      </c>
      <c r="U109" s="759" t="s">
        <v>4697</v>
      </c>
    </row>
    <row r="110" s="42" customFormat="1" ht="15" spans="1:21">
      <c r="A110" s="1156"/>
      <c r="B110" s="19"/>
      <c r="C110" s="19"/>
      <c r="D110" s="19"/>
      <c r="E110" s="19"/>
      <c r="F110" s="19"/>
      <c r="G110" s="20" t="s">
        <v>1645</v>
      </c>
      <c r="H110" s="23" t="s">
        <v>3540</v>
      </c>
      <c r="I110" s="21" t="s">
        <v>3855</v>
      </c>
      <c r="J110" s="21" t="s">
        <v>4696</v>
      </c>
      <c r="K110" s="21" t="s">
        <v>1428</v>
      </c>
      <c r="L110" s="138" t="s">
        <v>3513</v>
      </c>
      <c r="M110" s="21" t="s">
        <v>1428</v>
      </c>
      <c r="N110" s="913" t="s">
        <v>712</v>
      </c>
      <c r="O110" s="21" t="s">
        <v>1428</v>
      </c>
      <c r="P110" s="22">
        <v>2.93318407045927</v>
      </c>
      <c r="Q110" s="22">
        <v>19.5925259243806</v>
      </c>
      <c r="R110" s="37">
        <v>3</v>
      </c>
      <c r="S110" s="22">
        <f t="shared" si="2"/>
        <v>25.5257099948399</v>
      </c>
      <c r="T110" s="166" t="s">
        <v>3558</v>
      </c>
      <c r="U110" s="759" t="s">
        <v>4698</v>
      </c>
    </row>
    <row r="111" s="42" customFormat="1" ht="15" spans="1:21">
      <c r="A111" s="1156"/>
      <c r="B111" s="19"/>
      <c r="C111" s="19">
        <v>20240416</v>
      </c>
      <c r="D111" s="21">
        <v>7.24</v>
      </c>
      <c r="E111" s="21">
        <v>7.24</v>
      </c>
      <c r="F111" s="19" t="s">
        <v>4699</v>
      </c>
      <c r="G111" s="20" t="s">
        <v>1604</v>
      </c>
      <c r="H111" s="23" t="s">
        <v>3540</v>
      </c>
      <c r="I111" s="21" t="s">
        <v>3853</v>
      </c>
      <c r="J111" s="21" t="s">
        <v>3425</v>
      </c>
      <c r="K111" s="21" t="s">
        <v>1428</v>
      </c>
      <c r="L111" s="138" t="s">
        <v>3513</v>
      </c>
      <c r="M111" s="21" t="s">
        <v>1428</v>
      </c>
      <c r="N111" s="913" t="s">
        <v>712</v>
      </c>
      <c r="O111" s="21" t="s">
        <v>1428</v>
      </c>
      <c r="P111" s="22">
        <v>2.93723542967261</v>
      </c>
      <c r="Q111" s="22">
        <v>19.1020722927787</v>
      </c>
      <c r="R111" s="37">
        <v>3</v>
      </c>
      <c r="S111" s="22">
        <f t="shared" si="2"/>
        <v>25.0393077224513</v>
      </c>
      <c r="T111" s="166" t="s">
        <v>3562</v>
      </c>
      <c r="U111" s="759" t="s">
        <v>4698</v>
      </c>
    </row>
    <row r="112" s="42" customFormat="1" ht="15" spans="1:21">
      <c r="A112" s="1156"/>
      <c r="B112" s="19"/>
      <c r="C112" s="19">
        <v>20240416</v>
      </c>
      <c r="D112" s="21">
        <v>7.24</v>
      </c>
      <c r="E112" s="21">
        <v>7.24</v>
      </c>
      <c r="F112" s="19" t="s">
        <v>4700</v>
      </c>
      <c r="G112" s="20" t="s">
        <v>1571</v>
      </c>
      <c r="H112" s="23" t="s">
        <v>3540</v>
      </c>
      <c r="I112" s="21" t="s">
        <v>3853</v>
      </c>
      <c r="J112" s="21" t="s">
        <v>3425</v>
      </c>
      <c r="K112" s="21" t="s">
        <v>1428</v>
      </c>
      <c r="L112" s="138" t="s">
        <v>3513</v>
      </c>
      <c r="M112" s="21" t="s">
        <v>1428</v>
      </c>
      <c r="N112" s="913" t="s">
        <v>712</v>
      </c>
      <c r="O112" s="21" t="s">
        <v>1428</v>
      </c>
      <c r="P112" s="22">
        <v>2.93723542967261</v>
      </c>
      <c r="Q112" s="22">
        <v>19.1528846674915</v>
      </c>
      <c r="R112" s="37">
        <v>3</v>
      </c>
      <c r="S112" s="22">
        <f t="shared" si="2"/>
        <v>25.0901200971641</v>
      </c>
      <c r="T112" s="166" t="s">
        <v>3562</v>
      </c>
      <c r="U112" s="759" t="s">
        <v>4698</v>
      </c>
    </row>
    <row r="113" s="42" customFormat="1" ht="15" spans="1:21">
      <c r="A113" s="1156"/>
      <c r="B113" s="19"/>
      <c r="C113" s="19">
        <v>20240416</v>
      </c>
      <c r="D113" s="21">
        <v>7.24</v>
      </c>
      <c r="E113" s="21">
        <v>7.24</v>
      </c>
      <c r="F113" s="19" t="s">
        <v>4701</v>
      </c>
      <c r="G113" s="20" t="s">
        <v>1685</v>
      </c>
      <c r="H113" s="23" t="s">
        <v>3540</v>
      </c>
      <c r="I113" s="21" t="s">
        <v>3853</v>
      </c>
      <c r="J113" s="21" t="s">
        <v>3425</v>
      </c>
      <c r="K113" s="21" t="s">
        <v>1428</v>
      </c>
      <c r="L113" s="138" t="s">
        <v>3513</v>
      </c>
      <c r="M113" s="21" t="s">
        <v>1428</v>
      </c>
      <c r="N113" s="21" t="s">
        <v>1428</v>
      </c>
      <c r="O113" s="21" t="s">
        <v>1428</v>
      </c>
      <c r="P113" s="22">
        <v>2.93723542967261</v>
      </c>
      <c r="Q113" s="22">
        <v>19.4018992725861</v>
      </c>
      <c r="R113" s="37">
        <v>3</v>
      </c>
      <c r="S113" s="22">
        <f t="shared" si="2"/>
        <v>25.3391347022587</v>
      </c>
      <c r="T113" s="166" t="s">
        <v>3558</v>
      </c>
      <c r="U113" s="20" t="s">
        <v>4702</v>
      </c>
    </row>
    <row r="114" s="42" customFormat="1" ht="15" spans="1:21">
      <c r="A114" s="1156"/>
      <c r="B114" s="19"/>
      <c r="C114" s="19">
        <v>20240416</v>
      </c>
      <c r="D114" s="21">
        <v>7.24</v>
      </c>
      <c r="E114" s="21">
        <v>7.24</v>
      </c>
      <c r="F114" s="19" t="s">
        <v>4703</v>
      </c>
      <c r="G114" s="20" t="s">
        <v>1669</v>
      </c>
      <c r="H114" s="23" t="s">
        <v>3540</v>
      </c>
      <c r="I114" s="21" t="s">
        <v>3853</v>
      </c>
      <c r="J114" s="21" t="s">
        <v>3425</v>
      </c>
      <c r="K114" s="21" t="s">
        <v>1428</v>
      </c>
      <c r="L114" s="138" t="s">
        <v>3513</v>
      </c>
      <c r="M114" s="21" t="s">
        <v>1428</v>
      </c>
      <c r="N114" s="21" t="s">
        <v>1428</v>
      </c>
      <c r="O114" s="21" t="s">
        <v>1428</v>
      </c>
      <c r="P114" s="22">
        <v>2.93723542967261</v>
      </c>
      <c r="Q114" s="22">
        <v>19.553581666367</v>
      </c>
      <c r="R114" s="37">
        <v>3</v>
      </c>
      <c r="S114" s="22">
        <f t="shared" si="2"/>
        <v>25.4908170960396</v>
      </c>
      <c r="T114" s="166" t="s">
        <v>3558</v>
      </c>
      <c r="U114" s="20" t="s">
        <v>4702</v>
      </c>
    </row>
    <row r="115" s="42" customFormat="1" ht="15" spans="1:21">
      <c r="A115" s="1156"/>
      <c r="B115" s="19"/>
      <c r="C115" s="19">
        <v>20241121</v>
      </c>
      <c r="D115" s="19">
        <v>7.2</v>
      </c>
      <c r="E115" s="21">
        <v>7.24</v>
      </c>
      <c r="F115" s="19" t="s">
        <v>1035</v>
      </c>
      <c r="G115" s="20" t="s">
        <v>1036</v>
      </c>
      <c r="H115" s="23"/>
      <c r="I115" s="21"/>
      <c r="J115" s="21"/>
      <c r="K115" s="21"/>
      <c r="L115" s="21"/>
      <c r="M115" s="21" t="s">
        <v>1428</v>
      </c>
      <c r="N115" s="21" t="s">
        <v>1428</v>
      </c>
      <c r="O115" s="21" t="s">
        <v>1428</v>
      </c>
      <c r="P115" s="22">
        <v>1.28531970392222</v>
      </c>
      <c r="Q115" s="22">
        <v>3.91694757058796</v>
      </c>
      <c r="R115" s="37">
        <v>0.2</v>
      </c>
      <c r="S115" s="22">
        <f t="shared" si="2"/>
        <v>5.40226727451018</v>
      </c>
      <c r="T115" s="166"/>
      <c r="U115" s="139" t="s">
        <v>1037</v>
      </c>
    </row>
    <row r="116" s="42" customFormat="1" ht="15" spans="1:21">
      <c r="A116" s="1156"/>
      <c r="B116" s="19"/>
      <c r="C116" s="19">
        <v>20250507</v>
      </c>
      <c r="D116" s="21">
        <v>7.24</v>
      </c>
      <c r="E116" s="21"/>
      <c r="F116" s="19" t="s">
        <v>1449</v>
      </c>
      <c r="G116" s="20" t="s">
        <v>1039</v>
      </c>
      <c r="H116" s="23"/>
      <c r="I116" s="21"/>
      <c r="J116" s="21"/>
      <c r="K116" s="21"/>
      <c r="L116" s="21"/>
      <c r="M116" s="21"/>
      <c r="N116" s="21"/>
      <c r="O116" s="21"/>
      <c r="P116" s="22">
        <v>0.558597760719699</v>
      </c>
      <c r="Q116" s="22">
        <v>3.88854529122828</v>
      </c>
      <c r="R116" s="37">
        <v>0.2</v>
      </c>
      <c r="S116" s="22">
        <f t="shared" si="2"/>
        <v>4.64714305194798</v>
      </c>
      <c r="T116" s="166"/>
      <c r="U116" s="139" t="s">
        <v>1040</v>
      </c>
    </row>
    <row r="117" s="42" customFormat="1" ht="15" spans="1:21">
      <c r="A117" s="1156"/>
      <c r="B117" s="19"/>
      <c r="C117" s="19"/>
      <c r="D117" s="21"/>
      <c r="E117" s="21"/>
      <c r="F117" s="19" t="s">
        <v>1041</v>
      </c>
      <c r="G117" s="20" t="s">
        <v>1042</v>
      </c>
      <c r="H117" s="23"/>
      <c r="I117" s="21"/>
      <c r="J117" s="21"/>
      <c r="K117" s="21"/>
      <c r="L117" s="21"/>
      <c r="M117" s="21"/>
      <c r="N117" s="21"/>
      <c r="O117" s="21"/>
      <c r="P117" s="22">
        <v>1.06372734272316</v>
      </c>
      <c r="Q117" s="22">
        <v>8.04401851342734</v>
      </c>
      <c r="R117" s="37">
        <v>0.4</v>
      </c>
      <c r="S117" s="22">
        <f t="shared" si="2"/>
        <v>9.5077458561505</v>
      </c>
      <c r="T117" s="38"/>
      <c r="U117" s="759" t="s">
        <v>1043</v>
      </c>
    </row>
    <row r="118" s="42" customFormat="1" ht="13.2" spans="1:21">
      <c r="A118" s="1156"/>
      <c r="B118" s="19"/>
      <c r="C118" s="19"/>
      <c r="D118" s="21"/>
      <c r="E118" s="21"/>
      <c r="F118" s="19" t="s">
        <v>1044</v>
      </c>
      <c r="G118" s="20" t="s">
        <v>1045</v>
      </c>
      <c r="H118" s="23"/>
      <c r="I118" s="21"/>
      <c r="J118" s="21"/>
      <c r="K118" s="21"/>
      <c r="L118" s="21"/>
      <c r="M118" s="21"/>
      <c r="N118" s="21"/>
      <c r="O118" s="21"/>
      <c r="P118" s="22">
        <v>0.0850981874178525</v>
      </c>
      <c r="Q118" s="22">
        <v>0.122503846563729</v>
      </c>
      <c r="R118" s="37">
        <v>0.2</v>
      </c>
      <c r="S118" s="22">
        <f t="shared" si="2"/>
        <v>0.407602033981582</v>
      </c>
      <c r="T118" s="38"/>
      <c r="U118" s="20"/>
    </row>
    <row r="119" s="42" customFormat="1" ht="13.2" spans="1:21">
      <c r="A119" s="1156"/>
      <c r="B119" s="19"/>
      <c r="C119" s="19"/>
      <c r="D119" s="21"/>
      <c r="E119" s="21"/>
      <c r="F119" s="19" t="s">
        <v>1046</v>
      </c>
      <c r="G119" s="20" t="s">
        <v>1047</v>
      </c>
      <c r="H119" s="23"/>
      <c r="I119" s="21"/>
      <c r="J119" s="21"/>
      <c r="K119" s="21"/>
      <c r="L119" s="21"/>
      <c r="M119" s="21"/>
      <c r="N119" s="21"/>
      <c r="O119" s="21"/>
      <c r="P119" s="22">
        <v>0.0850981874178525</v>
      </c>
      <c r="Q119" s="22">
        <v>0.180928758001816</v>
      </c>
      <c r="R119" s="37">
        <v>0.2</v>
      </c>
      <c r="S119" s="22">
        <f t="shared" si="2"/>
        <v>0.466026945419668</v>
      </c>
      <c r="T119" s="38"/>
      <c r="U119" s="20"/>
    </row>
    <row r="120" s="42" customFormat="1" ht="13.2" spans="1:21">
      <c r="A120" s="1156"/>
      <c r="B120" s="19"/>
      <c r="C120" s="19"/>
      <c r="D120" s="21"/>
      <c r="E120" s="21"/>
      <c r="F120" s="19" t="s">
        <v>1048</v>
      </c>
      <c r="G120" s="20" t="s">
        <v>1049</v>
      </c>
      <c r="H120" s="23"/>
      <c r="I120" s="21"/>
      <c r="J120" s="21"/>
      <c r="K120" s="21"/>
      <c r="L120" s="21"/>
      <c r="M120" s="21"/>
      <c r="N120" s="21"/>
      <c r="O120" s="21"/>
      <c r="P120" s="22">
        <v>0.425490937089263</v>
      </c>
      <c r="Q120" s="22">
        <v>4.11723623993378</v>
      </c>
      <c r="R120" s="37">
        <v>0.4</v>
      </c>
      <c r="S120" s="22">
        <f t="shared" si="2"/>
        <v>4.94272717702304</v>
      </c>
      <c r="T120" s="38"/>
      <c r="U120" s="20"/>
    </row>
    <row r="121" s="839" customFormat="1" ht="15" spans="1:21">
      <c r="A121" s="1156"/>
      <c r="B121" s="19" t="s">
        <v>1057</v>
      </c>
      <c r="C121" s="19"/>
      <c r="D121" s="19"/>
      <c r="E121" s="19"/>
      <c r="F121" s="19"/>
      <c r="G121" s="20" t="s">
        <v>1645</v>
      </c>
      <c r="H121" s="23" t="s">
        <v>1933</v>
      </c>
      <c r="I121" s="21" t="s">
        <v>3794</v>
      </c>
      <c r="J121" s="21" t="s">
        <v>3436</v>
      </c>
      <c r="K121" s="690" t="s">
        <v>3787</v>
      </c>
      <c r="L121" s="138" t="s">
        <v>3513</v>
      </c>
      <c r="M121" s="21" t="s">
        <v>712</v>
      </c>
      <c r="N121" s="21" t="s">
        <v>1428</v>
      </c>
      <c r="O121" s="21">
        <v>3.5</v>
      </c>
      <c r="P121" s="22">
        <v>3.82136551724138</v>
      </c>
      <c r="Q121" s="22">
        <v>11.8875724137931</v>
      </c>
      <c r="R121" s="37">
        <v>3</v>
      </c>
      <c r="S121" s="22">
        <f t="shared" si="2"/>
        <v>22.2089379310345</v>
      </c>
      <c r="T121" s="23" t="s">
        <v>4704</v>
      </c>
      <c r="U121" s="20" t="s">
        <v>4705</v>
      </c>
    </row>
    <row r="122" s="839" customFormat="1" ht="13.2" spans="1:21">
      <c r="A122" s="1156"/>
      <c r="B122" s="19"/>
      <c r="C122" s="19"/>
      <c r="D122" s="19"/>
      <c r="E122" s="19"/>
      <c r="F122" s="19" t="s">
        <v>1058</v>
      </c>
      <c r="G122" s="20" t="s">
        <v>1059</v>
      </c>
      <c r="H122" s="23"/>
      <c r="I122" s="21"/>
      <c r="J122" s="21"/>
      <c r="K122" s="690"/>
      <c r="L122" s="21"/>
      <c r="M122" s="21"/>
      <c r="N122" s="21"/>
      <c r="O122" s="21"/>
      <c r="P122" s="22">
        <v>0.443641379310345</v>
      </c>
      <c r="Q122" s="22">
        <v>1.15951724137931</v>
      </c>
      <c r="R122" s="37">
        <v>0.4</v>
      </c>
      <c r="S122" s="22">
        <f t="shared" si="2"/>
        <v>2.00315862068965</v>
      </c>
      <c r="T122" s="23"/>
      <c r="U122" s="20"/>
    </row>
    <row r="123" s="839" customFormat="1" ht="13.2" spans="1:21">
      <c r="A123" s="1156"/>
      <c r="B123" s="19"/>
      <c r="C123" s="19"/>
      <c r="D123" s="19"/>
      <c r="E123" s="19"/>
      <c r="F123" s="19" t="s">
        <v>1060</v>
      </c>
      <c r="G123" s="20" t="s">
        <v>1061</v>
      </c>
      <c r="H123" s="23"/>
      <c r="I123" s="21"/>
      <c r="J123" s="21"/>
      <c r="K123" s="690"/>
      <c r="L123" s="21"/>
      <c r="M123" s="21"/>
      <c r="N123" s="21"/>
      <c r="O123" s="21"/>
      <c r="P123" s="22">
        <v>0.466886359775777</v>
      </c>
      <c r="Q123" s="22">
        <v>1.4304603363343</v>
      </c>
      <c r="R123" s="37">
        <v>0.4</v>
      </c>
      <c r="S123" s="22">
        <f t="shared" si="2"/>
        <v>2.29734669611008</v>
      </c>
      <c r="T123" s="23"/>
      <c r="U123" s="20"/>
    </row>
    <row r="124" s="42" customFormat="1" ht="18.75" customHeight="1" spans="1:21">
      <c r="A124" s="1156"/>
      <c r="B124" s="19" t="s">
        <v>4706</v>
      </c>
      <c r="C124" s="19"/>
      <c r="D124" s="19"/>
      <c r="E124" s="19"/>
      <c r="F124" s="19"/>
      <c r="G124" s="20" t="s">
        <v>1565</v>
      </c>
      <c r="H124" s="23" t="s">
        <v>1933</v>
      </c>
      <c r="I124" s="21" t="s">
        <v>3794</v>
      </c>
      <c r="J124" s="21" t="s">
        <v>4679</v>
      </c>
      <c r="K124" s="21" t="s">
        <v>1720</v>
      </c>
      <c r="L124" s="138" t="s">
        <v>3513</v>
      </c>
      <c r="M124" s="699" t="s">
        <v>3513</v>
      </c>
      <c r="N124" s="913" t="s">
        <v>712</v>
      </c>
      <c r="O124" s="21">
        <v>2.3</v>
      </c>
      <c r="P124" s="22">
        <v>3.34604821483064</v>
      </c>
      <c r="Q124" s="22">
        <v>19.214393047522</v>
      </c>
      <c r="R124" s="37">
        <v>3</v>
      </c>
      <c r="S124" s="22">
        <f t="shared" si="2"/>
        <v>27.8604412623526</v>
      </c>
      <c r="T124" s="166" t="s">
        <v>4707</v>
      </c>
      <c r="U124" s="20" t="s">
        <v>4708</v>
      </c>
    </row>
    <row r="125" s="42" customFormat="1" ht="15" spans="1:21">
      <c r="A125" s="1156"/>
      <c r="B125" s="1727" t="s">
        <v>1062</v>
      </c>
      <c r="C125" s="1727"/>
      <c r="D125" s="1727"/>
      <c r="E125" s="1727"/>
      <c r="F125" s="19" t="s">
        <v>1452</v>
      </c>
      <c r="G125" s="20" t="s">
        <v>1064</v>
      </c>
      <c r="H125" s="21"/>
      <c r="I125" s="21"/>
      <c r="J125" s="21"/>
      <c r="K125" s="21"/>
      <c r="L125" s="21"/>
      <c r="M125" s="21"/>
      <c r="N125" s="21"/>
      <c r="O125" s="21"/>
      <c r="P125" s="22">
        <v>1.46275331795875</v>
      </c>
      <c r="Q125" s="22">
        <v>5.40421603783209</v>
      </c>
      <c r="R125" s="37">
        <v>0.4</v>
      </c>
      <c r="S125" s="22">
        <f t="shared" si="2"/>
        <v>7.26696935579084</v>
      </c>
      <c r="T125" s="23"/>
      <c r="U125" s="1127" t="s">
        <v>1065</v>
      </c>
    </row>
    <row r="126" s="42" customFormat="1" ht="15" spans="1:21">
      <c r="A126" s="1156"/>
      <c r="B126" s="1727"/>
      <c r="C126" s="1727"/>
      <c r="D126" s="1727"/>
      <c r="E126" s="1727"/>
      <c r="F126" s="19"/>
      <c r="G126" s="20" t="s">
        <v>1066</v>
      </c>
      <c r="H126" s="21"/>
      <c r="I126" s="21"/>
      <c r="J126" s="21"/>
      <c r="K126" s="21"/>
      <c r="L126" s="21"/>
      <c r="M126" s="21"/>
      <c r="N126" s="21"/>
      <c r="O126" s="21"/>
      <c r="P126" s="22">
        <v>0.225893550368313</v>
      </c>
      <c r="Q126" s="22">
        <v>3.376351935597</v>
      </c>
      <c r="R126" s="37">
        <v>0.4</v>
      </c>
      <c r="S126" s="22">
        <f t="shared" si="2"/>
        <v>4.00224548596531</v>
      </c>
      <c r="T126" s="23"/>
      <c r="U126" s="1127" t="s">
        <v>1065</v>
      </c>
    </row>
    <row r="127" s="42" customFormat="1" ht="19" customHeight="1" spans="1:21">
      <c r="A127" s="1156"/>
      <c r="B127" s="1728" t="s">
        <v>4709</v>
      </c>
      <c r="C127" s="19"/>
      <c r="D127" s="19"/>
      <c r="E127" s="19"/>
      <c r="F127" s="19"/>
      <c r="G127" s="759" t="s">
        <v>4172</v>
      </c>
      <c r="H127" s="23" t="s">
        <v>4710</v>
      </c>
      <c r="I127" s="21" t="s">
        <v>4711</v>
      </c>
      <c r="J127" s="21" t="s">
        <v>1913</v>
      </c>
      <c r="K127" s="21" t="s">
        <v>1428</v>
      </c>
      <c r="L127" s="138" t="s">
        <v>3513</v>
      </c>
      <c r="M127" s="21" t="s">
        <v>1428</v>
      </c>
      <c r="N127" s="21" t="s">
        <v>1428</v>
      </c>
      <c r="O127" s="21" t="s">
        <v>1428</v>
      </c>
      <c r="P127" s="22">
        <v>3.25035719696628</v>
      </c>
      <c r="Q127" s="22">
        <v>9.66115085244823</v>
      </c>
      <c r="R127" s="37">
        <v>3</v>
      </c>
      <c r="S127" s="22">
        <f t="shared" si="2"/>
        <v>15.9115080494145</v>
      </c>
      <c r="T127" s="750" t="s">
        <v>1526</v>
      </c>
      <c r="U127" s="759" t="s">
        <v>4712</v>
      </c>
    </row>
    <row r="128" s="42" customFormat="1" ht="15" spans="1:21">
      <c r="A128" s="1156"/>
      <c r="B128" s="19" t="s">
        <v>4713</v>
      </c>
      <c r="C128" s="19"/>
      <c r="D128" s="19"/>
      <c r="E128" s="19"/>
      <c r="F128" s="19"/>
      <c r="G128" s="864" t="s">
        <v>4172</v>
      </c>
      <c r="H128" s="21" t="s">
        <v>1428</v>
      </c>
      <c r="I128" s="21" t="s">
        <v>1428</v>
      </c>
      <c r="J128" s="21" t="s">
        <v>1428</v>
      </c>
      <c r="K128" s="21" t="s">
        <v>1428</v>
      </c>
      <c r="L128" s="21" t="s">
        <v>1428</v>
      </c>
      <c r="M128" s="21" t="s">
        <v>1428</v>
      </c>
      <c r="N128" s="21" t="s">
        <v>1428</v>
      </c>
      <c r="O128" s="21" t="s">
        <v>1428</v>
      </c>
      <c r="P128" s="22">
        <v>1.49753206817595</v>
      </c>
      <c r="Q128" s="22">
        <v>4.52394899875691</v>
      </c>
      <c r="R128" s="37">
        <v>3</v>
      </c>
      <c r="S128" s="22">
        <f t="shared" si="2"/>
        <v>9.02148106693286</v>
      </c>
      <c r="T128" s="23"/>
      <c r="U128" s="695" t="s">
        <v>4714</v>
      </c>
    </row>
    <row r="129" s="42" customFormat="1" ht="15" spans="1:21">
      <c r="A129" s="1156"/>
      <c r="B129" s="19"/>
      <c r="C129" s="19"/>
      <c r="D129" s="19"/>
      <c r="E129" s="19"/>
      <c r="F129" s="19"/>
      <c r="G129" s="21"/>
      <c r="H129" s="21" t="s">
        <v>1428</v>
      </c>
      <c r="I129" s="21" t="s">
        <v>1428</v>
      </c>
      <c r="J129" s="21" t="s">
        <v>1428</v>
      </c>
      <c r="K129" s="21" t="s">
        <v>1428</v>
      </c>
      <c r="L129" s="21" t="s">
        <v>1428</v>
      </c>
      <c r="M129" s="21" t="s">
        <v>1428</v>
      </c>
      <c r="N129" s="21" t="s">
        <v>1428</v>
      </c>
      <c r="O129" s="21" t="s">
        <v>1428</v>
      </c>
      <c r="P129" s="22">
        <v>1.12314905113196</v>
      </c>
      <c r="Q129" s="22">
        <v>4.52394899875691</v>
      </c>
      <c r="R129" s="37">
        <v>3</v>
      </c>
      <c r="S129" s="22">
        <f t="shared" si="2"/>
        <v>8.64709804988887</v>
      </c>
      <c r="T129" s="23"/>
      <c r="U129" s="695" t="s">
        <v>4714</v>
      </c>
    </row>
    <row r="130" s="839" customFormat="1" ht="13.2" spans="1:21">
      <c r="A130" s="1729"/>
      <c r="B130" s="19" t="s">
        <v>4715</v>
      </c>
      <c r="C130" s="19">
        <v>20241025</v>
      </c>
      <c r="D130" s="19">
        <v>7.11</v>
      </c>
      <c r="E130" s="21">
        <v>7.24</v>
      </c>
      <c r="F130" s="19" t="s">
        <v>4716</v>
      </c>
      <c r="G130" s="20" t="s">
        <v>1565</v>
      </c>
      <c r="H130" s="23" t="s">
        <v>3767</v>
      </c>
      <c r="I130" s="21" t="s">
        <v>3542</v>
      </c>
      <c r="J130" s="21" t="s">
        <v>1913</v>
      </c>
      <c r="K130" s="21" t="s">
        <v>1428</v>
      </c>
      <c r="L130" s="138" t="s">
        <v>3513</v>
      </c>
      <c r="M130" s="21" t="s">
        <v>1428</v>
      </c>
      <c r="N130" s="21" t="s">
        <v>1428</v>
      </c>
      <c r="O130" s="21" t="s">
        <v>1428</v>
      </c>
      <c r="P130" s="22">
        <f t="shared" ref="P130:P135" si="3">2.85916939341751/7.31*7.24</f>
        <v>2.83179020633964</v>
      </c>
      <c r="Q130" s="22">
        <v>10.5637758189317</v>
      </c>
      <c r="R130" s="37">
        <v>2.60506749636358</v>
      </c>
      <c r="S130" s="22">
        <f t="shared" ref="S130:S169" si="4">SUBTOTAL(9,J130:R130)</f>
        <v>16.0006335216349</v>
      </c>
      <c r="T130" s="750" t="s">
        <v>1526</v>
      </c>
      <c r="U130" s="139" t="s">
        <v>4717</v>
      </c>
    </row>
    <row r="131" s="839" customFormat="1" ht="13.2" spans="1:21">
      <c r="A131" s="1730"/>
      <c r="B131" s="19"/>
      <c r="C131" s="19">
        <v>20241025</v>
      </c>
      <c r="D131" s="19">
        <v>7.11</v>
      </c>
      <c r="E131" s="21">
        <v>7.24</v>
      </c>
      <c r="F131" s="19" t="s">
        <v>4718</v>
      </c>
      <c r="G131" s="20" t="s">
        <v>1617</v>
      </c>
      <c r="H131" s="23">
        <f>2.75/6.9514/1.13</f>
        <v>0.350091825903282</v>
      </c>
      <c r="I131" s="21" t="s">
        <v>4719</v>
      </c>
      <c r="J131" s="21" t="s">
        <v>1913</v>
      </c>
      <c r="K131" s="21" t="s">
        <v>1428</v>
      </c>
      <c r="L131" s="138" t="s">
        <v>3513</v>
      </c>
      <c r="M131" s="21" t="s">
        <v>1428</v>
      </c>
      <c r="N131" s="21" t="s">
        <v>1428</v>
      </c>
      <c r="O131" s="21" t="s">
        <v>1428</v>
      </c>
      <c r="P131" s="22">
        <f t="shared" si="3"/>
        <v>2.83179020633964</v>
      </c>
      <c r="Q131" s="22">
        <v>10.8626404396705</v>
      </c>
      <c r="R131" s="37">
        <v>2.60506749636358</v>
      </c>
      <c r="S131" s="22">
        <f t="shared" si="4"/>
        <v>16.2994981423737</v>
      </c>
      <c r="T131" s="750" t="s">
        <v>1526</v>
      </c>
      <c r="U131" s="139" t="s">
        <v>4720</v>
      </c>
    </row>
    <row r="132" s="839" customFormat="1" ht="13.2" spans="1:21">
      <c r="A132" s="1730"/>
      <c r="B132" s="19"/>
      <c r="C132" s="19">
        <v>20241025</v>
      </c>
      <c r="D132" s="19">
        <v>7.11</v>
      </c>
      <c r="E132" s="21">
        <v>7.24</v>
      </c>
      <c r="F132" s="19" t="s">
        <v>4721</v>
      </c>
      <c r="G132" s="20" t="s">
        <v>1629</v>
      </c>
      <c r="H132" s="23" t="s">
        <v>4722</v>
      </c>
      <c r="I132" s="21" t="s">
        <v>3535</v>
      </c>
      <c r="J132" s="21" t="s">
        <v>3349</v>
      </c>
      <c r="K132" s="21" t="s">
        <v>1428</v>
      </c>
      <c r="L132" s="138" t="s">
        <v>3513</v>
      </c>
      <c r="M132" s="21" t="s">
        <v>1428</v>
      </c>
      <c r="N132" s="913" t="s">
        <v>712</v>
      </c>
      <c r="O132" s="21" t="s">
        <v>1428</v>
      </c>
      <c r="P132" s="22">
        <f t="shared" si="3"/>
        <v>2.83179020633964</v>
      </c>
      <c r="Q132" s="22">
        <v>14.0642362674544</v>
      </c>
      <c r="R132" s="37">
        <v>2.60506749636358</v>
      </c>
      <c r="S132" s="22">
        <f t="shared" si="4"/>
        <v>19.5010939701576</v>
      </c>
      <c r="T132" s="750" t="s">
        <v>3671</v>
      </c>
      <c r="U132" s="139" t="s">
        <v>4723</v>
      </c>
    </row>
    <row r="133" s="839" customFormat="1" ht="13.2" spans="1:21">
      <c r="A133" s="1730"/>
      <c r="B133" s="19"/>
      <c r="C133" s="19">
        <v>20250115</v>
      </c>
      <c r="D133" s="19">
        <v>7.3</v>
      </c>
      <c r="E133" s="21">
        <v>7.24</v>
      </c>
      <c r="F133" s="19" t="s">
        <v>4724</v>
      </c>
      <c r="G133" s="20" t="s">
        <v>1645</v>
      </c>
      <c r="H133" s="23" t="s">
        <v>3767</v>
      </c>
      <c r="I133" s="21" t="s">
        <v>3542</v>
      </c>
      <c r="J133" s="21" t="s">
        <v>1913</v>
      </c>
      <c r="K133" s="21"/>
      <c r="L133" s="138" t="s">
        <v>3513</v>
      </c>
      <c r="M133" s="21"/>
      <c r="N133" s="21"/>
      <c r="O133" s="21"/>
      <c r="P133" s="22">
        <f t="shared" si="3"/>
        <v>2.83179020633964</v>
      </c>
      <c r="Q133" s="22">
        <v>8.96152053563541</v>
      </c>
      <c r="R133" s="37">
        <v>2.60506749636358</v>
      </c>
      <c r="S133" s="22">
        <f t="shared" si="4"/>
        <v>14.3983782383386</v>
      </c>
      <c r="T133" s="750" t="s">
        <v>1526</v>
      </c>
      <c r="U133" s="139" t="s">
        <v>4725</v>
      </c>
    </row>
    <row r="134" s="839" customFormat="1" ht="13.2" spans="1:21">
      <c r="A134" s="1730"/>
      <c r="B134" s="19"/>
      <c r="C134" s="19">
        <v>20250115</v>
      </c>
      <c r="D134" s="19">
        <v>7.3</v>
      </c>
      <c r="E134" s="21">
        <v>7.24</v>
      </c>
      <c r="F134" s="19" t="s">
        <v>4726</v>
      </c>
      <c r="G134" s="20" t="s">
        <v>1604</v>
      </c>
      <c r="H134" s="23" t="s">
        <v>3767</v>
      </c>
      <c r="I134" s="21" t="s">
        <v>4719</v>
      </c>
      <c r="J134" s="21" t="s">
        <v>3670</v>
      </c>
      <c r="K134" s="21"/>
      <c r="L134" s="138" t="s">
        <v>3513</v>
      </c>
      <c r="M134" s="21" t="s">
        <v>1428</v>
      </c>
      <c r="N134" s="913" t="s">
        <v>712</v>
      </c>
      <c r="O134" s="21"/>
      <c r="P134" s="22">
        <f t="shared" si="3"/>
        <v>2.83179020633964</v>
      </c>
      <c r="Q134" s="22">
        <v>9.24787562692585</v>
      </c>
      <c r="R134" s="37">
        <v>2.60506749636358</v>
      </c>
      <c r="S134" s="22">
        <f t="shared" si="4"/>
        <v>14.6847333296291</v>
      </c>
      <c r="T134" s="750" t="s">
        <v>3384</v>
      </c>
      <c r="U134" s="139" t="s">
        <v>4725</v>
      </c>
    </row>
    <row r="135" s="839" customFormat="1" ht="13.2" spans="1:21">
      <c r="A135" s="1731"/>
      <c r="B135" s="19"/>
      <c r="C135" s="19">
        <v>20250115</v>
      </c>
      <c r="D135" s="19">
        <v>7.3</v>
      </c>
      <c r="E135" s="21">
        <v>7.24</v>
      </c>
      <c r="F135" s="19" t="s">
        <v>3381</v>
      </c>
      <c r="G135" s="20" t="s">
        <v>1571</v>
      </c>
      <c r="H135" s="23" t="s">
        <v>4727</v>
      </c>
      <c r="I135" s="21" t="s">
        <v>3535</v>
      </c>
      <c r="J135" s="21" t="s">
        <v>3349</v>
      </c>
      <c r="K135" s="21"/>
      <c r="L135" s="138" t="s">
        <v>3513</v>
      </c>
      <c r="M135" s="21"/>
      <c r="N135" s="913" t="s">
        <v>712</v>
      </c>
      <c r="O135" s="21"/>
      <c r="P135" s="22">
        <f t="shared" si="3"/>
        <v>2.83179020633964</v>
      </c>
      <c r="Q135" s="22">
        <v>12.3649712538428</v>
      </c>
      <c r="R135" s="37">
        <v>2.60506749636358</v>
      </c>
      <c r="S135" s="22">
        <f t="shared" si="4"/>
        <v>17.801828956546</v>
      </c>
      <c r="T135" s="750" t="s">
        <v>3384</v>
      </c>
      <c r="U135" s="139" t="s">
        <v>4728</v>
      </c>
    </row>
    <row r="136" s="1693" customFormat="1" ht="15" spans="1:21">
      <c r="A136" s="805"/>
      <c r="B136" s="687" t="s">
        <v>4729</v>
      </c>
      <c r="C136" s="23">
        <v>20241121</v>
      </c>
      <c r="D136" s="21">
        <v>7.2</v>
      </c>
      <c r="E136" s="21">
        <v>7.17</v>
      </c>
      <c r="F136" s="23" t="s">
        <v>4730</v>
      </c>
      <c r="G136" s="20" t="s">
        <v>1565</v>
      </c>
      <c r="H136" s="23" t="s">
        <v>3989</v>
      </c>
      <c r="I136" s="21" t="s">
        <v>3542</v>
      </c>
      <c r="J136" s="21" t="s">
        <v>4731</v>
      </c>
      <c r="K136" s="21" t="s">
        <v>1635</v>
      </c>
      <c r="L136" s="138" t="s">
        <v>3513</v>
      </c>
      <c r="M136" s="21" t="s">
        <v>1428</v>
      </c>
      <c r="N136" s="913" t="s">
        <v>712</v>
      </c>
      <c r="O136" s="21">
        <v>3.1</v>
      </c>
      <c r="P136" s="22">
        <f t="shared" ref="P136:P150" si="5">26.56/E136/1.13</f>
        <v>3.27816245171005</v>
      </c>
      <c r="Q136" s="22">
        <v>13.883103383197</v>
      </c>
      <c r="R136" s="37">
        <v>3</v>
      </c>
      <c r="S136" s="22">
        <f t="shared" si="4"/>
        <v>23.2612658349071</v>
      </c>
      <c r="T136" s="167" t="s">
        <v>4732</v>
      </c>
      <c r="U136" s="1591" t="s">
        <v>4733</v>
      </c>
    </row>
    <row r="137" s="1693" customFormat="1" ht="15" spans="1:21">
      <c r="A137" s="805"/>
      <c r="B137" s="687"/>
      <c r="C137" s="23">
        <v>20241121</v>
      </c>
      <c r="D137" s="21">
        <v>7.2</v>
      </c>
      <c r="E137" s="21">
        <v>7.17</v>
      </c>
      <c r="F137" s="780" t="s">
        <v>4734</v>
      </c>
      <c r="G137" s="20" t="s">
        <v>1617</v>
      </c>
      <c r="H137" s="750" t="s">
        <v>4735</v>
      </c>
      <c r="I137" s="21" t="s">
        <v>4719</v>
      </c>
      <c r="J137" s="21" t="s">
        <v>3898</v>
      </c>
      <c r="K137" s="21" t="s">
        <v>1635</v>
      </c>
      <c r="L137" s="138" t="s">
        <v>3513</v>
      </c>
      <c r="M137" s="21">
        <f>6*2</f>
        <v>12</v>
      </c>
      <c r="N137" s="913" t="s">
        <v>712</v>
      </c>
      <c r="O137" s="21">
        <v>3.1</v>
      </c>
      <c r="P137" s="22">
        <f t="shared" si="5"/>
        <v>3.27816245171005</v>
      </c>
      <c r="Q137" s="22">
        <v>14.8303703133773</v>
      </c>
      <c r="R137" s="37">
        <v>3</v>
      </c>
      <c r="S137" s="22">
        <f t="shared" si="4"/>
        <v>36.2085327650873</v>
      </c>
      <c r="T137" s="167" t="s">
        <v>4736</v>
      </c>
      <c r="U137" s="167" t="s">
        <v>4737</v>
      </c>
    </row>
    <row r="138" s="1693" customFormat="1" ht="15" spans="1:21">
      <c r="A138" s="805"/>
      <c r="B138" s="687"/>
      <c r="C138" s="23">
        <v>20241121</v>
      </c>
      <c r="D138" s="21">
        <v>7.2</v>
      </c>
      <c r="E138" s="21">
        <v>7.17</v>
      </c>
      <c r="F138" s="780" t="s">
        <v>4738</v>
      </c>
      <c r="G138" s="20" t="s">
        <v>1629</v>
      </c>
      <c r="H138" s="750" t="s">
        <v>4735</v>
      </c>
      <c r="I138" s="21" t="s">
        <v>3542</v>
      </c>
      <c r="J138" s="21" t="s">
        <v>3898</v>
      </c>
      <c r="K138" s="21" t="s">
        <v>1720</v>
      </c>
      <c r="L138" s="138" t="s">
        <v>3513</v>
      </c>
      <c r="M138" s="21" t="s">
        <v>1428</v>
      </c>
      <c r="N138" s="913" t="s">
        <v>712</v>
      </c>
      <c r="O138" s="21">
        <v>2.3</v>
      </c>
      <c r="P138" s="22">
        <f t="shared" si="5"/>
        <v>3.27816245171005</v>
      </c>
      <c r="Q138" s="22">
        <v>14.5799947058311</v>
      </c>
      <c r="R138" s="37">
        <v>3</v>
      </c>
      <c r="S138" s="22">
        <f t="shared" si="4"/>
        <v>23.1581571575411</v>
      </c>
      <c r="T138" s="750" t="s">
        <v>4739</v>
      </c>
      <c r="U138" s="167" t="s">
        <v>4740</v>
      </c>
    </row>
    <row r="139" s="1693" customFormat="1" ht="15" spans="1:21">
      <c r="A139" s="805"/>
      <c r="B139" s="687"/>
      <c r="C139" s="23">
        <v>20250224</v>
      </c>
      <c r="D139" s="21">
        <v>7.25</v>
      </c>
      <c r="E139" s="21">
        <v>7.17</v>
      </c>
      <c r="F139" s="780" t="s">
        <v>4741</v>
      </c>
      <c r="G139" s="20" t="s">
        <v>1645</v>
      </c>
      <c r="H139" s="750" t="s">
        <v>4742</v>
      </c>
      <c r="I139" s="21" t="s">
        <v>3542</v>
      </c>
      <c r="J139" s="21" t="s">
        <v>3909</v>
      </c>
      <c r="K139" s="21" t="s">
        <v>1635</v>
      </c>
      <c r="L139" s="138" t="s">
        <v>3513</v>
      </c>
      <c r="M139" s="21" t="s">
        <v>1428</v>
      </c>
      <c r="N139" s="689" t="s">
        <v>1428</v>
      </c>
      <c r="O139" s="21">
        <v>3.1</v>
      </c>
      <c r="P139" s="22">
        <f t="shared" si="5"/>
        <v>3.27816245171005</v>
      </c>
      <c r="Q139" s="22">
        <v>13.2936946095503</v>
      </c>
      <c r="R139" s="37">
        <v>3</v>
      </c>
      <c r="S139" s="22">
        <f t="shared" si="4"/>
        <v>22.6718570612604</v>
      </c>
      <c r="T139" s="167" t="s">
        <v>3995</v>
      </c>
      <c r="U139" s="167" t="s">
        <v>4743</v>
      </c>
    </row>
    <row r="140" s="1693" customFormat="1" ht="15" spans="1:21">
      <c r="A140" s="805"/>
      <c r="B140" s="687"/>
      <c r="C140" s="23">
        <v>20250224</v>
      </c>
      <c r="D140" s="21">
        <v>7.25</v>
      </c>
      <c r="E140" s="21">
        <v>7.17</v>
      </c>
      <c r="F140" s="780" t="s">
        <v>4744</v>
      </c>
      <c r="G140" s="20" t="s">
        <v>1604</v>
      </c>
      <c r="H140" s="750" t="s">
        <v>4742</v>
      </c>
      <c r="I140" s="21" t="s">
        <v>3457</v>
      </c>
      <c r="J140" s="21" t="s">
        <v>3432</v>
      </c>
      <c r="K140" s="21" t="s">
        <v>1635</v>
      </c>
      <c r="L140" s="138" t="s">
        <v>3513</v>
      </c>
      <c r="M140" s="21" t="s">
        <v>1428</v>
      </c>
      <c r="N140" s="781"/>
      <c r="O140" s="21">
        <v>3.1</v>
      </c>
      <c r="P140" s="22">
        <f t="shared" si="5"/>
        <v>3.27816245171005</v>
      </c>
      <c r="Q140" s="704">
        <v>13.1088674995748</v>
      </c>
      <c r="R140" s="154">
        <v>3</v>
      </c>
      <c r="S140" s="22">
        <f t="shared" si="4"/>
        <v>22.4870299512848</v>
      </c>
      <c r="T140" s="167" t="s">
        <v>4001</v>
      </c>
      <c r="U140" s="167" t="s">
        <v>4745</v>
      </c>
    </row>
    <row r="141" s="1693" customFormat="1" ht="15" spans="1:21">
      <c r="A141" s="805"/>
      <c r="B141" s="687"/>
      <c r="C141" s="23">
        <v>20250224</v>
      </c>
      <c r="D141" s="21">
        <v>7.25</v>
      </c>
      <c r="E141" s="21">
        <v>7.17</v>
      </c>
      <c r="F141" s="780" t="s">
        <v>4746</v>
      </c>
      <c r="G141" s="20" t="s">
        <v>1571</v>
      </c>
      <c r="H141" s="750" t="s">
        <v>4742</v>
      </c>
      <c r="I141" s="21" t="s">
        <v>3457</v>
      </c>
      <c r="J141" s="21" t="s">
        <v>3436</v>
      </c>
      <c r="K141" s="21" t="s">
        <v>1635</v>
      </c>
      <c r="L141" s="138" t="s">
        <v>3513</v>
      </c>
      <c r="M141" s="21">
        <f>6*2</f>
        <v>12</v>
      </c>
      <c r="N141" s="781"/>
      <c r="O141" s="21">
        <v>3.1</v>
      </c>
      <c r="P141" s="22">
        <f t="shared" si="5"/>
        <v>3.27816245171005</v>
      </c>
      <c r="Q141" s="704">
        <v>13.1088674995748</v>
      </c>
      <c r="R141" s="37">
        <v>3</v>
      </c>
      <c r="S141" s="22">
        <f t="shared" si="4"/>
        <v>34.4870299512849</v>
      </c>
      <c r="T141" s="167" t="s">
        <v>2579</v>
      </c>
      <c r="U141" s="167" t="s">
        <v>4747</v>
      </c>
    </row>
    <row r="142" s="1693" customFormat="1" ht="15" spans="1:21">
      <c r="A142" s="805"/>
      <c r="B142" s="687"/>
      <c r="C142" s="23">
        <v>20250521</v>
      </c>
      <c r="D142" s="21">
        <v>7.25</v>
      </c>
      <c r="E142" s="21">
        <v>7.17</v>
      </c>
      <c r="F142" s="780" t="s">
        <v>4748</v>
      </c>
      <c r="G142" s="20" t="s">
        <v>1685</v>
      </c>
      <c r="H142" s="750" t="s">
        <v>4742</v>
      </c>
      <c r="I142" s="21" t="s">
        <v>3542</v>
      </c>
      <c r="J142" s="21" t="s">
        <v>3898</v>
      </c>
      <c r="K142" s="21" t="s">
        <v>1635</v>
      </c>
      <c r="L142" s="138" t="s">
        <v>3513</v>
      </c>
      <c r="M142" s="21" t="s">
        <v>1428</v>
      </c>
      <c r="N142" s="913" t="s">
        <v>712</v>
      </c>
      <c r="O142" s="21">
        <v>3.1</v>
      </c>
      <c r="P142" s="22">
        <f t="shared" si="5"/>
        <v>3.27816245171005</v>
      </c>
      <c r="Q142" s="22">
        <v>13.2509833846087</v>
      </c>
      <c r="R142" s="37">
        <v>3</v>
      </c>
      <c r="S142" s="22">
        <f t="shared" si="4"/>
        <v>22.6291458363187</v>
      </c>
      <c r="T142" s="167" t="s">
        <v>4749</v>
      </c>
      <c r="U142" s="167" t="s">
        <v>4750</v>
      </c>
    </row>
    <row r="143" s="1693" customFormat="1" ht="15" spans="1:21">
      <c r="A143" s="805"/>
      <c r="B143" s="687"/>
      <c r="C143" s="23">
        <v>20250225</v>
      </c>
      <c r="D143" s="21">
        <v>7.25</v>
      </c>
      <c r="E143" s="21">
        <v>7.17</v>
      </c>
      <c r="F143" s="780" t="s">
        <v>4751</v>
      </c>
      <c r="G143" s="20" t="s">
        <v>1669</v>
      </c>
      <c r="H143" s="750" t="s">
        <v>4742</v>
      </c>
      <c r="I143" s="21" t="s">
        <v>3542</v>
      </c>
      <c r="J143" s="21" t="s">
        <v>3909</v>
      </c>
      <c r="K143" s="21" t="s">
        <v>4343</v>
      </c>
      <c r="L143" s="138" t="s">
        <v>3513</v>
      </c>
      <c r="M143" s="21" t="s">
        <v>1428</v>
      </c>
      <c r="N143" s="781"/>
      <c r="O143" s="21">
        <v>3.58</v>
      </c>
      <c r="P143" s="22">
        <f t="shared" si="5"/>
        <v>3.27816245171005</v>
      </c>
      <c r="Q143" s="22">
        <v>13.1772688518884</v>
      </c>
      <c r="R143" s="37">
        <v>3</v>
      </c>
      <c r="S143" s="22">
        <f t="shared" si="4"/>
        <v>23.0354313035985</v>
      </c>
      <c r="T143" s="167" t="s">
        <v>3995</v>
      </c>
      <c r="U143" s="167" t="s">
        <v>4752</v>
      </c>
    </row>
    <row r="144" s="1693" customFormat="1" ht="15" spans="1:21">
      <c r="A144" s="805"/>
      <c r="B144" s="687"/>
      <c r="C144" s="23">
        <v>20250225</v>
      </c>
      <c r="D144" s="21">
        <v>7.25</v>
      </c>
      <c r="E144" s="21">
        <v>7.17</v>
      </c>
      <c r="F144" s="780" t="s">
        <v>4753</v>
      </c>
      <c r="G144" s="20" t="s">
        <v>1671</v>
      </c>
      <c r="H144" s="750" t="s">
        <v>4742</v>
      </c>
      <c r="I144" s="21" t="s">
        <v>3542</v>
      </c>
      <c r="J144" s="21" t="s">
        <v>3909</v>
      </c>
      <c r="K144" s="21" t="s">
        <v>1635</v>
      </c>
      <c r="L144" s="138" t="s">
        <v>3513</v>
      </c>
      <c r="M144" s="21">
        <f>6.5*2</f>
        <v>13</v>
      </c>
      <c r="N144" s="781"/>
      <c r="O144" s="21">
        <v>3.1</v>
      </c>
      <c r="P144" s="22">
        <f t="shared" si="5"/>
        <v>3.27816245171005</v>
      </c>
      <c r="Q144" s="704">
        <v>13.2574085377485</v>
      </c>
      <c r="R144" s="37">
        <v>3</v>
      </c>
      <c r="S144" s="22">
        <f t="shared" si="4"/>
        <v>35.6355709894586</v>
      </c>
      <c r="T144" s="167" t="s">
        <v>3995</v>
      </c>
      <c r="U144" s="167" t="s">
        <v>4754</v>
      </c>
    </row>
    <row r="145" s="1693" customFormat="1" ht="15" spans="1:21">
      <c r="A145" s="805"/>
      <c r="B145" s="687"/>
      <c r="C145" s="23">
        <v>20250225</v>
      </c>
      <c r="D145" s="21">
        <v>7.25</v>
      </c>
      <c r="E145" s="21">
        <v>7.17</v>
      </c>
      <c r="F145" s="780" t="s">
        <v>4755</v>
      </c>
      <c r="G145" s="20" t="s">
        <v>1672</v>
      </c>
      <c r="H145" s="750" t="s">
        <v>4742</v>
      </c>
      <c r="I145" s="21" t="s">
        <v>3457</v>
      </c>
      <c r="J145" s="21" t="s">
        <v>3432</v>
      </c>
      <c r="K145" s="21" t="s">
        <v>1635</v>
      </c>
      <c r="L145" s="138" t="s">
        <v>3513</v>
      </c>
      <c r="M145" s="21" t="s">
        <v>1428</v>
      </c>
      <c r="N145" s="781"/>
      <c r="O145" s="21">
        <v>3.1</v>
      </c>
      <c r="P145" s="22">
        <f t="shared" si="5"/>
        <v>3.27816245171005</v>
      </c>
      <c r="Q145" s="22">
        <v>12.6546412099607</v>
      </c>
      <c r="R145" s="37">
        <v>3</v>
      </c>
      <c r="S145" s="22">
        <f t="shared" si="4"/>
        <v>22.0328036616707</v>
      </c>
      <c r="T145" s="167" t="s">
        <v>4001</v>
      </c>
      <c r="U145" s="167" t="s">
        <v>4756</v>
      </c>
    </row>
    <row r="146" s="1693" customFormat="1" ht="15" spans="1:21">
      <c r="A146" s="805"/>
      <c r="B146" s="687"/>
      <c r="C146" s="23">
        <v>20250624</v>
      </c>
      <c r="D146" s="21">
        <v>7.19</v>
      </c>
      <c r="E146" s="21">
        <v>7.17</v>
      </c>
      <c r="F146" s="780" t="s">
        <v>4757</v>
      </c>
      <c r="G146" s="20" t="s">
        <v>1998</v>
      </c>
      <c r="H146" s="750" t="s">
        <v>4742</v>
      </c>
      <c r="I146" s="21" t="s">
        <v>3542</v>
      </c>
      <c r="J146" s="21" t="s">
        <v>3909</v>
      </c>
      <c r="K146" s="21" t="s">
        <v>1635</v>
      </c>
      <c r="L146" s="138" t="s">
        <v>3513</v>
      </c>
      <c r="M146" s="699" t="s">
        <v>712</v>
      </c>
      <c r="N146" s="781"/>
      <c r="O146" s="21">
        <v>3.1</v>
      </c>
      <c r="P146" s="22">
        <f t="shared" si="5"/>
        <v>3.27816245171005</v>
      </c>
      <c r="Q146" s="704">
        <v>13.0207107161463</v>
      </c>
      <c r="R146" s="37">
        <v>3</v>
      </c>
      <c r="S146" s="22">
        <f t="shared" si="4"/>
        <v>22.3988731678564</v>
      </c>
      <c r="T146" s="167" t="s">
        <v>3995</v>
      </c>
      <c r="U146" s="167" t="s">
        <v>4754</v>
      </c>
    </row>
    <row r="147" s="1693" customFormat="1" ht="15" spans="1:21">
      <c r="A147" s="805"/>
      <c r="B147" s="23"/>
      <c r="C147" s="23">
        <v>20250821</v>
      </c>
      <c r="D147" s="21">
        <v>7.17</v>
      </c>
      <c r="E147" s="21">
        <v>7.17</v>
      </c>
      <c r="F147" s="780" t="s">
        <v>4758</v>
      </c>
      <c r="G147" s="20" t="s">
        <v>1581</v>
      </c>
      <c r="H147" s="750" t="s">
        <v>4742</v>
      </c>
      <c r="I147" s="21" t="s">
        <v>3457</v>
      </c>
      <c r="J147" s="21" t="s">
        <v>3909</v>
      </c>
      <c r="K147" s="21" t="s">
        <v>1635</v>
      </c>
      <c r="L147" s="138" t="s">
        <v>3513</v>
      </c>
      <c r="M147" s="699" t="s">
        <v>712</v>
      </c>
      <c r="N147" s="781"/>
      <c r="O147" s="21">
        <v>3.1</v>
      </c>
      <c r="P147" s="22">
        <f t="shared" si="5"/>
        <v>3.27816245171005</v>
      </c>
      <c r="Q147" s="22">
        <v>13.3734667505599</v>
      </c>
      <c r="R147" s="37">
        <v>3</v>
      </c>
      <c r="S147" s="22">
        <f t="shared" si="4"/>
        <v>22.7516292022699</v>
      </c>
      <c r="T147" s="167" t="s">
        <v>3995</v>
      </c>
      <c r="U147" s="167" t="s">
        <v>4754</v>
      </c>
    </row>
    <row r="148" s="1693" customFormat="1" ht="15" spans="1:21">
      <c r="A148" s="805"/>
      <c r="B148" s="23"/>
      <c r="C148" s="23">
        <v>20250821</v>
      </c>
      <c r="D148" s="21">
        <v>7.17</v>
      </c>
      <c r="E148" s="21">
        <v>7.17</v>
      </c>
      <c r="F148" s="780" t="s">
        <v>4759</v>
      </c>
      <c r="G148" s="20" t="s">
        <v>2427</v>
      </c>
      <c r="H148" s="750" t="s">
        <v>4742</v>
      </c>
      <c r="I148" s="21" t="s">
        <v>3457</v>
      </c>
      <c r="J148" s="21" t="s">
        <v>3909</v>
      </c>
      <c r="K148" s="21" t="s">
        <v>1635</v>
      </c>
      <c r="L148" s="138" t="s">
        <v>3513</v>
      </c>
      <c r="M148" s="699" t="s">
        <v>712</v>
      </c>
      <c r="N148" s="781"/>
      <c r="O148" s="21">
        <v>3.1</v>
      </c>
      <c r="P148" s="22">
        <f t="shared" si="5"/>
        <v>3.27816245171005</v>
      </c>
      <c r="Q148" s="22">
        <v>13.3734667505599</v>
      </c>
      <c r="R148" s="37">
        <v>3</v>
      </c>
      <c r="S148" s="22">
        <f t="shared" si="4"/>
        <v>22.7516292022699</v>
      </c>
      <c r="T148" s="167" t="s">
        <v>3995</v>
      </c>
      <c r="U148" s="167" t="s">
        <v>4754</v>
      </c>
    </row>
    <row r="149" s="1693" customFormat="1" ht="15" spans="1:21">
      <c r="A149" s="805"/>
      <c r="B149" s="23"/>
      <c r="C149" s="23">
        <v>20250821</v>
      </c>
      <c r="D149" s="21">
        <v>7.17</v>
      </c>
      <c r="E149" s="21">
        <v>7.17</v>
      </c>
      <c r="F149" s="780" t="s">
        <v>4760</v>
      </c>
      <c r="G149" s="20" t="s">
        <v>2449</v>
      </c>
      <c r="H149" s="750" t="s">
        <v>4742</v>
      </c>
      <c r="I149" s="21" t="s">
        <v>3457</v>
      </c>
      <c r="J149" s="21" t="s">
        <v>3436</v>
      </c>
      <c r="K149" s="21" t="s">
        <v>1635</v>
      </c>
      <c r="L149" s="138" t="s">
        <v>3513</v>
      </c>
      <c r="M149" s="699" t="s">
        <v>712</v>
      </c>
      <c r="N149" s="781"/>
      <c r="O149" s="21">
        <v>3.1</v>
      </c>
      <c r="P149" s="22">
        <f t="shared" si="5"/>
        <v>3.27816245171005</v>
      </c>
      <c r="Q149" s="22">
        <v>13.2277824094631</v>
      </c>
      <c r="R149" s="37">
        <v>3</v>
      </c>
      <c r="S149" s="22">
        <f t="shared" si="4"/>
        <v>22.6059448611731</v>
      </c>
      <c r="T149" s="167" t="s">
        <v>4761</v>
      </c>
      <c r="U149" s="167" t="s">
        <v>4762</v>
      </c>
    </row>
    <row r="150" s="1693" customFormat="1" ht="15" spans="1:21">
      <c r="A150" s="805"/>
      <c r="B150" s="23"/>
      <c r="C150" s="23">
        <v>20250821</v>
      </c>
      <c r="D150" s="21">
        <v>7.17</v>
      </c>
      <c r="E150" s="21">
        <v>7.17</v>
      </c>
      <c r="F150" s="780" t="s">
        <v>4763</v>
      </c>
      <c r="G150" s="20" t="s">
        <v>2546</v>
      </c>
      <c r="H150" s="750" t="s">
        <v>4742</v>
      </c>
      <c r="I150" s="21" t="s">
        <v>4764</v>
      </c>
      <c r="J150" s="21" t="s">
        <v>3436</v>
      </c>
      <c r="K150" s="21" t="s">
        <v>1635</v>
      </c>
      <c r="L150" s="138" t="s">
        <v>3513</v>
      </c>
      <c r="M150" s="699" t="s">
        <v>712</v>
      </c>
      <c r="N150" s="781"/>
      <c r="O150" s="21">
        <v>3.1</v>
      </c>
      <c r="P150" s="22">
        <f t="shared" si="5"/>
        <v>3.27816245171005</v>
      </c>
      <c r="Q150" s="22">
        <v>13.2277824094631</v>
      </c>
      <c r="R150" s="37">
        <v>3</v>
      </c>
      <c r="S150" s="22">
        <f t="shared" si="4"/>
        <v>22.6059448611731</v>
      </c>
      <c r="T150" s="167" t="s">
        <v>4761</v>
      </c>
      <c r="U150" s="167" t="s">
        <v>4762</v>
      </c>
    </row>
    <row r="151" s="839" customFormat="1" ht="15.6" spans="1:21">
      <c r="A151" s="1732"/>
      <c r="B151" s="19" t="s">
        <v>4765</v>
      </c>
      <c r="C151" s="19">
        <v>20250701</v>
      </c>
      <c r="D151" s="19">
        <v>7.25</v>
      </c>
      <c r="E151" s="21">
        <v>7.17</v>
      </c>
      <c r="F151" s="19" t="s">
        <v>4766</v>
      </c>
      <c r="G151" s="20" t="s">
        <v>1565</v>
      </c>
      <c r="H151" s="23" t="s">
        <v>3767</v>
      </c>
      <c r="I151" s="21" t="s">
        <v>4767</v>
      </c>
      <c r="J151" s="21" t="s">
        <v>3432</v>
      </c>
      <c r="K151" s="21" t="s">
        <v>1635</v>
      </c>
      <c r="L151" s="138" t="s">
        <v>3513</v>
      </c>
      <c r="M151" s="699" t="s">
        <v>712</v>
      </c>
      <c r="N151" s="731"/>
      <c r="O151" s="21">
        <v>3.1</v>
      </c>
      <c r="P151" s="22">
        <v>1.97849940138976</v>
      </c>
      <c r="Q151" s="704">
        <v>13.7846149092568</v>
      </c>
      <c r="R151" s="37">
        <v>3.5</v>
      </c>
      <c r="S151" s="22">
        <f t="shared" si="4"/>
        <v>22.3631143106466</v>
      </c>
      <c r="T151" s="750" t="s">
        <v>4768</v>
      </c>
      <c r="U151" s="139" t="s">
        <v>4769</v>
      </c>
    </row>
    <row r="152" s="839" customFormat="1" ht="17" customHeight="1" spans="1:21">
      <c r="A152" s="1732"/>
      <c r="B152" s="19"/>
      <c r="C152" s="19">
        <v>20250701</v>
      </c>
      <c r="D152" s="19">
        <v>7.25</v>
      </c>
      <c r="E152" s="21">
        <v>7.17</v>
      </c>
      <c r="F152" s="19" t="s">
        <v>4770</v>
      </c>
      <c r="G152" s="20" t="s">
        <v>1617</v>
      </c>
      <c r="H152" s="23" t="s">
        <v>3767</v>
      </c>
      <c r="I152" s="21" t="s">
        <v>3566</v>
      </c>
      <c r="J152" s="21" t="s">
        <v>3436</v>
      </c>
      <c r="K152" s="21" t="s">
        <v>1635</v>
      </c>
      <c r="L152" s="138" t="s">
        <v>3513</v>
      </c>
      <c r="M152" s="699" t="s">
        <v>712</v>
      </c>
      <c r="N152" s="731"/>
      <c r="O152" s="21">
        <v>3.1</v>
      </c>
      <c r="P152" s="22">
        <v>1.97849940138976</v>
      </c>
      <c r="Q152" s="704">
        <v>12.5146828190501</v>
      </c>
      <c r="R152" s="37">
        <v>3.5</v>
      </c>
      <c r="S152" s="22">
        <f t="shared" si="4"/>
        <v>21.0931822204399</v>
      </c>
      <c r="T152" s="750" t="s">
        <v>2579</v>
      </c>
      <c r="U152" s="139" t="s">
        <v>4771</v>
      </c>
    </row>
    <row r="153" s="839" customFormat="1" ht="17" customHeight="1" spans="1:21">
      <c r="A153" s="1733"/>
      <c r="B153" s="19"/>
      <c r="C153" s="19">
        <v>20250701</v>
      </c>
      <c r="D153" s="19">
        <v>7.25</v>
      </c>
      <c r="E153" s="21">
        <v>7.17</v>
      </c>
      <c r="F153" s="19" t="s">
        <v>1068</v>
      </c>
      <c r="G153" s="20" t="s">
        <v>1069</v>
      </c>
      <c r="H153" s="23"/>
      <c r="I153" s="21"/>
      <c r="J153" s="21"/>
      <c r="K153" s="21"/>
      <c r="L153" s="21"/>
      <c r="M153" s="21"/>
      <c r="N153" s="731"/>
      <c r="O153" s="21"/>
      <c r="P153" s="22">
        <v>0.326145263383757</v>
      </c>
      <c r="Q153" s="704">
        <v>3.44959460386813</v>
      </c>
      <c r="R153" s="37">
        <v>0.4</v>
      </c>
      <c r="S153" s="22">
        <f t="shared" si="4"/>
        <v>4.17573986725189</v>
      </c>
      <c r="T153" s="750"/>
      <c r="U153" s="139"/>
    </row>
    <row r="154" s="839" customFormat="1" ht="17" customHeight="1" spans="1:21">
      <c r="A154" s="1733"/>
      <c r="B154" s="19"/>
      <c r="C154" s="19">
        <v>20250730</v>
      </c>
      <c r="D154" s="19"/>
      <c r="E154" s="21">
        <v>7.17</v>
      </c>
      <c r="F154" s="19" t="s">
        <v>1070</v>
      </c>
      <c r="G154" s="19" t="s">
        <v>1071</v>
      </c>
      <c r="H154" s="23"/>
      <c r="I154" s="21"/>
      <c r="J154" s="21"/>
      <c r="K154" s="21"/>
      <c r="L154" s="21"/>
      <c r="M154" s="21"/>
      <c r="N154" s="731"/>
      <c r="O154" s="21"/>
      <c r="P154" s="22">
        <v>0.182668690833241</v>
      </c>
      <c r="Q154" s="704">
        <v>4.3662579799573</v>
      </c>
      <c r="R154" s="37">
        <v>0.4</v>
      </c>
      <c r="S154" s="22">
        <f t="shared" si="4"/>
        <v>4.94892667079054</v>
      </c>
      <c r="T154" s="750"/>
      <c r="U154" s="139" t="s">
        <v>1072</v>
      </c>
    </row>
    <row r="155" s="839" customFormat="1" ht="17" customHeight="1" spans="1:21">
      <c r="A155" s="1733"/>
      <c r="B155" s="19"/>
      <c r="C155" s="19">
        <v>20250730</v>
      </c>
      <c r="D155" s="19"/>
      <c r="E155" s="21">
        <v>7.17</v>
      </c>
      <c r="F155" s="19" t="s">
        <v>1073</v>
      </c>
      <c r="G155" s="19" t="s">
        <v>1074</v>
      </c>
      <c r="H155" s="23"/>
      <c r="I155" s="21"/>
      <c r="J155" s="21"/>
      <c r="K155" s="21"/>
      <c r="L155" s="21"/>
      <c r="M155" s="21"/>
      <c r="N155" s="731"/>
      <c r="O155" s="21"/>
      <c r="P155" s="22">
        <v>0.234507103096728</v>
      </c>
      <c r="Q155" s="704">
        <v>0.261222655854655</v>
      </c>
      <c r="R155" s="37">
        <v>0.2</v>
      </c>
      <c r="S155" s="22">
        <f t="shared" si="4"/>
        <v>0.695729758951383</v>
      </c>
      <c r="T155" s="750"/>
      <c r="U155" s="139"/>
    </row>
    <row r="156" s="839" customFormat="1" ht="17" customHeight="1" spans="1:21">
      <c r="A156" s="1733"/>
      <c r="B156" s="19"/>
      <c r="C156" s="19">
        <v>20250730</v>
      </c>
      <c r="D156" s="19"/>
      <c r="E156" s="21">
        <v>7.17</v>
      </c>
      <c r="F156" s="19" t="s">
        <v>1075</v>
      </c>
      <c r="G156" s="19" t="s">
        <v>1076</v>
      </c>
      <c r="H156" s="23"/>
      <c r="I156" s="21"/>
      <c r="J156" s="21"/>
      <c r="K156" s="21"/>
      <c r="L156" s="21"/>
      <c r="M156" s="21"/>
      <c r="N156" s="731"/>
      <c r="O156" s="21"/>
      <c r="P156" s="22">
        <v>0.234507103096728</v>
      </c>
      <c r="Q156" s="704">
        <v>2.85630762394935</v>
      </c>
      <c r="R156" s="37">
        <v>0.4</v>
      </c>
      <c r="S156" s="22">
        <f t="shared" si="4"/>
        <v>3.49081472704608</v>
      </c>
      <c r="T156" s="750"/>
      <c r="U156" s="139"/>
    </row>
    <row r="157" s="168" customFormat="1" spans="1:21">
      <c r="A157" s="42"/>
      <c r="B157" s="19"/>
      <c r="C157" s="19">
        <v>20250701</v>
      </c>
      <c r="D157" s="19">
        <v>7.25</v>
      </c>
      <c r="E157" s="21">
        <v>7.17</v>
      </c>
      <c r="F157" s="19" t="s">
        <v>1077</v>
      </c>
      <c r="G157" s="20" t="s">
        <v>1078</v>
      </c>
      <c r="H157" s="23"/>
      <c r="I157" s="21"/>
      <c r="J157" s="21"/>
      <c r="K157" s="21"/>
      <c r="L157" s="21"/>
      <c r="M157" s="21"/>
      <c r="N157" s="731"/>
      <c r="O157" s="21"/>
      <c r="P157" s="22">
        <v>0.238456696412041</v>
      </c>
      <c r="Q157" s="704">
        <v>0.276384083138939</v>
      </c>
      <c r="R157" s="37">
        <v>0.2</v>
      </c>
      <c r="S157" s="22">
        <f t="shared" si="4"/>
        <v>0.71484077955098</v>
      </c>
      <c r="T157" s="750"/>
      <c r="U157" s="139"/>
    </row>
    <row r="158" s="168" customFormat="1" spans="1:21">
      <c r="A158" s="42"/>
      <c r="B158" s="19"/>
      <c r="C158" s="19">
        <v>20250701</v>
      </c>
      <c r="D158" s="19">
        <v>7.25</v>
      </c>
      <c r="E158" s="21">
        <v>7.17</v>
      </c>
      <c r="F158" s="19" t="s">
        <v>1079</v>
      </c>
      <c r="G158" s="20" t="s">
        <v>1080</v>
      </c>
      <c r="H158" s="23"/>
      <c r="I158" s="21"/>
      <c r="J158" s="21"/>
      <c r="K158" s="21"/>
      <c r="L158" s="21"/>
      <c r="M158" s="21"/>
      <c r="N158" s="731"/>
      <c r="O158" s="21"/>
      <c r="P158" s="22">
        <v>0.198713913676701</v>
      </c>
      <c r="Q158" s="22">
        <v>0.405213463176214</v>
      </c>
      <c r="R158" s="37">
        <v>0.2</v>
      </c>
      <c r="S158" s="22">
        <f t="shared" si="4"/>
        <v>0.803927376852915</v>
      </c>
      <c r="T158" s="750"/>
      <c r="U158" s="139"/>
    </row>
    <row r="159" s="839" customFormat="1" ht="17" customHeight="1" spans="1:21">
      <c r="A159" s="1733"/>
      <c r="B159" s="697" t="s">
        <v>4772</v>
      </c>
      <c r="C159" s="19">
        <v>20250603</v>
      </c>
      <c r="D159" s="19">
        <v>7.2</v>
      </c>
      <c r="E159" s="21"/>
      <c r="F159" s="19" t="s">
        <v>4773</v>
      </c>
      <c r="G159" s="20" t="s">
        <v>1565</v>
      </c>
      <c r="H159" s="23" t="s">
        <v>4742</v>
      </c>
      <c r="I159" s="21" t="s">
        <v>3457</v>
      </c>
      <c r="J159" s="21" t="s">
        <v>1913</v>
      </c>
      <c r="K159" s="21" t="s">
        <v>1633</v>
      </c>
      <c r="L159" s="21" t="s">
        <v>3513</v>
      </c>
      <c r="M159" s="21"/>
      <c r="N159" s="731"/>
      <c r="O159" s="22">
        <f>13.4/D159/1.13</f>
        <v>1.64700098328417</v>
      </c>
      <c r="P159" s="22">
        <v>2.49508357915438</v>
      </c>
      <c r="Q159" s="22">
        <v>8.8752471126883</v>
      </c>
      <c r="R159" s="37">
        <v>3</v>
      </c>
      <c r="S159" s="22">
        <f t="shared" si="4"/>
        <v>16.0173316751269</v>
      </c>
      <c r="T159" s="750" t="s">
        <v>1526</v>
      </c>
      <c r="U159" s="139" t="s">
        <v>4774</v>
      </c>
    </row>
    <row r="160" s="839" customFormat="1" ht="17" customHeight="1" spans="1:21">
      <c r="A160" s="1733"/>
      <c r="B160" s="697"/>
      <c r="C160" s="19">
        <v>20250603</v>
      </c>
      <c r="D160" s="19">
        <v>7.2</v>
      </c>
      <c r="E160" s="21"/>
      <c r="F160" s="19" t="s">
        <v>4775</v>
      </c>
      <c r="G160" s="20" t="s">
        <v>1617</v>
      </c>
      <c r="H160" s="23" t="s">
        <v>4742</v>
      </c>
      <c r="I160" s="21" t="s">
        <v>3457</v>
      </c>
      <c r="J160" s="21" t="s">
        <v>1913</v>
      </c>
      <c r="K160" s="21" t="s">
        <v>1635</v>
      </c>
      <c r="L160" s="21" t="s">
        <v>3513</v>
      </c>
      <c r="M160" s="21"/>
      <c r="N160" s="731"/>
      <c r="O160" s="21">
        <v>3.1</v>
      </c>
      <c r="P160" s="22">
        <v>2.49508357915438</v>
      </c>
      <c r="Q160" s="22">
        <v>10.6117678908948</v>
      </c>
      <c r="R160" s="37">
        <v>3</v>
      </c>
      <c r="S160" s="22">
        <f t="shared" si="4"/>
        <v>19.2068514700492</v>
      </c>
      <c r="T160" s="750" t="s">
        <v>1526</v>
      </c>
      <c r="U160" s="139" t="s">
        <v>4776</v>
      </c>
    </row>
    <row r="161" s="839" customFormat="1" ht="17" customHeight="1" spans="1:22">
      <c r="A161" s="1733"/>
      <c r="B161" s="697" t="s">
        <v>1081</v>
      </c>
      <c r="C161" s="19">
        <v>20250626</v>
      </c>
      <c r="D161" s="19">
        <v>7.19</v>
      </c>
      <c r="E161" s="21">
        <v>7.17</v>
      </c>
      <c r="F161" s="19" t="s">
        <v>4777</v>
      </c>
      <c r="G161" s="20" t="s">
        <v>1565</v>
      </c>
      <c r="H161" s="23" t="s">
        <v>3767</v>
      </c>
      <c r="I161" s="21" t="s">
        <v>3799</v>
      </c>
      <c r="J161" s="21" t="s">
        <v>1913</v>
      </c>
      <c r="K161" s="21" t="s">
        <v>1428</v>
      </c>
      <c r="L161" s="21" t="s">
        <v>3513</v>
      </c>
      <c r="M161" s="22" t="s">
        <v>1428</v>
      </c>
      <c r="N161" s="731"/>
      <c r="O161" s="22" t="s">
        <v>1428</v>
      </c>
      <c r="P161" s="704">
        <f>20.78/E161/1.13</f>
        <v>2.56476715913158</v>
      </c>
      <c r="Q161" s="704">
        <v>9.82352900132446</v>
      </c>
      <c r="R161" s="709">
        <v>2.58</v>
      </c>
      <c r="S161" s="22">
        <f t="shared" si="4"/>
        <v>14.968296160456</v>
      </c>
      <c r="T161" s="750" t="s">
        <v>1526</v>
      </c>
      <c r="U161" s="139" t="s">
        <v>4778</v>
      </c>
    </row>
    <row r="162" s="839" customFormat="1" ht="15.6" spans="1:22">
      <c r="A162" s="1733"/>
      <c r="B162" s="697"/>
      <c r="C162" s="19">
        <v>20250626</v>
      </c>
      <c r="D162" s="19">
        <v>7.19</v>
      </c>
      <c r="E162" s="21"/>
      <c r="F162" s="19" t="s">
        <v>3399</v>
      </c>
      <c r="G162" s="20" t="s">
        <v>1617</v>
      </c>
      <c r="H162" s="23" t="s">
        <v>3767</v>
      </c>
      <c r="I162" s="21" t="s">
        <v>3794</v>
      </c>
      <c r="J162" s="21" t="s">
        <v>1913</v>
      </c>
      <c r="K162" s="21" t="s">
        <v>1428</v>
      </c>
      <c r="L162" s="21" t="s">
        <v>3513</v>
      </c>
      <c r="M162" s="22" t="s">
        <v>1428</v>
      </c>
      <c r="N162" s="731"/>
      <c r="O162" s="22" t="s">
        <v>1428</v>
      </c>
      <c r="P162" s="704">
        <f>20.78/D162/1.13</f>
        <v>2.55763289721467</v>
      </c>
      <c r="Q162" s="704">
        <v>9.90030992159753</v>
      </c>
      <c r="R162" s="709">
        <v>2.58</v>
      </c>
      <c r="S162" s="22">
        <f t="shared" si="4"/>
        <v>15.0379428188122</v>
      </c>
      <c r="T162" s="750" t="s">
        <v>1526</v>
      </c>
      <c r="U162" s="139" t="s">
        <v>4778</v>
      </c>
    </row>
    <row r="163" s="839" customFormat="1" ht="17" customHeight="1" spans="1:22">
      <c r="A163" s="1733"/>
      <c r="B163" s="697"/>
      <c r="C163" s="19">
        <v>20250626</v>
      </c>
      <c r="D163" s="19">
        <v>7.19</v>
      </c>
      <c r="E163" s="21">
        <v>7.17</v>
      </c>
      <c r="F163" s="19" t="s">
        <v>1082</v>
      </c>
      <c r="G163" s="19" t="s">
        <v>1083</v>
      </c>
      <c r="H163" s="23"/>
      <c r="I163" s="21"/>
      <c r="J163" s="21"/>
      <c r="K163" s="21"/>
      <c r="L163" s="21"/>
      <c r="M163" s="21"/>
      <c r="N163" s="731"/>
      <c r="O163" s="22"/>
      <c r="P163" s="22">
        <v>0.353858876093852</v>
      </c>
      <c r="Q163" s="704">
        <v>1.02198967462707</v>
      </c>
      <c r="R163" s="37">
        <v>0.2</v>
      </c>
      <c r="S163" s="22">
        <f t="shared" si="4"/>
        <v>1.57584855072092</v>
      </c>
      <c r="T163" s="750"/>
      <c r="U163" s="139" t="s">
        <v>435</v>
      </c>
    </row>
    <row r="164" s="839" customFormat="1" ht="17" customHeight="1" spans="1:22">
      <c r="A164" s="1733"/>
      <c r="B164" s="697" t="s">
        <v>4779</v>
      </c>
      <c r="C164" s="19">
        <v>20250702</v>
      </c>
      <c r="D164" s="19">
        <v>7.17</v>
      </c>
      <c r="E164" s="19">
        <v>7.17</v>
      </c>
      <c r="F164" s="19" t="s">
        <v>4780</v>
      </c>
      <c r="G164" s="20" t="s">
        <v>1565</v>
      </c>
      <c r="H164" s="23" t="s">
        <v>3989</v>
      </c>
      <c r="I164" s="21" t="s">
        <v>3457</v>
      </c>
      <c r="J164" s="21" t="s">
        <v>1913</v>
      </c>
      <c r="K164" s="21" t="s">
        <v>3458</v>
      </c>
      <c r="L164" s="21"/>
      <c r="M164" s="22"/>
      <c r="N164" s="731"/>
      <c r="O164" s="22">
        <v>1.62467537262914</v>
      </c>
      <c r="P164" s="22">
        <f>21.57/E164/1.13</f>
        <v>2.66227274410338</v>
      </c>
      <c r="Q164" s="22">
        <v>8.606565921007</v>
      </c>
      <c r="R164" s="37">
        <v>3</v>
      </c>
      <c r="S164" s="22">
        <f t="shared" si="4"/>
        <v>15.8935140377395</v>
      </c>
      <c r="T164" s="750" t="s">
        <v>1526</v>
      </c>
      <c r="U164" s="139" t="s">
        <v>4781</v>
      </c>
    </row>
    <row r="165" s="839" customFormat="1" ht="17" customHeight="1" spans="1:22">
      <c r="A165" s="1733"/>
      <c r="B165" s="697"/>
      <c r="C165" s="19">
        <v>20250702</v>
      </c>
      <c r="D165" s="19">
        <v>7.17</v>
      </c>
      <c r="E165" s="19">
        <v>7.17</v>
      </c>
      <c r="F165" s="19" t="s">
        <v>4782</v>
      </c>
      <c r="G165" s="20" t="s">
        <v>1617</v>
      </c>
      <c r="H165" s="23" t="s">
        <v>4742</v>
      </c>
      <c r="I165" s="21" t="s">
        <v>3541</v>
      </c>
      <c r="J165" s="21" t="s">
        <v>1913</v>
      </c>
      <c r="K165" s="21" t="s">
        <v>1637</v>
      </c>
      <c r="L165" s="21"/>
      <c r="M165" s="22"/>
      <c r="N165" s="731"/>
      <c r="O165" s="22">
        <v>3.17</v>
      </c>
      <c r="P165" s="22">
        <f>21.57/E165/1.13</f>
        <v>2.66227274410338</v>
      </c>
      <c r="Q165" s="22">
        <v>9.51004711129332</v>
      </c>
      <c r="R165" s="37">
        <v>3</v>
      </c>
      <c r="S165" s="22">
        <f t="shared" si="4"/>
        <v>18.3423198553967</v>
      </c>
      <c r="T165" s="750" t="s">
        <v>1526</v>
      </c>
      <c r="U165" s="139" t="s">
        <v>4783</v>
      </c>
    </row>
    <row r="166" s="168" customFormat="1" spans="1:22">
      <c r="A166" s="42"/>
      <c r="B166" s="697"/>
      <c r="C166" s="19">
        <v>20250806</v>
      </c>
      <c r="D166" s="19">
        <v>7.17</v>
      </c>
      <c r="E166" s="19">
        <v>7.17</v>
      </c>
      <c r="F166" s="19" t="s">
        <v>3392</v>
      </c>
      <c r="G166" s="20" t="s">
        <v>1629</v>
      </c>
      <c r="H166" s="23" t="s">
        <v>3989</v>
      </c>
      <c r="I166" s="21" t="s">
        <v>3457</v>
      </c>
      <c r="J166" s="21"/>
      <c r="K166" s="699" t="s">
        <v>3393</v>
      </c>
      <c r="L166" s="21"/>
      <c r="M166" s="22"/>
      <c r="N166" s="731"/>
      <c r="O166" s="22" t="s">
        <v>1428</v>
      </c>
      <c r="P166" s="22">
        <f>21.57/E166/1.13</f>
        <v>2.66227274410338</v>
      </c>
      <c r="Q166" s="22">
        <v>8.48068340108256</v>
      </c>
      <c r="R166" s="37">
        <v>3</v>
      </c>
      <c r="S166" s="22">
        <f t="shared" si="4"/>
        <v>14.1429561451859</v>
      </c>
      <c r="T166" s="750" t="s">
        <v>1526</v>
      </c>
      <c r="U166" s="139" t="s">
        <v>4784</v>
      </c>
    </row>
    <row r="167" s="168" customFormat="1" spans="1:22">
      <c r="A167" s="42"/>
      <c r="B167" s="697"/>
      <c r="C167" s="19">
        <v>20250806</v>
      </c>
      <c r="D167" s="19">
        <v>7.17</v>
      </c>
      <c r="E167" s="19">
        <v>7.17</v>
      </c>
      <c r="F167" s="19" t="s">
        <v>4785</v>
      </c>
      <c r="G167" s="20" t="s">
        <v>1645</v>
      </c>
      <c r="H167" s="23" t="s">
        <v>3989</v>
      </c>
      <c r="I167" s="21" t="s">
        <v>3457</v>
      </c>
      <c r="J167" s="21"/>
      <c r="K167" s="21" t="s">
        <v>1633</v>
      </c>
      <c r="L167" s="21"/>
      <c r="M167" s="22"/>
      <c r="N167" s="731"/>
      <c r="O167" s="22">
        <f>13.4/7.17/1.13</f>
        <v>1.65389220078745</v>
      </c>
      <c r="P167" s="22">
        <f>21.57/E167/1.13</f>
        <v>2.66227274410338</v>
      </c>
      <c r="Q167" s="22">
        <v>8.48068340108256</v>
      </c>
      <c r="R167" s="37">
        <v>3</v>
      </c>
      <c r="S167" s="22">
        <f t="shared" si="4"/>
        <v>15.7968483459734</v>
      </c>
      <c r="T167" s="750" t="s">
        <v>1526</v>
      </c>
      <c r="U167" s="139" t="s">
        <v>4784</v>
      </c>
    </row>
    <row r="168" s="168" customFormat="1" spans="1:22">
      <c r="A168" s="42"/>
      <c r="B168" s="697"/>
      <c r="C168" s="19">
        <v>20250806</v>
      </c>
      <c r="D168" s="19">
        <v>7.17</v>
      </c>
      <c r="E168" s="19">
        <v>7.17</v>
      </c>
      <c r="F168" s="19" t="s">
        <v>3396</v>
      </c>
      <c r="G168" s="20" t="s">
        <v>1604</v>
      </c>
      <c r="H168" s="23" t="s">
        <v>3989</v>
      </c>
      <c r="I168" s="21" t="s">
        <v>3541</v>
      </c>
      <c r="J168" s="21"/>
      <c r="K168" s="21" t="s">
        <v>1637</v>
      </c>
      <c r="L168" s="21"/>
      <c r="M168" s="22"/>
      <c r="N168" s="731"/>
      <c r="O168" s="22"/>
      <c r="P168" s="22">
        <f>21.57/E168/1.13</f>
        <v>2.66227274410338</v>
      </c>
      <c r="Q168" s="22">
        <v>9.03608884075585</v>
      </c>
      <c r="R168" s="37">
        <v>3</v>
      </c>
      <c r="S168" s="22">
        <f t="shared" si="4"/>
        <v>14.6983615848592</v>
      </c>
      <c r="T168" s="750" t="s">
        <v>1526</v>
      </c>
      <c r="U168" s="139" t="s">
        <v>4784</v>
      </c>
    </row>
    <row r="169" s="168" customFormat="1" spans="1:22">
      <c r="A169" s="42"/>
      <c r="B169" s="1630" t="s">
        <v>3401</v>
      </c>
      <c r="C169" s="725"/>
      <c r="D169" s="725"/>
      <c r="E169" s="725">
        <v>6.78</v>
      </c>
      <c r="F169" s="725" t="s">
        <v>4786</v>
      </c>
      <c r="G169" s="149"/>
      <c r="H169" s="687"/>
      <c r="I169" s="153"/>
      <c r="J169" s="153"/>
      <c r="K169" s="153" t="s">
        <v>1428</v>
      </c>
      <c r="L169" s="153" t="s">
        <v>712</v>
      </c>
      <c r="M169" s="727"/>
      <c r="N169" s="1734"/>
      <c r="O169" s="727" t="s">
        <v>1428</v>
      </c>
      <c r="P169" s="727">
        <f>33.39/6.78/1.13*1.15</f>
        <v>5.01194298692145</v>
      </c>
      <c r="Q169" s="727">
        <v>13</v>
      </c>
      <c r="R169" s="154">
        <f>22/E169/1.13</f>
        <v>2.87153783903725</v>
      </c>
      <c r="S169" s="727">
        <f t="shared" si="4"/>
        <v>20.8834808259587</v>
      </c>
      <c r="T169" s="750"/>
      <c r="U169" s="139"/>
    </row>
    <row r="170" s="168" customFormat="1" ht="15" spans="1:22">
      <c r="A170" s="42"/>
      <c r="B170" s="1735" t="s">
        <v>3401</v>
      </c>
      <c r="C170" s="1662"/>
      <c r="D170" s="1662">
        <v>20250916</v>
      </c>
      <c r="E170" s="1736">
        <v>6.837</v>
      </c>
      <c r="F170" s="1590" t="s">
        <v>3402</v>
      </c>
      <c r="G170" s="961" t="s">
        <v>1565</v>
      </c>
      <c r="H170" s="959" t="s">
        <v>4787</v>
      </c>
      <c r="I170" s="961" t="s">
        <v>3348</v>
      </c>
      <c r="J170" s="961" t="s">
        <v>1913</v>
      </c>
      <c r="K170" s="965" t="s">
        <v>3350</v>
      </c>
      <c r="L170" s="965" t="s">
        <v>712</v>
      </c>
      <c r="M170" s="965" t="s">
        <v>3350</v>
      </c>
      <c r="N170" s="1623"/>
      <c r="O170" s="1623"/>
      <c r="P170" s="965">
        <f t="shared" ref="P170:P172" si="6">28.42/E170/1.13</f>
        <v>3.67857868624779</v>
      </c>
      <c r="Q170" s="964">
        <v>12.2984208591718</v>
      </c>
      <c r="R170" s="964">
        <f t="shared" ref="R170:R172" si="7">22/E170/1.13</f>
        <v>2.84759785705318</v>
      </c>
      <c r="S170" s="965">
        <f t="shared" ref="S170:S172" si="8">SUM(L170:R170)</f>
        <v>18.8245974024728</v>
      </c>
      <c r="T170" s="1591" t="s">
        <v>1526</v>
      </c>
      <c r="U170" s="1591" t="s">
        <v>3516</v>
      </c>
      <c r="V170" s="187"/>
    </row>
    <row r="171" ht="15" spans="1:22">
      <c r="B171" s="1735" t="s">
        <v>3401</v>
      </c>
      <c r="C171" s="1662"/>
      <c r="D171" s="1662">
        <v>20250916</v>
      </c>
      <c r="E171" s="1736">
        <v>6.837</v>
      </c>
      <c r="F171" s="1590" t="s">
        <v>3404</v>
      </c>
      <c r="G171" s="961" t="s">
        <v>1998</v>
      </c>
      <c r="H171" s="959" t="s">
        <v>4787</v>
      </c>
      <c r="I171" s="961" t="s">
        <v>2043</v>
      </c>
      <c r="J171" s="961" t="s">
        <v>1913</v>
      </c>
      <c r="K171" s="965" t="s">
        <v>3350</v>
      </c>
      <c r="L171" s="965" t="s">
        <v>712</v>
      </c>
      <c r="M171" s="965" t="s">
        <v>3350</v>
      </c>
      <c r="N171" s="20"/>
      <c r="O171" s="25"/>
      <c r="P171" s="965">
        <f t="shared" si="6"/>
        <v>3.67857868624779</v>
      </c>
      <c r="Q171" s="964">
        <v>11.3302047233039</v>
      </c>
      <c r="R171" s="964">
        <f t="shared" si="7"/>
        <v>2.84759785705318</v>
      </c>
      <c r="S171" s="965">
        <f t="shared" si="8"/>
        <v>17.8563812666049</v>
      </c>
      <c r="T171" s="1591" t="s">
        <v>1526</v>
      </c>
      <c r="U171" s="1591" t="s">
        <v>4788</v>
      </c>
      <c r="V171" s="990"/>
    </row>
    <row r="172" spans="1:22">
      <c r="B172" s="1630" t="s">
        <v>3401</v>
      </c>
      <c r="C172" s="1503"/>
      <c r="D172" s="1503">
        <v>6.7986</v>
      </c>
      <c r="E172" s="1503">
        <v>6.7986</v>
      </c>
      <c r="F172" s="1503" t="s">
        <v>4050</v>
      </c>
      <c r="G172" s="1031" t="s">
        <v>2431</v>
      </c>
      <c r="H172" s="1031"/>
      <c r="I172" s="153" t="s">
        <v>2043</v>
      </c>
      <c r="J172" s="1031"/>
      <c r="K172" s="1031"/>
      <c r="L172" s="25"/>
      <c r="M172" s="1031"/>
      <c r="N172" s="20"/>
      <c r="O172" s="25"/>
      <c r="P172" s="727">
        <f t="shared" si="6"/>
        <v>3.69935611418176</v>
      </c>
      <c r="Q172" s="727">
        <v>11.1</v>
      </c>
      <c r="R172" s="154">
        <f t="shared" si="7"/>
        <v>2.86368172104147</v>
      </c>
      <c r="S172" s="727">
        <f t="shared" si="8"/>
        <v>17.6630378352232</v>
      </c>
    </row>
    <row r="173" s="1694" customFormat="1" ht="15" customHeight="1" spans="1:22">
      <c r="A173" s="193"/>
      <c r="B173" s="791" t="s">
        <v>4789</v>
      </c>
      <c r="C173" s="791"/>
      <c r="D173" s="791">
        <v>6.78</v>
      </c>
      <c r="E173" s="791"/>
      <c r="F173" s="791" t="s">
        <v>4080</v>
      </c>
      <c r="G173" s="1255"/>
      <c r="H173" s="1255"/>
      <c r="I173" s="924"/>
      <c r="J173" s="1255"/>
      <c r="K173" s="924" t="s">
        <v>1428</v>
      </c>
      <c r="L173" s="1082" t="s">
        <v>712</v>
      </c>
      <c r="M173" s="924"/>
      <c r="N173" s="153"/>
      <c r="O173" s="153" t="s">
        <v>1428</v>
      </c>
      <c r="P173" s="727">
        <f>28.6/D173/1.13</f>
        <v>3.73299919074843</v>
      </c>
      <c r="Q173" s="727">
        <v>12.65</v>
      </c>
      <c r="R173" s="1563">
        <f>18.6/D173</f>
        <v>2.74336283185841</v>
      </c>
      <c r="S173" s="1575">
        <f>SUBTOTAL(109,P173:R173)</f>
        <v>19.1263620226068</v>
      </c>
      <c r="T173" s="1737" t="s">
        <v>4790</v>
      </c>
      <c r="U173" s="193"/>
    </row>
    <row r="174" s="1694" customFormat="1" spans="1:22">
      <c r="A174" s="193"/>
      <c r="B174" s="791" t="s">
        <v>4791</v>
      </c>
      <c r="C174" s="791" t="s">
        <v>4792</v>
      </c>
      <c r="D174" s="791">
        <v>6.78</v>
      </c>
      <c r="E174" s="791"/>
      <c r="F174" s="791" t="s">
        <v>4080</v>
      </c>
      <c r="G174" s="1255"/>
      <c r="H174" s="1255"/>
      <c r="I174" s="924"/>
      <c r="J174" s="1255"/>
      <c r="K174" s="924" t="s">
        <v>1428</v>
      </c>
      <c r="L174" s="153" t="s">
        <v>712</v>
      </c>
      <c r="M174" s="924"/>
      <c r="N174" s="153"/>
      <c r="O174" s="153" t="s">
        <v>1428</v>
      </c>
      <c r="P174" s="727">
        <f>31.08/D174/1.13</f>
        <v>4.05669981987626</v>
      </c>
      <c r="Q174" s="727">
        <v>12.65</v>
      </c>
      <c r="R174" s="1563">
        <f>18.6/D174</f>
        <v>2.74336283185841</v>
      </c>
      <c r="S174" s="1575">
        <f t="shared" ref="S174:S179" si="9">SUBTOTAL(109,P174:R174)</f>
        <v>19.4500626517347</v>
      </c>
      <c r="T174" s="791"/>
      <c r="U174" s="193"/>
    </row>
    <row r="175" customFormat="1" spans="1:22">
      <c r="A175" s="989"/>
      <c r="B175" s="1672" t="s">
        <v>4793</v>
      </c>
      <c r="C175" s="1672" t="s">
        <v>3387</v>
      </c>
      <c r="D175" s="1672">
        <v>6.78</v>
      </c>
      <c r="E175" s="1672"/>
      <c r="F175" s="1672" t="s">
        <v>4039</v>
      </c>
      <c r="G175" s="1738"/>
      <c r="H175" s="1738"/>
      <c r="I175" s="1686"/>
      <c r="J175" s="1738"/>
      <c r="K175" s="1686" t="s">
        <v>1428</v>
      </c>
      <c r="L175" s="961" t="s">
        <v>712</v>
      </c>
      <c r="M175" s="1686"/>
      <c r="N175" s="961"/>
      <c r="O175" s="961" t="s">
        <v>1428</v>
      </c>
      <c r="P175" s="965">
        <f>28.6/D174/1.13</f>
        <v>3.73299919074843</v>
      </c>
      <c r="Q175" s="965">
        <v>13.1</v>
      </c>
      <c r="R175" s="1739">
        <f>18.6/D175</f>
        <v>2.74336283185841</v>
      </c>
      <c r="S175" s="1740">
        <f t="shared" si="9"/>
        <v>19.5763620226068</v>
      </c>
      <c r="T175" s="791"/>
      <c r="U175" s="989"/>
    </row>
    <row r="176" customFormat="1" spans="1:22">
      <c r="A176" s="989"/>
      <c r="B176" s="1672" t="s">
        <v>4794</v>
      </c>
      <c r="C176" s="1672"/>
      <c r="D176" s="1672">
        <v>6.78</v>
      </c>
      <c r="E176" s="1672"/>
      <c r="F176" s="1672" t="s">
        <v>4795</v>
      </c>
      <c r="G176" s="1738"/>
      <c r="H176" s="1738"/>
      <c r="I176" s="1686"/>
      <c r="J176" s="1738"/>
      <c r="K176" s="1686" t="s">
        <v>1428</v>
      </c>
      <c r="L176" s="961" t="s">
        <v>712</v>
      </c>
      <c r="M176" s="1686"/>
      <c r="N176" s="961"/>
      <c r="O176" s="961" t="s">
        <v>1428</v>
      </c>
      <c r="P176" s="965">
        <f>3.17/D176/1.13*1.08</f>
        <v>0.446863497533088</v>
      </c>
      <c r="Q176" s="965">
        <v>0.87</v>
      </c>
      <c r="R176" s="1739">
        <f>1.82/D176</f>
        <v>0.268436578171091</v>
      </c>
      <c r="S176" s="1740">
        <f t="shared" si="9"/>
        <v>1.58530007570418</v>
      </c>
      <c r="T176" s="791"/>
      <c r="U176" s="989"/>
    </row>
    <row r="177" spans="2:21">
      <c r="B177" s="791" t="s">
        <v>4796</v>
      </c>
      <c r="C177" s="791"/>
      <c r="D177" s="791">
        <v>6.78</v>
      </c>
      <c r="E177" s="791"/>
      <c r="F177" s="791" t="s">
        <v>4797</v>
      </c>
      <c r="G177" s="1255"/>
      <c r="H177" s="1255"/>
      <c r="I177" s="924"/>
      <c r="J177" s="1255"/>
      <c r="K177" s="924" t="s">
        <v>1428</v>
      </c>
      <c r="L177" s="153" t="s">
        <v>712</v>
      </c>
      <c r="M177" s="924"/>
      <c r="N177" s="153"/>
      <c r="O177" s="153" t="s">
        <v>1428</v>
      </c>
      <c r="P177" s="727">
        <f>3.42/D177/1.13*1.08</f>
        <v>0.482105098284909</v>
      </c>
      <c r="Q177" s="727">
        <v>1.15</v>
      </c>
      <c r="R177" s="1563">
        <f>1.82/D177</f>
        <v>0.268436578171091</v>
      </c>
      <c r="S177" s="1575">
        <f t="shared" si="9"/>
        <v>1.900541676456</v>
      </c>
      <c r="T177" s="791"/>
    </row>
    <row r="178" ht="15" spans="2:21">
      <c r="B178" s="1660" t="s">
        <v>3357</v>
      </c>
      <c r="C178" s="1741" t="s">
        <v>3358</v>
      </c>
      <c r="D178" s="1662">
        <v>20250902</v>
      </c>
      <c r="E178" s="1736">
        <v>6.8</v>
      </c>
      <c r="F178" s="959" t="s">
        <v>3359</v>
      </c>
      <c r="G178" s="1588" t="s">
        <v>2081</v>
      </c>
      <c r="H178" s="1591" t="s">
        <v>3360</v>
      </c>
      <c r="I178" s="961" t="s">
        <v>3348</v>
      </c>
      <c r="J178" s="961" t="s">
        <v>1913</v>
      </c>
      <c r="K178" s="965" t="s">
        <v>1635</v>
      </c>
      <c r="L178" s="965" t="s">
        <v>712</v>
      </c>
      <c r="M178" s="965" t="s">
        <v>1507</v>
      </c>
      <c r="N178" s="1742">
        <f>22.47/E178/1.13</f>
        <v>2.92425819885476</v>
      </c>
      <c r="O178" s="964">
        <f>42.48/6.78/1.13</f>
        <v>5.54467851828647</v>
      </c>
      <c r="P178" s="1686">
        <v>14.5</v>
      </c>
      <c r="Q178" s="964">
        <f>23.45/E178/1.13</f>
        <v>3.05179593961478</v>
      </c>
      <c r="R178" s="965">
        <f>SUBTOTAL(109,O178:Q178)</f>
        <v>23.0964744579013</v>
      </c>
      <c r="S178" s="964">
        <v>13</v>
      </c>
      <c r="T178" s="1743" t="s">
        <v>1526</v>
      </c>
      <c r="U178" s="1591" t="s">
        <v>3361</v>
      </c>
    </row>
    <row r="179" spans="2:21">
      <c r="B179" s="1719" t="s">
        <v>3357</v>
      </c>
      <c r="C179" s="791"/>
      <c r="D179" s="791"/>
      <c r="E179" s="791">
        <v>6.78</v>
      </c>
      <c r="F179" s="791" t="s">
        <v>4798</v>
      </c>
      <c r="G179" s="1255"/>
      <c r="H179" s="1255"/>
      <c r="I179" s="924"/>
      <c r="J179" s="1255"/>
      <c r="K179" s="924" t="s">
        <v>1428</v>
      </c>
      <c r="L179" s="1082" t="s">
        <v>712</v>
      </c>
      <c r="M179" s="924"/>
      <c r="N179" s="153"/>
      <c r="O179" s="153" t="s">
        <v>1428</v>
      </c>
      <c r="P179" s="727">
        <f>40.85/E179/1.13</f>
        <v>5.33192366930326</v>
      </c>
      <c r="Q179" s="727">
        <v>14</v>
      </c>
      <c r="R179" s="1563">
        <v>3.05</v>
      </c>
      <c r="S179" s="1575">
        <f t="shared" si="9"/>
        <v>22.3819236693033</v>
      </c>
    </row>
    <row r="349" spans="2:20">
      <c r="C349" s="1244"/>
      <c r="D349" s="1244"/>
      <c r="E349" s="1244"/>
      <c r="F349" s="1244" t="s">
        <v>667</v>
      </c>
      <c r="G349" s="193"/>
      <c r="H349" s="193"/>
      <c r="I349" s="1243"/>
      <c r="J349" s="193"/>
      <c r="K349" s="193"/>
      <c r="L349" s="1245"/>
      <c r="M349" s="193"/>
      <c r="N349" s="1245" t="e">
        <f>37.88/D349/1.13</f>
        <v>#DIV/0!</v>
      </c>
      <c r="O349" s="1245">
        <v>19.29</v>
      </c>
      <c r="P349" s="1248">
        <v>3.15</v>
      </c>
      <c r="Q349" s="1249"/>
      <c r="T349" s="1244"/>
    </row>
    <row r="350" spans="2:20">
      <c r="B350" s="1203" t="s">
        <v>1430</v>
      </c>
    </row>
    <row r="354" spans="14:14">
      <c r="N354" s="805" t="e">
        <f>32.97/D354/1.13</f>
        <v>#DIV/0!</v>
      </c>
    </row>
    <row r="604" spans="2:7">
      <c r="B604" s="1503" t="s">
        <v>313</v>
      </c>
      <c r="F604" s="990" t="s">
        <v>1241</v>
      </c>
      <c r="G604" s="989" t="s">
        <v>1242</v>
      </c>
    </row>
    <row r="822" spans="16:16">
      <c r="P822" s="1206" t="e">
        <f>36.32/D822/1.13</f>
        <v>#DIV/0!</v>
      </c>
    </row>
    <row r="835" spans="2:5">
      <c r="B835" s="1203" t="s">
        <v>3192</v>
      </c>
      <c r="D835" s="990">
        <v>6.8819</v>
      </c>
      <c r="E835" s="990" t="s">
        <v>3193</v>
      </c>
    </row>
  </sheetData>
  <mergeCells count="37">
    <mergeCell ref="A7:A129"/>
    <mergeCell ref="A130:A135"/>
    <mergeCell ref="B1:B6"/>
    <mergeCell ref="B10:B15"/>
    <mergeCell ref="B16:B17"/>
    <mergeCell ref="B18:B22"/>
    <mergeCell ref="B23:B37"/>
    <mergeCell ref="B38:B39"/>
    <mergeCell ref="B41:B46"/>
    <mergeCell ref="B47:B52"/>
    <mergeCell ref="B53:B55"/>
    <mergeCell ref="B56:B57"/>
    <mergeCell ref="B58:B64"/>
    <mergeCell ref="B65:B72"/>
    <mergeCell ref="B73:B76"/>
    <mergeCell ref="B77:B84"/>
    <mergeCell ref="B85:B86"/>
    <mergeCell ref="B87:B89"/>
    <mergeCell ref="B90:B92"/>
    <mergeCell ref="B93:B95"/>
    <mergeCell ref="B97:B101"/>
    <mergeCell ref="B102:B106"/>
    <mergeCell ref="B107:B120"/>
    <mergeCell ref="B121:B123"/>
    <mergeCell ref="B125:B126"/>
    <mergeCell ref="B128:B129"/>
    <mergeCell ref="B130:B135"/>
    <mergeCell ref="B136:B150"/>
    <mergeCell ref="B151:B158"/>
    <mergeCell ref="B159:B160"/>
    <mergeCell ref="B161:B163"/>
    <mergeCell ref="B164:B168"/>
    <mergeCell ref="G128:G129"/>
    <mergeCell ref="T173:T177"/>
    <mergeCell ref="U1:U6"/>
    <mergeCell ref="W2:W5"/>
    <mergeCell ref="AB4:AB5"/>
  </mergeCells>
  <pageMargins left="0.75" right="0.75" top="1" bottom="1" header="0.5" footer="0.5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W705"/>
  <sheetViews>
    <sheetView zoomScale="70" zoomScaleNormal="70" workbookViewId="0">
      <pane ySplit="2" topLeftCell="A3" activePane="bottomLeft" state="frozen"/>
      <selection/>
      <selection pane="bottomLeft" activeCell="J24" sqref="J24"/>
    </sheetView>
  </sheetViews>
  <sheetFormatPr defaultColWidth="9" defaultRowHeight="13.2"/>
  <cols>
    <col min="1" max="3" width="4.66666666666667" style="1189" hidden="1" customWidth="1"/>
    <col min="4" max="4" width="27.7777777777778" style="1203" customWidth="1"/>
    <col min="5" max="5" width="12.2777777777778" style="1658" hidden="1" customWidth="1"/>
    <col min="6" max="6" width="5.66666666666667" style="1203" hidden="1" customWidth="1"/>
    <col min="7" max="7" width="28.3333333333333" style="1203" hidden="1" customWidth="1"/>
    <col min="8" max="8" width="27.8888888888889" style="1203" hidden="1" customWidth="1"/>
    <col min="9" max="9" width="36.8333333333333" style="1579" hidden="1" customWidth="1"/>
    <col min="10" max="10" width="46.0185185185185" style="1582" customWidth="1"/>
    <col min="11" max="11" width="21.8981481481481" style="1582" customWidth="1"/>
    <col min="12" max="12" width="13.3333333333333" style="1242" customWidth="1"/>
    <col min="13" max="13" width="12.8055555555556" style="1242" customWidth="1"/>
    <col min="14" max="14" width="10.7777777777778" style="1242" customWidth="1"/>
    <col min="15" max="15" width="10.7777777777778" style="1580" hidden="1" customWidth="1"/>
    <col min="16" max="17" width="10.7777777777778" style="1580" customWidth="1"/>
    <col min="18" max="18" width="12.6944444444444" style="1581" customWidth="1"/>
    <col min="19" max="19" width="15.537037037037" style="1581" customWidth="1"/>
    <col min="20" max="20" width="10.7777777777778" style="1580" hidden="1" customWidth="1"/>
    <col min="21" max="21" width="31.1018518518519" style="1582" customWidth="1"/>
    <col min="22" max="22" width="67.2222222222222" style="1579" customWidth="1"/>
    <col min="23" max="23" width="9" style="1189" hidden="1" customWidth="1"/>
    <col min="24" max="16384" width="9" style="1189"/>
  </cols>
  <sheetData>
    <row r="1" s="188" customFormat="1" ht="19" customHeight="1" spans="1:23">
      <c r="D1" s="1659" t="s">
        <v>4799</v>
      </c>
      <c r="E1" s="14"/>
      <c r="F1" s="11"/>
      <c r="G1" s="11"/>
      <c r="H1" s="11"/>
      <c r="I1" s="127"/>
      <c r="J1" s="127"/>
      <c r="K1" s="12"/>
      <c r="L1" s="14"/>
      <c r="M1" s="915"/>
      <c r="N1" s="129"/>
      <c r="O1" s="867"/>
      <c r="P1" s="867"/>
      <c r="Q1" s="867"/>
      <c r="R1" s="869"/>
      <c r="S1" s="869"/>
      <c r="T1" s="867"/>
      <c r="U1" s="12"/>
      <c r="V1" s="131"/>
    </row>
    <row r="2" s="987" customFormat="1" ht="19.5" customHeight="1" spans="1:23">
      <c r="A2" s="1583" t="s">
        <v>4540</v>
      </c>
      <c r="B2" s="1583"/>
      <c r="C2" s="1583"/>
      <c r="D2" s="132"/>
      <c r="E2" s="17" t="s">
        <v>1492</v>
      </c>
      <c r="F2" s="17" t="s">
        <v>4800</v>
      </c>
      <c r="G2" s="165" t="s">
        <v>1404</v>
      </c>
      <c r="H2" s="17" t="s">
        <v>4100</v>
      </c>
      <c r="I2" s="121" t="s">
        <v>5</v>
      </c>
      <c r="J2" s="121" t="s">
        <v>1933</v>
      </c>
      <c r="K2" s="121" t="s">
        <v>4102</v>
      </c>
      <c r="L2" s="133" t="s">
        <v>1497</v>
      </c>
      <c r="M2" s="18" t="s">
        <v>1498</v>
      </c>
      <c r="N2" s="18" t="s">
        <v>1497</v>
      </c>
      <c r="O2" s="134" t="s">
        <v>6</v>
      </c>
      <c r="P2" s="134" t="s">
        <v>6</v>
      </c>
      <c r="Q2" s="134" t="s">
        <v>7</v>
      </c>
      <c r="R2" s="134" t="s">
        <v>8</v>
      </c>
      <c r="S2" s="134" t="s">
        <v>9</v>
      </c>
      <c r="T2" s="134"/>
      <c r="U2" s="121" t="s">
        <v>4105</v>
      </c>
      <c r="V2" s="136" t="s">
        <v>4106</v>
      </c>
    </row>
    <row r="3" s="1600" customFormat="1" ht="21" hidden="1" customHeight="1" spans="1:23">
      <c r="A3" s="1603">
        <v>1</v>
      </c>
      <c r="B3" s="1603"/>
      <c r="C3" s="1603">
        <v>1</v>
      </c>
      <c r="D3" s="1660" t="s">
        <v>4801</v>
      </c>
      <c r="E3" s="1661">
        <v>46174</v>
      </c>
      <c r="F3" s="1662"/>
      <c r="G3" s="1662">
        <v>6.75</v>
      </c>
      <c r="H3" s="1662" t="s">
        <v>4802</v>
      </c>
      <c r="I3" s="1663" t="s">
        <v>1604</v>
      </c>
      <c r="J3" s="1664" t="s">
        <v>4803</v>
      </c>
      <c r="K3" s="1664"/>
      <c r="L3" s="1665"/>
      <c r="M3" s="1666" t="s">
        <v>712</v>
      </c>
      <c r="N3" s="1667" t="s">
        <v>712</v>
      </c>
      <c r="O3" s="965">
        <f>85.95/G3/1.13</f>
        <v>11.2684365781711</v>
      </c>
      <c r="P3" s="965">
        <f>114.52/G3/1.13</f>
        <v>15.0140937397575</v>
      </c>
      <c r="Q3" s="1668">
        <v>26.8</v>
      </c>
      <c r="R3" s="965">
        <v>4</v>
      </c>
      <c r="S3" s="965">
        <f>SUBTOTAL(109,P3:R3)</f>
        <v>0</v>
      </c>
      <c r="T3" s="1668">
        <v>23</v>
      </c>
      <c r="U3" s="1664" t="s">
        <v>4804</v>
      </c>
      <c r="V3" s="1664" t="s">
        <v>4805</v>
      </c>
      <c r="W3" s="1669" t="s">
        <v>4806</v>
      </c>
    </row>
    <row r="4" s="1600" customFormat="1" ht="21" customHeight="1" spans="1:23">
      <c r="A4" s="1603">
        <v>1</v>
      </c>
      <c r="B4" s="1603"/>
      <c r="C4" s="1603">
        <v>1</v>
      </c>
      <c r="D4" s="1660" t="s">
        <v>4807</v>
      </c>
      <c r="E4" s="1661">
        <v>46083</v>
      </c>
      <c r="F4" s="1662"/>
      <c r="G4" s="1662">
        <v>6.7693</v>
      </c>
      <c r="H4" s="1662" t="s">
        <v>4808</v>
      </c>
      <c r="I4" s="1663" t="s">
        <v>2449</v>
      </c>
      <c r="J4" s="959" t="s">
        <v>4809</v>
      </c>
      <c r="K4" s="1664" t="s">
        <v>4810</v>
      </c>
      <c r="L4" s="1670" t="s">
        <v>1428</v>
      </c>
      <c r="M4" s="1665" t="s">
        <v>4811</v>
      </c>
      <c r="N4" s="1663" t="s">
        <v>712</v>
      </c>
      <c r="O4" s="965">
        <f>77.49/G4/1.13*1.3</f>
        <v>13.1694248460874</v>
      </c>
      <c r="P4" s="965">
        <f>149.44/6.78/1.13</f>
        <v>19.5055733938967</v>
      </c>
      <c r="Q4" s="1668">
        <v>55.4</v>
      </c>
      <c r="R4" s="965">
        <f>38/G4</f>
        <v>5.61357895203344</v>
      </c>
      <c r="S4" s="965">
        <f t="shared" ref="S4:S38" si="0">SUBTOTAL(109,P4:R4)</f>
        <v>80.5191523459301</v>
      </c>
      <c r="T4" s="964">
        <v>46.2</v>
      </c>
      <c r="U4" s="959" t="s">
        <v>4812</v>
      </c>
      <c r="V4" s="1664" t="s">
        <v>4813</v>
      </c>
      <c r="W4" s="1601" t="s">
        <v>4814</v>
      </c>
    </row>
    <row r="5" s="996" customFormat="1" ht="21" customHeight="1" spans="1:23">
      <c r="A5" s="930">
        <v>1</v>
      </c>
      <c r="B5" s="930"/>
      <c r="C5" s="930">
        <v>1</v>
      </c>
      <c r="D5" s="959" t="s">
        <v>4815</v>
      </c>
      <c r="E5" s="961">
        <v>20250509</v>
      </c>
      <c r="F5" s="1662">
        <v>6.7963</v>
      </c>
      <c r="G5" s="1662">
        <v>6.7693</v>
      </c>
      <c r="H5" s="961" t="s">
        <v>4816</v>
      </c>
      <c r="I5" s="961" t="s">
        <v>1565</v>
      </c>
      <c r="J5" s="959" t="s">
        <v>4817</v>
      </c>
      <c r="K5" s="959" t="s">
        <v>4818</v>
      </c>
      <c r="L5" s="961"/>
      <c r="M5" s="1671" t="s">
        <v>4811</v>
      </c>
      <c r="N5" s="961" t="s">
        <v>712</v>
      </c>
      <c r="O5" s="965">
        <f>48.48/G5/1.13</f>
        <v>6.33782737761019</v>
      </c>
      <c r="P5" s="965">
        <v>7.60539285313223</v>
      </c>
      <c r="Q5" s="1668">
        <v>27.2</v>
      </c>
      <c r="R5" s="965">
        <f>25/G5</f>
        <v>3.69314404739042</v>
      </c>
      <c r="S5" s="965">
        <f t="shared" si="0"/>
        <v>38.4985369005227</v>
      </c>
      <c r="T5" s="964">
        <v>23.1</v>
      </c>
      <c r="U5" s="959" t="s">
        <v>4819</v>
      </c>
      <c r="V5" s="1664" t="s">
        <v>4820</v>
      </c>
      <c r="W5" s="1626" t="s">
        <v>4821</v>
      </c>
    </row>
    <row r="6" s="930" customFormat="1" ht="21" customHeight="1" spans="1:23">
      <c r="A6" s="930">
        <v>1</v>
      </c>
      <c r="B6" s="930"/>
      <c r="C6" s="930">
        <v>1</v>
      </c>
      <c r="D6" s="1672" t="s">
        <v>4822</v>
      </c>
      <c r="E6" s="1673">
        <v>46170</v>
      </c>
      <c r="F6" s="961">
        <v>7.17</v>
      </c>
      <c r="G6" s="1662">
        <v>6.7693</v>
      </c>
      <c r="H6" s="1674" t="s">
        <v>4823</v>
      </c>
      <c r="I6" s="961" t="s">
        <v>1685</v>
      </c>
      <c r="J6" s="959" t="s">
        <v>4824</v>
      </c>
      <c r="K6" s="959" t="s">
        <v>4825</v>
      </c>
      <c r="L6" s="961" t="s">
        <v>1979</v>
      </c>
      <c r="M6" s="961" t="s">
        <v>4826</v>
      </c>
      <c r="N6" s="961" t="s">
        <v>712</v>
      </c>
      <c r="O6" s="1668">
        <f>51.2/G6/1.13</f>
        <v>6.69341505226158</v>
      </c>
      <c r="P6" s="965">
        <v>8.0320980627139</v>
      </c>
      <c r="Q6" s="1668">
        <v>26.4</v>
      </c>
      <c r="R6" s="964">
        <v>4</v>
      </c>
      <c r="S6" s="965">
        <f t="shared" si="0"/>
        <v>38.4320980627139</v>
      </c>
      <c r="T6" s="964">
        <v>21.9</v>
      </c>
      <c r="U6" s="959" t="s">
        <v>4827</v>
      </c>
      <c r="V6" s="1664" t="s">
        <v>4828</v>
      </c>
      <c r="W6" s="1675" t="s">
        <v>4829</v>
      </c>
    </row>
    <row r="7" s="930" customFormat="1" ht="21" customHeight="1" spans="1:23">
      <c r="A7" s="930">
        <v>1</v>
      </c>
      <c r="B7" s="930"/>
      <c r="C7" s="930">
        <v>1</v>
      </c>
      <c r="D7" s="1672" t="s">
        <v>4830</v>
      </c>
      <c r="E7" s="961">
        <v>20250616</v>
      </c>
      <c r="F7" s="961">
        <v>7.19</v>
      </c>
      <c r="G7" s="1662">
        <v>7.01</v>
      </c>
      <c r="H7" s="1676" t="s">
        <v>4831</v>
      </c>
      <c r="I7" s="1663" t="s">
        <v>1565</v>
      </c>
      <c r="J7" s="959" t="s">
        <v>4824</v>
      </c>
      <c r="K7" s="959" t="s">
        <v>4810</v>
      </c>
      <c r="L7" s="961"/>
      <c r="M7" s="961" t="s">
        <v>4826</v>
      </c>
      <c r="N7" s="961" t="s">
        <v>712</v>
      </c>
      <c r="O7" s="965">
        <f>89.9/G7/1.13</f>
        <v>11.3491472359335</v>
      </c>
      <c r="P7" s="965">
        <v>13.6189766831202</v>
      </c>
      <c r="Q7" s="1668">
        <v>47.8</v>
      </c>
      <c r="R7" s="964">
        <f>50.51/G7/1.13</f>
        <v>6.37647860830924</v>
      </c>
      <c r="S7" s="965">
        <f t="shared" si="0"/>
        <v>67.7954552914294</v>
      </c>
      <c r="T7" s="964">
        <v>40.05</v>
      </c>
      <c r="U7" s="959" t="s">
        <v>4832</v>
      </c>
      <c r="V7" s="1664" t="s">
        <v>4833</v>
      </c>
      <c r="W7" s="1675" t="s">
        <v>4834</v>
      </c>
    </row>
    <row r="8" s="1601" customFormat="1" ht="21" customHeight="1" spans="1:23">
      <c r="A8" s="930">
        <v>1</v>
      </c>
      <c r="B8" s="930"/>
      <c r="C8" s="930">
        <v>1</v>
      </c>
      <c r="D8" s="711" t="s">
        <v>4835</v>
      </c>
      <c r="E8" s="961"/>
      <c r="F8" s="961">
        <v>6.7693</v>
      </c>
      <c r="G8" s="961">
        <v>6.7693</v>
      </c>
      <c r="H8" s="961" t="s">
        <v>4836</v>
      </c>
      <c r="I8" s="961" t="s">
        <v>1617</v>
      </c>
      <c r="J8" s="959" t="s">
        <v>4837</v>
      </c>
      <c r="K8" s="959" t="s">
        <v>4838</v>
      </c>
      <c r="L8" s="961" t="s">
        <v>3939</v>
      </c>
      <c r="M8" s="961" t="s">
        <v>4826</v>
      </c>
      <c r="N8" s="1663" t="s">
        <v>712</v>
      </c>
      <c r="O8" s="1668">
        <v>2.77931415929204</v>
      </c>
      <c r="P8" s="965">
        <v>3.33517699115045</v>
      </c>
      <c r="Q8" s="1668">
        <v>16.4</v>
      </c>
      <c r="R8" s="964">
        <v>4.01629370629371</v>
      </c>
      <c r="S8" s="965">
        <f t="shared" si="0"/>
        <v>23.7514706974442</v>
      </c>
      <c r="T8" s="964">
        <v>13.9</v>
      </c>
      <c r="U8" s="1677" t="s">
        <v>4250</v>
      </c>
      <c r="V8" s="1664" t="s">
        <v>4839</v>
      </c>
      <c r="W8" s="1678" t="s">
        <v>4840</v>
      </c>
    </row>
    <row r="9" s="1601" customFormat="1" ht="21" customHeight="1" spans="1:23">
      <c r="A9" s="930"/>
      <c r="B9" s="930"/>
      <c r="C9" s="930"/>
      <c r="D9" s="711" t="s">
        <v>4841</v>
      </c>
      <c r="E9" s="961"/>
      <c r="F9" s="961"/>
      <c r="G9" s="1662">
        <v>7.01</v>
      </c>
      <c r="H9" s="961" t="s">
        <v>1110</v>
      </c>
      <c r="I9" s="961" t="s">
        <v>1428</v>
      </c>
      <c r="J9" s="959" t="s">
        <v>1428</v>
      </c>
      <c r="K9" s="959"/>
      <c r="L9" s="961"/>
      <c r="M9" s="1679" t="s">
        <v>712</v>
      </c>
      <c r="N9" s="961" t="s">
        <v>712</v>
      </c>
      <c r="O9" s="1668">
        <v>0.0419985250737463</v>
      </c>
      <c r="P9" s="965">
        <v>0.0503982300884956</v>
      </c>
      <c r="Q9" s="1680">
        <v>0.132015769800885</v>
      </c>
      <c r="R9" s="964">
        <v>0.2</v>
      </c>
      <c r="S9" s="965">
        <f t="shared" si="0"/>
        <v>0.382413999889381</v>
      </c>
      <c r="T9" s="964">
        <v>0.132015769800885</v>
      </c>
      <c r="U9" s="1677" t="s">
        <v>1428</v>
      </c>
      <c r="V9" s="1664"/>
      <c r="W9" s="1190" t="s">
        <v>1406</v>
      </c>
    </row>
    <row r="10" s="996" customFormat="1" ht="21" customHeight="1" spans="1:23">
      <c r="A10" s="930"/>
      <c r="B10" s="930"/>
      <c r="C10" s="930"/>
      <c r="D10" s="959" t="s">
        <v>4842</v>
      </c>
      <c r="E10" s="961"/>
      <c r="F10" s="961">
        <v>6.91</v>
      </c>
      <c r="G10" s="1662"/>
      <c r="H10" s="961" t="s">
        <v>4843</v>
      </c>
      <c r="I10" s="1681" t="s">
        <v>1428</v>
      </c>
      <c r="J10" s="959" t="s">
        <v>1428</v>
      </c>
      <c r="K10" s="959"/>
      <c r="L10" s="961"/>
      <c r="M10" s="1679" t="s">
        <v>712</v>
      </c>
      <c r="N10" s="1663" t="s">
        <v>712</v>
      </c>
      <c r="O10" s="1668">
        <v>0.951071666069875</v>
      </c>
      <c r="P10" s="965">
        <v>1.14128599928385</v>
      </c>
      <c r="Q10" s="1680">
        <v>0.692161706082152</v>
      </c>
      <c r="R10" s="965">
        <v>0.2</v>
      </c>
      <c r="S10" s="965">
        <f t="shared" si="0"/>
        <v>2.033447705366</v>
      </c>
      <c r="T10" s="964">
        <v>0.692161706082152</v>
      </c>
      <c r="U10" s="1664" t="s">
        <v>1428</v>
      </c>
      <c r="V10" s="1664"/>
      <c r="W10" s="1190" t="s">
        <v>1406</v>
      </c>
    </row>
    <row r="11" s="996" customFormat="1" ht="21" customHeight="1" spans="1:23">
      <c r="A11" s="930">
        <v>1</v>
      </c>
      <c r="B11" s="930"/>
      <c r="C11" s="930">
        <v>1</v>
      </c>
      <c r="D11" s="959" t="s">
        <v>4844</v>
      </c>
      <c r="E11" s="961"/>
      <c r="F11" s="961">
        <v>6.7693</v>
      </c>
      <c r="G11" s="961">
        <v>6.7693</v>
      </c>
      <c r="H11" s="961" t="s">
        <v>4845</v>
      </c>
      <c r="I11" s="961" t="s">
        <v>4846</v>
      </c>
      <c r="J11" s="959" t="s">
        <v>1933</v>
      </c>
      <c r="K11" s="959" t="s">
        <v>4847</v>
      </c>
      <c r="L11" s="961" t="s">
        <v>1428</v>
      </c>
      <c r="M11" s="961" t="s">
        <v>4826</v>
      </c>
      <c r="N11" s="961" t="s">
        <v>712</v>
      </c>
      <c r="O11" s="1668">
        <v>3.95836968714945</v>
      </c>
      <c r="P11" s="965">
        <v>4.75004362457934</v>
      </c>
      <c r="Q11" s="1668">
        <v>17.7</v>
      </c>
      <c r="R11" s="964">
        <f>21/G11</f>
        <v>3.10224099980796</v>
      </c>
      <c r="S11" s="965">
        <f t="shared" si="0"/>
        <v>25.5522846243873</v>
      </c>
      <c r="T11" s="964">
        <v>15.2</v>
      </c>
      <c r="U11" s="959" t="s">
        <v>4848</v>
      </c>
      <c r="V11" s="1664" t="s">
        <v>4849</v>
      </c>
      <c r="W11" s="1626" t="s">
        <v>4850</v>
      </c>
    </row>
    <row r="12" s="996" customFormat="1" ht="21" customHeight="1" spans="1:23">
      <c r="A12" s="930"/>
      <c r="B12" s="930"/>
      <c r="C12" s="930">
        <v>1</v>
      </c>
      <c r="D12" s="959" t="s">
        <v>4851</v>
      </c>
      <c r="E12" s="961"/>
      <c r="F12" s="961"/>
      <c r="G12" s="961">
        <v>6.7693</v>
      </c>
      <c r="H12" s="1662" t="s">
        <v>4852</v>
      </c>
      <c r="I12" s="961" t="s">
        <v>1617</v>
      </c>
      <c r="J12" s="959" t="s">
        <v>1933</v>
      </c>
      <c r="K12" s="959" t="s">
        <v>4847</v>
      </c>
      <c r="L12" s="961" t="s">
        <v>1428</v>
      </c>
      <c r="M12" s="961" t="s">
        <v>4826</v>
      </c>
      <c r="N12" s="961" t="s">
        <v>712</v>
      </c>
      <c r="O12" s="1668">
        <v>3.76823291829595</v>
      </c>
      <c r="P12" s="965">
        <v>4.52187950195514</v>
      </c>
      <c r="Q12" s="1668">
        <v>22.1</v>
      </c>
      <c r="R12" s="964">
        <v>4.01629370629371</v>
      </c>
      <c r="S12" s="965">
        <f t="shared" si="0"/>
        <v>30.6381732082489</v>
      </c>
      <c r="T12" s="964">
        <v>19.6</v>
      </c>
      <c r="U12" s="959" t="s">
        <v>4848</v>
      </c>
      <c r="V12" s="1664" t="s">
        <v>4853</v>
      </c>
      <c r="W12" s="1190" t="s">
        <v>1406</v>
      </c>
    </row>
    <row r="13" s="996" customFormat="1" ht="21" customHeight="1" spans="1:23">
      <c r="A13" s="930"/>
      <c r="B13" s="930"/>
      <c r="C13" s="930">
        <v>1</v>
      </c>
      <c r="D13" s="959" t="s">
        <v>4854</v>
      </c>
      <c r="E13" s="961"/>
      <c r="F13" s="961"/>
      <c r="G13" s="1662">
        <v>7.01</v>
      </c>
      <c r="H13" s="961" t="s">
        <v>4855</v>
      </c>
      <c r="I13" s="961" t="s">
        <v>1645</v>
      </c>
      <c r="J13" s="959" t="s">
        <v>1933</v>
      </c>
      <c r="K13" s="959" t="s">
        <v>4856</v>
      </c>
      <c r="L13" s="961" t="s">
        <v>1428</v>
      </c>
      <c r="M13" s="961" t="s">
        <v>4826</v>
      </c>
      <c r="N13" s="961" t="s">
        <v>712</v>
      </c>
      <c r="O13" s="1668">
        <v>7.31546802941543</v>
      </c>
      <c r="P13" s="965">
        <v>8.77856163529852</v>
      </c>
      <c r="Q13" s="1668">
        <v>32.2</v>
      </c>
      <c r="R13" s="964">
        <v>4.01629370629371</v>
      </c>
      <c r="S13" s="965">
        <f t="shared" si="0"/>
        <v>44.9948553415922</v>
      </c>
      <c r="T13" s="964">
        <v>28.6</v>
      </c>
      <c r="U13" s="959" t="s">
        <v>4819</v>
      </c>
      <c r="V13" s="1664" t="s">
        <v>4857</v>
      </c>
      <c r="W13" s="1190" t="s">
        <v>1406</v>
      </c>
    </row>
    <row r="14" s="996" customFormat="1" ht="21" customHeight="1" spans="1:23">
      <c r="A14" s="930"/>
      <c r="B14" s="930"/>
      <c r="C14" s="930"/>
      <c r="D14" s="959"/>
      <c r="E14" s="961">
        <v>20241128</v>
      </c>
      <c r="F14" s="961">
        <v>7.25</v>
      </c>
      <c r="G14" s="1662">
        <v>7.01</v>
      </c>
      <c r="H14" s="961" t="s">
        <v>4858</v>
      </c>
      <c r="I14" s="1682" t="s">
        <v>4859</v>
      </c>
      <c r="J14" s="1683"/>
      <c r="K14" s="1683"/>
      <c r="L14" s="1682"/>
      <c r="M14" s="1671" t="s">
        <v>712</v>
      </c>
      <c r="N14" s="1682" t="s">
        <v>712</v>
      </c>
      <c r="O14" s="1668">
        <v>0.429356118400976</v>
      </c>
      <c r="P14" s="965">
        <v>0.515227342081171</v>
      </c>
      <c r="Q14" s="1680">
        <v>1.50146784491147</v>
      </c>
      <c r="R14" s="964">
        <v>0.2</v>
      </c>
      <c r="S14" s="965">
        <f t="shared" si="0"/>
        <v>2.21669518699264</v>
      </c>
      <c r="T14" s="964">
        <v>1.50146784491147</v>
      </c>
      <c r="U14" s="1684"/>
      <c r="V14" s="1664" t="s">
        <v>4860</v>
      </c>
      <c r="W14" s="1190" t="s">
        <v>1406</v>
      </c>
    </row>
    <row r="15" s="996" customFormat="1" ht="21" customHeight="1" spans="1:23">
      <c r="A15" s="930">
        <v>1</v>
      </c>
      <c r="B15" s="930"/>
      <c r="C15" s="930">
        <v>1</v>
      </c>
      <c r="D15" s="959" t="s">
        <v>4861</v>
      </c>
      <c r="E15" s="961">
        <v>20240228</v>
      </c>
      <c r="F15" s="961">
        <v>7.2</v>
      </c>
      <c r="G15" s="1662">
        <v>7.01</v>
      </c>
      <c r="H15" s="961" t="s">
        <v>4862</v>
      </c>
      <c r="I15" s="961" t="s">
        <v>1604</v>
      </c>
      <c r="J15" s="959" t="s">
        <v>1933</v>
      </c>
      <c r="K15" s="959" t="s">
        <v>4863</v>
      </c>
      <c r="L15" s="961" t="s">
        <v>1428</v>
      </c>
      <c r="M15" s="961" t="s">
        <v>4826</v>
      </c>
      <c r="N15" s="961" t="s">
        <v>712</v>
      </c>
      <c r="O15" s="1668">
        <v>4.5537757297218</v>
      </c>
      <c r="P15" s="965">
        <v>5.46453087566616</v>
      </c>
      <c r="Q15" s="1668">
        <v>40.2</v>
      </c>
      <c r="R15" s="964">
        <v>4.06099088970708</v>
      </c>
      <c r="S15" s="965">
        <f t="shared" si="0"/>
        <v>49.7255217653732</v>
      </c>
      <c r="T15" s="964">
        <v>37.7</v>
      </c>
      <c r="U15" s="959" t="s">
        <v>2854</v>
      </c>
      <c r="V15" s="1664" t="s">
        <v>4864</v>
      </c>
      <c r="W15" s="1626" t="s">
        <v>4865</v>
      </c>
    </row>
    <row r="16" s="996" customFormat="1" ht="21" customHeight="1" spans="1:23">
      <c r="A16" s="930">
        <v>1</v>
      </c>
      <c r="B16" s="930"/>
      <c r="C16" s="930">
        <v>1</v>
      </c>
      <c r="D16" s="959" t="s">
        <v>4866</v>
      </c>
      <c r="E16" s="961"/>
      <c r="F16" s="961"/>
      <c r="G16" s="1662">
        <v>7.01</v>
      </c>
      <c r="H16" s="961" t="s">
        <v>4867</v>
      </c>
      <c r="I16" s="961" t="s">
        <v>1565</v>
      </c>
      <c r="J16" s="959" t="s">
        <v>4868</v>
      </c>
      <c r="K16" s="959" t="s">
        <v>4869</v>
      </c>
      <c r="L16" s="961" t="s">
        <v>3939</v>
      </c>
      <c r="M16" s="961" t="s">
        <v>4826</v>
      </c>
      <c r="N16" s="1663" t="s">
        <v>712</v>
      </c>
      <c r="O16" s="1668">
        <v>4.57042772861357</v>
      </c>
      <c r="P16" s="965">
        <v>5.48451327433628</v>
      </c>
      <c r="Q16" s="1668">
        <v>21</v>
      </c>
      <c r="R16" s="964">
        <v>3.22865080313333</v>
      </c>
      <c r="S16" s="965">
        <f t="shared" si="0"/>
        <v>29.7131640774696</v>
      </c>
      <c r="T16" s="964">
        <v>19.5</v>
      </c>
      <c r="U16" s="959" t="s">
        <v>2854</v>
      </c>
      <c r="V16" s="1664" t="s">
        <v>4870</v>
      </c>
      <c r="W16" s="1678" t="s">
        <v>4871</v>
      </c>
    </row>
    <row r="17" s="997" customFormat="1" ht="21" customHeight="1" spans="1:23">
      <c r="A17" s="1193"/>
      <c r="B17" s="1193"/>
      <c r="C17" s="1193">
        <v>1</v>
      </c>
      <c r="D17" s="959" t="s">
        <v>4872</v>
      </c>
      <c r="E17" s="961"/>
      <c r="F17" s="961">
        <v>6.901</v>
      </c>
      <c r="G17" s="1662">
        <v>7.01</v>
      </c>
      <c r="H17" s="961" t="s">
        <v>4873</v>
      </c>
      <c r="I17" s="961" t="s">
        <v>1617</v>
      </c>
      <c r="J17" s="959" t="s">
        <v>1933</v>
      </c>
      <c r="K17" s="959" t="s">
        <v>4874</v>
      </c>
      <c r="L17" s="961" t="s">
        <v>1428</v>
      </c>
      <c r="M17" s="961" t="s">
        <v>4826</v>
      </c>
      <c r="N17" s="961" t="s">
        <v>712</v>
      </c>
      <c r="O17" s="1668">
        <f>74/F17/1.13</f>
        <v>9.48945452307156</v>
      </c>
      <c r="P17" s="965">
        <v>11.3873454276859</v>
      </c>
      <c r="Q17" s="1668">
        <v>29.6</v>
      </c>
      <c r="R17" s="964">
        <v>4.06713286713287</v>
      </c>
      <c r="S17" s="965">
        <f t="shared" si="0"/>
        <v>45.0544782948188</v>
      </c>
      <c r="T17" s="964">
        <v>27.1</v>
      </c>
      <c r="U17" s="1664" t="s">
        <v>2854</v>
      </c>
      <c r="V17" s="1664" t="s">
        <v>4875</v>
      </c>
      <c r="W17" s="1190" t="s">
        <v>1406</v>
      </c>
    </row>
    <row r="18" s="997" customFormat="1" ht="21" customHeight="1" spans="1:23">
      <c r="A18" s="1193"/>
      <c r="B18" s="1193"/>
      <c r="C18" s="1193">
        <v>1</v>
      </c>
      <c r="D18" s="959"/>
      <c r="E18" s="961"/>
      <c r="F18" s="961">
        <v>6.901</v>
      </c>
      <c r="G18" s="1662">
        <v>7.01</v>
      </c>
      <c r="H18" s="961" t="s">
        <v>4876</v>
      </c>
      <c r="I18" s="961" t="s">
        <v>1629</v>
      </c>
      <c r="J18" s="959" t="s">
        <v>1933</v>
      </c>
      <c r="K18" s="959" t="s">
        <v>4877</v>
      </c>
      <c r="L18" s="961" t="s">
        <v>3939</v>
      </c>
      <c r="M18" s="961" t="s">
        <v>4826</v>
      </c>
      <c r="N18" s="1668" t="s">
        <v>712</v>
      </c>
      <c r="O18" s="1668">
        <f>74/F18/1.13</f>
        <v>9.48945452307156</v>
      </c>
      <c r="P18" s="965">
        <v>11.3873454276859</v>
      </c>
      <c r="Q18" s="1668">
        <v>26.8</v>
      </c>
      <c r="R18" s="964">
        <v>4.06713286713287</v>
      </c>
      <c r="S18" s="965">
        <f t="shared" si="0"/>
        <v>42.2544782948188</v>
      </c>
      <c r="T18" s="964">
        <v>24.3</v>
      </c>
      <c r="U18" s="1664" t="s">
        <v>2854</v>
      </c>
      <c r="V18" s="1664" t="s">
        <v>4878</v>
      </c>
      <c r="W18" s="1190" t="s">
        <v>1406</v>
      </c>
    </row>
    <row r="19" s="997" customFormat="1" ht="21" customHeight="1" spans="1:23">
      <c r="A19" s="1193"/>
      <c r="B19" s="1193"/>
      <c r="C19" s="1193">
        <v>1</v>
      </c>
      <c r="D19" s="959"/>
      <c r="E19" s="961"/>
      <c r="F19" s="961">
        <v>6.901</v>
      </c>
      <c r="G19" s="1662">
        <v>7.01</v>
      </c>
      <c r="H19" s="961" t="s">
        <v>4879</v>
      </c>
      <c r="I19" s="961" t="s">
        <v>4221</v>
      </c>
      <c r="J19" s="959" t="s">
        <v>1933</v>
      </c>
      <c r="K19" s="959" t="s">
        <v>4877</v>
      </c>
      <c r="L19" s="961" t="s">
        <v>2769</v>
      </c>
      <c r="M19" s="961" t="s">
        <v>4826</v>
      </c>
      <c r="N19" s="1668" t="s">
        <v>712</v>
      </c>
      <c r="O19" s="1668">
        <f t="shared" ref="O19:O26" si="1">74/F19/1.13</f>
        <v>9.48945452307156</v>
      </c>
      <c r="P19" s="965">
        <v>11.3873454276859</v>
      </c>
      <c r="Q19" s="1668">
        <v>24.38</v>
      </c>
      <c r="R19" s="964">
        <v>0.301222027972028</v>
      </c>
      <c r="S19" s="965">
        <f t="shared" si="0"/>
        <v>36.0685674556579</v>
      </c>
      <c r="T19" s="964">
        <v>21.88</v>
      </c>
      <c r="U19" s="1664" t="s">
        <v>2854</v>
      </c>
      <c r="V19" s="1664" t="s">
        <v>4880</v>
      </c>
      <c r="W19" s="1190" t="s">
        <v>1406</v>
      </c>
    </row>
    <row r="20" s="997" customFormat="1" ht="21" customHeight="1" spans="1:23">
      <c r="A20" s="1193"/>
      <c r="B20" s="1193"/>
      <c r="C20" s="1193">
        <v>1</v>
      </c>
      <c r="D20" s="959"/>
      <c r="E20" s="961"/>
      <c r="F20" s="961">
        <v>6.901</v>
      </c>
      <c r="G20" s="1662">
        <v>7.01</v>
      </c>
      <c r="H20" s="961" t="s">
        <v>4881</v>
      </c>
      <c r="I20" s="961" t="s">
        <v>4224</v>
      </c>
      <c r="J20" s="959" t="s">
        <v>1933</v>
      </c>
      <c r="K20" s="959" t="s">
        <v>4882</v>
      </c>
      <c r="L20" s="961" t="s">
        <v>3939</v>
      </c>
      <c r="M20" s="961" t="s">
        <v>4826</v>
      </c>
      <c r="N20" s="1668" t="s">
        <v>712</v>
      </c>
      <c r="O20" s="1668">
        <f t="shared" si="1"/>
        <v>9.48945452307156</v>
      </c>
      <c r="P20" s="965">
        <v>11.3873454276859</v>
      </c>
      <c r="Q20" s="1668">
        <v>23.9</v>
      </c>
      <c r="R20" s="964">
        <v>0.301222027972028</v>
      </c>
      <c r="S20" s="965">
        <f t="shared" si="0"/>
        <v>35.5885674556579</v>
      </c>
      <c r="T20" s="964">
        <v>21.4</v>
      </c>
      <c r="U20" s="1664" t="s">
        <v>2854</v>
      </c>
      <c r="V20" s="1664" t="s">
        <v>4880</v>
      </c>
      <c r="W20" s="1190" t="s">
        <v>1406</v>
      </c>
    </row>
    <row r="21" s="997" customFormat="1" ht="21" customHeight="1" spans="1:23">
      <c r="A21" s="1193"/>
      <c r="B21" s="1193"/>
      <c r="C21" s="1193">
        <v>1</v>
      </c>
      <c r="D21" s="959"/>
      <c r="E21" s="961">
        <v>20250721</v>
      </c>
      <c r="F21" s="961">
        <v>6.901</v>
      </c>
      <c r="G21" s="1662">
        <v>7.01</v>
      </c>
      <c r="H21" s="961" t="s">
        <v>4883</v>
      </c>
      <c r="I21" s="961" t="s">
        <v>4227</v>
      </c>
      <c r="J21" s="959" t="s">
        <v>1933</v>
      </c>
      <c r="K21" s="959" t="s">
        <v>4882</v>
      </c>
      <c r="L21" s="961" t="s">
        <v>3939</v>
      </c>
      <c r="M21" s="961" t="s">
        <v>4826</v>
      </c>
      <c r="N21" s="1668" t="s">
        <v>712</v>
      </c>
      <c r="O21" s="1668">
        <f t="shared" si="1"/>
        <v>9.48945452307156</v>
      </c>
      <c r="P21" s="965">
        <v>11.3873454276859</v>
      </c>
      <c r="Q21" s="1668">
        <v>23.6</v>
      </c>
      <c r="R21" s="964">
        <v>0.301222027972028</v>
      </c>
      <c r="S21" s="965">
        <f t="shared" si="0"/>
        <v>35.2885674556579</v>
      </c>
      <c r="T21" s="964">
        <v>21.1</v>
      </c>
      <c r="U21" s="1664" t="s">
        <v>2854</v>
      </c>
      <c r="V21" s="1664" t="s">
        <v>4880</v>
      </c>
      <c r="W21" s="1190" t="s">
        <v>1406</v>
      </c>
    </row>
    <row r="22" s="997" customFormat="1" ht="21" customHeight="1" spans="1:23">
      <c r="A22" s="1193"/>
      <c r="B22" s="1193"/>
      <c r="C22" s="1193">
        <v>1</v>
      </c>
      <c r="D22" s="959"/>
      <c r="E22" s="961"/>
      <c r="F22" s="961">
        <v>6.901</v>
      </c>
      <c r="G22" s="1662">
        <v>7.01</v>
      </c>
      <c r="H22" s="961" t="s">
        <v>4884</v>
      </c>
      <c r="I22" s="961" t="s">
        <v>4885</v>
      </c>
      <c r="J22" s="959" t="s">
        <v>1933</v>
      </c>
      <c r="K22" s="959" t="s">
        <v>4874</v>
      </c>
      <c r="L22" s="961" t="s">
        <v>3939</v>
      </c>
      <c r="M22" s="961" t="s">
        <v>4826</v>
      </c>
      <c r="N22" s="1668" t="s">
        <v>712</v>
      </c>
      <c r="O22" s="1668">
        <f t="shared" si="1"/>
        <v>9.48945452307156</v>
      </c>
      <c r="P22" s="965">
        <v>11.3873454276859</v>
      </c>
      <c r="Q22" s="1668">
        <v>23.9</v>
      </c>
      <c r="R22" s="964">
        <v>0.301222027972028</v>
      </c>
      <c r="S22" s="965">
        <f t="shared" si="0"/>
        <v>35.5885674556579</v>
      </c>
      <c r="T22" s="964">
        <v>21.4</v>
      </c>
      <c r="U22" s="1664" t="s">
        <v>2854</v>
      </c>
      <c r="V22" s="1664" t="s">
        <v>4880</v>
      </c>
      <c r="W22" s="1190" t="s">
        <v>1406</v>
      </c>
    </row>
    <row r="23" s="997" customFormat="1" ht="21" customHeight="1" spans="1:23">
      <c r="A23" s="1193"/>
      <c r="B23" s="1193"/>
      <c r="C23" s="1193">
        <v>1</v>
      </c>
      <c r="D23" s="959"/>
      <c r="E23" s="961">
        <v>20240124</v>
      </c>
      <c r="F23" s="961">
        <v>6.901</v>
      </c>
      <c r="G23" s="1662">
        <v>7.01</v>
      </c>
      <c r="H23" s="961" t="s">
        <v>4886</v>
      </c>
      <c r="I23" s="961" t="s">
        <v>2427</v>
      </c>
      <c r="J23" s="959" t="s">
        <v>1933</v>
      </c>
      <c r="K23" s="959" t="s">
        <v>4874</v>
      </c>
      <c r="L23" s="961" t="s">
        <v>3939</v>
      </c>
      <c r="M23" s="961" t="s">
        <v>4826</v>
      </c>
      <c r="N23" s="1668" t="s">
        <v>712</v>
      </c>
      <c r="O23" s="1668">
        <f t="shared" si="1"/>
        <v>9.48945452307156</v>
      </c>
      <c r="P23" s="965">
        <v>11.3873454276859</v>
      </c>
      <c r="Q23" s="1668">
        <v>23.9</v>
      </c>
      <c r="R23" s="964">
        <v>4.06713286713287</v>
      </c>
      <c r="S23" s="965">
        <f t="shared" si="0"/>
        <v>39.3544782948188</v>
      </c>
      <c r="T23" s="964">
        <v>21.4</v>
      </c>
      <c r="U23" s="1664" t="s">
        <v>2854</v>
      </c>
      <c r="V23" s="1664" t="s">
        <v>4887</v>
      </c>
      <c r="W23" s="1190" t="s">
        <v>1406</v>
      </c>
    </row>
    <row r="24" s="997" customFormat="1" ht="21" customHeight="1" spans="1:23">
      <c r="A24" s="1193"/>
      <c r="B24" s="1193"/>
      <c r="C24" s="1193"/>
      <c r="D24" s="959"/>
      <c r="E24" s="961">
        <v>20240124</v>
      </c>
      <c r="F24" s="961">
        <v>6.901</v>
      </c>
      <c r="G24" s="1662">
        <v>7.01</v>
      </c>
      <c r="H24" s="961" t="s">
        <v>4886</v>
      </c>
      <c r="I24" s="961" t="s">
        <v>4231</v>
      </c>
      <c r="J24" s="959" t="s">
        <v>1933</v>
      </c>
      <c r="K24" s="959" t="s">
        <v>4874</v>
      </c>
      <c r="L24" s="961" t="s">
        <v>3939</v>
      </c>
      <c r="M24" s="961" t="s">
        <v>4826</v>
      </c>
      <c r="N24" s="1668" t="s">
        <v>712</v>
      </c>
      <c r="O24" s="1668">
        <f t="shared" si="1"/>
        <v>9.48945452307156</v>
      </c>
      <c r="P24" s="965">
        <v>11.3873454276859</v>
      </c>
      <c r="Q24" s="1668">
        <v>24</v>
      </c>
      <c r="R24" s="964">
        <v>0.301222027972028</v>
      </c>
      <c r="S24" s="965">
        <f t="shared" si="0"/>
        <v>35.6885674556579</v>
      </c>
      <c r="T24" s="964">
        <v>21.5</v>
      </c>
      <c r="U24" s="1664" t="s">
        <v>2854</v>
      </c>
      <c r="V24" s="1664" t="s">
        <v>4888</v>
      </c>
      <c r="W24" s="1190" t="s">
        <v>1406</v>
      </c>
    </row>
    <row r="25" s="1163" customFormat="1" ht="21" customHeight="1" spans="1:23">
      <c r="A25" s="1625"/>
      <c r="B25" s="1625"/>
      <c r="C25" s="1625">
        <v>1</v>
      </c>
      <c r="D25" s="959"/>
      <c r="E25" s="961">
        <v>20250529</v>
      </c>
      <c r="F25" s="961">
        <v>6.901</v>
      </c>
      <c r="G25" s="1662">
        <v>7.01</v>
      </c>
      <c r="H25" s="961" t="s">
        <v>4889</v>
      </c>
      <c r="I25" s="961" t="s">
        <v>4890</v>
      </c>
      <c r="J25" s="959" t="s">
        <v>4891</v>
      </c>
      <c r="K25" s="959" t="s">
        <v>4882</v>
      </c>
      <c r="L25" s="961" t="s">
        <v>3939</v>
      </c>
      <c r="M25" s="961" t="s">
        <v>4826</v>
      </c>
      <c r="N25" s="1668" t="s">
        <v>712</v>
      </c>
      <c r="O25" s="1668">
        <f t="shared" si="1"/>
        <v>9.48945452307156</v>
      </c>
      <c r="P25" s="965">
        <v>11.3873454276859</v>
      </c>
      <c r="Q25" s="1668">
        <v>23.9</v>
      </c>
      <c r="R25" s="964">
        <v>0.301222027972028</v>
      </c>
      <c r="S25" s="965">
        <f t="shared" si="0"/>
        <v>35.5885674556579</v>
      </c>
      <c r="T25" s="964">
        <v>21.4</v>
      </c>
      <c r="U25" s="1664" t="s">
        <v>2854</v>
      </c>
      <c r="V25" s="1664" t="s">
        <v>4892</v>
      </c>
      <c r="W25" s="1626"/>
    </row>
    <row r="26" s="997" customFormat="1" ht="21" customHeight="1" spans="1:23">
      <c r="A26" s="1193"/>
      <c r="B26" s="1193"/>
      <c r="C26" s="1193">
        <v>1</v>
      </c>
      <c r="D26" s="959"/>
      <c r="E26" s="961">
        <v>20250227</v>
      </c>
      <c r="F26" s="961">
        <v>6.901</v>
      </c>
      <c r="G26" s="1662">
        <v>7.01</v>
      </c>
      <c r="H26" s="961" t="s">
        <v>4893</v>
      </c>
      <c r="I26" s="961" t="s">
        <v>2381</v>
      </c>
      <c r="J26" s="959" t="s">
        <v>4891</v>
      </c>
      <c r="K26" s="959" t="s">
        <v>4894</v>
      </c>
      <c r="L26" s="961" t="s">
        <v>3939</v>
      </c>
      <c r="M26" s="961" t="s">
        <v>4826</v>
      </c>
      <c r="N26" s="1668" t="s">
        <v>712</v>
      </c>
      <c r="O26" s="1668">
        <f t="shared" si="1"/>
        <v>9.48945452307156</v>
      </c>
      <c r="P26" s="965">
        <v>11.3873454276859</v>
      </c>
      <c r="Q26" s="1668">
        <v>24</v>
      </c>
      <c r="R26" s="964">
        <v>0.301222027972028</v>
      </c>
      <c r="S26" s="965">
        <f t="shared" si="0"/>
        <v>35.6885674556579</v>
      </c>
      <c r="T26" s="964">
        <v>21.5</v>
      </c>
      <c r="U26" s="1664" t="s">
        <v>2854</v>
      </c>
      <c r="V26" s="1664"/>
      <c r="W26" s="1190"/>
    </row>
    <row r="27" s="997" customFormat="1" ht="21" customHeight="1" spans="1:23">
      <c r="A27" s="1193"/>
      <c r="B27" s="1193"/>
      <c r="C27" s="1193">
        <v>1</v>
      </c>
      <c r="D27" s="959"/>
      <c r="E27" s="961"/>
      <c r="F27" s="961">
        <v>6.901</v>
      </c>
      <c r="G27" s="1662">
        <v>7.01</v>
      </c>
      <c r="H27" s="961"/>
      <c r="I27" s="961" t="s">
        <v>752</v>
      </c>
      <c r="J27" s="959"/>
      <c r="K27" s="959"/>
      <c r="L27" s="961"/>
      <c r="M27" s="969" t="s">
        <v>712</v>
      </c>
      <c r="N27" s="1663" t="s">
        <v>712</v>
      </c>
      <c r="O27" s="1668">
        <v>0.772031710914454</v>
      </c>
      <c r="P27" s="965">
        <v>0.926438053097345</v>
      </c>
      <c r="Q27" s="1680">
        <v>7.21633154695716</v>
      </c>
      <c r="R27" s="964">
        <v>0.4</v>
      </c>
      <c r="S27" s="965">
        <f t="shared" si="0"/>
        <v>8.54276960005451</v>
      </c>
      <c r="T27" s="964">
        <v>7.21633154695716</v>
      </c>
      <c r="U27" s="1664" t="s">
        <v>1428</v>
      </c>
      <c r="V27" s="1664"/>
      <c r="W27" s="1190" t="s">
        <v>1406</v>
      </c>
    </row>
    <row r="28" s="997" customFormat="1" ht="21" customHeight="1" spans="1:23">
      <c r="A28" s="1193"/>
      <c r="B28" s="1193"/>
      <c r="C28" s="1193">
        <v>1</v>
      </c>
      <c r="D28" s="959"/>
      <c r="E28" s="961">
        <v>20250529</v>
      </c>
      <c r="F28" s="961">
        <v>6.901</v>
      </c>
      <c r="G28" s="1662">
        <v>7.01</v>
      </c>
      <c r="H28" s="961" t="s">
        <v>1269</v>
      </c>
      <c r="I28" s="961" t="s">
        <v>4895</v>
      </c>
      <c r="J28" s="959"/>
      <c r="K28" s="959"/>
      <c r="L28" s="961"/>
      <c r="M28" s="969" t="s">
        <v>712</v>
      </c>
      <c r="N28" s="1663" t="s">
        <v>712</v>
      </c>
      <c r="O28" s="1668">
        <v>0.905505979931129</v>
      </c>
      <c r="P28" s="965">
        <v>1.08660717591735</v>
      </c>
      <c r="Q28" s="1680">
        <v>8.6</v>
      </c>
      <c r="R28" s="965">
        <v>0.3</v>
      </c>
      <c r="S28" s="965">
        <f t="shared" si="0"/>
        <v>9.98660717591735</v>
      </c>
      <c r="T28" s="964">
        <v>7.9</v>
      </c>
      <c r="U28" s="1664" t="s">
        <v>1428</v>
      </c>
      <c r="V28" s="1664" t="s">
        <v>4896</v>
      </c>
      <c r="W28" s="1190" t="s">
        <v>1406</v>
      </c>
    </row>
    <row r="29" s="997" customFormat="1" ht="21" customHeight="1" spans="1:23">
      <c r="A29" s="1193"/>
      <c r="B29" s="1193"/>
      <c r="C29" s="1193">
        <v>1</v>
      </c>
      <c r="D29" s="959"/>
      <c r="E29" s="961"/>
      <c r="F29" s="961">
        <v>6.901</v>
      </c>
      <c r="G29" s="1662">
        <v>7.01</v>
      </c>
      <c r="H29" s="961"/>
      <c r="I29" s="961" t="s">
        <v>4897</v>
      </c>
      <c r="J29" s="959"/>
      <c r="K29" s="959"/>
      <c r="L29" s="961"/>
      <c r="M29" s="969" t="s">
        <v>712</v>
      </c>
      <c r="N29" s="1663" t="s">
        <v>712</v>
      </c>
      <c r="O29" s="1668">
        <v>1.03700061910484</v>
      </c>
      <c r="P29" s="965">
        <v>1.24440074292581</v>
      </c>
      <c r="Q29" s="1680">
        <v>8.4</v>
      </c>
      <c r="R29" s="965">
        <v>0.4</v>
      </c>
      <c r="S29" s="965">
        <f t="shared" si="0"/>
        <v>10.0444007429258</v>
      </c>
      <c r="T29" s="964">
        <v>7.9</v>
      </c>
      <c r="U29" s="1664" t="s">
        <v>1428</v>
      </c>
      <c r="V29" s="1664"/>
      <c r="W29" s="1190" t="s">
        <v>1406</v>
      </c>
    </row>
    <row r="30" s="997" customFormat="1" ht="21" customHeight="1" spans="1:23">
      <c r="A30" s="1193"/>
      <c r="B30" s="1193"/>
      <c r="C30" s="1193">
        <v>1</v>
      </c>
      <c r="D30" s="959"/>
      <c r="E30" s="961"/>
      <c r="F30" s="961">
        <v>6.901</v>
      </c>
      <c r="G30" s="1662">
        <v>7.01</v>
      </c>
      <c r="H30" s="961"/>
      <c r="I30" s="961" t="s">
        <v>4898</v>
      </c>
      <c r="J30" s="959"/>
      <c r="K30" s="959"/>
      <c r="L30" s="961"/>
      <c r="M30" s="969" t="s">
        <v>712</v>
      </c>
      <c r="N30" s="1663" t="s">
        <v>712</v>
      </c>
      <c r="O30" s="1668">
        <v>0.0488670621413985</v>
      </c>
      <c r="P30" s="965">
        <v>0.0586404745696782</v>
      </c>
      <c r="Q30" s="1680">
        <v>0.28</v>
      </c>
      <c r="R30" s="965">
        <v>0.2</v>
      </c>
      <c r="S30" s="965">
        <f t="shared" si="0"/>
        <v>0.538640474569678</v>
      </c>
      <c r="T30" s="964">
        <v>0.28</v>
      </c>
      <c r="U30" s="1664" t="s">
        <v>1428</v>
      </c>
      <c r="V30" s="1664"/>
      <c r="W30" s="1190" t="s">
        <v>1406</v>
      </c>
    </row>
    <row r="31" s="997" customFormat="1" ht="21" customHeight="1" spans="1:23">
      <c r="A31" s="1193"/>
      <c r="B31" s="1193"/>
      <c r="C31" s="1193">
        <v>1</v>
      </c>
      <c r="D31" s="959"/>
      <c r="E31" s="961"/>
      <c r="F31" s="961">
        <v>6.901</v>
      </c>
      <c r="G31" s="1662">
        <v>7.01</v>
      </c>
      <c r="H31" s="961"/>
      <c r="I31" s="961" t="s">
        <v>706</v>
      </c>
      <c r="J31" s="959"/>
      <c r="K31" s="959"/>
      <c r="L31" s="961"/>
      <c r="M31" s="969" t="s">
        <v>712</v>
      </c>
      <c r="N31" s="961" t="s">
        <v>712</v>
      </c>
      <c r="O31" s="1668">
        <v>0.0654919389523897</v>
      </c>
      <c r="P31" s="965">
        <v>0.0785903267428676</v>
      </c>
      <c r="Q31" s="1680">
        <v>0.290976555105765</v>
      </c>
      <c r="R31" s="965">
        <v>0.4</v>
      </c>
      <c r="S31" s="965">
        <f t="shared" si="0"/>
        <v>0.769566881848633</v>
      </c>
      <c r="T31" s="964">
        <v>0.290976555105765</v>
      </c>
      <c r="U31" s="1664" t="s">
        <v>1428</v>
      </c>
      <c r="V31" s="1664"/>
      <c r="W31" s="1190" t="s">
        <v>1406</v>
      </c>
    </row>
    <row r="32" s="997" customFormat="1" ht="21" customHeight="1" spans="1:23">
      <c r="A32" s="1193"/>
      <c r="B32" s="1193"/>
      <c r="C32" s="1193">
        <v>1</v>
      </c>
      <c r="D32" s="959"/>
      <c r="E32" s="961"/>
      <c r="F32" s="961">
        <v>6.901</v>
      </c>
      <c r="G32" s="1662">
        <v>7.01</v>
      </c>
      <c r="H32" s="961"/>
      <c r="I32" s="961" t="s">
        <v>750</v>
      </c>
      <c r="J32" s="959"/>
      <c r="K32" s="959"/>
      <c r="L32" s="961"/>
      <c r="M32" s="969" t="s">
        <v>712</v>
      </c>
      <c r="N32" s="961" t="s">
        <v>712</v>
      </c>
      <c r="O32" s="1668">
        <v>0.79395</v>
      </c>
      <c r="P32" s="965">
        <v>0.95274</v>
      </c>
      <c r="Q32" s="1680">
        <v>7.3</v>
      </c>
      <c r="R32" s="965">
        <v>0.4</v>
      </c>
      <c r="S32" s="965">
        <f t="shared" si="0"/>
        <v>8.65274</v>
      </c>
      <c r="T32" s="964">
        <v>7.3</v>
      </c>
      <c r="U32" s="1664" t="s">
        <v>1428</v>
      </c>
      <c r="V32" s="1664"/>
      <c r="W32" s="1190"/>
    </row>
    <row r="33" s="997" customFormat="1" ht="21" customHeight="1" spans="1:23">
      <c r="A33" s="1193"/>
      <c r="B33" s="1193"/>
      <c r="C33" s="1193">
        <v>1</v>
      </c>
      <c r="D33" s="959"/>
      <c r="E33" s="1673">
        <v>46044</v>
      </c>
      <c r="F33" s="961"/>
      <c r="G33" s="1662">
        <v>6.9667</v>
      </c>
      <c r="H33" s="961" t="s">
        <v>4899</v>
      </c>
      <c r="I33" s="961" t="s">
        <v>4900</v>
      </c>
      <c r="J33" s="959" t="s">
        <v>4891</v>
      </c>
      <c r="K33" s="959" t="s">
        <v>4894</v>
      </c>
      <c r="L33" s="961" t="s">
        <v>3939</v>
      </c>
      <c r="M33" s="961" t="s">
        <v>4826</v>
      </c>
      <c r="N33" s="961" t="s">
        <v>712</v>
      </c>
      <c r="O33" s="1668">
        <f>74/G33/1.13</f>
        <v>9.39996349257422</v>
      </c>
      <c r="P33" s="965">
        <v>11.2799561910891</v>
      </c>
      <c r="Q33" s="1668">
        <v>24.1</v>
      </c>
      <c r="R33" s="965">
        <v>0.3</v>
      </c>
      <c r="S33" s="965">
        <f t="shared" si="0"/>
        <v>35.6799561910891</v>
      </c>
      <c r="T33" s="964">
        <v>21.4</v>
      </c>
      <c r="U33" s="1664" t="s">
        <v>1428</v>
      </c>
      <c r="V33" s="1664"/>
      <c r="W33" s="1190"/>
    </row>
    <row r="34" s="997" customFormat="1" ht="21" customHeight="1" spans="1:23">
      <c r="A34" s="1193"/>
      <c r="B34" s="1193"/>
      <c r="C34" s="1193"/>
      <c r="D34" s="959"/>
      <c r="E34" s="1685">
        <v>46044</v>
      </c>
      <c r="F34" s="1686"/>
      <c r="G34" s="1662">
        <v>6.9667</v>
      </c>
      <c r="H34" s="1686" t="s">
        <v>1273</v>
      </c>
      <c r="I34" s="1686" t="s">
        <v>4901</v>
      </c>
      <c r="J34" s="1672" t="s">
        <v>4902</v>
      </c>
      <c r="K34" s="1672" t="s">
        <v>1428</v>
      </c>
      <c r="L34" s="1686" t="s">
        <v>1428</v>
      </c>
      <c r="M34" s="1665" t="s">
        <v>712</v>
      </c>
      <c r="N34" s="1686" t="s">
        <v>712</v>
      </c>
      <c r="O34" s="1686">
        <v>0.1</v>
      </c>
      <c r="P34" s="965">
        <v>0.12</v>
      </c>
      <c r="Q34" s="1687">
        <v>0.28</v>
      </c>
      <c r="R34" s="1686">
        <v>0.3</v>
      </c>
      <c r="S34" s="965">
        <f t="shared" si="0"/>
        <v>0.7</v>
      </c>
      <c r="T34" s="1686">
        <v>0.28</v>
      </c>
      <c r="U34" s="1672" t="s">
        <v>1428</v>
      </c>
      <c r="V34" s="1664"/>
      <c r="W34" s="1190" t="s">
        <v>1406</v>
      </c>
    </row>
    <row r="35" s="930" customFormat="1" ht="21" customHeight="1" spans="1:23">
      <c r="D35" s="1664" t="s">
        <v>4903</v>
      </c>
      <c r="E35" s="1663">
        <v>20250221</v>
      </c>
      <c r="F35" s="1663">
        <v>7.3</v>
      </c>
      <c r="G35" s="1662">
        <v>7.01</v>
      </c>
      <c r="H35" s="1663" t="s">
        <v>4904</v>
      </c>
      <c r="I35" s="1663" t="s">
        <v>1565</v>
      </c>
      <c r="J35" s="959" t="s">
        <v>4905</v>
      </c>
      <c r="K35" s="959" t="s">
        <v>4906</v>
      </c>
      <c r="L35" s="961" t="s">
        <v>1428</v>
      </c>
      <c r="M35" s="961" t="s">
        <v>4826</v>
      </c>
      <c r="N35" s="961" t="s">
        <v>712</v>
      </c>
      <c r="O35" s="1668">
        <v>3.3808643471936</v>
      </c>
      <c r="P35" s="965">
        <v>4.05703721663232</v>
      </c>
      <c r="Q35" s="1668">
        <v>30.2</v>
      </c>
      <c r="R35" s="964">
        <v>4</v>
      </c>
      <c r="S35" s="965">
        <f t="shared" si="0"/>
        <v>38.2570372166323</v>
      </c>
      <c r="T35" s="964">
        <v>27.2</v>
      </c>
      <c r="U35" s="1664" t="s">
        <v>1428</v>
      </c>
      <c r="V35" s="1664" t="s">
        <v>4907</v>
      </c>
      <c r="W35" s="1190"/>
    </row>
    <row r="36" s="930" customFormat="1" ht="21" customHeight="1" spans="1:23">
      <c r="D36" s="1664"/>
      <c r="E36" s="1663">
        <v>20250221</v>
      </c>
      <c r="F36" s="1663">
        <v>7.3</v>
      </c>
      <c r="G36" s="1662">
        <v>7.01</v>
      </c>
      <c r="H36" s="1663" t="s">
        <v>4908</v>
      </c>
      <c r="I36" s="961" t="s">
        <v>1617</v>
      </c>
      <c r="J36" s="959" t="s">
        <v>4891</v>
      </c>
      <c r="K36" s="959" t="s">
        <v>4909</v>
      </c>
      <c r="L36" s="961" t="s">
        <v>1428</v>
      </c>
      <c r="M36" s="961" t="s">
        <v>4826</v>
      </c>
      <c r="N36" s="961" t="s">
        <v>712</v>
      </c>
      <c r="O36" s="1668">
        <v>3.3808643471936</v>
      </c>
      <c r="P36" s="965">
        <v>4.05703721663232</v>
      </c>
      <c r="Q36" s="1668">
        <v>33.2</v>
      </c>
      <c r="R36" s="965">
        <v>4</v>
      </c>
      <c r="S36" s="965">
        <f t="shared" si="0"/>
        <v>41.2570372166323</v>
      </c>
      <c r="T36" s="964">
        <v>30.4</v>
      </c>
      <c r="U36" s="959" t="s">
        <v>1428</v>
      </c>
      <c r="V36" s="1664" t="s">
        <v>4910</v>
      </c>
      <c r="W36" s="1190"/>
    </row>
    <row r="37" s="930" customFormat="1" ht="21" customHeight="1" spans="1:23">
      <c r="A37" s="930">
        <v>1</v>
      </c>
      <c r="B37" s="930"/>
      <c r="C37" s="930">
        <v>1</v>
      </c>
      <c r="D37" s="1672" t="s">
        <v>4911</v>
      </c>
      <c r="E37" s="1686">
        <v>20250708</v>
      </c>
      <c r="F37" s="1686">
        <v>6.7693</v>
      </c>
      <c r="G37" s="1686">
        <v>6.7693</v>
      </c>
      <c r="H37" s="1688" t="s">
        <v>4912</v>
      </c>
      <c r="I37" s="1663" t="s">
        <v>1565</v>
      </c>
      <c r="J37" s="959" t="s">
        <v>4913</v>
      </c>
      <c r="K37" s="959" t="s">
        <v>4914</v>
      </c>
      <c r="L37" s="961"/>
      <c r="M37" s="961" t="s">
        <v>4826</v>
      </c>
      <c r="N37" s="961" t="s">
        <v>712</v>
      </c>
      <c r="O37" s="1668">
        <v>4.559780797571</v>
      </c>
      <c r="P37" s="965">
        <v>5.4717369570852</v>
      </c>
      <c r="Q37" s="1668">
        <v>25.1</v>
      </c>
      <c r="R37" s="964">
        <f>23/G37</f>
        <v>3.39769252359919</v>
      </c>
      <c r="S37" s="965">
        <f t="shared" si="0"/>
        <v>33.9694294806844</v>
      </c>
      <c r="T37" s="964">
        <v>21.3</v>
      </c>
      <c r="U37" s="1664" t="s">
        <v>2854</v>
      </c>
      <c r="V37" s="1664" t="s">
        <v>4915</v>
      </c>
      <c r="W37" s="1675" t="s">
        <v>4916</v>
      </c>
    </row>
    <row r="38" s="930" customFormat="1" ht="21" customHeight="1" spans="1:23">
      <c r="A38" s="930">
        <v>1</v>
      </c>
      <c r="B38" s="930">
        <v>1</v>
      </c>
      <c r="C38" s="930"/>
      <c r="D38" s="1672" t="s">
        <v>1430</v>
      </c>
      <c r="E38" s="1685">
        <v>46139</v>
      </c>
      <c r="F38" s="1686">
        <v>6.78</v>
      </c>
      <c r="G38" s="1686"/>
      <c r="H38" s="1686" t="s">
        <v>4917</v>
      </c>
      <c r="I38" s="961" t="s">
        <v>1428</v>
      </c>
      <c r="J38" s="959" t="s">
        <v>4918</v>
      </c>
      <c r="K38" s="959"/>
      <c r="L38" s="961" t="s">
        <v>1428</v>
      </c>
      <c r="M38" s="961" t="s">
        <v>4826</v>
      </c>
      <c r="N38" s="961" t="s">
        <v>712</v>
      </c>
      <c r="O38" s="1668">
        <f>70.6/F38/1.13*1.1</f>
        <v>10.1365285718015</v>
      </c>
      <c r="P38" s="965">
        <f>121.72/6.78/1.13</f>
        <v>15.8874357167097</v>
      </c>
      <c r="Q38" s="1668">
        <v>52.38</v>
      </c>
      <c r="R38" s="965">
        <f>32.5/F38</f>
        <v>4.79351032448378</v>
      </c>
      <c r="S38" s="965">
        <f t="shared" si="0"/>
        <v>73.0609460411935</v>
      </c>
      <c r="T38" s="965">
        <v>47.7</v>
      </c>
      <c r="U38" s="1677" t="s">
        <v>4919</v>
      </c>
      <c r="V38" s="1664" t="s">
        <v>4920</v>
      </c>
    </row>
    <row r="97" spans="2:20">
      <c r="F97" s="1657"/>
      <c r="G97" s="1657">
        <v>6.8226</v>
      </c>
      <c r="H97" s="1657"/>
      <c r="I97" s="1594"/>
      <c r="J97" s="1689"/>
      <c r="K97" s="1689"/>
      <c r="L97" s="1595"/>
      <c r="M97" s="1595"/>
      <c r="N97" s="1595"/>
      <c r="O97" s="1596"/>
      <c r="P97" s="1596"/>
      <c r="Q97" s="1596"/>
      <c r="R97" s="1597"/>
      <c r="T97" s="1596"/>
    </row>
    <row r="111" spans="2:20">
      <c r="B111" s="1189" t="s">
        <v>272</v>
      </c>
    </row>
    <row r="113" spans="14:14">
      <c r="N113" s="1242" t="e">
        <f>63.76/F113/1.13</f>
        <v>#DIV/0!</v>
      </c>
    </row>
    <row r="114" spans="14:14">
      <c r="N114" s="1242" t="e">
        <f>63.76/F114/1.13</f>
        <v>#DIV/0!</v>
      </c>
    </row>
    <row r="194" spans="5:20">
      <c r="E194" s="1593"/>
      <c r="F194" s="1656"/>
      <c r="G194" s="1656"/>
      <c r="H194" s="1656"/>
      <c r="I194" s="1592"/>
      <c r="J194" s="1656"/>
      <c r="K194" s="1656"/>
      <c r="L194" s="1593"/>
      <c r="M194" s="1593"/>
      <c r="N194" s="1593"/>
      <c r="O194" s="1690">
        <f>23.49+20/6.7739/1.13</f>
        <v>26.1028397295868</v>
      </c>
      <c r="P194" s="1690"/>
      <c r="Q194" s="1690"/>
      <c r="T194" s="1690"/>
    </row>
    <row r="365" spans="2:19">
      <c r="B365" s="1255"/>
      <c r="C365" s="1255"/>
      <c r="D365" s="791"/>
      <c r="E365" s="924"/>
      <c r="F365" s="791"/>
      <c r="G365" s="791"/>
      <c r="H365" s="791"/>
      <c r="I365" s="149"/>
      <c r="J365" s="687"/>
      <c r="K365" s="687"/>
      <c r="L365" s="153"/>
      <c r="M365" s="1082" t="s">
        <v>712</v>
      </c>
      <c r="N365" s="153"/>
      <c r="O365" s="727"/>
      <c r="P365" s="727"/>
      <c r="Q365" s="727"/>
      <c r="R365" s="1257"/>
      <c r="S365" s="1257"/>
    </row>
    <row r="366" spans="2:19">
      <c r="B366" s="1255"/>
      <c r="C366" s="1255"/>
      <c r="D366" s="791"/>
      <c r="E366" s="924"/>
      <c r="F366" s="791"/>
      <c r="G366" s="791" t="s">
        <v>715</v>
      </c>
      <c r="H366" s="791"/>
      <c r="I366" s="149"/>
      <c r="J366" s="687"/>
      <c r="K366" s="687"/>
      <c r="L366" s="153"/>
      <c r="M366" s="1082" t="s">
        <v>712</v>
      </c>
      <c r="N366" s="153"/>
      <c r="O366" s="727"/>
      <c r="P366" s="727">
        <v>15.3</v>
      </c>
      <c r="Q366" s="727"/>
      <c r="R366" s="1257"/>
      <c r="S366" s="1257"/>
    </row>
    <row r="367" spans="2:19">
      <c r="G367" s="1203" t="s">
        <v>2905</v>
      </c>
    </row>
    <row r="383" spans="8:8">
      <c r="H383" s="1203" t="s">
        <v>756</v>
      </c>
    </row>
    <row r="487" spans="4:9">
      <c r="D487" s="1503"/>
      <c r="H487" s="1203" t="s">
        <v>1241</v>
      </c>
      <c r="I487" s="1579" t="s">
        <v>1242</v>
      </c>
    </row>
    <row r="508" spans="5:9">
      <c r="E508" s="1691">
        <v>46161</v>
      </c>
      <c r="F508" s="1203">
        <v>6.8</v>
      </c>
      <c r="G508" s="1203" t="s">
        <v>1285</v>
      </c>
      <c r="H508" s="1203" t="s">
        <v>1286</v>
      </c>
      <c r="I508" s="1579">
        <f>3.99/F508/1.13</f>
        <v>0.519260801665799</v>
      </c>
    </row>
    <row r="653" spans="1:14">
      <c r="A653" s="1255" t="s">
        <v>1366</v>
      </c>
      <c r="B653" s="1255"/>
      <c r="C653" s="1255"/>
      <c r="D653" s="791"/>
      <c r="E653" s="924" t="s">
        <v>1367</v>
      </c>
      <c r="F653" s="791"/>
      <c r="G653" s="791"/>
      <c r="H653" s="791">
        <v>2.92</v>
      </c>
      <c r="I653" s="149"/>
      <c r="J653" s="687">
        <v>9.82</v>
      </c>
      <c r="K653" s="687">
        <v>0.76</v>
      </c>
      <c r="L653" s="153"/>
      <c r="M653" s="29"/>
      <c r="N653" s="1135" t="s">
        <v>1368</v>
      </c>
    </row>
    <row r="705" spans="15:15">
      <c r="O705" s="1580" t="e">
        <f>36.32/F705/1.13</f>
        <v>#DIV/0!</v>
      </c>
    </row>
  </sheetData>
  <mergeCells count="3">
    <mergeCell ref="D13:D14"/>
    <mergeCell ref="D17:D34"/>
    <mergeCell ref="D35:D36"/>
  </mergeCells>
  <pageMargins left="0.75" right="0.75" top="1" bottom="1" header="0.5" footer="0.5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2">
    <tabColor rgb="FFFF0000"/>
  </sheetPr>
  <dimension ref="A1:W853"/>
  <sheetViews>
    <sheetView zoomScale="80" zoomScaleNormal="80" topLeftCell="E1" workbookViewId="0">
      <pane ySplit="2" topLeftCell="A3" activePane="bottomLeft" state="frozen"/>
      <selection/>
      <selection pane="bottomLeft" activeCell="H135" sqref="H135"/>
    </sheetView>
  </sheetViews>
  <sheetFormatPr defaultColWidth="9" defaultRowHeight="13.2"/>
  <cols>
    <col min="1" max="1" width="4.66666666666667" style="1189" customWidth="1"/>
    <col min="2" max="4" width="26.7777777777778" style="1203" customWidth="1"/>
    <col min="5" max="5" width="15.3888888888889" style="1203" customWidth="1"/>
    <col min="6" max="6" width="5.66666666666667" style="1203" customWidth="1"/>
    <col min="7" max="7" width="23.3333333333333" style="1203" customWidth="1"/>
    <col min="8" max="8" width="59.8611111111111" style="1203" customWidth="1"/>
    <col min="9" max="9" width="17.0185185185185" style="1579" customWidth="1"/>
    <col min="10" max="10" width="30.3148148148148" style="1579" customWidth="1"/>
    <col min="11" max="11" width="25.4537037037037" style="1242" customWidth="1"/>
    <col min="12" max="12" width="10.6666666666667" style="1242" customWidth="1"/>
    <col min="13" max="13" width="8.75" style="1242" customWidth="1"/>
    <col min="14" max="14" width="11.4259259259259" style="1242" customWidth="1"/>
    <col min="15" max="15" width="6.53703703703704" style="1242" customWidth="1"/>
    <col min="16" max="17" width="10.7777777777778" style="1580" customWidth="1"/>
    <col min="18" max="18" width="10.7777777777778" style="1581" customWidth="1"/>
    <col min="19" max="19" width="15.537037037037" style="1581" customWidth="1"/>
    <col min="20" max="20" width="26.3425925925926" style="1582" customWidth="1"/>
    <col min="21" max="21" width="26.3425925925926" style="1582" hidden="1" customWidth="1"/>
    <col min="22" max="22" width="68.7222222222222" style="1579" customWidth="1"/>
    <col min="23" max="23" width="109.203703703704" style="1189" customWidth="1"/>
    <col min="24" max="16383" width="9" style="1189"/>
  </cols>
  <sheetData>
    <row r="1" s="188" customFormat="1" ht="19" customHeight="1" spans="1:23">
      <c r="B1" s="11" t="s">
        <v>3487</v>
      </c>
      <c r="C1" s="11"/>
      <c r="D1" s="11"/>
      <c r="E1" s="11"/>
      <c r="F1" s="11"/>
      <c r="G1" s="11"/>
      <c r="H1" s="11"/>
      <c r="I1" s="127"/>
      <c r="J1" s="127"/>
      <c r="K1" s="13"/>
      <c r="L1" s="14"/>
      <c r="M1" s="14"/>
      <c r="N1" s="915" t="s">
        <v>712</v>
      </c>
      <c r="O1" s="129"/>
      <c r="P1" s="867"/>
      <c r="Q1" s="867"/>
      <c r="R1" s="869"/>
      <c r="S1" s="869"/>
      <c r="T1" s="12"/>
      <c r="U1" s="12"/>
      <c r="V1" s="131"/>
    </row>
    <row r="2" s="987" customFormat="1" ht="19.5" customHeight="1" spans="1:23">
      <c r="A2" s="1583" t="s">
        <v>4540</v>
      </c>
      <c r="B2" s="136" t="s">
        <v>1490</v>
      </c>
      <c r="C2" s="136" t="s">
        <v>1491</v>
      </c>
      <c r="D2" s="136"/>
      <c r="E2" s="136" t="s">
        <v>1492</v>
      </c>
      <c r="F2" s="136" t="s">
        <v>4800</v>
      </c>
      <c r="G2" s="136" t="s">
        <v>1404</v>
      </c>
      <c r="H2" s="1602" t="s">
        <v>4100</v>
      </c>
      <c r="I2" s="136" t="s">
        <v>5</v>
      </c>
      <c r="J2" s="136" t="s">
        <v>1933</v>
      </c>
      <c r="K2" s="136" t="s">
        <v>4102</v>
      </c>
      <c r="L2" s="136" t="s">
        <v>1910</v>
      </c>
      <c r="M2" s="136" t="s">
        <v>1497</v>
      </c>
      <c r="N2" s="136" t="s">
        <v>1498</v>
      </c>
      <c r="O2" s="136" t="s">
        <v>1497</v>
      </c>
      <c r="P2" s="956" t="s">
        <v>6</v>
      </c>
      <c r="Q2" s="956" t="s">
        <v>7</v>
      </c>
      <c r="R2" s="956" t="s">
        <v>8</v>
      </c>
      <c r="S2" s="956" t="s">
        <v>9</v>
      </c>
      <c r="T2" s="121" t="s">
        <v>4105</v>
      </c>
      <c r="U2" s="121"/>
      <c r="V2" s="136" t="s">
        <v>4106</v>
      </c>
    </row>
    <row r="3" s="1600" customFormat="1" ht="19.5" hidden="1" customHeight="1" spans="1:23">
      <c r="A3" s="1603"/>
      <c r="B3" s="1604" t="s">
        <v>4921</v>
      </c>
      <c r="C3" s="1604"/>
      <c r="D3" s="1604"/>
      <c r="E3" s="719">
        <v>20251212</v>
      </c>
      <c r="F3" s="719"/>
      <c r="G3" s="1605">
        <v>6.7693</v>
      </c>
      <c r="H3" s="719" t="s">
        <v>4922</v>
      </c>
      <c r="I3" s="1606" t="s">
        <v>1565</v>
      </c>
      <c r="J3" s="1606" t="s">
        <v>4923</v>
      </c>
      <c r="K3" s="1607" t="s">
        <v>4924</v>
      </c>
      <c r="L3" s="1608" t="s">
        <v>712</v>
      </c>
      <c r="M3" s="1608" t="s">
        <v>712</v>
      </c>
      <c r="N3" s="1608" t="s">
        <v>712</v>
      </c>
      <c r="O3" s="1607"/>
      <c r="P3" s="22">
        <f t="shared" ref="P3:P8" si="0">114/G3/1.13</f>
        <v>14.9033069523012</v>
      </c>
      <c r="Q3" s="1609">
        <v>20.81</v>
      </c>
      <c r="R3" s="22">
        <v>4</v>
      </c>
      <c r="S3" s="22">
        <f>SUM(N3:R3)</f>
        <v>39.7133069523012</v>
      </c>
      <c r="T3" s="1606" t="s">
        <v>4925</v>
      </c>
      <c r="U3" s="1606"/>
      <c r="V3" s="139" t="s">
        <v>4926</v>
      </c>
      <c r="W3" s="1601"/>
    </row>
    <row r="4" s="1600" customFormat="1" ht="19.5" hidden="1" customHeight="1" spans="1:23">
      <c r="A4" s="1603"/>
      <c r="B4" s="1604" t="s">
        <v>4921</v>
      </c>
      <c r="C4" s="1604"/>
      <c r="D4" s="1604"/>
      <c r="E4" s="719">
        <v>20251212</v>
      </c>
      <c r="F4" s="719"/>
      <c r="G4" s="1605">
        <v>7.01</v>
      </c>
      <c r="H4" s="719" t="s">
        <v>4927</v>
      </c>
      <c r="I4" s="1606" t="s">
        <v>1617</v>
      </c>
      <c r="J4" s="1606" t="s">
        <v>4923</v>
      </c>
      <c r="K4" s="1607" t="s">
        <v>4924</v>
      </c>
      <c r="L4" s="1608" t="s">
        <v>712</v>
      </c>
      <c r="M4" s="1608" t="s">
        <v>712</v>
      </c>
      <c r="N4" s="1608" t="s">
        <v>712</v>
      </c>
      <c r="O4" s="1607"/>
      <c r="P4" s="22">
        <f t="shared" si="0"/>
        <v>14.3915771401159</v>
      </c>
      <c r="Q4" s="1609">
        <v>20.2337146732351</v>
      </c>
      <c r="R4" s="22">
        <v>4</v>
      </c>
      <c r="S4" s="22">
        <f>SUM(N4:R4)</f>
        <v>38.625291813351</v>
      </c>
      <c r="T4" s="1606" t="s">
        <v>4928</v>
      </c>
      <c r="U4" s="1606"/>
      <c r="V4" s="139" t="s">
        <v>4926</v>
      </c>
      <c r="W4" s="1601"/>
    </row>
    <row r="5" s="1600" customFormat="1" ht="19.5" hidden="1" customHeight="1" spans="1:23">
      <c r="A5" s="1603"/>
      <c r="B5" s="1604" t="s">
        <v>4921</v>
      </c>
      <c r="C5" s="1604"/>
      <c r="D5" s="1604"/>
      <c r="E5" s="1610">
        <v>46056</v>
      </c>
      <c r="F5" s="719"/>
      <c r="G5" s="1605">
        <v>6.9514</v>
      </c>
      <c r="H5" s="719" t="s">
        <v>4929</v>
      </c>
      <c r="I5" s="1606" t="s">
        <v>1629</v>
      </c>
      <c r="J5" s="1606" t="s">
        <v>4923</v>
      </c>
      <c r="K5" s="1607" t="s">
        <v>4924</v>
      </c>
      <c r="L5" s="1608" t="s">
        <v>712</v>
      </c>
      <c r="M5" s="1608" t="s">
        <v>712</v>
      </c>
      <c r="N5" s="1608" t="s">
        <v>712</v>
      </c>
      <c r="O5" s="1607"/>
      <c r="P5" s="22">
        <f t="shared" si="0"/>
        <v>14.5128975101724</v>
      </c>
      <c r="Q5" s="1609">
        <v>20</v>
      </c>
      <c r="R5" s="22">
        <v>4</v>
      </c>
      <c r="S5" s="22">
        <f>SUM(N5:R5)</f>
        <v>38.5128975101724</v>
      </c>
      <c r="T5" s="1606" t="s">
        <v>4930</v>
      </c>
      <c r="U5" s="1606"/>
      <c r="V5" s="139" t="s">
        <v>4926</v>
      </c>
      <c r="W5" s="1601"/>
    </row>
    <row r="6" s="1600" customFormat="1" ht="19.5" hidden="1" customHeight="1" spans="1:23">
      <c r="A6" s="1603"/>
      <c r="B6" s="1604" t="s">
        <v>4921</v>
      </c>
      <c r="C6" s="1604"/>
      <c r="D6" s="1604"/>
      <c r="E6" s="1610">
        <v>46202</v>
      </c>
      <c r="F6" s="719"/>
      <c r="G6" s="1605">
        <v>6.75</v>
      </c>
      <c r="H6" s="719" t="s">
        <v>4931</v>
      </c>
      <c r="I6" s="1606" t="s">
        <v>1669</v>
      </c>
      <c r="J6" s="1606"/>
      <c r="K6" s="1607"/>
      <c r="L6" s="1608"/>
      <c r="M6" s="1608" t="s">
        <v>1428</v>
      </c>
      <c r="N6" s="1608" t="s">
        <v>712</v>
      </c>
      <c r="O6" s="1608" t="s">
        <v>1428</v>
      </c>
      <c r="P6" s="22">
        <f t="shared" si="0"/>
        <v>14.9459193706981</v>
      </c>
      <c r="Q6" s="1609">
        <v>26.5</v>
      </c>
      <c r="R6" s="22">
        <v>4</v>
      </c>
      <c r="S6" s="22">
        <f>SUBTOTAL(109,P6:R6)</f>
        <v>0</v>
      </c>
      <c r="T6" s="1606"/>
      <c r="U6" s="1606"/>
      <c r="V6" s="139" t="s">
        <v>4932</v>
      </c>
      <c r="W6" s="1601"/>
    </row>
    <row r="7" s="1600" customFormat="1" ht="28" hidden="1" customHeight="1" spans="1:23">
      <c r="A7" s="1603"/>
      <c r="B7" s="1604" t="s">
        <v>4921</v>
      </c>
      <c r="C7" s="1604"/>
      <c r="D7" s="1604"/>
      <c r="E7" s="1610">
        <v>46183</v>
      </c>
      <c r="F7" s="719"/>
      <c r="G7" s="1611">
        <v>6.7851</v>
      </c>
      <c r="H7" s="719" t="s">
        <v>4933</v>
      </c>
      <c r="I7" s="729" t="s">
        <v>1645</v>
      </c>
      <c r="J7" s="750"/>
      <c r="K7" s="21"/>
      <c r="L7" s="699"/>
      <c r="M7" s="699" t="s">
        <v>712</v>
      </c>
      <c r="N7" s="1608" t="s">
        <v>712</v>
      </c>
      <c r="O7" s="21"/>
      <c r="P7" s="22">
        <f t="shared" si="0"/>
        <v>14.8686026369858</v>
      </c>
      <c r="Q7" s="37">
        <v>22.7</v>
      </c>
      <c r="R7" s="22">
        <v>4</v>
      </c>
      <c r="S7" s="22">
        <f>SUM(N7:R7)</f>
        <v>41.5686026369858</v>
      </c>
      <c r="T7" s="729"/>
      <c r="U7" s="729"/>
      <c r="V7" s="1612" t="s">
        <v>4934</v>
      </c>
      <c r="W7" s="1601"/>
    </row>
    <row r="8" s="1600" customFormat="1" ht="28" hidden="1" customHeight="1" spans="1:23">
      <c r="A8" s="1603"/>
      <c r="B8" s="1604" t="s">
        <v>4935</v>
      </c>
      <c r="C8" s="1604"/>
      <c r="D8" s="1604"/>
      <c r="E8" s="1610">
        <v>46031</v>
      </c>
      <c r="F8" s="719"/>
      <c r="G8" s="1611">
        <v>6.9857</v>
      </c>
      <c r="H8" s="719" t="s">
        <v>4936</v>
      </c>
      <c r="I8" s="729" t="s">
        <v>4937</v>
      </c>
      <c r="J8" s="750" t="s">
        <v>4938</v>
      </c>
      <c r="K8" s="21" t="s">
        <v>4924</v>
      </c>
      <c r="L8" s="699" t="s">
        <v>712</v>
      </c>
      <c r="M8" s="699" t="s">
        <v>712</v>
      </c>
      <c r="N8" s="699" t="s">
        <v>712</v>
      </c>
      <c r="O8" s="21"/>
      <c r="P8" s="22">
        <f t="shared" si="0"/>
        <v>14.4416387408867</v>
      </c>
      <c r="Q8" s="37">
        <v>19.5</v>
      </c>
      <c r="R8" s="22">
        <v>4</v>
      </c>
      <c r="S8" s="22">
        <f>SUM(N8:R8)</f>
        <v>37.9416387408867</v>
      </c>
      <c r="T8" s="729" t="s">
        <v>4939</v>
      </c>
      <c r="U8" s="729"/>
      <c r="V8" s="1612" t="s">
        <v>4940</v>
      </c>
      <c r="W8" s="1601"/>
    </row>
    <row r="9" s="1600" customFormat="1" ht="19.5" hidden="1" customHeight="1" spans="1:23">
      <c r="A9" s="1603"/>
      <c r="B9" s="1604" t="s">
        <v>4941</v>
      </c>
      <c r="C9" s="1604"/>
      <c r="D9" s="1604"/>
      <c r="E9" s="719">
        <v>20250926</v>
      </c>
      <c r="F9" s="719"/>
      <c r="G9" s="1605">
        <v>7.01</v>
      </c>
      <c r="H9" s="719" t="s">
        <v>4942</v>
      </c>
      <c r="I9" s="1606" t="s">
        <v>1645</v>
      </c>
      <c r="J9" s="23" t="s">
        <v>4943</v>
      </c>
      <c r="K9" s="1607" t="s">
        <v>4810</v>
      </c>
      <c r="L9" s="1613" t="s">
        <v>4944</v>
      </c>
      <c r="M9" s="1613"/>
      <c r="N9" s="1608" t="s">
        <v>712</v>
      </c>
      <c r="O9" s="1607"/>
      <c r="P9" s="22">
        <f>77.49/G9/1.13</f>
        <v>9.78248519813667</v>
      </c>
      <c r="Q9" s="37">
        <v>35.3730271123384</v>
      </c>
      <c r="R9" s="22">
        <v>5</v>
      </c>
      <c r="S9" s="22">
        <f>SUM(N9:R9)</f>
        <v>50.1555123104751</v>
      </c>
      <c r="T9" s="20" t="s">
        <v>4945</v>
      </c>
      <c r="U9" s="20"/>
      <c r="V9" s="139" t="s">
        <v>4946</v>
      </c>
      <c r="W9" s="1601"/>
    </row>
    <row r="10" s="1600" customFormat="1" ht="19.5" hidden="1" customHeight="1" spans="1:23">
      <c r="A10" s="1603"/>
      <c r="B10" s="1604" t="s">
        <v>4941</v>
      </c>
      <c r="C10" s="1604"/>
      <c r="D10" s="1604"/>
      <c r="E10" s="1610">
        <v>46127</v>
      </c>
      <c r="F10" s="719"/>
      <c r="G10" s="1605">
        <v>6.78</v>
      </c>
      <c r="H10" s="719" t="s">
        <v>4947</v>
      </c>
      <c r="I10" s="1606"/>
      <c r="J10" s="23"/>
      <c r="K10" s="1607"/>
      <c r="L10" s="1613"/>
      <c r="M10" s="1613"/>
      <c r="N10" s="1608"/>
      <c r="O10" s="1607"/>
      <c r="P10" s="22">
        <f>150/G10/1.13+6000/G10/50/1.13</f>
        <v>35.2416007518208</v>
      </c>
      <c r="Q10" s="37">
        <v>52</v>
      </c>
      <c r="R10" s="22">
        <f>7000/50/6.78/1.13</f>
        <v>18.2734226120552</v>
      </c>
      <c r="S10" s="22">
        <f>SUM(N10:R10)</f>
        <v>105.515023363876</v>
      </c>
      <c r="T10" s="20"/>
      <c r="U10" s="20"/>
      <c r="V10" s="139" t="s">
        <v>4948</v>
      </c>
      <c r="W10" s="1601"/>
    </row>
    <row r="11" s="1600" customFormat="1" ht="19.5" hidden="1" customHeight="1" spans="1:23">
      <c r="A11" s="1603"/>
      <c r="B11" s="1604" t="s">
        <v>4941</v>
      </c>
      <c r="C11" s="1604"/>
      <c r="D11" s="1604"/>
      <c r="E11" s="1610">
        <v>46163</v>
      </c>
      <c r="F11" s="719"/>
      <c r="G11" s="1605">
        <v>6.8</v>
      </c>
      <c r="H11" s="719" t="s">
        <v>4949</v>
      </c>
      <c r="I11" s="1606" t="s">
        <v>1604</v>
      </c>
      <c r="J11" s="23"/>
      <c r="K11" s="1607"/>
      <c r="L11" s="1613"/>
      <c r="M11" s="1613"/>
      <c r="N11" s="1608"/>
      <c r="O11" s="1607"/>
      <c r="P11" s="22">
        <f>77.49/G11/1.13</f>
        <v>10.0845913586674</v>
      </c>
      <c r="Q11" s="37">
        <v>37.5</v>
      </c>
      <c r="R11" s="22">
        <v>5</v>
      </c>
      <c r="S11" s="22">
        <f>SUM(N11:R11)</f>
        <v>52.5845913586674</v>
      </c>
      <c r="T11" s="20" t="s">
        <v>4950</v>
      </c>
      <c r="U11" s="20"/>
      <c r="V11" s="139" t="s">
        <v>4946</v>
      </c>
      <c r="W11" s="1601"/>
    </row>
    <row r="12" s="1600" customFormat="1" ht="19.5" hidden="1" customHeight="1" spans="1:23">
      <c r="A12" s="1603"/>
      <c r="B12" s="1604" t="s">
        <v>4941</v>
      </c>
      <c r="C12" s="1604"/>
      <c r="D12" s="1604"/>
      <c r="E12" s="1610">
        <v>46108</v>
      </c>
      <c r="F12" s="719"/>
      <c r="G12" s="1605">
        <v>6.91</v>
      </c>
      <c r="H12" s="719" t="s">
        <v>4951</v>
      </c>
      <c r="I12" s="1606" t="s">
        <v>1571</v>
      </c>
      <c r="J12" s="23" t="s">
        <v>4943</v>
      </c>
      <c r="K12" s="1607" t="s">
        <v>4810</v>
      </c>
      <c r="L12" s="1613" t="s">
        <v>4952</v>
      </c>
      <c r="M12" s="699" t="s">
        <v>712</v>
      </c>
      <c r="N12" s="699" t="s">
        <v>712</v>
      </c>
      <c r="O12" s="1614" t="s">
        <v>712</v>
      </c>
      <c r="P12" s="22">
        <f>77.49/G12/1.13</f>
        <v>9.9240551720605</v>
      </c>
      <c r="Q12" s="37">
        <v>39</v>
      </c>
      <c r="R12" s="22">
        <v>5</v>
      </c>
      <c r="S12" s="22">
        <f>SUM(P12:R12)</f>
        <v>53.9240551720605</v>
      </c>
      <c r="T12" s="20" t="s">
        <v>4953</v>
      </c>
      <c r="U12" s="20"/>
      <c r="V12" s="139"/>
      <c r="W12" s="1601"/>
    </row>
    <row r="13" s="996" customFormat="1" ht="15" hidden="1" spans="1:23">
      <c r="A13" s="1189"/>
      <c r="B13" s="21" t="s">
        <v>4954</v>
      </c>
      <c r="C13" s="21"/>
      <c r="D13" s="21"/>
      <c r="E13" s="23">
        <v>20250509</v>
      </c>
      <c r="F13" s="23">
        <v>7.24</v>
      </c>
      <c r="G13" s="1605" t="s">
        <v>1407</v>
      </c>
      <c r="H13" s="23" t="s">
        <v>4955</v>
      </c>
      <c r="I13" s="20" t="s">
        <v>1565</v>
      </c>
      <c r="J13" s="23" t="s">
        <v>4943</v>
      </c>
      <c r="K13" s="21" t="s">
        <v>4818</v>
      </c>
      <c r="L13" s="21" t="s">
        <v>4174</v>
      </c>
      <c r="M13" s="21"/>
      <c r="N13" s="1615" t="s">
        <v>712</v>
      </c>
      <c r="O13" s="21"/>
      <c r="P13" s="22" t="e">
        <f>48.48/G13/1.13</f>
        <v>#VALUE!</v>
      </c>
      <c r="Q13" s="37">
        <v>22.231113972146</v>
      </c>
      <c r="R13" s="22" t="e">
        <f t="shared" ref="R13:R15" si="1">25/G13</f>
        <v>#VALUE!</v>
      </c>
      <c r="S13" s="22" t="e">
        <f>SUM(N13:R13)</f>
        <v>#VALUE!</v>
      </c>
      <c r="T13" s="20" t="s">
        <v>4250</v>
      </c>
      <c r="U13" s="20"/>
      <c r="V13" s="139" t="s">
        <v>4956</v>
      </c>
      <c r="W13" s="1190"/>
    </row>
    <row r="14" s="996" customFormat="1" ht="15" hidden="1" spans="1:23">
      <c r="A14" s="1189"/>
      <c r="B14" s="21"/>
      <c r="C14" s="21"/>
      <c r="D14" s="21"/>
      <c r="E14" s="23">
        <v>20250509</v>
      </c>
      <c r="F14" s="23">
        <v>7.24</v>
      </c>
      <c r="G14" s="1605" t="s">
        <v>1408</v>
      </c>
      <c r="H14" s="23" t="s">
        <v>4957</v>
      </c>
      <c r="I14" s="20" t="s">
        <v>1617</v>
      </c>
      <c r="J14" s="23" t="s">
        <v>4958</v>
      </c>
      <c r="K14" s="21" t="s">
        <v>4818</v>
      </c>
      <c r="L14" s="21" t="s">
        <v>4174</v>
      </c>
      <c r="M14" s="21"/>
      <c r="N14" s="21">
        <v>70</v>
      </c>
      <c r="O14" s="21"/>
      <c r="P14" s="22" t="e">
        <f>48.48/G14/1.13</f>
        <v>#VALUE!</v>
      </c>
      <c r="Q14" s="37">
        <v>18.9021218016018</v>
      </c>
      <c r="R14" s="22" t="e">
        <f t="shared" si="1"/>
        <v>#VALUE!</v>
      </c>
      <c r="S14" s="22" t="e">
        <f>SUM(N14:R14)</f>
        <v>#VALUE!</v>
      </c>
      <c r="T14" s="20" t="s">
        <v>4250</v>
      </c>
      <c r="U14" s="20"/>
      <c r="V14" s="139" t="s">
        <v>4959</v>
      </c>
      <c r="W14" s="1190"/>
    </row>
    <row r="15" s="996" customFormat="1" hidden="1" spans="1:23">
      <c r="A15" s="1189"/>
      <c r="B15" s="153"/>
      <c r="C15" s="21"/>
      <c r="D15" s="21"/>
      <c r="E15" s="1188">
        <v>46268</v>
      </c>
      <c r="F15" s="23">
        <v>6.73</v>
      </c>
      <c r="G15" s="1605"/>
      <c r="H15" s="687" t="s">
        <v>4960</v>
      </c>
      <c r="I15" s="20"/>
      <c r="J15" s="23"/>
      <c r="K15" s="21"/>
      <c r="L15" s="21"/>
      <c r="M15" s="153" t="s">
        <v>1428</v>
      </c>
      <c r="N15" s="1082" t="s">
        <v>712</v>
      </c>
      <c r="O15" s="153" t="s">
        <v>1428</v>
      </c>
      <c r="P15" s="727">
        <f>63/F15/1.13</f>
        <v>8.28413259871925</v>
      </c>
      <c r="Q15" s="154">
        <v>25.3</v>
      </c>
      <c r="R15" s="727">
        <f>25/F15</f>
        <v>3.7147102526003</v>
      </c>
      <c r="S15" s="727">
        <f>SUM(R15+Q15+P15)</f>
        <v>37.2988428513195</v>
      </c>
      <c r="T15" s="20"/>
      <c r="U15" s="20"/>
      <c r="V15" s="139"/>
      <c r="W15" s="1190"/>
    </row>
    <row r="16" s="996" customFormat="1" ht="15" hidden="1" spans="1:23">
      <c r="A16" s="1189"/>
      <c r="B16" s="21"/>
      <c r="C16" s="21"/>
      <c r="D16" s="21"/>
      <c r="E16" s="23">
        <v>20250509</v>
      </c>
      <c r="F16" s="23">
        <v>7.24</v>
      </c>
      <c r="G16" s="1605">
        <v>7.01</v>
      </c>
      <c r="H16" s="23" t="s">
        <v>4961</v>
      </c>
      <c r="I16" s="20" t="s">
        <v>1629</v>
      </c>
      <c r="J16" s="23" t="s">
        <v>4958</v>
      </c>
      <c r="K16" s="21" t="s">
        <v>4818</v>
      </c>
      <c r="L16" s="21" t="s">
        <v>4248</v>
      </c>
      <c r="M16" s="21"/>
      <c r="N16" s="21">
        <v>70</v>
      </c>
      <c r="O16" s="21"/>
      <c r="P16" s="22">
        <f>48.48/G16/1.13</f>
        <v>6.12020754169139</v>
      </c>
      <c r="Q16" s="37">
        <v>19.1617010233395</v>
      </c>
      <c r="R16" s="22">
        <f>25/G16</f>
        <v>3.56633380884451</v>
      </c>
      <c r="S16" s="22">
        <f>SUM(N16:R16)</f>
        <v>98.8482423738754</v>
      </c>
      <c r="T16" s="20" t="s">
        <v>3984</v>
      </c>
      <c r="U16" s="20"/>
      <c r="V16" s="139" t="s">
        <v>4962</v>
      </c>
      <c r="W16" s="1190"/>
    </row>
    <row r="17" s="996" customFormat="1" ht="15" hidden="1" spans="1:23">
      <c r="A17" s="930"/>
      <c r="B17" s="21"/>
      <c r="C17" s="21"/>
      <c r="D17" s="21"/>
      <c r="E17" s="23">
        <v>20250807</v>
      </c>
      <c r="F17" s="23"/>
      <c r="G17" s="1605">
        <v>7.01</v>
      </c>
      <c r="H17" s="970" t="s">
        <v>4963</v>
      </c>
      <c r="I17" s="20" t="s">
        <v>1645</v>
      </c>
      <c r="J17" s="23" t="s">
        <v>4958</v>
      </c>
      <c r="K17" s="21" t="s">
        <v>4818</v>
      </c>
      <c r="L17" s="21" t="s">
        <v>4174</v>
      </c>
      <c r="M17" s="21"/>
      <c r="N17" s="21">
        <v>70</v>
      </c>
      <c r="O17" s="21"/>
      <c r="P17" s="22">
        <f>48.48/G17/1.13</f>
        <v>6.12020754169139</v>
      </c>
      <c r="Q17" s="37">
        <v>19.6914634642191</v>
      </c>
      <c r="R17" s="22">
        <f>25/G17</f>
        <v>3.56633380884451</v>
      </c>
      <c r="S17" s="22">
        <f>SUM(N17:R17)</f>
        <v>99.378004814755</v>
      </c>
      <c r="T17" s="20" t="s">
        <v>4964</v>
      </c>
      <c r="U17" s="20"/>
      <c r="V17" s="139" t="s">
        <v>4965</v>
      </c>
      <c r="W17" s="1190"/>
    </row>
    <row r="18" s="996" customFormat="1" ht="15" hidden="1" spans="1:23">
      <c r="A18" s="930"/>
      <c r="B18" s="21"/>
      <c r="C18" s="21"/>
      <c r="D18" s="21"/>
      <c r="E18" s="23">
        <v>20250807</v>
      </c>
      <c r="F18" s="23"/>
      <c r="G18" s="1605">
        <v>7.01</v>
      </c>
      <c r="H18" s="970" t="s">
        <v>4966</v>
      </c>
      <c r="I18" s="20" t="s">
        <v>1604</v>
      </c>
      <c r="J18" s="23" t="s">
        <v>4958</v>
      </c>
      <c r="K18" s="21" t="s">
        <v>4818</v>
      </c>
      <c r="L18" s="21" t="s">
        <v>4174</v>
      </c>
      <c r="M18" s="21"/>
      <c r="N18" s="21">
        <v>70</v>
      </c>
      <c r="O18" s="21"/>
      <c r="P18" s="22">
        <f>48.48/G18/1.13</f>
        <v>6.12020754169139</v>
      </c>
      <c r="Q18" s="37">
        <v>20.4063805742927</v>
      </c>
      <c r="R18" s="22">
        <f>25/G18</f>
        <v>3.56633380884451</v>
      </c>
      <c r="S18" s="22">
        <f>SUM(N18:R18)</f>
        <v>100.092921924829</v>
      </c>
      <c r="T18" s="20" t="s">
        <v>4964</v>
      </c>
      <c r="U18" s="20"/>
      <c r="V18" s="139" t="s">
        <v>4959</v>
      </c>
      <c r="W18" s="1190"/>
    </row>
    <row r="19" s="996" customFormat="1" ht="15" hidden="1" spans="1:23">
      <c r="A19" s="930"/>
      <c r="B19" s="21"/>
      <c r="C19" s="21"/>
      <c r="D19" s="21"/>
      <c r="E19" s="23">
        <v>20250807</v>
      </c>
      <c r="F19" s="23"/>
      <c r="G19" s="1605">
        <v>7.01</v>
      </c>
      <c r="H19" s="970" t="s">
        <v>4967</v>
      </c>
      <c r="I19" s="20" t="s">
        <v>1571</v>
      </c>
      <c r="J19" s="23" t="s">
        <v>4958</v>
      </c>
      <c r="K19" s="21" t="s">
        <v>4818</v>
      </c>
      <c r="L19" s="21" t="s">
        <v>4248</v>
      </c>
      <c r="M19" s="21"/>
      <c r="N19" s="21">
        <v>70</v>
      </c>
      <c r="O19" s="21"/>
      <c r="P19" s="22">
        <f>48.48/G19/1.13</f>
        <v>6.12020754169139</v>
      </c>
      <c r="Q19" s="37">
        <v>19.6985711862844</v>
      </c>
      <c r="R19" s="22">
        <f>25/G19</f>
        <v>3.56633380884451</v>
      </c>
      <c r="S19" s="22">
        <f>SUM(N19:R19)</f>
        <v>99.3851125368203</v>
      </c>
      <c r="T19" s="20" t="s">
        <v>4968</v>
      </c>
      <c r="U19" s="20"/>
      <c r="V19" s="139" t="s">
        <v>4969</v>
      </c>
      <c r="W19" s="1190"/>
    </row>
    <row r="20" s="996" customFormat="1" ht="15" hidden="1" spans="1:23">
      <c r="A20" s="930"/>
      <c r="B20" s="21"/>
      <c r="C20" s="21"/>
      <c r="D20" s="21"/>
      <c r="E20" s="23">
        <v>20250807</v>
      </c>
      <c r="F20" s="23"/>
      <c r="G20" s="1605">
        <v>7.01</v>
      </c>
      <c r="H20" s="970" t="s">
        <v>4970</v>
      </c>
      <c r="I20" s="20" t="s">
        <v>1685</v>
      </c>
      <c r="J20" s="23" t="s">
        <v>4958</v>
      </c>
      <c r="K20" s="21" t="s">
        <v>4818</v>
      </c>
      <c r="L20" s="21" t="s">
        <v>4174</v>
      </c>
      <c r="M20" s="21"/>
      <c r="N20" s="21">
        <v>70</v>
      </c>
      <c r="O20" s="21"/>
      <c r="P20" s="22">
        <f>48.48/G20/1.13</f>
        <v>6.12020754169139</v>
      </c>
      <c r="Q20" s="37">
        <v>19.3076513766839</v>
      </c>
      <c r="R20" s="22">
        <f>25/G20</f>
        <v>3.56633380884451</v>
      </c>
      <c r="S20" s="22">
        <f>SUM(N20:R20)</f>
        <v>98.9941927272198</v>
      </c>
      <c r="T20" s="20" t="s">
        <v>4964</v>
      </c>
      <c r="U20" s="20"/>
      <c r="V20" s="139" t="s">
        <v>4959</v>
      </c>
      <c r="W20" s="1190"/>
    </row>
    <row r="21" s="996" customFormat="1" ht="15" hidden="1" spans="1:23">
      <c r="A21" s="930"/>
      <c r="B21" s="21"/>
      <c r="C21" s="21"/>
      <c r="D21" s="21"/>
      <c r="E21" s="23"/>
      <c r="F21" s="23"/>
      <c r="G21" s="1605"/>
      <c r="H21" s="970"/>
      <c r="I21" s="20" t="s">
        <v>1685</v>
      </c>
      <c r="J21" s="23" t="s">
        <v>4958</v>
      </c>
      <c r="K21" s="21" t="s">
        <v>4818</v>
      </c>
      <c r="L21" s="21" t="s">
        <v>4174</v>
      </c>
      <c r="M21" s="699" t="s">
        <v>1507</v>
      </c>
      <c r="N21" s="699" t="s">
        <v>1507</v>
      </c>
      <c r="O21" s="699" t="s">
        <v>1507</v>
      </c>
      <c r="P21" s="22">
        <f>6.12020754169139-0.43</f>
        <v>5.69020754169139</v>
      </c>
      <c r="Q21" s="37">
        <v>19.3076513766839</v>
      </c>
      <c r="R21" s="22">
        <v>3</v>
      </c>
      <c r="S21" s="22">
        <f>SUM(P21:R21)</f>
        <v>27.9978589183753</v>
      </c>
      <c r="T21" s="20" t="s">
        <v>4964</v>
      </c>
      <c r="U21" s="20"/>
      <c r="V21" s="139" t="s">
        <v>4971</v>
      </c>
      <c r="W21" s="1190"/>
    </row>
    <row r="22" s="996" customFormat="1" ht="15" hidden="1" spans="1:23">
      <c r="A22" s="930"/>
      <c r="B22" s="21"/>
      <c r="C22" s="21"/>
      <c r="D22" s="21"/>
      <c r="E22" s="23">
        <v>20250807</v>
      </c>
      <c r="F22" s="23"/>
      <c r="G22" s="1605">
        <v>7.01</v>
      </c>
      <c r="H22" s="970" t="s">
        <v>4972</v>
      </c>
      <c r="I22" s="20" t="s">
        <v>1669</v>
      </c>
      <c r="J22" s="23" t="s">
        <v>4958</v>
      </c>
      <c r="K22" s="21" t="s">
        <v>4973</v>
      </c>
      <c r="L22" s="21" t="s">
        <v>4174</v>
      </c>
      <c r="M22" s="21"/>
      <c r="N22" s="699" t="s">
        <v>712</v>
      </c>
      <c r="O22" s="21"/>
      <c r="P22" s="22">
        <f>48.48/G22/1.13</f>
        <v>6.12020754169139</v>
      </c>
      <c r="Q22" s="37">
        <v>19.4249476777723</v>
      </c>
      <c r="R22" s="22">
        <f>25/G22</f>
        <v>3.56633380884451</v>
      </c>
      <c r="S22" s="22">
        <f t="shared" ref="S22:S28" si="2">SUM(N22:R22)</f>
        <v>29.1114890283082</v>
      </c>
      <c r="T22" s="20" t="s">
        <v>4964</v>
      </c>
      <c r="U22" s="20"/>
      <c r="V22" s="139" t="s">
        <v>4965</v>
      </c>
      <c r="W22" s="1190"/>
    </row>
    <row r="23" s="930" customFormat="1" hidden="1" spans="1:23">
      <c r="B23" s="729"/>
      <c r="C23" s="729"/>
      <c r="D23" s="729"/>
      <c r="E23" s="729">
        <v>20250611</v>
      </c>
      <c r="F23" s="729">
        <v>7.31</v>
      </c>
      <c r="G23" s="1605">
        <v>7.01</v>
      </c>
      <c r="H23" s="729" t="s">
        <v>4974</v>
      </c>
      <c r="I23" s="729" t="s">
        <v>1565</v>
      </c>
      <c r="J23" s="23" t="s">
        <v>4975</v>
      </c>
      <c r="K23" s="21" t="s">
        <v>4924</v>
      </c>
      <c r="L23" s="21" t="s">
        <v>4174</v>
      </c>
      <c r="M23" s="21"/>
      <c r="N23" s="699" t="s">
        <v>712</v>
      </c>
      <c r="O23" s="21"/>
      <c r="P23" s="822">
        <f t="shared" ref="P23:P29" si="3">51.55/G23/1.13</f>
        <v>6.50777018923662</v>
      </c>
      <c r="Q23" s="37">
        <v>17.9793166510104</v>
      </c>
      <c r="R23" s="22">
        <f t="shared" ref="R23:R29" si="4">26.5/G23</f>
        <v>3.78031383737518</v>
      </c>
      <c r="S23" s="22">
        <f t="shared" si="2"/>
        <v>28.2674006776222</v>
      </c>
      <c r="T23" s="729" t="s">
        <v>4976</v>
      </c>
      <c r="U23" s="729"/>
      <c r="V23" s="842" t="s">
        <v>4977</v>
      </c>
      <c r="W23" s="1190"/>
    </row>
    <row r="24" s="930" customFormat="1" hidden="1" spans="1:23">
      <c r="B24" s="729"/>
      <c r="C24" s="729"/>
      <c r="D24" s="729"/>
      <c r="E24" s="729">
        <v>20250605</v>
      </c>
      <c r="F24" s="729">
        <v>7.2</v>
      </c>
      <c r="G24" s="1605">
        <v>7.01</v>
      </c>
      <c r="H24" s="729" t="s">
        <v>4978</v>
      </c>
      <c r="I24" s="729" t="s">
        <v>1617</v>
      </c>
      <c r="J24" s="23" t="s">
        <v>4975</v>
      </c>
      <c r="K24" s="21" t="s">
        <v>4924</v>
      </c>
      <c r="L24" s="21" t="s">
        <v>4174</v>
      </c>
      <c r="M24" s="21"/>
      <c r="N24" s="699" t="s">
        <v>712</v>
      </c>
      <c r="O24" s="21"/>
      <c r="P24" s="822">
        <f t="shared" si="3"/>
        <v>6.50777018923662</v>
      </c>
      <c r="Q24" s="37">
        <v>20.7286769172145</v>
      </c>
      <c r="R24" s="22">
        <f t="shared" si="4"/>
        <v>3.78031383737518</v>
      </c>
      <c r="S24" s="22">
        <f t="shared" si="2"/>
        <v>31.0167609438263</v>
      </c>
      <c r="T24" s="729" t="s">
        <v>4976</v>
      </c>
      <c r="U24" s="729"/>
      <c r="V24" s="842" t="s">
        <v>4979</v>
      </c>
      <c r="W24" s="1190"/>
    </row>
    <row r="25" s="930" customFormat="1" hidden="1" spans="1:23">
      <c r="B25" s="729"/>
      <c r="C25" s="729"/>
      <c r="D25" s="729"/>
      <c r="E25" s="729">
        <v>20250423</v>
      </c>
      <c r="F25" s="729">
        <v>7.31</v>
      </c>
      <c r="G25" s="1605">
        <v>7.01</v>
      </c>
      <c r="H25" s="729" t="s">
        <v>4980</v>
      </c>
      <c r="I25" s="729" t="s">
        <v>1629</v>
      </c>
      <c r="J25" s="23" t="s">
        <v>4975</v>
      </c>
      <c r="K25" s="21" t="s">
        <v>4924</v>
      </c>
      <c r="L25" s="21" t="s">
        <v>4248</v>
      </c>
      <c r="M25" s="21"/>
      <c r="N25" s="699" t="s">
        <v>712</v>
      </c>
      <c r="O25" s="21"/>
      <c r="P25" s="822">
        <f t="shared" si="3"/>
        <v>6.50777018923662</v>
      </c>
      <c r="Q25" s="37">
        <v>21.4731226172738</v>
      </c>
      <c r="R25" s="22">
        <f t="shared" si="4"/>
        <v>3.78031383737518</v>
      </c>
      <c r="S25" s="22">
        <f t="shared" si="2"/>
        <v>31.7612066438856</v>
      </c>
      <c r="T25" s="729" t="s">
        <v>4981</v>
      </c>
      <c r="U25" s="729"/>
      <c r="V25" s="842" t="s">
        <v>4982</v>
      </c>
      <c r="W25" s="1190"/>
    </row>
    <row r="26" s="42" customFormat="1" ht="16" hidden="1" customHeight="1" spans="1:23">
      <c r="B26" s="729"/>
      <c r="C26" s="729"/>
      <c r="D26" s="729"/>
      <c r="E26" s="729">
        <v>20250724</v>
      </c>
      <c r="F26" s="729"/>
      <c r="G26" s="1605">
        <v>7.01</v>
      </c>
      <c r="H26" s="926" t="s">
        <v>4983</v>
      </c>
      <c r="I26" s="729" t="s">
        <v>4984</v>
      </c>
      <c r="J26" s="750" t="s">
        <v>4938</v>
      </c>
      <c r="K26" s="21" t="s">
        <v>4924</v>
      </c>
      <c r="L26" s="21" t="s">
        <v>3436</v>
      </c>
      <c r="M26" s="21"/>
      <c r="N26" s="699" t="s">
        <v>712</v>
      </c>
      <c r="O26" s="21"/>
      <c r="P26" s="822">
        <f t="shared" si="3"/>
        <v>6.50777018923662</v>
      </c>
      <c r="Q26" s="37">
        <v>19.3937054103643</v>
      </c>
      <c r="R26" s="22">
        <f t="shared" si="4"/>
        <v>3.78031383737518</v>
      </c>
      <c r="S26" s="22">
        <f t="shared" si="2"/>
        <v>29.6817894369761</v>
      </c>
      <c r="T26" s="729" t="s">
        <v>4939</v>
      </c>
      <c r="U26" s="729"/>
      <c r="V26" s="842" t="s">
        <v>4985</v>
      </c>
      <c r="W26" s="1190"/>
    </row>
    <row r="27" s="42" customFormat="1" ht="14.4" hidden="1" spans="1:23">
      <c r="B27" s="729"/>
      <c r="C27" s="729"/>
      <c r="D27" s="729"/>
      <c r="E27" s="729">
        <v>20250724</v>
      </c>
      <c r="F27" s="729"/>
      <c r="G27" s="1605">
        <v>7.01</v>
      </c>
      <c r="H27" s="970" t="s">
        <v>4986</v>
      </c>
      <c r="I27" s="729" t="s">
        <v>4987</v>
      </c>
      <c r="J27" s="23" t="s">
        <v>4975</v>
      </c>
      <c r="K27" s="21" t="s">
        <v>4924</v>
      </c>
      <c r="L27" s="21" t="s">
        <v>4174</v>
      </c>
      <c r="M27" s="21"/>
      <c r="N27" s="699" t="s">
        <v>712</v>
      </c>
      <c r="O27" s="21"/>
      <c r="P27" s="822">
        <f t="shared" si="3"/>
        <v>6.50777018923662</v>
      </c>
      <c r="Q27" s="37">
        <v>20.7766428073067</v>
      </c>
      <c r="R27" s="22">
        <f t="shared" si="4"/>
        <v>3.78031383737518</v>
      </c>
      <c r="S27" s="22">
        <f t="shared" si="2"/>
        <v>31.0647268339185</v>
      </c>
      <c r="T27" s="729" t="s">
        <v>4988</v>
      </c>
      <c r="U27" s="729"/>
      <c r="V27" s="842" t="s">
        <v>4985</v>
      </c>
      <c r="W27" s="1190"/>
    </row>
    <row r="28" s="42" customFormat="1" ht="14.4" hidden="1" spans="1:23">
      <c r="B28" s="729"/>
      <c r="C28" s="729"/>
      <c r="D28" s="729"/>
      <c r="E28" s="729">
        <v>20250724</v>
      </c>
      <c r="F28" s="729"/>
      <c r="G28" s="1605">
        <v>7.01</v>
      </c>
      <c r="H28" s="970" t="s">
        <v>4989</v>
      </c>
      <c r="I28" s="729" t="s">
        <v>1571</v>
      </c>
      <c r="J28" s="23" t="s">
        <v>4975</v>
      </c>
      <c r="K28" s="21" t="s">
        <v>4924</v>
      </c>
      <c r="L28" s="21" t="s">
        <v>4248</v>
      </c>
      <c r="M28" s="21"/>
      <c r="N28" s="699" t="s">
        <v>712</v>
      </c>
      <c r="O28" s="21"/>
      <c r="P28" s="822">
        <f t="shared" si="3"/>
        <v>6.50777018923662</v>
      </c>
      <c r="Q28" s="37">
        <v>20.4347408647919</v>
      </c>
      <c r="R28" s="22">
        <f t="shared" si="4"/>
        <v>3.78031383737518</v>
      </c>
      <c r="S28" s="22">
        <f t="shared" si="2"/>
        <v>30.7228248914037</v>
      </c>
      <c r="T28" s="729" t="s">
        <v>4990</v>
      </c>
      <c r="U28" s="729"/>
      <c r="V28" s="842" t="s">
        <v>4991</v>
      </c>
      <c r="W28" s="1190"/>
    </row>
    <row r="29" s="42" customFormat="1" ht="14.4" hidden="1" spans="1:23">
      <c r="B29" s="729"/>
      <c r="C29" s="729"/>
      <c r="D29" s="729"/>
      <c r="E29" s="729"/>
      <c r="F29" s="729"/>
      <c r="G29" s="1605"/>
      <c r="H29" s="970"/>
      <c r="I29" s="729"/>
      <c r="J29" s="23"/>
      <c r="K29" s="21"/>
      <c r="L29" s="21"/>
      <c r="M29" s="21"/>
      <c r="N29" s="699"/>
      <c r="O29" s="21"/>
      <c r="P29" s="822"/>
      <c r="Q29" s="37"/>
      <c r="R29" s="22"/>
      <c r="S29" s="22"/>
      <c r="T29" s="729"/>
      <c r="U29" s="729"/>
      <c r="V29" s="842"/>
      <c r="W29" s="1190"/>
    </row>
    <row r="30" s="42" customFormat="1" ht="78" hidden="1" spans="1:23">
      <c r="B30" s="729"/>
      <c r="C30" s="729"/>
      <c r="D30" s="729"/>
      <c r="E30" s="729">
        <v>20250912</v>
      </c>
      <c r="F30" s="729"/>
      <c r="G30" s="1605">
        <v>7.01</v>
      </c>
      <c r="H30" s="970" t="s">
        <v>4992</v>
      </c>
      <c r="I30" s="729" t="s">
        <v>1685</v>
      </c>
      <c r="J30" s="750" t="s">
        <v>4993</v>
      </c>
      <c r="K30" s="21" t="s">
        <v>4994</v>
      </c>
      <c r="L30" s="21" t="s">
        <v>3432</v>
      </c>
      <c r="M30" s="21"/>
      <c r="N30" s="699" t="s">
        <v>712</v>
      </c>
      <c r="O30" s="21"/>
      <c r="P30" s="822">
        <f>51.55/G30/1.13</f>
        <v>6.50777018923662</v>
      </c>
      <c r="Q30" s="37">
        <v>19.4578697362321</v>
      </c>
      <c r="R30" s="22">
        <f>26.5/G30</f>
        <v>3.78031383737518</v>
      </c>
      <c r="S30" s="22">
        <f>SUM(N30:R30)</f>
        <v>29.7459537628439</v>
      </c>
      <c r="T30" s="729" t="s">
        <v>3518</v>
      </c>
      <c r="U30" s="729"/>
      <c r="V30" s="842" t="s">
        <v>4995</v>
      </c>
      <c r="W30" s="1190"/>
    </row>
    <row r="31" s="42" customFormat="1" hidden="1" spans="1:23">
      <c r="B31" s="729"/>
      <c r="C31" s="729"/>
      <c r="D31" s="729"/>
      <c r="E31" s="1616">
        <v>46105</v>
      </c>
      <c r="F31" s="729">
        <v>6.91</v>
      </c>
      <c r="G31" s="1605"/>
      <c r="H31" s="729"/>
      <c r="I31" s="729"/>
      <c r="J31" s="23"/>
      <c r="K31" s="21"/>
      <c r="L31" s="21"/>
      <c r="M31" s="21"/>
      <c r="N31" s="699"/>
      <c r="O31" s="21"/>
      <c r="P31" s="822"/>
      <c r="Q31" s="37"/>
      <c r="R31" s="22"/>
      <c r="S31" s="22"/>
      <c r="T31" s="729"/>
      <c r="U31" s="729"/>
      <c r="V31" s="842"/>
      <c r="W31" s="1190"/>
    </row>
    <row r="32" s="42" customFormat="1" hidden="1" spans="1:23">
      <c r="B32" s="729"/>
      <c r="C32" s="729"/>
      <c r="D32" s="729"/>
      <c r="E32" s="1616">
        <v>46105</v>
      </c>
      <c r="F32" s="729">
        <v>6.91</v>
      </c>
      <c r="G32" s="1605"/>
      <c r="H32" s="729"/>
      <c r="I32" s="729"/>
      <c r="J32" s="23"/>
      <c r="K32" s="21"/>
      <c r="L32" s="21"/>
      <c r="M32" s="21"/>
      <c r="N32" s="699"/>
      <c r="O32" s="21"/>
      <c r="P32" s="822"/>
      <c r="Q32" s="37"/>
      <c r="R32" s="22"/>
      <c r="S32" s="22"/>
      <c r="T32" s="729"/>
      <c r="U32" s="729"/>
      <c r="V32" s="842"/>
      <c r="W32" s="1190"/>
    </row>
    <row r="33" s="42" customFormat="1" ht="26.4" hidden="1" spans="2:23">
      <c r="B33" s="729"/>
      <c r="C33" s="729"/>
      <c r="D33" s="729"/>
      <c r="E33" s="729">
        <v>20250723</v>
      </c>
      <c r="F33" s="729">
        <v>7.17</v>
      </c>
      <c r="G33" s="1605" t="s">
        <v>1411</v>
      </c>
      <c r="H33" s="729" t="s">
        <v>4996</v>
      </c>
      <c r="I33" s="729" t="s">
        <v>4997</v>
      </c>
      <c r="J33" s="23"/>
      <c r="K33" s="21"/>
      <c r="L33" s="21"/>
      <c r="M33" s="21"/>
      <c r="N33" s="699"/>
      <c r="O33" s="21"/>
      <c r="P33" s="822">
        <f>42.7/F33/1.13</f>
        <v>5.2702385801212</v>
      </c>
      <c r="Q33" s="37">
        <v>2.01603</v>
      </c>
      <c r="R33" s="22">
        <v>0.2</v>
      </c>
      <c r="S33" s="22">
        <f t="shared" ref="S33:S45" si="5">SUM(N33:R33)</f>
        <v>7.4862685801212</v>
      </c>
      <c r="T33" s="729"/>
      <c r="U33" s="729"/>
      <c r="V33" s="842" t="s">
        <v>103</v>
      </c>
      <c r="W33" s="1190"/>
    </row>
    <row r="34" s="42" customFormat="1" ht="26.4" hidden="1" spans="2:23">
      <c r="B34" s="729"/>
      <c r="C34" s="729"/>
      <c r="D34" s="729"/>
      <c r="E34" s="23">
        <v>20250522</v>
      </c>
      <c r="F34" s="23">
        <v>7.21</v>
      </c>
      <c r="G34" s="1605">
        <v>7.01</v>
      </c>
      <c r="H34" s="729" t="s">
        <v>4998</v>
      </c>
      <c r="I34" s="729" t="s">
        <v>4999</v>
      </c>
      <c r="J34" s="23"/>
      <c r="K34" s="21"/>
      <c r="L34" s="21"/>
      <c r="M34" s="21"/>
      <c r="N34" s="21"/>
      <c r="O34" s="21"/>
      <c r="P34" s="822">
        <v>0.397165162779731</v>
      </c>
      <c r="Q34" s="37">
        <v>2.96015581385419</v>
      </c>
      <c r="R34" s="22">
        <v>0.4</v>
      </c>
      <c r="S34" s="22">
        <f t="shared" si="5"/>
        <v>3.75732097663392</v>
      </c>
      <c r="T34" s="729"/>
      <c r="U34" s="729"/>
      <c r="V34" s="139" t="s">
        <v>5000</v>
      </c>
      <c r="W34" s="1617"/>
    </row>
    <row r="35" s="930" customFormat="1" ht="13" hidden="1" customHeight="1" spans="2:23">
      <c r="B35" s="729"/>
      <c r="C35" s="729"/>
      <c r="D35" s="729"/>
      <c r="E35" s="23">
        <v>20250522</v>
      </c>
      <c r="F35" s="23">
        <v>7.21</v>
      </c>
      <c r="G35" s="1605">
        <v>7.01</v>
      </c>
      <c r="H35" s="729" t="s">
        <v>5001</v>
      </c>
      <c r="I35" s="729" t="s">
        <v>5002</v>
      </c>
      <c r="J35" s="20"/>
      <c r="K35" s="21"/>
      <c r="L35" s="21"/>
      <c r="M35" s="21"/>
      <c r="N35" s="21"/>
      <c r="O35" s="21"/>
      <c r="P35" s="822">
        <v>0.364683230273633</v>
      </c>
      <c r="Q35" s="37">
        <v>1.6437506946369</v>
      </c>
      <c r="R35" s="1241">
        <v>0.2</v>
      </c>
      <c r="S35" s="22">
        <f t="shared" si="5"/>
        <v>2.20843392491053</v>
      </c>
      <c r="T35" s="23"/>
      <c r="U35" s="23"/>
      <c r="V35" s="20" t="s">
        <v>103</v>
      </c>
      <c r="W35" s="1618"/>
    </row>
    <row r="36" s="930" customFormat="1" hidden="1" spans="2:23">
      <c r="B36" s="880" t="s">
        <v>5003</v>
      </c>
      <c r="C36" s="880"/>
      <c r="D36" s="880"/>
      <c r="E36" s="729">
        <v>20250605</v>
      </c>
      <c r="F36" s="729">
        <v>7.2</v>
      </c>
      <c r="G36" s="1605">
        <v>7.01</v>
      </c>
      <c r="H36" s="729" t="s">
        <v>5004</v>
      </c>
      <c r="I36" s="729" t="s">
        <v>1565</v>
      </c>
      <c r="J36" s="750" t="s">
        <v>5005</v>
      </c>
      <c r="K36" s="21" t="s">
        <v>4924</v>
      </c>
      <c r="L36" s="21" t="s">
        <v>4174</v>
      </c>
      <c r="M36" s="21" t="s">
        <v>1633</v>
      </c>
      <c r="N36" s="699" t="s">
        <v>712</v>
      </c>
      <c r="O36" s="22">
        <v>1.66</v>
      </c>
      <c r="P36" s="822">
        <f t="shared" ref="P36:P43" si="6">57.43/G36/1.13</f>
        <v>7.25007258909523</v>
      </c>
      <c r="Q36" s="37">
        <v>16.231424858493</v>
      </c>
      <c r="R36" s="37">
        <v>4</v>
      </c>
      <c r="S36" s="22">
        <f t="shared" si="5"/>
        <v>29.1414974475882</v>
      </c>
      <c r="T36" s="23" t="s">
        <v>2045</v>
      </c>
      <c r="U36" s="23"/>
      <c r="V36" s="20" t="s">
        <v>5006</v>
      </c>
    </row>
    <row r="37" s="1598" customFormat="1" hidden="1" spans="2:23">
      <c r="B37" s="880"/>
      <c r="C37" s="880"/>
      <c r="D37" s="880"/>
      <c r="E37" s="729">
        <v>20250605</v>
      </c>
      <c r="F37" s="729">
        <v>7.2</v>
      </c>
      <c r="G37" s="1605">
        <v>7.01</v>
      </c>
      <c r="H37" s="880" t="s">
        <v>5007</v>
      </c>
      <c r="I37" s="20" t="s">
        <v>1617</v>
      </c>
      <c r="J37" s="750" t="s">
        <v>5005</v>
      </c>
      <c r="K37" s="21" t="s">
        <v>4924</v>
      </c>
      <c r="L37" s="21" t="s">
        <v>3432</v>
      </c>
      <c r="M37" s="21" t="s">
        <v>4343</v>
      </c>
      <c r="N37" s="699" t="s">
        <v>712</v>
      </c>
      <c r="O37" s="22">
        <v>3.66</v>
      </c>
      <c r="P37" s="822">
        <f t="shared" si="6"/>
        <v>7.25007258909523</v>
      </c>
      <c r="Q37" s="37">
        <v>16.7757011332035</v>
      </c>
      <c r="R37" s="37">
        <v>4</v>
      </c>
      <c r="S37" s="22">
        <f t="shared" si="5"/>
        <v>31.6857737222987</v>
      </c>
      <c r="T37" s="23" t="s">
        <v>4981</v>
      </c>
      <c r="U37" s="23"/>
      <c r="V37" s="20" t="s">
        <v>5008</v>
      </c>
    </row>
    <row r="38" s="930" customFormat="1" hidden="1" spans="2:23">
      <c r="B38" s="880"/>
      <c r="C38" s="880"/>
      <c r="D38" s="880"/>
      <c r="E38" s="1616">
        <v>46106</v>
      </c>
      <c r="F38" s="729">
        <v>6.91</v>
      </c>
      <c r="G38" s="1605">
        <v>7</v>
      </c>
      <c r="H38" s="880" t="s">
        <v>5007</v>
      </c>
      <c r="I38" s="20" t="s">
        <v>1617</v>
      </c>
      <c r="J38" s="750" t="s">
        <v>5009</v>
      </c>
      <c r="K38" s="21" t="s">
        <v>4924</v>
      </c>
      <c r="L38" s="21" t="s">
        <v>3432</v>
      </c>
      <c r="M38" s="21" t="s">
        <v>4343</v>
      </c>
      <c r="N38" s="699" t="s">
        <v>712</v>
      </c>
      <c r="O38" s="22">
        <f>26/F38/1.13</f>
        <v>3.32979009515516</v>
      </c>
      <c r="P38" s="822">
        <f t="shared" si="6"/>
        <v>7.26042983565107</v>
      </c>
      <c r="Q38" s="37">
        <v>17.25</v>
      </c>
      <c r="R38" s="37">
        <v>4</v>
      </c>
      <c r="S38" s="22">
        <f t="shared" si="5"/>
        <v>31.8402199308062</v>
      </c>
      <c r="T38" s="23" t="s">
        <v>4981</v>
      </c>
      <c r="U38" s="23"/>
      <c r="V38" s="20"/>
    </row>
    <row r="39" s="930" customFormat="1" hidden="1" spans="2:23">
      <c r="B39" s="880"/>
      <c r="C39" s="880"/>
      <c r="D39" s="880"/>
      <c r="E39" s="729">
        <v>20250605</v>
      </c>
      <c r="F39" s="729">
        <v>7.2</v>
      </c>
      <c r="G39" s="1605">
        <v>7.01</v>
      </c>
      <c r="H39" s="880" t="s">
        <v>5010</v>
      </c>
      <c r="I39" s="20" t="s">
        <v>1629</v>
      </c>
      <c r="J39" s="23" t="s">
        <v>4975</v>
      </c>
      <c r="K39" s="21" t="s">
        <v>4924</v>
      </c>
      <c r="L39" s="21" t="s">
        <v>4248</v>
      </c>
      <c r="M39" s="21" t="s">
        <v>1637</v>
      </c>
      <c r="N39" s="699" t="s">
        <v>712</v>
      </c>
      <c r="O39" s="22">
        <f>26.17/7.13/1.13</f>
        <v>3.24814755054674</v>
      </c>
      <c r="P39" s="822">
        <f t="shared" si="6"/>
        <v>7.25007258909523</v>
      </c>
      <c r="Q39" s="37">
        <v>19.78</v>
      </c>
      <c r="R39" s="37">
        <v>4</v>
      </c>
      <c r="S39" s="22">
        <f t="shared" si="5"/>
        <v>34.278220139642</v>
      </c>
      <c r="T39" s="23" t="s">
        <v>4981</v>
      </c>
      <c r="U39" s="23"/>
      <c r="V39" s="20" t="s">
        <v>5011</v>
      </c>
    </row>
    <row r="40" s="930" customFormat="1" ht="14.4" hidden="1" spans="2:23">
      <c r="B40" s="880"/>
      <c r="C40" s="880"/>
      <c r="D40" s="880"/>
      <c r="E40" s="23">
        <v>20250716</v>
      </c>
      <c r="F40" s="21">
        <v>6.75</v>
      </c>
      <c r="G40" s="1619">
        <v>6.75</v>
      </c>
      <c r="H40" s="970" t="s">
        <v>5012</v>
      </c>
      <c r="I40" s="20" t="s">
        <v>1645</v>
      </c>
      <c r="J40" s="23" t="s">
        <v>4975</v>
      </c>
      <c r="K40" s="21" t="s">
        <v>4825</v>
      </c>
      <c r="L40" s="21" t="s">
        <v>4248</v>
      </c>
      <c r="M40" s="21" t="s">
        <v>1428</v>
      </c>
      <c r="N40" s="699" t="s">
        <v>712</v>
      </c>
      <c r="O40" s="699" t="s">
        <v>1428</v>
      </c>
      <c r="P40" s="822">
        <f t="shared" ref="P40:P44" si="7">104.53/F40/1.13</f>
        <v>13.7043592264831</v>
      </c>
      <c r="Q40" s="37">
        <v>23.1</v>
      </c>
      <c r="R40" s="37">
        <v>4</v>
      </c>
      <c r="S40" s="22">
        <f t="shared" si="5"/>
        <v>40.8043592264831</v>
      </c>
      <c r="T40" s="23" t="s">
        <v>5013</v>
      </c>
      <c r="U40" s="23" t="s">
        <v>5014</v>
      </c>
      <c r="V40" s="20" t="s">
        <v>5015</v>
      </c>
    </row>
    <row r="41" s="930" customFormat="1" ht="14.4" hidden="1" spans="2:23">
      <c r="B41" s="880"/>
      <c r="C41" s="880"/>
      <c r="D41" s="880"/>
      <c r="E41" s="23">
        <v>20250716</v>
      </c>
      <c r="F41" s="21">
        <v>6.75</v>
      </c>
      <c r="G41" s="1619">
        <v>6.75</v>
      </c>
      <c r="H41" s="970" t="s">
        <v>5016</v>
      </c>
      <c r="I41" s="20" t="s">
        <v>1604</v>
      </c>
      <c r="J41" s="23" t="s">
        <v>4975</v>
      </c>
      <c r="K41" s="21" t="s">
        <v>4825</v>
      </c>
      <c r="L41" s="21" t="s">
        <v>3432</v>
      </c>
      <c r="M41" s="21" t="s">
        <v>1428</v>
      </c>
      <c r="N41" s="699" t="s">
        <v>712</v>
      </c>
      <c r="O41" s="699" t="s">
        <v>1428</v>
      </c>
      <c r="P41" s="822">
        <f t="shared" si="7"/>
        <v>13.7043592264831</v>
      </c>
      <c r="Q41" s="37">
        <v>23.1</v>
      </c>
      <c r="R41" s="37">
        <v>4</v>
      </c>
      <c r="S41" s="22">
        <f t="shared" si="5"/>
        <v>40.8043592264831</v>
      </c>
      <c r="T41" s="23" t="s">
        <v>4001</v>
      </c>
      <c r="U41" s="23"/>
      <c r="V41" s="139" t="s">
        <v>5017</v>
      </c>
    </row>
    <row r="42" s="930" customFormat="1" ht="14.4" hidden="1" spans="2:23">
      <c r="B42" s="880"/>
      <c r="C42" s="880"/>
      <c r="D42" s="880"/>
      <c r="E42" s="23">
        <v>20250716</v>
      </c>
      <c r="F42" s="21">
        <v>6.75</v>
      </c>
      <c r="G42" s="1619">
        <v>6.75</v>
      </c>
      <c r="H42" s="970" t="s">
        <v>5018</v>
      </c>
      <c r="I42" s="20" t="s">
        <v>1571</v>
      </c>
      <c r="J42" s="23" t="s">
        <v>4975</v>
      </c>
      <c r="K42" s="21" t="s">
        <v>4924</v>
      </c>
      <c r="L42" s="21" t="s">
        <v>4174</v>
      </c>
      <c r="M42" s="21" t="s">
        <v>1428</v>
      </c>
      <c r="N42" s="699" t="s">
        <v>712</v>
      </c>
      <c r="O42" s="699" t="s">
        <v>1428</v>
      </c>
      <c r="P42" s="822">
        <f t="shared" si="7"/>
        <v>13.7043592264831</v>
      </c>
      <c r="Q42" s="37">
        <v>22.9</v>
      </c>
      <c r="R42" s="37">
        <v>4</v>
      </c>
      <c r="S42" s="22">
        <f t="shared" si="5"/>
        <v>40.6043592264831</v>
      </c>
      <c r="T42" s="23" t="s">
        <v>4001</v>
      </c>
      <c r="U42" s="23"/>
      <c r="V42" s="1620" t="s">
        <v>1413</v>
      </c>
    </row>
    <row r="43" s="930" customFormat="1" ht="14.4" hidden="1" spans="2:23">
      <c r="B43" s="880"/>
      <c r="C43" s="880"/>
      <c r="D43" s="880"/>
      <c r="E43" s="1188">
        <v>46251</v>
      </c>
      <c r="F43" s="21">
        <v>6.75</v>
      </c>
      <c r="G43" s="1619">
        <v>6.75</v>
      </c>
      <c r="H43" s="970" t="s">
        <v>5019</v>
      </c>
      <c r="I43" s="20" t="s">
        <v>1685</v>
      </c>
      <c r="J43" s="23" t="s">
        <v>4975</v>
      </c>
      <c r="K43" s="21" t="s">
        <v>4825</v>
      </c>
      <c r="L43" s="21" t="s">
        <v>4248</v>
      </c>
      <c r="M43" s="21" t="s">
        <v>1428</v>
      </c>
      <c r="N43" s="699" t="s">
        <v>712</v>
      </c>
      <c r="O43" s="699" t="s">
        <v>1428</v>
      </c>
      <c r="P43" s="822">
        <f t="shared" si="7"/>
        <v>13.7043592264831</v>
      </c>
      <c r="Q43" s="37">
        <v>24.6</v>
      </c>
      <c r="R43" s="37">
        <v>4</v>
      </c>
      <c r="S43" s="22">
        <f t="shared" si="5"/>
        <v>42.3043592264831</v>
      </c>
      <c r="T43" s="23" t="s">
        <v>4001</v>
      </c>
      <c r="U43" s="23"/>
      <c r="V43" s="139" t="s">
        <v>5020</v>
      </c>
    </row>
    <row r="44" s="930" customFormat="1" ht="14.4" hidden="1" spans="2:23">
      <c r="B44" s="880"/>
      <c r="C44" s="880"/>
      <c r="D44" s="880"/>
      <c r="E44" s="1188">
        <v>46251</v>
      </c>
      <c r="F44" s="21">
        <v>6.75</v>
      </c>
      <c r="G44" s="1619">
        <v>6.75</v>
      </c>
      <c r="H44" s="970" t="s">
        <v>1778</v>
      </c>
      <c r="I44" s="20"/>
      <c r="J44" s="23"/>
      <c r="K44" s="21"/>
      <c r="L44" s="21"/>
      <c r="M44" s="21" t="s">
        <v>1428</v>
      </c>
      <c r="N44" s="699" t="s">
        <v>712</v>
      </c>
      <c r="O44" s="699" t="s">
        <v>1428</v>
      </c>
      <c r="P44" s="822">
        <f t="shared" si="7"/>
        <v>13.7043592264831</v>
      </c>
      <c r="Q44" s="37">
        <v>23.1</v>
      </c>
      <c r="R44" s="37">
        <v>4</v>
      </c>
      <c r="S44" s="22">
        <f t="shared" si="5"/>
        <v>40.8043592264831</v>
      </c>
      <c r="T44" s="23" t="s">
        <v>4001</v>
      </c>
      <c r="U44" s="23"/>
      <c r="V44" s="1620"/>
    </row>
    <row r="45" s="930" customFormat="1" ht="14.4" hidden="1" spans="2:23">
      <c r="B45" s="880"/>
      <c r="C45" s="880"/>
      <c r="D45" s="880"/>
      <c r="E45" s="23">
        <v>20250716</v>
      </c>
      <c r="F45" s="21">
        <v>7.17</v>
      </c>
      <c r="G45" s="1605">
        <v>7.01</v>
      </c>
      <c r="H45" s="970" t="s">
        <v>5019</v>
      </c>
      <c r="I45" s="20" t="s">
        <v>1685</v>
      </c>
      <c r="J45" s="23" t="s">
        <v>4975</v>
      </c>
      <c r="K45" s="21" t="s">
        <v>4825</v>
      </c>
      <c r="L45" s="21" t="s">
        <v>4248</v>
      </c>
      <c r="M45" s="21" t="s">
        <v>1979</v>
      </c>
      <c r="N45" s="699" t="s">
        <v>712</v>
      </c>
      <c r="O45" s="699" t="s">
        <v>712</v>
      </c>
      <c r="P45" s="822">
        <f>57.43/G45/1.13</f>
        <v>7.25007258909523</v>
      </c>
      <c r="Q45" s="37">
        <v>19.8668462851334</v>
      </c>
      <c r="R45" s="37">
        <v>4</v>
      </c>
      <c r="S45" s="22">
        <f t="shared" si="5"/>
        <v>31.1169188742286</v>
      </c>
      <c r="T45" s="23" t="s">
        <v>4001</v>
      </c>
      <c r="U45" s="23"/>
      <c r="V45" s="139" t="s">
        <v>5020</v>
      </c>
    </row>
    <row r="46" s="930" customFormat="1" ht="14.4" hidden="1" spans="2:23">
      <c r="B46" s="880" t="s">
        <v>5021</v>
      </c>
      <c r="C46" s="880"/>
      <c r="D46" s="880"/>
      <c r="E46" s="23">
        <v>20250616</v>
      </c>
      <c r="F46" s="21">
        <v>7.19</v>
      </c>
      <c r="G46" s="1605">
        <v>7.01</v>
      </c>
      <c r="H46" s="917" t="s">
        <v>4831</v>
      </c>
      <c r="I46" s="729" t="s">
        <v>1565</v>
      </c>
      <c r="J46" s="23" t="s">
        <v>4975</v>
      </c>
      <c r="K46" s="21" t="s">
        <v>4810</v>
      </c>
      <c r="L46" s="21" t="s">
        <v>4944</v>
      </c>
      <c r="M46" s="21"/>
      <c r="N46" s="699" t="s">
        <v>5022</v>
      </c>
      <c r="O46" s="21"/>
      <c r="P46" s="22">
        <f t="shared" ref="P46:P48" si="8">89.9/G46/1.13</f>
        <v>11.3491472359335</v>
      </c>
      <c r="Q46" s="37">
        <v>36.9875233305483</v>
      </c>
      <c r="R46" s="37">
        <f t="shared" ref="R46:R48" si="9">50.51/G46/1.13</f>
        <v>6.37647860830924</v>
      </c>
      <c r="S46" s="22">
        <f t="shared" ref="S46:S52" si="10">SUM(N46:R46)</f>
        <v>54.713149174791</v>
      </c>
      <c r="T46" s="23" t="s">
        <v>5023</v>
      </c>
      <c r="U46" s="23"/>
      <c r="V46" s="139" t="s">
        <v>5024</v>
      </c>
    </row>
    <row r="47" s="930" customFormat="1" ht="14.4" hidden="1" spans="2:23">
      <c r="B47" s="880"/>
      <c r="C47" s="880"/>
      <c r="D47" s="880"/>
      <c r="E47" s="23">
        <v>20250616</v>
      </c>
      <c r="F47" s="21">
        <v>7.19</v>
      </c>
      <c r="G47" s="1605">
        <v>7.01</v>
      </c>
      <c r="H47" s="917" t="s">
        <v>5025</v>
      </c>
      <c r="I47" s="20" t="s">
        <v>1617</v>
      </c>
      <c r="J47" s="23" t="s">
        <v>4975</v>
      </c>
      <c r="K47" s="21" t="s">
        <v>4810</v>
      </c>
      <c r="L47" s="21" t="s">
        <v>4952</v>
      </c>
      <c r="M47" s="21"/>
      <c r="N47" s="699" t="s">
        <v>5022</v>
      </c>
      <c r="O47" s="21"/>
      <c r="P47" s="22">
        <f t="shared" si="8"/>
        <v>11.3491472359335</v>
      </c>
      <c r="Q47" s="37">
        <v>33.8315945773853</v>
      </c>
      <c r="R47" s="37">
        <f t="shared" si="9"/>
        <v>6.37647860830924</v>
      </c>
      <c r="S47" s="22">
        <f t="shared" si="10"/>
        <v>51.557220421628</v>
      </c>
      <c r="T47" s="23" t="s">
        <v>5026</v>
      </c>
      <c r="U47" s="23"/>
      <c r="V47" s="139" t="s">
        <v>5027</v>
      </c>
    </row>
    <row r="48" s="930" customFormat="1" ht="15" hidden="1" customHeight="1" spans="2:23">
      <c r="B48" s="880"/>
      <c r="C48" s="880"/>
      <c r="D48" s="880"/>
      <c r="E48" s="23">
        <v>20250616</v>
      </c>
      <c r="F48" s="21">
        <v>7.19</v>
      </c>
      <c r="G48" s="1605">
        <v>7.01</v>
      </c>
      <c r="H48" s="917" t="s">
        <v>5028</v>
      </c>
      <c r="I48" s="20" t="s">
        <v>1629</v>
      </c>
      <c r="J48" s="23" t="s">
        <v>4975</v>
      </c>
      <c r="K48" s="21" t="s">
        <v>4810</v>
      </c>
      <c r="L48" s="21" t="s">
        <v>5029</v>
      </c>
      <c r="M48" s="21"/>
      <c r="N48" s="699" t="s">
        <v>5022</v>
      </c>
      <c r="O48" s="21"/>
      <c r="P48" s="22">
        <f t="shared" si="8"/>
        <v>11.3491472359335</v>
      </c>
      <c r="Q48" s="37">
        <v>34.3918401946325</v>
      </c>
      <c r="R48" s="37">
        <f t="shared" si="9"/>
        <v>6.37647860830924</v>
      </c>
      <c r="S48" s="22">
        <f t="shared" si="10"/>
        <v>52.1174660388752</v>
      </c>
      <c r="T48" s="23" t="s">
        <v>5030</v>
      </c>
      <c r="U48" s="23"/>
      <c r="V48" s="139" t="s">
        <v>5031</v>
      </c>
    </row>
    <row r="49" s="930" customFormat="1" ht="26.4" hidden="1" spans="1:23">
      <c r="B49" s="880"/>
      <c r="C49" s="880"/>
      <c r="D49" s="880"/>
      <c r="E49" s="23">
        <v>20250716</v>
      </c>
      <c r="F49" s="21">
        <v>7.17</v>
      </c>
      <c r="G49" s="1605">
        <v>7.01</v>
      </c>
      <c r="H49" s="917" t="s">
        <v>5032</v>
      </c>
      <c r="I49" s="729" t="s">
        <v>5033</v>
      </c>
      <c r="J49" s="23"/>
      <c r="K49" s="21"/>
      <c r="L49" s="21"/>
      <c r="M49" s="21"/>
      <c r="N49" s="699"/>
      <c r="O49" s="21"/>
      <c r="P49" s="822">
        <v>0.800070352130929</v>
      </c>
      <c r="Q49" s="37">
        <v>6.25260627500538</v>
      </c>
      <c r="R49" s="37">
        <v>3</v>
      </c>
      <c r="S49" s="22">
        <f t="shared" si="10"/>
        <v>10.0526766271363</v>
      </c>
      <c r="T49" s="23"/>
      <c r="U49" s="23"/>
      <c r="V49" s="139" t="s">
        <v>5034</v>
      </c>
    </row>
    <row r="50" s="930" customFormat="1" ht="26.4" hidden="1" spans="1:23">
      <c r="B50" s="880"/>
      <c r="C50" s="880"/>
      <c r="D50" s="880"/>
      <c r="E50" s="23">
        <v>20250715</v>
      </c>
      <c r="F50" s="21">
        <v>7.17</v>
      </c>
      <c r="G50" s="1605">
        <v>7.01</v>
      </c>
      <c r="H50" s="917" t="s">
        <v>5035</v>
      </c>
      <c r="I50" s="729" t="s">
        <v>5036</v>
      </c>
      <c r="J50" s="23"/>
      <c r="K50" s="21"/>
      <c r="L50" s="21"/>
      <c r="M50" s="21"/>
      <c r="N50" s="699"/>
      <c r="O50" s="21"/>
      <c r="P50" s="822">
        <v>0.754174843559077</v>
      </c>
      <c r="Q50" s="37">
        <v>7.79059066456118</v>
      </c>
      <c r="R50" s="37">
        <v>3</v>
      </c>
      <c r="S50" s="22">
        <f t="shared" si="10"/>
        <v>11.5447655081203</v>
      </c>
      <c r="T50" s="23"/>
      <c r="U50" s="23"/>
      <c r="V50" s="139" t="s">
        <v>5037</v>
      </c>
    </row>
    <row r="51" s="1601" customFormat="1" ht="19.5" hidden="1" customHeight="1" spans="1:23">
      <c r="A51" s="1189"/>
      <c r="B51" s="687" t="s">
        <v>1430</v>
      </c>
      <c r="C51" s="23" t="s">
        <v>5038</v>
      </c>
      <c r="D51" s="23" t="s">
        <v>5039</v>
      </c>
      <c r="E51" s="1188">
        <v>46111</v>
      </c>
      <c r="F51" s="1621">
        <v>6.75</v>
      </c>
      <c r="G51" s="23"/>
      <c r="H51" s="687" t="s">
        <v>5040</v>
      </c>
      <c r="I51" s="20" t="s">
        <v>1604</v>
      </c>
      <c r="J51" s="750" t="s">
        <v>5041</v>
      </c>
      <c r="K51" s="21" t="s">
        <v>4810</v>
      </c>
      <c r="L51" s="22" t="s">
        <v>5042</v>
      </c>
      <c r="M51" s="1082" t="s">
        <v>1428</v>
      </c>
      <c r="N51" s="153" t="s">
        <v>712</v>
      </c>
      <c r="O51" s="151" t="s">
        <v>1428</v>
      </c>
      <c r="P51" s="1622">
        <f>99.86/F51/1.13</f>
        <v>13.092100950508</v>
      </c>
      <c r="Q51" s="154">
        <v>46</v>
      </c>
      <c r="R51" s="154">
        <f>32.5/F51</f>
        <v>4.81481481481481</v>
      </c>
      <c r="S51" s="727">
        <f t="shared" si="10"/>
        <v>63.9069157653228</v>
      </c>
      <c r="T51" s="687" t="s">
        <v>5023</v>
      </c>
      <c r="U51" s="23"/>
      <c r="V51" s="750" t="s">
        <v>5043</v>
      </c>
      <c r="W51" s="1190"/>
    </row>
    <row r="52" s="1601" customFormat="1" ht="19.5" hidden="1" customHeight="1" spans="1:23">
      <c r="A52" s="1189"/>
      <c r="B52" s="23" t="s">
        <v>1430</v>
      </c>
      <c r="C52" s="23" t="s">
        <v>5038</v>
      </c>
      <c r="D52" s="23" t="s">
        <v>5039</v>
      </c>
      <c r="E52" s="1188">
        <v>46126</v>
      </c>
      <c r="F52" s="23">
        <v>6.8225</v>
      </c>
      <c r="G52" s="1605"/>
      <c r="H52" s="23" t="s">
        <v>1844</v>
      </c>
      <c r="I52" s="139" t="s">
        <v>2016</v>
      </c>
      <c r="J52" s="20"/>
      <c r="K52" s="21"/>
      <c r="L52" s="22"/>
      <c r="M52" s="21" t="s">
        <v>1428</v>
      </c>
      <c r="N52" s="21" t="s">
        <v>712</v>
      </c>
      <c r="O52" s="21" t="s">
        <v>1428</v>
      </c>
      <c r="P52" s="822">
        <f>60.87/F52/1.13</f>
        <v>7.89553047081981</v>
      </c>
      <c r="Q52" s="37">
        <v>45.1</v>
      </c>
      <c r="R52" s="37">
        <f>32.5/F52</f>
        <v>4.7636496885306</v>
      </c>
      <c r="S52" s="22">
        <f t="shared" si="10"/>
        <v>57.7591801593504</v>
      </c>
      <c r="T52" s="813" t="s">
        <v>4919</v>
      </c>
      <c r="U52" s="813"/>
      <c r="V52" s="167" t="s">
        <v>4920</v>
      </c>
      <c r="W52" s="751" t="s">
        <v>5044</v>
      </c>
    </row>
    <row r="53" s="1601" customFormat="1" ht="19.5" hidden="1" customHeight="1" spans="1:23">
      <c r="A53" s="1189"/>
      <c r="B53" s="23" t="s">
        <v>1109</v>
      </c>
      <c r="C53" s="23"/>
      <c r="D53" s="23"/>
      <c r="E53" s="23"/>
      <c r="F53" s="23"/>
      <c r="G53" s="1605">
        <v>7.01</v>
      </c>
      <c r="H53" s="23"/>
      <c r="I53" s="20" t="s">
        <v>1617</v>
      </c>
      <c r="J53" s="20" t="s">
        <v>1933</v>
      </c>
      <c r="K53" s="21" t="s">
        <v>4838</v>
      </c>
      <c r="L53" s="22" t="s">
        <v>3436</v>
      </c>
      <c r="M53" s="21" t="s">
        <v>3939</v>
      </c>
      <c r="N53" s="21">
        <v>66</v>
      </c>
      <c r="O53" s="689">
        <v>3</v>
      </c>
      <c r="P53" s="822">
        <v>2.77931415929204</v>
      </c>
      <c r="Q53" s="37">
        <v>14.5589695843791</v>
      </c>
      <c r="R53" s="37">
        <v>4.01629370629371</v>
      </c>
      <c r="S53" s="37">
        <f t="shared" ref="S53:S96" si="11">SUM(N53:R53)</f>
        <v>90.3545774499649</v>
      </c>
      <c r="T53" s="813" t="s">
        <v>4250</v>
      </c>
      <c r="U53" s="813"/>
      <c r="V53" s="167" t="s">
        <v>5045</v>
      </c>
      <c r="W53" s="1190" t="s">
        <v>1406</v>
      </c>
    </row>
    <row r="54" s="1601" customFormat="1" ht="19.5" hidden="1" customHeight="1" spans="1:23">
      <c r="A54" s="1189"/>
      <c r="B54" s="23"/>
      <c r="C54" s="23"/>
      <c r="D54" s="23"/>
      <c r="E54" s="23"/>
      <c r="F54" s="23">
        <v>6.91</v>
      </c>
      <c r="G54" s="1605" t="s">
        <v>1415</v>
      </c>
      <c r="H54" s="23"/>
      <c r="I54" s="20" t="s">
        <v>1110</v>
      </c>
      <c r="J54" s="20"/>
      <c r="K54" s="21"/>
      <c r="L54" s="22" t="s">
        <v>3436</v>
      </c>
      <c r="M54" s="21" t="s">
        <v>3939</v>
      </c>
      <c r="N54" s="21">
        <v>66</v>
      </c>
      <c r="O54" s="21"/>
      <c r="P54" s="822">
        <v>0.0419985250737463</v>
      </c>
      <c r="Q54" s="37">
        <v>0.132015769800885</v>
      </c>
      <c r="R54" s="37">
        <v>0.2</v>
      </c>
      <c r="S54" s="37">
        <f t="shared" si="11"/>
        <v>66.3740142948746</v>
      </c>
      <c r="T54" s="813"/>
      <c r="U54" s="813"/>
      <c r="V54" s="23"/>
      <c r="W54" s="1190" t="s">
        <v>1406</v>
      </c>
    </row>
    <row r="55" s="996" customFormat="1" ht="15" hidden="1" spans="1:23">
      <c r="A55" s="1189"/>
      <c r="B55" s="23" t="s">
        <v>4842</v>
      </c>
      <c r="C55" s="23"/>
      <c r="D55" s="23"/>
      <c r="E55" s="23"/>
      <c r="F55" s="23"/>
      <c r="G55" s="1605">
        <v>7.01</v>
      </c>
      <c r="H55" s="23"/>
      <c r="I55" s="20" t="s">
        <v>4843</v>
      </c>
      <c r="J55" s="23"/>
      <c r="K55" s="21"/>
      <c r="L55" s="21"/>
      <c r="M55" s="21"/>
      <c r="N55" s="21"/>
      <c r="O55" s="689"/>
      <c r="P55" s="822">
        <v>0.951071666069875</v>
      </c>
      <c r="Q55" s="37">
        <v>0.692161706082152</v>
      </c>
      <c r="R55" s="22">
        <v>0.2</v>
      </c>
      <c r="S55" s="22">
        <f t="shared" si="11"/>
        <v>1.84323337215203</v>
      </c>
      <c r="T55" s="729"/>
      <c r="U55" s="729"/>
      <c r="V55" s="20"/>
      <c r="W55" s="1190" t="s">
        <v>1406</v>
      </c>
    </row>
    <row r="56" s="996" customFormat="1" ht="15" hidden="1" spans="1:23">
      <c r="A56" s="1189"/>
      <c r="B56" s="23" t="s">
        <v>5046</v>
      </c>
      <c r="C56" s="23"/>
      <c r="D56" s="23"/>
      <c r="E56" s="23"/>
      <c r="F56" s="23"/>
      <c r="G56" s="1605">
        <v>7.01</v>
      </c>
      <c r="H56" s="23"/>
      <c r="I56" s="20" t="s">
        <v>4846</v>
      </c>
      <c r="J56" s="23" t="s">
        <v>1933</v>
      </c>
      <c r="K56" s="21" t="s">
        <v>4847</v>
      </c>
      <c r="L56" s="21" t="s">
        <v>3432</v>
      </c>
      <c r="M56" s="21" t="s">
        <v>1428</v>
      </c>
      <c r="N56" s="21">
        <v>95</v>
      </c>
      <c r="O56" s="21" t="s">
        <v>1428</v>
      </c>
      <c r="P56" s="822">
        <v>3.95836968714945</v>
      </c>
      <c r="Q56" s="37">
        <v>17.8314141716823</v>
      </c>
      <c r="R56" s="37">
        <v>4.06141256774168</v>
      </c>
      <c r="S56" s="22">
        <f t="shared" si="11"/>
        <v>120.851196426573</v>
      </c>
      <c r="T56" s="20" t="s">
        <v>3984</v>
      </c>
      <c r="U56" s="20"/>
      <c r="V56" s="759" t="s">
        <v>5047</v>
      </c>
      <c r="W56" s="1190" t="s">
        <v>1406</v>
      </c>
    </row>
    <row r="57" s="996" customFormat="1" ht="15" hidden="1" spans="1:23">
      <c r="A57" s="1189"/>
      <c r="B57" s="23"/>
      <c r="C57" s="23"/>
      <c r="D57" s="23"/>
      <c r="E57" s="23"/>
      <c r="F57" s="23"/>
      <c r="G57" s="1605">
        <v>7.01</v>
      </c>
      <c r="H57" s="23"/>
      <c r="I57" s="20" t="s">
        <v>5048</v>
      </c>
      <c r="J57" s="23" t="s">
        <v>1933</v>
      </c>
      <c r="K57" s="21" t="s">
        <v>4838</v>
      </c>
      <c r="L57" s="21" t="s">
        <v>3432</v>
      </c>
      <c r="M57" s="21" t="s">
        <v>1428</v>
      </c>
      <c r="N57" s="21">
        <v>66</v>
      </c>
      <c r="O57" s="21" t="s">
        <v>1428</v>
      </c>
      <c r="P57" s="822">
        <f>31.73/7.13/1.13</f>
        <v>3.93823927316958</v>
      </c>
      <c r="Q57" s="37">
        <v>16.17864075</v>
      </c>
      <c r="R57" s="37">
        <v>4.06141256774168</v>
      </c>
      <c r="S57" s="22">
        <f t="shared" si="11"/>
        <v>90.1782925909113</v>
      </c>
      <c r="T57" s="20" t="s">
        <v>3984</v>
      </c>
      <c r="U57" s="20"/>
      <c r="V57" s="759" t="s">
        <v>5049</v>
      </c>
      <c r="W57" s="1190" t="s">
        <v>1406</v>
      </c>
    </row>
    <row r="58" s="996" customFormat="1" ht="15" hidden="1" spans="1:23">
      <c r="A58" s="1189"/>
      <c r="B58" s="23"/>
      <c r="C58" s="23"/>
      <c r="D58" s="23"/>
      <c r="E58" s="23">
        <v>20250618</v>
      </c>
      <c r="F58" s="23">
        <v>7.19</v>
      </c>
      <c r="G58" s="1605">
        <v>7.01</v>
      </c>
      <c r="H58" s="23" t="s">
        <v>5050</v>
      </c>
      <c r="I58" s="20" t="s">
        <v>5051</v>
      </c>
      <c r="J58" s="23" t="s">
        <v>1933</v>
      </c>
      <c r="K58" s="21" t="s">
        <v>5052</v>
      </c>
      <c r="L58" s="21" t="s">
        <v>3436</v>
      </c>
      <c r="M58" s="21" t="s">
        <v>1428</v>
      </c>
      <c r="N58" s="21" t="s">
        <v>1428</v>
      </c>
      <c r="O58" s="21" t="s">
        <v>1428</v>
      </c>
      <c r="P58" s="822">
        <v>3.95836968714945</v>
      </c>
      <c r="Q58" s="37">
        <v>13.7691176166243</v>
      </c>
      <c r="R58" s="37">
        <v>4.06141256774168</v>
      </c>
      <c r="S58" s="22">
        <f t="shared" si="11"/>
        <v>21.7888998715154</v>
      </c>
      <c r="T58" s="20" t="s">
        <v>4250</v>
      </c>
      <c r="U58" s="20"/>
      <c r="V58" s="20" t="s">
        <v>5053</v>
      </c>
      <c r="W58" s="1190" t="s">
        <v>1406</v>
      </c>
    </row>
    <row r="59" s="996" customFormat="1" ht="15" hidden="1" spans="1:23">
      <c r="A59" s="1189"/>
      <c r="B59" s="23"/>
      <c r="C59" s="23"/>
      <c r="D59" s="23"/>
      <c r="E59" s="23"/>
      <c r="F59" s="23"/>
      <c r="G59" s="1605">
        <v>7.01</v>
      </c>
      <c r="H59" s="23"/>
      <c r="I59" s="20" t="s">
        <v>5054</v>
      </c>
      <c r="J59" s="23" t="s">
        <v>1933</v>
      </c>
      <c r="K59" s="21" t="s">
        <v>4838</v>
      </c>
      <c r="L59" s="21" t="s">
        <v>3436</v>
      </c>
      <c r="M59" s="21" t="s">
        <v>1428</v>
      </c>
      <c r="N59" s="21">
        <v>66</v>
      </c>
      <c r="O59" s="21" t="s">
        <v>1428</v>
      </c>
      <c r="P59" s="822" t="e">
        <f>31.73/F59/1.13</f>
        <v>#DIV/0!</v>
      </c>
      <c r="Q59" s="37">
        <v>15.04966395</v>
      </c>
      <c r="R59" s="37">
        <v>4.06141256774168</v>
      </c>
      <c r="S59" s="22" t="e">
        <f t="shared" si="11"/>
        <v>#DIV/0!</v>
      </c>
      <c r="T59" s="20" t="s">
        <v>4250</v>
      </c>
      <c r="U59" s="20"/>
      <c r="V59" s="20" t="s">
        <v>5055</v>
      </c>
      <c r="W59" s="1190" t="s">
        <v>1406</v>
      </c>
    </row>
    <row r="60" s="996" customFormat="1" ht="15" hidden="1" spans="1:23">
      <c r="A60" s="1189"/>
      <c r="B60" s="23"/>
      <c r="C60" s="23"/>
      <c r="D60" s="23"/>
      <c r="E60" s="23">
        <v>20241015</v>
      </c>
      <c r="F60" s="23">
        <v>7.1</v>
      </c>
      <c r="G60" s="1605">
        <v>7.01</v>
      </c>
      <c r="H60" s="23" t="s">
        <v>5056</v>
      </c>
      <c r="I60" s="20" t="s">
        <v>5057</v>
      </c>
      <c r="J60" s="23" t="s">
        <v>5058</v>
      </c>
      <c r="K60" s="21" t="s">
        <v>4838</v>
      </c>
      <c r="L60" s="21" t="s">
        <v>3432</v>
      </c>
      <c r="M60" s="21"/>
      <c r="N60" s="21">
        <v>60</v>
      </c>
      <c r="O60" s="137" t="s">
        <v>1428</v>
      </c>
      <c r="P60" s="822">
        <f>31.73/F60/1.13</f>
        <v>3.95487972080269</v>
      </c>
      <c r="Q60" s="37">
        <v>13.670128225401</v>
      </c>
      <c r="R60" s="37">
        <v>4.06141256774168</v>
      </c>
      <c r="S60" s="22">
        <f t="shared" si="11"/>
        <v>81.6864205139454</v>
      </c>
      <c r="T60" s="20" t="s">
        <v>4001</v>
      </c>
      <c r="U60" s="20"/>
      <c r="V60" s="20" t="s">
        <v>5059</v>
      </c>
      <c r="W60" s="1190"/>
    </row>
    <row r="61" s="996" customFormat="1" hidden="1" spans="1:23">
      <c r="A61" s="1189"/>
      <c r="B61" s="23"/>
      <c r="C61" s="23"/>
      <c r="D61" s="23"/>
      <c r="E61" s="23">
        <v>20241015</v>
      </c>
      <c r="F61" s="23">
        <v>7.1</v>
      </c>
      <c r="G61" s="1605">
        <v>7.01</v>
      </c>
      <c r="H61" s="23" t="s">
        <v>5060</v>
      </c>
      <c r="I61" s="20" t="s">
        <v>5061</v>
      </c>
      <c r="J61" s="23" t="s">
        <v>5058</v>
      </c>
      <c r="K61" s="21" t="s">
        <v>4838</v>
      </c>
      <c r="L61" s="21" t="s">
        <v>3436</v>
      </c>
      <c r="M61" s="21"/>
      <c r="N61" s="21">
        <v>60</v>
      </c>
      <c r="O61" s="137" t="s">
        <v>1428</v>
      </c>
      <c r="P61" s="822">
        <v>3.95836968714945</v>
      </c>
      <c r="Q61" s="37">
        <v>13.6031935661818</v>
      </c>
      <c r="R61" s="37">
        <v>4.06141256774168</v>
      </c>
      <c r="S61" s="22">
        <f t="shared" si="11"/>
        <v>81.6229758210729</v>
      </c>
      <c r="T61" s="20" t="s">
        <v>4976</v>
      </c>
      <c r="U61" s="20"/>
      <c r="V61" s="20" t="s">
        <v>5062</v>
      </c>
      <c r="W61" s="1190"/>
    </row>
    <row r="62" s="996" customFormat="1" hidden="1" spans="1:23">
      <c r="A62" s="1189"/>
      <c r="B62" s="23"/>
      <c r="C62" s="23"/>
      <c r="D62" s="23"/>
      <c r="E62" s="23">
        <v>20241015</v>
      </c>
      <c r="F62" s="23">
        <v>7.1</v>
      </c>
      <c r="G62" s="1605">
        <v>7.01</v>
      </c>
      <c r="H62" s="23" t="s">
        <v>5063</v>
      </c>
      <c r="I62" s="20" t="s">
        <v>5064</v>
      </c>
      <c r="J62" s="23" t="s">
        <v>5058</v>
      </c>
      <c r="K62" s="21" t="s">
        <v>4847</v>
      </c>
      <c r="L62" s="21" t="s">
        <v>3909</v>
      </c>
      <c r="M62" s="21"/>
      <c r="N62" s="699"/>
      <c r="O62" s="137" t="s">
        <v>1428</v>
      </c>
      <c r="P62" s="822">
        <v>3.95836968714945</v>
      </c>
      <c r="Q62" s="37">
        <v>13.3555296862826</v>
      </c>
      <c r="R62" s="37">
        <v>4.06141256774168</v>
      </c>
      <c r="S62" s="22">
        <f t="shared" si="11"/>
        <v>21.3753119411737</v>
      </c>
      <c r="T62" s="20" t="s">
        <v>3990</v>
      </c>
      <c r="U62" s="20"/>
      <c r="V62" s="20" t="s">
        <v>5065</v>
      </c>
      <c r="W62" s="1190"/>
    </row>
    <row r="63" s="996" customFormat="1" hidden="1" spans="1:23">
      <c r="A63" s="1189"/>
      <c r="B63" s="23"/>
      <c r="C63" s="23"/>
      <c r="D63" s="23"/>
      <c r="E63" s="23">
        <v>20241015</v>
      </c>
      <c r="F63" s="23">
        <v>7.1</v>
      </c>
      <c r="G63" s="1605">
        <v>7.01</v>
      </c>
      <c r="H63" s="23" t="s">
        <v>5066</v>
      </c>
      <c r="I63" s="20" t="s">
        <v>5067</v>
      </c>
      <c r="J63" s="23" t="s">
        <v>5058</v>
      </c>
      <c r="K63" s="21" t="s">
        <v>5068</v>
      </c>
      <c r="L63" s="21" t="s">
        <v>3436</v>
      </c>
      <c r="M63" s="21"/>
      <c r="N63" s="21"/>
      <c r="O63" s="137" t="s">
        <v>1428</v>
      </c>
      <c r="P63" s="822">
        <v>3.95836968714945</v>
      </c>
      <c r="Q63" s="37">
        <v>12.7188461777975</v>
      </c>
      <c r="R63" s="37">
        <v>4.06141256774168</v>
      </c>
      <c r="S63" s="22">
        <f t="shared" si="11"/>
        <v>20.7386284326886</v>
      </c>
      <c r="T63" s="20" t="s">
        <v>4976</v>
      </c>
      <c r="U63" s="20"/>
      <c r="V63" s="20" t="s">
        <v>5069</v>
      </c>
      <c r="W63" s="1190"/>
    </row>
    <row r="64" s="996" customFormat="1" ht="15" hidden="1" spans="1:23">
      <c r="A64" s="1189"/>
      <c r="B64" s="23"/>
      <c r="C64" s="23"/>
      <c r="D64" s="23"/>
      <c r="E64" s="23"/>
      <c r="F64" s="23"/>
      <c r="G64" s="1605">
        <v>7.01</v>
      </c>
      <c r="H64" s="23"/>
      <c r="I64" s="20" t="s">
        <v>5070</v>
      </c>
      <c r="J64" s="23" t="s">
        <v>1933</v>
      </c>
      <c r="K64" s="21" t="s">
        <v>4838</v>
      </c>
      <c r="L64" s="21" t="s">
        <v>3436</v>
      </c>
      <c r="M64" s="21" t="s">
        <v>1428</v>
      </c>
      <c r="N64" s="21">
        <v>66</v>
      </c>
      <c r="O64" s="21" t="s">
        <v>1428</v>
      </c>
      <c r="P64" s="822">
        <v>3.95836968714945</v>
      </c>
      <c r="Q64" s="37">
        <v>14.4834041802097</v>
      </c>
      <c r="R64" s="37">
        <v>4.06141256774168</v>
      </c>
      <c r="S64" s="22">
        <f t="shared" si="11"/>
        <v>88.5031864351008</v>
      </c>
      <c r="T64" s="20" t="s">
        <v>4250</v>
      </c>
      <c r="U64" s="20"/>
      <c r="V64" s="759" t="s">
        <v>5071</v>
      </c>
      <c r="W64" s="1190" t="s">
        <v>1406</v>
      </c>
    </row>
    <row r="65" s="996" customFormat="1" ht="15" hidden="1" spans="1:23">
      <c r="A65" s="1189"/>
      <c r="B65" s="23"/>
      <c r="C65" s="23"/>
      <c r="D65" s="23"/>
      <c r="E65" s="23">
        <v>20240924</v>
      </c>
      <c r="F65" s="23">
        <v>7.11</v>
      </c>
      <c r="G65" s="1605">
        <v>7.01</v>
      </c>
      <c r="H65" s="23" t="s">
        <v>5072</v>
      </c>
      <c r="I65" s="20" t="s">
        <v>1581</v>
      </c>
      <c r="J65" s="23" t="s">
        <v>3586</v>
      </c>
      <c r="K65" s="21" t="s">
        <v>5073</v>
      </c>
      <c r="L65" s="21" t="s">
        <v>3432</v>
      </c>
      <c r="M65" s="21" t="s">
        <v>1428</v>
      </c>
      <c r="N65" s="138" t="s">
        <v>4519</v>
      </c>
      <c r="O65" s="21" t="s">
        <v>1428</v>
      </c>
      <c r="P65" s="822">
        <v>3.95836968714945</v>
      </c>
      <c r="Q65" s="37">
        <v>11.9976004263903</v>
      </c>
      <c r="R65" s="37">
        <v>4.06141256774168</v>
      </c>
      <c r="S65" s="22">
        <f t="shared" si="11"/>
        <v>20.0173826812814</v>
      </c>
      <c r="T65" s="20" t="s">
        <v>3984</v>
      </c>
      <c r="U65" s="20"/>
      <c r="V65" s="139" t="s">
        <v>5074</v>
      </c>
      <c r="W65" s="1190"/>
    </row>
    <row r="66" s="996" customFormat="1" hidden="1" spans="1:23">
      <c r="A66" s="1189"/>
      <c r="B66" s="23"/>
      <c r="C66" s="23"/>
      <c r="D66" s="23"/>
      <c r="E66" s="23">
        <v>20241219</v>
      </c>
      <c r="F66" s="23">
        <v>7.3</v>
      </c>
      <c r="G66" s="1605">
        <v>7.01</v>
      </c>
      <c r="H66" s="23" t="s">
        <v>5075</v>
      </c>
      <c r="I66" s="20" t="s">
        <v>2427</v>
      </c>
      <c r="J66" s="23" t="s">
        <v>3586</v>
      </c>
      <c r="K66" s="21" t="s">
        <v>4838</v>
      </c>
      <c r="L66" s="21" t="s">
        <v>3436</v>
      </c>
      <c r="M66" s="21"/>
      <c r="N66" s="138">
        <v>60</v>
      </c>
      <c r="O66" s="21"/>
      <c r="P66" s="822">
        <v>3.95836968714945</v>
      </c>
      <c r="Q66" s="37">
        <v>12.0490692937018</v>
      </c>
      <c r="R66" s="37">
        <v>4.06141256774168</v>
      </c>
      <c r="S66" s="22">
        <f t="shared" si="11"/>
        <v>80.0688515485929</v>
      </c>
      <c r="T66" s="20" t="s">
        <v>4976</v>
      </c>
      <c r="U66" s="20"/>
      <c r="V66" s="139" t="s">
        <v>5076</v>
      </c>
      <c r="W66" s="1190"/>
    </row>
    <row r="67" s="996" customFormat="1" ht="15" hidden="1" spans="1:23">
      <c r="A67" s="1189"/>
      <c r="B67" s="23"/>
      <c r="C67" s="23"/>
      <c r="D67" s="23"/>
      <c r="E67" s="23">
        <v>20240924</v>
      </c>
      <c r="F67" s="23">
        <v>7.2</v>
      </c>
      <c r="G67" s="1605">
        <v>7.01</v>
      </c>
      <c r="H67" s="23" t="s">
        <v>1405</v>
      </c>
      <c r="I67" s="20" t="s">
        <v>21</v>
      </c>
      <c r="J67" s="23"/>
      <c r="K67" s="21"/>
      <c r="L67" s="21"/>
      <c r="M67" s="21"/>
      <c r="N67" s="21"/>
      <c r="O67" s="21"/>
      <c r="P67" s="822">
        <v>0.42292221053283</v>
      </c>
      <c r="Q67" s="37">
        <v>2.7384692067772</v>
      </c>
      <c r="R67" s="37">
        <v>0.4</v>
      </c>
      <c r="S67" s="22">
        <f t="shared" si="11"/>
        <v>3.56139141731003</v>
      </c>
      <c r="T67" s="20"/>
      <c r="U67" s="20"/>
      <c r="V67" s="20" t="s">
        <v>2844</v>
      </c>
      <c r="W67" s="1190"/>
    </row>
    <row r="68" s="996" customFormat="1" ht="15" hidden="1" spans="1:23">
      <c r="A68" s="1189"/>
      <c r="B68" s="23" t="s">
        <v>4851</v>
      </c>
      <c r="C68" s="23"/>
      <c r="D68" s="23"/>
      <c r="E68" s="23"/>
      <c r="F68" s="23"/>
      <c r="G68" s="1605" t="s">
        <v>1419</v>
      </c>
      <c r="H68" s="23"/>
      <c r="I68" s="20" t="s">
        <v>1565</v>
      </c>
      <c r="J68" s="23" t="s">
        <v>1933</v>
      </c>
      <c r="K68" s="21" t="s">
        <v>4847</v>
      </c>
      <c r="L68" s="21" t="s">
        <v>3432</v>
      </c>
      <c r="M68" s="21" t="s">
        <v>1428</v>
      </c>
      <c r="N68" s="21">
        <v>95</v>
      </c>
      <c r="O68" s="21" t="s">
        <v>1428</v>
      </c>
      <c r="P68" s="822">
        <v>3.76823291829595</v>
      </c>
      <c r="Q68" s="37">
        <v>24.3214653694582</v>
      </c>
      <c r="R68" s="37">
        <v>4.01629370629371</v>
      </c>
      <c r="S68" s="22">
        <f t="shared" si="11"/>
        <v>127.105991994048</v>
      </c>
      <c r="T68" s="20" t="s">
        <v>3984</v>
      </c>
      <c r="U68" s="20"/>
      <c r="V68" s="20" t="s">
        <v>4853</v>
      </c>
      <c r="W68" s="1190" t="s">
        <v>1406</v>
      </c>
    </row>
    <row r="69" s="996" customFormat="1" ht="15" hidden="1" spans="1:23">
      <c r="A69" s="1189"/>
      <c r="B69" s="23"/>
      <c r="C69" s="23"/>
      <c r="D69" s="23"/>
      <c r="E69" s="23"/>
      <c r="F69" s="23">
        <v>6.9264</v>
      </c>
      <c r="G69" s="1605" t="s">
        <v>1420</v>
      </c>
      <c r="H69" s="23"/>
      <c r="I69" s="20" t="s">
        <v>1617</v>
      </c>
      <c r="J69" s="23" t="s">
        <v>1933</v>
      </c>
      <c r="K69" s="21" t="s">
        <v>4838</v>
      </c>
      <c r="L69" s="21" t="s">
        <v>3432</v>
      </c>
      <c r="M69" s="21" t="s">
        <v>1428</v>
      </c>
      <c r="N69" s="21">
        <v>66</v>
      </c>
      <c r="O69" s="21" t="s">
        <v>1428</v>
      </c>
      <c r="P69" s="822">
        <v>3.76823291829595</v>
      </c>
      <c r="Q69" s="37">
        <v>21.9</v>
      </c>
      <c r="R69" s="37">
        <v>4.01629370629371</v>
      </c>
      <c r="S69" s="22">
        <f t="shared" si="11"/>
        <v>95.6845266245897</v>
      </c>
      <c r="T69" s="20" t="s">
        <v>3984</v>
      </c>
      <c r="U69" s="20"/>
      <c r="V69" s="20" t="s">
        <v>4853</v>
      </c>
      <c r="W69" s="1190" t="s">
        <v>1406</v>
      </c>
    </row>
    <row r="70" s="996" customFormat="1" ht="15" hidden="1" spans="1:23">
      <c r="A70" s="1189"/>
      <c r="B70" s="23"/>
      <c r="C70" s="23"/>
      <c r="D70" s="23"/>
      <c r="E70" s="23"/>
      <c r="F70" s="23"/>
      <c r="G70" s="1605">
        <v>7.01</v>
      </c>
      <c r="H70" s="23"/>
      <c r="I70" s="20" t="s">
        <v>1629</v>
      </c>
      <c r="J70" s="23" t="s">
        <v>1933</v>
      </c>
      <c r="K70" s="21" t="s">
        <v>4847</v>
      </c>
      <c r="L70" s="21" t="s">
        <v>3432</v>
      </c>
      <c r="M70" s="21" t="s">
        <v>1428</v>
      </c>
      <c r="N70" s="21">
        <v>95</v>
      </c>
      <c r="O70" s="21" t="s">
        <v>1428</v>
      </c>
      <c r="P70" s="822">
        <v>3.76823291829595</v>
      </c>
      <c r="Q70" s="37">
        <v>20.2049081221828</v>
      </c>
      <c r="R70" s="37">
        <v>4.01629370629371</v>
      </c>
      <c r="S70" s="22">
        <f t="shared" si="11"/>
        <v>122.989434746772</v>
      </c>
      <c r="T70" s="20" t="s">
        <v>3984</v>
      </c>
      <c r="U70" s="20"/>
      <c r="V70" s="759" t="s">
        <v>5077</v>
      </c>
      <c r="W70" s="1190" t="s">
        <v>1406</v>
      </c>
    </row>
    <row r="71" s="996" customFormat="1" ht="15" hidden="1" spans="1:23">
      <c r="A71" s="1189"/>
      <c r="B71" s="23"/>
      <c r="C71" s="23"/>
      <c r="D71" s="23"/>
      <c r="E71" s="23"/>
      <c r="F71" s="23"/>
      <c r="G71" s="1605">
        <v>7.01</v>
      </c>
      <c r="H71" s="23"/>
      <c r="I71" s="20" t="s">
        <v>1645</v>
      </c>
      <c r="J71" s="23" t="s">
        <v>1933</v>
      </c>
      <c r="K71" s="21" t="s">
        <v>4847</v>
      </c>
      <c r="L71" s="21" t="s">
        <v>3432</v>
      </c>
      <c r="M71" s="21" t="s">
        <v>1428</v>
      </c>
      <c r="N71" s="21">
        <v>95</v>
      </c>
      <c r="O71" s="21" t="s">
        <v>1428</v>
      </c>
      <c r="P71" s="822">
        <v>3.76823291829595</v>
      </c>
      <c r="Q71" s="37">
        <v>18.4175095646309</v>
      </c>
      <c r="R71" s="37">
        <v>4.01629370629371</v>
      </c>
      <c r="S71" s="22">
        <f t="shared" si="11"/>
        <v>121.202036189221</v>
      </c>
      <c r="T71" s="20" t="s">
        <v>3984</v>
      </c>
      <c r="U71" s="20"/>
      <c r="V71" s="20" t="s">
        <v>4853</v>
      </c>
      <c r="W71" s="1190" t="s">
        <v>1406</v>
      </c>
    </row>
    <row r="72" s="996" customFormat="1" ht="15" hidden="1" spans="1:23">
      <c r="A72" s="1189"/>
      <c r="B72" s="23"/>
      <c r="C72" s="23"/>
      <c r="D72" s="23"/>
      <c r="E72" s="23"/>
      <c r="F72" s="23"/>
      <c r="G72" s="1605">
        <v>7.01</v>
      </c>
      <c r="H72" s="23"/>
      <c r="I72" s="20" t="s">
        <v>1604</v>
      </c>
      <c r="J72" s="23" t="s">
        <v>1933</v>
      </c>
      <c r="K72" s="21" t="s">
        <v>4838</v>
      </c>
      <c r="L72" s="21" t="s">
        <v>3436</v>
      </c>
      <c r="M72" s="21" t="s">
        <v>1428</v>
      </c>
      <c r="N72" s="21">
        <v>66</v>
      </c>
      <c r="O72" s="21" t="s">
        <v>1428</v>
      </c>
      <c r="P72" s="822">
        <v>3.76823291829595</v>
      </c>
      <c r="Q72" s="37">
        <v>21.7640527916293</v>
      </c>
      <c r="R72" s="37">
        <v>4.01629370629371</v>
      </c>
      <c r="S72" s="22">
        <f t="shared" si="11"/>
        <v>95.548579416219</v>
      </c>
      <c r="T72" s="20" t="s">
        <v>4250</v>
      </c>
      <c r="U72" s="20"/>
      <c r="V72" s="20" t="s">
        <v>5078</v>
      </c>
      <c r="W72" s="1190" t="s">
        <v>1406</v>
      </c>
    </row>
    <row r="73" s="996" customFormat="1" ht="15" hidden="1" spans="1:23">
      <c r="A73" s="1189"/>
      <c r="B73" s="23"/>
      <c r="C73" s="23"/>
      <c r="D73" s="23"/>
      <c r="E73" s="23"/>
      <c r="F73" s="23"/>
      <c r="G73" s="1605">
        <v>7.01</v>
      </c>
      <c r="H73" s="23"/>
      <c r="I73" s="20" t="s">
        <v>1671</v>
      </c>
      <c r="J73" s="23" t="s">
        <v>1933</v>
      </c>
      <c r="K73" s="21" t="s">
        <v>4847</v>
      </c>
      <c r="L73" s="21" t="s">
        <v>3432</v>
      </c>
      <c r="M73" s="21" t="s">
        <v>1428</v>
      </c>
      <c r="N73" s="21">
        <v>95</v>
      </c>
      <c r="O73" s="21" t="s">
        <v>1428</v>
      </c>
      <c r="P73" s="822">
        <v>3.76823291829595</v>
      </c>
      <c r="Q73" s="37">
        <v>17.8241260289043</v>
      </c>
      <c r="R73" s="37">
        <v>4.01629370629371</v>
      </c>
      <c r="S73" s="22">
        <f t="shared" si="11"/>
        <v>120.608652653494</v>
      </c>
      <c r="T73" s="20" t="s">
        <v>3984</v>
      </c>
      <c r="U73" s="20"/>
      <c r="V73" s="20" t="s">
        <v>5079</v>
      </c>
      <c r="W73" s="1190" t="s">
        <v>1406</v>
      </c>
    </row>
    <row r="74" s="996" customFormat="1" ht="15" hidden="1" spans="1:23">
      <c r="A74" s="1189"/>
      <c r="B74" s="23"/>
      <c r="C74" s="23"/>
      <c r="D74" s="23"/>
      <c r="E74" s="23"/>
      <c r="F74" s="23"/>
      <c r="G74" s="1605">
        <v>7.01</v>
      </c>
      <c r="H74" s="23"/>
      <c r="I74" s="20" t="s">
        <v>1672</v>
      </c>
      <c r="J74" s="23" t="s">
        <v>1933</v>
      </c>
      <c r="K74" s="21" t="s">
        <v>4847</v>
      </c>
      <c r="L74" s="21" t="s">
        <v>3432</v>
      </c>
      <c r="M74" s="21" t="s">
        <v>1428</v>
      </c>
      <c r="N74" s="21">
        <v>95</v>
      </c>
      <c r="O74" s="21" t="s">
        <v>1428</v>
      </c>
      <c r="P74" s="822">
        <v>3.76823291829595</v>
      </c>
      <c r="Q74" s="37">
        <v>15.6207962092502</v>
      </c>
      <c r="R74" s="37">
        <v>4.01629370629371</v>
      </c>
      <c r="S74" s="22">
        <f t="shared" si="11"/>
        <v>118.40532283384</v>
      </c>
      <c r="T74" s="20" t="s">
        <v>3984</v>
      </c>
      <c r="U74" s="20"/>
      <c r="V74" s="20" t="s">
        <v>5079</v>
      </c>
      <c r="W74" s="1190" t="s">
        <v>1406</v>
      </c>
    </row>
    <row r="75" s="997" customFormat="1" ht="15" hidden="1" customHeight="1" spans="1:23">
      <c r="A75" s="1189"/>
      <c r="B75" s="23"/>
      <c r="C75" s="23"/>
      <c r="D75" s="23"/>
      <c r="E75" s="23"/>
      <c r="F75" s="23"/>
      <c r="G75" s="1605">
        <v>7.01</v>
      </c>
      <c r="H75" s="23"/>
      <c r="I75" s="20" t="s">
        <v>948</v>
      </c>
      <c r="J75" s="20"/>
      <c r="K75" s="21"/>
      <c r="L75" s="21"/>
      <c r="M75" s="21"/>
      <c r="N75" s="23"/>
      <c r="O75" s="21"/>
      <c r="P75" s="822">
        <v>0.366354679802956</v>
      </c>
      <c r="Q75" s="37">
        <v>2.00609881773399</v>
      </c>
      <c r="R75" s="22">
        <v>0.2</v>
      </c>
      <c r="S75" s="22">
        <f t="shared" si="11"/>
        <v>2.57245349753695</v>
      </c>
      <c r="T75" s="23"/>
      <c r="U75" s="23"/>
      <c r="V75" s="23"/>
      <c r="W75" s="1190" t="s">
        <v>1406</v>
      </c>
    </row>
    <row r="76" s="997" customFormat="1" ht="15" hidden="1" customHeight="1" spans="1:23">
      <c r="A76" s="1189"/>
      <c r="B76" s="23" t="s">
        <v>4854</v>
      </c>
      <c r="C76" s="23"/>
      <c r="D76" s="23"/>
      <c r="E76" s="23"/>
      <c r="F76" s="23"/>
      <c r="G76" s="1605">
        <v>7.01</v>
      </c>
      <c r="H76" s="23"/>
      <c r="I76" s="20" t="s">
        <v>1629</v>
      </c>
      <c r="J76" s="23" t="s">
        <v>1933</v>
      </c>
      <c r="K76" s="21" t="s">
        <v>5080</v>
      </c>
      <c r="L76" s="21" t="s">
        <v>4174</v>
      </c>
      <c r="M76" s="21" t="s">
        <v>1428</v>
      </c>
      <c r="N76" s="21">
        <v>85</v>
      </c>
      <c r="O76" s="21" t="s">
        <v>1428</v>
      </c>
      <c r="P76" s="822">
        <v>7.31546802941543</v>
      </c>
      <c r="Q76" s="37">
        <v>34.40355195</v>
      </c>
      <c r="R76" s="37">
        <v>4.01629370629371</v>
      </c>
      <c r="S76" s="22">
        <f t="shared" si="11"/>
        <v>130.735313685709</v>
      </c>
      <c r="T76" s="20" t="s">
        <v>4250</v>
      </c>
      <c r="U76" s="20"/>
      <c r="V76" s="20" t="s">
        <v>4857</v>
      </c>
      <c r="W76" s="1190" t="s">
        <v>1406</v>
      </c>
    </row>
    <row r="77" s="997" customFormat="1" ht="15" hidden="1" customHeight="1" spans="1:23">
      <c r="A77" s="1189"/>
      <c r="B77" s="23"/>
      <c r="C77" s="23"/>
      <c r="D77" s="23"/>
      <c r="E77" s="23"/>
      <c r="F77" s="23"/>
      <c r="G77" s="1605">
        <v>7.01</v>
      </c>
      <c r="H77" s="23"/>
      <c r="I77" s="20" t="s">
        <v>1617</v>
      </c>
      <c r="J77" s="23" t="s">
        <v>1933</v>
      </c>
      <c r="K77" s="21" t="s">
        <v>5080</v>
      </c>
      <c r="L77" s="21" t="s">
        <v>4174</v>
      </c>
      <c r="M77" s="21" t="s">
        <v>1428</v>
      </c>
      <c r="N77" s="21">
        <v>85</v>
      </c>
      <c r="O77" s="21" t="s">
        <v>1428</v>
      </c>
      <c r="P77" s="822">
        <v>7.31546802941543</v>
      </c>
      <c r="Q77" s="37">
        <v>37.0570915651964</v>
      </c>
      <c r="R77" s="37">
        <v>4.01629370629371</v>
      </c>
      <c r="S77" s="22">
        <f t="shared" si="11"/>
        <v>133.388853300906</v>
      </c>
      <c r="T77" s="20" t="s">
        <v>4250</v>
      </c>
      <c r="U77" s="20"/>
      <c r="V77" s="20" t="s">
        <v>5081</v>
      </c>
      <c r="W77" s="1190" t="s">
        <v>1406</v>
      </c>
    </row>
    <row r="78" s="996" customFormat="1" ht="15" hidden="1" spans="1:23">
      <c r="A78" s="1189"/>
      <c r="B78" s="23"/>
      <c r="C78" s="23"/>
      <c r="D78" s="23"/>
      <c r="E78" s="23"/>
      <c r="F78" s="23"/>
      <c r="G78" s="1605">
        <v>7.01</v>
      </c>
      <c r="H78" s="23"/>
      <c r="I78" s="20" t="s">
        <v>1645</v>
      </c>
      <c r="J78" s="23" t="s">
        <v>1933</v>
      </c>
      <c r="K78" s="21" t="s">
        <v>4856</v>
      </c>
      <c r="L78" s="21" t="s">
        <v>4174</v>
      </c>
      <c r="M78" s="21" t="s">
        <v>1428</v>
      </c>
      <c r="N78" s="21">
        <v>70</v>
      </c>
      <c r="O78" s="21" t="s">
        <v>1428</v>
      </c>
      <c r="P78" s="822">
        <v>7.31546802941543</v>
      </c>
      <c r="Q78" s="37">
        <v>34.4539527</v>
      </c>
      <c r="R78" s="37">
        <v>4.01629370629371</v>
      </c>
      <c r="S78" s="22">
        <f t="shared" si="11"/>
        <v>115.785714435709</v>
      </c>
      <c r="T78" s="20" t="s">
        <v>4250</v>
      </c>
      <c r="U78" s="20"/>
      <c r="V78" s="20" t="s">
        <v>4857</v>
      </c>
      <c r="W78" s="1190" t="s">
        <v>1406</v>
      </c>
    </row>
    <row r="79" s="996" customFormat="1" ht="15" hidden="1" spans="1:23">
      <c r="A79" s="1189"/>
      <c r="B79" s="23"/>
      <c r="C79" s="23"/>
      <c r="D79" s="23"/>
      <c r="E79" s="23"/>
      <c r="F79" s="23"/>
      <c r="G79" s="1605">
        <v>7.01</v>
      </c>
      <c r="H79" s="23"/>
      <c r="I79" s="20" t="s">
        <v>1604</v>
      </c>
      <c r="J79" s="23" t="s">
        <v>1933</v>
      </c>
      <c r="K79" s="21" t="s">
        <v>5080</v>
      </c>
      <c r="L79" s="21" t="s">
        <v>4174</v>
      </c>
      <c r="M79" s="21" t="s">
        <v>1428</v>
      </c>
      <c r="N79" s="21">
        <v>12.5</v>
      </c>
      <c r="O79" s="21" t="s">
        <v>1428</v>
      </c>
      <c r="P79" s="822">
        <v>7.31546802941543</v>
      </c>
      <c r="Q79" s="37">
        <v>33.4671462695466</v>
      </c>
      <c r="R79" s="37">
        <v>4.01629370629371</v>
      </c>
      <c r="S79" s="22">
        <f t="shared" si="11"/>
        <v>57.2989080052557</v>
      </c>
      <c r="T79" s="20" t="s">
        <v>4250</v>
      </c>
      <c r="U79" s="20"/>
      <c r="V79" s="20" t="s">
        <v>4857</v>
      </c>
      <c r="W79" s="1190" t="s">
        <v>1406</v>
      </c>
    </row>
    <row r="80" s="996" customFormat="1" ht="15" hidden="1" spans="1:23">
      <c r="A80" s="1189"/>
      <c r="B80" s="23"/>
      <c r="C80" s="23"/>
      <c r="D80" s="23"/>
      <c r="E80" s="23"/>
      <c r="F80" s="23"/>
      <c r="G80" s="1605">
        <v>7.01</v>
      </c>
      <c r="H80" s="23"/>
      <c r="I80" s="20" t="s">
        <v>1669</v>
      </c>
      <c r="J80" s="23" t="s">
        <v>1933</v>
      </c>
      <c r="K80" s="21" t="s">
        <v>5080</v>
      </c>
      <c r="L80" s="21" t="s">
        <v>4248</v>
      </c>
      <c r="M80" s="21" t="e">
        <f>32.2/E80/1.13</f>
        <v>#DIV/0!</v>
      </c>
      <c r="N80" s="21">
        <v>85</v>
      </c>
      <c r="O80" s="21" t="s">
        <v>1428</v>
      </c>
      <c r="P80" s="822">
        <v>7.31546802941543</v>
      </c>
      <c r="Q80" s="37">
        <v>33.6480356086902</v>
      </c>
      <c r="R80" s="37">
        <v>4.01629370629371</v>
      </c>
      <c r="S80" s="22">
        <f t="shared" si="11"/>
        <v>129.979797344399</v>
      </c>
      <c r="T80" s="20" t="s">
        <v>3984</v>
      </c>
      <c r="U80" s="20"/>
      <c r="V80" s="759" t="s">
        <v>5082</v>
      </c>
      <c r="W80" s="1190" t="s">
        <v>1406</v>
      </c>
    </row>
    <row r="81" s="996" customFormat="1" ht="15" hidden="1" spans="1:23">
      <c r="A81" s="1189"/>
      <c r="B81" s="23"/>
      <c r="C81" s="23"/>
      <c r="D81" s="23"/>
      <c r="E81" s="23"/>
      <c r="F81" s="23"/>
      <c r="G81" s="1605">
        <v>7.01</v>
      </c>
      <c r="H81" s="23"/>
      <c r="I81" s="20" t="s">
        <v>2459</v>
      </c>
      <c r="J81" s="23" t="s">
        <v>1933</v>
      </c>
      <c r="K81" s="21" t="s">
        <v>4863</v>
      </c>
      <c r="L81" s="21" t="s">
        <v>4248</v>
      </c>
      <c r="M81" s="21" t="s">
        <v>1428</v>
      </c>
      <c r="N81" s="21">
        <v>105</v>
      </c>
      <c r="O81" s="21" t="s">
        <v>1428</v>
      </c>
      <c r="P81" s="822">
        <v>7.31546802941543</v>
      </c>
      <c r="Q81" s="37">
        <v>31.9324400364903</v>
      </c>
      <c r="R81" s="37">
        <v>4.01629370629371</v>
      </c>
      <c r="S81" s="22">
        <f t="shared" si="11"/>
        <v>148.264201772199</v>
      </c>
      <c r="T81" s="20" t="s">
        <v>4349</v>
      </c>
      <c r="U81" s="20"/>
      <c r="V81" s="20" t="s">
        <v>5083</v>
      </c>
      <c r="W81" s="1190" t="s">
        <v>1406</v>
      </c>
    </row>
    <row r="82" s="996" customFormat="1" ht="15" hidden="1" spans="1:23">
      <c r="A82" s="1189"/>
      <c r="B82" s="23"/>
      <c r="C82" s="23"/>
      <c r="D82" s="23"/>
      <c r="E82" s="23"/>
      <c r="F82" s="23"/>
      <c r="G82" s="1605">
        <v>7.01</v>
      </c>
      <c r="H82" s="23"/>
      <c r="I82" s="20" t="s">
        <v>1723</v>
      </c>
      <c r="J82" s="23" t="s">
        <v>1933</v>
      </c>
      <c r="K82" s="21" t="s">
        <v>4863</v>
      </c>
      <c r="L82" s="21" t="s">
        <v>4174</v>
      </c>
      <c r="M82" s="21" t="s">
        <v>1428</v>
      </c>
      <c r="N82" s="21">
        <v>105</v>
      </c>
      <c r="O82" s="21" t="s">
        <v>1428</v>
      </c>
      <c r="P82" s="822">
        <v>7.31546802941543</v>
      </c>
      <c r="Q82" s="37">
        <v>30.3737029917862</v>
      </c>
      <c r="R82" s="37">
        <v>4.01629370629371</v>
      </c>
      <c r="S82" s="22">
        <f t="shared" si="11"/>
        <v>146.705464727495</v>
      </c>
      <c r="T82" s="20" t="s">
        <v>5084</v>
      </c>
      <c r="U82" s="20"/>
      <c r="V82" s="20" t="s">
        <v>5083</v>
      </c>
      <c r="W82" s="1190"/>
    </row>
    <row r="83" s="996" customFormat="1" ht="14.4" hidden="1" spans="1:23">
      <c r="A83" s="1189"/>
      <c r="B83" s="23"/>
      <c r="C83" s="23"/>
      <c r="D83" s="23"/>
      <c r="E83" s="23">
        <v>20241128</v>
      </c>
      <c r="F83" s="23">
        <v>7.25</v>
      </c>
      <c r="G83" s="1605">
        <v>7.01</v>
      </c>
      <c r="H83" s="23" t="s">
        <v>4858</v>
      </c>
      <c r="I83" s="840" t="s">
        <v>4859</v>
      </c>
      <c r="J83" s="840"/>
      <c r="K83" s="840"/>
      <c r="L83" s="840"/>
      <c r="M83" s="840"/>
      <c r="N83" s="840"/>
      <c r="O83" s="840"/>
      <c r="P83" s="822">
        <v>0.429356118400976</v>
      </c>
      <c r="Q83" s="37">
        <v>1.50146784491147</v>
      </c>
      <c r="R83" s="37">
        <v>0.2</v>
      </c>
      <c r="S83" s="22">
        <f t="shared" si="11"/>
        <v>2.13082396331245</v>
      </c>
      <c r="T83" s="1623"/>
      <c r="U83" s="1623"/>
      <c r="V83" s="1623" t="s">
        <v>4860</v>
      </c>
      <c r="W83" s="1190" t="s">
        <v>1406</v>
      </c>
    </row>
    <row r="84" s="996" customFormat="1" hidden="1" spans="1:23">
      <c r="A84" s="1189"/>
      <c r="B84" s="23" t="s">
        <v>5085</v>
      </c>
      <c r="C84" s="23"/>
      <c r="D84" s="23"/>
      <c r="E84" s="23"/>
      <c r="F84" s="23"/>
      <c r="G84" s="1605">
        <v>7.01</v>
      </c>
      <c r="H84" s="23"/>
      <c r="I84" s="20" t="s">
        <v>5086</v>
      </c>
      <c r="J84" s="23"/>
      <c r="K84" s="21"/>
      <c r="L84" s="21"/>
      <c r="M84" s="21"/>
      <c r="N84" s="21"/>
      <c r="O84" s="21"/>
      <c r="P84" s="822">
        <v>0.622566371681416</v>
      </c>
      <c r="Q84" s="37">
        <v>3.65961891268581</v>
      </c>
      <c r="R84" s="22">
        <v>0.2</v>
      </c>
      <c r="S84" s="22">
        <f t="shared" si="11"/>
        <v>4.48218528436723</v>
      </c>
      <c r="T84" s="20"/>
      <c r="U84" s="20"/>
      <c r="V84" s="20"/>
      <c r="W84" s="1190" t="s">
        <v>1406</v>
      </c>
    </row>
    <row r="85" s="996" customFormat="1" ht="15" hidden="1" spans="1:23">
      <c r="A85" s="1189"/>
      <c r="B85" s="23" t="s">
        <v>4861</v>
      </c>
      <c r="C85" s="23"/>
      <c r="D85" s="23"/>
      <c r="E85" s="23"/>
      <c r="F85" s="23"/>
      <c r="G85" s="1605">
        <v>7.01</v>
      </c>
      <c r="H85" s="23"/>
      <c r="I85" s="20" t="s">
        <v>1565</v>
      </c>
      <c r="J85" s="23" t="s">
        <v>1933</v>
      </c>
      <c r="K85" s="21" t="s">
        <v>5087</v>
      </c>
      <c r="L85" s="21" t="s">
        <v>1913</v>
      </c>
      <c r="M85" s="21" t="s">
        <v>1428</v>
      </c>
      <c r="N85" s="21">
        <v>75</v>
      </c>
      <c r="O85" s="21" t="s">
        <v>1428</v>
      </c>
      <c r="P85" s="822">
        <v>4.5537757297218</v>
      </c>
      <c r="Q85" s="37">
        <v>34.5207916742698</v>
      </c>
      <c r="R85" s="37">
        <v>4.06099088970708</v>
      </c>
      <c r="S85" s="22">
        <f t="shared" si="11"/>
        <v>118.135558293699</v>
      </c>
      <c r="T85" s="20" t="s">
        <v>2854</v>
      </c>
      <c r="U85" s="20"/>
      <c r="V85" s="20" t="s">
        <v>5088</v>
      </c>
      <c r="W85" s="1190" t="s">
        <v>1406</v>
      </c>
    </row>
    <row r="86" s="996" customFormat="1" ht="15" hidden="1" spans="1:23">
      <c r="A86" s="1189"/>
      <c r="B86" s="23"/>
      <c r="C86" s="23"/>
      <c r="D86" s="23"/>
      <c r="E86" s="23"/>
      <c r="F86" s="23"/>
      <c r="G86" s="1605">
        <v>7.01</v>
      </c>
      <c r="H86" s="23"/>
      <c r="I86" s="20" t="s">
        <v>1617</v>
      </c>
      <c r="J86" s="23" t="s">
        <v>1933</v>
      </c>
      <c r="K86" s="21" t="s">
        <v>5089</v>
      </c>
      <c r="L86" s="21" t="s">
        <v>1913</v>
      </c>
      <c r="M86" s="21" t="s">
        <v>1428</v>
      </c>
      <c r="N86" s="21">
        <v>130</v>
      </c>
      <c r="O86" s="21" t="s">
        <v>1428</v>
      </c>
      <c r="P86" s="822">
        <v>4.5537757297218</v>
      </c>
      <c r="Q86" s="37">
        <v>37.5851622453013</v>
      </c>
      <c r="R86" s="37">
        <v>4.06099088970708</v>
      </c>
      <c r="S86" s="22">
        <f t="shared" si="11"/>
        <v>176.19992886473</v>
      </c>
      <c r="T86" s="20" t="s">
        <v>2854</v>
      </c>
      <c r="U86" s="20"/>
      <c r="V86" s="20" t="s">
        <v>5090</v>
      </c>
      <c r="W86" s="1190" t="s">
        <v>1406</v>
      </c>
    </row>
    <row r="87" s="996" customFormat="1" ht="15" hidden="1" spans="1:23">
      <c r="A87" s="1189"/>
      <c r="B87" s="23"/>
      <c r="C87" s="23"/>
      <c r="D87" s="23"/>
      <c r="E87" s="23">
        <v>20240228</v>
      </c>
      <c r="F87" s="23">
        <v>7.2</v>
      </c>
      <c r="G87" s="1605">
        <v>7.01</v>
      </c>
      <c r="H87" s="23" t="s">
        <v>5091</v>
      </c>
      <c r="I87" s="20" t="s">
        <v>1629</v>
      </c>
      <c r="J87" s="23" t="s">
        <v>1933</v>
      </c>
      <c r="K87" s="21" t="s">
        <v>5089</v>
      </c>
      <c r="L87" s="21" t="s">
        <v>1913</v>
      </c>
      <c r="M87" s="21" t="s">
        <v>1428</v>
      </c>
      <c r="N87" s="21">
        <v>130</v>
      </c>
      <c r="O87" s="21" t="s">
        <v>1428</v>
      </c>
      <c r="P87" s="822">
        <v>4.5537757297218</v>
      </c>
      <c r="Q87" s="37">
        <v>37.7591761976092</v>
      </c>
      <c r="R87" s="37">
        <v>4.06099088970708</v>
      </c>
      <c r="S87" s="22">
        <f t="shared" si="11"/>
        <v>176.373942817038</v>
      </c>
      <c r="T87" s="20" t="s">
        <v>2854</v>
      </c>
      <c r="U87" s="20"/>
      <c r="V87" s="20" t="s">
        <v>5090</v>
      </c>
      <c r="W87" s="1190" t="s">
        <v>1406</v>
      </c>
    </row>
    <row r="88" s="996" customFormat="1" ht="15" hidden="1" spans="1:23">
      <c r="A88" s="1189"/>
      <c r="B88" s="23"/>
      <c r="C88" s="23"/>
      <c r="D88" s="23"/>
      <c r="E88" s="23">
        <v>20240228</v>
      </c>
      <c r="F88" s="23">
        <v>7.2</v>
      </c>
      <c r="G88" s="1605">
        <v>7.01</v>
      </c>
      <c r="H88" s="23" t="s">
        <v>5092</v>
      </c>
      <c r="I88" s="20" t="s">
        <v>1645</v>
      </c>
      <c r="J88" s="23" t="s">
        <v>1933</v>
      </c>
      <c r="K88" s="21" t="s">
        <v>4856</v>
      </c>
      <c r="L88" s="21" t="s">
        <v>1913</v>
      </c>
      <c r="M88" s="21" t="s">
        <v>1428</v>
      </c>
      <c r="N88" s="21">
        <v>70</v>
      </c>
      <c r="O88" s="21" t="s">
        <v>1428</v>
      </c>
      <c r="P88" s="822">
        <v>4.5537757297218</v>
      </c>
      <c r="Q88" s="37">
        <v>38.0965134620794</v>
      </c>
      <c r="R88" s="37">
        <v>4.06099088970708</v>
      </c>
      <c r="S88" s="22">
        <f t="shared" si="11"/>
        <v>116.711280081508</v>
      </c>
      <c r="T88" s="20" t="s">
        <v>2854</v>
      </c>
      <c r="U88" s="20"/>
      <c r="V88" s="20" t="s">
        <v>5090</v>
      </c>
      <c r="W88" s="1190" t="s">
        <v>1406</v>
      </c>
    </row>
    <row r="89" s="996" customFormat="1" ht="15" hidden="1" spans="1:23">
      <c r="A89" s="1189"/>
      <c r="B89" s="23"/>
      <c r="C89" s="23"/>
      <c r="D89" s="23"/>
      <c r="E89" s="23">
        <v>20240228</v>
      </c>
      <c r="F89" s="23">
        <v>7.2</v>
      </c>
      <c r="G89" s="1605">
        <v>7.01</v>
      </c>
      <c r="H89" s="23" t="s">
        <v>4862</v>
      </c>
      <c r="I89" s="20" t="s">
        <v>1604</v>
      </c>
      <c r="J89" s="23" t="s">
        <v>1933</v>
      </c>
      <c r="K89" s="21" t="s">
        <v>4863</v>
      </c>
      <c r="L89" s="21" t="s">
        <v>1913</v>
      </c>
      <c r="M89" s="21" t="s">
        <v>1428</v>
      </c>
      <c r="N89" s="21">
        <v>105</v>
      </c>
      <c r="O89" s="21" t="s">
        <v>1428</v>
      </c>
      <c r="P89" s="822">
        <v>4.5537757297218</v>
      </c>
      <c r="Q89" s="37">
        <v>39.3618906888782</v>
      </c>
      <c r="R89" s="37">
        <v>4.06099088970708</v>
      </c>
      <c r="S89" s="22">
        <f t="shared" si="11"/>
        <v>152.976657308307</v>
      </c>
      <c r="T89" s="20" t="s">
        <v>2854</v>
      </c>
      <c r="U89" s="20"/>
      <c r="V89" s="20" t="s">
        <v>5090</v>
      </c>
      <c r="W89" s="1190" t="s">
        <v>1406</v>
      </c>
    </row>
    <row r="90" s="996" customFormat="1" ht="15" hidden="1" spans="1:23">
      <c r="A90" s="1189"/>
      <c r="B90" s="23"/>
      <c r="C90" s="23"/>
      <c r="D90" s="23"/>
      <c r="E90" s="23">
        <v>20240522</v>
      </c>
      <c r="F90" s="23">
        <v>7.24</v>
      </c>
      <c r="G90" s="1605">
        <v>7.01</v>
      </c>
      <c r="H90" s="23" t="s">
        <v>5093</v>
      </c>
      <c r="I90" s="20" t="s">
        <v>1685</v>
      </c>
      <c r="J90" s="23" t="s">
        <v>1933</v>
      </c>
      <c r="K90" s="21" t="s">
        <v>5089</v>
      </c>
      <c r="L90" s="21" t="s">
        <v>1913</v>
      </c>
      <c r="M90" s="21" t="s">
        <v>1428</v>
      </c>
      <c r="N90" s="21">
        <v>130</v>
      </c>
      <c r="O90" s="21" t="s">
        <v>1428</v>
      </c>
      <c r="P90" s="822">
        <v>4.5537757297218</v>
      </c>
      <c r="Q90" s="37">
        <v>33.4083767762497</v>
      </c>
      <c r="R90" s="37">
        <v>4.06099088970708</v>
      </c>
      <c r="S90" s="22">
        <f t="shared" si="11"/>
        <v>172.023143395679</v>
      </c>
      <c r="T90" s="20" t="s">
        <v>2854</v>
      </c>
      <c r="U90" s="20"/>
      <c r="V90" s="20" t="s">
        <v>5090</v>
      </c>
      <c r="W90" s="1190"/>
    </row>
    <row r="91" s="996" customFormat="1" ht="15" hidden="1" spans="1:23">
      <c r="A91" s="1189"/>
      <c r="B91" s="23"/>
      <c r="C91" s="23"/>
      <c r="D91" s="23"/>
      <c r="E91" s="23">
        <v>20240522</v>
      </c>
      <c r="F91" s="23">
        <v>7.24</v>
      </c>
      <c r="G91" s="1605">
        <v>7.01</v>
      </c>
      <c r="H91" s="23" t="s">
        <v>5094</v>
      </c>
      <c r="I91" s="20" t="s">
        <v>1669</v>
      </c>
      <c r="J91" s="23" t="s">
        <v>1933</v>
      </c>
      <c r="K91" s="21" t="s">
        <v>5095</v>
      </c>
      <c r="L91" s="21" t="s">
        <v>1913</v>
      </c>
      <c r="M91" s="21" t="s">
        <v>1428</v>
      </c>
      <c r="N91" s="21">
        <v>70</v>
      </c>
      <c r="O91" s="21" t="s">
        <v>1428</v>
      </c>
      <c r="P91" s="822">
        <v>4.5537757297218</v>
      </c>
      <c r="Q91" s="37">
        <v>34.0232124269484</v>
      </c>
      <c r="R91" s="37">
        <v>4.06099088970708</v>
      </c>
      <c r="S91" s="22">
        <f t="shared" si="11"/>
        <v>112.637979046377</v>
      </c>
      <c r="T91" s="20" t="s">
        <v>2854</v>
      </c>
      <c r="U91" s="20"/>
      <c r="V91" s="20" t="s">
        <v>5090</v>
      </c>
      <c r="W91" s="1190"/>
    </row>
    <row r="92" s="996" customFormat="1" ht="15" hidden="1" spans="1:23">
      <c r="A92" s="1189"/>
      <c r="B92" s="23" t="s">
        <v>4866</v>
      </c>
      <c r="C92" s="23"/>
      <c r="D92" s="23"/>
      <c r="E92" s="23"/>
      <c r="F92" s="23"/>
      <c r="G92" s="1605">
        <v>7.01</v>
      </c>
      <c r="H92" s="23"/>
      <c r="I92" s="20" t="s">
        <v>1565</v>
      </c>
      <c r="J92" s="23" t="s">
        <v>1933</v>
      </c>
      <c r="K92" s="21" t="s">
        <v>4869</v>
      </c>
      <c r="L92" s="21" t="s">
        <v>1913</v>
      </c>
      <c r="M92" s="21" t="s">
        <v>3939</v>
      </c>
      <c r="N92" s="21">
        <v>65</v>
      </c>
      <c r="O92" s="689">
        <v>3</v>
      </c>
      <c r="P92" s="822">
        <v>4.57042772861357</v>
      </c>
      <c r="Q92" s="37">
        <v>18.7367063720462</v>
      </c>
      <c r="R92" s="37">
        <v>3.22865080313333</v>
      </c>
      <c r="S92" s="22">
        <f t="shared" si="11"/>
        <v>94.5357849037931</v>
      </c>
      <c r="T92" s="20" t="s">
        <v>2854</v>
      </c>
      <c r="U92" s="20"/>
      <c r="V92" s="20" t="s">
        <v>5096</v>
      </c>
      <c r="W92" s="1190" t="s">
        <v>1406</v>
      </c>
    </row>
    <row r="93" s="996" customFormat="1" ht="15" hidden="1" spans="1:23">
      <c r="A93" s="1189"/>
      <c r="B93" s="23"/>
      <c r="C93" s="23"/>
      <c r="D93" s="23"/>
      <c r="E93" s="23"/>
      <c r="F93" s="23"/>
      <c r="G93" s="1605">
        <v>7.01</v>
      </c>
      <c r="H93" s="23"/>
      <c r="I93" s="20" t="s">
        <v>1617</v>
      </c>
      <c r="J93" s="23" t="s">
        <v>1933</v>
      </c>
      <c r="K93" s="21" t="s">
        <v>4877</v>
      </c>
      <c r="L93" s="21" t="s">
        <v>1913</v>
      </c>
      <c r="M93" s="21" t="s">
        <v>3939</v>
      </c>
      <c r="N93" s="21">
        <v>67</v>
      </c>
      <c r="O93" s="689">
        <v>3</v>
      </c>
      <c r="P93" s="822">
        <v>4.57042772861357</v>
      </c>
      <c r="Q93" s="37">
        <v>18.7629745664953</v>
      </c>
      <c r="R93" s="37">
        <v>3.22865080313333</v>
      </c>
      <c r="S93" s="22">
        <f t="shared" si="11"/>
        <v>96.5620530982422</v>
      </c>
      <c r="T93" s="20" t="s">
        <v>2854</v>
      </c>
      <c r="U93" s="20"/>
      <c r="V93" s="20" t="s">
        <v>5096</v>
      </c>
      <c r="W93" s="1190" t="s">
        <v>1406</v>
      </c>
    </row>
    <row r="94" s="996" customFormat="1" ht="15" hidden="1" spans="1:23">
      <c r="A94" s="1189"/>
      <c r="B94" s="23"/>
      <c r="C94" s="23"/>
      <c r="D94" s="23"/>
      <c r="E94" s="23">
        <v>20240401</v>
      </c>
      <c r="F94" s="23">
        <v>7.23</v>
      </c>
      <c r="G94" s="1605">
        <v>7.01</v>
      </c>
      <c r="H94" s="23" t="s">
        <v>5097</v>
      </c>
      <c r="I94" s="20" t="s">
        <v>1645</v>
      </c>
      <c r="J94" s="23" t="s">
        <v>1933</v>
      </c>
      <c r="K94" s="21" t="s">
        <v>4877</v>
      </c>
      <c r="L94" s="21" t="s">
        <v>1913</v>
      </c>
      <c r="M94" s="21" t="s">
        <v>3939</v>
      </c>
      <c r="N94" s="21">
        <v>67</v>
      </c>
      <c r="O94" s="689">
        <v>3</v>
      </c>
      <c r="P94" s="822">
        <v>4.57042772861357</v>
      </c>
      <c r="Q94" s="37">
        <v>15.9344975954967</v>
      </c>
      <c r="R94" s="37">
        <v>3.22865080313333</v>
      </c>
      <c r="S94" s="22">
        <f t="shared" si="11"/>
        <v>93.7335761272436</v>
      </c>
      <c r="T94" s="20" t="s">
        <v>2854</v>
      </c>
      <c r="U94" s="20"/>
      <c r="V94" s="20" t="s">
        <v>5098</v>
      </c>
      <c r="W94" s="1190" t="s">
        <v>1406</v>
      </c>
    </row>
    <row r="95" s="996" customFormat="1" ht="15" hidden="1" spans="1:23">
      <c r="A95" s="1189"/>
      <c r="B95" s="23"/>
      <c r="C95" s="23"/>
      <c r="D95" s="23"/>
      <c r="E95" s="23">
        <v>20240110</v>
      </c>
      <c r="F95" s="23">
        <v>7.15</v>
      </c>
      <c r="G95" s="1605">
        <v>7.01</v>
      </c>
      <c r="H95" s="23" t="s">
        <v>5099</v>
      </c>
      <c r="I95" s="20" t="s">
        <v>1581</v>
      </c>
      <c r="J95" s="23" t="s">
        <v>1933</v>
      </c>
      <c r="K95" s="21" t="s">
        <v>4869</v>
      </c>
      <c r="L95" s="21" t="s">
        <v>1913</v>
      </c>
      <c r="M95" s="21" t="s">
        <v>3939</v>
      </c>
      <c r="N95" s="21">
        <v>65</v>
      </c>
      <c r="O95" s="689">
        <v>3</v>
      </c>
      <c r="P95" s="822">
        <v>4.57042772861357</v>
      </c>
      <c r="Q95" s="37">
        <v>17.1435180050937</v>
      </c>
      <c r="R95" s="37">
        <v>3.22865080313333</v>
      </c>
      <c r="S95" s="22">
        <f t="shared" si="11"/>
        <v>92.9425965368406</v>
      </c>
      <c r="T95" s="20" t="s">
        <v>2854</v>
      </c>
      <c r="U95" s="20"/>
      <c r="V95" s="20" t="s">
        <v>5098</v>
      </c>
      <c r="W95" s="1190" t="s">
        <v>1406</v>
      </c>
    </row>
    <row r="96" s="996" customFormat="1" ht="15" hidden="1" spans="1:23">
      <c r="A96" s="1189"/>
      <c r="B96" s="23"/>
      <c r="C96" s="23"/>
      <c r="D96" s="23"/>
      <c r="E96" s="23"/>
      <c r="F96" s="23"/>
      <c r="G96" s="1605">
        <v>7.01</v>
      </c>
      <c r="H96" s="23"/>
      <c r="I96" s="20" t="s">
        <v>2427</v>
      </c>
      <c r="J96" s="23" t="s">
        <v>1933</v>
      </c>
      <c r="K96" s="21" t="s">
        <v>5100</v>
      </c>
      <c r="L96" s="21" t="s">
        <v>1913</v>
      </c>
      <c r="M96" s="21" t="s">
        <v>1428</v>
      </c>
      <c r="N96" s="21">
        <v>80</v>
      </c>
      <c r="O96" s="21" t="s">
        <v>1428</v>
      </c>
      <c r="P96" s="822" t="e">
        <f>55.2/F96/1.13</f>
        <v>#DIV/0!</v>
      </c>
      <c r="Q96" s="37">
        <v>16.6879359890841</v>
      </c>
      <c r="R96" s="37">
        <v>3.22865080313333</v>
      </c>
      <c r="S96" s="22" t="e">
        <f t="shared" si="11"/>
        <v>#DIV/0!</v>
      </c>
      <c r="T96" s="20" t="s">
        <v>2854</v>
      </c>
      <c r="U96" s="20"/>
      <c r="V96" s="20" t="s">
        <v>5098</v>
      </c>
      <c r="W96" s="1190" t="s">
        <v>1406</v>
      </c>
    </row>
    <row r="97" s="996" customFormat="1" hidden="1" spans="1:23">
      <c r="A97" s="930"/>
      <c r="B97" s="23"/>
      <c r="C97" s="23"/>
      <c r="D97" s="23"/>
      <c r="E97" s="23"/>
      <c r="F97" s="23"/>
      <c r="G97" s="1605">
        <v>7.01</v>
      </c>
      <c r="H97" s="23"/>
      <c r="I97" s="20"/>
      <c r="J97" s="23"/>
      <c r="K97" s="21"/>
      <c r="L97" s="21"/>
      <c r="M97" s="21"/>
      <c r="N97" s="21"/>
      <c r="O97" s="21"/>
      <c r="P97" s="822" t="e">
        <f>55.2/F97/1.13</f>
        <v>#DIV/0!</v>
      </c>
      <c r="Q97" s="37">
        <v>0</v>
      </c>
      <c r="R97" s="37"/>
      <c r="S97" s="22"/>
      <c r="T97" s="20"/>
      <c r="U97" s="20"/>
      <c r="V97" s="20"/>
      <c r="W97" s="1190"/>
    </row>
    <row r="98" s="996" customFormat="1" hidden="1" spans="1:23">
      <c r="A98" s="930"/>
      <c r="B98" s="23"/>
      <c r="C98" s="23"/>
      <c r="D98" s="23"/>
      <c r="E98" s="23"/>
      <c r="F98" s="23"/>
      <c r="G98" s="1605"/>
      <c r="H98" s="23" t="s">
        <v>5101</v>
      </c>
      <c r="I98" s="20"/>
      <c r="J98" s="23"/>
      <c r="K98" s="21"/>
      <c r="L98" s="21"/>
      <c r="M98" s="21"/>
      <c r="N98" s="21"/>
      <c r="O98" s="21"/>
      <c r="P98" s="822">
        <f>P99*2</f>
        <v>9.14085545722714</v>
      </c>
      <c r="Q98" s="37">
        <v>18.7</v>
      </c>
      <c r="R98" s="37"/>
      <c r="S98" s="22"/>
      <c r="T98" s="20"/>
      <c r="U98" s="20"/>
      <c r="V98" s="20"/>
      <c r="W98" s="1190"/>
    </row>
    <row r="99" s="996" customFormat="1" ht="15" hidden="1" spans="1:23">
      <c r="A99" s="1189"/>
      <c r="B99" s="23"/>
      <c r="C99" s="23"/>
      <c r="D99" s="23"/>
      <c r="E99" s="23">
        <v>20240412</v>
      </c>
      <c r="F99" s="23">
        <v>7.23</v>
      </c>
      <c r="G99" s="1605">
        <v>7.01</v>
      </c>
      <c r="H99" s="23" t="s">
        <v>5102</v>
      </c>
      <c r="I99" s="20" t="s">
        <v>1591</v>
      </c>
      <c r="J99" s="23" t="s">
        <v>1933</v>
      </c>
      <c r="K99" s="21" t="s">
        <v>4869</v>
      </c>
      <c r="L99" s="21" t="s">
        <v>1913</v>
      </c>
      <c r="M99" s="21" t="s">
        <v>1428</v>
      </c>
      <c r="N99" s="21">
        <v>65</v>
      </c>
      <c r="O99" s="21" t="s">
        <v>1428</v>
      </c>
      <c r="P99" s="822">
        <v>4.57042772861357</v>
      </c>
      <c r="Q99" s="37">
        <v>15.512466864662</v>
      </c>
      <c r="R99" s="37">
        <v>3.22865080313333</v>
      </c>
      <c r="S99" s="22">
        <f t="shared" ref="S99:S140" si="12">SUM(N99:R99)</f>
        <v>88.3115453964089</v>
      </c>
      <c r="T99" s="20" t="s">
        <v>2854</v>
      </c>
      <c r="U99" s="20"/>
      <c r="V99" s="20" t="s">
        <v>5103</v>
      </c>
      <c r="W99" s="1190" t="s">
        <v>1406</v>
      </c>
    </row>
    <row r="100" s="996" customFormat="1" ht="15" hidden="1" spans="1:23">
      <c r="A100" s="1189"/>
      <c r="B100" s="23"/>
      <c r="C100" s="23"/>
      <c r="D100" s="23"/>
      <c r="E100" s="23">
        <v>20240520</v>
      </c>
      <c r="F100" s="23">
        <v>7.24</v>
      </c>
      <c r="G100" s="1605">
        <v>7.01</v>
      </c>
      <c r="H100" s="23" t="s">
        <v>5104</v>
      </c>
      <c r="I100" s="20" t="s">
        <v>2383</v>
      </c>
      <c r="J100" s="23" t="s">
        <v>1933</v>
      </c>
      <c r="K100" s="21" t="s">
        <v>4877</v>
      </c>
      <c r="L100" s="21" t="s">
        <v>1913</v>
      </c>
      <c r="M100" s="21" t="s">
        <v>3939</v>
      </c>
      <c r="N100" s="21">
        <v>67</v>
      </c>
      <c r="O100" s="689">
        <v>3</v>
      </c>
      <c r="P100" s="822">
        <v>4.57042772861357</v>
      </c>
      <c r="Q100" s="37">
        <v>16.8057734472988</v>
      </c>
      <c r="R100" s="37">
        <v>3.22865080313333</v>
      </c>
      <c r="S100" s="22">
        <f t="shared" si="12"/>
        <v>94.6048519790457</v>
      </c>
      <c r="T100" s="20" t="s">
        <v>2854</v>
      </c>
      <c r="U100" s="20"/>
      <c r="V100" s="20" t="s">
        <v>5098</v>
      </c>
      <c r="W100" s="1190"/>
    </row>
    <row r="101" s="996" customFormat="1" ht="15" hidden="1" spans="1:23">
      <c r="A101" s="1189"/>
      <c r="B101" s="23"/>
      <c r="C101" s="23"/>
      <c r="D101" s="23"/>
      <c r="E101" s="23">
        <v>20240520</v>
      </c>
      <c r="F101" s="23">
        <v>7.24</v>
      </c>
      <c r="G101" s="1605">
        <v>7.01</v>
      </c>
      <c r="H101" s="23" t="s">
        <v>5105</v>
      </c>
      <c r="I101" s="20" t="s">
        <v>2320</v>
      </c>
      <c r="J101" s="23" t="s">
        <v>1933</v>
      </c>
      <c r="K101" s="21" t="s">
        <v>4877</v>
      </c>
      <c r="L101" s="21" t="s">
        <v>1913</v>
      </c>
      <c r="M101" s="21" t="s">
        <v>3939</v>
      </c>
      <c r="N101" s="21">
        <v>67</v>
      </c>
      <c r="O101" s="689">
        <v>3</v>
      </c>
      <c r="P101" s="822">
        <v>4.57042772861357</v>
      </c>
      <c r="Q101" s="37">
        <v>16.7635903876669</v>
      </c>
      <c r="R101" s="37">
        <v>3.22865080313333</v>
      </c>
      <c r="S101" s="22">
        <f t="shared" si="12"/>
        <v>94.5626689194138</v>
      </c>
      <c r="T101" s="759" t="s">
        <v>1526</v>
      </c>
      <c r="U101" s="759"/>
      <c r="V101" s="20" t="s">
        <v>5098</v>
      </c>
      <c r="W101" s="1190"/>
    </row>
    <row r="102" s="996" customFormat="1" ht="15" hidden="1" spans="1:23">
      <c r="A102" s="1189"/>
      <c r="B102" s="23"/>
      <c r="C102" s="23"/>
      <c r="D102" s="23"/>
      <c r="E102" s="23">
        <v>20241121</v>
      </c>
      <c r="F102" s="23">
        <v>7.2</v>
      </c>
      <c r="G102" s="1605">
        <v>7.01</v>
      </c>
      <c r="H102" s="23" t="s">
        <v>5106</v>
      </c>
      <c r="I102" s="20" t="s">
        <v>2096</v>
      </c>
      <c r="J102" s="23" t="s">
        <v>3586</v>
      </c>
      <c r="K102" s="21" t="s">
        <v>4894</v>
      </c>
      <c r="L102" s="21" t="s">
        <v>1913</v>
      </c>
      <c r="M102" s="21" t="s">
        <v>1428</v>
      </c>
      <c r="N102" s="21">
        <v>75</v>
      </c>
      <c r="O102" s="689" t="s">
        <v>1428</v>
      </c>
      <c r="P102" s="822">
        <v>4.57042772861357</v>
      </c>
      <c r="Q102" s="37">
        <v>14.9769440166336</v>
      </c>
      <c r="R102" s="37">
        <v>3.22865080313333</v>
      </c>
      <c r="S102" s="22">
        <f t="shared" si="12"/>
        <v>97.7760225483805</v>
      </c>
      <c r="T102" s="759" t="s">
        <v>1526</v>
      </c>
      <c r="U102" s="759"/>
      <c r="V102" s="759" t="s">
        <v>5107</v>
      </c>
      <c r="W102" s="1190"/>
    </row>
    <row r="103" s="996" customFormat="1" ht="15" hidden="1" spans="1:23">
      <c r="A103" s="1189"/>
      <c r="B103" s="23"/>
      <c r="C103" s="23"/>
      <c r="D103" s="23"/>
      <c r="E103" s="23">
        <v>20241125</v>
      </c>
      <c r="F103" s="23">
        <v>7.25</v>
      </c>
      <c r="G103" s="1605">
        <v>7.01</v>
      </c>
      <c r="H103" s="23" t="s">
        <v>5108</v>
      </c>
      <c r="I103" s="20" t="s">
        <v>2395</v>
      </c>
      <c r="J103" s="23" t="s">
        <v>3586</v>
      </c>
      <c r="K103" s="21" t="s">
        <v>4894</v>
      </c>
      <c r="L103" s="21" t="s">
        <v>1913</v>
      </c>
      <c r="M103" s="21" t="s">
        <v>1428</v>
      </c>
      <c r="N103" s="21">
        <v>75</v>
      </c>
      <c r="O103" s="689" t="s">
        <v>1428</v>
      </c>
      <c r="P103" s="822">
        <v>4.57042772861357</v>
      </c>
      <c r="Q103" s="37">
        <v>14.7072231481901</v>
      </c>
      <c r="R103" s="37">
        <v>3.22865080313333</v>
      </c>
      <c r="S103" s="22">
        <f t="shared" si="12"/>
        <v>97.506301679937</v>
      </c>
      <c r="T103" s="759" t="s">
        <v>1526</v>
      </c>
      <c r="U103" s="759"/>
      <c r="V103" s="759" t="s">
        <v>5109</v>
      </c>
      <c r="W103" s="1190"/>
    </row>
    <row r="104" s="996" customFormat="1" ht="15" hidden="1" spans="1:23">
      <c r="A104" s="1189"/>
      <c r="B104" s="23"/>
      <c r="C104" s="23"/>
      <c r="D104" s="23"/>
      <c r="E104" s="23">
        <v>20250121</v>
      </c>
      <c r="F104" s="23">
        <v>7.3</v>
      </c>
      <c r="G104" s="1605">
        <v>7.01</v>
      </c>
      <c r="H104" s="23" t="s">
        <v>5110</v>
      </c>
      <c r="I104" s="20" t="s">
        <v>1596</v>
      </c>
      <c r="J104" s="23" t="s">
        <v>5111</v>
      </c>
      <c r="K104" s="21" t="s">
        <v>5112</v>
      </c>
      <c r="L104" s="21" t="s">
        <v>1913</v>
      </c>
      <c r="M104" s="21" t="s">
        <v>1428</v>
      </c>
      <c r="N104" s="21" t="s">
        <v>1428</v>
      </c>
      <c r="O104" s="689" t="s">
        <v>1428</v>
      </c>
      <c r="P104" s="822">
        <v>4.57042772861357</v>
      </c>
      <c r="Q104" s="37">
        <v>14.3490619946383</v>
      </c>
      <c r="R104" s="37">
        <v>3.22865080313333</v>
      </c>
      <c r="S104" s="22">
        <f t="shared" si="12"/>
        <v>22.1481405263852</v>
      </c>
      <c r="T104" s="759" t="s">
        <v>1526</v>
      </c>
      <c r="U104" s="759"/>
      <c r="V104" s="759" t="s">
        <v>5113</v>
      </c>
      <c r="W104" s="1190"/>
    </row>
    <row r="105" s="996" customFormat="1" ht="15" hidden="1" spans="1:23">
      <c r="A105" s="1189"/>
      <c r="B105" s="23"/>
      <c r="C105" s="23"/>
      <c r="D105" s="23"/>
      <c r="E105" s="23">
        <v>20240828</v>
      </c>
      <c r="F105" s="23">
        <v>7.12</v>
      </c>
      <c r="G105" s="1605">
        <v>7.01</v>
      </c>
      <c r="H105" s="23" t="s">
        <v>5114</v>
      </c>
      <c r="I105" s="20" t="s">
        <v>2571</v>
      </c>
      <c r="J105" s="23" t="s">
        <v>4958</v>
      </c>
      <c r="K105" s="21" t="s">
        <v>5115</v>
      </c>
      <c r="L105" s="21" t="s">
        <v>1913</v>
      </c>
      <c r="M105" s="21" t="s">
        <v>1428</v>
      </c>
      <c r="N105" s="21" t="s">
        <v>1428</v>
      </c>
      <c r="O105" s="21" t="s">
        <v>1428</v>
      </c>
      <c r="P105" s="822">
        <v>4.57042772861357</v>
      </c>
      <c r="Q105" s="37">
        <v>15.666560974596</v>
      </c>
      <c r="R105" s="37">
        <v>3.22865080313333</v>
      </c>
      <c r="S105" s="22">
        <f t="shared" si="12"/>
        <v>23.4656395063429</v>
      </c>
      <c r="T105" s="20" t="s">
        <v>2854</v>
      </c>
      <c r="U105" s="20"/>
      <c r="V105" s="139" t="s">
        <v>5116</v>
      </c>
      <c r="W105" s="1190"/>
    </row>
    <row r="106" s="996" customFormat="1" ht="15" hidden="1" spans="1:23">
      <c r="A106" s="1189"/>
      <c r="B106" s="23"/>
      <c r="C106" s="23"/>
      <c r="D106" s="23"/>
      <c r="E106" s="23">
        <v>20240828</v>
      </c>
      <c r="F106" s="23">
        <v>7.12</v>
      </c>
      <c r="G106" s="1605">
        <v>7.01</v>
      </c>
      <c r="H106" s="23" t="s">
        <v>5117</v>
      </c>
      <c r="I106" s="20" t="s">
        <v>2575</v>
      </c>
      <c r="J106" s="23" t="s">
        <v>4958</v>
      </c>
      <c r="K106" s="21" t="s">
        <v>5112</v>
      </c>
      <c r="L106" s="21" t="s">
        <v>1913</v>
      </c>
      <c r="M106" s="21" t="s">
        <v>1428</v>
      </c>
      <c r="N106" s="21" t="s">
        <v>1428</v>
      </c>
      <c r="O106" s="21" t="s">
        <v>1428</v>
      </c>
      <c r="P106" s="822">
        <f>25.54/F106/1.13</f>
        <v>3.17440588644725</v>
      </c>
      <c r="Q106" s="37">
        <v>16.38415096292</v>
      </c>
      <c r="R106" s="37">
        <v>3.22865080313333</v>
      </c>
      <c r="S106" s="22">
        <f t="shared" si="12"/>
        <v>22.7872076525006</v>
      </c>
      <c r="T106" s="20" t="s">
        <v>2854</v>
      </c>
      <c r="U106" s="20"/>
      <c r="V106" s="139" t="s">
        <v>5118</v>
      </c>
      <c r="W106" s="1190"/>
    </row>
    <row r="107" s="996" customFormat="1" ht="15" hidden="1" spans="1:23">
      <c r="A107" s="1189"/>
      <c r="B107" s="23"/>
      <c r="C107" s="23"/>
      <c r="D107" s="23"/>
      <c r="E107" s="23">
        <v>20240919</v>
      </c>
      <c r="F107" s="23">
        <v>7.11</v>
      </c>
      <c r="G107" s="1605">
        <v>7.01</v>
      </c>
      <c r="H107" s="23" t="s">
        <v>5119</v>
      </c>
      <c r="I107" s="20" t="s">
        <v>5120</v>
      </c>
      <c r="J107" s="23" t="s">
        <v>4958</v>
      </c>
      <c r="K107" s="21" t="s">
        <v>5112</v>
      </c>
      <c r="L107" s="21" t="s">
        <v>1913</v>
      </c>
      <c r="M107" s="21" t="s">
        <v>1428</v>
      </c>
      <c r="N107" s="21" t="s">
        <v>1428</v>
      </c>
      <c r="O107" s="21" t="s">
        <v>1428</v>
      </c>
      <c r="P107" s="822">
        <v>4.57042772861357</v>
      </c>
      <c r="Q107" s="37">
        <v>15.6889381833091</v>
      </c>
      <c r="R107" s="37">
        <v>3.22865080313333</v>
      </c>
      <c r="S107" s="22">
        <f t="shared" si="12"/>
        <v>23.488016715056</v>
      </c>
      <c r="T107" s="20" t="s">
        <v>2854</v>
      </c>
      <c r="U107" s="20"/>
      <c r="V107" s="139" t="s">
        <v>5118</v>
      </c>
      <c r="W107" s="1190"/>
    </row>
    <row r="108" s="996" customFormat="1" ht="15" hidden="1" spans="1:23">
      <c r="A108" s="1189"/>
      <c r="B108" s="23"/>
      <c r="C108" s="23"/>
      <c r="D108" s="23"/>
      <c r="E108" s="23">
        <v>20240919</v>
      </c>
      <c r="F108" s="23">
        <v>6.901</v>
      </c>
      <c r="G108" s="1605">
        <v>7.01</v>
      </c>
      <c r="H108" s="23" t="s">
        <v>5121</v>
      </c>
      <c r="I108" s="20" t="s">
        <v>2325</v>
      </c>
      <c r="J108" s="23" t="s">
        <v>4958</v>
      </c>
      <c r="K108" s="21" t="s">
        <v>5112</v>
      </c>
      <c r="L108" s="21" t="s">
        <v>1913</v>
      </c>
      <c r="M108" s="21" t="s">
        <v>1428</v>
      </c>
      <c r="N108" s="21" t="s">
        <v>1428</v>
      </c>
      <c r="O108" s="21" t="s">
        <v>1428</v>
      </c>
      <c r="P108" s="822">
        <v>4.57042772861357</v>
      </c>
      <c r="Q108" s="37">
        <v>15.6827812724448</v>
      </c>
      <c r="R108" s="37" t="s">
        <v>2268</v>
      </c>
      <c r="S108" s="22" t="s">
        <v>1423</v>
      </c>
      <c r="T108" s="20" t="s">
        <v>2854</v>
      </c>
      <c r="U108" s="20"/>
      <c r="V108" s="139" t="s">
        <v>5118</v>
      </c>
      <c r="W108" s="1190"/>
    </row>
    <row r="109" s="996" customFormat="1" ht="15" hidden="1" spans="1:23">
      <c r="A109" s="1189"/>
      <c r="B109" s="23"/>
      <c r="C109" s="23"/>
      <c r="D109" s="23"/>
      <c r="E109" s="23">
        <v>20240919</v>
      </c>
      <c r="F109" s="23">
        <v>7.11</v>
      </c>
      <c r="G109" s="1605" t="s">
        <v>1424</v>
      </c>
      <c r="H109" s="23" t="s">
        <v>5122</v>
      </c>
      <c r="I109" s="20" t="s">
        <v>2403</v>
      </c>
      <c r="J109" s="23" t="s">
        <v>4958</v>
      </c>
      <c r="K109" s="21" t="s">
        <v>5112</v>
      </c>
      <c r="L109" s="21" t="s">
        <v>1913</v>
      </c>
      <c r="M109" s="21" t="s">
        <v>1428</v>
      </c>
      <c r="N109" s="21" t="s">
        <v>1428</v>
      </c>
      <c r="O109" s="21" t="s">
        <v>1428</v>
      </c>
      <c r="P109" s="822">
        <v>4.57042772861357</v>
      </c>
      <c r="Q109" s="37">
        <v>15.7215185032999</v>
      </c>
      <c r="R109" s="37">
        <v>3.22865080313333</v>
      </c>
      <c r="S109" s="22" t="s">
        <v>1425</v>
      </c>
      <c r="T109" s="20" t="s">
        <v>2854</v>
      </c>
      <c r="U109" s="20"/>
      <c r="V109" s="139" t="s">
        <v>5118</v>
      </c>
      <c r="W109" s="1190"/>
    </row>
    <row r="110" s="996" customFormat="1" ht="15" hidden="1" spans="1:23">
      <c r="A110" s="1189"/>
      <c r="B110" s="23"/>
      <c r="C110" s="23"/>
      <c r="D110" s="23"/>
      <c r="E110" s="23">
        <v>20241030</v>
      </c>
      <c r="F110" s="23">
        <v>7.11</v>
      </c>
      <c r="G110" s="1605">
        <v>7.01</v>
      </c>
      <c r="H110" s="23" t="s">
        <v>5123</v>
      </c>
      <c r="I110" s="20" t="s">
        <v>5124</v>
      </c>
      <c r="J110" s="23" t="s">
        <v>4958</v>
      </c>
      <c r="K110" s="21" t="s">
        <v>5125</v>
      </c>
      <c r="L110" s="21" t="s">
        <v>1913</v>
      </c>
      <c r="M110" s="21"/>
      <c r="N110" s="21">
        <v>100</v>
      </c>
      <c r="O110" s="21"/>
      <c r="P110" s="822">
        <v>4.57042772861357</v>
      </c>
      <c r="Q110" s="37">
        <v>15.5582531176496</v>
      </c>
      <c r="R110" s="37">
        <v>3.22865080313333</v>
      </c>
      <c r="S110" s="22">
        <f t="shared" si="12"/>
        <v>123.357331649396</v>
      </c>
      <c r="T110" s="20" t="s">
        <v>2854</v>
      </c>
      <c r="U110" s="20"/>
      <c r="V110" s="139" t="s">
        <v>5126</v>
      </c>
      <c r="W110" s="1190"/>
    </row>
    <row r="111" s="996" customFormat="1" ht="15" hidden="1" spans="1:23">
      <c r="A111" s="1189"/>
      <c r="B111" s="23"/>
      <c r="C111" s="23"/>
      <c r="D111" s="23"/>
      <c r="E111" s="23">
        <v>20241030</v>
      </c>
      <c r="F111" s="23">
        <v>7.11</v>
      </c>
      <c r="G111" s="1605">
        <v>7.01</v>
      </c>
      <c r="H111" s="23" t="s">
        <v>5127</v>
      </c>
      <c r="I111" s="20" t="s">
        <v>5128</v>
      </c>
      <c r="J111" s="23" t="s">
        <v>4958</v>
      </c>
      <c r="K111" s="21" t="s">
        <v>4894</v>
      </c>
      <c r="L111" s="21" t="s">
        <v>1913</v>
      </c>
      <c r="M111" s="21"/>
      <c r="N111" s="21">
        <v>75</v>
      </c>
      <c r="O111" s="21"/>
      <c r="P111" s="822">
        <v>4.57042772861357</v>
      </c>
      <c r="Q111" s="37">
        <v>15.5590868659957</v>
      </c>
      <c r="R111" s="37">
        <v>3.22865080313333</v>
      </c>
      <c r="S111" s="22">
        <f t="shared" si="12"/>
        <v>98.3581653977426</v>
      </c>
      <c r="T111" s="20" t="s">
        <v>2854</v>
      </c>
      <c r="U111" s="20"/>
      <c r="V111" s="139" t="s">
        <v>5126</v>
      </c>
      <c r="W111" s="1190"/>
    </row>
    <row r="112" s="996" customFormat="1" ht="15" hidden="1" spans="1:23">
      <c r="A112" s="1189"/>
      <c r="B112" s="23"/>
      <c r="C112" s="23"/>
      <c r="D112" s="23"/>
      <c r="E112" s="23">
        <v>20241122</v>
      </c>
      <c r="F112" s="23">
        <v>7.2</v>
      </c>
      <c r="G112" s="1605">
        <v>7.01</v>
      </c>
      <c r="H112" s="23" t="s">
        <v>5129</v>
      </c>
      <c r="I112" s="20" t="s">
        <v>2336</v>
      </c>
      <c r="J112" s="23" t="s">
        <v>4958</v>
      </c>
      <c r="K112" s="21" t="s">
        <v>5125</v>
      </c>
      <c r="L112" s="21" t="s">
        <v>1913</v>
      </c>
      <c r="M112" s="21"/>
      <c r="N112" s="21">
        <v>100</v>
      </c>
      <c r="O112" s="21"/>
      <c r="P112" s="822">
        <v>4.57042772861357</v>
      </c>
      <c r="Q112" s="37">
        <v>14.866181273771</v>
      </c>
      <c r="R112" s="37">
        <v>3.22865080313333</v>
      </c>
      <c r="S112" s="22">
        <f t="shared" si="12"/>
        <v>122.665259805518</v>
      </c>
      <c r="T112" s="20" t="s">
        <v>2854</v>
      </c>
      <c r="U112" s="20"/>
      <c r="V112" s="139" t="s">
        <v>5130</v>
      </c>
      <c r="W112" s="1190"/>
    </row>
    <row r="113" s="996" customFormat="1" ht="15" hidden="1" spans="1:23">
      <c r="A113" s="1189"/>
      <c r="B113" s="23"/>
      <c r="C113" s="23"/>
      <c r="D113" s="23"/>
      <c r="E113" s="23">
        <v>20241122</v>
      </c>
      <c r="F113" s="23">
        <v>7.2</v>
      </c>
      <c r="G113" s="1605">
        <v>7.01</v>
      </c>
      <c r="H113" s="23" t="s">
        <v>5131</v>
      </c>
      <c r="I113" s="20" t="s">
        <v>1771</v>
      </c>
      <c r="J113" s="23" t="s">
        <v>4958</v>
      </c>
      <c r="K113" s="21" t="s">
        <v>5125</v>
      </c>
      <c r="L113" s="21" t="s">
        <v>1913</v>
      </c>
      <c r="M113" s="21"/>
      <c r="N113" s="21">
        <v>100</v>
      </c>
      <c r="O113" s="21"/>
      <c r="P113" s="822">
        <v>4.57042772861357</v>
      </c>
      <c r="Q113" s="37">
        <v>14.8650893053447</v>
      </c>
      <c r="R113" s="37">
        <v>3.22865080313333</v>
      </c>
      <c r="S113" s="22">
        <f t="shared" si="12"/>
        <v>122.664167837092</v>
      </c>
      <c r="T113" s="20" t="s">
        <v>2854</v>
      </c>
      <c r="U113" s="20"/>
      <c r="V113" s="139" t="s">
        <v>5130</v>
      </c>
      <c r="W113" s="1190"/>
    </row>
    <row r="114" s="996" customFormat="1" ht="15" hidden="1" spans="1:23">
      <c r="A114" s="1189"/>
      <c r="B114" s="23"/>
      <c r="C114" s="23"/>
      <c r="D114" s="23"/>
      <c r="E114" s="23">
        <v>20241122</v>
      </c>
      <c r="F114" s="23">
        <v>7.2</v>
      </c>
      <c r="G114" s="1605">
        <v>7.01</v>
      </c>
      <c r="H114" s="23" t="s">
        <v>5132</v>
      </c>
      <c r="I114" s="20" t="s">
        <v>2340</v>
      </c>
      <c r="J114" s="23" t="s">
        <v>4958</v>
      </c>
      <c r="K114" s="21" t="s">
        <v>5125</v>
      </c>
      <c r="L114" s="21" t="s">
        <v>1913</v>
      </c>
      <c r="M114" s="21"/>
      <c r="N114" s="21">
        <v>100</v>
      </c>
      <c r="O114" s="21"/>
      <c r="P114" s="822">
        <v>4.57042772861357</v>
      </c>
      <c r="Q114" s="37">
        <v>14.8650893053447</v>
      </c>
      <c r="R114" s="37">
        <v>3.22865080313333</v>
      </c>
      <c r="S114" s="22">
        <f t="shared" si="12"/>
        <v>122.664167837092</v>
      </c>
      <c r="T114" s="20" t="s">
        <v>2854</v>
      </c>
      <c r="U114" s="20"/>
      <c r="V114" s="139" t="s">
        <v>5130</v>
      </c>
      <c r="W114" s="1190"/>
    </row>
    <row r="115" s="996" customFormat="1" ht="15" hidden="1" spans="1:23">
      <c r="A115" s="1189"/>
      <c r="B115" s="23"/>
      <c r="C115" s="23"/>
      <c r="D115" s="23"/>
      <c r="E115" s="23">
        <v>20241218</v>
      </c>
      <c r="F115" s="23">
        <v>7.3</v>
      </c>
      <c r="G115" s="1605">
        <v>7.01</v>
      </c>
      <c r="H115" s="23" t="s">
        <v>5133</v>
      </c>
      <c r="I115" s="20" t="s">
        <v>2361</v>
      </c>
      <c r="J115" s="23" t="s">
        <v>4958</v>
      </c>
      <c r="K115" s="21" t="s">
        <v>5112</v>
      </c>
      <c r="L115" s="21" t="s">
        <v>1913</v>
      </c>
      <c r="M115" s="21"/>
      <c r="N115" s="21" t="s">
        <v>1428</v>
      </c>
      <c r="O115" s="21"/>
      <c r="P115" s="822">
        <v>4.57042772861357</v>
      </c>
      <c r="Q115" s="37">
        <v>14.5423303205048</v>
      </c>
      <c r="R115" s="37">
        <v>3.22865080313333</v>
      </c>
      <c r="S115" s="22">
        <f t="shared" si="12"/>
        <v>22.3414088522517</v>
      </c>
      <c r="T115" s="20" t="s">
        <v>2854</v>
      </c>
      <c r="U115" s="20"/>
      <c r="V115" s="139" t="s">
        <v>5130</v>
      </c>
      <c r="W115" s="1190"/>
    </row>
    <row r="116" s="996" customFormat="1" ht="15" hidden="1" spans="1:23">
      <c r="A116" s="1189"/>
      <c r="B116" s="23"/>
      <c r="C116" s="23"/>
      <c r="D116" s="23"/>
      <c r="E116" s="23">
        <v>20250123</v>
      </c>
      <c r="F116" s="23">
        <v>7.3</v>
      </c>
      <c r="G116" s="1605">
        <v>7.01</v>
      </c>
      <c r="H116" s="23" t="s">
        <v>5134</v>
      </c>
      <c r="I116" s="20" t="s">
        <v>5135</v>
      </c>
      <c r="J116" s="23" t="s">
        <v>4958</v>
      </c>
      <c r="K116" s="21" t="s">
        <v>5100</v>
      </c>
      <c r="L116" s="21" t="s">
        <v>1913</v>
      </c>
      <c r="M116" s="21"/>
      <c r="N116" s="1624">
        <v>80</v>
      </c>
      <c r="O116" s="21"/>
      <c r="P116" s="822">
        <v>4.57042772861357</v>
      </c>
      <c r="Q116" s="37">
        <v>14.7399212423879</v>
      </c>
      <c r="R116" s="37">
        <v>3.22865080313333</v>
      </c>
      <c r="S116" s="22">
        <f t="shared" si="12"/>
        <v>102.538999774135</v>
      </c>
      <c r="T116" s="759" t="s">
        <v>1526</v>
      </c>
      <c r="U116" s="759"/>
      <c r="V116" s="759" t="s">
        <v>5136</v>
      </c>
      <c r="W116" s="1190"/>
    </row>
    <row r="117" s="996" customFormat="1" hidden="1" spans="1:23">
      <c r="A117" s="1189"/>
      <c r="B117" s="23"/>
      <c r="C117" s="23"/>
      <c r="D117" s="23"/>
      <c r="E117" s="23">
        <v>20241029</v>
      </c>
      <c r="F117" s="23">
        <v>7.11</v>
      </c>
      <c r="G117" s="1605">
        <v>7.01</v>
      </c>
      <c r="H117" s="23" t="s">
        <v>5137</v>
      </c>
      <c r="I117" s="20" t="s">
        <v>5138</v>
      </c>
      <c r="J117" s="23"/>
      <c r="K117" s="21"/>
      <c r="L117" s="21"/>
      <c r="M117" s="21">
        <f>63.76/E117/1.13</f>
        <v>2.78764378832034e-6</v>
      </c>
      <c r="N117" s="21"/>
      <c r="O117" s="21"/>
      <c r="P117" s="822">
        <v>0.318976139800605</v>
      </c>
      <c r="Q117" s="37">
        <v>1.32749459128799</v>
      </c>
      <c r="R117" s="37">
        <v>0.2</v>
      </c>
      <c r="S117" s="22">
        <f t="shared" si="12"/>
        <v>1.8464707310886</v>
      </c>
      <c r="T117" s="20"/>
      <c r="U117" s="20"/>
      <c r="V117" s="139"/>
      <c r="W117" s="1190"/>
    </row>
    <row r="118" s="996" customFormat="1" ht="15" hidden="1" spans="1:23">
      <c r="A118" s="1189"/>
      <c r="B118" s="23"/>
      <c r="C118" s="23"/>
      <c r="D118" s="23"/>
      <c r="E118" s="23">
        <v>20240315</v>
      </c>
      <c r="F118" s="23">
        <v>7.2</v>
      </c>
      <c r="G118" s="1605">
        <v>7.01</v>
      </c>
      <c r="H118" s="23" t="s">
        <v>1405</v>
      </c>
      <c r="I118" s="20" t="s">
        <v>21</v>
      </c>
      <c r="J118" s="23"/>
      <c r="K118" s="21"/>
      <c r="L118" s="21"/>
      <c r="M118" s="21">
        <f>63.76/E118/1.13</f>
        <v>2.78774212560733e-6</v>
      </c>
      <c r="N118" s="21"/>
      <c r="O118" s="21"/>
      <c r="P118" s="822">
        <v>0.42292221053283</v>
      </c>
      <c r="Q118" s="37">
        <v>2.7384692067772</v>
      </c>
      <c r="R118" s="37">
        <v>0.4</v>
      </c>
      <c r="S118" s="22">
        <f t="shared" si="12"/>
        <v>3.56139141731003</v>
      </c>
      <c r="T118" s="20"/>
      <c r="U118" s="20"/>
      <c r="V118" s="20" t="s">
        <v>2844</v>
      </c>
      <c r="W118" s="1190" t="s">
        <v>1406</v>
      </c>
    </row>
    <row r="119" s="997" customFormat="1" ht="15" spans="1:23">
      <c r="A119" s="1193"/>
      <c r="B119" s="23" t="s">
        <v>4872</v>
      </c>
      <c r="C119" s="23"/>
      <c r="D119" s="23"/>
      <c r="E119" s="23"/>
      <c r="F119" s="23"/>
      <c r="G119" s="1605">
        <v>7.01</v>
      </c>
      <c r="H119" s="23"/>
      <c r="I119" s="23" t="s">
        <v>1617</v>
      </c>
      <c r="J119" s="23" t="s">
        <v>1933</v>
      </c>
      <c r="K119" s="21" t="s">
        <v>4874</v>
      </c>
      <c r="L119" s="21" t="s">
        <v>1913</v>
      </c>
      <c r="M119" s="21" t="s">
        <v>1428</v>
      </c>
      <c r="N119" s="21">
        <v>85</v>
      </c>
      <c r="O119" s="21" t="s">
        <v>1428</v>
      </c>
      <c r="P119" s="822">
        <v>5.37845743696079</v>
      </c>
      <c r="Q119" s="37">
        <v>31.4890371018321</v>
      </c>
      <c r="R119" s="37">
        <v>4.06713286713287</v>
      </c>
      <c r="S119" s="22">
        <f t="shared" si="12"/>
        <v>125.934627405926</v>
      </c>
      <c r="T119" s="729" t="s">
        <v>2854</v>
      </c>
      <c r="U119" s="729"/>
      <c r="V119" s="23" t="s">
        <v>4875</v>
      </c>
      <c r="W119" s="1190" t="s">
        <v>1406</v>
      </c>
    </row>
    <row r="120" s="997" customFormat="1" ht="15" customHeight="1" spans="1:23">
      <c r="A120" s="1193"/>
      <c r="B120" s="23"/>
      <c r="C120" s="23"/>
      <c r="D120" s="23"/>
      <c r="E120" s="23"/>
      <c r="F120" s="23"/>
      <c r="G120" s="1605">
        <v>7.01</v>
      </c>
      <c r="H120" s="23"/>
      <c r="I120" s="23" t="s">
        <v>1629</v>
      </c>
      <c r="J120" s="23" t="s">
        <v>1933</v>
      </c>
      <c r="K120" s="21" t="s">
        <v>4877</v>
      </c>
      <c r="L120" s="21" t="s">
        <v>1913</v>
      </c>
      <c r="M120" s="21" t="s">
        <v>3939</v>
      </c>
      <c r="N120" s="21">
        <v>67</v>
      </c>
      <c r="O120" s="822">
        <f>23.7/7.17/1.13</f>
        <v>2.92516754915392</v>
      </c>
      <c r="P120" s="822">
        <v>5.37845743696079</v>
      </c>
      <c r="Q120" s="37">
        <v>25.0979160877142</v>
      </c>
      <c r="R120" s="37">
        <v>4.06713286713287</v>
      </c>
      <c r="S120" s="22">
        <f t="shared" si="12"/>
        <v>104.468673940962</v>
      </c>
      <c r="T120" s="729" t="s">
        <v>2854</v>
      </c>
      <c r="U120" s="729"/>
      <c r="V120" s="23" t="s">
        <v>4878</v>
      </c>
      <c r="W120" s="1190" t="s">
        <v>1406</v>
      </c>
    </row>
    <row r="121" s="997" customFormat="1" ht="15" customHeight="1" spans="1:23">
      <c r="A121" s="1193"/>
      <c r="B121" s="23"/>
      <c r="C121" s="23"/>
      <c r="D121" s="23"/>
      <c r="E121" s="23"/>
      <c r="F121" s="23"/>
      <c r="G121" s="1605">
        <v>7.01</v>
      </c>
      <c r="H121" s="23"/>
      <c r="I121" s="23" t="s">
        <v>5139</v>
      </c>
      <c r="J121" s="23" t="s">
        <v>1933</v>
      </c>
      <c r="K121" s="21" t="s">
        <v>4882</v>
      </c>
      <c r="L121" s="21" t="s">
        <v>1913</v>
      </c>
      <c r="M121" s="21" t="s">
        <v>3939</v>
      </c>
      <c r="N121" s="21">
        <v>80</v>
      </c>
      <c r="O121" s="822">
        <f>23.7/7.17/1.13</f>
        <v>2.92516754915392</v>
      </c>
      <c r="P121" s="822">
        <v>5.37845743696079</v>
      </c>
      <c r="Q121" s="37">
        <v>26.2207817214141</v>
      </c>
      <c r="R121" s="37">
        <v>4.06713286713287</v>
      </c>
      <c r="S121" s="22">
        <f t="shared" si="12"/>
        <v>118.591539574662</v>
      </c>
      <c r="T121" s="729" t="s">
        <v>2854</v>
      </c>
      <c r="U121" s="729"/>
      <c r="V121" s="23" t="s">
        <v>5140</v>
      </c>
      <c r="W121" s="1190" t="s">
        <v>1406</v>
      </c>
    </row>
    <row r="122" s="997" customFormat="1" ht="15" customHeight="1" spans="1:23">
      <c r="A122" s="1193"/>
      <c r="B122" s="23"/>
      <c r="C122" s="23"/>
      <c r="D122" s="23"/>
      <c r="E122" s="23"/>
      <c r="F122" s="23"/>
      <c r="G122" s="1605">
        <v>7.01</v>
      </c>
      <c r="H122" s="23"/>
      <c r="I122" s="23" t="s">
        <v>4221</v>
      </c>
      <c r="J122" s="23" t="s">
        <v>1933</v>
      </c>
      <c r="K122" s="21" t="s">
        <v>4877</v>
      </c>
      <c r="L122" s="21" t="s">
        <v>1913</v>
      </c>
      <c r="M122" s="21" t="s">
        <v>2769</v>
      </c>
      <c r="N122" s="21">
        <v>67</v>
      </c>
      <c r="O122" s="822">
        <f>23.7/7.17/1.13</f>
        <v>2.92516754915392</v>
      </c>
      <c r="P122" s="822">
        <v>5.37845743696079</v>
      </c>
      <c r="Q122" s="37">
        <v>21.2431745384119</v>
      </c>
      <c r="R122" s="37">
        <v>0.301222027972028</v>
      </c>
      <c r="S122" s="22">
        <f t="shared" si="12"/>
        <v>96.8480215524987</v>
      </c>
      <c r="T122" s="729" t="s">
        <v>2854</v>
      </c>
      <c r="U122" s="729"/>
      <c r="V122" s="23" t="s">
        <v>4880</v>
      </c>
      <c r="W122" s="1190" t="s">
        <v>1406</v>
      </c>
    </row>
    <row r="123" s="997" customFormat="1" ht="15" customHeight="1" spans="1:23">
      <c r="A123" s="1193"/>
      <c r="B123" s="23"/>
      <c r="C123" s="23"/>
      <c r="D123" s="23"/>
      <c r="E123" s="23"/>
      <c r="F123" s="23"/>
      <c r="G123" s="1605">
        <v>7.01</v>
      </c>
      <c r="H123" s="23"/>
      <c r="I123" s="23" t="s">
        <v>4224</v>
      </c>
      <c r="J123" s="23" t="s">
        <v>1933</v>
      </c>
      <c r="K123" s="21" t="s">
        <v>4882</v>
      </c>
      <c r="L123" s="21" t="s">
        <v>1913</v>
      </c>
      <c r="M123" s="21" t="s">
        <v>3939</v>
      </c>
      <c r="N123" s="21">
        <v>80</v>
      </c>
      <c r="O123" s="822">
        <f>23.7/7.17/1.13</f>
        <v>2.92516754915392</v>
      </c>
      <c r="P123" s="822">
        <v>5.37845743696079</v>
      </c>
      <c r="Q123" s="37">
        <v>20.7010838000867</v>
      </c>
      <c r="R123" s="37">
        <v>0.301222027972028</v>
      </c>
      <c r="S123" s="22">
        <f t="shared" si="12"/>
        <v>109.305930814173</v>
      </c>
      <c r="T123" s="729" t="s">
        <v>2854</v>
      </c>
      <c r="U123" s="729"/>
      <c r="V123" s="23" t="s">
        <v>4880</v>
      </c>
      <c r="W123" s="1190" t="s">
        <v>1406</v>
      </c>
    </row>
    <row r="124" s="997" customFormat="1" ht="15" customHeight="1" spans="1:23">
      <c r="A124" s="1193"/>
      <c r="B124" s="23"/>
      <c r="C124" s="23"/>
      <c r="D124" s="23"/>
      <c r="E124" s="23">
        <v>20250721</v>
      </c>
      <c r="F124" s="23"/>
      <c r="G124" s="1605">
        <v>7.01</v>
      </c>
      <c r="H124" s="23" t="s">
        <v>4883</v>
      </c>
      <c r="I124" s="23" t="s">
        <v>4227</v>
      </c>
      <c r="J124" s="23" t="s">
        <v>1933</v>
      </c>
      <c r="K124" s="21" t="s">
        <v>4882</v>
      </c>
      <c r="L124" s="21" t="s">
        <v>1913</v>
      </c>
      <c r="M124" s="21" t="s">
        <v>3939</v>
      </c>
      <c r="N124" s="21" t="s">
        <v>1428</v>
      </c>
      <c r="O124" s="822">
        <f>23.7/7.17/1.13</f>
        <v>2.92516754915392</v>
      </c>
      <c r="P124" s="822">
        <v>5.37845743696079</v>
      </c>
      <c r="Q124" s="37">
        <v>17.947343041693</v>
      </c>
      <c r="R124" s="37">
        <v>0.301222027972028</v>
      </c>
      <c r="S124" s="22">
        <f t="shared" si="12"/>
        <v>26.5521900557797</v>
      </c>
      <c r="T124" s="729" t="s">
        <v>2854</v>
      </c>
      <c r="U124" s="729"/>
      <c r="V124" s="23" t="s">
        <v>4880</v>
      </c>
      <c r="W124" s="1190" t="s">
        <v>1406</v>
      </c>
    </row>
    <row r="125" s="997" customFormat="1" ht="15" customHeight="1" spans="1:23">
      <c r="A125" s="1193"/>
      <c r="B125" s="23"/>
      <c r="C125" s="23"/>
      <c r="D125" s="23"/>
      <c r="E125" s="1188">
        <v>46188</v>
      </c>
      <c r="F125" s="23"/>
      <c r="G125" s="1605">
        <v>6.76</v>
      </c>
      <c r="H125" s="23" t="s">
        <v>5141</v>
      </c>
      <c r="I125" s="23"/>
      <c r="J125" s="23"/>
      <c r="K125" s="21"/>
      <c r="L125" s="21"/>
      <c r="M125" s="21" t="s">
        <v>3939</v>
      </c>
      <c r="N125" s="699" t="s">
        <v>712</v>
      </c>
      <c r="O125" s="822">
        <f>18.5/G125/1.13</f>
        <v>2.42184636330314</v>
      </c>
      <c r="P125" s="822">
        <f>110.4/G125/1.13</f>
        <v>14.4525318112793</v>
      </c>
      <c r="Q125" s="37">
        <v>21.18</v>
      </c>
      <c r="R125" s="37">
        <v>0.3</v>
      </c>
      <c r="S125" s="22">
        <f>SUBTOTAL(109,O125:R125)</f>
        <v>38.3543781745824</v>
      </c>
      <c r="T125" s="729"/>
      <c r="U125" s="729"/>
      <c r="V125" s="23"/>
      <c r="W125" s="1190"/>
    </row>
    <row r="126" s="997" customFormat="1" ht="15" customHeight="1" spans="1:23">
      <c r="A126" s="1193"/>
      <c r="B126" s="23"/>
      <c r="C126" s="23"/>
      <c r="D126" s="23"/>
      <c r="E126" s="23"/>
      <c r="F126" s="23"/>
      <c r="G126" s="1605">
        <v>7.01</v>
      </c>
      <c r="H126" s="23"/>
      <c r="I126" s="23" t="s">
        <v>4885</v>
      </c>
      <c r="J126" s="23" t="s">
        <v>1933</v>
      </c>
      <c r="K126" s="21" t="s">
        <v>4874</v>
      </c>
      <c r="L126" s="21" t="s">
        <v>1913</v>
      </c>
      <c r="M126" s="21" t="s">
        <v>3939</v>
      </c>
      <c r="N126" s="21">
        <v>85</v>
      </c>
      <c r="O126" s="822">
        <f>23.7/7.17/1.13</f>
        <v>2.92516754915392</v>
      </c>
      <c r="P126" s="822">
        <v>5.37845743696079</v>
      </c>
      <c r="Q126" s="37">
        <v>16.3933117969942</v>
      </c>
      <c r="R126" s="37">
        <v>0.301222027972028</v>
      </c>
      <c r="S126" s="22">
        <f>SUM(N126:R126)</f>
        <v>109.998158811081</v>
      </c>
      <c r="T126" s="729" t="s">
        <v>2854</v>
      </c>
      <c r="U126" s="729"/>
      <c r="V126" s="23" t="s">
        <v>4880</v>
      </c>
      <c r="W126" s="1190" t="s">
        <v>1406</v>
      </c>
    </row>
    <row r="127" s="997" customFormat="1" ht="15" customHeight="1" spans="1:23">
      <c r="A127" s="1193"/>
      <c r="B127" s="23"/>
      <c r="C127" s="23"/>
      <c r="D127" s="23"/>
      <c r="E127" s="23">
        <v>20240124</v>
      </c>
      <c r="F127" s="23">
        <v>7.2</v>
      </c>
      <c r="G127" s="1605">
        <v>7.01</v>
      </c>
      <c r="H127" s="23" t="s">
        <v>4886</v>
      </c>
      <c r="I127" s="23" t="s">
        <v>2427</v>
      </c>
      <c r="J127" s="23" t="s">
        <v>1933</v>
      </c>
      <c r="K127" s="21" t="s">
        <v>4874</v>
      </c>
      <c r="L127" s="21" t="s">
        <v>1913</v>
      </c>
      <c r="M127" s="21" t="s">
        <v>3939</v>
      </c>
      <c r="N127" s="21" t="s">
        <v>1428</v>
      </c>
      <c r="O127" s="822">
        <f>23.7/7.17/1.13</f>
        <v>2.92516754915392</v>
      </c>
      <c r="P127" s="822">
        <v>5.37845743696079</v>
      </c>
      <c r="Q127" s="37">
        <v>21.024857565123</v>
      </c>
      <c r="R127" s="37">
        <v>4.06713286713287</v>
      </c>
      <c r="S127" s="22">
        <f>SUM(N127:R127)</f>
        <v>33.3956154183706</v>
      </c>
      <c r="T127" s="729" t="s">
        <v>2854</v>
      </c>
      <c r="U127" s="729"/>
      <c r="V127" s="23" t="s">
        <v>4887</v>
      </c>
      <c r="W127" s="1190" t="s">
        <v>1406</v>
      </c>
    </row>
    <row r="128" s="997" customFormat="1" ht="15" customHeight="1" spans="1:23">
      <c r="A128" s="1193"/>
      <c r="B128" s="23"/>
      <c r="C128" s="23"/>
      <c r="D128" s="23"/>
      <c r="E128" s="23">
        <v>20240124</v>
      </c>
      <c r="F128" s="23">
        <v>7.2</v>
      </c>
      <c r="G128" s="1605">
        <v>7.01</v>
      </c>
      <c r="H128" s="23" t="s">
        <v>4886</v>
      </c>
      <c r="I128" s="23" t="s">
        <v>4231</v>
      </c>
      <c r="J128" s="23" t="s">
        <v>1933</v>
      </c>
      <c r="K128" s="21" t="s">
        <v>4874</v>
      </c>
      <c r="L128" s="21" t="s">
        <v>1913</v>
      </c>
      <c r="M128" s="21" t="s">
        <v>3939</v>
      </c>
      <c r="N128" s="21" t="s">
        <v>1428</v>
      </c>
      <c r="O128" s="822">
        <f>23.7/7.17/1.13</f>
        <v>2.92516754915392</v>
      </c>
      <c r="P128" s="822">
        <v>5.37845743696079</v>
      </c>
      <c r="Q128" s="37">
        <v>21.024857565123</v>
      </c>
      <c r="R128" s="37">
        <v>0.301222027972028</v>
      </c>
      <c r="S128" s="22">
        <f>SUM(N128:R128)</f>
        <v>29.6297045792097</v>
      </c>
      <c r="T128" s="729" t="s">
        <v>2854</v>
      </c>
      <c r="U128" s="729"/>
      <c r="V128" s="23" t="s">
        <v>4888</v>
      </c>
      <c r="W128" s="1190" t="s">
        <v>1406</v>
      </c>
    </row>
    <row r="129" s="1163" customFormat="1" ht="15" customHeight="1" spans="1:23">
      <c r="A129" s="1625"/>
      <c r="B129" s="23"/>
      <c r="C129" s="23"/>
      <c r="D129" s="23"/>
      <c r="E129" s="23">
        <v>20250529</v>
      </c>
      <c r="F129" s="23">
        <v>7.17</v>
      </c>
      <c r="G129" s="1605">
        <v>7.01</v>
      </c>
      <c r="H129" s="23" t="s">
        <v>4889</v>
      </c>
      <c r="I129" s="23" t="s">
        <v>4890</v>
      </c>
      <c r="J129" s="23" t="s">
        <v>5142</v>
      </c>
      <c r="K129" s="21" t="s">
        <v>4882</v>
      </c>
      <c r="L129" s="21" t="s">
        <v>1913</v>
      </c>
      <c r="M129" s="21" t="s">
        <v>3939</v>
      </c>
      <c r="N129" s="21">
        <v>65</v>
      </c>
      <c r="O129" s="822">
        <f>23.7/7.17/1.13</f>
        <v>2.92516754915392</v>
      </c>
      <c r="P129" s="822">
        <v>5.37845743696079</v>
      </c>
      <c r="Q129" s="37">
        <v>18.3198293273789</v>
      </c>
      <c r="R129" s="37">
        <v>0.301222027972028</v>
      </c>
      <c r="S129" s="22">
        <f>SUM(N129:R129)</f>
        <v>91.9246763414656</v>
      </c>
      <c r="T129" s="824" t="s">
        <v>1526</v>
      </c>
      <c r="U129" s="824"/>
      <c r="V129" s="23" t="s">
        <v>4892</v>
      </c>
      <c r="W129" s="1626"/>
    </row>
    <row r="130" s="997" customFormat="1" ht="15" customHeight="1" spans="1:23">
      <c r="A130" s="1193"/>
      <c r="B130" s="23"/>
      <c r="C130" s="23"/>
      <c r="D130" s="23"/>
      <c r="E130" s="23">
        <v>20250227</v>
      </c>
      <c r="F130" s="23">
        <v>7.25</v>
      </c>
      <c r="G130" s="1605">
        <v>7.01</v>
      </c>
      <c r="H130" s="23" t="s">
        <v>4893</v>
      </c>
      <c r="I130" s="23" t="s">
        <v>2381</v>
      </c>
      <c r="J130" s="23" t="s">
        <v>5142</v>
      </c>
      <c r="K130" s="21" t="s">
        <v>4894</v>
      </c>
      <c r="L130" s="21" t="s">
        <v>1913</v>
      </c>
      <c r="M130" s="21" t="s">
        <v>3939</v>
      </c>
      <c r="N130" s="21">
        <v>75</v>
      </c>
      <c r="O130" s="822">
        <f>23.7/7.17/1.13</f>
        <v>2.92516754915392</v>
      </c>
      <c r="P130" s="822">
        <v>5.37845743696079</v>
      </c>
      <c r="Q130" s="37">
        <v>18.3516235245264</v>
      </c>
      <c r="R130" s="37">
        <v>0.301222027972028</v>
      </c>
      <c r="S130" s="22">
        <f>SUM(N130:R130)</f>
        <v>101.956470538613</v>
      </c>
      <c r="T130" s="729" t="s">
        <v>2854</v>
      </c>
      <c r="U130" s="729"/>
      <c r="V130" s="23"/>
      <c r="W130" s="1190"/>
    </row>
    <row r="131" s="997" customFormat="1" ht="15" customHeight="1" spans="1:23">
      <c r="A131" s="1193"/>
      <c r="B131" s="23"/>
      <c r="C131" s="23"/>
      <c r="D131" s="23"/>
      <c r="E131" s="1188">
        <v>46153</v>
      </c>
      <c r="F131" s="23">
        <v>6.8</v>
      </c>
      <c r="G131" s="1605">
        <v>6.8</v>
      </c>
      <c r="H131" s="23" t="s">
        <v>5143</v>
      </c>
      <c r="I131" s="23" t="s">
        <v>5144</v>
      </c>
      <c r="J131" s="23"/>
      <c r="K131" s="21"/>
      <c r="L131" s="21"/>
      <c r="M131" s="21"/>
      <c r="N131" s="21"/>
      <c r="O131" s="689"/>
      <c r="P131" s="822">
        <f>73.97/G131/1.13</f>
        <v>9.62649661634565</v>
      </c>
      <c r="Q131" s="37">
        <v>19.4</v>
      </c>
      <c r="R131" s="37">
        <v>0.3</v>
      </c>
      <c r="S131" s="22">
        <f>P131+Q131+R131</f>
        <v>29.3264966163457</v>
      </c>
      <c r="T131" s="928" t="s">
        <v>1526</v>
      </c>
      <c r="U131" s="928"/>
      <c r="V131" s="23"/>
      <c r="W131" s="1190"/>
    </row>
    <row r="132" s="997" customFormat="1" ht="15" customHeight="1" spans="1:23">
      <c r="A132" s="1193"/>
      <c r="B132" s="23"/>
      <c r="C132" s="23"/>
      <c r="D132" s="23"/>
      <c r="E132" s="23"/>
      <c r="F132" s="23"/>
      <c r="G132" s="1605">
        <v>7.01</v>
      </c>
      <c r="H132" s="23"/>
      <c r="I132" s="23" t="s">
        <v>752</v>
      </c>
      <c r="J132" s="23"/>
      <c r="K132" s="21"/>
      <c r="L132" s="21"/>
      <c r="M132" s="21"/>
      <c r="N132" s="21"/>
      <c r="O132" s="689"/>
      <c r="P132" s="822">
        <v>0.772031710914454</v>
      </c>
      <c r="Q132" s="37">
        <v>7.21633154695716</v>
      </c>
      <c r="R132" s="37">
        <v>0.4</v>
      </c>
      <c r="S132" s="22">
        <f t="shared" ref="S132:S142" si="13">SUM(N132:R132)</f>
        <v>8.38836325787161</v>
      </c>
      <c r="T132" s="729"/>
      <c r="U132" s="729"/>
      <c r="V132" s="23"/>
      <c r="W132" s="1190" t="s">
        <v>1406</v>
      </c>
    </row>
    <row r="133" s="997" customFormat="1" ht="15" customHeight="1" spans="1:23">
      <c r="A133" s="1193"/>
      <c r="B133" s="23"/>
      <c r="C133" s="23"/>
      <c r="D133" s="23"/>
      <c r="E133" s="23">
        <v>20250529</v>
      </c>
      <c r="F133" s="23">
        <v>7.25</v>
      </c>
      <c r="G133" s="1605">
        <v>7.01</v>
      </c>
      <c r="H133" s="23" t="s">
        <v>1269</v>
      </c>
      <c r="I133" s="23" t="s">
        <v>4895</v>
      </c>
      <c r="J133" s="23"/>
      <c r="K133" s="21"/>
      <c r="L133" s="21"/>
      <c r="M133" s="21"/>
      <c r="N133" s="21"/>
      <c r="O133" s="689"/>
      <c r="P133" s="822">
        <v>0.905505979931129</v>
      </c>
      <c r="Q133" s="37">
        <v>7.33409198531109</v>
      </c>
      <c r="R133" s="22">
        <v>0.3</v>
      </c>
      <c r="S133" s="22">
        <f t="shared" si="13"/>
        <v>8.53959796524222</v>
      </c>
      <c r="T133" s="729"/>
      <c r="U133" s="729"/>
      <c r="V133" s="23" t="s">
        <v>4896</v>
      </c>
      <c r="W133" s="1190" t="s">
        <v>1406</v>
      </c>
    </row>
    <row r="134" s="997" customFormat="1" ht="15" customHeight="1" spans="1:23">
      <c r="A134" s="1193"/>
      <c r="B134" s="23"/>
      <c r="C134" s="23"/>
      <c r="D134" s="23"/>
      <c r="E134" s="23"/>
      <c r="F134" s="23"/>
      <c r="G134" s="1605">
        <v>7.01</v>
      </c>
      <c r="H134" s="23"/>
      <c r="I134" s="23" t="s">
        <v>4897</v>
      </c>
      <c r="J134" s="23"/>
      <c r="K134" s="21"/>
      <c r="L134" s="21"/>
      <c r="M134" s="21"/>
      <c r="N134" s="21"/>
      <c r="O134" s="689"/>
      <c r="P134" s="822">
        <v>1.03700061910484</v>
      </c>
      <c r="Q134" s="37">
        <v>6.23741887555979</v>
      </c>
      <c r="R134" s="22">
        <v>0.4</v>
      </c>
      <c r="S134" s="22">
        <f t="shared" si="13"/>
        <v>7.67441949466463</v>
      </c>
      <c r="T134" s="729"/>
      <c r="U134" s="729"/>
      <c r="V134" s="23"/>
      <c r="W134" s="1190" t="s">
        <v>1406</v>
      </c>
    </row>
    <row r="135" s="997" customFormat="1" ht="15" customHeight="1" spans="1:23">
      <c r="A135" s="1193"/>
      <c r="B135" s="23"/>
      <c r="C135" s="23"/>
      <c r="D135" s="23"/>
      <c r="E135" s="23"/>
      <c r="F135" s="23"/>
      <c r="G135" s="1605">
        <v>7.01</v>
      </c>
      <c r="H135" s="23"/>
      <c r="I135" s="23" t="s">
        <v>4898</v>
      </c>
      <c r="J135" s="23"/>
      <c r="K135" s="21"/>
      <c r="L135" s="21"/>
      <c r="M135" s="21"/>
      <c r="N135" s="21"/>
      <c r="O135" s="689"/>
      <c r="P135" s="822">
        <v>0.0488670621413985</v>
      </c>
      <c r="Q135" s="37">
        <v>0.272191252583146</v>
      </c>
      <c r="R135" s="22">
        <v>0.2</v>
      </c>
      <c r="S135" s="22">
        <f t="shared" si="13"/>
        <v>0.521058314724545</v>
      </c>
      <c r="T135" s="729"/>
      <c r="U135" s="729"/>
      <c r="V135" s="23"/>
      <c r="W135" s="1190" t="s">
        <v>1406</v>
      </c>
    </row>
    <row r="136" s="997" customFormat="1" ht="15" customHeight="1" spans="1:23">
      <c r="A136" s="1193"/>
      <c r="B136" s="23"/>
      <c r="C136" s="23"/>
      <c r="D136" s="23"/>
      <c r="E136" s="23"/>
      <c r="F136" s="23"/>
      <c r="G136" s="1605">
        <v>7.01</v>
      </c>
      <c r="H136" s="23"/>
      <c r="I136" s="23" t="s">
        <v>706</v>
      </c>
      <c r="J136" s="23"/>
      <c r="K136" s="21"/>
      <c r="L136" s="21"/>
      <c r="M136" s="21"/>
      <c r="N136" s="21"/>
      <c r="O136" s="21"/>
      <c r="P136" s="822">
        <v>0.0654919389523897</v>
      </c>
      <c r="Q136" s="37">
        <v>0.290976555105765</v>
      </c>
      <c r="R136" s="22">
        <v>0.4</v>
      </c>
      <c r="S136" s="22">
        <f t="shared" si="13"/>
        <v>0.756468494058155</v>
      </c>
      <c r="T136" s="729"/>
      <c r="U136" s="729"/>
      <c r="V136" s="23"/>
      <c r="W136" s="1190" t="s">
        <v>1406</v>
      </c>
    </row>
    <row r="137" s="997" customFormat="1" ht="15" customHeight="1" spans="1:23">
      <c r="A137" s="1193"/>
      <c r="B137" s="23"/>
      <c r="C137" s="23"/>
      <c r="D137" s="23"/>
      <c r="E137" s="23"/>
      <c r="F137" s="23"/>
      <c r="G137" s="1605">
        <v>7.01</v>
      </c>
      <c r="H137" s="23"/>
      <c r="I137" s="23" t="s">
        <v>750</v>
      </c>
      <c r="J137" s="23"/>
      <c r="K137" s="21"/>
      <c r="L137" s="21"/>
      <c r="M137" s="21"/>
      <c r="N137" s="21"/>
      <c r="O137" s="21"/>
      <c r="P137" s="822">
        <v>0.79395</v>
      </c>
      <c r="Q137" s="37">
        <v>7.24630207225507</v>
      </c>
      <c r="R137" s="22">
        <v>0.4</v>
      </c>
      <c r="S137" s="22">
        <f t="shared" si="13"/>
        <v>8.44025207225507</v>
      </c>
      <c r="T137" s="729"/>
      <c r="U137" s="729"/>
      <c r="V137" s="23"/>
      <c r="W137" s="1190" t="s">
        <v>1406</v>
      </c>
    </row>
    <row r="138" s="930" customFormat="1" hidden="1" spans="1:23">
      <c r="B138" s="729" t="s">
        <v>5145</v>
      </c>
      <c r="C138" s="729"/>
      <c r="D138" s="729"/>
      <c r="E138" s="729">
        <v>20250221</v>
      </c>
      <c r="F138" s="729">
        <v>7.3</v>
      </c>
      <c r="G138" s="1605">
        <v>7.01</v>
      </c>
      <c r="H138" s="729" t="s">
        <v>4904</v>
      </c>
      <c r="I138" s="729" t="s">
        <v>1565</v>
      </c>
      <c r="J138" s="23" t="s">
        <v>4975</v>
      </c>
      <c r="K138" s="21" t="s">
        <v>4906</v>
      </c>
      <c r="L138" s="21" t="s">
        <v>1913</v>
      </c>
      <c r="M138" s="21" t="s">
        <v>1428</v>
      </c>
      <c r="N138" s="21">
        <v>70</v>
      </c>
      <c r="O138" s="21" t="s">
        <v>1428</v>
      </c>
      <c r="P138" s="822">
        <v>3.3808643471936</v>
      </c>
      <c r="Q138" s="37">
        <v>24.7425303092314</v>
      </c>
      <c r="R138" s="37">
        <v>4</v>
      </c>
      <c r="S138" s="22">
        <f t="shared" si="13"/>
        <v>102.123394656425</v>
      </c>
      <c r="T138" s="729"/>
      <c r="U138" s="729"/>
      <c r="V138" s="139" t="s">
        <v>4907</v>
      </c>
      <c r="W138" s="1190"/>
    </row>
    <row r="139" s="930" customFormat="1" hidden="1" spans="1:23">
      <c r="B139" s="729"/>
      <c r="C139" s="729"/>
      <c r="D139" s="729"/>
      <c r="E139" s="729">
        <v>20250221</v>
      </c>
      <c r="F139" s="729">
        <v>7.3</v>
      </c>
      <c r="G139" s="1605">
        <v>7.01</v>
      </c>
      <c r="H139" s="729" t="s">
        <v>4908</v>
      </c>
      <c r="I139" s="20" t="s">
        <v>1617</v>
      </c>
      <c r="J139" s="750" t="s">
        <v>5146</v>
      </c>
      <c r="K139" s="21" t="s">
        <v>5147</v>
      </c>
      <c r="L139" s="21" t="s">
        <v>1913</v>
      </c>
      <c r="M139" s="21" t="s">
        <v>1428</v>
      </c>
      <c r="N139" s="21">
        <v>160</v>
      </c>
      <c r="O139" s="21" t="s">
        <v>1428</v>
      </c>
      <c r="P139" s="822">
        <v>3.3808643471936</v>
      </c>
      <c r="Q139" s="37">
        <v>29.4988921584618</v>
      </c>
      <c r="R139" s="22">
        <v>4</v>
      </c>
      <c r="S139" s="22">
        <f t="shared" si="13"/>
        <v>196.879756505655</v>
      </c>
      <c r="T139" s="23"/>
      <c r="U139" s="23"/>
      <c r="V139" s="139" t="s">
        <v>4910</v>
      </c>
      <c r="W139" s="1190"/>
    </row>
    <row r="140" s="930" customFormat="1" ht="15" hidden="1" spans="1:23">
      <c r="B140" s="880" t="s">
        <v>5148</v>
      </c>
      <c r="C140" s="880"/>
      <c r="D140" s="880"/>
      <c r="E140" s="880">
        <v>20250708</v>
      </c>
      <c r="F140" s="880">
        <v>7.17</v>
      </c>
      <c r="G140" s="1605">
        <v>7.01</v>
      </c>
      <c r="H140" s="926" t="s">
        <v>4912</v>
      </c>
      <c r="I140" s="729" t="s">
        <v>1565</v>
      </c>
      <c r="J140" s="23" t="s">
        <v>4975</v>
      </c>
      <c r="K140" s="21" t="s">
        <v>4914</v>
      </c>
      <c r="L140" s="21" t="s">
        <v>1913</v>
      </c>
      <c r="M140" s="21"/>
      <c r="N140" s="699" t="s">
        <v>5022</v>
      </c>
      <c r="O140" s="21"/>
      <c r="P140" s="822">
        <v>4.559780797571</v>
      </c>
      <c r="Q140" s="37">
        <v>18.6582213333537</v>
      </c>
      <c r="R140" s="37">
        <v>4</v>
      </c>
      <c r="S140" s="22">
        <f t="shared" si="13"/>
        <v>27.2180021309247</v>
      </c>
      <c r="T140" s="729" t="s">
        <v>2854</v>
      </c>
      <c r="U140" s="729"/>
      <c r="V140" s="139" t="s">
        <v>5149</v>
      </c>
    </row>
    <row r="141" s="930" customFormat="1" ht="15" hidden="1" spans="1:23">
      <c r="B141" s="880"/>
      <c r="C141" s="880"/>
      <c r="D141" s="880"/>
      <c r="E141" s="880">
        <v>20250708</v>
      </c>
      <c r="F141" s="880">
        <v>7.17</v>
      </c>
      <c r="G141" s="1605">
        <v>7.01</v>
      </c>
      <c r="H141" s="926" t="s">
        <v>5150</v>
      </c>
      <c r="I141" s="20" t="s">
        <v>1617</v>
      </c>
      <c r="J141" s="23" t="s">
        <v>4975</v>
      </c>
      <c r="K141" s="21" t="s">
        <v>5151</v>
      </c>
      <c r="L141" s="21" t="s">
        <v>1913</v>
      </c>
      <c r="M141" s="21"/>
      <c r="N141" s="699" t="s">
        <v>5022</v>
      </c>
      <c r="O141" s="21"/>
      <c r="P141" s="822">
        <v>4.559780797571</v>
      </c>
      <c r="Q141" s="37">
        <v>17.9928909309844</v>
      </c>
      <c r="R141" s="37">
        <v>4</v>
      </c>
      <c r="S141" s="22">
        <f t="shared" si="13"/>
        <v>26.5526717285554</v>
      </c>
      <c r="T141" s="729" t="s">
        <v>2854</v>
      </c>
      <c r="U141" s="729"/>
      <c r="V141" s="139" t="s">
        <v>4907</v>
      </c>
    </row>
    <row r="142" s="930" customFormat="1" ht="15" hidden="1" spans="1:23">
      <c r="B142" s="880"/>
      <c r="C142" s="880"/>
      <c r="D142" s="880"/>
      <c r="E142" s="880">
        <v>20250708</v>
      </c>
      <c r="F142" s="880">
        <v>7.17</v>
      </c>
      <c r="G142" s="1605">
        <v>7.01</v>
      </c>
      <c r="H142" s="926" t="s">
        <v>5152</v>
      </c>
      <c r="I142" s="20" t="s">
        <v>1629</v>
      </c>
      <c r="J142" s="23" t="s">
        <v>4975</v>
      </c>
      <c r="K142" s="21" t="s">
        <v>4914</v>
      </c>
      <c r="L142" s="21" t="s">
        <v>1913</v>
      </c>
      <c r="M142" s="21"/>
      <c r="N142" s="699" t="s">
        <v>5022</v>
      </c>
      <c r="O142" s="21"/>
      <c r="P142" s="822">
        <v>4.559780797571</v>
      </c>
      <c r="Q142" s="37">
        <v>17.2753401125504</v>
      </c>
      <c r="R142" s="37">
        <v>4</v>
      </c>
      <c r="S142" s="22">
        <f t="shared" si="13"/>
        <v>25.8351209101214</v>
      </c>
      <c r="T142" s="729" t="s">
        <v>2854</v>
      </c>
      <c r="U142" s="729"/>
      <c r="V142" s="139" t="s">
        <v>4907</v>
      </c>
    </row>
    <row r="143" s="930" customFormat="1" hidden="1" spans="1:23">
      <c r="B143" s="880"/>
      <c r="C143" s="880"/>
      <c r="D143" s="880"/>
      <c r="E143" s="880"/>
      <c r="F143" s="880"/>
      <c r="G143" s="880"/>
      <c r="H143" s="880"/>
      <c r="I143" s="20"/>
      <c r="J143" s="20">
        <f>2.75/6.9514/1.13</f>
        <v>0.350091825903282</v>
      </c>
      <c r="K143" s="21"/>
      <c r="L143" s="21"/>
      <c r="M143" s="21"/>
      <c r="N143" s="21"/>
      <c r="O143" s="21"/>
      <c r="P143" s="22"/>
      <c r="Q143" s="22"/>
      <c r="R143" s="1241"/>
      <c r="S143" s="1241"/>
      <c r="T143" s="23"/>
      <c r="U143" s="23"/>
      <c r="V143" s="20"/>
    </row>
    <row r="144" s="930" customFormat="1" ht="20" hidden="1" customHeight="1" spans="1:23">
      <c r="B144" s="1627" t="s">
        <v>1430</v>
      </c>
      <c r="C144" s="23" t="s">
        <v>5038</v>
      </c>
      <c r="D144" s="23" t="s">
        <v>5039</v>
      </c>
      <c r="E144" s="1628">
        <v>46085</v>
      </c>
      <c r="F144" s="1619">
        <v>6.8224</v>
      </c>
      <c r="G144" s="776"/>
      <c r="H144" s="23" t="s">
        <v>5153</v>
      </c>
      <c r="I144" s="20" t="s">
        <v>1645</v>
      </c>
      <c r="J144" s="928" t="s">
        <v>5154</v>
      </c>
      <c r="K144" s="21" t="s">
        <v>5155</v>
      </c>
      <c r="L144" s="1629" t="s">
        <v>1507</v>
      </c>
      <c r="M144" s="1629" t="s">
        <v>712</v>
      </c>
      <c r="N144" s="1629" t="s">
        <v>712</v>
      </c>
      <c r="O144" s="776"/>
      <c r="P144" s="22">
        <f>60.87/F144/1.13</f>
        <v>7.89564620033539</v>
      </c>
      <c r="Q144" s="37">
        <v>40.5</v>
      </c>
      <c r="R144" s="37">
        <f t="shared" ref="R144:R152" si="14">32.5/F144</f>
        <v>4.76371951219512</v>
      </c>
      <c r="S144" s="37">
        <f t="shared" ref="S144:S149" si="15">SUM(P144:R144)</f>
        <v>53.1593657125305</v>
      </c>
      <c r="T144" s="895" t="s">
        <v>5156</v>
      </c>
      <c r="U144" s="895"/>
      <c r="V144" s="750" t="s">
        <v>5043</v>
      </c>
    </row>
    <row r="145" s="42" customFormat="1" ht="20" hidden="1" customHeight="1" spans="1:23">
      <c r="B145" s="1630" t="s">
        <v>1430</v>
      </c>
      <c r="C145" s="23" t="s">
        <v>5038</v>
      </c>
      <c r="D145" s="23" t="s">
        <v>5039</v>
      </c>
      <c r="E145" s="1628">
        <v>46267</v>
      </c>
      <c r="F145" s="1619">
        <v>6.73</v>
      </c>
      <c r="G145" s="776"/>
      <c r="H145" s="687" t="s">
        <v>5157</v>
      </c>
      <c r="I145" s="20"/>
      <c r="J145" s="928"/>
      <c r="K145" s="21"/>
      <c r="L145" s="1629"/>
      <c r="M145" s="153" t="s">
        <v>1428</v>
      </c>
      <c r="N145" s="153" t="s">
        <v>712</v>
      </c>
      <c r="O145" s="153" t="s">
        <v>1428</v>
      </c>
      <c r="P145" s="727">
        <f>99.81/F145/1.13</f>
        <v>13.1244329313995</v>
      </c>
      <c r="Q145" s="154">
        <v>49.9</v>
      </c>
      <c r="R145" s="154">
        <f t="shared" si="14"/>
        <v>4.82912332838039</v>
      </c>
      <c r="S145" s="154">
        <f t="shared" si="15"/>
        <v>67.8535562597799</v>
      </c>
      <c r="T145" s="895"/>
      <c r="U145" s="895"/>
      <c r="V145" s="750"/>
    </row>
    <row r="146" s="42" customFormat="1" ht="20" hidden="1" customHeight="1" spans="1:23">
      <c r="B146" s="1630" t="s">
        <v>1430</v>
      </c>
      <c r="C146" s="23"/>
      <c r="D146" s="23"/>
      <c r="E146" s="1628"/>
      <c r="F146" s="1619">
        <v>6.73</v>
      </c>
      <c r="G146" s="776"/>
      <c r="H146" s="687" t="s">
        <v>5158</v>
      </c>
      <c r="I146" s="20"/>
      <c r="J146" s="928"/>
      <c r="K146" s="21"/>
      <c r="L146" s="1629"/>
      <c r="M146" s="153" t="s">
        <v>1428</v>
      </c>
      <c r="N146" s="1631" t="s">
        <v>712</v>
      </c>
      <c r="O146" s="153" t="s">
        <v>1428</v>
      </c>
      <c r="P146" s="727">
        <f>99.81/F146/1.13</f>
        <v>13.1244329313995</v>
      </c>
      <c r="Q146" s="154">
        <v>48.9</v>
      </c>
      <c r="R146" s="154">
        <f t="shared" si="14"/>
        <v>4.82912332838039</v>
      </c>
      <c r="S146" s="154">
        <f t="shared" si="15"/>
        <v>66.8535562597799</v>
      </c>
      <c r="U146" s="895"/>
      <c r="V146" s="750"/>
    </row>
    <row r="147" s="42" customFormat="1" ht="20" hidden="1" customHeight="1" spans="1:23">
      <c r="B147" s="1630" t="s">
        <v>1430</v>
      </c>
      <c r="C147" s="23"/>
      <c r="D147" s="23"/>
      <c r="E147" s="1628"/>
      <c r="F147" s="1619">
        <v>6.73</v>
      </c>
      <c r="G147" s="776"/>
      <c r="H147" s="687" t="s">
        <v>5159</v>
      </c>
      <c r="I147" s="20"/>
      <c r="J147" s="928"/>
      <c r="K147" s="21"/>
      <c r="L147" s="1629"/>
      <c r="M147" s="153" t="s">
        <v>1428</v>
      </c>
      <c r="N147" s="153" t="s">
        <v>712</v>
      </c>
      <c r="O147" s="153" t="s">
        <v>1428</v>
      </c>
      <c r="P147" s="727">
        <f>70.6/F147/1.13</f>
        <v>9.2834882772949</v>
      </c>
      <c r="Q147" s="154">
        <v>46.8</v>
      </c>
      <c r="R147" s="154">
        <f t="shared" si="14"/>
        <v>4.82912332838039</v>
      </c>
      <c r="S147" s="154">
        <f t="shared" si="15"/>
        <v>60.9126116056753</v>
      </c>
      <c r="T147" s="1632" t="s">
        <v>5160</v>
      </c>
      <c r="U147" s="895"/>
      <c r="V147" s="750"/>
    </row>
    <row r="148" s="42" customFormat="1" ht="20" hidden="1" customHeight="1" spans="1:23">
      <c r="B148" s="1630" t="s">
        <v>1430</v>
      </c>
      <c r="C148" s="23" t="s">
        <v>5038</v>
      </c>
      <c r="D148" s="23" t="s">
        <v>5039</v>
      </c>
      <c r="E148" s="1628">
        <v>46267</v>
      </c>
      <c r="F148" s="1619">
        <v>6.73</v>
      </c>
      <c r="G148" s="776"/>
      <c r="H148" s="687" t="s">
        <v>5157</v>
      </c>
      <c r="I148" s="20"/>
      <c r="J148" s="928"/>
      <c r="K148" s="21"/>
      <c r="L148" s="1629"/>
      <c r="M148" s="153" t="s">
        <v>1428</v>
      </c>
      <c r="N148" s="153" t="s">
        <v>712</v>
      </c>
      <c r="O148" s="153" t="s">
        <v>1428</v>
      </c>
      <c r="P148" s="727">
        <f>70.6/F148/1.13</f>
        <v>9.2834882772949</v>
      </c>
      <c r="Q148" s="154">
        <v>49.9</v>
      </c>
      <c r="R148" s="154">
        <f t="shared" si="14"/>
        <v>4.82912332838039</v>
      </c>
      <c r="S148" s="154">
        <f t="shared" si="15"/>
        <v>64.0126116056753</v>
      </c>
      <c r="T148" s="895" t="s">
        <v>5161</v>
      </c>
      <c r="U148" s="895"/>
      <c r="V148" s="750"/>
    </row>
    <row r="149" s="42" customFormat="1" ht="20" hidden="1" customHeight="1" spans="1:23">
      <c r="B149" s="1630" t="s">
        <v>1430</v>
      </c>
      <c r="C149" s="23"/>
      <c r="D149" s="23"/>
      <c r="E149" s="1628"/>
      <c r="F149" s="1619">
        <v>6.7</v>
      </c>
      <c r="G149" s="776"/>
      <c r="H149" s="687" t="s">
        <v>5162</v>
      </c>
      <c r="I149" s="20"/>
      <c r="J149" s="928"/>
      <c r="K149" s="21"/>
      <c r="L149" s="1629"/>
      <c r="M149" s="1565" t="s">
        <v>1428</v>
      </c>
      <c r="N149" s="1565" t="s">
        <v>712</v>
      </c>
      <c r="O149" s="1565" t="s">
        <v>1428</v>
      </c>
      <c r="P149" s="727">
        <f>99.81/F149/1.13</f>
        <v>13.1831990490028</v>
      </c>
      <c r="Q149" s="154">
        <v>51.72</v>
      </c>
      <c r="R149" s="154">
        <f t="shared" si="14"/>
        <v>4.85074626865672</v>
      </c>
      <c r="S149" s="154">
        <f t="shared" si="15"/>
        <v>69.7539453176595</v>
      </c>
      <c r="T149" s="895"/>
      <c r="U149" s="895"/>
      <c r="V149" s="750"/>
    </row>
    <row r="150" s="42" customFormat="1" hidden="1" spans="1:23">
      <c r="B150" s="1630" t="s">
        <v>1430</v>
      </c>
      <c r="C150" s="23"/>
      <c r="D150" s="23"/>
      <c r="E150" s="1628">
        <v>46216</v>
      </c>
      <c r="F150" s="1619">
        <v>6.75</v>
      </c>
      <c r="G150" s="776"/>
      <c r="H150" s="687" t="s">
        <v>5163</v>
      </c>
      <c r="I150" s="20"/>
      <c r="J150" s="928"/>
      <c r="K150" s="21"/>
      <c r="L150" s="1629"/>
      <c r="M150" s="1565" t="s">
        <v>1428</v>
      </c>
      <c r="N150" s="1565" t="s">
        <v>712</v>
      </c>
      <c r="O150" s="1565" t="s">
        <v>1428</v>
      </c>
      <c r="P150" s="727">
        <f>96.16/F150/1.13</f>
        <v>12.6070140937398</v>
      </c>
      <c r="Q150" s="154">
        <v>50</v>
      </c>
      <c r="R150" s="154">
        <f t="shared" si="14"/>
        <v>4.81481481481481</v>
      </c>
      <c r="S150" s="154">
        <f t="shared" ref="S150:S155" si="16">SUM(P150:R150)</f>
        <v>67.4218289085546</v>
      </c>
      <c r="T150" s="895"/>
      <c r="U150" s="895"/>
      <c r="V150" s="750" t="s">
        <v>5164</v>
      </c>
    </row>
    <row r="151" customFormat="1" ht="17.4" hidden="1" spans="1:23">
      <c r="B151" s="1630" t="s">
        <v>1430</v>
      </c>
      <c r="C151" s="23"/>
      <c r="D151" s="23"/>
      <c r="E151" s="1628">
        <v>46216</v>
      </c>
      <c r="F151" s="1619">
        <v>6.73</v>
      </c>
      <c r="G151" s="776"/>
      <c r="H151" s="687" t="s">
        <v>5163</v>
      </c>
      <c r="I151" s="20"/>
      <c r="J151" s="928"/>
      <c r="K151" s="21"/>
      <c r="L151" s="1629"/>
      <c r="M151" s="1565" t="s">
        <v>1428</v>
      </c>
      <c r="N151" s="1565" t="s">
        <v>712</v>
      </c>
      <c r="O151" s="1565" t="s">
        <v>1428</v>
      </c>
      <c r="P151" s="727">
        <f>70.6/F151/1.13</f>
        <v>9.2834882772949</v>
      </c>
      <c r="Q151" s="154">
        <v>50</v>
      </c>
      <c r="R151" s="154">
        <f t="shared" si="14"/>
        <v>4.82912332838039</v>
      </c>
      <c r="S151" s="154">
        <f t="shared" si="16"/>
        <v>64.1126116056753</v>
      </c>
      <c r="T151" s="1633" t="s">
        <v>5160</v>
      </c>
      <c r="U151" s="1633"/>
      <c r="V151" s="20"/>
    </row>
    <row r="152" customFormat="1" ht="17.4" hidden="1" spans="1:23">
      <c r="B152" s="1630" t="s">
        <v>1430</v>
      </c>
      <c r="C152" s="23"/>
      <c r="D152" s="23"/>
      <c r="E152" s="1634"/>
      <c r="F152" s="1635">
        <v>6.73</v>
      </c>
      <c r="G152" s="1635"/>
      <c r="H152" s="687" t="s">
        <v>5165</v>
      </c>
      <c r="I152" s="1636"/>
      <c r="J152" s="1637"/>
      <c r="K152" s="1635"/>
      <c r="L152" s="1638"/>
      <c r="M152" s="1565" t="s">
        <v>1428</v>
      </c>
      <c r="N152" s="1565" t="s">
        <v>712</v>
      </c>
      <c r="O152" s="1565" t="s">
        <v>1428</v>
      </c>
      <c r="P152" s="727">
        <f>70.6/F152/1.13</f>
        <v>9.2834882772949</v>
      </c>
      <c r="Q152" s="154">
        <v>53.5</v>
      </c>
      <c r="R152" s="154">
        <f t="shared" si="14"/>
        <v>4.82912332838039</v>
      </c>
      <c r="S152" s="154">
        <f t="shared" si="16"/>
        <v>67.6126116056753</v>
      </c>
      <c r="T152" s="1633" t="s">
        <v>5160</v>
      </c>
      <c r="U152" s="1633"/>
      <c r="V152" s="20"/>
    </row>
    <row r="153" s="1203" customFormat="1" ht="17.4" hidden="1" spans="1:23">
      <c r="A153" s="1189"/>
      <c r="B153" s="1639" t="s">
        <v>1430</v>
      </c>
      <c r="C153" s="23" t="s">
        <v>5038</v>
      </c>
      <c r="D153" s="23" t="s">
        <v>5039</v>
      </c>
      <c r="E153" s="1634">
        <v>46051</v>
      </c>
      <c r="F153" s="1635">
        <v>6.9591</v>
      </c>
      <c r="G153" s="1635"/>
      <c r="H153" s="1640" t="s">
        <v>5166</v>
      </c>
      <c r="I153" s="1636"/>
      <c r="J153" s="1637" t="s">
        <v>5155</v>
      </c>
      <c r="K153" s="1635" t="s">
        <v>4944</v>
      </c>
      <c r="L153" s="1638" t="s">
        <v>1507</v>
      </c>
      <c r="M153" s="1635" t="s">
        <v>5167</v>
      </c>
      <c r="N153" s="1641" t="s">
        <v>712</v>
      </c>
      <c r="O153" s="1642"/>
      <c r="P153" s="1642">
        <f>60.87/F153/1.13</f>
        <v>7.74054930050842</v>
      </c>
      <c r="Q153" s="1643">
        <v>39.9</v>
      </c>
      <c r="R153" s="1642">
        <v>6</v>
      </c>
      <c r="S153" s="1642">
        <f t="shared" si="16"/>
        <v>53.6405493005084</v>
      </c>
      <c r="T153" s="1633" t="s">
        <v>5168</v>
      </c>
      <c r="U153" s="1633"/>
      <c r="V153" s="20"/>
    </row>
    <row r="154" s="1203" customFormat="1" ht="17.4" hidden="1" spans="1:23">
      <c r="A154" s="1189"/>
      <c r="B154" s="1639" t="s">
        <v>1430</v>
      </c>
      <c r="C154" s="23" t="s">
        <v>5038</v>
      </c>
      <c r="D154" s="23" t="s">
        <v>5039</v>
      </c>
      <c r="E154" s="1636">
        <v>20251230</v>
      </c>
      <c r="F154" s="1637">
        <v>7.01</v>
      </c>
      <c r="G154" s="1635"/>
      <c r="H154" s="1640" t="s">
        <v>5169</v>
      </c>
      <c r="I154" s="1636"/>
      <c r="J154" s="1637"/>
      <c r="K154" s="1635" t="s">
        <v>4944</v>
      </c>
      <c r="L154" s="1638" t="s">
        <v>1507</v>
      </c>
      <c r="M154" s="1635" t="s">
        <v>5167</v>
      </c>
      <c r="N154" s="1641" t="s">
        <v>712</v>
      </c>
      <c r="O154" s="1642"/>
      <c r="P154" s="1642">
        <f>60.87/F154/1.13</f>
        <v>7.68434474139346</v>
      </c>
      <c r="Q154" s="1643">
        <v>40.2732102804949</v>
      </c>
      <c r="R154" s="1642">
        <v>6</v>
      </c>
      <c r="S154" s="1642">
        <f t="shared" si="16"/>
        <v>53.9575550218884</v>
      </c>
      <c r="T154" s="1633" t="s">
        <v>5168</v>
      </c>
      <c r="U154" s="1633"/>
      <c r="V154" s="20"/>
    </row>
    <row r="155" s="1203" customFormat="1" ht="17.4" hidden="1" spans="1:23">
      <c r="A155" s="1189"/>
      <c r="B155" s="1644" t="s">
        <v>1430</v>
      </c>
      <c r="C155" s="23" t="s">
        <v>5038</v>
      </c>
      <c r="D155" s="23" t="s">
        <v>5039</v>
      </c>
      <c r="E155" s="1634">
        <v>46197</v>
      </c>
      <c r="F155" s="1637">
        <v>6.7739</v>
      </c>
      <c r="G155" s="1635"/>
      <c r="H155" s="1645" t="s">
        <v>5170</v>
      </c>
      <c r="I155" s="1636"/>
      <c r="J155" s="1637"/>
      <c r="K155" s="1635"/>
      <c r="L155" s="1638"/>
      <c r="M155" s="1646" t="s">
        <v>1428</v>
      </c>
      <c r="N155" s="1647" t="s">
        <v>712</v>
      </c>
      <c r="O155" s="1646" t="s">
        <v>1428</v>
      </c>
      <c r="P155" s="1648">
        <f>98.76/F155/1.13*1.05</f>
        <v>13.5473127139344</v>
      </c>
      <c r="Q155" s="1648">
        <v>49.9</v>
      </c>
      <c r="R155" s="1574">
        <v>4.8</v>
      </c>
      <c r="S155" s="1574">
        <f t="shared" si="16"/>
        <v>68.2473127139344</v>
      </c>
      <c r="T155" s="1633"/>
      <c r="U155" s="1633"/>
      <c r="V155" s="20"/>
    </row>
    <row r="156" s="1203" customFormat="1" ht="17.4" hidden="1" spans="1:23">
      <c r="A156" s="1189"/>
      <c r="B156" s="1639" t="s">
        <v>1430</v>
      </c>
      <c r="C156" s="23" t="s">
        <v>5038</v>
      </c>
      <c r="D156" s="23" t="s">
        <v>5039</v>
      </c>
      <c r="E156" s="1636">
        <v>20251230</v>
      </c>
      <c r="F156" s="1637">
        <v>7.01</v>
      </c>
      <c r="G156" s="1635"/>
      <c r="H156" s="1640" t="s">
        <v>5171</v>
      </c>
      <c r="I156" s="1636"/>
      <c r="J156" s="1637"/>
      <c r="K156" s="1635" t="s">
        <v>4952</v>
      </c>
      <c r="L156" s="1638" t="s">
        <v>1507</v>
      </c>
      <c r="M156" s="1635" t="s">
        <v>5167</v>
      </c>
      <c r="N156" s="1641" t="s">
        <v>712</v>
      </c>
      <c r="O156" s="1642"/>
      <c r="P156" s="1642">
        <f>60.87/F156/1.13</f>
        <v>7.68434474139346</v>
      </c>
      <c r="Q156" s="1643">
        <v>32.9954858999684</v>
      </c>
      <c r="R156" s="1642">
        <v>6</v>
      </c>
      <c r="S156" s="1642">
        <f t="shared" ref="S156:S163" si="17">SUM(P156:R156)</f>
        <v>46.6798306413619</v>
      </c>
      <c r="T156" s="1633" t="s">
        <v>5172</v>
      </c>
      <c r="U156" s="1633"/>
      <c r="V156" s="20"/>
    </row>
    <row r="157" s="1203" customFormat="1" ht="39.6" hidden="1" spans="1:23">
      <c r="A157" s="1189"/>
      <c r="B157" s="1649" t="s">
        <v>1208</v>
      </c>
      <c r="C157" s="1649"/>
      <c r="D157" s="1649"/>
      <c r="E157" s="1650">
        <v>46034</v>
      </c>
      <c r="F157" s="1651">
        <v>6.8697</v>
      </c>
      <c r="G157" s="244" t="s">
        <v>1414</v>
      </c>
      <c r="H157" s="244" t="s">
        <v>1617</v>
      </c>
      <c r="I157" s="244" t="s">
        <v>5173</v>
      </c>
      <c r="J157" s="244"/>
      <c r="K157" s="244" t="s">
        <v>5174</v>
      </c>
      <c r="L157" s="227" t="s">
        <v>2196</v>
      </c>
      <c r="M157" s="227" t="s">
        <v>2196</v>
      </c>
      <c r="N157" s="231" t="s">
        <v>1507</v>
      </c>
      <c r="O157" s="1642"/>
      <c r="P157" s="231">
        <f>21.89/F157/1.13</f>
        <v>2.81987298076032</v>
      </c>
      <c r="Q157" s="231">
        <v>34.01</v>
      </c>
      <c r="R157" s="231">
        <f>27/F157</f>
        <v>3.93030263330276</v>
      </c>
      <c r="S157" s="231">
        <f>SUM(P157:Q157)</f>
        <v>36.8298729807603</v>
      </c>
      <c r="T157" s="229" t="s">
        <v>1526</v>
      </c>
      <c r="U157" s="229"/>
      <c r="V157" s="229" t="s">
        <v>5175</v>
      </c>
    </row>
    <row r="158" s="1203" customFormat="1" ht="39.6" hidden="1" spans="1:23">
      <c r="A158" s="1189"/>
      <c r="B158" s="1649" t="s">
        <v>1208</v>
      </c>
      <c r="C158" s="1649"/>
      <c r="D158" s="1649"/>
      <c r="E158" s="1650">
        <v>46034</v>
      </c>
      <c r="F158" s="1651">
        <v>6.8697</v>
      </c>
      <c r="G158" s="244" t="s">
        <v>5176</v>
      </c>
      <c r="H158" s="244" t="s">
        <v>1565</v>
      </c>
      <c r="I158" s="244" t="s">
        <v>5177</v>
      </c>
      <c r="J158" s="244"/>
      <c r="K158" s="244" t="s">
        <v>5174</v>
      </c>
      <c r="L158" s="227" t="s">
        <v>2196</v>
      </c>
      <c r="M158" s="227" t="s">
        <v>2196</v>
      </c>
      <c r="N158" s="231" t="s">
        <v>1507</v>
      </c>
      <c r="O158" s="1642"/>
      <c r="P158" s="231">
        <f>21.89/F158/1.13</f>
        <v>2.81987298076032</v>
      </c>
      <c r="Q158" s="231">
        <v>33.54</v>
      </c>
      <c r="R158" s="231">
        <f>27/F158</f>
        <v>3.93030263330276</v>
      </c>
      <c r="S158" s="231">
        <f t="shared" si="17"/>
        <v>40.2901756140631</v>
      </c>
      <c r="T158" s="1649" t="s">
        <v>1526</v>
      </c>
      <c r="U158" s="1649"/>
      <c r="V158" s="229" t="s">
        <v>5178</v>
      </c>
    </row>
    <row r="159" s="1203" customFormat="1" ht="26.4" hidden="1" spans="1:23">
      <c r="A159" s="1189"/>
      <c r="B159" s="1649" t="s">
        <v>1208</v>
      </c>
      <c r="C159" s="1649"/>
      <c r="D159" s="1649"/>
      <c r="E159" s="1650">
        <v>46127</v>
      </c>
      <c r="F159" s="1651">
        <v>6.837</v>
      </c>
      <c r="G159" s="244" t="s">
        <v>1415</v>
      </c>
      <c r="H159" s="244" t="s">
        <v>5179</v>
      </c>
      <c r="I159" s="244"/>
      <c r="J159" s="244"/>
      <c r="K159" s="244" t="s">
        <v>2061</v>
      </c>
      <c r="L159" s="227" t="s">
        <v>2196</v>
      </c>
      <c r="M159" s="227" t="s">
        <v>2196</v>
      </c>
      <c r="N159" s="231" t="s">
        <v>1507</v>
      </c>
      <c r="O159" s="1642"/>
      <c r="P159" s="231">
        <f>29.39/F159/1.13</f>
        <v>3.80413186449058</v>
      </c>
      <c r="Q159" s="231">
        <v>20.3</v>
      </c>
      <c r="R159" s="231">
        <f>27/F159</f>
        <v>3.94910048266784</v>
      </c>
      <c r="S159" s="231">
        <f t="shared" si="17"/>
        <v>28.0532323471584</v>
      </c>
      <c r="T159" s="1649" t="s">
        <v>5180</v>
      </c>
      <c r="U159" s="1649"/>
      <c r="V159" s="229" t="s">
        <v>5181</v>
      </c>
      <c r="W159" s="1652" t="s">
        <v>5182</v>
      </c>
    </row>
    <row r="160" s="1203" customFormat="1" ht="15" hidden="1" spans="1:23">
      <c r="A160" s="1189"/>
      <c r="B160" s="1649" t="s">
        <v>1208</v>
      </c>
      <c r="C160" s="1649"/>
      <c r="D160" s="1649"/>
      <c r="E160" s="1650">
        <v>46083</v>
      </c>
      <c r="F160" s="1651">
        <v>6.91</v>
      </c>
      <c r="G160" s="244" t="s">
        <v>5183</v>
      </c>
      <c r="H160" s="244" t="s">
        <v>1571</v>
      </c>
      <c r="I160" s="244"/>
      <c r="J160" s="244"/>
      <c r="K160" s="244" t="s">
        <v>5184</v>
      </c>
      <c r="L160" s="227" t="s">
        <v>5185</v>
      </c>
      <c r="M160" s="227" t="s">
        <v>3537</v>
      </c>
      <c r="N160" s="231" t="s">
        <v>5185</v>
      </c>
      <c r="O160" s="1642"/>
      <c r="P160" s="231">
        <f>21.89/F160/1.13</f>
        <v>2.80342712242101</v>
      </c>
      <c r="Q160" s="231">
        <v>32.62</v>
      </c>
      <c r="R160" s="231">
        <f>27/F160</f>
        <v>3.90738060781476</v>
      </c>
      <c r="S160" s="231">
        <f t="shared" si="17"/>
        <v>39.3308077302358</v>
      </c>
      <c r="T160" s="1649" t="s">
        <v>1526</v>
      </c>
      <c r="U160" s="1649"/>
      <c r="V160" s="229" t="s">
        <v>5186</v>
      </c>
    </row>
    <row r="161" s="1203" customFormat="1" hidden="1" spans="1:22">
      <c r="A161" s="1189"/>
      <c r="B161" s="1649" t="s">
        <v>1208</v>
      </c>
      <c r="C161" s="880"/>
      <c r="D161" s="880"/>
      <c r="E161" s="1653">
        <v>46246</v>
      </c>
      <c r="F161" s="880">
        <v>6.75</v>
      </c>
      <c r="G161" s="880"/>
      <c r="H161" s="1654" t="s">
        <v>5187</v>
      </c>
      <c r="I161" s="20"/>
      <c r="J161" s="20"/>
      <c r="K161" s="21"/>
      <c r="L161" s="21"/>
      <c r="M161" s="21"/>
      <c r="N161" s="21"/>
      <c r="O161" s="21"/>
      <c r="P161" s="22">
        <f>50.94/F161/1.13</f>
        <v>6.67846607669617</v>
      </c>
      <c r="Q161" s="22">
        <v>4.23</v>
      </c>
      <c r="R161" s="231">
        <f>8.76/F161/1.13</f>
        <v>1.14847590953786</v>
      </c>
      <c r="S161" s="231">
        <f t="shared" si="17"/>
        <v>12.056941986234</v>
      </c>
      <c r="T161" s="23"/>
      <c r="U161" s="23"/>
      <c r="V161" s="139" t="s">
        <v>5188</v>
      </c>
    </row>
    <row r="162" s="1203" customFormat="1" hidden="1" spans="1:22">
      <c r="A162" s="1189"/>
      <c r="B162" s="880" t="s">
        <v>5189</v>
      </c>
      <c r="C162" s="880" t="s">
        <v>5190</v>
      </c>
      <c r="D162" s="880"/>
      <c r="E162" s="1653">
        <v>46198</v>
      </c>
      <c r="F162" s="880">
        <v>6.7739</v>
      </c>
      <c r="G162" s="880" t="s">
        <v>5191</v>
      </c>
      <c r="H162" s="880" t="s">
        <v>2395</v>
      </c>
      <c r="I162" s="20"/>
      <c r="J162" s="20"/>
      <c r="K162" s="21"/>
      <c r="L162" s="21"/>
      <c r="M162" s="21"/>
      <c r="N162" s="21"/>
      <c r="O162" s="21"/>
      <c r="P162" s="22">
        <f>57.55/F162/1.13</f>
        <v>7.51844632188592</v>
      </c>
      <c r="Q162" s="22">
        <f>31.9+20/6.7739/1.13</f>
        <v>34.5128397295868</v>
      </c>
      <c r="R162" s="231">
        <v>0.3</v>
      </c>
      <c r="S162" s="231">
        <f t="shared" si="17"/>
        <v>42.3312860514727</v>
      </c>
      <c r="T162" s="23"/>
      <c r="U162" s="23"/>
      <c r="V162" s="20" t="s">
        <v>5192</v>
      </c>
    </row>
    <row r="163" s="1203" customFormat="1" ht="15" hidden="1" spans="1:22">
      <c r="A163" s="1189"/>
      <c r="B163" s="1639" t="s">
        <v>1430</v>
      </c>
      <c r="C163" s="23" t="s">
        <v>5038</v>
      </c>
      <c r="D163" s="23" t="s">
        <v>5039</v>
      </c>
      <c r="E163" s="1653">
        <v>46238</v>
      </c>
      <c r="F163" s="880">
        <v>6.78</v>
      </c>
      <c r="G163" s="880"/>
      <c r="H163" s="1654" t="s">
        <v>5193</v>
      </c>
      <c r="I163" s="20"/>
      <c r="J163" s="20"/>
      <c r="K163" s="21"/>
      <c r="L163" s="21"/>
      <c r="M163" s="21"/>
      <c r="N163" s="21"/>
      <c r="O163" s="21"/>
      <c r="P163" s="22">
        <f>86.42/6.78/1.13</f>
        <v>11.2799227295272</v>
      </c>
      <c r="Q163" s="22">
        <v>40.82</v>
      </c>
      <c r="R163" s="1241">
        <f t="shared" ref="R163:R167" si="18">32.5/6.78</f>
        <v>4.79351032448378</v>
      </c>
      <c r="S163" s="1642">
        <f t="shared" si="17"/>
        <v>56.893433054011</v>
      </c>
      <c r="T163" s="23"/>
      <c r="U163" s="23"/>
      <c r="V163" s="20"/>
    </row>
    <row r="164" s="1203" customFormat="1" hidden="1" spans="1:22">
      <c r="A164" s="1189"/>
      <c r="B164" s="1654" t="s">
        <v>3304</v>
      </c>
      <c r="C164" s="880"/>
      <c r="D164" s="880"/>
      <c r="E164" s="880"/>
      <c r="F164" s="880"/>
      <c r="G164" s="880"/>
      <c r="H164" s="880" t="s">
        <v>5194</v>
      </c>
      <c r="I164" s="20"/>
      <c r="J164" s="20"/>
      <c r="K164" s="21"/>
      <c r="L164" s="21"/>
      <c r="M164" s="21"/>
      <c r="N164" s="21"/>
      <c r="O164" s="21"/>
      <c r="P164" s="22"/>
      <c r="Q164" s="22"/>
      <c r="R164" s="1241"/>
      <c r="S164" s="1241"/>
      <c r="T164" s="23"/>
      <c r="U164" s="23"/>
      <c r="V164" s="20"/>
    </row>
    <row r="165" s="1203" customFormat="1" hidden="1" spans="1:22">
      <c r="A165" s="1189"/>
      <c r="B165" s="880"/>
      <c r="C165" s="880"/>
      <c r="D165" s="880"/>
      <c r="E165" s="880"/>
      <c r="F165" s="880"/>
      <c r="G165" s="880"/>
      <c r="H165" s="1654" t="s">
        <v>5195</v>
      </c>
      <c r="I165" s="20"/>
      <c r="J165" s="20"/>
      <c r="K165" s="21"/>
      <c r="L165" s="21"/>
      <c r="M165" s="21"/>
      <c r="N165" s="21"/>
      <c r="O165" s="21"/>
      <c r="P165" s="22"/>
      <c r="Q165" s="22"/>
      <c r="R165" s="1241"/>
      <c r="S165" s="1241"/>
      <c r="T165" s="23"/>
      <c r="U165" s="23"/>
      <c r="V165" s="20"/>
    </row>
    <row r="166" ht="15" hidden="1" spans="1:22">
      <c r="B166" s="1639" t="s">
        <v>1430</v>
      </c>
      <c r="C166" s="23" t="s">
        <v>5038</v>
      </c>
      <c r="D166" s="23" t="s">
        <v>5039</v>
      </c>
      <c r="E166" s="880"/>
      <c r="F166" s="880"/>
      <c r="G166" s="880"/>
      <c r="H166" s="1654" t="s">
        <v>5196</v>
      </c>
      <c r="I166" s="20"/>
      <c r="J166" s="20"/>
      <c r="K166" s="21"/>
      <c r="L166" s="21"/>
      <c r="M166" s="21"/>
      <c r="N166" s="21"/>
      <c r="O166" s="21"/>
      <c r="P166" s="22">
        <f>86.42/6.78/1.13</f>
        <v>11.2799227295272</v>
      </c>
      <c r="Q166" s="22">
        <v>39</v>
      </c>
      <c r="R166" s="1241">
        <f t="shared" si="18"/>
        <v>4.79351032448378</v>
      </c>
      <c r="S166" s="1241"/>
      <c r="T166" s="23"/>
      <c r="U166" s="23"/>
      <c r="V166" s="20"/>
    </row>
    <row r="167" hidden="1" spans="1:22">
      <c r="B167" s="791" t="s">
        <v>5197</v>
      </c>
      <c r="C167" s="1203" t="s">
        <v>5198</v>
      </c>
      <c r="E167" s="1655">
        <v>46273</v>
      </c>
      <c r="F167" s="1203">
        <v>6.72</v>
      </c>
      <c r="H167" s="791" t="s">
        <v>5199</v>
      </c>
      <c r="M167" s="1082" t="s">
        <v>1428</v>
      </c>
      <c r="N167" s="153" t="s">
        <v>712</v>
      </c>
      <c r="O167" s="151" t="s">
        <v>1428</v>
      </c>
      <c r="P167" s="727">
        <f>87.26/F167/1.13*1.05</f>
        <v>12.0658185840708</v>
      </c>
      <c r="Q167" s="727">
        <v>50</v>
      </c>
      <c r="R167" s="1257">
        <f t="shared" si="18"/>
        <v>4.79351032448378</v>
      </c>
      <c r="S167" s="1257">
        <f>P167+R167+Q167</f>
        <v>66.8593289085546</v>
      </c>
    </row>
    <row r="209" spans="4:15">
      <c r="D209" s="1656"/>
      <c r="E209" s="1656"/>
      <c r="F209" s="1656"/>
      <c r="G209" s="1656"/>
      <c r="H209" s="1656"/>
      <c r="I209" s="1592"/>
      <c r="J209" s="1592"/>
      <c r="K209" s="1593"/>
      <c r="L209" s="1593"/>
      <c r="M209" s="1593"/>
      <c r="N209" s="1593">
        <f>23.49+20/6.7739/1.13</f>
        <v>26.1028397295868</v>
      </c>
      <c r="O209" s="1593"/>
    </row>
    <row r="367" spans="5:23">
      <c r="E367" s="1657"/>
      <c r="F367" s="1657"/>
      <c r="G367" s="1657"/>
      <c r="H367" s="1657" t="s">
        <v>667</v>
      </c>
      <c r="I367" s="1594"/>
      <c r="J367" s="1594"/>
      <c r="K367" s="1595"/>
      <c r="L367" s="1595"/>
      <c r="M367" s="1595"/>
      <c r="N367" s="1595"/>
      <c r="O367" s="1595"/>
      <c r="P367" s="1596" t="e">
        <f>37.88/F367/1.13</f>
        <v>#DIV/0!</v>
      </c>
      <c r="Q367" s="1596">
        <v>19.29</v>
      </c>
      <c r="R367" s="1597">
        <v>3.15</v>
      </c>
      <c r="S367" s="1597"/>
      <c r="W367" s="1598"/>
    </row>
    <row r="370" spans="2:18">
      <c r="B370" s="1203" t="s">
        <v>1430</v>
      </c>
    </row>
    <row r="372" spans="2:18">
      <c r="B372" s="791"/>
      <c r="C372" s="791"/>
      <c r="D372" s="791"/>
      <c r="E372" s="791"/>
      <c r="F372" s="791"/>
      <c r="G372" s="791"/>
      <c r="H372" s="791"/>
      <c r="I372" s="149"/>
      <c r="J372" s="149"/>
      <c r="K372" s="153"/>
      <c r="L372" s="1082" t="s">
        <v>712</v>
      </c>
      <c r="M372" s="153"/>
      <c r="N372" s="153"/>
      <c r="O372" s="153"/>
      <c r="P372" s="727" t="e">
        <f>32.97/F372/1.13</f>
        <v>#DIV/0!</v>
      </c>
      <c r="Q372" s="727"/>
      <c r="R372" s="1257"/>
    </row>
    <row r="373" spans="2:18">
      <c r="B373" s="791"/>
      <c r="C373" s="791"/>
      <c r="D373" s="791"/>
      <c r="E373" s="791"/>
      <c r="F373" s="791" t="s">
        <v>715</v>
      </c>
      <c r="G373" s="791"/>
      <c r="H373" s="791"/>
      <c r="I373" s="149"/>
      <c r="J373" s="149"/>
      <c r="K373" s="153"/>
      <c r="L373" s="1082" t="s">
        <v>712</v>
      </c>
      <c r="M373" s="153"/>
      <c r="N373" s="153"/>
      <c r="O373" s="153">
        <v>15.3</v>
      </c>
      <c r="P373" s="727" t="e">
        <f>32.97/F373/1.13</f>
        <v>#VALUE!</v>
      </c>
      <c r="Q373" s="727"/>
      <c r="R373" s="1257"/>
    </row>
    <row r="403" spans="6:6">
      <c r="F403" s="1203" t="s">
        <v>756</v>
      </c>
    </row>
    <row r="501" spans="7:7">
      <c r="G501" s="1203" t="s">
        <v>2905</v>
      </c>
    </row>
    <row r="622" spans="2:9">
      <c r="B622" s="1503" t="s">
        <v>313</v>
      </c>
      <c r="H622" s="1203" t="s">
        <v>1241</v>
      </c>
      <c r="I622" s="1579" t="s">
        <v>1242</v>
      </c>
    </row>
    <row r="653" spans="1:14">
      <c r="A653" s="1255" t="s">
        <v>1366</v>
      </c>
      <c r="B653" s="791"/>
      <c r="E653" s="1203" t="s">
        <v>1367</v>
      </c>
      <c r="H653" s="791">
        <v>2.92</v>
      </c>
      <c r="J653" s="1579">
        <v>9.82</v>
      </c>
      <c r="K653" s="1242">
        <v>0.76</v>
      </c>
      <c r="M653" s="29"/>
      <c r="N653" s="1135" t="s">
        <v>1368</v>
      </c>
    </row>
    <row r="841" spans="16:16">
      <c r="P841" s="1580" t="e">
        <f>36.32/F841/1.13</f>
        <v>#DIV/0!</v>
      </c>
    </row>
    <row r="853" spans="2:7">
      <c r="B853" s="1203" t="s">
        <v>3192</v>
      </c>
      <c r="F853" s="1203">
        <v>6.8819</v>
      </c>
      <c r="G853" s="1203" t="s">
        <v>3193</v>
      </c>
    </row>
  </sheetData>
  <autoFilter xmlns:etc="http://www.wps.cn/officeDocument/2017/etCustomData" ref="A2:W167" etc:filterBottomFollowUsedRange="0">
    <filterColumn colId="1">
      <customFilters>
        <customFilter operator="equal" val="ACN58(10L+通孔+沉金)"/>
      </customFilters>
    </filterColumn>
    <extLst/>
  </autoFilter>
  <mergeCells count="13">
    <mergeCell ref="B13:B22"/>
    <mergeCell ref="B23:B35"/>
    <mergeCell ref="B36:B45"/>
    <mergeCell ref="B46:B50"/>
    <mergeCell ref="B53:B54"/>
    <mergeCell ref="B56:B67"/>
    <mergeCell ref="B68:B75"/>
    <mergeCell ref="B76:B83"/>
    <mergeCell ref="B85:B91"/>
    <mergeCell ref="B92:B118"/>
    <mergeCell ref="B119:B137"/>
    <mergeCell ref="B138:B139"/>
    <mergeCell ref="B140:B142"/>
  </mergeCells>
  <pageMargins left="0.75" right="0.75" top="1" bottom="1" header="0.5" footer="0.5"/>
  <pageSetup paperSize="9" orientation="portrait"/>
  <headerFooter/>
  <ignoredErrors>
    <ignoredError sqref="S131 O125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rgb="FFFF0000"/>
  </sheetPr>
  <dimension ref="A1:R692"/>
  <sheetViews>
    <sheetView zoomScale="80" zoomScaleNormal="80" workbookViewId="0">
      <pane ySplit="2" topLeftCell="A3" activePane="bottomLeft" state="frozen"/>
      <selection/>
      <selection pane="bottomLeft" activeCell="G521" sqref="G521"/>
    </sheetView>
  </sheetViews>
  <sheetFormatPr defaultColWidth="9" defaultRowHeight="13.2"/>
  <cols>
    <col min="1" max="2" width="4.66666666666667" style="1189" customWidth="1"/>
    <col min="3" max="3" width="26.7777777777778" style="1203" customWidth="1"/>
    <col min="4" max="5" width="33.75" style="1203" customWidth="1"/>
    <col min="6" max="6" width="30.3148148148148" style="1579" customWidth="1"/>
    <col min="7" max="7" width="25.4537037037037" style="1242" customWidth="1"/>
    <col min="8" max="8" width="10.6666666666667" style="1242" customWidth="1"/>
    <col min="9" max="9" width="17.0185185185185" style="1242" customWidth="1"/>
    <col min="10" max="10" width="11.4259259259259" style="1242" customWidth="1"/>
    <col min="11" max="11" width="6.53703703703704" style="1242" customWidth="1"/>
    <col min="12" max="13" width="10.7777777777778" style="1580" customWidth="1"/>
    <col min="14" max="14" width="10.7777777777778" style="1581" customWidth="1"/>
    <col min="15" max="15" width="15.537037037037" style="1581" customWidth="1"/>
    <col min="16" max="16" width="11.5277777777778" style="1582" customWidth="1"/>
    <col min="17" max="17" width="26.3888888888889" style="1579" customWidth="1"/>
    <col min="18" max="18" width="32.0833333333333" style="1189" customWidth="1"/>
    <col min="19" max="16384" width="9" style="1189"/>
  </cols>
  <sheetData>
    <row r="1" s="188" customFormat="1" ht="19" customHeight="1" spans="1:18">
      <c r="C1" s="11" t="s">
        <v>3487</v>
      </c>
      <c r="D1" s="11"/>
      <c r="E1" s="11"/>
      <c r="F1" s="127"/>
      <c r="G1" s="13"/>
      <c r="H1" s="14"/>
      <c r="I1" s="14"/>
      <c r="J1" s="915" t="s">
        <v>712</v>
      </c>
      <c r="K1" s="129"/>
      <c r="L1" s="867"/>
      <c r="M1" s="867"/>
      <c r="N1" s="869"/>
      <c r="O1" s="869"/>
      <c r="P1" s="12"/>
      <c r="Q1" s="131"/>
    </row>
    <row r="2" s="987" customFormat="1" ht="19.5" customHeight="1" spans="1:18">
      <c r="A2" s="1583" t="s">
        <v>4540</v>
      </c>
      <c r="B2" s="1583"/>
      <c r="C2" s="1584" t="s">
        <v>5200</v>
      </c>
      <c r="D2" s="1584" t="s">
        <v>1</v>
      </c>
      <c r="E2" s="1584"/>
      <c r="F2" s="956" t="s">
        <v>1933</v>
      </c>
      <c r="G2" s="956" t="s">
        <v>4102</v>
      </c>
      <c r="H2" s="956" t="s">
        <v>1910</v>
      </c>
      <c r="I2" s="956" t="s">
        <v>1497</v>
      </c>
      <c r="J2" s="956" t="s">
        <v>1498</v>
      </c>
      <c r="K2" s="956" t="s">
        <v>1497</v>
      </c>
      <c r="L2" s="956" t="s">
        <v>6</v>
      </c>
      <c r="M2" s="956" t="s">
        <v>7</v>
      </c>
      <c r="N2" s="956" t="s">
        <v>8</v>
      </c>
      <c r="O2" s="956" t="s">
        <v>9</v>
      </c>
      <c r="P2" s="1585" t="s">
        <v>4105</v>
      </c>
      <c r="Q2" s="136" t="s">
        <v>4106</v>
      </c>
      <c r="R2" s="1586" t="s">
        <v>1918</v>
      </c>
    </row>
    <row r="3" ht="20" customHeight="1" spans="1:18">
      <c r="C3" s="1587" t="s">
        <v>5196</v>
      </c>
      <c r="D3" s="1587" t="s">
        <v>5201</v>
      </c>
      <c r="E3" s="1587" t="s">
        <v>5202</v>
      </c>
      <c r="F3" s="711"/>
      <c r="G3" s="961"/>
      <c r="H3" s="961"/>
      <c r="I3" s="1588" t="s">
        <v>5203</v>
      </c>
      <c r="J3" s="961" t="s">
        <v>712</v>
      </c>
      <c r="K3" s="1588" t="s">
        <v>5203</v>
      </c>
      <c r="L3" s="1589">
        <f>96.16/6.73/1.13</f>
        <v>12.6444792173467</v>
      </c>
      <c r="M3" s="1589">
        <v>40.22</v>
      </c>
      <c r="N3" s="1589">
        <f>32.5/6.78</f>
        <v>4.79351032448378</v>
      </c>
      <c r="O3" s="1589">
        <f>SUBTOTAL(109,L3:N3)</f>
        <v>57.6579895418305</v>
      </c>
      <c r="P3" s="959"/>
      <c r="Q3" s="1590" t="s">
        <v>5204</v>
      </c>
      <c r="R3" s="1590" t="s">
        <v>5205</v>
      </c>
    </row>
    <row r="4" ht="20" customHeight="1" spans="1:18">
      <c r="C4" s="1587"/>
      <c r="D4" s="1587" t="s">
        <v>5206</v>
      </c>
      <c r="E4" s="1587" t="s">
        <v>5165</v>
      </c>
      <c r="F4" s="711"/>
      <c r="G4" s="961"/>
      <c r="H4" s="961"/>
      <c r="I4" s="1588" t="s">
        <v>5203</v>
      </c>
      <c r="J4" s="961" t="s">
        <v>712</v>
      </c>
      <c r="K4" s="1588" t="s">
        <v>5203</v>
      </c>
      <c r="L4" s="1589">
        <f>96.16/6.73/1.13</f>
        <v>12.6444792173467</v>
      </c>
      <c r="M4" s="1589">
        <v>51.4</v>
      </c>
      <c r="N4" s="1589">
        <f>32.5/6.78</f>
        <v>4.79351032448378</v>
      </c>
      <c r="O4" s="1589">
        <f>SUBTOTAL(109,L4:N4)</f>
        <v>68.8379895418305</v>
      </c>
      <c r="P4" s="1591" t="s">
        <v>1526</v>
      </c>
      <c r="Q4" s="959"/>
      <c r="R4" s="959"/>
    </row>
    <row r="5" ht="20" customHeight="1" spans="1:18">
      <c r="C5" s="1587"/>
      <c r="D5" s="1587" t="s">
        <v>5207</v>
      </c>
      <c r="E5" s="1587"/>
      <c r="F5" s="711"/>
      <c r="G5" s="961"/>
      <c r="H5" s="961"/>
      <c r="I5" s="1588" t="s">
        <v>1428</v>
      </c>
      <c r="J5" s="1588" t="s">
        <v>1428</v>
      </c>
      <c r="K5" s="1588" t="s">
        <v>1428</v>
      </c>
      <c r="L5" s="1589">
        <f>10.8/6.73/1.13*1.1</f>
        <v>1.56215071861563</v>
      </c>
      <c r="M5" s="1589">
        <v>10.97</v>
      </c>
      <c r="N5" s="1589">
        <f>6/6.78</f>
        <v>0.884955752212389</v>
      </c>
      <c r="O5" s="1589">
        <f>SUBTOTAL(109,L5:N5)</f>
        <v>13.417106470828</v>
      </c>
      <c r="P5" s="959"/>
      <c r="Q5" s="959"/>
      <c r="R5" s="959"/>
    </row>
    <row r="48" spans="6:11">
      <c r="F48" s="1592"/>
      <c r="G48" s="1593"/>
      <c r="H48" s="1593"/>
      <c r="I48" s="1593"/>
      <c r="J48" s="1593">
        <f>23.49+20/6.7739/1.13</f>
        <v>26.1028397295868</v>
      </c>
      <c r="K48" s="1593"/>
    </row>
    <row r="206" spans="6:18">
      <c r="F206" s="1594"/>
      <c r="G206" s="1595"/>
      <c r="H206" s="1595"/>
      <c r="I206" s="1595"/>
      <c r="J206" s="1595"/>
      <c r="K206" s="1595"/>
      <c r="L206" s="1596" t="e">
        <f>37.88/#REF!/1.13</f>
        <v>#REF!</v>
      </c>
      <c r="M206" s="1596">
        <v>19.29</v>
      </c>
      <c r="N206" s="1597">
        <v>3.15</v>
      </c>
      <c r="O206" s="1597"/>
      <c r="R206" s="1598"/>
    </row>
    <row r="209" spans="3:12">
      <c r="C209" s="1203" t="s">
        <v>1430</v>
      </c>
    </row>
    <row r="211" spans="3:12">
      <c r="L211" s="1580" t="e">
        <f>32.97/#REF!/1.13</f>
        <v>#REF!</v>
      </c>
    </row>
    <row r="365" spans="2:18">
      <c r="B365" s="1255"/>
      <c r="C365" s="791"/>
      <c r="D365" s="791"/>
      <c r="E365" s="791"/>
      <c r="F365" s="149"/>
      <c r="G365" s="153"/>
      <c r="H365" s="153"/>
      <c r="I365" s="153"/>
      <c r="J365" s="153"/>
      <c r="K365" s="727"/>
      <c r="L365" s="1565" t="s">
        <v>712</v>
      </c>
      <c r="M365" s="727"/>
      <c r="N365" s="1257"/>
      <c r="O365" s="1257"/>
      <c r="P365" s="687"/>
      <c r="Q365" s="149"/>
      <c r="R365" s="1255"/>
    </row>
    <row r="366" spans="2:18">
      <c r="B366" s="1255"/>
      <c r="C366" s="791"/>
      <c r="D366" s="791"/>
      <c r="E366" s="791"/>
      <c r="F366" s="149" t="s">
        <v>715</v>
      </c>
      <c r="G366" s="153"/>
      <c r="H366" s="153"/>
      <c r="I366" s="153"/>
      <c r="J366" s="153"/>
      <c r="K366" s="727"/>
      <c r="L366" s="1565" t="s">
        <v>712</v>
      </c>
      <c r="M366" s="727"/>
      <c r="N366" s="1257"/>
      <c r="O366" s="1257">
        <v>15.3</v>
      </c>
      <c r="P366" s="687"/>
      <c r="Q366" s="149"/>
      <c r="R366" s="1255"/>
    </row>
    <row r="461" spans="3:3">
      <c r="C461" s="1503" t="s">
        <v>313</v>
      </c>
    </row>
    <row r="653" spans="1:14">
      <c r="A653" s="1255" t="s">
        <v>1366</v>
      </c>
      <c r="B653" s="1255"/>
      <c r="C653" s="791"/>
      <c r="D653" s="791"/>
      <c r="E653" s="791" t="s">
        <v>1367</v>
      </c>
      <c r="F653" s="149"/>
      <c r="G653" s="153"/>
      <c r="H653" s="153">
        <v>2.92</v>
      </c>
      <c r="I653" s="153"/>
      <c r="J653" s="153">
        <v>9.82</v>
      </c>
      <c r="K653" s="153">
        <v>0.76</v>
      </c>
      <c r="L653" s="727"/>
      <c r="M653" s="31"/>
      <c r="N653" s="1599" t="s">
        <v>1368</v>
      </c>
    </row>
    <row r="680" spans="12:12">
      <c r="L680" s="1580" t="e">
        <f>36.32/#REF!/1.13</f>
        <v>#REF!</v>
      </c>
    </row>
    <row r="692" spans="3:3">
      <c r="C692" s="1203" t="s">
        <v>3192</v>
      </c>
    </row>
  </sheetData>
  <mergeCells count="3">
    <mergeCell ref="C3:C5"/>
    <mergeCell ref="Q3:Q5"/>
    <mergeCell ref="R3:R5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W83"/>
  <sheetViews>
    <sheetView tabSelected="1" zoomScale="70" zoomScaleNormal="70" topLeftCell="A46" workbookViewId="0">
      <selection activeCell="H68" sqref="H68"/>
    </sheetView>
  </sheetViews>
  <sheetFormatPr defaultColWidth="9" defaultRowHeight="13.2"/>
  <cols>
    <col min="1" max="1" width="4.66666666666667" style="989" customWidth="1"/>
    <col min="2" max="2" width="8.74074074074074" style="990" customWidth="1"/>
    <col min="3" max="3" width="12.5" style="990" customWidth="1"/>
    <col min="4" max="4" width="6.58333333333333" style="990" customWidth="1"/>
    <col min="5" max="5" width="19.1574074074074" style="989" customWidth="1"/>
    <col min="6" max="6" width="8.0462962962963" style="989" customWidth="1"/>
    <col min="7" max="7" width="11.75" style="990" customWidth="1"/>
    <col min="8" max="8" width="10.6666666666667" style="990" customWidth="1"/>
    <col min="9" max="9" width="14.3055555555556" style="989" customWidth="1"/>
    <col min="10" max="10" width="13.7407407407407" style="1205" customWidth="1"/>
    <col min="11" max="11" width="6.91666666666667" style="1205" customWidth="1"/>
    <col min="12" max="12" width="6.75" style="1205" customWidth="1"/>
    <col min="13" max="13" width="9.0462962962963" style="1205" customWidth="1"/>
    <col min="14" max="14" width="6.25" style="1205" customWidth="1"/>
    <col min="15" max="15" width="6.41666666666667" style="1207" customWidth="1"/>
    <col min="16" max="16" width="7.66666666666667" style="1207" customWidth="1"/>
    <col min="17" max="17" width="7.25" style="1205" customWidth="1"/>
    <col min="18" max="18" width="8.83333333333333" style="1457" customWidth="1"/>
    <col min="19" max="19" width="7.66666666666667" style="1458" customWidth="1"/>
    <col min="20" max="21" width="7.66666666666667" style="1459" hidden="1" customWidth="1"/>
    <col min="22" max="22" width="31.7962962962963" style="990" customWidth="1"/>
    <col min="23" max="23" width="62.7777777777778" style="1204" customWidth="1"/>
    <col min="24" max="16384" width="9" style="989"/>
  </cols>
  <sheetData>
    <row r="1" s="799" customFormat="1" ht="16" customHeight="1" spans="1:23">
      <c r="A1" s="1460" t="s">
        <v>1493</v>
      </c>
      <c r="B1" s="1461">
        <v>6.71</v>
      </c>
      <c r="C1" s="1460" t="s">
        <v>5208</v>
      </c>
      <c r="D1" s="801"/>
      <c r="E1" s="801"/>
      <c r="F1" s="1462"/>
      <c r="G1" s="1462"/>
      <c r="H1" s="1463"/>
      <c r="I1" s="1464"/>
      <c r="J1" s="1465"/>
      <c r="K1" s="1465"/>
      <c r="L1" s="1465"/>
      <c r="M1" s="1465"/>
      <c r="N1" s="1465"/>
      <c r="O1" s="1466"/>
      <c r="P1" s="1466"/>
      <c r="Q1" s="1465"/>
      <c r="R1" s="1467"/>
      <c r="S1" s="1468"/>
      <c r="T1" s="1469"/>
      <c r="U1" s="1469"/>
      <c r="V1" s="1462"/>
      <c r="W1" s="1470"/>
    </row>
    <row r="2" s="799" customFormat="1" ht="16" customHeight="1" spans="1:23">
      <c r="A2" s="801"/>
      <c r="B2" s="684"/>
      <c r="C2" s="801"/>
      <c r="D2" s="801"/>
      <c r="E2" s="801"/>
      <c r="F2" s="1471"/>
      <c r="G2" s="1471"/>
      <c r="H2" s="1472"/>
      <c r="I2" s="1473"/>
      <c r="J2" s="1474"/>
      <c r="K2" s="1475" t="s">
        <v>712</v>
      </c>
      <c r="L2" s="1476"/>
      <c r="M2" s="1477"/>
      <c r="N2" s="1474"/>
      <c r="O2" s="1478"/>
      <c r="P2" s="1478"/>
      <c r="Q2" s="1474"/>
      <c r="R2" s="1479"/>
      <c r="S2" s="1480"/>
      <c r="T2" s="1481"/>
      <c r="U2" s="1481"/>
      <c r="V2" s="1471"/>
      <c r="W2" s="1482"/>
    </row>
    <row r="3" s="799" customFormat="1" ht="16" customHeight="1" spans="1:23">
      <c r="A3" s="1483" t="s">
        <v>5209</v>
      </c>
      <c r="B3" s="1484" t="s">
        <v>1</v>
      </c>
      <c r="C3" s="1484" t="s">
        <v>2</v>
      </c>
      <c r="D3" s="1484" t="s">
        <v>1493</v>
      </c>
      <c r="E3" s="1485" t="s">
        <v>5</v>
      </c>
      <c r="F3" s="1486" t="s">
        <v>1933</v>
      </c>
      <c r="G3" s="1486" t="s">
        <v>4102</v>
      </c>
      <c r="H3" s="1487" t="s">
        <v>4541</v>
      </c>
      <c r="I3" s="1488" t="s">
        <v>1497</v>
      </c>
      <c r="J3" s="1489" t="s">
        <v>4102</v>
      </c>
      <c r="K3" s="1490" t="s">
        <v>4103</v>
      </c>
      <c r="L3" s="1491" t="s">
        <v>4104</v>
      </c>
      <c r="M3" s="1492" t="s">
        <v>5210</v>
      </c>
      <c r="N3" s="1493" t="s">
        <v>1497</v>
      </c>
      <c r="O3" s="1494" t="s">
        <v>6</v>
      </c>
      <c r="P3" s="1494" t="s">
        <v>7</v>
      </c>
      <c r="Q3" s="1495" t="s">
        <v>5211</v>
      </c>
      <c r="R3" s="1496" t="s">
        <v>8</v>
      </c>
      <c r="S3" s="1497" t="s">
        <v>9</v>
      </c>
      <c r="T3" s="1498" t="s">
        <v>5212</v>
      </c>
      <c r="U3" s="1498" t="s">
        <v>5213</v>
      </c>
      <c r="V3" s="1486" t="s">
        <v>5214</v>
      </c>
      <c r="W3" s="1499" t="s">
        <v>10</v>
      </c>
    </row>
    <row r="4" s="799" customFormat="1" ht="19" customHeight="1" spans="1:23">
      <c r="A4" s="1005"/>
      <c r="B4" s="1500" t="s">
        <v>5215</v>
      </c>
      <c r="C4" s="1500"/>
      <c r="D4" s="1500"/>
      <c r="E4" s="1501" t="s">
        <v>1565</v>
      </c>
      <c r="F4" s="1502" t="s">
        <v>5216</v>
      </c>
      <c r="G4" s="1503" t="s">
        <v>5217</v>
      </c>
      <c r="H4" s="1504" t="s">
        <v>4592</v>
      </c>
      <c r="I4" s="1505" t="s">
        <v>1428</v>
      </c>
      <c r="J4" s="1056">
        <v>45.33</v>
      </c>
      <c r="K4" s="1506"/>
      <c r="L4" s="29"/>
      <c r="M4" s="1507"/>
      <c r="N4" s="1508" t="s">
        <v>1428</v>
      </c>
      <c r="O4" s="1033">
        <v>3.85321807929923</v>
      </c>
      <c r="P4" s="1033">
        <v>24.586816438373</v>
      </c>
      <c r="Q4" s="1005" t="s">
        <v>1428</v>
      </c>
      <c r="R4" s="1509">
        <v>3.85580615224951</v>
      </c>
      <c r="S4" s="1510">
        <f t="shared" ref="S4:S27" si="0">SUM(J4:R4)</f>
        <v>77.6258406699217</v>
      </c>
      <c r="T4" s="1510"/>
      <c r="U4" s="1510"/>
      <c r="V4" s="1502" t="s">
        <v>5218</v>
      </c>
      <c r="W4" s="1020" t="s">
        <v>5219</v>
      </c>
    </row>
    <row r="5" s="989" customFormat="1" ht="19" customHeight="1" spans="1:23">
      <c r="A5" s="1005"/>
      <c r="B5" s="1511"/>
      <c r="C5" s="1511"/>
      <c r="D5" s="1511"/>
      <c r="E5" s="1501" t="s">
        <v>1617</v>
      </c>
      <c r="F5" s="1502" t="s">
        <v>1933</v>
      </c>
      <c r="G5" s="1503" t="s">
        <v>5217</v>
      </c>
      <c r="H5" s="1504" t="s">
        <v>4592</v>
      </c>
      <c r="I5" s="1505" t="s">
        <v>1428</v>
      </c>
      <c r="J5" s="1056">
        <v>45.33</v>
      </c>
      <c r="K5" s="1506" t="s">
        <v>1428</v>
      </c>
      <c r="L5" s="29" t="s">
        <v>1428</v>
      </c>
      <c r="M5" s="1507" t="s">
        <v>1428</v>
      </c>
      <c r="N5" s="1508" t="s">
        <v>1428</v>
      </c>
      <c r="O5" s="1033">
        <v>3.85321807929923</v>
      </c>
      <c r="P5" s="1033">
        <v>24.4531339365782</v>
      </c>
      <c r="Q5" s="1005" t="s">
        <v>1428</v>
      </c>
      <c r="R5" s="1509">
        <v>3.85580615224951</v>
      </c>
      <c r="S5" s="1510">
        <f t="shared" si="0"/>
        <v>77.4921581681269</v>
      </c>
      <c r="T5" s="1510"/>
      <c r="U5" s="1510"/>
      <c r="V5" s="1502" t="s">
        <v>5218</v>
      </c>
      <c r="W5" s="1020" t="s">
        <v>5219</v>
      </c>
    </row>
    <row r="6" s="989" customFormat="1" ht="19" customHeight="1" spans="1:23">
      <c r="A6" s="1005"/>
      <c r="B6" s="1511"/>
      <c r="C6" s="1511"/>
      <c r="D6" s="1511"/>
      <c r="E6" s="1501" t="s">
        <v>1645</v>
      </c>
      <c r="F6" s="1502" t="s">
        <v>1933</v>
      </c>
      <c r="G6" s="1503" t="s">
        <v>5217</v>
      </c>
      <c r="H6" s="1504" t="s">
        <v>4592</v>
      </c>
      <c r="I6" s="1505" t="s">
        <v>1428</v>
      </c>
      <c r="J6" s="1056">
        <v>45.33</v>
      </c>
      <c r="K6" s="1506" t="s">
        <v>1428</v>
      </c>
      <c r="L6" s="29" t="s">
        <v>1428</v>
      </c>
      <c r="M6" s="1507" t="s">
        <v>1428</v>
      </c>
      <c r="N6" s="1508" t="s">
        <v>1428</v>
      </c>
      <c r="O6" s="1033">
        <v>3.85321807929923</v>
      </c>
      <c r="P6" s="1033">
        <v>20.36</v>
      </c>
      <c r="Q6" s="1005" t="s">
        <v>1428</v>
      </c>
      <c r="R6" s="1509">
        <v>3.85580615224951</v>
      </c>
      <c r="S6" s="1510">
        <f t="shared" si="0"/>
        <v>73.3990242315488</v>
      </c>
      <c r="T6" s="1510"/>
      <c r="U6" s="1510"/>
      <c r="V6" s="1502" t="s">
        <v>5218</v>
      </c>
      <c r="W6" s="1020" t="s">
        <v>5219</v>
      </c>
    </row>
    <row r="7" s="989" customFormat="1" ht="19" customHeight="1" spans="1:23">
      <c r="A7" s="1005"/>
      <c r="B7" s="1511"/>
      <c r="C7" s="1512"/>
      <c r="D7" s="1512"/>
      <c r="E7" s="1513" t="s">
        <v>1645</v>
      </c>
      <c r="F7" s="1502" t="s">
        <v>5216</v>
      </c>
      <c r="G7" s="1503" t="s">
        <v>5217</v>
      </c>
      <c r="H7" s="1504" t="s">
        <v>4592</v>
      </c>
      <c r="I7" s="1505" t="s">
        <v>1428</v>
      </c>
      <c r="J7" s="1056">
        <v>45.33</v>
      </c>
      <c r="K7" s="1506" t="s">
        <v>1428</v>
      </c>
      <c r="L7" s="29" t="s">
        <v>1428</v>
      </c>
      <c r="M7" s="1507" t="s">
        <v>1428</v>
      </c>
      <c r="N7" s="1508" t="s">
        <v>1428</v>
      </c>
      <c r="O7" s="1033">
        <v>3.85321807929923</v>
      </c>
      <c r="P7" s="1033">
        <v>20.6179506018903</v>
      </c>
      <c r="Q7" s="1005" t="s">
        <v>1428</v>
      </c>
      <c r="R7" s="1509">
        <v>3.85580615224951</v>
      </c>
      <c r="S7" s="1510">
        <f t="shared" si="0"/>
        <v>73.656974833439</v>
      </c>
      <c r="T7" s="1510"/>
      <c r="U7" s="1510"/>
      <c r="V7" s="1502" t="s">
        <v>5220</v>
      </c>
      <c r="W7" s="1514" t="s">
        <v>5221</v>
      </c>
    </row>
    <row r="8" s="989" customFormat="1" ht="19" customHeight="1" spans="1:23">
      <c r="A8" s="1005"/>
      <c r="B8" s="1511"/>
      <c r="C8" s="1512"/>
      <c r="D8" s="1512"/>
      <c r="E8" s="1513" t="s">
        <v>1645</v>
      </c>
      <c r="F8" s="1502" t="s">
        <v>5222</v>
      </c>
      <c r="G8" s="1503" t="s">
        <v>5217</v>
      </c>
      <c r="H8" s="1515" t="s">
        <v>3770</v>
      </c>
      <c r="I8" s="1516"/>
      <c r="J8" s="1517">
        <v>45.33</v>
      </c>
      <c r="K8" s="1506" t="s">
        <v>1428</v>
      </c>
      <c r="L8" s="29" t="s">
        <v>1428</v>
      </c>
      <c r="M8" s="1518">
        <v>24</v>
      </c>
      <c r="N8" s="1519" t="s">
        <v>1428</v>
      </c>
      <c r="O8" s="1520">
        <v>3.85321807929923</v>
      </c>
      <c r="P8" s="1520">
        <v>20.6179506018903</v>
      </c>
      <c r="Q8" s="1521" t="s">
        <v>1428</v>
      </c>
      <c r="R8" s="1509">
        <v>3.85580615224951</v>
      </c>
      <c r="S8" s="1522">
        <f t="shared" si="0"/>
        <v>97.656974833439</v>
      </c>
      <c r="T8" s="1522"/>
      <c r="U8" s="1522"/>
      <c r="V8" s="1523" t="s">
        <v>5223</v>
      </c>
      <c r="W8" s="1514" t="s">
        <v>5224</v>
      </c>
    </row>
    <row r="9" s="989" customFormat="1" ht="19" customHeight="1" spans="1:23">
      <c r="A9" s="1005"/>
      <c r="B9" s="1511"/>
      <c r="C9" s="1512"/>
      <c r="D9" s="1512"/>
      <c r="E9" s="1513" t="s">
        <v>1604</v>
      </c>
      <c r="F9" s="1502" t="s">
        <v>1933</v>
      </c>
      <c r="G9" s="1503" t="s">
        <v>5217</v>
      </c>
      <c r="H9" s="1504" t="s">
        <v>3711</v>
      </c>
      <c r="I9" s="1505" t="s">
        <v>1428</v>
      </c>
      <c r="J9" s="1056">
        <v>45.33</v>
      </c>
      <c r="K9" s="1506" t="s">
        <v>1428</v>
      </c>
      <c r="L9" s="29" t="s">
        <v>1428</v>
      </c>
      <c r="M9" s="1507" t="s">
        <v>1428</v>
      </c>
      <c r="N9" s="1508" t="s">
        <v>1428</v>
      </c>
      <c r="O9" s="1033">
        <v>3.85321807929923</v>
      </c>
      <c r="P9" s="1033">
        <v>20.9273721482124</v>
      </c>
      <c r="Q9" s="1005" t="s">
        <v>1428</v>
      </c>
      <c r="R9" s="1509">
        <v>3.85580615224951</v>
      </c>
      <c r="S9" s="1510">
        <f t="shared" si="0"/>
        <v>73.9663963797612</v>
      </c>
      <c r="T9" s="1510"/>
      <c r="U9" s="1510"/>
      <c r="V9" s="1502" t="s">
        <v>5225</v>
      </c>
      <c r="W9" s="1020" t="s">
        <v>5219</v>
      </c>
    </row>
    <row r="10" s="10" customFormat="1" ht="19" customHeight="1" spans="1:23">
      <c r="A10" s="1005"/>
      <c r="B10" s="1511"/>
      <c r="C10" s="1512"/>
      <c r="D10" s="1512"/>
      <c r="E10" s="1513" t="s">
        <v>1571</v>
      </c>
      <c r="F10" s="1502"/>
      <c r="G10" s="1503" t="s">
        <v>5217</v>
      </c>
      <c r="H10" s="1515" t="s">
        <v>3770</v>
      </c>
      <c r="I10" s="1505" t="s">
        <v>1428</v>
      </c>
      <c r="J10" s="1056">
        <v>45.33</v>
      </c>
      <c r="K10" s="1506"/>
      <c r="L10" s="29"/>
      <c r="M10" s="1507"/>
      <c r="N10" s="1508"/>
      <c r="O10" s="1033"/>
      <c r="P10" s="1033">
        <v>24.33</v>
      </c>
      <c r="Q10" s="1005"/>
      <c r="R10" s="1509">
        <v>3.86</v>
      </c>
      <c r="S10" s="1510">
        <f t="shared" si="0"/>
        <v>73.52</v>
      </c>
      <c r="T10" s="1510"/>
      <c r="U10" s="1510"/>
      <c r="V10" s="1502"/>
      <c r="W10" s="1020"/>
    </row>
    <row r="11" s="991" customFormat="1" ht="19" customHeight="1" spans="1:23">
      <c r="A11" s="1005"/>
      <c r="B11" s="1511"/>
      <c r="C11" s="1512"/>
      <c r="D11" s="1512"/>
      <c r="E11" s="1031" t="s">
        <v>5226</v>
      </c>
      <c r="F11" s="1031"/>
      <c r="G11" s="1005" t="s">
        <v>1428</v>
      </c>
      <c r="H11" s="1005" t="s">
        <v>1428</v>
      </c>
      <c r="I11" s="1005" t="s">
        <v>1428</v>
      </c>
      <c r="J11" s="1005" t="s">
        <v>1428</v>
      </c>
      <c r="K11" s="1506" t="s">
        <v>1428</v>
      </c>
      <c r="L11" s="29" t="s">
        <v>1428</v>
      </c>
      <c r="M11" s="1507" t="s">
        <v>1428</v>
      </c>
      <c r="N11" s="1508" t="s">
        <v>1428</v>
      </c>
      <c r="O11" s="31">
        <v>0.541871921182266</v>
      </c>
      <c r="P11" s="31">
        <v>1.78325123152709</v>
      </c>
      <c r="Q11" s="1005" t="s">
        <v>1428</v>
      </c>
      <c r="R11" s="1509">
        <v>0.2</v>
      </c>
      <c r="S11" s="1510">
        <f t="shared" si="0"/>
        <v>2.52512315270936</v>
      </c>
      <c r="T11" s="1510"/>
      <c r="U11" s="1510"/>
      <c r="V11" s="1031"/>
      <c r="W11" s="25"/>
    </row>
    <row r="12" s="989" customFormat="1" ht="19" customHeight="1" spans="1:23">
      <c r="A12" s="1005"/>
      <c r="B12" s="1511"/>
      <c r="C12" s="1512"/>
      <c r="D12" s="1512"/>
      <c r="E12" s="1513" t="s">
        <v>5227</v>
      </c>
      <c r="F12" s="1502"/>
      <c r="G12" s="1005" t="s">
        <v>1428</v>
      </c>
      <c r="H12" s="1005" t="s">
        <v>1428</v>
      </c>
      <c r="I12" s="1005" t="s">
        <v>1428</v>
      </c>
      <c r="J12" s="1005" t="s">
        <v>1428</v>
      </c>
      <c r="K12" s="1506" t="s">
        <v>1428</v>
      </c>
      <c r="L12" s="29" t="s">
        <v>1428</v>
      </c>
      <c r="M12" s="1507" t="s">
        <v>1428</v>
      </c>
      <c r="N12" s="1508" t="s">
        <v>1428</v>
      </c>
      <c r="O12" s="1033">
        <v>0.45320197044335</v>
      </c>
      <c r="P12" s="1033">
        <v>1.38916256157635</v>
      </c>
      <c r="Q12" s="1005" t="s">
        <v>1428</v>
      </c>
      <c r="R12" s="1509">
        <v>0.2</v>
      </c>
      <c r="S12" s="1510">
        <f t="shared" si="0"/>
        <v>2.0423645320197</v>
      </c>
      <c r="T12" s="1510"/>
      <c r="U12" s="1510"/>
      <c r="V12" s="1502"/>
      <c r="W12" s="25"/>
    </row>
    <row r="13" s="989" customFormat="1" ht="19" customHeight="1" spans="1:23">
      <c r="A13" s="1005"/>
      <c r="B13" s="1511"/>
      <c r="C13" s="1512"/>
      <c r="D13" s="1512"/>
      <c r="E13" s="1513" t="s">
        <v>5228</v>
      </c>
      <c r="F13" s="1502"/>
      <c r="G13" s="1005" t="s">
        <v>1428</v>
      </c>
      <c r="H13" s="1005" t="s">
        <v>1428</v>
      </c>
      <c r="I13" s="1005" t="s">
        <v>1428</v>
      </c>
      <c r="J13" s="1005" t="s">
        <v>1428</v>
      </c>
      <c r="K13" s="1506" t="s">
        <v>1428</v>
      </c>
      <c r="L13" s="29" t="s">
        <v>1428</v>
      </c>
      <c r="M13" s="1507" t="s">
        <v>1428</v>
      </c>
      <c r="N13" s="1508" t="s">
        <v>1428</v>
      </c>
      <c r="O13" s="1033">
        <v>0.423645320197044</v>
      </c>
      <c r="P13" s="1033">
        <v>1.41428864865125</v>
      </c>
      <c r="Q13" s="1005" t="s">
        <v>1428</v>
      </c>
      <c r="R13" s="1509">
        <v>0.2</v>
      </c>
      <c r="S13" s="1510">
        <f t="shared" si="0"/>
        <v>2.03793396884829</v>
      </c>
      <c r="T13" s="1510"/>
      <c r="U13" s="1510"/>
      <c r="V13" s="1502"/>
      <c r="W13" s="25"/>
    </row>
    <row r="14" s="991" customFormat="1" ht="19" customHeight="1" spans="1:23">
      <c r="A14" s="1005"/>
      <c r="B14" s="1524"/>
      <c r="C14" s="1525"/>
      <c r="D14" s="1525"/>
      <c r="E14" s="1031" t="s">
        <v>5229</v>
      </c>
      <c r="F14" s="1031"/>
      <c r="G14" s="1005" t="s">
        <v>1428</v>
      </c>
      <c r="H14" s="1005" t="s">
        <v>1428</v>
      </c>
      <c r="I14" s="1005" t="s">
        <v>1428</v>
      </c>
      <c r="J14" s="1005" t="s">
        <v>1428</v>
      </c>
      <c r="K14" s="1506" t="s">
        <v>1428</v>
      </c>
      <c r="L14" s="29" t="s">
        <v>1428</v>
      </c>
      <c r="M14" s="1507" t="s">
        <v>1428</v>
      </c>
      <c r="N14" s="1508" t="s">
        <v>1428</v>
      </c>
      <c r="O14" s="31">
        <v>0.482758620689655</v>
      </c>
      <c r="P14" s="31">
        <v>1.53694581280788</v>
      </c>
      <c r="Q14" s="1005" t="s">
        <v>1428</v>
      </c>
      <c r="R14" s="1509">
        <v>0.2</v>
      </c>
      <c r="S14" s="1510">
        <f t="shared" si="0"/>
        <v>2.21970443349753</v>
      </c>
      <c r="T14" s="1510"/>
      <c r="U14" s="1510"/>
      <c r="V14" s="1031"/>
      <c r="W14" s="25"/>
    </row>
    <row r="15" s="991" customFormat="1" ht="19" customHeight="1" spans="1:23">
      <c r="A15" s="1005"/>
      <c r="B15" s="1501" t="s">
        <v>5230</v>
      </c>
      <c r="C15" s="1513"/>
      <c r="D15" s="1513"/>
      <c r="E15" s="1031" t="s">
        <v>1565</v>
      </c>
      <c r="F15" s="1502" t="s">
        <v>1933</v>
      </c>
      <c r="G15" s="1503" t="s">
        <v>5217</v>
      </c>
      <c r="H15" s="1526"/>
      <c r="I15" s="1505" t="s">
        <v>1428</v>
      </c>
      <c r="J15" s="1056">
        <f>38.83+6.5</f>
        <v>45.33</v>
      </c>
      <c r="K15" s="1506" t="s">
        <v>1428</v>
      </c>
      <c r="L15" s="29" t="s">
        <v>1428</v>
      </c>
      <c r="M15" s="1507" t="s">
        <v>1428</v>
      </c>
      <c r="N15" s="1508" t="s">
        <v>1428</v>
      </c>
      <c r="O15" s="31">
        <v>3.98165868194254</v>
      </c>
      <c r="P15" s="31">
        <v>21.9590087394342</v>
      </c>
      <c r="Q15" s="1005" t="s">
        <v>1428</v>
      </c>
      <c r="R15" s="1509">
        <v>3.82760214361137</v>
      </c>
      <c r="S15" s="1510">
        <f t="shared" si="0"/>
        <v>75.0982695649881</v>
      </c>
      <c r="T15" s="1510"/>
      <c r="U15" s="1510"/>
      <c r="V15" s="1031" t="s">
        <v>5231</v>
      </c>
      <c r="W15" s="1514" t="s">
        <v>5232</v>
      </c>
    </row>
    <row r="16" s="991" customFormat="1" ht="19" customHeight="1" spans="1:23">
      <c r="A16" s="1005"/>
      <c r="B16" s="1501"/>
      <c r="C16" s="1527"/>
      <c r="D16" s="1527"/>
      <c r="E16" s="1528" t="s">
        <v>1565</v>
      </c>
      <c r="F16" s="1502" t="s">
        <v>5233</v>
      </c>
      <c r="G16" s="1503" t="s">
        <v>5217</v>
      </c>
      <c r="H16" s="1504" t="s">
        <v>4592</v>
      </c>
      <c r="I16" s="1505"/>
      <c r="J16" s="1056">
        <f>38.83+6.5</f>
        <v>45.33</v>
      </c>
      <c r="K16" s="1506" t="s">
        <v>1428</v>
      </c>
      <c r="L16" s="29" t="s">
        <v>1428</v>
      </c>
      <c r="M16" s="1507" t="s">
        <v>1428</v>
      </c>
      <c r="N16" s="1508" t="s">
        <v>1428</v>
      </c>
      <c r="O16" s="31">
        <v>3.75289033085965</v>
      </c>
      <c r="P16" s="31">
        <v>22.0953748351122</v>
      </c>
      <c r="Q16" s="1005" t="s">
        <v>1428</v>
      </c>
      <c r="R16" s="1509">
        <v>3.82760214361137</v>
      </c>
      <c r="S16" s="1510">
        <f t="shared" si="0"/>
        <v>75.0058673095832</v>
      </c>
      <c r="T16" s="1510"/>
      <c r="U16" s="1510"/>
      <c r="V16" s="1031" t="s">
        <v>5234</v>
      </c>
      <c r="W16" s="1514" t="s">
        <v>5235</v>
      </c>
    </row>
    <row r="17" s="991" customFormat="1" ht="19" customHeight="1" spans="1:23">
      <c r="A17" s="1005"/>
      <c r="B17" s="1501"/>
      <c r="C17" s="1513"/>
      <c r="D17" s="1513"/>
      <c r="E17" s="1503" t="s">
        <v>1617</v>
      </c>
      <c r="F17" s="1502" t="s">
        <v>1933</v>
      </c>
      <c r="G17" s="1503" t="s">
        <v>5217</v>
      </c>
      <c r="H17" s="123" t="s">
        <v>4592</v>
      </c>
      <c r="I17" s="1505" t="s">
        <v>1428</v>
      </c>
      <c r="J17" s="1056">
        <v>45.33</v>
      </c>
      <c r="K17" s="1506" t="s">
        <v>1428</v>
      </c>
      <c r="L17" s="29" t="s">
        <v>1428</v>
      </c>
      <c r="M17" s="1507" t="s">
        <v>1428</v>
      </c>
      <c r="N17" s="1508" t="s">
        <v>1428</v>
      </c>
      <c r="O17" s="31">
        <v>3.75289033085965</v>
      </c>
      <c r="P17" s="31">
        <v>22.271549345983</v>
      </c>
      <c r="Q17" s="1005" t="s">
        <v>1428</v>
      </c>
      <c r="R17" s="1509">
        <v>3.82760214361137</v>
      </c>
      <c r="S17" s="1510">
        <f t="shared" si="0"/>
        <v>75.182041820454</v>
      </c>
      <c r="T17" s="1510"/>
      <c r="U17" s="1510"/>
      <c r="V17" s="1031" t="s">
        <v>5236</v>
      </c>
      <c r="W17" s="1514" t="s">
        <v>5237</v>
      </c>
    </row>
    <row r="18" s="991" customFormat="1" ht="19" customHeight="1" spans="1:23">
      <c r="A18" s="1005"/>
      <c r="B18" s="1501"/>
      <c r="C18" s="1513"/>
      <c r="D18" s="1513"/>
      <c r="E18" s="1503"/>
      <c r="F18" s="1502" t="s">
        <v>1933</v>
      </c>
      <c r="G18" s="1503" t="s">
        <v>5217</v>
      </c>
      <c r="H18" s="1529" t="s">
        <v>4592</v>
      </c>
      <c r="I18" s="1505" t="s">
        <v>1428</v>
      </c>
      <c r="J18" s="1056">
        <v>45.33</v>
      </c>
      <c r="K18" s="1506" t="s">
        <v>1428</v>
      </c>
      <c r="L18" s="29" t="s">
        <v>1428</v>
      </c>
      <c r="M18" s="1507" t="s">
        <v>1428</v>
      </c>
      <c r="N18" s="1508" t="s">
        <v>1428</v>
      </c>
      <c r="O18" s="31">
        <v>3.75289033085965</v>
      </c>
      <c r="P18" s="31">
        <v>22.271549345983</v>
      </c>
      <c r="Q18" s="1005" t="s">
        <v>1428</v>
      </c>
      <c r="R18" s="1509">
        <v>3.82760214361137</v>
      </c>
      <c r="S18" s="1510">
        <f t="shared" si="0"/>
        <v>75.182041820454</v>
      </c>
      <c r="T18" s="1510"/>
      <c r="U18" s="1510"/>
      <c r="V18" s="1031" t="s">
        <v>5231</v>
      </c>
      <c r="W18" s="1030" t="s">
        <v>5238</v>
      </c>
    </row>
    <row r="19" s="991" customFormat="1" ht="19" customHeight="1" spans="1:23">
      <c r="A19" s="1005"/>
      <c r="B19" s="1501"/>
      <c r="C19" s="1513"/>
      <c r="D19" s="1513"/>
      <c r="E19" s="1503"/>
      <c r="F19" s="1502" t="s">
        <v>1933</v>
      </c>
      <c r="G19" s="1503" t="s">
        <v>5217</v>
      </c>
      <c r="H19" s="1529" t="s">
        <v>3770</v>
      </c>
      <c r="I19" s="1505" t="s">
        <v>1428</v>
      </c>
      <c r="J19" s="1056">
        <v>45.33</v>
      </c>
      <c r="K19" s="1506" t="s">
        <v>1428</v>
      </c>
      <c r="L19" s="29" t="s">
        <v>1428</v>
      </c>
      <c r="M19" s="1530">
        <v>24</v>
      </c>
      <c r="N19" s="1508" t="s">
        <v>1428</v>
      </c>
      <c r="O19" s="31">
        <v>3.75289033085965</v>
      </c>
      <c r="P19" s="31">
        <v>22.271549345983</v>
      </c>
      <c r="Q19" s="1005" t="s">
        <v>1428</v>
      </c>
      <c r="R19" s="1509">
        <v>3.82760214361137</v>
      </c>
      <c r="S19" s="1510">
        <f t="shared" si="0"/>
        <v>99.182041820454</v>
      </c>
      <c r="T19" s="1510"/>
      <c r="U19" s="1510"/>
      <c r="V19" s="1031" t="s">
        <v>5223</v>
      </c>
      <c r="W19" s="1514" t="s">
        <v>5239</v>
      </c>
    </row>
    <row r="20" s="991" customFormat="1" ht="19" customHeight="1" spans="1:23">
      <c r="A20" s="1005"/>
      <c r="B20" s="1501"/>
      <c r="C20" s="1527"/>
      <c r="D20" s="1527"/>
      <c r="E20" s="1528" t="s">
        <v>1629</v>
      </c>
      <c r="F20" s="1502" t="s">
        <v>1933</v>
      </c>
      <c r="G20" s="1503" t="s">
        <v>5217</v>
      </c>
      <c r="H20" s="1529" t="s">
        <v>4592</v>
      </c>
      <c r="I20" s="1505" t="s">
        <v>1428</v>
      </c>
      <c r="J20" s="1056">
        <v>45.33</v>
      </c>
      <c r="K20" s="1506"/>
      <c r="L20" s="29"/>
      <c r="M20" s="1530">
        <v>15.3</v>
      </c>
      <c r="N20" s="1508"/>
      <c r="O20" s="31">
        <v>3.75289033085965</v>
      </c>
      <c r="P20" s="31">
        <v>19.3497581935433</v>
      </c>
      <c r="Q20" s="1005" t="s">
        <v>1428</v>
      </c>
      <c r="R20" s="1509">
        <v>3.82760214361137</v>
      </c>
      <c r="S20" s="1510">
        <f t="shared" si="0"/>
        <v>87.5602506680143</v>
      </c>
      <c r="T20" s="1510"/>
      <c r="U20" s="1510"/>
      <c r="V20" s="1031" t="s">
        <v>5240</v>
      </c>
      <c r="W20" s="1030" t="s">
        <v>5241</v>
      </c>
    </row>
    <row r="21" s="991" customFormat="1" ht="19" customHeight="1" spans="1:23">
      <c r="A21" s="1005"/>
      <c r="B21" s="1501"/>
      <c r="C21" s="1525"/>
      <c r="D21" s="1525"/>
      <c r="E21" s="1531"/>
      <c r="F21" s="1502" t="s">
        <v>1933</v>
      </c>
      <c r="G21" s="1503" t="s">
        <v>5217</v>
      </c>
      <c r="H21" s="1529" t="s">
        <v>3711</v>
      </c>
      <c r="I21" s="1505" t="s">
        <v>1428</v>
      </c>
      <c r="J21" s="1056">
        <v>45.33</v>
      </c>
      <c r="K21" s="1506"/>
      <c r="L21" s="29"/>
      <c r="M21" s="1530">
        <v>12.5</v>
      </c>
      <c r="N21" s="1508"/>
      <c r="O21" s="31">
        <v>3.75289033085965</v>
      </c>
      <c r="P21" s="31">
        <v>19.3497581935433</v>
      </c>
      <c r="Q21" s="1005" t="s">
        <v>1428</v>
      </c>
      <c r="R21" s="1509">
        <v>3.82760214361137</v>
      </c>
      <c r="S21" s="1510">
        <f t="shared" si="0"/>
        <v>84.7602506680143</v>
      </c>
      <c r="T21" s="1510"/>
      <c r="U21" s="1510"/>
      <c r="V21" s="1031" t="s">
        <v>5242</v>
      </c>
      <c r="W21" s="1030" t="s">
        <v>5241</v>
      </c>
    </row>
    <row r="22" s="991" customFormat="1" ht="19" customHeight="1" spans="1:23">
      <c r="A22" s="1005"/>
      <c r="B22" s="1501"/>
      <c r="C22" s="1513"/>
      <c r="D22" s="1513"/>
      <c r="E22" s="1503" t="s">
        <v>5243</v>
      </c>
      <c r="F22" s="1005" t="s">
        <v>1428</v>
      </c>
      <c r="G22" s="1005" t="s">
        <v>1428</v>
      </c>
      <c r="H22" s="1005" t="s">
        <v>1428</v>
      </c>
      <c r="I22" s="1505" t="s">
        <v>1428</v>
      </c>
      <c r="J22" s="1005" t="s">
        <v>1428</v>
      </c>
      <c r="K22" s="1005" t="s">
        <v>1428</v>
      </c>
      <c r="L22" s="1005" t="s">
        <v>1428</v>
      </c>
      <c r="M22" s="1005" t="s">
        <v>1428</v>
      </c>
      <c r="N22" s="1005" t="s">
        <v>1428</v>
      </c>
      <c r="O22" s="31">
        <v>0.460031717976345</v>
      </c>
      <c r="P22" s="31">
        <v>2.06225475821895</v>
      </c>
      <c r="Q22" s="1005" t="s">
        <v>1428</v>
      </c>
      <c r="R22" s="1509">
        <v>0.2</v>
      </c>
      <c r="S22" s="1510">
        <f t="shared" si="0"/>
        <v>2.7222864761953</v>
      </c>
      <c r="T22" s="1510"/>
      <c r="U22" s="1510"/>
      <c r="V22" s="1031"/>
      <c r="W22" s="1514"/>
    </row>
    <row r="23" s="991" customFormat="1" ht="19" customHeight="1" spans="1:23">
      <c r="A23" s="1005"/>
      <c r="B23" s="1501"/>
      <c r="C23" s="1513"/>
      <c r="D23" s="1513"/>
      <c r="E23" s="1503" t="s">
        <v>5244</v>
      </c>
      <c r="F23" s="1509" t="s">
        <v>1428</v>
      </c>
      <c r="G23" s="1005" t="s">
        <v>1428</v>
      </c>
      <c r="H23" s="1005" t="s">
        <v>1428</v>
      </c>
      <c r="I23" s="1005" t="s">
        <v>1428</v>
      </c>
      <c r="J23" s="1005" t="s">
        <v>1428</v>
      </c>
      <c r="K23" s="1005" t="s">
        <v>1428</v>
      </c>
      <c r="L23" s="1005" t="s">
        <v>1428</v>
      </c>
      <c r="M23" s="1005" t="s">
        <v>1428</v>
      </c>
      <c r="N23" s="1005" t="s">
        <v>1428</v>
      </c>
      <c r="O23" s="31">
        <v>0.488074290044569</v>
      </c>
      <c r="P23" s="31">
        <v>2.95378827691332</v>
      </c>
      <c r="Q23" s="1005" t="s">
        <v>1428</v>
      </c>
      <c r="R23" s="1509">
        <v>0.2</v>
      </c>
      <c r="S23" s="1510">
        <f t="shared" si="0"/>
        <v>3.64186256695789</v>
      </c>
      <c r="T23" s="1510"/>
      <c r="U23" s="1510"/>
      <c r="V23" s="1031"/>
      <c r="W23" s="1514"/>
    </row>
    <row r="24" s="991" customFormat="1" ht="19" customHeight="1" spans="1:23">
      <c r="A24" s="1005"/>
      <c r="B24" s="1501"/>
      <c r="C24" s="1513"/>
      <c r="D24" s="1513"/>
      <c r="E24" s="1031" t="s">
        <v>5245</v>
      </c>
      <c r="F24" s="1509" t="s">
        <v>1428</v>
      </c>
      <c r="G24" s="1005" t="s">
        <v>1428</v>
      </c>
      <c r="H24" s="1005" t="s">
        <v>1428</v>
      </c>
      <c r="I24" s="1005" t="s">
        <v>1428</v>
      </c>
      <c r="J24" s="1005" t="s">
        <v>1428</v>
      </c>
      <c r="K24" s="1005" t="s">
        <v>1428</v>
      </c>
      <c r="L24" s="1005" t="s">
        <v>1428</v>
      </c>
      <c r="M24" s="1005" t="s">
        <v>1428</v>
      </c>
      <c r="N24" s="1005" t="s">
        <v>1428</v>
      </c>
      <c r="O24" s="1510">
        <v>0.550639134709931</v>
      </c>
      <c r="P24" s="1510">
        <v>3.15649140863979</v>
      </c>
      <c r="Q24" s="1005" t="s">
        <v>1428</v>
      </c>
      <c r="R24" s="1509">
        <v>0.2</v>
      </c>
      <c r="S24" s="1510">
        <f t="shared" si="0"/>
        <v>3.90713054334972</v>
      </c>
      <c r="T24" s="1510"/>
      <c r="U24" s="1510"/>
      <c r="V24" s="1031"/>
      <c r="W24" s="25"/>
    </row>
    <row r="25" s="989" customFormat="1" ht="19" customHeight="1" spans="1:23">
      <c r="A25" s="1005"/>
      <c r="B25" s="1532" t="s">
        <v>5246</v>
      </c>
      <c r="C25" s="1533"/>
      <c r="D25" s="1533"/>
      <c r="E25" s="1031" t="s">
        <v>1565</v>
      </c>
      <c r="F25" s="1502" t="s">
        <v>1933</v>
      </c>
      <c r="G25" s="1503" t="s">
        <v>5217</v>
      </c>
      <c r="H25" s="1504" t="s">
        <v>4592</v>
      </c>
      <c r="I25" s="1005">
        <f>-[3]PCB价格汇总!$C$2659</f>
        <v>-46198</v>
      </c>
      <c r="J25" s="1056">
        <f>38.83+6.5</f>
        <v>45.33</v>
      </c>
      <c r="K25" s="1506" t="s">
        <v>1428</v>
      </c>
      <c r="L25" s="29" t="s">
        <v>1428</v>
      </c>
      <c r="M25" s="1534" t="s">
        <v>1428</v>
      </c>
      <c r="N25" s="1054" t="s">
        <v>1428</v>
      </c>
      <c r="O25" s="1535">
        <v>5.53097345132743</v>
      </c>
      <c r="P25" s="1510">
        <v>21.3667537071668</v>
      </c>
      <c r="Q25" s="1005" t="s">
        <v>1428</v>
      </c>
      <c r="R25" s="1509">
        <v>3.82760214361137</v>
      </c>
      <c r="S25" s="1510">
        <f t="shared" si="0"/>
        <v>76.0553293021056</v>
      </c>
      <c r="T25" s="1510"/>
      <c r="U25" s="1510"/>
      <c r="V25" s="1502" t="s">
        <v>5218</v>
      </c>
      <c r="W25" s="25" t="s">
        <v>5247</v>
      </c>
    </row>
    <row r="26" s="989" customFormat="1" ht="19" customHeight="1" spans="1:23">
      <c r="A26" s="1005"/>
      <c r="B26" s="1536" t="s">
        <v>5248</v>
      </c>
      <c r="C26" s="880"/>
      <c r="D26" s="880"/>
      <c r="E26" s="776" t="s">
        <v>1565</v>
      </c>
      <c r="F26" s="1537" t="s">
        <v>1933</v>
      </c>
      <c r="G26" s="1503" t="s">
        <v>5249</v>
      </c>
      <c r="H26" s="1504" t="s">
        <v>5250</v>
      </c>
      <c r="I26" s="1005" t="s">
        <v>5251</v>
      </c>
      <c r="J26" s="1538">
        <f>159.0575454+6.5</f>
        <v>165.5575454</v>
      </c>
      <c r="K26" s="1506"/>
      <c r="L26" s="29"/>
      <c r="M26" s="1539" t="s">
        <v>1428</v>
      </c>
      <c r="N26" s="1054" t="s">
        <v>1428</v>
      </c>
      <c r="O26" s="1510">
        <v>4.36065153264076</v>
      </c>
      <c r="P26" s="1510">
        <v>27.8771231838492</v>
      </c>
      <c r="Q26" s="1005" t="s">
        <v>1428</v>
      </c>
      <c r="R26" s="1509">
        <v>3.82760214361137</v>
      </c>
      <c r="S26" s="1510">
        <f t="shared" si="0"/>
        <v>201.622922260101</v>
      </c>
      <c r="T26" s="1510"/>
      <c r="U26" s="1510"/>
      <c r="V26" s="1502" t="s">
        <v>5252</v>
      </c>
      <c r="W26" s="1030" t="s">
        <v>5253</v>
      </c>
    </row>
    <row r="27" s="989" customFormat="1" ht="19" customHeight="1" spans="1:23">
      <c r="A27" s="1005"/>
      <c r="B27" s="1540" t="s">
        <v>5254</v>
      </c>
      <c r="C27" s="1528"/>
      <c r="D27" s="1528"/>
      <c r="E27" s="1541" t="s">
        <v>1565</v>
      </c>
      <c r="F27" s="1541" t="s">
        <v>1933</v>
      </c>
      <c r="G27" s="1528" t="s">
        <v>5249</v>
      </c>
      <c r="H27" s="1542" t="s">
        <v>5250</v>
      </c>
      <c r="I27" s="1543" t="s">
        <v>1428</v>
      </c>
      <c r="J27" s="1544">
        <f>166.85181828+6.5</f>
        <v>173.35181828</v>
      </c>
      <c r="K27" s="1545"/>
      <c r="L27" s="1008"/>
      <c r="M27" s="1546" t="s">
        <v>1428</v>
      </c>
      <c r="N27" s="1547" t="s">
        <v>1428</v>
      </c>
      <c r="O27" s="1548">
        <v>6.39790232710587</v>
      </c>
      <c r="P27" s="1548">
        <v>29.9017779654461</v>
      </c>
      <c r="Q27" s="1543" t="s">
        <v>1428</v>
      </c>
      <c r="R27" s="1549">
        <v>3.82760214361137</v>
      </c>
      <c r="S27" s="1550">
        <f t="shared" si="0"/>
        <v>213.479100716163</v>
      </c>
      <c r="T27" s="1550"/>
      <c r="U27" s="1550"/>
      <c r="V27" s="1551" t="s">
        <v>5255</v>
      </c>
      <c r="W27" s="1552" t="s">
        <v>5256</v>
      </c>
    </row>
    <row r="28" s="989" customFormat="1" ht="17" customHeight="1" spans="1:23">
      <c r="A28" s="1005"/>
      <c r="B28" s="1540" t="s">
        <v>5257</v>
      </c>
      <c r="C28" s="1503" t="s">
        <v>5258</v>
      </c>
      <c r="D28" s="1005">
        <v>6.71</v>
      </c>
      <c r="E28" s="1553" t="s">
        <v>5259</v>
      </c>
      <c r="F28" s="1031" t="s">
        <v>5260</v>
      </c>
      <c r="G28" s="1554" t="s">
        <v>5261</v>
      </c>
      <c r="H28" s="1503" t="s">
        <v>4174</v>
      </c>
      <c r="I28" s="1005" t="s">
        <v>1428</v>
      </c>
      <c r="J28" s="1005" t="s">
        <v>1428</v>
      </c>
      <c r="K28" s="1005"/>
      <c r="L28" s="1005"/>
      <c r="M28" s="1005" t="s">
        <v>1428</v>
      </c>
      <c r="N28" s="1005" t="s">
        <v>1428</v>
      </c>
      <c r="O28" s="31">
        <v>5.96</v>
      </c>
      <c r="P28" s="31">
        <v>43.09</v>
      </c>
      <c r="Q28" s="1005" t="s">
        <v>1428</v>
      </c>
      <c r="R28" s="66">
        <v>4</v>
      </c>
      <c r="S28" s="1510">
        <f>SUM(K28:R28)</f>
        <v>53.05</v>
      </c>
      <c r="T28" s="1510"/>
      <c r="U28" s="1510"/>
      <c r="V28" s="1503" t="s">
        <v>5262</v>
      </c>
      <c r="W28" s="34" t="s">
        <v>5263</v>
      </c>
    </row>
    <row r="29" s="989" customFormat="1" spans="1:23">
      <c r="A29" s="1005"/>
      <c r="B29" s="1555"/>
      <c r="C29" s="1503"/>
      <c r="D29" s="1005"/>
      <c r="E29" s="1031" t="s">
        <v>5264</v>
      </c>
      <c r="F29" s="1031"/>
      <c r="G29" s="1503"/>
      <c r="H29" s="1503"/>
      <c r="I29" s="1031"/>
      <c r="J29" s="29"/>
      <c r="K29" s="29"/>
      <c r="L29" s="29"/>
      <c r="M29" s="29"/>
      <c r="N29" s="29"/>
      <c r="O29" s="31">
        <v>0.19</v>
      </c>
      <c r="P29" s="31">
        <v>0.47</v>
      </c>
      <c r="Q29" s="1005" t="s">
        <v>1428</v>
      </c>
      <c r="R29" s="66">
        <v>0.2</v>
      </c>
      <c r="S29" s="1510">
        <f>SUM(O29:R29)</f>
        <v>0.86</v>
      </c>
      <c r="T29" s="1510"/>
      <c r="U29" s="1510"/>
      <c r="V29" s="1503"/>
      <c r="W29" s="25"/>
    </row>
    <row r="30" s="989" customFormat="1" ht="13.8" spans="1:23">
      <c r="A30" s="1005"/>
      <c r="B30" s="1054" t="s">
        <v>5265</v>
      </c>
      <c r="C30" s="1556" t="s">
        <v>5266</v>
      </c>
      <c r="D30" s="1005">
        <v>6.71</v>
      </c>
      <c r="E30" s="1031" t="s">
        <v>5267</v>
      </c>
      <c r="F30" s="1509" t="s">
        <v>1428</v>
      </c>
      <c r="G30" s="1554" t="s">
        <v>5268</v>
      </c>
      <c r="H30" s="1503" t="s">
        <v>5269</v>
      </c>
      <c r="I30" s="1554" t="s">
        <v>5270</v>
      </c>
      <c r="J30" s="1557">
        <v>355</v>
      </c>
      <c r="K30" s="1558">
        <v>0</v>
      </c>
      <c r="L30" s="1005">
        <v>0</v>
      </c>
      <c r="M30" s="1005">
        <v>0</v>
      </c>
      <c r="N30" s="1509">
        <f t="shared" ref="N30:N48" si="1">102/D30/1.13</f>
        <v>13.4523825224536</v>
      </c>
      <c r="O30" s="1509">
        <f t="shared" ref="O30:O48" si="2">120.88/D30/1.13</f>
        <v>15.9423921501391</v>
      </c>
      <c r="P30" s="31">
        <f>368/D30/1.13</f>
        <v>48.534085963362</v>
      </c>
      <c r="Q30" s="1005">
        <v>0</v>
      </c>
      <c r="R30" s="66">
        <v>4.2</v>
      </c>
      <c r="S30" s="1510">
        <f t="shared" ref="S30:S48" si="3">SUM(J30:R30)</f>
        <v>437.128860635955</v>
      </c>
      <c r="T30" s="1559">
        <f t="shared" ref="T30:T48" si="4">P30+2.5</f>
        <v>51.034085963362</v>
      </c>
      <c r="U30" s="1559">
        <f t="shared" ref="U30:U57" si="5">J30+K30+L30+M30+N30+O30+Q30+R30+T30</f>
        <v>439.628860635955</v>
      </c>
      <c r="V30" s="1554" t="s">
        <v>5271</v>
      </c>
      <c r="W30" s="34" t="s">
        <v>5272</v>
      </c>
    </row>
    <row r="31" s="989" customFormat="1" ht="13.8" spans="1:23">
      <c r="A31" s="1005"/>
      <c r="B31" s="1054"/>
      <c r="C31" s="1556" t="s">
        <v>5266</v>
      </c>
      <c r="D31" s="1005">
        <v>6.71</v>
      </c>
      <c r="E31" s="1503" t="s">
        <v>5273</v>
      </c>
      <c r="F31" s="1509" t="s">
        <v>1428</v>
      </c>
      <c r="G31" s="1554" t="s">
        <v>5274</v>
      </c>
      <c r="H31" s="1503" t="s">
        <v>5275</v>
      </c>
      <c r="I31" s="1554" t="s">
        <v>5270</v>
      </c>
      <c r="J31" s="1557">
        <v>205</v>
      </c>
      <c r="K31" s="1558">
        <v>0</v>
      </c>
      <c r="L31" s="1005">
        <v>0</v>
      </c>
      <c r="M31" s="1005">
        <v>0</v>
      </c>
      <c r="N31" s="1509">
        <f t="shared" si="1"/>
        <v>13.4523825224536</v>
      </c>
      <c r="O31" s="1509">
        <f t="shared" si="2"/>
        <v>15.9423921501391</v>
      </c>
      <c r="P31" s="66">
        <f>355/D31/1.13</f>
        <v>46.819566622265</v>
      </c>
      <c r="Q31" s="1005">
        <v>0</v>
      </c>
      <c r="R31" s="66">
        <v>4.2</v>
      </c>
      <c r="S31" s="1557">
        <f t="shared" si="3"/>
        <v>285.414341294858</v>
      </c>
      <c r="T31" s="1559">
        <f t="shared" si="4"/>
        <v>49.319566622265</v>
      </c>
      <c r="U31" s="1559">
        <f t="shared" si="5"/>
        <v>287.914341294858</v>
      </c>
      <c r="V31" s="1554" t="s">
        <v>5276</v>
      </c>
      <c r="W31" s="34" t="s">
        <v>5272</v>
      </c>
    </row>
    <row r="32" s="989" customFormat="1" ht="13.8" spans="1:23">
      <c r="A32" s="1005"/>
      <c r="B32" s="1054"/>
      <c r="C32" s="1556" t="s">
        <v>5266</v>
      </c>
      <c r="D32" s="1005">
        <v>6.71</v>
      </c>
      <c r="E32" s="1503" t="s">
        <v>5277</v>
      </c>
      <c r="F32" s="1509" t="s">
        <v>1428</v>
      </c>
      <c r="G32" s="1554" t="s">
        <v>5268</v>
      </c>
      <c r="H32" s="1503" t="s">
        <v>5269</v>
      </c>
      <c r="I32" s="1554" t="s">
        <v>5270</v>
      </c>
      <c r="J32" s="1557">
        <v>355</v>
      </c>
      <c r="K32" s="1558">
        <v>0</v>
      </c>
      <c r="L32" s="1005">
        <v>0</v>
      </c>
      <c r="M32" s="1005">
        <v>0</v>
      </c>
      <c r="N32" s="1509">
        <f t="shared" si="1"/>
        <v>13.4523825224536</v>
      </c>
      <c r="O32" s="1509">
        <f t="shared" si="2"/>
        <v>15.9423921501391</v>
      </c>
      <c r="P32" s="66">
        <f>367/D32/1.13</f>
        <v>48.4021998602007</v>
      </c>
      <c r="Q32" s="1005">
        <v>0</v>
      </c>
      <c r="R32" s="66">
        <v>4.2</v>
      </c>
      <c r="S32" s="1557">
        <f t="shared" si="3"/>
        <v>436.996974532793</v>
      </c>
      <c r="T32" s="1559">
        <f t="shared" si="4"/>
        <v>50.9021998602007</v>
      </c>
      <c r="U32" s="1559">
        <f t="shared" si="5"/>
        <v>439.496974532794</v>
      </c>
      <c r="V32" s="1554" t="s">
        <v>5278</v>
      </c>
      <c r="W32" s="34" t="s">
        <v>5279</v>
      </c>
    </row>
    <row r="33" s="989" customFormat="1" ht="13.8" spans="1:23">
      <c r="A33" s="1005"/>
      <c r="B33" s="1054"/>
      <c r="C33" s="1556" t="s">
        <v>5266</v>
      </c>
      <c r="D33" s="1005">
        <v>6.71</v>
      </c>
      <c r="E33" s="1503" t="s">
        <v>5280</v>
      </c>
      <c r="F33" s="1509" t="s">
        <v>1428</v>
      </c>
      <c r="G33" s="1554" t="s">
        <v>5281</v>
      </c>
      <c r="H33" s="1503" t="s">
        <v>5275</v>
      </c>
      <c r="I33" s="1554" t="s">
        <v>5270</v>
      </c>
      <c r="J33" s="1557">
        <v>300</v>
      </c>
      <c r="K33" s="1558">
        <v>0</v>
      </c>
      <c r="L33" s="1005">
        <v>0</v>
      </c>
      <c r="M33" s="1005">
        <v>0</v>
      </c>
      <c r="N33" s="1509">
        <f t="shared" si="1"/>
        <v>13.4523825224536</v>
      </c>
      <c r="O33" s="1509">
        <f t="shared" si="2"/>
        <v>15.9423921501391</v>
      </c>
      <c r="P33" s="66">
        <f>337.98/D33/1.13</f>
        <v>44.5748651464595</v>
      </c>
      <c r="Q33" s="1005">
        <v>0</v>
      </c>
      <c r="R33" s="66">
        <v>4.2</v>
      </c>
      <c r="S33" s="1557">
        <f t="shared" si="3"/>
        <v>378.169639819052</v>
      </c>
      <c r="T33" s="1559">
        <f t="shared" si="4"/>
        <v>47.0748651464595</v>
      </c>
      <c r="U33" s="1559">
        <f t="shared" si="5"/>
        <v>380.669639819052</v>
      </c>
      <c r="V33" s="1554" t="s">
        <v>5276</v>
      </c>
      <c r="W33" s="34" t="s">
        <v>5279</v>
      </c>
    </row>
    <row r="34" s="989" customFormat="1" ht="13.8" spans="1:23">
      <c r="A34" s="1005"/>
      <c r="B34" s="1054"/>
      <c r="C34" s="1556" t="s">
        <v>5266</v>
      </c>
      <c r="D34" s="1005">
        <v>6.71</v>
      </c>
      <c r="E34" s="1503" t="s">
        <v>5282</v>
      </c>
      <c r="F34" s="1509" t="s">
        <v>1428</v>
      </c>
      <c r="G34" s="1554" t="s">
        <v>5274</v>
      </c>
      <c r="H34" s="1503" t="s">
        <v>5275</v>
      </c>
      <c r="I34" s="1554" t="s">
        <v>5270</v>
      </c>
      <c r="J34" s="1557">
        <v>205</v>
      </c>
      <c r="K34" s="1558">
        <v>0</v>
      </c>
      <c r="L34" s="1005">
        <v>0</v>
      </c>
      <c r="M34" s="1005">
        <v>0</v>
      </c>
      <c r="N34" s="1509">
        <f t="shared" si="1"/>
        <v>13.4523825224536</v>
      </c>
      <c r="O34" s="1509">
        <f t="shared" si="2"/>
        <v>15.9423921501391</v>
      </c>
      <c r="P34" s="66">
        <f>298/D34/1.13</f>
        <v>39.3020587420704</v>
      </c>
      <c r="Q34" s="1005">
        <v>0</v>
      </c>
      <c r="R34" s="66">
        <v>4.2</v>
      </c>
      <c r="S34" s="1557">
        <f t="shared" si="3"/>
        <v>277.896833414663</v>
      </c>
      <c r="T34" s="1559">
        <f t="shared" si="4"/>
        <v>41.8020587420704</v>
      </c>
      <c r="U34" s="1559">
        <f t="shared" si="5"/>
        <v>280.396833414663</v>
      </c>
      <c r="V34" s="1554" t="s">
        <v>5276</v>
      </c>
      <c r="W34" s="34" t="s">
        <v>5272</v>
      </c>
    </row>
    <row r="35" s="989" customFormat="1" ht="13.8" spans="1:23">
      <c r="A35" s="1005"/>
      <c r="B35" s="1054"/>
      <c r="C35" s="1556" t="s">
        <v>5266</v>
      </c>
      <c r="D35" s="1005">
        <v>6.71</v>
      </c>
      <c r="E35" s="1503" t="s">
        <v>5283</v>
      </c>
      <c r="F35" s="1509" t="s">
        <v>1428</v>
      </c>
      <c r="G35" s="1554" t="s">
        <v>5268</v>
      </c>
      <c r="H35" s="1503" t="s">
        <v>5269</v>
      </c>
      <c r="I35" s="1554" t="s">
        <v>5270</v>
      </c>
      <c r="J35" s="1557">
        <v>355</v>
      </c>
      <c r="K35" s="1558">
        <v>0</v>
      </c>
      <c r="L35" s="1005">
        <v>0</v>
      </c>
      <c r="M35" s="1005">
        <v>0</v>
      </c>
      <c r="N35" s="1509">
        <f t="shared" si="1"/>
        <v>13.4523825224536</v>
      </c>
      <c r="O35" s="1509">
        <f t="shared" si="2"/>
        <v>15.9423921501391</v>
      </c>
      <c r="P35" s="66">
        <f>372/D35/1.13</f>
        <v>49.0616303760073</v>
      </c>
      <c r="Q35" s="1005">
        <v>0</v>
      </c>
      <c r="R35" s="66">
        <v>4.2</v>
      </c>
      <c r="S35" s="1557">
        <f t="shared" si="3"/>
        <v>437.6564050486</v>
      </c>
      <c r="T35" s="1559">
        <f t="shared" si="4"/>
        <v>51.5616303760073</v>
      </c>
      <c r="U35" s="1559">
        <f t="shared" si="5"/>
        <v>440.1564050486</v>
      </c>
      <c r="V35" s="1554" t="s">
        <v>5278</v>
      </c>
      <c r="W35" s="34" t="s">
        <v>5279</v>
      </c>
    </row>
    <row r="36" s="989" customFormat="1" ht="13.8" spans="1:23">
      <c r="A36" s="1005"/>
      <c r="B36" s="1054"/>
      <c r="C36" s="1556" t="s">
        <v>5266</v>
      </c>
      <c r="D36" s="1005">
        <v>6.71</v>
      </c>
      <c r="E36" s="1503" t="s">
        <v>5284</v>
      </c>
      <c r="F36" s="1509" t="s">
        <v>1428</v>
      </c>
      <c r="G36" s="1554" t="s">
        <v>5268</v>
      </c>
      <c r="H36" s="1503" t="s">
        <v>5269</v>
      </c>
      <c r="I36" s="1554" t="s">
        <v>5270</v>
      </c>
      <c r="J36" s="1509">
        <v>355</v>
      </c>
      <c r="K36" s="1558">
        <v>0</v>
      </c>
      <c r="L36" s="1005">
        <v>0</v>
      </c>
      <c r="M36" s="1005">
        <v>0</v>
      </c>
      <c r="N36" s="1509">
        <f t="shared" si="1"/>
        <v>13.4523825224536</v>
      </c>
      <c r="O36" s="1509">
        <f t="shared" si="2"/>
        <v>15.9423921501391</v>
      </c>
      <c r="P36" s="66">
        <f>373.31/D36/1.13</f>
        <v>49.2344011711486</v>
      </c>
      <c r="Q36" s="1005">
        <v>0</v>
      </c>
      <c r="R36" s="66">
        <v>4.2</v>
      </c>
      <c r="S36" s="1557">
        <f t="shared" si="3"/>
        <v>437.829175843741</v>
      </c>
      <c r="T36" s="1559">
        <f t="shared" si="4"/>
        <v>51.7344011711486</v>
      </c>
      <c r="U36" s="1559">
        <f t="shared" si="5"/>
        <v>440.329175843741</v>
      </c>
      <c r="V36" s="1554" t="s">
        <v>5271</v>
      </c>
      <c r="W36" s="34" t="s">
        <v>5272</v>
      </c>
    </row>
    <row r="37" s="989" customFormat="1" ht="13.8" spans="1:23">
      <c r="A37" s="1005"/>
      <c r="B37" s="1054"/>
      <c r="C37" s="1556" t="s">
        <v>5266</v>
      </c>
      <c r="D37" s="1005">
        <v>6.71</v>
      </c>
      <c r="E37" s="1503" t="s">
        <v>5285</v>
      </c>
      <c r="F37" s="1509" t="s">
        <v>1428</v>
      </c>
      <c r="G37" s="1554" t="s">
        <v>5268</v>
      </c>
      <c r="H37" s="1503" t="s">
        <v>5269</v>
      </c>
      <c r="I37" s="1554" t="s">
        <v>5270</v>
      </c>
      <c r="J37" s="1557">
        <v>355</v>
      </c>
      <c r="K37" s="1558">
        <v>0</v>
      </c>
      <c r="L37" s="1005">
        <v>0</v>
      </c>
      <c r="M37" s="1005">
        <v>0</v>
      </c>
      <c r="N37" s="1509">
        <f t="shared" si="1"/>
        <v>13.4523825224536</v>
      </c>
      <c r="O37" s="1509">
        <f t="shared" si="2"/>
        <v>15.9423921501391</v>
      </c>
      <c r="P37" s="66">
        <f>374.68/D37/1.13</f>
        <v>49.4150851324796</v>
      </c>
      <c r="Q37" s="1005">
        <v>0</v>
      </c>
      <c r="R37" s="66">
        <v>4.2</v>
      </c>
      <c r="S37" s="1557">
        <f t="shared" si="3"/>
        <v>438.009859805072</v>
      </c>
      <c r="T37" s="1559">
        <f t="shared" si="4"/>
        <v>51.9150851324796</v>
      </c>
      <c r="U37" s="1559">
        <f t="shared" si="5"/>
        <v>440.509859805072</v>
      </c>
      <c r="V37" s="1554" t="s">
        <v>5286</v>
      </c>
      <c r="W37" s="34" t="s">
        <v>5272</v>
      </c>
    </row>
    <row r="38" s="989" customFormat="1" ht="13.8" spans="1:23">
      <c r="A38" s="1005"/>
      <c r="B38" s="1054"/>
      <c r="C38" s="1556" t="s">
        <v>5266</v>
      </c>
      <c r="D38" s="1005">
        <v>6.71</v>
      </c>
      <c r="E38" s="1503" t="s">
        <v>5287</v>
      </c>
      <c r="F38" s="1509" t="s">
        <v>1428</v>
      </c>
      <c r="G38" s="1554" t="s">
        <v>5281</v>
      </c>
      <c r="H38" s="1503" t="s">
        <v>5269</v>
      </c>
      <c r="I38" s="1554" t="s">
        <v>5270</v>
      </c>
      <c r="J38" s="1557">
        <v>300</v>
      </c>
      <c r="K38" s="1558">
        <v>0</v>
      </c>
      <c r="L38" s="1005">
        <v>0</v>
      </c>
      <c r="M38" s="1005">
        <v>0</v>
      </c>
      <c r="N38" s="1509">
        <f t="shared" si="1"/>
        <v>13.4523825224536</v>
      </c>
      <c r="O38" s="1509">
        <f t="shared" si="2"/>
        <v>15.9423921501391</v>
      </c>
      <c r="P38" s="66">
        <f>318/D38/1.13</f>
        <v>41.9397808052966</v>
      </c>
      <c r="Q38" s="1005">
        <v>0</v>
      </c>
      <c r="R38" s="66">
        <v>4.2</v>
      </c>
      <c r="S38" s="1557">
        <f t="shared" si="3"/>
        <v>375.534555477889</v>
      </c>
      <c r="T38" s="1559">
        <f t="shared" si="4"/>
        <v>44.4397808052966</v>
      </c>
      <c r="U38" s="1559">
        <f t="shared" si="5"/>
        <v>378.034555477889</v>
      </c>
      <c r="V38" s="1554" t="s">
        <v>5288</v>
      </c>
      <c r="W38" s="34" t="s">
        <v>5289</v>
      </c>
    </row>
    <row r="39" s="989" customFormat="1" ht="13.8" spans="1:23">
      <c r="A39" s="1005"/>
      <c r="B39" s="1054"/>
      <c r="C39" s="1556" t="s">
        <v>5266</v>
      </c>
      <c r="D39" s="1005">
        <v>6.71</v>
      </c>
      <c r="E39" s="1503" t="s">
        <v>5290</v>
      </c>
      <c r="F39" s="1509" t="s">
        <v>1428</v>
      </c>
      <c r="G39" s="1554" t="s">
        <v>5274</v>
      </c>
      <c r="H39" s="1503" t="s">
        <v>5275</v>
      </c>
      <c r="I39" s="1554" t="s">
        <v>5270</v>
      </c>
      <c r="J39" s="1557">
        <v>205</v>
      </c>
      <c r="K39" s="1558">
        <v>0</v>
      </c>
      <c r="L39" s="1005">
        <v>0</v>
      </c>
      <c r="M39" s="1005">
        <v>0</v>
      </c>
      <c r="N39" s="1509">
        <f t="shared" si="1"/>
        <v>13.4523825224536</v>
      </c>
      <c r="O39" s="1509">
        <f t="shared" si="2"/>
        <v>15.9423921501391</v>
      </c>
      <c r="P39" s="66">
        <f>280/D39/1.13</f>
        <v>36.9281088851668</v>
      </c>
      <c r="Q39" s="1005">
        <v>0</v>
      </c>
      <c r="R39" s="66">
        <v>4.2</v>
      </c>
      <c r="S39" s="1557">
        <f t="shared" si="3"/>
        <v>275.522883557759</v>
      </c>
      <c r="T39" s="1559">
        <f t="shared" si="4"/>
        <v>39.4281088851668</v>
      </c>
      <c r="U39" s="1559">
        <f t="shared" si="5"/>
        <v>278.022883557759</v>
      </c>
      <c r="V39" s="1554" t="s">
        <v>5291</v>
      </c>
      <c r="W39" s="34" t="s">
        <v>5272</v>
      </c>
    </row>
    <row r="40" s="989" customFormat="1" ht="13.8" spans="1:23">
      <c r="A40" s="1005"/>
      <c r="B40" s="1054"/>
      <c r="C40" s="1556" t="s">
        <v>5266</v>
      </c>
      <c r="D40" s="1005">
        <v>6.71</v>
      </c>
      <c r="E40" s="1503" t="s">
        <v>5292</v>
      </c>
      <c r="F40" s="1509" t="s">
        <v>1428</v>
      </c>
      <c r="G40" s="1554" t="s">
        <v>5293</v>
      </c>
      <c r="H40" s="1503" t="s">
        <v>5275</v>
      </c>
      <c r="I40" s="1554" t="s">
        <v>5270</v>
      </c>
      <c r="J40" s="1557">
        <v>160</v>
      </c>
      <c r="K40" s="1558">
        <v>0</v>
      </c>
      <c r="L40" s="1005">
        <v>0</v>
      </c>
      <c r="M40" s="1005">
        <v>0</v>
      </c>
      <c r="N40" s="1509">
        <f t="shared" si="1"/>
        <v>13.4523825224536</v>
      </c>
      <c r="O40" s="1509">
        <f t="shared" si="2"/>
        <v>15.9423921501391</v>
      </c>
      <c r="P40" s="66">
        <f>287/D40/1.13</f>
        <v>37.8513116072959</v>
      </c>
      <c r="Q40" s="1005">
        <v>0</v>
      </c>
      <c r="R40" s="66">
        <v>4.2</v>
      </c>
      <c r="S40" s="1557">
        <f t="shared" si="3"/>
        <v>231.446086279889</v>
      </c>
      <c r="T40" s="15">
        <f t="shared" si="4"/>
        <v>40.3513116072959</v>
      </c>
      <c r="U40" s="15">
        <f t="shared" si="5"/>
        <v>233.946086279889</v>
      </c>
      <c r="V40" s="1554" t="s">
        <v>5294</v>
      </c>
      <c r="W40" s="34" t="s">
        <v>5272</v>
      </c>
    </row>
    <row r="41" s="989" customFormat="1" ht="13.8" spans="1:23">
      <c r="A41" s="1005"/>
      <c r="B41" s="1054"/>
      <c r="C41" s="1556" t="s">
        <v>5266</v>
      </c>
      <c r="D41" s="1005">
        <v>6.71</v>
      </c>
      <c r="E41" s="1503" t="s">
        <v>5295</v>
      </c>
      <c r="F41" s="1509" t="s">
        <v>1428</v>
      </c>
      <c r="G41" s="1554" t="s">
        <v>5268</v>
      </c>
      <c r="H41" s="1503" t="s">
        <v>5269</v>
      </c>
      <c r="I41" s="1554" t="s">
        <v>5270</v>
      </c>
      <c r="J41" s="1557">
        <v>0</v>
      </c>
      <c r="K41" s="1558">
        <v>0</v>
      </c>
      <c r="L41" s="1005">
        <v>0</v>
      </c>
      <c r="M41" s="1005">
        <v>0</v>
      </c>
      <c r="N41" s="1509">
        <f t="shared" si="1"/>
        <v>13.4523825224536</v>
      </c>
      <c r="O41" s="1509">
        <f t="shared" si="2"/>
        <v>15.9423921501391</v>
      </c>
      <c r="P41" s="66">
        <f>233/D41/1.13</f>
        <v>30.7294620365852</v>
      </c>
      <c r="Q41" s="1005">
        <v>0</v>
      </c>
      <c r="R41" s="66">
        <v>4.2</v>
      </c>
      <c r="S41" s="1557">
        <f t="shared" si="3"/>
        <v>64.324236709178</v>
      </c>
      <c r="T41" s="1559">
        <f t="shared" si="4"/>
        <v>33.2294620365852</v>
      </c>
      <c r="U41" s="1559">
        <f t="shared" si="5"/>
        <v>66.824236709178</v>
      </c>
      <c r="V41" s="1554" t="s">
        <v>5296</v>
      </c>
      <c r="W41" s="34" t="s">
        <v>5297</v>
      </c>
    </row>
    <row r="42" s="989" customFormat="1" ht="13.8" spans="1:23">
      <c r="A42" s="1005"/>
      <c r="B42" s="1054"/>
      <c r="C42" s="1556" t="s">
        <v>5266</v>
      </c>
      <c r="D42" s="1005">
        <v>6.71</v>
      </c>
      <c r="E42" s="1503" t="s">
        <v>5298</v>
      </c>
      <c r="F42" s="1509" t="s">
        <v>1428</v>
      </c>
      <c r="G42" s="1554" t="s">
        <v>5268</v>
      </c>
      <c r="H42" s="1503" t="s">
        <v>3173</v>
      </c>
      <c r="I42" s="1554" t="s">
        <v>5270</v>
      </c>
      <c r="J42" s="1557">
        <v>0</v>
      </c>
      <c r="K42" s="1558">
        <v>0</v>
      </c>
      <c r="L42" s="1005">
        <v>0</v>
      </c>
      <c r="M42" s="1005">
        <v>0</v>
      </c>
      <c r="N42" s="1509">
        <f t="shared" si="1"/>
        <v>13.4523825224536</v>
      </c>
      <c r="O42" s="1509">
        <f t="shared" si="2"/>
        <v>15.9423921501391</v>
      </c>
      <c r="P42" s="66">
        <f>233/D42/1.13</f>
        <v>30.7294620365852</v>
      </c>
      <c r="Q42" s="1005">
        <v>0</v>
      </c>
      <c r="R42" s="66">
        <v>4.2</v>
      </c>
      <c r="S42" s="1557">
        <f t="shared" si="3"/>
        <v>64.324236709178</v>
      </c>
      <c r="T42" s="1559">
        <f t="shared" si="4"/>
        <v>33.2294620365852</v>
      </c>
      <c r="U42" s="1559">
        <f t="shared" si="5"/>
        <v>66.824236709178</v>
      </c>
      <c r="V42" s="1554" t="s">
        <v>5299</v>
      </c>
      <c r="W42" s="34" t="s">
        <v>5297</v>
      </c>
    </row>
    <row r="43" s="989" customFormat="1" ht="13.8" spans="1:23">
      <c r="A43" s="1005"/>
      <c r="B43" s="1054"/>
      <c r="C43" s="1556" t="s">
        <v>5266</v>
      </c>
      <c r="D43" s="1005">
        <v>6.71</v>
      </c>
      <c r="E43" s="1503" t="s">
        <v>5300</v>
      </c>
      <c r="F43" s="1509" t="s">
        <v>1428</v>
      </c>
      <c r="G43" s="1554" t="s">
        <v>5293</v>
      </c>
      <c r="H43" s="1503" t="s">
        <v>5275</v>
      </c>
      <c r="I43" s="1554" t="s">
        <v>5270</v>
      </c>
      <c r="J43" s="1557">
        <v>160</v>
      </c>
      <c r="K43" s="1558">
        <v>0</v>
      </c>
      <c r="L43" s="1005">
        <v>0</v>
      </c>
      <c r="M43" s="1005">
        <v>0</v>
      </c>
      <c r="N43" s="1509">
        <f t="shared" si="1"/>
        <v>13.4523825224536</v>
      </c>
      <c r="O43" s="1509">
        <f t="shared" si="2"/>
        <v>15.9423921501391</v>
      </c>
      <c r="P43" s="66">
        <f>286/D43/1.13</f>
        <v>37.7194255041346</v>
      </c>
      <c r="Q43" s="1005">
        <v>0</v>
      </c>
      <c r="R43" s="66">
        <v>4.2</v>
      </c>
      <c r="S43" s="1557">
        <f t="shared" si="3"/>
        <v>231.314200176727</v>
      </c>
      <c r="T43" s="1559">
        <f t="shared" si="4"/>
        <v>40.2194255041346</v>
      </c>
      <c r="U43" s="1559">
        <f t="shared" si="5"/>
        <v>233.814200176727</v>
      </c>
      <c r="V43" s="1554" t="s">
        <v>5291</v>
      </c>
      <c r="W43" s="34" t="s">
        <v>5272</v>
      </c>
    </row>
    <row r="44" s="989" customFormat="1" ht="13.8" spans="1:23">
      <c r="A44" s="1005"/>
      <c r="B44" s="1054"/>
      <c r="C44" s="1556" t="s">
        <v>5266</v>
      </c>
      <c r="D44" s="1005">
        <v>6.71</v>
      </c>
      <c r="E44" s="1503" t="s">
        <v>5301</v>
      </c>
      <c r="F44" s="1509" t="s">
        <v>1428</v>
      </c>
      <c r="G44" s="1554" t="s">
        <v>5293</v>
      </c>
      <c r="H44" s="1503" t="s">
        <v>5269</v>
      </c>
      <c r="I44" s="1554" t="s">
        <v>5270</v>
      </c>
      <c r="J44" s="1557">
        <v>160</v>
      </c>
      <c r="K44" s="1558">
        <v>0</v>
      </c>
      <c r="L44" s="1005">
        <v>0</v>
      </c>
      <c r="M44" s="1005">
        <v>0</v>
      </c>
      <c r="N44" s="1509">
        <f t="shared" si="1"/>
        <v>13.4523825224536</v>
      </c>
      <c r="O44" s="1509">
        <f t="shared" si="2"/>
        <v>15.9423921501391</v>
      </c>
      <c r="P44" s="66">
        <f>278.95/D44/1.13</f>
        <v>36.7896284768474</v>
      </c>
      <c r="Q44" s="1005">
        <v>0</v>
      </c>
      <c r="R44" s="66">
        <v>4.2</v>
      </c>
      <c r="S44" s="1557">
        <f t="shared" si="3"/>
        <v>230.38440314944</v>
      </c>
      <c r="T44" s="1559">
        <f t="shared" si="4"/>
        <v>39.2896284768474</v>
      </c>
      <c r="U44" s="1559">
        <f t="shared" si="5"/>
        <v>232.88440314944</v>
      </c>
      <c r="V44" s="1554" t="s">
        <v>5286</v>
      </c>
      <c r="W44" s="34" t="s">
        <v>5302</v>
      </c>
    </row>
    <row r="45" s="989" customFormat="1" ht="13.8" spans="1:23">
      <c r="A45" s="1005"/>
      <c r="B45" s="1054"/>
      <c r="C45" s="1556" t="s">
        <v>5266</v>
      </c>
      <c r="D45" s="1005">
        <v>6.71</v>
      </c>
      <c r="E45" s="1503" t="s">
        <v>5303</v>
      </c>
      <c r="F45" s="1509" t="s">
        <v>1428</v>
      </c>
      <c r="G45" s="1554" t="s">
        <v>5293</v>
      </c>
      <c r="H45" s="1503" t="s">
        <v>5275</v>
      </c>
      <c r="I45" s="1554" t="s">
        <v>5270</v>
      </c>
      <c r="J45" s="1557">
        <v>160</v>
      </c>
      <c r="K45" s="1558">
        <v>0</v>
      </c>
      <c r="L45" s="1005">
        <v>0</v>
      </c>
      <c r="M45" s="1005">
        <v>0</v>
      </c>
      <c r="N45" s="1509">
        <f t="shared" si="1"/>
        <v>13.4523825224536</v>
      </c>
      <c r="O45" s="1509">
        <f t="shared" si="2"/>
        <v>15.9423921501391</v>
      </c>
      <c r="P45" s="66">
        <f>283.82/D45/1.13</f>
        <v>37.431913799243</v>
      </c>
      <c r="Q45" s="1005">
        <v>0</v>
      </c>
      <c r="R45" s="66">
        <v>4.2</v>
      </c>
      <c r="S45" s="1557">
        <f t="shared" si="3"/>
        <v>231.026688471836</v>
      </c>
      <c r="T45" s="15">
        <f t="shared" si="4"/>
        <v>39.931913799243</v>
      </c>
      <c r="U45" s="15">
        <f t="shared" si="5"/>
        <v>233.526688471836</v>
      </c>
      <c r="V45" s="1554" t="s">
        <v>5304</v>
      </c>
      <c r="W45" s="34" t="s">
        <v>5305</v>
      </c>
    </row>
    <row r="46" s="989" customFormat="1" ht="13.8" spans="1:23">
      <c r="A46" s="1005"/>
      <c r="B46" s="1054"/>
      <c r="C46" s="1556" t="s">
        <v>5266</v>
      </c>
      <c r="D46" s="1005">
        <v>6.71</v>
      </c>
      <c r="E46" s="1503" t="s">
        <v>5303</v>
      </c>
      <c r="F46" s="1509" t="s">
        <v>1428</v>
      </c>
      <c r="G46" s="1554" t="s">
        <v>5293</v>
      </c>
      <c r="H46" s="1503" t="s">
        <v>5275</v>
      </c>
      <c r="I46" s="1554" t="s">
        <v>5270</v>
      </c>
      <c r="J46" s="1509">
        <v>0</v>
      </c>
      <c r="K46" s="1558">
        <v>0</v>
      </c>
      <c r="L46" s="1005">
        <v>0</v>
      </c>
      <c r="M46" s="1005">
        <v>0</v>
      </c>
      <c r="N46" s="1509">
        <f t="shared" si="1"/>
        <v>13.4523825224536</v>
      </c>
      <c r="O46" s="1509">
        <f t="shared" si="2"/>
        <v>15.9423921501391</v>
      </c>
      <c r="P46" s="66">
        <f>154.7/D46/1.13</f>
        <v>20.4027801590546</v>
      </c>
      <c r="Q46" s="1005">
        <v>0</v>
      </c>
      <c r="R46" s="66">
        <v>4</v>
      </c>
      <c r="S46" s="1557">
        <f t="shared" si="3"/>
        <v>53.7975548316474</v>
      </c>
      <c r="T46" s="15">
        <f t="shared" si="4"/>
        <v>22.9027801590546</v>
      </c>
      <c r="U46" s="15">
        <f t="shared" si="5"/>
        <v>56.2975548316474</v>
      </c>
      <c r="V46" s="1554" t="s">
        <v>5304</v>
      </c>
      <c r="W46" s="34" t="s">
        <v>5306</v>
      </c>
    </row>
    <row r="47" s="989" customFormat="1" ht="13.8" spans="1:23">
      <c r="A47" s="1005"/>
      <c r="B47" s="1054"/>
      <c r="C47" s="1556" t="s">
        <v>5266</v>
      </c>
      <c r="D47" s="1005">
        <v>6.71</v>
      </c>
      <c r="E47" s="1503" t="s">
        <v>5307</v>
      </c>
      <c r="G47" s="1554" t="s">
        <v>5268</v>
      </c>
      <c r="H47" s="1503" t="s">
        <v>5269</v>
      </c>
      <c r="I47" s="1554" t="s">
        <v>5270</v>
      </c>
      <c r="J47" s="1557">
        <v>355</v>
      </c>
      <c r="K47" s="1558">
        <v>0</v>
      </c>
      <c r="L47" s="1005">
        <v>0</v>
      </c>
      <c r="M47" s="1005">
        <v>0</v>
      </c>
      <c r="N47" s="1509">
        <f t="shared" si="1"/>
        <v>13.4523825224536</v>
      </c>
      <c r="O47" s="1509">
        <f t="shared" si="2"/>
        <v>15.9423921501391</v>
      </c>
      <c r="P47" s="66">
        <f>375.16/D47/1.13</f>
        <v>49.478390461997</v>
      </c>
      <c r="Q47" s="1005">
        <v>0</v>
      </c>
      <c r="R47" s="66">
        <v>4.2</v>
      </c>
      <c r="S47" s="1557">
        <f t="shared" si="3"/>
        <v>438.07316513459</v>
      </c>
      <c r="T47" s="1559">
        <f t="shared" si="4"/>
        <v>51.978390461997</v>
      </c>
      <c r="U47" s="1559">
        <f t="shared" si="5"/>
        <v>440.57316513459</v>
      </c>
      <c r="V47" s="1554" t="s">
        <v>5286</v>
      </c>
      <c r="W47" s="34" t="s">
        <v>5305</v>
      </c>
    </row>
    <row r="48" s="989" customFormat="1" ht="13.8" spans="1:23">
      <c r="A48" s="1005"/>
      <c r="B48" s="1054"/>
      <c r="C48" s="1556" t="s">
        <v>5266</v>
      </c>
      <c r="D48" s="1005">
        <v>6.71</v>
      </c>
      <c r="E48" s="1503" t="s">
        <v>5308</v>
      </c>
      <c r="F48" s="1509" t="s">
        <v>1428</v>
      </c>
      <c r="G48" s="1554" t="s">
        <v>5268</v>
      </c>
      <c r="H48" s="1503" t="s">
        <v>5269</v>
      </c>
      <c r="I48" s="1554" t="s">
        <v>5270</v>
      </c>
      <c r="J48" s="1557">
        <v>355</v>
      </c>
      <c r="K48" s="1558">
        <v>0</v>
      </c>
      <c r="L48" s="1005">
        <v>0</v>
      </c>
      <c r="M48" s="1005">
        <v>0</v>
      </c>
      <c r="N48" s="1509">
        <f t="shared" si="1"/>
        <v>13.4523825224536</v>
      </c>
      <c r="O48" s="1509">
        <f t="shared" si="2"/>
        <v>15.9423921501391</v>
      </c>
      <c r="P48" s="66">
        <f>373.5/D48/1.13</f>
        <v>49.2594595307492</v>
      </c>
      <c r="Q48" s="1005">
        <v>0</v>
      </c>
      <c r="R48" s="66">
        <v>4.2</v>
      </c>
      <c r="S48" s="1557">
        <f t="shared" si="3"/>
        <v>437.854234203342</v>
      </c>
      <c r="T48" s="1559">
        <f t="shared" si="4"/>
        <v>51.7594595307492</v>
      </c>
      <c r="U48" s="1559">
        <f t="shared" si="5"/>
        <v>440.354234203342</v>
      </c>
      <c r="V48" s="1554" t="s">
        <v>5296</v>
      </c>
      <c r="W48" s="34" t="s">
        <v>5309</v>
      </c>
    </row>
    <row r="49" s="989" customFormat="1" ht="13.8" spans="1:23">
      <c r="A49" s="1005"/>
      <c r="B49" s="1054"/>
      <c r="C49" s="1556" t="s">
        <v>5266</v>
      </c>
      <c r="D49" s="1005">
        <v>6.71</v>
      </c>
      <c r="E49" s="1554" t="s">
        <v>5310</v>
      </c>
      <c r="F49" s="1509" t="s">
        <v>1428</v>
      </c>
      <c r="G49" s="1509" t="s">
        <v>1428</v>
      </c>
      <c r="H49" s="1509" t="s">
        <v>1428</v>
      </c>
      <c r="I49" s="1509" t="s">
        <v>1428</v>
      </c>
      <c r="J49" s="1558">
        <v>0</v>
      </c>
      <c r="K49" s="1558">
        <v>0</v>
      </c>
      <c r="L49" s="1558">
        <v>0</v>
      </c>
      <c r="M49" s="1558">
        <v>0</v>
      </c>
      <c r="N49" s="1509">
        <v>0</v>
      </c>
      <c r="O49" s="1509">
        <f>10.96/D49/1.13</f>
        <v>1.44547169064796</v>
      </c>
      <c r="P49" s="66">
        <v>6.56</v>
      </c>
      <c r="Q49" s="1005">
        <v>0</v>
      </c>
      <c r="R49" s="66">
        <v>0.4</v>
      </c>
      <c r="S49" s="1557">
        <f>SUM(N49:R49)</f>
        <v>8.40547169064796</v>
      </c>
      <c r="T49" s="1559">
        <f t="shared" ref="T49:T57" si="6">P49+0.5</f>
        <v>7.06</v>
      </c>
      <c r="U49" s="1559">
        <f t="shared" si="5"/>
        <v>8.90547169064796</v>
      </c>
      <c r="V49" s="1554"/>
      <c r="W49" s="1560"/>
    </row>
    <row r="50" s="989" customFormat="1" ht="13.8" spans="1:23">
      <c r="A50" s="1005"/>
      <c r="B50" s="1054"/>
      <c r="C50" s="1556" t="s">
        <v>5266</v>
      </c>
      <c r="D50" s="1005">
        <v>6.71</v>
      </c>
      <c r="E50" s="1503" t="s">
        <v>5311</v>
      </c>
      <c r="F50" s="1509" t="s">
        <v>1428</v>
      </c>
      <c r="G50" s="1509" t="s">
        <v>1428</v>
      </c>
      <c r="H50" s="1509" t="s">
        <v>1428</v>
      </c>
      <c r="I50" s="1509" t="s">
        <v>1428</v>
      </c>
      <c r="J50" s="1558">
        <v>0</v>
      </c>
      <c r="K50" s="1558">
        <v>0</v>
      </c>
      <c r="L50" s="1558">
        <v>0</v>
      </c>
      <c r="M50" s="1558">
        <v>0</v>
      </c>
      <c r="N50" s="1509">
        <v>0</v>
      </c>
      <c r="O50" s="1509">
        <f t="shared" ref="O50:O55" si="7">7.63/D50/1.13</f>
        <v>1.00629096712079</v>
      </c>
      <c r="P50" s="66">
        <f>24.42/D50/1.13</f>
        <v>3.22065863919919</v>
      </c>
      <c r="Q50" s="1005">
        <v>0</v>
      </c>
      <c r="R50" s="66">
        <v>0.8</v>
      </c>
      <c r="S50" s="1557">
        <f t="shared" ref="S50:S57" si="8">SUM(O50:R50)</f>
        <v>5.02694960631998</v>
      </c>
      <c r="T50" s="1559">
        <f t="shared" si="6"/>
        <v>3.72065863919919</v>
      </c>
      <c r="U50" s="1559">
        <f t="shared" si="5"/>
        <v>5.52694960631998</v>
      </c>
      <c r="V50" s="1554"/>
      <c r="W50" s="34"/>
    </row>
    <row r="51" s="989" customFormat="1" ht="13.8" spans="1:23">
      <c r="A51" s="1005"/>
      <c r="B51" s="1054"/>
      <c r="C51" s="1556" t="s">
        <v>5266</v>
      </c>
      <c r="D51" s="1005">
        <v>6.71</v>
      </c>
      <c r="E51" s="1503" t="s">
        <v>5312</v>
      </c>
      <c r="F51" s="1509"/>
      <c r="G51" s="1509" t="s">
        <v>1428</v>
      </c>
      <c r="H51" s="1509" t="s">
        <v>1428</v>
      </c>
      <c r="I51" s="1509" t="s">
        <v>1428</v>
      </c>
      <c r="J51" s="1558">
        <v>0</v>
      </c>
      <c r="K51" s="1558">
        <v>0</v>
      </c>
      <c r="L51" s="1558">
        <v>0</v>
      </c>
      <c r="M51" s="1558">
        <v>0</v>
      </c>
      <c r="N51" s="1509">
        <v>0</v>
      </c>
      <c r="O51" s="1509">
        <f t="shared" si="7"/>
        <v>1.00629096712079</v>
      </c>
      <c r="P51" s="66">
        <f>24.58/D51/1.13</f>
        <v>3.241760415705</v>
      </c>
      <c r="Q51" s="1005">
        <v>0</v>
      </c>
      <c r="R51" s="66">
        <v>0.8</v>
      </c>
      <c r="S51" s="1557">
        <f t="shared" si="8"/>
        <v>5.04805138282579</v>
      </c>
      <c r="T51" s="1559">
        <f t="shared" si="6"/>
        <v>3.741760415705</v>
      </c>
      <c r="U51" s="1559">
        <f t="shared" si="5"/>
        <v>5.54805138282579</v>
      </c>
      <c r="V51" s="1554"/>
      <c r="W51" s="34">
        <f>370.58/6.78/1.13</f>
        <v>48.3697496541102</v>
      </c>
    </row>
    <row r="52" s="193" customFormat="1" ht="13.8" spans="1:23">
      <c r="A52" s="924"/>
      <c r="B52" s="1561"/>
      <c r="C52" s="1562" t="s">
        <v>5313</v>
      </c>
      <c r="D52" s="1005">
        <v>6.71</v>
      </c>
      <c r="E52" s="791" t="s">
        <v>5314</v>
      </c>
      <c r="F52" s="1563" t="s">
        <v>1428</v>
      </c>
      <c r="G52" s="1563" t="s">
        <v>1428</v>
      </c>
      <c r="H52" s="924" t="s">
        <v>1428</v>
      </c>
      <c r="I52" s="924" t="s">
        <v>1428</v>
      </c>
      <c r="J52" s="1564">
        <v>0</v>
      </c>
      <c r="K52" s="1564">
        <v>0</v>
      </c>
      <c r="L52" s="1564">
        <v>0</v>
      </c>
      <c r="M52" s="1564">
        <v>0</v>
      </c>
      <c r="N52" s="924">
        <v>0</v>
      </c>
      <c r="O52" s="1563">
        <f t="shared" si="7"/>
        <v>1.00629096712079</v>
      </c>
      <c r="P52" s="154">
        <f>30.24/D52/1.13</f>
        <v>3.98823575959801</v>
      </c>
      <c r="Q52" s="924">
        <v>0</v>
      </c>
      <c r="R52" s="154">
        <v>0.8</v>
      </c>
      <c r="S52" s="1565">
        <f t="shared" si="8"/>
        <v>5.79452672671881</v>
      </c>
      <c r="T52" s="1566">
        <f t="shared" si="6"/>
        <v>4.48823575959801</v>
      </c>
      <c r="U52" s="1566">
        <f t="shared" si="5"/>
        <v>6.29452672671881</v>
      </c>
      <c r="V52" s="1567"/>
      <c r="W52" s="1256" t="s">
        <v>5315</v>
      </c>
    </row>
    <row r="53" s="989" customFormat="1" ht="13.8" spans="1:23">
      <c r="A53" s="1005"/>
      <c r="B53" s="1054"/>
      <c r="C53" s="1556" t="s">
        <v>5266</v>
      </c>
      <c r="D53" s="1005">
        <v>6.71</v>
      </c>
      <c r="E53" s="1503" t="s">
        <v>5316</v>
      </c>
      <c r="F53" s="1509" t="s">
        <v>1428</v>
      </c>
      <c r="G53" s="1509" t="s">
        <v>1428</v>
      </c>
      <c r="H53" s="1509" t="s">
        <v>1428</v>
      </c>
      <c r="I53" s="1509" t="s">
        <v>1428</v>
      </c>
      <c r="J53" s="1558">
        <v>0</v>
      </c>
      <c r="K53" s="1558">
        <v>0</v>
      </c>
      <c r="L53" s="1558">
        <v>0</v>
      </c>
      <c r="M53" s="1558">
        <v>0</v>
      </c>
      <c r="N53" s="1005">
        <v>0</v>
      </c>
      <c r="O53" s="1509">
        <f t="shared" si="7"/>
        <v>1.00629096712079</v>
      </c>
      <c r="P53" s="66">
        <f>28.93/D53/1.13</f>
        <v>3.8154649644567</v>
      </c>
      <c r="Q53" s="1005">
        <v>0</v>
      </c>
      <c r="R53" s="66">
        <v>0.8</v>
      </c>
      <c r="S53" s="1557">
        <f t="shared" si="8"/>
        <v>5.62175593157749</v>
      </c>
      <c r="T53" s="15">
        <f t="shared" si="6"/>
        <v>4.3154649644567</v>
      </c>
      <c r="U53" s="15">
        <f t="shared" si="5"/>
        <v>6.12175593157749</v>
      </c>
      <c r="V53" s="1554"/>
      <c r="W53" s="34"/>
    </row>
    <row r="54" s="989" customFormat="1" ht="13.8" spans="1:23">
      <c r="A54" s="1005"/>
      <c r="B54" s="1054"/>
      <c r="C54" s="1556" t="s">
        <v>5266</v>
      </c>
      <c r="D54" s="1005">
        <v>6.71</v>
      </c>
      <c r="E54" s="1503" t="s">
        <v>5317</v>
      </c>
      <c r="F54" s="1509" t="s">
        <v>1428</v>
      </c>
      <c r="G54" s="1005" t="s">
        <v>1428</v>
      </c>
      <c r="H54" s="1005" t="s">
        <v>1428</v>
      </c>
      <c r="I54" s="1005" t="s">
        <v>1428</v>
      </c>
      <c r="J54" s="1558">
        <v>0</v>
      </c>
      <c r="K54" s="1558">
        <v>0</v>
      </c>
      <c r="L54" s="1558">
        <v>0</v>
      </c>
      <c r="M54" s="1558">
        <v>0</v>
      </c>
      <c r="N54" s="1005">
        <v>0</v>
      </c>
      <c r="O54" s="1509">
        <f t="shared" si="7"/>
        <v>1.00629096712079</v>
      </c>
      <c r="P54" s="66">
        <f>24.94/D54/1.13</f>
        <v>3.28923941284307</v>
      </c>
      <c r="Q54" s="1005">
        <v>0</v>
      </c>
      <c r="R54" s="66">
        <v>0.8</v>
      </c>
      <c r="S54" s="1557">
        <f t="shared" si="8"/>
        <v>5.09553037996386</v>
      </c>
      <c r="T54" s="1559">
        <f t="shared" si="6"/>
        <v>3.78923941284307</v>
      </c>
      <c r="U54" s="1559">
        <f t="shared" si="5"/>
        <v>5.59553037996386</v>
      </c>
      <c r="V54" s="1554"/>
      <c r="W54" s="34"/>
    </row>
    <row r="55" s="989" customFormat="1" ht="13.8" spans="1:23">
      <c r="A55" s="1005"/>
      <c r="B55" s="1054"/>
      <c r="C55" s="1556" t="s">
        <v>5266</v>
      </c>
      <c r="D55" s="1005">
        <v>6.71</v>
      </c>
      <c r="E55" s="1031" t="s">
        <v>5318</v>
      </c>
      <c r="F55" s="1509" t="s">
        <v>1428</v>
      </c>
      <c r="G55" s="1509" t="s">
        <v>1428</v>
      </c>
      <c r="H55" s="1509" t="s">
        <v>1428</v>
      </c>
      <c r="I55" s="1509" t="s">
        <v>1428</v>
      </c>
      <c r="J55" s="1558">
        <v>0</v>
      </c>
      <c r="K55" s="1558">
        <v>0</v>
      </c>
      <c r="L55" s="1558">
        <v>0</v>
      </c>
      <c r="M55" s="1558">
        <v>0</v>
      </c>
      <c r="N55" s="1005">
        <v>0</v>
      </c>
      <c r="O55" s="31">
        <f t="shared" si="7"/>
        <v>1.00629096712079</v>
      </c>
      <c r="P55" s="31">
        <f>28.58/D55/1.13</f>
        <v>3.76930482835024</v>
      </c>
      <c r="Q55" s="1005">
        <v>0</v>
      </c>
      <c r="R55" s="66">
        <v>0.8</v>
      </c>
      <c r="S55" s="1510">
        <f t="shared" si="8"/>
        <v>5.57559579547103</v>
      </c>
      <c r="T55" s="1559">
        <f t="shared" si="6"/>
        <v>4.26930482835024</v>
      </c>
      <c r="U55" s="1559">
        <f t="shared" si="5"/>
        <v>6.07559579547103</v>
      </c>
      <c r="V55" s="1503"/>
      <c r="W55" s="25"/>
    </row>
    <row r="56" s="989" customFormat="1" ht="21" customHeight="1" spans="1:23">
      <c r="A56" s="1061"/>
      <c r="B56" s="1568" t="s">
        <v>5319</v>
      </c>
      <c r="C56" s="1556" t="s">
        <v>5266</v>
      </c>
      <c r="D56" s="1005">
        <v>6.71</v>
      </c>
      <c r="E56" s="1553" t="s">
        <v>5320</v>
      </c>
      <c r="F56" s="1569" t="s">
        <v>1428</v>
      </c>
      <c r="G56" s="1509" t="s">
        <v>1428</v>
      </c>
      <c r="H56" s="1509" t="s">
        <v>1428</v>
      </c>
      <c r="I56" s="1509" t="s">
        <v>1428</v>
      </c>
      <c r="J56" s="1558">
        <v>0</v>
      </c>
      <c r="K56" s="1558">
        <v>0</v>
      </c>
      <c r="L56" s="1558">
        <v>0</v>
      </c>
      <c r="M56" s="1558">
        <v>0</v>
      </c>
      <c r="N56" s="1005">
        <v>0</v>
      </c>
      <c r="O56" s="1005">
        <f>6.22/D56/1.13</f>
        <v>0.820331561663348</v>
      </c>
      <c r="P56" s="31">
        <f>9.59/D56/1.13</f>
        <v>1.26478772931696</v>
      </c>
      <c r="Q56" s="1005">
        <v>0</v>
      </c>
      <c r="R56" s="66">
        <v>0.8</v>
      </c>
      <c r="S56" s="1510">
        <f t="shared" si="8"/>
        <v>2.88511929098031</v>
      </c>
      <c r="T56" s="15">
        <f t="shared" si="6"/>
        <v>1.76478772931696</v>
      </c>
      <c r="U56" s="15">
        <f t="shared" si="5"/>
        <v>3.38511929098031</v>
      </c>
      <c r="V56" s="1503"/>
      <c r="W56" s="1570"/>
    </row>
    <row r="57" s="989" customFormat="1" ht="21" customHeight="1" spans="1:23">
      <c r="A57" s="1061"/>
      <c r="B57" s="1568"/>
      <c r="C57" s="1556" t="s">
        <v>5266</v>
      </c>
      <c r="D57" s="1005">
        <v>6.71</v>
      </c>
      <c r="E57" s="1553" t="s">
        <v>5321</v>
      </c>
      <c r="F57" s="1569" t="s">
        <v>1428</v>
      </c>
      <c r="G57" s="1569" t="s">
        <v>1428</v>
      </c>
      <c r="H57" s="1509" t="s">
        <v>1428</v>
      </c>
      <c r="I57" s="1509" t="s">
        <v>1428</v>
      </c>
      <c r="J57" s="1558">
        <v>0</v>
      </c>
      <c r="K57" s="1558">
        <v>0</v>
      </c>
      <c r="L57" s="1558">
        <v>0</v>
      </c>
      <c r="M57" s="1558">
        <v>0</v>
      </c>
      <c r="N57" s="1005">
        <v>0</v>
      </c>
      <c r="O57" s="1005">
        <f>5.62/D57/1.13</f>
        <v>0.741199899766562</v>
      </c>
      <c r="P57" s="31">
        <f>13.22/D57/1.13</f>
        <v>1.74353428379252</v>
      </c>
      <c r="Q57" s="1005">
        <v>0</v>
      </c>
      <c r="R57" s="66">
        <v>0.8</v>
      </c>
      <c r="S57" s="1510">
        <f t="shared" si="8"/>
        <v>3.28473418355908</v>
      </c>
      <c r="T57" s="15">
        <f t="shared" si="6"/>
        <v>2.24353428379252</v>
      </c>
      <c r="U57" s="15">
        <f t="shared" si="5"/>
        <v>3.78473418355908</v>
      </c>
      <c r="V57" s="1503"/>
      <c r="W57" s="1570"/>
    </row>
    <row r="58" s="193" customFormat="1" ht="21" customHeight="1" spans="1:23">
      <c r="A58" s="1571"/>
      <c r="B58" s="1572"/>
      <c r="C58" s="1562" t="s">
        <v>5313</v>
      </c>
      <c r="D58" s="1005">
        <v>6.71</v>
      </c>
      <c r="E58" s="1573" t="s">
        <v>5322</v>
      </c>
      <c r="F58" s="1574"/>
      <c r="G58" s="1574" t="s">
        <v>1428</v>
      </c>
      <c r="H58" s="1563" t="s">
        <v>1428</v>
      </c>
      <c r="I58" s="1563" t="s">
        <v>1428</v>
      </c>
      <c r="J58" s="1564">
        <v>0</v>
      </c>
      <c r="K58" s="1564">
        <v>0</v>
      </c>
      <c r="L58" s="1564">
        <v>0</v>
      </c>
      <c r="M58" s="1564">
        <v>0</v>
      </c>
      <c r="N58" s="1564">
        <v>0</v>
      </c>
      <c r="O58" s="924">
        <f>6.22/D58/1.13</f>
        <v>0.820331561663348</v>
      </c>
      <c r="P58" s="727">
        <f>9.65/D58/1.13</f>
        <v>1.27270089550664</v>
      </c>
      <c r="Q58" s="924">
        <v>0</v>
      </c>
      <c r="R58" s="154">
        <f>6.19/D58/1.13</f>
        <v>0.816374978568508</v>
      </c>
      <c r="S58" s="1575">
        <f t="shared" ref="S58:S67" si="9">SUM(J58:R58)</f>
        <v>2.9094074357385</v>
      </c>
      <c r="T58" s="1566"/>
      <c r="U58" s="1566"/>
      <c r="V58" s="791"/>
      <c r="W58" s="1256" t="s">
        <v>5315</v>
      </c>
    </row>
    <row r="59" s="989" customFormat="1" ht="15" spans="1:23">
      <c r="A59" s="1061"/>
      <c r="B59" s="1568"/>
      <c r="C59" s="1556" t="s">
        <v>5266</v>
      </c>
      <c r="D59" s="1005">
        <v>6.71</v>
      </c>
      <c r="E59" s="1031" t="s">
        <v>5323</v>
      </c>
      <c r="F59" s="1569" t="s">
        <v>1428</v>
      </c>
      <c r="G59" s="1554" t="s">
        <v>5324</v>
      </c>
      <c r="H59" s="1503" t="s">
        <v>5325</v>
      </c>
      <c r="I59" s="1553" t="s">
        <v>5326</v>
      </c>
      <c r="J59" s="1576">
        <v>49.5</v>
      </c>
      <c r="K59" s="1558">
        <v>0</v>
      </c>
      <c r="L59" s="1558">
        <v>0</v>
      </c>
      <c r="M59" s="1558">
        <v>0</v>
      </c>
      <c r="N59" s="1557">
        <v>8.45</v>
      </c>
      <c r="O59" s="31">
        <f t="shared" ref="O59:O63" si="10">60.83/D59/1.13</f>
        <v>8.02263165530248</v>
      </c>
      <c r="P59" s="31">
        <f>165.37/D59/1.13</f>
        <v>21.8100048797858</v>
      </c>
      <c r="Q59" s="1005">
        <v>0</v>
      </c>
      <c r="R59" s="66">
        <v>3.9</v>
      </c>
      <c r="S59" s="1510">
        <f t="shared" si="9"/>
        <v>91.6826365350883</v>
      </c>
      <c r="T59" s="15">
        <f t="shared" ref="T59:T61" si="11">P59+2.5</f>
        <v>24.3100048797858</v>
      </c>
      <c r="U59" s="15">
        <f t="shared" ref="U59:U61" si="12">J59+K59+L59+M59+N59+O59+Q59+R59+T59</f>
        <v>94.1826365350883</v>
      </c>
      <c r="V59" s="1503" t="s">
        <v>5327</v>
      </c>
      <c r="W59" s="34" t="s">
        <v>5328</v>
      </c>
    </row>
    <row r="60" s="989" customFormat="1" ht="15" spans="1:23">
      <c r="A60" s="1061"/>
      <c r="B60" s="1568"/>
      <c r="C60" s="1556" t="s">
        <v>5266</v>
      </c>
      <c r="D60" s="1005">
        <v>6.71</v>
      </c>
      <c r="E60" s="1031" t="s">
        <v>5323</v>
      </c>
      <c r="F60" s="1569"/>
      <c r="G60" s="1554" t="s">
        <v>5324</v>
      </c>
      <c r="H60" s="1503" t="s">
        <v>5329</v>
      </c>
      <c r="I60" s="1553" t="s">
        <v>5326</v>
      </c>
      <c r="J60" s="1576">
        <v>49.5</v>
      </c>
      <c r="K60" s="1558">
        <v>0</v>
      </c>
      <c r="L60" s="1558">
        <v>0</v>
      </c>
      <c r="M60" s="1558">
        <v>0</v>
      </c>
      <c r="N60" s="1005">
        <v>8.45</v>
      </c>
      <c r="O60" s="31">
        <f t="shared" si="10"/>
        <v>8.02263165530248</v>
      </c>
      <c r="P60" s="31">
        <f>212.45/D60/1.13</f>
        <v>28.0192026166203</v>
      </c>
      <c r="Q60" s="1005">
        <v>0</v>
      </c>
      <c r="R60" s="66">
        <v>3.9</v>
      </c>
      <c r="S60" s="1510">
        <f t="shared" si="9"/>
        <v>97.8918342719228</v>
      </c>
      <c r="T60" s="1566">
        <f t="shared" si="11"/>
        <v>30.5192026166203</v>
      </c>
      <c r="U60" s="1566">
        <f t="shared" si="12"/>
        <v>100.391834271923</v>
      </c>
      <c r="V60" s="1503" t="s">
        <v>5330</v>
      </c>
      <c r="W60" s="34" t="s">
        <v>5331</v>
      </c>
    </row>
    <row r="61" s="989" customFormat="1" ht="15" spans="1:23">
      <c r="A61" s="1061"/>
      <c r="B61" s="1568"/>
      <c r="C61" s="1556" t="s">
        <v>5266</v>
      </c>
      <c r="D61" s="1005">
        <v>6.71</v>
      </c>
      <c r="E61" s="1031" t="s">
        <v>5332</v>
      </c>
      <c r="F61" s="1569" t="s">
        <v>1428</v>
      </c>
      <c r="G61" s="1554" t="s">
        <v>5324</v>
      </c>
      <c r="H61" s="1503" t="s">
        <v>5333</v>
      </c>
      <c r="I61" s="1553" t="s">
        <v>5326</v>
      </c>
      <c r="J61" s="1576">
        <v>49.5</v>
      </c>
      <c r="K61" s="1558">
        <v>0</v>
      </c>
      <c r="L61" s="1558">
        <v>0</v>
      </c>
      <c r="M61" s="1558">
        <v>0</v>
      </c>
      <c r="N61" s="1557">
        <v>8.45</v>
      </c>
      <c r="O61" s="31">
        <f t="shared" si="10"/>
        <v>8.02263165530248</v>
      </c>
      <c r="P61" s="31">
        <f>210.67/D61/1.13</f>
        <v>27.7844453529932</v>
      </c>
      <c r="Q61" s="1005">
        <v>0</v>
      </c>
      <c r="R61" s="66">
        <v>3.9</v>
      </c>
      <c r="S61" s="1510">
        <f t="shared" si="9"/>
        <v>97.6570770082956</v>
      </c>
      <c r="T61" s="1559">
        <f t="shared" si="11"/>
        <v>30.2844453529932</v>
      </c>
      <c r="U61" s="1559">
        <f t="shared" si="12"/>
        <v>100.157077008296</v>
      </c>
      <c r="V61" s="1503" t="s">
        <v>5334</v>
      </c>
      <c r="W61" s="34" t="s">
        <v>5331</v>
      </c>
    </row>
    <row r="62" s="989" customFormat="1" ht="13.8" spans="1:23">
      <c r="A62" s="1061"/>
      <c r="B62" s="1568"/>
      <c r="C62" s="1556" t="s">
        <v>5313</v>
      </c>
      <c r="D62" s="1005">
        <v>6.71</v>
      </c>
      <c r="E62" s="1031" t="s">
        <v>5335</v>
      </c>
      <c r="F62" s="1031"/>
      <c r="G62" s="1554" t="s">
        <v>5324</v>
      </c>
      <c r="H62" s="1503" t="s">
        <v>5325</v>
      </c>
      <c r="I62" s="1553" t="s">
        <v>5326</v>
      </c>
      <c r="J62" s="1576">
        <v>49.5</v>
      </c>
      <c r="K62" s="1558">
        <v>0</v>
      </c>
      <c r="L62" s="1558">
        <v>0</v>
      </c>
      <c r="M62" s="1558">
        <v>0</v>
      </c>
      <c r="N62" s="29">
        <v>8.45</v>
      </c>
      <c r="O62" s="31">
        <f t="shared" si="10"/>
        <v>8.02263165530248</v>
      </c>
      <c r="P62" s="31">
        <f>211.98/D62/1.13</f>
        <v>27.9572161481345</v>
      </c>
      <c r="Q62" s="1005">
        <v>0</v>
      </c>
      <c r="R62" s="66">
        <v>3.9</v>
      </c>
      <c r="S62" s="1510">
        <f t="shared" si="9"/>
        <v>97.829847803437</v>
      </c>
      <c r="T62" s="1559"/>
      <c r="U62" s="1559"/>
      <c r="V62" s="1503" t="s">
        <v>5336</v>
      </c>
      <c r="W62" s="34" t="s">
        <v>5331</v>
      </c>
    </row>
    <row r="63" s="989" customFormat="1" ht="13.8" spans="1:23">
      <c r="A63" s="1577"/>
      <c r="B63" s="1578"/>
      <c r="C63" s="1556" t="s">
        <v>5266</v>
      </c>
      <c r="D63" s="1005">
        <v>6.71</v>
      </c>
      <c r="E63" s="1031" t="s">
        <v>5337</v>
      </c>
      <c r="F63" s="1031"/>
      <c r="G63" s="1554" t="s">
        <v>5324</v>
      </c>
      <c r="H63" s="1503" t="s">
        <v>5333</v>
      </c>
      <c r="I63" s="1553" t="s">
        <v>5326</v>
      </c>
      <c r="J63" s="1576">
        <v>49.5</v>
      </c>
      <c r="K63" s="1558">
        <v>0</v>
      </c>
      <c r="L63" s="1558">
        <v>0</v>
      </c>
      <c r="M63" s="1558">
        <v>0</v>
      </c>
      <c r="N63" s="29">
        <v>8.45</v>
      </c>
      <c r="O63" s="31">
        <f t="shared" si="10"/>
        <v>8.02263165530248</v>
      </c>
      <c r="P63" s="31">
        <f>210.24/D63/1.13</f>
        <v>27.7277343286338</v>
      </c>
      <c r="Q63" s="1005">
        <v>0</v>
      </c>
      <c r="R63" s="66">
        <v>3.9</v>
      </c>
      <c r="S63" s="1510">
        <f t="shared" si="9"/>
        <v>97.6003659839363</v>
      </c>
      <c r="T63" s="1559"/>
      <c r="U63" s="1559"/>
      <c r="V63" s="1503" t="s">
        <v>5338</v>
      </c>
      <c r="W63" s="34" t="s">
        <v>5331</v>
      </c>
    </row>
    <row r="64" s="989" customFormat="1" ht="13.8" spans="1:23">
      <c r="A64" s="1543"/>
      <c r="B64" s="1543" t="s">
        <v>5339</v>
      </c>
      <c r="C64" s="1556" t="s">
        <v>5266</v>
      </c>
      <c r="D64" s="1005">
        <v>6.71</v>
      </c>
      <c r="E64" s="1553" t="s">
        <v>5340</v>
      </c>
      <c r="F64" s="1031"/>
      <c r="G64" s="1554" t="s">
        <v>5341</v>
      </c>
      <c r="H64" s="1503" t="s">
        <v>5269</v>
      </c>
      <c r="I64" s="1554" t="s">
        <v>5270</v>
      </c>
      <c r="J64" s="66">
        <v>160</v>
      </c>
      <c r="K64" s="29">
        <v>0</v>
      </c>
      <c r="L64" s="29">
        <v>0</v>
      </c>
      <c r="M64" s="29">
        <v>0</v>
      </c>
      <c r="N64" s="29">
        <f t="shared" ref="N64:N69" si="13">102/D64/1.13</f>
        <v>13.4523825224536</v>
      </c>
      <c r="O64" s="31">
        <f t="shared" ref="O64:O67" si="14">91.55/D64/1.13</f>
        <v>12.0741727444179</v>
      </c>
      <c r="P64" s="31">
        <f>400.79/D64/1.13</f>
        <v>52.8586312860214</v>
      </c>
      <c r="Q64" s="29">
        <v>0</v>
      </c>
      <c r="R64" s="66">
        <f>47.58/D64/1.13</f>
        <v>6.27514078841513</v>
      </c>
      <c r="S64" s="1510">
        <f t="shared" si="9"/>
        <v>244.660327341308</v>
      </c>
      <c r="T64" s="1559"/>
      <c r="U64" s="1559"/>
      <c r="V64" s="1554" t="s">
        <v>5342</v>
      </c>
      <c r="W64" s="25" t="s">
        <v>5343</v>
      </c>
    </row>
    <row r="65" s="989" customFormat="1" ht="13.8" spans="1:23">
      <c r="A65" s="1061"/>
      <c r="B65" s="1061"/>
      <c r="C65" s="1556" t="s">
        <v>5344</v>
      </c>
      <c r="D65" s="1005">
        <v>6.71</v>
      </c>
      <c r="E65" s="1553" t="s">
        <v>5345</v>
      </c>
      <c r="F65" s="1031"/>
      <c r="G65" s="1554" t="s">
        <v>5341</v>
      </c>
      <c r="H65" s="1503" t="s">
        <v>5275</v>
      </c>
      <c r="I65" s="1553" t="s">
        <v>5326</v>
      </c>
      <c r="J65" s="66">
        <v>160</v>
      </c>
      <c r="K65" s="29">
        <v>0</v>
      </c>
      <c r="L65" s="29">
        <v>0</v>
      </c>
      <c r="M65" s="29">
        <v>0</v>
      </c>
      <c r="N65" s="29">
        <v>8.45</v>
      </c>
      <c r="O65" s="31">
        <f t="shared" si="14"/>
        <v>12.0741727444179</v>
      </c>
      <c r="P65" s="31">
        <f>293.08/D65/1.13</f>
        <v>38.6531791145167</v>
      </c>
      <c r="Q65" s="29">
        <v>0</v>
      </c>
      <c r="R65" s="66">
        <f t="shared" ref="R65:R67" si="15">35.35/D65/1.13</f>
        <v>4.66217374675231</v>
      </c>
      <c r="S65" s="1510">
        <f t="shared" si="9"/>
        <v>223.839525605687</v>
      </c>
      <c r="T65" s="1559"/>
      <c r="U65" s="1559"/>
      <c r="V65" s="1554" t="s">
        <v>5346</v>
      </c>
      <c r="W65" s="25" t="s">
        <v>5343</v>
      </c>
    </row>
    <row r="66" s="989" customFormat="1" ht="13.8" spans="1:23">
      <c r="A66" s="1061"/>
      <c r="B66" s="1577"/>
      <c r="C66" s="1556" t="s">
        <v>5344</v>
      </c>
      <c r="D66" s="1005">
        <v>6.71</v>
      </c>
      <c r="E66" s="1553" t="s">
        <v>5347</v>
      </c>
      <c r="F66" s="1031"/>
      <c r="G66" s="1554" t="s">
        <v>5341</v>
      </c>
      <c r="H66" s="1503" t="s">
        <v>5348</v>
      </c>
      <c r="I66" s="1554" t="s">
        <v>5270</v>
      </c>
      <c r="J66" s="66">
        <v>160</v>
      </c>
      <c r="K66" s="29">
        <v>0</v>
      </c>
      <c r="L66" s="29">
        <v>0</v>
      </c>
      <c r="M66" s="29">
        <v>0</v>
      </c>
      <c r="N66" s="29">
        <f t="shared" si="13"/>
        <v>13.4523825224536</v>
      </c>
      <c r="O66" s="31">
        <f t="shared" si="14"/>
        <v>12.0741727444179</v>
      </c>
      <c r="P66" s="31">
        <f>375.26/D66/1.13</f>
        <v>49.4915790723132</v>
      </c>
      <c r="Q66" s="29">
        <v>0</v>
      </c>
      <c r="R66" s="66">
        <f t="shared" si="15"/>
        <v>4.66217374675231</v>
      </c>
      <c r="S66" s="1510">
        <f t="shared" si="9"/>
        <v>239.680308085937</v>
      </c>
      <c r="T66" s="1559"/>
      <c r="U66" s="1559"/>
      <c r="V66" s="1554" t="s">
        <v>5349</v>
      </c>
      <c r="W66" s="25" t="s">
        <v>5343</v>
      </c>
    </row>
    <row r="67" s="989" customFormat="1" ht="13.8" spans="1:23">
      <c r="A67" s="1577"/>
      <c r="B67" s="1577"/>
      <c r="C67" s="1556" t="s">
        <v>5344</v>
      </c>
      <c r="D67" s="1005">
        <v>6.71</v>
      </c>
      <c r="E67" s="1553" t="s">
        <v>5350</v>
      </c>
      <c r="F67" s="1031"/>
      <c r="G67" s="1554" t="s">
        <v>5341</v>
      </c>
      <c r="H67" s="1503" t="s">
        <v>5275</v>
      </c>
      <c r="I67" s="1553" t="s">
        <v>5326</v>
      </c>
      <c r="J67" s="66">
        <v>160</v>
      </c>
      <c r="K67" s="29">
        <v>0</v>
      </c>
      <c r="L67" s="29">
        <v>0</v>
      </c>
      <c r="M67" s="29">
        <v>0</v>
      </c>
      <c r="N67" s="29">
        <v>8.45</v>
      </c>
      <c r="O67" s="31">
        <f t="shared" si="14"/>
        <v>12.0741727444179</v>
      </c>
      <c r="P67" s="31">
        <f>295.89/D67/1.13</f>
        <v>39.0237790644</v>
      </c>
      <c r="Q67" s="29">
        <v>0</v>
      </c>
      <c r="R67" s="66">
        <f t="shared" si="15"/>
        <v>4.66217374675231</v>
      </c>
      <c r="S67" s="1510">
        <f t="shared" si="9"/>
        <v>224.21012555557</v>
      </c>
      <c r="T67" s="1559"/>
      <c r="U67" s="1559"/>
      <c r="V67" s="1554" t="s">
        <v>5351</v>
      </c>
      <c r="W67" s="25" t="s">
        <v>5343</v>
      </c>
    </row>
    <row r="68" s="989" customFormat="1" ht="13.8" spans="1:23">
      <c r="A68" s="1577"/>
      <c r="B68" s="1577"/>
      <c r="C68" s="1556"/>
      <c r="D68" s="1005"/>
      <c r="E68" s="1553"/>
      <c r="F68" s="1031"/>
      <c r="G68" s="1554"/>
      <c r="H68" s="1503"/>
      <c r="I68" s="1553"/>
      <c r="J68" s="66"/>
      <c r="K68" s="29"/>
      <c r="L68" s="29"/>
      <c r="M68" s="29"/>
      <c r="N68" s="29"/>
      <c r="O68" s="31"/>
      <c r="P68" s="31"/>
      <c r="Q68" s="29"/>
      <c r="R68" s="66"/>
      <c r="S68" s="1510"/>
      <c r="T68" s="1559"/>
      <c r="U68" s="1559"/>
      <c r="V68" s="1554"/>
      <c r="W68" s="25"/>
    </row>
    <row r="69" s="193" customFormat="1" spans="1:23">
      <c r="A69" s="1255"/>
      <c r="B69" s="791" t="s">
        <v>5352</v>
      </c>
      <c r="C69" s="924" t="s">
        <v>5313</v>
      </c>
      <c r="D69" s="1005">
        <v>6.71</v>
      </c>
      <c r="E69" s="1573" t="s">
        <v>5353</v>
      </c>
      <c r="F69" s="1255"/>
      <c r="G69" s="1567" t="s">
        <v>5354</v>
      </c>
      <c r="H69" s="791" t="s">
        <v>3173</v>
      </c>
      <c r="I69" s="1567" t="s">
        <v>5270</v>
      </c>
      <c r="J69" s="154">
        <v>470</v>
      </c>
      <c r="K69" s="153">
        <v>0</v>
      </c>
      <c r="L69" s="153">
        <v>0</v>
      </c>
      <c r="M69" s="153">
        <v>0</v>
      </c>
      <c r="N69" s="153">
        <f t="shared" si="13"/>
        <v>13.4523825224536</v>
      </c>
      <c r="O69" s="727">
        <f>60.83/D69/1.13</f>
        <v>8.02263165530248</v>
      </c>
      <c r="P69" s="727">
        <f>492.02/D69/1.13</f>
        <v>64.8906004774277</v>
      </c>
      <c r="Q69" s="924">
        <v>0</v>
      </c>
      <c r="R69" s="154">
        <f>39.54/D69/1.13</f>
        <v>5.21477651899819</v>
      </c>
      <c r="S69" s="1575">
        <f>SUM(J69:R69)</f>
        <v>561.580391174182</v>
      </c>
      <c r="T69" s="1566"/>
      <c r="U69" s="1566"/>
      <c r="V69" s="1567" t="s">
        <v>5355</v>
      </c>
      <c r="W69" s="149" t="s">
        <v>5356</v>
      </c>
    </row>
    <row r="70" s="989" customFormat="1" spans="1:23">
      <c r="B70" s="990"/>
      <c r="C70" s="990"/>
      <c r="D70" s="990"/>
      <c r="G70" s="990"/>
      <c r="H70" s="990"/>
      <c r="J70" s="1205"/>
      <c r="K70" s="1205"/>
      <c r="L70" s="1205"/>
      <c r="M70" s="1205"/>
      <c r="N70" s="1205"/>
      <c r="O70" s="1207"/>
      <c r="P70" s="1207"/>
      <c r="Q70" s="1242"/>
      <c r="R70" s="1457"/>
      <c r="S70" s="1458"/>
      <c r="T70" s="1459"/>
      <c r="U70" s="1459"/>
      <c r="V70" s="990"/>
      <c r="W70" s="1204"/>
    </row>
    <row r="71" s="989" customFormat="1" spans="1:23">
      <c r="B71" s="990"/>
      <c r="C71" s="990"/>
      <c r="D71" s="990"/>
      <c r="G71" s="990"/>
      <c r="H71" s="990"/>
      <c r="J71" s="1205"/>
      <c r="K71" s="1205"/>
      <c r="L71" s="1205"/>
      <c r="M71" s="1205"/>
      <c r="N71" s="1205"/>
      <c r="O71" s="1207"/>
      <c r="P71" s="1207"/>
      <c r="Q71" s="1242"/>
      <c r="R71" s="1457"/>
      <c r="S71" s="1458"/>
      <c r="T71" s="1459"/>
      <c r="U71" s="1459"/>
      <c r="W71" s="1204"/>
    </row>
    <row r="72" s="989" customFormat="1" spans="1:23">
      <c r="B72" s="990"/>
      <c r="C72" s="990"/>
      <c r="D72" s="990"/>
      <c r="G72" s="990"/>
      <c r="H72" s="990"/>
      <c r="J72" s="1205"/>
      <c r="K72" s="1205"/>
      <c r="L72" s="1205"/>
      <c r="M72" s="1205"/>
      <c r="N72" s="1205"/>
      <c r="O72" s="1207"/>
      <c r="P72" s="1207"/>
      <c r="Q72" s="1242"/>
      <c r="R72" s="1457"/>
      <c r="S72" s="1458"/>
      <c r="T72" s="1459"/>
      <c r="U72" s="1459"/>
      <c r="V72" s="990"/>
      <c r="W72" s="1204"/>
    </row>
    <row r="73" s="989" customFormat="1" spans="1:23">
      <c r="B73" s="990"/>
      <c r="C73" s="990"/>
      <c r="D73" s="990"/>
      <c r="G73" s="990"/>
      <c r="H73" s="990"/>
      <c r="J73" s="1205"/>
      <c r="K73" s="1205"/>
      <c r="L73" s="1205"/>
      <c r="M73" s="1205"/>
      <c r="N73" s="1205"/>
      <c r="O73" s="1207"/>
      <c r="P73" s="1207"/>
      <c r="Q73" s="1242"/>
      <c r="R73" s="1457"/>
      <c r="S73" s="1458"/>
      <c r="T73" s="1459"/>
      <c r="U73" s="1459"/>
      <c r="V73" s="990"/>
      <c r="W73" s="1204"/>
    </row>
    <row r="74" s="989" customFormat="1" spans="1:23">
      <c r="B74" s="990"/>
      <c r="C74" s="990"/>
      <c r="D74" s="990"/>
      <c r="G74" s="990"/>
      <c r="H74" s="990"/>
      <c r="J74" s="1205"/>
      <c r="K74" s="1205"/>
      <c r="L74" s="1205"/>
      <c r="M74" s="1205"/>
      <c r="N74" s="1205"/>
      <c r="O74" s="1207"/>
      <c r="P74" s="1207"/>
      <c r="Q74" s="1242"/>
      <c r="R74" s="1457"/>
      <c r="S74" s="1458"/>
      <c r="T74" s="1459"/>
      <c r="U74" s="1459"/>
      <c r="V74" s="990"/>
      <c r="W74" s="1204"/>
    </row>
    <row r="75" s="989" customFormat="1" spans="1:23">
      <c r="B75" s="990"/>
      <c r="C75" s="990"/>
      <c r="D75" s="990"/>
      <c r="G75" s="990"/>
      <c r="H75" s="990"/>
      <c r="J75" s="1205"/>
      <c r="K75" s="1205"/>
      <c r="L75" s="1205"/>
      <c r="M75" s="1205"/>
      <c r="N75" s="1205"/>
      <c r="O75" s="1207"/>
      <c r="P75" s="1207"/>
      <c r="Q75" s="1242"/>
      <c r="R75" s="1457"/>
      <c r="S75" s="1458"/>
      <c r="T75" s="1459"/>
      <c r="U75" s="1459"/>
      <c r="V75" s="990"/>
      <c r="W75" s="1204"/>
    </row>
    <row r="76" s="989" customFormat="1" spans="1:23">
      <c r="B76" s="990"/>
      <c r="C76" s="990"/>
      <c r="D76" s="990"/>
      <c r="G76" s="990"/>
      <c r="H76" s="990"/>
      <c r="J76" s="1205"/>
      <c r="K76" s="1205"/>
      <c r="L76" s="1205"/>
      <c r="M76" s="1205"/>
      <c r="N76" s="1205"/>
      <c r="O76" s="1207"/>
      <c r="P76" s="1207"/>
      <c r="Q76" s="1242"/>
      <c r="R76" s="1457"/>
      <c r="S76" s="1458"/>
      <c r="T76" s="1459"/>
      <c r="U76" s="1459"/>
      <c r="V76" s="990"/>
      <c r="W76" s="1204"/>
    </row>
    <row r="77" s="989" customFormat="1" spans="1:23">
      <c r="B77" s="990"/>
      <c r="C77" s="990"/>
      <c r="D77" s="990"/>
      <c r="G77" s="990"/>
      <c r="H77" s="990"/>
      <c r="J77" s="1205"/>
      <c r="K77" s="1205"/>
      <c r="L77" s="1205"/>
      <c r="M77" s="1205"/>
      <c r="N77" s="1205"/>
      <c r="O77" s="1207"/>
      <c r="P77" s="1207"/>
      <c r="Q77" s="1242"/>
      <c r="R77" s="1457"/>
      <c r="S77" s="1458"/>
      <c r="T77" s="1459"/>
      <c r="U77" s="1459"/>
      <c r="V77" s="990"/>
      <c r="W77" s="1204"/>
    </row>
    <row r="78" s="989" customFormat="1" spans="1:23">
      <c r="B78" s="990"/>
      <c r="C78" s="990"/>
      <c r="D78" s="990"/>
      <c r="G78" s="990"/>
      <c r="H78" s="990"/>
      <c r="J78" s="1205"/>
      <c r="K78" s="1205"/>
      <c r="L78" s="1205"/>
      <c r="M78" s="1205"/>
      <c r="N78" s="1205"/>
      <c r="O78" s="1207"/>
      <c r="P78" s="1207"/>
      <c r="Q78" s="1242"/>
      <c r="R78" s="1457"/>
      <c r="S78" s="1458"/>
      <c r="T78" s="1459"/>
      <c r="U78" s="1459"/>
      <c r="V78" s="990"/>
      <c r="W78" s="1204"/>
    </row>
    <row r="79" s="989" customFormat="1" spans="1:23">
      <c r="B79" s="990"/>
      <c r="C79" s="990"/>
      <c r="D79" s="990"/>
      <c r="G79" s="990"/>
      <c r="H79" s="990"/>
      <c r="J79" s="1205"/>
      <c r="K79" s="1205"/>
      <c r="L79" s="1205"/>
      <c r="M79" s="1205"/>
      <c r="N79" s="1205"/>
      <c r="O79" s="1207"/>
      <c r="P79" s="1207"/>
      <c r="Q79" s="1242"/>
      <c r="R79" s="1457"/>
      <c r="S79" s="1458"/>
      <c r="T79" s="1459"/>
      <c r="U79" s="1459"/>
      <c r="V79" s="990"/>
      <c r="W79" s="1204"/>
    </row>
    <row r="80" s="989" customFormat="1" spans="1:23">
      <c r="B80" s="990"/>
      <c r="C80" s="990"/>
      <c r="D80" s="990"/>
      <c r="G80" s="990"/>
      <c r="H80" s="990"/>
      <c r="J80" s="1205"/>
      <c r="K80" s="1205"/>
      <c r="L80" s="1205"/>
      <c r="M80" s="1205"/>
      <c r="N80" s="1205"/>
      <c r="O80" s="1207"/>
      <c r="P80" s="1207"/>
      <c r="Q80" s="1242"/>
      <c r="R80" s="1457"/>
      <c r="S80" s="1458"/>
      <c r="T80" s="1459"/>
      <c r="U80" s="1459"/>
      <c r="V80" s="990"/>
      <c r="W80" s="1204"/>
    </row>
    <row r="83" s="989" customFormat="1" spans="2:23">
      <c r="B83" s="990"/>
      <c r="C83" s="990"/>
      <c r="D83" s="990"/>
      <c r="G83" s="990"/>
      <c r="H83" s="990"/>
      <c r="J83" s="1205"/>
      <c r="K83" s="1205"/>
      <c r="L83" s="1205"/>
      <c r="M83" s="1205"/>
      <c r="N83" s="1205"/>
      <c r="O83" s="1207"/>
      <c r="P83" s="1207"/>
      <c r="Q83" s="1247"/>
      <c r="R83" s="1457"/>
      <c r="S83" s="1458"/>
      <c r="T83" s="1459"/>
      <c r="U83" s="1459"/>
      <c r="V83" s="990"/>
      <c r="W83" s="1204"/>
    </row>
  </sheetData>
  <mergeCells count="13">
    <mergeCell ref="K1:M1"/>
    <mergeCell ref="K2:L2"/>
    <mergeCell ref="A4:A55"/>
    <mergeCell ref="A56:A63"/>
    <mergeCell ref="A64:A67"/>
    <mergeCell ref="B4:B14"/>
    <mergeCell ref="B15:B24"/>
    <mergeCell ref="B28:B29"/>
    <mergeCell ref="B30:B55"/>
    <mergeCell ref="B56:B63"/>
    <mergeCell ref="B64:B66"/>
    <mergeCell ref="E17:E19"/>
    <mergeCell ref="E20:E21"/>
  </mergeCells>
  <pageMargins left="0.75" right="0.75" top="1" bottom="1" header="0.5" footer="0.5"/>
  <pageSetup paperSize="9" orientation="portrait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theme="5" tint="0.6"/>
  </sheetPr>
  <dimension ref="B1:T105"/>
  <sheetViews>
    <sheetView zoomScale="55" zoomScaleNormal="55" workbookViewId="0">
      <pane xSplit="1" ySplit="1" topLeftCell="B2" activePane="bottomRight" state="frozen"/>
      <selection/>
      <selection pane="topRight"/>
      <selection pane="bottomLeft"/>
      <selection pane="bottomRight" activeCell="P14" sqref="P14"/>
    </sheetView>
  </sheetViews>
  <sheetFormatPr defaultColWidth="9" defaultRowHeight="16.2"/>
  <cols>
    <col min="1" max="1" width="2.91666666666667" style="989" customWidth="1"/>
    <col min="2" max="2" width="14.4074074074074" style="1379" customWidth="1"/>
    <col min="3" max="3" width="13.212962962963" style="1379" customWidth="1"/>
    <col min="4" max="4" width="11.6574074074074" style="1379" customWidth="1"/>
    <col min="5" max="5" width="19.7592592592593" style="1380" customWidth="1"/>
    <col min="6" max="6" width="12.1296296296296" style="1381" hidden="1" customWidth="1"/>
    <col min="7" max="7" width="17.3611111111111" style="1381" customWidth="1"/>
    <col min="8" max="8" width="10.6666666666667" style="1380" customWidth="1"/>
    <col min="9" max="9" width="15.962962962963" style="1380" customWidth="1"/>
    <col min="10" max="10" width="6.25" style="1276" customWidth="1"/>
    <col min="11" max="11" width="6.66666666666667" style="1276" customWidth="1"/>
    <col min="12" max="12" width="7.91666666666667" style="1276" customWidth="1"/>
    <col min="13" max="13" width="6.25" style="1276" customWidth="1"/>
    <col min="14" max="14" width="6.41666666666667" style="1382" customWidth="1"/>
    <col min="15" max="15" width="7.25" style="1382" customWidth="1"/>
    <col min="16" max="16" width="9.16666666666667" style="1383" customWidth="1"/>
    <col min="17" max="17" width="15.5555555555556" style="1384" customWidth="1"/>
    <col min="18" max="18" width="15.5555555555556" style="1385" customWidth="1"/>
    <col min="19" max="19" width="38.7407407407407" style="1380" customWidth="1"/>
    <col min="20" max="20" width="36.6666666666667" style="1386" customWidth="1"/>
    <col min="21" max="16384" width="9" style="989"/>
  </cols>
  <sheetData>
    <row r="1" s="799" customFormat="1" ht="27" customHeight="1" spans="2:20">
      <c r="B1" s="684" t="s">
        <v>1493</v>
      </c>
      <c r="C1" s="1387">
        <v>6.71</v>
      </c>
      <c r="D1" s="1388" t="s">
        <v>5357</v>
      </c>
      <c r="E1" s="1387"/>
      <c r="F1" s="1387"/>
      <c r="G1" s="1389"/>
      <c r="H1" s="684"/>
      <c r="I1" s="684"/>
      <c r="J1" s="941"/>
      <c r="K1" s="941" t="s">
        <v>712</v>
      </c>
      <c r="L1" s="941" t="s">
        <v>712</v>
      </c>
      <c r="M1" s="941"/>
      <c r="N1" s="1390"/>
      <c r="O1" s="1390"/>
      <c r="P1" s="941"/>
      <c r="Q1" s="1391"/>
      <c r="R1" s="1392"/>
      <c r="S1" s="1387"/>
      <c r="T1" s="1393" t="s">
        <v>5358</v>
      </c>
    </row>
    <row r="2" s="799" customFormat="1" ht="15" customHeight="1" spans="2:20">
      <c r="B2" s="1394" t="s">
        <v>1</v>
      </c>
      <c r="C2" s="1394" t="s">
        <v>2</v>
      </c>
      <c r="D2" s="1394" t="s">
        <v>1493</v>
      </c>
      <c r="E2" s="1395" t="s">
        <v>5</v>
      </c>
      <c r="F2" s="1396" t="s">
        <v>1933</v>
      </c>
      <c r="G2" s="1397" t="s">
        <v>4102</v>
      </c>
      <c r="H2" s="1398" t="s">
        <v>4541</v>
      </c>
      <c r="I2" s="1398" t="s">
        <v>1497</v>
      </c>
      <c r="J2" s="1399" t="s">
        <v>4102</v>
      </c>
      <c r="K2" s="1400" t="s">
        <v>4103</v>
      </c>
      <c r="L2" s="1400" t="s">
        <v>4104</v>
      </c>
      <c r="M2" s="1399" t="s">
        <v>1497</v>
      </c>
      <c r="N2" s="1401" t="s">
        <v>6</v>
      </c>
      <c r="O2" s="1402" t="s">
        <v>5211</v>
      </c>
      <c r="P2" s="1399" t="s">
        <v>8</v>
      </c>
      <c r="Q2" s="1403" t="s">
        <v>5359</v>
      </c>
      <c r="R2" s="1404" t="s">
        <v>9</v>
      </c>
      <c r="S2" s="1396" t="s">
        <v>4105</v>
      </c>
      <c r="T2" s="1405"/>
    </row>
    <row r="3" s="799" customFormat="1" ht="15" customHeight="1" spans="2:20">
      <c r="B3" s="1406" t="s">
        <v>5360</v>
      </c>
      <c r="C3" s="1290" t="s">
        <v>5361</v>
      </c>
      <c r="D3" s="1291">
        <v>6.71</v>
      </c>
      <c r="E3" s="1407" t="s">
        <v>5362</v>
      </c>
      <c r="F3" s="1408"/>
      <c r="G3" s="1314" t="s">
        <v>1428</v>
      </c>
      <c r="H3" s="1314" t="s">
        <v>1428</v>
      </c>
      <c r="I3" s="1314" t="s">
        <v>1428</v>
      </c>
      <c r="J3" s="1314">
        <v>0</v>
      </c>
      <c r="K3" s="1297"/>
      <c r="L3" s="1297"/>
      <c r="M3" s="1314">
        <v>0</v>
      </c>
      <c r="N3" s="1409">
        <v>0.21</v>
      </c>
      <c r="O3" s="1314">
        <v>0</v>
      </c>
      <c r="P3" s="1410">
        <v>0.8</v>
      </c>
      <c r="Q3" s="1391">
        <v>1.49</v>
      </c>
      <c r="R3" s="1392">
        <f t="shared" ref="R3:R11" si="0">SUM(J3:Q3)</f>
        <v>2.5</v>
      </c>
      <c r="S3" s="1408"/>
      <c r="T3" s="1411"/>
    </row>
    <row r="4" s="799" customFormat="1" ht="15" customHeight="1" spans="2:20">
      <c r="B4" s="1406"/>
      <c r="C4" s="1290" t="s">
        <v>5361</v>
      </c>
      <c r="D4" s="1291">
        <v>6.71</v>
      </c>
      <c r="E4" s="1407" t="s">
        <v>5363</v>
      </c>
      <c r="F4" s="1408"/>
      <c r="G4" s="1314" t="s">
        <v>1428</v>
      </c>
      <c r="H4" s="1314" t="s">
        <v>1428</v>
      </c>
      <c r="I4" s="1314" t="s">
        <v>1428</v>
      </c>
      <c r="J4" s="1314">
        <v>0</v>
      </c>
      <c r="K4" s="1297"/>
      <c r="L4" s="1297"/>
      <c r="M4" s="1314">
        <v>0</v>
      </c>
      <c r="N4" s="1409">
        <v>0.28</v>
      </c>
      <c r="O4" s="1314">
        <v>0</v>
      </c>
      <c r="P4" s="1410">
        <v>0.8</v>
      </c>
      <c r="Q4" s="1391">
        <v>1.48</v>
      </c>
      <c r="R4" s="1392">
        <f t="shared" si="0"/>
        <v>2.56</v>
      </c>
      <c r="S4" s="1408"/>
      <c r="T4" s="1411"/>
    </row>
    <row r="5" s="799" customFormat="1" ht="15" customHeight="1" spans="2:20">
      <c r="B5" s="1406"/>
      <c r="C5" s="1290" t="s">
        <v>5361</v>
      </c>
      <c r="D5" s="1291">
        <v>6.71</v>
      </c>
      <c r="E5" s="1407" t="s">
        <v>5364</v>
      </c>
      <c r="F5" s="1408"/>
      <c r="G5" s="1314" t="s">
        <v>1428</v>
      </c>
      <c r="H5" s="1314" t="s">
        <v>1428</v>
      </c>
      <c r="I5" s="1314" t="s">
        <v>1428</v>
      </c>
      <c r="J5" s="1314">
        <v>0</v>
      </c>
      <c r="K5" s="1297"/>
      <c r="L5" s="1297"/>
      <c r="M5" s="1314">
        <v>0</v>
      </c>
      <c r="N5" s="1409">
        <v>0.28</v>
      </c>
      <c r="O5" s="1314">
        <v>0</v>
      </c>
      <c r="P5" s="1410">
        <v>0.8</v>
      </c>
      <c r="Q5" s="1391">
        <v>1.44</v>
      </c>
      <c r="R5" s="1392">
        <f t="shared" si="0"/>
        <v>2.52</v>
      </c>
      <c r="S5" s="1408"/>
      <c r="T5" s="1411"/>
    </row>
    <row r="6" s="799" customFormat="1" ht="15" customHeight="1" spans="2:20">
      <c r="B6" s="1406"/>
      <c r="C6" s="1290" t="s">
        <v>5361</v>
      </c>
      <c r="D6" s="1291">
        <v>6.71</v>
      </c>
      <c r="E6" s="1407" t="s">
        <v>5365</v>
      </c>
      <c r="F6" s="1408"/>
      <c r="G6" s="1412" t="s">
        <v>5366</v>
      </c>
      <c r="H6" s="1413" t="s">
        <v>4677</v>
      </c>
      <c r="I6" s="1413" t="s">
        <v>5367</v>
      </c>
      <c r="J6" s="1414">
        <v>23</v>
      </c>
      <c r="K6" s="1410"/>
      <c r="L6" s="1410"/>
      <c r="M6" s="1410">
        <v>7.5</v>
      </c>
      <c r="N6" s="1409">
        <f t="shared" ref="N6:N8" si="1">33.5/D6/1.13</f>
        <v>4.41818445590388</v>
      </c>
      <c r="O6" s="1314">
        <v>0</v>
      </c>
      <c r="P6" s="1410">
        <v>4.5</v>
      </c>
      <c r="Q6" s="1391">
        <v>30.76</v>
      </c>
      <c r="R6" s="1392">
        <f t="shared" si="0"/>
        <v>70.1781844559039</v>
      </c>
      <c r="S6" s="1408" t="s">
        <v>5368</v>
      </c>
      <c r="T6" s="1411" t="s">
        <v>5369</v>
      </c>
    </row>
    <row r="7" s="799" customFormat="1" ht="15" customHeight="1" spans="2:20">
      <c r="B7" s="1406"/>
      <c r="C7" s="1290" t="s">
        <v>5361</v>
      </c>
      <c r="D7" s="1291">
        <v>6.71</v>
      </c>
      <c r="E7" s="1407" t="s">
        <v>5370</v>
      </c>
      <c r="F7" s="1408"/>
      <c r="G7" s="1412" t="s">
        <v>5366</v>
      </c>
      <c r="H7" s="1413" t="s">
        <v>4677</v>
      </c>
      <c r="I7" s="1413" t="s">
        <v>5371</v>
      </c>
      <c r="J7" s="1414">
        <v>23.8</v>
      </c>
      <c r="K7" s="1297"/>
      <c r="L7" s="1410"/>
      <c r="M7" s="1314">
        <v>0</v>
      </c>
      <c r="N7" s="1409">
        <f t="shared" si="1"/>
        <v>4.41818445590388</v>
      </c>
      <c r="O7" s="1314">
        <v>0</v>
      </c>
      <c r="P7" s="1410">
        <v>4.5</v>
      </c>
      <c r="Q7" s="1391">
        <v>28.8</v>
      </c>
      <c r="R7" s="1392">
        <f t="shared" si="0"/>
        <v>61.5181844559039</v>
      </c>
      <c r="S7" s="1408" t="s">
        <v>5372</v>
      </c>
      <c r="T7" s="1411" t="s">
        <v>5373</v>
      </c>
    </row>
    <row r="8" s="799" customFormat="1" ht="15" customHeight="1" spans="2:20">
      <c r="B8" s="1406"/>
      <c r="C8" s="1290" t="s">
        <v>5361</v>
      </c>
      <c r="D8" s="1291">
        <v>6.71</v>
      </c>
      <c r="E8" s="1407" t="s">
        <v>5374</v>
      </c>
      <c r="F8" s="1408"/>
      <c r="G8" s="1412" t="s">
        <v>5366</v>
      </c>
      <c r="H8" s="1413" t="s">
        <v>4569</v>
      </c>
      <c r="I8" s="1413" t="s">
        <v>5367</v>
      </c>
      <c r="J8" s="1414">
        <v>23</v>
      </c>
      <c r="K8" s="1297"/>
      <c r="L8" s="1410"/>
      <c r="M8" s="1410">
        <v>7.5</v>
      </c>
      <c r="N8" s="1409">
        <f t="shared" si="1"/>
        <v>4.41818445590388</v>
      </c>
      <c r="O8" s="1314">
        <v>0</v>
      </c>
      <c r="P8" s="1410">
        <v>4.5</v>
      </c>
      <c r="Q8" s="1391">
        <v>27.8</v>
      </c>
      <c r="R8" s="1392">
        <f t="shared" si="0"/>
        <v>67.2181844559039</v>
      </c>
      <c r="S8" s="1408" t="s">
        <v>5375</v>
      </c>
      <c r="T8" s="1411" t="s">
        <v>5376</v>
      </c>
    </row>
    <row r="9" s="799" customFormat="1" ht="15" customHeight="1" spans="2:20">
      <c r="B9" s="1406"/>
      <c r="C9" s="1290" t="s">
        <v>5361</v>
      </c>
      <c r="D9" s="1291">
        <v>6.71</v>
      </c>
      <c r="E9" s="1407" t="s">
        <v>5377</v>
      </c>
      <c r="F9" s="1408"/>
      <c r="G9" s="1412" t="s">
        <v>5366</v>
      </c>
      <c r="H9" s="1413" t="s">
        <v>4677</v>
      </c>
      <c r="I9" s="1413" t="s">
        <v>5371</v>
      </c>
      <c r="J9" s="1414">
        <v>23.8</v>
      </c>
      <c r="K9" s="1297"/>
      <c r="L9" s="1410"/>
      <c r="M9" s="1314">
        <v>0</v>
      </c>
      <c r="N9" s="1409">
        <f>33.5/6.88/1.13</f>
        <v>4.30901420045277</v>
      </c>
      <c r="O9" s="1314">
        <v>0</v>
      </c>
      <c r="P9" s="1410">
        <v>4.5</v>
      </c>
      <c r="Q9" s="1391">
        <v>25.94</v>
      </c>
      <c r="R9" s="1392">
        <f t="shared" si="0"/>
        <v>58.5490142004528</v>
      </c>
      <c r="S9" s="1408" t="s">
        <v>5378</v>
      </c>
      <c r="T9" s="1411" t="s">
        <v>5373</v>
      </c>
    </row>
    <row r="10" s="799" customFormat="1" ht="15" customHeight="1" spans="2:20">
      <c r="B10" s="1415" t="s">
        <v>5379</v>
      </c>
      <c r="C10" s="1290" t="s">
        <v>5361</v>
      </c>
      <c r="D10" s="1291">
        <v>6.71</v>
      </c>
      <c r="E10" s="1407" t="s">
        <v>5380</v>
      </c>
      <c r="F10" s="1408"/>
      <c r="G10" s="1412" t="s">
        <v>5366</v>
      </c>
      <c r="H10" s="1413" t="s">
        <v>3770</v>
      </c>
      <c r="I10" s="1413" t="s">
        <v>5367</v>
      </c>
      <c r="J10" s="1414">
        <v>23</v>
      </c>
      <c r="K10" s="1410"/>
      <c r="L10" s="1410"/>
      <c r="M10" s="1410">
        <v>7.5</v>
      </c>
      <c r="N10" s="1409">
        <v>3.14</v>
      </c>
      <c r="O10" s="1314">
        <v>0</v>
      </c>
      <c r="P10" s="1410">
        <v>4.5</v>
      </c>
      <c r="Q10" s="1391">
        <v>32.81</v>
      </c>
      <c r="R10" s="1392">
        <f t="shared" si="0"/>
        <v>70.95</v>
      </c>
      <c r="S10" s="1408"/>
      <c r="T10" s="1411" t="s">
        <v>5369</v>
      </c>
    </row>
    <row r="11" s="799" customFormat="1" ht="15" customHeight="1" spans="2:20">
      <c r="B11" s="1416"/>
      <c r="C11" s="1290" t="s">
        <v>5361</v>
      </c>
      <c r="D11" s="1291">
        <v>6.71</v>
      </c>
      <c r="E11" s="1407" t="s">
        <v>5381</v>
      </c>
      <c r="F11" s="1408"/>
      <c r="G11" s="1412" t="s">
        <v>5366</v>
      </c>
      <c r="H11" s="1413" t="s">
        <v>3770</v>
      </c>
      <c r="I11" s="1413" t="s">
        <v>5367</v>
      </c>
      <c r="J11" s="1414">
        <v>23</v>
      </c>
      <c r="K11" s="1410"/>
      <c r="L11" s="1410"/>
      <c r="M11" s="1410">
        <v>7.5</v>
      </c>
      <c r="N11" s="1409">
        <f>25.76/D11/1.13</f>
        <v>3.39738601743534</v>
      </c>
      <c r="O11" s="1314">
        <v>0</v>
      </c>
      <c r="P11" s="1410">
        <v>4.5</v>
      </c>
      <c r="Q11" s="1391">
        <v>26.54</v>
      </c>
      <c r="R11" s="1392">
        <f t="shared" si="0"/>
        <v>64.9373860174353</v>
      </c>
      <c r="S11" s="1408" t="s">
        <v>5382</v>
      </c>
      <c r="T11" s="1411" t="s">
        <v>5369</v>
      </c>
    </row>
    <row r="12" s="799" customFormat="1" ht="15" customHeight="1" spans="2:20">
      <c r="B12" s="1415" t="s">
        <v>5383</v>
      </c>
      <c r="C12" s="1290" t="s">
        <v>5361</v>
      </c>
      <c r="D12" s="1291">
        <v>6.71</v>
      </c>
      <c r="E12" s="1407" t="s">
        <v>5384</v>
      </c>
      <c r="F12" s="1408"/>
      <c r="G12" s="1412"/>
      <c r="H12" s="1413"/>
      <c r="I12" s="1413"/>
      <c r="J12" s="1414"/>
      <c r="K12" s="1410"/>
      <c r="L12" s="1410"/>
      <c r="M12" s="1410">
        <v>0</v>
      </c>
      <c r="N12" s="1409">
        <v>0.147</v>
      </c>
      <c r="O12" s="1314">
        <v>0</v>
      </c>
      <c r="P12" s="1410">
        <v>0.8</v>
      </c>
      <c r="Q12" s="1391">
        <v>3.63</v>
      </c>
      <c r="R12" s="1392">
        <f>SUM(M12:Q12)</f>
        <v>4.577</v>
      </c>
      <c r="S12" s="1408"/>
      <c r="T12" s="1411"/>
    </row>
    <row r="13" s="799" customFormat="1" ht="12" customHeight="1" spans="2:20">
      <c r="B13" s="1415"/>
      <c r="C13" s="1290" t="s">
        <v>5361</v>
      </c>
      <c r="D13" s="1291">
        <v>6.71</v>
      </c>
      <c r="E13" s="1407" t="s">
        <v>5385</v>
      </c>
      <c r="F13" s="1408"/>
      <c r="G13" s="1412" t="s">
        <v>5366</v>
      </c>
      <c r="H13" s="1413" t="s">
        <v>3711</v>
      </c>
      <c r="I13" s="1413" t="s">
        <v>5386</v>
      </c>
      <c r="J13" s="1410">
        <v>23</v>
      </c>
      <c r="K13" s="1297"/>
      <c r="L13" s="1410"/>
      <c r="M13" s="1314">
        <v>1.2</v>
      </c>
      <c r="N13" s="1409">
        <v>4.05</v>
      </c>
      <c r="O13" s="1314">
        <v>0</v>
      </c>
      <c r="P13" s="1410">
        <v>4.5</v>
      </c>
      <c r="Q13" s="1391">
        <v>27.08</v>
      </c>
      <c r="R13" s="1392">
        <f t="shared" ref="R13:R21" si="2">SUM(J13:Q13)</f>
        <v>59.83</v>
      </c>
      <c r="S13" s="1408" t="s">
        <v>5387</v>
      </c>
      <c r="T13" s="1411" t="s">
        <v>5373</v>
      </c>
    </row>
    <row r="14" s="799" customFormat="1" ht="15" customHeight="1" spans="2:20">
      <c r="B14" s="1415"/>
      <c r="C14" s="1290" t="s">
        <v>5361</v>
      </c>
      <c r="D14" s="1291">
        <v>6.71</v>
      </c>
      <c r="E14" s="1407" t="s">
        <v>5388</v>
      </c>
      <c r="F14" s="1408" t="s">
        <v>3540</v>
      </c>
      <c r="G14" s="1412" t="s">
        <v>5366</v>
      </c>
      <c r="H14" s="1413" t="s">
        <v>3711</v>
      </c>
      <c r="I14" s="1413" t="s">
        <v>5386</v>
      </c>
      <c r="J14" s="1410">
        <v>23</v>
      </c>
      <c r="K14" s="1297"/>
      <c r="L14" s="1410"/>
      <c r="M14" s="1314">
        <v>1.2</v>
      </c>
      <c r="N14" s="1409">
        <v>4.05</v>
      </c>
      <c r="O14" s="1314">
        <v>0</v>
      </c>
      <c r="P14" s="1410">
        <v>4.5</v>
      </c>
      <c r="Q14" s="1391">
        <v>24.35</v>
      </c>
      <c r="R14" s="1392">
        <f t="shared" si="2"/>
        <v>57.1</v>
      </c>
      <c r="S14" s="1408" t="s">
        <v>5387</v>
      </c>
      <c r="T14" s="1411" t="s">
        <v>5373</v>
      </c>
    </row>
    <row r="15" s="799" customFormat="1" ht="15" customHeight="1" spans="2:20">
      <c r="B15" s="1416"/>
      <c r="C15" s="1290" t="s">
        <v>5361</v>
      </c>
      <c r="D15" s="1291">
        <v>6.71</v>
      </c>
      <c r="E15" s="1407" t="s">
        <v>5389</v>
      </c>
      <c r="F15" s="1408"/>
      <c r="G15" s="1412" t="s">
        <v>5366</v>
      </c>
      <c r="H15" s="1413" t="s">
        <v>4011</v>
      </c>
      <c r="I15" s="1413" t="s">
        <v>5386</v>
      </c>
      <c r="J15" s="1410">
        <v>23</v>
      </c>
      <c r="K15" s="1410"/>
      <c r="L15" s="1410"/>
      <c r="M15" s="1314">
        <v>1.2</v>
      </c>
      <c r="N15" s="1409">
        <f>33/D15/1.13</f>
        <v>4.35224140432323</v>
      </c>
      <c r="O15" s="1314">
        <v>0</v>
      </c>
      <c r="P15" s="1410">
        <v>4.5</v>
      </c>
      <c r="Q15" s="1391">
        <v>25.53</v>
      </c>
      <c r="R15" s="1392">
        <f t="shared" si="2"/>
        <v>58.5822414043232</v>
      </c>
      <c r="S15" s="1408" t="s">
        <v>5382</v>
      </c>
      <c r="T15" s="1411" t="s">
        <v>5373</v>
      </c>
    </row>
    <row r="16" s="799" customFormat="1" ht="15" customHeight="1" spans="2:20">
      <c r="B16" s="1417" t="s">
        <v>5390</v>
      </c>
      <c r="C16" s="1290" t="s">
        <v>5361</v>
      </c>
      <c r="D16" s="1291">
        <v>6.71</v>
      </c>
      <c r="E16" s="1407" t="s">
        <v>5391</v>
      </c>
      <c r="F16" s="1408"/>
      <c r="G16" s="1412" t="s">
        <v>5366</v>
      </c>
      <c r="H16" s="1413" t="s">
        <v>4677</v>
      </c>
      <c r="I16" s="1413" t="s">
        <v>5392</v>
      </c>
      <c r="J16" s="1410">
        <v>23.8</v>
      </c>
      <c r="K16" s="1297"/>
      <c r="L16" s="1410"/>
      <c r="M16" s="1314">
        <v>1.2</v>
      </c>
      <c r="N16" s="1409">
        <f t="shared" ref="N16:N18" si="3">32.5/D16/1.13</f>
        <v>4.28629835274257</v>
      </c>
      <c r="O16" s="1314">
        <v>0</v>
      </c>
      <c r="P16" s="1410">
        <v>4.5</v>
      </c>
      <c r="Q16" s="1391">
        <v>27.81</v>
      </c>
      <c r="R16" s="1392">
        <f t="shared" si="2"/>
        <v>61.5962983527426</v>
      </c>
      <c r="S16" s="1408" t="s">
        <v>5393</v>
      </c>
      <c r="T16" s="1411" t="s">
        <v>5373</v>
      </c>
    </row>
    <row r="17" s="799" customFormat="1" ht="15" customHeight="1" spans="2:20">
      <c r="B17" s="1415"/>
      <c r="C17" s="1290" t="s">
        <v>5361</v>
      </c>
      <c r="D17" s="1291">
        <v>6.71</v>
      </c>
      <c r="E17" s="1407" t="s">
        <v>5394</v>
      </c>
      <c r="F17" s="1408"/>
      <c r="G17" s="1412" t="s">
        <v>5366</v>
      </c>
      <c r="H17" s="1413" t="s">
        <v>4677</v>
      </c>
      <c r="I17" s="1413" t="s">
        <v>5392</v>
      </c>
      <c r="J17" s="1410">
        <v>23.8</v>
      </c>
      <c r="K17" s="1297"/>
      <c r="L17" s="1410"/>
      <c r="M17" s="1314">
        <v>1.2</v>
      </c>
      <c r="N17" s="1409">
        <f t="shared" si="3"/>
        <v>4.28629835274257</v>
      </c>
      <c r="O17" s="1314">
        <v>0</v>
      </c>
      <c r="P17" s="1410">
        <v>4.5</v>
      </c>
      <c r="Q17" s="1391">
        <v>26.98</v>
      </c>
      <c r="R17" s="1392">
        <f t="shared" si="2"/>
        <v>60.7662983527426</v>
      </c>
      <c r="S17" s="1408" t="s">
        <v>5395</v>
      </c>
      <c r="T17" s="1411" t="s">
        <v>5373</v>
      </c>
    </row>
    <row r="18" s="799" customFormat="1" ht="15" customHeight="1" spans="2:20">
      <c r="B18" s="1415"/>
      <c r="C18" s="1290" t="s">
        <v>5361</v>
      </c>
      <c r="D18" s="1291">
        <v>6.71</v>
      </c>
      <c r="E18" s="1407" t="s">
        <v>5396</v>
      </c>
      <c r="F18" s="1408"/>
      <c r="G18" s="1412" t="s">
        <v>5366</v>
      </c>
      <c r="H18" s="1413" t="s">
        <v>4569</v>
      </c>
      <c r="I18" s="1413" t="s">
        <v>5392</v>
      </c>
      <c r="J18" s="1410">
        <v>23.8</v>
      </c>
      <c r="K18" s="1297"/>
      <c r="L18" s="1410"/>
      <c r="M18" s="1314">
        <v>1.2</v>
      </c>
      <c r="N18" s="1409">
        <f t="shared" si="3"/>
        <v>4.28629835274257</v>
      </c>
      <c r="O18" s="1314">
        <v>0</v>
      </c>
      <c r="P18" s="1410">
        <v>4.5</v>
      </c>
      <c r="Q18" s="1391">
        <v>26.82</v>
      </c>
      <c r="R18" s="1392">
        <f t="shared" si="2"/>
        <v>60.6062983527426</v>
      </c>
      <c r="S18" s="1408" t="s">
        <v>5397</v>
      </c>
      <c r="T18" s="1411" t="s">
        <v>5373</v>
      </c>
    </row>
    <row r="19" s="799" customFormat="1" ht="15" customHeight="1" spans="2:20">
      <c r="B19" s="1415"/>
      <c r="C19" s="1290" t="s">
        <v>5361</v>
      </c>
      <c r="D19" s="1291">
        <v>6.71</v>
      </c>
      <c r="E19" s="1407" t="s">
        <v>5398</v>
      </c>
      <c r="F19" s="1408"/>
      <c r="G19" s="1314" t="s">
        <v>1428</v>
      </c>
      <c r="H19" s="1314" t="s">
        <v>1428</v>
      </c>
      <c r="I19" s="1314" t="s">
        <v>1428</v>
      </c>
      <c r="J19" s="1314">
        <v>0</v>
      </c>
      <c r="K19" s="1297"/>
      <c r="L19" s="1297"/>
      <c r="M19" s="1314">
        <v>0</v>
      </c>
      <c r="N19" s="1409">
        <v>0.43</v>
      </c>
      <c r="O19" s="1314">
        <v>0</v>
      </c>
      <c r="P19" s="1297">
        <v>0.8</v>
      </c>
      <c r="Q19" s="1391">
        <v>1.17</v>
      </c>
      <c r="R19" s="1392">
        <f t="shared" si="2"/>
        <v>2.4</v>
      </c>
      <c r="S19" s="1408"/>
      <c r="T19" s="1411"/>
    </row>
    <row r="20" s="799" customFormat="1" ht="16" customHeight="1" spans="2:20">
      <c r="B20" s="1415"/>
      <c r="C20" s="1290" t="s">
        <v>5361</v>
      </c>
      <c r="D20" s="1291">
        <v>6.71</v>
      </c>
      <c r="E20" s="1407" t="s">
        <v>5399</v>
      </c>
      <c r="F20" s="1408"/>
      <c r="G20" s="1314" t="s">
        <v>1428</v>
      </c>
      <c r="H20" s="1314" t="s">
        <v>1428</v>
      </c>
      <c r="I20" s="1314" t="s">
        <v>1428</v>
      </c>
      <c r="J20" s="1314">
        <v>0</v>
      </c>
      <c r="K20" s="1297"/>
      <c r="L20" s="1297"/>
      <c r="M20" s="1314">
        <v>0</v>
      </c>
      <c r="N20" s="1409">
        <f>3.41/D20/1.13</f>
        <v>0.449731611780067</v>
      </c>
      <c r="O20" s="1314">
        <v>0</v>
      </c>
      <c r="P20" s="1297">
        <v>0.8</v>
      </c>
      <c r="Q20" s="1391">
        <v>1.15</v>
      </c>
      <c r="R20" s="1392">
        <f t="shared" si="2"/>
        <v>2.39973161178007</v>
      </c>
      <c r="S20" s="1408"/>
      <c r="T20" s="1411"/>
    </row>
    <row r="21" s="799" customFormat="1" ht="16" customHeight="1" spans="2:20">
      <c r="B21" s="1416"/>
      <c r="C21" s="1290" t="s">
        <v>5361</v>
      </c>
      <c r="D21" s="1291">
        <v>6.71</v>
      </c>
      <c r="E21" s="1407" t="s">
        <v>5400</v>
      </c>
      <c r="F21" s="1408"/>
      <c r="G21" s="1314" t="s">
        <v>1428</v>
      </c>
      <c r="H21" s="1314" t="s">
        <v>1428</v>
      </c>
      <c r="I21" s="1314" t="s">
        <v>1428</v>
      </c>
      <c r="J21" s="1314">
        <v>0</v>
      </c>
      <c r="K21" s="1297"/>
      <c r="L21" s="1297"/>
      <c r="M21" s="1314">
        <v>0</v>
      </c>
      <c r="N21" s="1314">
        <f>2.07/D21/1.13</f>
        <v>0.273004233543911</v>
      </c>
      <c r="O21" s="1314">
        <v>0</v>
      </c>
      <c r="P21" s="1297">
        <v>0.8</v>
      </c>
      <c r="Q21" s="1391">
        <v>1.23</v>
      </c>
      <c r="R21" s="1392">
        <f t="shared" si="2"/>
        <v>2.30300423354391</v>
      </c>
      <c r="S21" s="1408"/>
      <c r="T21" s="1411"/>
    </row>
    <row r="22" s="799" customFormat="1" ht="15" customHeight="1" spans="2:20">
      <c r="B22" s="1416" t="s">
        <v>5401</v>
      </c>
      <c r="C22" s="1290" t="s">
        <v>5361</v>
      </c>
      <c r="D22" s="1291">
        <v>6.71</v>
      </c>
      <c r="E22" s="1407" t="s">
        <v>5402</v>
      </c>
      <c r="F22" s="1408"/>
      <c r="G22" s="1292" t="s">
        <v>5403</v>
      </c>
      <c r="H22" s="1413" t="s">
        <v>4592</v>
      </c>
      <c r="I22" s="1413" t="s">
        <v>5371</v>
      </c>
      <c r="J22" s="1410">
        <v>27.8</v>
      </c>
      <c r="K22" s="1410"/>
      <c r="L22" s="1410"/>
      <c r="M22" s="1314">
        <v>0</v>
      </c>
      <c r="N22" s="1409">
        <f>38.84/D22/1.13</f>
        <v>5.12245624678528</v>
      </c>
      <c r="O22" s="1314">
        <v>0</v>
      </c>
      <c r="P22" s="1410">
        <v>4.5</v>
      </c>
      <c r="Q22" s="1391">
        <v>25.02</v>
      </c>
      <c r="R22" s="1392">
        <v>61.6746590317543</v>
      </c>
      <c r="S22" s="1408" t="s">
        <v>5404</v>
      </c>
      <c r="T22" s="1411" t="s">
        <v>5376</v>
      </c>
    </row>
    <row r="23" s="799" customFormat="1" ht="15" customHeight="1" spans="2:20">
      <c r="B23" s="1415" t="s">
        <v>5405</v>
      </c>
      <c r="C23" s="1290" t="s">
        <v>5361</v>
      </c>
      <c r="D23" s="1291">
        <v>6.71</v>
      </c>
      <c r="E23" s="1407" t="s">
        <v>5406</v>
      </c>
      <c r="F23" s="1408"/>
      <c r="G23" s="1292" t="s">
        <v>5403</v>
      </c>
      <c r="H23" s="1413" t="s">
        <v>4592</v>
      </c>
      <c r="I23" s="1413" t="s">
        <v>5407</v>
      </c>
      <c r="J23" s="1410">
        <v>27.8</v>
      </c>
      <c r="K23" s="1410"/>
      <c r="L23" s="1410"/>
      <c r="M23" s="1410">
        <v>7.06</v>
      </c>
      <c r="N23" s="1409">
        <f>39.03/D23/1.13</f>
        <v>5.14751460638593</v>
      </c>
      <c r="O23" s="1314">
        <v>0</v>
      </c>
      <c r="P23" s="1410">
        <v>4.5</v>
      </c>
      <c r="Q23" s="1391">
        <v>25.21</v>
      </c>
      <c r="R23" s="1392">
        <v>68.9493857365955</v>
      </c>
      <c r="S23" s="1408" t="s">
        <v>5404</v>
      </c>
      <c r="T23" s="1411" t="s">
        <v>5376</v>
      </c>
    </row>
    <row r="24" s="799" customFormat="1" ht="15" customHeight="1" spans="2:20">
      <c r="B24" s="1416"/>
      <c r="C24" s="1290" t="s">
        <v>5361</v>
      </c>
      <c r="D24" s="1291">
        <v>6.71</v>
      </c>
      <c r="E24" s="1407" t="s">
        <v>5408</v>
      </c>
      <c r="F24" s="1408"/>
      <c r="G24" s="1292" t="s">
        <v>5403</v>
      </c>
      <c r="H24" s="1413" t="s">
        <v>4592</v>
      </c>
      <c r="I24" s="1413" t="s">
        <v>5371</v>
      </c>
      <c r="J24" s="1410">
        <v>27.8</v>
      </c>
      <c r="K24" s="1410"/>
      <c r="L24" s="1410"/>
      <c r="M24" s="1314">
        <v>0</v>
      </c>
      <c r="N24" s="1409">
        <f>39.03/D24/1.13</f>
        <v>5.14751460638593</v>
      </c>
      <c r="O24" s="1314">
        <v>0</v>
      </c>
      <c r="P24" s="1410">
        <v>4.5</v>
      </c>
      <c r="Q24" s="1391">
        <v>25.1</v>
      </c>
      <c r="R24" s="1392">
        <v>61.7793857365955</v>
      </c>
      <c r="S24" s="1408" t="s">
        <v>5404</v>
      </c>
      <c r="T24" s="1411" t="s">
        <v>5373</v>
      </c>
    </row>
    <row r="25" s="799" customFormat="1" ht="15" customHeight="1" spans="2:20">
      <c r="B25" s="1406" t="s">
        <v>5409</v>
      </c>
      <c r="C25" s="1290" t="s">
        <v>5361</v>
      </c>
      <c r="D25" s="1291">
        <v>6.71</v>
      </c>
      <c r="E25" s="1407" t="s">
        <v>5410</v>
      </c>
      <c r="F25" s="1408"/>
      <c r="G25" s="1412" t="s">
        <v>5366</v>
      </c>
      <c r="H25" s="1413" t="s">
        <v>4592</v>
      </c>
      <c r="I25" s="1413" t="s">
        <v>5386</v>
      </c>
      <c r="J25" s="1410">
        <v>23</v>
      </c>
      <c r="K25" s="1410"/>
      <c r="L25" s="1410"/>
      <c r="M25" s="1314">
        <v>1.2</v>
      </c>
      <c r="N25" s="1418">
        <f t="shared" ref="N25:N27" si="4">26.83/D25/1.13</f>
        <v>3.53850414781794</v>
      </c>
      <c r="O25" s="1314">
        <v>0</v>
      </c>
      <c r="P25" s="1410">
        <v>4.5</v>
      </c>
      <c r="Q25" s="1391">
        <v>18.12</v>
      </c>
      <c r="R25" s="1392">
        <v>48.5116710046851</v>
      </c>
      <c r="S25" s="1408" t="s">
        <v>5411</v>
      </c>
      <c r="T25" s="1411" t="s">
        <v>5373</v>
      </c>
    </row>
    <row r="26" s="799" customFormat="1" ht="15" customHeight="1" spans="2:20">
      <c r="B26" s="1406"/>
      <c r="C26" s="1290" t="s">
        <v>5361</v>
      </c>
      <c r="D26" s="1291">
        <v>6.71</v>
      </c>
      <c r="E26" s="1407" t="s">
        <v>5412</v>
      </c>
      <c r="F26" s="1408"/>
      <c r="G26" s="1412" t="s">
        <v>5366</v>
      </c>
      <c r="H26" s="1413" t="s">
        <v>4592</v>
      </c>
      <c r="I26" s="1413" t="s">
        <v>5386</v>
      </c>
      <c r="J26" s="1410">
        <v>23</v>
      </c>
      <c r="K26" s="1410"/>
      <c r="L26" s="1410"/>
      <c r="M26" s="1314">
        <v>1.2</v>
      </c>
      <c r="N26" s="1418">
        <f t="shared" si="4"/>
        <v>3.53850414781794</v>
      </c>
      <c r="O26" s="1314">
        <v>0</v>
      </c>
      <c r="P26" s="1410">
        <v>4.5</v>
      </c>
      <c r="Q26" s="1391">
        <v>18.15</v>
      </c>
      <c r="R26" s="1392">
        <v>48.5416710046851</v>
      </c>
      <c r="S26" s="1408" t="s">
        <v>5411</v>
      </c>
      <c r="T26" s="1411" t="s">
        <v>5373</v>
      </c>
    </row>
    <row r="27" s="799" customFormat="1" ht="15" customHeight="1" spans="2:20">
      <c r="B27" s="1406"/>
      <c r="C27" s="1290" t="s">
        <v>5361</v>
      </c>
      <c r="D27" s="1291">
        <v>6.71</v>
      </c>
      <c r="E27" s="1407" t="s">
        <v>5413</v>
      </c>
      <c r="F27" s="1408"/>
      <c r="G27" s="1412" t="s">
        <v>5366</v>
      </c>
      <c r="H27" s="1413" t="s">
        <v>4592</v>
      </c>
      <c r="I27" s="1413" t="s">
        <v>5386</v>
      </c>
      <c r="J27" s="1410">
        <v>23</v>
      </c>
      <c r="K27" s="1410"/>
      <c r="L27" s="1410"/>
      <c r="M27" s="1314">
        <v>1.2</v>
      </c>
      <c r="N27" s="1419">
        <f t="shared" si="4"/>
        <v>3.53850414781794</v>
      </c>
      <c r="O27" s="1314">
        <v>0</v>
      </c>
      <c r="P27" s="1410">
        <v>4.5</v>
      </c>
      <c r="Q27" s="1391">
        <v>17</v>
      </c>
      <c r="R27" s="1392">
        <f>SUM(M27:Q27)</f>
        <v>26.2385041478179</v>
      </c>
      <c r="S27" s="1408" t="s">
        <v>5411</v>
      </c>
      <c r="T27" s="1411" t="s">
        <v>5414</v>
      </c>
    </row>
    <row r="28" s="799" customFormat="1" ht="15" customHeight="1" spans="2:20">
      <c r="B28" s="1406"/>
      <c r="C28" s="1290" t="s">
        <v>5361</v>
      </c>
      <c r="D28" s="1291">
        <v>6.71</v>
      </c>
      <c r="E28" s="1407" t="s">
        <v>5415</v>
      </c>
      <c r="F28" s="1408"/>
      <c r="G28" s="1412"/>
      <c r="H28" s="1413"/>
      <c r="I28" s="1413"/>
      <c r="J28" s="1410"/>
      <c r="K28" s="1410"/>
      <c r="L28" s="1410"/>
      <c r="M28" s="1410">
        <v>0</v>
      </c>
      <c r="N28" s="1409">
        <v>0.16</v>
      </c>
      <c r="O28" s="1314">
        <v>0</v>
      </c>
      <c r="P28" s="1297">
        <v>0.8</v>
      </c>
      <c r="Q28" s="1391">
        <v>1.25</v>
      </c>
      <c r="R28" s="1392">
        <f t="shared" ref="R28:R49" si="5">SUM(J28:Q28)</f>
        <v>2.21</v>
      </c>
      <c r="S28" s="1408"/>
      <c r="T28" s="1411"/>
    </row>
    <row r="29" s="799" customFormat="1" ht="15" customHeight="1" spans="2:20">
      <c r="B29" s="1406"/>
      <c r="C29" s="1290" t="s">
        <v>5361</v>
      </c>
      <c r="D29" s="1291">
        <v>6.71</v>
      </c>
      <c r="E29" s="1407" t="s">
        <v>5416</v>
      </c>
      <c r="F29" s="1408"/>
      <c r="G29" s="1412"/>
      <c r="H29" s="1413"/>
      <c r="I29" s="1413"/>
      <c r="J29" s="1410"/>
      <c r="K29" s="1410"/>
      <c r="L29" s="1410"/>
      <c r="M29" s="1410">
        <v>0</v>
      </c>
      <c r="N29" s="1409">
        <f>6/D29/1.13</f>
        <v>0.791316618967859</v>
      </c>
      <c r="O29" s="1314">
        <v>0</v>
      </c>
      <c r="P29" s="1297">
        <v>0.8</v>
      </c>
      <c r="Q29" s="1391">
        <v>0.8</v>
      </c>
      <c r="R29" s="1392">
        <f>SUM(M29:Q29)</f>
        <v>2.39131661896786</v>
      </c>
      <c r="S29" s="1408"/>
      <c r="T29" s="1411" t="s">
        <v>5417</v>
      </c>
    </row>
    <row r="30" s="1377" customFormat="1" ht="15" customHeight="1" spans="2:20">
      <c r="B30" s="1420" t="s">
        <v>5418</v>
      </c>
      <c r="C30" s="1290" t="s">
        <v>5361</v>
      </c>
      <c r="D30" s="1291">
        <v>6.71</v>
      </c>
      <c r="E30" s="1421" t="s">
        <v>5419</v>
      </c>
      <c r="F30" s="1422"/>
      <c r="G30" s="1423" t="s">
        <v>5366</v>
      </c>
      <c r="H30" s="1424" t="s">
        <v>5420</v>
      </c>
      <c r="I30" s="1424" t="s">
        <v>5386</v>
      </c>
      <c r="J30" s="1425">
        <v>26</v>
      </c>
      <c r="K30" s="1410"/>
      <c r="L30" s="1410"/>
      <c r="M30" s="1425">
        <v>1.2</v>
      </c>
      <c r="N30" s="1426">
        <v>1.9</v>
      </c>
      <c r="O30" s="1314">
        <v>0</v>
      </c>
      <c r="P30" s="1372">
        <v>4.5</v>
      </c>
      <c r="Q30" s="1391">
        <v>24.28</v>
      </c>
      <c r="R30" s="1392">
        <v>55.7316306702147</v>
      </c>
      <c r="S30" s="1422"/>
      <c r="T30" s="1427" t="s">
        <v>5376</v>
      </c>
    </row>
    <row r="31" s="799" customFormat="1" ht="15" customHeight="1" spans="2:20">
      <c r="B31" s="1416"/>
      <c r="C31" s="1290" t="s">
        <v>5361</v>
      </c>
      <c r="D31" s="1291">
        <v>6.71</v>
      </c>
      <c r="E31" s="1407" t="s">
        <v>5421</v>
      </c>
      <c r="F31" s="1408"/>
      <c r="G31" s="1412"/>
      <c r="H31" s="1413"/>
      <c r="I31" s="1413"/>
      <c r="J31" s="1410"/>
      <c r="K31" s="1410"/>
      <c r="L31" s="1410"/>
      <c r="M31" s="1410">
        <v>0</v>
      </c>
      <c r="N31" s="1409">
        <v>1.5</v>
      </c>
      <c r="O31" s="1314">
        <v>0</v>
      </c>
      <c r="P31" s="1297">
        <f>5/7.15/1.13</f>
        <v>0.6188501763723</v>
      </c>
      <c r="Q31" s="1391">
        <v>10.97</v>
      </c>
      <c r="R31" s="1392">
        <v>13.0888501763723</v>
      </c>
      <c r="S31" s="1408"/>
      <c r="T31" s="1411"/>
    </row>
    <row r="32" s="1378" customFormat="1" ht="21" customHeight="1" spans="2:20">
      <c r="B32" s="1417" t="s">
        <v>5422</v>
      </c>
      <c r="C32" s="1290" t="s">
        <v>5361</v>
      </c>
      <c r="D32" s="1291">
        <v>6.71</v>
      </c>
      <c r="E32" s="1407" t="s">
        <v>5423</v>
      </c>
      <c r="F32" s="1408"/>
      <c r="G32" s="1292" t="s">
        <v>5403</v>
      </c>
      <c r="H32" s="1413" t="s">
        <v>3770</v>
      </c>
      <c r="I32" s="1413" t="s">
        <v>5367</v>
      </c>
      <c r="J32" s="1297">
        <v>27.8</v>
      </c>
      <c r="K32" s="1410"/>
      <c r="L32" s="1410"/>
      <c r="M32" s="1410">
        <v>7.06</v>
      </c>
      <c r="N32" s="1409">
        <f t="shared" ref="N32:N36" si="6">90.35/D32/1.13</f>
        <v>11.9159094206243</v>
      </c>
      <c r="O32" s="1314">
        <v>0</v>
      </c>
      <c r="P32" s="1297">
        <v>4.5</v>
      </c>
      <c r="Q32" s="1391">
        <v>25.445</v>
      </c>
      <c r="R32" s="1392">
        <f t="shared" si="5"/>
        <v>76.7209094206243</v>
      </c>
      <c r="S32" s="1408" t="s">
        <v>5424</v>
      </c>
      <c r="T32" s="1411" t="s">
        <v>5425</v>
      </c>
    </row>
    <row r="33" s="1378" customFormat="1" ht="21" customHeight="1" spans="2:20">
      <c r="B33" s="1415"/>
      <c r="C33" s="1290" t="s">
        <v>5361</v>
      </c>
      <c r="D33" s="1291">
        <v>6.71</v>
      </c>
      <c r="E33" s="1407" t="s">
        <v>5426</v>
      </c>
      <c r="F33" s="1408"/>
      <c r="G33" s="1292" t="s">
        <v>5403</v>
      </c>
      <c r="H33" s="1413" t="s">
        <v>3770</v>
      </c>
      <c r="I33" s="1413" t="s">
        <v>5371</v>
      </c>
      <c r="J33" s="1297">
        <v>27.8</v>
      </c>
      <c r="K33" s="1410"/>
      <c r="L33" s="1410"/>
      <c r="M33" s="1314">
        <v>0</v>
      </c>
      <c r="N33" s="1409">
        <f t="shared" si="6"/>
        <v>11.9159094206243</v>
      </c>
      <c r="O33" s="1314">
        <v>0</v>
      </c>
      <c r="P33" s="1297">
        <v>4.5</v>
      </c>
      <c r="Q33" s="1391">
        <v>24.2249</v>
      </c>
      <c r="R33" s="1392">
        <f t="shared" si="5"/>
        <v>68.4408094206243</v>
      </c>
      <c r="S33" s="1408" t="s">
        <v>5424</v>
      </c>
      <c r="T33" s="1411" t="s">
        <v>5425</v>
      </c>
    </row>
    <row r="34" s="1378" customFormat="1" ht="21" customHeight="1" spans="2:20">
      <c r="B34" s="1415"/>
      <c r="C34" s="1290" t="s">
        <v>5361</v>
      </c>
      <c r="D34" s="1291">
        <v>6.71</v>
      </c>
      <c r="E34" s="1407" t="s">
        <v>5427</v>
      </c>
      <c r="F34" s="1408"/>
      <c r="G34" s="1292" t="s">
        <v>5403</v>
      </c>
      <c r="H34" s="1413" t="s">
        <v>3770</v>
      </c>
      <c r="I34" s="1413" t="s">
        <v>5371</v>
      </c>
      <c r="J34" s="1297">
        <v>27.8</v>
      </c>
      <c r="K34" s="1410"/>
      <c r="L34" s="1410"/>
      <c r="M34" s="1314">
        <v>0</v>
      </c>
      <c r="N34" s="1409">
        <f t="shared" si="6"/>
        <v>11.9159094206243</v>
      </c>
      <c r="O34" s="1314">
        <v>0</v>
      </c>
      <c r="P34" s="1297">
        <v>4.5</v>
      </c>
      <c r="Q34" s="1391">
        <v>23.23</v>
      </c>
      <c r="R34" s="1392">
        <f t="shared" si="5"/>
        <v>67.4459094206243</v>
      </c>
      <c r="S34" s="1408" t="s">
        <v>5424</v>
      </c>
      <c r="T34" s="1411" t="s">
        <v>5425</v>
      </c>
    </row>
    <row r="35" s="1378" customFormat="1" ht="21" customHeight="1" spans="2:20">
      <c r="B35" s="1415"/>
      <c r="C35" s="1290" t="s">
        <v>5428</v>
      </c>
      <c r="D35" s="1291">
        <v>6.71</v>
      </c>
      <c r="E35" s="1407" t="s">
        <v>5429</v>
      </c>
      <c r="F35" s="1428"/>
      <c r="G35" s="1292" t="s">
        <v>5403</v>
      </c>
      <c r="H35" s="1413" t="s">
        <v>4011</v>
      </c>
      <c r="I35" s="1413" t="s">
        <v>5371</v>
      </c>
      <c r="J35" s="1297">
        <v>27.8</v>
      </c>
      <c r="K35" s="1410"/>
      <c r="L35" s="1410"/>
      <c r="M35" s="1314">
        <v>0</v>
      </c>
      <c r="N35" s="1409">
        <f t="shared" si="6"/>
        <v>11.9159094206243</v>
      </c>
      <c r="O35" s="1314">
        <v>0</v>
      </c>
      <c r="P35" s="1297">
        <v>4.5</v>
      </c>
      <c r="Q35" s="1391">
        <f>168.004/D35/1.13+1.38</f>
        <v>23.5373928755127</v>
      </c>
      <c r="R35" s="1392">
        <f t="shared" si="5"/>
        <v>67.7533022961371</v>
      </c>
      <c r="S35" s="1408" t="s">
        <v>5430</v>
      </c>
      <c r="T35" s="1411" t="s">
        <v>5425</v>
      </c>
    </row>
    <row r="36" s="1378" customFormat="1" ht="21" customHeight="1" spans="2:20">
      <c r="B36" s="1415"/>
      <c r="C36" s="1290" t="s">
        <v>5361</v>
      </c>
      <c r="D36" s="1291">
        <v>6.71</v>
      </c>
      <c r="E36" s="1407" t="s">
        <v>5431</v>
      </c>
      <c r="F36" s="1408"/>
      <c r="G36" s="1292" t="s">
        <v>5403</v>
      </c>
      <c r="H36" s="1413" t="s">
        <v>4011</v>
      </c>
      <c r="I36" s="1413" t="s">
        <v>5371</v>
      </c>
      <c r="J36" s="1297">
        <v>27.8</v>
      </c>
      <c r="K36" s="1410"/>
      <c r="L36" s="1410"/>
      <c r="M36" s="1314">
        <v>0</v>
      </c>
      <c r="N36" s="1409">
        <f t="shared" si="6"/>
        <v>11.9159094206243</v>
      </c>
      <c r="O36" s="1314">
        <v>0</v>
      </c>
      <c r="P36" s="1297">
        <v>4.5</v>
      </c>
      <c r="Q36" s="1391">
        <v>23.02</v>
      </c>
      <c r="R36" s="1392">
        <f t="shared" si="5"/>
        <v>67.2359094206244</v>
      </c>
      <c r="S36" s="1408" t="s">
        <v>5432</v>
      </c>
      <c r="T36" s="1411" t="s">
        <v>5425</v>
      </c>
    </row>
    <row r="37" s="1378" customFormat="1" ht="21" customHeight="1" spans="2:20">
      <c r="B37" s="1415"/>
      <c r="C37" s="1290" t="s">
        <v>5361</v>
      </c>
      <c r="D37" s="1291">
        <v>6.71</v>
      </c>
      <c r="E37" s="1407" t="s">
        <v>5433</v>
      </c>
      <c r="F37" s="1408"/>
      <c r="G37" s="1314" t="s">
        <v>1428</v>
      </c>
      <c r="H37" s="1314" t="s">
        <v>1428</v>
      </c>
      <c r="I37" s="1314" t="s">
        <v>1428</v>
      </c>
      <c r="J37" s="1314">
        <v>0</v>
      </c>
      <c r="K37" s="1297"/>
      <c r="L37" s="1297"/>
      <c r="M37" s="1314">
        <v>0</v>
      </c>
      <c r="N37" s="1409">
        <v>0.18</v>
      </c>
      <c r="O37" s="1314">
        <v>0</v>
      </c>
      <c r="P37" s="1297">
        <v>0.8</v>
      </c>
      <c r="Q37" s="1391">
        <v>1.38</v>
      </c>
      <c r="R37" s="1392">
        <f t="shared" si="5"/>
        <v>2.36</v>
      </c>
      <c r="S37" s="1408"/>
      <c r="T37" s="1429"/>
    </row>
    <row r="38" s="1378" customFormat="1" ht="21" customHeight="1" spans="2:20">
      <c r="B38" s="1415"/>
      <c r="C38" s="1290" t="s">
        <v>5361</v>
      </c>
      <c r="D38" s="1291">
        <v>6.71</v>
      </c>
      <c r="E38" s="1407" t="s">
        <v>5434</v>
      </c>
      <c r="F38" s="1408"/>
      <c r="G38" s="1314" t="s">
        <v>1428</v>
      </c>
      <c r="H38" s="1314" t="s">
        <v>1428</v>
      </c>
      <c r="I38" s="1314" t="s">
        <v>1428</v>
      </c>
      <c r="J38" s="1314">
        <v>0</v>
      </c>
      <c r="K38" s="1297"/>
      <c r="L38" s="1297"/>
      <c r="M38" s="1314">
        <v>0</v>
      </c>
      <c r="N38" s="1409">
        <v>0.21</v>
      </c>
      <c r="O38" s="1314">
        <v>0</v>
      </c>
      <c r="P38" s="1297">
        <v>0.8</v>
      </c>
      <c r="Q38" s="1391">
        <v>1.96</v>
      </c>
      <c r="R38" s="1392">
        <f t="shared" si="5"/>
        <v>2.97</v>
      </c>
      <c r="S38" s="1408"/>
      <c r="T38" s="1429"/>
    </row>
    <row r="39" s="1378" customFormat="1" ht="21" customHeight="1" spans="2:20">
      <c r="B39" s="1415"/>
      <c r="C39" s="1290" t="s">
        <v>5428</v>
      </c>
      <c r="D39" s="1291">
        <v>6.71</v>
      </c>
      <c r="E39" s="1407" t="s">
        <v>5435</v>
      </c>
      <c r="F39" s="1428"/>
      <c r="G39" s="1314" t="s">
        <v>1428</v>
      </c>
      <c r="H39" s="1314" t="s">
        <v>1428</v>
      </c>
      <c r="I39" s="1314" t="s">
        <v>1428</v>
      </c>
      <c r="J39" s="1314">
        <v>0</v>
      </c>
      <c r="K39" s="1297"/>
      <c r="L39" s="1297"/>
      <c r="M39" s="1314">
        <v>0</v>
      </c>
      <c r="N39" s="1409">
        <f>2.7/D39/1.13</f>
        <v>0.356092478535537</v>
      </c>
      <c r="O39" s="1314">
        <v>0</v>
      </c>
      <c r="P39" s="1297">
        <v>0.8</v>
      </c>
      <c r="Q39" s="1391">
        <f>1.71/D39/1.13</f>
        <v>0.22552523640584</v>
      </c>
      <c r="R39" s="1392">
        <f t="shared" si="5"/>
        <v>1.38161771494138</v>
      </c>
      <c r="S39" s="1408"/>
      <c r="T39" s="1429"/>
    </row>
    <row r="40" s="1378" customFormat="1" ht="21" customHeight="1" spans="2:20">
      <c r="B40" s="1415"/>
      <c r="C40" s="1290" t="s">
        <v>5428</v>
      </c>
      <c r="D40" s="1291">
        <v>6.71</v>
      </c>
      <c r="E40" s="1407" t="s">
        <v>5436</v>
      </c>
      <c r="F40" s="1428"/>
      <c r="G40" s="1314" t="s">
        <v>1428</v>
      </c>
      <c r="H40" s="1314" t="s">
        <v>1428</v>
      </c>
      <c r="I40" s="1314" t="s">
        <v>1428</v>
      </c>
      <c r="J40" s="1314">
        <v>0</v>
      </c>
      <c r="K40" s="1297"/>
      <c r="L40" s="1297"/>
      <c r="M40" s="1314">
        <v>0</v>
      </c>
      <c r="N40" s="1409">
        <f>4.66/D40/1.13</f>
        <v>0.614589240731704</v>
      </c>
      <c r="O40" s="1314">
        <v>0</v>
      </c>
      <c r="P40" s="1297">
        <v>0.8</v>
      </c>
      <c r="Q40" s="1391">
        <f>5.37/D40/1.13</f>
        <v>0.708228373976234</v>
      </c>
      <c r="R40" s="1392">
        <f t="shared" si="5"/>
        <v>2.12281761470794</v>
      </c>
      <c r="S40" s="1408"/>
      <c r="T40" s="1429"/>
    </row>
    <row r="41" s="1378" customFormat="1" ht="21" customHeight="1" spans="2:20">
      <c r="B41" s="1415"/>
      <c r="C41" s="1290" t="s">
        <v>5428</v>
      </c>
      <c r="D41" s="1291">
        <v>6.71</v>
      </c>
      <c r="E41" s="1407" t="s">
        <v>5437</v>
      </c>
      <c r="F41" s="1428"/>
      <c r="G41" s="1314" t="s">
        <v>1428</v>
      </c>
      <c r="H41" s="1314" t="s">
        <v>1428</v>
      </c>
      <c r="I41" s="1314" t="s">
        <v>1428</v>
      </c>
      <c r="J41" s="1314">
        <v>0</v>
      </c>
      <c r="K41" s="1297"/>
      <c r="L41" s="1297"/>
      <c r="M41" s="1314">
        <v>0</v>
      </c>
      <c r="N41" s="1409">
        <f>3.7/D41/1.13</f>
        <v>0.487978581696847</v>
      </c>
      <c r="O41" s="1314">
        <v>0</v>
      </c>
      <c r="P41" s="1297">
        <v>0.8</v>
      </c>
      <c r="Q41" s="1391">
        <f>3.9/D41/1.13</f>
        <v>0.514355802329109</v>
      </c>
      <c r="R41" s="1392">
        <f t="shared" si="5"/>
        <v>1.80233438402596</v>
      </c>
      <c r="S41" s="1408"/>
      <c r="T41" s="1429"/>
    </row>
    <row r="42" s="991" customFormat="1" ht="21" customHeight="1" spans="2:20">
      <c r="B42" s="1430" t="s">
        <v>5438</v>
      </c>
      <c r="C42" s="1290" t="s">
        <v>5361</v>
      </c>
      <c r="D42" s="1291">
        <v>6.71</v>
      </c>
      <c r="E42" s="1311" t="s">
        <v>5439</v>
      </c>
      <c r="F42" s="1292" t="s">
        <v>5222</v>
      </c>
      <c r="G42" s="1292" t="s">
        <v>5403</v>
      </c>
      <c r="H42" s="145" t="s">
        <v>3711</v>
      </c>
      <c r="I42" s="145" t="s">
        <v>5407</v>
      </c>
      <c r="J42" s="1297">
        <v>27.8</v>
      </c>
      <c r="K42" s="1297"/>
      <c r="L42" s="1297"/>
      <c r="M42" s="1314">
        <f>57.7/7.3/1.13</f>
        <v>6.99478724693902</v>
      </c>
      <c r="N42" s="1314">
        <v>3.75</v>
      </c>
      <c r="O42" s="1314">
        <v>0</v>
      </c>
      <c r="P42" s="1297">
        <v>4.5</v>
      </c>
      <c r="Q42" s="1391">
        <v>33.36</v>
      </c>
      <c r="R42" s="1392">
        <f t="shared" si="5"/>
        <v>76.404787246939</v>
      </c>
      <c r="S42" s="145" t="s">
        <v>5440</v>
      </c>
      <c r="T42" s="1411" t="s">
        <v>5441</v>
      </c>
    </row>
    <row r="43" s="991" customFormat="1" ht="21" customHeight="1" spans="2:20">
      <c r="B43" s="1318"/>
      <c r="C43" s="1290" t="s">
        <v>5361</v>
      </c>
      <c r="D43" s="1291">
        <v>6.71</v>
      </c>
      <c r="E43" s="1311" t="s">
        <v>5442</v>
      </c>
      <c r="F43" s="1292" t="s">
        <v>5222</v>
      </c>
      <c r="G43" s="1292" t="s">
        <v>5403</v>
      </c>
      <c r="H43" s="145" t="s">
        <v>4677</v>
      </c>
      <c r="I43" s="145" t="s">
        <v>5371</v>
      </c>
      <c r="J43" s="1297">
        <v>27.8</v>
      </c>
      <c r="K43" s="1297"/>
      <c r="L43" s="1297"/>
      <c r="M43" s="1314">
        <v>2</v>
      </c>
      <c r="N43" s="1314">
        <v>3.75</v>
      </c>
      <c r="O43" s="1314">
        <v>0</v>
      </c>
      <c r="P43" s="1297">
        <v>4.5</v>
      </c>
      <c r="Q43" s="1391">
        <v>31.44</v>
      </c>
      <c r="R43" s="1392">
        <f t="shared" si="5"/>
        <v>69.49</v>
      </c>
      <c r="S43" s="145" t="s">
        <v>5443</v>
      </c>
      <c r="T43" s="1411" t="s">
        <v>5441</v>
      </c>
    </row>
    <row r="44" s="991" customFormat="1" ht="21" customHeight="1" spans="2:20">
      <c r="B44" s="1318"/>
      <c r="C44" s="1290" t="s">
        <v>5361</v>
      </c>
      <c r="D44" s="1291">
        <v>6.71</v>
      </c>
      <c r="E44" s="1311" t="s">
        <v>5444</v>
      </c>
      <c r="F44" s="1292" t="s">
        <v>5222</v>
      </c>
      <c r="G44" s="1292" t="s">
        <v>5403</v>
      </c>
      <c r="H44" s="145" t="s">
        <v>4677</v>
      </c>
      <c r="I44" s="145" t="s">
        <v>5371</v>
      </c>
      <c r="J44" s="1297">
        <v>27.8</v>
      </c>
      <c r="K44" s="1297"/>
      <c r="L44" s="1297"/>
      <c r="M44" s="1314">
        <v>2</v>
      </c>
      <c r="N44" s="1314">
        <v>3.75</v>
      </c>
      <c r="O44" s="1314">
        <v>0</v>
      </c>
      <c r="P44" s="1297">
        <v>4.5</v>
      </c>
      <c r="Q44" s="1391">
        <v>31.9</v>
      </c>
      <c r="R44" s="1392">
        <f t="shared" si="5"/>
        <v>69.95</v>
      </c>
      <c r="S44" s="145" t="s">
        <v>5443</v>
      </c>
      <c r="T44" s="1411" t="s">
        <v>5441</v>
      </c>
    </row>
    <row r="45" s="991" customFormat="1" ht="21" customHeight="1" spans="2:20">
      <c r="B45" s="1318"/>
      <c r="C45" s="1290" t="s">
        <v>5361</v>
      </c>
      <c r="D45" s="1291">
        <v>6.71</v>
      </c>
      <c r="E45" s="1311" t="s">
        <v>5445</v>
      </c>
      <c r="F45" s="1292" t="s">
        <v>5222</v>
      </c>
      <c r="G45" s="1292" t="s">
        <v>5403</v>
      </c>
      <c r="H45" s="145" t="s">
        <v>4677</v>
      </c>
      <c r="I45" s="145" t="s">
        <v>5407</v>
      </c>
      <c r="J45" s="1297">
        <v>27.8</v>
      </c>
      <c r="K45" s="1297"/>
      <c r="L45" s="1297"/>
      <c r="M45" s="1314">
        <v>7.06</v>
      </c>
      <c r="N45" s="1314">
        <f>29.15/D45/1.13</f>
        <v>3.84447990715218</v>
      </c>
      <c r="O45" s="1314">
        <v>0</v>
      </c>
      <c r="P45" s="1297">
        <v>4.5</v>
      </c>
      <c r="Q45" s="1391">
        <v>32.21</v>
      </c>
      <c r="R45" s="1392">
        <f t="shared" si="5"/>
        <v>75.4144799071522</v>
      </c>
      <c r="S45" s="145" t="s">
        <v>5443</v>
      </c>
      <c r="T45" s="1411" t="s">
        <v>5441</v>
      </c>
    </row>
    <row r="46" s="991" customFormat="1" ht="21" customHeight="1" spans="2:20">
      <c r="B46" s="1318"/>
      <c r="C46" s="1290" t="s">
        <v>5361</v>
      </c>
      <c r="D46" s="1291">
        <v>6.71</v>
      </c>
      <c r="E46" s="1311" t="s">
        <v>5446</v>
      </c>
      <c r="F46" s="1292" t="s">
        <v>5222</v>
      </c>
      <c r="G46" s="1292" t="s">
        <v>5403</v>
      </c>
      <c r="H46" s="145" t="s">
        <v>4677</v>
      </c>
      <c r="I46" s="145" t="s">
        <v>5371</v>
      </c>
      <c r="J46" s="1297">
        <v>27.8</v>
      </c>
      <c r="K46" s="1297"/>
      <c r="L46" s="1297"/>
      <c r="M46" s="1314">
        <v>0</v>
      </c>
      <c r="N46" s="1314">
        <f>29.154/D46/1.13</f>
        <v>3.84500745156483</v>
      </c>
      <c r="O46" s="1314">
        <v>0</v>
      </c>
      <c r="P46" s="1297">
        <v>4.5</v>
      </c>
      <c r="Q46" s="1391">
        <v>32.44</v>
      </c>
      <c r="R46" s="1392">
        <f t="shared" si="5"/>
        <v>68.5850074515648</v>
      </c>
      <c r="S46" s="145" t="s">
        <v>5443</v>
      </c>
      <c r="T46" s="1411" t="s">
        <v>5447</v>
      </c>
    </row>
    <row r="47" s="991" customFormat="1" ht="21" customHeight="1" spans="2:20">
      <c r="B47" s="1318"/>
      <c r="C47" s="1290" t="s">
        <v>5361</v>
      </c>
      <c r="D47" s="1291">
        <v>6.71</v>
      </c>
      <c r="E47" s="1311" t="s">
        <v>5448</v>
      </c>
      <c r="F47" s="1292" t="s">
        <v>5222</v>
      </c>
      <c r="G47" s="1292" t="s">
        <v>5403</v>
      </c>
      <c r="H47" s="145" t="s">
        <v>4677</v>
      </c>
      <c r="I47" s="145" t="s">
        <v>5407</v>
      </c>
      <c r="J47" s="1297">
        <v>27.8</v>
      </c>
      <c r="K47" s="1297"/>
      <c r="L47" s="1297"/>
      <c r="M47" s="1314">
        <v>7.06</v>
      </c>
      <c r="N47" s="1314">
        <f>29.15/D47/1.13</f>
        <v>3.84447990715218</v>
      </c>
      <c r="O47" s="1314">
        <v>0</v>
      </c>
      <c r="P47" s="1297">
        <v>4.5</v>
      </c>
      <c r="Q47" s="1391">
        <v>32.16</v>
      </c>
      <c r="R47" s="1392">
        <f t="shared" si="5"/>
        <v>75.3644799071522</v>
      </c>
      <c r="S47" s="145" t="s">
        <v>5443</v>
      </c>
      <c r="T47" s="1411" t="s">
        <v>5441</v>
      </c>
    </row>
    <row r="48" s="991" customFormat="1" ht="21" customHeight="1" spans="2:20">
      <c r="B48" s="1318"/>
      <c r="C48" s="1290" t="s">
        <v>5361</v>
      </c>
      <c r="D48" s="1291">
        <v>6.71</v>
      </c>
      <c r="E48" s="1311" t="s">
        <v>5449</v>
      </c>
      <c r="F48" s="1292"/>
      <c r="G48" s="1314" t="s">
        <v>1428</v>
      </c>
      <c r="H48" s="1314" t="s">
        <v>1428</v>
      </c>
      <c r="I48" s="1314" t="s">
        <v>1428</v>
      </c>
      <c r="J48" s="1314">
        <v>0</v>
      </c>
      <c r="K48" s="1297"/>
      <c r="L48" s="1297"/>
      <c r="M48" s="1314">
        <v>0</v>
      </c>
      <c r="N48" s="1314">
        <v>0.31</v>
      </c>
      <c r="O48" s="1314">
        <v>0</v>
      </c>
      <c r="P48" s="1297">
        <v>0.8</v>
      </c>
      <c r="Q48" s="1391">
        <v>1.38</v>
      </c>
      <c r="R48" s="1392">
        <f t="shared" si="5"/>
        <v>2.49</v>
      </c>
      <c r="S48" s="145"/>
      <c r="T48" s="1084"/>
    </row>
    <row r="49" s="991" customFormat="1" ht="21" customHeight="1" spans="2:20">
      <c r="B49" s="1318"/>
      <c r="C49" s="1290" t="s">
        <v>5361</v>
      </c>
      <c r="D49" s="1291">
        <v>6.71</v>
      </c>
      <c r="E49" s="1311" t="s">
        <v>5450</v>
      </c>
      <c r="F49" s="1292"/>
      <c r="G49" s="1314" t="s">
        <v>1428</v>
      </c>
      <c r="H49" s="1314" t="s">
        <v>1428</v>
      </c>
      <c r="I49" s="1314" t="s">
        <v>1428</v>
      </c>
      <c r="J49" s="1314">
        <v>0</v>
      </c>
      <c r="K49" s="1297"/>
      <c r="L49" s="1297"/>
      <c r="M49" s="1314">
        <v>0</v>
      </c>
      <c r="N49" s="1314">
        <v>0.31</v>
      </c>
      <c r="O49" s="1314">
        <v>0</v>
      </c>
      <c r="P49" s="1297">
        <v>0.8</v>
      </c>
      <c r="Q49" s="1391">
        <v>1.34</v>
      </c>
      <c r="R49" s="1392">
        <f t="shared" si="5"/>
        <v>2.45</v>
      </c>
      <c r="S49" s="145"/>
      <c r="T49" s="1084"/>
    </row>
    <row r="50" s="991" customFormat="1" ht="21" customHeight="1" spans="2:20">
      <c r="B50" s="1294" t="s">
        <v>5451</v>
      </c>
      <c r="C50" s="1290" t="s">
        <v>5361</v>
      </c>
      <c r="D50" s="1291">
        <v>6.71</v>
      </c>
      <c r="E50" s="1311" t="s">
        <v>5452</v>
      </c>
      <c r="F50" s="1292" t="s">
        <v>3540</v>
      </c>
      <c r="G50" s="1292" t="s">
        <v>5453</v>
      </c>
      <c r="H50" s="145" t="s">
        <v>4677</v>
      </c>
      <c r="I50" s="145" t="s">
        <v>1428</v>
      </c>
      <c r="J50" s="1314">
        <v>10</v>
      </c>
      <c r="K50" s="1297"/>
      <c r="L50" s="1297"/>
      <c r="M50" s="1314">
        <v>0</v>
      </c>
      <c r="N50" s="1409">
        <v>1.34</v>
      </c>
      <c r="O50" s="1314">
        <v>0</v>
      </c>
      <c r="P50" s="1297">
        <v>4.5</v>
      </c>
      <c r="Q50" s="1391">
        <v>10.43</v>
      </c>
      <c r="R50" s="1392">
        <v>24.07</v>
      </c>
      <c r="S50" s="145" t="s">
        <v>5454</v>
      </c>
      <c r="T50" s="145"/>
    </row>
    <row r="51" s="989" customFormat="1" ht="18" customHeight="1" spans="2:20">
      <c r="B51" s="1366"/>
      <c r="C51" s="1290" t="s">
        <v>5361</v>
      </c>
      <c r="D51" s="1291">
        <v>6.71</v>
      </c>
      <c r="E51" s="1311" t="s">
        <v>5455</v>
      </c>
      <c r="F51" s="1292" t="s">
        <v>3540</v>
      </c>
      <c r="G51" s="1292" t="s">
        <v>5453</v>
      </c>
      <c r="H51" s="145" t="s">
        <v>4677</v>
      </c>
      <c r="I51" s="1311" t="s">
        <v>1428</v>
      </c>
      <c r="J51" s="1431">
        <v>9.5</v>
      </c>
      <c r="K51" s="1431"/>
      <c r="L51" s="1297"/>
      <c r="M51" s="1314">
        <v>0</v>
      </c>
      <c r="N51" s="1314">
        <v>1.34</v>
      </c>
      <c r="O51" s="1314">
        <v>0</v>
      </c>
      <c r="P51" s="1297">
        <v>4.5</v>
      </c>
      <c r="Q51" s="1391">
        <v>10.65</v>
      </c>
      <c r="R51" s="1392">
        <v>23.79</v>
      </c>
      <c r="S51" s="1311"/>
      <c r="T51" s="1411" t="s">
        <v>5376</v>
      </c>
    </row>
    <row r="52" s="989" customFormat="1" ht="15" customHeight="1" spans="2:20">
      <c r="B52" s="1312" t="s">
        <v>5456</v>
      </c>
      <c r="C52" s="1290" t="s">
        <v>5361</v>
      </c>
      <c r="D52" s="1291">
        <v>6.71</v>
      </c>
      <c r="E52" s="1311" t="s">
        <v>5457</v>
      </c>
      <c r="F52" s="1292"/>
      <c r="G52" s="1292" t="s">
        <v>5366</v>
      </c>
      <c r="H52" s="1413" t="s">
        <v>3770</v>
      </c>
      <c r="I52" s="1311" t="s">
        <v>5371</v>
      </c>
      <c r="J52" s="1431">
        <v>22</v>
      </c>
      <c r="K52" s="1431"/>
      <c r="L52" s="1297"/>
      <c r="M52" s="1314">
        <v>0</v>
      </c>
      <c r="N52" s="1314">
        <v>4.54</v>
      </c>
      <c r="O52" s="1314">
        <v>0</v>
      </c>
      <c r="P52" s="1297">
        <v>4.5</v>
      </c>
      <c r="Q52" s="1391">
        <v>13.31</v>
      </c>
      <c r="R52" s="1392">
        <f t="shared" ref="R52:R87" si="7">SUM(J52:Q52)</f>
        <v>44.35</v>
      </c>
      <c r="S52" s="1311"/>
      <c r="T52" s="1411" t="s">
        <v>5458</v>
      </c>
    </row>
    <row r="53" s="989" customFormat="1" ht="14" customHeight="1" spans="2:20">
      <c r="B53" s="1430" t="s">
        <v>5459</v>
      </c>
      <c r="C53" s="1290" t="s">
        <v>5361</v>
      </c>
      <c r="D53" s="1291">
        <v>6.71</v>
      </c>
      <c r="E53" s="1311" t="s">
        <v>5460</v>
      </c>
      <c r="F53" s="1292" t="s">
        <v>3540</v>
      </c>
      <c r="G53" s="1292" t="s">
        <v>5403</v>
      </c>
      <c r="H53" s="1311" t="s">
        <v>4011</v>
      </c>
      <c r="I53" s="1311" t="s">
        <v>5461</v>
      </c>
      <c r="J53" s="1431">
        <v>26</v>
      </c>
      <c r="K53" s="1431"/>
      <c r="L53" s="1297"/>
      <c r="M53" s="1314">
        <v>0</v>
      </c>
      <c r="N53" s="1432">
        <f t="shared" ref="N53:N56" si="8">49.11/D53/1.13</f>
        <v>6.47692652625193</v>
      </c>
      <c r="O53" s="1314">
        <v>0</v>
      </c>
      <c r="P53" s="1297">
        <v>4.5</v>
      </c>
      <c r="Q53" s="1391">
        <v>24.15</v>
      </c>
      <c r="R53" s="1392">
        <f t="shared" si="7"/>
        <v>61.1269265262519</v>
      </c>
      <c r="S53" s="1311" t="s">
        <v>5462</v>
      </c>
      <c r="T53" s="1411" t="s">
        <v>5373</v>
      </c>
    </row>
    <row r="54" s="989" customFormat="1" ht="16" customHeight="1" spans="2:20">
      <c r="B54" s="1433"/>
      <c r="C54" s="1290" t="s">
        <v>5361</v>
      </c>
      <c r="D54" s="1291">
        <v>6.71</v>
      </c>
      <c r="E54" s="1311" t="s">
        <v>5463</v>
      </c>
      <c r="F54" s="1292" t="s">
        <v>3540</v>
      </c>
      <c r="G54" s="1292" t="s">
        <v>5403</v>
      </c>
      <c r="H54" s="1311" t="s">
        <v>4011</v>
      </c>
      <c r="I54" s="1311" t="s">
        <v>5461</v>
      </c>
      <c r="J54" s="1431">
        <v>26</v>
      </c>
      <c r="K54" s="1431"/>
      <c r="L54" s="1297"/>
      <c r="M54" s="1314">
        <v>0</v>
      </c>
      <c r="N54" s="1432">
        <f t="shared" si="8"/>
        <v>6.47692652625193</v>
      </c>
      <c r="O54" s="1314">
        <v>0</v>
      </c>
      <c r="P54" s="1297">
        <v>4.5</v>
      </c>
      <c r="Q54" s="1391">
        <v>24.16</v>
      </c>
      <c r="R54" s="1392">
        <f t="shared" si="7"/>
        <v>61.1369265262519</v>
      </c>
      <c r="S54" s="1311" t="s">
        <v>5462</v>
      </c>
      <c r="T54" s="1411" t="s">
        <v>5373</v>
      </c>
    </row>
    <row r="55" s="989" customFormat="1" ht="16" customHeight="1" spans="2:20">
      <c r="B55" s="1433"/>
      <c r="C55" s="1290" t="s">
        <v>5361</v>
      </c>
      <c r="D55" s="1291">
        <v>6.71</v>
      </c>
      <c r="E55" s="1311" t="s">
        <v>5464</v>
      </c>
      <c r="F55" s="1434"/>
      <c r="G55" s="1292" t="s">
        <v>5403</v>
      </c>
      <c r="H55" s="1311" t="s">
        <v>4011</v>
      </c>
      <c r="I55" s="1314" t="s">
        <v>1428</v>
      </c>
      <c r="J55" s="1431">
        <v>26</v>
      </c>
      <c r="K55" s="1431"/>
      <c r="L55" s="1297"/>
      <c r="M55" s="1314">
        <v>0</v>
      </c>
      <c r="N55" s="1314">
        <f t="shared" si="8"/>
        <v>6.47692652625193</v>
      </c>
      <c r="O55" s="1314">
        <v>0</v>
      </c>
      <c r="P55" s="1297">
        <v>4.5</v>
      </c>
      <c r="Q55" s="1391">
        <v>24.67</v>
      </c>
      <c r="R55" s="1392">
        <f t="shared" si="7"/>
        <v>61.6469265262519</v>
      </c>
      <c r="S55" s="1311" t="s">
        <v>5462</v>
      </c>
      <c r="T55" s="1411" t="s">
        <v>5465</v>
      </c>
    </row>
    <row r="56" s="989" customFormat="1" ht="16" customHeight="1" spans="2:20">
      <c r="B56" s="1433"/>
      <c r="C56" s="1290" t="s">
        <v>5361</v>
      </c>
      <c r="D56" s="1291">
        <v>6.71</v>
      </c>
      <c r="E56" s="1311" t="s">
        <v>5466</v>
      </c>
      <c r="F56" s="1292"/>
      <c r="G56" s="1292" t="s">
        <v>5403</v>
      </c>
      <c r="H56" s="1311" t="s">
        <v>4011</v>
      </c>
      <c r="I56" s="1314" t="s">
        <v>1428</v>
      </c>
      <c r="J56" s="1431">
        <v>26</v>
      </c>
      <c r="K56" s="1431"/>
      <c r="L56" s="1297"/>
      <c r="M56" s="1314">
        <v>0</v>
      </c>
      <c r="N56" s="1432">
        <f t="shared" si="8"/>
        <v>6.47692652625193</v>
      </c>
      <c r="O56" s="1314">
        <v>0</v>
      </c>
      <c r="P56" s="1297">
        <v>4.5</v>
      </c>
      <c r="Q56" s="1391">
        <v>27.3802706923477</v>
      </c>
      <c r="R56" s="1392">
        <f t="shared" si="7"/>
        <v>64.3571972185996</v>
      </c>
      <c r="S56" s="1311" t="s">
        <v>5467</v>
      </c>
      <c r="T56" s="1411" t="s">
        <v>5468</v>
      </c>
    </row>
    <row r="57" s="989" customFormat="1" ht="16" customHeight="1" spans="2:20">
      <c r="B57" s="1433"/>
      <c r="C57" s="1290" t="s">
        <v>5361</v>
      </c>
      <c r="D57" s="1291">
        <v>6.71</v>
      </c>
      <c r="E57" s="1311" t="s">
        <v>5469</v>
      </c>
      <c r="F57" s="1292"/>
      <c r="G57" s="1314" t="s">
        <v>1428</v>
      </c>
      <c r="H57" s="1314" t="s">
        <v>1428</v>
      </c>
      <c r="I57" s="1314" t="s">
        <v>1428</v>
      </c>
      <c r="J57" s="1314">
        <v>0</v>
      </c>
      <c r="K57" s="1297"/>
      <c r="L57" s="1297"/>
      <c r="M57" s="1314">
        <v>0</v>
      </c>
      <c r="N57" s="1314">
        <v>0.18</v>
      </c>
      <c r="O57" s="1314">
        <v>0</v>
      </c>
      <c r="P57" s="1297">
        <v>0.8</v>
      </c>
      <c r="Q57" s="1391">
        <v>1.13</v>
      </c>
      <c r="R57" s="1392">
        <f t="shared" si="7"/>
        <v>2.11</v>
      </c>
      <c r="S57" s="1311"/>
      <c r="T57" s="1411"/>
    </row>
    <row r="58" s="989" customFormat="1" ht="16" customHeight="1" spans="2:20">
      <c r="B58" s="1433"/>
      <c r="C58" s="1290" t="s">
        <v>5361</v>
      </c>
      <c r="D58" s="1291">
        <v>6.71</v>
      </c>
      <c r="E58" s="1311" t="s">
        <v>5470</v>
      </c>
      <c r="F58" s="1292"/>
      <c r="G58" s="1314" t="s">
        <v>1428</v>
      </c>
      <c r="H58" s="1314" t="s">
        <v>1428</v>
      </c>
      <c r="I58" s="1314" t="s">
        <v>1428</v>
      </c>
      <c r="J58" s="1314">
        <v>0</v>
      </c>
      <c r="K58" s="1297"/>
      <c r="L58" s="1297"/>
      <c r="M58" s="1314">
        <v>0</v>
      </c>
      <c r="N58" s="1314">
        <v>0.16</v>
      </c>
      <c r="O58" s="1314">
        <v>0</v>
      </c>
      <c r="P58" s="1297">
        <v>0.8</v>
      </c>
      <c r="Q58" s="1391">
        <v>1.07</v>
      </c>
      <c r="R58" s="1392">
        <f t="shared" si="7"/>
        <v>2.03</v>
      </c>
      <c r="S58" s="1311"/>
      <c r="T58" s="1411"/>
    </row>
    <row r="59" s="989" customFormat="1" spans="2:20">
      <c r="B59" s="1433"/>
      <c r="C59" s="1290" t="s">
        <v>5361</v>
      </c>
      <c r="D59" s="1291">
        <v>6.71</v>
      </c>
      <c r="E59" s="1311" t="s">
        <v>5471</v>
      </c>
      <c r="F59" s="1292"/>
      <c r="G59" s="1314" t="s">
        <v>1428</v>
      </c>
      <c r="H59" s="1314" t="s">
        <v>1428</v>
      </c>
      <c r="I59" s="1314" t="s">
        <v>1428</v>
      </c>
      <c r="J59" s="1314">
        <v>0</v>
      </c>
      <c r="K59" s="1297"/>
      <c r="L59" s="1297"/>
      <c r="M59" s="1314">
        <v>0</v>
      </c>
      <c r="N59" s="1314">
        <v>0.18</v>
      </c>
      <c r="O59" s="1314">
        <v>0</v>
      </c>
      <c r="P59" s="1297">
        <v>0.8</v>
      </c>
      <c r="Q59" s="1391">
        <v>8.23</v>
      </c>
      <c r="R59" s="1392">
        <f t="shared" si="7"/>
        <v>9.21</v>
      </c>
      <c r="S59" s="1311"/>
      <c r="T59" s="1411" t="s">
        <v>5472</v>
      </c>
    </row>
    <row r="60" s="989" customFormat="1" spans="2:20">
      <c r="B60" s="1433"/>
      <c r="C60" s="1290" t="s">
        <v>5361</v>
      </c>
      <c r="D60" s="1291">
        <v>6.71</v>
      </c>
      <c r="E60" s="1292" t="s">
        <v>5473</v>
      </c>
      <c r="F60" s="1292"/>
      <c r="G60" s="1314" t="s">
        <v>1428</v>
      </c>
      <c r="H60" s="1314" t="s">
        <v>1428</v>
      </c>
      <c r="I60" s="1314" t="s">
        <v>1428</v>
      </c>
      <c r="J60" s="1314">
        <v>0</v>
      </c>
      <c r="K60" s="1297"/>
      <c r="L60" s="1297"/>
      <c r="M60" s="1314">
        <v>0</v>
      </c>
      <c r="N60" s="1314">
        <v>0.09</v>
      </c>
      <c r="O60" s="1314">
        <v>0</v>
      </c>
      <c r="P60" s="1297">
        <v>0.8</v>
      </c>
      <c r="Q60" s="1391">
        <v>0.73</v>
      </c>
      <c r="R60" s="1392">
        <f t="shared" si="7"/>
        <v>1.62</v>
      </c>
      <c r="S60" s="1292"/>
      <c r="T60" s="1292"/>
    </row>
    <row r="61" s="989" customFormat="1" spans="2:20">
      <c r="B61" s="1433"/>
      <c r="C61" s="1290" t="s">
        <v>5361</v>
      </c>
      <c r="D61" s="1291">
        <v>6.71</v>
      </c>
      <c r="E61" s="1292" t="s">
        <v>5474</v>
      </c>
      <c r="F61" s="1292"/>
      <c r="G61" s="1314" t="s">
        <v>1428</v>
      </c>
      <c r="H61" s="1314" t="s">
        <v>1428</v>
      </c>
      <c r="I61" s="1314" t="s">
        <v>1428</v>
      </c>
      <c r="J61" s="1314">
        <v>0</v>
      </c>
      <c r="K61" s="1297"/>
      <c r="L61" s="1297"/>
      <c r="M61" s="1314">
        <v>0</v>
      </c>
      <c r="N61" s="1435">
        <f>4.64/D61/1.13</f>
        <v>0.611951518668478</v>
      </c>
      <c r="O61" s="1314">
        <v>0</v>
      </c>
      <c r="P61" s="1297">
        <v>0.8</v>
      </c>
      <c r="Q61" s="1391">
        <v>0.64</v>
      </c>
      <c r="R61" s="1392">
        <f t="shared" si="7"/>
        <v>2.05195151866848</v>
      </c>
      <c r="S61" s="1292"/>
      <c r="T61" s="1292" t="s">
        <v>5417</v>
      </c>
    </row>
    <row r="62" s="989" customFormat="1" spans="2:20">
      <c r="B62" s="1433"/>
      <c r="C62" s="1290" t="s">
        <v>5361</v>
      </c>
      <c r="D62" s="1291">
        <v>6.71</v>
      </c>
      <c r="E62" s="1292" t="s">
        <v>5475</v>
      </c>
      <c r="F62" s="1292"/>
      <c r="G62" s="1314" t="s">
        <v>1428</v>
      </c>
      <c r="H62" s="1314" t="s">
        <v>1428</v>
      </c>
      <c r="I62" s="1314" t="s">
        <v>1428</v>
      </c>
      <c r="J62" s="1314">
        <v>0</v>
      </c>
      <c r="K62" s="1297"/>
      <c r="L62" s="1297"/>
      <c r="M62" s="1314">
        <v>0</v>
      </c>
      <c r="N62" s="1435">
        <f>6.04/D62/1.13</f>
        <v>0.796592063094312</v>
      </c>
      <c r="O62" s="1314">
        <v>0</v>
      </c>
      <c r="P62" s="1297">
        <v>0.8</v>
      </c>
      <c r="Q62" s="1391">
        <v>8.17</v>
      </c>
      <c r="R62" s="1392">
        <f t="shared" si="7"/>
        <v>9.76659206309431</v>
      </c>
      <c r="S62" s="1292"/>
      <c r="T62" s="1292" t="s">
        <v>5417</v>
      </c>
    </row>
    <row r="63" s="989" customFormat="1" spans="2:20">
      <c r="B63" s="1433"/>
      <c r="C63" s="1290" t="s">
        <v>5361</v>
      </c>
      <c r="D63" s="1291">
        <v>6.71</v>
      </c>
      <c r="E63" s="1292" t="s">
        <v>5476</v>
      </c>
      <c r="F63" s="1292"/>
      <c r="G63" s="1314" t="s">
        <v>1428</v>
      </c>
      <c r="H63" s="1314" t="s">
        <v>1428</v>
      </c>
      <c r="I63" s="1314" t="s">
        <v>1428</v>
      </c>
      <c r="J63" s="1314">
        <v>0</v>
      </c>
      <c r="K63" s="1297"/>
      <c r="L63" s="1297"/>
      <c r="M63" s="1314">
        <v>0</v>
      </c>
      <c r="N63" s="1435">
        <f>3.4456/D63/1.13</f>
        <v>0.454426757052609</v>
      </c>
      <c r="O63" s="1314">
        <v>0</v>
      </c>
      <c r="P63" s="1297">
        <v>0.8</v>
      </c>
      <c r="Q63" s="1391">
        <v>0.69</v>
      </c>
      <c r="R63" s="1392">
        <f t="shared" si="7"/>
        <v>1.94442675705261</v>
      </c>
      <c r="S63" s="1292"/>
      <c r="T63" s="1292" t="s">
        <v>5417</v>
      </c>
    </row>
    <row r="64" s="989" customFormat="1" spans="2:20">
      <c r="B64" s="1436"/>
      <c r="C64" s="1290" t="s">
        <v>5361</v>
      </c>
      <c r="D64" s="1291">
        <v>6.71</v>
      </c>
      <c r="E64" s="1292" t="s">
        <v>5477</v>
      </c>
      <c r="F64" s="1292"/>
      <c r="G64" s="1314" t="s">
        <v>1428</v>
      </c>
      <c r="H64" s="1314" t="s">
        <v>1428</v>
      </c>
      <c r="I64" s="1314" t="s">
        <v>1428</v>
      </c>
      <c r="J64" s="1314">
        <v>0</v>
      </c>
      <c r="K64" s="1297"/>
      <c r="L64" s="1297"/>
      <c r="M64" s="1314">
        <v>0</v>
      </c>
      <c r="N64" s="1435">
        <f>6.04/D64/1.13</f>
        <v>0.796592063094312</v>
      </c>
      <c r="O64" s="1314">
        <v>0</v>
      </c>
      <c r="P64" s="1297">
        <v>0.8</v>
      </c>
      <c r="Q64" s="1391">
        <v>0.21</v>
      </c>
      <c r="R64" s="1392">
        <f t="shared" si="7"/>
        <v>1.80659206309431</v>
      </c>
      <c r="S64" s="1292"/>
      <c r="T64" s="1292" t="s">
        <v>5417</v>
      </c>
    </row>
    <row r="65" s="989" customFormat="1" spans="2:20">
      <c r="B65" s="1437" t="s">
        <v>5478</v>
      </c>
      <c r="C65" s="1290" t="s">
        <v>5361</v>
      </c>
      <c r="D65" s="1291">
        <v>6.71</v>
      </c>
      <c r="E65" s="1438" t="s">
        <v>5479</v>
      </c>
      <c r="F65" s="1438"/>
      <c r="G65" s="1438" t="s">
        <v>5403</v>
      </c>
      <c r="H65" s="1413" t="s">
        <v>4592</v>
      </c>
      <c r="I65" s="1438" t="s">
        <v>5461</v>
      </c>
      <c r="J65" s="1439">
        <v>26.6</v>
      </c>
      <c r="K65" s="1297"/>
      <c r="L65" s="1297"/>
      <c r="M65" s="1314">
        <v>1.2</v>
      </c>
      <c r="N65" s="1439">
        <f>32.79/D65/1.13</f>
        <v>4.32454532265935</v>
      </c>
      <c r="O65" s="1314">
        <v>0</v>
      </c>
      <c r="P65" s="1297">
        <v>4.5</v>
      </c>
      <c r="Q65" s="1391">
        <v>17.83</v>
      </c>
      <c r="R65" s="1392">
        <f t="shared" si="7"/>
        <v>54.4545453226593</v>
      </c>
      <c r="S65" s="1438" t="s">
        <v>5404</v>
      </c>
      <c r="T65" s="1411" t="s">
        <v>5376</v>
      </c>
    </row>
    <row r="66" s="989" customFormat="1" spans="2:20">
      <c r="B66" s="1294" t="s">
        <v>5480</v>
      </c>
      <c r="C66" s="1290" t="s">
        <v>5361</v>
      </c>
      <c r="D66" s="1291">
        <v>6.71</v>
      </c>
      <c r="E66" s="1311" t="s">
        <v>5481</v>
      </c>
      <c r="F66" s="1292"/>
      <c r="G66" s="1292" t="s">
        <v>5403</v>
      </c>
      <c r="H66" s="1413" t="s">
        <v>3770</v>
      </c>
      <c r="I66" s="1314" t="s">
        <v>1428</v>
      </c>
      <c r="J66" s="1431">
        <v>26</v>
      </c>
      <c r="K66" s="1297"/>
      <c r="L66" s="1297"/>
      <c r="M66" s="1431">
        <f>17/D66/1.13</f>
        <v>2.24206375374227</v>
      </c>
      <c r="N66" s="1314">
        <f>34.01/D66/1.13</f>
        <v>4.48544636851615</v>
      </c>
      <c r="O66" s="1314">
        <v>0</v>
      </c>
      <c r="P66" s="1297">
        <v>4</v>
      </c>
      <c r="Q66" s="1391">
        <v>29.3532014575742</v>
      </c>
      <c r="R66" s="1392">
        <f t="shared" si="7"/>
        <v>66.0807115798326</v>
      </c>
      <c r="S66" s="1311" t="s">
        <v>5482</v>
      </c>
      <c r="T66" s="1411" t="s">
        <v>5483</v>
      </c>
    </row>
    <row r="67" s="989" customFormat="1" spans="2:20">
      <c r="B67" s="1318"/>
      <c r="C67" s="1290" t="s">
        <v>5361</v>
      </c>
      <c r="D67" s="1291">
        <v>6.71</v>
      </c>
      <c r="E67" s="1311" t="s">
        <v>5484</v>
      </c>
      <c r="F67" s="1292"/>
      <c r="G67" s="1292" t="s">
        <v>5403</v>
      </c>
      <c r="H67" s="1413" t="s">
        <v>3770</v>
      </c>
      <c r="I67" s="1314" t="s">
        <v>1428</v>
      </c>
      <c r="J67" s="1431">
        <v>26</v>
      </c>
      <c r="K67" s="1297"/>
      <c r="L67" s="1297"/>
      <c r="M67" s="1314">
        <v>0</v>
      </c>
      <c r="N67" s="1440">
        <f t="shared" ref="N67:N79" si="9">31.35/D67/1.13</f>
        <v>4.13462933410707</v>
      </c>
      <c r="O67" s="1314">
        <v>0</v>
      </c>
      <c r="P67" s="1297">
        <v>4</v>
      </c>
      <c r="Q67" s="1391">
        <v>29.3623112961999</v>
      </c>
      <c r="R67" s="1392">
        <f t="shared" si="7"/>
        <v>63.496940630307</v>
      </c>
      <c r="S67" s="1311" t="s">
        <v>5482</v>
      </c>
      <c r="T67" s="1411" t="s">
        <v>5485</v>
      </c>
    </row>
    <row r="68" s="989" customFormat="1" spans="2:20">
      <c r="B68" s="1318"/>
      <c r="C68" s="1290" t="s">
        <v>5361</v>
      </c>
      <c r="D68" s="1291">
        <v>6.71</v>
      </c>
      <c r="E68" s="1311" t="s">
        <v>5486</v>
      </c>
      <c r="F68" s="1292"/>
      <c r="G68" s="1292" t="s">
        <v>5403</v>
      </c>
      <c r="H68" s="1413" t="s">
        <v>3770</v>
      </c>
      <c r="I68" s="1314" t="s">
        <v>1428</v>
      </c>
      <c r="J68" s="1431">
        <v>26</v>
      </c>
      <c r="K68" s="1297"/>
      <c r="L68" s="1297"/>
      <c r="M68" s="1314">
        <v>0</v>
      </c>
      <c r="N68" s="1440">
        <f t="shared" si="9"/>
        <v>4.13462933410707</v>
      </c>
      <c r="O68" s="1314">
        <v>0</v>
      </c>
      <c r="P68" s="1297">
        <v>4</v>
      </c>
      <c r="Q68" s="1391">
        <v>29.2100468505987</v>
      </c>
      <c r="R68" s="1392">
        <f t="shared" si="7"/>
        <v>63.3446761847058</v>
      </c>
      <c r="S68" s="1311" t="s">
        <v>5482</v>
      </c>
      <c r="T68" s="1411" t="s">
        <v>5487</v>
      </c>
    </row>
    <row r="69" s="989" customFormat="1" spans="2:20">
      <c r="B69" s="1318"/>
      <c r="C69" s="1290" t="s">
        <v>5361</v>
      </c>
      <c r="D69" s="1291">
        <v>6.71</v>
      </c>
      <c r="E69" s="1311" t="s">
        <v>5488</v>
      </c>
      <c r="F69" s="1292"/>
      <c r="G69" s="1292" t="s">
        <v>5403</v>
      </c>
      <c r="H69" s="1413" t="s">
        <v>5489</v>
      </c>
      <c r="I69" s="1314" t="s">
        <v>1428</v>
      </c>
      <c r="J69" s="1431">
        <v>26</v>
      </c>
      <c r="K69" s="1297"/>
      <c r="L69" s="1297"/>
      <c r="M69" s="1314">
        <v>0</v>
      </c>
      <c r="N69" s="1440">
        <f t="shared" si="9"/>
        <v>4.13462933410707</v>
      </c>
      <c r="O69" s="1314">
        <v>0</v>
      </c>
      <c r="P69" s="1297">
        <v>4</v>
      </c>
      <c r="Q69" s="1391">
        <v>30.160072878709</v>
      </c>
      <c r="R69" s="1392">
        <f t="shared" si="7"/>
        <v>64.2947022128161</v>
      </c>
      <c r="S69" s="1311" t="s">
        <v>5490</v>
      </c>
      <c r="T69" s="1411" t="s">
        <v>5491</v>
      </c>
    </row>
    <row r="70" s="989" customFormat="1" spans="2:20">
      <c r="B70" s="1318"/>
      <c r="C70" s="1290" t="s">
        <v>5361</v>
      </c>
      <c r="D70" s="1291">
        <v>6.71</v>
      </c>
      <c r="E70" s="1311" t="s">
        <v>5492</v>
      </c>
      <c r="F70" s="1292"/>
      <c r="G70" s="1292" t="s">
        <v>5403</v>
      </c>
      <c r="H70" s="1413" t="s">
        <v>3770</v>
      </c>
      <c r="I70" s="1314" t="s">
        <v>1428</v>
      </c>
      <c r="J70" s="1431">
        <v>26</v>
      </c>
      <c r="K70" s="1297"/>
      <c r="L70" s="1297"/>
      <c r="M70" s="1314">
        <v>0</v>
      </c>
      <c r="N70" s="1440">
        <f t="shared" si="9"/>
        <v>4.13462933410707</v>
      </c>
      <c r="O70" s="1314">
        <v>0</v>
      </c>
      <c r="P70" s="1297">
        <v>4</v>
      </c>
      <c r="Q70" s="1391">
        <v>27.1434148880791</v>
      </c>
      <c r="R70" s="1392">
        <f t="shared" si="7"/>
        <v>61.2780442221862</v>
      </c>
      <c r="S70" s="1311" t="s">
        <v>5482</v>
      </c>
      <c r="T70" s="1411" t="s">
        <v>5485</v>
      </c>
    </row>
    <row r="71" s="989" customFormat="1" spans="2:20">
      <c r="B71" s="1318"/>
      <c r="C71" s="1290" t="s">
        <v>5361</v>
      </c>
      <c r="D71" s="1291">
        <v>6.71</v>
      </c>
      <c r="E71" s="1311" t="s">
        <v>5493</v>
      </c>
      <c r="F71" s="1292"/>
      <c r="G71" s="1292" t="s">
        <v>5403</v>
      </c>
      <c r="H71" s="1413" t="s">
        <v>3770</v>
      </c>
      <c r="I71" s="1314" t="s">
        <v>1428</v>
      </c>
      <c r="J71" s="1431">
        <v>26</v>
      </c>
      <c r="K71" s="1297"/>
      <c r="L71" s="1297"/>
      <c r="M71" s="1314">
        <v>0</v>
      </c>
      <c r="N71" s="1440">
        <f t="shared" si="9"/>
        <v>4.13462933410707</v>
      </c>
      <c r="O71" s="1314">
        <v>0</v>
      </c>
      <c r="P71" s="1297">
        <v>4</v>
      </c>
      <c r="Q71" s="1391">
        <v>29.0942217595003</v>
      </c>
      <c r="R71" s="1392">
        <f t="shared" si="7"/>
        <v>63.2288510936074</v>
      </c>
      <c r="S71" s="1311" t="s">
        <v>5482</v>
      </c>
      <c r="T71" s="1411" t="s">
        <v>5494</v>
      </c>
    </row>
    <row r="72" s="989" customFormat="1" spans="2:20">
      <c r="B72" s="1318"/>
      <c r="C72" s="1290" t="s">
        <v>5361</v>
      </c>
      <c r="D72" s="1291">
        <v>6.71</v>
      </c>
      <c r="E72" s="1311" t="s">
        <v>5495</v>
      </c>
      <c r="F72" s="1292"/>
      <c r="G72" s="1292" t="s">
        <v>5403</v>
      </c>
      <c r="H72" s="1413" t="s">
        <v>3770</v>
      </c>
      <c r="I72" s="1314" t="s">
        <v>1428</v>
      </c>
      <c r="J72" s="1431">
        <v>26</v>
      </c>
      <c r="K72" s="1297"/>
      <c r="L72" s="1297"/>
      <c r="M72" s="1314">
        <v>0</v>
      </c>
      <c r="N72" s="1440">
        <f t="shared" si="9"/>
        <v>4.13462933410707</v>
      </c>
      <c r="O72" s="1314">
        <v>0</v>
      </c>
      <c r="P72" s="1297">
        <v>4</v>
      </c>
      <c r="Q72" s="1391">
        <v>28.5775637688704</v>
      </c>
      <c r="R72" s="1392">
        <f t="shared" si="7"/>
        <v>62.7121931029775</v>
      </c>
      <c r="S72" s="1311" t="s">
        <v>5482</v>
      </c>
      <c r="T72" s="1411" t="s">
        <v>5494</v>
      </c>
    </row>
    <row r="73" s="989" customFormat="1" spans="2:20">
      <c r="B73" s="1318"/>
      <c r="C73" s="1290" t="s">
        <v>5361</v>
      </c>
      <c r="D73" s="1291">
        <v>6.71</v>
      </c>
      <c r="E73" s="1311" t="s">
        <v>5496</v>
      </c>
      <c r="F73" s="1292"/>
      <c r="G73" s="1292" t="s">
        <v>5403</v>
      </c>
      <c r="H73" s="1413" t="s">
        <v>5489</v>
      </c>
      <c r="I73" s="1314" t="s">
        <v>1428</v>
      </c>
      <c r="J73" s="1431">
        <v>26</v>
      </c>
      <c r="K73" s="1297"/>
      <c r="L73" s="1297"/>
      <c r="M73" s="1314">
        <v>0</v>
      </c>
      <c r="N73" s="1440">
        <f t="shared" si="9"/>
        <v>4.13462933410707</v>
      </c>
      <c r="O73" s="1314">
        <v>0</v>
      </c>
      <c r="P73" s="1297">
        <v>4</v>
      </c>
      <c r="Q73" s="1391">
        <v>28.4981780322749</v>
      </c>
      <c r="R73" s="1392">
        <f t="shared" si="7"/>
        <v>62.632807366382</v>
      </c>
      <c r="S73" s="1311" t="s">
        <v>5490</v>
      </c>
      <c r="T73" s="1411" t="s">
        <v>5494</v>
      </c>
    </row>
    <row r="74" s="989" customFormat="1" spans="2:20">
      <c r="B74" s="1318"/>
      <c r="C74" s="1290" t="s">
        <v>5361</v>
      </c>
      <c r="D74" s="1291">
        <v>6.71</v>
      </c>
      <c r="E74" s="1311" t="s">
        <v>5497</v>
      </c>
      <c r="F74" s="1292"/>
      <c r="G74" s="1292" t="s">
        <v>5403</v>
      </c>
      <c r="H74" s="1413" t="s">
        <v>3770</v>
      </c>
      <c r="I74" s="1314" t="s">
        <v>1428</v>
      </c>
      <c r="J74" s="1431">
        <v>26</v>
      </c>
      <c r="K74" s="1297"/>
      <c r="L74" s="1297"/>
      <c r="M74" s="1314">
        <v>0</v>
      </c>
      <c r="N74" s="1314">
        <f t="shared" si="9"/>
        <v>4.13462933410707</v>
      </c>
      <c r="O74" s="1314">
        <v>0</v>
      </c>
      <c r="P74" s="1297">
        <v>4</v>
      </c>
      <c r="Q74" s="1391">
        <v>27.22</v>
      </c>
      <c r="R74" s="1392">
        <f t="shared" si="7"/>
        <v>61.3546293341071</v>
      </c>
      <c r="S74" s="1311" t="s">
        <v>5482</v>
      </c>
      <c r="T74" s="1411" t="s">
        <v>5498</v>
      </c>
    </row>
    <row r="75" s="989" customFormat="1" spans="2:20">
      <c r="B75" s="1318"/>
      <c r="C75" s="1290" t="s">
        <v>5361</v>
      </c>
      <c r="D75" s="1291">
        <v>6.71</v>
      </c>
      <c r="E75" s="1311" t="s">
        <v>5499</v>
      </c>
      <c r="F75" s="1292"/>
      <c r="G75" s="1292" t="s">
        <v>5403</v>
      </c>
      <c r="H75" s="1413" t="s">
        <v>5489</v>
      </c>
      <c r="I75" s="1314" t="s">
        <v>1428</v>
      </c>
      <c r="J75" s="1431">
        <v>26</v>
      </c>
      <c r="K75" s="1297"/>
      <c r="L75" s="1297"/>
      <c r="M75" s="1314">
        <v>0</v>
      </c>
      <c r="N75" s="1314">
        <f t="shared" si="9"/>
        <v>4.13462933410707</v>
      </c>
      <c r="O75" s="1314">
        <v>0</v>
      </c>
      <c r="P75" s="1297">
        <v>4</v>
      </c>
      <c r="Q75" s="1391">
        <f>196/D75/1.13+1.39</f>
        <v>27.2396762196167</v>
      </c>
      <c r="R75" s="1392">
        <f t="shared" si="7"/>
        <v>61.3743055537238</v>
      </c>
      <c r="S75" s="1311" t="s">
        <v>5490</v>
      </c>
      <c r="T75" s="1411" t="s">
        <v>5498</v>
      </c>
    </row>
    <row r="76" s="989" customFormat="1" spans="2:20">
      <c r="B76" s="1318"/>
      <c r="C76" s="1290" t="s">
        <v>5500</v>
      </c>
      <c r="D76" s="1291">
        <v>6.71</v>
      </c>
      <c r="E76" s="1311" t="s">
        <v>5501</v>
      </c>
      <c r="F76" s="1292"/>
      <c r="G76" s="1292" t="s">
        <v>5403</v>
      </c>
      <c r="H76" s="1413" t="s">
        <v>3770</v>
      </c>
      <c r="I76" s="1314" t="s">
        <v>1428</v>
      </c>
      <c r="J76" s="1431">
        <v>26</v>
      </c>
      <c r="K76" s="1297"/>
      <c r="L76" s="1297"/>
      <c r="M76" s="1314">
        <v>0</v>
      </c>
      <c r="N76" s="1314">
        <f t="shared" si="9"/>
        <v>4.13462933410707</v>
      </c>
      <c r="O76" s="1314">
        <v>0</v>
      </c>
      <c r="P76" s="1297">
        <v>4</v>
      </c>
      <c r="Q76" s="1391">
        <v>26.85</v>
      </c>
      <c r="R76" s="1392">
        <f t="shared" si="7"/>
        <v>60.9846293341071</v>
      </c>
      <c r="S76" s="1311" t="s">
        <v>5482</v>
      </c>
      <c r="T76" s="1411" t="s">
        <v>5498</v>
      </c>
    </row>
    <row r="77" s="989" customFormat="1" spans="2:20">
      <c r="B77" s="1318"/>
      <c r="C77" s="1290" t="s">
        <v>5502</v>
      </c>
      <c r="D77" s="1291">
        <v>6.71</v>
      </c>
      <c r="E77" s="1311" t="s">
        <v>5503</v>
      </c>
      <c r="F77" s="1292"/>
      <c r="G77" s="1292" t="s">
        <v>5403</v>
      </c>
      <c r="H77" s="1413" t="s">
        <v>3770</v>
      </c>
      <c r="I77" s="1314" t="s">
        <v>1428</v>
      </c>
      <c r="J77" s="1431">
        <v>26</v>
      </c>
      <c r="K77" s="1297"/>
      <c r="L77" s="1297"/>
      <c r="M77" s="1314">
        <v>0</v>
      </c>
      <c r="N77" s="1314">
        <f t="shared" si="9"/>
        <v>4.13462933410707</v>
      </c>
      <c r="O77" s="1314">
        <v>0</v>
      </c>
      <c r="P77" s="1297">
        <v>4</v>
      </c>
      <c r="Q77" s="1391">
        <f>204.34/D77/1.13</f>
        <v>26.9496063199821</v>
      </c>
      <c r="R77" s="1392">
        <f t="shared" si="7"/>
        <v>61.0842356540891</v>
      </c>
      <c r="S77" s="1311" t="s">
        <v>5482</v>
      </c>
      <c r="T77" s="1411" t="s">
        <v>5494</v>
      </c>
    </row>
    <row r="78" s="989" customFormat="1" spans="2:20">
      <c r="B78" s="1318"/>
      <c r="C78" s="1290" t="s">
        <v>5502</v>
      </c>
      <c r="D78" s="1291">
        <v>6.71</v>
      </c>
      <c r="E78" s="1311" t="s">
        <v>5504</v>
      </c>
      <c r="F78" s="1292"/>
      <c r="G78" s="1292" t="s">
        <v>5403</v>
      </c>
      <c r="H78" s="1413" t="s">
        <v>5489</v>
      </c>
      <c r="I78" s="1314" t="s">
        <v>1428</v>
      </c>
      <c r="J78" s="1431">
        <v>26</v>
      </c>
      <c r="K78" s="1297"/>
      <c r="L78" s="1297"/>
      <c r="M78" s="1314">
        <v>0</v>
      </c>
      <c r="N78" s="1314">
        <f t="shared" si="9"/>
        <v>4.13462933410707</v>
      </c>
      <c r="O78" s="1314">
        <v>0</v>
      </c>
      <c r="P78" s="1297">
        <v>4</v>
      </c>
      <c r="Q78" s="1391">
        <f>205.06/D78/1.13</f>
        <v>27.0445643142582</v>
      </c>
      <c r="R78" s="1392">
        <f t="shared" si="7"/>
        <v>61.1791936483653</v>
      </c>
      <c r="S78" s="1311" t="s">
        <v>5490</v>
      </c>
      <c r="T78" s="1411" t="s">
        <v>5494</v>
      </c>
    </row>
    <row r="79" s="989" customFormat="1" spans="2:20">
      <c r="B79" s="1318"/>
      <c r="C79" s="1290" t="s">
        <v>5502</v>
      </c>
      <c r="D79" s="1291">
        <v>6.71</v>
      </c>
      <c r="E79" s="1311" t="s">
        <v>5505</v>
      </c>
      <c r="F79" s="1292"/>
      <c r="G79" s="1292" t="s">
        <v>5403</v>
      </c>
      <c r="H79" s="1413" t="s">
        <v>3770</v>
      </c>
      <c r="I79" s="1314"/>
      <c r="J79" s="1431">
        <v>26</v>
      </c>
      <c r="K79" s="1297"/>
      <c r="L79" s="1297"/>
      <c r="M79" s="1314">
        <v>0</v>
      </c>
      <c r="N79" s="1314">
        <f t="shared" si="9"/>
        <v>4.13462933410707</v>
      </c>
      <c r="O79" s="1314">
        <v>0</v>
      </c>
      <c r="P79" s="1297">
        <v>4</v>
      </c>
      <c r="Q79" s="1391">
        <f>205.05/D79/1.13</f>
        <v>27.0432454532266</v>
      </c>
      <c r="R79" s="1392">
        <f t="shared" si="7"/>
        <v>61.1778747873337</v>
      </c>
      <c r="S79" s="1311" t="s">
        <v>5482</v>
      </c>
      <c r="T79" s="1411" t="s">
        <v>5494</v>
      </c>
    </row>
    <row r="80" s="989" customFormat="1" spans="2:20">
      <c r="B80" s="1318"/>
      <c r="C80" s="1290" t="s">
        <v>5361</v>
      </c>
      <c r="D80" s="1291">
        <v>6.71</v>
      </c>
      <c r="E80" s="1311" t="s">
        <v>5506</v>
      </c>
      <c r="F80" s="1292"/>
      <c r="G80" s="1314" t="s">
        <v>1428</v>
      </c>
      <c r="H80" s="1314" t="s">
        <v>1428</v>
      </c>
      <c r="I80" s="1314" t="s">
        <v>1428</v>
      </c>
      <c r="J80" s="1314">
        <v>0</v>
      </c>
      <c r="K80" s="1297"/>
      <c r="L80" s="1297"/>
      <c r="M80" s="1314">
        <v>0</v>
      </c>
      <c r="N80" s="1314">
        <f t="shared" ref="N80:N84" si="10">3.87/D80/1.13</f>
        <v>0.510399219234269</v>
      </c>
      <c r="O80" s="1314">
        <v>0</v>
      </c>
      <c r="P80" s="1297">
        <v>0.8</v>
      </c>
      <c r="Q80" s="1391">
        <v>4.37142113482561</v>
      </c>
      <c r="R80" s="1392">
        <f t="shared" si="7"/>
        <v>5.68182035405988</v>
      </c>
      <c r="S80" s="1311"/>
      <c r="T80" s="1411" t="s">
        <v>5507</v>
      </c>
    </row>
    <row r="81" s="989" customFormat="1" spans="2:20">
      <c r="B81" s="1318"/>
      <c r="C81" s="1290" t="s">
        <v>5361</v>
      </c>
      <c r="D81" s="1291">
        <v>6.71</v>
      </c>
      <c r="E81" s="1311" t="s">
        <v>5508</v>
      </c>
      <c r="F81" s="1292"/>
      <c r="G81" s="1314" t="s">
        <v>1428</v>
      </c>
      <c r="H81" s="1314" t="s">
        <v>1428</v>
      </c>
      <c r="I81" s="1314" t="s">
        <v>1428</v>
      </c>
      <c r="J81" s="1314">
        <v>0</v>
      </c>
      <c r="K81" s="1297"/>
      <c r="L81" s="1297"/>
      <c r="M81" s="1314">
        <v>0</v>
      </c>
      <c r="N81" s="1314">
        <f t="shared" si="10"/>
        <v>0.510399219234269</v>
      </c>
      <c r="O81" s="1314">
        <v>0</v>
      </c>
      <c r="P81" s="1297">
        <v>0.8</v>
      </c>
      <c r="Q81" s="1391">
        <v>1.34070796460177</v>
      </c>
      <c r="R81" s="1392">
        <f t="shared" si="7"/>
        <v>2.65110718383604</v>
      </c>
      <c r="S81" s="1311"/>
      <c r="T81" s="1411" t="s">
        <v>5509</v>
      </c>
    </row>
    <row r="82" s="989" customFormat="1" spans="2:20">
      <c r="B82" s="1318"/>
      <c r="C82" s="1290" t="s">
        <v>5361</v>
      </c>
      <c r="D82" s="1291">
        <v>6.71</v>
      </c>
      <c r="E82" s="1311" t="s">
        <v>5510</v>
      </c>
      <c r="F82" s="1292"/>
      <c r="G82" s="1314" t="s">
        <v>1428</v>
      </c>
      <c r="H82" s="1314" t="s">
        <v>1428</v>
      </c>
      <c r="I82" s="1314" t="s">
        <v>1428</v>
      </c>
      <c r="J82" s="1314">
        <v>0</v>
      </c>
      <c r="K82" s="1297"/>
      <c r="L82" s="1297"/>
      <c r="M82" s="1314">
        <v>0</v>
      </c>
      <c r="N82" s="1314">
        <f t="shared" si="10"/>
        <v>0.510399219234269</v>
      </c>
      <c r="O82" s="1314">
        <v>0</v>
      </c>
      <c r="P82" s="1297">
        <v>0.8</v>
      </c>
      <c r="Q82" s="1391">
        <v>1.69338885996877</v>
      </c>
      <c r="R82" s="1392">
        <f t="shared" si="7"/>
        <v>3.00378807920304</v>
      </c>
      <c r="S82" s="1311"/>
      <c r="T82" s="1411" t="s">
        <v>5509</v>
      </c>
    </row>
    <row r="83" s="989" customFormat="1" spans="2:20">
      <c r="B83" s="1318"/>
      <c r="C83" s="1290" t="s">
        <v>5361</v>
      </c>
      <c r="D83" s="1291">
        <v>6.71</v>
      </c>
      <c r="E83" s="1311" t="s">
        <v>5511</v>
      </c>
      <c r="F83" s="1292"/>
      <c r="G83" s="1314" t="s">
        <v>1428</v>
      </c>
      <c r="H83" s="1314" t="s">
        <v>1428</v>
      </c>
      <c r="I83" s="1314" t="s">
        <v>1428</v>
      </c>
      <c r="J83" s="1314">
        <v>0</v>
      </c>
      <c r="K83" s="1297"/>
      <c r="L83" s="1297"/>
      <c r="M83" s="1314">
        <f>17/D83/1.13</f>
        <v>2.24206375374227</v>
      </c>
      <c r="N83" s="1314">
        <f t="shared" si="10"/>
        <v>0.510399219234269</v>
      </c>
      <c r="O83" s="1314">
        <v>0</v>
      </c>
      <c r="P83" s="1297">
        <v>0.8</v>
      </c>
      <c r="Q83" s="1391">
        <v>0.536439354502863</v>
      </c>
      <c r="R83" s="1392">
        <f t="shared" si="7"/>
        <v>4.0889023274794</v>
      </c>
      <c r="S83" s="1311"/>
      <c r="T83" s="1411"/>
    </row>
    <row r="84" s="989" customFormat="1" spans="2:20">
      <c r="B84" s="1318"/>
      <c r="C84" s="1290" t="s">
        <v>5361</v>
      </c>
      <c r="D84" s="1291">
        <v>6.71</v>
      </c>
      <c r="E84" s="1311" t="s">
        <v>5512</v>
      </c>
      <c r="F84" s="1292"/>
      <c r="G84" s="1314"/>
      <c r="H84" s="1314"/>
      <c r="I84" s="1314" t="s">
        <v>1428</v>
      </c>
      <c r="J84" s="1314">
        <v>0</v>
      </c>
      <c r="K84" s="1297"/>
      <c r="L84" s="1297"/>
      <c r="M84" s="1431">
        <v>0</v>
      </c>
      <c r="N84" s="1314">
        <f t="shared" si="10"/>
        <v>0.510399219234269</v>
      </c>
      <c r="O84" s="1314">
        <v>0</v>
      </c>
      <c r="P84" s="1297">
        <v>0.8</v>
      </c>
      <c r="Q84" s="1391">
        <v>0.511712649661635</v>
      </c>
      <c r="R84" s="1392">
        <f t="shared" si="7"/>
        <v>1.8221118688959</v>
      </c>
      <c r="S84" s="1311"/>
      <c r="T84" s="1411"/>
    </row>
    <row r="85" s="989" customFormat="1" spans="2:20">
      <c r="B85" s="1318"/>
      <c r="C85" s="1290" t="s">
        <v>5361</v>
      </c>
      <c r="D85" s="1291">
        <v>6.71</v>
      </c>
      <c r="E85" s="1311" t="s">
        <v>5513</v>
      </c>
      <c r="F85" s="1292"/>
      <c r="G85" s="1314" t="s">
        <v>1428</v>
      </c>
      <c r="H85" s="1314" t="s">
        <v>1428</v>
      </c>
      <c r="I85" s="1314" t="s">
        <v>1428</v>
      </c>
      <c r="J85" s="1314">
        <v>0</v>
      </c>
      <c r="K85" s="1297"/>
      <c r="L85" s="1297"/>
      <c r="M85" s="1431">
        <v>0</v>
      </c>
      <c r="N85" s="1314">
        <f>2.255/D85/1.13</f>
        <v>0.297403162628754</v>
      </c>
      <c r="O85" s="1314">
        <v>0</v>
      </c>
      <c r="P85" s="1297">
        <v>0.8</v>
      </c>
      <c r="Q85" s="1391">
        <f>3.02/D85/1.13</f>
        <v>0.398296031547156</v>
      </c>
      <c r="R85" s="1392">
        <f t="shared" si="7"/>
        <v>1.49569919417591</v>
      </c>
      <c r="S85" s="1311"/>
      <c r="T85" s="1411"/>
    </row>
    <row r="86" s="989" customFormat="1" spans="2:20">
      <c r="B86" s="1318"/>
      <c r="C86" s="1290" t="s">
        <v>5361</v>
      </c>
      <c r="D86" s="1291">
        <v>6.71</v>
      </c>
      <c r="E86" s="1311" t="s">
        <v>5514</v>
      </c>
      <c r="F86" s="1292"/>
      <c r="G86" s="1314" t="s">
        <v>1428</v>
      </c>
      <c r="H86" s="1314" t="s">
        <v>1428</v>
      </c>
      <c r="I86" s="1314" t="s">
        <v>1428</v>
      </c>
      <c r="J86" s="1314">
        <v>0</v>
      </c>
      <c r="K86" s="1297"/>
      <c r="L86" s="1297"/>
      <c r="M86" s="1431">
        <v>0</v>
      </c>
      <c r="N86" s="1314">
        <f>3.87/D86/1.13</f>
        <v>0.510399219234269</v>
      </c>
      <c r="O86" s="1314">
        <v>0</v>
      </c>
      <c r="P86" s="1297">
        <v>0.8</v>
      </c>
      <c r="Q86" s="1391">
        <v>2.28</v>
      </c>
      <c r="R86" s="1392">
        <f t="shared" si="7"/>
        <v>3.59039921923427</v>
      </c>
      <c r="S86" s="1311"/>
      <c r="T86" s="1411" t="s">
        <v>5507</v>
      </c>
    </row>
    <row r="87" s="989" customFormat="1" spans="2:20">
      <c r="B87" s="1366"/>
      <c r="C87" s="1290" t="s">
        <v>5361</v>
      </c>
      <c r="D87" s="1291">
        <v>6.71</v>
      </c>
      <c r="E87" s="1311" t="s">
        <v>5515</v>
      </c>
      <c r="F87" s="1292"/>
      <c r="G87" s="1314" t="s">
        <v>1428</v>
      </c>
      <c r="H87" s="1314" t="s">
        <v>1428</v>
      </c>
      <c r="I87" s="1314" t="s">
        <v>1428</v>
      </c>
      <c r="J87" s="1314">
        <v>0</v>
      </c>
      <c r="K87" s="1297"/>
      <c r="L87" s="1297"/>
      <c r="M87" s="1431">
        <v>0</v>
      </c>
      <c r="N87" s="1314">
        <f>3.87/D87/1.13</f>
        <v>0.510399219234269</v>
      </c>
      <c r="O87" s="1314">
        <v>0</v>
      </c>
      <c r="P87" s="1297">
        <v>0.8</v>
      </c>
      <c r="Q87" s="1391">
        <v>2.63</v>
      </c>
      <c r="R87" s="1392">
        <f t="shared" si="7"/>
        <v>3.94039921923427</v>
      </c>
      <c r="S87" s="1311"/>
      <c r="T87" s="1411" t="s">
        <v>5507</v>
      </c>
    </row>
    <row r="88" s="989" customFormat="1" spans="2:20">
      <c r="B88" s="1294" t="s">
        <v>5516</v>
      </c>
      <c r="C88" s="1290" t="s">
        <v>5517</v>
      </c>
      <c r="D88" s="1291">
        <v>6.71</v>
      </c>
      <c r="E88" s="1311" t="s">
        <v>5518</v>
      </c>
      <c r="F88" s="1292"/>
      <c r="G88" s="1314" t="s">
        <v>5403</v>
      </c>
      <c r="H88" s="1413" t="s">
        <v>3770</v>
      </c>
      <c r="I88" s="1314" t="s">
        <v>1428</v>
      </c>
      <c r="J88" s="1314">
        <v>27.8</v>
      </c>
      <c r="K88" s="1297"/>
      <c r="L88" s="1297"/>
      <c r="M88" s="1431">
        <v>0</v>
      </c>
      <c r="N88" s="1314"/>
      <c r="O88" s="1314">
        <v>0</v>
      </c>
      <c r="P88" s="1297">
        <v>4.5</v>
      </c>
      <c r="Q88" s="1391"/>
      <c r="R88" s="1392"/>
      <c r="S88" s="1311" t="s">
        <v>5482</v>
      </c>
      <c r="T88" s="1411"/>
    </row>
    <row r="89" s="989" customFormat="1" spans="2:20">
      <c r="B89" s="1318"/>
      <c r="C89" s="1290"/>
      <c r="D89" s="1291"/>
      <c r="E89" s="1311"/>
      <c r="F89" s="1292"/>
      <c r="G89" s="1314"/>
      <c r="H89" s="1314"/>
      <c r="I89" s="1314"/>
      <c r="J89" s="1314"/>
      <c r="K89" s="1297"/>
      <c r="L89" s="1297"/>
      <c r="M89" s="1431"/>
      <c r="N89" s="1314"/>
      <c r="O89" s="1314"/>
      <c r="P89" s="1297"/>
      <c r="Q89" s="1391"/>
      <c r="R89" s="1392"/>
      <c r="S89" s="1311"/>
      <c r="T89" s="1411"/>
    </row>
    <row r="90" s="989" customFormat="1" spans="2:20">
      <c r="B90" s="1366"/>
      <c r="C90" s="1290"/>
      <c r="D90" s="1291"/>
      <c r="E90" s="1311"/>
      <c r="F90" s="1292"/>
      <c r="G90" s="1314"/>
      <c r="H90" s="1314"/>
      <c r="I90" s="1314"/>
      <c r="J90" s="1314"/>
      <c r="K90" s="1297"/>
      <c r="L90" s="1297"/>
      <c r="M90" s="1431"/>
      <c r="N90" s="1314"/>
      <c r="O90" s="1314"/>
      <c r="P90" s="1297"/>
      <c r="Q90" s="1391"/>
      <c r="R90" s="1392"/>
      <c r="S90" s="1311"/>
      <c r="T90" s="1411"/>
    </row>
    <row r="91" s="193" customFormat="1" spans="2:20">
      <c r="B91" s="1441" t="s">
        <v>5519</v>
      </c>
      <c r="C91" s="1442" t="s">
        <v>5520</v>
      </c>
      <c r="D91" s="1443">
        <v>6.71</v>
      </c>
      <c r="E91" s="1434" t="s">
        <v>5521</v>
      </c>
      <c r="F91" s="1434"/>
      <c r="G91" s="1434" t="s">
        <v>5403</v>
      </c>
      <c r="H91" s="1444" t="s">
        <v>3770</v>
      </c>
      <c r="I91" s="1434" t="s">
        <v>5371</v>
      </c>
      <c r="J91" s="1445">
        <v>26.8</v>
      </c>
      <c r="K91" s="1329"/>
      <c r="L91" s="1329"/>
      <c r="M91" s="1440">
        <v>0</v>
      </c>
      <c r="N91" s="1446">
        <f>53.9/D91/1.13</f>
        <v>7.1086609603946</v>
      </c>
      <c r="O91" s="1440">
        <v>0</v>
      </c>
      <c r="P91" s="1447">
        <v>4.5</v>
      </c>
      <c r="Q91" s="1448">
        <f>143.8/D91/1.13</f>
        <v>18.9652216345964</v>
      </c>
      <c r="R91" s="1449">
        <f t="shared" ref="R91:R95" si="11">SUM(J91:Q91)</f>
        <v>57.373882594991</v>
      </c>
      <c r="S91" s="1450" t="s">
        <v>5482</v>
      </c>
      <c r="T91" s="1228" t="s">
        <v>5522</v>
      </c>
    </row>
    <row r="92" s="989" customFormat="1" spans="2:20">
      <c r="B92" s="1318"/>
      <c r="C92" s="1290" t="s">
        <v>5523</v>
      </c>
      <c r="D92" s="1291">
        <v>6.71</v>
      </c>
      <c r="E92" s="1292" t="s">
        <v>5524</v>
      </c>
      <c r="F92" s="1292"/>
      <c r="G92" s="1292" t="s">
        <v>5403</v>
      </c>
      <c r="H92" s="1413" t="s">
        <v>3770</v>
      </c>
      <c r="I92" s="1292" t="s">
        <v>5371</v>
      </c>
      <c r="J92" s="1451">
        <v>26.8</v>
      </c>
      <c r="K92" s="1297"/>
      <c r="L92" s="1297"/>
      <c r="M92" s="1314">
        <v>0</v>
      </c>
      <c r="N92" s="1452">
        <f>53.9/D92/1.13</f>
        <v>7.1086609603946</v>
      </c>
      <c r="O92" s="1314">
        <v>0</v>
      </c>
      <c r="P92" s="1453">
        <v>4.5</v>
      </c>
      <c r="Q92" s="1391">
        <f>152.82/D92/1.13</f>
        <v>20.1548342851114</v>
      </c>
      <c r="R92" s="1392">
        <f t="shared" si="11"/>
        <v>58.563495245506</v>
      </c>
      <c r="S92" s="1311" t="s">
        <v>5482</v>
      </c>
      <c r="T92" s="1411" t="s">
        <v>5522</v>
      </c>
    </row>
    <row r="93" s="193" customFormat="1" spans="2:20">
      <c r="B93" s="1359"/>
      <c r="C93" s="1442" t="s">
        <v>5520</v>
      </c>
      <c r="D93" s="1443">
        <v>6.71</v>
      </c>
      <c r="E93" s="1434" t="s">
        <v>5525</v>
      </c>
      <c r="F93" s="1434"/>
      <c r="G93" s="1440" t="s">
        <v>1428</v>
      </c>
      <c r="H93" s="1440" t="s">
        <v>1428</v>
      </c>
      <c r="I93" s="1440" t="s">
        <v>1428</v>
      </c>
      <c r="J93" s="1454">
        <v>0</v>
      </c>
      <c r="K93" s="1228"/>
      <c r="L93" s="1228"/>
      <c r="M93" s="1454">
        <v>0</v>
      </c>
      <c r="N93" s="1446"/>
      <c r="O93" s="1440">
        <v>0</v>
      </c>
      <c r="P93" s="1447">
        <f>4.85/D93/1.13</f>
        <v>0.639647600332353</v>
      </c>
      <c r="Q93" s="1448">
        <f>5.41/D93/1.13</f>
        <v>0.713503818102687</v>
      </c>
      <c r="R93" s="1449">
        <f t="shared" si="11"/>
        <v>1.35315141843504</v>
      </c>
      <c r="S93" s="1434"/>
      <c r="T93" s="1228" t="s">
        <v>5526</v>
      </c>
    </row>
    <row r="94" s="193" customFormat="1" spans="2:20">
      <c r="B94" s="1455"/>
      <c r="C94" s="1442" t="s">
        <v>5520</v>
      </c>
      <c r="D94" s="1443">
        <v>6.71</v>
      </c>
      <c r="E94" s="1434" t="s">
        <v>5527</v>
      </c>
      <c r="F94" s="1434"/>
      <c r="G94" s="1434"/>
      <c r="H94" s="1434"/>
      <c r="I94" s="1434"/>
      <c r="J94" s="1454">
        <v>0</v>
      </c>
      <c r="K94" s="1228"/>
      <c r="L94" s="1228"/>
      <c r="M94" s="1454">
        <v>0</v>
      </c>
      <c r="N94" s="1446">
        <f>5.54/D94/1.13</f>
        <v>0.730649011513657</v>
      </c>
      <c r="O94" s="1440">
        <v>0</v>
      </c>
      <c r="P94" s="1447">
        <f>5.29/D94/1.13</f>
        <v>0.697677485723329</v>
      </c>
      <c r="Q94" s="1448">
        <f>5.3/D94/1.13</f>
        <v>0.698996346754942</v>
      </c>
      <c r="R94" s="1449">
        <f t="shared" si="11"/>
        <v>2.12732284399193</v>
      </c>
      <c r="S94" s="1434"/>
      <c r="T94" s="1228" t="s">
        <v>5528</v>
      </c>
    </row>
    <row r="95" s="989" customFormat="1" spans="2:20">
      <c r="B95" s="1294" t="s">
        <v>5529</v>
      </c>
      <c r="C95" s="1312" t="s">
        <v>5530</v>
      </c>
      <c r="D95" s="1291">
        <v>6.71</v>
      </c>
      <c r="E95" s="1311" t="s">
        <v>5531</v>
      </c>
      <c r="F95" s="1292"/>
      <c r="G95" s="1292" t="s">
        <v>5403</v>
      </c>
      <c r="H95" s="1413" t="s">
        <v>3770</v>
      </c>
      <c r="I95" s="1314" t="s">
        <v>1428</v>
      </c>
      <c r="J95" s="1431">
        <v>26</v>
      </c>
      <c r="K95" s="1431"/>
      <c r="L95" s="1431"/>
      <c r="M95" s="1431">
        <v>0</v>
      </c>
      <c r="N95" s="1314"/>
      <c r="O95" s="1314">
        <v>0</v>
      </c>
      <c r="P95" s="1297">
        <v>4.5</v>
      </c>
      <c r="Q95" s="1391">
        <f>130.67/D95/1.13</f>
        <v>17.2335571000884</v>
      </c>
      <c r="R95" s="1392">
        <f t="shared" si="11"/>
        <v>47.7335571000884</v>
      </c>
      <c r="S95" s="1311" t="s">
        <v>5482</v>
      </c>
      <c r="T95" s="1411"/>
    </row>
    <row r="96" s="989" customFormat="1" spans="2:20">
      <c r="B96" s="1366"/>
      <c r="C96" s="1312"/>
      <c r="D96" s="1312"/>
      <c r="E96" s="1311"/>
      <c r="F96" s="1292"/>
      <c r="G96" s="1292"/>
      <c r="H96" s="1311"/>
      <c r="I96" s="1311"/>
      <c r="J96" s="1431"/>
      <c r="K96" s="1431"/>
      <c r="L96" s="1431"/>
      <c r="M96" s="1431"/>
      <c r="N96" s="1314"/>
      <c r="O96" s="1314"/>
      <c r="P96" s="1297"/>
      <c r="Q96" s="1391"/>
      <c r="R96" s="1392"/>
      <c r="S96" s="1311"/>
      <c r="T96" s="1411"/>
    </row>
    <row r="97" s="989" customFormat="1" spans="2:20">
      <c r="B97" s="1379"/>
      <c r="C97" s="1379"/>
      <c r="D97" s="1379"/>
      <c r="E97" s="1380"/>
      <c r="F97" s="1381"/>
      <c r="G97" s="1381"/>
      <c r="H97" s="1380"/>
      <c r="I97" s="1380"/>
      <c r="J97" s="1276"/>
      <c r="K97" s="1276"/>
      <c r="L97" s="1276"/>
      <c r="M97" s="1276"/>
      <c r="N97" s="1382"/>
      <c r="O97" s="1456"/>
      <c r="P97" s="1383"/>
      <c r="Q97" s="1384"/>
      <c r="R97" s="1385"/>
      <c r="S97" s="1380"/>
      <c r="T97" s="1386"/>
    </row>
    <row r="98" s="989" customFormat="1" spans="2:20">
      <c r="B98" s="1379"/>
      <c r="C98" s="1379"/>
      <c r="D98" s="1379"/>
      <c r="E98" s="1380"/>
      <c r="F98" s="1381"/>
      <c r="G98" s="1381"/>
      <c r="H98" s="1380"/>
      <c r="I98" s="1380"/>
      <c r="J98" s="1276"/>
      <c r="K98" s="1276"/>
      <c r="L98" s="1276"/>
      <c r="M98" s="1276"/>
      <c r="N98" s="1382"/>
      <c r="O98" s="1456"/>
      <c r="P98" s="1383"/>
      <c r="Q98" s="1384"/>
      <c r="R98" s="1385"/>
      <c r="S98" s="1380"/>
      <c r="T98" s="1386"/>
    </row>
    <row r="99" s="989" customFormat="1" spans="2:20">
      <c r="B99" s="1379"/>
      <c r="C99" s="1379"/>
      <c r="D99" s="1379"/>
      <c r="E99" s="1380"/>
      <c r="F99" s="1381"/>
      <c r="G99" s="1381"/>
      <c r="H99" s="1380"/>
      <c r="I99" s="1380"/>
      <c r="J99" s="1276"/>
      <c r="K99" s="1276"/>
      <c r="L99" s="1276"/>
      <c r="M99" s="1276"/>
      <c r="N99" s="1382"/>
      <c r="O99" s="1456"/>
      <c r="P99" s="1383"/>
      <c r="Q99" s="1384"/>
      <c r="R99" s="1385"/>
      <c r="S99" s="1380"/>
      <c r="T99" s="1386"/>
    </row>
    <row r="100" s="989" customFormat="1" spans="2:20">
      <c r="B100" s="1379"/>
      <c r="C100" s="1379"/>
      <c r="D100" s="1379"/>
      <c r="E100" s="1380"/>
      <c r="F100" s="1381"/>
      <c r="G100" s="1381"/>
      <c r="H100" s="1380"/>
      <c r="I100" s="1380"/>
      <c r="J100" s="1276"/>
      <c r="K100" s="1276"/>
      <c r="L100" s="1276"/>
      <c r="M100" s="1276"/>
      <c r="N100" s="1382"/>
      <c r="O100" s="1456"/>
      <c r="P100" s="1383"/>
      <c r="Q100" s="1384"/>
      <c r="R100" s="1385"/>
      <c r="S100" s="1380"/>
      <c r="T100" s="1386"/>
    </row>
    <row r="101" s="989" customFormat="1" spans="2:20">
      <c r="B101" s="1379"/>
      <c r="C101" s="1379"/>
      <c r="D101" s="1379"/>
      <c r="E101" s="1380"/>
      <c r="F101" s="1381"/>
      <c r="G101" s="1381"/>
      <c r="H101" s="1380"/>
      <c r="I101" s="1380"/>
      <c r="J101" s="1276"/>
      <c r="K101" s="1276"/>
      <c r="L101" s="1276"/>
      <c r="M101" s="1276"/>
      <c r="N101" s="1382"/>
      <c r="O101" s="1456"/>
      <c r="P101" s="1383"/>
      <c r="Q101" s="1384"/>
      <c r="R101" s="1385"/>
      <c r="S101" s="1380"/>
      <c r="T101" s="1386"/>
    </row>
    <row r="102" s="989" customFormat="1" spans="2:20">
      <c r="B102" s="1379"/>
      <c r="C102" s="1379"/>
      <c r="D102" s="1379"/>
      <c r="E102" s="1380"/>
      <c r="F102" s="1381"/>
      <c r="G102" s="1381"/>
      <c r="H102" s="1380"/>
      <c r="I102" s="1380"/>
      <c r="J102" s="1276"/>
      <c r="K102" s="1276"/>
      <c r="L102" s="1276"/>
      <c r="M102" s="1276"/>
      <c r="N102" s="1382"/>
      <c r="O102" s="1456"/>
      <c r="P102" s="1383"/>
      <c r="Q102" s="1384"/>
      <c r="R102" s="1385"/>
      <c r="S102" s="1380"/>
      <c r="T102" s="1386"/>
    </row>
    <row r="103" s="989" customFormat="1" spans="2:20">
      <c r="B103" s="1379"/>
      <c r="C103" s="1379"/>
      <c r="D103" s="1379"/>
      <c r="E103" s="1380"/>
      <c r="F103" s="1381"/>
      <c r="G103" s="1381"/>
      <c r="H103" s="1380"/>
      <c r="I103" s="1380"/>
      <c r="J103" s="1276"/>
      <c r="K103" s="1276"/>
      <c r="L103" s="1276"/>
      <c r="M103" s="1276"/>
      <c r="N103" s="1382"/>
      <c r="O103" s="1456"/>
      <c r="P103" s="1383"/>
      <c r="Q103" s="1384"/>
      <c r="R103" s="1385"/>
      <c r="S103" s="1380"/>
      <c r="T103" s="1386"/>
    </row>
    <row r="104" s="989" customFormat="1" spans="2:20">
      <c r="B104" s="1379"/>
      <c r="C104" s="1379"/>
      <c r="D104" s="1379"/>
      <c r="E104" s="1380"/>
      <c r="F104" s="1381"/>
      <c r="G104" s="1381"/>
      <c r="H104" s="1380"/>
      <c r="I104" s="1380"/>
      <c r="J104" s="1276"/>
      <c r="K104" s="1276"/>
      <c r="L104" s="1276"/>
      <c r="M104" s="1276"/>
      <c r="N104" s="1382"/>
      <c r="O104" s="1456"/>
      <c r="P104" s="1383"/>
      <c r="Q104" s="1384"/>
      <c r="R104" s="1385"/>
      <c r="S104" s="1380"/>
      <c r="T104" s="1386"/>
    </row>
    <row r="105" s="989" customFormat="1" spans="2:20">
      <c r="B105" s="1379"/>
      <c r="C105" s="1379"/>
      <c r="D105" s="1379"/>
      <c r="E105" s="1380"/>
      <c r="F105" s="1381"/>
      <c r="G105" s="1381"/>
      <c r="H105" s="1380"/>
      <c r="I105" s="1380"/>
      <c r="J105" s="1276"/>
      <c r="K105" s="1276"/>
      <c r="L105" s="1276"/>
      <c r="M105" s="1276"/>
      <c r="N105" s="1382"/>
      <c r="O105" s="1456"/>
      <c r="P105" s="1383"/>
      <c r="Q105" s="1384"/>
      <c r="R105" s="1385"/>
      <c r="S105" s="1380"/>
      <c r="T105" s="1386"/>
    </row>
  </sheetData>
  <mergeCells count="15">
    <mergeCell ref="B3:B9"/>
    <mergeCell ref="B10:B11"/>
    <mergeCell ref="B12:B15"/>
    <mergeCell ref="B16:B21"/>
    <mergeCell ref="B23:B24"/>
    <mergeCell ref="B25:B29"/>
    <mergeCell ref="B30:B31"/>
    <mergeCell ref="B32:B41"/>
    <mergeCell ref="B42:B49"/>
    <mergeCell ref="B50:B51"/>
    <mergeCell ref="B53:B64"/>
    <mergeCell ref="B66:B87"/>
    <mergeCell ref="B88:B90"/>
    <mergeCell ref="B91:B94"/>
    <mergeCell ref="B95:B96"/>
  </mergeCells>
  <pageMargins left="0.7" right="0.7" top="0.75" bottom="0.75" header="0.3" footer="0.3"/>
  <pageSetup paperSize="9" orientation="portrait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11"/>
  <dimension ref="A1:T76"/>
  <sheetViews>
    <sheetView zoomScale="55" zoomScaleNormal="55" workbookViewId="0">
      <selection activeCell="G32" sqref="G32"/>
    </sheetView>
  </sheetViews>
  <sheetFormatPr defaultColWidth="8.66666666666667" defaultRowHeight="15.6"/>
  <cols>
    <col min="1" max="1" width="2.08333333333333" style="991" customWidth="1"/>
    <col min="2" max="2" width="10.462962962963" style="1267" customWidth="1"/>
    <col min="3" max="3" width="9.75925925925926" style="1267" customWidth="1"/>
    <col min="4" max="4" width="8.71296296296296" style="1267" customWidth="1"/>
    <col min="5" max="5" width="21.25" style="1267" customWidth="1"/>
    <col min="6" max="6" width="0.222222222222222" style="1267" customWidth="1"/>
    <col min="7" max="7" width="17.5" style="1267" customWidth="1"/>
    <col min="8" max="8" width="8.84259259259259" style="1268" customWidth="1"/>
    <col min="9" max="9" width="24.2962962962963" style="1269" customWidth="1"/>
    <col min="10" max="10" width="10.8888888888889" style="1270" customWidth="1"/>
    <col min="11" max="11" width="9.86111111111111" style="1271" customWidth="1"/>
    <col min="12" max="12" width="9.58333333333333" style="1271" customWidth="1"/>
    <col min="13" max="13" width="10.8333333333333" style="1270" customWidth="1"/>
    <col min="14" max="14" width="10.4074074074074" style="1270" customWidth="1"/>
    <col min="15" max="15" width="6.94444444444444" style="1270" hidden="1" customWidth="1"/>
    <col min="16" max="16" width="11.3796296296296" style="1270" customWidth="1"/>
    <col min="17" max="18" width="11.7962962962963" style="1272" customWidth="1"/>
    <col min="19" max="19" width="30.4166666666667" style="1267" customWidth="1"/>
    <col min="20" max="20" width="38.0555555555556" style="1267" customWidth="1"/>
    <col min="21" max="16384" width="8.66666666666667" style="1264"/>
  </cols>
  <sheetData>
    <row r="1" s="987" customFormat="1" ht="22" customHeight="1" spans="1:20">
      <c r="A1" s="799"/>
      <c r="B1" s="801" t="s">
        <v>1493</v>
      </c>
      <c r="C1" s="1273">
        <v>6.72</v>
      </c>
      <c r="D1" s="801" t="s">
        <v>5208</v>
      </c>
      <c r="E1" s="801" t="s">
        <v>5357</v>
      </c>
      <c r="F1" s="801"/>
      <c r="G1" s="801"/>
      <c r="H1" s="801"/>
      <c r="I1" s="801"/>
      <c r="J1" s="1274"/>
      <c r="K1" s="1275" t="s">
        <v>712</v>
      </c>
      <c r="L1" s="1276" t="s">
        <v>712</v>
      </c>
      <c r="M1" s="1277"/>
      <c r="N1" s="1277"/>
      <c r="O1" s="1277"/>
      <c r="P1" s="1277"/>
      <c r="Q1" s="1277"/>
      <c r="R1" s="1277"/>
      <c r="S1" s="1277"/>
      <c r="T1" s="1277"/>
    </row>
    <row r="2" s="1261" customFormat="1" ht="18" customHeight="1" spans="1:20">
      <c r="A2" s="189"/>
      <c r="B2" s="1278" t="s">
        <v>1</v>
      </c>
      <c r="C2" s="1279" t="s">
        <v>2</v>
      </c>
      <c r="D2" s="1279" t="s">
        <v>1493</v>
      </c>
      <c r="E2" s="1280" t="s">
        <v>5</v>
      </c>
      <c r="F2" s="1281" t="s">
        <v>1933</v>
      </c>
      <c r="G2" s="1281" t="s">
        <v>4102</v>
      </c>
      <c r="H2" s="1282" t="s">
        <v>4541</v>
      </c>
      <c r="I2" s="1283" t="s">
        <v>1497</v>
      </c>
      <c r="J2" s="1284" t="s">
        <v>4102</v>
      </c>
      <c r="K2" s="1284" t="s">
        <v>4103</v>
      </c>
      <c r="L2" s="1285" t="s">
        <v>4104</v>
      </c>
      <c r="M2" s="1286" t="s">
        <v>1497</v>
      </c>
      <c r="N2" s="1285" t="s">
        <v>6</v>
      </c>
      <c r="O2" s="941" t="s">
        <v>5211</v>
      </c>
      <c r="P2" s="1285" t="s">
        <v>8</v>
      </c>
      <c r="Q2" s="1285" t="s">
        <v>5359</v>
      </c>
      <c r="R2" s="1285" t="s">
        <v>9</v>
      </c>
      <c r="S2" s="1287" t="s">
        <v>4105</v>
      </c>
      <c r="T2" s="1288" t="s">
        <v>10</v>
      </c>
    </row>
    <row r="3" s="1189" customFormat="1" ht="18" customHeight="1" spans="1:20">
      <c r="A3" s="989"/>
      <c r="B3" s="1289" t="s">
        <v>5532</v>
      </c>
      <c r="C3" s="1290" t="s">
        <v>5361</v>
      </c>
      <c r="D3" s="1291">
        <v>6.72</v>
      </c>
      <c r="E3" s="1292" t="s">
        <v>5533</v>
      </c>
      <c r="F3" s="1293" t="s">
        <v>5534</v>
      </c>
      <c r="G3" s="1294" t="s">
        <v>5535</v>
      </c>
      <c r="H3" s="1295" t="s">
        <v>5536</v>
      </c>
      <c r="I3" s="145" t="s">
        <v>5537</v>
      </c>
      <c r="J3" s="1296">
        <f t="shared" ref="J3:J8" si="0">83/D3/1.13</f>
        <v>10.9302570585756</v>
      </c>
      <c r="K3" s="1296"/>
      <c r="L3" s="1297"/>
      <c r="M3" s="1298">
        <f>16.2/C1/1.13</f>
        <v>2.13337547408344</v>
      </c>
      <c r="N3" s="1299">
        <f>11.5/C1/1.13</f>
        <v>1.51443320691108</v>
      </c>
      <c r="O3" s="1297" t="s">
        <v>1428</v>
      </c>
      <c r="P3" s="1297">
        <v>2.2</v>
      </c>
      <c r="Q3" s="941">
        <v>9.58</v>
      </c>
      <c r="R3" s="941">
        <f t="shared" ref="R3:R66" si="1">SUM(J3:Q3)</f>
        <v>26.3580657395702</v>
      </c>
      <c r="S3" s="145" t="s">
        <v>5538</v>
      </c>
      <c r="T3" s="145" t="s">
        <v>5539</v>
      </c>
    </row>
    <row r="4" s="1189" customFormat="1" ht="18" customHeight="1" spans="1:20">
      <c r="A4" s="989"/>
      <c r="B4" s="1289"/>
      <c r="C4" s="1290" t="s">
        <v>5361</v>
      </c>
      <c r="D4" s="1291">
        <v>6.72</v>
      </c>
      <c r="E4" s="1300" t="s">
        <v>5540</v>
      </c>
      <c r="F4" s="1293" t="s">
        <v>5534</v>
      </c>
      <c r="G4" s="1294" t="s">
        <v>5535</v>
      </c>
      <c r="H4" s="1295" t="s">
        <v>5541</v>
      </c>
      <c r="I4" s="145" t="s">
        <v>5542</v>
      </c>
      <c r="J4" s="1296">
        <f t="shared" si="0"/>
        <v>10.9302570585756</v>
      </c>
      <c r="K4" s="1296"/>
      <c r="L4" s="1297"/>
      <c r="M4" s="1298">
        <f>16.2/C1/1.13</f>
        <v>2.13337547408344</v>
      </c>
      <c r="N4" s="1299">
        <f>11.5/C1/1.13</f>
        <v>1.51443320691108</v>
      </c>
      <c r="O4" s="1297" t="s">
        <v>1428</v>
      </c>
      <c r="P4" s="1297">
        <v>2.2</v>
      </c>
      <c r="Q4" s="941">
        <v>11.28</v>
      </c>
      <c r="R4" s="941">
        <f t="shared" si="1"/>
        <v>28.0580657395702</v>
      </c>
      <c r="S4" s="145" t="s">
        <v>5543</v>
      </c>
      <c r="T4" s="145" t="s">
        <v>5539</v>
      </c>
    </row>
    <row r="5" s="1189" customFormat="1" ht="18" customHeight="1" spans="1:20">
      <c r="A5" s="989"/>
      <c r="B5" s="1289"/>
      <c r="C5" s="1290" t="s">
        <v>5361</v>
      </c>
      <c r="D5" s="1291">
        <v>6.72</v>
      </c>
      <c r="E5" s="1301" t="s">
        <v>5544</v>
      </c>
      <c r="F5" s="1302"/>
      <c r="G5" s="1294" t="s">
        <v>5535</v>
      </c>
      <c r="H5" s="1295" t="s">
        <v>5541</v>
      </c>
      <c r="I5" s="145" t="s">
        <v>5545</v>
      </c>
      <c r="J5" s="1296">
        <f t="shared" si="0"/>
        <v>10.9302570585756</v>
      </c>
      <c r="K5" s="1296"/>
      <c r="L5" s="1303"/>
      <c r="M5" s="1304">
        <f>16.2/C1/1.13</f>
        <v>2.13337547408344</v>
      </c>
      <c r="N5" s="1299">
        <f>11.5/C1/1.13</f>
        <v>1.51443320691108</v>
      </c>
      <c r="O5" s="1303"/>
      <c r="P5" s="1303">
        <v>2.2</v>
      </c>
      <c r="Q5" s="941">
        <v>10.52</v>
      </c>
      <c r="R5" s="941">
        <f t="shared" si="1"/>
        <v>27.2980657395702</v>
      </c>
      <c r="S5" s="1305" t="s">
        <v>5546</v>
      </c>
      <c r="T5" s="145" t="s">
        <v>5539</v>
      </c>
    </row>
    <row r="6" s="1189" customFormat="1" ht="18" customHeight="1" spans="1:20">
      <c r="A6" s="989"/>
      <c r="B6" s="1289"/>
      <c r="C6" s="1290" t="s">
        <v>5361</v>
      </c>
      <c r="D6" s="1291">
        <v>6.72</v>
      </c>
      <c r="E6" s="1301" t="s">
        <v>5547</v>
      </c>
      <c r="F6" s="1302"/>
      <c r="G6" s="1294" t="s">
        <v>5535</v>
      </c>
      <c r="H6" s="1295" t="s">
        <v>5541</v>
      </c>
      <c r="I6" s="145" t="s">
        <v>5545</v>
      </c>
      <c r="J6" s="1296">
        <f t="shared" si="0"/>
        <v>10.9302570585756</v>
      </c>
      <c r="K6" s="1296"/>
      <c r="L6" s="1303"/>
      <c r="M6" s="1304">
        <f>16.2/C1/1.13</f>
        <v>2.13337547408344</v>
      </c>
      <c r="N6" s="1299">
        <f>11.5/C1/1.13</f>
        <v>1.51443320691108</v>
      </c>
      <c r="O6" s="1297" t="s">
        <v>1428</v>
      </c>
      <c r="P6" s="1303">
        <v>2.2</v>
      </c>
      <c r="Q6" s="941">
        <v>9</v>
      </c>
      <c r="R6" s="941">
        <f t="shared" si="1"/>
        <v>25.7780657395702</v>
      </c>
      <c r="S6" s="1305" t="s">
        <v>5546</v>
      </c>
      <c r="T6" s="145" t="s">
        <v>5539</v>
      </c>
    </row>
    <row r="7" s="1189" customFormat="1" ht="18" customHeight="1" spans="1:20">
      <c r="A7" s="989"/>
      <c r="B7" s="1289"/>
      <c r="C7" s="1290" t="s">
        <v>5361</v>
      </c>
      <c r="D7" s="1291">
        <v>6.72</v>
      </c>
      <c r="E7" s="1301" t="s">
        <v>5548</v>
      </c>
      <c r="F7" s="1302"/>
      <c r="G7" s="1294" t="s">
        <v>5535</v>
      </c>
      <c r="H7" s="1295" t="s">
        <v>5541</v>
      </c>
      <c r="I7" s="1305" t="s">
        <v>5545</v>
      </c>
      <c r="J7" s="1296">
        <f t="shared" si="0"/>
        <v>10.9302570585756</v>
      </c>
      <c r="K7" s="1296"/>
      <c r="L7" s="1303"/>
      <c r="M7" s="1304">
        <f>16.2/C1/1.13</f>
        <v>2.13337547408344</v>
      </c>
      <c r="N7" s="1299">
        <f>11.5/C1/1.13</f>
        <v>1.51443320691108</v>
      </c>
      <c r="O7" s="1297" t="s">
        <v>1428</v>
      </c>
      <c r="P7" s="1303">
        <v>2.2</v>
      </c>
      <c r="Q7" s="941">
        <v>9.17</v>
      </c>
      <c r="R7" s="941">
        <f t="shared" si="1"/>
        <v>25.9480657395702</v>
      </c>
      <c r="S7" s="1305" t="s">
        <v>5549</v>
      </c>
      <c r="T7" s="145" t="s">
        <v>5539</v>
      </c>
    </row>
    <row r="8" s="1189" customFormat="1" ht="18" customHeight="1" spans="1:20">
      <c r="A8" s="989"/>
      <c r="B8" s="1289"/>
      <c r="C8" s="1290" t="s">
        <v>5361</v>
      </c>
      <c r="D8" s="1291">
        <v>6.72</v>
      </c>
      <c r="E8" s="1301" t="s">
        <v>5550</v>
      </c>
      <c r="F8" s="1302"/>
      <c r="G8" s="1294" t="s">
        <v>5535</v>
      </c>
      <c r="H8" s="1295" t="s">
        <v>5541</v>
      </c>
      <c r="I8" s="1305" t="s">
        <v>5545</v>
      </c>
      <c r="J8" s="1296">
        <f t="shared" si="0"/>
        <v>10.9302570585756</v>
      </c>
      <c r="K8" s="1296"/>
      <c r="L8" s="1303"/>
      <c r="M8" s="1304">
        <f>16.2/C1/1.13</f>
        <v>2.13337547408344</v>
      </c>
      <c r="N8" s="1299">
        <f>11.5/C1/1.13</f>
        <v>1.51443320691108</v>
      </c>
      <c r="O8" s="1297" t="s">
        <v>1428</v>
      </c>
      <c r="P8" s="1303">
        <v>2.2</v>
      </c>
      <c r="Q8" s="941">
        <v>9.02</v>
      </c>
      <c r="R8" s="941">
        <f t="shared" si="1"/>
        <v>25.7980657395702</v>
      </c>
      <c r="S8" s="1305" t="s">
        <v>5551</v>
      </c>
      <c r="T8" s="145" t="s">
        <v>5539</v>
      </c>
    </row>
    <row r="9" s="1189" customFormat="1" ht="18" customHeight="1" spans="1:20">
      <c r="A9" s="989"/>
      <c r="B9" s="1289"/>
      <c r="C9" s="1290" t="s">
        <v>5361</v>
      </c>
      <c r="D9" s="1291">
        <v>6.72</v>
      </c>
      <c r="E9" s="1301" t="s">
        <v>5552</v>
      </c>
      <c r="F9" s="1302"/>
      <c r="G9" s="1297" t="s">
        <v>1428</v>
      </c>
      <c r="H9" s="1297" t="s">
        <v>1428</v>
      </c>
      <c r="I9" s="1297" t="s">
        <v>1428</v>
      </c>
      <c r="J9" s="1297">
        <v>0</v>
      </c>
      <c r="K9" s="1306"/>
      <c r="L9" s="1303"/>
      <c r="M9" s="1304">
        <v>0</v>
      </c>
      <c r="N9" s="1299">
        <v>0.153460535065732</v>
      </c>
      <c r="O9" s="1303" t="s">
        <v>1428</v>
      </c>
      <c r="P9" s="1303">
        <v>0.2</v>
      </c>
      <c r="Q9" s="941">
        <v>0.72</v>
      </c>
      <c r="R9" s="941">
        <f t="shared" si="1"/>
        <v>1.07346053506573</v>
      </c>
      <c r="S9" s="1305"/>
      <c r="T9" s="145" t="s">
        <v>5539</v>
      </c>
    </row>
    <row r="10" s="1189" customFormat="1" ht="18" customHeight="1" spans="1:20">
      <c r="A10" s="989"/>
      <c r="B10" s="1307" t="s">
        <v>5553</v>
      </c>
      <c r="C10" s="1290" t="s">
        <v>5361</v>
      </c>
      <c r="D10" s="1291">
        <v>6.72</v>
      </c>
      <c r="E10" s="1301" t="s">
        <v>5554</v>
      </c>
      <c r="F10" s="1302"/>
      <c r="G10" s="1294" t="s">
        <v>5535</v>
      </c>
      <c r="H10" s="1308" t="s">
        <v>5541</v>
      </c>
      <c r="I10" s="1305" t="s">
        <v>5545</v>
      </c>
      <c r="J10" s="1296">
        <f t="shared" ref="J10:J25" si="2">83/D10/1.13</f>
        <v>10.9302570585756</v>
      </c>
      <c r="K10" s="1309"/>
      <c r="L10" s="1310"/>
      <c r="M10" s="1304">
        <f>16.2/C1/1.13</f>
        <v>2.13337547408344</v>
      </c>
      <c r="N10" s="1299">
        <f>11.5/C1/1.13</f>
        <v>1.51443320691108</v>
      </c>
      <c r="O10" s="1303" t="s">
        <v>1428</v>
      </c>
      <c r="P10" s="1303">
        <v>2.2</v>
      </c>
      <c r="Q10" s="941">
        <v>8.89</v>
      </c>
      <c r="R10" s="941">
        <f t="shared" si="1"/>
        <v>25.6680657395702</v>
      </c>
      <c r="S10" s="1305" t="s">
        <v>5551</v>
      </c>
      <c r="T10" s="145" t="s">
        <v>5539</v>
      </c>
    </row>
    <row r="11" s="1189" customFormat="1" ht="18" customHeight="1" spans="1:20">
      <c r="A11" s="1031"/>
      <c r="B11" s="1289"/>
      <c r="C11" s="1290" t="s">
        <v>5361</v>
      </c>
      <c r="D11" s="1291">
        <v>6.72</v>
      </c>
      <c r="E11" s="1292" t="s">
        <v>5555</v>
      </c>
      <c r="F11" s="1311"/>
      <c r="G11" s="1312" t="s">
        <v>5535</v>
      </c>
      <c r="H11" s="1295" t="s">
        <v>5541</v>
      </c>
      <c r="I11" s="145" t="s">
        <v>5545</v>
      </c>
      <c r="J11" s="1296">
        <f t="shared" si="2"/>
        <v>10.9302570585756</v>
      </c>
      <c r="K11" s="1313"/>
      <c r="L11" s="1313"/>
      <c r="M11" s="1297">
        <f>16.2/C1/1.13</f>
        <v>2.13337547408344</v>
      </c>
      <c r="N11" s="1314">
        <f>11.5/C1/1.13</f>
        <v>1.51443320691108</v>
      </c>
      <c r="O11" s="1297"/>
      <c r="P11" s="1297">
        <v>2.2</v>
      </c>
      <c r="Q11" s="941">
        <v>8.98</v>
      </c>
      <c r="R11" s="941">
        <f t="shared" si="1"/>
        <v>25.7580657395702</v>
      </c>
      <c r="S11" s="145" t="s">
        <v>5556</v>
      </c>
      <c r="T11" s="145" t="s">
        <v>5539</v>
      </c>
    </row>
    <row r="12" s="1189" customFormat="1" ht="18" customHeight="1" spans="1:20">
      <c r="A12" s="989"/>
      <c r="B12" s="1315" t="s">
        <v>5557</v>
      </c>
      <c r="C12" s="1290" t="s">
        <v>5361</v>
      </c>
      <c r="D12" s="1291">
        <v>6.72</v>
      </c>
      <c r="E12" s="1316" t="s">
        <v>5558</v>
      </c>
      <c r="F12" s="1317"/>
      <c r="G12" s="1318" t="s">
        <v>5535</v>
      </c>
      <c r="H12" s="1319" t="s">
        <v>4569</v>
      </c>
      <c r="I12" s="1320" t="s">
        <v>5559</v>
      </c>
      <c r="J12" s="1296">
        <f t="shared" si="2"/>
        <v>10.9302570585756</v>
      </c>
      <c r="K12" s="1321"/>
      <c r="L12" s="1322"/>
      <c r="M12" s="1323">
        <v>3.6</v>
      </c>
      <c r="N12" s="1324">
        <f>27.48/C1/1.13</f>
        <v>3.61883691529709</v>
      </c>
      <c r="O12" s="1325" t="s">
        <v>1428</v>
      </c>
      <c r="P12" s="1322">
        <v>2.2</v>
      </c>
      <c r="Q12" s="941">
        <v>16.25</v>
      </c>
      <c r="R12" s="941">
        <f t="shared" si="1"/>
        <v>36.5990939738727</v>
      </c>
      <c r="S12" s="1320" t="s">
        <v>5560</v>
      </c>
      <c r="T12" s="145" t="s">
        <v>5561</v>
      </c>
    </row>
    <row r="13" s="1189" customFormat="1" ht="18" customHeight="1" spans="1:20">
      <c r="A13" s="989"/>
      <c r="B13" s="1289"/>
      <c r="C13" s="1290" t="s">
        <v>5361</v>
      </c>
      <c r="D13" s="1291">
        <v>6.72</v>
      </c>
      <c r="E13" s="1301" t="s">
        <v>5562</v>
      </c>
      <c r="F13" s="1302"/>
      <c r="G13" s="1294" t="s">
        <v>5535</v>
      </c>
      <c r="H13" s="1295" t="s">
        <v>4569</v>
      </c>
      <c r="I13" s="145" t="s">
        <v>5559</v>
      </c>
      <c r="J13" s="1296">
        <f t="shared" si="2"/>
        <v>10.9302570585756</v>
      </c>
      <c r="K13" s="1306"/>
      <c r="L13" s="1303"/>
      <c r="M13" s="1304">
        <v>3.6</v>
      </c>
      <c r="N13" s="1299">
        <f>27.48/C1/1.13</f>
        <v>3.61883691529709</v>
      </c>
      <c r="O13" s="1297" t="s">
        <v>1428</v>
      </c>
      <c r="P13" s="1303">
        <v>2.2</v>
      </c>
      <c r="Q13" s="941">
        <v>17.35</v>
      </c>
      <c r="R13" s="941">
        <f t="shared" si="1"/>
        <v>37.6990939738727</v>
      </c>
      <c r="S13" s="145" t="s">
        <v>5560</v>
      </c>
      <c r="T13" s="145" t="s">
        <v>5561</v>
      </c>
    </row>
    <row r="14" s="1189" customFormat="1" ht="17" customHeight="1" spans="1:20">
      <c r="A14" s="989"/>
      <c r="B14" s="1326" t="s">
        <v>5563</v>
      </c>
      <c r="C14" s="1290" t="s">
        <v>5361</v>
      </c>
      <c r="D14" s="1291">
        <v>6.72</v>
      </c>
      <c r="E14" s="1301" t="s">
        <v>5564</v>
      </c>
      <c r="F14" s="1302" t="s">
        <v>5534</v>
      </c>
      <c r="G14" s="1294" t="s">
        <v>5535</v>
      </c>
      <c r="H14" s="1295" t="s">
        <v>5541</v>
      </c>
      <c r="I14" s="145" t="s">
        <v>5545</v>
      </c>
      <c r="J14" s="1296">
        <f t="shared" si="2"/>
        <v>10.9302570585756</v>
      </c>
      <c r="K14" s="1296"/>
      <c r="L14" s="1303"/>
      <c r="M14" s="1298">
        <f t="shared" ref="M14:M24" si="3">22/D14/1.13</f>
        <v>2.89717656974294</v>
      </c>
      <c r="N14" s="1327">
        <f t="shared" ref="N14:N25" si="4">25.09/D14/1.13</f>
        <v>3.30409818794775</v>
      </c>
      <c r="O14" s="1297" t="s">
        <v>1428</v>
      </c>
      <c r="P14" s="1303">
        <v>1.86</v>
      </c>
      <c r="Q14" s="941">
        <v>7.11</v>
      </c>
      <c r="R14" s="941">
        <f t="shared" si="1"/>
        <v>26.1015318162663</v>
      </c>
      <c r="S14" s="1305" t="s">
        <v>5565</v>
      </c>
      <c r="T14" s="145" t="s">
        <v>5539</v>
      </c>
    </row>
    <row r="15" s="1189" customFormat="1" ht="18" customHeight="1" spans="1:20">
      <c r="A15" s="989"/>
      <c r="B15" s="1326"/>
      <c r="C15" s="1290" t="s">
        <v>5361</v>
      </c>
      <c r="D15" s="1291">
        <v>6.72</v>
      </c>
      <c r="E15" s="1300" t="s">
        <v>5566</v>
      </c>
      <c r="F15" s="1293" t="s">
        <v>5534</v>
      </c>
      <c r="G15" s="1294" t="s">
        <v>5535</v>
      </c>
      <c r="H15" s="1295" t="s">
        <v>4569</v>
      </c>
      <c r="I15" s="145" t="s">
        <v>5545</v>
      </c>
      <c r="J15" s="1296">
        <f t="shared" si="2"/>
        <v>10.9302570585756</v>
      </c>
      <c r="K15" s="1306"/>
      <c r="L15" s="1303"/>
      <c r="M15" s="1298">
        <f t="shared" si="3"/>
        <v>2.89717656974294</v>
      </c>
      <c r="N15" s="1327">
        <f t="shared" si="4"/>
        <v>3.30409818794775</v>
      </c>
      <c r="O15" s="1297" t="s">
        <v>1428</v>
      </c>
      <c r="P15" s="1297">
        <v>1.86</v>
      </c>
      <c r="Q15" s="941">
        <v>8.17</v>
      </c>
      <c r="R15" s="941">
        <f t="shared" si="1"/>
        <v>27.1615318162663</v>
      </c>
      <c r="S15" s="145" t="s">
        <v>5567</v>
      </c>
      <c r="T15" s="145" t="s">
        <v>5539</v>
      </c>
    </row>
    <row r="16" s="1189" customFormat="1" ht="18" customHeight="1" spans="1:20">
      <c r="A16" s="989"/>
      <c r="B16" s="1326"/>
      <c r="C16" s="1290" t="s">
        <v>5361</v>
      </c>
      <c r="D16" s="1291">
        <v>6.72</v>
      </c>
      <c r="E16" s="1300" t="s">
        <v>5568</v>
      </c>
      <c r="F16" s="1293"/>
      <c r="G16" s="1294" t="s">
        <v>5535</v>
      </c>
      <c r="H16" s="1295" t="s">
        <v>4569</v>
      </c>
      <c r="I16" s="145" t="s">
        <v>5569</v>
      </c>
      <c r="J16" s="1296">
        <f t="shared" si="2"/>
        <v>10.9302570585756</v>
      </c>
      <c r="K16" s="1306"/>
      <c r="L16" s="1303"/>
      <c r="M16" s="1298">
        <f t="shared" si="3"/>
        <v>2.89717656974294</v>
      </c>
      <c r="N16" s="1327">
        <f t="shared" si="4"/>
        <v>3.30409818794775</v>
      </c>
      <c r="O16" s="1297" t="s">
        <v>1428</v>
      </c>
      <c r="P16" s="1297">
        <v>1.86</v>
      </c>
      <c r="Q16" s="941">
        <v>7.27</v>
      </c>
      <c r="R16" s="941">
        <f t="shared" si="1"/>
        <v>26.2615318162663</v>
      </c>
      <c r="S16" s="145" t="s">
        <v>5570</v>
      </c>
      <c r="T16" s="145" t="s">
        <v>5539</v>
      </c>
    </row>
    <row r="17" s="1189" customFormat="1" ht="18" customHeight="1" spans="1:20">
      <c r="A17" s="989"/>
      <c r="B17" s="1326"/>
      <c r="C17" s="1290" t="s">
        <v>5361</v>
      </c>
      <c r="D17" s="1291">
        <v>6.72</v>
      </c>
      <c r="E17" s="1300" t="s">
        <v>5571</v>
      </c>
      <c r="F17" s="1293"/>
      <c r="G17" s="1294" t="s">
        <v>5535</v>
      </c>
      <c r="H17" s="1295" t="s">
        <v>4569</v>
      </c>
      <c r="I17" s="145" t="s">
        <v>5545</v>
      </c>
      <c r="J17" s="1296">
        <f t="shared" si="2"/>
        <v>10.9302570585756</v>
      </c>
      <c r="K17" s="1309"/>
      <c r="L17" s="1310"/>
      <c r="M17" s="1298">
        <f t="shared" si="3"/>
        <v>2.89717656974294</v>
      </c>
      <c r="N17" s="1327">
        <f t="shared" si="4"/>
        <v>3.30409818794775</v>
      </c>
      <c r="O17" s="1297" t="s">
        <v>1428</v>
      </c>
      <c r="P17" s="1297">
        <v>1.86</v>
      </c>
      <c r="Q17" s="941">
        <v>7.2</v>
      </c>
      <c r="R17" s="941">
        <f t="shared" si="1"/>
        <v>26.1915318162663</v>
      </c>
      <c r="S17" s="145" t="s">
        <v>5572</v>
      </c>
      <c r="T17" s="145" t="s">
        <v>5539</v>
      </c>
    </row>
    <row r="18" s="1189" customFormat="1" ht="18" customHeight="1" spans="1:20">
      <c r="A18" s="989"/>
      <c r="B18" s="1326"/>
      <c r="C18" s="1290" t="s">
        <v>5573</v>
      </c>
      <c r="D18" s="1291">
        <v>6.72</v>
      </c>
      <c r="E18" s="1300" t="s">
        <v>5574</v>
      </c>
      <c r="F18" s="1293"/>
      <c r="G18" s="1294" t="s">
        <v>5535</v>
      </c>
      <c r="H18" s="1295" t="s">
        <v>5541</v>
      </c>
      <c r="I18" s="145" t="s">
        <v>5545</v>
      </c>
      <c r="J18" s="1296">
        <f t="shared" si="2"/>
        <v>10.9302570585756</v>
      </c>
      <c r="K18" s="1296"/>
      <c r="L18" s="1303"/>
      <c r="M18" s="1298">
        <f t="shared" si="3"/>
        <v>2.89717656974294</v>
      </c>
      <c r="N18" s="1327">
        <f t="shared" si="4"/>
        <v>3.30409818794775</v>
      </c>
      <c r="O18" s="1297" t="s">
        <v>1428</v>
      </c>
      <c r="P18" s="1297">
        <v>1.86</v>
      </c>
      <c r="Q18" s="941">
        <f>52.63/D18/1.13</f>
        <v>6.93083649388959</v>
      </c>
      <c r="R18" s="941">
        <f t="shared" si="1"/>
        <v>25.9223683101559</v>
      </c>
      <c r="S18" s="145" t="s">
        <v>5546</v>
      </c>
      <c r="T18" s="145" t="s">
        <v>5539</v>
      </c>
    </row>
    <row r="19" s="1189" customFormat="1" ht="18" customHeight="1" spans="1:20">
      <c r="A19" s="989"/>
      <c r="B19" s="1326"/>
      <c r="C19" s="1290" t="s">
        <v>5573</v>
      </c>
      <c r="D19" s="1291">
        <v>6.72</v>
      </c>
      <c r="E19" s="1300" t="s">
        <v>5575</v>
      </c>
      <c r="F19" s="1293"/>
      <c r="G19" s="1294" t="s">
        <v>5535</v>
      </c>
      <c r="H19" s="1295" t="s">
        <v>4569</v>
      </c>
      <c r="I19" s="145" t="s">
        <v>5545</v>
      </c>
      <c r="J19" s="1296">
        <f t="shared" si="2"/>
        <v>10.9302570585756</v>
      </c>
      <c r="K19" s="1306"/>
      <c r="L19" s="1303"/>
      <c r="M19" s="1298">
        <f t="shared" si="3"/>
        <v>2.89717656974294</v>
      </c>
      <c r="N19" s="1327">
        <f t="shared" si="4"/>
        <v>3.30409818794775</v>
      </c>
      <c r="O19" s="1297" t="s">
        <v>1428</v>
      </c>
      <c r="P19" s="1297">
        <v>1.86</v>
      </c>
      <c r="Q19" s="941">
        <f>52.58/D19/1.13</f>
        <v>6.92425200168563</v>
      </c>
      <c r="R19" s="941">
        <f t="shared" si="1"/>
        <v>25.915783817952</v>
      </c>
      <c r="S19" s="145" t="s">
        <v>5560</v>
      </c>
      <c r="T19" s="145" t="s">
        <v>5561</v>
      </c>
    </row>
    <row r="20" s="1189" customFormat="1" ht="18" customHeight="1" spans="1:20">
      <c r="A20" s="989"/>
      <c r="B20" s="1326"/>
      <c r="C20" s="1290" t="s">
        <v>5573</v>
      </c>
      <c r="D20" s="1291">
        <v>6.72</v>
      </c>
      <c r="E20" s="1300" t="s">
        <v>5576</v>
      </c>
      <c r="F20" s="1293"/>
      <c r="G20" s="1294" t="s">
        <v>5535</v>
      </c>
      <c r="H20" s="1295" t="s">
        <v>4569</v>
      </c>
      <c r="I20" s="145" t="s">
        <v>5545</v>
      </c>
      <c r="J20" s="1296">
        <f t="shared" si="2"/>
        <v>10.9302570585756</v>
      </c>
      <c r="K20" s="1306"/>
      <c r="L20" s="1303"/>
      <c r="M20" s="1298">
        <f t="shared" si="3"/>
        <v>2.89717656974294</v>
      </c>
      <c r="N20" s="1327">
        <f t="shared" si="4"/>
        <v>3.30409818794775</v>
      </c>
      <c r="O20" s="1297" t="s">
        <v>1428</v>
      </c>
      <c r="P20" s="1297">
        <v>1.86</v>
      </c>
      <c r="Q20" s="941">
        <f>52.62/D20/1.13</f>
        <v>6.9295195954488</v>
      </c>
      <c r="R20" s="941">
        <f t="shared" si="1"/>
        <v>25.9210514117151</v>
      </c>
      <c r="S20" s="145" t="s">
        <v>5560</v>
      </c>
      <c r="T20" s="145" t="s">
        <v>5561</v>
      </c>
    </row>
    <row r="21" s="1189" customFormat="1" ht="18" customHeight="1" spans="1:20">
      <c r="A21" s="989"/>
      <c r="B21" s="1326"/>
      <c r="C21" s="1290" t="s">
        <v>5573</v>
      </c>
      <c r="D21" s="1291">
        <v>6.72</v>
      </c>
      <c r="E21" s="1300" t="s">
        <v>5577</v>
      </c>
      <c r="F21" s="1293"/>
      <c r="G21" s="1294" t="s">
        <v>5535</v>
      </c>
      <c r="H21" s="1295" t="s">
        <v>4569</v>
      </c>
      <c r="I21" s="145" t="s">
        <v>5545</v>
      </c>
      <c r="J21" s="1296">
        <f t="shared" si="2"/>
        <v>10.9302570585756</v>
      </c>
      <c r="K21" s="1306"/>
      <c r="L21" s="1303"/>
      <c r="M21" s="1298">
        <f t="shared" si="3"/>
        <v>2.89717656974294</v>
      </c>
      <c r="N21" s="1327">
        <f t="shared" si="4"/>
        <v>3.30409818794775</v>
      </c>
      <c r="O21" s="1297" t="s">
        <v>1428</v>
      </c>
      <c r="P21" s="1297">
        <v>1.86</v>
      </c>
      <c r="Q21" s="941">
        <f>52.36/D21/1.13</f>
        <v>6.8952802359882</v>
      </c>
      <c r="R21" s="941">
        <f t="shared" si="1"/>
        <v>25.8868120522545</v>
      </c>
      <c r="S21" s="145" t="s">
        <v>5560</v>
      </c>
      <c r="T21" s="145" t="s">
        <v>5578</v>
      </c>
    </row>
    <row r="22" s="1189" customFormat="1" ht="18" customHeight="1" spans="1:20">
      <c r="A22" s="989"/>
      <c r="B22" s="1326"/>
      <c r="C22" s="1290" t="s">
        <v>5573</v>
      </c>
      <c r="D22" s="1291">
        <v>6.72</v>
      </c>
      <c r="E22" s="1300" t="s">
        <v>5579</v>
      </c>
      <c r="F22" s="1293"/>
      <c r="G22" s="1294" t="s">
        <v>5535</v>
      </c>
      <c r="H22" s="1295" t="s">
        <v>4569</v>
      </c>
      <c r="I22" s="145" t="s">
        <v>5545</v>
      </c>
      <c r="J22" s="1296">
        <f t="shared" si="2"/>
        <v>10.9302570585756</v>
      </c>
      <c r="K22" s="1306"/>
      <c r="L22" s="1303"/>
      <c r="M22" s="1298">
        <f t="shared" si="3"/>
        <v>2.89717656974294</v>
      </c>
      <c r="N22" s="1327">
        <f t="shared" si="4"/>
        <v>3.30409818794775</v>
      </c>
      <c r="O22" s="1297" t="s">
        <v>1428</v>
      </c>
      <c r="P22" s="1297">
        <v>1.86</v>
      </c>
      <c r="Q22" s="941">
        <f>52.35/D22/1.13</f>
        <v>6.89396333754741</v>
      </c>
      <c r="R22" s="941">
        <f t="shared" si="1"/>
        <v>25.8854951538137</v>
      </c>
      <c r="S22" s="145" t="s">
        <v>5580</v>
      </c>
      <c r="T22" s="145" t="s">
        <v>5561</v>
      </c>
    </row>
    <row r="23" s="1189" customFormat="1" ht="18" customHeight="1" spans="1:20">
      <c r="A23" s="989"/>
      <c r="B23" s="1326"/>
      <c r="C23" s="1290" t="s">
        <v>5573</v>
      </c>
      <c r="D23" s="1291">
        <v>6.72</v>
      </c>
      <c r="E23" s="1300" t="s">
        <v>5581</v>
      </c>
      <c r="F23" s="1293"/>
      <c r="G23" s="1294" t="s">
        <v>5535</v>
      </c>
      <c r="H23" s="1295" t="s">
        <v>5541</v>
      </c>
      <c r="I23" s="145" t="s">
        <v>5545</v>
      </c>
      <c r="J23" s="1296">
        <f t="shared" si="2"/>
        <v>10.9302570585756</v>
      </c>
      <c r="K23" s="1296"/>
      <c r="L23" s="1303"/>
      <c r="M23" s="1298">
        <f t="shared" si="3"/>
        <v>2.89717656974294</v>
      </c>
      <c r="N23" s="1299">
        <f t="shared" si="4"/>
        <v>3.30409818794775</v>
      </c>
      <c r="O23" s="1297" t="s">
        <v>1428</v>
      </c>
      <c r="P23" s="1297">
        <v>1.86</v>
      </c>
      <c r="Q23" s="941">
        <f>54.35/D23/1.13</f>
        <v>7.15734302570586</v>
      </c>
      <c r="R23" s="941">
        <f t="shared" si="1"/>
        <v>26.1488748419722</v>
      </c>
      <c r="S23" s="145" t="s">
        <v>5551</v>
      </c>
      <c r="T23" s="145" t="s">
        <v>5582</v>
      </c>
    </row>
    <row r="24" s="1189" customFormat="1" ht="18" customHeight="1" spans="1:20">
      <c r="A24" s="989"/>
      <c r="B24" s="1326"/>
      <c r="C24" s="1290" t="s">
        <v>5573</v>
      </c>
      <c r="D24" s="1291">
        <v>6.72</v>
      </c>
      <c r="E24" s="1300" t="s">
        <v>5583</v>
      </c>
      <c r="F24" s="1293"/>
      <c r="G24" s="1294" t="s">
        <v>5535</v>
      </c>
      <c r="H24" s="1295" t="s">
        <v>4569</v>
      </c>
      <c r="I24" s="145" t="s">
        <v>5545</v>
      </c>
      <c r="J24" s="1296">
        <f t="shared" si="2"/>
        <v>10.9302570585756</v>
      </c>
      <c r="K24" s="1306"/>
      <c r="L24" s="1303"/>
      <c r="M24" s="1298">
        <f t="shared" si="3"/>
        <v>2.89717656974294</v>
      </c>
      <c r="N24" s="1299">
        <f t="shared" si="4"/>
        <v>3.30409818794775</v>
      </c>
      <c r="O24" s="1297" t="s">
        <v>1428</v>
      </c>
      <c r="P24" s="1297">
        <v>1.86</v>
      </c>
      <c r="Q24" s="941">
        <f>54.23/D24/1.13</f>
        <v>7.14154024441635</v>
      </c>
      <c r="R24" s="941">
        <f t="shared" si="1"/>
        <v>26.1330720606827</v>
      </c>
      <c r="S24" s="145" t="s">
        <v>5584</v>
      </c>
      <c r="T24" s="145" t="s">
        <v>5539</v>
      </c>
    </row>
    <row r="25" s="1189" customFormat="1" ht="18" customHeight="1" spans="1:20">
      <c r="A25" s="989"/>
      <c r="B25" s="1326"/>
      <c r="C25" s="1290" t="s">
        <v>5573</v>
      </c>
      <c r="D25" s="1291">
        <v>6.72</v>
      </c>
      <c r="E25" s="1300" t="s">
        <v>5585</v>
      </c>
      <c r="F25" s="1293"/>
      <c r="G25" s="1294" t="s">
        <v>5535</v>
      </c>
      <c r="H25" s="1295" t="s">
        <v>4569</v>
      </c>
      <c r="I25" s="145" t="s">
        <v>5586</v>
      </c>
      <c r="J25" s="1296">
        <f t="shared" si="2"/>
        <v>10.9302570585756</v>
      </c>
      <c r="K25" s="1306"/>
      <c r="L25" s="1303"/>
      <c r="M25" s="1298">
        <f>16.2/D25/1.13</f>
        <v>2.13337547408344</v>
      </c>
      <c r="N25" s="1299">
        <f t="shared" si="4"/>
        <v>3.30409818794775</v>
      </c>
      <c r="O25" s="1297"/>
      <c r="P25" s="1297">
        <v>1.86</v>
      </c>
      <c r="Q25" s="941">
        <f>54.07/D25/1.13</f>
        <v>7.12046986936368</v>
      </c>
      <c r="R25" s="941">
        <f t="shared" si="1"/>
        <v>25.3482005899705</v>
      </c>
      <c r="S25" s="145" t="s">
        <v>5584</v>
      </c>
      <c r="T25" s="145" t="s">
        <v>5539</v>
      </c>
    </row>
    <row r="26" s="1189" customFormat="1" ht="18" customHeight="1" spans="1:20">
      <c r="A26" s="989"/>
      <c r="B26" s="1326"/>
      <c r="C26" s="1290" t="s">
        <v>5361</v>
      </c>
      <c r="D26" s="1291">
        <v>6.72</v>
      </c>
      <c r="E26" s="1300" t="s">
        <v>5587</v>
      </c>
      <c r="F26" s="1293"/>
      <c r="G26" s="1297" t="s">
        <v>1428</v>
      </c>
      <c r="H26" s="1297" t="s">
        <v>1428</v>
      </c>
      <c r="I26" s="1297" t="s">
        <v>1428</v>
      </c>
      <c r="J26" s="1297">
        <v>0</v>
      </c>
      <c r="K26" s="1328"/>
      <c r="L26" s="1313"/>
      <c r="M26" s="1298"/>
      <c r="N26" s="1299">
        <v>0.41</v>
      </c>
      <c r="O26" s="1297"/>
      <c r="P26" s="1297">
        <v>0.4</v>
      </c>
      <c r="Q26" s="941">
        <v>1.08</v>
      </c>
      <c r="R26" s="941">
        <f t="shared" si="1"/>
        <v>1.89</v>
      </c>
      <c r="S26" s="145"/>
      <c r="T26" s="145"/>
    </row>
    <row r="27" s="1189" customFormat="1" ht="18" customHeight="1" spans="1:20">
      <c r="A27" s="989"/>
      <c r="B27" s="1326"/>
      <c r="C27" s="1290" t="s">
        <v>5361</v>
      </c>
      <c r="D27" s="1291">
        <v>6.72</v>
      </c>
      <c r="E27" s="1300" t="s">
        <v>5588</v>
      </c>
      <c r="F27" s="1293"/>
      <c r="G27" s="1297" t="s">
        <v>1428</v>
      </c>
      <c r="H27" s="1297" t="s">
        <v>1428</v>
      </c>
      <c r="I27" s="1297" t="s">
        <v>1428</v>
      </c>
      <c r="J27" s="1297">
        <v>0</v>
      </c>
      <c r="K27" s="1296"/>
      <c r="L27" s="1297"/>
      <c r="M27" s="1298"/>
      <c r="N27" s="1314">
        <v>0.41</v>
      </c>
      <c r="O27" s="1297" t="s">
        <v>1428</v>
      </c>
      <c r="P27" s="1329">
        <v>0.4</v>
      </c>
      <c r="Q27" s="941">
        <v>1.01</v>
      </c>
      <c r="R27" s="941">
        <f t="shared" si="1"/>
        <v>1.82</v>
      </c>
      <c r="S27" s="145"/>
      <c r="T27" s="145"/>
    </row>
    <row r="28" s="1189" customFormat="1" ht="18" customHeight="1" spans="1:20">
      <c r="A28" s="989"/>
      <c r="B28" s="1326"/>
      <c r="C28" s="1290" t="s">
        <v>5361</v>
      </c>
      <c r="D28" s="1291">
        <v>6.72</v>
      </c>
      <c r="E28" s="1300" t="s">
        <v>5589</v>
      </c>
      <c r="F28" s="1293"/>
      <c r="G28" s="1297" t="s">
        <v>1428</v>
      </c>
      <c r="H28" s="1297" t="s">
        <v>1428</v>
      </c>
      <c r="I28" s="1297" t="s">
        <v>1428</v>
      </c>
      <c r="J28" s="1297">
        <v>0</v>
      </c>
      <c r="K28" s="1296"/>
      <c r="L28" s="1297"/>
      <c r="M28" s="1298"/>
      <c r="N28" s="1314">
        <v>0.48</v>
      </c>
      <c r="O28" s="1297"/>
      <c r="P28" s="1329">
        <v>0.4</v>
      </c>
      <c r="Q28" s="941">
        <v>1</v>
      </c>
      <c r="R28" s="941">
        <f t="shared" si="1"/>
        <v>1.88</v>
      </c>
      <c r="S28" s="145"/>
      <c r="T28" s="145"/>
    </row>
    <row r="29" s="1189" customFormat="1" ht="18" customHeight="1" spans="1:20">
      <c r="A29" s="989"/>
      <c r="B29" s="1326"/>
      <c r="C29" s="1290" t="s">
        <v>5361</v>
      </c>
      <c r="D29" s="1291">
        <v>6.72</v>
      </c>
      <c r="E29" s="1300" t="s">
        <v>5590</v>
      </c>
      <c r="F29" s="1293"/>
      <c r="G29" s="1297" t="s">
        <v>1428</v>
      </c>
      <c r="H29" s="1297" t="s">
        <v>1428</v>
      </c>
      <c r="I29" s="1297" t="s">
        <v>1428</v>
      </c>
      <c r="J29" s="1297">
        <v>0</v>
      </c>
      <c r="K29" s="1296"/>
      <c r="L29" s="1297"/>
      <c r="M29" s="1298"/>
      <c r="N29" s="1314">
        <v>0.41</v>
      </c>
      <c r="O29" s="1297" t="s">
        <v>1428</v>
      </c>
      <c r="P29" s="1329">
        <v>0.4</v>
      </c>
      <c r="Q29" s="941">
        <v>1.05</v>
      </c>
      <c r="R29" s="941">
        <f t="shared" si="1"/>
        <v>1.86</v>
      </c>
      <c r="S29" s="145"/>
      <c r="T29" s="145"/>
    </row>
    <row r="30" s="1189" customFormat="1" ht="18" customHeight="1" spans="1:20">
      <c r="A30" s="989"/>
      <c r="B30" s="1326"/>
      <c r="C30" s="1290" t="s">
        <v>5361</v>
      </c>
      <c r="D30" s="1291">
        <v>6.72</v>
      </c>
      <c r="E30" s="1300" t="s">
        <v>5591</v>
      </c>
      <c r="F30" s="1293"/>
      <c r="G30" s="1297" t="s">
        <v>1428</v>
      </c>
      <c r="H30" s="1297" t="s">
        <v>1428</v>
      </c>
      <c r="I30" s="1297" t="s">
        <v>1428</v>
      </c>
      <c r="J30" s="1297">
        <v>0</v>
      </c>
      <c r="K30" s="1296"/>
      <c r="L30" s="1297"/>
      <c r="M30" s="1298"/>
      <c r="N30" s="1314">
        <v>0.41</v>
      </c>
      <c r="O30" s="1297" t="s">
        <v>1428</v>
      </c>
      <c r="P30" s="1329">
        <v>0.4</v>
      </c>
      <c r="Q30" s="941">
        <v>1.81</v>
      </c>
      <c r="R30" s="941">
        <f t="shared" si="1"/>
        <v>2.62</v>
      </c>
      <c r="S30" s="145"/>
      <c r="T30" s="145"/>
    </row>
    <row r="31" s="1262" customFormat="1" ht="18" customHeight="1" spans="1:20">
      <c r="A31" s="1330"/>
      <c r="B31" s="1331"/>
      <c r="C31" s="1290" t="s">
        <v>5361</v>
      </c>
      <c r="D31" s="1291">
        <v>6.72</v>
      </c>
      <c r="E31" s="1332" t="s">
        <v>5592</v>
      </c>
      <c r="F31" s="1333"/>
      <c r="G31" s="1297" t="s">
        <v>1428</v>
      </c>
      <c r="H31" s="1297" t="s">
        <v>1428</v>
      </c>
      <c r="I31" s="1297" t="s">
        <v>1428</v>
      </c>
      <c r="J31" s="1297">
        <v>0</v>
      </c>
      <c r="K31" s="1297"/>
      <c r="L31" s="1298"/>
      <c r="M31" s="1334"/>
      <c r="N31" s="1335">
        <v>0.47</v>
      </c>
      <c r="O31" s="1297" t="s">
        <v>1428</v>
      </c>
      <c r="P31" s="1329">
        <v>0.4</v>
      </c>
      <c r="Q31" s="941">
        <v>1.8</v>
      </c>
      <c r="R31" s="941">
        <f t="shared" si="1"/>
        <v>2.67</v>
      </c>
      <c r="S31" s="1336"/>
      <c r="T31" s="1336"/>
    </row>
    <row r="32" s="1189" customFormat="1" ht="18" customHeight="1" spans="1:20">
      <c r="A32" s="989"/>
      <c r="B32" s="1326"/>
      <c r="C32" s="1290" t="s">
        <v>5361</v>
      </c>
      <c r="D32" s="1291">
        <v>6.72</v>
      </c>
      <c r="E32" s="1300" t="s">
        <v>5593</v>
      </c>
      <c r="F32" s="1293"/>
      <c r="G32" s="1297" t="s">
        <v>1428</v>
      </c>
      <c r="H32" s="1297" t="s">
        <v>1428</v>
      </c>
      <c r="I32" s="1297" t="s">
        <v>1428</v>
      </c>
      <c r="J32" s="1297">
        <v>0</v>
      </c>
      <c r="K32" s="1296"/>
      <c r="L32" s="1297"/>
      <c r="M32" s="1298"/>
      <c r="N32" s="1314">
        <v>0.47</v>
      </c>
      <c r="O32" s="1297" t="s">
        <v>1428</v>
      </c>
      <c r="P32" s="1329">
        <v>0.4</v>
      </c>
      <c r="Q32" s="941">
        <v>1.76</v>
      </c>
      <c r="R32" s="941">
        <f t="shared" si="1"/>
        <v>2.63</v>
      </c>
      <c r="S32" s="145"/>
      <c r="T32" s="145"/>
    </row>
    <row r="33" s="1189" customFormat="1" ht="18" customHeight="1" spans="1:20">
      <c r="A33" s="989"/>
      <c r="B33" s="1326"/>
      <c r="C33" s="1290" t="s">
        <v>5361</v>
      </c>
      <c r="D33" s="1291">
        <v>6.72</v>
      </c>
      <c r="E33" s="1300" t="s">
        <v>5594</v>
      </c>
      <c r="F33" s="1293"/>
      <c r="G33" s="1297" t="s">
        <v>1428</v>
      </c>
      <c r="H33" s="1297" t="s">
        <v>1428</v>
      </c>
      <c r="I33" s="1297" t="s">
        <v>1428</v>
      </c>
      <c r="J33" s="1297">
        <v>0</v>
      </c>
      <c r="K33" s="1296"/>
      <c r="L33" s="1297"/>
      <c r="M33" s="1298"/>
      <c r="N33" s="1314">
        <v>0.41</v>
      </c>
      <c r="O33" s="1297"/>
      <c r="P33" s="1329">
        <v>0.4</v>
      </c>
      <c r="Q33" s="941">
        <v>1.89</v>
      </c>
      <c r="R33" s="941">
        <f t="shared" si="1"/>
        <v>2.7</v>
      </c>
      <c r="S33" s="145"/>
      <c r="T33" s="145"/>
    </row>
    <row r="34" s="1263" customFormat="1" ht="18" customHeight="1" spans="1:20">
      <c r="A34" s="1337"/>
      <c r="B34" s="1338"/>
      <c r="C34" s="1290" t="s">
        <v>5361</v>
      </c>
      <c r="D34" s="1291">
        <v>6.72</v>
      </c>
      <c r="E34" s="1339" t="s">
        <v>5595</v>
      </c>
      <c r="F34" s="1340"/>
      <c r="G34" s="1297" t="s">
        <v>1428</v>
      </c>
      <c r="H34" s="1297" t="s">
        <v>1428</v>
      </c>
      <c r="I34" s="1297" t="s">
        <v>1428</v>
      </c>
      <c r="J34" s="1297">
        <v>0</v>
      </c>
      <c r="K34" s="1306"/>
      <c r="L34" s="1303"/>
      <c r="M34" s="1341"/>
      <c r="N34" s="1342">
        <v>0.41</v>
      </c>
      <c r="O34" s="1303" t="s">
        <v>1428</v>
      </c>
      <c r="P34" s="1329">
        <v>0.4</v>
      </c>
      <c r="Q34" s="941">
        <v>1.68</v>
      </c>
      <c r="R34" s="941">
        <f t="shared" si="1"/>
        <v>2.49</v>
      </c>
      <c r="S34" s="1343"/>
      <c r="T34" s="1344"/>
    </row>
    <row r="35" s="1189" customFormat="1" ht="18" customHeight="1" spans="1:20">
      <c r="A35" s="989"/>
      <c r="B35" s="1326"/>
      <c r="C35" s="1290" t="s">
        <v>5361</v>
      </c>
      <c r="D35" s="1291">
        <v>6.72</v>
      </c>
      <c r="E35" s="1301" t="s">
        <v>5596</v>
      </c>
      <c r="F35" s="1302"/>
      <c r="G35" s="1297" t="s">
        <v>1428</v>
      </c>
      <c r="H35" s="1297" t="s">
        <v>1428</v>
      </c>
      <c r="I35" s="1297" t="s">
        <v>1428</v>
      </c>
      <c r="J35" s="1297">
        <v>0</v>
      </c>
      <c r="K35" s="1306"/>
      <c r="L35" s="1303"/>
      <c r="M35" s="1304"/>
      <c r="N35" s="1299">
        <v>0.41</v>
      </c>
      <c r="O35" s="1303" t="s">
        <v>1428</v>
      </c>
      <c r="P35" s="1329">
        <v>0.4</v>
      </c>
      <c r="Q35" s="941">
        <v>1.81</v>
      </c>
      <c r="R35" s="941">
        <f t="shared" si="1"/>
        <v>2.62</v>
      </c>
      <c r="S35" s="1305"/>
      <c r="T35" s="145"/>
    </row>
    <row r="36" s="1189" customFormat="1" ht="18" customHeight="1" spans="1:20">
      <c r="A36" s="1031"/>
      <c r="B36" s="1289" t="s">
        <v>5597</v>
      </c>
      <c r="C36" s="1290" t="s">
        <v>5361</v>
      </c>
      <c r="D36" s="1291">
        <v>6.72</v>
      </c>
      <c r="E36" s="1292" t="s">
        <v>5598</v>
      </c>
      <c r="F36" s="1311"/>
      <c r="G36" s="1312" t="s">
        <v>5599</v>
      </c>
      <c r="H36" s="1295" t="s">
        <v>4569</v>
      </c>
      <c r="I36" s="145" t="s">
        <v>5545</v>
      </c>
      <c r="J36" s="1296">
        <f t="shared" ref="J36:J46" si="5">83/D36/1.13</f>
        <v>10.9302570585756</v>
      </c>
      <c r="K36" s="1306"/>
      <c r="L36" s="1297"/>
      <c r="M36" s="1297">
        <f>16.2/D36/1.13</f>
        <v>2.13337547408344</v>
      </c>
      <c r="N36" s="1314">
        <f>24.94/D36/1.13</f>
        <v>3.28434471133586</v>
      </c>
      <c r="O36" s="1297"/>
      <c r="P36" s="1297">
        <v>1.86</v>
      </c>
      <c r="Q36" s="941">
        <v>7.25</v>
      </c>
      <c r="R36" s="941">
        <f t="shared" si="1"/>
        <v>25.4579772439949</v>
      </c>
      <c r="S36" s="145" t="s">
        <v>5600</v>
      </c>
      <c r="T36" s="145"/>
    </row>
    <row r="37" s="1263" customFormat="1" ht="18" customHeight="1" spans="1:20">
      <c r="A37" s="1337"/>
      <c r="B37" s="1345" t="s">
        <v>5601</v>
      </c>
      <c r="C37" s="1290" t="s">
        <v>5361</v>
      </c>
      <c r="D37" s="1291">
        <v>6.72</v>
      </c>
      <c r="E37" s="1346" t="s">
        <v>5602</v>
      </c>
      <c r="F37" s="1347" t="s">
        <v>5534</v>
      </c>
      <c r="G37" s="1348" t="s">
        <v>5599</v>
      </c>
      <c r="H37" s="1349" t="s">
        <v>5541</v>
      </c>
      <c r="I37" s="1350" t="s">
        <v>5559</v>
      </c>
      <c r="J37" s="1296">
        <f t="shared" si="5"/>
        <v>10.9302570585756</v>
      </c>
      <c r="K37" s="1296"/>
      <c r="L37" s="1297"/>
      <c r="M37" s="1351">
        <v>3.6</v>
      </c>
      <c r="N37" s="1352">
        <v>1.58</v>
      </c>
      <c r="O37" s="1352" t="s">
        <v>1428</v>
      </c>
      <c r="P37" s="1352">
        <v>1.86</v>
      </c>
      <c r="Q37" s="941">
        <v>9.93</v>
      </c>
      <c r="R37" s="941">
        <f t="shared" si="1"/>
        <v>27.9002570585756</v>
      </c>
      <c r="S37" s="1350" t="s">
        <v>5603</v>
      </c>
      <c r="T37" s="145" t="s">
        <v>5539</v>
      </c>
    </row>
    <row r="38" s="1189" customFormat="1" ht="18" customHeight="1" spans="1:20">
      <c r="A38" s="989"/>
      <c r="B38" s="1353"/>
      <c r="C38" s="1290" t="s">
        <v>5361</v>
      </c>
      <c r="D38" s="1291">
        <v>6.72</v>
      </c>
      <c r="E38" s="1300" t="s">
        <v>5604</v>
      </c>
      <c r="F38" s="1293" t="s">
        <v>5534</v>
      </c>
      <c r="G38" s="1348" t="s">
        <v>5599</v>
      </c>
      <c r="H38" s="1295" t="s">
        <v>5541</v>
      </c>
      <c r="I38" s="145" t="s">
        <v>5559</v>
      </c>
      <c r="J38" s="1296">
        <f t="shared" si="5"/>
        <v>10.9302570585756</v>
      </c>
      <c r="K38" s="1296"/>
      <c r="L38" s="1297"/>
      <c r="M38" s="1298">
        <v>3.6</v>
      </c>
      <c r="N38" s="1297">
        <v>1.58</v>
      </c>
      <c r="O38" s="1297" t="s">
        <v>1428</v>
      </c>
      <c r="P38" s="1297">
        <v>1.86</v>
      </c>
      <c r="Q38" s="941">
        <v>9.4</v>
      </c>
      <c r="R38" s="941">
        <f t="shared" si="1"/>
        <v>27.3702570585756</v>
      </c>
      <c r="S38" s="145" t="s">
        <v>5603</v>
      </c>
      <c r="T38" s="145" t="s">
        <v>5539</v>
      </c>
    </row>
    <row r="39" s="1189" customFormat="1" ht="18" customHeight="1" spans="1:20">
      <c r="A39" s="989"/>
      <c r="B39" s="1353"/>
      <c r="C39" s="1290" t="s">
        <v>5361</v>
      </c>
      <c r="D39" s="1291">
        <v>6.72</v>
      </c>
      <c r="E39" s="1300" t="s">
        <v>5605</v>
      </c>
      <c r="F39" s="1293" t="s">
        <v>5534</v>
      </c>
      <c r="G39" s="1348" t="s">
        <v>5599</v>
      </c>
      <c r="H39" s="1295" t="s">
        <v>5541</v>
      </c>
      <c r="I39" s="145" t="s">
        <v>5407</v>
      </c>
      <c r="J39" s="1296">
        <f t="shared" si="5"/>
        <v>10.9302570585756</v>
      </c>
      <c r="K39" s="1296"/>
      <c r="L39" s="1297"/>
      <c r="M39" s="1298">
        <v>7.1</v>
      </c>
      <c r="N39" s="1297">
        <v>1.58</v>
      </c>
      <c r="O39" s="1297" t="s">
        <v>1428</v>
      </c>
      <c r="P39" s="1297">
        <v>1.86</v>
      </c>
      <c r="Q39" s="941">
        <v>9.44</v>
      </c>
      <c r="R39" s="941">
        <f t="shared" si="1"/>
        <v>30.9102570585756</v>
      </c>
      <c r="S39" s="145" t="s">
        <v>5603</v>
      </c>
      <c r="T39" s="145" t="s">
        <v>5539</v>
      </c>
    </row>
    <row r="40" s="1189" customFormat="1" ht="18" customHeight="1" spans="1:20">
      <c r="A40" s="989"/>
      <c r="B40" s="1353"/>
      <c r="C40" s="1290" t="s">
        <v>5361</v>
      </c>
      <c r="D40" s="1291">
        <v>6.72</v>
      </c>
      <c r="E40" s="1300" t="s">
        <v>5606</v>
      </c>
      <c r="F40" s="1293" t="s">
        <v>5534</v>
      </c>
      <c r="G40" s="1354" t="s">
        <v>5535</v>
      </c>
      <c r="H40" s="1295" t="s">
        <v>4569</v>
      </c>
      <c r="I40" s="145" t="s">
        <v>5545</v>
      </c>
      <c r="J40" s="1296">
        <f t="shared" si="5"/>
        <v>10.9302570585756</v>
      </c>
      <c r="K40" s="1306"/>
      <c r="L40" s="1297"/>
      <c r="M40" s="1298">
        <f>16.2/C1/1.13</f>
        <v>2.13337547408344</v>
      </c>
      <c r="N40" s="1297">
        <v>1.58</v>
      </c>
      <c r="O40" s="1297" t="s">
        <v>1428</v>
      </c>
      <c r="P40" s="1297">
        <v>1.86</v>
      </c>
      <c r="Q40" s="941">
        <f>53.74/D40/1.13</f>
        <v>7.07701222081753</v>
      </c>
      <c r="R40" s="941">
        <f t="shared" si="1"/>
        <v>23.5806447534766</v>
      </c>
      <c r="S40" s="145" t="s">
        <v>5607</v>
      </c>
      <c r="T40" s="145" t="s">
        <v>5608</v>
      </c>
    </row>
    <row r="41" s="1189" customFormat="1" ht="18" customHeight="1" spans="1:20">
      <c r="A41" s="989"/>
      <c r="B41" s="1353"/>
      <c r="C41" s="1290" t="s">
        <v>5361</v>
      </c>
      <c r="D41" s="1291">
        <v>6.72</v>
      </c>
      <c r="E41" s="1300" t="s">
        <v>5609</v>
      </c>
      <c r="F41" s="1293" t="s">
        <v>5534</v>
      </c>
      <c r="G41" s="1348" t="s">
        <v>5599</v>
      </c>
      <c r="H41" s="1295" t="s">
        <v>4569</v>
      </c>
      <c r="I41" s="145" t="s">
        <v>5545</v>
      </c>
      <c r="J41" s="1296">
        <f t="shared" si="5"/>
        <v>10.9302570585756</v>
      </c>
      <c r="K41" s="1306"/>
      <c r="L41" s="1297"/>
      <c r="M41" s="1298">
        <f>16.2/C1/1.13</f>
        <v>2.13337547408344</v>
      </c>
      <c r="N41" s="1297">
        <v>1.58</v>
      </c>
      <c r="O41" s="1297" t="s">
        <v>1428</v>
      </c>
      <c r="P41" s="1297">
        <v>1.86</v>
      </c>
      <c r="Q41" s="941">
        <v>7.68</v>
      </c>
      <c r="R41" s="941">
        <f t="shared" si="1"/>
        <v>24.1836325326591</v>
      </c>
      <c r="S41" s="145" t="s">
        <v>5610</v>
      </c>
      <c r="T41" s="145" t="s">
        <v>5561</v>
      </c>
    </row>
    <row r="42" s="1189" customFormat="1" ht="18" customHeight="1" spans="1:20">
      <c r="A42" s="989"/>
      <c r="B42" s="1353"/>
      <c r="C42" s="1290" t="s">
        <v>5361</v>
      </c>
      <c r="D42" s="1291">
        <v>6.72</v>
      </c>
      <c r="E42" s="1300" t="s">
        <v>5611</v>
      </c>
      <c r="F42" s="1293" t="s">
        <v>5612</v>
      </c>
      <c r="G42" s="1348" t="s">
        <v>5599</v>
      </c>
      <c r="H42" s="1295" t="s">
        <v>5541</v>
      </c>
      <c r="I42" s="145" t="s">
        <v>5545</v>
      </c>
      <c r="J42" s="1296">
        <f t="shared" si="5"/>
        <v>10.9302570585756</v>
      </c>
      <c r="K42" s="1296"/>
      <c r="L42" s="1297"/>
      <c r="M42" s="1298">
        <f>16.2/C1/1.13</f>
        <v>2.13337547408344</v>
      </c>
      <c r="N42" s="1297">
        <f>13/C1/1.13</f>
        <v>1.71196797302992</v>
      </c>
      <c r="O42" s="1297" t="s">
        <v>1428</v>
      </c>
      <c r="P42" s="1297">
        <v>1.86</v>
      </c>
      <c r="Q42" s="941">
        <v>7.65</v>
      </c>
      <c r="R42" s="941">
        <f t="shared" si="1"/>
        <v>24.285600505689</v>
      </c>
      <c r="S42" s="145" t="s">
        <v>5613</v>
      </c>
      <c r="T42" s="145" t="s">
        <v>5539</v>
      </c>
    </row>
    <row r="43" s="1189" customFormat="1" ht="18" customHeight="1" spans="1:20">
      <c r="A43" s="989"/>
      <c r="B43" s="1289"/>
      <c r="C43" s="1290" t="s">
        <v>5361</v>
      </c>
      <c r="D43" s="1291">
        <v>6.72</v>
      </c>
      <c r="E43" s="1300" t="s">
        <v>5614</v>
      </c>
      <c r="F43" s="1293" t="s">
        <v>5534</v>
      </c>
      <c r="G43" s="1354" t="s">
        <v>5535</v>
      </c>
      <c r="H43" s="1295" t="s">
        <v>5541</v>
      </c>
      <c r="I43" s="145" t="s">
        <v>5545</v>
      </c>
      <c r="J43" s="1296">
        <f t="shared" si="5"/>
        <v>10.9302570585756</v>
      </c>
      <c r="K43" s="1296"/>
      <c r="L43" s="1297"/>
      <c r="M43" s="1298">
        <f>16.2/C1/1.13</f>
        <v>2.13337547408344</v>
      </c>
      <c r="N43" s="1297">
        <f>13/C1/1.13</f>
        <v>1.71196797302992</v>
      </c>
      <c r="O43" s="1297" t="s">
        <v>1428</v>
      </c>
      <c r="P43" s="1297">
        <v>1.86</v>
      </c>
      <c r="Q43" s="941">
        <v>7.31</v>
      </c>
      <c r="R43" s="941">
        <f t="shared" si="1"/>
        <v>23.945600505689</v>
      </c>
      <c r="S43" s="145" t="s">
        <v>5615</v>
      </c>
      <c r="T43" s="145" t="s">
        <v>5539</v>
      </c>
    </row>
    <row r="44" s="1189" customFormat="1" ht="18" customHeight="1" spans="1:20">
      <c r="A44" s="989"/>
      <c r="B44" s="1353"/>
      <c r="C44" s="1290" t="s">
        <v>5361</v>
      </c>
      <c r="D44" s="1291">
        <v>6.72</v>
      </c>
      <c r="E44" s="1300" t="s">
        <v>5616</v>
      </c>
      <c r="F44" s="1293" t="s">
        <v>5534</v>
      </c>
      <c r="G44" s="1348" t="s">
        <v>5599</v>
      </c>
      <c r="H44" s="1295" t="s">
        <v>5541</v>
      </c>
      <c r="I44" s="145" t="s">
        <v>5545</v>
      </c>
      <c r="J44" s="1296">
        <f t="shared" si="5"/>
        <v>10.9302570585756</v>
      </c>
      <c r="K44" s="1296"/>
      <c r="L44" s="1297"/>
      <c r="M44" s="1298">
        <f>16.2/C1/1.13</f>
        <v>2.13337547408344</v>
      </c>
      <c r="N44" s="1297">
        <f>13/C1/1.13</f>
        <v>1.71196797302992</v>
      </c>
      <c r="O44" s="1297"/>
      <c r="P44" s="1297">
        <v>1.86</v>
      </c>
      <c r="Q44" s="941">
        <v>7.58</v>
      </c>
      <c r="R44" s="941">
        <f t="shared" si="1"/>
        <v>24.215600505689</v>
      </c>
      <c r="S44" s="145" t="s">
        <v>5603</v>
      </c>
      <c r="T44" s="145" t="s">
        <v>5617</v>
      </c>
    </row>
    <row r="45" s="1189" customFormat="1" ht="18" customHeight="1" spans="1:20">
      <c r="A45" s="989"/>
      <c r="B45" s="1353"/>
      <c r="C45" s="1290" t="s">
        <v>5618</v>
      </c>
      <c r="D45" s="1291">
        <v>6.72</v>
      </c>
      <c r="E45" s="1300" t="s">
        <v>5619</v>
      </c>
      <c r="F45" s="1293" t="s">
        <v>5534</v>
      </c>
      <c r="G45" s="1348" t="s">
        <v>5599</v>
      </c>
      <c r="H45" s="1295" t="s">
        <v>5541</v>
      </c>
      <c r="I45" s="145" t="s">
        <v>5545</v>
      </c>
      <c r="J45" s="1296">
        <f t="shared" si="5"/>
        <v>10.9302570585756</v>
      </c>
      <c r="K45" s="1296"/>
      <c r="L45" s="1297"/>
      <c r="M45" s="1298">
        <f>16.2/C1/1.13</f>
        <v>2.13337547408344</v>
      </c>
      <c r="N45" s="1297">
        <f>13/C1/1.13</f>
        <v>1.71196797302992</v>
      </c>
      <c r="O45" s="1297"/>
      <c r="P45" s="1297">
        <v>1.86</v>
      </c>
      <c r="Q45" s="941">
        <f>54/D45/1.13</f>
        <v>7.11125158027813</v>
      </c>
      <c r="R45" s="941">
        <f t="shared" si="1"/>
        <v>23.7468520859671</v>
      </c>
      <c r="S45" s="145" t="s">
        <v>5603</v>
      </c>
      <c r="T45" s="145" t="s">
        <v>5617</v>
      </c>
    </row>
    <row r="46" s="1189" customFormat="1" ht="18" customHeight="1" spans="1:20">
      <c r="A46" s="989"/>
      <c r="B46" s="1353"/>
      <c r="C46" s="1290" t="s">
        <v>5618</v>
      </c>
      <c r="D46" s="1291">
        <v>6.72</v>
      </c>
      <c r="E46" s="1300" t="s">
        <v>5620</v>
      </c>
      <c r="F46" s="1293"/>
      <c r="G46" s="1354" t="s">
        <v>5535</v>
      </c>
      <c r="H46" s="1295" t="s">
        <v>5541</v>
      </c>
      <c r="I46" s="145" t="s">
        <v>5545</v>
      </c>
      <c r="J46" s="1296">
        <f t="shared" si="5"/>
        <v>10.9302570585756</v>
      </c>
      <c r="K46" s="1296"/>
      <c r="L46" s="1297"/>
      <c r="M46" s="1298">
        <f>16.2/C1/1.13</f>
        <v>2.13337547408344</v>
      </c>
      <c r="N46" s="1297">
        <f>13/C1/1.13</f>
        <v>1.71196797302992</v>
      </c>
      <c r="O46" s="1297"/>
      <c r="P46" s="1297">
        <v>1.86</v>
      </c>
      <c r="Q46" s="941">
        <f>54.5/D46/1.13</f>
        <v>7.17709650231774</v>
      </c>
      <c r="R46" s="941">
        <f t="shared" si="1"/>
        <v>23.8126970080067</v>
      </c>
      <c r="S46" s="145" t="s">
        <v>5621</v>
      </c>
      <c r="T46" s="145" t="s">
        <v>5539</v>
      </c>
    </row>
    <row r="47" s="1189" customFormat="1" ht="18" customHeight="1" spans="1:20">
      <c r="A47" s="989"/>
      <c r="B47" s="1289"/>
      <c r="C47" s="1290" t="s">
        <v>5361</v>
      </c>
      <c r="D47" s="1291">
        <v>6.72</v>
      </c>
      <c r="E47" s="1300" t="s">
        <v>5622</v>
      </c>
      <c r="F47" s="1293"/>
      <c r="G47" s="1297" t="s">
        <v>1428</v>
      </c>
      <c r="H47" s="1297" t="s">
        <v>1428</v>
      </c>
      <c r="I47" s="1297" t="s">
        <v>1428</v>
      </c>
      <c r="J47" s="1297">
        <v>0</v>
      </c>
      <c r="K47" s="1297"/>
      <c r="L47" s="1297"/>
      <c r="M47" s="1297">
        <v>0</v>
      </c>
      <c r="N47" s="1297">
        <f>1.6/C1/1.13</f>
        <v>0.210703750526759</v>
      </c>
      <c r="O47" s="1297" t="s">
        <v>1428</v>
      </c>
      <c r="P47" s="1297">
        <v>0.4</v>
      </c>
      <c r="Q47" s="941">
        <v>0.78</v>
      </c>
      <c r="R47" s="941">
        <f t="shared" si="1"/>
        <v>1.39070375052676</v>
      </c>
      <c r="S47" s="145"/>
      <c r="T47" s="145"/>
    </row>
    <row r="48" s="1189" customFormat="1" ht="18" customHeight="1" spans="1:20">
      <c r="A48" s="989"/>
      <c r="B48" s="1353"/>
      <c r="C48" s="1290" t="s">
        <v>5361</v>
      </c>
      <c r="D48" s="1291">
        <v>6.72</v>
      </c>
      <c r="E48" s="1300" t="s">
        <v>5623</v>
      </c>
      <c r="F48" s="1293"/>
      <c r="G48" s="1297" t="s">
        <v>1428</v>
      </c>
      <c r="H48" s="1297" t="s">
        <v>1428</v>
      </c>
      <c r="I48" s="1297" t="s">
        <v>1428</v>
      </c>
      <c r="J48" s="1297">
        <v>0</v>
      </c>
      <c r="K48" s="1297"/>
      <c r="L48" s="1297"/>
      <c r="M48" s="1297">
        <v>0</v>
      </c>
      <c r="N48" s="1297">
        <v>0.216648918591415</v>
      </c>
      <c r="O48" s="1297" t="s">
        <v>1428</v>
      </c>
      <c r="P48" s="1297">
        <v>0.4</v>
      </c>
      <c r="Q48" s="941">
        <v>0.841653508610877</v>
      </c>
      <c r="R48" s="941">
        <f t="shared" si="1"/>
        <v>1.45830242720229</v>
      </c>
      <c r="S48" s="145"/>
      <c r="T48" s="145"/>
    </row>
    <row r="49" s="1189" customFormat="1" ht="18" customHeight="1" spans="1:20">
      <c r="A49" s="989"/>
      <c r="B49" s="1353"/>
      <c r="C49" s="1290" t="s">
        <v>5361</v>
      </c>
      <c r="D49" s="1291">
        <v>6.72</v>
      </c>
      <c r="E49" s="1300" t="s">
        <v>5624</v>
      </c>
      <c r="F49" s="1293"/>
      <c r="G49" s="1297" t="s">
        <v>1428</v>
      </c>
      <c r="H49" s="1297" t="s">
        <v>1428</v>
      </c>
      <c r="I49" s="1297" t="s">
        <v>1428</v>
      </c>
      <c r="J49" s="1297">
        <v>0</v>
      </c>
      <c r="K49" s="1297"/>
      <c r="L49" s="1297"/>
      <c r="M49" s="1297">
        <v>0</v>
      </c>
      <c r="N49" s="1297">
        <v>0.195840830365121</v>
      </c>
      <c r="O49" s="1297" t="s">
        <v>1428</v>
      </c>
      <c r="P49" s="1297">
        <v>0.4</v>
      </c>
      <c r="Q49" s="941">
        <v>1.12401297445501</v>
      </c>
      <c r="R49" s="941">
        <f t="shared" si="1"/>
        <v>1.71985380482013</v>
      </c>
      <c r="S49" s="145"/>
      <c r="T49" s="145"/>
    </row>
    <row r="50" s="1189" customFormat="1" ht="18" customHeight="1" spans="1:20">
      <c r="A50" s="989"/>
      <c r="B50" s="1353"/>
      <c r="C50" s="1290" t="s">
        <v>5361</v>
      </c>
      <c r="D50" s="1291">
        <v>6.72</v>
      </c>
      <c r="E50" s="1300" t="s">
        <v>5625</v>
      </c>
      <c r="F50" s="1293"/>
      <c r="G50" s="1297" t="s">
        <v>1428</v>
      </c>
      <c r="H50" s="1297" t="s">
        <v>1428</v>
      </c>
      <c r="I50" s="1297" t="s">
        <v>1428</v>
      </c>
      <c r="J50" s="1297">
        <v>0</v>
      </c>
      <c r="K50" s="1297"/>
      <c r="L50" s="1297"/>
      <c r="M50" s="1297">
        <v>0</v>
      </c>
      <c r="N50" s="1297">
        <v>0.216648918591415</v>
      </c>
      <c r="O50" s="1297" t="s">
        <v>1428</v>
      </c>
      <c r="P50" s="1297">
        <v>0.4</v>
      </c>
      <c r="Q50" s="941">
        <v>1.09169287261778</v>
      </c>
      <c r="R50" s="941">
        <f t="shared" si="1"/>
        <v>1.70834179120919</v>
      </c>
      <c r="S50" s="145"/>
      <c r="T50" s="145"/>
    </row>
    <row r="51" s="1189" customFormat="1" ht="18" customHeight="1" spans="1:20">
      <c r="A51" s="989"/>
      <c r="B51" s="1353"/>
      <c r="C51" s="1290" t="s">
        <v>5361</v>
      </c>
      <c r="D51" s="1291">
        <v>6.72</v>
      </c>
      <c r="E51" s="1300" t="s">
        <v>5626</v>
      </c>
      <c r="F51" s="1293"/>
      <c r="G51" s="1297" t="s">
        <v>1428</v>
      </c>
      <c r="H51" s="1297" t="s">
        <v>1428</v>
      </c>
      <c r="I51" s="1297" t="s">
        <v>1428</v>
      </c>
      <c r="J51" s="1297">
        <v>0</v>
      </c>
      <c r="K51" s="1297"/>
      <c r="L51" s="1297"/>
      <c r="M51" s="1297">
        <v>0</v>
      </c>
      <c r="N51" s="1314">
        <v>0.171598068296031</v>
      </c>
      <c r="O51" s="1297" t="s">
        <v>1428</v>
      </c>
      <c r="P51" s="1297">
        <v>0.4</v>
      </c>
      <c r="Q51" s="941">
        <v>1.03156124753188</v>
      </c>
      <c r="R51" s="941">
        <f t="shared" si="1"/>
        <v>1.60315931582791</v>
      </c>
      <c r="S51" s="145"/>
      <c r="T51" s="145"/>
    </row>
    <row r="52" s="1189" customFormat="1" ht="18" customHeight="1" spans="1:20">
      <c r="A52" s="989"/>
      <c r="B52" s="1353"/>
      <c r="C52" s="1290" t="s">
        <v>5361</v>
      </c>
      <c r="D52" s="1291">
        <v>6.72</v>
      </c>
      <c r="E52" s="1300" t="s">
        <v>5627</v>
      </c>
      <c r="F52" s="1293"/>
      <c r="G52" s="1297" t="s">
        <v>1428</v>
      </c>
      <c r="H52" s="1297" t="s">
        <v>1428</v>
      </c>
      <c r="I52" s="1297" t="s">
        <v>1428</v>
      </c>
      <c r="J52" s="1297">
        <v>0</v>
      </c>
      <c r="K52" s="1297"/>
      <c r="L52" s="1297"/>
      <c r="M52" s="1297">
        <v>0</v>
      </c>
      <c r="N52" s="1314">
        <v>0.128440602643308</v>
      </c>
      <c r="O52" s="1297" t="s">
        <v>1428</v>
      </c>
      <c r="P52" s="1297">
        <v>0.4</v>
      </c>
      <c r="Q52" s="941">
        <v>1.07982908316663</v>
      </c>
      <c r="R52" s="941">
        <f t="shared" si="1"/>
        <v>1.60826968580994</v>
      </c>
      <c r="S52" s="145"/>
      <c r="T52" s="145"/>
    </row>
    <row r="53" s="1264" customFormat="1" ht="18" customHeight="1" spans="1:20">
      <c r="A53" s="991"/>
      <c r="B53" s="1353"/>
      <c r="C53" s="1290" t="s">
        <v>5361</v>
      </c>
      <c r="D53" s="1291">
        <v>6.72</v>
      </c>
      <c r="E53" s="1354" t="s">
        <v>5628</v>
      </c>
      <c r="F53" s="1354"/>
      <c r="G53" s="1297" t="s">
        <v>1428</v>
      </c>
      <c r="H53" s="1297" t="s">
        <v>1428</v>
      </c>
      <c r="I53" s="1297" t="s">
        <v>1428</v>
      </c>
      <c r="J53" s="1297">
        <v>0</v>
      </c>
      <c r="K53" s="1297"/>
      <c r="L53" s="1297"/>
      <c r="M53" s="1297">
        <v>0</v>
      </c>
      <c r="N53" s="1355">
        <v>0.29</v>
      </c>
      <c r="O53" s="1297" t="s">
        <v>1428</v>
      </c>
      <c r="P53" s="1297">
        <v>0.4</v>
      </c>
      <c r="Q53" s="941">
        <v>0.97</v>
      </c>
      <c r="R53" s="941">
        <f t="shared" si="1"/>
        <v>1.66</v>
      </c>
      <c r="S53" s="1354"/>
      <c r="T53" s="1354"/>
    </row>
    <row r="54" s="1264" customFormat="1" ht="16" customHeight="1" spans="1:20">
      <c r="A54" s="991"/>
      <c r="B54" s="1353"/>
      <c r="C54" s="1290" t="s">
        <v>5361</v>
      </c>
      <c r="D54" s="1291">
        <v>6.72</v>
      </c>
      <c r="E54" s="1354" t="s">
        <v>5629</v>
      </c>
      <c r="F54" s="1354"/>
      <c r="G54" s="1297" t="s">
        <v>1428</v>
      </c>
      <c r="H54" s="1297" t="s">
        <v>1428</v>
      </c>
      <c r="I54" s="1297" t="s">
        <v>1428</v>
      </c>
      <c r="J54" s="1297">
        <v>0</v>
      </c>
      <c r="K54" s="1297"/>
      <c r="L54" s="1297"/>
      <c r="M54" s="1297">
        <v>0</v>
      </c>
      <c r="N54" s="1355">
        <v>0.19</v>
      </c>
      <c r="O54" s="1297" t="s">
        <v>1428</v>
      </c>
      <c r="P54" s="1297">
        <v>0.4</v>
      </c>
      <c r="Q54" s="941">
        <v>1.05</v>
      </c>
      <c r="R54" s="941">
        <f t="shared" si="1"/>
        <v>1.64</v>
      </c>
      <c r="S54" s="1354"/>
      <c r="T54" s="1354"/>
    </row>
    <row r="55" s="1264" customFormat="1" ht="16" customHeight="1" spans="1:20">
      <c r="A55" s="991"/>
      <c r="B55" s="1326" t="s">
        <v>5630</v>
      </c>
      <c r="C55" s="1290" t="s">
        <v>5361</v>
      </c>
      <c r="D55" s="1291">
        <v>6.72</v>
      </c>
      <c r="E55" s="1354" t="s">
        <v>5631</v>
      </c>
      <c r="F55" s="1354"/>
      <c r="G55" s="1354" t="s">
        <v>5535</v>
      </c>
      <c r="H55" s="1356" t="s">
        <v>5541</v>
      </c>
      <c r="I55" s="1357" t="s">
        <v>5632</v>
      </c>
      <c r="J55" s="1355">
        <f>83/D55/1.13+1.8</f>
        <v>12.7302570585756</v>
      </c>
      <c r="K55" s="1296"/>
      <c r="L55" s="1358"/>
      <c r="M55" s="1355">
        <v>1.5</v>
      </c>
      <c r="N55" s="1355">
        <v>2.43</v>
      </c>
      <c r="O55" s="1297" t="s">
        <v>1428</v>
      </c>
      <c r="P55" s="1355">
        <v>2.3</v>
      </c>
      <c r="Q55" s="941">
        <v>15.5</v>
      </c>
      <c r="R55" s="941">
        <f t="shared" si="1"/>
        <v>34.4602570585756</v>
      </c>
      <c r="S55" s="1354" t="s">
        <v>5546</v>
      </c>
      <c r="T55" s="1354" t="s">
        <v>5633</v>
      </c>
    </row>
    <row r="56" s="1264" customFormat="1" ht="16" customHeight="1" spans="1:20">
      <c r="A56" s="991"/>
      <c r="B56" s="1326"/>
      <c r="C56" s="1290" t="s">
        <v>5361</v>
      </c>
      <c r="D56" s="1291">
        <v>6.72</v>
      </c>
      <c r="E56" s="1354" t="s">
        <v>5634</v>
      </c>
      <c r="F56" s="1354"/>
      <c r="G56" s="1354" t="s">
        <v>5535</v>
      </c>
      <c r="H56" s="1356" t="s">
        <v>5541</v>
      </c>
      <c r="I56" s="1357" t="s">
        <v>5635</v>
      </c>
      <c r="J56" s="1355">
        <f>83/D56/1.13+1.8</f>
        <v>12.7302570585756</v>
      </c>
      <c r="K56" s="1296"/>
      <c r="L56" s="1358"/>
      <c r="M56" s="1355">
        <v>3.7</v>
      </c>
      <c r="N56" s="1355">
        <v>2.43</v>
      </c>
      <c r="O56" s="1297" t="s">
        <v>1428</v>
      </c>
      <c r="P56" s="1355">
        <v>2.3</v>
      </c>
      <c r="Q56" s="941">
        <v>15.95</v>
      </c>
      <c r="R56" s="941">
        <f t="shared" si="1"/>
        <v>37.1102570585756</v>
      </c>
      <c r="S56" s="1354" t="s">
        <v>5546</v>
      </c>
      <c r="T56" s="1354" t="s">
        <v>5633</v>
      </c>
    </row>
    <row r="57" s="1264" customFormat="1" ht="18" customHeight="1" spans="1:20">
      <c r="A57" s="991"/>
      <c r="B57" s="1294" t="s">
        <v>5636</v>
      </c>
      <c r="C57" s="1290" t="s">
        <v>5361</v>
      </c>
      <c r="D57" s="1291">
        <v>6.72</v>
      </c>
      <c r="E57" s="1354" t="s">
        <v>5637</v>
      </c>
      <c r="F57" s="1354"/>
      <c r="G57" s="1354" t="s">
        <v>5535</v>
      </c>
      <c r="H57" s="1295" t="s">
        <v>5541</v>
      </c>
      <c r="I57" s="1357" t="s">
        <v>5632</v>
      </c>
      <c r="J57" s="1355">
        <f t="shared" ref="J57:J69" si="6">83/D57/1.13+1.7</f>
        <v>12.6302570585756</v>
      </c>
      <c r="K57" s="1296"/>
      <c r="L57" s="1358"/>
      <c r="M57" s="1355">
        <f>12.5/D57/1.13</f>
        <v>1.64612305099031</v>
      </c>
      <c r="N57" s="1355">
        <f t="shared" ref="N57:N65" si="7">28.62/D57/1.13</f>
        <v>3.76896333754741</v>
      </c>
      <c r="O57" s="1297" t="s">
        <v>1428</v>
      </c>
      <c r="P57" s="1355">
        <v>2.3</v>
      </c>
      <c r="Q57" s="941">
        <v>14.2</v>
      </c>
      <c r="R57" s="941">
        <f t="shared" si="1"/>
        <v>34.5453434471134</v>
      </c>
      <c r="S57" s="1354" t="s">
        <v>5546</v>
      </c>
      <c r="T57" s="1354" t="s">
        <v>5633</v>
      </c>
    </row>
    <row r="58" s="1264" customFormat="1" ht="17" customHeight="1" spans="1:20">
      <c r="A58" s="991"/>
      <c r="B58" s="1318"/>
      <c r="C58" s="1290" t="s">
        <v>5361</v>
      </c>
      <c r="D58" s="1291">
        <v>6.72</v>
      </c>
      <c r="E58" s="1354" t="s">
        <v>5638</v>
      </c>
      <c r="F58" s="1354"/>
      <c r="G58" s="1354" t="s">
        <v>5535</v>
      </c>
      <c r="H58" s="1295" t="s">
        <v>5541</v>
      </c>
      <c r="I58" s="1357" t="s">
        <v>5545</v>
      </c>
      <c r="J58" s="1355">
        <f t="shared" si="6"/>
        <v>12.6302570585756</v>
      </c>
      <c r="K58" s="1296"/>
      <c r="L58" s="1358"/>
      <c r="M58" s="1355">
        <f t="shared" ref="M58:M60" si="8">22/D58/1.13</f>
        <v>2.89717656974294</v>
      </c>
      <c r="N58" s="1355">
        <f t="shared" si="7"/>
        <v>3.76896333754741</v>
      </c>
      <c r="O58" s="1297" t="s">
        <v>1428</v>
      </c>
      <c r="P58" s="1355">
        <v>2.3</v>
      </c>
      <c r="Q58" s="941">
        <v>11.23</v>
      </c>
      <c r="R58" s="941">
        <f t="shared" si="1"/>
        <v>32.826396965866</v>
      </c>
      <c r="S58" s="1354" t="s">
        <v>5546</v>
      </c>
      <c r="T58" s="1354" t="s">
        <v>5633</v>
      </c>
    </row>
    <row r="59" s="1264" customFormat="1" ht="17" customHeight="1" spans="1:20">
      <c r="A59" s="991"/>
      <c r="B59" s="1318"/>
      <c r="C59" s="1290" t="s">
        <v>5361</v>
      </c>
      <c r="D59" s="1291">
        <v>6.72</v>
      </c>
      <c r="E59" s="1354" t="s">
        <v>5639</v>
      </c>
      <c r="F59" s="1354" t="s">
        <v>5534</v>
      </c>
      <c r="G59" s="1354" t="s">
        <v>5535</v>
      </c>
      <c r="H59" s="1295" t="s">
        <v>5541</v>
      </c>
      <c r="I59" s="1357" t="s">
        <v>5545</v>
      </c>
      <c r="J59" s="1296">
        <f>83/D59/1.13</f>
        <v>10.9302570585756</v>
      </c>
      <c r="K59" s="1296"/>
      <c r="L59" s="1358"/>
      <c r="M59" s="1355">
        <f t="shared" si="8"/>
        <v>2.89717656974294</v>
      </c>
      <c r="N59" s="1355">
        <f t="shared" si="7"/>
        <v>3.76896333754741</v>
      </c>
      <c r="O59" s="1297" t="s">
        <v>1428</v>
      </c>
      <c r="P59" s="1355">
        <v>2.3</v>
      </c>
      <c r="Q59" s="941">
        <v>10.78</v>
      </c>
      <c r="R59" s="941">
        <f t="shared" si="1"/>
        <v>30.676396965866</v>
      </c>
      <c r="S59" s="1354" t="s">
        <v>5546</v>
      </c>
      <c r="T59" s="1354" t="s">
        <v>5539</v>
      </c>
    </row>
    <row r="60" s="1264" customFormat="1" ht="17" customHeight="1" spans="1:20">
      <c r="A60" s="991"/>
      <c r="B60" s="1318"/>
      <c r="C60" s="1290" t="s">
        <v>5361</v>
      </c>
      <c r="D60" s="1291">
        <v>6.72</v>
      </c>
      <c r="E60" s="1354" t="s">
        <v>5640</v>
      </c>
      <c r="F60" s="1354"/>
      <c r="G60" s="1354" t="s">
        <v>5535</v>
      </c>
      <c r="H60" s="1295" t="s">
        <v>5541</v>
      </c>
      <c r="I60" s="1357" t="s">
        <v>5545</v>
      </c>
      <c r="J60" s="1355">
        <f t="shared" si="6"/>
        <v>12.6302570585756</v>
      </c>
      <c r="K60" s="1296"/>
      <c r="L60" s="1358"/>
      <c r="M60" s="1355">
        <f t="shared" si="8"/>
        <v>2.89717656974294</v>
      </c>
      <c r="N60" s="1355">
        <f t="shared" si="7"/>
        <v>3.76896333754741</v>
      </c>
      <c r="O60" s="1297" t="s">
        <v>1428</v>
      </c>
      <c r="P60" s="1355">
        <v>2.3</v>
      </c>
      <c r="Q60" s="941">
        <f>86.24/D60/1.13</f>
        <v>11.3569321533923</v>
      </c>
      <c r="R60" s="941">
        <f t="shared" si="1"/>
        <v>32.9533291192583</v>
      </c>
      <c r="S60" s="1354" t="s">
        <v>5549</v>
      </c>
      <c r="T60" s="1354" t="s">
        <v>5633</v>
      </c>
    </row>
    <row r="61" s="1265" customFormat="1" ht="17" customHeight="1" spans="1:20">
      <c r="A61" s="993"/>
      <c r="B61" s="1359"/>
      <c r="C61" s="1290" t="s">
        <v>5573</v>
      </c>
      <c r="D61" s="1291">
        <v>6.72</v>
      </c>
      <c r="E61" s="1360" t="s">
        <v>5641</v>
      </c>
      <c r="F61" s="1360"/>
      <c r="G61" s="1360" t="s">
        <v>5535</v>
      </c>
      <c r="H61" s="1361" t="s">
        <v>5541</v>
      </c>
      <c r="I61" s="1362" t="s">
        <v>5586</v>
      </c>
      <c r="J61" s="1363">
        <f t="shared" si="6"/>
        <v>12.6302570585756</v>
      </c>
      <c r="K61" s="1296"/>
      <c r="L61" s="1358"/>
      <c r="M61" s="1363">
        <f t="shared" ref="M61:M66" si="9">35/D61/1.13</f>
        <v>4.60914454277286</v>
      </c>
      <c r="N61" s="1363">
        <f t="shared" si="7"/>
        <v>3.76896333754741</v>
      </c>
      <c r="O61" s="1329" t="s">
        <v>1428</v>
      </c>
      <c r="P61" s="1363">
        <v>2.3</v>
      </c>
      <c r="Q61" s="941">
        <f>86/D61/1.13</f>
        <v>11.3253265908133</v>
      </c>
      <c r="R61" s="941">
        <f t="shared" si="1"/>
        <v>34.6336915297092</v>
      </c>
      <c r="S61" s="1360" t="s">
        <v>5549</v>
      </c>
      <c r="T61" s="1360" t="s">
        <v>5633</v>
      </c>
    </row>
    <row r="62" s="1264" customFormat="1" ht="17" customHeight="1" spans="1:20">
      <c r="A62" s="991"/>
      <c r="B62" s="1318"/>
      <c r="C62" s="1290" t="s">
        <v>5573</v>
      </c>
      <c r="D62" s="1291">
        <v>6.72</v>
      </c>
      <c r="E62" s="1354" t="s">
        <v>5642</v>
      </c>
      <c r="F62" s="1354"/>
      <c r="G62" s="1354" t="s">
        <v>5535</v>
      </c>
      <c r="H62" s="1295" t="s">
        <v>4569</v>
      </c>
      <c r="I62" s="1357" t="s">
        <v>5586</v>
      </c>
      <c r="J62" s="1355">
        <f t="shared" si="6"/>
        <v>12.6302570585756</v>
      </c>
      <c r="K62" s="1297"/>
      <c r="L62" s="1358"/>
      <c r="M62" s="1355">
        <f t="shared" si="9"/>
        <v>4.60914454277286</v>
      </c>
      <c r="N62" s="1355">
        <f t="shared" si="7"/>
        <v>3.76896333754741</v>
      </c>
      <c r="O62" s="1297" t="s">
        <v>1428</v>
      </c>
      <c r="P62" s="1355">
        <v>2.3</v>
      </c>
      <c r="Q62" s="941">
        <f>86/D62/1.13</f>
        <v>11.3253265908133</v>
      </c>
      <c r="R62" s="941">
        <f t="shared" si="1"/>
        <v>34.6336915297092</v>
      </c>
      <c r="S62" s="1354" t="s">
        <v>5584</v>
      </c>
      <c r="T62" s="1354" t="s">
        <v>5633</v>
      </c>
    </row>
    <row r="63" s="1264" customFormat="1" ht="17" customHeight="1" spans="1:20">
      <c r="A63" s="991"/>
      <c r="B63" s="1318"/>
      <c r="C63" s="1290" t="s">
        <v>5573</v>
      </c>
      <c r="D63" s="1291">
        <v>6.72</v>
      </c>
      <c r="E63" s="1354" t="s">
        <v>5643</v>
      </c>
      <c r="F63" s="1354"/>
      <c r="G63" s="1354" t="s">
        <v>5535</v>
      </c>
      <c r="H63" s="1295" t="s">
        <v>4569</v>
      </c>
      <c r="I63" s="1357" t="s">
        <v>5545</v>
      </c>
      <c r="J63" s="1355">
        <f t="shared" si="6"/>
        <v>12.6302570585756</v>
      </c>
      <c r="K63" s="1297"/>
      <c r="L63" s="1358"/>
      <c r="M63" s="1355">
        <f t="shared" ref="M63:M67" si="10">22/D63/1.13</f>
        <v>2.89717656974294</v>
      </c>
      <c r="N63" s="1355">
        <f t="shared" si="7"/>
        <v>3.76896333754741</v>
      </c>
      <c r="O63" s="1297" t="s">
        <v>1428</v>
      </c>
      <c r="P63" s="1355">
        <v>2.3</v>
      </c>
      <c r="Q63" s="941">
        <f>85.26/D63/1.13</f>
        <v>11.2278761061947</v>
      </c>
      <c r="R63" s="941">
        <f t="shared" si="1"/>
        <v>32.8242730720607</v>
      </c>
      <c r="S63" s="1354" t="s">
        <v>5584</v>
      </c>
      <c r="T63" s="1354" t="s">
        <v>5633</v>
      </c>
    </row>
    <row r="64" s="1264" customFormat="1" ht="17" customHeight="1" spans="1:20">
      <c r="A64" s="991"/>
      <c r="B64" s="1318"/>
      <c r="C64" s="1290" t="s">
        <v>5573</v>
      </c>
      <c r="D64" s="1291">
        <v>6.72</v>
      </c>
      <c r="E64" s="1354" t="s">
        <v>5644</v>
      </c>
      <c r="F64" s="1354"/>
      <c r="G64" s="1354" t="s">
        <v>5599</v>
      </c>
      <c r="H64" s="1295" t="s">
        <v>5541</v>
      </c>
      <c r="I64" s="1357" t="s">
        <v>5545</v>
      </c>
      <c r="J64" s="1355">
        <f t="shared" si="6"/>
        <v>12.6302570585756</v>
      </c>
      <c r="K64" s="1296"/>
      <c r="L64" s="1358"/>
      <c r="M64" s="1355">
        <f t="shared" si="10"/>
        <v>2.89717656974294</v>
      </c>
      <c r="N64" s="1355">
        <f t="shared" si="7"/>
        <v>3.76896333754741</v>
      </c>
      <c r="O64" s="1297" t="s">
        <v>1428</v>
      </c>
      <c r="P64" s="1355">
        <v>2.3</v>
      </c>
      <c r="Q64" s="941">
        <f>75.15/D64/1.13</f>
        <v>9.89649178255373</v>
      </c>
      <c r="R64" s="941">
        <f t="shared" si="1"/>
        <v>31.4928887484197</v>
      </c>
      <c r="S64" s="1354" t="s">
        <v>5645</v>
      </c>
      <c r="T64" s="1354" t="s">
        <v>5646</v>
      </c>
    </row>
    <row r="65" s="1264" customFormat="1" ht="17" customHeight="1" spans="1:20">
      <c r="A65" s="991"/>
      <c r="B65" s="1318"/>
      <c r="C65" s="1290" t="s">
        <v>5573</v>
      </c>
      <c r="D65" s="1291">
        <v>6.72</v>
      </c>
      <c r="E65" s="1354" t="s">
        <v>5647</v>
      </c>
      <c r="F65" s="1354"/>
      <c r="G65" s="1354" t="s">
        <v>5599</v>
      </c>
      <c r="H65" s="1295" t="s">
        <v>5541</v>
      </c>
      <c r="I65" s="1357" t="s">
        <v>5586</v>
      </c>
      <c r="J65" s="1355">
        <f t="shared" si="6"/>
        <v>12.6302570585756</v>
      </c>
      <c r="K65" s="1296"/>
      <c r="L65" s="1358"/>
      <c r="M65" s="1355">
        <f t="shared" si="9"/>
        <v>4.60914454277286</v>
      </c>
      <c r="N65" s="1355">
        <f t="shared" si="7"/>
        <v>3.76896333754741</v>
      </c>
      <c r="O65" s="1297" t="s">
        <v>1428</v>
      </c>
      <c r="P65" s="1355">
        <v>2.3</v>
      </c>
      <c r="Q65" s="941">
        <f>75.1/D65/1.13</f>
        <v>9.88990729034977</v>
      </c>
      <c r="R65" s="941">
        <f t="shared" si="1"/>
        <v>33.1982722292457</v>
      </c>
      <c r="S65" s="1354" t="s">
        <v>5645</v>
      </c>
      <c r="T65" s="1354" t="s">
        <v>5646</v>
      </c>
    </row>
    <row r="66" s="1264" customFormat="1" ht="17" customHeight="1" spans="1:20">
      <c r="A66" s="991"/>
      <c r="B66" s="1318"/>
      <c r="C66" s="1290" t="s">
        <v>5573</v>
      </c>
      <c r="D66" s="1291">
        <v>6.72</v>
      </c>
      <c r="E66" s="1354" t="s">
        <v>5648</v>
      </c>
      <c r="F66" s="1354"/>
      <c r="G66" s="1354" t="s">
        <v>5599</v>
      </c>
      <c r="H66" s="1295" t="s">
        <v>5541</v>
      </c>
      <c r="I66" s="1357" t="s">
        <v>5586</v>
      </c>
      <c r="J66" s="1355">
        <f t="shared" si="6"/>
        <v>12.6302570585756</v>
      </c>
      <c r="K66" s="1364"/>
      <c r="L66" s="1365"/>
      <c r="M66" s="1355">
        <f t="shared" si="9"/>
        <v>4.60914454277286</v>
      </c>
      <c r="N66" s="1355">
        <f>28.62/C1/1.13</f>
        <v>3.76896333754741</v>
      </c>
      <c r="O66" s="1297" t="s">
        <v>1428</v>
      </c>
      <c r="P66" s="1355">
        <v>2.3</v>
      </c>
      <c r="Q66" s="941">
        <f>75.62/D66/1.13</f>
        <v>9.95838600927097</v>
      </c>
      <c r="R66" s="941">
        <f t="shared" si="1"/>
        <v>33.2667509481669</v>
      </c>
      <c r="S66" s="1354" t="s">
        <v>5645</v>
      </c>
      <c r="T66" s="1354" t="s">
        <v>5646</v>
      </c>
    </row>
    <row r="67" s="1264" customFormat="1" ht="17" customHeight="1" spans="1:20">
      <c r="A67" s="991"/>
      <c r="B67" s="1318"/>
      <c r="C67" s="1290" t="s">
        <v>5573</v>
      </c>
      <c r="D67" s="1291">
        <v>6.72</v>
      </c>
      <c r="E67" s="1354" t="s">
        <v>5649</v>
      </c>
      <c r="F67" s="1354"/>
      <c r="G67" s="1354" t="s">
        <v>5599</v>
      </c>
      <c r="H67" s="1295" t="s">
        <v>4569</v>
      </c>
      <c r="I67" s="1357" t="s">
        <v>5545</v>
      </c>
      <c r="J67" s="1355">
        <f t="shared" si="6"/>
        <v>12.6302570585756</v>
      </c>
      <c r="K67" s="1313"/>
      <c r="L67" s="1365"/>
      <c r="M67" s="1355">
        <f t="shared" si="10"/>
        <v>2.89717656974294</v>
      </c>
      <c r="N67" s="1355">
        <f>28.62/1.13/D67</f>
        <v>3.76896333754741</v>
      </c>
      <c r="O67" s="1297" t="s">
        <v>1428</v>
      </c>
      <c r="P67" s="1355">
        <v>2.3</v>
      </c>
      <c r="Q67" s="941">
        <f>75.36/D67/1.13</f>
        <v>9.92414664981037</v>
      </c>
      <c r="R67" s="941">
        <f t="shared" ref="R67:R76" si="11">SUM(J67:Q67)</f>
        <v>31.5205436156764</v>
      </c>
      <c r="S67" s="1354" t="s">
        <v>5650</v>
      </c>
      <c r="T67" s="1354" t="s">
        <v>5646</v>
      </c>
    </row>
    <row r="68" s="1264" customFormat="1" ht="17" customHeight="1" spans="1:20">
      <c r="A68" s="991"/>
      <c r="B68" s="1318"/>
      <c r="C68" s="1290" t="s">
        <v>5573</v>
      </c>
      <c r="D68" s="1291">
        <v>6.72</v>
      </c>
      <c r="E68" s="1354" t="s">
        <v>5651</v>
      </c>
      <c r="F68" s="1354"/>
      <c r="G68" s="1354" t="s">
        <v>5599</v>
      </c>
      <c r="H68" s="1295" t="s">
        <v>5541</v>
      </c>
      <c r="I68" s="1357" t="s">
        <v>5586</v>
      </c>
      <c r="J68" s="1355">
        <f t="shared" si="6"/>
        <v>12.6302570585756</v>
      </c>
      <c r="K68" s="1313"/>
      <c r="L68" s="1365"/>
      <c r="M68" s="1355">
        <f>35/D68/1.13</f>
        <v>4.60914454277286</v>
      </c>
      <c r="N68" s="1355">
        <f>28.62/D68/1.13</f>
        <v>3.76896333754741</v>
      </c>
      <c r="O68" s="1297" t="s">
        <v>1428</v>
      </c>
      <c r="P68" s="1355">
        <v>2.3</v>
      </c>
      <c r="Q68" s="941">
        <f>75.21/D68/1.13</f>
        <v>9.90439317319848</v>
      </c>
      <c r="R68" s="941">
        <f t="shared" si="11"/>
        <v>33.2127581120944</v>
      </c>
      <c r="S68" s="1354" t="s">
        <v>5645</v>
      </c>
      <c r="T68" s="1354" t="s">
        <v>5633</v>
      </c>
    </row>
    <row r="69" s="1264" customFormat="1" ht="17" customHeight="1" spans="1:20">
      <c r="A69" s="991"/>
      <c r="B69" s="1366"/>
      <c r="C69" s="1290" t="s">
        <v>5573</v>
      </c>
      <c r="D69" s="1291">
        <v>6.72</v>
      </c>
      <c r="E69" s="1354" t="s">
        <v>5652</v>
      </c>
      <c r="F69" s="1354"/>
      <c r="G69" s="1354" t="s">
        <v>5599</v>
      </c>
      <c r="H69" s="1295" t="s">
        <v>4569</v>
      </c>
      <c r="I69" s="1357" t="s">
        <v>5586</v>
      </c>
      <c r="J69" s="1355">
        <f t="shared" si="6"/>
        <v>12.6302570585756</v>
      </c>
      <c r="K69" s="1313"/>
      <c r="L69" s="1365"/>
      <c r="M69" s="1355">
        <f>35/D69/1.13</f>
        <v>4.60914454277286</v>
      </c>
      <c r="N69" s="1355">
        <f>28.62/D69/1.13</f>
        <v>3.76896333754741</v>
      </c>
      <c r="O69" s="1297"/>
      <c r="P69" s="1355">
        <v>2.3</v>
      </c>
      <c r="Q69" s="941">
        <f>75.08/D69/1.13</f>
        <v>9.88727349346818</v>
      </c>
      <c r="R69" s="941">
        <f t="shared" si="11"/>
        <v>33.1956384323641</v>
      </c>
      <c r="S69" s="1354" t="s">
        <v>5650</v>
      </c>
      <c r="T69" s="1354" t="s">
        <v>5633</v>
      </c>
    </row>
    <row r="70" s="1264" customFormat="1" ht="18" customHeight="1" spans="1:20">
      <c r="A70" s="991"/>
      <c r="B70" s="1311" t="s">
        <v>5653</v>
      </c>
      <c r="C70" s="1290" t="s">
        <v>5573</v>
      </c>
      <c r="D70" s="1291">
        <v>6.72</v>
      </c>
      <c r="E70" s="1354" t="s">
        <v>5654</v>
      </c>
      <c r="F70" s="1354"/>
      <c r="G70" s="1354" t="s">
        <v>5535</v>
      </c>
      <c r="H70" s="1295" t="s">
        <v>4569</v>
      </c>
      <c r="I70" s="1357" t="s">
        <v>5632</v>
      </c>
      <c r="J70" s="1296">
        <f>83/D70/1.13</f>
        <v>10.9302570585756</v>
      </c>
      <c r="K70" s="1297"/>
      <c r="L70" s="1358"/>
      <c r="M70" s="1355">
        <f>12.5/D70/1.13</f>
        <v>1.64612305099031</v>
      </c>
      <c r="N70" s="1355">
        <f>20.81/D70/1.13</f>
        <v>2.74046565528866</v>
      </c>
      <c r="O70" s="1297" t="s">
        <v>1428</v>
      </c>
      <c r="P70" s="1355">
        <v>2.3</v>
      </c>
      <c r="Q70" s="941">
        <f>111.66/D70/1.13</f>
        <v>14.7044879898862</v>
      </c>
      <c r="R70" s="941">
        <f t="shared" si="11"/>
        <v>32.3213337547408</v>
      </c>
      <c r="S70" s="1354" t="s">
        <v>5655</v>
      </c>
      <c r="T70" s="1354" t="s">
        <v>5539</v>
      </c>
    </row>
    <row r="71" s="1264" customFormat="1" ht="17" customHeight="1" spans="1:20">
      <c r="A71" s="991"/>
      <c r="B71" s="1311"/>
      <c r="C71" s="1290" t="s">
        <v>5573</v>
      </c>
      <c r="D71" s="1291">
        <v>6.72</v>
      </c>
      <c r="E71" s="1354" t="s">
        <v>5656</v>
      </c>
      <c r="F71" s="1354"/>
      <c r="G71" s="1354" t="s">
        <v>5535</v>
      </c>
      <c r="H71" s="1295" t="s">
        <v>4569</v>
      </c>
      <c r="I71" s="1357" t="s">
        <v>5635</v>
      </c>
      <c r="J71" s="1355">
        <f>83/D71/1.13+1.3</f>
        <v>12.2302570585756</v>
      </c>
      <c r="K71" s="1297"/>
      <c r="L71" s="1358"/>
      <c r="M71" s="1355">
        <f>30/D71/1.13</f>
        <v>3.95069532237674</v>
      </c>
      <c r="N71" s="1355">
        <f>20.81/D71/1.13</f>
        <v>2.74046565528866</v>
      </c>
      <c r="O71" s="1297" t="s">
        <v>1428</v>
      </c>
      <c r="P71" s="1355">
        <v>2.3</v>
      </c>
      <c r="Q71" s="941">
        <f>104.4/D71/1.13</f>
        <v>13.7484197218711</v>
      </c>
      <c r="R71" s="941">
        <f t="shared" si="11"/>
        <v>34.9698377581121</v>
      </c>
      <c r="S71" s="1354" t="s">
        <v>5657</v>
      </c>
      <c r="T71" s="1354" t="s">
        <v>5633</v>
      </c>
    </row>
    <row r="72" s="1266" customFormat="1" spans="1:20">
      <c r="A72" s="1367"/>
      <c r="B72" s="1368" t="s">
        <v>5658</v>
      </c>
      <c r="C72" s="1290" t="s">
        <v>5361</v>
      </c>
      <c r="D72" s="1291">
        <v>6.72</v>
      </c>
      <c r="E72" s="1368" t="s">
        <v>5659</v>
      </c>
      <c r="F72" s="1368"/>
      <c r="G72" s="1368" t="s">
        <v>5660</v>
      </c>
      <c r="H72" s="1369" t="s">
        <v>4569</v>
      </c>
      <c r="I72" s="1370" t="s">
        <v>5545</v>
      </c>
      <c r="J72" s="1371">
        <v>17.5</v>
      </c>
      <c r="K72" s="1358"/>
      <c r="L72" s="1358"/>
      <c r="M72" s="1355">
        <f>22/D72/1.13</f>
        <v>2.89717656974294</v>
      </c>
      <c r="N72" s="1371">
        <f>17.56/7.28/1.13</f>
        <v>2.13459107264417</v>
      </c>
      <c r="O72" s="1372" t="s">
        <v>1428</v>
      </c>
      <c r="P72" s="1371">
        <v>2.5</v>
      </c>
      <c r="Q72" s="941">
        <v>12.39</v>
      </c>
      <c r="R72" s="941">
        <f t="shared" si="11"/>
        <v>37.4217676423871</v>
      </c>
      <c r="S72" s="1368" t="s">
        <v>5661</v>
      </c>
      <c r="T72" s="1368" t="s">
        <v>5539</v>
      </c>
    </row>
    <row r="73" s="1264" customFormat="1" spans="1:20">
      <c r="A73" s="991"/>
      <c r="B73" s="1373" t="s">
        <v>5662</v>
      </c>
      <c r="C73" s="1290" t="s">
        <v>5361</v>
      </c>
      <c r="D73" s="1291">
        <v>6.72</v>
      </c>
      <c r="E73" s="1354" t="s">
        <v>5663</v>
      </c>
      <c r="F73" s="1354"/>
      <c r="G73" s="1354" t="s">
        <v>5535</v>
      </c>
      <c r="H73" s="1295" t="s">
        <v>4569</v>
      </c>
      <c r="I73" s="1357" t="s">
        <v>5545</v>
      </c>
      <c r="J73" s="1296">
        <f>83/D73/1.13</f>
        <v>10.9302570585756</v>
      </c>
      <c r="K73" s="1297"/>
      <c r="L73" s="1358"/>
      <c r="M73" s="1355">
        <f>22/C1/1.13</f>
        <v>2.89717656974294</v>
      </c>
      <c r="N73" s="1355">
        <f>13.85/D73/1.13</f>
        <v>1.82390434049726</v>
      </c>
      <c r="O73" s="1297" t="s">
        <v>1428</v>
      </c>
      <c r="P73" s="1355">
        <v>2.3</v>
      </c>
      <c r="Q73" s="941">
        <v>7.16</v>
      </c>
      <c r="R73" s="941">
        <f t="shared" si="11"/>
        <v>25.1113379688158</v>
      </c>
      <c r="S73" s="1354" t="s">
        <v>5584</v>
      </c>
      <c r="T73" s="1354" t="s">
        <v>5539</v>
      </c>
    </row>
    <row r="74" s="1264" customFormat="1" spans="1:20">
      <c r="A74" s="991"/>
      <c r="B74" s="1374"/>
      <c r="C74" s="1290" t="s">
        <v>5361</v>
      </c>
      <c r="D74" s="1291">
        <v>6.72</v>
      </c>
      <c r="E74" s="1354" t="s">
        <v>5664</v>
      </c>
      <c r="F74" s="1354"/>
      <c r="G74" s="1297" t="s">
        <v>1428</v>
      </c>
      <c r="H74" s="1297"/>
      <c r="I74" s="1297" t="s">
        <v>1428</v>
      </c>
      <c r="J74" s="1297">
        <v>0</v>
      </c>
      <c r="K74" s="1297"/>
      <c r="L74" s="1297"/>
      <c r="M74" s="1297">
        <v>0</v>
      </c>
      <c r="N74" s="1356">
        <v>0.31</v>
      </c>
      <c r="O74" s="1297" t="s">
        <v>1428</v>
      </c>
      <c r="P74" s="1356">
        <v>0.4</v>
      </c>
      <c r="Q74" s="941">
        <v>0.96</v>
      </c>
      <c r="R74" s="941">
        <f t="shared" si="11"/>
        <v>1.67</v>
      </c>
      <c r="S74" s="1354"/>
      <c r="T74" s="1354"/>
    </row>
    <row r="75" s="1264" customFormat="1" spans="1:20">
      <c r="A75" s="991"/>
      <c r="B75" s="1354" t="s">
        <v>5665</v>
      </c>
      <c r="C75" s="1290" t="s">
        <v>5361</v>
      </c>
      <c r="D75" s="1291">
        <v>6.72</v>
      </c>
      <c r="E75" s="1354" t="s">
        <v>5666</v>
      </c>
      <c r="F75" s="1354"/>
      <c r="G75" s="1354" t="s">
        <v>5667</v>
      </c>
      <c r="H75" s="1295" t="s">
        <v>4569</v>
      </c>
      <c r="I75" s="1357" t="s">
        <v>5545</v>
      </c>
      <c r="J75" s="1375">
        <v>4.8</v>
      </c>
      <c r="K75" s="1376"/>
      <c r="L75" s="1376"/>
      <c r="M75" s="1355">
        <f>15.8/D75/1.13</f>
        <v>2.08069953645175</v>
      </c>
      <c r="N75" s="1355">
        <f>3.5/D75/1.13</f>
        <v>0.460914454277286</v>
      </c>
      <c r="O75" s="1355"/>
      <c r="P75" s="1355">
        <v>2</v>
      </c>
      <c r="Q75" s="941">
        <v>6.87</v>
      </c>
      <c r="R75" s="941">
        <f t="shared" si="11"/>
        <v>16.211613990729</v>
      </c>
      <c r="S75" s="1354" t="s">
        <v>5584</v>
      </c>
      <c r="T75" s="1354" t="s">
        <v>5668</v>
      </c>
    </row>
    <row r="76" s="1264" customFormat="1" spans="1:20">
      <c r="A76" s="991"/>
      <c r="B76" s="1354" t="s">
        <v>5669</v>
      </c>
      <c r="C76" s="1290" t="s">
        <v>5361</v>
      </c>
      <c r="D76" s="1291">
        <v>6.72</v>
      </c>
      <c r="E76" s="1354" t="s">
        <v>5651</v>
      </c>
      <c r="F76" s="1354"/>
      <c r="G76" s="1354" t="s">
        <v>5660</v>
      </c>
      <c r="H76" s="1356" t="s">
        <v>5670</v>
      </c>
      <c r="I76" s="1357" t="s">
        <v>5586</v>
      </c>
      <c r="J76" s="1375">
        <v>17.5</v>
      </c>
      <c r="K76" s="1376"/>
      <c r="L76" s="1376"/>
      <c r="M76" s="1355">
        <f>26.67/D76/1.13</f>
        <v>3.51216814159292</v>
      </c>
      <c r="N76" s="1355">
        <f>20.29/D76/1.13</f>
        <v>2.67198693636747</v>
      </c>
      <c r="O76" s="1355"/>
      <c r="P76" s="1355">
        <v>2</v>
      </c>
      <c r="Q76" s="941">
        <v>7.08</v>
      </c>
      <c r="R76" s="941">
        <f t="shared" si="11"/>
        <v>32.7641550779604</v>
      </c>
      <c r="S76" s="1354"/>
      <c r="T76" s="1354" t="s">
        <v>5671</v>
      </c>
    </row>
  </sheetData>
  <mergeCells count="9">
    <mergeCell ref="B3:B9"/>
    <mergeCell ref="B10:B11"/>
    <mergeCell ref="B12:B13"/>
    <mergeCell ref="B14:B29"/>
    <mergeCell ref="B37:B54"/>
    <mergeCell ref="B55:B56"/>
    <mergeCell ref="B57:B69"/>
    <mergeCell ref="B70:B71"/>
    <mergeCell ref="B73:B74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1112"/>
  <dimension ref="A1:V818"/>
  <sheetViews>
    <sheetView workbookViewId="0">
      <selection activeCell="K118" sqref="K118"/>
    </sheetView>
  </sheetViews>
  <sheetFormatPr defaultColWidth="9" defaultRowHeight="13.2"/>
  <cols>
    <col min="1" max="1" width="10" style="989" customWidth="1"/>
    <col min="2" max="2" width="19.8425925925926" style="1203" customWidth="1"/>
    <col min="3" max="3" width="9.66666666666667" style="989" hidden="1" customWidth="1"/>
    <col min="4" max="4" width="9" style="1104" hidden="1" customWidth="1"/>
    <col min="5" max="5" width="18.4444444444444" style="990" hidden="1" customWidth="1"/>
    <col min="6" max="6" width="19.6111111111111" style="1204" hidden="1" customWidth="1"/>
    <col min="7" max="7" width="19.6111111111111" style="1007" hidden="1" customWidth="1"/>
    <col min="8" max="8" width="24.6666666666667" style="1205" hidden="1" customWidth="1"/>
    <col min="9" max="9" width="12.5" style="1204" hidden="1" customWidth="1"/>
    <col min="10" max="10" width="17.3425925925926" style="1204" hidden="1" customWidth="1"/>
    <col min="11" max="11" width="31.2407407407407" style="1204" customWidth="1"/>
    <col min="12" max="12" width="6.66666666666667" style="1204" customWidth="1"/>
    <col min="13" max="13" width="7.91666666666667" style="1204" customWidth="1"/>
    <col min="14" max="14" width="6.25" style="1204" customWidth="1"/>
    <col min="15" max="15" width="8.57407407407407" style="1206" customWidth="1"/>
    <col min="16" max="16" width="10.3333333333333" style="1207" customWidth="1"/>
    <col min="17" max="17" width="7.25" style="1205" customWidth="1"/>
    <col min="18" max="18" width="12.6944444444444" style="1208" customWidth="1"/>
    <col min="19" max="19" width="7.66666666666667" style="1206" customWidth="1"/>
    <col min="20" max="20" width="20.1574074074074" style="1007" customWidth="1"/>
    <col min="21" max="21" width="20.1574074074074" style="1204" customWidth="1"/>
    <col min="22" max="16384" width="9" style="989"/>
  </cols>
  <sheetData>
    <row r="1" s="188" customFormat="1" ht="27" customHeight="1" spans="1:22">
      <c r="B1" s="11" t="s">
        <v>3487</v>
      </c>
      <c r="C1" s="11"/>
      <c r="D1" s="11"/>
      <c r="E1" s="11"/>
      <c r="F1" s="127"/>
      <c r="G1" s="127"/>
      <c r="H1" s="13"/>
      <c r="I1" s="14"/>
      <c r="J1" s="14"/>
      <c r="K1" s="128"/>
      <c r="L1" s="915" t="s">
        <v>712</v>
      </c>
      <c r="M1" s="915" t="s">
        <v>712</v>
      </c>
      <c r="N1" s="129"/>
      <c r="O1" s="15"/>
      <c r="P1" s="15"/>
      <c r="Q1" s="13"/>
      <c r="R1" s="130"/>
      <c r="S1" s="130"/>
      <c r="T1" s="12"/>
      <c r="U1" s="131"/>
    </row>
    <row r="2" s="189" customFormat="1" ht="17" customHeight="1" spans="1:22">
      <c r="A2" s="1209" t="s">
        <v>5209</v>
      </c>
      <c r="B2" s="17" t="s">
        <v>1490</v>
      </c>
      <c r="C2" s="17" t="s">
        <v>1492</v>
      </c>
      <c r="D2" s="17" t="s">
        <v>4800</v>
      </c>
      <c r="E2" s="17" t="s">
        <v>4100</v>
      </c>
      <c r="F2" s="18" t="s">
        <v>5</v>
      </c>
      <c r="G2" s="121" t="s">
        <v>1933</v>
      </c>
      <c r="H2" s="18" t="s">
        <v>4102</v>
      </c>
      <c r="I2" s="18" t="s">
        <v>1910</v>
      </c>
      <c r="J2" s="18" t="s">
        <v>1497</v>
      </c>
      <c r="K2" s="18" t="s">
        <v>4102</v>
      </c>
      <c r="L2" s="18" t="s">
        <v>4103</v>
      </c>
      <c r="M2" s="18" t="s">
        <v>4104</v>
      </c>
      <c r="N2" s="18" t="s">
        <v>1497</v>
      </c>
      <c r="O2" s="18" t="s">
        <v>6</v>
      </c>
      <c r="P2" s="18" t="s">
        <v>7</v>
      </c>
      <c r="Q2" s="18" t="s">
        <v>5672</v>
      </c>
      <c r="R2" s="18" t="s">
        <v>8</v>
      </c>
      <c r="S2" s="18" t="s">
        <v>9</v>
      </c>
      <c r="T2" s="18" t="s">
        <v>4105</v>
      </c>
      <c r="U2" s="18" t="s">
        <v>4106</v>
      </c>
    </row>
    <row r="3" s="839" customFormat="1" ht="15" spans="1:22">
      <c r="A3" s="798" t="s">
        <v>5673</v>
      </c>
      <c r="B3" s="778" t="s">
        <v>5674</v>
      </c>
      <c r="C3" s="39"/>
      <c r="D3" s="690"/>
      <c r="E3" s="39"/>
      <c r="F3" s="778" t="s">
        <v>4172</v>
      </c>
      <c r="G3" s="1210" t="s">
        <v>3540</v>
      </c>
      <c r="H3" s="21" t="s">
        <v>2951</v>
      </c>
      <c r="I3" s="21" t="s">
        <v>1913</v>
      </c>
      <c r="J3" s="21" t="s">
        <v>1428</v>
      </c>
      <c r="K3" s="1211" t="s">
        <v>712</v>
      </c>
      <c r="L3" s="21" t="s">
        <v>1428</v>
      </c>
      <c r="M3" s="21" t="s">
        <v>1428</v>
      </c>
      <c r="N3" s="21" t="s">
        <v>1428</v>
      </c>
      <c r="O3" s="37">
        <v>5.16530190088006</v>
      </c>
      <c r="P3" s="37">
        <v>23.3814646433315</v>
      </c>
      <c r="Q3" s="37" t="s">
        <v>1428</v>
      </c>
      <c r="R3" s="774">
        <v>5</v>
      </c>
      <c r="S3" s="37">
        <f t="shared" ref="S3:S23" si="0">SUM(K3:R3)</f>
        <v>33.5467665442116</v>
      </c>
      <c r="T3" s="23" t="s">
        <v>2854</v>
      </c>
      <c r="U3" s="778" t="s">
        <v>4160</v>
      </c>
      <c r="V3" s="1170" t="s">
        <v>1406</v>
      </c>
    </row>
    <row r="4" s="839" customFormat="1" ht="88.2" spans="1:22">
      <c r="A4" s="798"/>
      <c r="B4" s="1212" t="s">
        <v>5675</v>
      </c>
      <c r="C4" s="20"/>
      <c r="D4" s="20"/>
      <c r="E4" s="39"/>
      <c r="F4" s="818" t="s">
        <v>1565</v>
      </c>
      <c r="G4" s="729" t="s">
        <v>1933</v>
      </c>
      <c r="H4" s="689" t="s">
        <v>2951</v>
      </c>
      <c r="I4" s="690" t="s">
        <v>1913</v>
      </c>
      <c r="J4" s="690" t="s">
        <v>1428</v>
      </c>
      <c r="K4" s="1211" t="s">
        <v>712</v>
      </c>
      <c r="L4" s="21" t="s">
        <v>1428</v>
      </c>
      <c r="M4" s="21" t="s">
        <v>1428</v>
      </c>
      <c r="N4" s="21" t="s">
        <v>1428</v>
      </c>
      <c r="O4" s="822">
        <v>3.68752249624545</v>
      </c>
      <c r="P4" s="37">
        <v>21.4652115366867</v>
      </c>
      <c r="Q4" s="37" t="s">
        <v>1428</v>
      </c>
      <c r="R4" s="774">
        <v>5</v>
      </c>
      <c r="S4" s="37">
        <f t="shared" si="0"/>
        <v>30.1527340329321</v>
      </c>
      <c r="T4" s="813" t="s">
        <v>2854</v>
      </c>
      <c r="U4" s="818" t="s">
        <v>5676</v>
      </c>
      <c r="V4" s="1170"/>
    </row>
    <row r="5" s="839" customFormat="1" ht="88.2" spans="1:22">
      <c r="A5" s="798"/>
      <c r="B5" s="1212"/>
      <c r="C5" s="20"/>
      <c r="D5" s="20"/>
      <c r="E5" s="39"/>
      <c r="F5" s="818" t="s">
        <v>1617</v>
      </c>
      <c r="G5" s="729" t="s">
        <v>1933</v>
      </c>
      <c r="H5" s="689" t="s">
        <v>2951</v>
      </c>
      <c r="I5" s="690" t="s">
        <v>1913</v>
      </c>
      <c r="J5" s="690" t="s">
        <v>1428</v>
      </c>
      <c r="K5" s="1211" t="s">
        <v>712</v>
      </c>
      <c r="L5" s="21" t="s">
        <v>1428</v>
      </c>
      <c r="M5" s="21" t="s">
        <v>1428</v>
      </c>
      <c r="N5" s="21" t="s">
        <v>1428</v>
      </c>
      <c r="O5" s="822">
        <v>3.68752249624545</v>
      </c>
      <c r="P5" s="37">
        <v>20.851325480291</v>
      </c>
      <c r="Q5" s="37" t="s">
        <v>1428</v>
      </c>
      <c r="R5" s="774">
        <v>5</v>
      </c>
      <c r="S5" s="37">
        <f t="shared" si="0"/>
        <v>29.5388479765364</v>
      </c>
      <c r="T5" s="813" t="s">
        <v>2854</v>
      </c>
      <c r="U5" s="818" t="s">
        <v>5677</v>
      </c>
      <c r="V5" s="1170"/>
    </row>
    <row r="6" s="839" customFormat="1" ht="88.2" spans="1:22">
      <c r="A6" s="798"/>
      <c r="B6" s="1212"/>
      <c r="C6" s="20"/>
      <c r="D6" s="20"/>
      <c r="E6" s="39"/>
      <c r="F6" s="818" t="s">
        <v>1629</v>
      </c>
      <c r="G6" s="729" t="s">
        <v>1933</v>
      </c>
      <c r="H6" s="689" t="s">
        <v>2338</v>
      </c>
      <c r="I6" s="690" t="s">
        <v>1913</v>
      </c>
      <c r="J6" s="690" t="s">
        <v>1428</v>
      </c>
      <c r="K6" s="1211" t="s">
        <v>712</v>
      </c>
      <c r="L6" s="21" t="s">
        <v>1428</v>
      </c>
      <c r="M6" s="21" t="s">
        <v>1428</v>
      </c>
      <c r="N6" s="21" t="s">
        <v>1428</v>
      </c>
      <c r="O6" s="822">
        <v>3.68752249624545</v>
      </c>
      <c r="P6" s="37">
        <v>21.8891175438739</v>
      </c>
      <c r="Q6" s="37" t="s">
        <v>1428</v>
      </c>
      <c r="R6" s="774">
        <v>5</v>
      </c>
      <c r="S6" s="37">
        <f t="shared" si="0"/>
        <v>30.5766400401194</v>
      </c>
      <c r="T6" s="813" t="s">
        <v>2854</v>
      </c>
      <c r="U6" s="818" t="s">
        <v>5676</v>
      </c>
      <c r="V6" s="1170"/>
    </row>
    <row r="7" s="839" customFormat="1" ht="88.2" spans="1:22">
      <c r="A7" s="798"/>
      <c r="B7" s="1212"/>
      <c r="C7" s="20">
        <v>20251025</v>
      </c>
      <c r="D7" s="20">
        <v>7.13</v>
      </c>
      <c r="E7" s="39" t="s">
        <v>5678</v>
      </c>
      <c r="F7" s="818" t="s">
        <v>1645</v>
      </c>
      <c r="G7" s="729" t="s">
        <v>1933</v>
      </c>
      <c r="H7" s="689" t="s">
        <v>2474</v>
      </c>
      <c r="I7" s="690" t="s">
        <v>1913</v>
      </c>
      <c r="J7" s="690" t="s">
        <v>1428</v>
      </c>
      <c r="K7" s="1211" t="s">
        <v>712</v>
      </c>
      <c r="L7" s="21" t="s">
        <v>1428</v>
      </c>
      <c r="M7" s="21" t="s">
        <v>1428</v>
      </c>
      <c r="N7" s="21" t="s">
        <v>1428</v>
      </c>
      <c r="O7" s="822">
        <v>3.68752249624545</v>
      </c>
      <c r="P7" s="37">
        <v>19.9717951515562</v>
      </c>
      <c r="Q7" s="37" t="s">
        <v>1428</v>
      </c>
      <c r="R7" s="774">
        <v>5</v>
      </c>
      <c r="S7" s="37">
        <f t="shared" si="0"/>
        <v>28.6593176478017</v>
      </c>
      <c r="T7" s="813" t="s">
        <v>2854</v>
      </c>
      <c r="U7" s="818" t="s">
        <v>5676</v>
      </c>
      <c r="V7" s="1170"/>
    </row>
    <row r="8" s="839" customFormat="1" ht="88.2" spans="1:22">
      <c r="A8" s="798"/>
      <c r="B8" s="1212"/>
      <c r="C8" s="20"/>
      <c r="D8" s="20"/>
      <c r="E8" s="39"/>
      <c r="F8" s="818" t="s">
        <v>1604</v>
      </c>
      <c r="G8" s="729" t="s">
        <v>1933</v>
      </c>
      <c r="H8" s="689" t="s">
        <v>2982</v>
      </c>
      <c r="I8" s="690" t="s">
        <v>1913</v>
      </c>
      <c r="J8" s="690" t="s">
        <v>1428</v>
      </c>
      <c r="K8" s="1211" t="s">
        <v>712</v>
      </c>
      <c r="L8" s="21" t="s">
        <v>1428</v>
      </c>
      <c r="M8" s="21" t="s">
        <v>1428</v>
      </c>
      <c r="N8" s="21" t="s">
        <v>1428</v>
      </c>
      <c r="O8" s="822">
        <v>3.68752249624545</v>
      </c>
      <c r="P8" s="37">
        <v>19.7780486111865</v>
      </c>
      <c r="Q8" s="37" t="s">
        <v>1428</v>
      </c>
      <c r="R8" s="774">
        <v>5</v>
      </c>
      <c r="S8" s="37">
        <f t="shared" si="0"/>
        <v>28.4655711074319</v>
      </c>
      <c r="T8" s="813" t="s">
        <v>2854</v>
      </c>
      <c r="U8" s="818" t="s">
        <v>5677</v>
      </c>
      <c r="V8" s="1170"/>
    </row>
    <row r="9" s="839" customFormat="1" ht="88.2" spans="1:22">
      <c r="A9" s="798"/>
      <c r="B9" s="1212"/>
      <c r="C9" s="20"/>
      <c r="D9" s="20"/>
      <c r="E9" s="39" t="s">
        <v>1407</v>
      </c>
      <c r="F9" s="818" t="s">
        <v>1571</v>
      </c>
      <c r="G9" s="729" t="s">
        <v>1933</v>
      </c>
      <c r="H9" s="689" t="s">
        <v>2315</v>
      </c>
      <c r="I9" s="690" t="s">
        <v>1913</v>
      </c>
      <c r="J9" s="690" t="s">
        <v>1428</v>
      </c>
      <c r="K9" s="1211" t="s">
        <v>712</v>
      </c>
      <c r="L9" s="21" t="s">
        <v>1428</v>
      </c>
      <c r="M9" s="21" t="s">
        <v>1428</v>
      </c>
      <c r="N9" s="21" t="s">
        <v>1428</v>
      </c>
      <c r="O9" s="822">
        <v>3.68752249624545</v>
      </c>
      <c r="P9" s="37">
        <v>21.3528025406406</v>
      </c>
      <c r="Q9" s="37" t="s">
        <v>1428</v>
      </c>
      <c r="R9" s="774">
        <v>5</v>
      </c>
      <c r="S9" s="37">
        <f t="shared" si="0"/>
        <v>30.040325036886</v>
      </c>
      <c r="T9" s="813" t="s">
        <v>2854</v>
      </c>
      <c r="U9" s="818" t="s">
        <v>5676</v>
      </c>
      <c r="V9" s="1170"/>
    </row>
    <row r="10" s="839" customFormat="1" ht="15" spans="1:22">
      <c r="A10" s="798"/>
      <c r="B10" s="1212"/>
      <c r="C10" s="20"/>
      <c r="D10" s="20"/>
      <c r="E10" s="39" t="s">
        <v>1408</v>
      </c>
      <c r="F10" s="778" t="s">
        <v>1685</v>
      </c>
      <c r="G10" s="1210" t="s">
        <v>5679</v>
      </c>
      <c r="H10" s="21" t="s">
        <v>5680</v>
      </c>
      <c r="I10" s="690" t="s">
        <v>1913</v>
      </c>
      <c r="J10" s="690" t="s">
        <v>1428</v>
      </c>
      <c r="K10" s="1211" t="s">
        <v>712</v>
      </c>
      <c r="L10" s="21" t="s">
        <v>1428</v>
      </c>
      <c r="M10" s="21" t="s">
        <v>1428</v>
      </c>
      <c r="N10" s="21" t="s">
        <v>1428</v>
      </c>
      <c r="O10" s="822">
        <v>3.68752249624545</v>
      </c>
      <c r="P10" s="37">
        <v>20.6526600763558</v>
      </c>
      <c r="Q10" s="37" t="s">
        <v>1428</v>
      </c>
      <c r="R10" s="774">
        <v>5</v>
      </c>
      <c r="S10" s="37">
        <f t="shared" si="0"/>
        <v>29.3401825726013</v>
      </c>
      <c r="T10" s="23" t="s">
        <v>2854</v>
      </c>
      <c r="U10" s="1213" t="s">
        <v>5681</v>
      </c>
      <c r="V10" s="1170"/>
    </row>
    <row r="11" s="839" customFormat="1" ht="15" spans="1:22">
      <c r="A11" s="798"/>
      <c r="B11" s="1212"/>
      <c r="C11" s="20"/>
      <c r="D11" s="20"/>
      <c r="E11" s="39"/>
      <c r="F11" s="778" t="s">
        <v>1669</v>
      </c>
      <c r="G11" s="1210" t="s">
        <v>5679</v>
      </c>
      <c r="H11" s="21" t="s">
        <v>5680</v>
      </c>
      <c r="I11" s="21" t="s">
        <v>1913</v>
      </c>
      <c r="J11" s="21" t="s">
        <v>1428</v>
      </c>
      <c r="K11" s="1211" t="s">
        <v>712</v>
      </c>
      <c r="L11" s="21" t="s">
        <v>1428</v>
      </c>
      <c r="M11" s="21" t="s">
        <v>1428</v>
      </c>
      <c r="N11" s="21" t="s">
        <v>1428</v>
      </c>
      <c r="O11" s="822">
        <v>3.68752249624545</v>
      </c>
      <c r="P11" s="37">
        <v>20.6434720077873</v>
      </c>
      <c r="Q11" s="37" t="s">
        <v>1428</v>
      </c>
      <c r="R11" s="774">
        <v>5</v>
      </c>
      <c r="S11" s="37">
        <f t="shared" si="0"/>
        <v>29.3309945040327</v>
      </c>
      <c r="T11" s="23" t="s">
        <v>2854</v>
      </c>
      <c r="U11" s="1213" t="s">
        <v>5681</v>
      </c>
      <c r="V11" s="1170"/>
    </row>
    <row r="12" s="839" customFormat="1" ht="15" spans="1:22">
      <c r="A12" s="798"/>
      <c r="B12" s="1212"/>
      <c r="C12" s="20"/>
      <c r="D12" s="20"/>
      <c r="E12" s="39"/>
      <c r="F12" s="778" t="s">
        <v>1671</v>
      </c>
      <c r="G12" s="1210"/>
      <c r="H12" s="21" t="s">
        <v>5682</v>
      </c>
      <c r="I12" s="21" t="s">
        <v>1913</v>
      </c>
      <c r="J12" s="21" t="s">
        <v>1428</v>
      </c>
      <c r="K12" s="1211" t="s">
        <v>712</v>
      </c>
      <c r="L12" s="21" t="s">
        <v>1428</v>
      </c>
      <c r="M12" s="21" t="s">
        <v>1428</v>
      </c>
      <c r="N12" s="21" t="s">
        <v>1428</v>
      </c>
      <c r="O12" s="822">
        <v>3.68752249624545</v>
      </c>
      <c r="P12" s="37">
        <v>20.227746835404</v>
      </c>
      <c r="Q12" s="37" t="s">
        <v>1428</v>
      </c>
      <c r="R12" s="774">
        <v>5</v>
      </c>
      <c r="S12" s="37">
        <f t="shared" si="0"/>
        <v>28.9152693316495</v>
      </c>
      <c r="T12" s="23" t="s">
        <v>2854</v>
      </c>
      <c r="U12" s="1213" t="s">
        <v>5681</v>
      </c>
      <c r="V12" s="1170"/>
    </row>
    <row r="13" s="839" customFormat="1" ht="15" spans="1:22">
      <c r="A13" s="798"/>
      <c r="B13" s="767"/>
      <c r="C13" s="20">
        <v>20241220</v>
      </c>
      <c r="D13" s="20">
        <v>7.24</v>
      </c>
      <c r="E13" s="39" t="s">
        <v>5683</v>
      </c>
      <c r="F13" s="778" t="s">
        <v>1672</v>
      </c>
      <c r="G13" s="1210" t="s">
        <v>5679</v>
      </c>
      <c r="H13" s="21" t="s">
        <v>2365</v>
      </c>
      <c r="I13" s="21" t="s">
        <v>1913</v>
      </c>
      <c r="J13" s="21" t="s">
        <v>1428</v>
      </c>
      <c r="K13" s="1211" t="s">
        <v>712</v>
      </c>
      <c r="L13" s="21" t="s">
        <v>1428</v>
      </c>
      <c r="M13" s="21" t="s">
        <v>1428</v>
      </c>
      <c r="N13" s="21" t="s">
        <v>1428</v>
      </c>
      <c r="O13" s="822">
        <v>3.68752249624545</v>
      </c>
      <c r="P13" s="37">
        <v>18.2354926208325</v>
      </c>
      <c r="Q13" s="37" t="s">
        <v>1428</v>
      </c>
      <c r="R13" s="774">
        <v>5</v>
      </c>
      <c r="S13" s="37">
        <f t="shared" si="0"/>
        <v>26.9230151170779</v>
      </c>
      <c r="T13" s="23" t="s">
        <v>2854</v>
      </c>
      <c r="U13" s="1213" t="s">
        <v>5681</v>
      </c>
      <c r="V13" s="1170"/>
    </row>
    <row r="14" s="42" customFormat="1" ht="60" spans="1:22">
      <c r="A14" s="798" t="s">
        <v>5684</v>
      </c>
      <c r="B14" s="1214" t="s">
        <v>1430</v>
      </c>
      <c r="C14" s="20">
        <v>20240606</v>
      </c>
      <c r="D14" s="20">
        <v>7.24</v>
      </c>
      <c r="E14" s="19" t="s">
        <v>5685</v>
      </c>
      <c r="F14" s="695" t="s">
        <v>1617</v>
      </c>
      <c r="G14" s="35" t="s">
        <v>3540</v>
      </c>
      <c r="H14" s="757" t="s">
        <v>3566</v>
      </c>
      <c r="I14" s="21" t="s">
        <v>1913</v>
      </c>
      <c r="J14" s="21" t="s">
        <v>1428</v>
      </c>
      <c r="K14" s="1211" t="s">
        <v>712</v>
      </c>
      <c r="L14" s="21" t="s">
        <v>1428</v>
      </c>
      <c r="M14" s="21" t="s">
        <v>1428</v>
      </c>
      <c r="N14" s="21" t="s">
        <v>1428</v>
      </c>
      <c r="O14" s="22">
        <v>2.31058310098194</v>
      </c>
      <c r="P14" s="37">
        <v>28.7624330917826</v>
      </c>
      <c r="Q14" s="21" t="s">
        <v>1428</v>
      </c>
      <c r="R14" s="37">
        <v>4</v>
      </c>
      <c r="S14" s="22">
        <f t="shared" si="0"/>
        <v>35.0730161927645</v>
      </c>
      <c r="T14" s="23" t="s">
        <v>2854</v>
      </c>
      <c r="U14" s="1215" t="s">
        <v>5686</v>
      </c>
      <c r="V14" s="1170" t="s">
        <v>1406</v>
      </c>
    </row>
    <row r="15" s="42" customFormat="1" ht="60" spans="1:22">
      <c r="A15" s="798"/>
      <c r="B15" s="1216"/>
      <c r="C15" s="20">
        <v>20240606</v>
      </c>
      <c r="D15" s="20">
        <v>7.24</v>
      </c>
      <c r="E15" s="19" t="s">
        <v>5687</v>
      </c>
      <c r="F15" s="695" t="s">
        <v>1629</v>
      </c>
      <c r="G15" s="35" t="s">
        <v>3540</v>
      </c>
      <c r="H15" s="757" t="s">
        <v>3549</v>
      </c>
      <c r="I15" s="21" t="s">
        <v>1913</v>
      </c>
      <c r="J15" s="21" t="s">
        <v>1428</v>
      </c>
      <c r="K15" s="1211" t="s">
        <v>712</v>
      </c>
      <c r="L15" s="21" t="s">
        <v>1428</v>
      </c>
      <c r="M15" s="21" t="s">
        <v>1428</v>
      </c>
      <c r="N15" s="21" t="s">
        <v>1428</v>
      </c>
      <c r="O15" s="22">
        <v>2.31058310098194</v>
      </c>
      <c r="P15" s="37">
        <v>28.3252801871379</v>
      </c>
      <c r="Q15" s="21" t="s">
        <v>1428</v>
      </c>
      <c r="R15" s="37">
        <v>4</v>
      </c>
      <c r="S15" s="22">
        <f t="shared" si="0"/>
        <v>34.6358632881198</v>
      </c>
      <c r="T15" s="23" t="s">
        <v>2854</v>
      </c>
      <c r="U15" s="1215" t="s">
        <v>5686</v>
      </c>
      <c r="V15" s="1170"/>
    </row>
    <row r="16" s="42" customFormat="1" ht="75" spans="1:22">
      <c r="A16" s="798"/>
      <c r="B16" s="1216"/>
      <c r="C16" s="20">
        <v>20241225</v>
      </c>
      <c r="D16" s="20">
        <v>7.24</v>
      </c>
      <c r="E16" s="19" t="s">
        <v>5688</v>
      </c>
      <c r="F16" s="695" t="s">
        <v>1645</v>
      </c>
      <c r="G16" s="35" t="s">
        <v>3540</v>
      </c>
      <c r="H16" s="757" t="s">
        <v>3566</v>
      </c>
      <c r="I16" s="21" t="s">
        <v>1913</v>
      </c>
      <c r="J16" s="21" t="s">
        <v>1428</v>
      </c>
      <c r="K16" s="1211" t="s">
        <v>712</v>
      </c>
      <c r="L16" s="21" t="s">
        <v>1428</v>
      </c>
      <c r="M16" s="21" t="s">
        <v>1428</v>
      </c>
      <c r="N16" s="21" t="s">
        <v>1428</v>
      </c>
      <c r="O16" s="22">
        <v>2.31058310098194</v>
      </c>
      <c r="P16" s="37">
        <v>27.0454036956299</v>
      </c>
      <c r="Q16" s="21"/>
      <c r="R16" s="37">
        <v>4</v>
      </c>
      <c r="S16" s="22">
        <f t="shared" si="0"/>
        <v>33.3559867966118</v>
      </c>
      <c r="T16" s="23" t="s">
        <v>2854</v>
      </c>
      <c r="U16" s="1215" t="s">
        <v>5689</v>
      </c>
      <c r="V16" s="1170"/>
    </row>
    <row r="17" s="42" customFormat="1" ht="75" spans="1:22">
      <c r="A17" s="798"/>
      <c r="B17" s="1216"/>
      <c r="C17" s="20">
        <v>20241225</v>
      </c>
      <c r="D17" s="20">
        <v>7.24</v>
      </c>
      <c r="E17" s="19" t="s">
        <v>5690</v>
      </c>
      <c r="F17" s="695" t="s">
        <v>1604</v>
      </c>
      <c r="G17" s="35" t="s">
        <v>3540</v>
      </c>
      <c r="H17" s="757" t="s">
        <v>3566</v>
      </c>
      <c r="I17" s="21" t="s">
        <v>1913</v>
      </c>
      <c r="J17" s="21" t="s">
        <v>1428</v>
      </c>
      <c r="K17" s="1211" t="s">
        <v>712</v>
      </c>
      <c r="L17" s="21" t="s">
        <v>1428</v>
      </c>
      <c r="M17" s="21" t="s">
        <v>1428</v>
      </c>
      <c r="N17" s="21" t="s">
        <v>1428</v>
      </c>
      <c r="O17" s="22">
        <v>2.31058310098194</v>
      </c>
      <c r="P17" s="37">
        <v>27.0435895488583</v>
      </c>
      <c r="Q17" s="21"/>
      <c r="R17" s="37">
        <v>4</v>
      </c>
      <c r="S17" s="22">
        <f t="shared" si="0"/>
        <v>33.3541726498402</v>
      </c>
      <c r="T17" s="23" t="s">
        <v>2854</v>
      </c>
      <c r="U17" s="1215" t="s">
        <v>5689</v>
      </c>
      <c r="V17" s="1170"/>
    </row>
    <row r="18" s="42" customFormat="1" ht="75" spans="1:22">
      <c r="A18" s="798"/>
      <c r="B18" s="1216"/>
      <c r="C18" s="20">
        <v>20241225</v>
      </c>
      <c r="D18" s="20">
        <v>7.24</v>
      </c>
      <c r="E18" s="19" t="s">
        <v>5691</v>
      </c>
      <c r="F18" s="695" t="s">
        <v>1571</v>
      </c>
      <c r="G18" s="35" t="s">
        <v>3540</v>
      </c>
      <c r="H18" s="757" t="s">
        <v>3549</v>
      </c>
      <c r="I18" s="21" t="s">
        <v>1913</v>
      </c>
      <c r="J18" s="21" t="s">
        <v>1428</v>
      </c>
      <c r="K18" s="1211" t="s">
        <v>712</v>
      </c>
      <c r="L18" s="21" t="s">
        <v>1428</v>
      </c>
      <c r="M18" s="21" t="s">
        <v>1428</v>
      </c>
      <c r="N18" s="21" t="s">
        <v>1428</v>
      </c>
      <c r="O18" s="22">
        <v>2.31058310098194</v>
      </c>
      <c r="P18" s="37">
        <v>27.0458630136986</v>
      </c>
      <c r="Q18" s="21"/>
      <c r="R18" s="37">
        <v>4</v>
      </c>
      <c r="S18" s="22">
        <f t="shared" si="0"/>
        <v>33.3564461146805</v>
      </c>
      <c r="T18" s="23" t="s">
        <v>2854</v>
      </c>
      <c r="U18" s="1215" t="s">
        <v>5692</v>
      </c>
      <c r="V18" s="1170"/>
    </row>
    <row r="19" s="42" customFormat="1" ht="75" spans="1:22">
      <c r="A19" s="798"/>
      <c r="B19" s="790"/>
      <c r="C19" s="20">
        <v>20241225</v>
      </c>
      <c r="D19" s="20">
        <v>7.24</v>
      </c>
      <c r="E19" s="19" t="s">
        <v>5693</v>
      </c>
      <c r="F19" s="695" t="s">
        <v>1685</v>
      </c>
      <c r="G19" s="35" t="s">
        <v>3540</v>
      </c>
      <c r="H19" s="757" t="s">
        <v>3549</v>
      </c>
      <c r="I19" s="21" t="s">
        <v>1913</v>
      </c>
      <c r="J19" s="21" t="s">
        <v>1428</v>
      </c>
      <c r="K19" s="1211" t="s">
        <v>712</v>
      </c>
      <c r="L19" s="21" t="s">
        <v>1428</v>
      </c>
      <c r="M19" s="21" t="s">
        <v>1428</v>
      </c>
      <c r="N19" s="21" t="s">
        <v>1428</v>
      </c>
      <c r="O19" s="22">
        <v>2.31058310098194</v>
      </c>
      <c r="P19" s="37">
        <v>27.0462366416132</v>
      </c>
      <c r="Q19" s="21"/>
      <c r="R19" s="37">
        <v>4</v>
      </c>
      <c r="S19" s="22">
        <f t="shared" si="0"/>
        <v>33.3568197425951</v>
      </c>
      <c r="T19" s="23" t="s">
        <v>2854</v>
      </c>
      <c r="U19" s="1215" t="s">
        <v>5692</v>
      </c>
      <c r="V19" s="1170"/>
    </row>
    <row r="20" s="42" customFormat="1" ht="56.4" spans="1:22">
      <c r="A20" s="798"/>
      <c r="B20" s="1214" t="s">
        <v>5694</v>
      </c>
      <c r="C20" s="20">
        <v>20240605</v>
      </c>
      <c r="D20" s="20">
        <v>7.24</v>
      </c>
      <c r="E20" s="19" t="s">
        <v>5695</v>
      </c>
      <c r="F20" s="695" t="s">
        <v>1617</v>
      </c>
      <c r="G20" s="35" t="s">
        <v>3540</v>
      </c>
      <c r="H20" s="757" t="s">
        <v>3566</v>
      </c>
      <c r="I20" s="21" t="s">
        <v>1913</v>
      </c>
      <c r="J20" s="21" t="s">
        <v>1428</v>
      </c>
      <c r="K20" s="1211" t="s">
        <v>712</v>
      </c>
      <c r="L20" s="21" t="s">
        <v>1428</v>
      </c>
      <c r="M20" s="21" t="s">
        <v>1428</v>
      </c>
      <c r="N20" s="21" t="s">
        <v>1428</v>
      </c>
      <c r="O20" s="22">
        <v>3.59922414838162</v>
      </c>
      <c r="P20" s="37">
        <v>29.591923328669</v>
      </c>
      <c r="Q20" s="21" t="s">
        <v>1428</v>
      </c>
      <c r="R20" s="37">
        <v>4</v>
      </c>
      <c r="S20" s="22">
        <f t="shared" si="0"/>
        <v>37.1911474770506</v>
      </c>
      <c r="T20" s="23" t="s">
        <v>2854</v>
      </c>
      <c r="U20" s="1215" t="s">
        <v>5696</v>
      </c>
      <c r="V20" s="1170"/>
    </row>
    <row r="21" s="42" customFormat="1" ht="56.4" spans="1:22">
      <c r="A21" s="798"/>
      <c r="B21" s="1216"/>
      <c r="C21" s="20">
        <v>20240605</v>
      </c>
      <c r="D21" s="20">
        <v>7.24</v>
      </c>
      <c r="E21" s="19" t="s">
        <v>5697</v>
      </c>
      <c r="F21" s="695" t="s">
        <v>1629</v>
      </c>
      <c r="G21" s="35" t="s">
        <v>3540</v>
      </c>
      <c r="H21" s="757" t="s">
        <v>3549</v>
      </c>
      <c r="I21" s="21" t="s">
        <v>1913</v>
      </c>
      <c r="J21" s="21" t="s">
        <v>1428</v>
      </c>
      <c r="K21" s="1211" t="s">
        <v>712</v>
      </c>
      <c r="L21" s="21" t="s">
        <v>1428</v>
      </c>
      <c r="M21" s="21" t="s">
        <v>1428</v>
      </c>
      <c r="N21" s="21" t="s">
        <v>1428</v>
      </c>
      <c r="O21" s="22">
        <v>3.59922414838162</v>
      </c>
      <c r="P21" s="37">
        <v>29.6384063481247</v>
      </c>
      <c r="Q21" s="21" t="s">
        <v>1428</v>
      </c>
      <c r="R21" s="37">
        <v>4</v>
      </c>
      <c r="S21" s="22">
        <f t="shared" si="0"/>
        <v>37.2376304965063</v>
      </c>
      <c r="T21" s="23" t="s">
        <v>2854</v>
      </c>
      <c r="U21" s="1215" t="s">
        <v>5696</v>
      </c>
      <c r="V21" s="1170"/>
    </row>
    <row r="22" s="42" customFormat="1" ht="69.6" spans="1:22">
      <c r="A22" s="798"/>
      <c r="B22" s="1216"/>
      <c r="C22" s="20">
        <v>20241225</v>
      </c>
      <c r="D22" s="20">
        <v>7.24</v>
      </c>
      <c r="E22" s="1217" t="s">
        <v>5698</v>
      </c>
      <c r="F22" s="20" t="s">
        <v>1645</v>
      </c>
      <c r="G22" s="35" t="s">
        <v>3540</v>
      </c>
      <c r="H22" s="757" t="s">
        <v>3566</v>
      </c>
      <c r="I22" s="21" t="s">
        <v>1913</v>
      </c>
      <c r="J22" s="21" t="s">
        <v>1428</v>
      </c>
      <c r="K22" s="1211" t="s">
        <v>712</v>
      </c>
      <c r="L22" s="21" t="s">
        <v>1428</v>
      </c>
      <c r="M22" s="21" t="s">
        <v>1428</v>
      </c>
      <c r="N22" s="21" t="s">
        <v>1428</v>
      </c>
      <c r="O22" s="22">
        <v>3.59922414838162</v>
      </c>
      <c r="P22" s="37">
        <v>28.5686798678502</v>
      </c>
      <c r="Q22" s="21" t="s">
        <v>1428</v>
      </c>
      <c r="R22" s="37">
        <v>4</v>
      </c>
      <c r="S22" s="22">
        <f t="shared" si="0"/>
        <v>36.1679040162318</v>
      </c>
      <c r="T22" s="23" t="s">
        <v>2854</v>
      </c>
      <c r="U22" s="1218" t="s">
        <v>5699</v>
      </c>
      <c r="V22" s="1170"/>
    </row>
    <row r="23" s="42" customFormat="1" ht="69.6" spans="1:22">
      <c r="A23" s="798"/>
      <c r="B23" s="19"/>
      <c r="C23" s="20">
        <v>20241225</v>
      </c>
      <c r="D23" s="20">
        <v>7.24</v>
      </c>
      <c r="E23" s="1217" t="s">
        <v>5700</v>
      </c>
      <c r="F23" s="20" t="s">
        <v>1604</v>
      </c>
      <c r="G23" s="35" t="s">
        <v>3540</v>
      </c>
      <c r="H23" s="757" t="s">
        <v>3566</v>
      </c>
      <c r="I23" s="21" t="s">
        <v>1913</v>
      </c>
      <c r="J23" s="21" t="s">
        <v>1428</v>
      </c>
      <c r="K23" s="1211" t="s">
        <v>712</v>
      </c>
      <c r="L23" s="21" t="s">
        <v>1428</v>
      </c>
      <c r="M23" s="21" t="s">
        <v>1428</v>
      </c>
      <c r="N23" s="21" t="s">
        <v>1428</v>
      </c>
      <c r="O23" s="22">
        <v>3.59922414838162</v>
      </c>
      <c r="P23" s="37">
        <v>28.4815024270526</v>
      </c>
      <c r="Q23" s="21" t="s">
        <v>1428</v>
      </c>
      <c r="R23" s="37">
        <v>4</v>
      </c>
      <c r="S23" s="22">
        <f t="shared" si="0"/>
        <v>36.0807265754342</v>
      </c>
      <c r="T23" s="23" t="s">
        <v>2854</v>
      </c>
      <c r="U23" s="1218" t="s">
        <v>5699</v>
      </c>
      <c r="V23" s="1170"/>
    </row>
    <row r="24" s="42" customFormat="1" ht="15" spans="1:22">
      <c r="A24" s="798"/>
      <c r="B24" s="19"/>
      <c r="C24" s="20"/>
      <c r="D24" s="20"/>
      <c r="E24" s="1217"/>
      <c r="F24" s="20"/>
      <c r="G24" s="35"/>
      <c r="H24" s="757"/>
      <c r="I24" s="21"/>
      <c r="J24" s="21"/>
      <c r="K24" s="1211"/>
      <c r="L24" s="21"/>
      <c r="M24" s="21"/>
      <c r="N24" s="21"/>
      <c r="O24" s="22"/>
      <c r="P24" s="37"/>
      <c r="Q24" s="21"/>
      <c r="R24" s="37"/>
      <c r="S24" s="22"/>
      <c r="T24" s="23"/>
      <c r="U24" s="1218"/>
      <c r="V24" s="1170"/>
    </row>
    <row r="25" s="42" customFormat="1" ht="120" spans="1:22">
      <c r="A25" s="798"/>
      <c r="B25" s="19"/>
      <c r="C25" s="20">
        <v>20241225</v>
      </c>
      <c r="D25" s="20">
        <v>7.24</v>
      </c>
      <c r="E25" s="1217" t="s">
        <v>5701</v>
      </c>
      <c r="F25" s="20" t="s">
        <v>1571</v>
      </c>
      <c r="G25" s="35" t="s">
        <v>3540</v>
      </c>
      <c r="H25" s="757" t="s">
        <v>3549</v>
      </c>
      <c r="I25" s="21" t="s">
        <v>1913</v>
      </c>
      <c r="J25" s="21" t="s">
        <v>1428</v>
      </c>
      <c r="K25" s="1211" t="s">
        <v>712</v>
      </c>
      <c r="L25" s="21" t="s">
        <v>1428</v>
      </c>
      <c r="M25" s="21" t="s">
        <v>1428</v>
      </c>
      <c r="N25" s="21" t="s">
        <v>1428</v>
      </c>
      <c r="O25" s="22">
        <v>3.59922414838162</v>
      </c>
      <c r="P25" s="37">
        <v>31.0218990801759</v>
      </c>
      <c r="Q25" s="21" t="s">
        <v>1428</v>
      </c>
      <c r="R25" s="37">
        <v>4</v>
      </c>
      <c r="S25" s="22">
        <f>SUM(K25:R25)</f>
        <v>38.6211232285575</v>
      </c>
      <c r="T25" s="23" t="s">
        <v>2854</v>
      </c>
      <c r="U25" s="1218" t="s">
        <v>3518</v>
      </c>
      <c r="V25" s="1170"/>
    </row>
    <row r="26" s="42" customFormat="1" ht="18.75" customHeight="1" spans="1:22">
      <c r="A26" s="798"/>
      <c r="B26" s="19"/>
      <c r="C26" s="1219">
        <v>46105</v>
      </c>
      <c r="D26" s="21">
        <v>6.91</v>
      </c>
      <c r="E26" s="19"/>
      <c r="F26" s="759"/>
      <c r="G26" s="35"/>
      <c r="H26" s="1220"/>
      <c r="I26" s="21"/>
      <c r="J26" s="21"/>
      <c r="K26" s="1211"/>
      <c r="L26" s="21"/>
      <c r="M26" s="21"/>
      <c r="N26" s="21"/>
      <c r="O26" s="22"/>
      <c r="P26" s="37"/>
      <c r="Q26" s="21"/>
      <c r="R26" s="37"/>
      <c r="S26" s="22"/>
      <c r="T26" s="23"/>
      <c r="U26" s="35"/>
      <c r="V26" s="1170"/>
    </row>
    <row r="27" s="42" customFormat="1" ht="18.75" customHeight="1" spans="1:22">
      <c r="A27" s="798"/>
      <c r="B27" s="19"/>
      <c r="C27" s="1219">
        <v>46105</v>
      </c>
      <c r="D27" s="21">
        <v>6.91</v>
      </c>
      <c r="E27" s="19"/>
      <c r="F27" s="759"/>
      <c r="G27" s="35"/>
      <c r="H27" s="1220"/>
      <c r="I27" s="21"/>
      <c r="J27" s="21"/>
      <c r="K27" s="1211"/>
      <c r="L27" s="21"/>
      <c r="M27" s="21"/>
      <c r="N27" s="21"/>
      <c r="O27" s="22"/>
      <c r="P27" s="37"/>
      <c r="Q27" s="21"/>
      <c r="R27" s="37"/>
      <c r="S27" s="22"/>
      <c r="T27" s="23"/>
      <c r="U27" s="35"/>
      <c r="V27" s="1170"/>
    </row>
    <row r="28" s="42" customFormat="1" ht="18.75" customHeight="1" spans="1:22">
      <c r="A28" s="798"/>
      <c r="B28" s="765" t="s">
        <v>5702</v>
      </c>
      <c r="C28" s="20"/>
      <c r="D28" s="21"/>
      <c r="E28" s="19" t="s">
        <v>1411</v>
      </c>
      <c r="F28" s="759" t="s">
        <v>5703</v>
      </c>
      <c r="G28" s="23" t="s">
        <v>3540</v>
      </c>
      <c r="H28" s="1220" t="s">
        <v>4568</v>
      </c>
      <c r="I28" s="21" t="s">
        <v>1913</v>
      </c>
      <c r="J28" s="21" t="s">
        <v>1428</v>
      </c>
      <c r="K28" s="1211" t="s">
        <v>712</v>
      </c>
      <c r="L28" s="21" t="s">
        <v>1428</v>
      </c>
      <c r="M28" s="21" t="s">
        <v>1428</v>
      </c>
      <c r="N28" s="21" t="s">
        <v>1428</v>
      </c>
      <c r="O28" s="22">
        <v>3.35960591133005</v>
      </c>
      <c r="P28" s="37" t="e">
        <f>42.7/D28/1.13</f>
        <v>#DIV/0!</v>
      </c>
      <c r="Q28" s="21">
        <v>28.5</v>
      </c>
      <c r="R28" s="37">
        <v>4</v>
      </c>
      <c r="S28" s="22" t="e">
        <f t="shared" ref="S28:S68" si="1">SUM(K28:R28)</f>
        <v>#DIV/0!</v>
      </c>
      <c r="T28" s="23" t="s">
        <v>2854</v>
      </c>
      <c r="U28" s="35"/>
      <c r="V28" s="1170" t="s">
        <v>1406</v>
      </c>
    </row>
    <row r="29" s="42" customFormat="1" ht="18.75" customHeight="1" spans="1:22">
      <c r="A29" s="798"/>
      <c r="B29" s="1214" t="s">
        <v>5704</v>
      </c>
      <c r="C29" s="20">
        <v>20241128</v>
      </c>
      <c r="D29" s="20">
        <v>7.24</v>
      </c>
      <c r="E29" s="19" t="s">
        <v>5705</v>
      </c>
      <c r="F29" s="20" t="s">
        <v>1565</v>
      </c>
      <c r="G29" s="23" t="s">
        <v>3540</v>
      </c>
      <c r="H29" s="757" t="s">
        <v>3853</v>
      </c>
      <c r="I29" s="21" t="s">
        <v>1913</v>
      </c>
      <c r="J29" s="21" t="s">
        <v>1428</v>
      </c>
      <c r="K29" s="1211" t="s">
        <v>712</v>
      </c>
      <c r="L29" s="21" t="s">
        <v>1428</v>
      </c>
      <c r="M29" s="21" t="s">
        <v>1428</v>
      </c>
      <c r="N29" s="21" t="s">
        <v>1428</v>
      </c>
      <c r="O29" s="22">
        <v>4.08910588953311</v>
      </c>
      <c r="P29" s="37">
        <v>15.4930079082923</v>
      </c>
      <c r="Q29" s="21" t="s">
        <v>1428</v>
      </c>
      <c r="R29" s="37">
        <v>4</v>
      </c>
      <c r="S29" s="22">
        <f t="shared" si="1"/>
        <v>23.5821137978254</v>
      </c>
      <c r="T29" s="23" t="s">
        <v>2854</v>
      </c>
      <c r="U29" s="35" t="s">
        <v>5706</v>
      </c>
      <c r="V29" s="1170" t="s">
        <v>1406</v>
      </c>
    </row>
    <row r="30" s="42" customFormat="1" ht="18.75" customHeight="1" spans="1:22">
      <c r="A30" s="798"/>
      <c r="B30" s="1216"/>
      <c r="C30" s="20"/>
      <c r="D30" s="21"/>
      <c r="E30" s="19"/>
      <c r="F30" s="20" t="s">
        <v>1617</v>
      </c>
      <c r="G30" s="23" t="s">
        <v>3540</v>
      </c>
      <c r="H30" s="757" t="s">
        <v>3853</v>
      </c>
      <c r="I30" s="21" t="s">
        <v>1913</v>
      </c>
      <c r="J30" s="21" t="s">
        <v>1428</v>
      </c>
      <c r="K30" s="1211" t="s">
        <v>712</v>
      </c>
      <c r="L30" s="21" t="s">
        <v>1428</v>
      </c>
      <c r="M30" s="21" t="s">
        <v>1428</v>
      </c>
      <c r="N30" s="21" t="s">
        <v>1428</v>
      </c>
      <c r="O30" s="22">
        <v>4.08910588953311</v>
      </c>
      <c r="P30" s="37">
        <v>16.5519971257831</v>
      </c>
      <c r="Q30" s="21" t="s">
        <v>1428</v>
      </c>
      <c r="R30" s="37">
        <v>4</v>
      </c>
      <c r="S30" s="22">
        <f t="shared" si="1"/>
        <v>24.6411030153162</v>
      </c>
      <c r="T30" s="23" t="s">
        <v>2854</v>
      </c>
      <c r="U30" s="35" t="s">
        <v>5706</v>
      </c>
      <c r="V30" s="1170" t="s">
        <v>1406</v>
      </c>
    </row>
    <row r="31" s="42" customFormat="1" ht="18.75" customHeight="1" spans="1:22">
      <c r="A31" s="798"/>
      <c r="B31" s="1216"/>
      <c r="C31" s="20"/>
      <c r="D31" s="21"/>
      <c r="E31" s="19"/>
      <c r="F31" s="20" t="s">
        <v>1629</v>
      </c>
      <c r="G31" s="23" t="s">
        <v>3540</v>
      </c>
      <c r="H31" s="1220" t="s">
        <v>4568</v>
      </c>
      <c r="I31" s="21" t="s">
        <v>1913</v>
      </c>
      <c r="J31" s="21" t="s">
        <v>1428</v>
      </c>
      <c r="K31" s="1211" t="s">
        <v>712</v>
      </c>
      <c r="L31" s="21" t="s">
        <v>1428</v>
      </c>
      <c r="M31" s="21" t="s">
        <v>1428</v>
      </c>
      <c r="N31" s="21" t="s">
        <v>1428</v>
      </c>
      <c r="O31" s="22">
        <v>4.08910588953311</v>
      </c>
      <c r="P31" s="37">
        <v>15.2017284181587</v>
      </c>
      <c r="Q31" s="21" t="s">
        <v>1428</v>
      </c>
      <c r="R31" s="37">
        <v>4</v>
      </c>
      <c r="S31" s="22">
        <f t="shared" si="1"/>
        <v>23.2908343076918</v>
      </c>
      <c r="T31" s="23" t="s">
        <v>2854</v>
      </c>
      <c r="U31" s="35"/>
      <c r="V31" s="1170" t="s">
        <v>1406</v>
      </c>
    </row>
    <row r="32" s="42" customFormat="1" ht="18.75" customHeight="1" spans="1:22">
      <c r="A32" s="798"/>
      <c r="B32" s="1216"/>
      <c r="C32" s="20"/>
      <c r="D32" s="21"/>
      <c r="E32" s="19"/>
      <c r="F32" s="20" t="s">
        <v>1645</v>
      </c>
      <c r="G32" s="23" t="s">
        <v>3540</v>
      </c>
      <c r="H32" s="757" t="s">
        <v>3855</v>
      </c>
      <c r="I32" s="21" t="s">
        <v>1913</v>
      </c>
      <c r="J32" s="21" t="s">
        <v>1428</v>
      </c>
      <c r="K32" s="1211" t="s">
        <v>712</v>
      </c>
      <c r="L32" s="21" t="s">
        <v>1428</v>
      </c>
      <c r="M32" s="21" t="s">
        <v>1428</v>
      </c>
      <c r="N32" s="21" t="s">
        <v>1428</v>
      </c>
      <c r="O32" s="22">
        <v>4.08910588953311</v>
      </c>
      <c r="P32" s="37">
        <v>15.1237177998249</v>
      </c>
      <c r="Q32" s="21" t="s">
        <v>1428</v>
      </c>
      <c r="R32" s="37">
        <v>4</v>
      </c>
      <c r="S32" s="22">
        <f t="shared" si="1"/>
        <v>23.212823689358</v>
      </c>
      <c r="T32" s="23" t="s">
        <v>2854</v>
      </c>
      <c r="U32" s="35"/>
      <c r="V32" s="1170" t="s">
        <v>1406</v>
      </c>
    </row>
    <row r="33" s="42" customFormat="1" ht="18.75" customHeight="1" spans="1:22">
      <c r="A33" s="798"/>
      <c r="B33" s="1216"/>
      <c r="C33" s="23">
        <v>20240918</v>
      </c>
      <c r="D33" s="20">
        <v>7.24</v>
      </c>
      <c r="E33" s="19" t="s">
        <v>5707</v>
      </c>
      <c r="F33" s="695" t="s">
        <v>1604</v>
      </c>
      <c r="G33" s="35" t="s">
        <v>3540</v>
      </c>
      <c r="H33" s="1151" t="s">
        <v>3794</v>
      </c>
      <c r="I33" s="21" t="s">
        <v>1913</v>
      </c>
      <c r="J33" s="21" t="s">
        <v>1428</v>
      </c>
      <c r="K33" s="1211" t="s">
        <v>712</v>
      </c>
      <c r="L33" s="21" t="s">
        <v>1428</v>
      </c>
      <c r="M33" s="21" t="s">
        <v>1428</v>
      </c>
      <c r="N33" s="21" t="s">
        <v>1428</v>
      </c>
      <c r="O33" s="22">
        <v>4.08910588953311</v>
      </c>
      <c r="P33" s="37">
        <v>14.0391126560415</v>
      </c>
      <c r="Q33" s="21" t="s">
        <v>1428</v>
      </c>
      <c r="R33" s="37">
        <v>4</v>
      </c>
      <c r="S33" s="22">
        <f t="shared" si="1"/>
        <v>22.1282185455746</v>
      </c>
      <c r="T33" s="23" t="s">
        <v>2854</v>
      </c>
      <c r="U33" s="35"/>
      <c r="V33" s="1170"/>
    </row>
    <row r="34" s="42" customFormat="1" ht="18.75" customHeight="1" spans="1:22">
      <c r="A34" s="798"/>
      <c r="B34" s="1216"/>
      <c r="C34" s="23">
        <v>20240918</v>
      </c>
      <c r="D34" s="20">
        <v>7.24</v>
      </c>
      <c r="E34" s="19" t="s">
        <v>5708</v>
      </c>
      <c r="F34" s="695" t="s">
        <v>1571</v>
      </c>
      <c r="G34" s="35" t="s">
        <v>3540</v>
      </c>
      <c r="H34" s="1151" t="s">
        <v>3794</v>
      </c>
      <c r="I34" s="21" t="s">
        <v>1913</v>
      </c>
      <c r="J34" s="21" t="s">
        <v>1428</v>
      </c>
      <c r="K34" s="1211" t="s">
        <v>712</v>
      </c>
      <c r="L34" s="21" t="s">
        <v>1428</v>
      </c>
      <c r="M34" s="21" t="s">
        <v>1428</v>
      </c>
      <c r="N34" s="21" t="s">
        <v>1428</v>
      </c>
      <c r="O34" s="22">
        <v>4.08910588953311</v>
      </c>
      <c r="P34" s="37">
        <v>14.2052653362507</v>
      </c>
      <c r="Q34" s="21" t="s">
        <v>1428</v>
      </c>
      <c r="R34" s="37">
        <v>4</v>
      </c>
      <c r="S34" s="22">
        <f t="shared" si="1"/>
        <v>22.2943712257838</v>
      </c>
      <c r="T34" s="23" t="s">
        <v>2854</v>
      </c>
      <c r="U34" s="35"/>
      <c r="V34" s="1170"/>
    </row>
    <row r="35" s="42" customFormat="1" ht="18.75" customHeight="1" spans="1:22">
      <c r="A35" s="798"/>
      <c r="B35" s="23" t="s">
        <v>5709</v>
      </c>
      <c r="C35" s="23">
        <v>20240604</v>
      </c>
      <c r="D35" s="20">
        <v>7.24</v>
      </c>
      <c r="E35" s="19" t="s">
        <v>5710</v>
      </c>
      <c r="F35" s="757" t="s">
        <v>1565</v>
      </c>
      <c r="G35" s="35" t="s">
        <v>3540</v>
      </c>
      <c r="H35" s="1151" t="s">
        <v>3853</v>
      </c>
      <c r="I35" s="21" t="s">
        <v>1913</v>
      </c>
      <c r="J35" s="21" t="s">
        <v>1428</v>
      </c>
      <c r="K35" s="1211" t="s">
        <v>712</v>
      </c>
      <c r="L35" s="21" t="s">
        <v>1428</v>
      </c>
      <c r="M35" s="703" t="s">
        <v>1428</v>
      </c>
      <c r="N35" s="21" t="s">
        <v>1428</v>
      </c>
      <c r="O35" s="1221">
        <v>4.07785662986452</v>
      </c>
      <c r="P35" s="37">
        <v>15.1204370681043</v>
      </c>
      <c r="Q35" s="21" t="s">
        <v>1428</v>
      </c>
      <c r="R35" s="37">
        <v>4</v>
      </c>
      <c r="S35" s="22">
        <f t="shared" si="1"/>
        <v>23.1982936979688</v>
      </c>
      <c r="T35" s="23" t="s">
        <v>2854</v>
      </c>
      <c r="U35" s="20" t="s">
        <v>5711</v>
      </c>
      <c r="V35" s="1170" t="s">
        <v>1406</v>
      </c>
    </row>
    <row r="36" s="42" customFormat="1" ht="18.75" customHeight="1" spans="1:22">
      <c r="A36" s="798"/>
      <c r="B36" s="23"/>
      <c r="C36" s="23">
        <v>20240129</v>
      </c>
      <c r="D36" s="20">
        <v>7.24</v>
      </c>
      <c r="E36" s="23" t="s">
        <v>5712</v>
      </c>
      <c r="F36" s="35" t="s">
        <v>1617</v>
      </c>
      <c r="G36" s="35" t="s">
        <v>3540</v>
      </c>
      <c r="H36" s="1151" t="s">
        <v>3853</v>
      </c>
      <c r="I36" s="21" t="s">
        <v>1913</v>
      </c>
      <c r="J36" s="21" t="s">
        <v>1428</v>
      </c>
      <c r="K36" s="1211" t="s">
        <v>712</v>
      </c>
      <c r="L36" s="21" t="s">
        <v>1428</v>
      </c>
      <c r="M36" s="703" t="s">
        <v>1428</v>
      </c>
      <c r="N36" s="21" t="s">
        <v>1428</v>
      </c>
      <c r="O36" s="1221">
        <v>4.07785662986452</v>
      </c>
      <c r="P36" s="37">
        <v>15.643063378945</v>
      </c>
      <c r="Q36" s="21">
        <v>16</v>
      </c>
      <c r="R36" s="37">
        <v>4</v>
      </c>
      <c r="S36" s="22">
        <f t="shared" si="1"/>
        <v>39.7209200088095</v>
      </c>
      <c r="T36" s="23" t="s">
        <v>2854</v>
      </c>
      <c r="U36" s="20" t="s">
        <v>5711</v>
      </c>
      <c r="V36" s="1222" t="s">
        <v>1413</v>
      </c>
    </row>
    <row r="37" s="42" customFormat="1" ht="18.75" customHeight="1" spans="1:22">
      <c r="A37" s="798"/>
      <c r="B37" s="23" t="s">
        <v>5713</v>
      </c>
      <c r="C37" s="23">
        <v>20240703</v>
      </c>
      <c r="D37" s="20">
        <v>7.24</v>
      </c>
      <c r="E37" s="23" t="s">
        <v>5710</v>
      </c>
      <c r="F37" s="35" t="s">
        <v>1565</v>
      </c>
      <c r="G37" s="35" t="s">
        <v>3540</v>
      </c>
      <c r="H37" s="1151" t="s">
        <v>3853</v>
      </c>
      <c r="I37" s="21" t="s">
        <v>1913</v>
      </c>
      <c r="J37" s="21" t="s">
        <v>1428</v>
      </c>
      <c r="K37" s="1211" t="s">
        <v>712</v>
      </c>
      <c r="L37" s="21" t="s">
        <v>1428</v>
      </c>
      <c r="M37" s="703" t="s">
        <v>1428</v>
      </c>
      <c r="N37" s="21" t="s">
        <v>1428</v>
      </c>
      <c r="O37" s="1221">
        <v>4.07785662986452</v>
      </c>
      <c r="P37" s="37">
        <v>15.1204370681043</v>
      </c>
      <c r="Q37" s="21" t="s">
        <v>1428</v>
      </c>
      <c r="R37" s="37">
        <v>4</v>
      </c>
      <c r="S37" s="22">
        <f t="shared" si="1"/>
        <v>23.1982936979688</v>
      </c>
      <c r="T37" s="23" t="s">
        <v>2854</v>
      </c>
      <c r="U37" s="20" t="s">
        <v>5711</v>
      </c>
      <c r="V37" s="1170"/>
    </row>
    <row r="38" s="42" customFormat="1" ht="18.75" customHeight="1" spans="1:22">
      <c r="A38" s="798"/>
      <c r="B38" s="19" t="s">
        <v>5714</v>
      </c>
      <c r="C38" s="20"/>
      <c r="D38" s="21"/>
      <c r="E38" s="19"/>
      <c r="F38" s="20" t="s">
        <v>1565</v>
      </c>
      <c r="G38" s="23" t="s">
        <v>3540</v>
      </c>
      <c r="H38" s="1220" t="s">
        <v>4568</v>
      </c>
      <c r="I38" s="21" t="s">
        <v>1913</v>
      </c>
      <c r="J38" s="21" t="s">
        <v>1428</v>
      </c>
      <c r="K38" s="1211" t="s">
        <v>712</v>
      </c>
      <c r="L38" s="21" t="s">
        <v>1428</v>
      </c>
      <c r="M38" s="21" t="s">
        <v>1428</v>
      </c>
      <c r="N38" s="21" t="s">
        <v>1428</v>
      </c>
      <c r="O38" s="22">
        <v>1.91740412979351</v>
      </c>
      <c r="P38" s="37">
        <v>15.6298593939884</v>
      </c>
      <c r="Q38" s="21" t="s">
        <v>1428</v>
      </c>
      <c r="R38" s="37">
        <v>3.5</v>
      </c>
      <c r="S38" s="22">
        <f t="shared" si="1"/>
        <v>21.0472635237819</v>
      </c>
      <c r="T38" s="23" t="s">
        <v>2854</v>
      </c>
      <c r="U38" s="35"/>
      <c r="V38" s="1170" t="s">
        <v>1406</v>
      </c>
    </row>
    <row r="39" s="42" customFormat="1" ht="18.75" customHeight="1" spans="1:22">
      <c r="A39" s="798"/>
      <c r="B39" s="19"/>
      <c r="C39" s="20"/>
      <c r="D39" s="21"/>
      <c r="E39" s="19"/>
      <c r="F39" s="20" t="s">
        <v>1617</v>
      </c>
      <c r="G39" s="23" t="s">
        <v>3540</v>
      </c>
      <c r="H39" s="757" t="s">
        <v>3794</v>
      </c>
      <c r="I39" s="21" t="s">
        <v>1913</v>
      </c>
      <c r="J39" s="21" t="s">
        <v>1428</v>
      </c>
      <c r="K39" s="1211" t="s">
        <v>712</v>
      </c>
      <c r="L39" s="21" t="s">
        <v>1428</v>
      </c>
      <c r="M39" s="21" t="s">
        <v>1428</v>
      </c>
      <c r="N39" s="21" t="s">
        <v>1428</v>
      </c>
      <c r="O39" s="22">
        <v>1.91740412979351</v>
      </c>
      <c r="P39" s="37">
        <v>14.3288956888402</v>
      </c>
      <c r="Q39" s="21" t="s">
        <v>1428</v>
      </c>
      <c r="R39" s="37">
        <v>3.5</v>
      </c>
      <c r="S39" s="22">
        <f t="shared" si="1"/>
        <v>19.7462998186337</v>
      </c>
      <c r="T39" s="23" t="s">
        <v>2854</v>
      </c>
      <c r="U39" s="35"/>
      <c r="V39" s="1170" t="s">
        <v>1406</v>
      </c>
    </row>
    <row r="40" s="42" customFormat="1" ht="18.75" customHeight="1" spans="1:22">
      <c r="A40" s="798"/>
      <c r="B40" s="19"/>
      <c r="C40" s="20"/>
      <c r="D40" s="21"/>
      <c r="E40" s="19"/>
      <c r="F40" s="20" t="s">
        <v>1629</v>
      </c>
      <c r="G40" s="23" t="s">
        <v>3540</v>
      </c>
      <c r="H40" s="757" t="s">
        <v>3853</v>
      </c>
      <c r="I40" s="21" t="s">
        <v>3425</v>
      </c>
      <c r="J40" s="21" t="s">
        <v>1428</v>
      </c>
      <c r="K40" s="1211" t="s">
        <v>712</v>
      </c>
      <c r="L40" s="21" t="s">
        <v>1428</v>
      </c>
      <c r="M40" s="700">
        <v>3.5</v>
      </c>
      <c r="N40" s="21" t="s">
        <v>1428</v>
      </c>
      <c r="O40" s="22">
        <v>1.91740412979351</v>
      </c>
      <c r="P40" s="37">
        <v>14.5641871703968</v>
      </c>
      <c r="Q40" s="21" t="s">
        <v>1428</v>
      </c>
      <c r="R40" s="37">
        <v>3.5</v>
      </c>
      <c r="S40" s="22">
        <f t="shared" si="1"/>
        <v>23.4815913001903</v>
      </c>
      <c r="T40" s="23" t="s">
        <v>3800</v>
      </c>
      <c r="U40" s="35"/>
      <c r="V40" s="1170" t="s">
        <v>1406</v>
      </c>
    </row>
    <row r="41" s="42" customFormat="1" ht="18.75" customHeight="1" spans="1:22">
      <c r="A41" s="798"/>
      <c r="B41" s="19"/>
      <c r="C41" s="20"/>
      <c r="D41" s="21"/>
      <c r="E41" s="19"/>
      <c r="F41" s="20" t="s">
        <v>1645</v>
      </c>
      <c r="G41" s="23" t="s">
        <v>3540</v>
      </c>
      <c r="H41" s="1220" t="s">
        <v>4568</v>
      </c>
      <c r="I41" s="21" t="s">
        <v>3670</v>
      </c>
      <c r="J41" s="21" t="s">
        <v>1428</v>
      </c>
      <c r="K41" s="1211" t="s">
        <v>712</v>
      </c>
      <c r="L41" s="21" t="s">
        <v>1428</v>
      </c>
      <c r="M41" s="138">
        <v>3.6</v>
      </c>
      <c r="N41" s="21" t="s">
        <v>1428</v>
      </c>
      <c r="O41" s="22">
        <v>1.91740412979351</v>
      </c>
      <c r="P41" s="37">
        <v>15.6756914805373</v>
      </c>
      <c r="Q41" s="21" t="s">
        <v>1428</v>
      </c>
      <c r="R41" s="37">
        <v>3.5</v>
      </c>
      <c r="S41" s="22">
        <f t="shared" si="1"/>
        <v>24.6930956103308</v>
      </c>
      <c r="T41" s="23" t="s">
        <v>3800</v>
      </c>
      <c r="U41" s="760" t="s">
        <v>5715</v>
      </c>
      <c r="V41" s="1170" t="s">
        <v>1406</v>
      </c>
    </row>
    <row r="42" s="42" customFormat="1" ht="18.75" customHeight="1" spans="1:22">
      <c r="A42" s="798"/>
      <c r="B42" s="19"/>
      <c r="C42" s="20">
        <v>20240228</v>
      </c>
      <c r="D42" s="20">
        <v>7.24</v>
      </c>
      <c r="E42" s="19" t="s">
        <v>5716</v>
      </c>
      <c r="F42" s="20" t="s">
        <v>1604</v>
      </c>
      <c r="G42" s="23" t="s">
        <v>3540</v>
      </c>
      <c r="H42" s="1220" t="s">
        <v>4568</v>
      </c>
      <c r="I42" s="21" t="s">
        <v>1913</v>
      </c>
      <c r="J42" s="21" t="s">
        <v>1428</v>
      </c>
      <c r="K42" s="1211" t="s">
        <v>712</v>
      </c>
      <c r="L42" s="21" t="s">
        <v>1428</v>
      </c>
      <c r="M42" s="21" t="s">
        <v>1428</v>
      </c>
      <c r="N42" s="21" t="s">
        <v>1428</v>
      </c>
      <c r="O42" s="22">
        <v>1.91740412979351</v>
      </c>
      <c r="P42" s="37">
        <v>15.6001798537227</v>
      </c>
      <c r="Q42" s="21" t="s">
        <v>1428</v>
      </c>
      <c r="R42" s="37">
        <v>3.5</v>
      </c>
      <c r="S42" s="22">
        <f t="shared" si="1"/>
        <v>21.0175839835162</v>
      </c>
      <c r="T42" s="23" t="s">
        <v>2854</v>
      </c>
      <c r="U42" s="35" t="s">
        <v>5717</v>
      </c>
      <c r="V42" s="1170" t="s">
        <v>1406</v>
      </c>
    </row>
    <row r="43" s="42" customFormat="1" ht="18.75" customHeight="1" spans="1:22">
      <c r="A43" s="798"/>
      <c r="B43" s="1214" t="s">
        <v>5718</v>
      </c>
      <c r="C43" s="20"/>
      <c r="D43" s="21"/>
      <c r="E43" s="19" t="s">
        <v>1414</v>
      </c>
      <c r="F43" s="759" t="s">
        <v>5719</v>
      </c>
      <c r="G43" s="23" t="s">
        <v>3540</v>
      </c>
      <c r="H43" s="757" t="s">
        <v>3855</v>
      </c>
      <c r="I43" s="21" t="s">
        <v>1913</v>
      </c>
      <c r="J43" s="21" t="s">
        <v>1428</v>
      </c>
      <c r="K43" s="1211" t="s">
        <v>712</v>
      </c>
      <c r="L43" s="21" t="s">
        <v>1428</v>
      </c>
      <c r="M43" s="21" t="s">
        <v>1428</v>
      </c>
      <c r="N43" s="21" t="s">
        <v>1428</v>
      </c>
      <c r="O43" s="22">
        <v>2.2886786695148</v>
      </c>
      <c r="P43" s="37">
        <v>12.5473762467383</v>
      </c>
      <c r="Q43" s="21" t="s">
        <v>1428</v>
      </c>
      <c r="R43" s="37">
        <v>4</v>
      </c>
      <c r="S43" s="22">
        <f t="shared" si="1"/>
        <v>18.8360549162531</v>
      </c>
      <c r="T43" s="23" t="s">
        <v>2854</v>
      </c>
      <c r="U43" s="35"/>
      <c r="V43" s="1170" t="s">
        <v>1406</v>
      </c>
    </row>
    <row r="44" s="42" customFormat="1" ht="18.75" customHeight="1" spans="1:22">
      <c r="A44" s="798"/>
      <c r="B44" s="1216"/>
      <c r="C44" s="20"/>
      <c r="D44" s="21"/>
      <c r="E44" s="19"/>
      <c r="F44" s="759" t="s">
        <v>5720</v>
      </c>
      <c r="G44" s="23" t="s">
        <v>3540</v>
      </c>
      <c r="H44" s="757" t="s">
        <v>3855</v>
      </c>
      <c r="I44" s="21" t="s">
        <v>1913</v>
      </c>
      <c r="J44" s="21" t="s">
        <v>1428</v>
      </c>
      <c r="K44" s="1211" t="s">
        <v>712</v>
      </c>
      <c r="L44" s="21" t="s">
        <v>1428</v>
      </c>
      <c r="M44" s="21" t="s">
        <v>1428</v>
      </c>
      <c r="N44" s="21" t="s">
        <v>1428</v>
      </c>
      <c r="O44" s="22">
        <v>2.2886786695148</v>
      </c>
      <c r="P44" s="37">
        <v>13.9780323199547</v>
      </c>
      <c r="Q44" s="21" t="s">
        <v>1428</v>
      </c>
      <c r="R44" s="37">
        <v>4</v>
      </c>
      <c r="S44" s="22">
        <f t="shared" si="1"/>
        <v>20.2667109894695</v>
      </c>
      <c r="T44" s="23" t="s">
        <v>2854</v>
      </c>
      <c r="U44" s="35"/>
      <c r="V44" s="1170" t="s">
        <v>1406</v>
      </c>
    </row>
    <row r="45" s="42" customFormat="1" ht="18.75" customHeight="1" spans="1:22">
      <c r="A45" s="798"/>
      <c r="B45" s="1216"/>
      <c r="C45" s="20"/>
      <c r="D45" s="21">
        <v>6.91</v>
      </c>
      <c r="E45" s="19" t="s">
        <v>1415</v>
      </c>
      <c r="F45" s="759" t="s">
        <v>5719</v>
      </c>
      <c r="G45" s="23" t="s">
        <v>3540</v>
      </c>
      <c r="H45" s="757" t="s">
        <v>3855</v>
      </c>
      <c r="I45" s="21" t="s">
        <v>1913</v>
      </c>
      <c r="J45" s="21" t="s">
        <v>1428</v>
      </c>
      <c r="K45" s="1211" t="s">
        <v>712</v>
      </c>
      <c r="L45" s="21" t="s">
        <v>1428</v>
      </c>
      <c r="M45" s="21" t="s">
        <v>1428</v>
      </c>
      <c r="N45" s="21" t="s">
        <v>1428</v>
      </c>
      <c r="O45" s="22">
        <v>2.2886786695148</v>
      </c>
      <c r="P45" s="37">
        <v>14.2397141785742</v>
      </c>
      <c r="Q45" s="21" t="s">
        <v>1428</v>
      </c>
      <c r="R45" s="37">
        <v>4</v>
      </c>
      <c r="S45" s="22">
        <f t="shared" si="1"/>
        <v>20.528392848089</v>
      </c>
      <c r="T45" s="23" t="s">
        <v>2854</v>
      </c>
      <c r="U45" s="35"/>
      <c r="V45" s="1170" t="s">
        <v>1406</v>
      </c>
    </row>
    <row r="46" s="42" customFormat="1" ht="18.75" customHeight="1" spans="1:22">
      <c r="A46" s="798"/>
      <c r="B46" s="19" t="s">
        <v>5721</v>
      </c>
      <c r="C46" s="695"/>
      <c r="D46" s="21"/>
      <c r="E46" s="19"/>
      <c r="F46" s="759" t="s">
        <v>5722</v>
      </c>
      <c r="G46" s="23" t="s">
        <v>3540</v>
      </c>
      <c r="H46" s="1220" t="s">
        <v>4568</v>
      </c>
      <c r="I46" s="21" t="s">
        <v>3463</v>
      </c>
      <c r="J46" s="21" t="s">
        <v>2955</v>
      </c>
      <c r="K46" s="1211" t="s">
        <v>712</v>
      </c>
      <c r="L46" s="700" t="s">
        <v>1428</v>
      </c>
      <c r="M46" s="138">
        <v>3.6</v>
      </c>
      <c r="N46" s="21" t="s">
        <v>1428</v>
      </c>
      <c r="O46" s="22">
        <v>2.40477106579454</v>
      </c>
      <c r="P46" s="37">
        <v>14.4748175417769</v>
      </c>
      <c r="Q46" s="21" t="s">
        <v>1428</v>
      </c>
      <c r="R46" s="37">
        <v>4</v>
      </c>
      <c r="S46" s="22">
        <f t="shared" si="1"/>
        <v>24.4795886075714</v>
      </c>
      <c r="T46" s="23" t="s">
        <v>4707</v>
      </c>
      <c r="U46" s="20" t="s">
        <v>5723</v>
      </c>
      <c r="V46" s="1170" t="s">
        <v>1406</v>
      </c>
    </row>
    <row r="47" s="42" customFormat="1" ht="15" spans="1:22">
      <c r="A47" s="798"/>
      <c r="B47" s="19"/>
      <c r="C47" s="695"/>
      <c r="D47" s="21"/>
      <c r="E47" s="23"/>
      <c r="F47" s="759" t="s">
        <v>5722</v>
      </c>
      <c r="G47" s="23" t="s">
        <v>1933</v>
      </c>
      <c r="H47" s="757" t="s">
        <v>3855</v>
      </c>
      <c r="I47" s="21" t="s">
        <v>1913</v>
      </c>
      <c r="J47" s="21" t="s">
        <v>1428</v>
      </c>
      <c r="K47" s="1211" t="s">
        <v>712</v>
      </c>
      <c r="L47" s="21" t="s">
        <v>1428</v>
      </c>
      <c r="M47" s="21" t="s">
        <v>1428</v>
      </c>
      <c r="N47" s="21" t="s">
        <v>1428</v>
      </c>
      <c r="O47" s="22">
        <v>4.45020852405656</v>
      </c>
      <c r="P47" s="37">
        <v>26.6306900482276</v>
      </c>
      <c r="Q47" s="21" t="s">
        <v>1428</v>
      </c>
      <c r="R47" s="37">
        <v>4</v>
      </c>
      <c r="S47" s="22">
        <f t="shared" si="1"/>
        <v>35.0808985722842</v>
      </c>
      <c r="T47" s="23" t="s">
        <v>2854</v>
      </c>
      <c r="U47" s="35" t="s">
        <v>5724</v>
      </c>
      <c r="V47" s="1170" t="s">
        <v>1406</v>
      </c>
    </row>
    <row r="48" s="42" customFormat="1" ht="14" customHeight="1" spans="1:22">
      <c r="A48" s="798"/>
      <c r="B48" s="23" t="s">
        <v>5725</v>
      </c>
      <c r="C48" s="20"/>
      <c r="D48" s="21"/>
      <c r="E48" s="23"/>
      <c r="F48" s="20" t="s">
        <v>1645</v>
      </c>
      <c r="G48" s="23" t="s">
        <v>3540</v>
      </c>
      <c r="H48" s="757" t="s">
        <v>3794</v>
      </c>
      <c r="I48" s="21" t="s">
        <v>1913</v>
      </c>
      <c r="J48" s="21" t="s">
        <v>1428</v>
      </c>
      <c r="K48" s="1211" t="s">
        <v>712</v>
      </c>
      <c r="L48" s="21" t="s">
        <v>1428</v>
      </c>
      <c r="M48" s="21" t="s">
        <v>1428</v>
      </c>
      <c r="N48" s="21" t="s">
        <v>1428</v>
      </c>
      <c r="O48" s="704">
        <v>3.45993117010816</v>
      </c>
      <c r="P48" s="37">
        <v>22.018</v>
      </c>
      <c r="Q48" s="21" t="s">
        <v>1428</v>
      </c>
      <c r="R48" s="37">
        <v>4</v>
      </c>
      <c r="S48" s="22">
        <f t="shared" si="1"/>
        <v>29.4779311701082</v>
      </c>
      <c r="T48" s="23" t="s">
        <v>2854</v>
      </c>
      <c r="U48" s="20" t="s">
        <v>5726</v>
      </c>
      <c r="V48" s="1170" t="s">
        <v>1406</v>
      </c>
    </row>
    <row r="49" s="994" customFormat="1" ht="14" customHeight="1" spans="1:22">
      <c r="A49" s="1223"/>
      <c r="B49" s="782"/>
      <c r="C49" s="1177">
        <v>20250507</v>
      </c>
      <c r="D49" s="783">
        <v>7.24</v>
      </c>
      <c r="E49" s="782" t="s">
        <v>5727</v>
      </c>
      <c r="F49" s="1177" t="s">
        <v>1604</v>
      </c>
      <c r="G49" s="782" t="s">
        <v>3540</v>
      </c>
      <c r="H49" s="1224" t="s">
        <v>3855</v>
      </c>
      <c r="I49" s="783" t="s">
        <v>1913</v>
      </c>
      <c r="J49" s="783" t="s">
        <v>1428</v>
      </c>
      <c r="K49" s="1211" t="s">
        <v>712</v>
      </c>
      <c r="L49" s="783" t="s">
        <v>1428</v>
      </c>
      <c r="M49" s="783" t="s">
        <v>1428</v>
      </c>
      <c r="N49" s="783" t="s">
        <v>1428</v>
      </c>
      <c r="O49" s="1180">
        <v>3.45993117010816</v>
      </c>
      <c r="P49" s="37">
        <f>31.73/7.13/1.13</f>
        <v>3.93823927316958</v>
      </c>
      <c r="Q49" s="783" t="s">
        <v>1428</v>
      </c>
      <c r="R49" s="1182">
        <f>23.5/6.91</f>
        <v>3.40086830680174</v>
      </c>
      <c r="S49" s="1198">
        <f t="shared" si="1"/>
        <v>10.7990387500795</v>
      </c>
      <c r="T49" s="782" t="s">
        <v>2854</v>
      </c>
      <c r="U49" s="1225" t="s">
        <v>5728</v>
      </c>
      <c r="V49" s="1185" t="s">
        <v>1406</v>
      </c>
    </row>
    <row r="50" s="42" customFormat="1" ht="14" customHeight="1" spans="1:22">
      <c r="A50" s="798"/>
      <c r="B50" s="23"/>
      <c r="C50" s="39">
        <v>20241127</v>
      </c>
      <c r="D50" s="20">
        <v>7.24</v>
      </c>
      <c r="E50" s="23" t="s">
        <v>5729</v>
      </c>
      <c r="F50" s="20" t="s">
        <v>1571</v>
      </c>
      <c r="G50" s="23" t="s">
        <v>3540</v>
      </c>
      <c r="H50" s="757" t="s">
        <v>3855</v>
      </c>
      <c r="I50" s="21" t="s">
        <v>1913</v>
      </c>
      <c r="J50" s="21" t="s">
        <v>1428</v>
      </c>
      <c r="K50" s="1211" t="s">
        <v>712</v>
      </c>
      <c r="L50" s="21" t="s">
        <v>1428</v>
      </c>
      <c r="M50" s="21" t="s">
        <v>1428</v>
      </c>
      <c r="N50" s="21" t="s">
        <v>1428</v>
      </c>
      <c r="O50" s="704">
        <v>3.45993117010816</v>
      </c>
      <c r="P50" s="37">
        <v>17.1099451038586</v>
      </c>
      <c r="Q50" s="21" t="s">
        <v>1428</v>
      </c>
      <c r="R50" s="37">
        <f>23.5/6.91</f>
        <v>3.40086830680174</v>
      </c>
      <c r="S50" s="22">
        <f t="shared" si="1"/>
        <v>23.9707445807685</v>
      </c>
      <c r="T50" s="23" t="s">
        <v>2854</v>
      </c>
      <c r="U50" s="842" t="s">
        <v>5730</v>
      </c>
      <c r="V50" s="1170"/>
    </row>
    <row r="51" s="42" customFormat="1" ht="14" customHeight="1" spans="1:22">
      <c r="A51" s="798"/>
      <c r="B51" s="23"/>
      <c r="C51" s="39">
        <v>20241121</v>
      </c>
      <c r="D51" s="20">
        <v>7.24</v>
      </c>
      <c r="E51" s="23" t="s">
        <v>5731</v>
      </c>
      <c r="F51" s="20" t="s">
        <v>1685</v>
      </c>
      <c r="G51" s="23" t="s">
        <v>3540</v>
      </c>
      <c r="H51" s="757" t="s">
        <v>3855</v>
      </c>
      <c r="I51" s="21" t="s">
        <v>1913</v>
      </c>
      <c r="J51" s="21" t="s">
        <v>1428</v>
      </c>
      <c r="K51" s="1211" t="s">
        <v>712</v>
      </c>
      <c r="L51" s="21" t="s">
        <v>1428</v>
      </c>
      <c r="M51" s="21" t="s">
        <v>1428</v>
      </c>
      <c r="N51" s="21" t="s">
        <v>1428</v>
      </c>
      <c r="O51" s="704">
        <v>3.45993117010816</v>
      </c>
      <c r="P51" s="37">
        <f>31.73/D51/1.13</f>
        <v>3.87840414609104</v>
      </c>
      <c r="Q51" s="21" t="s">
        <v>1428</v>
      </c>
      <c r="R51" s="37">
        <f>23.5/6.91</f>
        <v>3.40086830680174</v>
      </c>
      <c r="S51" s="22">
        <f t="shared" si="1"/>
        <v>10.7392036230009</v>
      </c>
      <c r="T51" s="23" t="s">
        <v>2854</v>
      </c>
      <c r="U51" s="948" t="s">
        <v>5732</v>
      </c>
      <c r="V51" s="1170" t="s">
        <v>1406</v>
      </c>
    </row>
    <row r="52" s="42" customFormat="1" ht="14" customHeight="1" spans="1:22">
      <c r="A52" s="798"/>
      <c r="B52" s="687"/>
      <c r="C52" s="1226">
        <v>46081</v>
      </c>
      <c r="D52" s="149">
        <v>6.8802</v>
      </c>
      <c r="E52" s="687" t="s">
        <v>5733</v>
      </c>
      <c r="F52" s="149" t="s">
        <v>1669</v>
      </c>
      <c r="G52" s="687" t="s">
        <v>3540</v>
      </c>
      <c r="H52" s="896" t="s">
        <v>3855</v>
      </c>
      <c r="I52" s="153" t="s">
        <v>1913</v>
      </c>
      <c r="J52" s="153" t="s">
        <v>1428</v>
      </c>
      <c r="K52" s="1227" t="s">
        <v>712</v>
      </c>
      <c r="L52" s="153" t="s">
        <v>1428</v>
      </c>
      <c r="M52" s="153" t="s">
        <v>1428</v>
      </c>
      <c r="N52" s="153" t="s">
        <v>1428</v>
      </c>
      <c r="O52" s="912">
        <v>3.45993117010816</v>
      </c>
      <c r="P52" s="154">
        <f>31.73/D52/1.13</f>
        <v>4.08122525765227</v>
      </c>
      <c r="Q52" s="153" t="s">
        <v>1428</v>
      </c>
      <c r="R52" s="154">
        <f>23.5/6.91</f>
        <v>3.40086830680174</v>
      </c>
      <c r="S52" s="727">
        <f t="shared" si="1"/>
        <v>10.9420247345622</v>
      </c>
      <c r="T52" s="687" t="s">
        <v>2854</v>
      </c>
      <c r="U52" s="149" t="s">
        <v>5734</v>
      </c>
      <c r="V52" s="1170" t="s">
        <v>1406</v>
      </c>
    </row>
    <row r="53" s="42" customFormat="1" ht="14" customHeight="1" spans="1:22">
      <c r="A53" s="798"/>
      <c r="B53" s="721" t="s">
        <v>5735</v>
      </c>
      <c r="C53" s="1226">
        <v>46081</v>
      </c>
      <c r="D53" s="153">
        <v>6.8802</v>
      </c>
      <c r="E53" s="687"/>
      <c r="F53" s="1228" t="s">
        <v>5736</v>
      </c>
      <c r="G53" s="687" t="s">
        <v>3540</v>
      </c>
      <c r="H53" s="896" t="s">
        <v>3855</v>
      </c>
      <c r="I53" s="153" t="s">
        <v>1913</v>
      </c>
      <c r="J53" s="153" t="s">
        <v>1428</v>
      </c>
      <c r="K53" s="1227" t="s">
        <v>712</v>
      </c>
      <c r="L53" s="153" t="s">
        <v>1428</v>
      </c>
      <c r="M53" s="153" t="s">
        <v>1428</v>
      </c>
      <c r="N53" s="153" t="s">
        <v>1428</v>
      </c>
      <c r="O53" s="727">
        <v>5.31</v>
      </c>
      <c r="P53" s="154">
        <v>17.2609</v>
      </c>
      <c r="Q53" s="153" t="s">
        <v>1428</v>
      </c>
      <c r="R53" s="154">
        <v>4</v>
      </c>
      <c r="S53" s="727">
        <f t="shared" si="1"/>
        <v>26.5709</v>
      </c>
      <c r="T53" s="687" t="s">
        <v>2854</v>
      </c>
      <c r="U53" s="149" t="s">
        <v>5726</v>
      </c>
      <c r="V53" s="1170" t="s">
        <v>1406</v>
      </c>
    </row>
    <row r="54" s="839" customFormat="1" ht="14" customHeight="1" spans="1:22">
      <c r="A54" s="798"/>
      <c r="B54" s="23" t="s">
        <v>5737</v>
      </c>
      <c r="C54" s="39"/>
      <c r="D54" s="690"/>
      <c r="E54" s="23"/>
      <c r="F54" s="20" t="s">
        <v>1629</v>
      </c>
      <c r="G54" s="23" t="s">
        <v>3540</v>
      </c>
      <c r="H54" s="757" t="s">
        <v>3794</v>
      </c>
      <c r="I54" s="21" t="s">
        <v>1913</v>
      </c>
      <c r="J54" s="21" t="s">
        <v>1428</v>
      </c>
      <c r="K54" s="1211" t="s">
        <v>712</v>
      </c>
      <c r="L54" s="21" t="s">
        <v>1428</v>
      </c>
      <c r="M54" s="21" t="s">
        <v>1428</v>
      </c>
      <c r="N54" s="21" t="s">
        <v>1428</v>
      </c>
      <c r="O54" s="22">
        <v>1.83347186231849</v>
      </c>
      <c r="P54" s="37">
        <v>18.5039895720758</v>
      </c>
      <c r="Q54" s="21" t="s">
        <v>1428</v>
      </c>
      <c r="R54" s="37">
        <v>4</v>
      </c>
      <c r="S54" s="22">
        <f t="shared" si="1"/>
        <v>24.3374614343943</v>
      </c>
      <c r="T54" s="23" t="s">
        <v>2854</v>
      </c>
      <c r="U54" s="20"/>
      <c r="V54" s="1170" t="s">
        <v>1406</v>
      </c>
    </row>
    <row r="55" s="1201" customFormat="1" ht="14" customHeight="1" spans="1:22">
      <c r="A55" s="1223"/>
      <c r="B55" s="782"/>
      <c r="C55" s="1177">
        <v>20250507</v>
      </c>
      <c r="D55" s="783">
        <v>7.24</v>
      </c>
      <c r="E55" s="782" t="s">
        <v>5738</v>
      </c>
      <c r="F55" s="1177" t="s">
        <v>1604</v>
      </c>
      <c r="G55" s="782" t="s">
        <v>3540</v>
      </c>
      <c r="H55" s="1224" t="s">
        <v>3855</v>
      </c>
      <c r="I55" s="783" t="s">
        <v>1913</v>
      </c>
      <c r="J55" s="783" t="s">
        <v>1428</v>
      </c>
      <c r="K55" s="1211" t="s">
        <v>712</v>
      </c>
      <c r="L55" s="783" t="s">
        <v>1428</v>
      </c>
      <c r="M55" s="783" t="s">
        <v>1428</v>
      </c>
      <c r="N55" s="783" t="s">
        <v>1428</v>
      </c>
      <c r="O55" s="1198">
        <v>1.83347186231849</v>
      </c>
      <c r="P55" s="37">
        <v>15.7347492865567</v>
      </c>
      <c r="Q55" s="783" t="s">
        <v>1428</v>
      </c>
      <c r="R55" s="1182">
        <v>4</v>
      </c>
      <c r="S55" s="1198">
        <f t="shared" si="1"/>
        <v>21.5682211488752</v>
      </c>
      <c r="T55" s="782" t="s">
        <v>2854</v>
      </c>
      <c r="U55" s="1177" t="s">
        <v>5739</v>
      </c>
      <c r="V55" s="1185" t="s">
        <v>1406</v>
      </c>
    </row>
    <row r="56" s="839" customFormat="1" ht="15" spans="1:22">
      <c r="A56" s="798"/>
      <c r="B56" s="23"/>
      <c r="C56" s="39">
        <v>20240417</v>
      </c>
      <c r="D56" s="690">
        <v>7.24</v>
      </c>
      <c r="E56" s="23" t="s">
        <v>5740</v>
      </c>
      <c r="F56" s="20" t="s">
        <v>1571</v>
      </c>
      <c r="G56" s="23" t="s">
        <v>3540</v>
      </c>
      <c r="H56" s="757" t="s">
        <v>3855</v>
      </c>
      <c r="I56" s="21" t="s">
        <v>1913</v>
      </c>
      <c r="J56" s="21" t="s">
        <v>1428</v>
      </c>
      <c r="K56" s="1211" t="s">
        <v>712</v>
      </c>
      <c r="L56" s="21" t="s">
        <v>1428</v>
      </c>
      <c r="M56" s="21" t="s">
        <v>1428</v>
      </c>
      <c r="N56" s="21" t="s">
        <v>1428</v>
      </c>
      <c r="O56" s="22">
        <v>1.83347186231849</v>
      </c>
      <c r="P56" s="37">
        <v>16.2269647736567</v>
      </c>
      <c r="Q56" s="21" t="s">
        <v>1428</v>
      </c>
      <c r="R56" s="37">
        <v>4</v>
      </c>
      <c r="S56" s="22">
        <f t="shared" si="1"/>
        <v>22.0604366359752</v>
      </c>
      <c r="T56" s="23" t="s">
        <v>2854</v>
      </c>
      <c r="U56" s="20" t="s">
        <v>5741</v>
      </c>
      <c r="V56" s="1170"/>
    </row>
    <row r="57" s="1201" customFormat="1" ht="14" customHeight="1" spans="1:22">
      <c r="A57" s="1223"/>
      <c r="B57" s="23"/>
      <c r="C57" s="39">
        <v>20240417</v>
      </c>
      <c r="D57" s="690">
        <v>7.24</v>
      </c>
      <c r="E57" s="23" t="s">
        <v>5742</v>
      </c>
      <c r="F57" s="20" t="s">
        <v>1685</v>
      </c>
      <c r="G57" s="23" t="s">
        <v>3540</v>
      </c>
      <c r="H57" s="757" t="s">
        <v>3794</v>
      </c>
      <c r="I57" s="21" t="s">
        <v>1913</v>
      </c>
      <c r="J57" s="21" t="s">
        <v>1428</v>
      </c>
      <c r="K57" s="1211" t="s">
        <v>712</v>
      </c>
      <c r="L57" s="21" t="s">
        <v>1428</v>
      </c>
      <c r="M57" s="21" t="s">
        <v>1428</v>
      </c>
      <c r="N57" s="21" t="s">
        <v>1428</v>
      </c>
      <c r="O57" s="22">
        <v>1.83347186231849</v>
      </c>
      <c r="P57" s="37">
        <v>15.4868083875931</v>
      </c>
      <c r="Q57" s="21" t="s">
        <v>1428</v>
      </c>
      <c r="R57" s="37">
        <v>4</v>
      </c>
      <c r="S57" s="22">
        <f t="shared" si="1"/>
        <v>21.3202802499116</v>
      </c>
      <c r="T57" s="23" t="s">
        <v>2854</v>
      </c>
      <c r="U57" s="20" t="s">
        <v>5741</v>
      </c>
      <c r="V57" s="1185"/>
    </row>
    <row r="58" s="839" customFormat="1" ht="14" customHeight="1" spans="1:22">
      <c r="A58" s="798"/>
      <c r="B58" s="23"/>
      <c r="C58" s="39">
        <v>20240112</v>
      </c>
      <c r="D58" s="20">
        <v>7.24</v>
      </c>
      <c r="E58" s="23" t="s">
        <v>5743</v>
      </c>
      <c r="F58" s="20" t="s">
        <v>1669</v>
      </c>
      <c r="G58" s="23" t="s">
        <v>3540</v>
      </c>
      <c r="H58" s="757" t="s">
        <v>3855</v>
      </c>
      <c r="I58" s="21" t="s">
        <v>1913</v>
      </c>
      <c r="J58" s="21" t="s">
        <v>1428</v>
      </c>
      <c r="K58" s="1211" t="s">
        <v>712</v>
      </c>
      <c r="L58" s="21" t="s">
        <v>1428</v>
      </c>
      <c r="M58" s="21" t="s">
        <v>1428</v>
      </c>
      <c r="N58" s="21" t="s">
        <v>1428</v>
      </c>
      <c r="O58" s="22">
        <v>1.83347186231849</v>
      </c>
      <c r="P58" s="37">
        <v>16.8148996663086</v>
      </c>
      <c r="Q58" s="21" t="s">
        <v>1428</v>
      </c>
      <c r="R58" s="37">
        <v>4</v>
      </c>
      <c r="S58" s="22">
        <f t="shared" si="1"/>
        <v>22.6483715286271</v>
      </c>
      <c r="T58" s="23" t="s">
        <v>2854</v>
      </c>
      <c r="U58" s="20"/>
      <c r="V58" s="1170" t="s">
        <v>1406</v>
      </c>
    </row>
    <row r="59" s="42" customFormat="1" ht="14" customHeight="1" spans="1:22">
      <c r="A59" s="798"/>
      <c r="B59" s="689" t="s">
        <v>5744</v>
      </c>
      <c r="C59" s="20"/>
      <c r="D59" s="21"/>
      <c r="E59" s="729" t="s">
        <v>1419</v>
      </c>
      <c r="F59" s="20" t="s">
        <v>1617</v>
      </c>
      <c r="G59" s="23" t="s">
        <v>1933</v>
      </c>
      <c r="H59" s="21" t="s">
        <v>4010</v>
      </c>
      <c r="I59" s="21" t="s">
        <v>1913</v>
      </c>
      <c r="J59" s="1187" t="s">
        <v>1428</v>
      </c>
      <c r="K59" s="1211" t="s">
        <v>712</v>
      </c>
      <c r="L59" s="689" t="s">
        <v>1428</v>
      </c>
      <c r="M59" s="689" t="s">
        <v>1428</v>
      </c>
      <c r="N59" s="689" t="s">
        <v>1428</v>
      </c>
      <c r="O59" s="22">
        <f t="shared" ref="O59:O74" si="2">26/7.05/1.13</f>
        <v>3.26366660390385</v>
      </c>
      <c r="P59" s="37">
        <v>23.4825</v>
      </c>
      <c r="Q59" s="21" t="s">
        <v>1428</v>
      </c>
      <c r="R59" s="37">
        <v>4</v>
      </c>
      <c r="S59" s="22">
        <f t="shared" si="1"/>
        <v>30.7461666039039</v>
      </c>
      <c r="T59" s="756" t="s">
        <v>2854</v>
      </c>
      <c r="U59" s="20"/>
      <c r="V59" s="1170" t="s">
        <v>1406</v>
      </c>
    </row>
    <row r="60" s="42" customFormat="1" ht="14" customHeight="1" spans="1:22">
      <c r="A60" s="798"/>
      <c r="B60" s="689"/>
      <c r="C60" s="20"/>
      <c r="D60" s="21">
        <v>6.9264</v>
      </c>
      <c r="E60" s="729" t="s">
        <v>1420</v>
      </c>
      <c r="F60" s="20" t="s">
        <v>1629</v>
      </c>
      <c r="G60" s="23" t="s">
        <v>1933</v>
      </c>
      <c r="H60" s="21" t="s">
        <v>4010</v>
      </c>
      <c r="I60" s="21" t="s">
        <v>1913</v>
      </c>
      <c r="J60" s="1187" t="s">
        <v>1428</v>
      </c>
      <c r="K60" s="1211" t="s">
        <v>712</v>
      </c>
      <c r="L60" s="689" t="s">
        <v>1428</v>
      </c>
      <c r="M60" s="689" t="s">
        <v>1428</v>
      </c>
      <c r="N60" s="689" t="s">
        <v>1428</v>
      </c>
      <c r="O60" s="22">
        <f t="shared" si="2"/>
        <v>3.26366660390385</v>
      </c>
      <c r="P60" s="37">
        <v>21.9776</v>
      </c>
      <c r="Q60" s="21">
        <v>21.9</v>
      </c>
      <c r="R60" s="37">
        <v>4</v>
      </c>
      <c r="S60" s="22">
        <f t="shared" si="1"/>
        <v>51.1412666039038</v>
      </c>
      <c r="T60" s="756" t="s">
        <v>2854</v>
      </c>
      <c r="U60" s="20"/>
      <c r="V60" s="1170" t="s">
        <v>1406</v>
      </c>
    </row>
    <row r="61" s="42" customFormat="1" ht="14" customHeight="1" spans="1:22">
      <c r="A61" s="798"/>
      <c r="B61" s="689"/>
      <c r="C61" s="20"/>
      <c r="D61" s="21"/>
      <c r="E61" s="729"/>
      <c r="F61" s="20" t="s">
        <v>1645</v>
      </c>
      <c r="G61" s="23" t="s">
        <v>1933</v>
      </c>
      <c r="H61" s="21" t="s">
        <v>4010</v>
      </c>
      <c r="I61" s="21" t="s">
        <v>1913</v>
      </c>
      <c r="J61" s="1187" t="s">
        <v>1428</v>
      </c>
      <c r="K61" s="1211" t="s">
        <v>712</v>
      </c>
      <c r="L61" s="689" t="s">
        <v>1428</v>
      </c>
      <c r="M61" s="689" t="s">
        <v>1428</v>
      </c>
      <c r="N61" s="689" t="s">
        <v>1428</v>
      </c>
      <c r="O61" s="22">
        <f t="shared" si="2"/>
        <v>3.26366660390385</v>
      </c>
      <c r="P61" s="37">
        <v>21.3881094588437</v>
      </c>
      <c r="Q61" s="21" t="s">
        <v>1428</v>
      </c>
      <c r="R61" s="37">
        <v>4</v>
      </c>
      <c r="S61" s="22">
        <f t="shared" si="1"/>
        <v>28.6517760627476</v>
      </c>
      <c r="T61" s="756" t="s">
        <v>2854</v>
      </c>
      <c r="U61" s="20"/>
      <c r="V61" s="1170" t="s">
        <v>1406</v>
      </c>
    </row>
    <row r="62" s="42" customFormat="1" ht="14" customHeight="1" spans="1:22">
      <c r="A62" s="798"/>
      <c r="B62" s="689"/>
      <c r="C62" s="20"/>
      <c r="D62" s="21"/>
      <c r="E62" s="729"/>
      <c r="F62" s="20" t="s">
        <v>1604</v>
      </c>
      <c r="G62" s="23" t="s">
        <v>1933</v>
      </c>
      <c r="H62" s="21" t="s">
        <v>4010</v>
      </c>
      <c r="I62" s="21" t="s">
        <v>1913</v>
      </c>
      <c r="J62" s="1187" t="s">
        <v>1428</v>
      </c>
      <c r="K62" s="1211" t="s">
        <v>712</v>
      </c>
      <c r="L62" s="689" t="s">
        <v>1428</v>
      </c>
      <c r="M62" s="689" t="s">
        <v>1428</v>
      </c>
      <c r="N62" s="689" t="s">
        <v>1428</v>
      </c>
      <c r="O62" s="22">
        <f t="shared" si="2"/>
        <v>3.26366660390385</v>
      </c>
      <c r="P62" s="37">
        <v>21.8362</v>
      </c>
      <c r="Q62" s="21" t="s">
        <v>1428</v>
      </c>
      <c r="R62" s="37">
        <v>4</v>
      </c>
      <c r="S62" s="22">
        <f t="shared" si="1"/>
        <v>29.0998666039039</v>
      </c>
      <c r="T62" s="756" t="s">
        <v>2854</v>
      </c>
      <c r="U62" s="20"/>
      <c r="V62" s="1170" t="s">
        <v>1406</v>
      </c>
    </row>
    <row r="63" s="42" customFormat="1" ht="14" customHeight="1" spans="1:22">
      <c r="A63" s="798"/>
      <c r="B63" s="689"/>
      <c r="C63" s="20"/>
      <c r="D63" s="21"/>
      <c r="E63" s="729"/>
      <c r="F63" s="20" t="s">
        <v>1685</v>
      </c>
      <c r="G63" s="23" t="s">
        <v>1933</v>
      </c>
      <c r="H63" s="21" t="s">
        <v>3553</v>
      </c>
      <c r="I63" s="21" t="s">
        <v>1913</v>
      </c>
      <c r="J63" s="1187" t="s">
        <v>1428</v>
      </c>
      <c r="K63" s="1211" t="s">
        <v>712</v>
      </c>
      <c r="L63" s="689" t="s">
        <v>1428</v>
      </c>
      <c r="M63" s="689" t="s">
        <v>1428</v>
      </c>
      <c r="N63" s="689" t="s">
        <v>1428</v>
      </c>
      <c r="O63" s="22">
        <f t="shared" si="2"/>
        <v>3.26366660390385</v>
      </c>
      <c r="P63" s="37">
        <v>17.2785759244651</v>
      </c>
      <c r="Q63" s="21" t="s">
        <v>1428</v>
      </c>
      <c r="R63" s="37">
        <v>4</v>
      </c>
      <c r="S63" s="22">
        <f t="shared" si="1"/>
        <v>24.5422425283689</v>
      </c>
      <c r="T63" s="756" t="s">
        <v>2854</v>
      </c>
      <c r="U63" s="20"/>
      <c r="V63" s="1170" t="s">
        <v>1406</v>
      </c>
    </row>
    <row r="64" s="42" customFormat="1" ht="14" customHeight="1" spans="1:22">
      <c r="A64" s="798"/>
      <c r="B64" s="689"/>
      <c r="C64" s="20"/>
      <c r="D64" s="21"/>
      <c r="E64" s="729"/>
      <c r="F64" s="20" t="s">
        <v>1669</v>
      </c>
      <c r="G64" s="23" t="s">
        <v>1933</v>
      </c>
      <c r="H64" s="21" t="s">
        <v>3644</v>
      </c>
      <c r="I64" s="21" t="s">
        <v>1913</v>
      </c>
      <c r="J64" s="1187" t="s">
        <v>1428</v>
      </c>
      <c r="K64" s="1211" t="s">
        <v>712</v>
      </c>
      <c r="L64" s="689" t="s">
        <v>1428</v>
      </c>
      <c r="M64" s="689" t="s">
        <v>1428</v>
      </c>
      <c r="N64" s="689" t="s">
        <v>1428</v>
      </c>
      <c r="O64" s="22">
        <f t="shared" si="2"/>
        <v>3.26366660390385</v>
      </c>
      <c r="P64" s="37">
        <v>17.3386349759022</v>
      </c>
      <c r="Q64" s="21" t="s">
        <v>1428</v>
      </c>
      <c r="R64" s="37">
        <v>4</v>
      </c>
      <c r="S64" s="22">
        <f t="shared" si="1"/>
        <v>24.602301579806</v>
      </c>
      <c r="T64" s="756" t="s">
        <v>2854</v>
      </c>
      <c r="U64" s="20"/>
      <c r="V64" s="1170" t="s">
        <v>1406</v>
      </c>
    </row>
    <row r="65" s="42" customFormat="1" ht="14" customHeight="1" spans="1:22">
      <c r="A65" s="798"/>
      <c r="B65" s="689"/>
      <c r="C65" s="20">
        <v>20231007</v>
      </c>
      <c r="D65" s="20">
        <v>7.24</v>
      </c>
      <c r="E65" s="729" t="s">
        <v>5745</v>
      </c>
      <c r="F65" s="20" t="s">
        <v>5746</v>
      </c>
      <c r="G65" s="23" t="s">
        <v>3592</v>
      </c>
      <c r="H65" s="21" t="s">
        <v>3541</v>
      </c>
      <c r="I65" s="21" t="s">
        <v>1913</v>
      </c>
      <c r="J65" s="1187" t="s">
        <v>1428</v>
      </c>
      <c r="K65" s="1211" t="s">
        <v>712</v>
      </c>
      <c r="L65" s="689" t="s">
        <v>1428</v>
      </c>
      <c r="M65" s="689" t="s">
        <v>1428</v>
      </c>
      <c r="N65" s="689" t="s">
        <v>1428</v>
      </c>
      <c r="O65" s="22">
        <f t="shared" si="2"/>
        <v>3.26366660390385</v>
      </c>
      <c r="P65" s="37">
        <v>17.153051275758</v>
      </c>
      <c r="Q65" s="21" t="s">
        <v>1428</v>
      </c>
      <c r="R65" s="37">
        <v>4</v>
      </c>
      <c r="S65" s="22">
        <f t="shared" si="1"/>
        <v>24.4167178796618</v>
      </c>
      <c r="T65" s="756" t="s">
        <v>2854</v>
      </c>
      <c r="U65" s="139" t="s">
        <v>5747</v>
      </c>
      <c r="V65" s="1170" t="s">
        <v>1406</v>
      </c>
    </row>
    <row r="66" s="42" customFormat="1" ht="14" customHeight="1" spans="1:22">
      <c r="A66" s="798"/>
      <c r="B66" s="689"/>
      <c r="C66" s="20">
        <v>20240401</v>
      </c>
      <c r="D66" s="20">
        <v>7.24</v>
      </c>
      <c r="E66" s="729" t="s">
        <v>5748</v>
      </c>
      <c r="F66" s="20" t="s">
        <v>5749</v>
      </c>
      <c r="G66" s="23" t="s">
        <v>3592</v>
      </c>
      <c r="H66" s="21" t="s">
        <v>3542</v>
      </c>
      <c r="I66" s="21" t="s">
        <v>1913</v>
      </c>
      <c r="J66" s="1187" t="s">
        <v>5750</v>
      </c>
      <c r="K66" s="1211" t="s">
        <v>712</v>
      </c>
      <c r="L66" s="689" t="s">
        <v>1428</v>
      </c>
      <c r="M66" s="689" t="s">
        <v>1428</v>
      </c>
      <c r="N66" s="689">
        <v>3.5</v>
      </c>
      <c r="O66" s="22">
        <f t="shared" si="2"/>
        <v>3.26366660390385</v>
      </c>
      <c r="P66" s="37">
        <v>16.1883636896176</v>
      </c>
      <c r="Q66" s="21" t="s">
        <v>1428</v>
      </c>
      <c r="R66" s="37">
        <v>4</v>
      </c>
      <c r="S66" s="22">
        <f t="shared" si="1"/>
        <v>26.9520302935214</v>
      </c>
      <c r="T66" s="756" t="s">
        <v>2854</v>
      </c>
      <c r="U66" s="139" t="s">
        <v>5751</v>
      </c>
      <c r="V66" s="1170" t="s">
        <v>1406</v>
      </c>
    </row>
    <row r="67" s="42" customFormat="1" ht="14" customHeight="1" spans="1:22">
      <c r="A67" s="798"/>
      <c r="B67" s="689"/>
      <c r="C67" s="20">
        <v>20231117</v>
      </c>
      <c r="D67" s="20">
        <v>7.24</v>
      </c>
      <c r="E67" s="729" t="s">
        <v>5752</v>
      </c>
      <c r="F67" s="20" t="s">
        <v>5753</v>
      </c>
      <c r="G67" s="23" t="s">
        <v>3592</v>
      </c>
      <c r="H67" s="21" t="s">
        <v>3549</v>
      </c>
      <c r="I67" s="21" t="s">
        <v>1913</v>
      </c>
      <c r="J67" s="1187" t="s">
        <v>1428</v>
      </c>
      <c r="K67" s="1211" t="s">
        <v>712</v>
      </c>
      <c r="L67" s="1187" t="s">
        <v>1428</v>
      </c>
      <c r="M67" s="1187" t="s">
        <v>1428</v>
      </c>
      <c r="N67" s="1187" t="s">
        <v>1428</v>
      </c>
      <c r="O67" s="22">
        <f t="shared" si="2"/>
        <v>3.26366660390385</v>
      </c>
      <c r="P67" s="37">
        <v>19.5518185735591</v>
      </c>
      <c r="Q67" s="21" t="s">
        <v>1428</v>
      </c>
      <c r="R67" s="37">
        <v>4</v>
      </c>
      <c r="S67" s="22">
        <f t="shared" si="1"/>
        <v>26.8154851774629</v>
      </c>
      <c r="T67" s="756" t="s">
        <v>2854</v>
      </c>
      <c r="U67" s="139" t="s">
        <v>5754</v>
      </c>
      <c r="V67" s="1170" t="s">
        <v>1406</v>
      </c>
    </row>
    <row r="68" s="42" customFormat="1" ht="14" customHeight="1" spans="1:22">
      <c r="A68" s="798"/>
      <c r="B68" s="689"/>
      <c r="C68" s="20">
        <v>20231116</v>
      </c>
      <c r="D68" s="20">
        <v>7.24</v>
      </c>
      <c r="E68" s="729" t="s">
        <v>5755</v>
      </c>
      <c r="F68" s="20" t="s">
        <v>5756</v>
      </c>
      <c r="G68" s="23" t="s">
        <v>3592</v>
      </c>
      <c r="H68" s="21" t="s">
        <v>3541</v>
      </c>
      <c r="I68" s="21" t="s">
        <v>1913</v>
      </c>
      <c r="J68" s="1187" t="s">
        <v>1428</v>
      </c>
      <c r="K68" s="1211" t="s">
        <v>712</v>
      </c>
      <c r="L68" s="689" t="s">
        <v>1428</v>
      </c>
      <c r="M68" s="689" t="s">
        <v>1428</v>
      </c>
      <c r="N68" s="689" t="s">
        <v>1428</v>
      </c>
      <c r="O68" s="22">
        <f t="shared" si="2"/>
        <v>3.26366660390385</v>
      </c>
      <c r="P68" s="37">
        <v>16.9207201185211</v>
      </c>
      <c r="Q68" s="21" t="s">
        <v>1428</v>
      </c>
      <c r="R68" s="37">
        <v>4</v>
      </c>
      <c r="S68" s="22">
        <f t="shared" si="1"/>
        <v>24.184386722425</v>
      </c>
      <c r="T68" s="756" t="s">
        <v>2854</v>
      </c>
      <c r="U68" s="139" t="s">
        <v>5754</v>
      </c>
      <c r="V68" s="1170" t="s">
        <v>1406</v>
      </c>
    </row>
    <row r="69" s="42" customFormat="1" ht="14" customHeight="1" spans="1:22">
      <c r="A69" s="798"/>
      <c r="B69" s="689"/>
      <c r="C69" s="20">
        <v>20240827</v>
      </c>
      <c r="D69" s="20">
        <v>7.24</v>
      </c>
      <c r="E69" s="729" t="s">
        <v>5757</v>
      </c>
      <c r="F69" s="20" t="s">
        <v>2449</v>
      </c>
      <c r="G69" s="23" t="s">
        <v>3592</v>
      </c>
      <c r="H69" s="21" t="s">
        <v>3542</v>
      </c>
      <c r="I69" s="21" t="s">
        <v>1913</v>
      </c>
      <c r="J69" s="1187" t="s">
        <v>5758</v>
      </c>
      <c r="K69" s="1211" t="s">
        <v>712</v>
      </c>
      <c r="L69" s="689" t="s">
        <v>1428</v>
      </c>
      <c r="M69" s="689" t="s">
        <v>1428</v>
      </c>
      <c r="N69" s="781">
        <v>2.3</v>
      </c>
      <c r="O69" s="22">
        <f t="shared" si="2"/>
        <v>3.26366660390385</v>
      </c>
      <c r="P69" s="37">
        <v>16.1103008478981</v>
      </c>
      <c r="Q69" s="21" t="s">
        <v>1428</v>
      </c>
      <c r="R69" s="37">
        <v>4</v>
      </c>
      <c r="S69" s="22">
        <f t="shared" ref="S69:S105" si="3">SUM(K69:R69)</f>
        <v>25.6739674518019</v>
      </c>
      <c r="T69" s="756" t="s">
        <v>2854</v>
      </c>
      <c r="U69" s="139" t="s">
        <v>5759</v>
      </c>
      <c r="V69" s="1170"/>
    </row>
    <row r="70" s="42" customFormat="1" ht="14" customHeight="1" spans="1:22">
      <c r="A70" s="798"/>
      <c r="B70" s="689"/>
      <c r="C70" s="20">
        <v>20240827</v>
      </c>
      <c r="D70" s="20">
        <v>7.24</v>
      </c>
      <c r="E70" s="729" t="s">
        <v>5760</v>
      </c>
      <c r="F70" s="20" t="s">
        <v>2546</v>
      </c>
      <c r="G70" s="23" t="s">
        <v>3592</v>
      </c>
      <c r="H70" s="21" t="s">
        <v>3542</v>
      </c>
      <c r="I70" s="21" t="s">
        <v>1913</v>
      </c>
      <c r="J70" s="1187" t="s">
        <v>1428</v>
      </c>
      <c r="K70" s="1211" t="s">
        <v>712</v>
      </c>
      <c r="L70" s="689" t="s">
        <v>1428</v>
      </c>
      <c r="M70" s="689" t="s">
        <v>1428</v>
      </c>
      <c r="N70" s="689" t="s">
        <v>1428</v>
      </c>
      <c r="O70" s="22">
        <f t="shared" si="2"/>
        <v>3.26366660390385</v>
      </c>
      <c r="P70" s="37">
        <v>16.4482219437491</v>
      </c>
      <c r="Q70" s="21" t="s">
        <v>1428</v>
      </c>
      <c r="R70" s="37">
        <v>4</v>
      </c>
      <c r="S70" s="22">
        <f t="shared" si="3"/>
        <v>23.711888547653</v>
      </c>
      <c r="T70" s="756" t="s">
        <v>2854</v>
      </c>
      <c r="U70" s="139" t="s">
        <v>5759</v>
      </c>
      <c r="V70" s="1170"/>
    </row>
    <row r="71" s="1202" customFormat="1" ht="14" customHeight="1" spans="1:22">
      <c r="A71" s="1229"/>
      <c r="B71" s="852"/>
      <c r="C71" s="846">
        <v>20240827</v>
      </c>
      <c r="D71" s="846">
        <v>7.24</v>
      </c>
      <c r="E71" s="847" t="s">
        <v>5761</v>
      </c>
      <c r="F71" s="846" t="s">
        <v>2306</v>
      </c>
      <c r="G71" s="848" t="s">
        <v>3592</v>
      </c>
      <c r="H71" s="849" t="s">
        <v>3566</v>
      </c>
      <c r="I71" s="849" t="s">
        <v>1913</v>
      </c>
      <c r="J71" s="850" t="s">
        <v>1428</v>
      </c>
      <c r="K71" s="1211" t="s">
        <v>712</v>
      </c>
      <c r="L71" s="852" t="s">
        <v>1428</v>
      </c>
      <c r="M71" s="852" t="s">
        <v>1428</v>
      </c>
      <c r="N71" s="852" t="s">
        <v>1428</v>
      </c>
      <c r="O71" s="22">
        <f t="shared" si="2"/>
        <v>3.26366660390385</v>
      </c>
      <c r="P71" s="37">
        <v>19.1874375449378</v>
      </c>
      <c r="Q71" s="849" t="s">
        <v>1428</v>
      </c>
      <c r="R71" s="855">
        <v>4</v>
      </c>
      <c r="S71" s="853">
        <f t="shared" si="3"/>
        <v>26.4511041488417</v>
      </c>
      <c r="T71" s="856" t="s">
        <v>1526</v>
      </c>
      <c r="U71" s="857" t="s">
        <v>5762</v>
      </c>
      <c r="V71" s="1230"/>
    </row>
    <row r="72" s="42" customFormat="1" ht="14" customHeight="1" spans="1:22">
      <c r="A72" s="798"/>
      <c r="B72" s="689"/>
      <c r="C72" s="20">
        <v>20250103</v>
      </c>
      <c r="D72" s="20">
        <v>7.24</v>
      </c>
      <c r="E72" s="729" t="s">
        <v>5763</v>
      </c>
      <c r="F72" s="20" t="s">
        <v>2431</v>
      </c>
      <c r="G72" s="23" t="s">
        <v>5111</v>
      </c>
      <c r="H72" s="21" t="s">
        <v>3542</v>
      </c>
      <c r="I72" s="21" t="s">
        <v>1913</v>
      </c>
      <c r="J72" s="1187" t="s">
        <v>5764</v>
      </c>
      <c r="K72" s="1211" t="s">
        <v>712</v>
      </c>
      <c r="L72" s="689"/>
      <c r="M72" s="689"/>
      <c r="N72" s="689">
        <v>3.3</v>
      </c>
      <c r="O72" s="22">
        <f t="shared" si="2"/>
        <v>3.26366660390385</v>
      </c>
      <c r="P72" s="37">
        <v>15.709354822042</v>
      </c>
      <c r="Q72" s="21"/>
      <c r="R72" s="37">
        <v>4</v>
      </c>
      <c r="S72" s="22">
        <f t="shared" si="3"/>
        <v>26.2730214259458</v>
      </c>
      <c r="T72" s="1158" t="s">
        <v>1526</v>
      </c>
      <c r="U72" s="139" t="s">
        <v>5765</v>
      </c>
      <c r="V72" s="1170"/>
    </row>
    <row r="73" s="42" customFormat="1" ht="14" customHeight="1" spans="1:22">
      <c r="A73" s="798"/>
      <c r="B73" s="689"/>
      <c r="C73" s="20">
        <v>20250506</v>
      </c>
      <c r="D73" s="21">
        <v>7.24</v>
      </c>
      <c r="E73" s="729" t="s">
        <v>5766</v>
      </c>
      <c r="F73" s="20" t="s">
        <v>1667</v>
      </c>
      <c r="G73" s="23" t="s">
        <v>5111</v>
      </c>
      <c r="H73" s="21" t="s">
        <v>3542</v>
      </c>
      <c r="I73" s="21" t="s">
        <v>1913</v>
      </c>
      <c r="J73" s="1187"/>
      <c r="K73" s="1211" t="s">
        <v>712</v>
      </c>
      <c r="L73" s="689"/>
      <c r="M73" s="689"/>
      <c r="N73" s="689"/>
      <c r="O73" s="22">
        <f t="shared" si="2"/>
        <v>3.26366660390385</v>
      </c>
      <c r="P73" s="37">
        <v>17.6663208840002</v>
      </c>
      <c r="Q73" s="21"/>
      <c r="R73" s="37">
        <v>4</v>
      </c>
      <c r="S73" s="22">
        <f t="shared" si="3"/>
        <v>24.9299874879041</v>
      </c>
      <c r="T73" s="1158" t="s">
        <v>1526</v>
      </c>
      <c r="U73" s="139" t="s">
        <v>5767</v>
      </c>
      <c r="V73" s="1170"/>
    </row>
    <row r="74" s="193" customFormat="1" ht="14" customHeight="1" spans="1:22">
      <c r="A74" s="924"/>
      <c r="B74" s="689"/>
      <c r="C74" s="20">
        <v>20250320</v>
      </c>
      <c r="D74" s="20">
        <v>7.24</v>
      </c>
      <c r="E74" s="729"/>
      <c r="F74" s="139" t="s">
        <v>5768</v>
      </c>
      <c r="G74" s="23" t="s">
        <v>5111</v>
      </c>
      <c r="H74" s="21" t="s">
        <v>3542</v>
      </c>
      <c r="I74" s="21" t="s">
        <v>1913</v>
      </c>
      <c r="J74" s="1187"/>
      <c r="K74" s="1211" t="s">
        <v>712</v>
      </c>
      <c r="L74" s="689"/>
      <c r="M74" s="689"/>
      <c r="N74" s="689">
        <v>12.5</v>
      </c>
      <c r="O74" s="22">
        <f t="shared" si="2"/>
        <v>3.26366660390385</v>
      </c>
      <c r="P74" s="37">
        <v>18.0489225304334</v>
      </c>
      <c r="Q74" s="21"/>
      <c r="R74" s="37">
        <v>4</v>
      </c>
      <c r="S74" s="22">
        <f t="shared" si="3"/>
        <v>37.8125891343372</v>
      </c>
      <c r="T74" s="1158" t="s">
        <v>1526</v>
      </c>
      <c r="U74" s="139" t="s">
        <v>5769</v>
      </c>
      <c r="V74" s="1174"/>
    </row>
    <row r="75" s="42" customFormat="1" ht="15" spans="1:22">
      <c r="A75" s="798"/>
      <c r="B75" s="705" t="s">
        <v>5770</v>
      </c>
      <c r="C75" s="20"/>
      <c r="D75" s="21"/>
      <c r="E75" s="23"/>
      <c r="F75" s="20" t="s">
        <v>4278</v>
      </c>
      <c r="G75" s="23" t="s">
        <v>3540</v>
      </c>
      <c r="H75" s="21" t="s">
        <v>5771</v>
      </c>
      <c r="I75" s="21" t="s">
        <v>1913</v>
      </c>
      <c r="J75" s="1187" t="s">
        <v>1428</v>
      </c>
      <c r="K75" s="1211" t="s">
        <v>712</v>
      </c>
      <c r="L75" s="689" t="s">
        <v>1428</v>
      </c>
      <c r="M75" s="1187" t="e">
        <f>32.2/E75/1.13</f>
        <v>#DIV/0!</v>
      </c>
      <c r="N75" s="1187" t="s">
        <v>1428</v>
      </c>
      <c r="O75" s="1187" t="s">
        <v>1428</v>
      </c>
      <c r="P75" s="37">
        <v>59.6857303139784</v>
      </c>
      <c r="Q75" s="21" t="s">
        <v>1428</v>
      </c>
      <c r="R75" s="37">
        <v>4</v>
      </c>
      <c r="S75" s="22" t="e">
        <f t="shared" si="3"/>
        <v>#DIV/0!</v>
      </c>
      <c r="T75" s="756" t="s">
        <v>2854</v>
      </c>
      <c r="U75" s="20" t="s">
        <v>5772</v>
      </c>
      <c r="V75" s="1170" t="s">
        <v>1406</v>
      </c>
    </row>
    <row r="76" s="42" customFormat="1" ht="17" customHeight="1" spans="1:22">
      <c r="A76" s="798"/>
      <c r="B76" s="706"/>
      <c r="C76" s="20"/>
      <c r="D76" s="21"/>
      <c r="E76" s="23"/>
      <c r="F76" s="20" t="s">
        <v>1617</v>
      </c>
      <c r="G76" s="23" t="s">
        <v>3540</v>
      </c>
      <c r="H76" s="21" t="s">
        <v>5771</v>
      </c>
      <c r="I76" s="21" t="s">
        <v>1913</v>
      </c>
      <c r="J76" s="1187" t="s">
        <v>1428</v>
      </c>
      <c r="K76" s="1211" t="s">
        <v>712</v>
      </c>
      <c r="L76" s="689" t="s">
        <v>1428</v>
      </c>
      <c r="M76" s="1187" t="s">
        <v>1428</v>
      </c>
      <c r="N76" s="1187" t="s">
        <v>1428</v>
      </c>
      <c r="O76" s="22">
        <v>4.47593227275052</v>
      </c>
      <c r="P76" s="37">
        <v>22.3753876148025</v>
      </c>
      <c r="Q76" s="21" t="s">
        <v>1428</v>
      </c>
      <c r="R76" s="37">
        <v>4</v>
      </c>
      <c r="S76" s="22">
        <f t="shared" si="3"/>
        <v>30.851319887553</v>
      </c>
      <c r="T76" s="756" t="s">
        <v>2854</v>
      </c>
      <c r="U76" s="812"/>
      <c r="V76" s="1170" t="s">
        <v>1406</v>
      </c>
    </row>
    <row r="77" s="42" customFormat="1" ht="15" spans="1:22">
      <c r="A77" s="798"/>
      <c r="B77" s="706"/>
      <c r="C77" s="20"/>
      <c r="D77" s="21"/>
      <c r="E77" s="23"/>
      <c r="F77" s="20" t="s">
        <v>1629</v>
      </c>
      <c r="G77" s="23" t="s">
        <v>3540</v>
      </c>
      <c r="H77" s="21" t="s">
        <v>5771</v>
      </c>
      <c r="I77" s="21" t="s">
        <v>1913</v>
      </c>
      <c r="J77" s="1187" t="s">
        <v>1428</v>
      </c>
      <c r="K77" s="1211" t="s">
        <v>712</v>
      </c>
      <c r="L77" s="689" t="s">
        <v>1428</v>
      </c>
      <c r="M77" s="1187" t="s">
        <v>1428</v>
      </c>
      <c r="N77" s="1187" t="s">
        <v>1428</v>
      </c>
      <c r="O77" s="22">
        <v>4.47593227275052</v>
      </c>
      <c r="P77" s="37">
        <v>18.0194128953783</v>
      </c>
      <c r="Q77" s="21" t="s">
        <v>1428</v>
      </c>
      <c r="R77" s="37">
        <v>4</v>
      </c>
      <c r="S77" s="22">
        <f t="shared" si="3"/>
        <v>26.4953451681288</v>
      </c>
      <c r="T77" s="756" t="s">
        <v>2854</v>
      </c>
      <c r="U77" s="812"/>
      <c r="V77" s="1170" t="s">
        <v>1406</v>
      </c>
    </row>
    <row r="78" s="42" customFormat="1" ht="15" spans="1:22">
      <c r="A78" s="798"/>
      <c r="B78" s="706"/>
      <c r="C78" s="20"/>
      <c r="D78" s="21"/>
      <c r="E78" s="23"/>
      <c r="F78" s="20" t="s">
        <v>1645</v>
      </c>
      <c r="G78" s="23" t="s">
        <v>3540</v>
      </c>
      <c r="H78" s="21" t="s">
        <v>5771</v>
      </c>
      <c r="I78" s="21" t="s">
        <v>1913</v>
      </c>
      <c r="J78" s="1187" t="s">
        <v>1428</v>
      </c>
      <c r="K78" s="1211" t="s">
        <v>712</v>
      </c>
      <c r="L78" s="689" t="s">
        <v>1428</v>
      </c>
      <c r="M78" s="1187" t="s">
        <v>1428</v>
      </c>
      <c r="N78" s="1187" t="s">
        <v>1428</v>
      </c>
      <c r="O78" s="22" t="e">
        <f>23.73/E78/1.13</f>
        <v>#DIV/0!</v>
      </c>
      <c r="P78" s="37">
        <v>23.2726964328618</v>
      </c>
      <c r="Q78" s="21" t="s">
        <v>1428</v>
      </c>
      <c r="R78" s="37">
        <v>4</v>
      </c>
      <c r="S78" s="22" t="e">
        <f t="shared" si="3"/>
        <v>#DIV/0!</v>
      </c>
      <c r="T78" s="756" t="s">
        <v>2854</v>
      </c>
      <c r="U78" s="812"/>
      <c r="V78" s="1170" t="s">
        <v>1406</v>
      </c>
    </row>
    <row r="79" s="42" customFormat="1" ht="15" spans="1:22">
      <c r="A79" s="798"/>
      <c r="B79" s="1231"/>
      <c r="C79" s="1232"/>
      <c r="D79" s="1233"/>
      <c r="E79" s="1234"/>
      <c r="F79" s="1232" t="s">
        <v>1604</v>
      </c>
      <c r="G79" s="1234" t="s">
        <v>3540</v>
      </c>
      <c r="H79" s="1233" t="s">
        <v>5771</v>
      </c>
      <c r="I79" s="1233" t="s">
        <v>1913</v>
      </c>
      <c r="J79" s="1235" t="s">
        <v>1428</v>
      </c>
      <c r="K79" s="1236" t="s">
        <v>712</v>
      </c>
      <c r="L79" s="1237" t="s">
        <v>1428</v>
      </c>
      <c r="M79" s="1235" t="s">
        <v>1428</v>
      </c>
      <c r="N79" s="1235" t="s">
        <v>1428</v>
      </c>
      <c r="O79" s="1238">
        <v>4.47593227275052</v>
      </c>
      <c r="P79" s="1239">
        <v>22.6164826806144</v>
      </c>
      <c r="Q79" s="1233" t="s">
        <v>1428</v>
      </c>
      <c r="R79" s="37">
        <v>4</v>
      </c>
      <c r="S79" s="22">
        <f t="shared" si="3"/>
        <v>31.0924149533649</v>
      </c>
      <c r="T79" s="756" t="s">
        <v>2854</v>
      </c>
      <c r="U79" s="812"/>
      <c r="V79" s="1170" t="s">
        <v>1406</v>
      </c>
    </row>
    <row r="80" s="42" customFormat="1" ht="15" spans="1:22">
      <c r="A80" s="798"/>
      <c r="B80" s="706"/>
      <c r="C80" s="20">
        <v>20241204</v>
      </c>
      <c r="D80" s="20">
        <v>7.24</v>
      </c>
      <c r="E80" s="23" t="s">
        <v>5773</v>
      </c>
      <c r="F80" s="20" t="s">
        <v>1571</v>
      </c>
      <c r="G80" s="23" t="s">
        <v>3540</v>
      </c>
      <c r="H80" s="21" t="s">
        <v>5771</v>
      </c>
      <c r="I80" s="21" t="s">
        <v>1913</v>
      </c>
      <c r="J80" s="1187" t="s">
        <v>1428</v>
      </c>
      <c r="K80" s="1211" t="s">
        <v>712</v>
      </c>
      <c r="L80" s="689" t="s">
        <v>1428</v>
      </c>
      <c r="M80" s="1187" t="s">
        <v>1428</v>
      </c>
      <c r="N80" s="1187" t="s">
        <v>1428</v>
      </c>
      <c r="O80" s="22">
        <v>4.47593227275052</v>
      </c>
      <c r="P80" s="37">
        <v>16.4885967474525</v>
      </c>
      <c r="Q80" s="21" t="s">
        <v>1428</v>
      </c>
      <c r="R80" s="37">
        <v>4</v>
      </c>
      <c r="S80" s="22">
        <f t="shared" si="3"/>
        <v>24.964529020203</v>
      </c>
      <c r="T80" s="756" t="s">
        <v>2854</v>
      </c>
      <c r="U80" s="812"/>
      <c r="V80" s="1170" t="s">
        <v>1406</v>
      </c>
    </row>
    <row r="81" s="42" customFormat="1" ht="15" spans="1:22">
      <c r="A81" s="798"/>
      <c r="B81" s="706"/>
      <c r="C81" s="20"/>
      <c r="D81" s="21"/>
      <c r="E81" s="23"/>
      <c r="F81" s="20" t="s">
        <v>1685</v>
      </c>
      <c r="G81" s="23" t="s">
        <v>3540</v>
      </c>
      <c r="H81" s="21" t="s">
        <v>5771</v>
      </c>
      <c r="I81" s="21" t="s">
        <v>1913</v>
      </c>
      <c r="J81" s="1187" t="s">
        <v>1428</v>
      </c>
      <c r="K81" s="1211" t="s">
        <v>712</v>
      </c>
      <c r="L81" s="689" t="s">
        <v>1428</v>
      </c>
      <c r="M81" s="1187" t="s">
        <v>1428</v>
      </c>
      <c r="N81" s="1187" t="s">
        <v>1428</v>
      </c>
      <c r="O81" s="22">
        <v>4.47593227275052</v>
      </c>
      <c r="P81" s="37">
        <v>16.5539768613459</v>
      </c>
      <c r="Q81" s="21" t="s">
        <v>1428</v>
      </c>
      <c r="R81" s="37">
        <v>4</v>
      </c>
      <c r="S81" s="22">
        <f t="shared" si="3"/>
        <v>25.0299091340964</v>
      </c>
      <c r="T81" s="756" t="s">
        <v>2854</v>
      </c>
      <c r="U81" s="812"/>
      <c r="V81" s="1170" t="s">
        <v>1406</v>
      </c>
    </row>
    <row r="82" s="42" customFormat="1" ht="15" spans="1:22">
      <c r="A82" s="798"/>
      <c r="B82" s="706"/>
      <c r="C82" s="20"/>
      <c r="D82" s="21"/>
      <c r="E82" s="23"/>
      <c r="F82" s="20" t="s">
        <v>1669</v>
      </c>
      <c r="G82" s="23" t="s">
        <v>3540</v>
      </c>
      <c r="H82" s="21" t="s">
        <v>5771</v>
      </c>
      <c r="I82" s="21" t="s">
        <v>1913</v>
      </c>
      <c r="J82" s="1187" t="s">
        <v>1428</v>
      </c>
      <c r="K82" s="1211" t="s">
        <v>712</v>
      </c>
      <c r="L82" s="689" t="s">
        <v>1428</v>
      </c>
      <c r="M82" s="1187" t="s">
        <v>1428</v>
      </c>
      <c r="N82" s="1187" t="s">
        <v>1428</v>
      </c>
      <c r="O82" s="22">
        <v>4.47593227275052</v>
      </c>
      <c r="P82" s="37">
        <v>22.6649806550563</v>
      </c>
      <c r="Q82" s="21" t="s">
        <v>1428</v>
      </c>
      <c r="R82" s="37">
        <v>4</v>
      </c>
      <c r="S82" s="22">
        <f t="shared" si="3"/>
        <v>31.1409129278068</v>
      </c>
      <c r="T82" s="756" t="s">
        <v>2854</v>
      </c>
      <c r="U82" s="812"/>
      <c r="V82" s="1170" t="s">
        <v>1406</v>
      </c>
    </row>
    <row r="83" s="42" customFormat="1" ht="15" spans="1:22">
      <c r="A83" s="798"/>
      <c r="B83" s="707"/>
      <c r="C83" s="20">
        <v>20241204</v>
      </c>
      <c r="D83" s="20">
        <v>7.24</v>
      </c>
      <c r="E83" s="23"/>
      <c r="F83" s="149" t="s">
        <v>1671</v>
      </c>
      <c r="G83" s="23" t="s">
        <v>3540</v>
      </c>
      <c r="H83" s="21" t="s">
        <v>5771</v>
      </c>
      <c r="I83" s="21" t="s">
        <v>1913</v>
      </c>
      <c r="J83" s="1187" t="s">
        <v>1428</v>
      </c>
      <c r="K83" s="1211" t="s">
        <v>712</v>
      </c>
      <c r="L83" s="689" t="s">
        <v>1428</v>
      </c>
      <c r="M83" s="1187" t="s">
        <v>1428</v>
      </c>
      <c r="N83" s="1187" t="s">
        <v>1428</v>
      </c>
      <c r="O83" s="22">
        <v>4.47593227275052</v>
      </c>
      <c r="P83" s="37">
        <v>18.4272626035502</v>
      </c>
      <c r="Q83" s="21" t="s">
        <v>1428</v>
      </c>
      <c r="R83" s="37">
        <v>4</v>
      </c>
      <c r="S83" s="22">
        <f t="shared" si="3"/>
        <v>26.9031948763007</v>
      </c>
      <c r="T83" s="756" t="s">
        <v>2854</v>
      </c>
      <c r="U83" s="812"/>
      <c r="V83" s="1170" t="s">
        <v>1406</v>
      </c>
    </row>
    <row r="84" s="42" customFormat="1" ht="15" spans="1:22">
      <c r="A84" s="798"/>
      <c r="B84" s="1212" t="s">
        <v>5774</v>
      </c>
      <c r="C84" s="20"/>
      <c r="D84" s="21"/>
      <c r="E84" s="23"/>
      <c r="F84" s="759" t="s">
        <v>5775</v>
      </c>
      <c r="G84" s="23" t="s">
        <v>1933</v>
      </c>
      <c r="H84" s="757" t="s">
        <v>3853</v>
      </c>
      <c r="I84" s="21" t="s">
        <v>3425</v>
      </c>
      <c r="J84" s="1187" t="s">
        <v>1428</v>
      </c>
      <c r="K84" s="1211" t="s">
        <v>712</v>
      </c>
      <c r="L84" s="689" t="s">
        <v>1428</v>
      </c>
      <c r="M84" s="700">
        <v>3.5</v>
      </c>
      <c r="N84" s="1187" t="s">
        <v>1428</v>
      </c>
      <c r="O84" s="22">
        <v>2.21546641722156</v>
      </c>
      <c r="P84" s="37">
        <v>19.8233719142068</v>
      </c>
      <c r="Q84" s="21" t="s">
        <v>1428</v>
      </c>
      <c r="R84" s="37">
        <v>4</v>
      </c>
      <c r="S84" s="22">
        <f t="shared" si="3"/>
        <v>29.5388383314284</v>
      </c>
      <c r="T84" s="756" t="s">
        <v>3800</v>
      </c>
      <c r="U84" s="812"/>
      <c r="V84" s="1170" t="s">
        <v>1406</v>
      </c>
    </row>
    <row r="85" s="42" customFormat="1" ht="28.2" spans="1:22">
      <c r="A85" s="798"/>
      <c r="B85" s="767"/>
      <c r="C85" s="20"/>
      <c r="D85" s="21"/>
      <c r="E85" s="23"/>
      <c r="F85" s="759" t="s">
        <v>5776</v>
      </c>
      <c r="G85" s="23"/>
      <c r="H85" s="21"/>
      <c r="I85" s="21"/>
      <c r="J85" s="1187"/>
      <c r="K85" s="21"/>
      <c r="L85" s="689"/>
      <c r="M85" s="21"/>
      <c r="N85" s="1187"/>
      <c r="O85" s="22">
        <v>0.215392568340985</v>
      </c>
      <c r="P85" s="37">
        <v>7.91172612108755</v>
      </c>
      <c r="Q85" s="21" t="s">
        <v>1428</v>
      </c>
      <c r="R85" s="37">
        <v>0.2</v>
      </c>
      <c r="S85" s="22">
        <f t="shared" si="3"/>
        <v>8.32711868942853</v>
      </c>
      <c r="T85" s="756"/>
      <c r="U85" s="812" t="s">
        <v>5777</v>
      </c>
      <c r="V85" s="1170" t="s">
        <v>1406</v>
      </c>
    </row>
    <row r="86" s="42" customFormat="1" ht="15" spans="1:22">
      <c r="A86" s="798"/>
      <c r="B86" s="767" t="s">
        <v>5778</v>
      </c>
      <c r="C86" s="20"/>
      <c r="D86" s="21"/>
      <c r="E86" s="23"/>
      <c r="F86" s="759" t="s">
        <v>5775</v>
      </c>
      <c r="G86" s="23" t="s">
        <v>3540</v>
      </c>
      <c r="H86" s="21" t="s">
        <v>5771</v>
      </c>
      <c r="I86" s="21" t="s">
        <v>1913</v>
      </c>
      <c r="J86" s="1187" t="s">
        <v>1428</v>
      </c>
      <c r="K86" s="1211" t="s">
        <v>712</v>
      </c>
      <c r="L86" s="689" t="s">
        <v>1428</v>
      </c>
      <c r="M86" s="1187" t="s">
        <v>1428</v>
      </c>
      <c r="N86" s="1187" t="s">
        <v>1428</v>
      </c>
      <c r="O86" s="22">
        <v>4.21698528333252</v>
      </c>
      <c r="P86" s="37">
        <v>26.5324506341112</v>
      </c>
      <c r="Q86" s="21" t="s">
        <v>1428</v>
      </c>
      <c r="R86" s="37">
        <v>4</v>
      </c>
      <c r="S86" s="22">
        <f t="shared" si="3"/>
        <v>34.7494359174437</v>
      </c>
      <c r="T86" s="756" t="s">
        <v>2854</v>
      </c>
      <c r="U86" s="812" t="s">
        <v>3543</v>
      </c>
      <c r="V86" s="1170" t="s">
        <v>1406</v>
      </c>
    </row>
    <row r="87" s="42" customFormat="1" ht="15" spans="1:22">
      <c r="A87" s="798"/>
      <c r="B87" s="35" t="s">
        <v>5779</v>
      </c>
      <c r="C87" s="20">
        <v>20251219</v>
      </c>
      <c r="D87" s="21">
        <v>7.05</v>
      </c>
      <c r="E87" s="23"/>
      <c r="F87" s="759" t="s">
        <v>1645</v>
      </c>
      <c r="G87" s="23" t="s">
        <v>3540</v>
      </c>
      <c r="H87" s="21" t="s">
        <v>5780</v>
      </c>
      <c r="I87" s="21" t="s">
        <v>1913</v>
      </c>
      <c r="J87" s="1187" t="s">
        <v>1428</v>
      </c>
      <c r="K87" s="1211" t="s">
        <v>712</v>
      </c>
      <c r="L87" s="1187" t="s">
        <v>1428</v>
      </c>
      <c r="M87" s="1187" t="s">
        <v>1428</v>
      </c>
      <c r="N87" s="1187" t="s">
        <v>1428</v>
      </c>
      <c r="O87" s="1240">
        <f>46/7.04/1.13</f>
        <v>5.78238133547868</v>
      </c>
      <c r="P87" s="37">
        <f>55.2/D87/1.13</f>
        <v>6.92901525136509</v>
      </c>
      <c r="Q87" s="21" t="s">
        <v>1428</v>
      </c>
      <c r="R87" s="37">
        <f>22.36/D87</f>
        <v>3.17163120567376</v>
      </c>
      <c r="S87" s="22">
        <f t="shared" si="3"/>
        <v>15.8830277925175</v>
      </c>
      <c r="T87" s="756" t="s">
        <v>2854</v>
      </c>
      <c r="U87" s="20" t="s">
        <v>5781</v>
      </c>
      <c r="V87" s="1170" t="s">
        <v>1406</v>
      </c>
    </row>
    <row r="88" s="42" customFormat="1" ht="15" spans="1:22">
      <c r="A88" s="798"/>
      <c r="B88" s="705" t="s">
        <v>5782</v>
      </c>
      <c r="C88" s="20"/>
      <c r="D88" s="21"/>
      <c r="E88" s="23"/>
      <c r="F88" s="20" t="s">
        <v>1565</v>
      </c>
      <c r="G88" s="23" t="s">
        <v>3540</v>
      </c>
      <c r="H88" s="864" t="s">
        <v>5783</v>
      </c>
      <c r="I88" s="21" t="s">
        <v>1913</v>
      </c>
      <c r="J88" s="1187" t="s">
        <v>1428</v>
      </c>
      <c r="K88" s="1211" t="s">
        <v>712</v>
      </c>
      <c r="L88" s="1187" t="s">
        <v>1428</v>
      </c>
      <c r="M88" s="1187" t="s">
        <v>1428</v>
      </c>
      <c r="N88" s="1187" t="s">
        <v>1428</v>
      </c>
      <c r="O88" s="1240">
        <v>3.52744600532211</v>
      </c>
      <c r="P88" s="37" t="e">
        <f>55.2/D88/1.13</f>
        <v>#DIV/0!</v>
      </c>
      <c r="Q88" s="21" t="s">
        <v>1428</v>
      </c>
      <c r="R88" s="37" t="e">
        <f>22.36/D88</f>
        <v>#DIV/0!</v>
      </c>
      <c r="S88" s="22" t="e">
        <f t="shared" si="3"/>
        <v>#DIV/0!</v>
      </c>
      <c r="T88" s="756" t="s">
        <v>2854</v>
      </c>
      <c r="U88" s="20" t="s">
        <v>5784</v>
      </c>
      <c r="V88" s="1170" t="s">
        <v>1406</v>
      </c>
    </row>
    <row r="89" s="42" customFormat="1" ht="15" spans="1:22">
      <c r="A89" s="798"/>
      <c r="B89" s="706"/>
      <c r="C89" s="20">
        <v>20240812</v>
      </c>
      <c r="D89" s="20">
        <v>7.24</v>
      </c>
      <c r="E89" s="23" t="s">
        <v>5785</v>
      </c>
      <c r="F89" s="20" t="s">
        <v>1629</v>
      </c>
      <c r="G89" s="23" t="s">
        <v>3540</v>
      </c>
      <c r="H89" s="864" t="s">
        <v>5783</v>
      </c>
      <c r="I89" s="21" t="s">
        <v>1913</v>
      </c>
      <c r="J89" s="1187" t="s">
        <v>1428</v>
      </c>
      <c r="K89" s="1211" t="s">
        <v>712</v>
      </c>
      <c r="L89" s="1187" t="s">
        <v>1428</v>
      </c>
      <c r="M89" s="1187" t="s">
        <v>1428</v>
      </c>
      <c r="N89" s="1187" t="s">
        <v>1428</v>
      </c>
      <c r="O89" s="1240">
        <v>3.52744600532211</v>
      </c>
      <c r="P89" s="37">
        <v>22.6473496775472</v>
      </c>
      <c r="Q89" s="21" t="s">
        <v>1428</v>
      </c>
      <c r="R89" s="37">
        <v>4</v>
      </c>
      <c r="S89" s="22">
        <f t="shared" si="3"/>
        <v>30.1747956828693</v>
      </c>
      <c r="T89" s="756" t="s">
        <v>2854</v>
      </c>
      <c r="U89" s="20" t="s">
        <v>5786</v>
      </c>
      <c r="V89" s="1170"/>
    </row>
    <row r="90" s="42" customFormat="1" ht="15" spans="1:22">
      <c r="A90" s="798"/>
      <c r="B90" s="706"/>
      <c r="C90" s="20">
        <v>20240812</v>
      </c>
      <c r="D90" s="20">
        <v>7.24</v>
      </c>
      <c r="E90" s="23" t="s">
        <v>5787</v>
      </c>
      <c r="F90" s="20" t="s">
        <v>1645</v>
      </c>
      <c r="G90" s="23" t="s">
        <v>3540</v>
      </c>
      <c r="H90" s="864" t="s">
        <v>5788</v>
      </c>
      <c r="I90" s="21" t="s">
        <v>1913</v>
      </c>
      <c r="J90" s="1187" t="s">
        <v>1428</v>
      </c>
      <c r="K90" s="1211" t="s">
        <v>712</v>
      </c>
      <c r="L90" s="1187" t="s">
        <v>1428</v>
      </c>
      <c r="M90" s="1187" t="s">
        <v>1428</v>
      </c>
      <c r="N90" s="1187" t="s">
        <v>1428</v>
      </c>
      <c r="O90" s="1240">
        <v>3.52744600532211</v>
      </c>
      <c r="P90" s="37">
        <v>22.8549962913781</v>
      </c>
      <c r="Q90" s="21" t="s">
        <v>1428</v>
      </c>
      <c r="R90" s="37">
        <v>4</v>
      </c>
      <c r="S90" s="22">
        <f t="shared" si="3"/>
        <v>30.3824422967002</v>
      </c>
      <c r="T90" s="756" t="s">
        <v>2854</v>
      </c>
      <c r="U90" s="20" t="s">
        <v>5786</v>
      </c>
      <c r="V90" s="1170"/>
    </row>
    <row r="91" s="42" customFormat="1" spans="1:22">
      <c r="A91" s="798"/>
      <c r="B91" s="706"/>
      <c r="C91" s="20">
        <v>20240812</v>
      </c>
      <c r="D91" s="20">
        <v>7.24</v>
      </c>
      <c r="E91" s="23" t="s">
        <v>5789</v>
      </c>
      <c r="F91" s="20" t="s">
        <v>5790</v>
      </c>
      <c r="G91" s="23"/>
      <c r="H91" s="21"/>
      <c r="I91" s="21"/>
      <c r="J91" s="1187"/>
      <c r="K91" s="1187"/>
      <c r="L91" s="1187"/>
      <c r="M91" s="1187"/>
      <c r="N91" s="1187"/>
      <c r="O91" s="1240">
        <v>1.44068321059472</v>
      </c>
      <c r="P91" s="37">
        <v>5.0948057390853</v>
      </c>
      <c r="Q91" s="21"/>
      <c r="R91" s="37">
        <v>0.2</v>
      </c>
      <c r="S91" s="22">
        <f t="shared" si="3"/>
        <v>6.73548894968002</v>
      </c>
      <c r="T91" s="756"/>
      <c r="U91" s="20"/>
      <c r="V91" s="1170"/>
    </row>
    <row r="92" s="42" customFormat="1" spans="1:22">
      <c r="A92" s="798"/>
      <c r="B92" s="706"/>
      <c r="C92" s="20">
        <v>20240812</v>
      </c>
      <c r="D92" s="20">
        <v>7.24</v>
      </c>
      <c r="E92" s="23" t="s">
        <v>5791</v>
      </c>
      <c r="F92" s="20" t="s">
        <v>5792</v>
      </c>
      <c r="G92" s="23"/>
      <c r="H92" s="21"/>
      <c r="I92" s="21"/>
      <c r="J92" s="1187"/>
      <c r="K92" s="1187"/>
      <c r="L92" s="1187"/>
      <c r="M92" s="1187"/>
      <c r="N92" s="1187"/>
      <c r="O92" s="1240">
        <v>1.44068321059472</v>
      </c>
      <c r="P92" s="37">
        <v>6.08428933884874</v>
      </c>
      <c r="Q92" s="21"/>
      <c r="R92" s="37">
        <v>0.2</v>
      </c>
      <c r="S92" s="22">
        <f t="shared" si="3"/>
        <v>7.72497254944346</v>
      </c>
      <c r="T92" s="756"/>
      <c r="U92" s="20"/>
      <c r="V92" s="1170"/>
    </row>
    <row r="93" s="42" customFormat="1" spans="1:22">
      <c r="A93" s="798"/>
      <c r="B93" s="706"/>
      <c r="C93" s="20"/>
      <c r="D93" s="21"/>
      <c r="E93" s="23"/>
      <c r="F93" s="20" t="s">
        <v>5793</v>
      </c>
      <c r="G93" s="23"/>
      <c r="H93" s="21"/>
      <c r="I93" s="21"/>
      <c r="J93" s="1187"/>
      <c r="K93" s="1187"/>
      <c r="L93" s="1187"/>
      <c r="M93" s="1187"/>
      <c r="N93" s="1187"/>
      <c r="O93" s="1240">
        <v>0.609473658548478</v>
      </c>
      <c r="P93" s="37">
        <v>5.06274810318457</v>
      </c>
      <c r="Q93" s="21" t="s">
        <v>1428</v>
      </c>
      <c r="R93" s="37">
        <v>0.2</v>
      </c>
      <c r="S93" s="22">
        <f t="shared" si="3"/>
        <v>5.87222176173305</v>
      </c>
      <c r="T93" s="756"/>
      <c r="U93" s="139" t="s">
        <v>5794</v>
      </c>
      <c r="V93" s="1170" t="s">
        <v>1406</v>
      </c>
    </row>
    <row r="94" s="42" customFormat="1" ht="17.4" spans="1:22">
      <c r="A94" s="798"/>
      <c r="B94" s="706"/>
      <c r="C94" s="20"/>
      <c r="D94" s="1034">
        <v>6.9591</v>
      </c>
      <c r="E94" s="23"/>
      <c r="F94" s="20" t="s">
        <v>5795</v>
      </c>
      <c r="G94" s="23"/>
      <c r="H94" s="21"/>
      <c r="I94" s="21"/>
      <c r="J94" s="1187"/>
      <c r="K94" s="1187"/>
      <c r="L94" s="1187"/>
      <c r="M94" s="1187"/>
      <c r="N94" s="1187"/>
      <c r="O94" s="1240">
        <v>0.609473658548478</v>
      </c>
      <c r="P94" s="37">
        <f>17.17/D94/1.13</f>
        <v>2.18342749284918</v>
      </c>
      <c r="Q94" s="21">
        <v>14.1</v>
      </c>
      <c r="R94" s="37">
        <v>3</v>
      </c>
      <c r="S94" s="22">
        <f t="shared" si="3"/>
        <v>19.8929011513977</v>
      </c>
      <c r="T94" s="756"/>
      <c r="U94" s="20" t="s">
        <v>5796</v>
      </c>
      <c r="V94" s="1170" t="s">
        <v>1406</v>
      </c>
    </row>
    <row r="95" s="42" customFormat="1" spans="1:22">
      <c r="A95" s="798"/>
      <c r="B95" s="707"/>
      <c r="C95" s="20"/>
      <c r="D95" s="21"/>
      <c r="E95" s="23"/>
      <c r="F95" s="20" t="s">
        <v>5797</v>
      </c>
      <c r="G95" s="23"/>
      <c r="H95" s="21"/>
      <c r="I95" s="21"/>
      <c r="J95" s="1187"/>
      <c r="K95" s="1187"/>
      <c r="L95" s="1187"/>
      <c r="M95" s="1187"/>
      <c r="N95" s="1187"/>
      <c r="O95" s="1240">
        <v>0.100646840057442</v>
      </c>
      <c r="P95" s="37" t="e">
        <f>25.54/D95/1.13</f>
        <v>#DIV/0!</v>
      </c>
      <c r="Q95" s="21" t="s">
        <v>1428</v>
      </c>
      <c r="R95" s="37">
        <v>0.2</v>
      </c>
      <c r="S95" s="22" t="e">
        <f t="shared" si="3"/>
        <v>#DIV/0!</v>
      </c>
      <c r="T95" s="756"/>
      <c r="U95" s="20"/>
      <c r="V95" s="1170" t="s">
        <v>1406</v>
      </c>
    </row>
    <row r="96" s="42" customFormat="1" ht="15" spans="1:22">
      <c r="A96" s="798"/>
      <c r="B96" s="1212" t="s">
        <v>5798</v>
      </c>
      <c r="C96" s="20"/>
      <c r="D96" s="21"/>
      <c r="E96" s="23"/>
      <c r="F96" s="20" t="s">
        <v>1617</v>
      </c>
      <c r="G96" s="23" t="s">
        <v>3540</v>
      </c>
      <c r="H96" s="21" t="s">
        <v>1428</v>
      </c>
      <c r="I96" s="21" t="s">
        <v>1913</v>
      </c>
      <c r="J96" s="1187" t="s">
        <v>1428</v>
      </c>
      <c r="K96" s="1211" t="s">
        <v>712</v>
      </c>
      <c r="L96" s="1187" t="s">
        <v>1428</v>
      </c>
      <c r="M96" s="1187" t="s">
        <v>1428</v>
      </c>
      <c r="N96" s="1187" t="s">
        <v>1428</v>
      </c>
      <c r="O96" s="1240">
        <v>8.30875122910521</v>
      </c>
      <c r="P96" s="37">
        <v>72.2449265408867</v>
      </c>
      <c r="Q96" s="21" t="s">
        <v>1428</v>
      </c>
      <c r="R96" s="37">
        <v>5</v>
      </c>
      <c r="S96" s="22">
        <f t="shared" si="3"/>
        <v>85.5536777699919</v>
      </c>
      <c r="T96" s="756" t="s">
        <v>2854</v>
      </c>
      <c r="U96" s="20" t="s">
        <v>5799</v>
      </c>
      <c r="V96" s="1170" t="s">
        <v>1406</v>
      </c>
    </row>
    <row r="97" s="42" customFormat="1" ht="15" spans="1:22">
      <c r="A97" s="798"/>
      <c r="B97" s="1212"/>
      <c r="C97" s="20"/>
      <c r="D97" s="21">
        <v>6.901</v>
      </c>
      <c r="E97" s="23"/>
      <c r="F97" s="20" t="s">
        <v>1629</v>
      </c>
      <c r="G97" s="23" t="s">
        <v>3540</v>
      </c>
      <c r="H97" s="21" t="s">
        <v>1428</v>
      </c>
      <c r="I97" s="21" t="s">
        <v>1913</v>
      </c>
      <c r="J97" s="1187" t="s">
        <v>1428</v>
      </c>
      <c r="K97" s="1211" t="s">
        <v>712</v>
      </c>
      <c r="L97" s="1187" t="s">
        <v>1428</v>
      </c>
      <c r="M97" s="1187" t="s">
        <v>1428</v>
      </c>
      <c r="N97" s="1187" t="s">
        <v>1428</v>
      </c>
      <c r="O97" s="1240">
        <v>8.30875122910521</v>
      </c>
      <c r="P97" s="37">
        <v>98.1034318200877</v>
      </c>
      <c r="Q97" s="21" t="s">
        <v>1428</v>
      </c>
      <c r="R97" s="37">
        <v>5</v>
      </c>
      <c r="S97" s="22">
        <f t="shared" si="3"/>
        <v>111.412183049193</v>
      </c>
      <c r="T97" s="756" t="s">
        <v>1423</v>
      </c>
      <c r="U97" s="20" t="s">
        <v>5800</v>
      </c>
      <c r="V97" s="1170" t="s">
        <v>1406</v>
      </c>
    </row>
    <row r="98" s="42" customFormat="1" ht="15" spans="1:22">
      <c r="A98" s="798"/>
      <c r="B98" s="1212"/>
      <c r="C98" s="20"/>
      <c r="D98" s="21"/>
      <c r="E98" s="23" t="s">
        <v>1424</v>
      </c>
      <c r="F98" s="20" t="s">
        <v>1645</v>
      </c>
      <c r="G98" s="23" t="s">
        <v>3540</v>
      </c>
      <c r="H98" s="21" t="s">
        <v>1428</v>
      </c>
      <c r="I98" s="21" t="s">
        <v>1913</v>
      </c>
      <c r="J98" s="1187" t="s">
        <v>1428</v>
      </c>
      <c r="K98" s="1211" t="s">
        <v>712</v>
      </c>
      <c r="L98" s="1187" t="s">
        <v>1428</v>
      </c>
      <c r="M98" s="1187" t="s">
        <v>1428</v>
      </c>
      <c r="N98" s="1187" t="s">
        <v>1428</v>
      </c>
      <c r="O98" s="1240">
        <v>8.30875122910521</v>
      </c>
      <c r="P98" s="37">
        <v>72.7828217634134</v>
      </c>
      <c r="Q98" s="21" t="s">
        <v>1428</v>
      </c>
      <c r="R98" s="37">
        <f>24.03/6.91/1.13</f>
        <v>3.07749446102225</v>
      </c>
      <c r="S98" s="22">
        <f t="shared" si="3"/>
        <v>84.1690674535409</v>
      </c>
      <c r="T98" s="756" t="s">
        <v>1425</v>
      </c>
      <c r="U98" s="20" t="s">
        <v>5799</v>
      </c>
      <c r="V98" s="1170" t="s">
        <v>1406</v>
      </c>
    </row>
    <row r="99" s="42" customFormat="1" ht="15" spans="1:22">
      <c r="A99" s="798"/>
      <c r="B99" s="1212"/>
      <c r="C99" s="20"/>
      <c r="D99" s="21"/>
      <c r="E99" s="23"/>
      <c r="F99" s="20" t="s">
        <v>1604</v>
      </c>
      <c r="G99" s="23" t="s">
        <v>3540</v>
      </c>
      <c r="H99" s="21" t="s">
        <v>1428</v>
      </c>
      <c r="I99" s="21" t="s">
        <v>1913</v>
      </c>
      <c r="J99" s="1187" t="s">
        <v>1428</v>
      </c>
      <c r="K99" s="1211" t="s">
        <v>712</v>
      </c>
      <c r="L99" s="1187" t="s">
        <v>1428</v>
      </c>
      <c r="M99" s="1187" t="s">
        <v>1428</v>
      </c>
      <c r="N99" s="1187" t="s">
        <v>1428</v>
      </c>
      <c r="O99" s="1240">
        <v>8.30875122910521</v>
      </c>
      <c r="P99" s="37">
        <v>98.0105594378894</v>
      </c>
      <c r="Q99" s="21" t="s">
        <v>1428</v>
      </c>
      <c r="R99" s="37">
        <v>5</v>
      </c>
      <c r="S99" s="22" t="s">
        <v>2268</v>
      </c>
      <c r="T99" s="756" t="s">
        <v>2854</v>
      </c>
      <c r="U99" s="20" t="s">
        <v>5800</v>
      </c>
      <c r="V99" s="1170" t="s">
        <v>1406</v>
      </c>
    </row>
    <row r="100" s="42" customFormat="1" ht="15" spans="1:22">
      <c r="A100" s="798"/>
      <c r="B100" s="1212"/>
      <c r="C100" s="20">
        <v>20240219</v>
      </c>
      <c r="D100" s="21"/>
      <c r="E100" s="23" t="s">
        <v>5801</v>
      </c>
      <c r="F100" s="20" t="s">
        <v>1685</v>
      </c>
      <c r="G100" s="23" t="s">
        <v>3540</v>
      </c>
      <c r="H100" s="21" t="s">
        <v>1428</v>
      </c>
      <c r="I100" s="21" t="s">
        <v>1913</v>
      </c>
      <c r="J100" s="1187" t="s">
        <v>1428</v>
      </c>
      <c r="K100" s="1211" t="s">
        <v>712</v>
      </c>
      <c r="L100" s="1187" t="s">
        <v>1428</v>
      </c>
      <c r="M100" s="1187" t="s">
        <v>1428</v>
      </c>
      <c r="N100" s="1187" t="s">
        <v>1428</v>
      </c>
      <c r="O100" s="1240">
        <v>8.30875122910521</v>
      </c>
      <c r="P100" s="37">
        <v>101.576854776597</v>
      </c>
      <c r="Q100" s="21" t="s">
        <v>1428</v>
      </c>
      <c r="R100" s="37">
        <v>5</v>
      </c>
      <c r="S100" s="22">
        <f>SUM(K100:R100)</f>
        <v>114.885606005702</v>
      </c>
      <c r="T100" s="756" t="s">
        <v>2854</v>
      </c>
      <c r="U100" s="20" t="s">
        <v>5802</v>
      </c>
      <c r="V100" s="1170" t="s">
        <v>1406</v>
      </c>
    </row>
    <row r="101" s="42" customFormat="1" ht="15" spans="1:22">
      <c r="A101" s="798"/>
      <c r="B101" s="1212"/>
      <c r="C101" s="20">
        <v>20240219</v>
      </c>
      <c r="D101" s="21"/>
      <c r="E101" s="23" t="s">
        <v>5803</v>
      </c>
      <c r="F101" s="20" t="s">
        <v>1669</v>
      </c>
      <c r="G101" s="23" t="s">
        <v>3540</v>
      </c>
      <c r="H101" s="21" t="s">
        <v>1428</v>
      </c>
      <c r="I101" s="21" t="s">
        <v>1913</v>
      </c>
      <c r="J101" s="1187" t="s">
        <v>1428</v>
      </c>
      <c r="K101" s="1211" t="s">
        <v>712</v>
      </c>
      <c r="L101" s="1187" t="s">
        <v>1428</v>
      </c>
      <c r="M101" s="1187" t="s">
        <v>1428</v>
      </c>
      <c r="N101" s="1187" t="s">
        <v>1428</v>
      </c>
      <c r="O101" s="1240">
        <v>8.30875122910521</v>
      </c>
      <c r="P101" s="37">
        <v>105.440291372358</v>
      </c>
      <c r="Q101" s="21" t="s">
        <v>1428</v>
      </c>
      <c r="R101" s="37">
        <v>5</v>
      </c>
      <c r="S101" s="22">
        <f>SUM(K101:R101)</f>
        <v>118.749042601463</v>
      </c>
      <c r="T101" s="756" t="s">
        <v>2854</v>
      </c>
      <c r="U101" s="20" t="s">
        <v>5804</v>
      </c>
      <c r="V101" s="1170" t="s">
        <v>1406</v>
      </c>
    </row>
    <row r="102" s="42" customFormat="1" ht="15" spans="1:22">
      <c r="A102" s="798"/>
      <c r="B102" s="1212"/>
      <c r="C102" s="20">
        <v>20240219</v>
      </c>
      <c r="D102" s="21"/>
      <c r="E102" s="23" t="s">
        <v>5805</v>
      </c>
      <c r="F102" s="20" t="s">
        <v>1671</v>
      </c>
      <c r="G102" s="23" t="s">
        <v>3540</v>
      </c>
      <c r="H102" s="21" t="s">
        <v>1428</v>
      </c>
      <c r="I102" s="21" t="s">
        <v>1913</v>
      </c>
      <c r="J102" s="1187" t="s">
        <v>1428</v>
      </c>
      <c r="K102" s="1211" t="s">
        <v>712</v>
      </c>
      <c r="L102" s="1187" t="s">
        <v>1428</v>
      </c>
      <c r="M102" s="1187" t="s">
        <v>1428</v>
      </c>
      <c r="N102" s="1187" t="s">
        <v>1428</v>
      </c>
      <c r="O102" s="1240">
        <v>8.30875122910521</v>
      </c>
      <c r="P102" s="37">
        <v>78.0713268159235</v>
      </c>
      <c r="Q102" s="21" t="s">
        <v>1428</v>
      </c>
      <c r="R102" s="37">
        <v>5</v>
      </c>
      <c r="S102" s="22">
        <f>SUM(K102:R102)</f>
        <v>91.3800780450287</v>
      </c>
      <c r="T102" s="756" t="s">
        <v>2854</v>
      </c>
      <c r="U102" s="20" t="s">
        <v>5806</v>
      </c>
      <c r="V102" s="1170" t="s">
        <v>1406</v>
      </c>
    </row>
    <row r="103" s="42" customFormat="1" spans="1:22">
      <c r="A103" s="798"/>
      <c r="B103" s="767"/>
      <c r="C103" s="20"/>
      <c r="D103" s="21"/>
      <c r="E103" s="23"/>
      <c r="F103" s="20" t="s">
        <v>5807</v>
      </c>
      <c r="G103" s="23"/>
      <c r="H103" s="21"/>
      <c r="I103" s="1187"/>
      <c r="J103" s="1187"/>
      <c r="K103" s="1187"/>
      <c r="L103" s="1187"/>
      <c r="M103" s="1187"/>
      <c r="N103" s="1187"/>
      <c r="O103" s="1240">
        <v>0.513017827369501</v>
      </c>
      <c r="P103" s="37">
        <v>4.53452453502856</v>
      </c>
      <c r="Q103" s="21" t="s">
        <v>1428</v>
      </c>
      <c r="R103" s="37">
        <v>0.2</v>
      </c>
      <c r="S103" s="22">
        <f>SUM(K103:R103)</f>
        <v>5.24754236239806</v>
      </c>
      <c r="T103" s="756"/>
      <c r="U103" s="20"/>
      <c r="V103" s="1170" t="s">
        <v>1406</v>
      </c>
    </row>
    <row r="104" s="42" customFormat="1" ht="15" spans="1:22">
      <c r="A104" s="798"/>
      <c r="B104" s="23" t="s">
        <v>5808</v>
      </c>
      <c r="C104" s="20"/>
      <c r="D104" s="21"/>
      <c r="E104" s="23"/>
      <c r="F104" s="759" t="s">
        <v>5775</v>
      </c>
      <c r="G104" s="23" t="s">
        <v>3540</v>
      </c>
      <c r="H104" s="757" t="s">
        <v>3855</v>
      </c>
      <c r="I104" s="21" t="s">
        <v>1913</v>
      </c>
      <c r="J104" s="1187" t="s">
        <v>1428</v>
      </c>
      <c r="K104" s="1211" t="s">
        <v>712</v>
      </c>
      <c r="L104" s="1187" t="s">
        <v>1428</v>
      </c>
      <c r="M104" s="1187" t="s">
        <v>1428</v>
      </c>
      <c r="N104" s="1187" t="s">
        <v>1428</v>
      </c>
      <c r="O104" s="1241">
        <v>4.48890598948314</v>
      </c>
      <c r="P104" s="37">
        <v>18.7337990994948</v>
      </c>
      <c r="Q104" s="21" t="s">
        <v>1428</v>
      </c>
      <c r="R104" s="37">
        <v>4</v>
      </c>
      <c r="S104" s="22">
        <f>SUM(K104:R104)</f>
        <v>27.2227050889779</v>
      </c>
      <c r="T104" s="756" t="s">
        <v>2854</v>
      </c>
      <c r="U104" s="20" t="s">
        <v>5809</v>
      </c>
      <c r="V104" s="1170" t="s">
        <v>1406</v>
      </c>
    </row>
    <row r="105" s="989" customFormat="1" spans="1:22">
      <c r="B105" s="1203"/>
      <c r="D105" s="1104"/>
      <c r="E105" s="990"/>
      <c r="F105" s="1204"/>
      <c r="G105" s="1007"/>
      <c r="H105" s="1205"/>
      <c r="I105" s="1204"/>
      <c r="J105" s="1204"/>
      <c r="K105" s="1204"/>
      <c r="L105" s="1204"/>
      <c r="M105" s="1204"/>
      <c r="N105" s="1204"/>
      <c r="O105" s="1206"/>
      <c r="P105" s="1207"/>
      <c r="Q105" s="1242"/>
      <c r="R105" s="1208"/>
      <c r="S105" s="1206"/>
      <c r="T105" s="1007"/>
      <c r="U105" s="1204"/>
    </row>
    <row r="106" s="989" customFormat="1" spans="1:22">
      <c r="B106" s="1203"/>
      <c r="D106" s="1104"/>
      <c r="E106" s="990"/>
      <c r="F106" s="1204"/>
      <c r="G106" s="1007"/>
      <c r="H106" s="1205"/>
      <c r="I106" s="1204"/>
      <c r="J106" s="1204"/>
      <c r="K106" s="1204"/>
      <c r="L106" s="1204"/>
      <c r="M106" s="1204"/>
      <c r="N106" s="1204"/>
      <c r="O106" s="1206"/>
      <c r="P106" s="1207"/>
      <c r="Q106" s="1242"/>
      <c r="R106" s="1208"/>
      <c r="S106" s="1206"/>
      <c r="T106" s="1007"/>
      <c r="U106" s="1204"/>
    </row>
    <row r="107" s="989" customFormat="1" spans="1:22">
      <c r="B107" s="1203"/>
      <c r="D107" s="1104"/>
      <c r="E107" s="990"/>
      <c r="F107" s="1204"/>
      <c r="G107" s="1007"/>
      <c r="H107" s="1205"/>
      <c r="I107" s="1204"/>
      <c r="J107" s="1204"/>
      <c r="K107" s="1204"/>
      <c r="L107" s="1204"/>
      <c r="M107" s="1204"/>
      <c r="N107" s="1204"/>
      <c r="O107" s="1206"/>
      <c r="P107" s="1207"/>
      <c r="Q107" s="1242"/>
      <c r="R107" s="1208"/>
      <c r="S107" s="1206"/>
      <c r="T107" s="1007"/>
      <c r="U107" s="1204"/>
    </row>
    <row r="108" s="989" customFormat="1" spans="1:22">
      <c r="B108" s="1203"/>
      <c r="D108" s="1104"/>
      <c r="E108" s="990"/>
      <c r="F108" s="1204"/>
      <c r="G108" s="1007"/>
      <c r="H108" s="1205"/>
      <c r="I108" s="1204"/>
      <c r="J108" s="1204"/>
      <c r="K108" s="1204"/>
      <c r="L108" s="1204"/>
      <c r="M108" s="1204"/>
      <c r="N108" s="1204"/>
      <c r="O108" s="1206"/>
      <c r="P108" s="1207"/>
      <c r="Q108" s="1242"/>
      <c r="R108" s="1208"/>
      <c r="S108" s="1206"/>
      <c r="T108" s="1007"/>
      <c r="U108" s="1204"/>
    </row>
    <row r="109" s="989" customFormat="1" spans="1:22">
      <c r="B109" s="1203"/>
      <c r="D109" s="1104"/>
      <c r="E109" s="990"/>
      <c r="F109" s="1204"/>
      <c r="G109" s="1007"/>
      <c r="H109" s="1205"/>
      <c r="I109" s="1204"/>
      <c r="J109" s="1204"/>
      <c r="K109" s="1204"/>
      <c r="L109" s="1204"/>
      <c r="M109" s="1204"/>
      <c r="N109" s="1204"/>
      <c r="O109" s="1206"/>
      <c r="P109" s="1207"/>
      <c r="Q109" s="1242"/>
      <c r="R109" s="1208"/>
      <c r="S109" s="1206"/>
      <c r="T109" s="1007"/>
      <c r="U109" s="1204"/>
    </row>
    <row r="110" s="989" customFormat="1" spans="1:22">
      <c r="B110" s="1203"/>
      <c r="D110" s="1104"/>
      <c r="E110" s="990"/>
      <c r="F110" s="1204"/>
      <c r="G110" s="1007"/>
      <c r="H110" s="1205"/>
      <c r="I110" s="1204"/>
      <c r="J110" s="1204"/>
      <c r="K110" s="1204"/>
      <c r="L110" s="1204"/>
      <c r="M110" s="1204"/>
      <c r="N110" s="1204"/>
      <c r="O110" s="1206"/>
      <c r="P110" s="1207"/>
      <c r="Q110" s="1242"/>
      <c r="R110" s="1208"/>
      <c r="S110" s="1206"/>
      <c r="T110" s="1007"/>
      <c r="U110" s="1204"/>
    </row>
    <row r="111" s="989" customFormat="1" spans="1:22">
      <c r="B111" s="1203" t="s">
        <v>272</v>
      </c>
      <c r="D111" s="1104"/>
      <c r="E111" s="990"/>
      <c r="F111" s="1204"/>
      <c r="G111" s="1007"/>
      <c r="H111" s="1205"/>
      <c r="I111" s="1204"/>
      <c r="J111" s="1204"/>
      <c r="K111" s="1204"/>
      <c r="L111" s="1204"/>
      <c r="M111" s="1204"/>
      <c r="N111" s="1204"/>
      <c r="O111" s="1206"/>
      <c r="P111" s="1207"/>
      <c r="Q111" s="1242"/>
      <c r="R111" s="1208"/>
      <c r="S111" s="1206"/>
      <c r="T111" s="1007"/>
      <c r="U111" s="1204"/>
    </row>
    <row r="112" s="989" customFormat="1" spans="1:22">
      <c r="B112" s="1203"/>
      <c r="D112" s="1104"/>
      <c r="E112" s="990"/>
      <c r="F112" s="1204"/>
      <c r="G112" s="1007"/>
      <c r="H112" s="1205"/>
      <c r="I112" s="1204"/>
      <c r="J112" s="1204"/>
      <c r="K112" s="1204"/>
      <c r="L112" s="1204"/>
      <c r="M112" s="1204"/>
      <c r="N112" s="1204"/>
      <c r="O112" s="1206"/>
      <c r="P112" s="1207"/>
      <c r="Q112" s="1242"/>
      <c r="R112" s="1208"/>
      <c r="S112" s="1206"/>
      <c r="T112" s="1007"/>
      <c r="U112" s="1204"/>
    </row>
    <row r="113" s="989" customFormat="1" spans="2:21">
      <c r="B113" s="1203"/>
      <c r="D113" s="1104"/>
      <c r="E113" s="990"/>
      <c r="F113" s="1204"/>
      <c r="G113" s="1007"/>
      <c r="H113" s="1205"/>
      <c r="I113" s="1204"/>
      <c r="J113" s="1204"/>
      <c r="K113" s="1204"/>
      <c r="L113" s="1204"/>
      <c r="M113" s="1204" t="e">
        <f>63.76/E113/1.13</f>
        <v>#DIV/0!</v>
      </c>
      <c r="N113" s="1204"/>
      <c r="O113" s="1206"/>
      <c r="P113" s="1207"/>
      <c r="Q113" s="1242"/>
      <c r="R113" s="1208"/>
      <c r="S113" s="1206"/>
      <c r="T113" s="1007"/>
      <c r="U113" s="1204"/>
    </row>
    <row r="114" s="989" customFormat="1" spans="2:21">
      <c r="B114" s="1203"/>
      <c r="D114" s="1104"/>
      <c r="E114" s="990"/>
      <c r="F114" s="1204"/>
      <c r="G114" s="1007"/>
      <c r="H114" s="1205"/>
      <c r="I114" s="1204"/>
      <c r="J114" s="1204"/>
      <c r="K114" s="1204"/>
      <c r="L114" s="1204"/>
      <c r="M114" s="1204" t="e">
        <f>63.76/E114/1.13</f>
        <v>#DIV/0!</v>
      </c>
      <c r="N114" s="1204"/>
      <c r="O114" s="1206"/>
      <c r="P114" s="1207"/>
      <c r="Q114" s="1242"/>
      <c r="R114" s="1208"/>
      <c r="S114" s="1206"/>
      <c r="T114" s="1007"/>
      <c r="U114" s="1204"/>
    </row>
    <row r="115" s="989" customFormat="1" spans="2:21">
      <c r="B115" s="1203"/>
      <c r="D115" s="1104"/>
      <c r="E115" s="990"/>
      <c r="F115" s="1204"/>
      <c r="G115" s="1007"/>
      <c r="H115" s="1205"/>
      <c r="I115" s="1204"/>
      <c r="J115" s="1204"/>
      <c r="K115" s="1204"/>
      <c r="L115" s="1204"/>
      <c r="M115" s="1204"/>
      <c r="N115" s="1204"/>
      <c r="O115" s="1206"/>
      <c r="P115" s="1207"/>
      <c r="Q115" s="1242"/>
      <c r="R115" s="1208"/>
      <c r="S115" s="1206"/>
      <c r="T115" s="1007"/>
      <c r="U115" s="1204"/>
    </row>
    <row r="116" s="989" customFormat="1" spans="2:21">
      <c r="B116" s="1203"/>
      <c r="D116" s="1104"/>
      <c r="E116" s="990"/>
      <c r="F116" s="1204"/>
      <c r="G116" s="1007"/>
      <c r="H116" s="1205"/>
      <c r="I116" s="1204"/>
      <c r="J116" s="1204"/>
      <c r="K116" s="1204"/>
      <c r="L116" s="1204"/>
      <c r="M116" s="1204"/>
      <c r="N116" s="1204"/>
      <c r="O116" s="1206"/>
      <c r="P116" s="1207"/>
      <c r="Q116" s="1242"/>
      <c r="R116" s="1208"/>
      <c r="S116" s="1206"/>
      <c r="T116" s="1007"/>
      <c r="U116" s="1204"/>
    </row>
    <row r="117" s="989" customFormat="1" spans="2:21">
      <c r="B117" s="1203"/>
      <c r="D117" s="1104"/>
      <c r="E117" s="990"/>
      <c r="F117" s="1204"/>
      <c r="G117" s="1007"/>
      <c r="H117" s="1205"/>
      <c r="I117" s="1204"/>
      <c r="J117" s="1204"/>
      <c r="K117" s="1204"/>
      <c r="L117" s="1204"/>
      <c r="M117" s="1204"/>
      <c r="N117" s="1204"/>
      <c r="O117" s="1206"/>
      <c r="P117" s="1207"/>
      <c r="Q117" s="1242"/>
      <c r="R117" s="1208"/>
      <c r="S117" s="1206"/>
      <c r="T117" s="1007"/>
      <c r="U117" s="1204"/>
    </row>
    <row r="118" s="989" customFormat="1" spans="2:21">
      <c r="B118" s="1203"/>
      <c r="D118" s="1104"/>
      <c r="E118" s="990"/>
      <c r="F118" s="1204"/>
      <c r="G118" s="1007"/>
      <c r="H118" s="1205"/>
      <c r="I118" s="1204"/>
      <c r="J118" s="1204"/>
      <c r="K118" s="1204"/>
      <c r="L118" s="1204"/>
      <c r="M118" s="1204"/>
      <c r="N118" s="1204"/>
      <c r="O118" s="1206"/>
      <c r="P118" s="1207"/>
      <c r="Q118" s="1242"/>
      <c r="R118" s="1208"/>
      <c r="S118" s="1206"/>
      <c r="T118" s="1007"/>
      <c r="U118" s="1204"/>
    </row>
    <row r="119" s="989" customFormat="1" spans="2:21">
      <c r="B119" s="1203"/>
      <c r="D119" s="1104"/>
      <c r="E119" s="990"/>
      <c r="F119" s="1204"/>
      <c r="G119" s="1007"/>
      <c r="H119" s="1205"/>
      <c r="I119" s="1204"/>
      <c r="J119" s="1204"/>
      <c r="K119" s="1204"/>
      <c r="L119" s="1204"/>
      <c r="M119" s="1204"/>
      <c r="N119" s="1204"/>
      <c r="O119" s="1206"/>
      <c r="P119" s="1207"/>
      <c r="Q119" s="1242"/>
      <c r="R119" s="1208"/>
      <c r="S119" s="1206"/>
      <c r="T119" s="1007"/>
      <c r="U119" s="1204"/>
    </row>
    <row r="120" s="989" customFormat="1" spans="2:21">
      <c r="B120" s="1203"/>
      <c r="D120" s="1104"/>
      <c r="E120" s="990"/>
      <c r="F120" s="1204"/>
      <c r="G120" s="1007"/>
      <c r="H120" s="1205"/>
      <c r="I120" s="1204"/>
      <c r="J120" s="1204"/>
      <c r="K120" s="1204"/>
      <c r="L120" s="1204"/>
      <c r="M120" s="1204"/>
      <c r="N120" s="1204"/>
      <c r="O120" s="1206"/>
      <c r="P120" s="1207"/>
      <c r="Q120" s="1242"/>
      <c r="R120" s="1208"/>
      <c r="S120" s="1206"/>
      <c r="T120" s="1007"/>
      <c r="U120" s="1204"/>
    </row>
    <row r="121" s="989" customFormat="1" spans="2:21">
      <c r="B121" s="1203"/>
      <c r="D121" s="1104"/>
      <c r="E121" s="990"/>
      <c r="F121" s="1204"/>
      <c r="G121" s="1007"/>
      <c r="H121" s="1205"/>
      <c r="I121" s="1204"/>
      <c r="J121" s="1204"/>
      <c r="K121" s="1204"/>
      <c r="L121" s="1204"/>
      <c r="M121" s="1204"/>
      <c r="N121" s="1204"/>
      <c r="O121" s="1206"/>
      <c r="P121" s="1207"/>
      <c r="Q121" s="1242"/>
      <c r="R121" s="1208"/>
      <c r="S121" s="1206"/>
      <c r="T121" s="1007"/>
      <c r="U121" s="1204"/>
    </row>
    <row r="122" s="989" customFormat="1" spans="2:21">
      <c r="B122" s="1203"/>
      <c r="D122" s="1104"/>
      <c r="E122" s="990"/>
      <c r="F122" s="1204"/>
      <c r="G122" s="1007"/>
      <c r="H122" s="1205"/>
      <c r="I122" s="1204"/>
      <c r="J122" s="1204"/>
      <c r="K122" s="1204"/>
      <c r="L122" s="1204"/>
      <c r="M122" s="1204"/>
      <c r="N122" s="1204"/>
      <c r="O122" s="1206"/>
      <c r="P122" s="1207"/>
      <c r="Q122" s="1242"/>
      <c r="R122" s="1208"/>
      <c r="S122" s="1206"/>
      <c r="T122" s="1007"/>
      <c r="U122" s="1204"/>
    </row>
    <row r="123" s="989" customFormat="1" spans="2:21">
      <c r="B123" s="1203"/>
      <c r="D123" s="1104"/>
      <c r="E123" s="990"/>
      <c r="F123" s="1204"/>
      <c r="G123" s="1007"/>
      <c r="H123" s="1205"/>
      <c r="I123" s="1204"/>
      <c r="J123" s="1204"/>
      <c r="K123" s="1204"/>
      <c r="L123" s="1204"/>
      <c r="M123" s="1204"/>
      <c r="N123" s="1204"/>
      <c r="O123" s="1206"/>
      <c r="P123" s="1207"/>
      <c r="Q123" s="1242"/>
      <c r="R123" s="1208"/>
      <c r="S123" s="1206"/>
      <c r="T123" s="1007"/>
      <c r="U123" s="1204"/>
    </row>
    <row r="124" s="989" customFormat="1" spans="2:21">
      <c r="B124" s="1203"/>
      <c r="D124" s="1104"/>
      <c r="E124" s="990"/>
      <c r="F124" s="1204"/>
      <c r="G124" s="1007"/>
      <c r="H124" s="1205"/>
      <c r="I124" s="1204"/>
      <c r="J124" s="1204"/>
      <c r="K124" s="1204"/>
      <c r="L124" s="1204"/>
      <c r="M124" s="1204"/>
      <c r="N124" s="1204"/>
      <c r="O124" s="1206"/>
      <c r="P124" s="1207"/>
      <c r="Q124" s="1242"/>
      <c r="R124" s="1208"/>
      <c r="S124" s="1206"/>
      <c r="T124" s="1007"/>
      <c r="U124" s="1204"/>
    </row>
    <row r="125" s="989" customFormat="1" spans="2:21">
      <c r="B125" s="1203"/>
      <c r="D125" s="1104"/>
      <c r="E125" s="990"/>
      <c r="F125" s="1204"/>
      <c r="G125" s="1007"/>
      <c r="H125" s="1205"/>
      <c r="I125" s="1204"/>
      <c r="J125" s="1204"/>
      <c r="K125" s="1204"/>
      <c r="L125" s="1204"/>
      <c r="M125" s="1204"/>
      <c r="N125" s="1204"/>
      <c r="O125" s="1206"/>
      <c r="P125" s="1207"/>
      <c r="Q125" s="1242"/>
      <c r="R125" s="1208"/>
      <c r="S125" s="1206"/>
      <c r="T125" s="1007"/>
      <c r="U125" s="1204"/>
    </row>
    <row r="126" s="989" customFormat="1" spans="2:21">
      <c r="B126" s="1203"/>
      <c r="D126" s="1104"/>
      <c r="E126" s="990"/>
      <c r="F126" s="1204"/>
      <c r="G126" s="1007"/>
      <c r="H126" s="1205"/>
      <c r="I126" s="1204"/>
      <c r="J126" s="1204"/>
      <c r="K126" s="1204"/>
      <c r="L126" s="1204"/>
      <c r="M126" s="1204"/>
      <c r="N126" s="1204"/>
      <c r="O126" s="1206"/>
      <c r="P126" s="1207"/>
      <c r="Q126" s="1242"/>
      <c r="R126" s="1208"/>
      <c r="S126" s="1206"/>
      <c r="T126" s="1007"/>
      <c r="U126" s="1204"/>
    </row>
    <row r="127" s="989" customFormat="1" spans="2:21">
      <c r="B127" s="1203"/>
      <c r="D127" s="1104"/>
      <c r="E127" s="990"/>
      <c r="F127" s="1204"/>
      <c r="G127" s="1007"/>
      <c r="H127" s="1205"/>
      <c r="I127" s="1204"/>
      <c r="J127" s="1204"/>
      <c r="K127" s="1204"/>
      <c r="L127" s="1204"/>
      <c r="M127" s="1204"/>
      <c r="N127" s="1204"/>
      <c r="O127" s="1206"/>
      <c r="P127" s="1207"/>
      <c r="Q127" s="1242"/>
      <c r="R127" s="1208"/>
      <c r="S127" s="1206"/>
      <c r="T127" s="1007"/>
      <c r="U127" s="1204"/>
    </row>
    <row r="128" spans="2:21">
      <c r="H128" s="1205">
        <f>2.75/6.9514/1.13</f>
        <v>0.350091825903282</v>
      </c>
    </row>
    <row r="188" spans="4:18">
      <c r="D188" s="1243"/>
      <c r="E188" s="1244">
        <v>6.8226</v>
      </c>
      <c r="F188" s="1245"/>
      <c r="G188" s="1246"/>
      <c r="H188" s="1247"/>
      <c r="I188" s="1245"/>
      <c r="J188" s="1245"/>
      <c r="K188" s="1245"/>
      <c r="L188" s="1245"/>
      <c r="M188" s="1245">
        <f>40.5/E188/1.13</f>
        <v>5.25323307311022</v>
      </c>
      <c r="N188" s="1245">
        <v>16.17</v>
      </c>
      <c r="O188" s="1248"/>
      <c r="P188" s="1249"/>
      <c r="Q188" s="1247"/>
      <c r="R188" s="1250"/>
    </row>
    <row r="194" spans="4:15">
      <c r="D194" s="1251"/>
      <c r="E194" s="1252"/>
      <c r="F194" s="1253"/>
      <c r="G194" s="1252"/>
      <c r="H194" s="1251"/>
      <c r="I194" s="1253"/>
      <c r="J194" s="1253"/>
      <c r="K194" s="1253"/>
      <c r="L194" s="1253"/>
      <c r="M194" s="1253"/>
      <c r="N194" s="1253">
        <f>23.49+20/6.7739/1.13</f>
        <v>26.1028397295868</v>
      </c>
      <c r="O194" s="1254"/>
    </row>
    <row r="346" spans="2:20">
      <c r="C346" s="193"/>
      <c r="D346" s="1243"/>
      <c r="E346" s="1244"/>
      <c r="F346" s="1245" t="s">
        <v>667</v>
      </c>
      <c r="G346" s="1246"/>
      <c r="H346" s="1247"/>
      <c r="I346" s="1245"/>
      <c r="J346" s="1245"/>
      <c r="K346" s="1245"/>
      <c r="L346" s="1245"/>
      <c r="M346" s="1245"/>
      <c r="N346" s="1245" t="e">
        <f>37.88/D346/1.13</f>
        <v>#DIV/0!</v>
      </c>
      <c r="O346" s="1248">
        <v>19.29</v>
      </c>
      <c r="P346" s="1249">
        <v>3.15</v>
      </c>
      <c r="Q346" s="1247"/>
      <c r="T346" s="1246"/>
    </row>
    <row r="347" spans="2:20">
      <c r="B347" s="1203" t="s">
        <v>1430</v>
      </c>
    </row>
    <row r="351" spans="2:20">
      <c r="N351" s="1204" t="e">
        <f>32.97/D351/1.13</f>
        <v>#DIV/0!</v>
      </c>
    </row>
    <row r="365" spans="2:18">
      <c r="B365" s="791"/>
      <c r="C365" s="1255"/>
      <c r="D365" s="924"/>
      <c r="E365" s="791"/>
      <c r="F365" s="149"/>
      <c r="G365" s="687"/>
      <c r="H365" s="153"/>
      <c r="I365" s="149"/>
      <c r="J365" s="149"/>
      <c r="K365" s="149"/>
      <c r="L365" s="1256" t="s">
        <v>712</v>
      </c>
      <c r="M365" s="149"/>
      <c r="N365" s="149"/>
      <c r="O365" s="1257"/>
      <c r="P365" s="727"/>
      <c r="Q365" s="153"/>
      <c r="R365" s="1258"/>
    </row>
    <row r="366" spans="2:18">
      <c r="B366" s="791"/>
      <c r="C366" s="1255"/>
      <c r="D366" s="924"/>
      <c r="E366" s="791"/>
      <c r="F366" s="149" t="s">
        <v>715</v>
      </c>
      <c r="G366" s="687"/>
      <c r="H366" s="153"/>
      <c r="I366" s="149"/>
      <c r="J366" s="149"/>
      <c r="K366" s="149"/>
      <c r="L366" s="1256" t="s">
        <v>712</v>
      </c>
      <c r="M366" s="149"/>
      <c r="N366" s="149"/>
      <c r="O366" s="1257">
        <v>15.3</v>
      </c>
      <c r="P366" s="727"/>
      <c r="Q366" s="153"/>
      <c r="R366" s="1258"/>
    </row>
    <row r="385" spans="6:6">
      <c r="F385" s="1204" t="s">
        <v>756</v>
      </c>
    </row>
    <row r="480" spans="5:5">
      <c r="E480" s="990" t="s">
        <v>2905</v>
      </c>
    </row>
    <row r="600" spans="3:3">
      <c r="C600" s="1259"/>
    </row>
    <row r="653" spans="1:14">
      <c r="A653" s="1255" t="s">
        <v>1366</v>
      </c>
      <c r="B653" s="791"/>
      <c r="C653" s="1255"/>
      <c r="D653" s="924"/>
      <c r="E653" s="791" t="s">
        <v>1367</v>
      </c>
      <c r="F653" s="149"/>
      <c r="G653" s="687"/>
      <c r="H653" s="153">
        <v>2.92</v>
      </c>
      <c r="I653" s="149"/>
      <c r="J653" s="149">
        <v>9.82</v>
      </c>
      <c r="K653" s="149">
        <v>0.76</v>
      </c>
      <c r="L653" s="149"/>
      <c r="M653" s="25"/>
      <c r="N653" s="1260" t="s">
        <v>1368</v>
      </c>
    </row>
    <row r="811" spans="16:16">
      <c r="P811" s="1207" t="e">
        <f>36.32/D811/1.13</f>
        <v>#DIV/0!</v>
      </c>
    </row>
    <row r="818" spans="5:14">
      <c r="E818" s="990">
        <v>6.8309</v>
      </c>
      <c r="N818" s="1204">
        <v>55.1</v>
      </c>
    </row>
  </sheetData>
  <mergeCells count="17">
    <mergeCell ref="A3:A13"/>
    <mergeCell ref="A14:A104"/>
    <mergeCell ref="B4:B13"/>
    <mergeCell ref="B14:B19"/>
    <mergeCell ref="B20:B25"/>
    <mergeCell ref="B29:B34"/>
    <mergeCell ref="B35:B36"/>
    <mergeCell ref="B38:B42"/>
    <mergeCell ref="B43:B44"/>
    <mergeCell ref="B46:B47"/>
    <mergeCell ref="B48:B52"/>
    <mergeCell ref="B54:B58"/>
    <mergeCell ref="B59:B74"/>
    <mergeCell ref="B75:B83"/>
    <mergeCell ref="B84:B85"/>
    <mergeCell ref="B88:B95"/>
    <mergeCell ref="B96:B103"/>
  </mergeCells>
  <pageMargins left="0.75" right="0.75" top="1" bottom="1" header="0.5" footer="0.5"/>
  <pageSetup paperSize="9" orientation="portrait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V1238"/>
  <sheetViews>
    <sheetView topLeftCell="A440" workbookViewId="0">
      <selection activeCell="K118" sqref="K118"/>
    </sheetView>
  </sheetViews>
  <sheetFormatPr defaultColWidth="9" defaultRowHeight="13.2"/>
  <cols>
    <col min="1" max="1" width="1.83333333333333" style="991" customWidth="1"/>
    <col min="2" max="2" width="28.7037037037037" style="989" customWidth="1"/>
    <col min="3" max="3" width="9.66666666666667" style="991" customWidth="1"/>
    <col min="4" max="4" width="9" style="991" customWidth="1"/>
    <col min="5" max="5" width="23.0277777777778" style="991" customWidth="1"/>
    <col min="6" max="6" width="13.0648148148148" style="1001" customWidth="1"/>
    <col min="7" max="7" width="26.7777777777778" style="1001" hidden="1" customWidth="1"/>
    <col min="8" max="8" width="26.5833333333333" style="1001" hidden="1" customWidth="1"/>
    <col min="9" max="9" width="11.6666666666667" style="1001" hidden="1" customWidth="1"/>
    <col min="10" max="10" width="17.3425925925926" style="1001" hidden="1" customWidth="1"/>
    <col min="11" max="11" width="31.2407407407407" style="1001" customWidth="1"/>
    <col min="12" max="12" width="7" style="991" customWidth="1"/>
    <col min="13" max="13" width="6.75" style="1001" customWidth="1"/>
    <col min="14" max="14" width="7" style="1001" customWidth="1"/>
    <col min="15" max="15" width="7.41666666666667" style="1002" customWidth="1"/>
    <col min="16" max="16" width="7.91666666666667" style="1002" customWidth="1"/>
    <col min="17" max="17" width="7.16666666666667" style="1001" hidden="1" customWidth="1"/>
    <col min="18" max="18" width="12.6944444444444" style="1002" customWidth="1"/>
    <col min="19" max="19" width="9" style="1002" customWidth="1"/>
    <col min="20" max="20" width="20.1574074074074" style="991" customWidth="1"/>
    <col min="21" max="21" width="20.1574074074074" style="1001" customWidth="1"/>
    <col min="22" max="22" width="19.1111111111111" style="991" customWidth="1"/>
    <col min="23" max="16384" width="9" style="991"/>
  </cols>
  <sheetData>
    <row r="1" s="799" customFormat="1" ht="16" customHeight="1" spans="2:21">
      <c r="B1" s="684" t="s">
        <v>3487</v>
      </c>
      <c r="C1" s="97"/>
      <c r="D1" s="97"/>
      <c r="E1" s="97"/>
      <c r="F1" s="950"/>
      <c r="G1" s="950"/>
      <c r="H1" s="951"/>
      <c r="I1" s="952"/>
      <c r="J1" s="952"/>
      <c r="K1" s="1003" t="s">
        <v>712</v>
      </c>
      <c r="L1" s="1003" t="s">
        <v>712</v>
      </c>
      <c r="M1" s="951"/>
      <c r="N1" s="951"/>
      <c r="O1" s="953"/>
      <c r="P1" s="953"/>
      <c r="Q1" s="951"/>
      <c r="R1" s="953"/>
      <c r="S1" s="953"/>
      <c r="T1" s="954"/>
      <c r="U1" s="955"/>
    </row>
    <row r="2" s="799" customFormat="1" ht="15.6" spans="2:21">
      <c r="B2" s="132" t="s">
        <v>1490</v>
      </c>
      <c r="C2" s="132"/>
      <c r="D2" s="132"/>
      <c r="E2" s="132"/>
      <c r="F2" s="133" t="s">
        <v>5</v>
      </c>
      <c r="G2" s="133" t="s">
        <v>1933</v>
      </c>
      <c r="H2" s="18" t="s">
        <v>4102</v>
      </c>
      <c r="I2" s="133" t="s">
        <v>1910</v>
      </c>
      <c r="J2" s="133" t="s">
        <v>1497</v>
      </c>
      <c r="K2" s="18" t="s">
        <v>4102</v>
      </c>
      <c r="L2" s="17" t="s">
        <v>4103</v>
      </c>
      <c r="M2" s="18" t="s">
        <v>4104</v>
      </c>
      <c r="N2" s="18" t="s">
        <v>1497</v>
      </c>
      <c r="O2" s="134" t="s">
        <v>6</v>
      </c>
      <c r="P2" s="134" t="s">
        <v>7</v>
      </c>
      <c r="Q2" s="956" t="s">
        <v>5672</v>
      </c>
      <c r="R2" s="956" t="s">
        <v>8</v>
      </c>
      <c r="S2" s="134" t="s">
        <v>9</v>
      </c>
      <c r="T2" s="957" t="s">
        <v>4105</v>
      </c>
      <c r="U2" s="136" t="s">
        <v>4106</v>
      </c>
    </row>
    <row r="3" s="989" customFormat="1" ht="15" spans="2:21">
      <c r="B3" s="29" t="s">
        <v>5810</v>
      </c>
      <c r="C3" s="29"/>
      <c r="D3" s="29"/>
      <c r="E3" s="29"/>
      <c r="F3" s="123" t="s">
        <v>5811</v>
      </c>
      <c r="G3" s="25" t="s">
        <v>1933</v>
      </c>
      <c r="H3" s="29" t="s">
        <v>5812</v>
      </c>
      <c r="I3" s="29" t="s">
        <v>4677</v>
      </c>
      <c r="J3" s="1004" t="s">
        <v>5813</v>
      </c>
      <c r="K3" s="29" t="s">
        <v>1428</v>
      </c>
      <c r="L3" s="1005" t="s">
        <v>1428</v>
      </c>
      <c r="M3" s="1006" t="s">
        <v>4671</v>
      </c>
      <c r="N3" s="29" t="s">
        <v>1428</v>
      </c>
      <c r="O3" s="31">
        <v>3.41</v>
      </c>
      <c r="P3" s="31">
        <v>14.51</v>
      </c>
      <c r="Q3" s="29" t="s">
        <v>1428</v>
      </c>
      <c r="R3" s="31">
        <v>3.32154715041213</v>
      </c>
      <c r="S3" s="31">
        <f t="shared" ref="S3:S23" si="0">SUM(K3:R3)</f>
        <v>21.2415471504121</v>
      </c>
      <c r="T3" s="157" t="s">
        <v>5814</v>
      </c>
      <c r="U3" s="25" t="s">
        <v>5815</v>
      </c>
    </row>
    <row r="4" s="989" customFormat="1" spans="2:21">
      <c r="B4" s="29"/>
      <c r="C4" s="29"/>
      <c r="D4" s="29"/>
      <c r="E4" s="29"/>
      <c r="F4" s="123" t="s">
        <v>5816</v>
      </c>
      <c r="G4" s="123"/>
      <c r="H4" s="29"/>
      <c r="I4" s="29"/>
      <c r="J4" s="29"/>
      <c r="K4" s="29"/>
      <c r="L4" s="1005"/>
      <c r="M4" s="29"/>
      <c r="N4" s="29"/>
      <c r="O4" s="31">
        <v>0.47586</v>
      </c>
      <c r="P4" s="31">
        <v>0.6666</v>
      </c>
      <c r="Q4" s="29" t="s">
        <v>1428</v>
      </c>
      <c r="R4" s="31">
        <v>0.2</v>
      </c>
      <c r="S4" s="31">
        <f t="shared" si="0"/>
        <v>1.34246</v>
      </c>
      <c r="T4" s="123"/>
      <c r="U4" s="25"/>
    </row>
    <row r="5" s="989" customFormat="1" spans="2:21">
      <c r="B5" s="29"/>
      <c r="C5" s="29"/>
      <c r="D5" s="29"/>
      <c r="E5" s="29"/>
      <c r="F5" s="123" t="s">
        <v>5817</v>
      </c>
      <c r="G5" s="123"/>
      <c r="H5" s="29"/>
      <c r="I5" s="29"/>
      <c r="J5" s="29"/>
      <c r="K5" s="29"/>
      <c r="L5" s="1005"/>
      <c r="M5" s="29"/>
      <c r="N5" s="29"/>
      <c r="O5" s="31">
        <v>0.66</v>
      </c>
      <c r="P5" s="31">
        <v>2.37</v>
      </c>
      <c r="Q5" s="29" t="s">
        <v>1428</v>
      </c>
      <c r="R5" s="31">
        <v>0.4</v>
      </c>
      <c r="S5" s="31">
        <f t="shared" si="0"/>
        <v>3.43</v>
      </c>
      <c r="T5" s="1007"/>
      <c r="U5" s="25"/>
    </row>
    <row r="6" s="989" customFormat="1" ht="15" spans="2:21">
      <c r="B6" s="29"/>
      <c r="C6" s="29"/>
      <c r="D6" s="29"/>
      <c r="E6" s="29"/>
      <c r="F6" s="123" t="s">
        <v>5818</v>
      </c>
      <c r="G6" s="123"/>
      <c r="H6" s="29"/>
      <c r="I6" s="29"/>
      <c r="J6" s="29"/>
      <c r="K6" s="29"/>
      <c r="L6" s="1005"/>
      <c r="M6" s="29"/>
      <c r="N6" s="29"/>
      <c r="O6" s="31">
        <v>0.946</v>
      </c>
      <c r="P6" s="31">
        <v>25.41</v>
      </c>
      <c r="Q6" s="29" t="s">
        <v>1428</v>
      </c>
      <c r="R6" s="31">
        <v>0.4</v>
      </c>
      <c r="S6" s="31">
        <f t="shared" si="0"/>
        <v>26.756</v>
      </c>
      <c r="T6" s="25"/>
      <c r="U6" s="123" t="s">
        <v>5819</v>
      </c>
    </row>
    <row r="7" s="989" customFormat="1" ht="15" spans="2:21">
      <c r="B7" s="29" t="s">
        <v>5820</v>
      </c>
      <c r="C7" s="29"/>
      <c r="D7" s="29"/>
      <c r="E7" s="29"/>
      <c r="F7" s="25" t="s">
        <v>1581</v>
      </c>
      <c r="G7" s="25" t="s">
        <v>3540</v>
      </c>
      <c r="H7" s="29" t="s">
        <v>5821</v>
      </c>
      <c r="I7" s="1004" t="s">
        <v>4677</v>
      </c>
      <c r="J7" s="1004" t="s">
        <v>5813</v>
      </c>
      <c r="K7" s="29" t="s">
        <v>1428</v>
      </c>
      <c r="L7" s="1005" t="s">
        <v>1428</v>
      </c>
      <c r="M7" s="1006" t="s">
        <v>4671</v>
      </c>
      <c r="N7" s="29" t="s">
        <v>1428</v>
      </c>
      <c r="O7" s="31">
        <v>2.211</v>
      </c>
      <c r="P7" s="31">
        <v>10.22</v>
      </c>
      <c r="Q7" s="29" t="s">
        <v>1428</v>
      </c>
      <c r="R7" s="31">
        <v>3.21440046814077</v>
      </c>
      <c r="S7" s="31">
        <f t="shared" si="0"/>
        <v>15.6454004681408</v>
      </c>
      <c r="T7" s="123" t="s">
        <v>5822</v>
      </c>
      <c r="U7" s="25" t="s">
        <v>5823</v>
      </c>
    </row>
    <row r="8" s="989" customFormat="1" spans="2:21">
      <c r="B8" s="29"/>
      <c r="C8" s="29"/>
      <c r="D8" s="29"/>
      <c r="E8" s="29"/>
      <c r="F8" s="25" t="s">
        <v>5824</v>
      </c>
      <c r="G8" s="25"/>
      <c r="H8" s="29"/>
      <c r="I8" s="1004"/>
      <c r="J8" s="1004"/>
      <c r="K8" s="29"/>
      <c r="L8" s="1005"/>
      <c r="M8" s="29"/>
      <c r="N8" s="29"/>
      <c r="O8" s="31">
        <v>0.363</v>
      </c>
      <c r="P8" s="31">
        <v>2.0503</v>
      </c>
      <c r="Q8" s="29" t="s">
        <v>1428</v>
      </c>
      <c r="R8" s="31">
        <v>0.4</v>
      </c>
      <c r="S8" s="31">
        <f t="shared" si="0"/>
        <v>2.8133</v>
      </c>
      <c r="T8" s="123"/>
      <c r="U8" s="25"/>
    </row>
    <row r="9" s="989" customFormat="1" spans="2:21">
      <c r="B9" s="29"/>
      <c r="C9" s="29"/>
      <c r="D9" s="29"/>
      <c r="E9" s="29" t="s">
        <v>1407</v>
      </c>
      <c r="F9" s="25" t="s">
        <v>5825</v>
      </c>
      <c r="G9" s="25"/>
      <c r="H9" s="29"/>
      <c r="I9" s="1004"/>
      <c r="J9" s="1004"/>
      <c r="K9" s="29"/>
      <c r="L9" s="1005"/>
      <c r="M9" s="29"/>
      <c r="N9" s="29"/>
      <c r="O9" s="31">
        <v>0.22</v>
      </c>
      <c r="P9" s="31">
        <v>0.35</v>
      </c>
      <c r="Q9" s="29" t="s">
        <v>1428</v>
      </c>
      <c r="R9" s="31">
        <v>0.08</v>
      </c>
      <c r="S9" s="31">
        <f t="shared" si="0"/>
        <v>0.65</v>
      </c>
      <c r="T9" s="123"/>
      <c r="U9" s="25"/>
    </row>
    <row r="10" s="989" customFormat="1" spans="2:21">
      <c r="B10" s="29"/>
      <c r="C10" s="29"/>
      <c r="D10" s="29"/>
      <c r="E10" s="29" t="s">
        <v>1408</v>
      </c>
      <c r="F10" s="25" t="s">
        <v>5826</v>
      </c>
      <c r="G10" s="25"/>
      <c r="H10" s="29"/>
      <c r="I10" s="1004"/>
      <c r="J10" s="1004"/>
      <c r="K10" s="29"/>
      <c r="L10" s="1005"/>
      <c r="M10" s="29"/>
      <c r="N10" s="29"/>
      <c r="O10" s="31">
        <v>0.33</v>
      </c>
      <c r="P10" s="31">
        <v>0.63</v>
      </c>
      <c r="Q10" s="29" t="s">
        <v>1428</v>
      </c>
      <c r="R10" s="31">
        <v>0.2</v>
      </c>
      <c r="S10" s="31">
        <f t="shared" si="0"/>
        <v>1.16</v>
      </c>
      <c r="T10" s="123"/>
      <c r="U10" s="25"/>
    </row>
    <row r="11" s="989" customFormat="1" spans="2:21">
      <c r="B11" s="29"/>
      <c r="C11" s="29"/>
      <c r="D11" s="29"/>
      <c r="E11" s="29"/>
      <c r="F11" s="25" t="s">
        <v>5827</v>
      </c>
      <c r="G11" s="25"/>
      <c r="H11" s="29"/>
      <c r="I11" s="1004"/>
      <c r="J11" s="1004"/>
      <c r="K11" s="29"/>
      <c r="L11" s="1005"/>
      <c r="M11" s="29"/>
      <c r="N11" s="29"/>
      <c r="O11" s="31">
        <v>0.077</v>
      </c>
      <c r="P11" s="31">
        <v>0.67</v>
      </c>
      <c r="Q11" s="29" t="s">
        <v>1428</v>
      </c>
      <c r="R11" s="31">
        <v>0.2</v>
      </c>
      <c r="S11" s="31">
        <f t="shared" si="0"/>
        <v>0.947</v>
      </c>
      <c r="T11" s="123"/>
      <c r="U11" s="25"/>
    </row>
    <row r="12" s="989" customFormat="1" spans="2:21">
      <c r="B12" s="29"/>
      <c r="C12" s="29"/>
      <c r="D12" s="29"/>
      <c r="E12" s="29"/>
      <c r="F12" s="25" t="s">
        <v>5828</v>
      </c>
      <c r="G12" s="25"/>
      <c r="H12" s="29"/>
      <c r="I12" s="1004"/>
      <c r="J12" s="1004"/>
      <c r="K12" s="29"/>
      <c r="L12" s="1005"/>
      <c r="M12" s="29"/>
      <c r="N12" s="29"/>
      <c r="O12" s="31">
        <v>0.363</v>
      </c>
      <c r="P12" s="31">
        <v>1.97</v>
      </c>
      <c r="Q12" s="29" t="s">
        <v>1428</v>
      </c>
      <c r="R12" s="31">
        <v>0.4</v>
      </c>
      <c r="S12" s="31">
        <f t="shared" si="0"/>
        <v>2.733</v>
      </c>
      <c r="T12" s="123"/>
      <c r="U12" s="25"/>
    </row>
    <row r="13" s="989" customFormat="1" spans="2:21">
      <c r="B13" s="29"/>
      <c r="C13" s="29"/>
      <c r="D13" s="29"/>
      <c r="E13" s="29"/>
      <c r="F13" s="25" t="s">
        <v>5829</v>
      </c>
      <c r="G13" s="25"/>
      <c r="H13" s="29"/>
      <c r="I13" s="1004"/>
      <c r="J13" s="1004"/>
      <c r="K13" s="29"/>
      <c r="L13" s="1005"/>
      <c r="M13" s="29"/>
      <c r="N13" s="29"/>
      <c r="O13" s="31">
        <v>0.121</v>
      </c>
      <c r="P13" s="31">
        <v>0.33</v>
      </c>
      <c r="Q13" s="29" t="s">
        <v>1428</v>
      </c>
      <c r="R13" s="31">
        <v>0.4</v>
      </c>
      <c r="S13" s="31">
        <f t="shared" si="0"/>
        <v>0.851</v>
      </c>
      <c r="T13" s="123"/>
      <c r="U13" s="25"/>
    </row>
    <row r="14" s="989" customFormat="1" spans="2:21">
      <c r="B14" s="29"/>
      <c r="C14" s="29"/>
      <c r="D14" s="29"/>
      <c r="E14" s="29"/>
      <c r="F14" s="25" t="s">
        <v>5830</v>
      </c>
      <c r="G14" s="25"/>
      <c r="H14" s="29"/>
      <c r="I14" s="1004"/>
      <c r="J14" s="1004"/>
      <c r="K14" s="29"/>
      <c r="L14" s="1005"/>
      <c r="M14" s="29"/>
      <c r="N14" s="29"/>
      <c r="O14" s="31">
        <v>0.13596</v>
      </c>
      <c r="P14" s="31">
        <v>0.42</v>
      </c>
      <c r="Q14" s="29" t="s">
        <v>1428</v>
      </c>
      <c r="R14" s="31">
        <v>0.4</v>
      </c>
      <c r="S14" s="31">
        <f t="shared" si="0"/>
        <v>0.95596</v>
      </c>
      <c r="T14" s="123"/>
      <c r="U14" s="25"/>
    </row>
    <row r="15" s="989" customFormat="1" ht="15" spans="2:21">
      <c r="B15" s="29" t="s">
        <v>5831</v>
      </c>
      <c r="C15" s="29"/>
      <c r="D15" s="29"/>
      <c r="E15" s="29"/>
      <c r="F15" s="25" t="s">
        <v>1667</v>
      </c>
      <c r="G15" s="25" t="s">
        <v>3540</v>
      </c>
      <c r="H15" s="29" t="s">
        <v>5812</v>
      </c>
      <c r="I15" s="1004" t="s">
        <v>5832</v>
      </c>
      <c r="J15" s="29" t="s">
        <v>5813</v>
      </c>
      <c r="K15" s="29" t="s">
        <v>1428</v>
      </c>
      <c r="L15" s="1005" t="s">
        <v>1428</v>
      </c>
      <c r="M15" s="65">
        <v>6.6</v>
      </c>
      <c r="N15" s="29" t="s">
        <v>1428</v>
      </c>
      <c r="O15" s="31">
        <v>2.761</v>
      </c>
      <c r="P15" s="31">
        <v>9.999</v>
      </c>
      <c r="Q15" s="29" t="s">
        <v>1428</v>
      </c>
      <c r="R15" s="31">
        <v>3.21440046814077</v>
      </c>
      <c r="S15" s="31">
        <f t="shared" si="0"/>
        <v>22.5744004681408</v>
      </c>
      <c r="T15" s="123" t="s">
        <v>5833</v>
      </c>
      <c r="U15" s="25" t="s">
        <v>5834</v>
      </c>
    </row>
    <row r="16" s="989" customFormat="1" spans="2:21">
      <c r="B16" s="29"/>
      <c r="C16" s="29"/>
      <c r="D16" s="29"/>
      <c r="E16" s="29"/>
      <c r="F16" s="25" t="s">
        <v>5835</v>
      </c>
      <c r="G16" s="25"/>
      <c r="H16" s="29"/>
      <c r="I16" s="1004"/>
      <c r="J16" s="1004"/>
      <c r="K16" s="29"/>
      <c r="L16" s="1005"/>
      <c r="M16" s="29"/>
      <c r="N16" s="29"/>
      <c r="O16" s="31">
        <v>0.473</v>
      </c>
      <c r="P16" s="31">
        <v>2.8</v>
      </c>
      <c r="Q16" s="29" t="s">
        <v>1428</v>
      </c>
      <c r="R16" s="31">
        <v>0.4</v>
      </c>
      <c r="S16" s="31">
        <f t="shared" si="0"/>
        <v>3.673</v>
      </c>
      <c r="T16" s="123"/>
      <c r="U16" s="25"/>
    </row>
    <row r="17" s="989" customFormat="1" spans="2:21">
      <c r="B17" s="29"/>
      <c r="C17" s="29"/>
      <c r="D17" s="29"/>
      <c r="E17" s="29"/>
      <c r="F17" s="25" t="s">
        <v>5836</v>
      </c>
      <c r="G17" s="25"/>
      <c r="H17" s="29"/>
      <c r="I17" s="29"/>
      <c r="J17" s="29"/>
      <c r="K17" s="29"/>
      <c r="L17" s="1005"/>
      <c r="M17" s="29"/>
      <c r="N17" s="29"/>
      <c r="O17" s="31">
        <v>0.418</v>
      </c>
      <c r="P17" s="31">
        <v>0.79</v>
      </c>
      <c r="Q17" s="29" t="s">
        <v>1428</v>
      </c>
      <c r="R17" s="31">
        <v>0.4</v>
      </c>
      <c r="S17" s="31">
        <f t="shared" si="0"/>
        <v>1.608</v>
      </c>
      <c r="T17" s="123"/>
      <c r="U17" s="25"/>
    </row>
    <row r="18" s="989" customFormat="1" ht="15" spans="2:21">
      <c r="B18" s="1008" t="s">
        <v>5837</v>
      </c>
      <c r="C18" s="29"/>
      <c r="D18" s="29"/>
      <c r="E18" s="29"/>
      <c r="F18" s="123" t="s">
        <v>1565</v>
      </c>
      <c r="G18" s="25" t="s">
        <v>1933</v>
      </c>
      <c r="H18" s="29" t="s">
        <v>5812</v>
      </c>
      <c r="I18" s="29" t="s">
        <v>4569</v>
      </c>
      <c r="J18" s="29" t="s">
        <v>5838</v>
      </c>
      <c r="K18" s="29" t="s">
        <v>1428</v>
      </c>
      <c r="L18" s="1005" t="s">
        <v>1428</v>
      </c>
      <c r="M18" s="700">
        <v>2.9</v>
      </c>
      <c r="N18" s="29">
        <v>1.3</v>
      </c>
      <c r="O18" s="31">
        <v>2.255</v>
      </c>
      <c r="P18" s="31">
        <v>15.40957</v>
      </c>
      <c r="Q18" s="29" t="s">
        <v>1428</v>
      </c>
      <c r="R18" s="31">
        <v>3.32154715041213</v>
      </c>
      <c r="S18" s="31">
        <f t="shared" si="0"/>
        <v>25.1861171504121</v>
      </c>
      <c r="T18" s="157" t="s">
        <v>5814</v>
      </c>
      <c r="U18" s="123" t="s">
        <v>5839</v>
      </c>
    </row>
    <row r="19" s="990" customFormat="1" ht="15" spans="2:21">
      <c r="B19" s="1009"/>
      <c r="C19" s="29"/>
      <c r="D19" s="29"/>
      <c r="E19" s="29"/>
      <c r="F19" s="123" t="s">
        <v>1645</v>
      </c>
      <c r="G19" s="25" t="s">
        <v>1933</v>
      </c>
      <c r="H19" s="29" t="s">
        <v>5840</v>
      </c>
      <c r="I19" s="29" t="s">
        <v>4691</v>
      </c>
      <c r="J19" s="29" t="s">
        <v>5813</v>
      </c>
      <c r="K19" s="30" t="s">
        <v>1428</v>
      </c>
      <c r="L19" s="1005" t="s">
        <v>1428</v>
      </c>
      <c r="M19" s="1006" t="s">
        <v>4671</v>
      </c>
      <c r="N19" s="29" t="s">
        <v>1428</v>
      </c>
      <c r="O19" s="31">
        <v>2.255</v>
      </c>
      <c r="P19" s="31">
        <v>15.13182</v>
      </c>
      <c r="Q19" s="29" t="s">
        <v>1428</v>
      </c>
      <c r="R19" s="31">
        <v>3.32154715041213</v>
      </c>
      <c r="S19" s="31">
        <f t="shared" si="0"/>
        <v>20.7083671504121</v>
      </c>
      <c r="T19" s="157" t="s">
        <v>5814</v>
      </c>
      <c r="U19" s="123" t="s">
        <v>5841</v>
      </c>
    </row>
    <row r="20" s="990" customFormat="1" spans="2:21">
      <c r="B20" s="1009"/>
      <c r="C20" s="29"/>
      <c r="D20" s="29"/>
      <c r="E20" s="29"/>
      <c r="F20" s="25" t="s">
        <v>5842</v>
      </c>
      <c r="G20" s="25"/>
      <c r="H20" s="29"/>
      <c r="I20" s="29"/>
      <c r="J20" s="29"/>
      <c r="K20" s="29"/>
      <c r="L20" s="1005"/>
      <c r="M20" s="29"/>
      <c r="N20" s="29"/>
      <c r="O20" s="31">
        <v>0.55</v>
      </c>
      <c r="P20" s="31">
        <v>2.52</v>
      </c>
      <c r="Q20" s="29" t="s">
        <v>1428</v>
      </c>
      <c r="R20" s="31">
        <v>0.2</v>
      </c>
      <c r="S20" s="31">
        <f t="shared" si="0"/>
        <v>3.27</v>
      </c>
      <c r="T20" s="123"/>
      <c r="U20" s="25"/>
    </row>
    <row r="21" s="989" customFormat="1" spans="2:21">
      <c r="B21" s="1009"/>
      <c r="C21" s="28"/>
      <c r="D21" s="28"/>
      <c r="E21" s="28"/>
      <c r="F21" s="26" t="s">
        <v>5843</v>
      </c>
      <c r="G21" s="123"/>
      <c r="H21" s="29"/>
      <c r="I21" s="29"/>
      <c r="J21" s="29"/>
      <c r="K21" s="29"/>
      <c r="L21" s="1005"/>
      <c r="M21" s="29"/>
      <c r="N21" s="29"/>
      <c r="O21" s="31">
        <v>0.55</v>
      </c>
      <c r="P21" s="31">
        <v>2.39</v>
      </c>
      <c r="Q21" s="147" t="s">
        <v>1428</v>
      </c>
      <c r="R21" s="31">
        <v>0.2</v>
      </c>
      <c r="S21" s="31">
        <f t="shared" si="0"/>
        <v>3.14</v>
      </c>
      <c r="T21" s="1010"/>
      <c r="U21" s="1011"/>
    </row>
    <row r="22" s="990" customFormat="1" ht="15" spans="2:21">
      <c r="B22" s="1009"/>
      <c r="C22" s="29"/>
      <c r="D22" s="29"/>
      <c r="E22" s="29"/>
      <c r="F22" s="123" t="s">
        <v>5844</v>
      </c>
      <c r="G22" s="123"/>
      <c r="H22" s="29"/>
      <c r="I22" s="29"/>
      <c r="J22" s="29"/>
      <c r="K22" s="29"/>
      <c r="L22" s="1005"/>
      <c r="M22" s="29"/>
      <c r="N22" s="29"/>
      <c r="O22" s="31">
        <v>0.44187</v>
      </c>
      <c r="P22" s="31">
        <v>0.9696</v>
      </c>
      <c r="Q22" s="29" t="s">
        <v>1428</v>
      </c>
      <c r="R22" s="31">
        <v>0.4</v>
      </c>
      <c r="S22" s="31">
        <f t="shared" si="0"/>
        <v>1.81147</v>
      </c>
      <c r="T22" s="157"/>
      <c r="U22" s="123"/>
    </row>
    <row r="23" s="990" customFormat="1" spans="2:21">
      <c r="B23" s="123"/>
      <c r="C23" s="29"/>
      <c r="D23" s="29"/>
      <c r="E23" s="29"/>
      <c r="F23" s="123" t="s">
        <v>5845</v>
      </c>
      <c r="G23" s="123"/>
      <c r="H23" s="29"/>
      <c r="I23" s="29"/>
      <c r="J23" s="29"/>
      <c r="K23" s="29"/>
      <c r="L23" s="1005"/>
      <c r="M23" s="29"/>
      <c r="N23" s="29"/>
      <c r="O23" s="31">
        <v>0.44187</v>
      </c>
      <c r="P23" s="31">
        <v>0.9191</v>
      </c>
      <c r="Q23" s="29" t="s">
        <v>1428</v>
      </c>
      <c r="R23" s="31">
        <v>0.4</v>
      </c>
      <c r="S23" s="31">
        <f t="shared" si="0"/>
        <v>1.76097</v>
      </c>
      <c r="T23" s="157"/>
      <c r="U23" s="123"/>
    </row>
    <row r="24" s="990" customFormat="1" spans="2:21">
      <c r="B24" s="123"/>
      <c r="C24" s="28"/>
      <c r="D24" s="28"/>
      <c r="E24" s="28"/>
      <c r="F24" s="27"/>
      <c r="G24" s="27"/>
      <c r="H24" s="29"/>
      <c r="I24" s="29"/>
      <c r="J24" s="29"/>
      <c r="K24" s="29"/>
      <c r="L24" s="1005"/>
      <c r="M24" s="29"/>
      <c r="N24" s="29"/>
      <c r="O24" s="31"/>
      <c r="P24" s="31"/>
      <c r="Q24" s="29"/>
      <c r="R24" s="31"/>
      <c r="S24" s="31"/>
      <c r="T24" s="157"/>
      <c r="U24" s="123"/>
    </row>
    <row r="25" s="989" customFormat="1" spans="2:21">
      <c r="B25" s="123"/>
      <c r="C25" s="28"/>
      <c r="D25" s="28"/>
      <c r="E25" s="28"/>
      <c r="F25" s="26" t="s">
        <v>5846</v>
      </c>
      <c r="G25" s="26"/>
      <c r="H25" s="29"/>
      <c r="I25" s="29"/>
      <c r="J25" s="29"/>
      <c r="K25" s="29"/>
      <c r="L25" s="1005"/>
      <c r="M25" s="29"/>
      <c r="N25" s="29"/>
      <c r="O25" s="31">
        <v>0.05665</v>
      </c>
      <c r="P25" s="31">
        <v>0.1313</v>
      </c>
      <c r="Q25" s="29" t="s">
        <v>1428</v>
      </c>
      <c r="R25" s="31">
        <v>0.4</v>
      </c>
      <c r="S25" s="31">
        <f>SUM(K25:R25)</f>
        <v>0.58795</v>
      </c>
      <c r="T25" s="123"/>
      <c r="U25" s="25" t="s">
        <v>3518</v>
      </c>
    </row>
    <row r="26" s="989" customFormat="1" spans="2:21">
      <c r="B26" s="123"/>
      <c r="C26" s="1012">
        <v>46105</v>
      </c>
      <c r="D26" s="28">
        <v>6.91</v>
      </c>
      <c r="E26" s="28"/>
      <c r="F26" s="26"/>
      <c r="G26" s="26"/>
      <c r="H26" s="29"/>
      <c r="I26" s="1004"/>
      <c r="J26" s="1004"/>
      <c r="K26" s="29"/>
      <c r="L26" s="1005"/>
      <c r="M26" s="1006"/>
      <c r="N26" s="29"/>
      <c r="O26" s="31"/>
      <c r="P26" s="31"/>
      <c r="Q26" s="29"/>
      <c r="R26" s="31"/>
      <c r="S26" s="31"/>
      <c r="T26" s="123"/>
      <c r="U26" s="25"/>
    </row>
    <row r="27" s="989" customFormat="1" spans="2:21">
      <c r="B27" s="123"/>
      <c r="C27" s="1012">
        <v>46105</v>
      </c>
      <c r="D27" s="28">
        <v>6.91</v>
      </c>
      <c r="E27" s="28"/>
      <c r="F27" s="26"/>
      <c r="G27" s="26"/>
      <c r="H27" s="29"/>
      <c r="I27" s="1004"/>
      <c r="J27" s="1004"/>
      <c r="K27" s="29"/>
      <c r="L27" s="1005"/>
      <c r="M27" s="1006"/>
      <c r="N27" s="29"/>
      <c r="O27" s="31"/>
      <c r="P27" s="31"/>
      <c r="Q27" s="29"/>
      <c r="R27" s="31"/>
      <c r="S27" s="31"/>
      <c r="T27" s="123"/>
      <c r="U27" s="25"/>
    </row>
    <row r="28" s="989" customFormat="1" ht="15" spans="2:21">
      <c r="B28" s="29" t="s">
        <v>5847</v>
      </c>
      <c r="C28" s="29"/>
      <c r="D28" s="29"/>
      <c r="E28" s="29" t="s">
        <v>1411</v>
      </c>
      <c r="F28" s="25" t="s">
        <v>2427</v>
      </c>
      <c r="G28" s="25" t="s">
        <v>1933</v>
      </c>
      <c r="H28" s="29" t="s">
        <v>5812</v>
      </c>
      <c r="I28" s="1004" t="s">
        <v>3463</v>
      </c>
      <c r="J28" s="1004" t="s">
        <v>5813</v>
      </c>
      <c r="K28" s="29" t="s">
        <v>1428</v>
      </c>
      <c r="L28" s="1005" t="s">
        <v>1428</v>
      </c>
      <c r="M28" s="1006" t="s">
        <v>4671</v>
      </c>
      <c r="N28" s="29" t="s">
        <v>1428</v>
      </c>
      <c r="O28" s="31">
        <v>2.563</v>
      </c>
      <c r="P28" s="31" t="e">
        <f>42.7/D28/1.13</f>
        <v>#DIV/0!</v>
      </c>
      <c r="Q28" s="29">
        <v>28.5</v>
      </c>
      <c r="R28" s="31">
        <v>3.32154715041213</v>
      </c>
      <c r="S28" s="31" t="e">
        <f t="shared" ref="S28:S68" si="1">SUM(K28:R28)</f>
        <v>#DIV/0!</v>
      </c>
      <c r="T28" s="123" t="s">
        <v>5848</v>
      </c>
      <c r="U28" s="25" t="s">
        <v>5849</v>
      </c>
    </row>
    <row r="29" s="989" customFormat="1" ht="15" spans="2:21">
      <c r="B29" s="29"/>
      <c r="C29" s="29"/>
      <c r="D29" s="29"/>
      <c r="E29" s="29"/>
      <c r="F29" s="25" t="s">
        <v>1587</v>
      </c>
      <c r="G29" s="25" t="s">
        <v>3540</v>
      </c>
      <c r="H29" s="29" t="s">
        <v>5812</v>
      </c>
      <c r="I29" s="29" t="s">
        <v>3463</v>
      </c>
      <c r="J29" s="29" t="s">
        <v>5813</v>
      </c>
      <c r="K29" s="29" t="s">
        <v>1428</v>
      </c>
      <c r="L29" s="1005" t="s">
        <v>1428</v>
      </c>
      <c r="M29" s="1006" t="s">
        <v>4671</v>
      </c>
      <c r="N29" s="29" t="s">
        <v>1428</v>
      </c>
      <c r="O29" s="31">
        <v>2.563</v>
      </c>
      <c r="P29" s="31">
        <v>9.5546</v>
      </c>
      <c r="Q29" s="29" t="s">
        <v>1428</v>
      </c>
      <c r="R29" s="31">
        <v>3.21440046814077</v>
      </c>
      <c r="S29" s="31">
        <f t="shared" si="1"/>
        <v>15.3320004681408</v>
      </c>
      <c r="T29" s="123" t="s">
        <v>5848</v>
      </c>
      <c r="U29" s="25" t="s">
        <v>5850</v>
      </c>
    </row>
    <row r="30" s="989" customFormat="1" spans="2:21">
      <c r="B30" s="29"/>
      <c r="C30" s="29"/>
      <c r="D30" s="29"/>
      <c r="E30" s="29"/>
      <c r="F30" s="25" t="s">
        <v>5851</v>
      </c>
      <c r="G30" s="25"/>
      <c r="H30" s="29"/>
      <c r="I30" s="29"/>
      <c r="J30" s="29"/>
      <c r="K30" s="29"/>
      <c r="L30" s="1005"/>
      <c r="M30" s="29"/>
      <c r="N30" s="29"/>
      <c r="O30" s="31">
        <v>0.35</v>
      </c>
      <c r="P30" s="31">
        <v>1.02</v>
      </c>
      <c r="Q30" s="29" t="s">
        <v>1428</v>
      </c>
      <c r="R30" s="31">
        <v>0.2</v>
      </c>
      <c r="S30" s="31">
        <f t="shared" si="1"/>
        <v>1.57</v>
      </c>
      <c r="T30" s="123"/>
      <c r="U30" s="25"/>
    </row>
    <row r="31" s="989" customFormat="1" spans="2:21">
      <c r="B31" s="29"/>
      <c r="C31" s="29"/>
      <c r="D31" s="29"/>
      <c r="E31" s="29"/>
      <c r="F31" s="25" t="s">
        <v>5852</v>
      </c>
      <c r="G31" s="25"/>
      <c r="H31" s="29"/>
      <c r="I31" s="29"/>
      <c r="J31" s="29"/>
      <c r="K31" s="29"/>
      <c r="L31" s="1005"/>
      <c r="M31" s="29"/>
      <c r="N31" s="29"/>
      <c r="O31" s="31">
        <v>0.56551</v>
      </c>
      <c r="P31" s="31">
        <v>2.5853</v>
      </c>
      <c r="Q31" s="29" t="s">
        <v>1428</v>
      </c>
      <c r="R31" s="31">
        <v>0.4</v>
      </c>
      <c r="S31" s="31">
        <f t="shared" si="1"/>
        <v>3.55081</v>
      </c>
      <c r="T31" s="123"/>
      <c r="U31" s="25"/>
    </row>
    <row r="32" s="989" customFormat="1" spans="2:21">
      <c r="B32" s="29"/>
      <c r="C32" s="29"/>
      <c r="D32" s="29"/>
      <c r="E32" s="29"/>
      <c r="F32" s="25" t="s">
        <v>5853</v>
      </c>
      <c r="G32" s="25"/>
      <c r="H32" s="29"/>
      <c r="I32" s="29"/>
      <c r="J32" s="29"/>
      <c r="K32" s="29"/>
      <c r="L32" s="1005"/>
      <c r="M32" s="29"/>
      <c r="N32" s="29"/>
      <c r="O32" s="31">
        <v>0.31625</v>
      </c>
      <c r="P32" s="31">
        <v>0.9087</v>
      </c>
      <c r="Q32" s="29" t="s">
        <v>1428</v>
      </c>
      <c r="R32" s="31">
        <v>0.2</v>
      </c>
      <c r="S32" s="31">
        <f t="shared" si="1"/>
        <v>1.42495</v>
      </c>
      <c r="T32" s="123"/>
      <c r="U32" s="25"/>
    </row>
    <row r="33" s="989" customFormat="1" spans="2:22">
      <c r="B33" s="29"/>
      <c r="C33" s="29"/>
      <c r="D33" s="29"/>
      <c r="E33" s="29"/>
      <c r="F33" s="25" t="s">
        <v>5854</v>
      </c>
      <c r="G33" s="25"/>
      <c r="H33" s="29"/>
      <c r="I33" s="29"/>
      <c r="J33" s="29"/>
      <c r="K33" s="29"/>
      <c r="L33" s="1005"/>
      <c r="M33" s="29"/>
      <c r="N33" s="29"/>
      <c r="O33" s="31">
        <v>0.31625</v>
      </c>
      <c r="P33" s="31">
        <v>0.7471</v>
      </c>
      <c r="Q33" s="29" t="s">
        <v>1428</v>
      </c>
      <c r="R33" s="31">
        <v>0.2</v>
      </c>
      <c r="S33" s="31">
        <f t="shared" si="1"/>
        <v>1.26335</v>
      </c>
      <c r="T33" s="123"/>
      <c r="U33" s="25"/>
    </row>
    <row r="34" s="989" customFormat="1" spans="2:22">
      <c r="B34" s="29"/>
      <c r="C34" s="29"/>
      <c r="D34" s="29"/>
      <c r="E34" s="29"/>
      <c r="F34" s="25" t="s">
        <v>5855</v>
      </c>
      <c r="G34" s="25"/>
      <c r="H34" s="29"/>
      <c r="I34" s="29"/>
      <c r="J34" s="29"/>
      <c r="K34" s="29"/>
      <c r="L34" s="1005"/>
      <c r="M34" s="29"/>
      <c r="N34" s="29"/>
      <c r="O34" s="31">
        <v>0.56551</v>
      </c>
      <c r="P34" s="31">
        <v>2.4338</v>
      </c>
      <c r="Q34" s="29" t="s">
        <v>1428</v>
      </c>
      <c r="R34" s="31">
        <v>0.4</v>
      </c>
      <c r="S34" s="31">
        <f t="shared" si="1"/>
        <v>3.39931</v>
      </c>
      <c r="T34" s="123"/>
      <c r="U34" s="25"/>
    </row>
    <row r="35" s="989" customFormat="1" spans="2:22">
      <c r="B35" s="29"/>
      <c r="C35" s="29"/>
      <c r="D35" s="29"/>
      <c r="E35" s="29"/>
      <c r="F35" s="29" t="s">
        <v>5856</v>
      </c>
      <c r="G35" s="25"/>
      <c r="H35" s="29"/>
      <c r="I35" s="29"/>
      <c r="J35" s="29"/>
      <c r="K35" s="29"/>
      <c r="L35" s="1005"/>
      <c r="M35" s="29"/>
      <c r="N35" s="29"/>
      <c r="O35" s="31">
        <v>0.31625</v>
      </c>
      <c r="P35" s="31">
        <v>0.9693</v>
      </c>
      <c r="Q35" s="29" t="s">
        <v>1428</v>
      </c>
      <c r="R35" s="31">
        <v>0.2</v>
      </c>
      <c r="S35" s="31">
        <f t="shared" si="1"/>
        <v>1.48555</v>
      </c>
      <c r="T35" s="123"/>
      <c r="U35" s="25"/>
    </row>
    <row r="36" s="989" customFormat="1" spans="2:22">
      <c r="B36" s="29"/>
      <c r="C36" s="29"/>
      <c r="D36" s="29"/>
      <c r="E36" s="29"/>
      <c r="F36" s="25" t="s">
        <v>5857</v>
      </c>
      <c r="G36" s="25"/>
      <c r="H36" s="29"/>
      <c r="I36" s="29"/>
      <c r="J36" s="29"/>
      <c r="K36" s="29"/>
      <c r="L36" s="1005"/>
      <c r="M36" s="29"/>
      <c r="N36" s="29"/>
      <c r="O36" s="31">
        <v>0.31625</v>
      </c>
      <c r="P36" s="31">
        <v>0.9087</v>
      </c>
      <c r="Q36" s="29">
        <v>16</v>
      </c>
      <c r="R36" s="31">
        <v>0.2</v>
      </c>
      <c r="S36" s="31">
        <f t="shared" si="1"/>
        <v>17.42495</v>
      </c>
      <c r="T36" s="123"/>
      <c r="U36" s="25"/>
      <c r="V36" s="1013" t="s">
        <v>1413</v>
      </c>
    </row>
    <row r="37" s="989" customFormat="1" spans="2:22">
      <c r="B37" s="29"/>
      <c r="C37" s="29"/>
      <c r="D37" s="29"/>
      <c r="E37" s="29"/>
      <c r="F37" s="25" t="s">
        <v>5858</v>
      </c>
      <c r="G37" s="25"/>
      <c r="H37" s="29"/>
      <c r="I37" s="29"/>
      <c r="J37" s="29"/>
      <c r="K37" s="29"/>
      <c r="L37" s="1005"/>
      <c r="M37" s="29"/>
      <c r="N37" s="29"/>
      <c r="O37" s="31">
        <v>0.31625</v>
      </c>
      <c r="P37" s="31">
        <v>0.939</v>
      </c>
      <c r="Q37" s="29" t="s">
        <v>1428</v>
      </c>
      <c r="R37" s="31">
        <v>0.2</v>
      </c>
      <c r="S37" s="31">
        <f t="shared" si="1"/>
        <v>1.45525</v>
      </c>
      <c r="T37" s="123"/>
      <c r="U37" s="25"/>
    </row>
    <row r="38" s="989" customFormat="1" ht="57" spans="2:22">
      <c r="B38" s="29" t="s">
        <v>5859</v>
      </c>
      <c r="C38" s="29"/>
      <c r="D38" s="29"/>
      <c r="E38" s="29"/>
      <c r="F38" s="25" t="s">
        <v>2383</v>
      </c>
      <c r="G38" s="25" t="s">
        <v>3540</v>
      </c>
      <c r="H38" s="29" t="s">
        <v>5812</v>
      </c>
      <c r="I38" s="29" t="s">
        <v>4677</v>
      </c>
      <c r="J38" s="29" t="s">
        <v>5838</v>
      </c>
      <c r="K38" s="29" t="s">
        <v>1428</v>
      </c>
      <c r="L38" s="1005" t="s">
        <v>1428</v>
      </c>
      <c r="M38" s="1006" t="s">
        <v>4671</v>
      </c>
      <c r="N38" s="29">
        <v>1.3</v>
      </c>
      <c r="O38" s="31">
        <v>2.288</v>
      </c>
      <c r="P38" s="31">
        <v>10.7</v>
      </c>
      <c r="Q38" s="29" t="s">
        <v>1428</v>
      </c>
      <c r="R38" s="31">
        <v>3.21440046814077</v>
      </c>
      <c r="S38" s="31">
        <f t="shared" si="1"/>
        <v>17.5024004681408</v>
      </c>
      <c r="T38" s="157" t="s">
        <v>5814</v>
      </c>
      <c r="U38" s="1014" t="s">
        <v>5860</v>
      </c>
    </row>
    <row r="39" s="989" customFormat="1" spans="2:22">
      <c r="B39" s="29"/>
      <c r="C39" s="29"/>
      <c r="D39" s="29"/>
      <c r="E39" s="29"/>
      <c r="F39" s="25" t="s">
        <v>5861</v>
      </c>
      <c r="G39" s="25"/>
      <c r="H39" s="29"/>
      <c r="I39" s="29"/>
      <c r="J39" s="29"/>
      <c r="K39" s="29"/>
      <c r="L39" s="1005"/>
      <c r="M39" s="29"/>
      <c r="N39" s="29"/>
      <c r="O39" s="31">
        <v>0.42</v>
      </c>
      <c r="P39" s="31">
        <v>1.77</v>
      </c>
      <c r="Q39" s="29" t="s">
        <v>1428</v>
      </c>
      <c r="R39" s="31">
        <v>0.2</v>
      </c>
      <c r="S39" s="31">
        <f t="shared" si="1"/>
        <v>2.39</v>
      </c>
      <c r="T39" s="157"/>
      <c r="U39" s="1014"/>
    </row>
    <row r="40" s="989" customFormat="1" ht="15" spans="2:22">
      <c r="B40" s="29"/>
      <c r="C40" s="29"/>
      <c r="D40" s="29"/>
      <c r="E40" s="29"/>
      <c r="F40" s="25" t="s">
        <v>5862</v>
      </c>
      <c r="G40" s="25"/>
      <c r="H40" s="29"/>
      <c r="I40" s="29"/>
      <c r="J40" s="29"/>
      <c r="K40" s="29"/>
      <c r="L40" s="1005"/>
      <c r="M40" s="29"/>
      <c r="N40" s="29"/>
      <c r="O40" s="31">
        <v>0.33891</v>
      </c>
      <c r="P40" s="31">
        <v>0.6764</v>
      </c>
      <c r="Q40" s="29" t="s">
        <v>1428</v>
      </c>
      <c r="R40" s="31">
        <v>0.2</v>
      </c>
      <c r="S40" s="31">
        <f t="shared" si="1"/>
        <v>1.21531</v>
      </c>
      <c r="T40" s="123"/>
      <c r="U40" s="25"/>
    </row>
    <row r="41" s="989" customFormat="1" spans="2:22">
      <c r="B41" s="29"/>
      <c r="C41" s="29"/>
      <c r="D41" s="29"/>
      <c r="E41" s="29"/>
      <c r="F41" s="25" t="s">
        <v>5863</v>
      </c>
      <c r="G41" s="25"/>
      <c r="H41" s="29"/>
      <c r="I41" s="29"/>
      <c r="J41" s="29"/>
      <c r="K41" s="29"/>
      <c r="L41" s="1005"/>
      <c r="M41" s="29"/>
      <c r="N41" s="29"/>
      <c r="O41" s="31">
        <v>0.39556</v>
      </c>
      <c r="P41" s="31">
        <v>2.555</v>
      </c>
      <c r="Q41" s="29" t="s">
        <v>1428</v>
      </c>
      <c r="R41" s="31">
        <v>0.4</v>
      </c>
      <c r="S41" s="31">
        <f t="shared" si="1"/>
        <v>3.35056</v>
      </c>
      <c r="T41" s="1015"/>
      <c r="U41" s="25"/>
    </row>
    <row r="42" s="989" customFormat="1" ht="15" spans="2:22">
      <c r="B42" s="29" t="s">
        <v>5864</v>
      </c>
      <c r="C42" s="29"/>
      <c r="D42" s="29"/>
      <c r="E42" s="29"/>
      <c r="F42" s="25" t="s">
        <v>1604</v>
      </c>
      <c r="G42" s="25" t="s">
        <v>3540</v>
      </c>
      <c r="H42" s="29" t="s">
        <v>5812</v>
      </c>
      <c r="I42" s="29" t="s">
        <v>5865</v>
      </c>
      <c r="J42" s="29" t="s">
        <v>5838</v>
      </c>
      <c r="K42" s="29" t="s">
        <v>1428</v>
      </c>
      <c r="L42" s="1005" t="s">
        <v>1428</v>
      </c>
      <c r="M42" s="29" t="s">
        <v>1428</v>
      </c>
      <c r="N42" s="29">
        <v>1.3</v>
      </c>
      <c r="O42" s="31">
        <v>2.398</v>
      </c>
      <c r="P42" s="31">
        <v>9.39906</v>
      </c>
      <c r="Q42" s="29" t="s">
        <v>1428</v>
      </c>
      <c r="R42" s="31">
        <v>3.21440046814077</v>
      </c>
      <c r="S42" s="31">
        <f t="shared" si="1"/>
        <v>16.3114604681408</v>
      </c>
      <c r="T42" s="157" t="s">
        <v>5866</v>
      </c>
      <c r="U42" s="25" t="s">
        <v>5867</v>
      </c>
    </row>
    <row r="43" s="989" customFormat="1" ht="15" spans="2:22">
      <c r="B43" s="29"/>
      <c r="C43" s="29"/>
      <c r="D43" s="29"/>
      <c r="E43" s="29" t="s">
        <v>1414</v>
      </c>
      <c r="F43" s="25" t="s">
        <v>1671</v>
      </c>
      <c r="G43" s="25" t="s">
        <v>3540</v>
      </c>
      <c r="H43" s="29" t="s">
        <v>5812</v>
      </c>
      <c r="I43" s="29" t="s">
        <v>4677</v>
      </c>
      <c r="J43" s="29" t="s">
        <v>5813</v>
      </c>
      <c r="K43" s="29" t="s">
        <v>1428</v>
      </c>
      <c r="L43" s="1005" t="s">
        <v>1428</v>
      </c>
      <c r="M43" s="1006" t="s">
        <v>4671</v>
      </c>
      <c r="N43" s="29" t="s">
        <v>1428</v>
      </c>
      <c r="O43" s="31">
        <v>2.398</v>
      </c>
      <c r="P43" s="31">
        <v>9.06576</v>
      </c>
      <c r="Q43" s="29" t="s">
        <v>1428</v>
      </c>
      <c r="R43" s="31">
        <v>3.21440046814077</v>
      </c>
      <c r="S43" s="31">
        <f t="shared" si="1"/>
        <v>14.6781604681408</v>
      </c>
      <c r="T43" s="157" t="s">
        <v>5814</v>
      </c>
      <c r="U43" s="25" t="s">
        <v>5868</v>
      </c>
    </row>
    <row r="44" s="989" customFormat="1" ht="15" spans="2:22">
      <c r="B44" s="29"/>
      <c r="C44" s="29"/>
      <c r="D44" s="29"/>
      <c r="E44" s="29"/>
      <c r="F44" s="25" t="s">
        <v>1672</v>
      </c>
      <c r="G44" s="25" t="s">
        <v>3540</v>
      </c>
      <c r="H44" s="29" t="s">
        <v>5812</v>
      </c>
      <c r="I44" s="29" t="s">
        <v>4677</v>
      </c>
      <c r="J44" s="29" t="s">
        <v>5813</v>
      </c>
      <c r="K44" s="29" t="s">
        <v>1428</v>
      </c>
      <c r="L44" s="1005" t="s">
        <v>1428</v>
      </c>
      <c r="M44" s="1006" t="s">
        <v>4671</v>
      </c>
      <c r="N44" s="29" t="s">
        <v>1428</v>
      </c>
      <c r="O44" s="31">
        <v>2.398</v>
      </c>
      <c r="P44" s="31">
        <v>9.39906</v>
      </c>
      <c r="Q44" s="29" t="s">
        <v>1428</v>
      </c>
      <c r="R44" s="31">
        <v>3.21440046814077</v>
      </c>
      <c r="S44" s="31">
        <f t="shared" si="1"/>
        <v>15.0114604681408</v>
      </c>
      <c r="T44" s="157" t="s">
        <v>5814</v>
      </c>
      <c r="U44" s="25" t="s">
        <v>5869</v>
      </c>
    </row>
    <row r="45" s="989" customFormat="1" spans="2:22">
      <c r="B45" s="29"/>
      <c r="C45" s="29"/>
      <c r="D45" s="29">
        <v>6.91</v>
      </c>
      <c r="E45" s="29" t="s">
        <v>1415</v>
      </c>
      <c r="F45" s="25" t="s">
        <v>5863</v>
      </c>
      <c r="G45" s="25"/>
      <c r="H45" s="29"/>
      <c r="I45" s="29"/>
      <c r="J45" s="29" t="s">
        <v>5813</v>
      </c>
      <c r="K45" s="29" t="s">
        <v>1428</v>
      </c>
      <c r="L45" s="1005" t="s">
        <v>1428</v>
      </c>
      <c r="M45" s="1006" t="s">
        <v>4671</v>
      </c>
      <c r="N45" s="29" t="s">
        <v>1428</v>
      </c>
      <c r="O45" s="31">
        <v>0.39556</v>
      </c>
      <c r="P45" s="31">
        <v>2.555</v>
      </c>
      <c r="Q45" s="29" t="s">
        <v>1428</v>
      </c>
      <c r="R45" s="31">
        <v>0.4</v>
      </c>
      <c r="S45" s="31">
        <f t="shared" si="1"/>
        <v>3.35056</v>
      </c>
      <c r="T45" s="1015"/>
      <c r="U45" s="25"/>
    </row>
    <row r="46" s="989" customFormat="1" ht="15" spans="2:22">
      <c r="B46" s="29"/>
      <c r="C46" s="29"/>
      <c r="D46" s="29"/>
      <c r="E46" s="29"/>
      <c r="F46" s="25" t="s">
        <v>5870</v>
      </c>
      <c r="G46" s="25"/>
      <c r="H46" s="29"/>
      <c r="I46" s="1016"/>
      <c r="J46" s="29"/>
      <c r="K46" s="29"/>
      <c r="L46" s="1005"/>
      <c r="M46" s="29"/>
      <c r="N46" s="29"/>
      <c r="O46" s="31">
        <v>0.39556</v>
      </c>
      <c r="P46" s="31">
        <v>0.7774</v>
      </c>
      <c r="Q46" s="29" t="s">
        <v>1428</v>
      </c>
      <c r="R46" s="31">
        <v>0.2</v>
      </c>
      <c r="S46" s="31">
        <f t="shared" si="1"/>
        <v>1.37296</v>
      </c>
      <c r="T46" s="123"/>
      <c r="U46" s="25"/>
    </row>
    <row r="47" s="989" customFormat="1" spans="2:22">
      <c r="B47" s="29"/>
      <c r="C47" s="29"/>
      <c r="D47" s="29"/>
      <c r="E47" s="29"/>
      <c r="F47" s="25" t="s">
        <v>5871</v>
      </c>
      <c r="G47" s="25"/>
      <c r="H47" s="29"/>
      <c r="I47" s="29"/>
      <c r="J47" s="29"/>
      <c r="K47" s="29"/>
      <c r="L47" s="1005"/>
      <c r="M47" s="29"/>
      <c r="N47" s="29"/>
      <c r="O47" s="31">
        <v>0.49753</v>
      </c>
      <c r="P47" s="31">
        <v>0.8885</v>
      </c>
      <c r="Q47" s="29" t="s">
        <v>1428</v>
      </c>
      <c r="R47" s="31">
        <v>0.2</v>
      </c>
      <c r="S47" s="31">
        <f t="shared" si="1"/>
        <v>1.58603</v>
      </c>
      <c r="T47" s="123"/>
      <c r="U47" s="25"/>
    </row>
    <row r="48" s="989" customFormat="1" spans="2:22">
      <c r="B48" s="29"/>
      <c r="C48" s="29"/>
      <c r="D48" s="29"/>
      <c r="E48" s="29"/>
      <c r="F48" s="123" t="s">
        <v>5872</v>
      </c>
      <c r="G48" s="25"/>
      <c r="H48" s="66"/>
      <c r="I48" s="66"/>
      <c r="J48" s="29"/>
      <c r="K48" s="29"/>
      <c r="L48" s="1005"/>
      <c r="M48" s="29"/>
      <c r="N48" s="29"/>
      <c r="O48" s="31">
        <v>0.55418</v>
      </c>
      <c r="P48" s="31">
        <v>2.5853</v>
      </c>
      <c r="Q48" s="29" t="s">
        <v>1428</v>
      </c>
      <c r="R48" s="31">
        <v>0.4</v>
      </c>
      <c r="S48" s="31">
        <f t="shared" si="1"/>
        <v>3.53948</v>
      </c>
      <c r="T48" s="157"/>
      <c r="U48" s="25"/>
    </row>
    <row r="49" s="989" customFormat="1" ht="15" spans="2:22">
      <c r="B49" s="29"/>
      <c r="C49" s="29"/>
      <c r="D49" s="29"/>
      <c r="E49" s="29"/>
      <c r="F49" s="25" t="s">
        <v>5862</v>
      </c>
      <c r="G49" s="25"/>
      <c r="H49" s="29"/>
      <c r="I49" s="29"/>
      <c r="J49" s="29"/>
      <c r="K49" s="29"/>
      <c r="L49" s="1005"/>
      <c r="M49" s="29"/>
      <c r="N49" s="29"/>
      <c r="O49" s="31">
        <v>0.33891</v>
      </c>
      <c r="P49" s="31">
        <f>31.73/7.13/1.13</f>
        <v>3.93823927316958</v>
      </c>
      <c r="Q49" s="29" t="s">
        <v>1428</v>
      </c>
      <c r="R49" s="31">
        <f>23.5/6.91</f>
        <v>3.40086830680174</v>
      </c>
      <c r="S49" s="31">
        <f t="shared" si="1"/>
        <v>7.67801757997132</v>
      </c>
      <c r="T49" s="123"/>
      <c r="U49" s="25"/>
    </row>
    <row r="50" s="989" customFormat="1" ht="15" spans="2:22">
      <c r="B50" s="29"/>
      <c r="C50" s="29"/>
      <c r="D50" s="29"/>
      <c r="E50" s="29"/>
      <c r="F50" s="25" t="s">
        <v>5873</v>
      </c>
      <c r="G50" s="25"/>
      <c r="H50" s="29"/>
      <c r="I50" s="29"/>
      <c r="J50" s="29"/>
      <c r="K50" s="29"/>
      <c r="L50" s="1005"/>
      <c r="M50" s="29"/>
      <c r="N50" s="29"/>
      <c r="O50" s="31">
        <v>0.49753</v>
      </c>
      <c r="P50" s="31">
        <v>2.5752</v>
      </c>
      <c r="Q50" s="29" t="s">
        <v>1428</v>
      </c>
      <c r="R50" s="31">
        <f>23.5/6.91</f>
        <v>3.40086830680174</v>
      </c>
      <c r="S50" s="31">
        <f t="shared" si="1"/>
        <v>6.47359830680174</v>
      </c>
      <c r="T50" s="123"/>
      <c r="U50" s="25"/>
    </row>
    <row r="51" s="989" customFormat="1" ht="15" spans="2:22">
      <c r="B51" s="29" t="s">
        <v>5874</v>
      </c>
      <c r="C51" s="29"/>
      <c r="D51" s="29"/>
      <c r="E51" s="29"/>
      <c r="F51" s="25" t="s">
        <v>1604</v>
      </c>
      <c r="G51" s="25" t="s">
        <v>3540</v>
      </c>
      <c r="H51" s="29" t="s">
        <v>5812</v>
      </c>
      <c r="I51" s="29" t="s">
        <v>4580</v>
      </c>
      <c r="J51" s="29" t="s">
        <v>4670</v>
      </c>
      <c r="K51" s="29" t="s">
        <v>1428</v>
      </c>
      <c r="L51" s="1005" t="s">
        <v>1428</v>
      </c>
      <c r="M51" s="1006" t="s">
        <v>4671</v>
      </c>
      <c r="N51" s="29">
        <v>1.3</v>
      </c>
      <c r="O51" s="31">
        <v>2.7</v>
      </c>
      <c r="P51" s="31" t="e">
        <f>31.73/D51/1.13</f>
        <v>#DIV/0!</v>
      </c>
      <c r="Q51" s="29" t="s">
        <v>1428</v>
      </c>
      <c r="R51" s="31">
        <f>23.5/6.91</f>
        <v>3.40086830680174</v>
      </c>
      <c r="S51" s="31" t="e">
        <f t="shared" si="1"/>
        <v>#DIV/0!</v>
      </c>
      <c r="T51" s="1010" t="s">
        <v>5875</v>
      </c>
      <c r="U51" s="25" t="s">
        <v>5876</v>
      </c>
    </row>
    <row r="52" s="989" customFormat="1" ht="15" spans="2:22">
      <c r="B52" s="153"/>
      <c r="C52" s="1017">
        <v>46081</v>
      </c>
      <c r="D52" s="153">
        <v>6.8802</v>
      </c>
      <c r="E52" s="153"/>
      <c r="F52" s="149" t="s">
        <v>2431</v>
      </c>
      <c r="G52" s="149" t="s">
        <v>3540</v>
      </c>
      <c r="H52" s="153" t="s">
        <v>5812</v>
      </c>
      <c r="I52" s="153" t="s">
        <v>5877</v>
      </c>
      <c r="J52" s="153" t="s">
        <v>5838</v>
      </c>
      <c r="K52" s="153" t="s">
        <v>1428</v>
      </c>
      <c r="L52" s="924" t="s">
        <v>1428</v>
      </c>
      <c r="M52" s="153" t="s">
        <v>1428</v>
      </c>
      <c r="N52" s="153">
        <v>1.3</v>
      </c>
      <c r="O52" s="727">
        <v>2.7</v>
      </c>
      <c r="P52" s="727">
        <f>31.73/D52/1.13</f>
        <v>4.08122525765227</v>
      </c>
      <c r="Q52" s="153" t="s">
        <v>1428</v>
      </c>
      <c r="R52" s="727">
        <f>23.5/6.91</f>
        <v>3.40086830680174</v>
      </c>
      <c r="S52" s="727">
        <f t="shared" si="1"/>
        <v>11.482093564454</v>
      </c>
      <c r="T52" s="1018" t="s">
        <v>5878</v>
      </c>
      <c r="U52" s="149" t="s">
        <v>5879</v>
      </c>
    </row>
    <row r="53" s="989" customFormat="1" ht="15" spans="2:22">
      <c r="B53" s="153"/>
      <c r="C53" s="1017">
        <v>46081</v>
      </c>
      <c r="D53" s="153">
        <v>6.8802</v>
      </c>
      <c r="E53" s="153"/>
      <c r="F53" s="149" t="s">
        <v>1672</v>
      </c>
      <c r="G53" s="149" t="s">
        <v>3540</v>
      </c>
      <c r="H53" s="153" t="s">
        <v>5812</v>
      </c>
      <c r="I53" s="153" t="s">
        <v>4677</v>
      </c>
      <c r="J53" s="153" t="s">
        <v>4670</v>
      </c>
      <c r="K53" s="153" t="s">
        <v>1428</v>
      </c>
      <c r="L53" s="924" t="s">
        <v>1428</v>
      </c>
      <c r="M53" s="1019" t="s">
        <v>4671</v>
      </c>
      <c r="N53" s="153">
        <v>1.3</v>
      </c>
      <c r="O53" s="727">
        <v>2.7</v>
      </c>
      <c r="P53" s="727">
        <v>9.06403940886699</v>
      </c>
      <c r="Q53" s="153" t="s">
        <v>1428</v>
      </c>
      <c r="R53" s="727">
        <v>3.21440046814077</v>
      </c>
      <c r="S53" s="727">
        <f t="shared" si="1"/>
        <v>16.2784398770078</v>
      </c>
      <c r="T53" s="1018" t="s">
        <v>5880</v>
      </c>
      <c r="U53" s="149" t="s">
        <v>5881</v>
      </c>
    </row>
    <row r="54" s="990" customFormat="1" ht="15" spans="2:22">
      <c r="B54" s="29"/>
      <c r="C54" s="29"/>
      <c r="D54" s="29"/>
      <c r="E54" s="29"/>
      <c r="F54" s="123" t="s">
        <v>3888</v>
      </c>
      <c r="G54" s="27"/>
      <c r="H54" s="29"/>
      <c r="I54" s="29"/>
      <c r="J54" s="29"/>
      <c r="K54" s="29"/>
      <c r="L54" s="1005"/>
      <c r="M54" s="29"/>
      <c r="N54" s="29"/>
      <c r="O54" s="31">
        <v>0.364532019704434</v>
      </c>
      <c r="P54" s="31">
        <v>0.729064039408867</v>
      </c>
      <c r="Q54" s="29" t="s">
        <v>1428</v>
      </c>
      <c r="R54" s="31">
        <v>0.2</v>
      </c>
      <c r="S54" s="31">
        <f t="shared" si="1"/>
        <v>1.2935960591133</v>
      </c>
      <c r="T54" s="1007"/>
      <c r="U54" s="1010"/>
      <c r="V54" s="1020"/>
    </row>
    <row r="55" s="989" customFormat="1" spans="2:22">
      <c r="B55" s="29"/>
      <c r="C55" s="29"/>
      <c r="D55" s="29"/>
      <c r="E55" s="29"/>
      <c r="F55" s="25" t="s">
        <v>5861</v>
      </c>
      <c r="G55" s="25"/>
      <c r="H55" s="29"/>
      <c r="I55" s="29"/>
      <c r="J55" s="29"/>
      <c r="K55" s="29"/>
      <c r="L55" s="1005"/>
      <c r="M55" s="29"/>
      <c r="N55" s="29"/>
      <c r="O55" s="31">
        <v>0.42</v>
      </c>
      <c r="P55" s="31">
        <v>1.77</v>
      </c>
      <c r="Q55" s="29" t="s">
        <v>1428</v>
      </c>
      <c r="R55" s="31">
        <v>0.2</v>
      </c>
      <c r="S55" s="31">
        <f t="shared" si="1"/>
        <v>2.39</v>
      </c>
      <c r="T55" s="157"/>
      <c r="U55" s="1014"/>
    </row>
    <row r="56" s="989" customFormat="1" spans="2:22">
      <c r="B56" s="29"/>
      <c r="C56" s="29"/>
      <c r="D56" s="29"/>
      <c r="E56" s="29"/>
      <c r="F56" s="25" t="s">
        <v>5882</v>
      </c>
      <c r="G56" s="25"/>
      <c r="H56" s="29"/>
      <c r="I56" s="29"/>
      <c r="J56" s="29"/>
      <c r="K56" s="29"/>
      <c r="L56" s="1005"/>
      <c r="M56" s="29"/>
      <c r="N56" s="29"/>
      <c r="O56" s="31">
        <v>0.33</v>
      </c>
      <c r="P56" s="31">
        <v>0.7</v>
      </c>
      <c r="Q56" s="29" t="s">
        <v>1428</v>
      </c>
      <c r="R56" s="31">
        <v>0.2</v>
      </c>
      <c r="S56" s="31">
        <f t="shared" si="1"/>
        <v>1.23</v>
      </c>
      <c r="T56" s="123"/>
      <c r="U56" s="25"/>
    </row>
    <row r="57" s="989" customFormat="1" ht="15" spans="2:22">
      <c r="B57" s="29" t="s">
        <v>5883</v>
      </c>
      <c r="C57" s="29"/>
      <c r="D57" s="29"/>
      <c r="E57" s="29"/>
      <c r="F57" s="25" t="s">
        <v>1998</v>
      </c>
      <c r="G57" s="25" t="s">
        <v>3540</v>
      </c>
      <c r="H57" s="29" t="s">
        <v>5884</v>
      </c>
      <c r="I57" s="29" t="s">
        <v>3786</v>
      </c>
      <c r="J57" s="29" t="s">
        <v>5838</v>
      </c>
      <c r="K57" s="29" t="s">
        <v>1428</v>
      </c>
      <c r="L57" s="1005">
        <f>4.5*2</f>
        <v>9</v>
      </c>
      <c r="M57" s="1006" t="s">
        <v>4671</v>
      </c>
      <c r="N57" s="29">
        <v>1.3</v>
      </c>
      <c r="O57" s="31">
        <v>2.288</v>
      </c>
      <c r="P57" s="31">
        <v>11.56551</v>
      </c>
      <c r="Q57" s="29" t="s">
        <v>1428</v>
      </c>
      <c r="R57" s="31">
        <v>3.21440046814077</v>
      </c>
      <c r="S57" s="31">
        <f t="shared" si="1"/>
        <v>27.3679104681408</v>
      </c>
      <c r="T57" s="123" t="s">
        <v>3788</v>
      </c>
      <c r="U57" s="25" t="s">
        <v>5885</v>
      </c>
    </row>
    <row r="58" s="989" customFormat="1" spans="2:22">
      <c r="B58" s="29"/>
      <c r="C58" s="29"/>
      <c r="D58" s="29"/>
      <c r="E58" s="29"/>
      <c r="F58" s="25" t="s">
        <v>5882</v>
      </c>
      <c r="G58" s="25"/>
      <c r="H58" s="29"/>
      <c r="I58" s="29"/>
      <c r="J58" s="29"/>
      <c r="K58" s="29"/>
      <c r="L58" s="1005"/>
      <c r="M58" s="29"/>
      <c r="N58" s="29"/>
      <c r="O58" s="31">
        <v>0.33</v>
      </c>
      <c r="P58" s="31">
        <v>0.7</v>
      </c>
      <c r="Q58" s="29" t="s">
        <v>1428</v>
      </c>
      <c r="R58" s="31">
        <v>0.2</v>
      </c>
      <c r="S58" s="31">
        <f t="shared" si="1"/>
        <v>1.23</v>
      </c>
      <c r="T58" s="123"/>
      <c r="U58" s="25"/>
    </row>
    <row r="59" s="989" customFormat="1" ht="15" spans="2:22">
      <c r="B59" s="29"/>
      <c r="C59" s="29"/>
      <c r="D59" s="29"/>
      <c r="E59" s="29" t="s">
        <v>1419</v>
      </c>
      <c r="F59" s="25" t="s">
        <v>5862</v>
      </c>
      <c r="G59" s="25"/>
      <c r="H59" s="29"/>
      <c r="I59" s="29"/>
      <c r="J59" s="29"/>
      <c r="K59" s="29"/>
      <c r="L59" s="1005"/>
      <c r="M59" s="29"/>
      <c r="N59" s="29"/>
      <c r="O59" s="31">
        <v>0.33891</v>
      </c>
      <c r="P59" s="31">
        <v>0.6764</v>
      </c>
      <c r="Q59" s="29" t="s">
        <v>1428</v>
      </c>
      <c r="R59" s="31">
        <v>0.2</v>
      </c>
      <c r="S59" s="31">
        <f t="shared" si="1"/>
        <v>1.21531</v>
      </c>
      <c r="T59" s="123"/>
      <c r="U59" s="25"/>
    </row>
    <row r="60" s="989" customFormat="1" spans="2:22">
      <c r="B60" s="29"/>
      <c r="C60" s="29"/>
      <c r="D60" s="29">
        <v>6.9264</v>
      </c>
      <c r="E60" s="29" t="s">
        <v>1420</v>
      </c>
      <c r="F60" s="25" t="s">
        <v>5863</v>
      </c>
      <c r="G60" s="25"/>
      <c r="H60" s="29"/>
      <c r="I60" s="29"/>
      <c r="J60" s="29"/>
      <c r="K60" s="29"/>
      <c r="L60" s="1005"/>
      <c r="M60" s="29"/>
      <c r="N60" s="29"/>
      <c r="O60" s="31">
        <v>0.39556</v>
      </c>
      <c r="P60" s="31">
        <v>2.555</v>
      </c>
      <c r="Q60" s="29">
        <v>21.9</v>
      </c>
      <c r="R60" s="31">
        <v>0.4</v>
      </c>
      <c r="S60" s="31">
        <f t="shared" si="1"/>
        <v>25.25056</v>
      </c>
      <c r="T60" s="1015"/>
      <c r="U60" s="25"/>
    </row>
    <row r="61" s="989" customFormat="1" spans="2:22">
      <c r="B61" s="29"/>
      <c r="C61" s="29"/>
      <c r="D61" s="29"/>
      <c r="E61" s="29"/>
      <c r="F61" s="123" t="s">
        <v>5872</v>
      </c>
      <c r="G61" s="25"/>
      <c r="H61" s="66"/>
      <c r="I61" s="66"/>
      <c r="J61" s="29"/>
      <c r="K61" s="29"/>
      <c r="L61" s="1005"/>
      <c r="M61" s="29"/>
      <c r="N61" s="29"/>
      <c r="O61" s="31">
        <v>0.55418</v>
      </c>
      <c r="P61" s="31">
        <v>2.5853</v>
      </c>
      <c r="Q61" s="29" t="s">
        <v>1428</v>
      </c>
      <c r="R61" s="31">
        <v>0.4</v>
      </c>
      <c r="S61" s="31">
        <f t="shared" si="1"/>
        <v>3.53948</v>
      </c>
      <c r="T61" s="157"/>
      <c r="U61" s="25"/>
    </row>
    <row r="62" s="989" customFormat="1" spans="2:22">
      <c r="B62" s="29"/>
      <c r="C62" s="29"/>
      <c r="D62" s="29"/>
      <c r="E62" s="29"/>
      <c r="F62" s="25" t="s">
        <v>5871</v>
      </c>
      <c r="G62" s="25"/>
      <c r="H62" s="29"/>
      <c r="I62" s="29"/>
      <c r="J62" s="29"/>
      <c r="K62" s="29"/>
      <c r="L62" s="1005"/>
      <c r="M62" s="29"/>
      <c r="N62" s="29"/>
      <c r="O62" s="31">
        <v>0.49753</v>
      </c>
      <c r="P62" s="31">
        <v>0.8885</v>
      </c>
      <c r="Q62" s="29" t="s">
        <v>1428</v>
      </c>
      <c r="R62" s="31">
        <v>0.2</v>
      </c>
      <c r="S62" s="31">
        <f t="shared" si="1"/>
        <v>1.58603</v>
      </c>
      <c r="T62" s="123"/>
      <c r="U62" s="25"/>
    </row>
    <row r="63" s="989" customFormat="1" ht="15" spans="2:22">
      <c r="B63" s="29"/>
      <c r="C63" s="29"/>
      <c r="D63" s="29"/>
      <c r="E63" s="29"/>
      <c r="F63" s="25" t="s">
        <v>5870</v>
      </c>
      <c r="G63" s="25"/>
      <c r="H63" s="29"/>
      <c r="I63" s="1016"/>
      <c r="J63" s="29"/>
      <c r="K63" s="29"/>
      <c r="L63" s="1005"/>
      <c r="M63" s="29"/>
      <c r="N63" s="29"/>
      <c r="O63" s="31">
        <v>0.39556</v>
      </c>
      <c r="P63" s="31">
        <v>0.7774</v>
      </c>
      <c r="Q63" s="29" t="s">
        <v>1428</v>
      </c>
      <c r="R63" s="31">
        <v>0.2</v>
      </c>
      <c r="S63" s="31">
        <f t="shared" si="1"/>
        <v>1.37296</v>
      </c>
      <c r="T63" s="123"/>
      <c r="U63" s="25"/>
    </row>
    <row r="64" s="989" customFormat="1" ht="15" spans="2:22">
      <c r="B64" s="29"/>
      <c r="C64" s="29"/>
      <c r="D64" s="29"/>
      <c r="E64" s="29"/>
      <c r="F64" s="25" t="s">
        <v>5886</v>
      </c>
      <c r="G64" s="25"/>
      <c r="H64" s="29"/>
      <c r="I64" s="29"/>
      <c r="J64" s="29"/>
      <c r="K64" s="29"/>
      <c r="L64" s="1005"/>
      <c r="M64" s="29"/>
      <c r="N64" s="29"/>
      <c r="O64" s="31">
        <v>0.275</v>
      </c>
      <c r="P64" s="31">
        <v>0.76</v>
      </c>
      <c r="Q64" s="29" t="s">
        <v>1428</v>
      </c>
      <c r="R64" s="31">
        <v>0.2</v>
      </c>
      <c r="S64" s="31">
        <f t="shared" si="1"/>
        <v>1.235</v>
      </c>
      <c r="T64" s="123"/>
      <c r="U64" s="25"/>
    </row>
    <row r="65" s="989" customFormat="1" ht="15" spans="2:21">
      <c r="B65" s="29"/>
      <c r="C65" s="29"/>
      <c r="D65" s="29"/>
      <c r="E65" s="29"/>
      <c r="F65" s="25" t="s">
        <v>5887</v>
      </c>
      <c r="G65" s="25"/>
      <c r="H65" s="29"/>
      <c r="I65" s="29"/>
      <c r="J65" s="29"/>
      <c r="K65" s="29"/>
      <c r="L65" s="1005"/>
      <c r="M65" s="29"/>
      <c r="N65" s="29"/>
      <c r="O65" s="31">
        <v>0.39556</v>
      </c>
      <c r="P65" s="31">
        <v>0.73</v>
      </c>
      <c r="Q65" s="29" t="s">
        <v>1428</v>
      </c>
      <c r="R65" s="31">
        <v>0.2</v>
      </c>
      <c r="S65" s="31">
        <f t="shared" si="1"/>
        <v>1.32556</v>
      </c>
      <c r="T65" s="123"/>
      <c r="U65" s="25"/>
    </row>
    <row r="66" s="989" customFormat="1" ht="15" spans="2:21">
      <c r="B66" s="29" t="s">
        <v>5888</v>
      </c>
      <c r="C66" s="29"/>
      <c r="D66" s="29"/>
      <c r="E66" s="29"/>
      <c r="F66" s="25" t="s">
        <v>1629</v>
      </c>
      <c r="G66" s="123" t="s">
        <v>1933</v>
      </c>
      <c r="H66" s="29" t="s">
        <v>5812</v>
      </c>
      <c r="I66" s="29" t="s">
        <v>3463</v>
      </c>
      <c r="J66" s="29" t="s">
        <v>5813</v>
      </c>
      <c r="K66" s="29" t="s">
        <v>1428</v>
      </c>
      <c r="L66" s="1005">
        <f>3.8*2</f>
        <v>7.6</v>
      </c>
      <c r="M66" s="1006" t="s">
        <v>4671</v>
      </c>
      <c r="N66" s="29" t="s">
        <v>1428</v>
      </c>
      <c r="O66" s="31">
        <v>2.25615763546798</v>
      </c>
      <c r="P66" s="31">
        <v>9.93103448275862</v>
      </c>
      <c r="Q66" s="29" t="s">
        <v>1428</v>
      </c>
      <c r="R66" s="31">
        <v>3.22860253206485</v>
      </c>
      <c r="S66" s="31">
        <f t="shared" si="1"/>
        <v>23.0157946502915</v>
      </c>
      <c r="T66" s="157" t="s">
        <v>5889</v>
      </c>
      <c r="U66" s="25" t="s">
        <v>5890</v>
      </c>
    </row>
    <row r="67" s="989" customFormat="1" ht="15" spans="2:21">
      <c r="B67" s="29"/>
      <c r="C67" s="29"/>
      <c r="D67" s="29"/>
      <c r="E67" s="29"/>
      <c r="F67" s="25" t="s">
        <v>1571</v>
      </c>
      <c r="G67" s="25" t="s">
        <v>3540</v>
      </c>
      <c r="H67" s="29" t="s">
        <v>5812</v>
      </c>
      <c r="I67" s="29" t="s">
        <v>3463</v>
      </c>
      <c r="J67" s="29" t="s">
        <v>5813</v>
      </c>
      <c r="K67" s="29" t="s">
        <v>1428</v>
      </c>
      <c r="L67" s="1005">
        <f>3.8*2</f>
        <v>7.6</v>
      </c>
      <c r="M67" s="1006" t="s">
        <v>4671</v>
      </c>
      <c r="N67" s="29" t="s">
        <v>1428</v>
      </c>
      <c r="O67" s="31">
        <v>2.25615763546798</v>
      </c>
      <c r="P67" s="31">
        <v>7.90147783251232</v>
      </c>
      <c r="Q67" s="29" t="s">
        <v>1428</v>
      </c>
      <c r="R67" s="31">
        <v>3.22860253206485</v>
      </c>
      <c r="S67" s="31">
        <f t="shared" si="1"/>
        <v>20.9862380000452</v>
      </c>
      <c r="T67" s="157" t="s">
        <v>5889</v>
      </c>
      <c r="U67" s="25" t="s">
        <v>5890</v>
      </c>
    </row>
    <row r="68" s="991" customFormat="1" spans="2:21">
      <c r="B68" s="29"/>
      <c r="C68" s="28"/>
      <c r="D68" s="28"/>
      <c r="E68" s="28"/>
      <c r="F68" s="1021" t="s">
        <v>5891</v>
      </c>
      <c r="G68" s="1021"/>
      <c r="H68" s="29"/>
      <c r="I68" s="29"/>
      <c r="J68" s="29"/>
      <c r="K68" s="147"/>
      <c r="L68" s="1022"/>
      <c r="M68" s="147"/>
      <c r="N68" s="147"/>
      <c r="O68" s="1023">
        <v>0.385</v>
      </c>
      <c r="P68" s="1023">
        <v>3.60591133004926</v>
      </c>
      <c r="Q68" s="147" t="s">
        <v>1428</v>
      </c>
      <c r="R68" s="1023">
        <v>0.4</v>
      </c>
      <c r="S68" s="1023">
        <f t="shared" si="1"/>
        <v>4.39091133004926</v>
      </c>
      <c r="T68" s="146"/>
      <c r="U68" s="1024"/>
    </row>
    <row r="69" s="989" customFormat="1" spans="2:21">
      <c r="B69" s="29"/>
      <c r="C69" s="29"/>
      <c r="D69" s="29"/>
      <c r="E69" s="29"/>
      <c r="F69" s="25" t="s">
        <v>5892</v>
      </c>
      <c r="G69" s="25"/>
      <c r="H69" s="29"/>
      <c r="I69" s="29"/>
      <c r="J69" s="29"/>
      <c r="K69" s="29"/>
      <c r="L69" s="1005"/>
      <c r="M69" s="29"/>
      <c r="N69" s="29"/>
      <c r="O69" s="31">
        <v>0.39556</v>
      </c>
      <c r="P69" s="31">
        <v>3.8276</v>
      </c>
      <c r="Q69" s="29" t="s">
        <v>1428</v>
      </c>
      <c r="R69" s="31">
        <v>0.4</v>
      </c>
      <c r="S69" s="31">
        <f t="shared" ref="S69:S132" si="2">SUM(K69:R69)</f>
        <v>4.62316</v>
      </c>
      <c r="T69" s="157"/>
      <c r="U69" s="25"/>
    </row>
    <row r="70" s="989" customFormat="1" spans="2:21">
      <c r="B70" s="29"/>
      <c r="C70" s="29"/>
      <c r="D70" s="29"/>
      <c r="E70" s="29"/>
      <c r="F70" s="25" t="s">
        <v>5893</v>
      </c>
      <c r="G70" s="25"/>
      <c r="H70" s="29"/>
      <c r="I70" s="29"/>
      <c r="J70" s="29"/>
      <c r="K70" s="29"/>
      <c r="L70" s="1005"/>
      <c r="M70" s="29"/>
      <c r="N70" s="29"/>
      <c r="O70" s="31">
        <v>0.30492</v>
      </c>
      <c r="P70" s="31">
        <v>0.8784</v>
      </c>
      <c r="Q70" s="29" t="s">
        <v>1428</v>
      </c>
      <c r="R70" s="31">
        <v>0.2</v>
      </c>
      <c r="S70" s="31">
        <f t="shared" si="2"/>
        <v>1.38332</v>
      </c>
      <c r="T70" s="123"/>
      <c r="U70" s="25"/>
    </row>
    <row r="71" s="989" customFormat="1" spans="2:21">
      <c r="B71" s="29"/>
      <c r="C71" s="29"/>
      <c r="D71" s="29"/>
      <c r="E71" s="29"/>
      <c r="F71" s="25" t="s">
        <v>5894</v>
      </c>
      <c r="G71" s="25"/>
      <c r="H71" s="29"/>
      <c r="I71" s="29"/>
      <c r="J71" s="29"/>
      <c r="K71" s="29"/>
      <c r="L71" s="1005"/>
      <c r="M71" s="29"/>
      <c r="N71" s="29"/>
      <c r="O71" s="31">
        <v>0.605</v>
      </c>
      <c r="P71" s="31">
        <v>3.42</v>
      </c>
      <c r="Q71" s="29" t="s">
        <v>1428</v>
      </c>
      <c r="R71" s="31">
        <v>0.4</v>
      </c>
      <c r="S71" s="31">
        <f t="shared" si="2"/>
        <v>4.425</v>
      </c>
      <c r="T71" s="123"/>
      <c r="U71" s="25"/>
    </row>
    <row r="72" s="989" customFormat="1" ht="15" spans="2:21">
      <c r="B72" s="29"/>
      <c r="C72" s="29"/>
      <c r="D72" s="29"/>
      <c r="E72" s="29"/>
      <c r="F72" s="25" t="s">
        <v>5895</v>
      </c>
      <c r="G72" s="25"/>
      <c r="H72" s="29"/>
      <c r="I72" s="29"/>
      <c r="J72" s="29"/>
      <c r="K72" s="29"/>
      <c r="L72" s="1005"/>
      <c r="M72" s="29"/>
      <c r="N72" s="29"/>
      <c r="O72" s="31">
        <v>0.61083</v>
      </c>
      <c r="P72" s="31">
        <v>1.3733</v>
      </c>
      <c r="Q72" s="29" t="s">
        <v>1428</v>
      </c>
      <c r="R72" s="31">
        <v>0.4</v>
      </c>
      <c r="S72" s="31">
        <f t="shared" si="2"/>
        <v>2.38413</v>
      </c>
      <c r="T72" s="123"/>
      <c r="U72" s="25"/>
    </row>
    <row r="73" s="990" customFormat="1" ht="15" spans="2:21">
      <c r="B73" s="29" t="s">
        <v>5896</v>
      </c>
      <c r="C73" s="29"/>
      <c r="D73" s="29"/>
      <c r="E73" s="29"/>
      <c r="F73" s="123" t="s">
        <v>1565</v>
      </c>
      <c r="G73" s="123" t="s">
        <v>1933</v>
      </c>
      <c r="H73" s="29" t="s">
        <v>5812</v>
      </c>
      <c r="I73" s="29" t="s">
        <v>4677</v>
      </c>
      <c r="J73" s="29" t="s">
        <v>5813</v>
      </c>
      <c r="K73" s="29" t="s">
        <v>1428</v>
      </c>
      <c r="L73" s="1005" t="s">
        <v>1428</v>
      </c>
      <c r="M73" s="1006" t="s">
        <v>4671</v>
      </c>
      <c r="N73" s="29" t="s">
        <v>1428</v>
      </c>
      <c r="O73" s="31">
        <v>3.267</v>
      </c>
      <c r="P73" s="31">
        <v>15.42068</v>
      </c>
      <c r="Q73" s="29" t="s">
        <v>1428</v>
      </c>
      <c r="R73" s="31">
        <v>3.32154715041213</v>
      </c>
      <c r="S73" s="31">
        <f t="shared" si="2"/>
        <v>22.0092271504121</v>
      </c>
      <c r="T73" s="157" t="s">
        <v>5814</v>
      </c>
      <c r="U73" s="25" t="s">
        <v>5897</v>
      </c>
    </row>
    <row r="74" s="990" customFormat="1" ht="15" spans="2:21">
      <c r="B74" s="29"/>
      <c r="C74" s="29"/>
      <c r="D74" s="29"/>
      <c r="E74" s="29"/>
      <c r="F74" s="123" t="s">
        <v>1629</v>
      </c>
      <c r="G74" s="123" t="s">
        <v>1933</v>
      </c>
      <c r="H74" s="29" t="s">
        <v>5840</v>
      </c>
      <c r="I74" s="29" t="s">
        <v>4677</v>
      </c>
      <c r="J74" s="29" t="s">
        <v>5813</v>
      </c>
      <c r="K74" s="30" t="s">
        <v>1428</v>
      </c>
      <c r="L74" s="1005" t="s">
        <v>1428</v>
      </c>
      <c r="M74" s="1006" t="s">
        <v>4671</v>
      </c>
      <c r="N74" s="29">
        <v>12.5</v>
      </c>
      <c r="O74" s="31">
        <v>3.267</v>
      </c>
      <c r="P74" s="31">
        <v>14.60965</v>
      </c>
      <c r="Q74" s="29" t="s">
        <v>1428</v>
      </c>
      <c r="R74" s="31">
        <v>3.32154715041213</v>
      </c>
      <c r="S74" s="31">
        <f t="shared" si="2"/>
        <v>33.6981971504121</v>
      </c>
      <c r="T74" s="157" t="s">
        <v>5814</v>
      </c>
      <c r="U74" s="25" t="s">
        <v>5898</v>
      </c>
    </row>
    <row r="75" s="990" customFormat="1" spans="2:21">
      <c r="B75" s="29"/>
      <c r="C75" s="29"/>
      <c r="D75" s="29"/>
      <c r="E75" s="29"/>
      <c r="F75" s="123" t="s">
        <v>5899</v>
      </c>
      <c r="G75" s="123"/>
      <c r="H75" s="29"/>
      <c r="I75" s="29"/>
      <c r="J75" s="29"/>
      <c r="K75" s="29"/>
      <c r="L75" s="1005"/>
      <c r="M75" s="29" t="e">
        <f>32.2/E75/1.13</f>
        <v>#DIV/0!</v>
      </c>
      <c r="N75" s="29"/>
      <c r="O75" s="31">
        <v>0.286</v>
      </c>
      <c r="P75" s="31">
        <v>1.11</v>
      </c>
      <c r="Q75" s="29" t="s">
        <v>1428</v>
      </c>
      <c r="R75" s="31">
        <v>0.2</v>
      </c>
      <c r="S75" s="31" t="e">
        <f t="shared" si="2"/>
        <v>#DIV/0!</v>
      </c>
      <c r="T75" s="157"/>
      <c r="U75" s="123"/>
    </row>
    <row r="76" s="990" customFormat="1" spans="2:21">
      <c r="B76" s="29"/>
      <c r="C76" s="29"/>
      <c r="D76" s="29"/>
      <c r="E76" s="29"/>
      <c r="F76" s="123" t="s">
        <v>5900</v>
      </c>
      <c r="G76" s="123"/>
      <c r="H76" s="29"/>
      <c r="I76" s="29"/>
      <c r="J76" s="29"/>
      <c r="K76" s="29"/>
      <c r="L76" s="1005"/>
      <c r="M76" s="29"/>
      <c r="N76" s="29"/>
      <c r="O76" s="31">
        <v>0.28226</v>
      </c>
      <c r="P76" s="31">
        <v>1.2016</v>
      </c>
      <c r="Q76" s="29" t="s">
        <v>1428</v>
      </c>
      <c r="R76" s="31">
        <v>0.2</v>
      </c>
      <c r="S76" s="31">
        <f t="shared" si="2"/>
        <v>1.68386</v>
      </c>
      <c r="T76" s="157"/>
      <c r="U76" s="123"/>
    </row>
    <row r="77" s="989" customFormat="1" ht="15" spans="2:21">
      <c r="B77" s="29" t="s">
        <v>5901</v>
      </c>
      <c r="C77" s="29"/>
      <c r="D77" s="29"/>
      <c r="E77" s="29"/>
      <c r="F77" s="25" t="s">
        <v>1558</v>
      </c>
      <c r="G77" s="25" t="s">
        <v>3540</v>
      </c>
      <c r="H77" s="29" t="s">
        <v>5812</v>
      </c>
      <c r="I77" s="29" t="s">
        <v>5902</v>
      </c>
      <c r="J77" s="29" t="s">
        <v>5813</v>
      </c>
      <c r="K77" s="29" t="s">
        <v>1428</v>
      </c>
      <c r="L77" s="1005" t="s">
        <v>1428</v>
      </c>
      <c r="M77" s="700">
        <v>2.9</v>
      </c>
      <c r="N77" s="29" t="s">
        <v>1428</v>
      </c>
      <c r="O77" s="31">
        <v>2.10639</v>
      </c>
      <c r="P77" s="31">
        <v>11.17666</v>
      </c>
      <c r="Q77" s="29" t="s">
        <v>1428</v>
      </c>
      <c r="R77" s="31">
        <v>3.21440046814077</v>
      </c>
      <c r="S77" s="31">
        <f t="shared" si="2"/>
        <v>19.3974504681408</v>
      </c>
      <c r="T77" s="123" t="s">
        <v>5848</v>
      </c>
      <c r="U77" s="25" t="s">
        <v>5903</v>
      </c>
    </row>
    <row r="78" s="989" customFormat="1" ht="15" spans="2:21">
      <c r="B78" s="29"/>
      <c r="C78" s="29"/>
      <c r="D78" s="29"/>
      <c r="E78" s="29"/>
      <c r="F78" s="25" t="s">
        <v>2314</v>
      </c>
      <c r="G78" s="25" t="s">
        <v>3540</v>
      </c>
      <c r="H78" s="29" t="s">
        <v>5812</v>
      </c>
      <c r="I78" s="29" t="s">
        <v>3463</v>
      </c>
      <c r="J78" s="29" t="s">
        <v>5813</v>
      </c>
      <c r="K78" s="29" t="s">
        <v>1428</v>
      </c>
      <c r="L78" s="1005" t="s">
        <v>1428</v>
      </c>
      <c r="M78" s="1006" t="s">
        <v>4671</v>
      </c>
      <c r="N78" s="29" t="s">
        <v>1428</v>
      </c>
      <c r="O78" s="31" t="e">
        <f>23.73/E78/1.13</f>
        <v>#DIV/0!</v>
      </c>
      <c r="P78" s="31">
        <v>10.98779</v>
      </c>
      <c r="Q78" s="29" t="s">
        <v>1428</v>
      </c>
      <c r="R78" s="31">
        <v>3.21440046814077</v>
      </c>
      <c r="S78" s="31" t="e">
        <f t="shared" si="2"/>
        <v>#DIV/0!</v>
      </c>
      <c r="T78" s="123" t="s">
        <v>5848</v>
      </c>
      <c r="U78" s="25" t="s">
        <v>5904</v>
      </c>
    </row>
    <row r="79" s="989" customFormat="1" ht="15" spans="2:21">
      <c r="B79" s="1025"/>
      <c r="C79" s="1025"/>
      <c r="D79" s="1025"/>
      <c r="E79" s="1025"/>
      <c r="F79" s="1026" t="s">
        <v>1591</v>
      </c>
      <c r="G79" s="1026" t="s">
        <v>3540</v>
      </c>
      <c r="H79" s="1025" t="s">
        <v>5840</v>
      </c>
      <c r="I79" s="1025" t="s">
        <v>5832</v>
      </c>
      <c r="J79" s="1025" t="s">
        <v>5813</v>
      </c>
      <c r="K79" s="1027" t="s">
        <v>1428</v>
      </c>
      <c r="L79" s="1025" t="s">
        <v>1428</v>
      </c>
      <c r="M79" s="1025">
        <v>6.6</v>
      </c>
      <c r="N79" s="1025" t="s">
        <v>1428</v>
      </c>
      <c r="O79" s="1028">
        <v>2.10639</v>
      </c>
      <c r="P79" s="1028">
        <v>10.84336</v>
      </c>
      <c r="Q79" s="1025"/>
      <c r="R79" s="31">
        <v>3.21440046814077</v>
      </c>
      <c r="S79" s="31">
        <f t="shared" si="2"/>
        <v>22.7641504681408</v>
      </c>
      <c r="T79" s="123" t="s">
        <v>5833</v>
      </c>
      <c r="U79" s="25" t="s">
        <v>5905</v>
      </c>
    </row>
    <row r="80" s="989" customFormat="1" spans="2:21">
      <c r="B80" s="29"/>
      <c r="C80" s="29"/>
      <c r="D80" s="29"/>
      <c r="E80" s="29"/>
      <c r="F80" s="25" t="s">
        <v>5906</v>
      </c>
      <c r="G80" s="25"/>
      <c r="H80" s="29"/>
      <c r="I80" s="29"/>
      <c r="J80" s="29"/>
      <c r="K80" s="29"/>
      <c r="L80" s="1005"/>
      <c r="M80" s="29"/>
      <c r="N80" s="29"/>
      <c r="O80" s="31">
        <v>0.28226</v>
      </c>
      <c r="P80" s="31">
        <v>0.78</v>
      </c>
      <c r="Q80" s="29" t="s">
        <v>1428</v>
      </c>
      <c r="R80" s="31">
        <v>0.4</v>
      </c>
      <c r="S80" s="31">
        <f t="shared" si="2"/>
        <v>1.46226</v>
      </c>
      <c r="T80" s="123"/>
      <c r="U80" s="25"/>
    </row>
    <row r="81" s="989" customFormat="1" spans="2:21">
      <c r="B81" s="29"/>
      <c r="C81" s="29"/>
      <c r="D81" s="29"/>
      <c r="E81" s="29"/>
      <c r="F81" s="25" t="s">
        <v>5907</v>
      </c>
      <c r="G81" s="25"/>
      <c r="H81" s="29"/>
      <c r="I81" s="29"/>
      <c r="J81" s="29"/>
      <c r="K81" s="29"/>
      <c r="L81" s="1005"/>
      <c r="M81" s="29"/>
      <c r="N81" s="29"/>
      <c r="O81" s="31">
        <v>0.10098</v>
      </c>
      <c r="P81" s="31">
        <v>0.1714</v>
      </c>
      <c r="Q81" s="29" t="s">
        <v>1428</v>
      </c>
      <c r="R81" s="31">
        <v>0.2</v>
      </c>
      <c r="S81" s="31">
        <f t="shared" si="2"/>
        <v>0.47238</v>
      </c>
      <c r="T81" s="123"/>
      <c r="U81" s="25"/>
    </row>
    <row r="82" s="989" customFormat="1" spans="2:21">
      <c r="B82" s="29"/>
      <c r="C82" s="29"/>
      <c r="D82" s="29"/>
      <c r="E82" s="29"/>
      <c r="F82" s="25" t="s">
        <v>5908</v>
      </c>
      <c r="G82" s="25"/>
      <c r="H82" s="29"/>
      <c r="I82" s="29"/>
      <c r="J82" s="29"/>
      <c r="K82" s="29"/>
      <c r="L82" s="1005"/>
      <c r="M82" s="29"/>
      <c r="N82" s="29"/>
      <c r="O82" s="31">
        <v>0.13497</v>
      </c>
      <c r="P82" s="31">
        <v>0.3532</v>
      </c>
      <c r="Q82" s="29" t="s">
        <v>1428</v>
      </c>
      <c r="R82" s="31">
        <v>0.2</v>
      </c>
      <c r="S82" s="31">
        <f t="shared" si="2"/>
        <v>0.68817</v>
      </c>
      <c r="T82" s="123"/>
      <c r="U82" s="25"/>
    </row>
    <row r="83" s="989" customFormat="1" ht="15" spans="2:21">
      <c r="B83" s="29" t="s">
        <v>5909</v>
      </c>
      <c r="C83" s="29"/>
      <c r="D83" s="29"/>
      <c r="E83" s="29"/>
      <c r="F83" s="25" t="s">
        <v>2449</v>
      </c>
      <c r="G83" s="25" t="s">
        <v>3540</v>
      </c>
      <c r="H83" s="29" t="s">
        <v>5812</v>
      </c>
      <c r="I83" s="29" t="s">
        <v>3463</v>
      </c>
      <c r="J83" s="29" t="s">
        <v>5838</v>
      </c>
      <c r="K83" s="29" t="s">
        <v>1428</v>
      </c>
      <c r="L83" s="1005" t="s">
        <v>1428</v>
      </c>
      <c r="M83" s="1006" t="s">
        <v>4671</v>
      </c>
      <c r="N83" s="29">
        <v>1.3</v>
      </c>
      <c r="O83" s="31">
        <v>1.77782</v>
      </c>
      <c r="P83" s="31">
        <v>13.67641</v>
      </c>
      <c r="Q83" s="29" t="s">
        <v>1428</v>
      </c>
      <c r="R83" s="31">
        <v>4.50016065539709</v>
      </c>
      <c r="S83" s="31">
        <f t="shared" si="2"/>
        <v>21.2543906553971</v>
      </c>
      <c r="T83" s="123" t="s">
        <v>5848</v>
      </c>
      <c r="U83" s="25" t="s">
        <v>5910</v>
      </c>
    </row>
    <row r="84" s="989" customFormat="1" ht="15" spans="2:21">
      <c r="B84" s="29"/>
      <c r="C84" s="29"/>
      <c r="D84" s="29"/>
      <c r="E84" s="29"/>
      <c r="F84" s="25" t="s">
        <v>1525</v>
      </c>
      <c r="G84" s="25" t="s">
        <v>3540</v>
      </c>
      <c r="H84" s="29" t="s">
        <v>5840</v>
      </c>
      <c r="I84" s="29" t="s">
        <v>3463</v>
      </c>
      <c r="J84" s="29" t="s">
        <v>5813</v>
      </c>
      <c r="K84" s="30" t="s">
        <v>1428</v>
      </c>
      <c r="L84" s="1005" t="s">
        <v>1428</v>
      </c>
      <c r="M84" s="1006" t="s">
        <v>4671</v>
      </c>
      <c r="N84" s="29" t="s">
        <v>1428</v>
      </c>
      <c r="O84" s="31">
        <v>1.77782</v>
      </c>
      <c r="P84" s="31">
        <v>14.82074</v>
      </c>
      <c r="Q84" s="29" t="s">
        <v>1428</v>
      </c>
      <c r="R84" s="31">
        <v>4.50016065539709</v>
      </c>
      <c r="S84" s="31">
        <f t="shared" si="2"/>
        <v>21.0987206553971</v>
      </c>
      <c r="T84" s="123" t="s">
        <v>5848</v>
      </c>
      <c r="U84" s="25" t="s">
        <v>5911</v>
      </c>
    </row>
    <row r="85" s="989" customFormat="1" spans="2:21">
      <c r="B85" s="29"/>
      <c r="C85" s="29"/>
      <c r="D85" s="29"/>
      <c r="E85" s="29"/>
      <c r="F85" s="25" t="s">
        <v>5912</v>
      </c>
      <c r="G85" s="25"/>
      <c r="H85" s="29"/>
      <c r="I85" s="29"/>
      <c r="J85" s="29"/>
      <c r="K85" s="29"/>
      <c r="L85" s="1005"/>
      <c r="M85" s="29"/>
      <c r="N85" s="29"/>
      <c r="O85" s="31">
        <v>0.38423</v>
      </c>
      <c r="P85" s="31">
        <v>1.0198</v>
      </c>
      <c r="Q85" s="29" t="s">
        <v>1428</v>
      </c>
      <c r="R85" s="31">
        <v>0.2</v>
      </c>
      <c r="S85" s="31">
        <f t="shared" si="2"/>
        <v>1.60403</v>
      </c>
      <c r="T85" s="123"/>
      <c r="U85" s="25"/>
    </row>
    <row r="86" s="989" customFormat="1" ht="120" spans="2:21">
      <c r="B86" s="1029" t="s">
        <v>5913</v>
      </c>
      <c r="C86" s="1029"/>
      <c r="D86" s="1029"/>
      <c r="E86" s="1029"/>
      <c r="F86" s="25" t="s">
        <v>1571</v>
      </c>
      <c r="G86" s="27" t="s">
        <v>1933</v>
      </c>
      <c r="H86" s="29" t="s">
        <v>5840</v>
      </c>
      <c r="I86" s="29" t="s">
        <v>4691</v>
      </c>
      <c r="J86" s="29" t="s">
        <v>5813</v>
      </c>
      <c r="K86" s="30" t="s">
        <v>1428</v>
      </c>
      <c r="L86" s="1005" t="s">
        <v>1428</v>
      </c>
      <c r="M86" s="1006" t="s">
        <v>4671</v>
      </c>
      <c r="N86" s="29" t="s">
        <v>1428</v>
      </c>
      <c r="O86" s="31">
        <v>2.728</v>
      </c>
      <c r="P86" s="31">
        <v>20.2202</v>
      </c>
      <c r="Q86" s="29" t="s">
        <v>1428</v>
      </c>
      <c r="R86" s="31">
        <v>3.32154715041213</v>
      </c>
      <c r="S86" s="31">
        <f t="shared" si="2"/>
        <v>26.2697471504121</v>
      </c>
      <c r="T86" s="1015" t="s">
        <v>5814</v>
      </c>
      <c r="U86" s="1030" t="s">
        <v>5914</v>
      </c>
    </row>
    <row r="87" s="989" customFormat="1" ht="90" spans="2:21">
      <c r="B87" s="1029"/>
      <c r="C87" s="1029"/>
      <c r="D87" s="1029"/>
      <c r="E87" s="1029"/>
      <c r="F87" s="25" t="s">
        <v>1672</v>
      </c>
      <c r="G87" s="27" t="s">
        <v>1933</v>
      </c>
      <c r="H87" s="29" t="s">
        <v>5840</v>
      </c>
      <c r="I87" s="29" t="s">
        <v>3786</v>
      </c>
      <c r="J87" s="29" t="s">
        <v>5813</v>
      </c>
      <c r="K87" s="30" t="s">
        <v>1428</v>
      </c>
      <c r="L87" s="1005">
        <f>4.5*2</f>
        <v>9</v>
      </c>
      <c r="M87" s="1006" t="s">
        <v>4671</v>
      </c>
      <c r="N87" s="29" t="s">
        <v>1428</v>
      </c>
      <c r="O87" s="31">
        <v>2.728</v>
      </c>
      <c r="P87" s="31" t="e">
        <f>55.2/D87/1.13</f>
        <v>#DIV/0!</v>
      </c>
      <c r="Q87" s="29" t="s">
        <v>1428</v>
      </c>
      <c r="R87" s="31" t="e">
        <f>22.36/D87</f>
        <v>#DIV/0!</v>
      </c>
      <c r="S87" s="31" t="e">
        <f t="shared" si="2"/>
        <v>#DIV/0!</v>
      </c>
      <c r="T87" s="1010" t="s">
        <v>3788</v>
      </c>
      <c r="U87" s="1030" t="s">
        <v>5915</v>
      </c>
    </row>
    <row r="88" s="989" customFormat="1" spans="2:21">
      <c r="B88" s="1029"/>
      <c r="C88" s="1029"/>
      <c r="D88" s="1029"/>
      <c r="E88" s="1029"/>
      <c r="F88" s="25" t="s">
        <v>5916</v>
      </c>
      <c r="G88" s="27"/>
      <c r="H88" s="29"/>
      <c r="I88" s="29"/>
      <c r="J88" s="29"/>
      <c r="K88" s="29"/>
      <c r="L88" s="1005"/>
      <c r="M88" s="29"/>
      <c r="N88" s="29"/>
      <c r="O88" s="31">
        <v>0.121</v>
      </c>
      <c r="P88" s="31" t="e">
        <f>55.2/D88/1.13</f>
        <v>#DIV/0!</v>
      </c>
      <c r="Q88" s="29" t="s">
        <v>1428</v>
      </c>
      <c r="R88" s="31" t="e">
        <f>22.36/D88</f>
        <v>#DIV/0!</v>
      </c>
      <c r="S88" s="31" t="e">
        <f t="shared" si="2"/>
        <v>#DIV/0!</v>
      </c>
      <c r="T88" s="1015"/>
      <c r="U88" s="25"/>
    </row>
    <row r="89" s="989" customFormat="1" spans="2:21">
      <c r="B89" s="1029"/>
      <c r="C89" s="1029"/>
      <c r="D89" s="1029"/>
      <c r="E89" s="1029"/>
      <c r="F89" s="25" t="s">
        <v>5917</v>
      </c>
      <c r="G89" s="27"/>
      <c r="H89" s="29"/>
      <c r="I89" s="29"/>
      <c r="J89" s="29"/>
      <c r="K89" s="29"/>
      <c r="L89" s="1005"/>
      <c r="M89" s="29"/>
      <c r="N89" s="29"/>
      <c r="O89" s="31">
        <v>0.11231</v>
      </c>
      <c r="P89" s="31">
        <v>0.333</v>
      </c>
      <c r="Q89" s="29" t="s">
        <v>1428</v>
      </c>
      <c r="R89" s="31">
        <v>0.2</v>
      </c>
      <c r="S89" s="31">
        <f t="shared" si="2"/>
        <v>0.64531</v>
      </c>
      <c r="T89" s="1010"/>
      <c r="U89" s="25"/>
    </row>
    <row r="90" s="989" customFormat="1" spans="2:21">
      <c r="B90" s="1029"/>
      <c r="C90" s="1029"/>
      <c r="D90" s="1029"/>
      <c r="E90" s="1029"/>
      <c r="F90" s="25" t="s">
        <v>1033</v>
      </c>
      <c r="G90" s="123"/>
      <c r="H90" s="25"/>
      <c r="I90" s="25"/>
      <c r="J90" s="25"/>
      <c r="K90" s="25"/>
      <c r="L90" s="1031"/>
      <c r="M90" s="25"/>
      <c r="N90" s="25"/>
      <c r="O90" s="31">
        <v>0.1463</v>
      </c>
      <c r="P90" s="31">
        <v>0.333</v>
      </c>
      <c r="Q90" s="29" t="s">
        <v>1428</v>
      </c>
      <c r="R90" s="31">
        <v>0.2</v>
      </c>
      <c r="S90" s="31">
        <f t="shared" si="2"/>
        <v>0.6793</v>
      </c>
      <c r="T90" s="1010"/>
      <c r="U90" s="25"/>
    </row>
    <row r="91" s="989" customFormat="1" spans="2:21">
      <c r="B91" s="1029"/>
      <c r="C91" s="1029"/>
      <c r="D91" s="1029"/>
      <c r="E91" s="1029"/>
      <c r="F91" s="25" t="s">
        <v>920</v>
      </c>
      <c r="G91" s="27"/>
      <c r="H91" s="29"/>
      <c r="I91" s="29"/>
      <c r="J91" s="29"/>
      <c r="K91" s="29"/>
      <c r="L91" s="1005"/>
      <c r="M91" s="29"/>
      <c r="N91" s="29"/>
      <c r="O91" s="31">
        <v>0.18029</v>
      </c>
      <c r="P91" s="31">
        <v>0.3936</v>
      </c>
      <c r="Q91" s="29" t="s">
        <v>1428</v>
      </c>
      <c r="R91" s="31">
        <v>0.2</v>
      </c>
      <c r="S91" s="31">
        <f t="shared" si="2"/>
        <v>0.77389</v>
      </c>
      <c r="T91" s="1010"/>
      <c r="U91" s="25"/>
    </row>
    <row r="92" s="989" customFormat="1" spans="2:21">
      <c r="B92" s="1029"/>
      <c r="C92" s="1029"/>
      <c r="D92" s="1029"/>
      <c r="E92" s="1029"/>
      <c r="F92" s="25" t="s">
        <v>5918</v>
      </c>
      <c r="G92" s="27"/>
      <c r="H92" s="29"/>
      <c r="I92" s="29"/>
      <c r="J92" s="29"/>
      <c r="K92" s="29"/>
      <c r="L92" s="1005"/>
      <c r="M92" s="29"/>
      <c r="N92" s="29"/>
      <c r="O92" s="31">
        <v>0.484</v>
      </c>
      <c r="P92" s="31">
        <v>0.57</v>
      </c>
      <c r="Q92" s="29" t="s">
        <v>1428</v>
      </c>
      <c r="R92" s="31">
        <v>0.2</v>
      </c>
      <c r="S92" s="31">
        <f t="shared" si="2"/>
        <v>1.254</v>
      </c>
      <c r="T92" s="1010"/>
      <c r="U92" s="25"/>
    </row>
    <row r="93" s="989" customFormat="1" spans="2:21">
      <c r="B93" s="1029"/>
      <c r="C93" s="1029"/>
      <c r="D93" s="1029"/>
      <c r="E93" s="1029"/>
      <c r="F93" s="25" t="s">
        <v>5919</v>
      </c>
      <c r="G93" s="27"/>
      <c r="H93" s="29"/>
      <c r="I93" s="29"/>
      <c r="J93" s="29"/>
      <c r="K93" s="29"/>
      <c r="L93" s="1005"/>
      <c r="M93" s="29"/>
      <c r="N93" s="29"/>
      <c r="O93" s="31">
        <v>0.484</v>
      </c>
      <c r="P93" s="31">
        <v>0.61</v>
      </c>
      <c r="Q93" s="29" t="s">
        <v>1428</v>
      </c>
      <c r="R93" s="31">
        <v>0.2</v>
      </c>
      <c r="S93" s="31">
        <f t="shared" si="2"/>
        <v>1.294</v>
      </c>
      <c r="T93" s="1010"/>
      <c r="U93" s="25"/>
    </row>
    <row r="94" s="989" customFormat="1" ht="15" spans="2:21">
      <c r="B94" s="30" t="s">
        <v>5920</v>
      </c>
      <c r="C94" s="30"/>
      <c r="D94" s="30"/>
      <c r="E94" s="30"/>
      <c r="F94" s="142" t="s">
        <v>1565</v>
      </c>
      <c r="G94" s="123" t="s">
        <v>1933</v>
      </c>
      <c r="H94" s="30" t="s">
        <v>5812</v>
      </c>
      <c r="I94" s="29" t="s">
        <v>3436</v>
      </c>
      <c r="J94" s="1032" t="s">
        <v>5838</v>
      </c>
      <c r="K94" s="29" t="s">
        <v>1428</v>
      </c>
      <c r="L94" s="1005" t="s">
        <v>1428</v>
      </c>
      <c r="M94" s="30" t="s">
        <v>1428</v>
      </c>
      <c r="N94" s="29">
        <v>1.3</v>
      </c>
      <c r="O94" s="1033">
        <v>2.7522</v>
      </c>
      <c r="P94" s="31">
        <v>14.89</v>
      </c>
      <c r="Q94" s="29" t="s">
        <v>1428</v>
      </c>
      <c r="R94" s="31">
        <v>3.34602225022851</v>
      </c>
      <c r="S94" s="31">
        <f t="shared" si="2"/>
        <v>22.2882222502285</v>
      </c>
      <c r="T94" s="1010" t="s">
        <v>5866</v>
      </c>
      <c r="U94" s="25" t="s">
        <v>5921</v>
      </c>
    </row>
    <row r="95" s="989" customFormat="1" ht="17.4" spans="2:21">
      <c r="B95" s="30"/>
      <c r="C95" s="30"/>
      <c r="D95" s="1034">
        <v>6.9591</v>
      </c>
      <c r="E95" s="30"/>
      <c r="F95" s="142" t="s">
        <v>1565</v>
      </c>
      <c r="G95" s="27" t="s">
        <v>3540</v>
      </c>
      <c r="H95" s="30" t="s">
        <v>5812</v>
      </c>
      <c r="I95" s="29" t="s">
        <v>3436</v>
      </c>
      <c r="J95" s="1032" t="s">
        <v>5838</v>
      </c>
      <c r="K95" s="29" t="s">
        <v>1428</v>
      </c>
      <c r="L95" s="1005" t="s">
        <v>1428</v>
      </c>
      <c r="M95" s="30" t="s">
        <v>1428</v>
      </c>
      <c r="N95" s="29">
        <v>1.3</v>
      </c>
      <c r="O95" s="1033">
        <v>2.7522</v>
      </c>
      <c r="P95" s="31">
        <f>17.17/D95/1.13</f>
        <v>2.18342749284918</v>
      </c>
      <c r="Q95" s="29">
        <v>14.1</v>
      </c>
      <c r="R95" s="31">
        <v>3</v>
      </c>
      <c r="S95" s="31">
        <f t="shared" si="2"/>
        <v>23.3356274928492</v>
      </c>
      <c r="T95" s="1010" t="s">
        <v>5866</v>
      </c>
      <c r="U95" s="25" t="s">
        <v>5879</v>
      </c>
    </row>
    <row r="96" s="989" customFormat="1" spans="2:21">
      <c r="B96" s="29"/>
      <c r="C96" s="29"/>
      <c r="D96" s="29"/>
      <c r="E96" s="29"/>
      <c r="F96" s="25" t="s">
        <v>5852</v>
      </c>
      <c r="G96" s="25"/>
      <c r="H96" s="29"/>
      <c r="I96" s="29"/>
      <c r="J96" s="29"/>
      <c r="K96" s="29"/>
      <c r="L96" s="1005"/>
      <c r="M96" s="29"/>
      <c r="N96" s="29"/>
      <c r="O96" s="31">
        <v>0.56551</v>
      </c>
      <c r="P96" s="31" t="e">
        <f>25.54/D96/1.13</f>
        <v>#DIV/0!</v>
      </c>
      <c r="Q96" s="29" t="s">
        <v>1428</v>
      </c>
      <c r="R96" s="31">
        <v>0.4</v>
      </c>
      <c r="S96" s="31" t="e">
        <f t="shared" si="2"/>
        <v>#DIV/0!</v>
      </c>
      <c r="T96" s="123"/>
      <c r="U96" s="25"/>
    </row>
    <row r="97" s="989" customFormat="1" ht="60" spans="2:21">
      <c r="B97" s="29" t="s">
        <v>5922</v>
      </c>
      <c r="C97" s="29"/>
      <c r="D97" s="29"/>
      <c r="E97" s="29"/>
      <c r="F97" s="25" t="s">
        <v>1617</v>
      </c>
      <c r="G97" s="123" t="s">
        <v>1933</v>
      </c>
      <c r="H97" s="30" t="s">
        <v>5840</v>
      </c>
      <c r="I97" s="29" t="s">
        <v>4677</v>
      </c>
      <c r="J97" s="123" t="s">
        <v>5923</v>
      </c>
      <c r="K97" s="30" t="s">
        <v>1428</v>
      </c>
      <c r="L97" s="1005" t="s">
        <v>1428</v>
      </c>
      <c r="M97" s="1006" t="s">
        <v>4671</v>
      </c>
      <c r="N97" s="29">
        <v>2.5</v>
      </c>
      <c r="O97" s="31">
        <v>2.255</v>
      </c>
      <c r="P97" s="31">
        <v>17.89</v>
      </c>
      <c r="Q97" s="29" t="s">
        <v>1428</v>
      </c>
      <c r="R97" s="31">
        <v>3.34602225022851</v>
      </c>
      <c r="S97" s="31">
        <f t="shared" si="2"/>
        <v>25.9910222502285</v>
      </c>
      <c r="T97" s="1015" t="s">
        <v>5814</v>
      </c>
      <c r="U97" s="1030" t="s">
        <v>5924</v>
      </c>
    </row>
    <row r="98" s="990" customFormat="1" ht="15" spans="2:21">
      <c r="B98" s="29"/>
      <c r="C98" s="29"/>
      <c r="D98" s="29">
        <v>6.901</v>
      </c>
      <c r="E98" s="29"/>
      <c r="F98" s="123" t="s">
        <v>5844</v>
      </c>
      <c r="G98" s="123"/>
      <c r="H98" s="29"/>
      <c r="I98" s="29"/>
      <c r="J98" s="29"/>
      <c r="K98" s="29"/>
      <c r="L98" s="1005"/>
      <c r="M98" s="29"/>
      <c r="N98" s="29"/>
      <c r="O98" s="31">
        <v>0.44187</v>
      </c>
      <c r="P98" s="31">
        <v>0.9696</v>
      </c>
      <c r="Q98" s="29" t="s">
        <v>1428</v>
      </c>
      <c r="R98" s="31">
        <v>0.4</v>
      </c>
      <c r="S98" s="31">
        <f t="shared" si="2"/>
        <v>1.81147</v>
      </c>
      <c r="T98" s="157" t="s">
        <v>1423</v>
      </c>
      <c r="U98" s="123"/>
    </row>
    <row r="99" s="990" customFormat="1" spans="2:21">
      <c r="B99" s="29"/>
      <c r="C99" s="29"/>
      <c r="D99" s="29"/>
      <c r="E99" s="29" t="s">
        <v>1424</v>
      </c>
      <c r="F99" s="123" t="s">
        <v>5845</v>
      </c>
      <c r="G99" s="123"/>
      <c r="H99" s="29"/>
      <c r="I99" s="29"/>
      <c r="J99" s="29"/>
      <c r="K99" s="29"/>
      <c r="L99" s="1005"/>
      <c r="M99" s="29"/>
      <c r="N99" s="29"/>
      <c r="O99" s="31">
        <v>0.44187</v>
      </c>
      <c r="P99" s="31">
        <v>0.9191</v>
      </c>
      <c r="Q99" s="29" t="s">
        <v>1428</v>
      </c>
      <c r="R99" s="31">
        <f>24.03/6.91/1.13</f>
        <v>3.07749446102225</v>
      </c>
      <c r="S99" s="31">
        <f t="shared" si="2"/>
        <v>4.43846446102225</v>
      </c>
      <c r="T99" s="157" t="s">
        <v>1425</v>
      </c>
      <c r="U99" s="123"/>
    </row>
    <row r="100" s="989" customFormat="1" spans="2:21">
      <c r="B100" s="29"/>
      <c r="C100" s="28"/>
      <c r="D100" s="28"/>
      <c r="E100" s="28"/>
      <c r="F100" s="26" t="s">
        <v>5846</v>
      </c>
      <c r="G100" s="26"/>
      <c r="H100" s="29"/>
      <c r="I100" s="29"/>
      <c r="J100" s="29"/>
      <c r="K100" s="29"/>
      <c r="L100" s="1005"/>
      <c r="M100" s="29"/>
      <c r="N100" s="29"/>
      <c r="O100" s="31">
        <v>0.05665</v>
      </c>
      <c r="P100" s="31">
        <v>0.1313</v>
      </c>
      <c r="Q100" s="29" t="s">
        <v>1428</v>
      </c>
      <c r="R100" s="31">
        <v>0.4</v>
      </c>
      <c r="S100" s="31" t="s">
        <v>2268</v>
      </c>
      <c r="T100" s="123"/>
      <c r="U100" s="25"/>
    </row>
    <row r="101" s="989" customFormat="1" spans="2:21">
      <c r="B101" s="29"/>
      <c r="C101" s="28"/>
      <c r="D101" s="28"/>
      <c r="E101" s="28"/>
      <c r="F101" s="26" t="s">
        <v>5925</v>
      </c>
      <c r="G101" s="26"/>
      <c r="H101" s="29"/>
      <c r="I101" s="29"/>
      <c r="J101" s="29"/>
      <c r="K101" s="29"/>
      <c r="L101" s="1005"/>
      <c r="M101" s="29"/>
      <c r="N101" s="29"/>
      <c r="O101" s="31">
        <v>0.52118</v>
      </c>
      <c r="P101" s="31">
        <v>2.5351</v>
      </c>
      <c r="Q101" s="29" t="s">
        <v>1428</v>
      </c>
      <c r="R101" s="31">
        <v>0.4</v>
      </c>
      <c r="S101" s="31">
        <f t="shared" si="2"/>
        <v>3.45628</v>
      </c>
      <c r="T101" s="123"/>
      <c r="U101" s="25"/>
    </row>
    <row r="102" s="989" customFormat="1" ht="15" spans="2:21">
      <c r="B102" s="29" t="s">
        <v>5926</v>
      </c>
      <c r="C102" s="29"/>
      <c r="D102" s="29"/>
      <c r="E102" s="29"/>
      <c r="F102" s="25" t="s">
        <v>1629</v>
      </c>
      <c r="G102" s="123" t="s">
        <v>1933</v>
      </c>
      <c r="H102" s="30" t="s">
        <v>5840</v>
      </c>
      <c r="I102" s="29" t="s">
        <v>5902</v>
      </c>
      <c r="J102" s="29" t="s">
        <v>5813</v>
      </c>
      <c r="K102" s="30" t="s">
        <v>1428</v>
      </c>
      <c r="L102" s="1005">
        <f>3.8*2</f>
        <v>7.6</v>
      </c>
      <c r="M102" s="700">
        <v>2.9</v>
      </c>
      <c r="N102" s="29" t="s">
        <v>1428</v>
      </c>
      <c r="O102" s="31">
        <v>2.442</v>
      </c>
      <c r="P102" s="31">
        <v>16.51</v>
      </c>
      <c r="Q102" s="29" t="s">
        <v>1428</v>
      </c>
      <c r="R102" s="31">
        <v>3.25176810233472</v>
      </c>
      <c r="S102" s="31">
        <f t="shared" si="2"/>
        <v>32.7037681023347</v>
      </c>
      <c r="T102" s="1015" t="s">
        <v>5889</v>
      </c>
      <c r="U102" s="25" t="s">
        <v>5927</v>
      </c>
    </row>
    <row r="103" s="989" customFormat="1" spans="2:21">
      <c r="B103" s="29"/>
      <c r="C103" s="29"/>
      <c r="D103" s="29"/>
      <c r="E103" s="29"/>
      <c r="F103" s="25" t="s">
        <v>5894</v>
      </c>
      <c r="G103" s="25"/>
      <c r="H103" s="29"/>
      <c r="I103" s="29"/>
      <c r="J103" s="29"/>
      <c r="K103" s="29"/>
      <c r="L103" s="1005"/>
      <c r="M103" s="29"/>
      <c r="N103" s="29"/>
      <c r="O103" s="31">
        <v>0.605</v>
      </c>
      <c r="P103" s="31">
        <v>3.42</v>
      </c>
      <c r="Q103" s="29" t="s">
        <v>1428</v>
      </c>
      <c r="R103" s="31">
        <v>0.4</v>
      </c>
      <c r="S103" s="31">
        <f t="shared" si="2"/>
        <v>4.425</v>
      </c>
      <c r="T103" s="123"/>
      <c r="U103" s="25"/>
    </row>
    <row r="104" s="989" customFormat="1" spans="2:21">
      <c r="B104" s="29"/>
      <c r="C104" s="29"/>
      <c r="D104" s="29"/>
      <c r="E104" s="29"/>
      <c r="F104" s="25" t="s">
        <v>5893</v>
      </c>
      <c r="G104" s="25"/>
      <c r="H104" s="29"/>
      <c r="I104" s="29"/>
      <c r="J104" s="29"/>
      <c r="K104" s="29"/>
      <c r="L104" s="1005"/>
      <c r="M104" s="29"/>
      <c r="N104" s="29"/>
      <c r="O104" s="31">
        <v>0.30492</v>
      </c>
      <c r="P104" s="31">
        <v>0.8784</v>
      </c>
      <c r="Q104" s="29" t="s">
        <v>1428</v>
      </c>
      <c r="R104" s="31">
        <v>0.2</v>
      </c>
      <c r="S104" s="31">
        <f t="shared" si="2"/>
        <v>1.38332</v>
      </c>
      <c r="T104" s="123"/>
      <c r="U104" s="25"/>
    </row>
    <row r="105" s="989" customFormat="1" ht="15" spans="2:21">
      <c r="B105" s="29" t="s">
        <v>5928</v>
      </c>
      <c r="C105" s="29"/>
      <c r="D105" s="29"/>
      <c r="E105" s="29"/>
      <c r="F105" s="25" t="s">
        <v>1629</v>
      </c>
      <c r="G105" s="123" t="s">
        <v>1933</v>
      </c>
      <c r="H105" s="30" t="s">
        <v>5840</v>
      </c>
      <c r="I105" s="29" t="s">
        <v>4691</v>
      </c>
      <c r="J105" s="29" t="s">
        <v>3750</v>
      </c>
      <c r="K105" s="30" t="s">
        <v>1428</v>
      </c>
      <c r="L105" s="1005" t="s">
        <v>1428</v>
      </c>
      <c r="M105" s="1006" t="s">
        <v>4671</v>
      </c>
      <c r="N105" s="29">
        <v>2</v>
      </c>
      <c r="O105" s="31">
        <v>2.475</v>
      </c>
      <c r="P105" s="31">
        <v>12.8</v>
      </c>
      <c r="Q105" s="29" t="s">
        <v>1428</v>
      </c>
      <c r="R105" s="31">
        <v>3.36080585369046</v>
      </c>
      <c r="S105" s="31">
        <f t="shared" si="2"/>
        <v>20.6358058536905</v>
      </c>
      <c r="T105" s="1015" t="s">
        <v>5814</v>
      </c>
      <c r="U105" s="25" t="s">
        <v>5924</v>
      </c>
    </row>
    <row r="106" s="989" customFormat="1" spans="2:21">
      <c r="B106" s="29"/>
      <c r="C106" s="29"/>
      <c r="D106" s="29"/>
      <c r="E106" s="29"/>
      <c r="F106" s="25" t="s">
        <v>5894</v>
      </c>
      <c r="G106" s="25"/>
      <c r="H106" s="29"/>
      <c r="I106" s="29"/>
      <c r="J106" s="29"/>
      <c r="K106" s="29"/>
      <c r="L106" s="1005"/>
      <c r="M106" s="29"/>
      <c r="N106" s="29"/>
      <c r="O106" s="31">
        <v>0.605</v>
      </c>
      <c r="P106" s="31">
        <v>3.42</v>
      </c>
      <c r="Q106" s="29" t="s">
        <v>1428</v>
      </c>
      <c r="R106" s="31">
        <v>0.4</v>
      </c>
      <c r="S106" s="31">
        <f t="shared" si="2"/>
        <v>4.425</v>
      </c>
      <c r="T106" s="123"/>
      <c r="U106" s="25"/>
    </row>
    <row r="107" s="989" customFormat="1" spans="2:21">
      <c r="B107" s="29"/>
      <c r="C107" s="29"/>
      <c r="D107" s="29"/>
      <c r="E107" s="29"/>
      <c r="F107" s="25" t="s">
        <v>5929</v>
      </c>
      <c r="G107" s="26"/>
      <c r="H107" s="29"/>
      <c r="I107" s="29"/>
      <c r="J107" s="29"/>
      <c r="K107" s="29"/>
      <c r="L107" s="1005"/>
      <c r="M107" s="29"/>
      <c r="N107" s="29"/>
      <c r="O107" s="31">
        <v>1.14</v>
      </c>
      <c r="P107" s="31">
        <v>3.9</v>
      </c>
      <c r="Q107" s="29" t="s">
        <v>1428</v>
      </c>
      <c r="R107" s="31">
        <v>0.4</v>
      </c>
      <c r="S107" s="31">
        <f t="shared" si="2"/>
        <v>5.44</v>
      </c>
      <c r="T107" s="1015"/>
      <c r="U107" s="25"/>
    </row>
    <row r="108" s="990" customFormat="1" spans="2:21">
      <c r="B108" s="29"/>
      <c r="C108" s="29"/>
      <c r="D108" s="29"/>
      <c r="E108" s="29"/>
      <c r="F108" s="123" t="s">
        <v>5899</v>
      </c>
      <c r="G108" s="123"/>
      <c r="H108" s="29"/>
      <c r="I108" s="29"/>
      <c r="J108" s="29"/>
      <c r="K108" s="29"/>
      <c r="L108" s="1005"/>
      <c r="M108" s="29"/>
      <c r="N108" s="29"/>
      <c r="O108" s="31">
        <v>0.286</v>
      </c>
      <c r="P108" s="31">
        <v>1.11</v>
      </c>
      <c r="Q108" s="29" t="s">
        <v>1428</v>
      </c>
      <c r="R108" s="31">
        <v>0.2</v>
      </c>
      <c r="S108" s="31">
        <f t="shared" si="2"/>
        <v>1.596</v>
      </c>
      <c r="T108" s="157"/>
      <c r="U108" s="25"/>
    </row>
    <row r="109" s="989" customFormat="1" ht="15" spans="2:21">
      <c r="B109" s="1029" t="s">
        <v>5930</v>
      </c>
      <c r="C109" s="1029"/>
      <c r="D109" s="1029"/>
      <c r="E109" s="1029"/>
      <c r="F109" s="25" t="s">
        <v>1565</v>
      </c>
      <c r="G109" s="27" t="s">
        <v>1933</v>
      </c>
      <c r="H109" s="29" t="s">
        <v>5840</v>
      </c>
      <c r="I109" s="29" t="s">
        <v>3436</v>
      </c>
      <c r="J109" s="29" t="s">
        <v>5813</v>
      </c>
      <c r="K109" s="30" t="s">
        <v>1428</v>
      </c>
      <c r="L109" s="1005" t="s">
        <v>1428</v>
      </c>
      <c r="M109" s="29" t="s">
        <v>1428</v>
      </c>
      <c r="N109" s="29" t="s">
        <v>1428</v>
      </c>
      <c r="O109" s="31">
        <v>2.7522</v>
      </c>
      <c r="P109" s="31">
        <v>19.22</v>
      </c>
      <c r="Q109" s="29" t="s">
        <v>1428</v>
      </c>
      <c r="R109" s="31">
        <v>3.25176810233472</v>
      </c>
      <c r="S109" s="31">
        <f t="shared" si="2"/>
        <v>25.2239681023347</v>
      </c>
      <c r="T109" s="1010" t="s">
        <v>5866</v>
      </c>
      <c r="U109" s="25" t="s">
        <v>5931</v>
      </c>
    </row>
    <row r="110" s="989" customFormat="1" spans="2:21">
      <c r="B110" s="1029"/>
      <c r="C110" s="1029"/>
      <c r="D110" s="1029"/>
      <c r="E110" s="1029"/>
      <c r="F110" s="25" t="s">
        <v>5932</v>
      </c>
      <c r="G110" s="27"/>
      <c r="H110" s="29"/>
      <c r="I110" s="29"/>
      <c r="J110" s="29"/>
      <c r="K110" s="30"/>
      <c r="L110" s="1005"/>
      <c r="M110" s="29"/>
      <c r="N110" s="29"/>
      <c r="O110" s="31">
        <v>0.26</v>
      </c>
      <c r="P110" s="31">
        <v>2.97</v>
      </c>
      <c r="Q110" s="29" t="s">
        <v>1428</v>
      </c>
      <c r="R110" s="31">
        <v>0.2</v>
      </c>
      <c r="S110" s="31">
        <f t="shared" si="2"/>
        <v>3.43</v>
      </c>
      <c r="T110" s="1010"/>
      <c r="U110" s="1030"/>
    </row>
    <row r="111" s="989" customFormat="1" spans="2:21">
      <c r="B111" s="1029"/>
      <c r="C111" s="1029"/>
      <c r="D111" s="1029"/>
      <c r="E111" s="1029"/>
      <c r="F111" s="25" t="s">
        <v>5933</v>
      </c>
      <c r="G111" s="27"/>
      <c r="H111" s="29"/>
      <c r="I111" s="29"/>
      <c r="J111" s="29"/>
      <c r="K111" s="30"/>
      <c r="L111" s="1005"/>
      <c r="M111" s="29"/>
      <c r="N111" s="29"/>
      <c r="O111" s="31">
        <v>0.25</v>
      </c>
      <c r="P111" s="31">
        <v>1.47</v>
      </c>
      <c r="Q111" s="29" t="s">
        <v>1428</v>
      </c>
      <c r="R111" s="31">
        <v>0.2</v>
      </c>
      <c r="S111" s="31">
        <f t="shared" si="2"/>
        <v>1.92</v>
      </c>
      <c r="T111" s="1010"/>
      <c r="U111" s="1030"/>
    </row>
    <row r="112" s="989" customFormat="1" spans="2:21">
      <c r="B112" s="1029"/>
      <c r="C112" s="1029"/>
      <c r="D112" s="1029"/>
      <c r="E112" s="1029"/>
      <c r="F112" s="25" t="s">
        <v>5934</v>
      </c>
      <c r="G112" s="27"/>
      <c r="H112" s="29"/>
      <c r="I112" s="29"/>
      <c r="J112" s="29"/>
      <c r="K112" s="29"/>
      <c r="L112" s="1005"/>
      <c r="M112" s="29"/>
      <c r="N112" s="29"/>
      <c r="O112" s="31">
        <v>0.12364</v>
      </c>
      <c r="P112" s="31">
        <v>0.49</v>
      </c>
      <c r="Q112" s="29" t="s">
        <v>1428</v>
      </c>
      <c r="R112" s="31">
        <v>0.2</v>
      </c>
      <c r="S112" s="31">
        <f t="shared" si="2"/>
        <v>0.81364</v>
      </c>
      <c r="T112" s="1010"/>
      <c r="U112" s="25"/>
    </row>
    <row r="113" s="990" customFormat="1" ht="60" spans="2:22">
      <c r="B113" s="29" t="s">
        <v>5935</v>
      </c>
      <c r="C113" s="29"/>
      <c r="D113" s="29"/>
      <c r="E113" s="29"/>
      <c r="F113" s="123" t="s">
        <v>1629</v>
      </c>
      <c r="G113" s="25" t="s">
        <v>3540</v>
      </c>
      <c r="H113" s="29" t="s">
        <v>5936</v>
      </c>
      <c r="I113" s="29" t="s">
        <v>3436</v>
      </c>
      <c r="J113" s="29" t="s">
        <v>5813</v>
      </c>
      <c r="K113" s="29" t="s">
        <v>1428</v>
      </c>
      <c r="L113" s="1005" t="s">
        <v>1428</v>
      </c>
      <c r="M113" s="29" t="e">
        <f>63.76/E113/1.13</f>
        <v>#DIV/0!</v>
      </c>
      <c r="N113" s="29" t="s">
        <v>1428</v>
      </c>
      <c r="O113" s="31">
        <v>2.40097</v>
      </c>
      <c r="P113" s="31">
        <v>17.29</v>
      </c>
      <c r="Q113" s="29">
        <v>4</v>
      </c>
      <c r="R113" s="31">
        <v>3.2380860486082</v>
      </c>
      <c r="S113" s="31" t="e">
        <f t="shared" si="2"/>
        <v>#DIV/0!</v>
      </c>
      <c r="T113" s="157" t="s">
        <v>5866</v>
      </c>
      <c r="U113" s="1014" t="s">
        <v>5937</v>
      </c>
    </row>
    <row r="114" s="990" customFormat="1" ht="75" spans="2:22">
      <c r="B114" s="29"/>
      <c r="C114" s="29"/>
      <c r="D114" s="29"/>
      <c r="E114" s="29"/>
      <c r="F114" s="123" t="s">
        <v>1645</v>
      </c>
      <c r="G114" s="25" t="s">
        <v>3540</v>
      </c>
      <c r="H114" s="29" t="s">
        <v>5938</v>
      </c>
      <c r="I114" s="29" t="s">
        <v>4691</v>
      </c>
      <c r="J114" s="29" t="s">
        <v>3787</v>
      </c>
      <c r="K114" s="29" t="s">
        <v>1428</v>
      </c>
      <c r="L114" s="1005" t="s">
        <v>1428</v>
      </c>
      <c r="M114" s="1006" t="e">
        <f>63.76/E114/1.13</f>
        <v>#DIV/0!</v>
      </c>
      <c r="N114" s="29">
        <v>3.5</v>
      </c>
      <c r="O114" s="31">
        <v>2.40097</v>
      </c>
      <c r="P114" s="31">
        <v>17.29</v>
      </c>
      <c r="Q114" s="29">
        <v>4</v>
      </c>
      <c r="R114" s="31">
        <v>3.2380860486082</v>
      </c>
      <c r="S114" s="31" t="e">
        <f t="shared" si="2"/>
        <v>#DIV/0!</v>
      </c>
      <c r="T114" s="157" t="s">
        <v>5814</v>
      </c>
      <c r="U114" s="1014" t="s">
        <v>5939</v>
      </c>
    </row>
    <row r="115" s="990" customFormat="1" ht="15" spans="2:22">
      <c r="B115" s="29"/>
      <c r="C115" s="29"/>
      <c r="D115" s="29"/>
      <c r="E115" s="29"/>
      <c r="F115" s="123" t="s">
        <v>5940</v>
      </c>
      <c r="G115" s="123"/>
      <c r="H115" s="29"/>
      <c r="I115" s="29"/>
      <c r="J115" s="29"/>
      <c r="K115" s="29"/>
      <c r="L115" s="1005"/>
      <c r="M115" s="29"/>
      <c r="N115" s="29"/>
      <c r="O115" s="31">
        <v>0.407</v>
      </c>
      <c r="P115" s="31">
        <v>0.77</v>
      </c>
      <c r="Q115" s="29" t="s">
        <v>1428</v>
      </c>
      <c r="R115" s="31">
        <v>0.4</v>
      </c>
      <c r="S115" s="31">
        <f t="shared" si="2"/>
        <v>1.577</v>
      </c>
      <c r="T115" s="157"/>
      <c r="U115" s="123"/>
    </row>
    <row r="116" s="990" customFormat="1" ht="15" spans="2:22">
      <c r="B116" s="29"/>
      <c r="C116" s="29"/>
      <c r="D116" s="29"/>
      <c r="E116" s="29"/>
      <c r="F116" s="123" t="s">
        <v>5941</v>
      </c>
      <c r="G116" s="123"/>
      <c r="H116" s="29"/>
      <c r="I116" s="29"/>
      <c r="J116" s="29"/>
      <c r="K116" s="29"/>
      <c r="L116" s="1005"/>
      <c r="M116" s="29"/>
      <c r="N116" s="29"/>
      <c r="O116" s="31">
        <v>0.35</v>
      </c>
      <c r="P116" s="31">
        <v>0.65</v>
      </c>
      <c r="Q116" s="29" t="s">
        <v>1428</v>
      </c>
      <c r="R116" s="31">
        <v>0.2</v>
      </c>
      <c r="S116" s="31">
        <f t="shared" si="2"/>
        <v>1.2</v>
      </c>
      <c r="T116" s="157"/>
      <c r="U116" s="123"/>
    </row>
    <row r="117" s="990" customFormat="1" ht="15" spans="2:22">
      <c r="B117" s="29"/>
      <c r="C117" s="29"/>
      <c r="D117" s="29"/>
      <c r="E117" s="29"/>
      <c r="F117" s="123" t="s">
        <v>5942</v>
      </c>
      <c r="G117" s="123"/>
      <c r="H117" s="29"/>
      <c r="I117" s="29"/>
      <c r="J117" s="29"/>
      <c r="K117" s="29"/>
      <c r="L117" s="1005"/>
      <c r="M117" s="29"/>
      <c r="N117" s="29"/>
      <c r="O117" s="31">
        <v>0.2596</v>
      </c>
      <c r="P117" s="31">
        <v>0.8279</v>
      </c>
      <c r="Q117" s="29" t="s">
        <v>1428</v>
      </c>
      <c r="R117" s="31">
        <v>0.2</v>
      </c>
      <c r="S117" s="31">
        <f t="shared" si="2"/>
        <v>1.2875</v>
      </c>
      <c r="T117" s="157"/>
      <c r="U117" s="123"/>
    </row>
    <row r="118" s="991" customFormat="1" ht="15" spans="2:22">
      <c r="B118" s="29" t="s">
        <v>5943</v>
      </c>
      <c r="C118" s="28"/>
      <c r="D118" s="28"/>
      <c r="E118" s="28"/>
      <c r="F118" s="1021" t="s">
        <v>1565</v>
      </c>
      <c r="G118" s="1024" t="s">
        <v>3540</v>
      </c>
      <c r="H118" s="29" t="s">
        <v>5944</v>
      </c>
      <c r="I118" s="29" t="s">
        <v>3432</v>
      </c>
      <c r="J118" s="29" t="s">
        <v>5923</v>
      </c>
      <c r="K118" s="29" t="s">
        <v>1428</v>
      </c>
      <c r="L118" s="1022" t="s">
        <v>1428</v>
      </c>
      <c r="M118" s="147" t="s">
        <v>1428</v>
      </c>
      <c r="N118" s="29">
        <v>2.5</v>
      </c>
      <c r="O118" s="1023">
        <v>3.33003</v>
      </c>
      <c r="P118" s="1023">
        <v>16.1047619047619</v>
      </c>
      <c r="Q118" s="147" t="s">
        <v>1428</v>
      </c>
      <c r="R118" s="31">
        <v>4.31744806481099</v>
      </c>
      <c r="S118" s="1023">
        <f t="shared" si="2"/>
        <v>26.2522399695729</v>
      </c>
      <c r="T118" s="146" t="s">
        <v>5945</v>
      </c>
      <c r="U118" s="1035" t="s">
        <v>5946</v>
      </c>
    </row>
    <row r="119" s="991" customFormat="1" ht="15" spans="2:22">
      <c r="B119" s="29"/>
      <c r="C119" s="28"/>
      <c r="D119" s="28"/>
      <c r="E119" s="28"/>
      <c r="F119" s="1021" t="s">
        <v>1617</v>
      </c>
      <c r="G119" s="1024" t="s">
        <v>3540</v>
      </c>
      <c r="H119" s="29" t="s">
        <v>5947</v>
      </c>
      <c r="I119" s="29" t="s">
        <v>3624</v>
      </c>
      <c r="J119" s="29" t="s">
        <v>3891</v>
      </c>
      <c r="K119" s="147" t="s">
        <v>1428</v>
      </c>
      <c r="L119" s="1022" t="s">
        <v>1428</v>
      </c>
      <c r="M119" s="147" t="s">
        <v>1428</v>
      </c>
      <c r="N119" s="29" t="s">
        <v>1428</v>
      </c>
      <c r="O119" s="1023">
        <v>3.33003</v>
      </c>
      <c r="P119" s="1023">
        <v>16.7238095238096</v>
      </c>
      <c r="Q119" s="147">
        <v>3.95</v>
      </c>
      <c r="R119" s="31">
        <v>4.31744806481099</v>
      </c>
      <c r="S119" s="1023">
        <f t="shared" si="2"/>
        <v>28.3212875886206</v>
      </c>
      <c r="T119" s="146" t="s">
        <v>5945</v>
      </c>
      <c r="U119" s="1036"/>
    </row>
    <row r="120" s="991" customFormat="1" ht="15" spans="2:22">
      <c r="B120" s="29"/>
      <c r="C120" s="29"/>
      <c r="D120" s="29"/>
      <c r="E120" s="29"/>
      <c r="F120" s="146" t="s">
        <v>5940</v>
      </c>
      <c r="G120" s="146"/>
      <c r="H120" s="29"/>
      <c r="I120" s="29"/>
      <c r="J120" s="29"/>
      <c r="K120" s="147"/>
      <c r="L120" s="1022"/>
      <c r="M120" s="147"/>
      <c r="N120" s="147"/>
      <c r="O120" s="1023">
        <v>0.407</v>
      </c>
      <c r="P120" s="1023">
        <v>0.733333333333333</v>
      </c>
      <c r="Q120" s="147" t="s">
        <v>1428</v>
      </c>
      <c r="R120" s="1023">
        <v>0.4</v>
      </c>
      <c r="S120" s="1023">
        <f t="shared" si="2"/>
        <v>1.54033333333333</v>
      </c>
      <c r="T120" s="157"/>
      <c r="U120" s="146"/>
    </row>
    <row r="121" s="991" customFormat="1" spans="2:22">
      <c r="B121" s="29"/>
      <c r="C121" s="29"/>
      <c r="D121" s="29"/>
      <c r="E121" s="29"/>
      <c r="F121" s="146" t="s">
        <v>5948</v>
      </c>
      <c r="G121" s="146"/>
      <c r="H121" s="29"/>
      <c r="I121" s="29"/>
      <c r="J121" s="29"/>
      <c r="K121" s="147"/>
      <c r="L121" s="1022"/>
      <c r="M121" s="147"/>
      <c r="N121" s="147"/>
      <c r="O121" s="1023">
        <v>0.2596</v>
      </c>
      <c r="P121" s="1023">
        <v>0.78847619047619</v>
      </c>
      <c r="Q121" s="147" t="s">
        <v>1428</v>
      </c>
      <c r="R121" s="1023">
        <v>0.2</v>
      </c>
      <c r="S121" s="1023">
        <f t="shared" si="2"/>
        <v>1.24807619047619</v>
      </c>
      <c r="T121" s="157"/>
      <c r="U121" s="146"/>
    </row>
    <row r="122" s="991" customFormat="1" ht="15" spans="2:22">
      <c r="B122" s="29" t="s">
        <v>5949</v>
      </c>
      <c r="C122" s="28"/>
      <c r="D122" s="28"/>
      <c r="E122" s="28"/>
      <c r="F122" s="1021" t="s">
        <v>1645</v>
      </c>
      <c r="G122" s="1024" t="s">
        <v>1933</v>
      </c>
      <c r="H122" s="29" t="s">
        <v>5947</v>
      </c>
      <c r="I122" s="29" t="s">
        <v>3624</v>
      </c>
      <c r="J122" s="29" t="s">
        <v>3891</v>
      </c>
      <c r="K122" s="147" t="s">
        <v>1428</v>
      </c>
      <c r="L122" s="1022" t="s">
        <v>1428</v>
      </c>
      <c r="M122" s="147" t="s">
        <v>1428</v>
      </c>
      <c r="N122" s="29" t="s">
        <v>1428</v>
      </c>
      <c r="O122" s="1023">
        <v>5.489</v>
      </c>
      <c r="P122" s="1023">
        <v>16.4095238095238</v>
      </c>
      <c r="Q122" s="147" t="s">
        <v>1428</v>
      </c>
      <c r="R122" s="31">
        <v>4.42538426643124</v>
      </c>
      <c r="S122" s="1023">
        <f t="shared" si="2"/>
        <v>26.323908075955</v>
      </c>
      <c r="T122" s="146" t="s">
        <v>5945</v>
      </c>
      <c r="U122" s="1037" t="s">
        <v>5946</v>
      </c>
      <c r="V122" s="1038"/>
    </row>
    <row r="123" s="991" customFormat="1" ht="15" spans="2:22">
      <c r="B123" s="29"/>
      <c r="C123" s="28"/>
      <c r="D123" s="28"/>
      <c r="E123" s="28"/>
      <c r="F123" s="1021" t="s">
        <v>1604</v>
      </c>
      <c r="G123" s="1024" t="s">
        <v>1933</v>
      </c>
      <c r="H123" s="1029" t="s">
        <v>5950</v>
      </c>
      <c r="I123" s="29" t="s">
        <v>3624</v>
      </c>
      <c r="J123" s="29" t="s">
        <v>3891</v>
      </c>
      <c r="K123" s="147" t="s">
        <v>1428</v>
      </c>
      <c r="L123" s="1022" t="s">
        <v>1428</v>
      </c>
      <c r="M123" s="147" t="s">
        <v>1428</v>
      </c>
      <c r="N123" s="29" t="s">
        <v>1428</v>
      </c>
      <c r="O123" s="1023">
        <v>5.489</v>
      </c>
      <c r="P123" s="1023">
        <v>16.4285714285714</v>
      </c>
      <c r="Q123" s="147" t="s">
        <v>1428</v>
      </c>
      <c r="R123" s="31">
        <v>4.42538426643124</v>
      </c>
      <c r="S123" s="1023">
        <f t="shared" si="2"/>
        <v>26.3429556950026</v>
      </c>
      <c r="T123" s="146" t="s">
        <v>5945</v>
      </c>
      <c r="U123" s="1039"/>
    </row>
    <row r="124" s="991" customFormat="1" ht="15" spans="2:22">
      <c r="B124" s="29"/>
      <c r="C124" s="28"/>
      <c r="D124" s="28"/>
      <c r="E124" s="28"/>
      <c r="F124" s="1021" t="s">
        <v>2306</v>
      </c>
      <c r="G124" s="1024" t="s">
        <v>1933</v>
      </c>
      <c r="H124" s="1029" t="s">
        <v>5944</v>
      </c>
      <c r="I124" s="29" t="s">
        <v>3432</v>
      </c>
      <c r="J124" s="29" t="s">
        <v>3891</v>
      </c>
      <c r="K124" s="29" t="s">
        <v>1428</v>
      </c>
      <c r="L124" s="1022" t="s">
        <v>1428</v>
      </c>
      <c r="M124" s="147" t="s">
        <v>1428</v>
      </c>
      <c r="N124" s="29" t="s">
        <v>1428</v>
      </c>
      <c r="O124" s="1023">
        <v>5.489</v>
      </c>
      <c r="P124" s="1023">
        <v>16.5047619047619</v>
      </c>
      <c r="Q124" s="147"/>
      <c r="R124" s="31">
        <v>4.42538426643124</v>
      </c>
      <c r="S124" s="1023">
        <f t="shared" si="2"/>
        <v>26.4191461711931</v>
      </c>
      <c r="T124" s="146" t="s">
        <v>5945</v>
      </c>
      <c r="U124" s="1040"/>
    </row>
    <row r="125" s="991" customFormat="1" spans="2:22">
      <c r="B125" s="29"/>
      <c r="C125" s="28"/>
      <c r="D125" s="28"/>
      <c r="E125" s="28"/>
      <c r="F125" s="1021" t="s">
        <v>5951</v>
      </c>
      <c r="G125" s="1021"/>
      <c r="H125" s="1029"/>
      <c r="I125" s="29"/>
      <c r="J125" s="29"/>
      <c r="K125" s="147"/>
      <c r="L125" s="1022"/>
      <c r="M125" s="147"/>
      <c r="N125" s="147"/>
      <c r="O125" s="1023">
        <v>0.46354</v>
      </c>
      <c r="P125" s="1023">
        <v>1.92352380952381</v>
      </c>
      <c r="Q125" s="147" t="s">
        <v>1428</v>
      </c>
      <c r="R125" s="1023">
        <v>0.2</v>
      </c>
      <c r="S125" s="1023">
        <f t="shared" si="2"/>
        <v>2.58706380952381</v>
      </c>
      <c r="T125" s="146"/>
      <c r="U125" s="1024"/>
    </row>
    <row r="126" s="991" customFormat="1" ht="15" spans="2:22">
      <c r="B126" s="29" t="s">
        <v>5952</v>
      </c>
      <c r="C126" s="28"/>
      <c r="D126" s="28"/>
      <c r="E126" s="28"/>
      <c r="F126" s="1021" t="s">
        <v>1629</v>
      </c>
      <c r="G126" s="1024" t="s">
        <v>1933</v>
      </c>
      <c r="H126" s="29" t="s">
        <v>5947</v>
      </c>
      <c r="I126" s="29" t="s">
        <v>1913</v>
      </c>
      <c r="J126" s="29" t="s">
        <v>3891</v>
      </c>
      <c r="K126" s="147" t="s">
        <v>1428</v>
      </c>
      <c r="L126" s="1022" t="s">
        <v>1428</v>
      </c>
      <c r="M126" s="147" t="s">
        <v>1428</v>
      </c>
      <c r="N126" s="29" t="s">
        <v>1428</v>
      </c>
      <c r="O126" s="1023">
        <v>4.246</v>
      </c>
      <c r="P126" s="1023">
        <v>17.6964578935023</v>
      </c>
      <c r="Q126" s="147" t="s">
        <v>1428</v>
      </c>
      <c r="R126" s="31">
        <v>4.41869840254547</v>
      </c>
      <c r="S126" s="1023">
        <f t="shared" si="2"/>
        <v>26.3611562960478</v>
      </c>
      <c r="T126" s="146" t="s">
        <v>2854</v>
      </c>
      <c r="U126" s="1037" t="s">
        <v>5953</v>
      </c>
      <c r="V126" s="1038"/>
    </row>
    <row r="127" s="991" customFormat="1" ht="15" spans="2:22">
      <c r="B127" s="29"/>
      <c r="C127" s="28"/>
      <c r="D127" s="28"/>
      <c r="E127" s="28"/>
      <c r="F127" s="1021" t="s">
        <v>1571</v>
      </c>
      <c r="G127" s="1024" t="s">
        <v>1933</v>
      </c>
      <c r="H127" s="29" t="s">
        <v>5947</v>
      </c>
      <c r="I127" s="29" t="s">
        <v>1913</v>
      </c>
      <c r="J127" s="29" t="s">
        <v>3891</v>
      </c>
      <c r="K127" s="147" t="s">
        <v>1428</v>
      </c>
      <c r="L127" s="1022" t="s">
        <v>1428</v>
      </c>
      <c r="M127" s="147" t="s">
        <v>1428</v>
      </c>
      <c r="N127" s="29" t="s">
        <v>1428</v>
      </c>
      <c r="O127" s="1023">
        <v>4.246</v>
      </c>
      <c r="P127" s="1023">
        <v>17.647619047619</v>
      </c>
      <c r="Q127" s="147" t="s">
        <v>1428</v>
      </c>
      <c r="R127" s="31">
        <v>4.41869840254547</v>
      </c>
      <c r="S127" s="1023">
        <f t="shared" si="2"/>
        <v>26.3123174501645</v>
      </c>
      <c r="T127" s="146" t="s">
        <v>2854</v>
      </c>
      <c r="U127" s="1039"/>
      <c r="V127" s="1038"/>
    </row>
    <row r="128" s="991" customFormat="1" ht="15" spans="2:22">
      <c r="B128" s="29"/>
      <c r="C128" s="28"/>
      <c r="D128" s="28"/>
      <c r="E128" s="28"/>
      <c r="F128" s="1021" t="s">
        <v>1998</v>
      </c>
      <c r="G128" s="1024" t="s">
        <v>3540</v>
      </c>
      <c r="H128" s="29" t="s">
        <v>5944</v>
      </c>
      <c r="I128" s="29" t="s">
        <v>1913</v>
      </c>
      <c r="J128" s="29" t="s">
        <v>3891</v>
      </c>
      <c r="K128" s="29" t="s">
        <v>1428</v>
      </c>
      <c r="L128" s="1022" t="s">
        <v>1428</v>
      </c>
      <c r="M128" s="147" t="s">
        <v>1428</v>
      </c>
      <c r="N128" s="29" t="s">
        <v>1428</v>
      </c>
      <c r="O128" s="1023">
        <v>4.246</v>
      </c>
      <c r="P128" s="1023">
        <v>14.7595589960122</v>
      </c>
      <c r="Q128" s="147"/>
      <c r="R128" s="31">
        <v>4.41869840254547</v>
      </c>
      <c r="S128" s="1023">
        <f t="shared" si="2"/>
        <v>23.4242573985577</v>
      </c>
      <c r="T128" s="146" t="s">
        <v>2854</v>
      </c>
      <c r="U128" s="1039"/>
    </row>
    <row r="129" s="991" customFormat="1" ht="15" spans="2:22">
      <c r="B129" s="29"/>
      <c r="C129" s="28"/>
      <c r="D129" s="28"/>
      <c r="E129" s="28"/>
      <c r="F129" s="1021" t="s">
        <v>2427</v>
      </c>
      <c r="G129" s="1024" t="s">
        <v>1933</v>
      </c>
      <c r="H129" s="29">
        <f>2.75/6.9514/1.13</f>
        <v>0.350091825903282</v>
      </c>
      <c r="I129" s="29" t="s">
        <v>1913</v>
      </c>
      <c r="J129" s="29" t="s">
        <v>3891</v>
      </c>
      <c r="K129" s="29" t="s">
        <v>1428</v>
      </c>
      <c r="L129" s="1022" t="s">
        <v>1428</v>
      </c>
      <c r="M129" s="147" t="s">
        <v>1428</v>
      </c>
      <c r="N129" s="29" t="s">
        <v>1428</v>
      </c>
      <c r="O129" s="1023">
        <v>4.246</v>
      </c>
      <c r="P129" s="1023">
        <v>17.4524982406756</v>
      </c>
      <c r="Q129" s="147" t="s">
        <v>1428</v>
      </c>
      <c r="R129" s="31">
        <v>4.41869840254547</v>
      </c>
      <c r="S129" s="1023">
        <f t="shared" si="2"/>
        <v>26.1171966432211</v>
      </c>
      <c r="T129" s="146" t="s">
        <v>2854</v>
      </c>
      <c r="U129" s="1040"/>
    </row>
    <row r="130" s="991" customFormat="1" ht="15" spans="2:22">
      <c r="B130" s="29"/>
      <c r="C130" s="28"/>
      <c r="D130" s="28"/>
      <c r="E130" s="28"/>
      <c r="F130" s="1021" t="s">
        <v>1587</v>
      </c>
      <c r="G130" s="1024" t="s">
        <v>3540</v>
      </c>
      <c r="H130" s="29" t="s">
        <v>5947</v>
      </c>
      <c r="I130" s="29" t="s">
        <v>1913</v>
      </c>
      <c r="J130" s="29" t="s">
        <v>3891</v>
      </c>
      <c r="K130" s="147" t="s">
        <v>1428</v>
      </c>
      <c r="L130" s="1022" t="s">
        <v>1428</v>
      </c>
      <c r="M130" s="147" t="s">
        <v>1428</v>
      </c>
      <c r="N130" s="29" t="s">
        <v>1428</v>
      </c>
      <c r="O130" s="1023">
        <v>4.246</v>
      </c>
      <c r="P130" s="1023">
        <v>14.2528735632184</v>
      </c>
      <c r="Q130" s="147" t="s">
        <v>1428</v>
      </c>
      <c r="R130" s="31">
        <v>4.41869840254547</v>
      </c>
      <c r="S130" s="1023">
        <f t="shared" si="2"/>
        <v>22.9175719657639</v>
      </c>
      <c r="T130" s="146" t="s">
        <v>2854</v>
      </c>
      <c r="U130" s="123" t="s">
        <v>5954</v>
      </c>
      <c r="V130" s="1038"/>
    </row>
    <row r="131" s="991" customFormat="1" spans="2:22">
      <c r="B131" s="29"/>
      <c r="C131" s="29"/>
      <c r="D131" s="29"/>
      <c r="E131" s="29"/>
      <c r="F131" s="25" t="s">
        <v>5929</v>
      </c>
      <c r="G131" s="26"/>
      <c r="H131" s="29"/>
      <c r="I131" s="29"/>
      <c r="J131" s="29"/>
      <c r="K131" s="29"/>
      <c r="L131" s="1005"/>
      <c r="M131" s="29"/>
      <c r="N131" s="29"/>
      <c r="O131" s="31">
        <v>1.14</v>
      </c>
      <c r="P131" s="31">
        <v>3.71428571428571</v>
      </c>
      <c r="Q131" s="29" t="s">
        <v>1428</v>
      </c>
      <c r="R131" s="31">
        <v>0.4</v>
      </c>
      <c r="S131" s="31">
        <f t="shared" si="2"/>
        <v>5.25428571428571</v>
      </c>
      <c r="T131" s="1015"/>
      <c r="U131" s="25"/>
    </row>
    <row r="132" s="991" customFormat="1" spans="2:22">
      <c r="B132" s="29"/>
      <c r="C132" s="28"/>
      <c r="D132" s="28"/>
      <c r="E132" s="28"/>
      <c r="F132" s="1021" t="s">
        <v>5955</v>
      </c>
      <c r="G132" s="1021"/>
      <c r="H132" s="29"/>
      <c r="I132" s="29"/>
      <c r="J132" s="29"/>
      <c r="K132" s="147"/>
      <c r="L132" s="1022"/>
      <c r="M132" s="147"/>
      <c r="N132" s="147"/>
      <c r="O132" s="1023">
        <v>0.12364</v>
      </c>
      <c r="P132" s="1023">
        <v>0.346</v>
      </c>
      <c r="Q132" s="147" t="s">
        <v>1428</v>
      </c>
      <c r="R132" s="1023">
        <v>0.4</v>
      </c>
      <c r="S132" s="1023">
        <f t="shared" si="2"/>
        <v>0.86964</v>
      </c>
      <c r="T132" s="146"/>
      <c r="U132" s="1024"/>
    </row>
    <row r="133" s="991" customFormat="1" spans="2:22">
      <c r="B133" s="29"/>
      <c r="C133" s="28"/>
      <c r="D133" s="28"/>
      <c r="E133" s="28"/>
      <c r="F133" s="1021" t="s">
        <v>5956</v>
      </c>
      <c r="G133" s="1021"/>
      <c r="H133" s="29"/>
      <c r="I133" s="29"/>
      <c r="J133" s="29"/>
      <c r="K133" s="147"/>
      <c r="L133" s="1022"/>
      <c r="M133" s="147"/>
      <c r="N133" s="147"/>
      <c r="O133" s="1023">
        <v>0.32758</v>
      </c>
      <c r="P133" s="1023">
        <v>0.91352380952381</v>
      </c>
      <c r="Q133" s="147" t="s">
        <v>1428</v>
      </c>
      <c r="R133" s="1023">
        <v>0.4</v>
      </c>
      <c r="S133" s="1023">
        <f t="shared" ref="S133:S196" si="3">SUM(K133:R133)</f>
        <v>1.64110380952381</v>
      </c>
      <c r="T133" s="146"/>
      <c r="U133" s="1024"/>
    </row>
    <row r="134" s="991" customFormat="1" spans="2:22">
      <c r="B134" s="29"/>
      <c r="C134" s="29"/>
      <c r="D134" s="29"/>
      <c r="E134" s="29"/>
      <c r="F134" s="1024" t="s">
        <v>5894</v>
      </c>
      <c r="G134" s="1024"/>
      <c r="H134" s="29"/>
      <c r="I134" s="29"/>
      <c r="J134" s="29"/>
      <c r="K134" s="147"/>
      <c r="L134" s="1005"/>
      <c r="M134" s="29"/>
      <c r="N134" s="29"/>
      <c r="O134" s="1023">
        <v>0.605</v>
      </c>
      <c r="P134" s="1023">
        <v>3.25714285714286</v>
      </c>
      <c r="Q134" s="147" t="s">
        <v>1428</v>
      </c>
      <c r="R134" s="31">
        <v>0.4</v>
      </c>
      <c r="S134" s="31">
        <f t="shared" si="3"/>
        <v>4.26214285714286</v>
      </c>
      <c r="T134" s="146"/>
      <c r="U134" s="1024"/>
    </row>
    <row r="135" s="991" customFormat="1" ht="15" spans="2:22">
      <c r="B135" s="29"/>
      <c r="C135" s="28"/>
      <c r="D135" s="28"/>
      <c r="E135" s="28"/>
      <c r="F135" s="1021" t="s">
        <v>5957</v>
      </c>
      <c r="G135" s="1021"/>
      <c r="H135" s="29"/>
      <c r="I135" s="29"/>
      <c r="J135" s="29"/>
      <c r="K135" s="147"/>
      <c r="L135" s="1022"/>
      <c r="M135" s="147"/>
      <c r="N135" s="147"/>
      <c r="O135" s="1023">
        <v>0.66748</v>
      </c>
      <c r="P135" s="1023">
        <v>1.356</v>
      </c>
      <c r="Q135" s="147" t="s">
        <v>1428</v>
      </c>
      <c r="R135" s="1023">
        <v>0.4</v>
      </c>
      <c r="S135" s="1023">
        <f t="shared" si="3"/>
        <v>2.42348</v>
      </c>
      <c r="T135" s="146"/>
      <c r="U135" s="1024"/>
    </row>
    <row r="136" s="991" customFormat="1" ht="15" spans="2:22">
      <c r="B136" s="29"/>
      <c r="C136" s="28"/>
      <c r="D136" s="28"/>
      <c r="E136" s="28"/>
      <c r="F136" s="1021" t="s">
        <v>5958</v>
      </c>
      <c r="G136" s="1021"/>
      <c r="H136" s="29"/>
      <c r="I136" s="29"/>
      <c r="J136" s="29"/>
      <c r="K136" s="147"/>
      <c r="L136" s="1022"/>
      <c r="M136" s="147"/>
      <c r="N136" s="147"/>
      <c r="O136" s="1023">
        <v>0.30492</v>
      </c>
      <c r="P136" s="1023">
        <v>0.991438095238099</v>
      </c>
      <c r="Q136" s="147" t="s">
        <v>1428</v>
      </c>
      <c r="R136" s="1023">
        <v>0.4</v>
      </c>
      <c r="S136" s="1023">
        <f t="shared" si="3"/>
        <v>1.6963580952381</v>
      </c>
      <c r="T136" s="146"/>
      <c r="U136" s="1024"/>
    </row>
    <row r="137" s="991" customFormat="1" spans="2:22">
      <c r="B137" s="29"/>
      <c r="C137" s="28"/>
      <c r="D137" s="28"/>
      <c r="E137" s="28"/>
      <c r="F137" s="1021" t="s">
        <v>5891</v>
      </c>
      <c r="G137" s="1021"/>
      <c r="H137" s="29"/>
      <c r="I137" s="29"/>
      <c r="J137" s="29"/>
      <c r="K137" s="147"/>
      <c r="L137" s="1022"/>
      <c r="M137" s="147"/>
      <c r="N137" s="147"/>
      <c r="O137" s="1023">
        <v>0.385</v>
      </c>
      <c r="P137" s="1023">
        <v>3.43420126671359</v>
      </c>
      <c r="Q137" s="147" t="s">
        <v>1428</v>
      </c>
      <c r="R137" s="1023">
        <v>0.4</v>
      </c>
      <c r="S137" s="1023">
        <f t="shared" si="3"/>
        <v>4.21920126671359</v>
      </c>
      <c r="T137" s="146"/>
      <c r="U137" s="1024"/>
    </row>
    <row r="138" s="991" customFormat="1" spans="2:22">
      <c r="B138" s="29"/>
      <c r="C138" s="28"/>
      <c r="D138" s="28"/>
      <c r="E138" s="28"/>
      <c r="F138" s="1021" t="s">
        <v>430</v>
      </c>
      <c r="G138" s="1021"/>
      <c r="H138" s="29"/>
      <c r="I138" s="29"/>
      <c r="J138" s="29"/>
      <c r="K138" s="147"/>
      <c r="L138" s="1022"/>
      <c r="M138" s="147"/>
      <c r="N138" s="147"/>
      <c r="O138" s="1023">
        <v>0.96206</v>
      </c>
      <c r="P138" s="1023">
        <v>3.52028571428571</v>
      </c>
      <c r="Q138" s="147" t="s">
        <v>1428</v>
      </c>
      <c r="R138" s="1023">
        <v>0.4</v>
      </c>
      <c r="S138" s="1023">
        <f t="shared" si="3"/>
        <v>4.88234571428571</v>
      </c>
      <c r="T138" s="146"/>
      <c r="U138" s="1024"/>
    </row>
    <row r="139" s="991" customFormat="1" spans="2:22">
      <c r="B139" s="29"/>
      <c r="C139" s="29"/>
      <c r="D139" s="29"/>
      <c r="E139" s="29"/>
      <c r="F139" s="146" t="s">
        <v>5899</v>
      </c>
      <c r="G139" s="146"/>
      <c r="H139" s="29"/>
      <c r="I139" s="29"/>
      <c r="J139" s="29"/>
      <c r="K139" s="147"/>
      <c r="L139" s="1022"/>
      <c r="M139" s="147"/>
      <c r="N139" s="147"/>
      <c r="O139" s="1023">
        <v>0.286</v>
      </c>
      <c r="P139" s="1023">
        <v>1.05714285714286</v>
      </c>
      <c r="Q139" s="147" t="s">
        <v>1428</v>
      </c>
      <c r="R139" s="1023">
        <v>0.2</v>
      </c>
      <c r="S139" s="1023">
        <f t="shared" si="3"/>
        <v>1.54314285714286</v>
      </c>
      <c r="T139" s="157"/>
      <c r="U139" s="146"/>
    </row>
    <row r="140" s="991" customFormat="1" ht="15" spans="2:22">
      <c r="B140" s="29" t="s">
        <v>5959</v>
      </c>
      <c r="C140" s="28"/>
      <c r="D140" s="28"/>
      <c r="E140" s="28"/>
      <c r="F140" s="26" t="s">
        <v>1629</v>
      </c>
      <c r="G140" s="25" t="s">
        <v>3540</v>
      </c>
      <c r="H140" s="29" t="s">
        <v>5947</v>
      </c>
      <c r="I140" s="31" t="s">
        <v>1913</v>
      </c>
      <c r="J140" s="29" t="s">
        <v>3891</v>
      </c>
      <c r="K140" s="147" t="s">
        <v>1428</v>
      </c>
      <c r="L140" s="1005" t="s">
        <v>1428</v>
      </c>
      <c r="M140" s="29" t="s">
        <v>1428</v>
      </c>
      <c r="N140" s="29" t="s">
        <v>1428</v>
      </c>
      <c r="O140" s="31">
        <v>4.84729064039409</v>
      </c>
      <c r="P140" s="31">
        <v>14.6844944874501</v>
      </c>
      <c r="Q140" s="147" t="s">
        <v>1428</v>
      </c>
      <c r="R140" s="31">
        <v>4.31744806481099</v>
      </c>
      <c r="S140" s="31">
        <f t="shared" si="3"/>
        <v>23.8492331926552</v>
      </c>
      <c r="T140" s="1041" t="s">
        <v>2854</v>
      </c>
      <c r="U140" s="25" t="s">
        <v>5953</v>
      </c>
      <c r="V140" s="1038"/>
    </row>
    <row r="141" s="991" customFormat="1" spans="2:22">
      <c r="B141" s="29"/>
      <c r="C141" s="29"/>
      <c r="D141" s="29"/>
      <c r="E141" s="29"/>
      <c r="F141" s="123" t="s">
        <v>5899</v>
      </c>
      <c r="G141" s="123"/>
      <c r="H141" s="29"/>
      <c r="I141" s="29"/>
      <c r="J141" s="29"/>
      <c r="K141" s="29"/>
      <c r="L141" s="1005"/>
      <c r="M141" s="29"/>
      <c r="N141" s="29"/>
      <c r="O141" s="31">
        <v>0.286</v>
      </c>
      <c r="P141" s="31">
        <v>1.05714285714286</v>
      </c>
      <c r="Q141" s="29" t="s">
        <v>1428</v>
      </c>
      <c r="R141" s="31">
        <v>0.2</v>
      </c>
      <c r="S141" s="31">
        <f t="shared" si="3"/>
        <v>1.54314285714286</v>
      </c>
      <c r="T141" s="157"/>
      <c r="U141" s="123"/>
    </row>
    <row r="142" s="991" customFormat="1" spans="2:22">
      <c r="B142" s="29"/>
      <c r="C142" s="29"/>
      <c r="D142" s="29"/>
      <c r="E142" s="29"/>
      <c r="F142" s="25" t="s">
        <v>5894</v>
      </c>
      <c r="G142" s="25"/>
      <c r="H142" s="29"/>
      <c r="I142" s="29"/>
      <c r="J142" s="29"/>
      <c r="K142" s="29"/>
      <c r="L142" s="1005"/>
      <c r="M142" s="29"/>
      <c r="N142" s="29"/>
      <c r="O142" s="31">
        <v>0.605</v>
      </c>
      <c r="P142" s="31">
        <v>3.25714285714286</v>
      </c>
      <c r="Q142" s="29" t="s">
        <v>1428</v>
      </c>
      <c r="R142" s="31">
        <v>0.4</v>
      </c>
      <c r="S142" s="31">
        <f t="shared" si="3"/>
        <v>4.26214285714286</v>
      </c>
      <c r="T142" s="123"/>
      <c r="U142" s="25"/>
    </row>
    <row r="143" s="991" customFormat="1" spans="2:22">
      <c r="B143" s="29"/>
      <c r="C143" s="28"/>
      <c r="D143" s="28"/>
      <c r="E143" s="28"/>
      <c r="F143" s="26" t="s">
        <v>5891</v>
      </c>
      <c r="G143" s="26"/>
      <c r="H143" s="29"/>
      <c r="I143" s="29"/>
      <c r="J143" s="29"/>
      <c r="K143" s="29"/>
      <c r="L143" s="1005"/>
      <c r="M143" s="29"/>
      <c r="N143" s="29"/>
      <c r="O143" s="31">
        <v>0.385</v>
      </c>
      <c r="P143" s="1023">
        <v>3.43420126671359</v>
      </c>
      <c r="Q143" s="29" t="s">
        <v>1428</v>
      </c>
      <c r="R143" s="31">
        <v>0.4</v>
      </c>
      <c r="S143" s="31">
        <f t="shared" si="3"/>
        <v>4.21920126671359</v>
      </c>
      <c r="T143" s="123"/>
      <c r="U143" s="25"/>
    </row>
    <row r="144" s="991" customFormat="1" ht="15" spans="2:22">
      <c r="B144" s="29" t="s">
        <v>5960</v>
      </c>
      <c r="C144" s="28"/>
      <c r="D144" s="28"/>
      <c r="E144" s="28"/>
      <c r="F144" s="1021" t="s">
        <v>1685</v>
      </c>
      <c r="G144" s="25" t="s">
        <v>3540</v>
      </c>
      <c r="H144" s="29" t="s">
        <v>5947</v>
      </c>
      <c r="I144" s="29" t="s">
        <v>3624</v>
      </c>
      <c r="J144" s="29" t="s">
        <v>3891</v>
      </c>
      <c r="K144" s="147" t="s">
        <v>1428</v>
      </c>
      <c r="L144" s="1022" t="s">
        <v>1428</v>
      </c>
      <c r="M144" s="147" t="s">
        <v>1428</v>
      </c>
      <c r="N144" s="29" t="s">
        <v>1428</v>
      </c>
      <c r="O144" s="1023">
        <v>5.544</v>
      </c>
      <c r="P144" s="1023">
        <v>16.1047619047619</v>
      </c>
      <c r="Q144" s="147" t="s">
        <v>1428</v>
      </c>
      <c r="R144" s="31">
        <v>4.31744806481099</v>
      </c>
      <c r="S144" s="1023">
        <f t="shared" si="3"/>
        <v>25.9662099695729</v>
      </c>
      <c r="T144" s="146" t="s">
        <v>5945</v>
      </c>
      <c r="U144" s="1042" t="s">
        <v>5961</v>
      </c>
      <c r="V144" s="1038"/>
    </row>
    <row r="145" s="991" customFormat="1" ht="15" spans="2:22">
      <c r="B145" s="29"/>
      <c r="C145" s="28"/>
      <c r="D145" s="28"/>
      <c r="E145" s="28"/>
      <c r="F145" s="1021" t="s">
        <v>1998</v>
      </c>
      <c r="G145" s="25" t="s">
        <v>3540</v>
      </c>
      <c r="H145" s="29" t="s">
        <v>5947</v>
      </c>
      <c r="I145" s="29" t="s">
        <v>5962</v>
      </c>
      <c r="J145" s="29" t="s">
        <v>3891</v>
      </c>
      <c r="K145" s="147" t="s">
        <v>1428</v>
      </c>
      <c r="L145" s="1022" t="s">
        <v>1428</v>
      </c>
      <c r="M145" s="147"/>
      <c r="N145" s="29" t="s">
        <v>1428</v>
      </c>
      <c r="O145" s="1023">
        <v>5.544</v>
      </c>
      <c r="P145" s="1023">
        <v>16.0857142857143</v>
      </c>
      <c r="Q145" s="147" t="s">
        <v>1428</v>
      </c>
      <c r="R145" s="31">
        <v>4.31744806481099</v>
      </c>
      <c r="S145" s="1023">
        <f t="shared" si="3"/>
        <v>25.9471623505253</v>
      </c>
      <c r="T145" s="146" t="s">
        <v>5963</v>
      </c>
      <c r="U145" s="1011"/>
      <c r="V145" s="1038"/>
    </row>
    <row r="146" s="991" customFormat="1" spans="2:22">
      <c r="B146" s="29"/>
      <c r="C146" s="28"/>
      <c r="D146" s="28"/>
      <c r="E146" s="28"/>
      <c r="F146" s="1021" t="s">
        <v>5956</v>
      </c>
      <c r="G146" s="1021"/>
      <c r="H146" s="29"/>
      <c r="I146" s="29"/>
      <c r="J146" s="29"/>
      <c r="K146" s="147"/>
      <c r="L146" s="1022"/>
      <c r="M146" s="147"/>
      <c r="N146" s="147"/>
      <c r="O146" s="1023">
        <v>0.32758</v>
      </c>
      <c r="P146" s="1023">
        <v>0.91352380952381</v>
      </c>
      <c r="Q146" s="147" t="s">
        <v>1428</v>
      </c>
      <c r="R146" s="1023">
        <v>0.4</v>
      </c>
      <c r="S146" s="1023">
        <f t="shared" si="3"/>
        <v>1.64110380952381</v>
      </c>
      <c r="T146" s="146"/>
      <c r="U146" s="1024"/>
    </row>
    <row r="147" s="991" customFormat="1" spans="2:22">
      <c r="B147" s="29"/>
      <c r="C147" s="29"/>
      <c r="D147" s="29"/>
      <c r="E147" s="29"/>
      <c r="F147" s="1024" t="s">
        <v>5894</v>
      </c>
      <c r="G147" s="1024"/>
      <c r="H147" s="29"/>
      <c r="I147" s="29"/>
      <c r="J147" s="29"/>
      <c r="K147" s="147"/>
      <c r="L147" s="1005"/>
      <c r="M147" s="29"/>
      <c r="N147" s="29"/>
      <c r="O147" s="1023">
        <v>0.605</v>
      </c>
      <c r="P147" s="1023">
        <v>3.25714285714286</v>
      </c>
      <c r="Q147" s="147" t="s">
        <v>1428</v>
      </c>
      <c r="R147" s="31">
        <v>0.4</v>
      </c>
      <c r="S147" s="31">
        <f t="shared" si="3"/>
        <v>4.26214285714286</v>
      </c>
      <c r="T147" s="146"/>
      <c r="U147" s="1024"/>
    </row>
    <row r="148" s="991" customFormat="1" spans="2:22">
      <c r="B148" s="29"/>
      <c r="C148" s="28"/>
      <c r="D148" s="28"/>
      <c r="E148" s="28"/>
      <c r="F148" s="1021" t="s">
        <v>5891</v>
      </c>
      <c r="G148" s="1021"/>
      <c r="H148" s="29"/>
      <c r="I148" s="29"/>
      <c r="J148" s="29"/>
      <c r="K148" s="147"/>
      <c r="L148" s="1022"/>
      <c r="M148" s="147"/>
      <c r="N148" s="147"/>
      <c r="O148" s="1023">
        <v>0.385</v>
      </c>
      <c r="P148" s="1023">
        <v>3.43420126671359</v>
      </c>
      <c r="Q148" s="147" t="s">
        <v>1428</v>
      </c>
      <c r="R148" s="1023">
        <v>0.4</v>
      </c>
      <c r="S148" s="1023">
        <f t="shared" si="3"/>
        <v>4.21920126671359</v>
      </c>
      <c r="T148" s="146"/>
      <c r="U148" s="1024"/>
    </row>
    <row r="149" s="991" customFormat="1" ht="15" spans="2:22">
      <c r="B149" s="29" t="s">
        <v>5964</v>
      </c>
      <c r="C149" s="28"/>
      <c r="D149" s="28"/>
      <c r="E149" s="28"/>
      <c r="F149" s="26" t="s">
        <v>1617</v>
      </c>
      <c r="G149" s="25" t="s">
        <v>1933</v>
      </c>
      <c r="H149" s="29" t="s">
        <v>5947</v>
      </c>
      <c r="I149" s="29" t="s">
        <v>4295</v>
      </c>
      <c r="J149" s="29" t="s">
        <v>3891</v>
      </c>
      <c r="K149" s="29" t="s">
        <v>1428</v>
      </c>
      <c r="L149" s="1005" t="s">
        <v>1428</v>
      </c>
      <c r="M149" s="29" t="s">
        <v>1428</v>
      </c>
      <c r="N149" s="29" t="s">
        <v>1428</v>
      </c>
      <c r="O149" s="31">
        <v>4.18</v>
      </c>
      <c r="P149" s="31">
        <v>21.2285714285714</v>
      </c>
      <c r="Q149" s="29" t="s">
        <v>1428</v>
      </c>
      <c r="R149" s="31">
        <v>4.42538426643124</v>
      </c>
      <c r="S149" s="31">
        <f t="shared" si="3"/>
        <v>29.8339556950026</v>
      </c>
      <c r="T149" s="123" t="s">
        <v>5965</v>
      </c>
      <c r="U149" s="25" t="s">
        <v>5966</v>
      </c>
    </row>
    <row r="150" s="991" customFormat="1" spans="2:22">
      <c r="B150" s="29"/>
      <c r="C150" s="28"/>
      <c r="D150" s="28"/>
      <c r="E150" s="28"/>
      <c r="F150" s="26" t="s">
        <v>867</v>
      </c>
      <c r="G150" s="26"/>
      <c r="H150" s="29"/>
      <c r="I150" s="29"/>
      <c r="J150" s="29"/>
      <c r="K150" s="29"/>
      <c r="L150" s="1005"/>
      <c r="M150" s="29"/>
      <c r="N150" s="29"/>
      <c r="O150" s="31">
        <v>0.33891</v>
      </c>
      <c r="P150" s="31">
        <v>0.744666666666667</v>
      </c>
      <c r="Q150" s="29" t="s">
        <v>1428</v>
      </c>
      <c r="R150" s="31">
        <v>0.4</v>
      </c>
      <c r="S150" s="31">
        <f t="shared" si="3"/>
        <v>1.48357666666667</v>
      </c>
      <c r="T150" s="123"/>
      <c r="U150" s="25"/>
    </row>
    <row r="151" s="991" customFormat="1" spans="2:22">
      <c r="B151" s="29"/>
      <c r="C151" s="28"/>
      <c r="D151" s="28"/>
      <c r="E151" s="28"/>
      <c r="F151" s="1021" t="s">
        <v>5967</v>
      </c>
      <c r="G151" s="1024"/>
      <c r="H151" s="29"/>
      <c r="I151" s="29"/>
      <c r="J151" s="29"/>
      <c r="K151" s="147"/>
      <c r="L151" s="1022"/>
      <c r="M151" s="147"/>
      <c r="N151" s="147"/>
      <c r="O151" s="1023">
        <v>0.374</v>
      </c>
      <c r="P151" s="1023">
        <v>0.853885714285714</v>
      </c>
      <c r="Q151" s="147" t="s">
        <v>1428</v>
      </c>
      <c r="R151" s="1023">
        <v>0.4</v>
      </c>
      <c r="S151" s="1023">
        <f t="shared" si="3"/>
        <v>1.62788571428571</v>
      </c>
      <c r="T151" s="146"/>
      <c r="U151" s="1024"/>
    </row>
    <row r="152" s="991" customFormat="1" spans="2:22">
      <c r="B152" s="29"/>
      <c r="C152" s="28"/>
      <c r="D152" s="28"/>
      <c r="E152" s="28"/>
      <c r="F152" s="26" t="s">
        <v>5968</v>
      </c>
      <c r="G152" s="25"/>
      <c r="H152" s="29"/>
      <c r="I152" s="29"/>
      <c r="J152" s="29"/>
      <c r="K152" s="29"/>
      <c r="L152" s="1005"/>
      <c r="M152" s="29"/>
      <c r="N152" s="29"/>
      <c r="O152" s="31">
        <v>0.5995</v>
      </c>
      <c r="P152" s="31">
        <v>1.8521619047619</v>
      </c>
      <c r="Q152" s="29" t="s">
        <v>1428</v>
      </c>
      <c r="R152" s="31">
        <v>0.4</v>
      </c>
      <c r="S152" s="31">
        <f t="shared" si="3"/>
        <v>2.8516619047619</v>
      </c>
      <c r="T152" s="123"/>
      <c r="U152" s="25"/>
    </row>
    <row r="153" s="991" customFormat="1" ht="15" spans="2:22">
      <c r="B153" s="29" t="s">
        <v>5969</v>
      </c>
      <c r="C153" s="28"/>
      <c r="D153" s="28"/>
      <c r="E153" s="28"/>
      <c r="F153" s="26" t="s">
        <v>1571</v>
      </c>
      <c r="G153" s="25" t="s">
        <v>1933</v>
      </c>
      <c r="H153" s="29" t="s">
        <v>5944</v>
      </c>
      <c r="I153" s="31" t="s">
        <v>1913</v>
      </c>
      <c r="J153" s="29" t="s">
        <v>3891</v>
      </c>
      <c r="K153" s="29" t="s">
        <v>1428</v>
      </c>
      <c r="L153" s="1005" t="s">
        <v>1428</v>
      </c>
      <c r="M153" s="29" t="s">
        <v>1428</v>
      </c>
      <c r="N153" s="29" t="s">
        <v>1428</v>
      </c>
      <c r="O153" s="31">
        <v>4.91</v>
      </c>
      <c r="P153" s="31">
        <v>19.4666666666667</v>
      </c>
      <c r="Q153" s="29" t="s">
        <v>1428</v>
      </c>
      <c r="R153" s="31">
        <v>4.42538426643124</v>
      </c>
      <c r="S153" s="31">
        <f t="shared" si="3"/>
        <v>28.8020509330979</v>
      </c>
      <c r="T153" s="1041" t="s">
        <v>2854</v>
      </c>
      <c r="U153" s="25" t="s">
        <v>5970</v>
      </c>
    </row>
    <row r="154" s="991" customFormat="1" spans="2:22">
      <c r="B154" s="29"/>
      <c r="C154" s="28"/>
      <c r="D154" s="28"/>
      <c r="E154" s="28"/>
      <c r="F154" s="26" t="s">
        <v>406</v>
      </c>
      <c r="G154" s="26"/>
      <c r="H154" s="29"/>
      <c r="I154" s="29"/>
      <c r="J154" s="29"/>
      <c r="K154" s="29"/>
      <c r="L154" s="1005"/>
      <c r="M154" s="29"/>
      <c r="N154" s="29"/>
      <c r="O154" s="31">
        <v>0.334975369458128</v>
      </c>
      <c r="P154" s="31">
        <v>1.75463288763781</v>
      </c>
      <c r="Q154" s="29" t="s">
        <v>1428</v>
      </c>
      <c r="R154" s="31">
        <v>0.2</v>
      </c>
      <c r="S154" s="31">
        <f t="shared" si="3"/>
        <v>2.28960825709594</v>
      </c>
      <c r="T154" s="1015"/>
      <c r="U154" s="25"/>
    </row>
    <row r="155" s="991" customFormat="1" spans="2:22">
      <c r="B155" s="29"/>
      <c r="C155" s="28"/>
      <c r="D155" s="28"/>
      <c r="E155" s="28"/>
      <c r="F155" s="26" t="s">
        <v>398</v>
      </c>
      <c r="G155" s="26"/>
      <c r="H155" s="29"/>
      <c r="I155" s="29"/>
      <c r="J155" s="29"/>
      <c r="K155" s="29"/>
      <c r="L155" s="1005"/>
      <c r="M155" s="29"/>
      <c r="N155" s="29"/>
      <c r="O155" s="31">
        <v>0.46354</v>
      </c>
      <c r="P155" s="31">
        <v>3.42857142857143</v>
      </c>
      <c r="Q155" s="29" t="s">
        <v>1428</v>
      </c>
      <c r="R155" s="31">
        <v>0.4</v>
      </c>
      <c r="S155" s="31">
        <f t="shared" si="3"/>
        <v>4.29211142857143</v>
      </c>
      <c r="T155" s="123"/>
      <c r="U155" s="25"/>
    </row>
    <row r="156" s="991" customFormat="1" ht="15" spans="2:22">
      <c r="B156" s="29" t="s">
        <v>5971</v>
      </c>
      <c r="C156" s="28"/>
      <c r="D156" s="28"/>
      <c r="E156" s="28"/>
      <c r="F156" s="26" t="s">
        <v>1685</v>
      </c>
      <c r="G156" s="25" t="s">
        <v>1933</v>
      </c>
      <c r="H156" s="1029" t="s">
        <v>1428</v>
      </c>
      <c r="I156" s="31" t="s">
        <v>1913</v>
      </c>
      <c r="J156" s="29" t="s">
        <v>3891</v>
      </c>
      <c r="K156" s="29" t="s">
        <v>1428</v>
      </c>
      <c r="L156" s="1005" t="s">
        <v>1428</v>
      </c>
      <c r="M156" s="29" t="s">
        <v>1428</v>
      </c>
      <c r="N156" s="29" t="s">
        <v>1428</v>
      </c>
      <c r="O156" s="31">
        <v>4.49261083743842</v>
      </c>
      <c r="P156" s="31">
        <v>16.0098522167488</v>
      </c>
      <c r="Q156" s="29" t="s">
        <v>1428</v>
      </c>
      <c r="R156" s="31">
        <v>4.42538426643124</v>
      </c>
      <c r="S156" s="31">
        <f t="shared" si="3"/>
        <v>24.9278473206185</v>
      </c>
      <c r="T156" s="1041" t="s">
        <v>2854</v>
      </c>
      <c r="U156" s="25" t="s">
        <v>5972</v>
      </c>
    </row>
    <row r="157" s="991" customFormat="1" spans="2:22">
      <c r="B157" s="29"/>
      <c r="C157" s="28"/>
      <c r="D157" s="28"/>
      <c r="E157" s="28"/>
      <c r="F157" s="26" t="s">
        <v>5973</v>
      </c>
      <c r="G157" s="26"/>
      <c r="H157" s="29"/>
      <c r="I157" s="29"/>
      <c r="J157" s="29"/>
      <c r="K157" s="29"/>
      <c r="L157" s="1005"/>
      <c r="M157" s="29"/>
      <c r="N157" s="29"/>
      <c r="O157" s="31">
        <v>0.413793103448276</v>
      </c>
      <c r="P157" s="31">
        <v>1.8128078817734</v>
      </c>
      <c r="Q157" s="29" t="s">
        <v>1428</v>
      </c>
      <c r="R157" s="31">
        <v>0.2</v>
      </c>
      <c r="S157" s="31">
        <f t="shared" si="3"/>
        <v>2.42660098522168</v>
      </c>
      <c r="T157" s="123"/>
      <c r="U157" s="25"/>
    </row>
    <row r="158" s="991" customFormat="1" spans="2:22">
      <c r="B158" s="29"/>
      <c r="C158" s="28"/>
      <c r="D158" s="28"/>
      <c r="E158" s="28"/>
      <c r="F158" s="26" t="s">
        <v>406</v>
      </c>
      <c r="G158" s="26"/>
      <c r="H158" s="29"/>
      <c r="I158" s="29"/>
      <c r="J158" s="29"/>
      <c r="K158" s="29"/>
      <c r="L158" s="1005"/>
      <c r="M158" s="29"/>
      <c r="N158" s="29"/>
      <c r="O158" s="31">
        <v>0.334975369458128</v>
      </c>
      <c r="P158" s="31">
        <v>1.8423645320197</v>
      </c>
      <c r="Q158" s="29" t="s">
        <v>1428</v>
      </c>
      <c r="R158" s="31">
        <v>0.2</v>
      </c>
      <c r="S158" s="31">
        <f t="shared" si="3"/>
        <v>2.37733990147783</v>
      </c>
      <c r="T158" s="1015"/>
      <c r="U158" s="25"/>
    </row>
    <row r="159" s="991" customFormat="1" ht="15" spans="2:22">
      <c r="B159" s="29" t="s">
        <v>5974</v>
      </c>
      <c r="C159" s="28"/>
      <c r="D159" s="28"/>
      <c r="E159" s="28"/>
      <c r="F159" s="26" t="s">
        <v>1645</v>
      </c>
      <c r="G159" s="25" t="s">
        <v>1933</v>
      </c>
      <c r="H159" s="29" t="s">
        <v>5947</v>
      </c>
      <c r="I159" s="31" t="s">
        <v>1913</v>
      </c>
      <c r="J159" s="29" t="s">
        <v>3891</v>
      </c>
      <c r="K159" s="29" t="s">
        <v>1428</v>
      </c>
      <c r="L159" s="1005" t="s">
        <v>1428</v>
      </c>
      <c r="M159" s="29" t="s">
        <v>1428</v>
      </c>
      <c r="N159" s="29" t="s">
        <v>1428</v>
      </c>
      <c r="O159" s="31">
        <v>5.81</v>
      </c>
      <c r="P159" s="31">
        <v>19.9904761904762</v>
      </c>
      <c r="Q159" s="29" t="s">
        <v>1428</v>
      </c>
      <c r="R159" s="31">
        <v>4.42538426643124</v>
      </c>
      <c r="S159" s="31">
        <f t="shared" si="3"/>
        <v>30.2258604569074</v>
      </c>
      <c r="T159" s="1041" t="s">
        <v>2854</v>
      </c>
      <c r="U159" s="25" t="s">
        <v>5975</v>
      </c>
    </row>
    <row r="160" s="991" customFormat="1" spans="2:22">
      <c r="B160" s="29"/>
      <c r="C160" s="28"/>
      <c r="D160" s="28"/>
      <c r="E160" s="28"/>
      <c r="F160" s="26" t="s">
        <v>5976</v>
      </c>
      <c r="G160" s="26"/>
      <c r="H160" s="29"/>
      <c r="I160" s="31"/>
      <c r="J160" s="29"/>
      <c r="K160" s="29"/>
      <c r="L160" s="1005"/>
      <c r="M160" s="29"/>
      <c r="N160" s="29"/>
      <c r="O160" s="31">
        <v>0.4</v>
      </c>
      <c r="P160" s="31">
        <v>2.05714285714286</v>
      </c>
      <c r="Q160" s="29" t="s">
        <v>1428</v>
      </c>
      <c r="R160" s="31">
        <v>0.2</v>
      </c>
      <c r="S160" s="31">
        <f t="shared" si="3"/>
        <v>2.65714285714286</v>
      </c>
      <c r="T160" s="1043"/>
      <c r="U160" s="25"/>
    </row>
    <row r="161" s="991" customFormat="1" spans="2:21">
      <c r="B161" s="29"/>
      <c r="C161" s="28"/>
      <c r="D161" s="28"/>
      <c r="E161" s="28"/>
      <c r="F161" s="26" t="s">
        <v>402</v>
      </c>
      <c r="G161" s="26"/>
      <c r="H161" s="29"/>
      <c r="I161" s="29"/>
      <c r="J161" s="29"/>
      <c r="K161" s="29"/>
      <c r="L161" s="1005"/>
      <c r="M161" s="29"/>
      <c r="N161" s="29"/>
      <c r="O161" s="31">
        <v>0.38423</v>
      </c>
      <c r="P161" s="31">
        <v>1.65714285714286</v>
      </c>
      <c r="Q161" s="29" t="s">
        <v>1428</v>
      </c>
      <c r="R161" s="31">
        <v>0.2</v>
      </c>
      <c r="S161" s="31">
        <f t="shared" si="3"/>
        <v>2.24137285714286</v>
      </c>
      <c r="T161" s="1015"/>
      <c r="U161" s="25"/>
    </row>
    <row r="162" s="991" customFormat="1" ht="15" spans="2:21">
      <c r="B162" s="29" t="s">
        <v>5977</v>
      </c>
      <c r="C162" s="28"/>
      <c r="D162" s="28"/>
      <c r="E162" s="28"/>
      <c r="F162" s="26" t="s">
        <v>1645</v>
      </c>
      <c r="G162" s="25" t="s">
        <v>1933</v>
      </c>
      <c r="H162" s="29" t="s">
        <v>5947</v>
      </c>
      <c r="I162" s="29" t="s">
        <v>4295</v>
      </c>
      <c r="J162" s="29" t="s">
        <v>3891</v>
      </c>
      <c r="K162" s="29" t="s">
        <v>1428</v>
      </c>
      <c r="L162" s="1005" t="s">
        <v>1428</v>
      </c>
      <c r="M162" s="29" t="s">
        <v>1428</v>
      </c>
      <c r="N162" s="29" t="s">
        <v>1428</v>
      </c>
      <c r="O162" s="31">
        <v>5.04086</v>
      </c>
      <c r="P162" s="31">
        <v>18.4857142857143</v>
      </c>
      <c r="Q162" s="29" t="s">
        <v>1428</v>
      </c>
      <c r="R162" s="31">
        <v>4.42538426643124</v>
      </c>
      <c r="S162" s="31">
        <f t="shared" si="3"/>
        <v>27.9519585521455</v>
      </c>
      <c r="T162" s="123" t="s">
        <v>5965</v>
      </c>
      <c r="U162" s="25" t="s">
        <v>5966</v>
      </c>
    </row>
    <row r="163" s="991" customFormat="1" spans="2:21">
      <c r="B163" s="29"/>
      <c r="C163" s="29"/>
      <c r="D163" s="29"/>
      <c r="E163" s="29"/>
      <c r="F163" s="123" t="s">
        <v>5845</v>
      </c>
      <c r="G163" s="123"/>
      <c r="H163" s="29"/>
      <c r="I163" s="29"/>
      <c r="J163" s="29"/>
      <c r="K163" s="29"/>
      <c r="L163" s="1005"/>
      <c r="M163" s="29"/>
      <c r="N163" s="29"/>
      <c r="O163" s="31">
        <v>0.47487</v>
      </c>
      <c r="P163" s="31">
        <v>0.921238095238096</v>
      </c>
      <c r="Q163" s="29" t="s">
        <v>1428</v>
      </c>
      <c r="R163" s="31">
        <v>0.4</v>
      </c>
      <c r="S163" s="31">
        <f t="shared" si="3"/>
        <v>1.7961080952381</v>
      </c>
      <c r="T163" s="157"/>
      <c r="U163" s="123"/>
    </row>
    <row r="164" s="991" customFormat="1" spans="2:21">
      <c r="B164" s="29"/>
      <c r="C164" s="28"/>
      <c r="D164" s="28"/>
      <c r="E164" s="28"/>
      <c r="F164" s="26" t="s">
        <v>5846</v>
      </c>
      <c r="G164" s="26"/>
      <c r="H164" s="29"/>
      <c r="I164" s="29"/>
      <c r="J164" s="29"/>
      <c r="K164" s="29"/>
      <c r="L164" s="1005"/>
      <c r="M164" s="29"/>
      <c r="N164" s="29"/>
      <c r="O164" s="31">
        <v>0.08965</v>
      </c>
      <c r="P164" s="31">
        <v>0.156095238095238</v>
      </c>
      <c r="Q164" s="29" t="s">
        <v>1428</v>
      </c>
      <c r="R164" s="31">
        <v>0.4</v>
      </c>
      <c r="S164" s="31">
        <f t="shared" si="3"/>
        <v>0.645745238095238</v>
      </c>
      <c r="T164" s="123"/>
      <c r="U164" s="25"/>
    </row>
    <row r="165" s="991" customFormat="1" ht="15" spans="2:21">
      <c r="B165" s="29" t="s">
        <v>5978</v>
      </c>
      <c r="C165" s="28"/>
      <c r="D165" s="28"/>
      <c r="E165" s="28"/>
      <c r="F165" s="26" t="s">
        <v>1565</v>
      </c>
      <c r="G165" s="25" t="s">
        <v>1933</v>
      </c>
      <c r="H165" s="29" t="s">
        <v>5947</v>
      </c>
      <c r="I165" s="29" t="s">
        <v>3436</v>
      </c>
      <c r="J165" s="29" t="s">
        <v>3891</v>
      </c>
      <c r="K165" s="29" t="s">
        <v>1428</v>
      </c>
      <c r="L165" s="1022" t="s">
        <v>1428</v>
      </c>
      <c r="M165" s="29" t="s">
        <v>1428</v>
      </c>
      <c r="N165" s="29" t="s">
        <v>1428</v>
      </c>
      <c r="O165" s="31">
        <v>4.9049</v>
      </c>
      <c r="P165" s="31">
        <v>18.3428571428571</v>
      </c>
      <c r="Q165" s="29" t="s">
        <v>1428</v>
      </c>
      <c r="R165" s="31">
        <v>4.42538426643124</v>
      </c>
      <c r="S165" s="31">
        <f t="shared" si="3"/>
        <v>27.6731414092883</v>
      </c>
      <c r="T165" s="157" t="s">
        <v>4315</v>
      </c>
      <c r="U165" s="25" t="s">
        <v>5961</v>
      </c>
    </row>
    <row r="166" s="991" customFormat="1" spans="2:21">
      <c r="B166" s="29"/>
      <c r="C166" s="28"/>
      <c r="D166" s="28"/>
      <c r="E166" s="28"/>
      <c r="F166" s="26" t="s">
        <v>5979</v>
      </c>
      <c r="G166" s="26"/>
      <c r="H166" s="29"/>
      <c r="I166" s="29"/>
      <c r="J166" s="29"/>
      <c r="K166" s="29"/>
      <c r="L166" s="1005"/>
      <c r="M166" s="29"/>
      <c r="N166" s="29"/>
      <c r="O166" s="31">
        <v>0.39556</v>
      </c>
      <c r="P166" s="31">
        <v>1.18609523809524</v>
      </c>
      <c r="Q166" s="29" t="s">
        <v>1428</v>
      </c>
      <c r="R166" s="31">
        <v>0.2</v>
      </c>
      <c r="S166" s="31">
        <f t="shared" si="3"/>
        <v>1.78165523809524</v>
      </c>
      <c r="T166" s="123"/>
      <c r="U166" s="25"/>
    </row>
    <row r="167" s="991" customFormat="1" ht="15" spans="2:21">
      <c r="B167" s="29" t="s">
        <v>5980</v>
      </c>
      <c r="C167" s="28"/>
      <c r="D167" s="28"/>
      <c r="E167" s="28"/>
      <c r="F167" s="26" t="s">
        <v>1645</v>
      </c>
      <c r="G167" s="25" t="s">
        <v>1933</v>
      </c>
      <c r="H167" s="29" t="s">
        <v>5947</v>
      </c>
      <c r="I167" s="31" t="s">
        <v>1913</v>
      </c>
      <c r="J167" s="29" t="s">
        <v>3891</v>
      </c>
      <c r="K167" s="29" t="s">
        <v>1428</v>
      </c>
      <c r="L167" s="1005" t="s">
        <v>1428</v>
      </c>
      <c r="M167" s="29" t="s">
        <v>1428</v>
      </c>
      <c r="N167" s="29" t="s">
        <v>1428</v>
      </c>
      <c r="O167" s="31">
        <v>5.66401</v>
      </c>
      <c r="P167" s="31">
        <v>18.0666666666667</v>
      </c>
      <c r="Q167" s="29" t="s">
        <v>1428</v>
      </c>
      <c r="R167" s="31">
        <v>4.40001927217617</v>
      </c>
      <c r="S167" s="31">
        <f t="shared" si="3"/>
        <v>28.1306959388429</v>
      </c>
      <c r="T167" s="1041" t="s">
        <v>2854</v>
      </c>
      <c r="U167" s="25" t="s">
        <v>5953</v>
      </c>
    </row>
    <row r="168" s="991" customFormat="1" spans="2:21">
      <c r="B168" s="29"/>
      <c r="C168" s="28"/>
      <c r="D168" s="28"/>
      <c r="E168" s="28"/>
      <c r="F168" s="26" t="s">
        <v>5981</v>
      </c>
      <c r="G168" s="26"/>
      <c r="H168" s="29"/>
      <c r="I168" s="29"/>
      <c r="J168" s="29"/>
      <c r="K168" s="29"/>
      <c r="L168" s="1005"/>
      <c r="M168" s="29"/>
      <c r="N168" s="29"/>
      <c r="O168" s="31">
        <v>0.42955</v>
      </c>
      <c r="P168" s="31">
        <v>0.646571428571429</v>
      </c>
      <c r="Q168" s="29" t="s">
        <v>1428</v>
      </c>
      <c r="R168" s="31">
        <v>0.2</v>
      </c>
      <c r="S168" s="31">
        <f t="shared" si="3"/>
        <v>1.27612142857143</v>
      </c>
      <c r="T168" s="123"/>
      <c r="U168" s="25"/>
    </row>
    <row r="169" s="991" customFormat="1" ht="15" spans="2:21">
      <c r="B169" s="1029" t="s">
        <v>5982</v>
      </c>
      <c r="C169" s="1044"/>
      <c r="D169" s="1044"/>
      <c r="E169" s="1044"/>
      <c r="F169" s="26" t="s">
        <v>1565</v>
      </c>
      <c r="G169" s="25" t="s">
        <v>1933</v>
      </c>
      <c r="H169" s="29" t="s">
        <v>5944</v>
      </c>
      <c r="I169" s="31" t="s">
        <v>1913</v>
      </c>
      <c r="J169" s="29" t="s">
        <v>3891</v>
      </c>
      <c r="K169" s="29" t="s">
        <v>1428</v>
      </c>
      <c r="L169" s="1005" t="s">
        <v>1428</v>
      </c>
      <c r="M169" s="29" t="s">
        <v>1428</v>
      </c>
      <c r="N169" s="29" t="s">
        <v>1428</v>
      </c>
      <c r="O169" s="31">
        <v>6.43445</v>
      </c>
      <c r="P169" s="31">
        <v>18.2190476190476</v>
      </c>
      <c r="Q169" s="29" t="s">
        <v>1428</v>
      </c>
      <c r="R169" s="31">
        <v>4.42538426643124</v>
      </c>
      <c r="S169" s="31">
        <f t="shared" si="3"/>
        <v>29.0788818854788</v>
      </c>
      <c r="T169" s="1041" t="s">
        <v>2854</v>
      </c>
      <c r="U169" s="1037" t="s">
        <v>5970</v>
      </c>
    </row>
    <row r="170" s="991" customFormat="1" ht="15" spans="2:21">
      <c r="B170" s="1029"/>
      <c r="C170" s="1044"/>
      <c r="D170" s="1044"/>
      <c r="E170" s="1044"/>
      <c r="F170" s="26" t="s">
        <v>1629</v>
      </c>
      <c r="G170" s="25" t="s">
        <v>1933</v>
      </c>
      <c r="H170" s="1045" t="s">
        <v>5944</v>
      </c>
      <c r="I170" s="31" t="s">
        <v>1913</v>
      </c>
      <c r="J170" s="29" t="s">
        <v>3891</v>
      </c>
      <c r="K170" s="29" t="s">
        <v>1428</v>
      </c>
      <c r="L170" s="1005" t="s">
        <v>1428</v>
      </c>
      <c r="M170" s="29" t="s">
        <v>1428</v>
      </c>
      <c r="N170" s="29" t="s">
        <v>1428</v>
      </c>
      <c r="O170" s="31">
        <v>6.43445</v>
      </c>
      <c r="P170" s="31">
        <v>18.7809523809524</v>
      </c>
      <c r="Q170" s="29" t="s">
        <v>1428</v>
      </c>
      <c r="R170" s="31">
        <v>4.42538426643124</v>
      </c>
      <c r="S170" s="31">
        <f t="shared" si="3"/>
        <v>29.6407866473836</v>
      </c>
      <c r="T170" s="1041" t="s">
        <v>2854</v>
      </c>
      <c r="U170" s="25" t="s">
        <v>5983</v>
      </c>
    </row>
    <row r="171" s="991" customFormat="1" spans="2:21">
      <c r="B171" s="1029"/>
      <c r="C171" s="1044"/>
      <c r="D171" s="1044"/>
      <c r="E171" s="1044"/>
      <c r="F171" s="26" t="s">
        <v>5984</v>
      </c>
      <c r="G171" s="31"/>
      <c r="H171" s="31" t="s">
        <v>1428</v>
      </c>
      <c r="I171" s="31" t="s">
        <v>1428</v>
      </c>
      <c r="J171" s="31" t="s">
        <v>1428</v>
      </c>
      <c r="K171" s="29" t="s">
        <v>1428</v>
      </c>
      <c r="L171" s="1005" t="s">
        <v>1428</v>
      </c>
      <c r="M171" s="29" t="s">
        <v>1428</v>
      </c>
      <c r="N171" s="29" t="s">
        <v>1428</v>
      </c>
      <c r="O171" s="31">
        <v>0.4862</v>
      </c>
      <c r="P171" s="31">
        <v>3.75047619047619</v>
      </c>
      <c r="Q171" s="29" t="s">
        <v>1428</v>
      </c>
      <c r="R171" s="31">
        <v>0.4</v>
      </c>
      <c r="S171" s="31">
        <f t="shared" si="3"/>
        <v>4.63667619047619</v>
      </c>
      <c r="T171" s="31"/>
      <c r="U171" s="25"/>
    </row>
    <row r="172" s="991" customFormat="1" spans="2:21">
      <c r="B172" s="1029"/>
      <c r="C172" s="1044"/>
      <c r="D172" s="1044"/>
      <c r="E172" s="1044"/>
      <c r="F172" s="26" t="s">
        <v>5985</v>
      </c>
      <c r="G172" s="31"/>
      <c r="H172" s="31" t="s">
        <v>1428</v>
      </c>
      <c r="I172" s="31" t="s">
        <v>1428</v>
      </c>
      <c r="J172" s="31" t="s">
        <v>1428</v>
      </c>
      <c r="K172" s="29" t="s">
        <v>1428</v>
      </c>
      <c r="L172" s="1005" t="s">
        <v>1428</v>
      </c>
      <c r="M172" s="29" t="s">
        <v>1428</v>
      </c>
      <c r="N172" s="29" t="s">
        <v>1428</v>
      </c>
      <c r="O172" s="31">
        <v>0.38423</v>
      </c>
      <c r="P172" s="31">
        <v>2.81809523809524</v>
      </c>
      <c r="Q172" s="29" t="s">
        <v>1428</v>
      </c>
      <c r="R172" s="31">
        <v>0.4</v>
      </c>
      <c r="S172" s="31">
        <f t="shared" si="3"/>
        <v>3.60232523809524</v>
      </c>
      <c r="T172" s="31"/>
      <c r="U172" s="25"/>
    </row>
    <row r="173" s="991" customFormat="1" ht="15" spans="2:21">
      <c r="B173" s="29" t="s">
        <v>865</v>
      </c>
      <c r="C173" s="28"/>
      <c r="D173" s="28"/>
      <c r="E173" s="28"/>
      <c r="F173" s="1021" t="s">
        <v>2427</v>
      </c>
      <c r="G173" s="1024" t="s">
        <v>1933</v>
      </c>
      <c r="H173" s="28" t="s">
        <v>5986</v>
      </c>
      <c r="I173" s="28" t="s">
        <v>5987</v>
      </c>
      <c r="J173" s="28" t="s">
        <v>5988</v>
      </c>
      <c r="K173" s="29" t="s">
        <v>1428</v>
      </c>
      <c r="L173" s="1005" t="s">
        <v>1428</v>
      </c>
      <c r="M173" s="1046" t="s">
        <v>1428</v>
      </c>
      <c r="N173" s="1046" t="s">
        <v>1428</v>
      </c>
      <c r="O173" s="1047">
        <v>5.40342</v>
      </c>
      <c r="P173" s="1047">
        <v>17.3428571428571</v>
      </c>
      <c r="Q173" s="147" t="s">
        <v>1428</v>
      </c>
      <c r="R173" s="31">
        <v>4.85712907291234</v>
      </c>
      <c r="S173" s="1047">
        <f t="shared" si="3"/>
        <v>27.6034062157694</v>
      </c>
      <c r="T173" s="1048" t="s">
        <v>5989</v>
      </c>
      <c r="U173" s="1024" t="s">
        <v>5990</v>
      </c>
    </row>
    <row r="174" s="991" customFormat="1" spans="2:21">
      <c r="B174" s="29"/>
      <c r="C174" s="28"/>
      <c r="D174" s="28"/>
      <c r="E174" s="28"/>
      <c r="F174" s="1021" t="s">
        <v>5991</v>
      </c>
      <c r="G174" s="1021"/>
      <c r="H174" s="28"/>
      <c r="I174" s="28"/>
      <c r="J174" s="28"/>
      <c r="K174" s="1046"/>
      <c r="L174" s="1049"/>
      <c r="M174" s="1046"/>
      <c r="N174" s="1046"/>
      <c r="O174" s="1047">
        <v>0.38</v>
      </c>
      <c r="P174" s="1047">
        <v>0.952380952380953</v>
      </c>
      <c r="Q174" s="147" t="s">
        <v>1428</v>
      </c>
      <c r="R174" s="1047">
        <v>0.4</v>
      </c>
      <c r="S174" s="31">
        <f t="shared" si="3"/>
        <v>1.73238095238095</v>
      </c>
      <c r="T174" s="1048"/>
      <c r="U174" s="1050"/>
    </row>
    <row r="175" s="991" customFormat="1" spans="2:21">
      <c r="B175" s="29"/>
      <c r="C175" s="28"/>
      <c r="D175" s="28"/>
      <c r="E175" s="28"/>
      <c r="F175" s="1021" t="s">
        <v>5992</v>
      </c>
      <c r="G175" s="1021"/>
      <c r="H175" s="28"/>
      <c r="I175" s="28"/>
      <c r="J175" s="28"/>
      <c r="K175" s="1046"/>
      <c r="L175" s="1049"/>
      <c r="M175" s="1046"/>
      <c r="N175" s="1046"/>
      <c r="O175" s="1047">
        <v>0.39556</v>
      </c>
      <c r="P175" s="1047">
        <v>1.91390476190476</v>
      </c>
      <c r="Q175" s="147" t="s">
        <v>1428</v>
      </c>
      <c r="R175" s="1047">
        <v>0.7</v>
      </c>
      <c r="S175" s="1023">
        <f t="shared" si="3"/>
        <v>3.00946476190476</v>
      </c>
      <c r="T175" s="1021"/>
      <c r="U175" s="1050"/>
    </row>
    <row r="176" s="991" customFormat="1" spans="2:21">
      <c r="B176" s="29"/>
      <c r="C176" s="28"/>
      <c r="D176" s="28"/>
      <c r="E176" s="28"/>
      <c r="F176" s="26" t="s">
        <v>867</v>
      </c>
      <c r="G176" s="26"/>
      <c r="H176" s="29"/>
      <c r="I176" s="29"/>
      <c r="J176" s="29"/>
      <c r="K176" s="29"/>
      <c r="L176" s="1005"/>
      <c r="M176" s="29"/>
      <c r="N176" s="29"/>
      <c r="O176" s="31">
        <v>0.33891</v>
      </c>
      <c r="P176" s="31">
        <v>0.730761904761905</v>
      </c>
      <c r="Q176" s="147" t="s">
        <v>1428</v>
      </c>
      <c r="R176" s="31">
        <v>0.4</v>
      </c>
      <c r="S176" s="31">
        <f t="shared" si="3"/>
        <v>1.4696719047619</v>
      </c>
      <c r="T176" s="123"/>
      <c r="U176" s="25"/>
    </row>
    <row r="177" s="991" customFormat="1" spans="2:21">
      <c r="B177" s="29"/>
      <c r="C177" s="28"/>
      <c r="D177" s="28"/>
      <c r="E177" s="28"/>
      <c r="F177" s="1021" t="s">
        <v>5967</v>
      </c>
      <c r="G177" s="1024"/>
      <c r="H177" s="29"/>
      <c r="I177" s="29"/>
      <c r="J177" s="29"/>
      <c r="K177" s="147"/>
      <c r="L177" s="1022"/>
      <c r="M177" s="147"/>
      <c r="N177" s="147"/>
      <c r="O177" s="1023">
        <v>0.374</v>
      </c>
      <c r="P177" s="1023">
        <v>0.853885714285714</v>
      </c>
      <c r="Q177" s="147" t="s">
        <v>1428</v>
      </c>
      <c r="R177" s="1023">
        <v>0.4</v>
      </c>
      <c r="S177" s="1023">
        <f t="shared" si="3"/>
        <v>1.62788571428571</v>
      </c>
      <c r="T177" s="146"/>
      <c r="U177" s="1024"/>
    </row>
    <row r="178" s="991" customFormat="1" spans="2:21">
      <c r="B178" s="29"/>
      <c r="C178" s="28"/>
      <c r="D178" s="28"/>
      <c r="E178" s="28"/>
      <c r="F178" s="1021" t="s">
        <v>5968</v>
      </c>
      <c r="G178" s="1024"/>
      <c r="H178" s="29"/>
      <c r="I178" s="29"/>
      <c r="J178" s="29"/>
      <c r="K178" s="147"/>
      <c r="L178" s="1022"/>
      <c r="M178" s="147"/>
      <c r="N178" s="147"/>
      <c r="O178" s="1023">
        <v>0.5995</v>
      </c>
      <c r="P178" s="1023">
        <v>1.81675238095238</v>
      </c>
      <c r="Q178" s="147" t="s">
        <v>1428</v>
      </c>
      <c r="R178" s="1023">
        <v>0.4</v>
      </c>
      <c r="S178" s="1023">
        <f t="shared" si="3"/>
        <v>2.81625238095238</v>
      </c>
      <c r="T178" s="146"/>
      <c r="U178" s="1024"/>
    </row>
    <row r="179" s="991" customFormat="1" ht="15" spans="2:21">
      <c r="B179" s="29" t="s">
        <v>5993</v>
      </c>
      <c r="C179" s="28"/>
      <c r="D179" s="28"/>
      <c r="E179" s="28"/>
      <c r="F179" s="1021" t="s">
        <v>2449</v>
      </c>
      <c r="G179" s="1024" t="s">
        <v>1933</v>
      </c>
      <c r="H179" s="28" t="s">
        <v>5986</v>
      </c>
      <c r="I179" s="28" t="s">
        <v>4295</v>
      </c>
      <c r="J179" s="29" t="s">
        <v>3891</v>
      </c>
      <c r="K179" s="29" t="s">
        <v>1428</v>
      </c>
      <c r="L179" s="1005" t="s">
        <v>1428</v>
      </c>
      <c r="M179" s="1046" t="s">
        <v>1428</v>
      </c>
      <c r="N179" s="29" t="s">
        <v>1428</v>
      </c>
      <c r="O179" s="1047">
        <v>4.19111</v>
      </c>
      <c r="P179" s="1047">
        <v>17.3619047619047</v>
      </c>
      <c r="Q179" s="147" t="s">
        <v>1428</v>
      </c>
      <c r="R179" s="31">
        <v>4.85712907291234</v>
      </c>
      <c r="S179" s="1047">
        <f t="shared" si="3"/>
        <v>26.410143834817</v>
      </c>
      <c r="T179" s="1021" t="s">
        <v>5965</v>
      </c>
      <c r="U179" s="1042" t="s">
        <v>5994</v>
      </c>
    </row>
    <row r="180" s="991" customFormat="1" ht="15" spans="2:21">
      <c r="B180" s="29"/>
      <c r="C180" s="28"/>
      <c r="D180" s="28"/>
      <c r="E180" s="28"/>
      <c r="F180" s="1021" t="s">
        <v>2546</v>
      </c>
      <c r="G180" s="1024" t="s">
        <v>1933</v>
      </c>
      <c r="H180" s="28" t="s">
        <v>5995</v>
      </c>
      <c r="I180" s="28" t="s">
        <v>4174</v>
      </c>
      <c r="J180" s="29" t="s">
        <v>3891</v>
      </c>
      <c r="K180" s="29" t="s">
        <v>1428</v>
      </c>
      <c r="L180" s="1005" t="s">
        <v>1428</v>
      </c>
      <c r="M180" s="1046" t="s">
        <v>1428</v>
      </c>
      <c r="N180" s="29" t="s">
        <v>1428</v>
      </c>
      <c r="O180" s="1047">
        <v>4.19111</v>
      </c>
      <c r="P180" s="1047">
        <v>17.3619047619047</v>
      </c>
      <c r="Q180" s="147" t="s">
        <v>1428</v>
      </c>
      <c r="R180" s="31">
        <v>4.85712907291234</v>
      </c>
      <c r="S180" s="1047">
        <f t="shared" si="3"/>
        <v>26.410143834817</v>
      </c>
      <c r="T180" s="1021" t="s">
        <v>5996</v>
      </c>
      <c r="U180" s="1011"/>
    </row>
    <row r="181" s="991" customFormat="1" spans="2:21">
      <c r="B181" s="29"/>
      <c r="C181" s="28"/>
      <c r="D181" s="28"/>
      <c r="E181" s="28"/>
      <c r="F181" s="26" t="s">
        <v>867</v>
      </c>
      <c r="G181" s="26"/>
      <c r="H181" s="29"/>
      <c r="I181" s="29"/>
      <c r="J181" s="29"/>
      <c r="K181" s="29"/>
      <c r="L181" s="1005"/>
      <c r="M181" s="29"/>
      <c r="N181" s="29"/>
      <c r="O181" s="31">
        <v>0.33891</v>
      </c>
      <c r="P181" s="31">
        <v>0.730761904761905</v>
      </c>
      <c r="Q181" s="147" t="s">
        <v>1428</v>
      </c>
      <c r="R181" s="31">
        <v>0.4</v>
      </c>
      <c r="S181" s="31">
        <f t="shared" si="3"/>
        <v>1.4696719047619</v>
      </c>
      <c r="T181" s="123"/>
      <c r="U181" s="25"/>
    </row>
    <row r="182" s="991" customFormat="1" spans="2:21">
      <c r="B182" s="29"/>
      <c r="C182" s="28"/>
      <c r="D182" s="28"/>
      <c r="E182" s="28"/>
      <c r="F182" s="1021" t="s">
        <v>5968</v>
      </c>
      <c r="G182" s="1024"/>
      <c r="H182" s="29"/>
      <c r="I182" s="29"/>
      <c r="J182" s="29"/>
      <c r="K182" s="147"/>
      <c r="L182" s="1022"/>
      <c r="M182" s="147"/>
      <c r="N182" s="147"/>
      <c r="O182" s="1023">
        <v>0.5995</v>
      </c>
      <c r="P182" s="1023">
        <v>1.81675238095238</v>
      </c>
      <c r="Q182" s="147" t="s">
        <v>1428</v>
      </c>
      <c r="R182" s="1023">
        <v>0.4</v>
      </c>
      <c r="S182" s="1023">
        <f t="shared" si="3"/>
        <v>2.81625238095238</v>
      </c>
      <c r="T182" s="146"/>
      <c r="U182" s="1024"/>
    </row>
    <row r="183" s="991" customFormat="1" ht="15" spans="2:21">
      <c r="B183" s="29" t="s">
        <v>5997</v>
      </c>
      <c r="C183" s="28"/>
      <c r="D183" s="28"/>
      <c r="E183" s="28"/>
      <c r="F183" s="27" t="s">
        <v>1629</v>
      </c>
      <c r="G183" s="25" t="s">
        <v>1933</v>
      </c>
      <c r="H183" s="29" t="s">
        <v>5998</v>
      </c>
      <c r="I183" s="29" t="s">
        <v>5902</v>
      </c>
      <c r="J183" s="29" t="s">
        <v>3891</v>
      </c>
      <c r="K183" s="29" t="s">
        <v>1428</v>
      </c>
      <c r="L183" s="1005" t="s">
        <v>1428</v>
      </c>
      <c r="M183" s="700">
        <v>2.9</v>
      </c>
      <c r="N183" s="29" t="s">
        <v>1428</v>
      </c>
      <c r="O183" s="31">
        <v>5.40342</v>
      </c>
      <c r="P183" s="31">
        <v>19.6095238095238</v>
      </c>
      <c r="Q183" s="29" t="s">
        <v>1428</v>
      </c>
      <c r="R183" s="31">
        <v>4.85712907291234</v>
      </c>
      <c r="S183" s="31">
        <f t="shared" si="3"/>
        <v>32.7700728824361</v>
      </c>
      <c r="T183" s="26" t="s">
        <v>5999</v>
      </c>
      <c r="U183" s="25" t="s">
        <v>6000</v>
      </c>
    </row>
    <row r="184" s="991" customFormat="1" spans="2:21">
      <c r="B184" s="29"/>
      <c r="C184" s="28"/>
      <c r="D184" s="28"/>
      <c r="E184" s="28"/>
      <c r="F184" s="26" t="s">
        <v>867</v>
      </c>
      <c r="G184" s="26"/>
      <c r="H184" s="29"/>
      <c r="I184" s="29"/>
      <c r="J184" s="29"/>
      <c r="K184" s="29"/>
      <c r="L184" s="1005"/>
      <c r="M184" s="29"/>
      <c r="N184" s="29"/>
      <c r="O184" s="31">
        <v>0.33891</v>
      </c>
      <c r="P184" s="31">
        <v>0.723809523809524</v>
      </c>
      <c r="Q184" s="29" t="s">
        <v>1428</v>
      </c>
      <c r="R184" s="31">
        <v>0.4</v>
      </c>
      <c r="S184" s="31">
        <f t="shared" si="3"/>
        <v>1.46271952380952</v>
      </c>
      <c r="T184" s="123"/>
      <c r="U184" s="25"/>
    </row>
    <row r="185" s="991" customFormat="1" ht="15" spans="2:21">
      <c r="B185" s="29" t="s">
        <v>6001</v>
      </c>
      <c r="C185" s="28"/>
      <c r="D185" s="28"/>
      <c r="E185" s="28"/>
      <c r="F185" s="1021" t="s">
        <v>1672</v>
      </c>
      <c r="G185" s="1024" t="s">
        <v>1933</v>
      </c>
      <c r="H185" s="28" t="s">
        <v>6002</v>
      </c>
      <c r="I185" s="28" t="s">
        <v>5987</v>
      </c>
      <c r="J185" s="29" t="s">
        <v>3891</v>
      </c>
      <c r="K185" s="29" t="s">
        <v>1428</v>
      </c>
      <c r="L185" s="1005" t="s">
        <v>1428</v>
      </c>
      <c r="M185" s="1046" t="s">
        <v>1428</v>
      </c>
      <c r="N185" s="29" t="s">
        <v>1428</v>
      </c>
      <c r="O185" s="1047">
        <v>5.75465</v>
      </c>
      <c r="P185" s="1047">
        <v>17.8095238095238</v>
      </c>
      <c r="Q185" s="147" t="s">
        <v>1428</v>
      </c>
      <c r="R185" s="31">
        <v>4.85712907291234</v>
      </c>
      <c r="S185" s="1047">
        <f t="shared" si="3"/>
        <v>28.4213028824361</v>
      </c>
      <c r="T185" s="1048" t="s">
        <v>5989</v>
      </c>
      <c r="U185" s="1024" t="s">
        <v>6003</v>
      </c>
    </row>
    <row r="186" s="991" customFormat="1" ht="15" spans="2:21">
      <c r="B186" s="29" t="s">
        <v>6004</v>
      </c>
      <c r="C186" s="28"/>
      <c r="D186" s="28"/>
      <c r="E186" s="28"/>
      <c r="F186" s="1021" t="s">
        <v>1669</v>
      </c>
      <c r="G186" s="1024" t="s">
        <v>1933</v>
      </c>
      <c r="H186" s="28" t="s">
        <v>6005</v>
      </c>
      <c r="I186" s="28" t="s">
        <v>5962</v>
      </c>
      <c r="J186" s="29" t="s">
        <v>3891</v>
      </c>
      <c r="K186" s="1046" t="s">
        <v>1428</v>
      </c>
      <c r="L186" s="1005" t="s">
        <v>1428</v>
      </c>
      <c r="M186" s="1046" t="s">
        <v>1428</v>
      </c>
      <c r="N186" s="29" t="s">
        <v>1428</v>
      </c>
      <c r="O186" s="1047">
        <v>5.75465</v>
      </c>
      <c r="P186" s="1047">
        <v>17.4285714285714</v>
      </c>
      <c r="Q186" s="147" t="s">
        <v>1428</v>
      </c>
      <c r="R186" s="31">
        <v>4.85712907291234</v>
      </c>
      <c r="S186" s="1047">
        <f t="shared" si="3"/>
        <v>28.0403505014837</v>
      </c>
      <c r="T186" s="1021" t="s">
        <v>5965</v>
      </c>
      <c r="U186" s="25" t="s">
        <v>6006</v>
      </c>
    </row>
    <row r="187" s="991" customFormat="1" ht="15" spans="2:21">
      <c r="B187" s="29" t="s">
        <v>6007</v>
      </c>
      <c r="C187" s="29"/>
      <c r="D187" s="29"/>
      <c r="E187" s="29"/>
      <c r="F187" s="146" t="s">
        <v>2306</v>
      </c>
      <c r="G187" s="1024" t="s">
        <v>1933</v>
      </c>
      <c r="H187" s="28" t="s">
        <v>5998</v>
      </c>
      <c r="I187" s="28" t="s">
        <v>3898</v>
      </c>
      <c r="J187" s="29" t="s">
        <v>3891</v>
      </c>
      <c r="K187" s="29" t="s">
        <v>1428</v>
      </c>
      <c r="L187" s="1049" t="s">
        <v>1428</v>
      </c>
      <c r="M187" s="65">
        <v>6.6</v>
      </c>
      <c r="N187" s="29" t="s">
        <v>1428</v>
      </c>
      <c r="O187" s="1047">
        <v>5.29012</v>
      </c>
      <c r="P187" s="1047">
        <v>21.5809523809524</v>
      </c>
      <c r="Q187" s="147" t="s">
        <v>1428</v>
      </c>
      <c r="R187" s="31">
        <v>4.85712907291234</v>
      </c>
      <c r="S187" s="1047">
        <f t="shared" si="3"/>
        <v>38.3282014538647</v>
      </c>
      <c r="T187" s="1021" t="s">
        <v>6008</v>
      </c>
      <c r="U187" s="1024" t="s">
        <v>6009</v>
      </c>
    </row>
    <row r="188" s="991" customFormat="1" ht="15" spans="2:21">
      <c r="B188" s="29"/>
      <c r="C188" s="29"/>
      <c r="D188" s="153"/>
      <c r="E188" s="153">
        <v>6.8226</v>
      </c>
      <c r="F188" s="150" t="s">
        <v>5844</v>
      </c>
      <c r="G188" s="150"/>
      <c r="H188" s="153"/>
      <c r="I188" s="153"/>
      <c r="J188" s="153"/>
      <c r="K188" s="152"/>
      <c r="L188" s="977"/>
      <c r="M188" s="152">
        <f>40.5/E188/1.13</f>
        <v>5.25323307311022</v>
      </c>
      <c r="N188" s="152">
        <v>16.17</v>
      </c>
      <c r="O188" s="1051">
        <v>0.47487</v>
      </c>
      <c r="P188" s="1051">
        <v>0.952</v>
      </c>
      <c r="Q188" s="152" t="s">
        <v>1428</v>
      </c>
      <c r="R188" s="1051">
        <v>0.4</v>
      </c>
      <c r="S188" s="1047">
        <f t="shared" si="3"/>
        <v>23.2501030731102</v>
      </c>
      <c r="T188" s="1021"/>
      <c r="U188" s="146"/>
    </row>
    <row r="189" s="991" customFormat="1" spans="2:21">
      <c r="B189" s="29"/>
      <c r="C189" s="29"/>
      <c r="D189" s="29"/>
      <c r="E189" s="29"/>
      <c r="F189" s="146" t="s">
        <v>5845</v>
      </c>
      <c r="G189" s="146"/>
      <c r="H189" s="29"/>
      <c r="I189" s="29"/>
      <c r="J189" s="29"/>
      <c r="K189" s="147"/>
      <c r="L189" s="1022"/>
      <c r="M189" s="147"/>
      <c r="N189" s="147"/>
      <c r="O189" s="1023">
        <v>0.47487</v>
      </c>
      <c r="P189" s="1023">
        <v>0.903904761904762</v>
      </c>
      <c r="Q189" s="147" t="s">
        <v>1428</v>
      </c>
      <c r="R189" s="1023">
        <v>0.4</v>
      </c>
      <c r="S189" s="1023">
        <f t="shared" si="3"/>
        <v>1.77877476190476</v>
      </c>
      <c r="T189" s="157"/>
      <c r="U189" s="146"/>
    </row>
    <row r="190" s="991" customFormat="1" spans="2:21">
      <c r="B190" s="29"/>
      <c r="C190" s="28"/>
      <c r="D190" s="28"/>
      <c r="E190" s="28"/>
      <c r="F190" s="1021" t="s">
        <v>5846</v>
      </c>
      <c r="G190" s="1021"/>
      <c r="H190" s="29"/>
      <c r="I190" s="29"/>
      <c r="J190" s="29"/>
      <c r="K190" s="147"/>
      <c r="L190" s="1022"/>
      <c r="M190" s="147"/>
      <c r="N190" s="147"/>
      <c r="O190" s="1023">
        <v>0.08965</v>
      </c>
      <c r="P190" s="1023">
        <v>0.153619047619047</v>
      </c>
      <c r="Q190" s="147" t="s">
        <v>1428</v>
      </c>
      <c r="R190" s="1023">
        <v>0.4</v>
      </c>
      <c r="S190" s="1047">
        <f t="shared" si="3"/>
        <v>0.643269047619047</v>
      </c>
      <c r="T190" s="146"/>
      <c r="U190" s="1024"/>
    </row>
    <row r="191" s="991" customFormat="1" ht="15" spans="2:21">
      <c r="B191" s="29" t="s">
        <v>6010</v>
      </c>
      <c r="C191" s="28"/>
      <c r="D191" s="28"/>
      <c r="E191" s="28"/>
      <c r="F191" s="1021" t="s">
        <v>2449</v>
      </c>
      <c r="G191" s="1024" t="s">
        <v>1933</v>
      </c>
      <c r="H191" s="28" t="s">
        <v>5998</v>
      </c>
      <c r="I191" s="28" t="s">
        <v>5962</v>
      </c>
      <c r="J191" s="29" t="s">
        <v>3891</v>
      </c>
      <c r="K191" s="29" t="s">
        <v>1428</v>
      </c>
      <c r="L191" s="1005" t="s">
        <v>1428</v>
      </c>
      <c r="M191" s="1046" t="s">
        <v>1428</v>
      </c>
      <c r="N191" s="29" t="s">
        <v>1428</v>
      </c>
      <c r="O191" s="1023">
        <v>4.49702</v>
      </c>
      <c r="P191" s="1023">
        <v>17.3428571428571</v>
      </c>
      <c r="Q191" s="147" t="s">
        <v>1428</v>
      </c>
      <c r="R191" s="31">
        <v>4.87750863545603</v>
      </c>
      <c r="S191" s="1047">
        <f t="shared" si="3"/>
        <v>26.7173857783131</v>
      </c>
      <c r="T191" s="1021" t="s">
        <v>5965</v>
      </c>
      <c r="U191" s="1024" t="s">
        <v>5994</v>
      </c>
    </row>
    <row r="192" s="991" customFormat="1" spans="2:21">
      <c r="B192" s="29"/>
      <c r="C192" s="28"/>
      <c r="D192" s="28"/>
      <c r="E192" s="28"/>
      <c r="F192" s="1021" t="s">
        <v>5891</v>
      </c>
      <c r="G192" s="1021"/>
      <c r="H192" s="29"/>
      <c r="I192" s="29"/>
      <c r="J192" s="29"/>
      <c r="K192" s="147"/>
      <c r="L192" s="1022"/>
      <c r="M192" s="147"/>
      <c r="N192" s="147"/>
      <c r="O192" s="1023">
        <v>0.385</v>
      </c>
      <c r="P192" s="1023">
        <v>3.43420126671359</v>
      </c>
      <c r="Q192" s="147" t="s">
        <v>1428</v>
      </c>
      <c r="R192" s="1023">
        <v>0.4</v>
      </c>
      <c r="S192" s="1023">
        <f t="shared" si="3"/>
        <v>4.21920126671359</v>
      </c>
      <c r="T192" s="146"/>
      <c r="U192" s="1024"/>
    </row>
    <row r="193" s="991" customFormat="1" ht="15" spans="2:21">
      <c r="B193" s="29" t="s">
        <v>6011</v>
      </c>
      <c r="C193" s="28"/>
      <c r="D193" s="28"/>
      <c r="E193" s="28"/>
      <c r="F193" s="26" t="s">
        <v>1565</v>
      </c>
      <c r="G193" s="25" t="s">
        <v>1933</v>
      </c>
      <c r="H193" s="29" t="s">
        <v>5986</v>
      </c>
      <c r="I193" s="28" t="s">
        <v>3436</v>
      </c>
      <c r="J193" s="29" t="s">
        <v>3891</v>
      </c>
      <c r="K193" s="29" t="s">
        <v>1428</v>
      </c>
      <c r="L193" s="1005" t="s">
        <v>1428</v>
      </c>
      <c r="M193" s="28" t="s">
        <v>1428</v>
      </c>
      <c r="N193" s="29" t="s">
        <v>1428</v>
      </c>
      <c r="O193" s="31">
        <v>4.49702</v>
      </c>
      <c r="P193" s="31">
        <v>17.5714285714286</v>
      </c>
      <c r="Q193" s="29" t="s">
        <v>1428</v>
      </c>
      <c r="R193" s="31">
        <v>4.85712907291234</v>
      </c>
      <c r="S193" s="31">
        <f t="shared" si="3"/>
        <v>26.9255776443409</v>
      </c>
      <c r="T193" s="26" t="s">
        <v>5996</v>
      </c>
      <c r="U193" s="25" t="s">
        <v>6012</v>
      </c>
    </row>
    <row r="194" s="991" customFormat="1" spans="2:21">
      <c r="B194" s="29"/>
      <c r="C194" s="28"/>
      <c r="D194" s="1052"/>
      <c r="E194" s="1052"/>
      <c r="F194" s="1053" t="s">
        <v>6013</v>
      </c>
      <c r="G194" s="1053"/>
      <c r="H194" s="65"/>
      <c r="I194" s="65"/>
      <c r="J194" s="65"/>
      <c r="K194" s="65"/>
      <c r="L194" s="65"/>
      <c r="M194" s="65"/>
      <c r="N194" s="65">
        <f>23.49+20/6.7739/1.13</f>
        <v>26.1028397295868</v>
      </c>
      <c r="O194" s="163">
        <v>0.39556</v>
      </c>
      <c r="P194" s="31">
        <v>2.77142857142857</v>
      </c>
      <c r="Q194" s="29" t="s">
        <v>1428</v>
      </c>
      <c r="R194" s="31">
        <v>0.4</v>
      </c>
      <c r="S194" s="31">
        <f t="shared" si="3"/>
        <v>29.6698283010153</v>
      </c>
      <c r="T194" s="123"/>
      <c r="U194" s="25"/>
    </row>
    <row r="195" s="991" customFormat="1" ht="15" spans="2:21">
      <c r="B195" s="29" t="s">
        <v>6014</v>
      </c>
      <c r="C195" s="28"/>
      <c r="D195" s="28"/>
      <c r="E195" s="28"/>
      <c r="F195" s="26" t="s">
        <v>1565</v>
      </c>
      <c r="G195" s="25" t="s">
        <v>1933</v>
      </c>
      <c r="H195" s="29" t="s">
        <v>5998</v>
      </c>
      <c r="I195" s="29" t="s">
        <v>3425</v>
      </c>
      <c r="J195" s="29" t="s">
        <v>3891</v>
      </c>
      <c r="K195" s="29" t="s">
        <v>1428</v>
      </c>
      <c r="L195" s="1054" t="s">
        <v>1428</v>
      </c>
      <c r="M195" s="700">
        <v>2.9</v>
      </c>
      <c r="N195" s="29" t="s">
        <v>1428</v>
      </c>
      <c r="O195" s="31">
        <v>4.49702</v>
      </c>
      <c r="P195" s="31">
        <v>19.5809523809524</v>
      </c>
      <c r="Q195" s="29" t="s">
        <v>1428</v>
      </c>
      <c r="R195" s="31">
        <v>4.85712907291234</v>
      </c>
      <c r="S195" s="31">
        <f t="shared" si="3"/>
        <v>31.8351014538647</v>
      </c>
      <c r="T195" s="123" t="s">
        <v>3800</v>
      </c>
      <c r="U195" s="25" t="s">
        <v>6015</v>
      </c>
    </row>
    <row r="196" s="991" customFormat="1" ht="15" spans="2:21">
      <c r="B196" s="29"/>
      <c r="C196" s="28"/>
      <c r="D196" s="28"/>
      <c r="E196" s="28"/>
      <c r="F196" s="26" t="s">
        <v>1629</v>
      </c>
      <c r="G196" s="25" t="s">
        <v>1933</v>
      </c>
      <c r="H196" s="29" t="s">
        <v>5998</v>
      </c>
      <c r="I196" s="29" t="s">
        <v>3670</v>
      </c>
      <c r="J196" s="29" t="s">
        <v>3891</v>
      </c>
      <c r="K196" s="29" t="s">
        <v>1428</v>
      </c>
      <c r="L196" s="1054" t="s">
        <v>1428</v>
      </c>
      <c r="M196" s="1006" t="s">
        <v>4671</v>
      </c>
      <c r="N196" s="29" t="s">
        <v>1428</v>
      </c>
      <c r="O196" s="31">
        <v>4.49702</v>
      </c>
      <c r="P196" s="31">
        <v>19.6</v>
      </c>
      <c r="Q196" s="29" t="s">
        <v>1428</v>
      </c>
      <c r="R196" s="31">
        <v>4.85712907291234</v>
      </c>
      <c r="S196" s="31">
        <f t="shared" si="3"/>
        <v>28.9541490729123</v>
      </c>
      <c r="T196" s="123" t="s">
        <v>3800</v>
      </c>
      <c r="U196" s="25" t="s">
        <v>6016</v>
      </c>
    </row>
    <row r="197" s="991" customFormat="1" ht="15" spans="2:21">
      <c r="B197" s="29" t="s">
        <v>6017</v>
      </c>
      <c r="C197" s="28"/>
      <c r="D197" s="28"/>
      <c r="E197" s="28"/>
      <c r="F197" s="1021" t="s">
        <v>1667</v>
      </c>
      <c r="G197" s="1024" t="s">
        <v>1933</v>
      </c>
      <c r="H197" s="1029" t="s">
        <v>6018</v>
      </c>
      <c r="I197" s="29" t="s">
        <v>5987</v>
      </c>
      <c r="J197" s="29" t="s">
        <v>3891</v>
      </c>
      <c r="K197" s="147" t="s">
        <v>1428</v>
      </c>
      <c r="L197" s="1005" t="s">
        <v>1428</v>
      </c>
      <c r="M197" s="147" t="s">
        <v>1428</v>
      </c>
      <c r="N197" s="29" t="s">
        <v>1428</v>
      </c>
      <c r="O197" s="1023">
        <v>5.87928</v>
      </c>
      <c r="P197" s="1023">
        <v>20.1333333333333</v>
      </c>
      <c r="Q197" s="147" t="s">
        <v>1428</v>
      </c>
      <c r="R197" s="31">
        <v>4.85712907291234</v>
      </c>
      <c r="S197" s="1023">
        <f t="shared" ref="S197:S206" si="4">SUM(K197:R197)</f>
        <v>30.8697424062456</v>
      </c>
      <c r="T197" s="146" t="s">
        <v>6019</v>
      </c>
      <c r="U197" s="1037" t="s">
        <v>6020</v>
      </c>
    </row>
    <row r="198" s="991" customFormat="1" ht="15" spans="2:21">
      <c r="B198" s="29"/>
      <c r="C198" s="28"/>
      <c r="D198" s="28"/>
      <c r="E198" s="28"/>
      <c r="F198" s="1021" t="s">
        <v>1587</v>
      </c>
      <c r="G198" s="1024" t="s">
        <v>1933</v>
      </c>
      <c r="H198" s="1029" t="s">
        <v>6018</v>
      </c>
      <c r="I198" s="29" t="s">
        <v>5987</v>
      </c>
      <c r="J198" s="29" t="s">
        <v>3891</v>
      </c>
      <c r="K198" s="147" t="s">
        <v>1428</v>
      </c>
      <c r="L198" s="1005" t="s">
        <v>1428</v>
      </c>
      <c r="M198" s="147" t="s">
        <v>1428</v>
      </c>
      <c r="N198" s="29" t="s">
        <v>1428</v>
      </c>
      <c r="O198" s="1023">
        <v>5.87928</v>
      </c>
      <c r="P198" s="1023">
        <v>20.1619047619047</v>
      </c>
      <c r="Q198" s="147" t="s">
        <v>1428</v>
      </c>
      <c r="R198" s="31">
        <v>4.85712907291234</v>
      </c>
      <c r="S198" s="1023">
        <f t="shared" si="4"/>
        <v>30.898313834817</v>
      </c>
      <c r="T198" s="146" t="s">
        <v>6019</v>
      </c>
      <c r="U198" s="1040"/>
    </row>
    <row r="199" s="991" customFormat="1" spans="2:21">
      <c r="B199" s="29"/>
      <c r="C199" s="28"/>
      <c r="D199" s="28"/>
      <c r="E199" s="28"/>
      <c r="F199" s="1021" t="s">
        <v>6021</v>
      </c>
      <c r="G199" s="1021"/>
      <c r="H199" s="29"/>
      <c r="I199" s="29"/>
      <c r="J199" s="29"/>
      <c r="K199" s="147"/>
      <c r="L199" s="1022"/>
      <c r="M199" s="147"/>
      <c r="N199" s="147"/>
      <c r="O199" s="1023">
        <v>0.54285</v>
      </c>
      <c r="P199" s="1023">
        <v>1.48104761904762</v>
      </c>
      <c r="Q199" s="147" t="s">
        <v>1428</v>
      </c>
      <c r="R199" s="1023">
        <v>0.2</v>
      </c>
      <c r="S199" s="1023">
        <f t="shared" si="4"/>
        <v>2.22389761904762</v>
      </c>
      <c r="T199" s="146"/>
      <c r="U199" s="1024"/>
    </row>
    <row r="200" s="991" customFormat="1" spans="2:21">
      <c r="B200" s="29"/>
      <c r="C200" s="28"/>
      <c r="D200" s="28"/>
      <c r="E200" s="28"/>
      <c r="F200" s="1021" t="s">
        <v>6022</v>
      </c>
      <c r="G200" s="1021"/>
      <c r="H200" s="29"/>
      <c r="I200" s="29"/>
      <c r="J200" s="29"/>
      <c r="K200" s="147"/>
      <c r="L200" s="1022"/>
      <c r="M200" s="147"/>
      <c r="N200" s="147"/>
      <c r="O200" s="1023">
        <v>0.13497</v>
      </c>
      <c r="P200" s="1023">
        <v>0.394095238095238</v>
      </c>
      <c r="Q200" s="147" t="s">
        <v>1428</v>
      </c>
      <c r="R200" s="1023">
        <v>0.4</v>
      </c>
      <c r="S200" s="1023">
        <f t="shared" si="4"/>
        <v>0.929065238095238</v>
      </c>
      <c r="T200" s="146"/>
      <c r="U200" s="1024"/>
    </row>
    <row r="201" s="991" customFormat="1" spans="2:21">
      <c r="B201" s="29"/>
      <c r="C201" s="28"/>
      <c r="D201" s="28"/>
      <c r="E201" s="28"/>
      <c r="F201" s="1021" t="s">
        <v>6023</v>
      </c>
      <c r="G201" s="1021"/>
      <c r="H201" s="29"/>
      <c r="I201" s="29"/>
      <c r="J201" s="29"/>
      <c r="K201" s="147"/>
      <c r="L201" s="1022"/>
      <c r="M201" s="147"/>
      <c r="N201" s="147"/>
      <c r="O201" s="1023">
        <v>0.3729</v>
      </c>
      <c r="P201" s="1023">
        <v>0.990476190476187</v>
      </c>
      <c r="Q201" s="147" t="s">
        <v>1428</v>
      </c>
      <c r="R201" s="1023">
        <v>0.4</v>
      </c>
      <c r="S201" s="1023">
        <f t="shared" si="4"/>
        <v>1.76337619047619</v>
      </c>
      <c r="T201" s="146"/>
      <c r="U201" s="1024"/>
    </row>
    <row r="202" s="991" customFormat="1" ht="15" spans="2:21">
      <c r="B202" s="29" t="s">
        <v>6024</v>
      </c>
      <c r="C202" s="28"/>
      <c r="D202" s="28"/>
      <c r="E202" s="28"/>
      <c r="F202" s="1021" t="s">
        <v>1565</v>
      </c>
      <c r="G202" s="1024" t="s">
        <v>1933</v>
      </c>
      <c r="H202" s="29" t="s">
        <v>6018</v>
      </c>
      <c r="I202" s="29" t="s">
        <v>6025</v>
      </c>
      <c r="J202" s="29" t="s">
        <v>3891</v>
      </c>
      <c r="K202" s="29" t="s">
        <v>1428</v>
      </c>
      <c r="L202" s="1005" t="s">
        <v>1428</v>
      </c>
      <c r="M202" s="147" t="s">
        <v>1428</v>
      </c>
      <c r="N202" s="29" t="s">
        <v>1428</v>
      </c>
      <c r="O202" s="1023">
        <v>5.577</v>
      </c>
      <c r="P202" s="1023">
        <v>21.5714285714286</v>
      </c>
      <c r="Q202" s="147" t="s">
        <v>1428</v>
      </c>
      <c r="R202" s="31">
        <v>4.85712907291234</v>
      </c>
      <c r="S202" s="1023">
        <f t="shared" si="4"/>
        <v>32.0055576443409</v>
      </c>
      <c r="T202" s="146" t="s">
        <v>5989</v>
      </c>
      <c r="U202" s="1037" t="s">
        <v>5990</v>
      </c>
    </row>
    <row r="203" s="991" customFormat="1" ht="15" spans="2:21">
      <c r="B203" s="29"/>
      <c r="C203" s="28"/>
      <c r="D203" s="28"/>
      <c r="E203" s="28"/>
      <c r="F203" s="1021" t="s">
        <v>1571</v>
      </c>
      <c r="G203" s="1024" t="s">
        <v>1933</v>
      </c>
      <c r="H203" s="29" t="s">
        <v>5998</v>
      </c>
      <c r="I203" s="29" t="s">
        <v>6026</v>
      </c>
      <c r="J203" s="29" t="s">
        <v>3891</v>
      </c>
      <c r="K203" s="147" t="s">
        <v>1428</v>
      </c>
      <c r="L203" s="1005" t="s">
        <v>1428</v>
      </c>
      <c r="M203" s="147" t="s">
        <v>1428</v>
      </c>
      <c r="N203" s="29" t="s">
        <v>1428</v>
      </c>
      <c r="O203" s="1023">
        <v>5.577</v>
      </c>
      <c r="P203" s="1023">
        <v>21.4380952380953</v>
      </c>
      <c r="Q203" s="147" t="s">
        <v>1428</v>
      </c>
      <c r="R203" s="31">
        <v>4.85712907291234</v>
      </c>
      <c r="S203" s="1023">
        <f t="shared" si="4"/>
        <v>31.8722243110076</v>
      </c>
      <c r="T203" s="146" t="s">
        <v>5989</v>
      </c>
      <c r="U203" s="1040"/>
    </row>
    <row r="204" s="991" customFormat="1" spans="2:21">
      <c r="B204" s="29"/>
      <c r="C204" s="28"/>
      <c r="D204" s="28"/>
      <c r="E204" s="28"/>
      <c r="F204" s="1021" t="s">
        <v>6027</v>
      </c>
      <c r="G204" s="1021"/>
      <c r="H204" s="29"/>
      <c r="I204" s="29"/>
      <c r="J204" s="29"/>
      <c r="K204" s="147"/>
      <c r="L204" s="1022"/>
      <c r="M204" s="147"/>
      <c r="N204" s="147"/>
      <c r="O204" s="1023">
        <v>0.46354</v>
      </c>
      <c r="P204" s="1023">
        <v>4.43142857142857</v>
      </c>
      <c r="Q204" s="147" t="s">
        <v>1428</v>
      </c>
      <c r="R204" s="1023">
        <v>0.4</v>
      </c>
      <c r="S204" s="1023">
        <f t="shared" si="4"/>
        <v>5.29496857142857</v>
      </c>
      <c r="T204" s="146"/>
      <c r="U204" s="1024"/>
    </row>
    <row r="205" s="991" customFormat="1" spans="2:21">
      <c r="B205" s="29"/>
      <c r="C205" s="28"/>
      <c r="D205" s="28"/>
      <c r="E205" s="28"/>
      <c r="F205" s="1021" t="s">
        <v>6028</v>
      </c>
      <c r="G205" s="1021"/>
      <c r="H205" s="29"/>
      <c r="I205" s="29"/>
      <c r="J205" s="29"/>
      <c r="K205" s="147"/>
      <c r="L205" s="1022"/>
      <c r="M205" s="147"/>
      <c r="N205" s="147"/>
      <c r="O205" s="1023">
        <v>0.63349</v>
      </c>
      <c r="P205" s="1023">
        <v>4.08571428571429</v>
      </c>
      <c r="Q205" s="147" t="s">
        <v>1428</v>
      </c>
      <c r="R205" s="1023">
        <v>0.4</v>
      </c>
      <c r="S205" s="1023">
        <f t="shared" si="4"/>
        <v>5.11920428571429</v>
      </c>
      <c r="T205" s="146"/>
      <c r="U205" s="1024"/>
    </row>
    <row r="206" s="991" customFormat="1" ht="15" spans="2:21">
      <c r="B206" s="29" t="s">
        <v>6029</v>
      </c>
      <c r="C206" s="28"/>
      <c r="D206" s="28"/>
      <c r="E206" s="28"/>
      <c r="F206" s="1021" t="s">
        <v>6030</v>
      </c>
      <c r="G206" s="1024" t="s">
        <v>3540</v>
      </c>
      <c r="H206" s="29" t="s">
        <v>5998</v>
      </c>
      <c r="I206" s="29" t="s">
        <v>5902</v>
      </c>
      <c r="J206" s="29" t="s">
        <v>3891</v>
      </c>
      <c r="K206" s="29" t="s">
        <v>1428</v>
      </c>
      <c r="L206" s="1049" t="s">
        <v>1428</v>
      </c>
      <c r="M206" s="700">
        <v>2.9</v>
      </c>
      <c r="N206" s="29" t="s">
        <v>1428</v>
      </c>
      <c r="O206" s="1023">
        <v>3.61328</v>
      </c>
      <c r="P206" s="1023">
        <v>18.6190476190476</v>
      </c>
      <c r="Q206" s="147" t="s">
        <v>1428</v>
      </c>
      <c r="R206" s="31">
        <v>4.85712907291234</v>
      </c>
      <c r="S206" s="1023">
        <f t="shared" si="4"/>
        <v>29.9894566919599</v>
      </c>
      <c r="T206" s="157" t="s">
        <v>5999</v>
      </c>
      <c r="U206" s="1024" t="s">
        <v>6009</v>
      </c>
    </row>
    <row r="207" s="991" customFormat="1" spans="2:21">
      <c r="B207" s="29"/>
      <c r="C207" s="28"/>
      <c r="D207" s="28"/>
      <c r="E207" s="28"/>
      <c r="F207" s="1021" t="s">
        <v>5912</v>
      </c>
      <c r="G207" s="1024"/>
      <c r="H207" s="25"/>
      <c r="I207" s="29"/>
      <c r="J207" s="29"/>
      <c r="K207" s="147"/>
      <c r="L207" s="1005"/>
      <c r="M207" s="29"/>
      <c r="N207" s="29"/>
      <c r="O207" s="1023">
        <v>0.38423</v>
      </c>
      <c r="P207" s="1023">
        <v>0.971238095238096</v>
      </c>
      <c r="Q207" s="147" t="s">
        <v>1428</v>
      </c>
      <c r="R207" s="31">
        <v>0.4</v>
      </c>
      <c r="S207" s="31">
        <f>SUM(L207:R207)</f>
        <v>1.7554680952381</v>
      </c>
      <c r="T207" s="1055"/>
      <c r="U207" s="146"/>
    </row>
    <row r="208" s="991" customFormat="1" spans="2:21">
      <c r="B208" s="29"/>
      <c r="C208" s="28"/>
      <c r="D208" s="28"/>
      <c r="E208" s="28"/>
      <c r="F208" s="1021" t="s">
        <v>6031</v>
      </c>
      <c r="G208" s="1021"/>
      <c r="H208" s="1056"/>
      <c r="I208" s="29"/>
      <c r="J208" s="29"/>
      <c r="K208" s="1046"/>
      <c r="L208" s="1022"/>
      <c r="M208" s="147"/>
      <c r="N208" s="147"/>
      <c r="O208" s="1023">
        <v>0.08965</v>
      </c>
      <c r="P208" s="1023">
        <v>0.324838095238096</v>
      </c>
      <c r="Q208" s="147" t="s">
        <v>1428</v>
      </c>
      <c r="R208" s="1023">
        <v>0.4</v>
      </c>
      <c r="S208" s="1023">
        <f t="shared" ref="S208:S271" si="5">SUM(K208:R208)</f>
        <v>0.814488095238096</v>
      </c>
      <c r="T208" s="146"/>
      <c r="U208" s="1024"/>
    </row>
    <row r="209" s="991" customFormat="1" ht="15" spans="2:21">
      <c r="B209" s="1029" t="s">
        <v>6032</v>
      </c>
      <c r="C209" s="1029"/>
      <c r="D209" s="1029"/>
      <c r="E209" s="1029"/>
      <c r="F209" s="1024" t="s">
        <v>1672</v>
      </c>
      <c r="G209" s="1024" t="s">
        <v>3540</v>
      </c>
      <c r="H209" s="29" t="s">
        <v>5995</v>
      </c>
      <c r="I209" s="29" t="s">
        <v>1913</v>
      </c>
      <c r="J209" s="29" t="s">
        <v>3891</v>
      </c>
      <c r="K209" s="29" t="s">
        <v>1428</v>
      </c>
      <c r="L209" s="1022" t="s">
        <v>1428</v>
      </c>
      <c r="M209" s="147" t="s">
        <v>1428</v>
      </c>
      <c r="N209" s="29" t="s">
        <v>1428</v>
      </c>
      <c r="O209" s="1023">
        <v>3.63</v>
      </c>
      <c r="P209" s="1023">
        <v>22.1619047619047</v>
      </c>
      <c r="Q209" s="147" t="s">
        <v>1428</v>
      </c>
      <c r="R209" s="31">
        <v>4.85712907291234</v>
      </c>
      <c r="S209" s="1023">
        <f t="shared" si="5"/>
        <v>30.649033834817</v>
      </c>
      <c r="T209" s="146" t="s">
        <v>2854</v>
      </c>
      <c r="U209" s="1036" t="s">
        <v>6033</v>
      </c>
    </row>
    <row r="210" s="991" customFormat="1" spans="2:21">
      <c r="B210" s="1029"/>
      <c r="C210" s="1029"/>
      <c r="D210" s="1029"/>
      <c r="E210" s="1029"/>
      <c r="F210" s="1024" t="s">
        <v>5912</v>
      </c>
      <c r="G210" s="1024"/>
      <c r="H210" s="29"/>
      <c r="I210" s="29"/>
      <c r="J210" s="29"/>
      <c r="K210" s="147"/>
      <c r="L210" s="1022"/>
      <c r="M210" s="147"/>
      <c r="N210" s="147"/>
      <c r="O210" s="1023">
        <v>0.3729</v>
      </c>
      <c r="P210" s="1023">
        <v>0.991438095238099</v>
      </c>
      <c r="Q210" s="147" t="s">
        <v>1428</v>
      </c>
      <c r="R210" s="1023">
        <v>0.4</v>
      </c>
      <c r="S210" s="1023">
        <f t="shared" si="5"/>
        <v>1.7643380952381</v>
      </c>
      <c r="T210" s="146"/>
      <c r="U210" s="1024"/>
    </row>
    <row r="211" s="991" customFormat="1" spans="2:21">
      <c r="B211" s="1029"/>
      <c r="C211" s="1029"/>
      <c r="D211" s="1029"/>
      <c r="E211" s="1029"/>
      <c r="F211" s="1024" t="s">
        <v>6031</v>
      </c>
      <c r="G211" s="1024"/>
      <c r="H211" s="29"/>
      <c r="I211" s="29"/>
      <c r="J211" s="29"/>
      <c r="K211" s="147"/>
      <c r="L211" s="1022"/>
      <c r="M211" s="147"/>
      <c r="N211" s="147"/>
      <c r="O211" s="1023">
        <v>0.08965</v>
      </c>
      <c r="P211" s="1023">
        <v>0.324838095238096</v>
      </c>
      <c r="Q211" s="147" t="s">
        <v>1428</v>
      </c>
      <c r="R211" s="1023">
        <v>0.4</v>
      </c>
      <c r="S211" s="1023">
        <f t="shared" si="5"/>
        <v>0.814488095238096</v>
      </c>
      <c r="T211" s="146"/>
      <c r="U211" s="1024"/>
    </row>
    <row r="212" s="991" customFormat="1" ht="15" spans="2:21">
      <c r="B212" s="1029"/>
      <c r="C212" s="1029"/>
      <c r="D212" s="1029"/>
      <c r="E212" s="1029"/>
      <c r="F212" s="1024" t="s">
        <v>6034</v>
      </c>
      <c r="G212" s="1024"/>
      <c r="H212" s="29"/>
      <c r="I212" s="25"/>
      <c r="J212" s="29"/>
      <c r="K212" s="147"/>
      <c r="L212" s="1022"/>
      <c r="M212" s="147"/>
      <c r="N212" s="147"/>
      <c r="O212" s="1023">
        <v>0.38423</v>
      </c>
      <c r="P212" s="1023">
        <v>1.58095238095238</v>
      </c>
      <c r="Q212" s="147" t="s">
        <v>1428</v>
      </c>
      <c r="R212" s="1023">
        <v>0.4</v>
      </c>
      <c r="S212" s="1023">
        <f t="shared" si="5"/>
        <v>2.36518238095238</v>
      </c>
      <c r="T212" s="146"/>
      <c r="U212" s="1024"/>
    </row>
    <row r="213" s="991" customFormat="1" ht="15" spans="2:21">
      <c r="B213" s="29" t="s">
        <v>6035</v>
      </c>
      <c r="C213" s="29"/>
      <c r="D213" s="29"/>
      <c r="E213" s="29"/>
      <c r="F213" s="25" t="s">
        <v>2546</v>
      </c>
      <c r="G213" s="25" t="s">
        <v>3540</v>
      </c>
      <c r="H213" s="29" t="s">
        <v>6036</v>
      </c>
      <c r="I213" s="29" t="s">
        <v>6037</v>
      </c>
      <c r="J213" s="1032" t="s">
        <v>5838</v>
      </c>
      <c r="K213" s="29" t="s">
        <v>1428</v>
      </c>
      <c r="L213" s="1005" t="s">
        <v>1428</v>
      </c>
      <c r="M213" s="700">
        <v>2.9</v>
      </c>
      <c r="N213" s="29">
        <v>1.3</v>
      </c>
      <c r="O213" s="31">
        <v>1.122</v>
      </c>
      <c r="P213" s="31">
        <v>5.69</v>
      </c>
      <c r="Q213" s="29" t="s">
        <v>1428</v>
      </c>
      <c r="R213" s="31">
        <v>2.15872403240549</v>
      </c>
      <c r="S213" s="31">
        <f t="shared" si="5"/>
        <v>13.1707240324055</v>
      </c>
      <c r="T213" s="123" t="s">
        <v>6038</v>
      </c>
      <c r="U213" s="25" t="s">
        <v>6039</v>
      </c>
    </row>
    <row r="214" s="991" customFormat="1" spans="2:21">
      <c r="B214" s="29"/>
      <c r="C214" s="29"/>
      <c r="D214" s="29"/>
      <c r="E214" s="29"/>
      <c r="F214" s="25" t="s">
        <v>5836</v>
      </c>
      <c r="G214" s="25"/>
      <c r="H214" s="29"/>
      <c r="I214" s="29"/>
      <c r="J214" s="29"/>
      <c r="K214" s="29"/>
      <c r="L214" s="1005"/>
      <c r="M214" s="29"/>
      <c r="N214" s="29"/>
      <c r="O214" s="31">
        <v>0.44088</v>
      </c>
      <c r="P214" s="31">
        <v>0.8077</v>
      </c>
      <c r="Q214" s="29" t="s">
        <v>1428</v>
      </c>
      <c r="R214" s="31">
        <v>0.4</v>
      </c>
      <c r="S214" s="31">
        <f t="shared" si="5"/>
        <v>1.64858</v>
      </c>
      <c r="T214" s="123"/>
      <c r="U214" s="25"/>
    </row>
    <row r="215" s="991" customFormat="1" ht="15" spans="2:21">
      <c r="B215" s="29"/>
      <c r="C215" s="29"/>
      <c r="D215" s="29"/>
      <c r="E215" s="29"/>
      <c r="F215" s="25" t="s">
        <v>5873</v>
      </c>
      <c r="G215" s="25"/>
      <c r="H215" s="29"/>
      <c r="I215" s="29"/>
      <c r="J215" s="29"/>
      <c r="K215" s="29"/>
      <c r="L215" s="1005"/>
      <c r="M215" s="29"/>
      <c r="N215" s="29"/>
      <c r="O215" s="31">
        <v>0.49753</v>
      </c>
      <c r="P215" s="31">
        <v>2.5752</v>
      </c>
      <c r="Q215" s="29" t="s">
        <v>1428</v>
      </c>
      <c r="R215" s="31">
        <v>0.4</v>
      </c>
      <c r="S215" s="31">
        <f t="shared" si="5"/>
        <v>3.47273</v>
      </c>
      <c r="T215" s="123"/>
      <c r="U215" s="25"/>
    </row>
    <row r="216" s="991" customFormat="1" spans="2:21">
      <c r="B216" s="29"/>
      <c r="C216" s="29"/>
      <c r="D216" s="29"/>
      <c r="E216" s="29"/>
      <c r="F216" s="25" t="s">
        <v>6040</v>
      </c>
      <c r="G216" s="25"/>
      <c r="H216" s="29"/>
      <c r="I216" s="29"/>
      <c r="J216" s="29"/>
      <c r="K216" s="29"/>
      <c r="L216" s="1005"/>
      <c r="M216" s="29"/>
      <c r="N216" s="29"/>
      <c r="O216" s="31">
        <v>0.36157</v>
      </c>
      <c r="P216" s="31">
        <v>0.9289</v>
      </c>
      <c r="Q216" s="29" t="s">
        <v>1428</v>
      </c>
      <c r="R216" s="31">
        <v>0.2</v>
      </c>
      <c r="S216" s="31">
        <f t="shared" si="5"/>
        <v>1.49047</v>
      </c>
      <c r="T216" s="123"/>
      <c r="U216" s="25"/>
    </row>
    <row r="217" s="991" customFormat="1" ht="15" spans="2:21">
      <c r="B217" s="29" t="s">
        <v>6041</v>
      </c>
      <c r="C217" s="29"/>
      <c r="D217" s="29"/>
      <c r="E217" s="29"/>
      <c r="F217" s="25" t="s">
        <v>1565</v>
      </c>
      <c r="G217" s="25" t="s">
        <v>3540</v>
      </c>
      <c r="H217" s="29" t="s">
        <v>6036</v>
      </c>
      <c r="I217" s="29" t="s">
        <v>6037</v>
      </c>
      <c r="J217" s="1032" t="s">
        <v>5838</v>
      </c>
      <c r="K217" s="29" t="s">
        <v>1428</v>
      </c>
      <c r="L217" s="1005" t="s">
        <v>1428</v>
      </c>
      <c r="M217" s="700">
        <v>2.9</v>
      </c>
      <c r="N217" s="29">
        <v>1.3</v>
      </c>
      <c r="O217" s="31">
        <v>1.496</v>
      </c>
      <c r="P217" s="31">
        <v>5.656</v>
      </c>
      <c r="Q217" s="29" t="s">
        <v>1428</v>
      </c>
      <c r="R217" s="31">
        <v>2.15872403240549</v>
      </c>
      <c r="S217" s="31">
        <f t="shared" si="5"/>
        <v>13.5107240324055</v>
      </c>
      <c r="T217" s="123" t="s">
        <v>6038</v>
      </c>
      <c r="U217" s="25" t="s">
        <v>6039</v>
      </c>
    </row>
    <row r="218" s="991" customFormat="1" ht="15" spans="2:21">
      <c r="B218" s="29"/>
      <c r="C218" s="29"/>
      <c r="D218" s="29"/>
      <c r="E218" s="29"/>
      <c r="F218" s="25" t="s">
        <v>1617</v>
      </c>
      <c r="G218" s="25" t="s">
        <v>3540</v>
      </c>
      <c r="H218" s="29" t="s">
        <v>6036</v>
      </c>
      <c r="I218" s="29" t="s">
        <v>6042</v>
      </c>
      <c r="J218" s="1032" t="s">
        <v>5838</v>
      </c>
      <c r="K218" s="29" t="s">
        <v>1428</v>
      </c>
      <c r="L218" s="1005" t="s">
        <v>1428</v>
      </c>
      <c r="M218" s="700">
        <v>2.9</v>
      </c>
      <c r="N218" s="29">
        <v>1.3</v>
      </c>
      <c r="O218" s="31">
        <v>1.496</v>
      </c>
      <c r="P218" s="31">
        <v>5.656</v>
      </c>
      <c r="Q218" s="29" t="s">
        <v>1428</v>
      </c>
      <c r="R218" s="31">
        <v>2.15872403240549</v>
      </c>
      <c r="S218" s="31">
        <f t="shared" si="5"/>
        <v>13.5107240324055</v>
      </c>
      <c r="T218" s="123" t="s">
        <v>6043</v>
      </c>
      <c r="U218" s="25" t="s">
        <v>4160</v>
      </c>
    </row>
    <row r="219" s="991" customFormat="1" ht="15" spans="2:21">
      <c r="B219" s="29"/>
      <c r="C219" s="29"/>
      <c r="D219" s="29"/>
      <c r="E219" s="29"/>
      <c r="F219" s="25" t="s">
        <v>1629</v>
      </c>
      <c r="G219" s="25" t="s">
        <v>3540</v>
      </c>
      <c r="H219" s="29" t="s">
        <v>6036</v>
      </c>
      <c r="I219" s="29" t="s">
        <v>6037</v>
      </c>
      <c r="J219" s="1032" t="s">
        <v>5838</v>
      </c>
      <c r="K219" s="29" t="s">
        <v>1428</v>
      </c>
      <c r="L219" s="1005" t="s">
        <v>1428</v>
      </c>
      <c r="M219" s="700">
        <v>2.9</v>
      </c>
      <c r="N219" s="29">
        <v>1.3</v>
      </c>
      <c r="O219" s="31">
        <v>1.496</v>
      </c>
      <c r="P219" s="31">
        <v>5.656</v>
      </c>
      <c r="Q219" s="29" t="s">
        <v>1428</v>
      </c>
      <c r="R219" s="31">
        <v>2.15872403240549</v>
      </c>
      <c r="S219" s="31">
        <f t="shared" si="5"/>
        <v>13.5107240324055</v>
      </c>
      <c r="T219" s="123" t="s">
        <v>6038</v>
      </c>
      <c r="U219" s="25" t="s">
        <v>6039</v>
      </c>
    </row>
    <row r="220" s="991" customFormat="1" spans="2:21">
      <c r="B220" s="29"/>
      <c r="C220" s="29"/>
      <c r="D220" s="29"/>
      <c r="E220" s="29"/>
      <c r="F220" s="25" t="s">
        <v>6044</v>
      </c>
      <c r="G220" s="25"/>
      <c r="H220" s="29"/>
      <c r="I220" s="29"/>
      <c r="J220" s="29"/>
      <c r="K220" s="29"/>
      <c r="L220" s="1005"/>
      <c r="M220" s="29"/>
      <c r="N220" s="29"/>
      <c r="O220" s="31">
        <v>0.315270935960591</v>
      </c>
      <c r="P220" s="31">
        <v>0.364532019704434</v>
      </c>
      <c r="Q220" s="29" t="s">
        <v>1428</v>
      </c>
      <c r="R220" s="31">
        <v>0.2</v>
      </c>
      <c r="S220" s="31">
        <f t="shared" si="5"/>
        <v>0.879802955665025</v>
      </c>
      <c r="T220" s="123"/>
      <c r="U220" s="25"/>
    </row>
    <row r="221" s="991" customFormat="1" spans="2:21">
      <c r="B221" s="29"/>
      <c r="C221" s="29"/>
      <c r="D221" s="29"/>
      <c r="E221" s="29"/>
      <c r="F221" s="25" t="s">
        <v>6045</v>
      </c>
      <c r="G221" s="25"/>
      <c r="H221" s="29"/>
      <c r="I221" s="29"/>
      <c r="J221" s="29"/>
      <c r="K221" s="29"/>
      <c r="L221" s="1005"/>
      <c r="M221" s="29"/>
      <c r="N221" s="29"/>
      <c r="O221" s="31">
        <v>0.40689</v>
      </c>
      <c r="P221" s="31">
        <v>0.4643</v>
      </c>
      <c r="Q221" s="29" t="s">
        <v>1428</v>
      </c>
      <c r="R221" s="31">
        <v>0.2</v>
      </c>
      <c r="S221" s="31">
        <f t="shared" si="5"/>
        <v>1.07119</v>
      </c>
      <c r="T221" s="123"/>
      <c r="U221" s="25"/>
    </row>
    <row r="222" s="991" customFormat="1" ht="15" spans="2:21">
      <c r="B222" s="29" t="s">
        <v>6046</v>
      </c>
      <c r="C222" s="29"/>
      <c r="D222" s="29"/>
      <c r="E222" s="29"/>
      <c r="F222" s="25" t="s">
        <v>667</v>
      </c>
      <c r="G222" s="25" t="s">
        <v>3540</v>
      </c>
      <c r="H222" s="29" t="s">
        <v>6036</v>
      </c>
      <c r="I222" s="29" t="s">
        <v>6047</v>
      </c>
      <c r="J222" s="1032" t="s">
        <v>5838</v>
      </c>
      <c r="K222" s="29" t="s">
        <v>1428</v>
      </c>
      <c r="L222" s="1005" t="s">
        <v>1428</v>
      </c>
      <c r="M222" s="1006" t="s">
        <v>4671</v>
      </c>
      <c r="N222" s="29">
        <v>1.3</v>
      </c>
      <c r="O222" s="31">
        <v>1.375</v>
      </c>
      <c r="P222" s="31">
        <v>5.7772</v>
      </c>
      <c r="Q222" s="29" t="s">
        <v>1428</v>
      </c>
      <c r="R222" s="31">
        <v>2.15872403240549</v>
      </c>
      <c r="S222" s="31">
        <f t="shared" si="5"/>
        <v>10.6109240324055</v>
      </c>
      <c r="T222" s="123" t="s">
        <v>5848</v>
      </c>
      <c r="U222" s="25" t="s">
        <v>6048</v>
      </c>
    </row>
    <row r="223" s="991" customFormat="1" ht="15" spans="2:21">
      <c r="B223" s="29"/>
      <c r="C223" s="29"/>
      <c r="D223" s="29"/>
      <c r="E223" s="29"/>
      <c r="F223" s="25" t="s">
        <v>1629</v>
      </c>
      <c r="G223" s="25" t="s">
        <v>3540</v>
      </c>
      <c r="H223" s="29" t="s">
        <v>6036</v>
      </c>
      <c r="I223" s="29" t="s">
        <v>5541</v>
      </c>
      <c r="J223" s="1032" t="s">
        <v>5838</v>
      </c>
      <c r="K223" s="29" t="s">
        <v>1428</v>
      </c>
      <c r="L223" s="1005" t="s">
        <v>1428</v>
      </c>
      <c r="M223" s="700">
        <v>2.9</v>
      </c>
      <c r="N223" s="29">
        <v>1.3</v>
      </c>
      <c r="O223" s="31">
        <v>1.375</v>
      </c>
      <c r="P223" s="31">
        <v>5.8479</v>
      </c>
      <c r="Q223" s="29" t="s">
        <v>1428</v>
      </c>
      <c r="R223" s="31">
        <v>2.15872403240549</v>
      </c>
      <c r="S223" s="31">
        <f t="shared" si="5"/>
        <v>13.5816240324055</v>
      </c>
      <c r="T223" s="123" t="s">
        <v>5848</v>
      </c>
      <c r="U223" s="25" t="s">
        <v>6049</v>
      </c>
    </row>
    <row r="224" s="991" customFormat="1" spans="2:21">
      <c r="B224" s="29"/>
      <c r="C224" s="29"/>
      <c r="D224" s="29"/>
      <c r="E224" s="29"/>
      <c r="F224" s="25" t="s">
        <v>5835</v>
      </c>
      <c r="G224" s="25"/>
      <c r="H224" s="29"/>
      <c r="I224" s="29"/>
      <c r="J224" s="29"/>
      <c r="K224" s="29"/>
      <c r="L224" s="1005"/>
      <c r="M224" s="29"/>
      <c r="N224" s="29"/>
      <c r="O224" s="31">
        <v>0.50886</v>
      </c>
      <c r="P224" s="31">
        <v>2.757</v>
      </c>
      <c r="Q224" s="29" t="s">
        <v>1428</v>
      </c>
      <c r="R224" s="31">
        <v>0.4</v>
      </c>
      <c r="S224" s="31">
        <f t="shared" si="5"/>
        <v>3.66586</v>
      </c>
      <c r="T224" s="123"/>
      <c r="U224" s="25"/>
    </row>
    <row r="225" s="991" customFormat="1" spans="2:21">
      <c r="B225" s="29"/>
      <c r="C225" s="29"/>
      <c r="D225" s="29"/>
      <c r="E225" s="29"/>
      <c r="F225" s="25" t="s">
        <v>6050</v>
      </c>
      <c r="G225" s="25"/>
      <c r="H225" s="29"/>
      <c r="I225" s="29"/>
      <c r="J225" s="29"/>
      <c r="K225" s="29"/>
      <c r="L225" s="1005"/>
      <c r="M225" s="29"/>
      <c r="N225" s="29"/>
      <c r="O225" s="31">
        <v>0.36157</v>
      </c>
      <c r="P225" s="31">
        <v>0.8784</v>
      </c>
      <c r="Q225" s="29" t="s">
        <v>1428</v>
      </c>
      <c r="R225" s="31">
        <v>0.2</v>
      </c>
      <c r="S225" s="31">
        <f t="shared" si="5"/>
        <v>1.43997</v>
      </c>
      <c r="T225" s="123"/>
      <c r="U225" s="25"/>
    </row>
    <row r="226" s="991" customFormat="1" spans="2:21">
      <c r="B226" s="29"/>
      <c r="C226" s="29"/>
      <c r="D226" s="29"/>
      <c r="E226" s="29"/>
      <c r="F226" s="25" t="s">
        <v>6051</v>
      </c>
      <c r="G226" s="25"/>
      <c r="H226" s="29"/>
      <c r="I226" s="29"/>
      <c r="J226" s="29"/>
      <c r="K226" s="29"/>
      <c r="L226" s="1005"/>
      <c r="M226" s="29"/>
      <c r="N226" s="29"/>
      <c r="O226" s="31">
        <v>0.36157</v>
      </c>
      <c r="P226" s="31">
        <v>0.7067</v>
      </c>
      <c r="Q226" s="29" t="s">
        <v>1428</v>
      </c>
      <c r="R226" s="31">
        <v>0.2</v>
      </c>
      <c r="S226" s="31">
        <f t="shared" si="5"/>
        <v>1.26827</v>
      </c>
      <c r="T226" s="123"/>
      <c r="U226" s="25"/>
    </row>
    <row r="227" s="991" customFormat="1" spans="2:21">
      <c r="B227" s="29"/>
      <c r="C227" s="29"/>
      <c r="D227" s="29"/>
      <c r="E227" s="29"/>
      <c r="F227" s="25" t="s">
        <v>6052</v>
      </c>
      <c r="G227" s="25"/>
      <c r="H227" s="29"/>
      <c r="I227" s="29"/>
      <c r="J227" s="29"/>
      <c r="K227" s="29"/>
      <c r="L227" s="1005"/>
      <c r="M227" s="29"/>
      <c r="N227" s="29"/>
      <c r="O227" s="31">
        <v>0.33891</v>
      </c>
      <c r="P227" s="31">
        <v>0.3936</v>
      </c>
      <c r="Q227" s="29" t="s">
        <v>1428</v>
      </c>
      <c r="R227" s="31">
        <v>0.4</v>
      </c>
      <c r="S227" s="31">
        <f t="shared" si="5"/>
        <v>1.13251</v>
      </c>
      <c r="T227" s="123"/>
      <c r="U227" s="25"/>
    </row>
    <row r="228" s="991" customFormat="1" spans="2:21">
      <c r="B228" s="29"/>
      <c r="C228" s="29"/>
      <c r="D228" s="29"/>
      <c r="E228" s="29"/>
      <c r="F228" s="25" t="s">
        <v>6053</v>
      </c>
      <c r="G228" s="25"/>
      <c r="H228" s="29"/>
      <c r="I228" s="29"/>
      <c r="J228" s="29"/>
      <c r="K228" s="29"/>
      <c r="L228" s="1005"/>
      <c r="M228" s="29"/>
      <c r="N228" s="29"/>
      <c r="O228" s="31">
        <v>0.36157</v>
      </c>
      <c r="P228" s="31">
        <v>0.7168</v>
      </c>
      <c r="Q228" s="29" t="s">
        <v>1428</v>
      </c>
      <c r="R228" s="31">
        <v>0.2</v>
      </c>
      <c r="S228" s="31">
        <f t="shared" si="5"/>
        <v>1.27837</v>
      </c>
      <c r="T228" s="123"/>
      <c r="U228" s="25"/>
    </row>
    <row r="229" s="991" customFormat="1" spans="2:21">
      <c r="B229" s="29"/>
      <c r="C229" s="29"/>
      <c r="D229" s="29"/>
      <c r="E229" s="29"/>
      <c r="F229" s="25" t="s">
        <v>6054</v>
      </c>
      <c r="G229" s="25"/>
      <c r="H229" s="29"/>
      <c r="I229" s="29"/>
      <c r="J229" s="29"/>
      <c r="K229" s="29"/>
      <c r="L229" s="1005"/>
      <c r="M229" s="29"/>
      <c r="N229" s="29"/>
      <c r="O229" s="31">
        <v>0.33891</v>
      </c>
      <c r="P229" s="31">
        <v>0.4441</v>
      </c>
      <c r="Q229" s="29" t="s">
        <v>1428</v>
      </c>
      <c r="R229" s="31">
        <v>0.4</v>
      </c>
      <c r="S229" s="31">
        <f t="shared" si="5"/>
        <v>1.18301</v>
      </c>
      <c r="T229" s="123"/>
      <c r="U229" s="25"/>
    </row>
    <row r="230" s="991" customFormat="1" spans="2:21">
      <c r="B230" s="29"/>
      <c r="C230" s="29"/>
      <c r="D230" s="29"/>
      <c r="E230" s="29"/>
      <c r="F230" s="25" t="s">
        <v>5836</v>
      </c>
      <c r="G230" s="25"/>
      <c r="H230" s="29"/>
      <c r="I230" s="29"/>
      <c r="J230" s="29"/>
      <c r="K230" s="29"/>
      <c r="L230" s="1005"/>
      <c r="M230" s="29"/>
      <c r="N230" s="29"/>
      <c r="O230" s="31">
        <v>0.44088</v>
      </c>
      <c r="P230" s="31">
        <v>0.8077</v>
      </c>
      <c r="Q230" s="29" t="s">
        <v>1428</v>
      </c>
      <c r="R230" s="31">
        <v>0.4</v>
      </c>
      <c r="S230" s="31">
        <f t="shared" si="5"/>
        <v>1.64858</v>
      </c>
      <c r="T230" s="123"/>
      <c r="U230" s="25"/>
    </row>
    <row r="231" s="991" customFormat="1" spans="2:21">
      <c r="B231" s="29"/>
      <c r="C231" s="29"/>
      <c r="D231" s="29"/>
      <c r="E231" s="29"/>
      <c r="F231" s="25" t="s">
        <v>6055</v>
      </c>
      <c r="G231" s="25"/>
      <c r="H231" s="29"/>
      <c r="I231" s="29"/>
      <c r="J231" s="29"/>
      <c r="K231" s="29"/>
      <c r="L231" s="1005"/>
      <c r="M231" s="29"/>
      <c r="N231" s="29"/>
      <c r="O231" s="31">
        <v>0.49753</v>
      </c>
      <c r="P231" s="31">
        <v>2.5348</v>
      </c>
      <c r="Q231" s="29" t="s">
        <v>1428</v>
      </c>
      <c r="R231" s="31">
        <v>0.4</v>
      </c>
      <c r="S231" s="31">
        <f t="shared" si="5"/>
        <v>3.43233</v>
      </c>
      <c r="T231" s="123"/>
      <c r="U231" s="25"/>
    </row>
    <row r="232" s="991" customFormat="1" ht="15" spans="2:21">
      <c r="B232" s="29" t="s">
        <v>6056</v>
      </c>
      <c r="C232" s="29"/>
      <c r="D232" s="29"/>
      <c r="E232" s="29"/>
      <c r="F232" s="123" t="s">
        <v>6057</v>
      </c>
      <c r="G232" s="123" t="s">
        <v>1933</v>
      </c>
      <c r="H232" s="29" t="s">
        <v>6058</v>
      </c>
      <c r="I232" s="29" t="s">
        <v>3436</v>
      </c>
      <c r="J232" s="29" t="s">
        <v>3891</v>
      </c>
      <c r="K232" s="29" t="s">
        <v>1428</v>
      </c>
      <c r="L232" s="1022" t="s">
        <v>1428</v>
      </c>
      <c r="M232" s="29" t="s">
        <v>1428</v>
      </c>
      <c r="N232" s="29" t="s">
        <v>1428</v>
      </c>
      <c r="O232" s="31">
        <v>7.194</v>
      </c>
      <c r="P232" s="31">
        <v>24.75308</v>
      </c>
      <c r="Q232" s="29" t="s">
        <v>1428</v>
      </c>
      <c r="R232" s="31">
        <v>4.31744806481099</v>
      </c>
      <c r="S232" s="31">
        <f t="shared" si="5"/>
        <v>36.264528064811</v>
      </c>
      <c r="T232" s="157" t="s">
        <v>4315</v>
      </c>
      <c r="U232" s="123" t="s">
        <v>6059</v>
      </c>
    </row>
    <row r="233" s="991" customFormat="1" ht="15" spans="2:21">
      <c r="B233" s="29"/>
      <c r="C233" s="29"/>
      <c r="D233" s="29"/>
      <c r="E233" s="29"/>
      <c r="F233" s="123" t="s">
        <v>1604</v>
      </c>
      <c r="G233" s="123" t="s">
        <v>1933</v>
      </c>
      <c r="H233" s="29" t="s">
        <v>6060</v>
      </c>
      <c r="I233" s="29" t="s">
        <v>3436</v>
      </c>
      <c r="J233" s="29" t="s">
        <v>3891</v>
      </c>
      <c r="K233" s="29" t="s">
        <v>1428</v>
      </c>
      <c r="L233" s="1022" t="s">
        <v>1428</v>
      </c>
      <c r="M233" s="29" t="s">
        <v>1428</v>
      </c>
      <c r="N233" s="29" t="s">
        <v>1428</v>
      </c>
      <c r="O233" s="31">
        <v>7.194</v>
      </c>
      <c r="P233" s="31">
        <v>24.27535</v>
      </c>
      <c r="Q233" s="29" t="s">
        <v>1428</v>
      </c>
      <c r="R233" s="31">
        <v>4.31744806481099</v>
      </c>
      <c r="S233" s="31">
        <f t="shared" si="5"/>
        <v>35.786798064811</v>
      </c>
      <c r="T233" s="157" t="s">
        <v>4315</v>
      </c>
      <c r="U233" s="123" t="s">
        <v>6059</v>
      </c>
    </row>
    <row r="234" s="991" customFormat="1" ht="30" spans="2:21">
      <c r="B234" s="29" t="s">
        <v>6061</v>
      </c>
      <c r="C234" s="28"/>
      <c r="D234" s="28"/>
      <c r="E234" s="28"/>
      <c r="F234" s="26" t="s">
        <v>1565</v>
      </c>
      <c r="G234" s="25" t="s">
        <v>3540</v>
      </c>
      <c r="H234" s="29" t="s">
        <v>6062</v>
      </c>
      <c r="I234" s="29" t="s">
        <v>5987</v>
      </c>
      <c r="J234" s="29" t="s">
        <v>3787</v>
      </c>
      <c r="K234" s="29" t="s">
        <v>1428</v>
      </c>
      <c r="L234" s="1005" t="s">
        <v>1428</v>
      </c>
      <c r="M234" s="29" t="s">
        <v>1428</v>
      </c>
      <c r="N234" s="29">
        <v>3.5</v>
      </c>
      <c r="O234" s="31">
        <v>3.82855</v>
      </c>
      <c r="P234" s="31">
        <v>22.61</v>
      </c>
      <c r="Q234" s="29" t="s">
        <v>1428</v>
      </c>
      <c r="R234" s="31">
        <v>5.28887387939345</v>
      </c>
      <c r="S234" s="31">
        <f t="shared" si="5"/>
        <v>35.2274238793934</v>
      </c>
      <c r="T234" s="123" t="s">
        <v>5989</v>
      </c>
      <c r="U234" s="1050" t="s">
        <v>6063</v>
      </c>
    </row>
    <row r="235" s="991" customFormat="1" ht="30" spans="2:21">
      <c r="B235" s="29" t="s">
        <v>6064</v>
      </c>
      <c r="C235" s="28"/>
      <c r="D235" s="28"/>
      <c r="E235" s="28"/>
      <c r="F235" s="1021" t="s">
        <v>5120</v>
      </c>
      <c r="G235" s="1024" t="s">
        <v>1933</v>
      </c>
      <c r="H235" s="28" t="s">
        <v>6065</v>
      </c>
      <c r="I235" s="28" t="s">
        <v>5987</v>
      </c>
      <c r="J235" s="28" t="s">
        <v>4687</v>
      </c>
      <c r="K235" s="29" t="s">
        <v>1428</v>
      </c>
      <c r="L235" s="1005" t="s">
        <v>1428</v>
      </c>
      <c r="M235" s="1046" t="s">
        <v>1428</v>
      </c>
      <c r="N235" s="1046">
        <v>3.5</v>
      </c>
      <c r="O235" s="1047">
        <v>6.74</v>
      </c>
      <c r="P235" s="1047">
        <v>23.8423645320197</v>
      </c>
      <c r="Q235" s="147" t="s">
        <v>1428</v>
      </c>
      <c r="R235" s="31">
        <v>4.85712907291234</v>
      </c>
      <c r="S235" s="1047">
        <f t="shared" si="5"/>
        <v>38.939493604932</v>
      </c>
      <c r="T235" s="1048" t="s">
        <v>5989</v>
      </c>
      <c r="U235" s="1050" t="s">
        <v>6066</v>
      </c>
    </row>
    <row r="236" s="989" customFormat="1" ht="15" spans="2:21">
      <c r="B236" s="29" t="s">
        <v>6067</v>
      </c>
      <c r="C236" s="28"/>
      <c r="D236" s="28"/>
      <c r="E236" s="28"/>
      <c r="F236" s="26" t="s">
        <v>1629</v>
      </c>
      <c r="G236" s="25" t="s">
        <v>1933</v>
      </c>
      <c r="H236" s="29" t="s">
        <v>6068</v>
      </c>
      <c r="I236" s="29" t="s">
        <v>6069</v>
      </c>
      <c r="J236" s="29" t="s">
        <v>3891</v>
      </c>
      <c r="K236" s="29" t="s">
        <v>1428</v>
      </c>
      <c r="L236" s="1005" t="s">
        <v>1428</v>
      </c>
      <c r="M236" s="1006" t="s">
        <v>4671</v>
      </c>
      <c r="N236" s="29" t="s">
        <v>1428</v>
      </c>
      <c r="O236" s="31">
        <v>5.76598</v>
      </c>
      <c r="P236" s="31">
        <v>21.47</v>
      </c>
      <c r="Q236" s="29" t="s">
        <v>1428</v>
      </c>
      <c r="R236" s="31">
        <v>5.39681008101374</v>
      </c>
      <c r="S236" s="31">
        <f t="shared" si="5"/>
        <v>32.6327900810137</v>
      </c>
      <c r="T236" s="123" t="s">
        <v>6070</v>
      </c>
      <c r="U236" s="1035" t="s">
        <v>6071</v>
      </c>
    </row>
    <row r="237" s="989" customFormat="1" ht="15" spans="2:21">
      <c r="B237" s="29"/>
      <c r="C237" s="28"/>
      <c r="D237" s="28"/>
      <c r="E237" s="28"/>
      <c r="F237" s="26" t="s">
        <v>1645</v>
      </c>
      <c r="G237" s="25" t="s">
        <v>1933</v>
      </c>
      <c r="H237" s="29" t="s">
        <v>6072</v>
      </c>
      <c r="I237" s="29" t="s">
        <v>6069</v>
      </c>
      <c r="J237" s="29" t="s">
        <v>3891</v>
      </c>
      <c r="K237" s="29" t="s">
        <v>1428</v>
      </c>
      <c r="L237" s="1005" t="s">
        <v>1428</v>
      </c>
      <c r="M237" s="1006" t="s">
        <v>4671</v>
      </c>
      <c r="N237" s="29" t="s">
        <v>1428</v>
      </c>
      <c r="O237" s="31">
        <v>5.76598</v>
      </c>
      <c r="P237" s="31">
        <v>21.47</v>
      </c>
      <c r="Q237" s="29" t="s">
        <v>1428</v>
      </c>
      <c r="R237" s="31">
        <v>5.39681008101374</v>
      </c>
      <c r="S237" s="31">
        <f t="shared" si="5"/>
        <v>32.6327900810137</v>
      </c>
      <c r="T237" s="123" t="s">
        <v>6070</v>
      </c>
      <c r="U237" s="1036"/>
    </row>
    <row r="238" s="989" customFormat="1" spans="2:21">
      <c r="B238" s="29"/>
      <c r="C238" s="28"/>
      <c r="D238" s="28"/>
      <c r="E238" s="28"/>
      <c r="F238" s="26" t="s">
        <v>6073</v>
      </c>
      <c r="G238" s="25"/>
      <c r="H238" s="29"/>
      <c r="I238" s="29"/>
      <c r="J238" s="28"/>
      <c r="K238" s="29"/>
      <c r="L238" s="1054"/>
      <c r="M238" s="29"/>
      <c r="N238" s="28"/>
      <c r="O238" s="31">
        <v>1.06403</v>
      </c>
      <c r="P238" s="31">
        <v>3.9791</v>
      </c>
      <c r="Q238" s="29" t="s">
        <v>1428</v>
      </c>
      <c r="R238" s="1057">
        <v>0.4</v>
      </c>
      <c r="S238" s="31">
        <f t="shared" si="5"/>
        <v>5.44313</v>
      </c>
      <c r="T238" s="123"/>
      <c r="U238" s="25" t="s">
        <v>346</v>
      </c>
    </row>
    <row r="239" s="989" customFormat="1" spans="2:21">
      <c r="B239" s="29"/>
      <c r="C239" s="28"/>
      <c r="D239" s="28"/>
      <c r="E239" s="28"/>
      <c r="F239" s="26" t="s">
        <v>6074</v>
      </c>
      <c r="G239" s="25"/>
      <c r="H239" s="29"/>
      <c r="I239" s="29"/>
      <c r="J239" s="28"/>
      <c r="K239" s="29"/>
      <c r="L239" s="1054"/>
      <c r="M239" s="29"/>
      <c r="N239" s="28"/>
      <c r="O239" s="31">
        <v>0.3729</v>
      </c>
      <c r="P239" s="31">
        <v>1.0198</v>
      </c>
      <c r="Q239" s="29" t="s">
        <v>1428</v>
      </c>
      <c r="R239" s="1057">
        <v>0.4</v>
      </c>
      <c r="S239" s="31">
        <f t="shared" si="5"/>
        <v>1.7927</v>
      </c>
      <c r="T239" s="123"/>
      <c r="U239" s="26"/>
    </row>
    <row r="240" s="989" customFormat="1" ht="15" spans="2:21">
      <c r="B240" s="1029" t="s">
        <v>6075</v>
      </c>
      <c r="C240" s="1044"/>
      <c r="D240" s="1044"/>
      <c r="E240" s="1044"/>
      <c r="F240" s="26" t="s">
        <v>1565</v>
      </c>
      <c r="G240" s="26"/>
      <c r="H240" s="29" t="s">
        <v>6076</v>
      </c>
      <c r="I240" s="29" t="s">
        <v>3656</v>
      </c>
      <c r="J240" s="29" t="s">
        <v>3891</v>
      </c>
      <c r="K240" s="29" t="s">
        <v>1428</v>
      </c>
      <c r="L240" s="1005" t="s">
        <v>1428</v>
      </c>
      <c r="M240" s="29" t="s">
        <v>1428</v>
      </c>
      <c r="N240" s="29" t="s">
        <v>1428</v>
      </c>
      <c r="O240" s="31"/>
      <c r="P240" s="31">
        <v>20.14</v>
      </c>
      <c r="Q240" s="29" t="s">
        <v>1428</v>
      </c>
      <c r="R240" s="31">
        <v>4.85712907291234</v>
      </c>
      <c r="S240" s="31">
        <f t="shared" si="5"/>
        <v>24.9971290729123</v>
      </c>
      <c r="T240" s="123" t="s">
        <v>3920</v>
      </c>
      <c r="U240" s="25" t="s">
        <v>6077</v>
      </c>
    </row>
    <row r="241" s="990" customFormat="1" ht="15" spans="1:21">
      <c r="B241" s="29"/>
      <c r="C241" s="29"/>
      <c r="D241" s="29"/>
      <c r="E241" s="29"/>
      <c r="F241" s="123" t="s">
        <v>5942</v>
      </c>
      <c r="G241" s="123"/>
      <c r="H241" s="29"/>
      <c r="I241" s="29"/>
      <c r="J241" s="29"/>
      <c r="K241" s="29"/>
      <c r="L241" s="1005"/>
      <c r="M241" s="29"/>
      <c r="N241" s="29"/>
      <c r="O241" s="31">
        <v>0.2596</v>
      </c>
      <c r="P241" s="31">
        <v>0.8279</v>
      </c>
      <c r="Q241" s="29" t="s">
        <v>1428</v>
      </c>
      <c r="R241" s="31">
        <v>0.2</v>
      </c>
      <c r="S241" s="31">
        <f t="shared" si="5"/>
        <v>1.2875</v>
      </c>
      <c r="T241" s="157"/>
      <c r="U241" s="123"/>
    </row>
    <row r="242" s="990" customFormat="1" ht="15" spans="1:21">
      <c r="B242" s="29"/>
      <c r="C242" s="29"/>
      <c r="D242" s="29"/>
      <c r="E242" s="29"/>
      <c r="F242" s="123" t="s">
        <v>5940</v>
      </c>
      <c r="G242" s="123"/>
      <c r="H242" s="29"/>
      <c r="I242" s="29"/>
      <c r="J242" s="29"/>
      <c r="K242" s="29"/>
      <c r="L242" s="1005"/>
      <c r="M242" s="29"/>
      <c r="N242" s="29"/>
      <c r="O242" s="31">
        <v>0.407</v>
      </c>
      <c r="P242" s="31">
        <v>0.77</v>
      </c>
      <c r="Q242" s="29" t="s">
        <v>1428</v>
      </c>
      <c r="R242" s="31">
        <v>0.4</v>
      </c>
      <c r="S242" s="31">
        <f t="shared" si="5"/>
        <v>1.577</v>
      </c>
      <c r="T242" s="157"/>
      <c r="U242" s="123"/>
    </row>
    <row r="243" s="989" customFormat="1" ht="15" spans="1:21">
      <c r="A243" s="1005" t="s">
        <v>6078</v>
      </c>
      <c r="B243" s="1035" t="s">
        <v>6079</v>
      </c>
      <c r="C243" s="1035"/>
      <c r="D243" s="1035"/>
      <c r="E243" s="1035"/>
      <c r="F243" s="123" t="s">
        <v>6080</v>
      </c>
      <c r="G243" s="123" t="s">
        <v>3540</v>
      </c>
      <c r="H243" s="28" t="s">
        <v>6081</v>
      </c>
      <c r="I243" s="29" t="s">
        <v>3463</v>
      </c>
      <c r="J243" s="29" t="s">
        <v>5813</v>
      </c>
      <c r="K243" s="30" t="s">
        <v>1428</v>
      </c>
      <c r="L243" s="1005" t="s">
        <v>1428</v>
      </c>
      <c r="M243" s="1006" t="s">
        <v>4671</v>
      </c>
      <c r="N243" s="29" t="s">
        <v>1428</v>
      </c>
      <c r="O243" s="31">
        <v>2.85417</v>
      </c>
      <c r="P243" s="31">
        <v>15.42</v>
      </c>
      <c r="Q243" s="29" t="s">
        <v>1428</v>
      </c>
      <c r="R243" s="31">
        <v>2.79</v>
      </c>
      <c r="S243" s="31">
        <f t="shared" si="5"/>
        <v>21.06417</v>
      </c>
      <c r="T243" s="123" t="s">
        <v>5999</v>
      </c>
      <c r="U243" s="1058" t="s">
        <v>6082</v>
      </c>
    </row>
    <row r="244" s="989" customFormat="1" ht="15" spans="1:21">
      <c r="A244" s="1005"/>
      <c r="B244" s="1059"/>
      <c r="C244" s="1059"/>
      <c r="D244" s="1059"/>
      <c r="E244" s="1059"/>
      <c r="F244" s="123" t="s">
        <v>6083</v>
      </c>
      <c r="G244" s="123" t="s">
        <v>3540</v>
      </c>
      <c r="H244" s="28" t="s">
        <v>6081</v>
      </c>
      <c r="I244" s="29" t="s">
        <v>3463</v>
      </c>
      <c r="J244" s="29" t="s">
        <v>5813</v>
      </c>
      <c r="K244" s="30" t="s">
        <v>1428</v>
      </c>
      <c r="L244" s="1005" t="s">
        <v>1428</v>
      </c>
      <c r="M244" s="1006" t="s">
        <v>4671</v>
      </c>
      <c r="N244" s="29" t="s">
        <v>1428</v>
      </c>
      <c r="O244" s="31">
        <v>2.85417</v>
      </c>
      <c r="P244" s="31">
        <v>14.8</v>
      </c>
      <c r="Q244" s="29" t="s">
        <v>1428</v>
      </c>
      <c r="R244" s="31">
        <v>2.79</v>
      </c>
      <c r="S244" s="31">
        <f t="shared" si="5"/>
        <v>20.44417</v>
      </c>
      <c r="T244" s="123" t="s">
        <v>5999</v>
      </c>
      <c r="U244" s="1058" t="s">
        <v>6084</v>
      </c>
    </row>
    <row r="245" s="989" customFormat="1" ht="15" spans="1:21">
      <c r="A245" s="1005"/>
      <c r="B245" s="1059"/>
      <c r="C245" s="1059"/>
      <c r="D245" s="1059"/>
      <c r="E245" s="1059"/>
      <c r="F245" s="123" t="s">
        <v>6085</v>
      </c>
      <c r="G245" s="123" t="s">
        <v>3540</v>
      </c>
      <c r="H245" s="28" t="s">
        <v>6081</v>
      </c>
      <c r="I245" s="29" t="s">
        <v>3463</v>
      </c>
      <c r="J245" s="29" t="s">
        <v>5813</v>
      </c>
      <c r="K245" s="30" t="s">
        <v>1428</v>
      </c>
      <c r="L245" s="1005" t="s">
        <v>1428</v>
      </c>
      <c r="M245" s="1006" t="s">
        <v>4671</v>
      </c>
      <c r="N245" s="29" t="s">
        <v>1428</v>
      </c>
      <c r="O245" s="31">
        <v>2.85417</v>
      </c>
      <c r="P245" s="31">
        <v>14.92</v>
      </c>
      <c r="Q245" s="29" t="s">
        <v>1428</v>
      </c>
      <c r="R245" s="31">
        <v>2.79</v>
      </c>
      <c r="S245" s="31">
        <f t="shared" si="5"/>
        <v>20.56417</v>
      </c>
      <c r="T245" s="123" t="s">
        <v>5848</v>
      </c>
      <c r="U245" s="1058" t="s">
        <v>6086</v>
      </c>
    </row>
    <row r="246" s="989" customFormat="1" ht="15" spans="1:21">
      <c r="A246" s="1005"/>
      <c r="B246" s="1059"/>
      <c r="C246" s="1059"/>
      <c r="D246" s="1059"/>
      <c r="E246" s="1059"/>
      <c r="F246" s="123" t="s">
        <v>6087</v>
      </c>
      <c r="G246" s="123" t="s">
        <v>3540</v>
      </c>
      <c r="H246" s="28" t="s">
        <v>6081</v>
      </c>
      <c r="I246" s="29" t="s">
        <v>3786</v>
      </c>
      <c r="J246" s="29" t="s">
        <v>5813</v>
      </c>
      <c r="K246" s="30" t="s">
        <v>1428</v>
      </c>
      <c r="L246" s="1005" t="s">
        <v>1428</v>
      </c>
      <c r="M246" s="1006" t="s">
        <v>4671</v>
      </c>
      <c r="N246" s="29" t="s">
        <v>1428</v>
      </c>
      <c r="O246" s="31">
        <v>2.85417</v>
      </c>
      <c r="P246" s="31">
        <v>14.87</v>
      </c>
      <c r="Q246" s="29" t="s">
        <v>1428</v>
      </c>
      <c r="R246" s="31">
        <v>2.79</v>
      </c>
      <c r="S246" s="31">
        <f t="shared" si="5"/>
        <v>20.51417</v>
      </c>
      <c r="T246" s="123" t="s">
        <v>5833</v>
      </c>
      <c r="U246" s="1058" t="s">
        <v>6088</v>
      </c>
    </row>
    <row r="247" s="989" customFormat="1" ht="15" spans="1:21">
      <c r="A247" s="1005"/>
      <c r="B247" s="1059"/>
      <c r="C247" s="1059"/>
      <c r="D247" s="1059"/>
      <c r="E247" s="1059"/>
      <c r="F247" s="123" t="s">
        <v>6089</v>
      </c>
      <c r="G247" s="123" t="s">
        <v>3540</v>
      </c>
      <c r="H247" s="28" t="s">
        <v>6081</v>
      </c>
      <c r="I247" s="29" t="s">
        <v>5902</v>
      </c>
      <c r="J247" s="29" t="s">
        <v>5813</v>
      </c>
      <c r="K247" s="30" t="s">
        <v>1428</v>
      </c>
      <c r="L247" s="1005" t="s">
        <v>1428</v>
      </c>
      <c r="M247" s="700">
        <v>2.9</v>
      </c>
      <c r="N247" s="29" t="s">
        <v>1428</v>
      </c>
      <c r="O247" s="31">
        <v>2.85417</v>
      </c>
      <c r="P247" s="31">
        <v>15.37</v>
      </c>
      <c r="Q247" s="29" t="s">
        <v>1428</v>
      </c>
      <c r="R247" s="31">
        <v>2.79</v>
      </c>
      <c r="S247" s="31">
        <f t="shared" si="5"/>
        <v>23.91417</v>
      </c>
      <c r="T247" s="123" t="s">
        <v>5848</v>
      </c>
      <c r="U247" s="1058" t="s">
        <v>6090</v>
      </c>
    </row>
    <row r="248" s="989" customFormat="1" ht="15" spans="1:21">
      <c r="A248" s="1005"/>
      <c r="B248" s="1036"/>
      <c r="C248" s="1036"/>
      <c r="D248" s="1036"/>
      <c r="E248" s="1036"/>
      <c r="F248" s="123" t="s">
        <v>6091</v>
      </c>
      <c r="G248" s="123" t="s">
        <v>3540</v>
      </c>
      <c r="H248" s="28" t="s">
        <v>6081</v>
      </c>
      <c r="I248" s="29" t="s">
        <v>3463</v>
      </c>
      <c r="J248" s="29" t="s">
        <v>5813</v>
      </c>
      <c r="K248" s="30" t="s">
        <v>1428</v>
      </c>
      <c r="L248" s="1005" t="s">
        <v>1428</v>
      </c>
      <c r="M248" s="1006" t="s">
        <v>4671</v>
      </c>
      <c r="N248" s="29" t="s">
        <v>1428</v>
      </c>
      <c r="O248" s="31">
        <v>2.85417</v>
      </c>
      <c r="P248" s="31">
        <v>14.88</v>
      </c>
      <c r="Q248" s="29" t="s">
        <v>1428</v>
      </c>
      <c r="R248" s="31">
        <v>2.79</v>
      </c>
      <c r="S248" s="31">
        <f t="shared" si="5"/>
        <v>20.52417</v>
      </c>
      <c r="T248" s="123" t="s">
        <v>5848</v>
      </c>
      <c r="U248" s="1058" t="s">
        <v>6092</v>
      </c>
    </row>
    <row r="249" s="989" customFormat="1" ht="15" spans="1:21">
      <c r="A249" s="1005"/>
      <c r="B249" s="123" t="s">
        <v>6093</v>
      </c>
      <c r="C249" s="123"/>
      <c r="D249" s="123"/>
      <c r="E249" s="123"/>
      <c r="F249" s="123" t="s">
        <v>1617</v>
      </c>
      <c r="G249" s="123" t="s">
        <v>3540</v>
      </c>
      <c r="H249" s="28" t="s">
        <v>6094</v>
      </c>
      <c r="I249" s="29" t="s">
        <v>4677</v>
      </c>
      <c r="J249" s="29" t="s">
        <v>5813</v>
      </c>
      <c r="K249" s="29" t="s">
        <v>1428</v>
      </c>
      <c r="L249" s="1005" t="s">
        <v>1428</v>
      </c>
      <c r="M249" s="1006" t="s">
        <v>4671</v>
      </c>
      <c r="N249" s="29" t="s">
        <v>1428</v>
      </c>
      <c r="O249" s="31">
        <v>2.83151</v>
      </c>
      <c r="P249" s="31">
        <v>15.37</v>
      </c>
      <c r="Q249" s="29" t="s">
        <v>1428</v>
      </c>
      <c r="R249" s="31">
        <v>2.59749911995224</v>
      </c>
      <c r="S249" s="31">
        <f t="shared" si="5"/>
        <v>20.7990091199522</v>
      </c>
      <c r="T249" s="157" t="s">
        <v>5814</v>
      </c>
      <c r="U249" s="25" t="s">
        <v>6095</v>
      </c>
    </row>
    <row r="250" s="989" customFormat="1" ht="15" spans="1:21">
      <c r="A250" s="1060"/>
      <c r="B250" s="123" t="s">
        <v>6096</v>
      </c>
      <c r="C250" s="123"/>
      <c r="D250" s="123"/>
      <c r="E250" s="123"/>
      <c r="F250" s="123" t="s">
        <v>6097</v>
      </c>
      <c r="G250" s="123" t="s">
        <v>3540</v>
      </c>
      <c r="H250" s="28" t="s">
        <v>6098</v>
      </c>
      <c r="I250" s="29" t="s">
        <v>6099</v>
      </c>
      <c r="J250" s="29" t="s">
        <v>6100</v>
      </c>
      <c r="K250" s="29" t="s">
        <v>1428</v>
      </c>
      <c r="L250" s="1005" t="s">
        <v>1428</v>
      </c>
      <c r="M250" s="700">
        <v>2.9</v>
      </c>
      <c r="N250" s="29">
        <v>0</v>
      </c>
      <c r="O250" s="31">
        <v>2.4236849955255</v>
      </c>
      <c r="P250" s="31">
        <v>9.44827586206897</v>
      </c>
      <c r="Q250" s="29" t="s">
        <v>1428</v>
      </c>
      <c r="R250" s="31">
        <v>1.79</v>
      </c>
      <c r="S250" s="31">
        <f t="shared" si="5"/>
        <v>16.5619608575945</v>
      </c>
      <c r="T250" s="123" t="s">
        <v>6038</v>
      </c>
      <c r="U250" s="25" t="s">
        <v>6101</v>
      </c>
    </row>
    <row r="251" s="989" customFormat="1" ht="15" spans="1:21">
      <c r="A251" s="1060"/>
      <c r="B251" s="123"/>
      <c r="C251" s="123"/>
      <c r="D251" s="123"/>
      <c r="E251" s="123"/>
      <c r="F251" s="123" t="s">
        <v>6102</v>
      </c>
      <c r="G251" s="123" t="s">
        <v>3540</v>
      </c>
      <c r="H251" s="28" t="s">
        <v>6098</v>
      </c>
      <c r="I251" s="29" t="s">
        <v>6099</v>
      </c>
      <c r="J251" s="29" t="s">
        <v>6100</v>
      </c>
      <c r="K251" s="29" t="s">
        <v>1428</v>
      </c>
      <c r="L251" s="1005" t="s">
        <v>1428</v>
      </c>
      <c r="M251" s="700">
        <v>2.9</v>
      </c>
      <c r="N251" s="29">
        <v>0</v>
      </c>
      <c r="O251" s="31">
        <v>2.4236849955255</v>
      </c>
      <c r="P251" s="31">
        <v>8.41379310344828</v>
      </c>
      <c r="Q251" s="29" t="s">
        <v>1428</v>
      </c>
      <c r="R251" s="31">
        <v>1.79</v>
      </c>
      <c r="S251" s="31">
        <f t="shared" si="5"/>
        <v>15.5274780989738</v>
      </c>
      <c r="T251" s="123" t="s">
        <v>6038</v>
      </c>
      <c r="U251" s="25" t="s">
        <v>6103</v>
      </c>
    </row>
    <row r="252" s="989" customFormat="1" ht="15" spans="1:21">
      <c r="A252" s="1060"/>
      <c r="B252" s="123"/>
      <c r="C252" s="123"/>
      <c r="D252" s="123"/>
      <c r="E252" s="123"/>
      <c r="F252" s="123" t="s">
        <v>6104</v>
      </c>
      <c r="G252" s="123" t="s">
        <v>3540</v>
      </c>
      <c r="H252" s="28" t="s">
        <v>6098</v>
      </c>
      <c r="I252" s="29" t="s">
        <v>6105</v>
      </c>
      <c r="J252" s="29" t="s">
        <v>4670</v>
      </c>
      <c r="K252" s="29" t="s">
        <v>1428</v>
      </c>
      <c r="L252" s="1005" t="s">
        <v>1428</v>
      </c>
      <c r="M252" s="700">
        <v>2.9</v>
      </c>
      <c r="N252" s="29">
        <v>1.3</v>
      </c>
      <c r="O252" s="31">
        <v>2.4236849955255</v>
      </c>
      <c r="P252" s="31">
        <v>8.39408866995074</v>
      </c>
      <c r="Q252" s="29" t="s">
        <v>1428</v>
      </c>
      <c r="R252" s="31">
        <v>1.79</v>
      </c>
      <c r="S252" s="31">
        <f t="shared" si="5"/>
        <v>16.8077736654762</v>
      </c>
      <c r="T252" s="157" t="s">
        <v>6106</v>
      </c>
      <c r="U252" s="25" t="s">
        <v>6107</v>
      </c>
    </row>
    <row r="253" s="989" customFormat="1" ht="15" spans="1:21">
      <c r="A253" s="1060"/>
      <c r="B253" s="123"/>
      <c r="C253" s="123"/>
      <c r="D253" s="123"/>
      <c r="E253" s="123"/>
      <c r="F253" s="123" t="s">
        <v>6108</v>
      </c>
      <c r="G253" s="123" t="s">
        <v>3540</v>
      </c>
      <c r="H253" s="28" t="s">
        <v>6098</v>
      </c>
      <c r="I253" s="29" t="s">
        <v>6105</v>
      </c>
      <c r="J253" s="29" t="s">
        <v>6100</v>
      </c>
      <c r="K253" s="29" t="s">
        <v>1428</v>
      </c>
      <c r="L253" s="1005" t="s">
        <v>1428</v>
      </c>
      <c r="M253" s="700">
        <v>2.9</v>
      </c>
      <c r="N253" s="29">
        <v>0</v>
      </c>
      <c r="O253" s="31">
        <v>2.4236849955255</v>
      </c>
      <c r="P253" s="31">
        <v>8.55172413793104</v>
      </c>
      <c r="Q253" s="29" t="s">
        <v>1428</v>
      </c>
      <c r="R253" s="31">
        <v>1.79</v>
      </c>
      <c r="S253" s="31">
        <f t="shared" si="5"/>
        <v>15.6654091334565</v>
      </c>
      <c r="T253" s="157" t="s">
        <v>6106</v>
      </c>
      <c r="U253" s="25" t="s">
        <v>6107</v>
      </c>
    </row>
    <row r="254" s="989" customFormat="1" ht="15" spans="1:21">
      <c r="A254" s="1060"/>
      <c r="B254" s="123"/>
      <c r="C254" s="123"/>
      <c r="D254" s="123"/>
      <c r="E254" s="123"/>
      <c r="F254" s="123" t="s">
        <v>6109</v>
      </c>
      <c r="G254" s="123" t="s">
        <v>3540</v>
      </c>
      <c r="H254" s="28" t="s">
        <v>6098</v>
      </c>
      <c r="I254" s="29" t="s">
        <v>6105</v>
      </c>
      <c r="J254" s="29" t="s">
        <v>6100</v>
      </c>
      <c r="K254" s="29" t="s">
        <v>1428</v>
      </c>
      <c r="L254" s="1005" t="s">
        <v>1428</v>
      </c>
      <c r="M254" s="700">
        <v>2.9</v>
      </c>
      <c r="N254" s="29">
        <v>0</v>
      </c>
      <c r="O254" s="31">
        <v>2.4236849955255</v>
      </c>
      <c r="P254" s="31">
        <v>9.53694581280788</v>
      </c>
      <c r="Q254" s="29" t="s">
        <v>1428</v>
      </c>
      <c r="R254" s="31">
        <v>1.79</v>
      </c>
      <c r="S254" s="31">
        <f t="shared" si="5"/>
        <v>16.6506308083334</v>
      </c>
      <c r="T254" s="157" t="s">
        <v>6106</v>
      </c>
      <c r="U254" s="25" t="s">
        <v>6110</v>
      </c>
    </row>
    <row r="255" s="989" customFormat="1" ht="15" spans="1:21">
      <c r="A255" s="1060"/>
      <c r="B255" s="123"/>
      <c r="C255" s="123"/>
      <c r="D255" s="123"/>
      <c r="E255" s="123"/>
      <c r="F255" s="123" t="s">
        <v>6111</v>
      </c>
      <c r="G255" s="123" t="s">
        <v>3540</v>
      </c>
      <c r="H255" s="28" t="s">
        <v>6098</v>
      </c>
      <c r="I255" s="29" t="s">
        <v>6105</v>
      </c>
      <c r="J255" s="29" t="s">
        <v>6100</v>
      </c>
      <c r="K255" s="29" t="s">
        <v>1428</v>
      </c>
      <c r="L255" s="1005" t="s">
        <v>1428</v>
      </c>
      <c r="M255" s="700">
        <v>2.9</v>
      </c>
      <c r="N255" s="29">
        <v>0</v>
      </c>
      <c r="O255" s="31">
        <v>2.4236849955255</v>
      </c>
      <c r="P255" s="31">
        <v>9.51724137931035</v>
      </c>
      <c r="Q255" s="29" t="s">
        <v>1428</v>
      </c>
      <c r="R255" s="31">
        <v>1.79</v>
      </c>
      <c r="S255" s="31">
        <f t="shared" si="5"/>
        <v>16.6309263748359</v>
      </c>
      <c r="T255" s="157" t="s">
        <v>6106</v>
      </c>
      <c r="U255" s="25" t="s">
        <v>6110</v>
      </c>
    </row>
    <row r="256" s="989" customFormat="1" ht="15" spans="1:21">
      <c r="A256" s="1060"/>
      <c r="B256" s="123"/>
      <c r="C256" s="123"/>
      <c r="D256" s="123"/>
      <c r="E256" s="123"/>
      <c r="F256" s="123" t="s">
        <v>6112</v>
      </c>
      <c r="G256" s="123" t="s">
        <v>3540</v>
      </c>
      <c r="H256" s="28" t="s">
        <v>6098</v>
      </c>
      <c r="I256" s="29" t="s">
        <v>6105</v>
      </c>
      <c r="J256" s="29" t="s">
        <v>6100</v>
      </c>
      <c r="K256" s="29" t="s">
        <v>1428</v>
      </c>
      <c r="L256" s="1005" t="s">
        <v>1428</v>
      </c>
      <c r="M256" s="700">
        <v>2.9</v>
      </c>
      <c r="N256" s="29">
        <v>0</v>
      </c>
      <c r="O256" s="31">
        <v>2.4236849955255</v>
      </c>
      <c r="P256" s="31">
        <v>8.3084605</v>
      </c>
      <c r="Q256" s="29" t="s">
        <v>1428</v>
      </c>
      <c r="R256" s="31">
        <v>1.79</v>
      </c>
      <c r="S256" s="31">
        <f t="shared" si="5"/>
        <v>15.4221454955255</v>
      </c>
      <c r="T256" s="157" t="s">
        <v>6106</v>
      </c>
      <c r="U256" s="25" t="s">
        <v>6107</v>
      </c>
    </row>
    <row r="257" s="989" customFormat="1" ht="15" spans="1:21">
      <c r="A257" s="1060"/>
      <c r="B257" s="123"/>
      <c r="C257" s="123"/>
      <c r="D257" s="123"/>
      <c r="E257" s="123"/>
      <c r="F257" s="123" t="s">
        <v>6113</v>
      </c>
      <c r="G257" s="123" t="s">
        <v>3540</v>
      </c>
      <c r="H257" s="28" t="s">
        <v>6098</v>
      </c>
      <c r="I257" s="29" t="s">
        <v>6105</v>
      </c>
      <c r="J257" s="29" t="s">
        <v>1428</v>
      </c>
      <c r="K257" s="29" t="s">
        <v>1428</v>
      </c>
      <c r="L257" s="1005" t="s">
        <v>1428</v>
      </c>
      <c r="M257" s="700">
        <v>2.9</v>
      </c>
      <c r="N257" s="29" t="s">
        <v>1428</v>
      </c>
      <c r="O257" s="31">
        <v>2.4236849955255</v>
      </c>
      <c r="P257" s="31">
        <v>8.03940886699507</v>
      </c>
      <c r="Q257" s="29" t="s">
        <v>1428</v>
      </c>
      <c r="R257" s="31">
        <v>1.79</v>
      </c>
      <c r="S257" s="31">
        <f t="shared" si="5"/>
        <v>15.1530938625206</v>
      </c>
      <c r="T257" s="157" t="s">
        <v>6106</v>
      </c>
      <c r="U257" s="25" t="s">
        <v>6107</v>
      </c>
    </row>
    <row r="258" s="989" customFormat="1" ht="15" spans="1:21">
      <c r="A258" s="1060"/>
      <c r="B258" s="123"/>
      <c r="C258" s="123"/>
      <c r="D258" s="123"/>
      <c r="E258" s="123"/>
      <c r="F258" s="123" t="s">
        <v>6114</v>
      </c>
      <c r="G258" s="123" t="s">
        <v>3540</v>
      </c>
      <c r="H258" s="28" t="s">
        <v>6098</v>
      </c>
      <c r="I258" s="29" t="s">
        <v>6105</v>
      </c>
      <c r="J258" s="29" t="s">
        <v>1428</v>
      </c>
      <c r="K258" s="29" t="s">
        <v>1428</v>
      </c>
      <c r="L258" s="1005" t="s">
        <v>1428</v>
      </c>
      <c r="M258" s="700">
        <v>2.9</v>
      </c>
      <c r="N258" s="29" t="s">
        <v>1428</v>
      </c>
      <c r="O258" s="31">
        <v>2.4236849955255</v>
      </c>
      <c r="P258" s="31">
        <v>7.19211822660099</v>
      </c>
      <c r="Q258" s="29" t="s">
        <v>1428</v>
      </c>
      <c r="R258" s="31">
        <v>1.79</v>
      </c>
      <c r="S258" s="31">
        <f t="shared" si="5"/>
        <v>14.3058032221265</v>
      </c>
      <c r="T258" s="157" t="s">
        <v>6106</v>
      </c>
      <c r="U258" s="25" t="s">
        <v>6115</v>
      </c>
    </row>
    <row r="259" s="989" customFormat="1" ht="15" spans="1:21">
      <c r="A259" s="1060"/>
      <c r="B259" s="123"/>
      <c r="C259" s="123"/>
      <c r="D259" s="123"/>
      <c r="E259" s="123"/>
      <c r="F259" s="123" t="s">
        <v>6116</v>
      </c>
      <c r="G259" s="123" t="s">
        <v>3540</v>
      </c>
      <c r="H259" s="28" t="s">
        <v>6098</v>
      </c>
      <c r="I259" s="29" t="s">
        <v>6105</v>
      </c>
      <c r="J259" s="29" t="s">
        <v>1428</v>
      </c>
      <c r="K259" s="29" t="s">
        <v>1428</v>
      </c>
      <c r="L259" s="1005" t="s">
        <v>1428</v>
      </c>
      <c r="M259" s="29" t="s">
        <v>1428</v>
      </c>
      <c r="N259" s="29" t="s">
        <v>1428</v>
      </c>
      <c r="O259" s="31">
        <v>2.4236849955255</v>
      </c>
      <c r="P259" s="31">
        <v>4.33652768020891</v>
      </c>
      <c r="Q259" s="29" t="s">
        <v>1428</v>
      </c>
      <c r="R259" s="31">
        <v>1.80969383427818</v>
      </c>
      <c r="S259" s="31">
        <f t="shared" si="5"/>
        <v>8.56990651001259</v>
      </c>
      <c r="T259" s="157" t="s">
        <v>6117</v>
      </c>
      <c r="U259" s="27" t="s">
        <v>6118</v>
      </c>
    </row>
    <row r="260" s="989" customFormat="1" ht="15" spans="1:21">
      <c r="A260" s="1060"/>
      <c r="B260" s="123"/>
      <c r="C260" s="123"/>
      <c r="D260" s="123"/>
      <c r="E260" s="123"/>
      <c r="F260" s="123" t="s">
        <v>6119</v>
      </c>
      <c r="G260" s="123" t="s">
        <v>3540</v>
      </c>
      <c r="H260" s="28" t="s">
        <v>6120</v>
      </c>
      <c r="I260" s="29" t="s">
        <v>6105</v>
      </c>
      <c r="J260" s="29" t="s">
        <v>1428</v>
      </c>
      <c r="K260" s="29" t="s">
        <v>1428</v>
      </c>
      <c r="L260" s="1005">
        <v>1.4</v>
      </c>
      <c r="M260" s="29" t="s">
        <v>1428</v>
      </c>
      <c r="N260" s="29" t="s">
        <v>1428</v>
      </c>
      <c r="O260" s="31">
        <v>2.4236849955255</v>
      </c>
      <c r="P260" s="31">
        <v>4.18263790218952</v>
      </c>
      <c r="Q260" s="29" t="s">
        <v>1428</v>
      </c>
      <c r="R260" s="31">
        <v>1.80969383427818</v>
      </c>
      <c r="S260" s="31">
        <f t="shared" si="5"/>
        <v>9.8160167319932</v>
      </c>
      <c r="T260" s="157" t="s">
        <v>6117</v>
      </c>
      <c r="U260" s="27" t="s">
        <v>6121</v>
      </c>
    </row>
    <row r="261" s="989" customFormat="1" ht="15" spans="1:21">
      <c r="A261" s="1060"/>
      <c r="B261" s="123"/>
      <c r="C261" s="123"/>
      <c r="D261" s="123"/>
      <c r="E261" s="123"/>
      <c r="F261" s="123" t="s">
        <v>6122</v>
      </c>
      <c r="G261" s="123" t="s">
        <v>3540</v>
      </c>
      <c r="H261" s="28" t="s">
        <v>6120</v>
      </c>
      <c r="I261" s="29" t="s">
        <v>6105</v>
      </c>
      <c r="J261" s="29" t="s">
        <v>1428</v>
      </c>
      <c r="K261" s="29" t="s">
        <v>1428</v>
      </c>
      <c r="L261" s="1005">
        <v>1.4</v>
      </c>
      <c r="M261" s="29" t="s">
        <v>1428</v>
      </c>
      <c r="N261" s="29" t="s">
        <v>1428</v>
      </c>
      <c r="O261" s="31">
        <v>2.4236849955255</v>
      </c>
      <c r="P261" s="31">
        <v>4.17813926939644</v>
      </c>
      <c r="Q261" s="29" t="s">
        <v>1428</v>
      </c>
      <c r="R261" s="31">
        <v>1.80969383427818</v>
      </c>
      <c r="S261" s="31">
        <f t="shared" si="5"/>
        <v>9.81151809920012</v>
      </c>
      <c r="T261" s="157" t="s">
        <v>6117</v>
      </c>
      <c r="U261" s="27" t="s">
        <v>6121</v>
      </c>
    </row>
    <row r="262" s="989" customFormat="1" ht="15" spans="1:21">
      <c r="A262" s="1005"/>
      <c r="B262" s="1035" t="s">
        <v>6123</v>
      </c>
      <c r="C262" s="1035"/>
      <c r="D262" s="1035"/>
      <c r="E262" s="1035"/>
      <c r="F262" s="123" t="s">
        <v>6124</v>
      </c>
      <c r="G262" s="123" t="s">
        <v>3540</v>
      </c>
      <c r="H262" s="28" t="s">
        <v>6098</v>
      </c>
      <c r="I262" s="29" t="s">
        <v>6125</v>
      </c>
      <c r="J262" s="29" t="s">
        <v>6100</v>
      </c>
      <c r="K262" s="29" t="s">
        <v>1428</v>
      </c>
      <c r="L262" s="1005" t="s">
        <v>1428</v>
      </c>
      <c r="M262" s="700">
        <v>2.9</v>
      </c>
      <c r="N262" s="29">
        <v>0</v>
      </c>
      <c r="O262" s="31">
        <v>2.706</v>
      </c>
      <c r="P262" s="31">
        <v>9.23</v>
      </c>
      <c r="Q262" s="29" t="s">
        <v>1428</v>
      </c>
      <c r="R262" s="31">
        <v>2.05</v>
      </c>
      <c r="S262" s="31">
        <f t="shared" si="5"/>
        <v>16.886</v>
      </c>
      <c r="T262" s="123" t="s">
        <v>6038</v>
      </c>
      <c r="U262" s="27" t="s">
        <v>6101</v>
      </c>
    </row>
    <row r="263" s="989" customFormat="1" ht="15" spans="1:21">
      <c r="A263" s="1005"/>
      <c r="B263" s="1036"/>
      <c r="C263" s="1036"/>
      <c r="D263" s="1036"/>
      <c r="E263" s="1036"/>
      <c r="F263" s="123" t="s">
        <v>6126</v>
      </c>
      <c r="G263" s="123" t="s">
        <v>3540</v>
      </c>
      <c r="H263" s="28" t="s">
        <v>6098</v>
      </c>
      <c r="I263" s="29" t="s">
        <v>6125</v>
      </c>
      <c r="J263" s="29" t="s">
        <v>6100</v>
      </c>
      <c r="K263" s="29" t="s">
        <v>1428</v>
      </c>
      <c r="L263" s="1005" t="s">
        <v>1428</v>
      </c>
      <c r="M263" s="700">
        <v>2.9</v>
      </c>
      <c r="N263" s="29">
        <v>0</v>
      </c>
      <c r="O263" s="31">
        <v>2.706</v>
      </c>
      <c r="P263" s="31">
        <v>8.36</v>
      </c>
      <c r="Q263" s="29" t="s">
        <v>1428</v>
      </c>
      <c r="R263" s="31">
        <v>2.05</v>
      </c>
      <c r="S263" s="31">
        <f t="shared" si="5"/>
        <v>16.016</v>
      </c>
      <c r="T263" s="123" t="s">
        <v>6038</v>
      </c>
      <c r="U263" s="27" t="s">
        <v>6103</v>
      </c>
    </row>
    <row r="264" s="989" customFormat="1" ht="15" spans="1:21">
      <c r="A264" s="1005"/>
      <c r="B264" s="1059" t="s">
        <v>6127</v>
      </c>
      <c r="C264" s="1059"/>
      <c r="D264" s="1059"/>
      <c r="E264" s="1059"/>
      <c r="F264" s="123" t="s">
        <v>6128</v>
      </c>
      <c r="G264" s="123" t="s">
        <v>3540</v>
      </c>
      <c r="H264" s="28" t="s">
        <v>6098</v>
      </c>
      <c r="I264" s="29" t="s">
        <v>6037</v>
      </c>
      <c r="J264" s="29" t="s">
        <v>5813</v>
      </c>
      <c r="K264" s="29" t="s">
        <v>1428</v>
      </c>
      <c r="L264" s="1005" t="s">
        <v>1428</v>
      </c>
      <c r="M264" s="700">
        <v>2.9</v>
      </c>
      <c r="N264" s="29" t="s">
        <v>1428</v>
      </c>
      <c r="O264" s="31">
        <v>0.792</v>
      </c>
      <c r="P264" s="31">
        <v>5.8277</v>
      </c>
      <c r="Q264" s="29" t="s">
        <v>1428</v>
      </c>
      <c r="R264" s="31">
        <v>1.61</v>
      </c>
      <c r="S264" s="31">
        <f t="shared" si="5"/>
        <v>11.1297</v>
      </c>
      <c r="T264" s="123" t="s">
        <v>6038</v>
      </c>
      <c r="U264" s="27" t="s">
        <v>6129</v>
      </c>
    </row>
    <row r="265" s="989" customFormat="1" ht="15" spans="1:21">
      <c r="A265" s="1005"/>
      <c r="B265" s="1036"/>
      <c r="C265" s="1036"/>
      <c r="D265" s="1036"/>
      <c r="E265" s="1036"/>
      <c r="F265" s="123" t="s">
        <v>6130</v>
      </c>
      <c r="G265" s="123" t="s">
        <v>3540</v>
      </c>
      <c r="H265" s="28" t="s">
        <v>6098</v>
      </c>
      <c r="I265" s="29" t="s">
        <v>6069</v>
      </c>
      <c r="J265" s="29" t="s">
        <v>5813</v>
      </c>
      <c r="K265" s="29" t="s">
        <v>1428</v>
      </c>
      <c r="L265" s="1005" t="s">
        <v>1428</v>
      </c>
      <c r="M265" s="1006" t="s">
        <v>4671</v>
      </c>
      <c r="N265" s="29" t="s">
        <v>1428</v>
      </c>
      <c r="O265" s="31">
        <v>0.792</v>
      </c>
      <c r="P265" s="31">
        <v>5.8277</v>
      </c>
      <c r="Q265" s="29" t="s">
        <v>1428</v>
      </c>
      <c r="R265" s="31">
        <v>1.61</v>
      </c>
      <c r="S265" s="31">
        <f t="shared" si="5"/>
        <v>8.2297</v>
      </c>
      <c r="T265" s="157" t="s">
        <v>6043</v>
      </c>
      <c r="U265" s="27" t="s">
        <v>6131</v>
      </c>
    </row>
    <row r="266" s="989" customFormat="1" ht="15" spans="1:21">
      <c r="A266" s="1005"/>
      <c r="B266" s="27" t="s">
        <v>6132</v>
      </c>
      <c r="C266" s="27"/>
      <c r="D266" s="27"/>
      <c r="E266" s="27"/>
      <c r="F266" s="123" t="s">
        <v>6133</v>
      </c>
      <c r="G266" s="123" t="s">
        <v>1933</v>
      </c>
      <c r="H266" s="28" t="s">
        <v>6081</v>
      </c>
      <c r="I266" s="29" t="s">
        <v>3425</v>
      </c>
      <c r="J266" s="29" t="s">
        <v>5813</v>
      </c>
      <c r="K266" s="30" t="s">
        <v>1428</v>
      </c>
      <c r="L266" s="1005" t="s">
        <v>1428</v>
      </c>
      <c r="M266" s="700">
        <v>2.9</v>
      </c>
      <c r="N266" s="29" t="s">
        <v>1428</v>
      </c>
      <c r="O266" s="31">
        <v>4.103</v>
      </c>
      <c r="P266" s="31">
        <v>18.77908</v>
      </c>
      <c r="Q266" s="29" t="s">
        <v>1428</v>
      </c>
      <c r="R266" s="31">
        <v>2.7375</v>
      </c>
      <c r="S266" s="31">
        <f t="shared" si="5"/>
        <v>28.51958</v>
      </c>
      <c r="T266" s="157" t="s">
        <v>3800</v>
      </c>
      <c r="U266" s="27" t="s">
        <v>6134</v>
      </c>
    </row>
    <row r="267" s="989" customFormat="1" ht="15" spans="1:21">
      <c r="A267" s="1005"/>
      <c r="B267" s="1035" t="s">
        <v>6135</v>
      </c>
      <c r="C267" s="1035"/>
      <c r="D267" s="1035"/>
      <c r="E267" s="1035"/>
      <c r="F267" s="123" t="s">
        <v>6136</v>
      </c>
      <c r="G267" s="123" t="s">
        <v>1933</v>
      </c>
      <c r="H267" s="28" t="s">
        <v>6081</v>
      </c>
      <c r="I267" s="29" t="s">
        <v>6137</v>
      </c>
      <c r="J267" s="29" t="s">
        <v>5813</v>
      </c>
      <c r="K267" s="30" t="s">
        <v>1428</v>
      </c>
      <c r="L267" s="1005" t="s">
        <v>1428</v>
      </c>
      <c r="M267" s="700">
        <v>2.9</v>
      </c>
      <c r="N267" s="29" t="s">
        <v>1428</v>
      </c>
      <c r="O267" s="31">
        <v>4.27042</v>
      </c>
      <c r="P267" s="31">
        <v>11.49092</v>
      </c>
      <c r="Q267" s="29" t="s">
        <v>1428</v>
      </c>
      <c r="R267" s="31">
        <v>3.01</v>
      </c>
      <c r="S267" s="31">
        <f t="shared" si="5"/>
        <v>21.67134</v>
      </c>
      <c r="T267" s="123" t="s">
        <v>6038</v>
      </c>
      <c r="U267" s="123" t="s">
        <v>6138</v>
      </c>
    </row>
    <row r="268" s="989" customFormat="1" ht="15" spans="1:21">
      <c r="A268" s="1005"/>
      <c r="B268" s="1036"/>
      <c r="C268" s="1036"/>
      <c r="D268" s="1036"/>
      <c r="E268" s="1036"/>
      <c r="F268" s="123" t="s">
        <v>6139</v>
      </c>
      <c r="G268" s="123" t="s">
        <v>1933</v>
      </c>
      <c r="H268" s="28" t="s">
        <v>6081</v>
      </c>
      <c r="I268" s="29" t="s">
        <v>3463</v>
      </c>
      <c r="J268" s="29" t="s">
        <v>5813</v>
      </c>
      <c r="K268" s="30" t="s">
        <v>1428</v>
      </c>
      <c r="L268" s="1005" t="s">
        <v>1428</v>
      </c>
      <c r="M268" s="1006" t="s">
        <v>4671</v>
      </c>
      <c r="N268" s="29" t="s">
        <v>1428</v>
      </c>
      <c r="O268" s="31">
        <v>4.27042</v>
      </c>
      <c r="P268" s="31">
        <v>12.68762</v>
      </c>
      <c r="Q268" s="29" t="s">
        <v>1428</v>
      </c>
      <c r="R268" s="31">
        <v>3.01</v>
      </c>
      <c r="S268" s="31">
        <f t="shared" si="5"/>
        <v>19.96804</v>
      </c>
      <c r="T268" s="123" t="s">
        <v>5848</v>
      </c>
      <c r="U268" s="123" t="s">
        <v>6140</v>
      </c>
    </row>
    <row r="269" s="989" customFormat="1" ht="15" spans="1:21">
      <c r="A269" s="1005"/>
      <c r="B269" s="1035" t="s">
        <v>6141</v>
      </c>
      <c r="C269" s="1035"/>
      <c r="D269" s="1035"/>
      <c r="E269" s="1035"/>
      <c r="F269" s="123" t="s">
        <v>6142</v>
      </c>
      <c r="G269" s="123" t="s">
        <v>1933</v>
      </c>
      <c r="H269" s="28" t="s">
        <v>6094</v>
      </c>
      <c r="I269" s="29" t="s">
        <v>3425</v>
      </c>
      <c r="J269" s="29" t="s">
        <v>5813</v>
      </c>
      <c r="K269" s="29" t="s">
        <v>1428</v>
      </c>
      <c r="L269" s="1005" t="s">
        <v>1428</v>
      </c>
      <c r="M269" s="700">
        <v>2.9</v>
      </c>
      <c r="N269" s="29" t="s">
        <v>1428</v>
      </c>
      <c r="O269" s="31">
        <v>4.25909</v>
      </c>
      <c r="P269" s="31">
        <v>16.70151</v>
      </c>
      <c r="Q269" s="29" t="s">
        <v>1428</v>
      </c>
      <c r="R269" s="31">
        <v>2.73</v>
      </c>
      <c r="S269" s="31">
        <f t="shared" si="5"/>
        <v>26.5906</v>
      </c>
      <c r="T269" s="157" t="s">
        <v>3800</v>
      </c>
      <c r="U269" s="123" t="s">
        <v>6143</v>
      </c>
    </row>
    <row r="270" s="989" customFormat="1" ht="15" spans="1:21">
      <c r="A270" s="1005"/>
      <c r="B270" s="1036"/>
      <c r="C270" s="1036"/>
      <c r="D270" s="1036"/>
      <c r="E270" s="1036"/>
      <c r="F270" s="123" t="s">
        <v>6144</v>
      </c>
      <c r="G270" s="123" t="s">
        <v>1933</v>
      </c>
      <c r="H270" s="28" t="s">
        <v>6145</v>
      </c>
      <c r="I270" s="29" t="s">
        <v>3425</v>
      </c>
      <c r="J270" s="29" t="s">
        <v>5813</v>
      </c>
      <c r="K270" s="29" t="s">
        <v>1428</v>
      </c>
      <c r="L270" s="1005" t="s">
        <v>1428</v>
      </c>
      <c r="M270" s="700">
        <v>2.9</v>
      </c>
      <c r="N270" s="29" t="s">
        <v>1428</v>
      </c>
      <c r="O270" s="31">
        <v>4.25909</v>
      </c>
      <c r="P270" s="31">
        <v>17.36</v>
      </c>
      <c r="Q270" s="29" t="s">
        <v>1428</v>
      </c>
      <c r="R270" s="31">
        <v>2.73</v>
      </c>
      <c r="S270" s="31">
        <f t="shared" si="5"/>
        <v>27.24909</v>
      </c>
      <c r="T270" s="157" t="s">
        <v>3800</v>
      </c>
      <c r="U270" s="123" t="s">
        <v>6146</v>
      </c>
    </row>
    <row r="271" s="989" customFormat="1" ht="15" spans="1:21">
      <c r="A271" s="1061"/>
      <c r="B271" s="123" t="s">
        <v>6147</v>
      </c>
      <c r="C271" s="123"/>
      <c r="D271" s="29"/>
      <c r="E271" s="123" t="s">
        <v>6148</v>
      </c>
      <c r="F271" s="25" t="s">
        <v>1667</v>
      </c>
      <c r="G271" s="25" t="s">
        <v>1933</v>
      </c>
      <c r="H271" s="28" t="s">
        <v>6149</v>
      </c>
      <c r="I271" s="29" t="s">
        <v>5865</v>
      </c>
      <c r="J271" s="29" t="s">
        <v>5813</v>
      </c>
      <c r="K271" s="29" t="s">
        <v>1428</v>
      </c>
      <c r="L271" s="1005" t="s">
        <v>1428</v>
      </c>
      <c r="M271" s="29" t="s">
        <v>1428</v>
      </c>
      <c r="N271" s="29">
        <v>3.5</v>
      </c>
      <c r="O271" s="31">
        <v>2.44334975369458</v>
      </c>
      <c r="P271" s="31">
        <v>12.9162561576355</v>
      </c>
      <c r="Q271" s="29" t="s">
        <v>1428</v>
      </c>
      <c r="R271" s="31">
        <v>0.279300980640027</v>
      </c>
      <c r="S271" s="31">
        <f t="shared" si="5"/>
        <v>19.1389068919701</v>
      </c>
      <c r="T271" s="123" t="s">
        <v>6150</v>
      </c>
      <c r="U271" s="123" t="s">
        <v>6151</v>
      </c>
    </row>
    <row r="272" s="989" customFormat="1" spans="1:21">
      <c r="A272" s="1061"/>
      <c r="B272" s="1036"/>
      <c r="C272" s="123"/>
      <c r="D272" s="29"/>
      <c r="E272" s="123" t="s">
        <v>6152</v>
      </c>
      <c r="F272" s="25" t="s">
        <v>6153</v>
      </c>
      <c r="G272" s="25"/>
      <c r="H272" s="28"/>
      <c r="I272" s="29"/>
      <c r="J272" s="29"/>
      <c r="K272" s="29"/>
      <c r="L272" s="1005"/>
      <c r="M272" s="29"/>
      <c r="N272" s="29"/>
      <c r="O272" s="31">
        <v>0.3729</v>
      </c>
      <c r="P272" s="31">
        <v>0.8885</v>
      </c>
      <c r="Q272" s="29" t="s">
        <v>1428</v>
      </c>
      <c r="R272" s="31">
        <v>0.36</v>
      </c>
      <c r="S272" s="31">
        <f t="shared" ref="S272:S335" si="6">SUM(K272:R272)</f>
        <v>1.6214</v>
      </c>
      <c r="T272" s="123"/>
      <c r="U272" s="123"/>
    </row>
    <row r="273" s="989" customFormat="1" ht="15" spans="1:21">
      <c r="A273" s="1061"/>
      <c r="B273" s="123" t="s">
        <v>6154</v>
      </c>
      <c r="C273" s="123"/>
      <c r="D273" s="29"/>
      <c r="E273" s="123" t="s">
        <v>6155</v>
      </c>
      <c r="F273" s="25" t="s">
        <v>1629</v>
      </c>
      <c r="G273" s="123" t="s">
        <v>1933</v>
      </c>
      <c r="H273" s="28" t="s">
        <v>6149</v>
      </c>
      <c r="I273" s="29" t="s">
        <v>3656</v>
      </c>
      <c r="J273" s="29" t="s">
        <v>4687</v>
      </c>
      <c r="K273" s="29" t="s">
        <v>1428</v>
      </c>
      <c r="L273" s="1005" t="s">
        <v>1428</v>
      </c>
      <c r="M273" s="29" t="s">
        <v>1428</v>
      </c>
      <c r="N273" s="29">
        <v>3.5</v>
      </c>
      <c r="O273" s="31">
        <v>3.00492610837438</v>
      </c>
      <c r="P273" s="31">
        <v>14.0788177339901</v>
      </c>
      <c r="Q273" s="29" t="s">
        <v>1428</v>
      </c>
      <c r="R273" s="31">
        <v>0.279300980640027</v>
      </c>
      <c r="S273" s="31">
        <f t="shared" si="6"/>
        <v>20.8630448230045</v>
      </c>
      <c r="T273" s="157" t="s">
        <v>5866</v>
      </c>
      <c r="U273" s="123" t="s">
        <v>6156</v>
      </c>
    </row>
    <row r="274" s="989" customFormat="1" ht="15" spans="1:21">
      <c r="A274" s="1061"/>
      <c r="B274" s="27" t="s">
        <v>6157</v>
      </c>
      <c r="C274" s="123"/>
      <c r="D274" s="29"/>
      <c r="E274" s="123" t="s">
        <v>6158</v>
      </c>
      <c r="F274" s="25" t="s">
        <v>2427</v>
      </c>
      <c r="G274" s="123" t="s">
        <v>1933</v>
      </c>
      <c r="H274" s="28" t="s">
        <v>6159</v>
      </c>
      <c r="I274" s="29" t="s">
        <v>5987</v>
      </c>
      <c r="J274" s="29" t="s">
        <v>3750</v>
      </c>
      <c r="K274" s="29" t="s">
        <v>1428</v>
      </c>
      <c r="L274" s="1005" t="s">
        <v>1428</v>
      </c>
      <c r="M274" s="29" t="s">
        <v>1428</v>
      </c>
      <c r="N274" s="29">
        <v>2</v>
      </c>
      <c r="O274" s="31">
        <v>3.53694581280788</v>
      </c>
      <c r="P274" s="31">
        <v>13.1133004926108</v>
      </c>
      <c r="Q274" s="29" t="s">
        <v>1428</v>
      </c>
      <c r="R274" s="31">
        <v>0.279300980640027</v>
      </c>
      <c r="S274" s="31">
        <f t="shared" si="6"/>
        <v>18.9295472860587</v>
      </c>
      <c r="T274" s="157" t="s">
        <v>5989</v>
      </c>
      <c r="U274" s="123" t="s">
        <v>6160</v>
      </c>
    </row>
    <row r="275" s="989" customFormat="1" ht="15" spans="1:21">
      <c r="A275" s="1061"/>
      <c r="B275" s="27" t="s">
        <v>6161</v>
      </c>
      <c r="C275" s="123"/>
      <c r="D275" s="29"/>
      <c r="E275" s="123" t="s">
        <v>6162</v>
      </c>
      <c r="F275" s="25" t="s">
        <v>1604</v>
      </c>
      <c r="G275" s="123" t="s">
        <v>1933</v>
      </c>
      <c r="H275" s="28" t="s">
        <v>6163</v>
      </c>
      <c r="I275" s="29" t="s">
        <v>3436</v>
      </c>
      <c r="J275" s="29" t="s">
        <v>3787</v>
      </c>
      <c r="K275" s="29" t="s">
        <v>1428</v>
      </c>
      <c r="L275" s="1062" t="s">
        <v>1428</v>
      </c>
      <c r="M275" s="29" t="s">
        <v>1428</v>
      </c>
      <c r="N275" s="29">
        <v>3.5</v>
      </c>
      <c r="O275" s="31">
        <v>4.97536945812808</v>
      </c>
      <c r="P275" s="31">
        <v>11.8226600985222</v>
      </c>
      <c r="Q275" s="29" t="s">
        <v>1428</v>
      </c>
      <c r="R275" s="31">
        <v>2.72740954507072</v>
      </c>
      <c r="S275" s="31">
        <f t="shared" si="6"/>
        <v>23.025439101721</v>
      </c>
      <c r="T275" s="123" t="s">
        <v>4678</v>
      </c>
      <c r="U275" s="123" t="s">
        <v>6164</v>
      </c>
    </row>
    <row r="276" s="989" customFormat="1" spans="1:21">
      <c r="A276" s="1061"/>
      <c r="B276" s="27"/>
      <c r="C276" s="123"/>
      <c r="D276" s="29"/>
      <c r="E276" s="123" t="s">
        <v>6165</v>
      </c>
      <c r="F276" s="25" t="s">
        <v>6166</v>
      </c>
      <c r="G276" s="25"/>
      <c r="H276" s="28"/>
      <c r="I276" s="29"/>
      <c r="J276" s="29"/>
      <c r="K276" s="29"/>
      <c r="L276" s="1005"/>
      <c r="M276" s="29"/>
      <c r="N276" s="29"/>
      <c r="O276" s="31">
        <v>0.35</v>
      </c>
      <c r="P276" s="31">
        <v>1</v>
      </c>
      <c r="Q276" s="147" t="s">
        <v>1428</v>
      </c>
      <c r="R276" s="31">
        <v>0.2</v>
      </c>
      <c r="S276" s="31">
        <f t="shared" si="6"/>
        <v>1.55</v>
      </c>
      <c r="T276" s="123"/>
      <c r="U276" s="123"/>
    </row>
    <row r="277" s="989" customFormat="1" ht="15" spans="1:21">
      <c r="A277" s="1061"/>
      <c r="B277" s="27" t="s">
        <v>6167</v>
      </c>
      <c r="C277" s="123"/>
      <c r="D277" s="29"/>
      <c r="E277" s="123" t="s">
        <v>6168</v>
      </c>
      <c r="F277" s="25" t="s">
        <v>1669</v>
      </c>
      <c r="G277" s="123" t="s">
        <v>1933</v>
      </c>
      <c r="H277" s="28" t="s">
        <v>6159</v>
      </c>
      <c r="I277" s="29" t="s">
        <v>6169</v>
      </c>
      <c r="J277" s="29" t="s">
        <v>3891</v>
      </c>
      <c r="K277" s="29" t="s">
        <v>1428</v>
      </c>
      <c r="L277" s="1005" t="s">
        <v>1428</v>
      </c>
      <c r="M277" s="29" t="s">
        <v>1428</v>
      </c>
      <c r="N277" s="29">
        <v>3.5</v>
      </c>
      <c r="O277" s="31">
        <v>2.63</v>
      </c>
      <c r="P277" s="31">
        <v>12.8669950738916</v>
      </c>
      <c r="Q277" s="29" t="s">
        <v>1428</v>
      </c>
      <c r="R277" s="31">
        <v>3.13580913701371</v>
      </c>
      <c r="S277" s="31">
        <f t="shared" si="6"/>
        <v>22.1328042109053</v>
      </c>
      <c r="T277" s="157" t="s">
        <v>6070</v>
      </c>
      <c r="U277" s="123" t="s">
        <v>6170</v>
      </c>
    </row>
    <row r="278" s="989" customFormat="1" spans="1:21">
      <c r="A278" s="1061"/>
      <c r="B278" s="27"/>
      <c r="C278" s="123"/>
      <c r="D278" s="29"/>
      <c r="E278" s="123" t="s">
        <v>6171</v>
      </c>
      <c r="F278" s="25" t="s">
        <v>5843</v>
      </c>
      <c r="G278" s="123"/>
      <c r="H278" s="28"/>
      <c r="I278" s="29"/>
      <c r="J278" s="29"/>
      <c r="K278" s="29"/>
      <c r="L278" s="1005"/>
      <c r="M278" s="29"/>
      <c r="N278" s="29"/>
      <c r="O278" s="31">
        <v>0.55</v>
      </c>
      <c r="P278" s="31">
        <v>2.39</v>
      </c>
      <c r="Q278" s="147" t="s">
        <v>1428</v>
      </c>
      <c r="R278" s="31">
        <v>0.2</v>
      </c>
      <c r="S278" s="31">
        <f t="shared" si="6"/>
        <v>3.14</v>
      </c>
      <c r="T278" s="157"/>
      <c r="U278" s="123"/>
    </row>
    <row r="279" s="990" customFormat="1" ht="15" spans="1:21">
      <c r="A279" s="1061"/>
      <c r="B279" s="1035" t="s">
        <v>6172</v>
      </c>
      <c r="C279" s="123"/>
      <c r="D279" s="29"/>
      <c r="E279" s="123" t="s">
        <v>6173</v>
      </c>
      <c r="F279" s="123" t="s">
        <v>1571</v>
      </c>
      <c r="G279" s="123" t="s">
        <v>1933</v>
      </c>
      <c r="H279" s="28" t="s">
        <v>3785</v>
      </c>
      <c r="I279" s="29" t="s">
        <v>3898</v>
      </c>
      <c r="J279" s="29" t="s">
        <v>3787</v>
      </c>
      <c r="K279" s="29" t="s">
        <v>1428</v>
      </c>
      <c r="L279" s="1005" t="s">
        <v>1428</v>
      </c>
      <c r="M279" s="65">
        <v>6.6</v>
      </c>
      <c r="N279" s="29">
        <v>3.5</v>
      </c>
      <c r="O279" s="31">
        <v>2.64039408866995</v>
      </c>
      <c r="P279" s="31">
        <v>13.2315270935961</v>
      </c>
      <c r="Q279" s="29" t="s">
        <v>1428</v>
      </c>
      <c r="R279" s="31">
        <v>2.51370882576022</v>
      </c>
      <c r="S279" s="31">
        <f t="shared" si="6"/>
        <v>28.4856300080263</v>
      </c>
      <c r="T279" s="123" t="s">
        <v>5814</v>
      </c>
      <c r="U279" s="123" t="s">
        <v>6174</v>
      </c>
    </row>
    <row r="280" s="991" customFormat="1" ht="15" spans="1:21">
      <c r="A280" s="1061"/>
      <c r="B280" s="1059"/>
      <c r="C280" s="123"/>
      <c r="D280" s="29"/>
      <c r="E280" s="123" t="s">
        <v>6175</v>
      </c>
      <c r="F280" s="1024" t="s">
        <v>6176</v>
      </c>
      <c r="G280" s="1024"/>
      <c r="H280" s="1046"/>
      <c r="I280" s="147"/>
      <c r="J280" s="147"/>
      <c r="K280" s="147"/>
      <c r="L280" s="1022"/>
      <c r="M280" s="147"/>
      <c r="N280" s="147"/>
      <c r="O280" s="1023">
        <v>0.693</v>
      </c>
      <c r="P280" s="31">
        <v>3.88177339901478</v>
      </c>
      <c r="Q280" s="147" t="s">
        <v>1428</v>
      </c>
      <c r="R280" s="31">
        <v>0.4</v>
      </c>
      <c r="S280" s="31">
        <f t="shared" si="6"/>
        <v>4.97477339901478</v>
      </c>
      <c r="T280" s="146"/>
      <c r="U280" s="123" t="s">
        <v>6177</v>
      </c>
    </row>
    <row r="281" s="989" customFormat="1" ht="15" spans="1:21">
      <c r="A281" s="1061"/>
      <c r="B281" s="1059"/>
      <c r="C281" s="123"/>
      <c r="D281" s="29"/>
      <c r="E281" s="123" t="s">
        <v>6178</v>
      </c>
      <c r="F281" s="25" t="s">
        <v>6179</v>
      </c>
      <c r="G281" s="25"/>
      <c r="H281" s="28"/>
      <c r="I281" s="29"/>
      <c r="J281" s="29"/>
      <c r="K281" s="29"/>
      <c r="L281" s="1005"/>
      <c r="M281" s="29"/>
      <c r="N281" s="29"/>
      <c r="O281" s="31">
        <v>0.3729</v>
      </c>
      <c r="P281" s="31">
        <v>1.4137</v>
      </c>
      <c r="Q281" s="29" t="s">
        <v>1428</v>
      </c>
      <c r="R281" s="31">
        <v>0.2</v>
      </c>
      <c r="S281" s="31">
        <f t="shared" si="6"/>
        <v>1.9866</v>
      </c>
      <c r="T281" s="123"/>
      <c r="U281" s="123"/>
    </row>
    <row r="282" s="989" customFormat="1" ht="15" spans="1:21">
      <c r="A282" s="1061"/>
      <c r="B282" s="1059"/>
      <c r="C282" s="123"/>
      <c r="D282" s="29"/>
      <c r="E282" s="123" t="s">
        <v>6180</v>
      </c>
      <c r="F282" s="25" t="s">
        <v>6181</v>
      </c>
      <c r="G282" s="25"/>
      <c r="H282" s="28"/>
      <c r="I282" s="29"/>
      <c r="J282" s="29"/>
      <c r="K282" s="29"/>
      <c r="L282" s="1005"/>
      <c r="M282" s="29"/>
      <c r="N282" s="29"/>
      <c r="O282" s="31">
        <v>0.42955</v>
      </c>
      <c r="P282" s="31">
        <v>1.08242</v>
      </c>
      <c r="Q282" s="29" t="s">
        <v>1428</v>
      </c>
      <c r="R282" s="31">
        <v>0.2</v>
      </c>
      <c r="S282" s="31">
        <f t="shared" si="6"/>
        <v>1.71197</v>
      </c>
      <c r="T282" s="123"/>
      <c r="U282" s="123"/>
    </row>
    <row r="283" s="989" customFormat="1" ht="15" spans="1:21">
      <c r="A283" s="1061"/>
      <c r="B283" s="1059"/>
      <c r="C283" s="123"/>
      <c r="D283" s="29"/>
      <c r="E283" s="123" t="s">
        <v>6182</v>
      </c>
      <c r="F283" s="25" t="s">
        <v>6183</v>
      </c>
      <c r="G283" s="25"/>
      <c r="H283" s="28"/>
      <c r="I283" s="29"/>
      <c r="J283" s="29"/>
      <c r="K283" s="29"/>
      <c r="L283" s="1005"/>
      <c r="M283" s="29"/>
      <c r="N283" s="29"/>
      <c r="O283" s="31">
        <v>0.3729</v>
      </c>
      <c r="P283" s="31">
        <v>1.3026</v>
      </c>
      <c r="Q283" s="29" t="s">
        <v>1428</v>
      </c>
      <c r="R283" s="31">
        <v>0.2</v>
      </c>
      <c r="S283" s="31">
        <f t="shared" si="6"/>
        <v>1.8755</v>
      </c>
      <c r="T283" s="123"/>
      <c r="U283" s="123"/>
    </row>
    <row r="284" s="989" customFormat="1" ht="15" spans="1:21">
      <c r="A284" s="1061"/>
      <c r="B284" s="27" t="s">
        <v>6184</v>
      </c>
      <c r="C284" s="123"/>
      <c r="D284" s="29"/>
      <c r="E284" s="123"/>
      <c r="F284" s="25" t="s">
        <v>1669</v>
      </c>
      <c r="G284" s="123" t="s">
        <v>1933</v>
      </c>
      <c r="H284" s="28" t="s">
        <v>6185</v>
      </c>
      <c r="I284" s="29" t="s">
        <v>1913</v>
      </c>
      <c r="J284" s="29" t="s">
        <v>3874</v>
      </c>
      <c r="K284" s="29" t="s">
        <v>1428</v>
      </c>
      <c r="L284" s="1005" t="s">
        <v>1428</v>
      </c>
      <c r="M284" s="29" t="s">
        <v>1428</v>
      </c>
      <c r="N284" s="29">
        <v>2.5</v>
      </c>
      <c r="O284" s="31">
        <v>4.29556650246306</v>
      </c>
      <c r="P284" s="31">
        <v>12.5812807881773</v>
      </c>
      <c r="Q284" s="29" t="s">
        <v>1428</v>
      </c>
      <c r="R284" s="31">
        <v>2.48577872769622</v>
      </c>
      <c r="S284" s="31">
        <f t="shared" si="6"/>
        <v>21.8626260183366</v>
      </c>
      <c r="T284" s="25" t="s">
        <v>2854</v>
      </c>
      <c r="U284" s="123" t="s">
        <v>4160</v>
      </c>
    </row>
    <row r="285" s="989" customFormat="1" spans="1:21">
      <c r="A285" s="1061"/>
      <c r="B285" s="1059"/>
      <c r="C285" s="123"/>
      <c r="D285" s="29"/>
      <c r="E285" s="123" t="s">
        <v>6186</v>
      </c>
      <c r="F285" s="25" t="s">
        <v>6187</v>
      </c>
      <c r="G285" s="123"/>
      <c r="H285" s="28"/>
      <c r="I285" s="29"/>
      <c r="J285" s="28"/>
      <c r="K285" s="29"/>
      <c r="L285" s="1054"/>
      <c r="M285" s="28"/>
      <c r="N285" s="28"/>
      <c r="O285" s="31">
        <v>0.76</v>
      </c>
      <c r="P285" s="31">
        <v>4.23</v>
      </c>
      <c r="Q285" s="29" t="s">
        <v>1428</v>
      </c>
      <c r="R285" s="31">
        <v>0.4</v>
      </c>
      <c r="S285" s="31">
        <f t="shared" si="6"/>
        <v>5.39</v>
      </c>
      <c r="T285" s="123"/>
      <c r="U285" s="123" t="s">
        <v>840</v>
      </c>
    </row>
    <row r="286" s="989" customFormat="1" spans="1:21">
      <c r="A286" s="1061"/>
      <c r="B286" s="1059"/>
      <c r="C286" s="123"/>
      <c r="D286" s="29"/>
      <c r="E286" s="123" t="s">
        <v>6188</v>
      </c>
      <c r="F286" s="1024" t="s">
        <v>6189</v>
      </c>
      <c r="G286" s="1024"/>
      <c r="H286" s="28"/>
      <c r="I286" s="29"/>
      <c r="J286" s="28"/>
      <c r="K286" s="147"/>
      <c r="L286" s="1049"/>
      <c r="M286" s="1046"/>
      <c r="N286" s="1046"/>
      <c r="O286" s="1023">
        <v>0.649</v>
      </c>
      <c r="P286" s="1023">
        <v>4.73891625615764</v>
      </c>
      <c r="Q286" s="29" t="s">
        <v>1428</v>
      </c>
      <c r="R286" s="31">
        <v>0.4</v>
      </c>
      <c r="S286" s="31">
        <f t="shared" si="6"/>
        <v>5.78791625615764</v>
      </c>
      <c r="T286" s="146"/>
      <c r="U286" s="123" t="s">
        <v>346</v>
      </c>
    </row>
    <row r="287" s="989" customFormat="1" ht="15" spans="1:21">
      <c r="A287" s="1061"/>
      <c r="B287" s="27" t="s">
        <v>6190</v>
      </c>
      <c r="C287" s="123"/>
      <c r="D287" s="29"/>
      <c r="E287" s="123"/>
      <c r="F287" s="25" t="s">
        <v>1669</v>
      </c>
      <c r="G287" s="25" t="s">
        <v>3540</v>
      </c>
      <c r="H287" s="28" t="s">
        <v>6149</v>
      </c>
      <c r="I287" s="29" t="s">
        <v>5865</v>
      </c>
      <c r="J287" s="29" t="s">
        <v>5813</v>
      </c>
      <c r="K287" s="29" t="s">
        <v>1428</v>
      </c>
      <c r="L287" s="1005" t="s">
        <v>1428</v>
      </c>
      <c r="M287" s="29" t="s">
        <v>1428</v>
      </c>
      <c r="N287" s="29">
        <v>3.5</v>
      </c>
      <c r="O287" s="31">
        <v>2.36453201970443</v>
      </c>
      <c r="P287" s="31">
        <v>9.04433497536946</v>
      </c>
      <c r="Q287" s="29" t="s">
        <v>1428</v>
      </c>
      <c r="R287" s="31">
        <v>2.46715866232022</v>
      </c>
      <c r="S287" s="31">
        <f t="shared" si="6"/>
        <v>17.3760256573941</v>
      </c>
      <c r="T287" s="123" t="s">
        <v>6150</v>
      </c>
      <c r="U287" s="123" t="s">
        <v>6191</v>
      </c>
    </row>
    <row r="288" s="989" customFormat="1" ht="15" spans="1:21">
      <c r="A288" s="1061"/>
      <c r="B288" s="27"/>
      <c r="C288" s="123"/>
      <c r="D288" s="29"/>
      <c r="E288" s="123"/>
      <c r="F288" s="25" t="s">
        <v>2314</v>
      </c>
      <c r="G288" s="25" t="s">
        <v>1933</v>
      </c>
      <c r="H288" s="28" t="s">
        <v>6192</v>
      </c>
      <c r="I288" s="29" t="s">
        <v>5865</v>
      </c>
      <c r="J288" s="29" t="s">
        <v>5813</v>
      </c>
      <c r="K288" s="29" t="s">
        <v>1428</v>
      </c>
      <c r="L288" s="1005" t="s">
        <v>1428</v>
      </c>
      <c r="M288" s="29" t="s">
        <v>1428</v>
      </c>
      <c r="N288" s="29">
        <v>3.5</v>
      </c>
      <c r="O288" s="31">
        <v>2.36453201970443</v>
      </c>
      <c r="P288" s="31">
        <v>11.1428571428571</v>
      </c>
      <c r="Q288" s="29" t="s">
        <v>1428</v>
      </c>
      <c r="R288" s="31">
        <v>2.46715866232022</v>
      </c>
      <c r="S288" s="31">
        <f t="shared" si="6"/>
        <v>19.4745478248817</v>
      </c>
      <c r="T288" s="123" t="s">
        <v>6150</v>
      </c>
      <c r="U288" s="123" t="s">
        <v>6191</v>
      </c>
    </row>
    <row r="289" s="989" customFormat="1" spans="1:21">
      <c r="A289" s="1061"/>
      <c r="B289" s="1059"/>
      <c r="C289" s="123"/>
      <c r="D289" s="29"/>
      <c r="E289" s="123" t="s">
        <v>6193</v>
      </c>
      <c r="F289" s="25" t="s">
        <v>5852</v>
      </c>
      <c r="G289" s="25"/>
      <c r="H289" s="28"/>
      <c r="I289" s="29"/>
      <c r="J289" s="29"/>
      <c r="K289" s="29"/>
      <c r="L289" s="1005"/>
      <c r="M289" s="29"/>
      <c r="N289" s="29"/>
      <c r="O289" s="31">
        <v>0.56551</v>
      </c>
      <c r="P289" s="31">
        <v>2.5853</v>
      </c>
      <c r="Q289" s="29" t="s">
        <v>1428</v>
      </c>
      <c r="R289" s="31">
        <v>0.2</v>
      </c>
      <c r="S289" s="31">
        <f t="shared" si="6"/>
        <v>3.35081</v>
      </c>
      <c r="T289" s="123"/>
      <c r="U289" s="123"/>
    </row>
    <row r="290" s="989" customFormat="1" spans="1:21">
      <c r="A290" s="1061"/>
      <c r="B290" s="27"/>
      <c r="C290" s="123"/>
      <c r="D290" s="29"/>
      <c r="E290" s="123"/>
      <c r="F290" s="25" t="s">
        <v>6194</v>
      </c>
      <c r="G290" s="25"/>
      <c r="H290" s="28"/>
      <c r="I290" s="29"/>
      <c r="J290" s="29"/>
      <c r="K290" s="29"/>
      <c r="L290" s="1005"/>
      <c r="M290" s="29"/>
      <c r="N290" s="29"/>
      <c r="O290" s="31">
        <v>0.32758</v>
      </c>
      <c r="P290" s="31">
        <v>0.8784</v>
      </c>
      <c r="Q290" s="29" t="s">
        <v>1428</v>
      </c>
      <c r="R290" s="31">
        <v>0.2</v>
      </c>
      <c r="S290" s="31">
        <f t="shared" si="6"/>
        <v>1.40598</v>
      </c>
      <c r="T290" s="123"/>
      <c r="U290" s="123"/>
    </row>
    <row r="291" s="989" customFormat="1" spans="1:21">
      <c r="A291" s="1061"/>
      <c r="B291" s="1035" t="s">
        <v>6195</v>
      </c>
      <c r="C291" s="123"/>
      <c r="D291" s="29"/>
      <c r="E291" s="123" t="s">
        <v>6196</v>
      </c>
      <c r="F291" s="25" t="s">
        <v>6197</v>
      </c>
      <c r="G291" s="25"/>
      <c r="H291" s="28"/>
      <c r="I291" s="29"/>
      <c r="J291" s="29"/>
      <c r="K291" s="29"/>
      <c r="L291" s="1005"/>
      <c r="M291" s="29"/>
      <c r="N291" s="29"/>
      <c r="O291" s="31">
        <v>0.312262958280657</v>
      </c>
      <c r="P291" s="31">
        <v>0.653171175726928</v>
      </c>
      <c r="Q291" s="29" t="s">
        <v>1428</v>
      </c>
      <c r="R291" s="31">
        <v>0.2</v>
      </c>
      <c r="S291" s="31">
        <f t="shared" si="6"/>
        <v>1.16543413400758</v>
      </c>
      <c r="T291" s="123"/>
      <c r="U291" s="123"/>
    </row>
    <row r="292" s="989" customFormat="1" ht="15" spans="1:21">
      <c r="A292" s="1061"/>
      <c r="B292" s="1063" t="s">
        <v>6198</v>
      </c>
      <c r="C292" s="1014"/>
      <c r="D292" s="29"/>
      <c r="E292" s="1014"/>
      <c r="F292" s="25" t="s">
        <v>2546</v>
      </c>
      <c r="G292" s="123" t="s">
        <v>3540</v>
      </c>
      <c r="H292" s="28" t="s">
        <v>6149</v>
      </c>
      <c r="I292" s="29" t="s">
        <v>3656</v>
      </c>
      <c r="J292" s="29" t="s">
        <v>3750</v>
      </c>
      <c r="K292" s="29" t="s">
        <v>1428</v>
      </c>
      <c r="L292" s="1005" t="s">
        <v>1428</v>
      </c>
      <c r="M292" s="29" t="s">
        <v>1428</v>
      </c>
      <c r="N292" s="29">
        <v>2</v>
      </c>
      <c r="O292" s="31">
        <v>2.2</v>
      </c>
      <c r="P292" s="31">
        <v>10.0788177339901</v>
      </c>
      <c r="Q292" s="29" t="s">
        <v>1428</v>
      </c>
      <c r="R292" s="31">
        <v>0.279300980640027</v>
      </c>
      <c r="S292" s="31">
        <f t="shared" si="6"/>
        <v>14.5581187146301</v>
      </c>
      <c r="T292" s="157" t="s">
        <v>5866</v>
      </c>
      <c r="U292" s="123" t="s">
        <v>6199</v>
      </c>
    </row>
    <row r="293" s="989" customFormat="1" ht="15" spans="1:21">
      <c r="A293" s="1061"/>
      <c r="B293" s="1064"/>
      <c r="C293" s="1014"/>
      <c r="D293" s="29"/>
      <c r="E293" s="1014"/>
      <c r="F293" s="25" t="s">
        <v>1593</v>
      </c>
      <c r="G293" s="123" t="s">
        <v>3540</v>
      </c>
      <c r="H293" s="28" t="s">
        <v>6149</v>
      </c>
      <c r="I293" s="29" t="s">
        <v>3656</v>
      </c>
      <c r="J293" s="29" t="s">
        <v>3750</v>
      </c>
      <c r="K293" s="29" t="s">
        <v>1428</v>
      </c>
      <c r="L293" s="1005" t="s">
        <v>1428</v>
      </c>
      <c r="M293" s="29" t="s">
        <v>1428</v>
      </c>
      <c r="N293" s="29">
        <v>2</v>
      </c>
      <c r="O293" s="31">
        <v>2.2</v>
      </c>
      <c r="P293" s="31">
        <v>10.2955665024631</v>
      </c>
      <c r="Q293" s="29" t="s">
        <v>1428</v>
      </c>
      <c r="R293" s="31">
        <v>0.279300980640027</v>
      </c>
      <c r="S293" s="31">
        <f t="shared" si="6"/>
        <v>14.7748674831031</v>
      </c>
      <c r="T293" s="157" t="s">
        <v>5866</v>
      </c>
      <c r="U293" s="123" t="s">
        <v>6199</v>
      </c>
    </row>
    <row r="294" s="989" customFormat="1" ht="15" spans="1:21">
      <c r="A294" s="1061"/>
      <c r="B294" s="1065" t="s">
        <v>6200</v>
      </c>
      <c r="C294" s="1014"/>
      <c r="D294" s="29"/>
      <c r="E294" s="1014"/>
      <c r="F294" s="25" t="s">
        <v>1669</v>
      </c>
      <c r="G294" s="123" t="s">
        <v>3540</v>
      </c>
      <c r="H294" s="28" t="s">
        <v>6149</v>
      </c>
      <c r="I294" s="29" t="s">
        <v>5877</v>
      </c>
      <c r="J294" s="29" t="s">
        <v>3696</v>
      </c>
      <c r="K294" s="29" t="s">
        <v>1428</v>
      </c>
      <c r="L294" s="1005" t="s">
        <v>1428</v>
      </c>
      <c r="M294" s="1066" t="s">
        <v>1428</v>
      </c>
      <c r="N294" s="29">
        <v>3.3</v>
      </c>
      <c r="O294" s="1067">
        <v>2.93596059113301</v>
      </c>
      <c r="P294" s="31">
        <v>10.3940886699507</v>
      </c>
      <c r="Q294" s="29" t="s">
        <v>1428</v>
      </c>
      <c r="R294" s="31">
        <v>0.279300980640027</v>
      </c>
      <c r="S294" s="31">
        <f t="shared" si="6"/>
        <v>16.9093502417237</v>
      </c>
      <c r="T294" s="157" t="s">
        <v>5878</v>
      </c>
      <c r="U294" s="123" t="s">
        <v>6201</v>
      </c>
    </row>
    <row r="295" s="989" customFormat="1" ht="15" spans="1:21">
      <c r="A295" s="1061"/>
      <c r="B295" s="1065" t="s">
        <v>6202</v>
      </c>
      <c r="C295" s="1014"/>
      <c r="D295" s="29"/>
      <c r="E295" s="1014"/>
      <c r="F295" s="25" t="s">
        <v>1672</v>
      </c>
      <c r="G295" s="123" t="s">
        <v>3540</v>
      </c>
      <c r="H295" s="28" t="s">
        <v>6159</v>
      </c>
      <c r="I295" s="29" t="s">
        <v>6169</v>
      </c>
      <c r="J295" s="29" t="s">
        <v>4687</v>
      </c>
      <c r="K295" s="29" t="s">
        <v>1428</v>
      </c>
      <c r="L295" s="1005" t="s">
        <v>1428</v>
      </c>
      <c r="M295" s="29" t="s">
        <v>1428</v>
      </c>
      <c r="N295" s="29">
        <v>3.5</v>
      </c>
      <c r="O295" s="31">
        <v>3.15</v>
      </c>
      <c r="P295" s="31">
        <v>10.0886699507389</v>
      </c>
      <c r="Q295" s="29" t="s">
        <v>1428</v>
      </c>
      <c r="R295" s="31">
        <v>0.279300980640027</v>
      </c>
      <c r="S295" s="31">
        <f t="shared" si="6"/>
        <v>17.0179709313789</v>
      </c>
      <c r="T295" s="157" t="s">
        <v>5989</v>
      </c>
      <c r="U295" s="123" t="s">
        <v>6203</v>
      </c>
    </row>
    <row r="296" s="989" customFormat="1" ht="15" spans="1:21">
      <c r="A296" s="1061"/>
      <c r="B296" s="1065" t="s">
        <v>6204</v>
      </c>
      <c r="C296" s="1014"/>
      <c r="D296" s="29"/>
      <c r="E296" s="1014"/>
      <c r="F296" s="25" t="s">
        <v>1629</v>
      </c>
      <c r="G296" s="123" t="s">
        <v>3540</v>
      </c>
      <c r="H296" s="28" t="s">
        <v>6159</v>
      </c>
      <c r="I296" s="29" t="s">
        <v>6169</v>
      </c>
      <c r="J296" s="29" t="s">
        <v>3750</v>
      </c>
      <c r="K296" s="29" t="s">
        <v>1428</v>
      </c>
      <c r="L296" s="1005" t="s">
        <v>1428</v>
      </c>
      <c r="M296" s="29" t="s">
        <v>1428</v>
      </c>
      <c r="N296" s="29">
        <v>2</v>
      </c>
      <c r="O296" s="31">
        <v>3.15</v>
      </c>
      <c r="P296" s="31">
        <v>10.1674876847291</v>
      </c>
      <c r="Q296" s="29" t="s">
        <v>1428</v>
      </c>
      <c r="R296" s="31">
        <v>0.279300980640027</v>
      </c>
      <c r="S296" s="31">
        <f t="shared" si="6"/>
        <v>15.5967886653691</v>
      </c>
      <c r="T296" s="157" t="s">
        <v>5989</v>
      </c>
      <c r="U296" s="123" t="s">
        <v>6203</v>
      </c>
    </row>
    <row r="297" s="989" customFormat="1" ht="15" spans="1:21">
      <c r="A297" s="1061"/>
      <c r="B297" s="1065" t="s">
        <v>6205</v>
      </c>
      <c r="C297" s="1014"/>
      <c r="D297" s="29"/>
      <c r="E297" s="1014"/>
      <c r="F297" s="25" t="s">
        <v>1581</v>
      </c>
      <c r="G297" s="123" t="s">
        <v>1933</v>
      </c>
      <c r="H297" s="28" t="s">
        <v>6206</v>
      </c>
      <c r="I297" s="29" t="s">
        <v>3432</v>
      </c>
      <c r="J297" s="29" t="s">
        <v>3696</v>
      </c>
      <c r="K297" s="29" t="s">
        <v>1428</v>
      </c>
      <c r="L297" s="1005" t="s">
        <v>1428</v>
      </c>
      <c r="M297" s="29" t="s">
        <v>1428</v>
      </c>
      <c r="N297" s="29">
        <v>3.3</v>
      </c>
      <c r="O297" s="31">
        <v>6.26600985221675</v>
      </c>
      <c r="P297" s="31">
        <v>12.1182266009852</v>
      </c>
      <c r="Q297" s="29" t="s">
        <v>1428</v>
      </c>
      <c r="R297" s="31">
        <v>2.62542921801627</v>
      </c>
      <c r="S297" s="31">
        <f t="shared" si="6"/>
        <v>24.3096656712182</v>
      </c>
      <c r="T297" s="157" t="s">
        <v>3881</v>
      </c>
      <c r="U297" s="123" t="s">
        <v>6207</v>
      </c>
    </row>
    <row r="298" s="989" customFormat="1" spans="1:21">
      <c r="A298" s="1061"/>
      <c r="B298" s="1064"/>
      <c r="C298" s="1014"/>
      <c r="D298" s="29"/>
      <c r="E298" s="1014" t="s">
        <v>6208</v>
      </c>
      <c r="F298" s="25" t="s">
        <v>5985</v>
      </c>
      <c r="G298" s="31"/>
      <c r="H298" s="1057" t="s">
        <v>1428</v>
      </c>
      <c r="I298" s="31" t="s">
        <v>1428</v>
      </c>
      <c r="J298" s="31" t="s">
        <v>1428</v>
      </c>
      <c r="K298" s="29" t="s">
        <v>1428</v>
      </c>
      <c r="L298" s="1005" t="s">
        <v>1428</v>
      </c>
      <c r="M298" s="29" t="s">
        <v>1428</v>
      </c>
      <c r="N298" s="29" t="s">
        <v>1428</v>
      </c>
      <c r="O298" s="31">
        <v>0.38423</v>
      </c>
      <c r="P298" s="31">
        <v>2.959</v>
      </c>
      <c r="Q298" s="29" t="s">
        <v>1428</v>
      </c>
      <c r="R298" s="31">
        <v>0.4</v>
      </c>
      <c r="S298" s="31">
        <f t="shared" si="6"/>
        <v>3.74323</v>
      </c>
      <c r="T298" s="31"/>
      <c r="U298" s="123" t="s">
        <v>25</v>
      </c>
    </row>
    <row r="299" s="989" customFormat="1" ht="15" spans="1:21">
      <c r="A299" s="1061"/>
      <c r="B299" s="1063" t="s">
        <v>6209</v>
      </c>
      <c r="C299" s="1014"/>
      <c r="D299" s="29"/>
      <c r="E299" s="1014"/>
      <c r="F299" s="25" t="s">
        <v>1685</v>
      </c>
      <c r="G299" s="25" t="s">
        <v>3540</v>
      </c>
      <c r="H299" s="28" t="s">
        <v>6206</v>
      </c>
      <c r="I299" s="29" t="s">
        <v>1913</v>
      </c>
      <c r="J299" s="29" t="s">
        <v>5813</v>
      </c>
      <c r="K299" s="29" t="s">
        <v>1428</v>
      </c>
      <c r="L299" s="1005" t="s">
        <v>1428</v>
      </c>
      <c r="M299" s="29" t="s">
        <v>1428</v>
      </c>
      <c r="N299" s="29">
        <v>3.5</v>
      </c>
      <c r="O299" s="31">
        <v>2.76847290640394</v>
      </c>
      <c r="P299" s="31">
        <v>13.2906403940887</v>
      </c>
      <c r="Q299" s="29">
        <v>0.47</v>
      </c>
      <c r="R299" s="31">
        <v>2.98950430056549</v>
      </c>
      <c r="S299" s="31">
        <f t="shared" si="6"/>
        <v>23.0186176010581</v>
      </c>
      <c r="T299" s="157" t="s">
        <v>2854</v>
      </c>
      <c r="U299" s="123" t="s">
        <v>6210</v>
      </c>
    </row>
    <row r="300" s="991" customFormat="1" spans="1:21">
      <c r="A300" s="1061"/>
      <c r="B300" s="1059"/>
      <c r="C300" s="123"/>
      <c r="D300" s="29"/>
      <c r="E300" s="123" t="s">
        <v>903</v>
      </c>
      <c r="F300" s="25" t="s">
        <v>904</v>
      </c>
      <c r="G300" s="25"/>
      <c r="H300" s="26"/>
      <c r="I300" s="25"/>
      <c r="J300" s="29"/>
      <c r="K300" s="25"/>
      <c r="L300" s="1031"/>
      <c r="M300" s="25"/>
      <c r="N300" s="25"/>
      <c r="O300" s="31">
        <v>0.14</v>
      </c>
      <c r="P300" s="31">
        <v>0.77</v>
      </c>
      <c r="Q300" s="29" t="s">
        <v>1428</v>
      </c>
      <c r="R300" s="31">
        <v>0.4</v>
      </c>
      <c r="S300" s="31">
        <f t="shared" si="6"/>
        <v>1.31</v>
      </c>
      <c r="T300" s="25"/>
      <c r="U300" s="123"/>
    </row>
    <row r="301" s="989" customFormat="1" ht="15" spans="1:21">
      <c r="A301" s="1061"/>
      <c r="B301" s="1068"/>
      <c r="C301" s="1014"/>
      <c r="D301" s="29"/>
      <c r="E301" s="1014" t="s">
        <v>6211</v>
      </c>
      <c r="F301" s="25" t="s">
        <v>6212</v>
      </c>
      <c r="G301" s="25"/>
      <c r="H301" s="28"/>
      <c r="I301" s="29"/>
      <c r="J301" s="29"/>
      <c r="K301" s="29"/>
      <c r="L301" s="1005"/>
      <c r="M301" s="29"/>
      <c r="N301" s="29"/>
      <c r="O301" s="31">
        <v>0.35</v>
      </c>
      <c r="P301" s="31">
        <v>0.65</v>
      </c>
      <c r="Q301" s="29" t="s">
        <v>1428</v>
      </c>
      <c r="R301" s="31">
        <v>0.2</v>
      </c>
      <c r="S301" s="31">
        <f t="shared" si="6"/>
        <v>1.2</v>
      </c>
      <c r="T301" s="157"/>
      <c r="U301" s="123"/>
    </row>
    <row r="302" s="989" customFormat="1" ht="15" spans="1:21">
      <c r="A302" s="1061"/>
      <c r="B302" s="1068"/>
      <c r="C302" s="1014"/>
      <c r="D302" s="29"/>
      <c r="E302" s="1014" t="s">
        <v>6213</v>
      </c>
      <c r="F302" s="25" t="s">
        <v>6214</v>
      </c>
      <c r="G302" s="123"/>
      <c r="H302" s="28"/>
      <c r="I302" s="29"/>
      <c r="J302" s="29"/>
      <c r="K302" s="29"/>
      <c r="L302" s="1005"/>
      <c r="M302" s="29"/>
      <c r="N302" s="29"/>
      <c r="O302" s="31">
        <v>0.35</v>
      </c>
      <c r="P302" s="31">
        <v>0.67</v>
      </c>
      <c r="Q302" s="29" t="s">
        <v>1428</v>
      </c>
      <c r="R302" s="31">
        <v>0.2</v>
      </c>
      <c r="S302" s="31">
        <f t="shared" si="6"/>
        <v>1.22</v>
      </c>
      <c r="T302" s="157"/>
      <c r="U302" s="123"/>
    </row>
    <row r="303" s="989" customFormat="1" ht="15" spans="1:21">
      <c r="A303" s="1061"/>
      <c r="B303" s="1065" t="s">
        <v>6215</v>
      </c>
      <c r="C303" s="1014"/>
      <c r="D303" s="29"/>
      <c r="E303" s="1014"/>
      <c r="F303" s="25" t="s">
        <v>1629</v>
      </c>
      <c r="G303" s="25" t="s">
        <v>3540</v>
      </c>
      <c r="H303" s="28" t="s">
        <v>6206</v>
      </c>
      <c r="I303" s="29" t="s">
        <v>3670</v>
      </c>
      <c r="J303" s="29" t="s">
        <v>3696</v>
      </c>
      <c r="K303" s="29" t="s">
        <v>1428</v>
      </c>
      <c r="L303" s="1005" t="s">
        <v>1428</v>
      </c>
      <c r="M303" s="1006" t="s">
        <v>4671</v>
      </c>
      <c r="N303" s="29">
        <v>3.3</v>
      </c>
      <c r="O303" s="31">
        <v>3.6256157635468</v>
      </c>
      <c r="P303" s="31">
        <v>13.7635467980296</v>
      </c>
      <c r="Q303" s="29" t="s">
        <v>1428</v>
      </c>
      <c r="R303" s="31">
        <v>3.21196127736027</v>
      </c>
      <c r="S303" s="31">
        <f t="shared" si="6"/>
        <v>23.9011238389367</v>
      </c>
      <c r="T303" s="157" t="s">
        <v>3800</v>
      </c>
      <c r="U303" s="123" t="s">
        <v>6216</v>
      </c>
    </row>
    <row r="304" s="991" customFormat="1" spans="1:21">
      <c r="A304" s="1061"/>
      <c r="B304" s="1059"/>
      <c r="C304" s="123"/>
      <c r="D304" s="29"/>
      <c r="E304" s="123" t="s">
        <v>885</v>
      </c>
      <c r="F304" s="25" t="s">
        <v>886</v>
      </c>
      <c r="G304" s="25"/>
      <c r="H304" s="26"/>
      <c r="I304" s="25"/>
      <c r="J304" s="29"/>
      <c r="K304" s="25"/>
      <c r="L304" s="1031"/>
      <c r="M304" s="25"/>
      <c r="N304" s="25"/>
      <c r="O304" s="31">
        <v>0.14</v>
      </c>
      <c r="P304" s="31">
        <v>0.77</v>
      </c>
      <c r="Q304" s="29" t="s">
        <v>1428</v>
      </c>
      <c r="R304" s="31">
        <v>0.4</v>
      </c>
      <c r="S304" s="31">
        <f t="shared" si="6"/>
        <v>1.31</v>
      </c>
      <c r="T304" s="25"/>
      <c r="U304" s="123"/>
    </row>
    <row r="305" s="989" customFormat="1" spans="1:21">
      <c r="A305" s="1061"/>
      <c r="B305" s="1065"/>
      <c r="C305" s="1014"/>
      <c r="D305" s="29"/>
      <c r="E305" s="1014" t="s">
        <v>6217</v>
      </c>
      <c r="F305" s="25" t="s">
        <v>6218</v>
      </c>
      <c r="G305" s="25"/>
      <c r="H305" s="28"/>
      <c r="I305" s="29"/>
      <c r="J305" s="29"/>
      <c r="K305" s="29"/>
      <c r="L305" s="1005"/>
      <c r="M305" s="29"/>
      <c r="N305" s="29"/>
      <c r="O305" s="31">
        <v>0.37</v>
      </c>
      <c r="P305" s="31">
        <v>1.1</v>
      </c>
      <c r="Q305" s="29" t="s">
        <v>1428</v>
      </c>
      <c r="R305" s="31">
        <v>0.4</v>
      </c>
      <c r="S305" s="31">
        <f t="shared" si="6"/>
        <v>1.87</v>
      </c>
      <c r="T305" s="157"/>
      <c r="U305" s="123"/>
    </row>
    <row r="306" s="989" customFormat="1" spans="1:21">
      <c r="A306" s="1061"/>
      <c r="B306" s="1065"/>
      <c r="C306" s="1014"/>
      <c r="D306" s="29"/>
      <c r="E306" s="1014" t="s">
        <v>6219</v>
      </c>
      <c r="F306" s="25" t="s">
        <v>6220</v>
      </c>
      <c r="G306" s="123"/>
      <c r="H306" s="28"/>
      <c r="I306" s="29"/>
      <c r="J306" s="29"/>
      <c r="K306" s="29"/>
      <c r="L306" s="1005"/>
      <c r="M306" s="29"/>
      <c r="N306" s="29"/>
      <c r="O306" s="31">
        <v>0.15</v>
      </c>
      <c r="P306" s="31">
        <v>0.88</v>
      </c>
      <c r="Q306" s="29" t="s">
        <v>1428</v>
      </c>
      <c r="R306" s="31">
        <v>0.4</v>
      </c>
      <c r="S306" s="31">
        <f t="shared" si="6"/>
        <v>1.43</v>
      </c>
      <c r="T306" s="157"/>
      <c r="U306" s="123"/>
    </row>
    <row r="307" s="989" customFormat="1" ht="15" spans="1:21">
      <c r="A307" s="1061"/>
      <c r="B307" s="1065"/>
      <c r="C307" s="1014"/>
      <c r="D307" s="29"/>
      <c r="E307" s="1014" t="s">
        <v>6221</v>
      </c>
      <c r="F307" s="25" t="s">
        <v>6222</v>
      </c>
      <c r="G307" s="123"/>
      <c r="H307" s="28"/>
      <c r="I307" s="29"/>
      <c r="J307" s="29"/>
      <c r="K307" s="29"/>
      <c r="L307" s="1005"/>
      <c r="M307" s="29"/>
      <c r="N307" s="29"/>
      <c r="O307" s="31">
        <v>0.4</v>
      </c>
      <c r="P307" s="31">
        <v>1.6</v>
      </c>
      <c r="Q307" s="29" t="s">
        <v>1428</v>
      </c>
      <c r="R307" s="31">
        <v>0.2</v>
      </c>
      <c r="S307" s="31">
        <f t="shared" si="6"/>
        <v>2.2</v>
      </c>
      <c r="T307" s="157"/>
      <c r="U307" s="123" t="s">
        <v>6223</v>
      </c>
    </row>
    <row r="308" s="989" customFormat="1" ht="15" spans="1:21">
      <c r="A308" s="1061"/>
      <c r="B308" s="1035" t="s">
        <v>6224</v>
      </c>
      <c r="C308" s="123"/>
      <c r="D308" s="29"/>
      <c r="E308" s="123"/>
      <c r="F308" s="25" t="s">
        <v>1998</v>
      </c>
      <c r="G308" s="25" t="s">
        <v>3540</v>
      </c>
      <c r="H308" s="28" t="s">
        <v>6206</v>
      </c>
      <c r="I308" s="66" t="s">
        <v>4677</v>
      </c>
      <c r="J308" s="29" t="s">
        <v>3696</v>
      </c>
      <c r="K308" s="29" t="s">
        <v>1428</v>
      </c>
      <c r="L308" s="1005" t="s">
        <v>1428</v>
      </c>
      <c r="M308" s="1006" t="s">
        <v>4671</v>
      </c>
      <c r="N308" s="29">
        <v>3.3</v>
      </c>
      <c r="O308" s="31">
        <v>2.05</v>
      </c>
      <c r="P308" s="31">
        <v>12.551724137931</v>
      </c>
      <c r="Q308" s="29" t="s">
        <v>1428</v>
      </c>
      <c r="R308" s="31">
        <v>2.80231983908826</v>
      </c>
      <c r="S308" s="31">
        <f t="shared" si="6"/>
        <v>20.7040439770193</v>
      </c>
      <c r="T308" s="123" t="s">
        <v>6225</v>
      </c>
      <c r="U308" s="123" t="s">
        <v>6048</v>
      </c>
    </row>
    <row r="309" s="989" customFormat="1" spans="1:21">
      <c r="A309" s="1061"/>
      <c r="B309" s="1059"/>
      <c r="C309" s="123"/>
      <c r="D309" s="29"/>
      <c r="E309" s="123" t="s">
        <v>6226</v>
      </c>
      <c r="F309" s="25" t="s">
        <v>6227</v>
      </c>
      <c r="G309" s="25"/>
      <c r="H309" s="1069"/>
      <c r="I309" s="66"/>
      <c r="J309" s="29"/>
      <c r="K309" s="29"/>
      <c r="L309" s="1005"/>
      <c r="M309" s="29"/>
      <c r="N309" s="29"/>
      <c r="O309" s="31">
        <v>0.38423</v>
      </c>
      <c r="P309" s="31">
        <v>0.9996</v>
      </c>
      <c r="Q309" s="29" t="s">
        <v>1428</v>
      </c>
      <c r="R309" s="31">
        <v>0.4</v>
      </c>
      <c r="S309" s="31">
        <f t="shared" si="6"/>
        <v>1.78383</v>
      </c>
      <c r="T309" s="123"/>
      <c r="U309" s="27"/>
    </row>
    <row r="310" s="989" customFormat="1" spans="1:21">
      <c r="A310" s="1061"/>
      <c r="B310" s="1059"/>
      <c r="C310" s="123"/>
      <c r="D310" s="29"/>
      <c r="E310" s="123" t="s">
        <v>6228</v>
      </c>
      <c r="F310" s="25" t="s">
        <v>5912</v>
      </c>
      <c r="G310" s="25"/>
      <c r="H310" s="28"/>
      <c r="I310" s="29"/>
      <c r="J310" s="29"/>
      <c r="K310" s="29"/>
      <c r="L310" s="1005"/>
      <c r="M310" s="29"/>
      <c r="N310" s="29"/>
      <c r="O310" s="31">
        <v>0.38423</v>
      </c>
      <c r="P310" s="31">
        <v>0.9996</v>
      </c>
      <c r="Q310" s="29" t="s">
        <v>1428</v>
      </c>
      <c r="R310" s="31">
        <v>0.2</v>
      </c>
      <c r="S310" s="31">
        <f t="shared" si="6"/>
        <v>1.58383</v>
      </c>
      <c r="T310" s="123"/>
      <c r="U310" s="27"/>
    </row>
    <row r="311" s="989" customFormat="1" spans="1:21">
      <c r="A311" s="1061"/>
      <c r="B311" s="1065" t="s">
        <v>6229</v>
      </c>
      <c r="C311" s="1014"/>
      <c r="D311" s="29"/>
      <c r="E311" s="1014" t="s">
        <v>6230</v>
      </c>
      <c r="F311" s="25" t="s">
        <v>6231</v>
      </c>
      <c r="G311" s="123"/>
      <c r="H311" s="28"/>
      <c r="I311" s="29"/>
      <c r="J311" s="29"/>
      <c r="K311" s="29"/>
      <c r="L311" s="1005"/>
      <c r="M311" s="29"/>
      <c r="N311" s="29"/>
      <c r="O311" s="31">
        <v>0.137931034482759</v>
      </c>
      <c r="P311" s="31">
        <v>0.433497536945813</v>
      </c>
      <c r="Q311" s="29" t="s">
        <v>1428</v>
      </c>
      <c r="R311" s="31">
        <v>0.4</v>
      </c>
      <c r="S311" s="31">
        <f t="shared" si="6"/>
        <v>0.971428571428572</v>
      </c>
      <c r="T311" s="123"/>
      <c r="U311" s="123"/>
    </row>
    <row r="312" s="989" customFormat="1" spans="1:21">
      <c r="A312" s="1061"/>
      <c r="B312" s="1065"/>
      <c r="C312" s="1014"/>
      <c r="D312" s="29"/>
      <c r="E312" s="1014" t="s">
        <v>6232</v>
      </c>
      <c r="F312" s="25" t="s">
        <v>6233</v>
      </c>
      <c r="G312" s="123"/>
      <c r="H312" s="28"/>
      <c r="I312" s="29"/>
      <c r="J312" s="29"/>
      <c r="K312" s="25"/>
      <c r="L312" s="1005"/>
      <c r="M312" s="29"/>
      <c r="N312" s="29"/>
      <c r="O312" s="31">
        <v>0.198</v>
      </c>
      <c r="P312" s="31">
        <v>0.35</v>
      </c>
      <c r="Q312" s="29" t="s">
        <v>1428</v>
      </c>
      <c r="R312" s="31">
        <v>0.4</v>
      </c>
      <c r="S312" s="31">
        <f t="shared" si="6"/>
        <v>0.948</v>
      </c>
      <c r="T312" s="123"/>
      <c r="U312" s="123"/>
    </row>
    <row r="313" s="989" customFormat="1" spans="1:21">
      <c r="A313" s="1061"/>
      <c r="B313" s="1065"/>
      <c r="C313" s="1014"/>
      <c r="D313" s="29"/>
      <c r="E313" s="1014" t="s">
        <v>6234</v>
      </c>
      <c r="F313" s="25" t="s">
        <v>6235</v>
      </c>
      <c r="G313" s="123"/>
      <c r="H313" s="28"/>
      <c r="I313" s="29"/>
      <c r="J313" s="29"/>
      <c r="K313" s="29"/>
      <c r="L313" s="1005"/>
      <c r="M313" s="29"/>
      <c r="N313" s="29"/>
      <c r="O313" s="31">
        <v>0.21428</v>
      </c>
      <c r="P313" s="31">
        <v>0.3734</v>
      </c>
      <c r="Q313" s="29" t="s">
        <v>1428</v>
      </c>
      <c r="R313" s="31">
        <v>0.4</v>
      </c>
      <c r="S313" s="31">
        <f t="shared" si="6"/>
        <v>0.98768</v>
      </c>
      <c r="T313" s="123"/>
      <c r="U313" s="123"/>
    </row>
    <row r="314" s="989" customFormat="1" spans="1:21">
      <c r="A314" s="1061"/>
      <c r="B314" s="1065"/>
      <c r="C314" s="1014"/>
      <c r="D314" s="29"/>
      <c r="E314" s="1014" t="s">
        <v>1032</v>
      </c>
      <c r="F314" s="25" t="s">
        <v>1033</v>
      </c>
      <c r="G314" s="123"/>
      <c r="H314" s="26"/>
      <c r="I314" s="25"/>
      <c r="J314" s="29"/>
      <c r="K314" s="25"/>
      <c r="L314" s="1031"/>
      <c r="M314" s="25"/>
      <c r="N314" s="25"/>
      <c r="O314" s="31">
        <v>0.108374384236453</v>
      </c>
      <c r="P314" s="31">
        <v>0.305418719211823</v>
      </c>
      <c r="Q314" s="29" t="s">
        <v>1428</v>
      </c>
      <c r="R314" s="31">
        <v>0.06</v>
      </c>
      <c r="S314" s="31">
        <f t="shared" si="6"/>
        <v>0.473793103448276</v>
      </c>
      <c r="T314" s="157"/>
      <c r="U314" s="123"/>
    </row>
    <row r="315" s="989" customFormat="1" spans="1:21">
      <c r="A315" s="1061"/>
      <c r="B315" s="1065"/>
      <c r="C315" s="1014"/>
      <c r="D315" s="29"/>
      <c r="E315" s="1014" t="s">
        <v>6236</v>
      </c>
      <c r="F315" s="25" t="s">
        <v>5918</v>
      </c>
      <c r="G315" s="123"/>
      <c r="H315" s="28"/>
      <c r="I315" s="29"/>
      <c r="J315" s="29"/>
      <c r="K315" s="29"/>
      <c r="L315" s="1005"/>
      <c r="M315" s="29"/>
      <c r="N315" s="29"/>
      <c r="O315" s="31">
        <v>0.484</v>
      </c>
      <c r="P315" s="31">
        <v>0.57</v>
      </c>
      <c r="Q315" s="29" t="s">
        <v>1428</v>
      </c>
      <c r="R315" s="31">
        <v>0.4</v>
      </c>
      <c r="S315" s="31">
        <f t="shared" si="6"/>
        <v>1.454</v>
      </c>
      <c r="T315" s="157"/>
      <c r="U315" s="123"/>
    </row>
    <row r="316" s="989" customFormat="1" spans="1:21">
      <c r="A316" s="1061"/>
      <c r="B316" s="1065"/>
      <c r="C316" s="1014"/>
      <c r="D316" s="29"/>
      <c r="E316" s="1014" t="s">
        <v>919</v>
      </c>
      <c r="F316" s="25" t="s">
        <v>920</v>
      </c>
      <c r="G316" s="123"/>
      <c r="H316" s="28"/>
      <c r="I316" s="29"/>
      <c r="J316" s="29"/>
      <c r="K316" s="29"/>
      <c r="L316" s="1005"/>
      <c r="M316" s="29"/>
      <c r="N316" s="29"/>
      <c r="O316" s="31">
        <v>0.118226600985222</v>
      </c>
      <c r="P316" s="31">
        <v>0.197044334975369</v>
      </c>
      <c r="Q316" s="29" t="s">
        <v>1428</v>
      </c>
      <c r="R316" s="31">
        <v>0.07</v>
      </c>
      <c r="S316" s="31">
        <f t="shared" si="6"/>
        <v>0.385270935960591</v>
      </c>
      <c r="T316" s="157"/>
      <c r="U316" s="123"/>
    </row>
    <row r="317" s="989" customFormat="1" spans="1:21">
      <c r="A317" s="1061"/>
      <c r="B317" s="1065"/>
      <c r="C317" s="1014"/>
      <c r="D317" s="29"/>
      <c r="E317" s="1014" t="s">
        <v>6237</v>
      </c>
      <c r="F317" s="25" t="s">
        <v>5919</v>
      </c>
      <c r="G317" s="123"/>
      <c r="H317" s="28"/>
      <c r="I317" s="29"/>
      <c r="J317" s="29"/>
      <c r="K317" s="29"/>
      <c r="L317" s="1005"/>
      <c r="M317" s="29"/>
      <c r="N317" s="29"/>
      <c r="O317" s="31">
        <v>0.484</v>
      </c>
      <c r="P317" s="31">
        <v>0.61</v>
      </c>
      <c r="Q317" s="29" t="s">
        <v>1428</v>
      </c>
      <c r="R317" s="31">
        <v>0.13</v>
      </c>
      <c r="S317" s="31">
        <f t="shared" si="6"/>
        <v>1.224</v>
      </c>
      <c r="T317" s="157"/>
      <c r="U317" s="123"/>
    </row>
    <row r="318" s="989" customFormat="1" ht="15" spans="1:21">
      <c r="A318" s="1061"/>
      <c r="B318" s="1065" t="s">
        <v>6238</v>
      </c>
      <c r="C318" s="1014"/>
      <c r="D318" s="29"/>
      <c r="E318" s="1014"/>
      <c r="F318" s="25" t="s">
        <v>1645</v>
      </c>
      <c r="G318" s="123" t="s">
        <v>1933</v>
      </c>
      <c r="H318" s="28" t="s">
        <v>6159</v>
      </c>
      <c r="I318" s="29" t="s">
        <v>6239</v>
      </c>
      <c r="J318" s="29" t="s">
        <v>3874</v>
      </c>
      <c r="K318" s="29" t="s">
        <v>1428</v>
      </c>
      <c r="L318" s="1005" t="s">
        <v>1428</v>
      </c>
      <c r="M318" s="65">
        <v>6.6</v>
      </c>
      <c r="N318" s="29">
        <v>2.5</v>
      </c>
      <c r="O318" s="31">
        <v>2.33497536945813</v>
      </c>
      <c r="P318" s="31">
        <v>16.13</v>
      </c>
      <c r="Q318" s="29" t="s">
        <v>1428</v>
      </c>
      <c r="R318" s="31">
        <v>2.86749006790427</v>
      </c>
      <c r="S318" s="31">
        <f t="shared" si="6"/>
        <v>30.4324654373624</v>
      </c>
      <c r="T318" s="1010" t="s">
        <v>6070</v>
      </c>
      <c r="U318" s="27" t="s">
        <v>6240</v>
      </c>
    </row>
    <row r="319" s="989" customFormat="1" ht="15" spans="1:21">
      <c r="A319" s="1061"/>
      <c r="B319" s="1065"/>
      <c r="C319" s="1014"/>
      <c r="D319" s="29"/>
      <c r="E319" s="1014"/>
      <c r="F319" s="25" t="s">
        <v>2427</v>
      </c>
      <c r="G319" s="123" t="s">
        <v>1933</v>
      </c>
      <c r="H319" s="28" t="s">
        <v>6159</v>
      </c>
      <c r="I319" s="29" t="s">
        <v>6069</v>
      </c>
      <c r="J319" s="29" t="s">
        <v>5813</v>
      </c>
      <c r="K319" s="29" t="s">
        <v>1428</v>
      </c>
      <c r="L319" s="1005" t="s">
        <v>1428</v>
      </c>
      <c r="M319" s="1006" t="s">
        <v>4671</v>
      </c>
      <c r="N319" s="29">
        <v>3.5</v>
      </c>
      <c r="O319" s="31">
        <v>2.33497536945813</v>
      </c>
      <c r="P319" s="31">
        <v>16.1083743842365</v>
      </c>
      <c r="Q319" s="29" t="s">
        <v>1428</v>
      </c>
      <c r="R319" s="31">
        <v>2.86749006790427</v>
      </c>
      <c r="S319" s="31">
        <f t="shared" si="6"/>
        <v>24.8108398215989</v>
      </c>
      <c r="T319" s="1010" t="s">
        <v>6070</v>
      </c>
      <c r="U319" s="27" t="s">
        <v>6241</v>
      </c>
    </row>
    <row r="320" s="989" customFormat="1" spans="1:21">
      <c r="A320" s="1061"/>
      <c r="B320" s="1065"/>
      <c r="C320" s="1014"/>
      <c r="D320" s="29"/>
      <c r="E320" s="1014" t="s">
        <v>6242</v>
      </c>
      <c r="F320" s="25" t="s">
        <v>6243</v>
      </c>
      <c r="G320" s="123"/>
      <c r="H320" s="28"/>
      <c r="I320" s="29"/>
      <c r="J320" s="29"/>
      <c r="K320" s="29"/>
      <c r="M320" s="29"/>
      <c r="N320" s="29"/>
      <c r="O320" s="31">
        <v>0.25</v>
      </c>
      <c r="P320" s="31">
        <v>1.42</v>
      </c>
      <c r="Q320" s="29" t="s">
        <v>1428</v>
      </c>
      <c r="R320" s="31">
        <v>0.2</v>
      </c>
      <c r="S320" s="31">
        <f t="shared" si="6"/>
        <v>1.87</v>
      </c>
      <c r="T320" s="1010"/>
      <c r="U320" s="27"/>
    </row>
    <row r="321" s="991" customFormat="1" spans="1:21">
      <c r="A321" s="1061"/>
      <c r="B321" s="27"/>
      <c r="C321" s="123"/>
      <c r="D321" s="29"/>
      <c r="E321" s="123" t="s">
        <v>917</v>
      </c>
      <c r="F321" s="1024" t="s">
        <v>918</v>
      </c>
      <c r="G321" s="123"/>
      <c r="H321" s="1046"/>
      <c r="I321" s="29"/>
      <c r="J321" s="147"/>
      <c r="K321" s="147"/>
      <c r="L321" s="1022"/>
      <c r="M321" s="147"/>
      <c r="N321" s="147"/>
      <c r="O321" s="1023">
        <v>0.32</v>
      </c>
      <c r="P321" s="1023">
        <v>0.28</v>
      </c>
      <c r="Q321" s="29" t="s">
        <v>1428</v>
      </c>
      <c r="R321" s="31">
        <v>0.4</v>
      </c>
      <c r="S321" s="31">
        <f t="shared" si="6"/>
        <v>1</v>
      </c>
      <c r="T321" s="1015"/>
      <c r="U321" s="27"/>
    </row>
    <row r="322" s="989" customFormat="1" spans="1:21">
      <c r="A322" s="1061"/>
      <c r="B322" s="1065"/>
      <c r="C322" s="1014"/>
      <c r="D322" s="29"/>
      <c r="E322" s="1014" t="s">
        <v>6244</v>
      </c>
      <c r="F322" s="25" t="s">
        <v>6245</v>
      </c>
      <c r="G322" s="123"/>
      <c r="H322" s="28"/>
      <c r="I322" s="29"/>
      <c r="J322" s="29"/>
      <c r="K322" s="29"/>
      <c r="L322" s="1005"/>
      <c r="M322" s="29"/>
      <c r="N322" s="29"/>
      <c r="O322" s="31">
        <v>0.25</v>
      </c>
      <c r="P322" s="31">
        <v>1.54</v>
      </c>
      <c r="Q322" s="29" t="s">
        <v>1428</v>
      </c>
      <c r="R322" s="31">
        <v>0.2</v>
      </c>
      <c r="S322" s="31">
        <f t="shared" si="6"/>
        <v>1.99</v>
      </c>
      <c r="T322" s="1010"/>
      <c r="U322" s="27"/>
    </row>
    <row r="323" s="989" customFormat="1" spans="1:21">
      <c r="A323" s="1061"/>
      <c r="B323" s="1065"/>
      <c r="C323" s="1014"/>
      <c r="D323" s="29"/>
      <c r="E323" s="1014" t="s">
        <v>1032</v>
      </c>
      <c r="F323" s="25" t="s">
        <v>1033</v>
      </c>
      <c r="G323" s="123"/>
      <c r="H323" s="26"/>
      <c r="I323" s="25"/>
      <c r="J323" s="29"/>
      <c r="K323" s="25"/>
      <c r="L323" s="1031"/>
      <c r="M323" s="25"/>
      <c r="N323" s="25"/>
      <c r="O323" s="31">
        <v>0.108374384236453</v>
      </c>
      <c r="P323" s="31">
        <v>0.305418719211823</v>
      </c>
      <c r="Q323" s="29" t="s">
        <v>1428</v>
      </c>
      <c r="R323" s="31">
        <v>0.2</v>
      </c>
      <c r="S323" s="31">
        <f t="shared" si="6"/>
        <v>0.613793103448276</v>
      </c>
      <c r="T323" s="1010"/>
      <c r="U323" s="27"/>
    </row>
    <row r="324" s="989" customFormat="1" spans="1:21">
      <c r="A324" s="1061"/>
      <c r="B324" s="1065"/>
      <c r="C324" s="1014"/>
      <c r="D324" s="29"/>
      <c r="E324" s="1014" t="s">
        <v>6236</v>
      </c>
      <c r="F324" s="25" t="s">
        <v>5918</v>
      </c>
      <c r="G324" s="123"/>
      <c r="H324" s="28"/>
      <c r="I324" s="29"/>
      <c r="J324" s="29"/>
      <c r="K324" s="25"/>
      <c r="L324" s="1031"/>
      <c r="M324" s="25"/>
      <c r="N324" s="25"/>
      <c r="O324" s="31">
        <v>0.484</v>
      </c>
      <c r="P324" s="31">
        <v>0.57</v>
      </c>
      <c r="Q324" s="29" t="s">
        <v>1428</v>
      </c>
      <c r="R324" s="31">
        <v>0.4</v>
      </c>
      <c r="S324" s="31">
        <f t="shared" si="6"/>
        <v>1.454</v>
      </c>
      <c r="T324" s="1010"/>
      <c r="U324" s="27"/>
    </row>
    <row r="325" s="989" customFormat="1" ht="15" spans="1:21">
      <c r="A325" s="1061"/>
      <c r="B325" s="1015" t="s">
        <v>6246</v>
      </c>
      <c r="C325" s="123"/>
      <c r="D325" s="123"/>
      <c r="E325" s="123"/>
      <c r="F325" s="26" t="s">
        <v>1629</v>
      </c>
      <c r="G325" s="25" t="s">
        <v>1933</v>
      </c>
      <c r="H325" s="29" t="s">
        <v>6247</v>
      </c>
      <c r="I325" s="29" t="s">
        <v>5962</v>
      </c>
      <c r="J325" s="29" t="s">
        <v>4314</v>
      </c>
      <c r="K325" s="29" t="s">
        <v>1428</v>
      </c>
      <c r="L325" s="65">
        <f>3.5*2</f>
        <v>7</v>
      </c>
      <c r="M325" s="29" t="s">
        <v>1428</v>
      </c>
      <c r="N325" s="29" t="s">
        <v>1428</v>
      </c>
      <c r="O325" s="66">
        <v>5.48273</v>
      </c>
      <c r="P325" s="66">
        <v>21.6748768472906</v>
      </c>
      <c r="Q325" s="66" t="s">
        <v>1428</v>
      </c>
      <c r="R325" s="1070">
        <v>5.04870809720488</v>
      </c>
      <c r="S325" s="66">
        <f t="shared" si="6"/>
        <v>39.2063149444955</v>
      </c>
      <c r="T325" s="123" t="s">
        <v>4296</v>
      </c>
      <c r="U325" s="27" t="s">
        <v>6248</v>
      </c>
    </row>
    <row r="326" s="989" customFormat="1" ht="15" spans="1:21">
      <c r="A326" s="1061"/>
      <c r="B326" s="1015"/>
      <c r="C326" s="123"/>
      <c r="D326" s="123"/>
      <c r="E326" s="123"/>
      <c r="F326" s="26" t="s">
        <v>1571</v>
      </c>
      <c r="G326" s="25" t="s">
        <v>1933</v>
      </c>
      <c r="H326" s="29" t="s">
        <v>6249</v>
      </c>
      <c r="I326" s="29" t="s">
        <v>4295</v>
      </c>
      <c r="J326" s="29" t="s">
        <v>4314</v>
      </c>
      <c r="K326" s="1071" t="s">
        <v>712</v>
      </c>
      <c r="L326" s="65">
        <f>3.5*4</f>
        <v>14</v>
      </c>
      <c r="M326" s="29" t="s">
        <v>1428</v>
      </c>
      <c r="N326" s="29" t="s">
        <v>1428</v>
      </c>
      <c r="O326" s="66">
        <v>5.48273</v>
      </c>
      <c r="P326" s="66">
        <v>21.7241379310345</v>
      </c>
      <c r="Q326" s="66" t="s">
        <v>1428</v>
      </c>
      <c r="R326" s="1070">
        <v>5.04870809720488</v>
      </c>
      <c r="S326" s="66">
        <f t="shared" si="6"/>
        <v>46.2555760282394</v>
      </c>
      <c r="T326" s="123" t="s">
        <v>4296</v>
      </c>
      <c r="U326" s="27" t="s">
        <v>6250</v>
      </c>
    </row>
    <row r="327" s="989" customFormat="1" ht="15" spans="1:21">
      <c r="A327" s="1061"/>
      <c r="B327" s="1072" t="s">
        <v>6251</v>
      </c>
      <c r="C327" s="1014"/>
      <c r="D327" s="1014"/>
      <c r="E327" s="1014"/>
      <c r="F327" s="26" t="s">
        <v>1565</v>
      </c>
      <c r="G327" s="25" t="s">
        <v>1933</v>
      </c>
      <c r="H327" s="29" t="s">
        <v>6252</v>
      </c>
      <c r="I327" s="29" t="s">
        <v>6253</v>
      </c>
      <c r="J327" s="29" t="s">
        <v>4314</v>
      </c>
      <c r="K327" s="1071" t="s">
        <v>712</v>
      </c>
      <c r="L327" s="1005">
        <v>0</v>
      </c>
      <c r="M327" s="29" t="s">
        <v>1428</v>
      </c>
      <c r="N327" s="29" t="s">
        <v>1428</v>
      </c>
      <c r="O327" s="66">
        <v>4.34692341629253</v>
      </c>
      <c r="P327" s="66">
        <v>22.512315270936</v>
      </c>
      <c r="Q327" s="66" t="s">
        <v>1428</v>
      </c>
      <c r="R327" s="1070">
        <v>5.04870809720488</v>
      </c>
      <c r="S327" s="66">
        <f t="shared" si="6"/>
        <v>31.9079467844334</v>
      </c>
      <c r="T327" s="123" t="s">
        <v>4315</v>
      </c>
      <c r="U327" s="27" t="s">
        <v>6254</v>
      </c>
    </row>
    <row r="328" s="989" customFormat="1" spans="1:21">
      <c r="A328" s="1061"/>
      <c r="B328" s="1072"/>
      <c r="C328" s="1014"/>
      <c r="D328" s="1014"/>
      <c r="E328" s="1014"/>
      <c r="F328" s="26" t="s">
        <v>6255</v>
      </c>
      <c r="G328" s="25"/>
      <c r="H328" s="29"/>
      <c r="I328" s="29"/>
      <c r="J328" s="29"/>
      <c r="K328" s="29"/>
      <c r="L328" s="1005"/>
      <c r="M328" s="29"/>
      <c r="N328" s="29"/>
      <c r="O328" s="66">
        <v>0.24</v>
      </c>
      <c r="P328" s="66">
        <v>3.32380952380953</v>
      </c>
      <c r="Q328" s="66" t="s">
        <v>1428</v>
      </c>
      <c r="R328" s="66">
        <v>0.4</v>
      </c>
      <c r="S328" s="66">
        <f t="shared" si="6"/>
        <v>3.96380952380953</v>
      </c>
      <c r="T328" s="123"/>
      <c r="U328" s="27"/>
    </row>
    <row r="329" s="989" customFormat="1" ht="15" spans="1:21">
      <c r="A329" s="1061"/>
      <c r="B329" s="1072" t="s">
        <v>6256</v>
      </c>
      <c r="C329" s="1014"/>
      <c r="D329" s="1014"/>
      <c r="E329" s="1014"/>
      <c r="F329" s="26" t="s">
        <v>1617</v>
      </c>
      <c r="G329" s="25" t="s">
        <v>1933</v>
      </c>
      <c r="H329" s="29" t="s">
        <v>6257</v>
      </c>
      <c r="I329" s="29" t="s">
        <v>3432</v>
      </c>
      <c r="J329" s="29" t="s">
        <v>1742</v>
      </c>
      <c r="K329" s="29" t="s">
        <v>1428</v>
      </c>
      <c r="L329" s="1005" t="s">
        <v>1428</v>
      </c>
      <c r="M329" s="29" t="s">
        <v>1428</v>
      </c>
      <c r="N329" s="65">
        <v>6</v>
      </c>
      <c r="O329" s="66">
        <v>5.907</v>
      </c>
      <c r="P329" s="66">
        <v>22.3904761904762</v>
      </c>
      <c r="Q329" s="66" t="s">
        <v>1428</v>
      </c>
      <c r="R329" s="1070">
        <v>5.04870809720488</v>
      </c>
      <c r="S329" s="66">
        <f t="shared" si="6"/>
        <v>39.3461842876811</v>
      </c>
      <c r="T329" s="123" t="s">
        <v>3881</v>
      </c>
      <c r="U329" s="27" t="s">
        <v>6258</v>
      </c>
    </row>
    <row r="330" s="989" customFormat="1" spans="1:21">
      <c r="A330" s="1061"/>
      <c r="B330" s="1072"/>
      <c r="C330" s="1014"/>
      <c r="D330" s="1014"/>
      <c r="E330" s="1014"/>
      <c r="F330" s="26" t="s">
        <v>6259</v>
      </c>
      <c r="G330" s="25"/>
      <c r="H330" s="29"/>
      <c r="I330" s="29"/>
      <c r="J330" s="29"/>
      <c r="K330" s="29"/>
      <c r="L330" s="1005"/>
      <c r="M330" s="29"/>
      <c r="N330" s="29"/>
      <c r="O330" s="66">
        <v>0.3729</v>
      </c>
      <c r="P330" s="66">
        <v>0.542857142857143</v>
      </c>
      <c r="Q330" s="66" t="s">
        <v>1428</v>
      </c>
      <c r="R330" s="66">
        <v>0.4</v>
      </c>
      <c r="S330" s="66">
        <f t="shared" si="6"/>
        <v>1.31575714285714</v>
      </c>
      <c r="T330" s="123"/>
      <c r="U330" s="27"/>
    </row>
    <row r="331" s="989" customFormat="1" ht="15" spans="1:21">
      <c r="A331" s="1061"/>
      <c r="B331" s="1072" t="s">
        <v>6260</v>
      </c>
      <c r="C331" s="1014"/>
      <c r="D331" s="1014"/>
      <c r="E331" s="1014"/>
      <c r="F331" s="1073" t="s">
        <v>6261</v>
      </c>
      <c r="G331" s="31" t="s">
        <v>1428</v>
      </c>
      <c r="H331" s="31" t="s">
        <v>6262</v>
      </c>
      <c r="I331" s="29" t="s">
        <v>6263</v>
      </c>
      <c r="J331" s="31" t="s">
        <v>1428</v>
      </c>
      <c r="K331" s="29" t="s">
        <v>1428</v>
      </c>
      <c r="L331" s="1005">
        <f t="shared" ref="L331:L333" si="7">4*2</f>
        <v>8</v>
      </c>
      <c r="M331" s="29" t="s">
        <v>1428</v>
      </c>
      <c r="N331" s="29" t="s">
        <v>1428</v>
      </c>
      <c r="O331" s="66">
        <v>0.2596</v>
      </c>
      <c r="P331" s="66">
        <v>4.13333333333333</v>
      </c>
      <c r="Q331" s="66" t="s">
        <v>1428</v>
      </c>
      <c r="R331" s="66">
        <v>1.14</v>
      </c>
      <c r="S331" s="66">
        <f t="shared" si="6"/>
        <v>13.5329333333333</v>
      </c>
      <c r="T331" s="123" t="s">
        <v>6264</v>
      </c>
      <c r="U331" s="27" t="s">
        <v>6265</v>
      </c>
    </row>
    <row r="332" s="989" customFormat="1" ht="15" spans="1:21">
      <c r="A332" s="1061"/>
      <c r="B332" s="1072" t="s">
        <v>6266</v>
      </c>
      <c r="C332" s="1014"/>
      <c r="D332" s="1014"/>
      <c r="E332" s="1014"/>
      <c r="F332" s="1074"/>
      <c r="G332" s="31" t="s">
        <v>1428</v>
      </c>
      <c r="H332" s="31" t="s">
        <v>6267</v>
      </c>
      <c r="I332" s="29" t="s">
        <v>6263</v>
      </c>
      <c r="J332" s="31" t="s">
        <v>1428</v>
      </c>
      <c r="K332" s="29" t="s">
        <v>1428</v>
      </c>
      <c r="L332" s="1005">
        <f t="shared" si="7"/>
        <v>8</v>
      </c>
      <c r="M332" s="29" t="s">
        <v>1428</v>
      </c>
      <c r="N332" s="29" t="s">
        <v>1428</v>
      </c>
      <c r="O332" s="66">
        <v>0.2596</v>
      </c>
      <c r="P332" s="66">
        <v>3.80952380952381</v>
      </c>
      <c r="Q332" s="66" t="s">
        <v>1428</v>
      </c>
      <c r="R332" s="66">
        <v>1.14</v>
      </c>
      <c r="S332" s="66">
        <f t="shared" si="6"/>
        <v>13.2091238095238</v>
      </c>
      <c r="T332" s="123" t="s">
        <v>6264</v>
      </c>
      <c r="U332" s="27" t="s">
        <v>6265</v>
      </c>
    </row>
    <row r="333" s="989" customFormat="1" ht="15" spans="1:21">
      <c r="A333" s="1061"/>
      <c r="B333" s="1072" t="s">
        <v>6268</v>
      </c>
      <c r="C333" s="1014"/>
      <c r="D333" s="1014"/>
      <c r="E333" s="1014"/>
      <c r="F333" s="1075"/>
      <c r="G333" s="31" t="s">
        <v>1428</v>
      </c>
      <c r="H333" s="31" t="s">
        <v>6269</v>
      </c>
      <c r="I333" s="29" t="s">
        <v>6263</v>
      </c>
      <c r="J333" s="31" t="s">
        <v>1428</v>
      </c>
      <c r="K333" s="29" t="s">
        <v>1428</v>
      </c>
      <c r="L333" s="1005">
        <f t="shared" si="7"/>
        <v>8</v>
      </c>
      <c r="M333" s="29" t="s">
        <v>1428</v>
      </c>
      <c r="N333" s="29" t="s">
        <v>1428</v>
      </c>
      <c r="O333" s="66">
        <v>0.2596</v>
      </c>
      <c r="P333" s="66">
        <v>3.80952380952381</v>
      </c>
      <c r="Q333" s="66" t="s">
        <v>1428</v>
      </c>
      <c r="R333" s="66">
        <v>1.14</v>
      </c>
      <c r="S333" s="66">
        <f t="shared" si="6"/>
        <v>13.2091238095238</v>
      </c>
      <c r="T333" s="123" t="s">
        <v>6264</v>
      </c>
      <c r="U333" s="27" t="s">
        <v>6265</v>
      </c>
    </row>
    <row r="334" s="989" customFormat="1" ht="15" spans="1:21">
      <c r="A334" s="1061"/>
      <c r="B334" s="1072" t="s">
        <v>6270</v>
      </c>
      <c r="C334" s="1014"/>
      <c r="D334" s="1014"/>
      <c r="E334" s="1014"/>
      <c r="F334" s="26" t="s">
        <v>1669</v>
      </c>
      <c r="G334" s="25" t="s">
        <v>3540</v>
      </c>
      <c r="H334" s="31" t="s">
        <v>6271</v>
      </c>
      <c r="I334" s="29" t="s">
        <v>1913</v>
      </c>
      <c r="J334" s="31" t="s">
        <v>1428</v>
      </c>
      <c r="K334" s="29" t="s">
        <v>1428</v>
      </c>
      <c r="L334" s="1005" t="s">
        <v>1428</v>
      </c>
      <c r="M334" s="29" t="s">
        <v>1428</v>
      </c>
      <c r="N334" s="29" t="s">
        <v>1428</v>
      </c>
      <c r="O334" s="66">
        <v>5.41871921182266</v>
      </c>
      <c r="P334" s="66">
        <v>30.7764485104386</v>
      </c>
      <c r="Q334" s="66">
        <v>3.22</v>
      </c>
      <c r="R334" s="31">
        <v>5.04870809720488</v>
      </c>
      <c r="S334" s="66">
        <f t="shared" si="6"/>
        <v>44.4638758194661</v>
      </c>
      <c r="T334" s="123" t="s">
        <v>2854</v>
      </c>
      <c r="U334" s="27" t="s">
        <v>6272</v>
      </c>
    </row>
    <row r="335" s="989" customFormat="1" ht="15" spans="1:21">
      <c r="A335" s="1061"/>
      <c r="B335" s="1076" t="s">
        <v>6273</v>
      </c>
      <c r="C335" s="1014"/>
      <c r="D335" s="1014"/>
      <c r="E335" s="1014"/>
      <c r="F335" s="26" t="s">
        <v>1565</v>
      </c>
      <c r="G335" s="25" t="s">
        <v>3540</v>
      </c>
      <c r="H335" s="31" t="s">
        <v>6271</v>
      </c>
      <c r="I335" s="29" t="s">
        <v>1913</v>
      </c>
      <c r="J335" s="31" t="s">
        <v>1428</v>
      </c>
      <c r="K335" s="1071" t="s">
        <v>712</v>
      </c>
      <c r="L335" s="1005" t="s">
        <v>1428</v>
      </c>
      <c r="M335" s="29" t="s">
        <v>1428</v>
      </c>
      <c r="N335" s="29" t="s">
        <v>1428</v>
      </c>
      <c r="O335" s="66">
        <v>5.88177339901478</v>
      </c>
      <c r="P335" s="66">
        <v>35.320197044335</v>
      </c>
      <c r="Q335" s="66" t="s">
        <v>1428</v>
      </c>
      <c r="R335" s="31">
        <v>5.04870809720488</v>
      </c>
      <c r="S335" s="66">
        <f t="shared" si="6"/>
        <v>46.2506785405547</v>
      </c>
      <c r="T335" s="123" t="s">
        <v>2854</v>
      </c>
      <c r="U335" s="27" t="s">
        <v>5726</v>
      </c>
    </row>
    <row r="336" s="989" customFormat="1" ht="15" spans="1:21">
      <c r="A336" s="1061"/>
      <c r="B336" s="1077"/>
      <c r="C336" s="1014"/>
      <c r="D336" s="1014"/>
      <c r="E336" s="1014"/>
      <c r="F336" s="26" t="s">
        <v>1617</v>
      </c>
      <c r="G336" s="25" t="s">
        <v>3540</v>
      </c>
      <c r="H336" s="31" t="s">
        <v>6271</v>
      </c>
      <c r="I336" s="29" t="s">
        <v>1913</v>
      </c>
      <c r="J336" s="31" t="s">
        <v>1428</v>
      </c>
      <c r="K336" s="1071" t="s">
        <v>712</v>
      </c>
      <c r="L336" s="1005" t="s">
        <v>1428</v>
      </c>
      <c r="M336" s="29" t="s">
        <v>1428</v>
      </c>
      <c r="N336" s="29" t="s">
        <v>1428</v>
      </c>
      <c r="O336" s="66">
        <v>5.88177339901478</v>
      </c>
      <c r="P336" s="66">
        <v>35.615763546798</v>
      </c>
      <c r="Q336" s="66" t="s">
        <v>1428</v>
      </c>
      <c r="R336" s="31">
        <v>5.04870809720488</v>
      </c>
      <c r="S336" s="66">
        <f t="shared" ref="S336:S385" si="8">SUM(K336:R336)</f>
        <v>46.5462450430177</v>
      </c>
      <c r="T336" s="123" t="s">
        <v>2854</v>
      </c>
      <c r="U336" s="27" t="s">
        <v>5726</v>
      </c>
    </row>
    <row r="337" s="989" customFormat="1" spans="1:21">
      <c r="A337" s="1061"/>
      <c r="B337" s="1015" t="s">
        <v>6274</v>
      </c>
      <c r="C337" s="123"/>
      <c r="D337" s="123"/>
      <c r="E337" s="123"/>
      <c r="F337" s="26" t="s">
        <v>6275</v>
      </c>
      <c r="G337" s="25"/>
      <c r="H337" s="29"/>
      <c r="I337" s="29"/>
      <c r="J337" s="29"/>
      <c r="K337" s="29"/>
      <c r="L337" s="1005"/>
      <c r="M337" s="29"/>
      <c r="N337" s="29"/>
      <c r="O337" s="66">
        <v>0.10098</v>
      </c>
      <c r="P337" s="66">
        <v>8.25285714285714</v>
      </c>
      <c r="Q337" s="66" t="s">
        <v>1428</v>
      </c>
      <c r="R337" s="1070">
        <v>0.2</v>
      </c>
      <c r="S337" s="66">
        <f t="shared" si="8"/>
        <v>8.55383714285714</v>
      </c>
      <c r="T337" s="123"/>
      <c r="U337" s="27"/>
    </row>
    <row r="338" s="989" customFormat="1" ht="15" spans="1:21">
      <c r="A338" s="1061"/>
      <c r="B338" s="1015" t="s">
        <v>6276</v>
      </c>
      <c r="C338" s="123"/>
      <c r="D338" s="123"/>
      <c r="E338" s="123"/>
      <c r="F338" s="26" t="s">
        <v>1565</v>
      </c>
      <c r="G338" s="25" t="s">
        <v>1933</v>
      </c>
      <c r="H338" s="29" t="s">
        <v>6247</v>
      </c>
      <c r="I338" s="29" t="s">
        <v>3436</v>
      </c>
      <c r="J338" s="29" t="s">
        <v>4314</v>
      </c>
      <c r="K338" s="29" t="s">
        <v>1428</v>
      </c>
      <c r="L338" s="1005">
        <f>4.2*2</f>
        <v>8.4</v>
      </c>
      <c r="M338" s="29" t="s">
        <v>1428</v>
      </c>
      <c r="N338" s="29" t="s">
        <v>1428</v>
      </c>
      <c r="O338" s="66">
        <v>5.258</v>
      </c>
      <c r="P338" s="66">
        <v>19.1330049261084</v>
      </c>
      <c r="Q338" s="66" t="s">
        <v>1428</v>
      </c>
      <c r="R338" s="31">
        <v>5.04870809720488</v>
      </c>
      <c r="S338" s="66">
        <f t="shared" si="8"/>
        <v>37.8397130233133</v>
      </c>
      <c r="T338" s="157" t="s">
        <v>5866</v>
      </c>
      <c r="U338" s="27" t="s">
        <v>6277</v>
      </c>
    </row>
    <row r="339" s="989" customFormat="1" spans="1:21">
      <c r="A339" s="1061"/>
      <c r="B339" s="1015"/>
      <c r="C339" s="123"/>
      <c r="D339" s="123"/>
      <c r="E339" s="123"/>
      <c r="F339" s="26" t="s">
        <v>402</v>
      </c>
      <c r="G339" s="25"/>
      <c r="H339" s="29"/>
      <c r="I339" s="29"/>
      <c r="J339" s="29"/>
      <c r="K339" s="29"/>
      <c r="L339" s="1005"/>
      <c r="M339" s="29"/>
      <c r="N339" s="29"/>
      <c r="O339" s="66">
        <v>0.38423</v>
      </c>
      <c r="P339" s="66">
        <v>1.39047619047619</v>
      </c>
      <c r="Q339" s="66" t="s">
        <v>1428</v>
      </c>
      <c r="R339" s="66">
        <v>0.4</v>
      </c>
      <c r="S339" s="66">
        <f t="shared" si="8"/>
        <v>2.17470619047619</v>
      </c>
      <c r="T339" s="123"/>
      <c r="U339" s="27"/>
    </row>
    <row r="340" s="989" customFormat="1" ht="15" spans="1:21">
      <c r="A340" s="1061"/>
      <c r="B340" s="1015" t="s">
        <v>6278</v>
      </c>
      <c r="C340" s="123"/>
      <c r="D340" s="123"/>
      <c r="E340" s="123"/>
      <c r="F340" s="26" t="s">
        <v>6279</v>
      </c>
      <c r="G340" s="25" t="s">
        <v>1933</v>
      </c>
      <c r="H340" s="29" t="s">
        <v>6247</v>
      </c>
      <c r="I340" s="29" t="s">
        <v>3624</v>
      </c>
      <c r="J340" s="29" t="s">
        <v>3750</v>
      </c>
      <c r="K340" s="29" t="s">
        <v>1428</v>
      </c>
      <c r="L340" s="1005" t="s">
        <v>1428</v>
      </c>
      <c r="M340" s="29" t="s">
        <v>1428</v>
      </c>
      <c r="N340" s="29">
        <v>2</v>
      </c>
      <c r="O340" s="66">
        <v>6.55908</v>
      </c>
      <c r="P340" s="66">
        <v>21.6551724137931</v>
      </c>
      <c r="Q340" s="66" t="s">
        <v>1428</v>
      </c>
      <c r="R340" s="31">
        <v>5.04870809720488</v>
      </c>
      <c r="S340" s="66">
        <f t="shared" si="8"/>
        <v>35.262960510998</v>
      </c>
      <c r="T340" s="123" t="s">
        <v>3881</v>
      </c>
      <c r="U340" s="27" t="s">
        <v>6049</v>
      </c>
    </row>
    <row r="341" s="989" customFormat="1" ht="15" spans="1:21">
      <c r="A341" s="1061"/>
      <c r="B341" s="1015"/>
      <c r="C341" s="123"/>
      <c r="D341" s="123"/>
      <c r="E341" s="123"/>
      <c r="F341" s="26" t="s">
        <v>6280</v>
      </c>
      <c r="G341" s="25" t="s">
        <v>1933</v>
      </c>
      <c r="H341" s="29" t="s">
        <v>6249</v>
      </c>
      <c r="I341" s="29" t="s">
        <v>3624</v>
      </c>
      <c r="J341" s="29" t="s">
        <v>3750</v>
      </c>
      <c r="K341" s="1071" t="s">
        <v>712</v>
      </c>
      <c r="L341" s="1005" t="s">
        <v>1428</v>
      </c>
      <c r="M341" s="29" t="s">
        <v>1428</v>
      </c>
      <c r="N341" s="29">
        <v>2</v>
      </c>
      <c r="O341" s="66">
        <v>6.55908</v>
      </c>
      <c r="P341" s="66">
        <v>21.448275862069</v>
      </c>
      <c r="Q341" s="66" t="s">
        <v>1428</v>
      </c>
      <c r="R341" s="31">
        <v>5.04870809720488</v>
      </c>
      <c r="S341" s="66">
        <f t="shared" si="8"/>
        <v>35.0560639592739</v>
      </c>
      <c r="T341" s="123" t="s">
        <v>3881</v>
      </c>
      <c r="U341" s="27" t="s">
        <v>6281</v>
      </c>
    </row>
    <row r="342" s="989" customFormat="1" ht="15" spans="1:21">
      <c r="A342" s="1061"/>
      <c r="B342" s="1015"/>
      <c r="C342" s="123"/>
      <c r="D342" s="123"/>
      <c r="E342" s="123"/>
      <c r="F342" s="26" t="s">
        <v>6282</v>
      </c>
      <c r="G342" s="25" t="s">
        <v>1933</v>
      </c>
      <c r="H342" s="29" t="s">
        <v>6247</v>
      </c>
      <c r="I342" s="29" t="s">
        <v>3624</v>
      </c>
      <c r="J342" s="29" t="s">
        <v>3750</v>
      </c>
      <c r="K342" s="29" t="s">
        <v>1428</v>
      </c>
      <c r="L342" s="1005" t="s">
        <v>1428</v>
      </c>
      <c r="M342" s="29" t="s">
        <v>1428</v>
      </c>
      <c r="N342" s="29">
        <v>2</v>
      </c>
      <c r="O342" s="66">
        <v>6.6</v>
      </c>
      <c r="P342" s="66">
        <v>20.3743842364532</v>
      </c>
      <c r="Q342" s="66" t="s">
        <v>1428</v>
      </c>
      <c r="R342" s="31">
        <v>5.04870809720488</v>
      </c>
      <c r="S342" s="66">
        <f t="shared" si="8"/>
        <v>34.0230923336581</v>
      </c>
      <c r="T342" s="123" t="s">
        <v>3881</v>
      </c>
      <c r="U342" s="27"/>
    </row>
    <row r="343" s="989" customFormat="1" ht="15" spans="1:21">
      <c r="A343" s="1061"/>
      <c r="B343" s="1015" t="s">
        <v>6283</v>
      </c>
      <c r="C343" s="123"/>
      <c r="D343" s="123"/>
      <c r="E343" s="123"/>
      <c r="F343" s="26" t="s">
        <v>6284</v>
      </c>
      <c r="G343" s="25" t="s">
        <v>1933</v>
      </c>
      <c r="H343" s="29" t="s">
        <v>6257</v>
      </c>
      <c r="I343" s="29" t="s">
        <v>3432</v>
      </c>
      <c r="J343" s="29" t="s">
        <v>4314</v>
      </c>
      <c r="K343" s="29" t="s">
        <v>1428</v>
      </c>
      <c r="L343" s="1005" t="s">
        <v>1428</v>
      </c>
      <c r="M343" s="29" t="s">
        <v>1428</v>
      </c>
      <c r="N343" s="29" t="s">
        <v>1428</v>
      </c>
      <c r="O343" s="66">
        <v>6.644</v>
      </c>
      <c r="P343" s="66">
        <v>18.3940886699507</v>
      </c>
      <c r="Q343" s="66" t="s">
        <v>1428</v>
      </c>
      <c r="R343" s="31">
        <v>3.52399825184901</v>
      </c>
      <c r="S343" s="66">
        <f t="shared" si="8"/>
        <v>28.5620869217997</v>
      </c>
      <c r="T343" s="123" t="s">
        <v>3881</v>
      </c>
      <c r="U343" s="27" t="s">
        <v>6285</v>
      </c>
    </row>
    <row r="344" s="989" customFormat="1" spans="1:21">
      <c r="A344" s="1061"/>
      <c r="B344" s="1015"/>
      <c r="C344" s="123"/>
      <c r="D344" s="123"/>
      <c r="E344" s="123"/>
      <c r="F344" s="26" t="s">
        <v>6286</v>
      </c>
      <c r="G344" s="25"/>
      <c r="H344" s="29"/>
      <c r="I344" s="29"/>
      <c r="J344" s="29"/>
      <c r="K344" s="29"/>
      <c r="L344" s="1005"/>
      <c r="M344" s="29"/>
      <c r="N344" s="29"/>
      <c r="O344" s="66">
        <v>0.955665024630542</v>
      </c>
      <c r="P344" s="66">
        <v>1.53694581280788</v>
      </c>
      <c r="Q344" s="66" t="s">
        <v>1428</v>
      </c>
      <c r="R344" s="66">
        <v>0.4</v>
      </c>
      <c r="S344" s="66">
        <f t="shared" si="8"/>
        <v>2.89261083743842</v>
      </c>
      <c r="T344" s="123"/>
      <c r="U344" s="27"/>
    </row>
    <row r="345" s="989" customFormat="1" spans="1:21">
      <c r="A345" s="1061"/>
      <c r="B345" s="1015"/>
      <c r="C345" s="123"/>
      <c r="D345" s="123"/>
      <c r="E345" s="123"/>
      <c r="F345" s="26" t="s">
        <v>6287</v>
      </c>
      <c r="G345" s="25"/>
      <c r="H345" s="29"/>
      <c r="I345" s="29"/>
      <c r="J345" s="29"/>
      <c r="K345" s="29"/>
      <c r="L345" s="1005"/>
      <c r="M345" s="29"/>
      <c r="N345" s="29"/>
      <c r="O345" s="66">
        <v>0.55</v>
      </c>
      <c r="P345" s="66">
        <v>2.16190476190476</v>
      </c>
      <c r="Q345" s="66" t="s">
        <v>1428</v>
      </c>
      <c r="R345" s="66">
        <v>0.4</v>
      </c>
      <c r="S345" s="66">
        <f t="shared" si="8"/>
        <v>3.11190476190476</v>
      </c>
      <c r="T345" s="123"/>
      <c r="U345" s="27"/>
    </row>
    <row r="346" s="989" customFormat="1" spans="1:21">
      <c r="A346" s="1061"/>
      <c r="B346" s="1015"/>
      <c r="C346" s="123"/>
      <c r="D346" s="123"/>
      <c r="E346" s="123"/>
      <c r="F346" s="26" t="s">
        <v>6288</v>
      </c>
      <c r="G346" s="25"/>
      <c r="H346" s="29"/>
      <c r="I346" s="29"/>
      <c r="J346" s="29"/>
      <c r="K346" s="29"/>
      <c r="L346" s="1005"/>
      <c r="M346" s="29"/>
      <c r="N346" s="29"/>
      <c r="O346" s="66">
        <v>0.55</v>
      </c>
      <c r="P346" s="66">
        <v>2.19047619047619</v>
      </c>
      <c r="Q346" s="66" t="s">
        <v>1428</v>
      </c>
      <c r="R346" s="66">
        <v>0.4</v>
      </c>
      <c r="S346" s="66">
        <f t="shared" si="8"/>
        <v>3.14047619047619</v>
      </c>
      <c r="T346" s="123"/>
      <c r="U346" s="27"/>
    </row>
    <row r="347" s="990" customFormat="1" ht="15" customHeight="1" spans="1:21">
      <c r="A347" s="1061"/>
      <c r="B347" s="1015"/>
      <c r="C347" s="687"/>
      <c r="D347" s="687"/>
      <c r="E347" s="687"/>
      <c r="F347" s="721" t="s">
        <v>667</v>
      </c>
      <c r="G347" s="687"/>
      <c r="H347" s="153"/>
      <c r="I347" s="153"/>
      <c r="J347" s="153"/>
      <c r="K347" s="153"/>
      <c r="L347" s="924"/>
      <c r="M347" s="153"/>
      <c r="N347" s="153" t="e">
        <f>37.88/D347/1.13</f>
        <v>#DIV/0!</v>
      </c>
      <c r="O347" s="154">
        <v>19.29</v>
      </c>
      <c r="P347" s="154">
        <v>3.15</v>
      </c>
      <c r="Q347" s="154" t="s">
        <v>1428</v>
      </c>
      <c r="R347" s="66">
        <v>0.4</v>
      </c>
      <c r="S347" s="66" t="e">
        <f t="shared" si="8"/>
        <v>#DIV/0!</v>
      </c>
      <c r="T347" s="728"/>
      <c r="U347" s="27"/>
    </row>
    <row r="348" s="989" customFormat="1" spans="1:21">
      <c r="A348" s="1061"/>
      <c r="B348" s="1015"/>
      <c r="C348" s="123"/>
      <c r="D348" s="123"/>
      <c r="E348" s="123"/>
      <c r="F348" s="26" t="s">
        <v>5846</v>
      </c>
      <c r="G348" s="25"/>
      <c r="H348" s="29"/>
      <c r="I348" s="29"/>
      <c r="J348" s="29"/>
      <c r="K348" s="29"/>
      <c r="L348" s="1005"/>
      <c r="M348" s="29"/>
      <c r="N348" s="29"/>
      <c r="O348" s="66">
        <v>0.08965</v>
      </c>
      <c r="P348" s="66">
        <v>0.152380952380953</v>
      </c>
      <c r="Q348" s="66" t="s">
        <v>1428</v>
      </c>
      <c r="R348" s="66">
        <v>0.4</v>
      </c>
      <c r="S348" s="66">
        <f t="shared" si="8"/>
        <v>0.642030952380953</v>
      </c>
      <c r="T348" s="123"/>
      <c r="U348" s="27"/>
    </row>
    <row r="349" s="989" customFormat="1" ht="15" spans="1:21">
      <c r="A349" s="1061"/>
      <c r="B349" s="1015" t="s">
        <v>6289</v>
      </c>
      <c r="C349" s="123"/>
      <c r="D349" s="123"/>
      <c r="E349" s="123"/>
      <c r="F349" s="26" t="s">
        <v>1617</v>
      </c>
      <c r="G349" s="25" t="s">
        <v>1933</v>
      </c>
      <c r="H349" s="29" t="s">
        <v>6257</v>
      </c>
      <c r="I349" s="29" t="s">
        <v>3436</v>
      </c>
      <c r="J349" s="29" t="s">
        <v>2955</v>
      </c>
      <c r="K349" s="29" t="s">
        <v>1428</v>
      </c>
      <c r="L349" s="1005">
        <f>4.2*2</f>
        <v>8.4</v>
      </c>
      <c r="M349" s="29" t="s">
        <v>1428</v>
      </c>
      <c r="N349" s="29" t="s">
        <v>1428</v>
      </c>
      <c r="O349" s="66">
        <v>5.973</v>
      </c>
      <c r="P349" s="66">
        <v>19.1330049261084</v>
      </c>
      <c r="Q349" s="66" t="s">
        <v>1428</v>
      </c>
      <c r="R349" s="31">
        <v>5.04870809720488</v>
      </c>
      <c r="S349" s="66">
        <f t="shared" si="8"/>
        <v>38.5547130233133</v>
      </c>
      <c r="T349" s="157" t="s">
        <v>5866</v>
      </c>
      <c r="U349" s="27" t="s">
        <v>6290</v>
      </c>
    </row>
    <row r="350" s="989" customFormat="1" spans="1:21">
      <c r="A350" s="1061"/>
      <c r="B350" s="1015"/>
      <c r="C350" s="123"/>
      <c r="D350" s="123"/>
      <c r="E350" s="123"/>
      <c r="F350" s="26" t="s">
        <v>6291</v>
      </c>
      <c r="G350" s="25"/>
      <c r="H350" s="29"/>
      <c r="I350" s="29"/>
      <c r="J350" s="29"/>
      <c r="K350" s="29"/>
      <c r="L350" s="1005"/>
      <c r="M350" s="29"/>
      <c r="N350" s="29"/>
      <c r="O350" s="66">
        <v>0.649</v>
      </c>
      <c r="P350" s="66">
        <v>3.19047619047619</v>
      </c>
      <c r="Q350" s="66" t="s">
        <v>1428</v>
      </c>
      <c r="R350" s="66">
        <v>0.4</v>
      </c>
      <c r="S350" s="66">
        <f t="shared" si="8"/>
        <v>4.23947619047619</v>
      </c>
      <c r="T350" s="157"/>
      <c r="U350" s="27"/>
    </row>
    <row r="351" s="989" customFormat="1" ht="15" spans="1:21">
      <c r="A351" s="1061"/>
      <c r="B351" s="1015"/>
      <c r="C351" s="123"/>
      <c r="D351" s="123"/>
      <c r="E351" s="123"/>
      <c r="F351" s="26" t="s">
        <v>6183</v>
      </c>
      <c r="G351" s="25"/>
      <c r="H351" s="29"/>
      <c r="I351" s="29"/>
      <c r="J351" s="29"/>
      <c r="K351" s="29"/>
      <c r="L351" s="1005"/>
      <c r="M351" s="29"/>
      <c r="N351" s="29"/>
      <c r="O351" s="66">
        <v>0.3729</v>
      </c>
      <c r="P351" s="66">
        <v>1.24057142857143</v>
      </c>
      <c r="Q351" s="66" t="s">
        <v>1428</v>
      </c>
      <c r="R351" s="66">
        <v>0.5</v>
      </c>
      <c r="S351" s="66">
        <f t="shared" si="8"/>
        <v>2.11347142857143</v>
      </c>
      <c r="T351" s="123"/>
      <c r="U351" s="27"/>
    </row>
    <row r="352" s="989" customFormat="1" ht="15" spans="1:21">
      <c r="A352" s="1061"/>
      <c r="B352" s="1015" t="s">
        <v>6292</v>
      </c>
      <c r="C352" s="123"/>
      <c r="D352" s="123"/>
      <c r="E352" s="123"/>
      <c r="F352" s="26" t="s">
        <v>1617</v>
      </c>
      <c r="G352" s="25" t="s">
        <v>1933</v>
      </c>
      <c r="H352" s="29" t="s">
        <v>6247</v>
      </c>
      <c r="I352" s="29" t="s">
        <v>3432</v>
      </c>
      <c r="J352" s="29" t="s">
        <v>2955</v>
      </c>
      <c r="K352" s="29" t="s">
        <v>1428</v>
      </c>
      <c r="L352" s="1005" t="s">
        <v>1428</v>
      </c>
      <c r="M352" s="29" t="s">
        <v>1428</v>
      </c>
      <c r="N352" s="29" t="e">
        <f>32.97/D352/1.13</f>
        <v>#DIV/0!</v>
      </c>
      <c r="O352" s="66">
        <v>7.733</v>
      </c>
      <c r="P352" s="66">
        <v>16.1379310344828</v>
      </c>
      <c r="Q352" s="66" t="s">
        <v>1428</v>
      </c>
      <c r="R352" s="31">
        <v>5.04870809720488</v>
      </c>
      <c r="S352" s="66" t="e">
        <f t="shared" si="8"/>
        <v>#DIV/0!</v>
      </c>
      <c r="T352" s="123" t="s">
        <v>3881</v>
      </c>
      <c r="U352" s="27" t="s">
        <v>6293</v>
      </c>
    </row>
    <row r="353" s="989" customFormat="1" spans="1:21">
      <c r="A353" s="1061"/>
      <c r="B353" s="1015"/>
      <c r="C353" s="123"/>
      <c r="D353" s="123"/>
      <c r="E353" s="123"/>
      <c r="F353" s="26" t="s">
        <v>6291</v>
      </c>
      <c r="G353" s="25"/>
      <c r="H353" s="29"/>
      <c r="I353" s="29"/>
      <c r="J353" s="29"/>
      <c r="K353" s="29"/>
      <c r="L353" s="1005"/>
      <c r="M353" s="29"/>
      <c r="N353" s="29"/>
      <c r="O353" s="66">
        <v>0.649</v>
      </c>
      <c r="P353" s="66">
        <v>3.19047619047619</v>
      </c>
      <c r="Q353" s="66" t="s">
        <v>1428</v>
      </c>
      <c r="R353" s="66">
        <v>0.4</v>
      </c>
      <c r="S353" s="66">
        <f t="shared" si="8"/>
        <v>4.23947619047619</v>
      </c>
      <c r="T353" s="157"/>
      <c r="U353" s="27"/>
    </row>
    <row r="354" s="989" customFormat="1" ht="15" spans="1:21">
      <c r="A354" s="1061"/>
      <c r="B354" s="1015"/>
      <c r="C354" s="123"/>
      <c r="D354" s="123"/>
      <c r="E354" s="123"/>
      <c r="F354" s="26" t="s">
        <v>6183</v>
      </c>
      <c r="G354" s="25"/>
      <c r="H354" s="29"/>
      <c r="I354" s="29"/>
      <c r="J354" s="29"/>
      <c r="K354" s="29"/>
      <c r="L354" s="1005"/>
      <c r="M354" s="29"/>
      <c r="N354" s="29"/>
      <c r="O354" s="66">
        <v>0.3729</v>
      </c>
      <c r="P354" s="66">
        <v>1.24057142857143</v>
      </c>
      <c r="Q354" s="66" t="s">
        <v>1428</v>
      </c>
      <c r="R354" s="66">
        <v>0.5</v>
      </c>
      <c r="S354" s="66">
        <f t="shared" si="8"/>
        <v>2.11347142857143</v>
      </c>
      <c r="T354" s="123"/>
      <c r="U354" s="27"/>
    </row>
    <row r="355" s="989" customFormat="1" ht="15" spans="1:21">
      <c r="A355" s="1061"/>
      <c r="B355" s="1015" t="s">
        <v>6294</v>
      </c>
      <c r="C355" s="123"/>
      <c r="D355" s="123"/>
      <c r="E355" s="123"/>
      <c r="F355" s="26" t="s">
        <v>1565</v>
      </c>
      <c r="G355" s="25" t="s">
        <v>1933</v>
      </c>
      <c r="H355" s="29" t="s">
        <v>6247</v>
      </c>
      <c r="I355" s="29" t="s">
        <v>3436</v>
      </c>
      <c r="J355" s="29" t="s">
        <v>6295</v>
      </c>
      <c r="K355" s="29" t="s">
        <v>1428</v>
      </c>
      <c r="L355" s="1005">
        <f>4.2*2</f>
        <v>8.4</v>
      </c>
      <c r="M355" s="29" t="s">
        <v>1428</v>
      </c>
      <c r="N355" s="29" t="s">
        <v>1428</v>
      </c>
      <c r="O355" s="66">
        <v>5.258</v>
      </c>
      <c r="P355" s="66">
        <v>17.2019704433498</v>
      </c>
      <c r="Q355" s="66" t="s">
        <v>1428</v>
      </c>
      <c r="R355" s="31">
        <v>5.04870809720488</v>
      </c>
      <c r="S355" s="66">
        <f t="shared" si="8"/>
        <v>35.9086785405547</v>
      </c>
      <c r="T355" s="157" t="s">
        <v>5866</v>
      </c>
      <c r="U355" s="27" t="s">
        <v>6296</v>
      </c>
    </row>
    <row r="356" s="989" customFormat="1" ht="15" spans="1:21">
      <c r="A356" s="1061"/>
      <c r="B356" s="1015"/>
      <c r="C356" s="123"/>
      <c r="D356" s="123"/>
      <c r="E356" s="123"/>
      <c r="F356" s="26" t="s">
        <v>1617</v>
      </c>
      <c r="G356" s="25" t="s">
        <v>1933</v>
      </c>
      <c r="H356" s="29" t="s">
        <v>6247</v>
      </c>
      <c r="I356" s="29" t="s">
        <v>3425</v>
      </c>
      <c r="J356" s="29" t="s">
        <v>2955</v>
      </c>
      <c r="K356" s="29" t="s">
        <v>1428</v>
      </c>
      <c r="L356" s="1005" t="s">
        <v>1428</v>
      </c>
      <c r="M356" s="29" t="s">
        <v>1428</v>
      </c>
      <c r="N356" s="29" t="s">
        <v>1428</v>
      </c>
      <c r="O356" s="66">
        <v>5.258</v>
      </c>
      <c r="P356" s="66">
        <v>19.2216748768473</v>
      </c>
      <c r="Q356" s="66" t="s">
        <v>1428</v>
      </c>
      <c r="R356" s="31">
        <v>5.04870809720488</v>
      </c>
      <c r="S356" s="66">
        <f t="shared" si="8"/>
        <v>29.5283829740522</v>
      </c>
      <c r="T356" s="123" t="s">
        <v>3558</v>
      </c>
      <c r="U356" s="27" t="s">
        <v>6297</v>
      </c>
    </row>
    <row r="357" s="989" customFormat="1" ht="15" spans="1:21">
      <c r="A357" s="1061"/>
      <c r="B357" s="1015"/>
      <c r="C357" s="123"/>
      <c r="D357" s="123"/>
      <c r="E357" s="123"/>
      <c r="F357" s="26" t="s">
        <v>430</v>
      </c>
      <c r="G357" s="25"/>
      <c r="H357" s="29"/>
      <c r="I357" s="29"/>
      <c r="J357" s="29"/>
      <c r="K357" s="29"/>
      <c r="L357" s="1005"/>
      <c r="M357" s="29"/>
      <c r="N357" s="29"/>
      <c r="O357" s="66">
        <v>0.96206</v>
      </c>
      <c r="P357" s="66">
        <v>4.34435843302838</v>
      </c>
      <c r="Q357" s="66" t="s">
        <v>1428</v>
      </c>
      <c r="R357" s="66">
        <v>0.4</v>
      </c>
      <c r="S357" s="66">
        <f t="shared" si="8"/>
        <v>5.70641843302838</v>
      </c>
      <c r="T357" s="123"/>
      <c r="U357" s="27" t="s">
        <v>2948</v>
      </c>
    </row>
    <row r="358" s="989" customFormat="1" spans="1:21">
      <c r="A358" s="1061"/>
      <c r="B358" s="1015"/>
      <c r="C358" s="123"/>
      <c r="D358" s="123"/>
      <c r="E358" s="123"/>
      <c r="F358" s="26" t="s">
        <v>429</v>
      </c>
      <c r="G358" s="25"/>
      <c r="H358" s="29"/>
      <c r="I358" s="29"/>
      <c r="J358" s="29"/>
      <c r="K358" s="29"/>
      <c r="L358" s="1005"/>
      <c r="M358" s="29"/>
      <c r="N358" s="29"/>
      <c r="O358" s="66">
        <v>0.385</v>
      </c>
      <c r="P358" s="66">
        <v>3.29345531315974</v>
      </c>
      <c r="Q358" s="66" t="s">
        <v>1428</v>
      </c>
      <c r="R358" s="66">
        <v>0.4</v>
      </c>
      <c r="S358" s="66">
        <f t="shared" si="8"/>
        <v>4.07845531315974</v>
      </c>
      <c r="T358" s="123"/>
      <c r="U358" s="27" t="s">
        <v>25</v>
      </c>
    </row>
    <row r="359" s="989" customFormat="1" spans="1:21">
      <c r="A359" s="1061"/>
      <c r="B359" s="1015"/>
      <c r="C359" s="123"/>
      <c r="D359" s="123"/>
      <c r="E359" s="123"/>
      <c r="F359" s="26" t="s">
        <v>428</v>
      </c>
      <c r="G359" s="25"/>
      <c r="H359" s="29"/>
      <c r="I359" s="29"/>
      <c r="J359" s="29"/>
      <c r="K359" s="29"/>
      <c r="L359" s="1005"/>
      <c r="M359" s="29"/>
      <c r="N359" s="29"/>
      <c r="O359" s="1023">
        <v>0.320636142105938</v>
      </c>
      <c r="P359" s="1023">
        <v>2.57571351631397</v>
      </c>
      <c r="Q359" s="29" t="s">
        <v>1428</v>
      </c>
      <c r="R359" s="31">
        <v>0.4</v>
      </c>
      <c r="S359" s="31">
        <f t="shared" si="8"/>
        <v>3.29634965841991</v>
      </c>
      <c r="T359" s="123"/>
      <c r="U359" s="27" t="s">
        <v>25</v>
      </c>
    </row>
    <row r="360" s="991" customFormat="1" spans="1:21">
      <c r="A360" s="1061"/>
      <c r="B360" s="1015"/>
      <c r="C360" s="123"/>
      <c r="D360" s="123"/>
      <c r="E360" s="123"/>
      <c r="F360" s="1021" t="s">
        <v>431</v>
      </c>
      <c r="G360" s="1024"/>
      <c r="H360" s="29"/>
      <c r="I360" s="29"/>
      <c r="J360" s="29"/>
      <c r="K360" s="147"/>
      <c r="L360" s="1022"/>
      <c r="M360" s="147"/>
      <c r="N360" s="147"/>
      <c r="O360" s="1070">
        <v>0.39556</v>
      </c>
      <c r="P360" s="1070">
        <v>0.876190476190476</v>
      </c>
      <c r="Q360" s="1070" t="s">
        <v>1428</v>
      </c>
      <c r="R360" s="66">
        <v>0.5</v>
      </c>
      <c r="S360" s="1070">
        <f t="shared" si="8"/>
        <v>1.77175047619048</v>
      </c>
      <c r="T360" s="146"/>
      <c r="U360" s="27"/>
    </row>
    <row r="361" s="989" customFormat="1" ht="15" spans="1:21">
      <c r="A361" s="1061"/>
      <c r="B361" s="1015" t="s">
        <v>6298</v>
      </c>
      <c r="C361" s="123"/>
      <c r="D361" s="123"/>
      <c r="E361" s="123"/>
      <c r="F361" s="26" t="s">
        <v>1672</v>
      </c>
      <c r="G361" s="25" t="s">
        <v>1933</v>
      </c>
      <c r="H361" s="29" t="s">
        <v>6257</v>
      </c>
      <c r="I361" s="29" t="s">
        <v>3432</v>
      </c>
      <c r="J361" s="29" t="s">
        <v>4314</v>
      </c>
      <c r="K361" s="29" t="s">
        <v>1428</v>
      </c>
      <c r="L361" s="1005" t="s">
        <v>1428</v>
      </c>
      <c r="M361" s="29" t="s">
        <v>1428</v>
      </c>
      <c r="N361" s="29" t="s">
        <v>1428</v>
      </c>
      <c r="O361" s="66">
        <v>8.14</v>
      </c>
      <c r="P361" s="66">
        <v>17.3399014778325</v>
      </c>
      <c r="Q361" s="66" t="s">
        <v>1428</v>
      </c>
      <c r="R361" s="31">
        <v>4.86695460570552</v>
      </c>
      <c r="S361" s="66">
        <f t="shared" si="8"/>
        <v>30.346856083538</v>
      </c>
      <c r="T361" s="123" t="s">
        <v>3881</v>
      </c>
      <c r="U361" s="27" t="s">
        <v>6299</v>
      </c>
    </row>
    <row r="362" s="989" customFormat="1" spans="1:21">
      <c r="A362" s="1061"/>
      <c r="B362" s="1015"/>
      <c r="C362" s="123"/>
      <c r="D362" s="123"/>
      <c r="E362" s="123"/>
      <c r="F362" s="26" t="s">
        <v>6300</v>
      </c>
      <c r="G362" s="25"/>
      <c r="H362" s="29"/>
      <c r="I362" s="29"/>
      <c r="J362" s="29"/>
      <c r="K362" s="29"/>
      <c r="L362" s="1005"/>
      <c r="M362" s="29"/>
      <c r="N362" s="29"/>
      <c r="O362" s="66">
        <v>0.38423</v>
      </c>
      <c r="P362" s="66">
        <v>3.58285714285714</v>
      </c>
      <c r="Q362" s="66" t="s">
        <v>1428</v>
      </c>
      <c r="R362" s="66">
        <v>0.4</v>
      </c>
      <c r="S362" s="66">
        <f t="shared" si="8"/>
        <v>4.36708714285714</v>
      </c>
      <c r="T362" s="123"/>
      <c r="U362" s="27" t="s">
        <v>25</v>
      </c>
    </row>
    <row r="363" s="989" customFormat="1" ht="15" spans="1:21">
      <c r="A363" s="1061"/>
      <c r="B363" s="1078" t="s">
        <v>6301</v>
      </c>
      <c r="C363" s="771"/>
      <c r="D363" s="771"/>
      <c r="E363" s="771"/>
      <c r="F363" s="1079" t="s">
        <v>1565</v>
      </c>
      <c r="G363" s="1080" t="s">
        <v>1933</v>
      </c>
      <c r="H363" s="1081" t="s">
        <v>6249</v>
      </c>
      <c r="I363" s="29" t="s">
        <v>1913</v>
      </c>
      <c r="J363" s="29" t="s">
        <v>1428</v>
      </c>
      <c r="K363" s="1071" t="s">
        <v>712</v>
      </c>
      <c r="L363" s="1005" t="s">
        <v>1428</v>
      </c>
      <c r="M363" s="29" t="s">
        <v>1428</v>
      </c>
      <c r="N363" s="29" t="s">
        <v>1428</v>
      </c>
      <c r="O363" s="66">
        <v>8.02</v>
      </c>
      <c r="P363" s="66">
        <v>23.2807881773399</v>
      </c>
      <c r="Q363" s="66" t="s">
        <v>1428</v>
      </c>
      <c r="R363" s="31">
        <v>5.04870809720488</v>
      </c>
      <c r="S363" s="66">
        <f t="shared" si="8"/>
        <v>36.3494962745448</v>
      </c>
      <c r="T363" s="123" t="s">
        <v>2854</v>
      </c>
      <c r="U363" s="27"/>
    </row>
    <row r="364" s="989" customFormat="1" ht="15" spans="1:21">
      <c r="A364" s="1061"/>
      <c r="B364" s="1078"/>
      <c r="C364" s="771">
        <v>20240613</v>
      </c>
      <c r="D364" s="771">
        <v>7.25</v>
      </c>
      <c r="E364" s="771"/>
      <c r="F364" s="1079" t="s">
        <v>6302</v>
      </c>
      <c r="G364" s="1080" t="s">
        <v>1933</v>
      </c>
      <c r="H364" s="1081" t="s">
        <v>6303</v>
      </c>
      <c r="I364" s="29" t="s">
        <v>1913</v>
      </c>
      <c r="J364" s="29" t="s">
        <v>2955</v>
      </c>
      <c r="K364" s="1071" t="s">
        <v>712</v>
      </c>
      <c r="L364" s="1005" t="s">
        <v>1428</v>
      </c>
      <c r="M364" s="29" t="s">
        <v>1428</v>
      </c>
      <c r="N364" s="29">
        <v>2.5</v>
      </c>
      <c r="O364" s="66">
        <v>2.66097039975587</v>
      </c>
      <c r="P364" s="66">
        <v>18.4535707280241</v>
      </c>
      <c r="Q364" s="66" t="s">
        <v>1428</v>
      </c>
      <c r="R364" s="31">
        <v>0.303760445682451</v>
      </c>
      <c r="S364" s="66">
        <f t="shared" si="8"/>
        <v>23.9183015734624</v>
      </c>
      <c r="T364" s="123" t="s">
        <v>2854</v>
      </c>
      <c r="U364" s="27" t="s">
        <v>6304</v>
      </c>
    </row>
    <row r="365" s="989" customFormat="1" ht="15" spans="1:21">
      <c r="A365" s="1061"/>
      <c r="B365" s="687"/>
      <c r="C365" s="687">
        <v>20240613</v>
      </c>
      <c r="D365" s="687">
        <v>7.25</v>
      </c>
      <c r="E365" s="687"/>
      <c r="F365" s="149" t="s">
        <v>6305</v>
      </c>
      <c r="G365" s="149" t="s">
        <v>1933</v>
      </c>
      <c r="H365" s="153" t="s">
        <v>6303</v>
      </c>
      <c r="I365" s="153" t="s">
        <v>1913</v>
      </c>
      <c r="J365" s="153" t="s">
        <v>2955</v>
      </c>
      <c r="K365" s="924" t="s">
        <v>1428</v>
      </c>
      <c r="L365" s="1082" t="s">
        <v>712</v>
      </c>
      <c r="M365" s="153" t="s">
        <v>1428</v>
      </c>
      <c r="N365" s="153">
        <v>2.5</v>
      </c>
      <c r="O365" s="154">
        <v>2.66097039975587</v>
      </c>
      <c r="P365" s="154">
        <v>18.4535707280241</v>
      </c>
      <c r="Q365" s="154" t="s">
        <v>1428</v>
      </c>
      <c r="R365" s="727">
        <v>0.303760445682451</v>
      </c>
      <c r="S365" s="66">
        <f t="shared" si="8"/>
        <v>23.9183015734624</v>
      </c>
      <c r="T365" s="123" t="s">
        <v>2854</v>
      </c>
      <c r="U365" s="27" t="s">
        <v>6304</v>
      </c>
    </row>
    <row r="366" s="989" customFormat="1" spans="1:21">
      <c r="A366" s="1061"/>
      <c r="B366" s="687"/>
      <c r="C366" s="687"/>
      <c r="D366" s="687"/>
      <c r="E366" s="687"/>
      <c r="F366" s="149" t="s">
        <v>715</v>
      </c>
      <c r="G366" s="149"/>
      <c r="H366" s="153"/>
      <c r="I366" s="153"/>
      <c r="J366" s="153"/>
      <c r="K366" s="924" t="s">
        <v>1428</v>
      </c>
      <c r="L366" s="1082" t="s">
        <v>712</v>
      </c>
      <c r="M366" s="153" t="s">
        <v>1428</v>
      </c>
      <c r="N366" s="153">
        <v>2.5</v>
      </c>
      <c r="O366" s="154">
        <v>15.3</v>
      </c>
      <c r="P366" s="154">
        <v>18.4535707280241</v>
      </c>
      <c r="Q366" s="154" t="s">
        <v>1428</v>
      </c>
      <c r="R366" s="727">
        <v>0.303760445682451</v>
      </c>
      <c r="S366" s="66">
        <f t="shared" si="8"/>
        <v>36.5573311737066</v>
      </c>
      <c r="T366" s="123"/>
      <c r="U366" s="27"/>
    </row>
    <row r="367" s="989" customFormat="1" ht="18.75" customHeight="1" spans="1:21">
      <c r="A367" s="1083"/>
      <c r="B367" s="1015" t="s">
        <v>6306</v>
      </c>
      <c r="C367" s="123"/>
      <c r="D367" s="29"/>
      <c r="E367" s="123"/>
      <c r="F367" s="26" t="s">
        <v>1629</v>
      </c>
      <c r="G367" s="27"/>
      <c r="H367" s="29" t="s">
        <v>6307</v>
      </c>
      <c r="I367" s="29" t="s">
        <v>3463</v>
      </c>
      <c r="J367" s="29" t="s">
        <v>5813</v>
      </c>
      <c r="K367" s="29" t="s">
        <v>1428</v>
      </c>
      <c r="L367" s="1005" t="s">
        <v>1428</v>
      </c>
      <c r="M367" s="1006" t="s">
        <v>4671</v>
      </c>
      <c r="N367" s="29" t="s">
        <v>1428</v>
      </c>
      <c r="O367" s="31">
        <v>2.31033</v>
      </c>
      <c r="P367" s="31">
        <v>8.6655</v>
      </c>
      <c r="Q367" s="29" t="s">
        <v>1428</v>
      </c>
      <c r="R367" s="31">
        <v>3.02922485832292</v>
      </c>
      <c r="S367" s="31">
        <f t="shared" si="8"/>
        <v>14.0050548583229</v>
      </c>
      <c r="T367" s="1010" t="s">
        <v>6308</v>
      </c>
      <c r="U367" s="27" t="s">
        <v>6309</v>
      </c>
    </row>
    <row r="368" s="990" customFormat="1" ht="15" spans="1:21">
      <c r="A368" s="1083"/>
      <c r="B368" s="1015" t="s">
        <v>6310</v>
      </c>
      <c r="C368" s="123"/>
      <c r="D368" s="29"/>
      <c r="E368" s="123" t="s">
        <v>6311</v>
      </c>
      <c r="F368" s="27" t="s">
        <v>1565</v>
      </c>
      <c r="G368" s="27" t="s">
        <v>1933</v>
      </c>
      <c r="H368" s="1029" t="s">
        <v>6312</v>
      </c>
      <c r="I368" s="29" t="s">
        <v>6313</v>
      </c>
      <c r="J368" s="29" t="s">
        <v>5813</v>
      </c>
      <c r="K368" s="29" t="s">
        <v>1428</v>
      </c>
      <c r="L368" s="1005" t="s">
        <v>1428</v>
      </c>
      <c r="M368" s="1006" t="s">
        <v>4671</v>
      </c>
      <c r="N368" s="29" t="s">
        <v>1428</v>
      </c>
      <c r="O368" s="31">
        <v>4.433</v>
      </c>
      <c r="P368" s="31">
        <v>20.25353</v>
      </c>
      <c r="Q368" s="29" t="s">
        <v>1428</v>
      </c>
      <c r="R368" s="31">
        <v>3.02922485832292</v>
      </c>
      <c r="S368" s="31">
        <f t="shared" si="8"/>
        <v>27.7157548583229</v>
      </c>
      <c r="T368" s="1010" t="s">
        <v>6038</v>
      </c>
      <c r="U368" s="27" t="s">
        <v>6314</v>
      </c>
    </row>
    <row r="369" s="989" customFormat="1" ht="15" customHeight="1" spans="1:21">
      <c r="A369" s="1083"/>
      <c r="B369" s="1015"/>
      <c r="C369" s="123"/>
      <c r="D369" s="29"/>
      <c r="E369" s="123" t="s">
        <v>6315</v>
      </c>
      <c r="F369" s="26" t="s">
        <v>5862</v>
      </c>
      <c r="G369" s="25"/>
      <c r="H369" s="29"/>
      <c r="I369" s="29"/>
      <c r="J369" s="29"/>
      <c r="K369" s="29"/>
      <c r="L369" s="1005"/>
      <c r="M369" s="29"/>
      <c r="N369" s="29"/>
      <c r="O369" s="31">
        <v>0.33891</v>
      </c>
      <c r="P369" s="31">
        <v>0.6764</v>
      </c>
      <c r="Q369" s="29" t="s">
        <v>1428</v>
      </c>
      <c r="R369" s="66">
        <v>0.2</v>
      </c>
      <c r="S369" s="31">
        <f t="shared" si="8"/>
        <v>1.21531</v>
      </c>
      <c r="T369" s="123"/>
      <c r="U369" s="27"/>
    </row>
    <row r="370" s="989" customFormat="1" ht="15" spans="1:21">
      <c r="A370" s="1083"/>
      <c r="B370" s="1015" t="s">
        <v>6316</v>
      </c>
      <c r="C370" s="123"/>
      <c r="D370" s="29"/>
      <c r="E370" s="123"/>
      <c r="F370" s="26" t="s">
        <v>1565</v>
      </c>
      <c r="G370" s="27" t="s">
        <v>1933</v>
      </c>
      <c r="H370" s="29" t="s">
        <v>6317</v>
      </c>
      <c r="I370" s="29" t="s">
        <v>3670</v>
      </c>
      <c r="J370" s="29" t="s">
        <v>4670</v>
      </c>
      <c r="K370" s="29" t="s">
        <v>1428</v>
      </c>
      <c r="L370" s="1005" t="s">
        <v>1428</v>
      </c>
      <c r="M370" s="1006" t="s">
        <v>4671</v>
      </c>
      <c r="N370" s="29">
        <v>1.3</v>
      </c>
      <c r="O370" s="31">
        <v>5.30049261083744</v>
      </c>
      <c r="P370" s="31">
        <v>18.53</v>
      </c>
      <c r="Q370" s="29" t="s">
        <v>1428</v>
      </c>
      <c r="R370" s="66">
        <v>3.02922485832292</v>
      </c>
      <c r="S370" s="31">
        <f t="shared" si="8"/>
        <v>28.1597174691604</v>
      </c>
      <c r="T370" s="1015" t="s">
        <v>3800</v>
      </c>
      <c r="U370" s="1084" t="s">
        <v>6318</v>
      </c>
    </row>
    <row r="371" s="989" customFormat="1" ht="15" spans="1:21">
      <c r="A371" s="1083"/>
      <c r="B371" s="1015"/>
      <c r="C371" s="123"/>
      <c r="D371" s="29"/>
      <c r="E371" s="123"/>
      <c r="F371" s="26" t="s">
        <v>1629</v>
      </c>
      <c r="G371" s="27" t="s">
        <v>1933</v>
      </c>
      <c r="H371" s="29" t="s">
        <v>6319</v>
      </c>
      <c r="I371" s="29" t="s">
        <v>1913</v>
      </c>
      <c r="J371" s="29" t="s">
        <v>3750</v>
      </c>
      <c r="K371" s="29" t="s">
        <v>1428</v>
      </c>
      <c r="L371" s="1005" t="s">
        <v>1428</v>
      </c>
      <c r="M371" s="29" t="s">
        <v>1428</v>
      </c>
      <c r="N371" s="29">
        <v>2</v>
      </c>
      <c r="O371" s="31">
        <v>5.30049261083744</v>
      </c>
      <c r="P371" s="31">
        <v>21.98</v>
      </c>
      <c r="Q371" s="29" t="s">
        <v>1428</v>
      </c>
      <c r="R371" s="66">
        <v>3.02922485832292</v>
      </c>
      <c r="S371" s="31">
        <f t="shared" si="8"/>
        <v>32.3097174691604</v>
      </c>
      <c r="T371" s="1015" t="s">
        <v>2854</v>
      </c>
      <c r="U371" s="27" t="s">
        <v>6320</v>
      </c>
    </row>
    <row r="372" s="989" customFormat="1" spans="1:21">
      <c r="A372" s="1083"/>
      <c r="B372" s="1015"/>
      <c r="C372" s="123"/>
      <c r="D372" s="29"/>
      <c r="E372" s="123"/>
      <c r="F372" s="26" t="s">
        <v>5835</v>
      </c>
      <c r="G372" s="26"/>
      <c r="H372" s="29"/>
      <c r="I372" s="29"/>
      <c r="J372" s="29"/>
      <c r="K372" s="29"/>
      <c r="L372" s="1005"/>
      <c r="M372" s="29"/>
      <c r="N372" s="29"/>
      <c r="O372" s="31"/>
      <c r="P372" s="31">
        <v>3.16</v>
      </c>
      <c r="Q372" s="29" t="s">
        <v>1428</v>
      </c>
      <c r="R372" s="66">
        <v>0.4</v>
      </c>
      <c r="S372" s="31">
        <f t="shared" si="8"/>
        <v>3.56</v>
      </c>
      <c r="T372" s="1015"/>
      <c r="U372" s="27"/>
    </row>
    <row r="373" s="990" customFormat="1" ht="15" spans="1:21">
      <c r="A373" s="1083"/>
      <c r="B373" s="1072" t="s">
        <v>6321</v>
      </c>
      <c r="C373" s="1014"/>
      <c r="D373" s="29"/>
      <c r="E373" s="1014"/>
      <c r="F373" s="27"/>
      <c r="G373" s="27" t="s">
        <v>1933</v>
      </c>
      <c r="H373" s="1029" t="s">
        <v>1428</v>
      </c>
      <c r="I373" s="29" t="s">
        <v>3425</v>
      </c>
      <c r="J373" s="29" t="s">
        <v>1428</v>
      </c>
      <c r="K373" s="29" t="s">
        <v>1428</v>
      </c>
      <c r="L373" s="1005" t="s">
        <v>1428</v>
      </c>
      <c r="M373" s="29" t="s">
        <v>1428</v>
      </c>
      <c r="N373" s="29" t="s">
        <v>1428</v>
      </c>
      <c r="O373" s="31"/>
      <c r="P373" s="31">
        <v>31.54129</v>
      </c>
      <c r="Q373" s="29" t="s">
        <v>1428</v>
      </c>
      <c r="R373" s="66">
        <v>3</v>
      </c>
      <c r="S373" s="31">
        <f t="shared" si="8"/>
        <v>34.54129</v>
      </c>
      <c r="T373" s="1010" t="s">
        <v>3558</v>
      </c>
      <c r="U373" s="27" t="s">
        <v>6322</v>
      </c>
    </row>
    <row r="374" s="989" customFormat="1" spans="1:21">
      <c r="A374" s="1083"/>
      <c r="B374" s="1072" t="s">
        <v>6323</v>
      </c>
      <c r="C374" s="1014"/>
      <c r="D374" s="29"/>
      <c r="E374" s="1014"/>
      <c r="F374" s="26" t="s">
        <v>6324</v>
      </c>
      <c r="G374" s="27" t="s">
        <v>3540</v>
      </c>
      <c r="H374" s="29" t="s">
        <v>1428</v>
      </c>
      <c r="I374" s="29" t="s">
        <v>1428</v>
      </c>
      <c r="J374" s="29" t="s">
        <v>1428</v>
      </c>
      <c r="K374" s="29" t="s">
        <v>1428</v>
      </c>
      <c r="L374" s="1005" t="s">
        <v>1428</v>
      </c>
      <c r="M374" s="29" t="s">
        <v>1428</v>
      </c>
      <c r="N374" s="29" t="s">
        <v>1428</v>
      </c>
      <c r="O374" s="31"/>
      <c r="P374" s="31">
        <v>16.525317</v>
      </c>
      <c r="Q374" s="29" t="s">
        <v>1428</v>
      </c>
      <c r="R374" s="66">
        <v>3</v>
      </c>
      <c r="S374" s="31">
        <f t="shared" si="8"/>
        <v>19.525317</v>
      </c>
      <c r="T374" s="123"/>
      <c r="U374" s="25"/>
    </row>
    <row r="375" s="989" customFormat="1" ht="15" spans="1:21">
      <c r="A375" s="1083"/>
      <c r="B375" s="1072"/>
      <c r="C375" s="1014"/>
      <c r="D375" s="29"/>
      <c r="E375" s="1014"/>
      <c r="F375" s="26" t="s">
        <v>6325</v>
      </c>
      <c r="G375" s="27" t="s">
        <v>3540</v>
      </c>
      <c r="H375" s="29" t="s">
        <v>1428</v>
      </c>
      <c r="I375" s="29" t="s">
        <v>6326</v>
      </c>
      <c r="J375" s="29" t="s">
        <v>4670</v>
      </c>
      <c r="K375" s="29" t="s">
        <v>1428</v>
      </c>
      <c r="L375" s="1005" t="s">
        <v>1428</v>
      </c>
      <c r="M375" s="29" t="s">
        <v>1428</v>
      </c>
      <c r="N375" s="29">
        <v>1.3</v>
      </c>
      <c r="O375" s="31"/>
      <c r="P375" s="31">
        <v>1.7672</v>
      </c>
      <c r="Q375" s="29" t="s">
        <v>1428</v>
      </c>
      <c r="R375" s="66">
        <v>0.4</v>
      </c>
      <c r="S375" s="31">
        <f t="shared" si="8"/>
        <v>3.4672</v>
      </c>
      <c r="T375" s="123" t="s">
        <v>6327</v>
      </c>
      <c r="U375" s="25" t="s">
        <v>3882</v>
      </c>
    </row>
    <row r="376" s="989" customFormat="1" spans="1:21">
      <c r="A376" s="1083"/>
      <c r="B376" s="1072" t="s">
        <v>6328</v>
      </c>
      <c r="C376" s="1014"/>
      <c r="D376" s="29"/>
      <c r="E376" s="1014" t="s">
        <v>6329</v>
      </c>
      <c r="F376" s="26" t="s">
        <v>6330</v>
      </c>
      <c r="G376" s="27"/>
      <c r="H376" s="29"/>
      <c r="I376" s="29"/>
      <c r="J376" s="29"/>
      <c r="K376" s="29"/>
      <c r="L376" s="1005"/>
      <c r="M376" s="29"/>
      <c r="N376" s="29"/>
      <c r="O376" s="31">
        <v>0.035</v>
      </c>
      <c r="P376" s="31">
        <v>0.58</v>
      </c>
      <c r="Q376" s="29" t="s">
        <v>1428</v>
      </c>
      <c r="R376" s="66">
        <v>0.2</v>
      </c>
      <c r="S376" s="31">
        <f t="shared" si="8"/>
        <v>0.815</v>
      </c>
      <c r="T376" s="123"/>
      <c r="U376" s="25"/>
    </row>
    <row r="377" s="989" customFormat="1" ht="15" spans="1:21">
      <c r="A377" s="1083"/>
      <c r="B377" s="1015" t="s">
        <v>6331</v>
      </c>
      <c r="C377" s="123"/>
      <c r="D377" s="29"/>
      <c r="E377" s="123"/>
      <c r="F377" s="26" t="s">
        <v>1617</v>
      </c>
      <c r="G377" s="27" t="s">
        <v>3540</v>
      </c>
      <c r="H377" s="29" t="s">
        <v>1428</v>
      </c>
      <c r="I377" s="29" t="s">
        <v>3624</v>
      </c>
      <c r="J377" s="29" t="s">
        <v>1428</v>
      </c>
      <c r="K377" s="29" t="s">
        <v>1428</v>
      </c>
      <c r="L377" s="1005" t="s">
        <v>1428</v>
      </c>
      <c r="M377" s="29" t="s">
        <v>1428</v>
      </c>
      <c r="N377" s="29" t="s">
        <v>1428</v>
      </c>
      <c r="O377" s="31">
        <v>1.24</v>
      </c>
      <c r="P377" s="31">
        <v>0.16</v>
      </c>
      <c r="Q377" s="29" t="s">
        <v>1428</v>
      </c>
      <c r="R377" s="31">
        <v>3.02922485832292</v>
      </c>
      <c r="S377" s="31">
        <f t="shared" si="8"/>
        <v>4.42922485832292</v>
      </c>
      <c r="T377" s="123" t="s">
        <v>3881</v>
      </c>
      <c r="U377" s="25" t="s">
        <v>3882</v>
      </c>
    </row>
    <row r="378" s="989" customFormat="1" ht="15" spans="1:21">
      <c r="A378" s="1083"/>
      <c r="B378" s="1015" t="s">
        <v>6332</v>
      </c>
      <c r="C378" s="123"/>
      <c r="D378" s="29"/>
      <c r="E378" s="123"/>
      <c r="F378" s="26" t="s">
        <v>1604</v>
      </c>
      <c r="G378" s="28" t="s">
        <v>1428</v>
      </c>
      <c r="H378" s="28" t="s">
        <v>1428</v>
      </c>
      <c r="I378" s="29" t="s">
        <v>5877</v>
      </c>
      <c r="J378" s="29" t="s">
        <v>1428</v>
      </c>
      <c r="K378" s="29" t="s">
        <v>1428</v>
      </c>
      <c r="L378" s="1005">
        <v>8</v>
      </c>
      <c r="M378" s="29" t="s">
        <v>1428</v>
      </c>
      <c r="N378" s="29" t="s">
        <v>1428</v>
      </c>
      <c r="O378" s="31">
        <v>0.48</v>
      </c>
      <c r="P378" s="31">
        <v>0.15</v>
      </c>
      <c r="Q378" s="29" t="s">
        <v>1428</v>
      </c>
      <c r="R378" s="31">
        <v>3.02922485832292</v>
      </c>
      <c r="S378" s="31">
        <f t="shared" si="8"/>
        <v>11.6592248583229</v>
      </c>
      <c r="T378" s="123" t="s">
        <v>3922</v>
      </c>
      <c r="U378" s="123" t="s">
        <v>6333</v>
      </c>
    </row>
    <row r="379" s="989" customFormat="1" ht="15" spans="1:21">
      <c r="A379" s="1083"/>
      <c r="B379" s="1015"/>
      <c r="C379" s="123"/>
      <c r="D379" s="29"/>
      <c r="E379" s="123"/>
      <c r="F379" s="26" t="s">
        <v>1571</v>
      </c>
      <c r="G379" s="28" t="s">
        <v>1428</v>
      </c>
      <c r="H379" s="28" t="s">
        <v>1428</v>
      </c>
      <c r="I379" s="29" t="s">
        <v>3624</v>
      </c>
      <c r="J379" s="29" t="s">
        <v>1428</v>
      </c>
      <c r="K379" s="29" t="s">
        <v>1428</v>
      </c>
      <c r="L379" s="1005" t="s">
        <v>1428</v>
      </c>
      <c r="M379" s="29" t="s">
        <v>1428</v>
      </c>
      <c r="N379" s="29" t="s">
        <v>1428</v>
      </c>
      <c r="O379" s="31">
        <v>0.48</v>
      </c>
      <c r="P379" s="31">
        <v>0.15</v>
      </c>
      <c r="Q379" s="29" t="s">
        <v>1428</v>
      </c>
      <c r="R379" s="31">
        <v>3.02922485832292</v>
      </c>
      <c r="S379" s="31">
        <f t="shared" si="8"/>
        <v>3.65922485832292</v>
      </c>
      <c r="T379" s="123" t="s">
        <v>3719</v>
      </c>
      <c r="U379" s="25" t="s">
        <v>6334</v>
      </c>
    </row>
    <row r="380" s="989" customFormat="1" ht="15" spans="1:21">
      <c r="A380" s="1083"/>
      <c r="B380" s="1015"/>
      <c r="C380" s="123"/>
      <c r="D380" s="29"/>
      <c r="E380" s="123"/>
      <c r="F380" s="26" t="s">
        <v>1685</v>
      </c>
      <c r="G380" s="28" t="s">
        <v>1428</v>
      </c>
      <c r="H380" s="28" t="s">
        <v>1428</v>
      </c>
      <c r="I380" s="29" t="s">
        <v>3628</v>
      </c>
      <c r="J380" s="29" t="s">
        <v>1428</v>
      </c>
      <c r="K380" s="29" t="s">
        <v>1428</v>
      </c>
      <c r="L380" s="1005" t="s">
        <v>1428</v>
      </c>
      <c r="M380" s="29" t="s">
        <v>1428</v>
      </c>
      <c r="N380" s="29" t="s">
        <v>1428</v>
      </c>
      <c r="O380" s="31">
        <v>0.48</v>
      </c>
      <c r="P380" s="31">
        <v>0.15</v>
      </c>
      <c r="Q380" s="29" t="s">
        <v>1428</v>
      </c>
      <c r="R380" s="31">
        <v>3.02922485832292</v>
      </c>
      <c r="S380" s="31">
        <f t="shared" si="8"/>
        <v>3.65922485832292</v>
      </c>
      <c r="T380" s="123" t="s">
        <v>3698</v>
      </c>
      <c r="U380" s="123" t="s">
        <v>6335</v>
      </c>
    </row>
    <row r="381" s="989" customFormat="1" ht="15" spans="1:21">
      <c r="A381" s="1083"/>
      <c r="B381" s="1015"/>
      <c r="C381" s="123"/>
      <c r="D381" s="29"/>
      <c r="E381" s="123"/>
      <c r="F381" s="26" t="s">
        <v>1669</v>
      </c>
      <c r="G381" s="28" t="s">
        <v>1428</v>
      </c>
      <c r="H381" s="28" t="s">
        <v>1428</v>
      </c>
      <c r="I381" s="29" t="s">
        <v>3413</v>
      </c>
      <c r="J381" s="29" t="s">
        <v>1428</v>
      </c>
      <c r="K381" s="29" t="s">
        <v>1428</v>
      </c>
      <c r="L381" s="1005">
        <v>20</v>
      </c>
      <c r="M381" s="29" t="s">
        <v>1428</v>
      </c>
      <c r="N381" s="29" t="s">
        <v>1428</v>
      </c>
      <c r="O381" s="31">
        <v>0.48</v>
      </c>
      <c r="P381" s="31">
        <v>0.15</v>
      </c>
      <c r="Q381" s="29" t="s">
        <v>1428</v>
      </c>
      <c r="R381" s="31">
        <v>3.02922485832292</v>
      </c>
      <c r="S381" s="31">
        <f t="shared" si="8"/>
        <v>23.6592248583229</v>
      </c>
      <c r="T381" s="123" t="s">
        <v>3701</v>
      </c>
      <c r="U381" s="123" t="s">
        <v>6336</v>
      </c>
    </row>
    <row r="382" s="989" customFormat="1" ht="15" spans="1:21">
      <c r="A382" s="1083"/>
      <c r="B382" s="1072" t="s">
        <v>6337</v>
      </c>
      <c r="C382" s="1014"/>
      <c r="D382" s="29"/>
      <c r="E382" s="1014"/>
      <c r="F382" s="26" t="s">
        <v>1671</v>
      </c>
      <c r="G382" s="28" t="s">
        <v>1428</v>
      </c>
      <c r="H382" s="29" t="s">
        <v>1428</v>
      </c>
      <c r="I382" s="29" t="s">
        <v>5962</v>
      </c>
      <c r="J382" s="29" t="s">
        <v>1428</v>
      </c>
      <c r="K382" s="29" t="s">
        <v>1428</v>
      </c>
      <c r="L382" s="65">
        <f>3.5*2</f>
        <v>7</v>
      </c>
      <c r="M382" s="29" t="s">
        <v>1428</v>
      </c>
      <c r="N382" s="29" t="s">
        <v>1428</v>
      </c>
      <c r="O382" s="31">
        <v>0.47</v>
      </c>
      <c r="P382" s="31">
        <v>0.15</v>
      </c>
      <c r="Q382" s="29" t="s">
        <v>1428</v>
      </c>
      <c r="R382" s="31">
        <v>3.02922485832292</v>
      </c>
      <c r="S382" s="31">
        <f t="shared" si="8"/>
        <v>10.6492248583229</v>
      </c>
      <c r="T382" s="123" t="s">
        <v>4683</v>
      </c>
      <c r="U382" s="25" t="s">
        <v>4297</v>
      </c>
    </row>
    <row r="383" s="989" customFormat="1" ht="15" spans="1:21">
      <c r="A383" s="1083"/>
      <c r="B383" s="1072"/>
      <c r="C383" s="1014"/>
      <c r="D383" s="29"/>
      <c r="E383" s="1014"/>
      <c r="F383" s="26" t="s">
        <v>1629</v>
      </c>
      <c r="G383" s="28" t="s">
        <v>1428</v>
      </c>
      <c r="H383" s="29" t="s">
        <v>1428</v>
      </c>
      <c r="I383" s="29" t="s">
        <v>5962</v>
      </c>
      <c r="J383" s="29" t="s">
        <v>1428</v>
      </c>
      <c r="K383" s="29" t="s">
        <v>1428</v>
      </c>
      <c r="L383" s="65">
        <f>3.5*2</f>
        <v>7</v>
      </c>
      <c r="M383" s="29" t="s">
        <v>1428</v>
      </c>
      <c r="N383" s="29" t="s">
        <v>1428</v>
      </c>
      <c r="O383" s="31">
        <v>0.46</v>
      </c>
      <c r="P383" s="31">
        <v>0.22</v>
      </c>
      <c r="Q383" s="29" t="s">
        <v>1428</v>
      </c>
      <c r="R383" s="31">
        <v>3.02922485832292</v>
      </c>
      <c r="S383" s="31">
        <f t="shared" si="8"/>
        <v>10.7092248583229</v>
      </c>
      <c r="T383" s="123" t="s">
        <v>4683</v>
      </c>
      <c r="U383" s="25" t="s">
        <v>4297</v>
      </c>
    </row>
    <row r="384" s="989" customFormat="1" ht="15" spans="1:21">
      <c r="A384" s="1085"/>
      <c r="B384" s="1072"/>
      <c r="C384" s="1014"/>
      <c r="D384" s="29"/>
      <c r="E384" s="1014"/>
      <c r="F384" s="26" t="s">
        <v>1645</v>
      </c>
      <c r="G384" s="28" t="s">
        <v>1428</v>
      </c>
      <c r="H384" s="29" t="s">
        <v>1428</v>
      </c>
      <c r="I384" s="29" t="s">
        <v>3436</v>
      </c>
      <c r="J384" s="29" t="s">
        <v>1428</v>
      </c>
      <c r="K384" s="29" t="s">
        <v>1428</v>
      </c>
      <c r="L384" s="1005" t="s">
        <v>1428</v>
      </c>
      <c r="M384" s="29" t="s">
        <v>1428</v>
      </c>
      <c r="N384" s="29" t="s">
        <v>1428</v>
      </c>
      <c r="O384" s="31">
        <v>0.46</v>
      </c>
      <c r="P384" s="31">
        <v>0.22</v>
      </c>
      <c r="Q384" s="29" t="s">
        <v>1428</v>
      </c>
      <c r="R384" s="31">
        <v>3.02922485832292</v>
      </c>
      <c r="S384" s="31">
        <f t="shared" si="8"/>
        <v>3.70922485832292</v>
      </c>
      <c r="T384" s="123" t="s">
        <v>3895</v>
      </c>
      <c r="U384" s="25" t="s">
        <v>6338</v>
      </c>
    </row>
    <row r="385" s="990" customFormat="1" ht="15" spans="1:21">
      <c r="A385" s="1083"/>
      <c r="B385" s="123" t="s">
        <v>6339</v>
      </c>
      <c r="C385" s="123"/>
      <c r="D385" s="29"/>
      <c r="E385" s="123"/>
      <c r="F385" s="123" t="s">
        <v>756</v>
      </c>
      <c r="G385" s="123" t="s">
        <v>3540</v>
      </c>
      <c r="H385" s="29" t="s">
        <v>6098</v>
      </c>
      <c r="I385" s="29" t="s">
        <v>4677</v>
      </c>
      <c r="J385" s="29" t="s">
        <v>5813</v>
      </c>
      <c r="K385" s="29" t="s">
        <v>1428</v>
      </c>
      <c r="L385" s="1005">
        <v>6.5</v>
      </c>
      <c r="M385" s="1006" t="s">
        <v>4671</v>
      </c>
      <c r="N385" s="29" t="s">
        <v>1428</v>
      </c>
      <c r="O385" s="31">
        <v>3.17241379310345</v>
      </c>
      <c r="P385" s="31">
        <v>17.0344827586207</v>
      </c>
      <c r="Q385" s="29" t="s">
        <v>1428</v>
      </c>
      <c r="R385" s="31">
        <v>1.88062660297616</v>
      </c>
      <c r="S385" s="31">
        <f t="shared" si="8"/>
        <v>28.5875231547003</v>
      </c>
      <c r="T385" s="157" t="s">
        <v>6340</v>
      </c>
      <c r="U385" s="123" t="s">
        <v>6341</v>
      </c>
    </row>
    <row r="386" s="990" customFormat="1" ht="15" spans="1:21">
      <c r="A386" s="1083"/>
      <c r="B386" s="123"/>
      <c r="C386" s="123"/>
      <c r="D386" s="29"/>
      <c r="E386" s="123" t="s">
        <v>6342</v>
      </c>
      <c r="F386" s="123" t="s">
        <v>6343</v>
      </c>
      <c r="G386" s="29" t="s">
        <v>1428</v>
      </c>
      <c r="H386" s="29" t="s">
        <v>1428</v>
      </c>
      <c r="I386" s="29" t="s">
        <v>1428</v>
      </c>
      <c r="J386" s="29" t="s">
        <v>1428</v>
      </c>
      <c r="K386" s="29" t="s">
        <v>1428</v>
      </c>
      <c r="L386" s="1005" t="s">
        <v>1428</v>
      </c>
      <c r="M386" s="29" t="s">
        <v>1428</v>
      </c>
      <c r="N386" s="29" t="s">
        <v>1428</v>
      </c>
      <c r="O386" s="31">
        <v>0.433497536945813</v>
      </c>
      <c r="P386" s="31">
        <v>0.955665024630542</v>
      </c>
      <c r="Q386" s="29" t="s">
        <v>1428</v>
      </c>
      <c r="R386" s="31">
        <v>0.15</v>
      </c>
      <c r="S386" s="31">
        <f>SUM(L386:R386)</f>
        <v>1.53916256157635</v>
      </c>
      <c r="T386" s="123"/>
      <c r="U386" s="157"/>
    </row>
    <row r="387" s="990" customFormat="1" ht="15" spans="1:21">
      <c r="A387" s="1083"/>
      <c r="B387" s="123"/>
      <c r="C387" s="123"/>
      <c r="D387" s="29"/>
      <c r="E387" s="123" t="s">
        <v>6344</v>
      </c>
      <c r="F387" s="123" t="s">
        <v>6345</v>
      </c>
      <c r="G387" s="29" t="s">
        <v>1428</v>
      </c>
      <c r="H387" s="29" t="s">
        <v>1428</v>
      </c>
      <c r="I387" s="29" t="s">
        <v>1428</v>
      </c>
      <c r="J387" s="29" t="s">
        <v>1428</v>
      </c>
      <c r="K387" s="29" t="s">
        <v>1428</v>
      </c>
      <c r="L387" s="1005" t="s">
        <v>1428</v>
      </c>
      <c r="M387" s="29" t="s">
        <v>1428</v>
      </c>
      <c r="N387" s="29" t="s">
        <v>1428</v>
      </c>
      <c r="O387" s="31">
        <v>1.24137931034483</v>
      </c>
      <c r="P387" s="31">
        <v>3.05418719211823</v>
      </c>
      <c r="Q387" s="29" t="s">
        <v>1428</v>
      </c>
      <c r="R387" s="31">
        <v>0.56</v>
      </c>
      <c r="S387" s="31">
        <f>SUM(L387:R387)</f>
        <v>4.85556650246306</v>
      </c>
      <c r="T387" s="123"/>
      <c r="U387" s="157"/>
    </row>
    <row r="388" s="990" customFormat="1" ht="15" spans="1:21">
      <c r="A388" s="1083"/>
      <c r="B388" s="123"/>
      <c r="C388" s="123"/>
      <c r="D388" s="29"/>
      <c r="E388" s="123" t="s">
        <v>6346</v>
      </c>
      <c r="F388" s="123" t="s">
        <v>6347</v>
      </c>
      <c r="G388" s="29" t="s">
        <v>1428</v>
      </c>
      <c r="H388" s="29" t="s">
        <v>1428</v>
      </c>
      <c r="I388" s="29" t="s">
        <v>1428</v>
      </c>
      <c r="J388" s="29" t="s">
        <v>1428</v>
      </c>
      <c r="K388" s="29" t="s">
        <v>1428</v>
      </c>
      <c r="L388" s="1005" t="s">
        <v>1428</v>
      </c>
      <c r="M388" s="29" t="s">
        <v>1428</v>
      </c>
      <c r="N388" s="29" t="s">
        <v>1428</v>
      </c>
      <c r="O388" s="31">
        <v>0.0492610837438424</v>
      </c>
      <c r="P388" s="31">
        <v>0.187192118226601</v>
      </c>
      <c r="Q388" s="29" t="s">
        <v>1428</v>
      </c>
      <c r="R388" s="31">
        <v>0.04</v>
      </c>
      <c r="S388" s="31">
        <f>SUM(L388:R388)</f>
        <v>0.276453201970443</v>
      </c>
      <c r="T388" s="123"/>
      <c r="U388" s="157"/>
    </row>
    <row r="389" s="990" customFormat="1" ht="15" spans="1:21">
      <c r="A389" s="1083"/>
      <c r="B389" s="123"/>
      <c r="C389" s="123"/>
      <c r="D389" s="29"/>
      <c r="E389" s="123" t="s">
        <v>6348</v>
      </c>
      <c r="F389" s="25" t="s">
        <v>6349</v>
      </c>
      <c r="G389" s="29" t="s">
        <v>1428</v>
      </c>
      <c r="H389" s="29" t="s">
        <v>1428</v>
      </c>
      <c r="I389" s="29" t="s">
        <v>1428</v>
      </c>
      <c r="J389" s="29" t="s">
        <v>1428</v>
      </c>
      <c r="K389" s="29" t="s">
        <v>1428</v>
      </c>
      <c r="L389" s="1005" t="s">
        <v>1428</v>
      </c>
      <c r="M389" s="29" t="s">
        <v>1428</v>
      </c>
      <c r="N389" s="29" t="s">
        <v>1428</v>
      </c>
      <c r="O389" s="31">
        <v>0.857142857142857</v>
      </c>
      <c r="P389" s="31">
        <v>3.07389162561576</v>
      </c>
      <c r="Q389" s="29" t="s">
        <v>1428</v>
      </c>
      <c r="R389" s="31">
        <v>0.4</v>
      </c>
      <c r="S389" s="31">
        <f>SUM(L389:R389)</f>
        <v>4.33103448275862</v>
      </c>
      <c r="T389" s="123"/>
      <c r="U389" s="123"/>
    </row>
    <row r="390" s="991" customFormat="1" ht="15" spans="1:21">
      <c r="A390" s="1061"/>
      <c r="B390" s="123" t="s">
        <v>6350</v>
      </c>
      <c r="C390" s="123"/>
      <c r="D390" s="123"/>
      <c r="E390" s="123"/>
      <c r="F390" s="1021" t="s">
        <v>1669</v>
      </c>
      <c r="G390" s="1024" t="s">
        <v>1933</v>
      </c>
      <c r="H390" s="29" t="s">
        <v>4162</v>
      </c>
      <c r="I390" s="29" t="s">
        <v>6351</v>
      </c>
      <c r="J390" s="29" t="s">
        <v>4314</v>
      </c>
      <c r="K390" s="1071" t="s">
        <v>712</v>
      </c>
      <c r="L390" s="1062" t="s">
        <v>1428</v>
      </c>
      <c r="M390" s="65">
        <v>6.6</v>
      </c>
      <c r="N390" s="1086" t="s">
        <v>1428</v>
      </c>
      <c r="O390" s="31">
        <v>4.89</v>
      </c>
      <c r="P390" s="31">
        <v>17.4187192118227</v>
      </c>
      <c r="Q390" s="29" t="s">
        <v>1428</v>
      </c>
      <c r="R390" s="31">
        <v>4.90329244464601</v>
      </c>
      <c r="S390" s="66">
        <f t="shared" ref="S390:S453" si="9">SUM(K390:R390)</f>
        <v>33.8120116564687</v>
      </c>
      <c r="T390" s="123" t="s">
        <v>6352</v>
      </c>
      <c r="U390" s="1021" t="s">
        <v>6353</v>
      </c>
    </row>
    <row r="391" s="991" customFormat="1" spans="1:21">
      <c r="A391" s="1061"/>
      <c r="B391" s="1040"/>
      <c r="C391" s="123"/>
      <c r="D391" s="123"/>
      <c r="E391" s="123" t="s">
        <v>6354</v>
      </c>
      <c r="F391" s="1021" t="s">
        <v>6355</v>
      </c>
      <c r="G391" s="1024"/>
      <c r="H391" s="29"/>
      <c r="I391" s="29"/>
      <c r="J391" s="29"/>
      <c r="K391" s="1086"/>
      <c r="L391" s="1087"/>
      <c r="M391" s="1086"/>
      <c r="N391" s="1086"/>
      <c r="O391" s="31">
        <v>0.52</v>
      </c>
      <c r="P391" s="31">
        <v>0.971428571428572</v>
      </c>
      <c r="Q391" s="29" t="s">
        <v>1428</v>
      </c>
      <c r="R391" s="66">
        <v>0.2</v>
      </c>
      <c r="S391" s="66">
        <f t="shared" si="9"/>
        <v>1.69142857142857</v>
      </c>
      <c r="T391" s="123"/>
      <c r="U391" s="1021"/>
    </row>
    <row r="392" s="992" customFormat="1" ht="15" customHeight="1" spans="1:21">
      <c r="A392" s="1061"/>
      <c r="B392" s="123"/>
      <c r="C392" s="123"/>
      <c r="D392" s="123"/>
      <c r="E392" s="123" t="s">
        <v>6356</v>
      </c>
      <c r="F392" s="146" t="s">
        <v>5844</v>
      </c>
      <c r="G392" s="146"/>
      <c r="H392" s="29"/>
      <c r="I392" s="29"/>
      <c r="J392" s="29"/>
      <c r="K392" s="1086"/>
      <c r="L392" s="1087"/>
      <c r="M392" s="1086"/>
      <c r="N392" s="1086"/>
      <c r="O392" s="31">
        <v>0.47487</v>
      </c>
      <c r="P392" s="31">
        <v>0.952</v>
      </c>
      <c r="Q392" s="29" t="s">
        <v>1428</v>
      </c>
      <c r="R392" s="66">
        <v>0.4</v>
      </c>
      <c r="S392" s="66">
        <f t="shared" si="9"/>
        <v>1.82687</v>
      </c>
      <c r="T392" s="157"/>
      <c r="U392" s="146"/>
    </row>
    <row r="393" s="992" customFormat="1" ht="15" customHeight="1" spans="1:21">
      <c r="A393" s="1061"/>
      <c r="B393" s="123"/>
      <c r="C393" s="123"/>
      <c r="D393" s="123"/>
      <c r="E393" s="123" t="s">
        <v>6357</v>
      </c>
      <c r="F393" s="146" t="s">
        <v>5845</v>
      </c>
      <c r="G393" s="146"/>
      <c r="H393" s="29"/>
      <c r="I393" s="29"/>
      <c r="J393" s="29"/>
      <c r="K393" s="1086"/>
      <c r="L393" s="1087"/>
      <c r="M393" s="1086"/>
      <c r="N393" s="1086"/>
      <c r="O393" s="31">
        <v>0.47487</v>
      </c>
      <c r="P393" s="31">
        <v>0.903904761904762</v>
      </c>
      <c r="Q393" s="29" t="s">
        <v>1428</v>
      </c>
      <c r="R393" s="66">
        <v>0.4</v>
      </c>
      <c r="S393" s="66">
        <f t="shared" si="9"/>
        <v>1.77877476190476</v>
      </c>
      <c r="T393" s="157"/>
      <c r="U393" s="146"/>
    </row>
    <row r="394" s="991" customFormat="1" spans="1:21">
      <c r="A394" s="1061"/>
      <c r="B394" s="123"/>
      <c r="C394" s="123"/>
      <c r="D394" s="123"/>
      <c r="E394" s="123" t="s">
        <v>6358</v>
      </c>
      <c r="F394" s="1021" t="s">
        <v>5846</v>
      </c>
      <c r="G394" s="1021"/>
      <c r="H394" s="29"/>
      <c r="I394" s="29"/>
      <c r="J394" s="29"/>
      <c r="K394" s="1086"/>
      <c r="L394" s="1087"/>
      <c r="M394" s="1086"/>
      <c r="N394" s="1086"/>
      <c r="O394" s="31">
        <v>0.08965</v>
      </c>
      <c r="P394" s="31">
        <v>0.153619047619047</v>
      </c>
      <c r="Q394" s="29" t="s">
        <v>1428</v>
      </c>
      <c r="R394" s="66">
        <v>0.4</v>
      </c>
      <c r="S394" s="66">
        <f t="shared" si="9"/>
        <v>0.643269047619047</v>
      </c>
      <c r="T394" s="123"/>
      <c r="U394" s="1024"/>
    </row>
    <row r="395" s="991" customFormat="1" spans="1:21">
      <c r="A395" s="1061"/>
      <c r="B395" s="123"/>
      <c r="C395" s="123"/>
      <c r="D395" s="123"/>
      <c r="E395" s="123" t="s">
        <v>6359</v>
      </c>
      <c r="F395" s="1021" t="s">
        <v>6360</v>
      </c>
      <c r="G395" s="1021"/>
      <c r="H395" s="29"/>
      <c r="I395" s="29"/>
      <c r="J395" s="29"/>
      <c r="K395" s="1086"/>
      <c r="L395" s="1087"/>
      <c r="M395" s="1086"/>
      <c r="N395" s="1086"/>
      <c r="O395" s="31">
        <v>0.40689</v>
      </c>
      <c r="P395" s="31">
        <v>1.30886666666667</v>
      </c>
      <c r="Q395" s="29" t="s">
        <v>1428</v>
      </c>
      <c r="R395" s="66">
        <v>0.2</v>
      </c>
      <c r="S395" s="66">
        <f t="shared" si="9"/>
        <v>1.91575666666667</v>
      </c>
      <c r="T395" s="123"/>
      <c r="U395" s="1024"/>
    </row>
    <row r="396" s="991" customFormat="1" ht="15" spans="1:21">
      <c r="A396" s="1061"/>
      <c r="B396" s="123" t="s">
        <v>905</v>
      </c>
      <c r="C396" s="123"/>
      <c r="D396" s="123"/>
      <c r="E396" s="123"/>
      <c r="F396" s="1021" t="s">
        <v>1667</v>
      </c>
      <c r="G396" s="1024" t="s">
        <v>1933</v>
      </c>
      <c r="H396" s="29" t="s">
        <v>4162</v>
      </c>
      <c r="I396" s="29" t="s">
        <v>1913</v>
      </c>
      <c r="J396" s="28" t="s">
        <v>3787</v>
      </c>
      <c r="K396" s="1071" t="s">
        <v>712</v>
      </c>
      <c r="L396" s="1087" t="s">
        <v>1428</v>
      </c>
      <c r="M396" s="1086" t="s">
        <v>1428</v>
      </c>
      <c r="N396" s="1086">
        <v>3.5</v>
      </c>
      <c r="O396" s="31">
        <v>5.07389162561576</v>
      </c>
      <c r="P396" s="31">
        <v>19.320197044335</v>
      </c>
      <c r="Q396" s="29" t="s">
        <v>1428</v>
      </c>
      <c r="R396" s="31">
        <v>2.88346407445765</v>
      </c>
      <c r="S396" s="66">
        <f t="shared" si="9"/>
        <v>30.7775527444084</v>
      </c>
      <c r="T396" s="27" t="s">
        <v>2854</v>
      </c>
      <c r="U396" s="26"/>
    </row>
    <row r="397" s="991" customFormat="1" ht="15" spans="1:21">
      <c r="A397" s="1061"/>
      <c r="B397" s="123"/>
      <c r="C397" s="123"/>
      <c r="D397" s="123"/>
      <c r="E397" s="123"/>
      <c r="F397" s="1021" t="s">
        <v>1593</v>
      </c>
      <c r="G397" s="1024" t="s">
        <v>1933</v>
      </c>
      <c r="H397" s="29" t="s">
        <v>6361</v>
      </c>
      <c r="I397" s="29" t="s">
        <v>1913</v>
      </c>
      <c r="J397" s="28" t="s">
        <v>3874</v>
      </c>
      <c r="K397" s="124" t="s">
        <v>1428</v>
      </c>
      <c r="L397" s="1088" t="s">
        <v>1428</v>
      </c>
      <c r="M397" s="1089" t="s">
        <v>1428</v>
      </c>
      <c r="N397" s="1086">
        <v>2.5</v>
      </c>
      <c r="O397" s="31">
        <v>5.07389162561576</v>
      </c>
      <c r="P397" s="31">
        <v>19.6945812807882</v>
      </c>
      <c r="Q397" s="29" t="s">
        <v>1428</v>
      </c>
      <c r="R397" s="31">
        <v>2.88346407445765</v>
      </c>
      <c r="S397" s="66">
        <f t="shared" si="9"/>
        <v>30.1519369808616</v>
      </c>
      <c r="T397" s="27" t="s">
        <v>2854</v>
      </c>
      <c r="U397" s="25" t="s">
        <v>6362</v>
      </c>
    </row>
    <row r="398" s="991" customFormat="1" ht="15" spans="1:21">
      <c r="A398" s="1061"/>
      <c r="B398" s="123"/>
      <c r="C398" s="123"/>
      <c r="D398" s="123"/>
      <c r="E398" s="123"/>
      <c r="F398" s="1021" t="s">
        <v>2506</v>
      </c>
      <c r="G398" s="1021" t="s">
        <v>1933</v>
      </c>
      <c r="H398" s="29" t="s">
        <v>6363</v>
      </c>
      <c r="I398" s="29" t="s">
        <v>1913</v>
      </c>
      <c r="J398" s="28" t="s">
        <v>1428</v>
      </c>
      <c r="K398" s="124" t="s">
        <v>1428</v>
      </c>
      <c r="L398" s="1090" t="s">
        <v>1428</v>
      </c>
      <c r="M398" s="1091" t="s">
        <v>1428</v>
      </c>
      <c r="N398" s="1091" t="s">
        <v>1428</v>
      </c>
      <c r="O398" s="31">
        <v>4.67256637168142</v>
      </c>
      <c r="P398" s="31">
        <v>16.3313999098672</v>
      </c>
      <c r="Q398" s="29" t="s">
        <v>1428</v>
      </c>
      <c r="R398" s="31">
        <v>2.88346407445765</v>
      </c>
      <c r="S398" s="66">
        <f t="shared" si="9"/>
        <v>23.8874303560063</v>
      </c>
      <c r="T398" s="27" t="s">
        <v>2854</v>
      </c>
      <c r="U398" s="25" t="s">
        <v>3819</v>
      </c>
    </row>
    <row r="399" s="991" customFormat="1" spans="1:21">
      <c r="A399" s="1061"/>
      <c r="B399" s="1039"/>
      <c r="C399" s="123"/>
      <c r="D399" s="123"/>
      <c r="E399" s="123" t="s">
        <v>6364</v>
      </c>
      <c r="F399" s="1021" t="s">
        <v>6365</v>
      </c>
      <c r="G399" s="1021"/>
      <c r="H399" s="29"/>
      <c r="I399" s="29"/>
      <c r="J399" s="27"/>
      <c r="K399" s="1086"/>
      <c r="L399" s="1088"/>
      <c r="M399" s="1089"/>
      <c r="N399" s="1086"/>
      <c r="O399" s="31">
        <v>0.0492610837438424</v>
      </c>
      <c r="P399" s="31">
        <v>0.413793103448276</v>
      </c>
      <c r="Q399" s="29" t="s">
        <v>1428</v>
      </c>
      <c r="R399" s="66">
        <v>0.2</v>
      </c>
      <c r="S399" s="66">
        <f t="shared" si="9"/>
        <v>0.663054187192119</v>
      </c>
      <c r="T399" s="27"/>
      <c r="U399" s="26"/>
    </row>
    <row r="400" s="991" customFormat="1" spans="1:21">
      <c r="A400" s="1061"/>
      <c r="B400" s="1039"/>
      <c r="C400" s="123"/>
      <c r="D400" s="123"/>
      <c r="E400" s="123" t="s">
        <v>6366</v>
      </c>
      <c r="F400" s="1021" t="s">
        <v>6367</v>
      </c>
      <c r="G400" s="1021"/>
      <c r="H400" s="29"/>
      <c r="I400" s="29"/>
      <c r="J400" s="27"/>
      <c r="K400" s="1086"/>
      <c r="L400" s="1088"/>
      <c r="M400" s="1089"/>
      <c r="N400" s="1086"/>
      <c r="O400" s="31">
        <v>0.48</v>
      </c>
      <c r="P400" s="31">
        <v>3.76260849167253</v>
      </c>
      <c r="Q400" s="29" t="s">
        <v>1428</v>
      </c>
      <c r="R400" s="66">
        <v>0.4</v>
      </c>
      <c r="S400" s="66">
        <f t="shared" si="9"/>
        <v>4.64260849167253</v>
      </c>
      <c r="T400" s="27"/>
      <c r="U400" s="26" t="s">
        <v>346</v>
      </c>
    </row>
    <row r="401" s="991" customFormat="1" spans="1:21">
      <c r="A401" s="1061"/>
      <c r="B401" s="1039"/>
      <c r="C401" s="123"/>
      <c r="D401" s="123"/>
      <c r="E401" s="123" t="s">
        <v>6368</v>
      </c>
      <c r="F401" s="1021" t="s">
        <v>6369</v>
      </c>
      <c r="G401" s="1021"/>
      <c r="H401" s="29"/>
      <c r="I401" s="29"/>
      <c r="J401" s="27"/>
      <c r="K401" s="1086"/>
      <c r="L401" s="1088"/>
      <c r="M401" s="1089"/>
      <c r="N401" s="1086"/>
      <c r="O401" s="31">
        <v>0.66</v>
      </c>
      <c r="P401" s="31">
        <v>4.66666666666667</v>
      </c>
      <c r="Q401" s="29" t="s">
        <v>1428</v>
      </c>
      <c r="R401" s="66">
        <v>0.4</v>
      </c>
      <c r="S401" s="66">
        <f t="shared" si="9"/>
        <v>5.72666666666667</v>
      </c>
      <c r="T401" s="27"/>
      <c r="U401" s="26" t="s">
        <v>346</v>
      </c>
    </row>
    <row r="402" s="991" customFormat="1" spans="1:21">
      <c r="A402" s="1061"/>
      <c r="B402" s="1039"/>
      <c r="C402" s="123"/>
      <c r="D402" s="123"/>
      <c r="E402" s="123"/>
      <c r="F402" s="1021" t="s">
        <v>6370</v>
      </c>
      <c r="G402" s="1021"/>
      <c r="H402" s="29"/>
      <c r="I402" s="29"/>
      <c r="J402" s="27"/>
      <c r="K402" s="1086"/>
      <c r="L402" s="1088"/>
      <c r="M402" s="1089"/>
      <c r="N402" s="1086"/>
      <c r="O402" s="31">
        <v>0.23</v>
      </c>
      <c r="P402" s="31">
        <v>0.666666666666667</v>
      </c>
      <c r="Q402" s="29" t="s">
        <v>1428</v>
      </c>
      <c r="R402" s="66">
        <v>0.4</v>
      </c>
      <c r="S402" s="66">
        <f t="shared" si="9"/>
        <v>1.29666666666667</v>
      </c>
      <c r="T402" s="27"/>
      <c r="U402" s="26"/>
    </row>
    <row r="403" s="991" customFormat="1" spans="1:21">
      <c r="A403" s="1061"/>
      <c r="B403" s="1039"/>
      <c r="C403" s="123"/>
      <c r="D403" s="123"/>
      <c r="E403" s="123"/>
      <c r="F403" s="1021" t="s">
        <v>6371</v>
      </c>
      <c r="G403" s="1021"/>
      <c r="H403" s="29"/>
      <c r="I403" s="29"/>
      <c r="J403" s="123"/>
      <c r="K403" s="1086"/>
      <c r="L403" s="1087"/>
      <c r="M403" s="1086"/>
      <c r="N403" s="1086"/>
      <c r="O403" s="31">
        <v>0.6</v>
      </c>
      <c r="P403" s="31">
        <v>4.47572132301196</v>
      </c>
      <c r="Q403" s="29" t="s">
        <v>1428</v>
      </c>
      <c r="R403" s="66">
        <v>0.4</v>
      </c>
      <c r="S403" s="66">
        <f t="shared" si="9"/>
        <v>5.47572132301196</v>
      </c>
      <c r="T403" s="123"/>
      <c r="U403" s="26" t="s">
        <v>346</v>
      </c>
    </row>
    <row r="404" s="991" customFormat="1" spans="1:21">
      <c r="A404" s="1061"/>
      <c r="B404" s="1039"/>
      <c r="C404" s="123"/>
      <c r="D404" s="123"/>
      <c r="E404" s="123"/>
      <c r="F404" s="1021" t="s">
        <v>6372</v>
      </c>
      <c r="G404" s="1021"/>
      <c r="H404" s="29"/>
      <c r="I404" s="29"/>
      <c r="J404" s="27"/>
      <c r="K404" s="1086"/>
      <c r="L404" s="1088"/>
      <c r="M404" s="1089"/>
      <c r="N404" s="1089"/>
      <c r="O404" s="31">
        <v>0.65</v>
      </c>
      <c r="P404" s="31">
        <v>4.40065681444992</v>
      </c>
      <c r="Q404" s="29" t="s">
        <v>1428</v>
      </c>
      <c r="R404" s="66">
        <v>0.4</v>
      </c>
      <c r="S404" s="66">
        <f t="shared" si="9"/>
        <v>5.45065681444992</v>
      </c>
      <c r="T404" s="27"/>
      <c r="U404" s="26" t="s">
        <v>346</v>
      </c>
    </row>
    <row r="405" s="991" customFormat="1" spans="1:21">
      <c r="A405" s="1061"/>
      <c r="B405" s="1039"/>
      <c r="C405" s="123"/>
      <c r="D405" s="123"/>
      <c r="E405" s="123"/>
      <c r="F405" s="1021" t="s">
        <v>6373</v>
      </c>
      <c r="G405" s="1021"/>
      <c r="H405" s="29"/>
      <c r="I405" s="29"/>
      <c r="J405" s="27"/>
      <c r="K405" s="1086"/>
      <c r="L405" s="1088"/>
      <c r="M405" s="1089"/>
      <c r="N405" s="1089"/>
      <c r="O405" s="31">
        <v>0.65</v>
      </c>
      <c r="P405" s="31">
        <v>4.3631245601689</v>
      </c>
      <c r="Q405" s="29" t="s">
        <v>1428</v>
      </c>
      <c r="R405" s="66">
        <v>0.4</v>
      </c>
      <c r="S405" s="66">
        <f t="shared" si="9"/>
        <v>5.4131245601689</v>
      </c>
      <c r="T405" s="27"/>
      <c r="U405" s="26" t="s">
        <v>346</v>
      </c>
    </row>
    <row r="406" s="991" customFormat="1" spans="1:21">
      <c r="A406" s="1061"/>
      <c r="B406" s="1059"/>
      <c r="C406" s="123"/>
      <c r="D406" s="123"/>
      <c r="E406" s="123"/>
      <c r="F406" s="1021" t="s">
        <v>6189</v>
      </c>
      <c r="G406" s="1021"/>
      <c r="H406" s="29"/>
      <c r="I406" s="29"/>
      <c r="J406" s="27"/>
      <c r="K406" s="1086"/>
      <c r="L406" s="1088"/>
      <c r="M406" s="1089"/>
      <c r="N406" s="1089"/>
      <c r="O406" s="31">
        <v>0.649</v>
      </c>
      <c r="P406" s="31">
        <v>4.51325357729299</v>
      </c>
      <c r="Q406" s="29" t="s">
        <v>1428</v>
      </c>
      <c r="R406" s="66">
        <v>0.4</v>
      </c>
      <c r="S406" s="66">
        <f t="shared" si="9"/>
        <v>5.56225357729299</v>
      </c>
      <c r="T406" s="27"/>
      <c r="U406" s="26" t="s">
        <v>346</v>
      </c>
    </row>
    <row r="407" s="991" customFormat="1" spans="1:21">
      <c r="A407" s="1061"/>
      <c r="B407" s="1039"/>
      <c r="C407" s="123"/>
      <c r="D407" s="123"/>
      <c r="E407" s="123"/>
      <c r="F407" s="1021" t="s">
        <v>907</v>
      </c>
      <c r="G407" s="1021"/>
      <c r="H407" s="29"/>
      <c r="I407" s="29"/>
      <c r="J407" s="27"/>
      <c r="K407" s="1086"/>
      <c r="L407" s="1088"/>
      <c r="M407" s="1089"/>
      <c r="N407" s="1089"/>
      <c r="O407" s="31">
        <v>0.363</v>
      </c>
      <c r="P407" s="31">
        <v>1.14285714285714</v>
      </c>
      <c r="Q407" s="29" t="s">
        <v>1428</v>
      </c>
      <c r="R407" s="66">
        <v>0.2</v>
      </c>
      <c r="S407" s="66">
        <f t="shared" si="9"/>
        <v>1.70585714285714</v>
      </c>
      <c r="T407" s="27"/>
      <c r="U407" s="26"/>
    </row>
    <row r="408" s="989" customFormat="1" ht="17" customHeight="1" spans="1:21">
      <c r="A408" s="1061"/>
      <c r="B408" s="1039"/>
      <c r="C408" s="123"/>
      <c r="D408" s="123"/>
      <c r="E408" s="123"/>
      <c r="F408" s="27" t="s">
        <v>6374</v>
      </c>
      <c r="G408" s="27"/>
      <c r="H408" s="29"/>
      <c r="I408" s="29"/>
      <c r="J408" s="28"/>
      <c r="K408" s="124"/>
      <c r="L408" s="1090"/>
      <c r="M408" s="1091"/>
      <c r="N408" s="1091"/>
      <c r="O408" s="31">
        <v>1.089</v>
      </c>
      <c r="P408" s="31">
        <v>2.32380952380953</v>
      </c>
      <c r="Q408" s="29" t="s">
        <v>1428</v>
      </c>
      <c r="R408" s="66">
        <v>0.4</v>
      </c>
      <c r="S408" s="66">
        <f t="shared" si="9"/>
        <v>3.81280952380953</v>
      </c>
      <c r="T408" s="1092"/>
      <c r="U408" s="26"/>
    </row>
    <row r="409" s="991" customFormat="1" ht="17" customHeight="1" spans="1:21">
      <c r="A409" s="1061"/>
      <c r="B409" s="1039"/>
      <c r="C409" s="123"/>
      <c r="D409" s="123"/>
      <c r="E409" s="123"/>
      <c r="F409" s="27" t="s">
        <v>6375</v>
      </c>
      <c r="G409" s="1048"/>
      <c r="H409" s="29"/>
      <c r="I409" s="29"/>
      <c r="J409" s="28"/>
      <c r="K409" s="1086"/>
      <c r="L409" s="1088"/>
      <c r="M409" s="1089"/>
      <c r="N409" s="1089"/>
      <c r="O409" s="31">
        <v>0.08965</v>
      </c>
      <c r="P409" s="31">
        <v>1.76190476190476</v>
      </c>
      <c r="Q409" s="29" t="s">
        <v>1428</v>
      </c>
      <c r="R409" s="66">
        <v>0.4</v>
      </c>
      <c r="S409" s="66">
        <f t="shared" si="9"/>
        <v>2.25155476190476</v>
      </c>
      <c r="T409" s="1092"/>
      <c r="U409" s="1021"/>
    </row>
    <row r="410" s="991" customFormat="1" spans="1:21">
      <c r="A410" s="1061"/>
      <c r="B410" s="1039"/>
      <c r="C410" s="123"/>
      <c r="D410" s="123"/>
      <c r="E410" s="123"/>
      <c r="F410" s="1021" t="s">
        <v>6376</v>
      </c>
      <c r="G410" s="1021"/>
      <c r="H410" s="29"/>
      <c r="I410" s="29"/>
      <c r="J410" s="123"/>
      <c r="K410" s="1086"/>
      <c r="L410" s="1087"/>
      <c r="M410" s="1086"/>
      <c r="N410" s="1086"/>
      <c r="O410" s="31">
        <v>0.3729</v>
      </c>
      <c r="P410" s="31">
        <v>3.92212057236688</v>
      </c>
      <c r="Q410" s="29" t="s">
        <v>1428</v>
      </c>
      <c r="R410" s="66">
        <v>0.4</v>
      </c>
      <c r="S410" s="66">
        <f t="shared" si="9"/>
        <v>4.69502057236688</v>
      </c>
      <c r="T410" s="123"/>
      <c r="U410" s="1024" t="s">
        <v>25</v>
      </c>
    </row>
    <row r="411" s="991" customFormat="1" ht="15" spans="1:21">
      <c r="A411" s="1061"/>
      <c r="B411" s="1039"/>
      <c r="C411" s="123"/>
      <c r="D411" s="123"/>
      <c r="E411" s="123"/>
      <c r="F411" s="1021" t="s">
        <v>6183</v>
      </c>
      <c r="G411" s="1021"/>
      <c r="H411" s="29"/>
      <c r="I411" s="29"/>
      <c r="J411" s="29"/>
      <c r="K411" s="1086"/>
      <c r="L411" s="1087"/>
      <c r="M411" s="1086"/>
      <c r="N411" s="1086"/>
      <c r="O411" s="31">
        <v>0.3729</v>
      </c>
      <c r="P411" s="31">
        <v>1.22857142857143</v>
      </c>
      <c r="Q411" s="29" t="s">
        <v>1428</v>
      </c>
      <c r="R411" s="66">
        <v>0.2</v>
      </c>
      <c r="S411" s="66">
        <f t="shared" si="9"/>
        <v>1.80147142857143</v>
      </c>
      <c r="T411" s="123"/>
      <c r="U411" s="1024"/>
    </row>
    <row r="412" s="991" customFormat="1" ht="15" spans="1:21">
      <c r="A412" s="1061"/>
      <c r="B412" s="1039"/>
      <c r="C412" s="123"/>
      <c r="D412" s="123"/>
      <c r="E412" s="123"/>
      <c r="F412" s="1021" t="s">
        <v>6179</v>
      </c>
      <c r="G412" s="1021"/>
      <c r="H412" s="29"/>
      <c r="I412" s="29"/>
      <c r="J412" s="29"/>
      <c r="K412" s="1086"/>
      <c r="L412" s="1087"/>
      <c r="M412" s="1086"/>
      <c r="N412" s="1086"/>
      <c r="O412" s="31">
        <v>0.3729</v>
      </c>
      <c r="P412" s="31">
        <v>1.34638095238096</v>
      </c>
      <c r="Q412" s="29" t="s">
        <v>1428</v>
      </c>
      <c r="R412" s="66">
        <v>0.2</v>
      </c>
      <c r="S412" s="66">
        <f t="shared" si="9"/>
        <v>1.91928095238096</v>
      </c>
      <c r="T412" s="123"/>
      <c r="U412" s="1024"/>
    </row>
    <row r="413" s="992" customFormat="1" ht="15" customHeight="1" spans="1:21">
      <c r="A413" s="1061"/>
      <c r="B413" s="1039"/>
      <c r="C413" s="123"/>
      <c r="D413" s="123"/>
      <c r="E413" s="123"/>
      <c r="F413" s="1048" t="s">
        <v>5845</v>
      </c>
      <c r="G413" s="146"/>
      <c r="H413" s="29"/>
      <c r="I413" s="29"/>
      <c r="J413" s="29"/>
      <c r="K413" s="1086"/>
      <c r="L413" s="1087"/>
      <c r="M413" s="1086"/>
      <c r="N413" s="1086"/>
      <c r="O413" s="31">
        <v>0.47487</v>
      </c>
      <c r="P413" s="31">
        <v>0.903904761904762</v>
      </c>
      <c r="Q413" s="29" t="s">
        <v>1428</v>
      </c>
      <c r="R413" s="66">
        <v>0.4</v>
      </c>
      <c r="S413" s="66">
        <f t="shared" si="9"/>
        <v>1.77877476190476</v>
      </c>
      <c r="T413" s="157"/>
      <c r="U413" s="146"/>
    </row>
    <row r="414" s="991" customFormat="1" spans="1:21">
      <c r="A414" s="1061"/>
      <c r="B414" s="1040"/>
      <c r="C414" s="123"/>
      <c r="D414" s="123"/>
      <c r="E414" s="123"/>
      <c r="F414" s="1021" t="s">
        <v>6176</v>
      </c>
      <c r="G414" s="1021"/>
      <c r="H414" s="29"/>
      <c r="I414" s="29"/>
      <c r="J414" s="29"/>
      <c r="K414" s="1086"/>
      <c r="L414" s="1087"/>
      <c r="M414" s="1086"/>
      <c r="N414" s="1086"/>
      <c r="O414" s="31">
        <v>0.693</v>
      </c>
      <c r="P414" s="31">
        <v>3.69692704668074</v>
      </c>
      <c r="Q414" s="29" t="s">
        <v>1428</v>
      </c>
      <c r="R414" s="66">
        <v>0.4</v>
      </c>
      <c r="S414" s="66">
        <f t="shared" si="9"/>
        <v>4.78992704668074</v>
      </c>
      <c r="T414" s="123"/>
      <c r="U414" s="1024" t="s">
        <v>25</v>
      </c>
    </row>
    <row r="415" s="989" customFormat="1" ht="15" spans="1:21">
      <c r="A415" s="1061"/>
      <c r="B415" s="123" t="s">
        <v>6377</v>
      </c>
      <c r="C415" s="123"/>
      <c r="D415" s="123"/>
      <c r="E415" s="123"/>
      <c r="F415" s="26" t="s">
        <v>2427</v>
      </c>
      <c r="G415" s="25" t="s">
        <v>1933</v>
      </c>
      <c r="H415" s="29" t="s">
        <v>6361</v>
      </c>
      <c r="I415" s="29" t="s">
        <v>6169</v>
      </c>
      <c r="J415" s="29" t="s">
        <v>3750</v>
      </c>
      <c r="K415" s="124" t="s">
        <v>1428</v>
      </c>
      <c r="L415" s="1093" t="s">
        <v>1428</v>
      </c>
      <c r="M415" s="124" t="s">
        <v>1428</v>
      </c>
      <c r="N415" s="124">
        <v>2</v>
      </c>
      <c r="O415" s="31">
        <v>5.8423645320197</v>
      </c>
      <c r="P415" s="31">
        <v>18.679802955665</v>
      </c>
      <c r="Q415" s="29" t="s">
        <v>1428</v>
      </c>
      <c r="R415" s="31">
        <v>0.199987248862824</v>
      </c>
      <c r="S415" s="66">
        <f t="shared" si="9"/>
        <v>26.7221547365475</v>
      </c>
      <c r="T415" s="157" t="s">
        <v>5989</v>
      </c>
      <c r="U415" s="1024" t="s">
        <v>6378</v>
      </c>
    </row>
    <row r="416" s="989" customFormat="1" ht="15" spans="1:21">
      <c r="A416" s="1061"/>
      <c r="B416" s="123"/>
      <c r="C416" s="123"/>
      <c r="D416" s="123"/>
      <c r="E416" s="123"/>
      <c r="F416" s="26" t="s">
        <v>2431</v>
      </c>
      <c r="G416" s="25" t="s">
        <v>1933</v>
      </c>
      <c r="H416" s="29" t="s">
        <v>6361</v>
      </c>
      <c r="I416" s="29" t="s">
        <v>6169</v>
      </c>
      <c r="J416" s="29" t="s">
        <v>6379</v>
      </c>
      <c r="K416" s="124" t="s">
        <v>1428</v>
      </c>
      <c r="L416" s="1093" t="s">
        <v>1428</v>
      </c>
      <c r="M416" s="124" t="s">
        <v>1428</v>
      </c>
      <c r="N416" s="124">
        <v>1.3</v>
      </c>
      <c r="O416" s="31">
        <v>5.8423645320197</v>
      </c>
      <c r="P416" s="31">
        <v>18.6305418719212</v>
      </c>
      <c r="Q416" s="29" t="s">
        <v>1428</v>
      </c>
      <c r="R416" s="31">
        <v>0.199987248862824</v>
      </c>
      <c r="S416" s="66">
        <f t="shared" si="9"/>
        <v>25.9728936528037</v>
      </c>
      <c r="T416" s="157" t="s">
        <v>5989</v>
      </c>
      <c r="U416" s="1024" t="s">
        <v>6378</v>
      </c>
    </row>
    <row r="417" s="989" customFormat="1" ht="15" spans="1:21">
      <c r="A417" s="1061"/>
      <c r="B417" s="123"/>
      <c r="C417" s="123"/>
      <c r="D417" s="123"/>
      <c r="E417" s="123"/>
      <c r="F417" s="26" t="s">
        <v>1558</v>
      </c>
      <c r="G417" s="25" t="s">
        <v>1933</v>
      </c>
      <c r="H417" s="29" t="s">
        <v>4162</v>
      </c>
      <c r="I417" s="29" t="s">
        <v>5987</v>
      </c>
      <c r="J417" s="29" t="s">
        <v>3750</v>
      </c>
      <c r="K417" s="1071" t="s">
        <v>712</v>
      </c>
      <c r="L417" s="1093" t="s">
        <v>1428</v>
      </c>
      <c r="M417" s="124" t="s">
        <v>1428</v>
      </c>
      <c r="N417" s="124">
        <v>2</v>
      </c>
      <c r="O417" s="31">
        <v>5.8423645320197</v>
      </c>
      <c r="P417" s="31">
        <v>18.9950738916256</v>
      </c>
      <c r="Q417" s="29"/>
      <c r="R417" s="31">
        <v>0.199987248862824</v>
      </c>
      <c r="S417" s="66">
        <f t="shared" si="9"/>
        <v>27.0374256725081</v>
      </c>
      <c r="T417" s="157" t="s">
        <v>5989</v>
      </c>
      <c r="U417" s="1024" t="s">
        <v>6380</v>
      </c>
    </row>
    <row r="418" s="991" customFormat="1" spans="1:21">
      <c r="A418" s="1083"/>
      <c r="B418" s="1037" t="s">
        <v>6381</v>
      </c>
      <c r="C418" s="123"/>
      <c r="D418" s="123"/>
      <c r="E418" s="123"/>
      <c r="F418" s="26" t="s">
        <v>6382</v>
      </c>
      <c r="G418" s="25"/>
      <c r="H418" s="25"/>
      <c r="I418" s="25"/>
      <c r="J418" s="25"/>
      <c r="K418" s="159"/>
      <c r="L418" s="1094"/>
      <c r="M418" s="159"/>
      <c r="N418" s="159"/>
      <c r="O418" s="31">
        <v>0.51</v>
      </c>
      <c r="P418" s="31">
        <v>0.82</v>
      </c>
      <c r="Q418" s="29" t="s">
        <v>1428</v>
      </c>
      <c r="R418" s="66">
        <v>0.4</v>
      </c>
      <c r="S418" s="66">
        <f t="shared" si="9"/>
        <v>1.73</v>
      </c>
      <c r="T418" s="25"/>
      <c r="U418" s="25"/>
    </row>
    <row r="419" s="991" customFormat="1" spans="1:21">
      <c r="A419" s="1083"/>
      <c r="B419" s="1039"/>
      <c r="C419" s="123"/>
      <c r="D419" s="123"/>
      <c r="E419" s="123"/>
      <c r="F419" s="26" t="s">
        <v>6383</v>
      </c>
      <c r="G419" s="25"/>
      <c r="H419" s="25"/>
      <c r="I419" s="25"/>
      <c r="J419" s="25"/>
      <c r="K419" s="159"/>
      <c r="L419" s="1094"/>
      <c r="M419" s="159"/>
      <c r="N419" s="159"/>
      <c r="O419" s="31">
        <v>0.06</v>
      </c>
      <c r="P419" s="31">
        <v>0.85</v>
      </c>
      <c r="Q419" s="29" t="s">
        <v>1428</v>
      </c>
      <c r="R419" s="66">
        <v>0.4</v>
      </c>
      <c r="S419" s="66">
        <f t="shared" si="9"/>
        <v>1.31</v>
      </c>
      <c r="T419" s="25"/>
      <c r="U419" s="25"/>
    </row>
    <row r="420" s="991" customFormat="1" spans="1:21">
      <c r="A420" s="1083"/>
      <c r="B420" s="1039"/>
      <c r="C420" s="123"/>
      <c r="D420" s="123"/>
      <c r="E420" s="123"/>
      <c r="F420" s="26" t="s">
        <v>6384</v>
      </c>
      <c r="G420" s="25"/>
      <c r="H420" s="25"/>
      <c r="I420" s="25"/>
      <c r="J420" s="25"/>
      <c r="K420" s="159"/>
      <c r="L420" s="1094"/>
      <c r="M420" s="159"/>
      <c r="N420" s="159"/>
      <c r="O420" s="31">
        <v>0.17</v>
      </c>
      <c r="P420" s="31">
        <v>1.18095238095238</v>
      </c>
      <c r="Q420" s="29" t="s">
        <v>1428</v>
      </c>
      <c r="R420" s="66">
        <v>0.4</v>
      </c>
      <c r="S420" s="66">
        <f t="shared" si="9"/>
        <v>1.75095238095238</v>
      </c>
      <c r="T420" s="25"/>
      <c r="U420" s="25"/>
    </row>
    <row r="421" s="991" customFormat="1" spans="1:21">
      <c r="A421" s="1083"/>
      <c r="B421" s="1039"/>
      <c r="C421" s="123"/>
      <c r="D421" s="123"/>
      <c r="E421" s="123"/>
      <c r="F421" s="26" t="s">
        <v>6385</v>
      </c>
      <c r="G421" s="25"/>
      <c r="H421" s="25"/>
      <c r="I421" s="25"/>
      <c r="J421" s="25"/>
      <c r="K421" s="159"/>
      <c r="L421" s="1094"/>
      <c r="M421" s="159"/>
      <c r="N421" s="159"/>
      <c r="O421" s="31">
        <v>0.17</v>
      </c>
      <c r="P421" s="31">
        <v>1.85714285714286</v>
      </c>
      <c r="Q421" s="29" t="s">
        <v>1428</v>
      </c>
      <c r="R421" s="66">
        <v>0.4</v>
      </c>
      <c r="S421" s="66">
        <f t="shared" si="9"/>
        <v>2.42714285714286</v>
      </c>
      <c r="T421" s="25"/>
      <c r="U421" s="25"/>
    </row>
    <row r="422" s="991" customFormat="1" spans="1:21">
      <c r="A422" s="1083"/>
      <c r="B422" s="1039"/>
      <c r="C422" s="123"/>
      <c r="D422" s="123"/>
      <c r="E422" s="123"/>
      <c r="F422" s="26" t="s">
        <v>6386</v>
      </c>
      <c r="G422" s="25"/>
      <c r="H422" s="25"/>
      <c r="I422" s="25"/>
      <c r="J422" s="25"/>
      <c r="K422" s="159"/>
      <c r="L422" s="1094"/>
      <c r="M422" s="159"/>
      <c r="N422" s="159"/>
      <c r="O422" s="31">
        <v>0.157635467980296</v>
      </c>
      <c r="P422" s="31">
        <v>0.656814449917899</v>
      </c>
      <c r="Q422" s="29" t="s">
        <v>1428</v>
      </c>
      <c r="R422" s="66">
        <v>0.4</v>
      </c>
      <c r="S422" s="66">
        <f t="shared" si="9"/>
        <v>1.21444991789819</v>
      </c>
      <c r="T422" s="25"/>
      <c r="U422" s="25"/>
    </row>
    <row r="423" s="991" customFormat="1" spans="1:21">
      <c r="A423" s="1083"/>
      <c r="B423" s="1039"/>
      <c r="C423" s="123"/>
      <c r="D423" s="123"/>
      <c r="E423" s="123"/>
      <c r="F423" s="26" t="s">
        <v>889</v>
      </c>
      <c r="G423" s="25"/>
      <c r="H423" s="25"/>
      <c r="I423" s="25"/>
      <c r="J423" s="25"/>
      <c r="K423" s="159"/>
      <c r="L423" s="1094"/>
      <c r="M423" s="159"/>
      <c r="N423" s="159"/>
      <c r="O423" s="31">
        <v>0.108374384236453</v>
      </c>
      <c r="P423" s="31">
        <v>0.610837438423645</v>
      </c>
      <c r="Q423" s="29" t="s">
        <v>1428</v>
      </c>
      <c r="R423" s="66">
        <v>0.4</v>
      </c>
      <c r="S423" s="66">
        <f t="shared" si="9"/>
        <v>1.1192118226601</v>
      </c>
      <c r="T423" s="25"/>
      <c r="U423" s="25"/>
    </row>
    <row r="424" s="991" customFormat="1" spans="1:21">
      <c r="A424" s="1083"/>
      <c r="B424" s="1039"/>
      <c r="C424" s="123"/>
      <c r="D424" s="123"/>
      <c r="E424" s="123"/>
      <c r="F424" s="26" t="s">
        <v>6387</v>
      </c>
      <c r="G424" s="25"/>
      <c r="H424" s="25"/>
      <c r="I424" s="25"/>
      <c r="J424" s="25"/>
      <c r="K424" s="159"/>
      <c r="L424" s="1094"/>
      <c r="M424" s="159"/>
      <c r="N424" s="159"/>
      <c r="O424" s="31">
        <v>0.17</v>
      </c>
      <c r="P424" s="31">
        <v>2.46666666666667</v>
      </c>
      <c r="Q424" s="29" t="s">
        <v>1428</v>
      </c>
      <c r="R424" s="66">
        <v>0.4</v>
      </c>
      <c r="S424" s="66">
        <f t="shared" si="9"/>
        <v>3.03666666666667</v>
      </c>
      <c r="T424" s="25"/>
      <c r="U424" s="25"/>
    </row>
    <row r="425" s="991" customFormat="1" spans="1:21">
      <c r="A425" s="1083"/>
      <c r="B425" s="1039"/>
      <c r="C425" s="123"/>
      <c r="D425" s="123"/>
      <c r="E425" s="123"/>
      <c r="F425" s="26" t="s">
        <v>6388</v>
      </c>
      <c r="G425" s="25"/>
      <c r="H425" s="25"/>
      <c r="I425" s="25"/>
      <c r="J425" s="25"/>
      <c r="K425" s="159"/>
      <c r="L425" s="1094"/>
      <c r="M425" s="159"/>
      <c r="N425" s="159"/>
      <c r="O425" s="31">
        <v>0.14</v>
      </c>
      <c r="P425" s="31">
        <v>3.25714285714286</v>
      </c>
      <c r="Q425" s="29" t="s">
        <v>1428</v>
      </c>
      <c r="R425" s="66">
        <v>0.4</v>
      </c>
      <c r="S425" s="66">
        <f t="shared" si="9"/>
        <v>3.79714285714286</v>
      </c>
      <c r="T425" s="25"/>
      <c r="U425" s="25"/>
    </row>
    <row r="426" s="991" customFormat="1" spans="1:21">
      <c r="A426" s="1083"/>
      <c r="B426" s="1039"/>
      <c r="C426" s="123"/>
      <c r="D426" s="123"/>
      <c r="E426" s="123"/>
      <c r="F426" s="26" t="s">
        <v>886</v>
      </c>
      <c r="G426" s="25"/>
      <c r="H426" s="25"/>
      <c r="I426" s="25"/>
      <c r="J426" s="25"/>
      <c r="K426" s="159"/>
      <c r="L426" s="1094"/>
      <c r="M426" s="159"/>
      <c r="N426" s="159"/>
      <c r="O426" s="31">
        <v>0.14</v>
      </c>
      <c r="P426" s="31">
        <v>0.733333333333333</v>
      </c>
      <c r="Q426" s="29" t="s">
        <v>1428</v>
      </c>
      <c r="R426" s="66">
        <v>0.4</v>
      </c>
      <c r="S426" s="66">
        <f t="shared" si="9"/>
        <v>1.27333333333333</v>
      </c>
      <c r="T426" s="25"/>
      <c r="U426" s="25"/>
    </row>
    <row r="427" s="991" customFormat="1" spans="1:21">
      <c r="A427" s="1083"/>
      <c r="B427" s="1039"/>
      <c r="C427" s="123"/>
      <c r="D427" s="123"/>
      <c r="E427" s="123"/>
      <c r="F427" s="26" t="s">
        <v>904</v>
      </c>
      <c r="G427" s="25"/>
      <c r="H427" s="25"/>
      <c r="I427" s="25"/>
      <c r="J427" s="25"/>
      <c r="K427" s="159"/>
      <c r="L427" s="1094"/>
      <c r="M427" s="159"/>
      <c r="N427" s="159"/>
      <c r="O427" s="31">
        <v>0.14</v>
      </c>
      <c r="P427" s="31">
        <v>0.733333333333333</v>
      </c>
      <c r="Q427" s="29" t="s">
        <v>1428</v>
      </c>
      <c r="R427" s="66">
        <v>0.4</v>
      </c>
      <c r="S427" s="66">
        <f t="shared" si="9"/>
        <v>1.27333333333333</v>
      </c>
      <c r="T427" s="25"/>
      <c r="U427" s="25"/>
    </row>
    <row r="428" s="991" customFormat="1" spans="1:21">
      <c r="A428" s="1083"/>
      <c r="B428" s="1039"/>
      <c r="C428" s="123"/>
      <c r="D428" s="123"/>
      <c r="E428" s="123"/>
      <c r="F428" s="26" t="s">
        <v>6389</v>
      </c>
      <c r="G428" s="25"/>
      <c r="H428" s="25"/>
      <c r="I428" s="25"/>
      <c r="J428" s="25"/>
      <c r="K428" s="159"/>
      <c r="L428" s="1094"/>
      <c r="M428" s="159"/>
      <c r="N428" s="159"/>
      <c r="O428" s="31">
        <v>0.14</v>
      </c>
      <c r="P428" s="31">
        <v>0.685714285714286</v>
      </c>
      <c r="Q428" s="29" t="s">
        <v>1428</v>
      </c>
      <c r="R428" s="66">
        <v>0.4</v>
      </c>
      <c r="S428" s="66">
        <f t="shared" si="9"/>
        <v>1.22571428571429</v>
      </c>
      <c r="T428" s="25"/>
      <c r="U428" s="25"/>
    </row>
    <row r="429" s="991" customFormat="1" spans="1:21">
      <c r="A429" s="1083"/>
      <c r="B429" s="1040"/>
      <c r="C429" s="123"/>
      <c r="D429" s="123"/>
      <c r="E429" s="123"/>
      <c r="F429" s="1073" t="s">
        <v>6390</v>
      </c>
      <c r="G429" s="25"/>
      <c r="H429" s="25"/>
      <c r="I429" s="25"/>
      <c r="J429" s="25"/>
      <c r="K429" s="159"/>
      <c r="L429" s="1094"/>
      <c r="M429" s="159"/>
      <c r="N429" s="159"/>
      <c r="O429" s="31">
        <v>0.14</v>
      </c>
      <c r="P429" s="31">
        <v>0.866666666666667</v>
      </c>
      <c r="Q429" s="29" t="s">
        <v>1428</v>
      </c>
      <c r="R429" s="66">
        <v>0.4</v>
      </c>
      <c r="S429" s="66">
        <f t="shared" si="9"/>
        <v>1.40666666666667</v>
      </c>
      <c r="T429" s="25"/>
      <c r="U429" s="25"/>
    </row>
    <row r="430" s="991" customFormat="1" spans="1:21">
      <c r="A430" s="1061"/>
      <c r="B430" s="123" t="s">
        <v>6391</v>
      </c>
      <c r="C430" s="123"/>
      <c r="D430" s="123"/>
      <c r="E430" s="123"/>
      <c r="F430" s="25" t="s">
        <v>6392</v>
      </c>
      <c r="G430" s="25"/>
      <c r="H430" s="25"/>
      <c r="I430" s="25"/>
      <c r="J430" s="25"/>
      <c r="K430" s="159"/>
      <c r="L430" s="1094"/>
      <c r="M430" s="159"/>
      <c r="N430" s="159"/>
      <c r="O430" s="31">
        <v>0.15</v>
      </c>
      <c r="P430" s="31">
        <v>0.828571428571429</v>
      </c>
      <c r="Q430" s="29" t="s">
        <v>1428</v>
      </c>
      <c r="R430" s="66">
        <v>0.4</v>
      </c>
      <c r="S430" s="66">
        <f t="shared" si="9"/>
        <v>1.37857142857143</v>
      </c>
      <c r="T430" s="25"/>
      <c r="U430" s="25"/>
    </row>
    <row r="431" s="991" customFormat="1" spans="1:21">
      <c r="A431" s="1061"/>
      <c r="B431" s="123"/>
      <c r="C431" s="123"/>
      <c r="D431" s="123"/>
      <c r="E431" s="123"/>
      <c r="F431" s="25" t="s">
        <v>897</v>
      </c>
      <c r="G431" s="25"/>
      <c r="H431" s="25"/>
      <c r="I431" s="25"/>
      <c r="J431" s="25"/>
      <c r="K431" s="159"/>
      <c r="L431" s="1094"/>
      <c r="M431" s="159"/>
      <c r="N431" s="159"/>
      <c r="O431" s="31">
        <v>0.15</v>
      </c>
      <c r="P431" s="31">
        <v>0.942857142857143</v>
      </c>
      <c r="Q431" s="29" t="s">
        <v>1428</v>
      </c>
      <c r="R431" s="66">
        <v>0.4</v>
      </c>
      <c r="S431" s="66">
        <f t="shared" si="9"/>
        <v>1.49285714285714</v>
      </c>
      <c r="T431" s="25"/>
      <c r="U431" s="25"/>
    </row>
    <row r="432" s="991" customFormat="1" spans="1:21">
      <c r="A432" s="1061"/>
      <c r="B432" s="1040" t="s">
        <v>6393</v>
      </c>
      <c r="C432" s="123"/>
      <c r="D432" s="123"/>
      <c r="E432" s="123"/>
      <c r="F432" s="26" t="s">
        <v>6394</v>
      </c>
      <c r="G432" s="25"/>
      <c r="H432" s="25"/>
      <c r="I432" s="25"/>
      <c r="J432" s="25"/>
      <c r="K432" s="159"/>
      <c r="L432" s="1094"/>
      <c r="M432" s="159"/>
      <c r="N432" s="159"/>
      <c r="O432" s="31">
        <v>0.097</v>
      </c>
      <c r="P432" s="31">
        <v>5.19047619047619</v>
      </c>
      <c r="Q432" s="29" t="s">
        <v>1428</v>
      </c>
      <c r="R432" s="66">
        <v>0.4</v>
      </c>
      <c r="S432" s="66">
        <f t="shared" si="9"/>
        <v>5.68747619047619</v>
      </c>
      <c r="T432" s="25"/>
      <c r="U432" s="25"/>
    </row>
    <row r="433" s="991" customFormat="1" spans="1:21">
      <c r="A433" s="1061"/>
      <c r="B433" s="123"/>
      <c r="C433" s="123"/>
      <c r="D433" s="123"/>
      <c r="E433" s="123"/>
      <c r="F433" s="26" t="s">
        <v>6395</v>
      </c>
      <c r="G433" s="25"/>
      <c r="H433" s="25"/>
      <c r="I433" s="25"/>
      <c r="J433" s="25"/>
      <c r="K433" s="159"/>
      <c r="L433" s="1094"/>
      <c r="M433" s="159"/>
      <c r="N433" s="159"/>
      <c r="O433" s="31">
        <v>0.097</v>
      </c>
      <c r="P433" s="31">
        <v>5.19047619047619</v>
      </c>
      <c r="Q433" s="29" t="s">
        <v>1428</v>
      </c>
      <c r="R433" s="66">
        <v>0.4</v>
      </c>
      <c r="S433" s="66">
        <f t="shared" si="9"/>
        <v>5.68747619047619</v>
      </c>
      <c r="T433" s="25"/>
      <c r="U433" s="25"/>
    </row>
    <row r="434" s="991" customFormat="1" spans="1:21">
      <c r="A434" s="1061"/>
      <c r="B434" s="123"/>
      <c r="C434" s="123"/>
      <c r="D434" s="123"/>
      <c r="E434" s="123"/>
      <c r="F434" s="26" t="s">
        <v>6396</v>
      </c>
      <c r="G434" s="25"/>
      <c r="H434" s="25"/>
      <c r="I434" s="25"/>
      <c r="J434" s="25"/>
      <c r="K434" s="159"/>
      <c r="L434" s="1094"/>
      <c r="M434" s="159"/>
      <c r="N434" s="159"/>
      <c r="O434" s="31">
        <v>0.097</v>
      </c>
      <c r="P434" s="31">
        <v>7.26666666666667</v>
      </c>
      <c r="Q434" s="29" t="s">
        <v>1428</v>
      </c>
      <c r="R434" s="66">
        <v>0.4</v>
      </c>
      <c r="S434" s="66">
        <f t="shared" si="9"/>
        <v>7.76366666666667</v>
      </c>
      <c r="T434" s="25"/>
      <c r="U434" s="25"/>
    </row>
    <row r="435" s="989" customFormat="1" ht="45" spans="1:21">
      <c r="A435" s="1061"/>
      <c r="B435" s="123" t="s">
        <v>6397</v>
      </c>
      <c r="C435" s="123"/>
      <c r="D435" s="123"/>
      <c r="E435" s="123"/>
      <c r="F435" s="26" t="s">
        <v>2306</v>
      </c>
      <c r="G435" s="25" t="s">
        <v>1933</v>
      </c>
      <c r="H435" s="29" t="s">
        <v>6247</v>
      </c>
      <c r="I435" s="29" t="s">
        <v>1913</v>
      </c>
      <c r="J435" s="29" t="s">
        <v>1428</v>
      </c>
      <c r="K435" s="124" t="s">
        <v>1428</v>
      </c>
      <c r="L435" s="1062" t="s">
        <v>1428</v>
      </c>
      <c r="M435" s="124" t="s">
        <v>1428</v>
      </c>
      <c r="N435" s="124" t="s">
        <v>1428</v>
      </c>
      <c r="O435" s="31">
        <v>6.03940886699507</v>
      </c>
      <c r="P435" s="31">
        <v>21.4975369458128</v>
      </c>
      <c r="Q435" s="29" t="s">
        <v>1428</v>
      </c>
      <c r="R435" s="1069">
        <v>3.72059880575184</v>
      </c>
      <c r="S435" s="66">
        <f t="shared" si="9"/>
        <v>31.2575446185597</v>
      </c>
      <c r="T435" s="123" t="s">
        <v>2854</v>
      </c>
      <c r="U435" s="1030" t="s">
        <v>6398</v>
      </c>
    </row>
    <row r="436" s="989" customFormat="1" spans="1:21">
      <c r="A436" s="1061"/>
      <c r="B436" s="1036"/>
      <c r="C436" s="123"/>
      <c r="D436" s="123"/>
      <c r="E436" s="123"/>
      <c r="F436" s="26" t="s">
        <v>6399</v>
      </c>
      <c r="G436" s="26"/>
      <c r="H436" s="29"/>
      <c r="I436" s="29"/>
      <c r="J436" s="29"/>
      <c r="K436" s="124"/>
      <c r="L436" s="1062"/>
      <c r="M436" s="124"/>
      <c r="N436" s="124"/>
      <c r="O436" s="31">
        <v>0.46354</v>
      </c>
      <c r="P436" s="31">
        <v>0.471047619047619</v>
      </c>
      <c r="Q436" s="29" t="s">
        <v>1428</v>
      </c>
      <c r="R436" s="66">
        <v>0.4</v>
      </c>
      <c r="S436" s="66">
        <f t="shared" si="9"/>
        <v>1.33458761904762</v>
      </c>
      <c r="T436" s="123"/>
      <c r="U436" s="1030"/>
    </row>
    <row r="437" s="989" customFormat="1" spans="1:21">
      <c r="A437" s="1061"/>
      <c r="B437" s="27"/>
      <c r="C437" s="123"/>
      <c r="D437" s="123"/>
      <c r="E437" s="123"/>
      <c r="F437" s="26" t="s">
        <v>477</v>
      </c>
      <c r="G437" s="26"/>
      <c r="H437" s="29"/>
      <c r="I437" s="29"/>
      <c r="J437" s="29"/>
      <c r="K437" s="124"/>
      <c r="L437" s="1062"/>
      <c r="M437" s="124"/>
      <c r="N437" s="124"/>
      <c r="O437" s="31">
        <v>0.23694</v>
      </c>
      <c r="P437" s="31">
        <v>1.43295238095238</v>
      </c>
      <c r="Q437" s="29" t="s">
        <v>1428</v>
      </c>
      <c r="R437" s="66">
        <v>0.2</v>
      </c>
      <c r="S437" s="66">
        <f t="shared" si="9"/>
        <v>1.86989238095238</v>
      </c>
      <c r="T437" s="123"/>
      <c r="U437" s="1030"/>
    </row>
    <row r="438" s="989" customFormat="1" spans="1:21">
      <c r="A438" s="1061"/>
      <c r="B438" s="27"/>
      <c r="C438" s="123"/>
      <c r="D438" s="123"/>
      <c r="E438" s="123"/>
      <c r="F438" s="26" t="s">
        <v>6400</v>
      </c>
      <c r="G438" s="26"/>
      <c r="H438" s="29"/>
      <c r="I438" s="29"/>
      <c r="J438" s="29"/>
      <c r="K438" s="124"/>
      <c r="L438" s="1062"/>
      <c r="M438" s="124"/>
      <c r="N438" s="124"/>
      <c r="O438" s="31">
        <v>0.44088</v>
      </c>
      <c r="P438" s="31">
        <v>1.43295238095238</v>
      </c>
      <c r="Q438" s="29" t="s">
        <v>1428</v>
      </c>
      <c r="R438" s="66">
        <v>0.2</v>
      </c>
      <c r="S438" s="66">
        <f t="shared" si="9"/>
        <v>2.07383238095238</v>
      </c>
      <c r="T438" s="123"/>
      <c r="U438" s="1030"/>
    </row>
    <row r="439" s="989" customFormat="1" spans="1:21">
      <c r="A439" s="1061"/>
      <c r="B439" s="27"/>
      <c r="C439" s="123"/>
      <c r="D439" s="123"/>
      <c r="E439" s="123"/>
      <c r="F439" s="26" t="s">
        <v>5973</v>
      </c>
      <c r="G439" s="26"/>
      <c r="H439" s="29"/>
      <c r="I439" s="29"/>
      <c r="J439" s="29"/>
      <c r="K439" s="124"/>
      <c r="L439" s="1062"/>
      <c r="M439" s="124"/>
      <c r="N439" s="124"/>
      <c r="O439" s="31">
        <v>0.413793103448276</v>
      </c>
      <c r="P439" s="31">
        <v>1.8128078817734</v>
      </c>
      <c r="Q439" s="29" t="s">
        <v>1428</v>
      </c>
      <c r="R439" s="66">
        <v>0.2</v>
      </c>
      <c r="S439" s="66">
        <f t="shared" si="9"/>
        <v>2.42660098522168</v>
      </c>
      <c r="T439" s="123"/>
      <c r="U439" s="1030"/>
    </row>
    <row r="440" s="989" customFormat="1" spans="1:21">
      <c r="A440" s="1061"/>
      <c r="B440" s="1059"/>
      <c r="C440" s="123"/>
      <c r="D440" s="123"/>
      <c r="E440" s="123"/>
      <c r="F440" s="26" t="s">
        <v>406</v>
      </c>
      <c r="G440" s="26"/>
      <c r="H440" s="29"/>
      <c r="I440" s="29"/>
      <c r="J440" s="29"/>
      <c r="K440" s="124"/>
      <c r="L440" s="1062"/>
      <c r="M440" s="124"/>
      <c r="N440" s="124"/>
      <c r="O440" s="31">
        <v>0.33</v>
      </c>
      <c r="P440" s="31">
        <v>1.78</v>
      </c>
      <c r="Q440" s="29" t="s">
        <v>1428</v>
      </c>
      <c r="R440" s="66">
        <v>0.2</v>
      </c>
      <c r="S440" s="66">
        <f t="shared" si="9"/>
        <v>2.31</v>
      </c>
      <c r="T440" s="1015"/>
      <c r="U440" s="1030"/>
    </row>
    <row r="441" s="989" customFormat="1" ht="15" spans="1:21">
      <c r="A441" s="1061"/>
      <c r="B441" s="123" t="s">
        <v>6401</v>
      </c>
      <c r="C441" s="123"/>
      <c r="D441" s="123"/>
      <c r="E441" s="123"/>
      <c r="F441" s="26" t="s">
        <v>1581</v>
      </c>
      <c r="G441" s="25" t="s">
        <v>1933</v>
      </c>
      <c r="H441" s="29" t="s">
        <v>6247</v>
      </c>
      <c r="I441" s="29" t="s">
        <v>3436</v>
      </c>
      <c r="J441" s="29" t="s">
        <v>4314</v>
      </c>
      <c r="K441" s="124" t="s">
        <v>1428</v>
      </c>
      <c r="L441" s="1062" t="s">
        <v>1428</v>
      </c>
      <c r="M441" s="124" t="s">
        <v>1428</v>
      </c>
      <c r="N441" s="1086" t="s">
        <v>1428</v>
      </c>
      <c r="O441" s="31">
        <v>3.74046135598457</v>
      </c>
      <c r="P441" s="31">
        <v>17.3399014778325</v>
      </c>
      <c r="Q441" s="29" t="s">
        <v>1428</v>
      </c>
      <c r="R441" s="31">
        <v>4.67865299823292</v>
      </c>
      <c r="S441" s="66">
        <f t="shared" si="9"/>
        <v>25.75901583205</v>
      </c>
      <c r="T441" s="123" t="s">
        <v>3920</v>
      </c>
      <c r="U441" s="25" t="s">
        <v>6402</v>
      </c>
    </row>
    <row r="442" s="989" customFormat="1" ht="14.15" customHeight="1" spans="1:21">
      <c r="A442" s="1061"/>
      <c r="B442" s="1040"/>
      <c r="C442" s="123"/>
      <c r="D442" s="123"/>
      <c r="E442" s="123"/>
      <c r="F442" s="26" t="s">
        <v>867</v>
      </c>
      <c r="G442" s="26"/>
      <c r="H442" s="29"/>
      <c r="I442" s="29"/>
      <c r="J442" s="29"/>
      <c r="K442" s="124"/>
      <c r="L442" s="1062"/>
      <c r="M442" s="124"/>
      <c r="N442" s="124"/>
      <c r="O442" s="31">
        <v>0.354679802955665</v>
      </c>
      <c r="P442" s="31">
        <v>0.562983814215341</v>
      </c>
      <c r="Q442" s="29" t="s">
        <v>1428</v>
      </c>
      <c r="R442" s="66">
        <v>0.4</v>
      </c>
      <c r="S442" s="66">
        <f t="shared" si="9"/>
        <v>1.31766361717101</v>
      </c>
      <c r="T442" s="123"/>
      <c r="U442" s="25"/>
    </row>
    <row r="443" s="989" customFormat="1" spans="1:21">
      <c r="A443" s="1061"/>
      <c r="B443" s="123"/>
      <c r="C443" s="123"/>
      <c r="D443" s="123"/>
      <c r="E443" s="123"/>
      <c r="F443" s="26" t="s">
        <v>5968</v>
      </c>
      <c r="G443" s="26"/>
      <c r="H443" s="29"/>
      <c r="I443" s="29"/>
      <c r="J443" s="29"/>
      <c r="K443" s="124"/>
      <c r="L443" s="1062"/>
      <c r="M443" s="124"/>
      <c r="N443" s="124"/>
      <c r="O443" s="31">
        <v>0.5995</v>
      </c>
      <c r="P443" s="31">
        <v>1.81675238095238</v>
      </c>
      <c r="Q443" s="29" t="s">
        <v>1428</v>
      </c>
      <c r="R443" s="66">
        <v>0.4</v>
      </c>
      <c r="S443" s="66">
        <f t="shared" si="9"/>
        <v>2.81625238095238</v>
      </c>
      <c r="T443" s="123"/>
      <c r="U443" s="25"/>
    </row>
    <row r="444" s="991" customFormat="1" ht="15" spans="1:21">
      <c r="A444" s="1061"/>
      <c r="B444" s="123" t="s">
        <v>6403</v>
      </c>
      <c r="C444" s="123"/>
      <c r="D444" s="123"/>
      <c r="E444" s="123"/>
      <c r="F444" s="1021" t="s">
        <v>1604</v>
      </c>
      <c r="G444" s="1024" t="s">
        <v>1933</v>
      </c>
      <c r="H444" s="29" t="s">
        <v>6404</v>
      </c>
      <c r="I444" s="29" t="s">
        <v>5987</v>
      </c>
      <c r="J444" s="29" t="s">
        <v>1742</v>
      </c>
      <c r="K444" s="124" t="s">
        <v>1428</v>
      </c>
      <c r="L444" s="1093" t="s">
        <v>1428</v>
      </c>
      <c r="M444" s="1086" t="s">
        <v>1428</v>
      </c>
      <c r="N444" s="65">
        <v>6</v>
      </c>
      <c r="O444" s="31">
        <v>4.08866995073892</v>
      </c>
      <c r="P444" s="31">
        <v>22.5615763546798</v>
      </c>
      <c r="Q444" s="29" t="s">
        <v>1428</v>
      </c>
      <c r="R444" s="31">
        <v>4.59493952510348</v>
      </c>
      <c r="S444" s="66">
        <f t="shared" si="9"/>
        <v>37.2451858305222</v>
      </c>
      <c r="T444" s="123" t="s">
        <v>5989</v>
      </c>
      <c r="U444" s="1024" t="s">
        <v>6405</v>
      </c>
    </row>
    <row r="445" s="991" customFormat="1" spans="1:21">
      <c r="A445" s="1061"/>
      <c r="B445" s="1059"/>
      <c r="C445" s="123"/>
      <c r="D445" s="123"/>
      <c r="E445" s="123" t="s">
        <v>6406</v>
      </c>
      <c r="F445" s="1021" t="s">
        <v>6407</v>
      </c>
      <c r="G445" s="1021"/>
      <c r="H445" s="29"/>
      <c r="I445" s="29"/>
      <c r="J445" s="29"/>
      <c r="K445" s="1086"/>
      <c r="L445" s="1087"/>
      <c r="M445" s="1086"/>
      <c r="N445" s="1086"/>
      <c r="O445" s="31">
        <v>0.55</v>
      </c>
      <c r="P445" s="31">
        <v>0.885714285714286</v>
      </c>
      <c r="Q445" s="29" t="s">
        <v>1428</v>
      </c>
      <c r="R445" s="66">
        <v>0.2</v>
      </c>
      <c r="S445" s="66">
        <f t="shared" si="9"/>
        <v>1.63571428571429</v>
      </c>
      <c r="T445" s="123"/>
      <c r="U445" s="1024"/>
    </row>
    <row r="446" s="989" customFormat="1" ht="14.15" customHeight="1" spans="1:21">
      <c r="A446" s="1061"/>
      <c r="B446" s="1036"/>
      <c r="C446" s="123"/>
      <c r="D446" s="123"/>
      <c r="E446" s="123" t="s">
        <v>866</v>
      </c>
      <c r="F446" s="26" t="s">
        <v>867</v>
      </c>
      <c r="G446" s="26"/>
      <c r="H446" s="29"/>
      <c r="I446" s="29"/>
      <c r="J446" s="29"/>
      <c r="K446" s="124"/>
      <c r="L446" s="1062"/>
      <c r="M446" s="124"/>
      <c r="N446" s="124"/>
      <c r="O446" s="31">
        <v>0.354679802955665</v>
      </c>
      <c r="P446" s="31">
        <v>0.562983814215341</v>
      </c>
      <c r="Q446" s="29" t="s">
        <v>1428</v>
      </c>
      <c r="R446" s="66">
        <v>0.4</v>
      </c>
      <c r="S446" s="66">
        <f t="shared" si="9"/>
        <v>1.31766361717101</v>
      </c>
      <c r="T446" s="123"/>
      <c r="U446" s="25"/>
    </row>
    <row r="447" s="989" customFormat="1" ht="15" spans="1:21">
      <c r="A447" s="1061"/>
      <c r="B447" s="123" t="s">
        <v>6408</v>
      </c>
      <c r="C447" s="123"/>
      <c r="D447" s="123"/>
      <c r="E447" s="123"/>
      <c r="F447" s="26" t="s">
        <v>1604</v>
      </c>
      <c r="G447" s="25" t="s">
        <v>1933</v>
      </c>
      <c r="H447" s="29" t="s">
        <v>6247</v>
      </c>
      <c r="I447" s="29" t="s">
        <v>3432</v>
      </c>
      <c r="J447" s="29" t="s">
        <v>4314</v>
      </c>
      <c r="K447" s="124" t="s">
        <v>1428</v>
      </c>
      <c r="L447" s="1005" t="s">
        <v>1428</v>
      </c>
      <c r="M447" s="124" t="s">
        <v>1428</v>
      </c>
      <c r="N447" s="1086" t="s">
        <v>1428</v>
      </c>
      <c r="O447" s="31">
        <v>4.84729064039409</v>
      </c>
      <c r="P447" s="31">
        <v>15.8916256157635</v>
      </c>
      <c r="Q447" s="29" t="s">
        <v>1428</v>
      </c>
      <c r="R447" s="31">
        <v>4.48332156093092</v>
      </c>
      <c r="S447" s="66">
        <f t="shared" si="9"/>
        <v>25.2222378170885</v>
      </c>
      <c r="T447" s="1041" t="s">
        <v>3719</v>
      </c>
      <c r="U447" s="1024" t="s">
        <v>6409</v>
      </c>
    </row>
    <row r="448" s="989" customFormat="1" ht="15" spans="1:21">
      <c r="A448" s="1061"/>
      <c r="B448" s="123" t="s">
        <v>6410</v>
      </c>
      <c r="C448" s="123"/>
      <c r="D448" s="123"/>
      <c r="E448" s="123"/>
      <c r="F448" s="26" t="s">
        <v>1629</v>
      </c>
      <c r="G448" s="25" t="s">
        <v>1933</v>
      </c>
      <c r="H448" s="29" t="s">
        <v>6257</v>
      </c>
      <c r="I448" s="29" t="s">
        <v>3436</v>
      </c>
      <c r="J448" s="28" t="s">
        <v>3874</v>
      </c>
      <c r="K448" s="1091" t="s">
        <v>1428</v>
      </c>
      <c r="L448" s="1062">
        <f>4.2*2</f>
        <v>8.4</v>
      </c>
      <c r="M448" s="124" t="s">
        <v>1428</v>
      </c>
      <c r="N448" s="1086">
        <v>2.5</v>
      </c>
      <c r="O448" s="31">
        <v>5.456</v>
      </c>
      <c r="P448" s="31">
        <v>18.0689655172414</v>
      </c>
      <c r="Q448" s="29" t="s">
        <v>1428</v>
      </c>
      <c r="R448" s="31">
        <v>3.72059880575184</v>
      </c>
      <c r="S448" s="66">
        <f t="shared" si="9"/>
        <v>38.1455643229932</v>
      </c>
      <c r="T448" s="157" t="s">
        <v>5866</v>
      </c>
      <c r="U448" s="25" t="s">
        <v>6411</v>
      </c>
    </row>
    <row r="449" s="989" customFormat="1" spans="1:21">
      <c r="A449" s="1061"/>
      <c r="B449" s="1040"/>
      <c r="C449" s="123"/>
      <c r="D449" s="123"/>
      <c r="E449" s="123"/>
      <c r="F449" s="26" t="s">
        <v>6288</v>
      </c>
      <c r="G449" s="26"/>
      <c r="H449" s="29"/>
      <c r="I449" s="29"/>
      <c r="J449" s="29"/>
      <c r="K449" s="124"/>
      <c r="L449" s="1062"/>
      <c r="M449" s="124"/>
      <c r="N449" s="124"/>
      <c r="O449" s="31">
        <v>0.55418</v>
      </c>
      <c r="P449" s="31">
        <v>2.13333333333333</v>
      </c>
      <c r="Q449" s="29" t="s">
        <v>1428</v>
      </c>
      <c r="R449" s="66">
        <v>0.2</v>
      </c>
      <c r="S449" s="66">
        <f t="shared" si="9"/>
        <v>2.88751333333333</v>
      </c>
      <c r="T449" s="123"/>
      <c r="U449" s="25"/>
    </row>
    <row r="450" s="989" customFormat="1" ht="15" spans="1:21">
      <c r="A450" s="1083"/>
      <c r="B450" s="123" t="s">
        <v>6412</v>
      </c>
      <c r="C450" s="123"/>
      <c r="D450" s="123"/>
      <c r="E450" s="123"/>
      <c r="F450" s="26" t="s">
        <v>2427</v>
      </c>
      <c r="G450" s="25" t="s">
        <v>1933</v>
      </c>
      <c r="H450" s="29" t="s">
        <v>6247</v>
      </c>
      <c r="I450" s="29" t="s">
        <v>3436</v>
      </c>
      <c r="J450" s="29" t="s">
        <v>3787</v>
      </c>
      <c r="K450" s="124" t="s">
        <v>1428</v>
      </c>
      <c r="L450" s="1062" t="s">
        <v>1428</v>
      </c>
      <c r="M450" s="124" t="s">
        <v>1428</v>
      </c>
      <c r="N450" s="1086">
        <v>3.5</v>
      </c>
      <c r="O450" s="31">
        <v>6.14552605703048</v>
      </c>
      <c r="P450" s="31">
        <v>17.8226600985222</v>
      </c>
      <c r="Q450" s="29" t="s">
        <v>1428</v>
      </c>
      <c r="R450" s="31">
        <v>4.44616782847465</v>
      </c>
      <c r="S450" s="66">
        <f t="shared" si="9"/>
        <v>31.9143539840273</v>
      </c>
      <c r="T450" s="123" t="s">
        <v>3920</v>
      </c>
      <c r="U450" s="25" t="s">
        <v>6413</v>
      </c>
    </row>
    <row r="451" s="989" customFormat="1" ht="15" spans="1:21">
      <c r="A451" s="1083"/>
      <c r="B451" s="123"/>
      <c r="C451" s="123"/>
      <c r="D451" s="123"/>
      <c r="E451" s="123"/>
      <c r="F451" s="26" t="s">
        <v>2546</v>
      </c>
      <c r="G451" s="26" t="s">
        <v>1933</v>
      </c>
      <c r="H451" s="29" t="s">
        <v>6414</v>
      </c>
      <c r="I451" s="29" t="s">
        <v>3909</v>
      </c>
      <c r="J451" s="28" t="s">
        <v>2955</v>
      </c>
      <c r="K451" s="1071" t="s">
        <v>712</v>
      </c>
      <c r="L451" s="1090">
        <f>8*2</f>
        <v>16</v>
      </c>
      <c r="M451" s="124" t="s">
        <v>1428</v>
      </c>
      <c r="N451" s="1095" t="s">
        <v>1428</v>
      </c>
      <c r="O451" s="31">
        <v>6.14552605703048</v>
      </c>
      <c r="P451" s="31">
        <v>16.49023097941</v>
      </c>
      <c r="Q451" s="29" t="s">
        <v>1428</v>
      </c>
      <c r="R451" s="31">
        <v>4.42751257884469</v>
      </c>
      <c r="S451" s="66">
        <f t="shared" si="9"/>
        <v>43.0632696152852</v>
      </c>
      <c r="T451" s="123" t="s">
        <v>3910</v>
      </c>
      <c r="U451" s="26" t="s">
        <v>6415</v>
      </c>
    </row>
    <row r="452" s="991" customFormat="1" spans="1:21">
      <c r="A452" s="1083"/>
      <c r="B452" s="123"/>
      <c r="C452" s="123"/>
      <c r="D452" s="123"/>
      <c r="E452" s="123"/>
      <c r="F452" s="1021" t="s">
        <v>6189</v>
      </c>
      <c r="G452" s="1021"/>
      <c r="H452" s="29"/>
      <c r="I452" s="29"/>
      <c r="J452" s="27"/>
      <c r="K452" s="1086"/>
      <c r="L452" s="1088"/>
      <c r="M452" s="1089"/>
      <c r="N452" s="1089"/>
      <c r="O452" s="31">
        <v>0.649</v>
      </c>
      <c r="P452" s="31">
        <v>4.51325357729299</v>
      </c>
      <c r="Q452" s="29" t="s">
        <v>1428</v>
      </c>
      <c r="R452" s="66">
        <v>0.4</v>
      </c>
      <c r="S452" s="66">
        <f t="shared" si="9"/>
        <v>5.56225357729299</v>
      </c>
      <c r="T452" s="27"/>
      <c r="U452" s="26" t="s">
        <v>346</v>
      </c>
    </row>
    <row r="453" s="991" customFormat="1" spans="1:21">
      <c r="A453" s="1083"/>
      <c r="B453" s="123"/>
      <c r="C453" s="123"/>
      <c r="D453" s="123"/>
      <c r="E453" s="123"/>
      <c r="F453" s="1021" t="s">
        <v>907</v>
      </c>
      <c r="G453" s="1021"/>
      <c r="H453" s="29"/>
      <c r="I453" s="29"/>
      <c r="J453" s="27"/>
      <c r="K453" s="1086"/>
      <c r="L453" s="1088"/>
      <c r="M453" s="1089"/>
      <c r="N453" s="1089"/>
      <c r="O453" s="31">
        <v>0.363</v>
      </c>
      <c r="P453" s="31">
        <v>1.14285714285714</v>
      </c>
      <c r="Q453" s="29" t="s">
        <v>1428</v>
      </c>
      <c r="R453" s="66">
        <v>0.2</v>
      </c>
      <c r="S453" s="66">
        <f t="shared" si="9"/>
        <v>1.70585714285714</v>
      </c>
      <c r="T453" s="27"/>
      <c r="U453" s="26"/>
    </row>
    <row r="454" s="989" customFormat="1" spans="1:21">
      <c r="A454" s="1083"/>
      <c r="B454" s="123"/>
      <c r="C454" s="123"/>
      <c r="D454" s="123"/>
      <c r="E454" s="123"/>
      <c r="F454" s="26" t="s">
        <v>6416</v>
      </c>
      <c r="G454" s="26"/>
      <c r="H454" s="29"/>
      <c r="I454" s="29"/>
      <c r="J454" s="29"/>
      <c r="K454" s="124"/>
      <c r="L454" s="1062"/>
      <c r="M454" s="124"/>
      <c r="N454" s="124"/>
      <c r="O454" s="31">
        <v>0.154</v>
      </c>
      <c r="P454" s="31">
        <v>0.428571428571429</v>
      </c>
      <c r="Q454" s="29" t="s">
        <v>1428</v>
      </c>
      <c r="R454" s="66">
        <v>0.2</v>
      </c>
      <c r="S454" s="66">
        <f>SUM(K454:R454)</f>
        <v>0.782571428571429</v>
      </c>
      <c r="T454" s="123"/>
      <c r="U454" s="25"/>
    </row>
    <row r="455" s="989" customFormat="1" spans="1:21">
      <c r="A455" s="1083"/>
      <c r="B455" s="123"/>
      <c r="C455" s="123"/>
      <c r="D455" s="123"/>
      <c r="E455" s="123"/>
      <c r="F455" s="26" t="s">
        <v>6376</v>
      </c>
      <c r="G455" s="26"/>
      <c r="H455" s="29"/>
      <c r="I455" s="29"/>
      <c r="J455" s="123"/>
      <c r="K455" s="124"/>
      <c r="L455" s="1062"/>
      <c r="M455" s="124"/>
      <c r="N455" s="124"/>
      <c r="O455" s="31">
        <v>0.3729</v>
      </c>
      <c r="P455" s="31">
        <v>3.92212057236688</v>
      </c>
      <c r="Q455" s="29" t="s">
        <v>1428</v>
      </c>
      <c r="R455" s="66">
        <v>0.4</v>
      </c>
      <c r="S455" s="66">
        <f>SUM(K455:R455)</f>
        <v>4.69502057236688</v>
      </c>
      <c r="T455" s="123"/>
      <c r="U455" s="1024" t="s">
        <v>25</v>
      </c>
    </row>
    <row r="456" s="989" customFormat="1" ht="15" spans="1:21">
      <c r="A456" s="1083"/>
      <c r="B456" s="123"/>
      <c r="C456" s="123"/>
      <c r="D456" s="123"/>
      <c r="E456" s="123"/>
      <c r="F456" s="26" t="s">
        <v>6183</v>
      </c>
      <c r="G456" s="26"/>
      <c r="H456" s="29"/>
      <c r="I456" s="29"/>
      <c r="J456" s="29"/>
      <c r="K456" s="124"/>
      <c r="L456" s="1062"/>
      <c r="M456" s="124"/>
      <c r="N456" s="124"/>
      <c r="O456" s="31">
        <v>0.3729</v>
      </c>
      <c r="P456" s="31">
        <v>1.22857142857143</v>
      </c>
      <c r="Q456" s="29" t="s">
        <v>1428</v>
      </c>
      <c r="R456" s="66">
        <v>0.2</v>
      </c>
      <c r="S456" s="66">
        <f>SUM(K456:R456)</f>
        <v>1.80147142857143</v>
      </c>
      <c r="T456" s="123"/>
      <c r="U456" s="25"/>
    </row>
    <row r="457" s="989" customFormat="1" spans="1:21">
      <c r="A457" s="1083"/>
      <c r="B457" s="123" t="s">
        <v>3099</v>
      </c>
      <c r="C457" s="123"/>
      <c r="D457" s="123"/>
      <c r="E457" s="123"/>
      <c r="F457" s="26" t="s">
        <v>3100</v>
      </c>
      <c r="G457" s="26"/>
      <c r="H457" s="29"/>
      <c r="I457" s="29"/>
      <c r="J457" s="29"/>
      <c r="K457" s="124"/>
      <c r="L457" s="1062"/>
      <c r="M457" s="124"/>
      <c r="N457" s="124"/>
      <c r="O457" s="31"/>
      <c r="P457" s="31"/>
      <c r="Q457" s="29"/>
      <c r="R457" s="1069"/>
      <c r="S457" s="66"/>
      <c r="T457" s="123"/>
      <c r="U457" s="26"/>
    </row>
    <row r="458" s="989" customFormat="1" ht="15" spans="1:21">
      <c r="A458" s="1083"/>
      <c r="B458" s="123" t="s">
        <v>6417</v>
      </c>
      <c r="C458" s="123"/>
      <c r="D458" s="123"/>
      <c r="E458" s="123"/>
      <c r="F458" s="25" t="s">
        <v>1672</v>
      </c>
      <c r="G458" s="25" t="s">
        <v>1933</v>
      </c>
      <c r="H458" s="29" t="s">
        <v>6418</v>
      </c>
      <c r="I458" s="29" t="s">
        <v>4295</v>
      </c>
      <c r="J458" s="29" t="s">
        <v>1742</v>
      </c>
      <c r="K458" s="1071" t="s">
        <v>712</v>
      </c>
      <c r="L458" s="65">
        <f>3.5*4</f>
        <v>14</v>
      </c>
      <c r="M458" s="124" t="s">
        <v>1428</v>
      </c>
      <c r="N458" s="65">
        <v>6</v>
      </c>
      <c r="O458" s="31">
        <v>4.2</v>
      </c>
      <c r="P458" s="31">
        <v>21.64</v>
      </c>
      <c r="Q458" s="29" t="s">
        <v>1428</v>
      </c>
      <c r="R458" s="1069">
        <v>3.72059880575184</v>
      </c>
      <c r="S458" s="66">
        <f t="shared" ref="S458:S489" si="10">SUM(K458:R458)</f>
        <v>49.5605988057518</v>
      </c>
      <c r="T458" s="123" t="s">
        <v>4296</v>
      </c>
      <c r="U458" s="26" t="s">
        <v>6419</v>
      </c>
    </row>
    <row r="459" s="989" customFormat="1" ht="15" spans="1:21">
      <c r="A459" s="1083"/>
      <c r="B459" s="123"/>
      <c r="C459" s="123"/>
      <c r="D459" s="123"/>
      <c r="E459" s="123"/>
      <c r="F459" s="25" t="s">
        <v>2546</v>
      </c>
      <c r="G459" s="25" t="s">
        <v>1933</v>
      </c>
      <c r="H459" s="29" t="s">
        <v>6420</v>
      </c>
      <c r="I459" s="29" t="s">
        <v>4174</v>
      </c>
      <c r="J459" s="29" t="s">
        <v>1742</v>
      </c>
      <c r="K459" s="124" t="s">
        <v>1428</v>
      </c>
      <c r="L459" s="1062" t="s">
        <v>1428</v>
      </c>
      <c r="M459" s="124" t="s">
        <v>1428</v>
      </c>
      <c r="N459" s="65">
        <v>6</v>
      </c>
      <c r="O459" s="31">
        <v>4.2</v>
      </c>
      <c r="P459" s="31">
        <v>19.18</v>
      </c>
      <c r="Q459" s="29" t="s">
        <v>1428</v>
      </c>
      <c r="R459" s="1069">
        <v>3.72059880575184</v>
      </c>
      <c r="S459" s="66">
        <f t="shared" si="10"/>
        <v>33.1005988057518</v>
      </c>
      <c r="T459" s="123" t="s">
        <v>4175</v>
      </c>
      <c r="U459" s="27" t="s">
        <v>6421</v>
      </c>
    </row>
    <row r="460" s="989" customFormat="1" ht="15" spans="1:21">
      <c r="A460" s="1083"/>
      <c r="B460" s="123"/>
      <c r="C460" s="123"/>
      <c r="D460" s="123"/>
      <c r="E460" s="123"/>
      <c r="F460" s="25" t="s">
        <v>2306</v>
      </c>
      <c r="G460" s="25" t="s">
        <v>1933</v>
      </c>
      <c r="H460" s="29" t="s">
        <v>6418</v>
      </c>
      <c r="I460" s="29" t="s">
        <v>4174</v>
      </c>
      <c r="J460" s="29" t="s">
        <v>1742</v>
      </c>
      <c r="K460" s="1071" t="s">
        <v>712</v>
      </c>
      <c r="L460" s="1062" t="s">
        <v>1428</v>
      </c>
      <c r="M460" s="124" t="s">
        <v>1428</v>
      </c>
      <c r="N460" s="65">
        <v>6</v>
      </c>
      <c r="O460" s="31">
        <v>4.2</v>
      </c>
      <c r="P460" s="31">
        <v>19.23</v>
      </c>
      <c r="Q460" s="29" t="s">
        <v>1428</v>
      </c>
      <c r="R460" s="1069">
        <v>3.72059880575184</v>
      </c>
      <c r="S460" s="66">
        <f t="shared" si="10"/>
        <v>33.1505988057518</v>
      </c>
      <c r="T460" s="123" t="s">
        <v>4175</v>
      </c>
      <c r="U460" s="27" t="s">
        <v>6422</v>
      </c>
    </row>
    <row r="461" s="989" customFormat="1" ht="15" spans="1:21">
      <c r="A461" s="1083"/>
      <c r="B461" s="123"/>
      <c r="C461" s="123"/>
      <c r="D461" s="123"/>
      <c r="E461" s="123"/>
      <c r="F461" s="25" t="s">
        <v>2431</v>
      </c>
      <c r="G461" s="25" t="s">
        <v>1933</v>
      </c>
      <c r="H461" s="29" t="s">
        <v>6423</v>
      </c>
      <c r="I461" s="29" t="s">
        <v>4174</v>
      </c>
      <c r="J461" s="29" t="s">
        <v>1742</v>
      </c>
      <c r="K461" s="124" t="s">
        <v>1428</v>
      </c>
      <c r="L461" s="1062" t="s">
        <v>1428</v>
      </c>
      <c r="M461" s="124" t="s">
        <v>1428</v>
      </c>
      <c r="N461" s="65">
        <v>6</v>
      </c>
      <c r="O461" s="31">
        <v>4.2</v>
      </c>
      <c r="P461" s="31">
        <v>19.23</v>
      </c>
      <c r="Q461" s="29" t="s">
        <v>1428</v>
      </c>
      <c r="R461" s="1069">
        <v>3.72059880575184</v>
      </c>
      <c r="S461" s="66">
        <f t="shared" si="10"/>
        <v>33.1505988057518</v>
      </c>
      <c r="T461" s="123" t="s">
        <v>4175</v>
      </c>
      <c r="U461" s="27" t="s">
        <v>6424</v>
      </c>
    </row>
    <row r="462" s="989" customFormat="1" ht="15" spans="1:21">
      <c r="A462" s="1083"/>
      <c r="B462" s="123"/>
      <c r="C462" s="123"/>
      <c r="D462" s="123"/>
      <c r="E462" s="123"/>
      <c r="F462" s="25" t="s">
        <v>1667</v>
      </c>
      <c r="G462" s="25" t="s">
        <v>1933</v>
      </c>
      <c r="H462" s="29" t="s">
        <v>6420</v>
      </c>
      <c r="I462" s="29" t="s">
        <v>4174</v>
      </c>
      <c r="J462" s="29" t="s">
        <v>1742</v>
      </c>
      <c r="K462" s="124" t="s">
        <v>1428</v>
      </c>
      <c r="L462" s="1062" t="s">
        <v>1428</v>
      </c>
      <c r="M462" s="124" t="s">
        <v>1428</v>
      </c>
      <c r="N462" s="65">
        <v>6</v>
      </c>
      <c r="O462" s="31">
        <v>4.2</v>
      </c>
      <c r="P462" s="31">
        <v>19.79</v>
      </c>
      <c r="Q462" s="29" t="s">
        <v>1428</v>
      </c>
      <c r="R462" s="1069">
        <v>3.74144249654037</v>
      </c>
      <c r="S462" s="66">
        <f t="shared" si="10"/>
        <v>33.7314424965404</v>
      </c>
      <c r="T462" s="123" t="s">
        <v>4175</v>
      </c>
      <c r="U462" s="27" t="s">
        <v>6425</v>
      </c>
    </row>
    <row r="463" s="991" customFormat="1" spans="1:21">
      <c r="A463" s="1061"/>
      <c r="B463" s="1040"/>
      <c r="C463" s="123"/>
      <c r="D463" s="123"/>
      <c r="E463" s="123"/>
      <c r="F463" s="26" t="s">
        <v>515</v>
      </c>
      <c r="G463" s="25"/>
      <c r="H463" s="25"/>
      <c r="I463" s="25"/>
      <c r="J463" s="25"/>
      <c r="K463" s="159"/>
      <c r="L463" s="1094"/>
      <c r="M463" s="159"/>
      <c r="N463" s="159"/>
      <c r="O463" s="31">
        <v>0.48</v>
      </c>
      <c r="P463" s="31">
        <v>0.952380952380953</v>
      </c>
      <c r="Q463" s="29" t="s">
        <v>1428</v>
      </c>
      <c r="R463" s="66">
        <v>0.2</v>
      </c>
      <c r="S463" s="66">
        <f t="shared" si="10"/>
        <v>1.63238095238095</v>
      </c>
      <c r="T463" s="25"/>
      <c r="U463" s="25"/>
    </row>
    <row r="464" s="989" customFormat="1" ht="14.15" customHeight="1" spans="1:21">
      <c r="A464" s="1083"/>
      <c r="B464" s="1040"/>
      <c r="C464" s="123"/>
      <c r="D464" s="123"/>
      <c r="E464" s="123"/>
      <c r="F464" s="25" t="s">
        <v>867</v>
      </c>
      <c r="G464" s="25"/>
      <c r="H464" s="29"/>
      <c r="I464" s="29"/>
      <c r="J464" s="29"/>
      <c r="K464" s="124"/>
      <c r="L464" s="1062"/>
      <c r="M464" s="124"/>
      <c r="N464" s="124"/>
      <c r="O464" s="31">
        <v>0.354679802955665</v>
      </c>
      <c r="P464" s="31">
        <v>0.562983814215341</v>
      </c>
      <c r="Q464" s="29" t="s">
        <v>1428</v>
      </c>
      <c r="R464" s="66">
        <v>0.4</v>
      </c>
      <c r="S464" s="66">
        <f t="shared" si="10"/>
        <v>1.31766361717101</v>
      </c>
      <c r="T464" s="123"/>
      <c r="U464" s="27"/>
    </row>
    <row r="465" s="989" customFormat="1" ht="15" spans="1:21">
      <c r="A465" s="1061"/>
      <c r="B465" s="123" t="s">
        <v>6426</v>
      </c>
      <c r="C465" s="123"/>
      <c r="D465" s="123"/>
      <c r="E465" s="123"/>
      <c r="F465" s="26" t="s">
        <v>1629</v>
      </c>
      <c r="G465" s="25" t="s">
        <v>1933</v>
      </c>
      <c r="H465" s="29" t="s">
        <v>6423</v>
      </c>
      <c r="I465" s="29" t="s">
        <v>3432</v>
      </c>
      <c r="J465" s="29" t="s">
        <v>1742</v>
      </c>
      <c r="K465" s="124" t="s">
        <v>1428</v>
      </c>
      <c r="L465" s="1005" t="s">
        <v>1428</v>
      </c>
      <c r="M465" s="124" t="s">
        <v>1428</v>
      </c>
      <c r="N465" s="65">
        <v>6</v>
      </c>
      <c r="O465" s="31">
        <v>6.38423645320197</v>
      </c>
      <c r="P465" s="31">
        <v>17.8817733990148</v>
      </c>
      <c r="Q465" s="29" t="s">
        <v>1428</v>
      </c>
      <c r="R465" s="1069">
        <v>3.7361013007758</v>
      </c>
      <c r="S465" s="66">
        <f t="shared" si="10"/>
        <v>34.0021111529926</v>
      </c>
      <c r="T465" s="123" t="s">
        <v>3719</v>
      </c>
      <c r="U465" s="1075" t="s">
        <v>6427</v>
      </c>
    </row>
    <row r="466" s="989" customFormat="1" ht="15" customHeight="1" spans="1:21">
      <c r="A466" s="1061"/>
      <c r="B466" s="1040"/>
      <c r="C466" s="123"/>
      <c r="D466" s="123"/>
      <c r="E466" s="123"/>
      <c r="F466" s="27" t="s">
        <v>396</v>
      </c>
      <c r="G466" s="26"/>
      <c r="H466" s="29"/>
      <c r="I466" s="29"/>
      <c r="J466" s="29"/>
      <c r="K466" s="124"/>
      <c r="L466" s="1062"/>
      <c r="M466" s="124"/>
      <c r="N466" s="124"/>
      <c r="O466" s="31">
        <v>0.403940886699507</v>
      </c>
      <c r="P466" s="31">
        <v>2.16748768472906</v>
      </c>
      <c r="Q466" s="29" t="s">
        <v>1428</v>
      </c>
      <c r="R466" s="66">
        <v>0.2</v>
      </c>
      <c r="S466" s="66">
        <f t="shared" si="10"/>
        <v>2.77142857142857</v>
      </c>
      <c r="T466" s="1015"/>
      <c r="U466" s="25"/>
    </row>
    <row r="467" s="989" customFormat="1" spans="1:21">
      <c r="A467" s="1061"/>
      <c r="B467" s="123"/>
      <c r="C467" s="123"/>
      <c r="D467" s="123"/>
      <c r="E467" s="123"/>
      <c r="F467" s="26" t="s">
        <v>402</v>
      </c>
      <c r="G467" s="26"/>
      <c r="H467" s="29"/>
      <c r="I467" s="29"/>
      <c r="J467" s="29"/>
      <c r="K467" s="124"/>
      <c r="L467" s="1062"/>
      <c r="M467" s="124"/>
      <c r="N467" s="124"/>
      <c r="O467" s="31">
        <v>0.363</v>
      </c>
      <c r="P467" s="31">
        <v>1.39047619047619</v>
      </c>
      <c r="Q467" s="29" t="s">
        <v>1428</v>
      </c>
      <c r="R467" s="66">
        <v>0.2</v>
      </c>
      <c r="S467" s="66">
        <f t="shared" si="10"/>
        <v>1.95347619047619</v>
      </c>
      <c r="T467" s="1015"/>
      <c r="U467" s="25"/>
    </row>
    <row r="468" s="989" customFormat="1" spans="1:21">
      <c r="A468" s="1061"/>
      <c r="B468" s="123"/>
      <c r="C468" s="123"/>
      <c r="D468" s="123"/>
      <c r="E468" s="123"/>
      <c r="F468" s="26" t="s">
        <v>477</v>
      </c>
      <c r="G468" s="26"/>
      <c r="H468" s="29"/>
      <c r="I468" s="29"/>
      <c r="J468" s="29"/>
      <c r="K468" s="124"/>
      <c r="L468" s="1062"/>
      <c r="M468" s="124"/>
      <c r="N468" s="124"/>
      <c r="O468" s="31">
        <v>0.23694</v>
      </c>
      <c r="P468" s="31">
        <v>1.4607619047619</v>
      </c>
      <c r="Q468" s="29" t="s">
        <v>1428</v>
      </c>
      <c r="R468" s="66">
        <v>0.2</v>
      </c>
      <c r="S468" s="66">
        <f t="shared" si="10"/>
        <v>1.8977019047619</v>
      </c>
      <c r="T468" s="123"/>
      <c r="U468" s="25"/>
    </row>
    <row r="469" s="989" customFormat="1" ht="14" customHeight="1" spans="1:21">
      <c r="A469" s="1061"/>
      <c r="B469" s="123" t="s">
        <v>6428</v>
      </c>
      <c r="C469" s="123"/>
      <c r="D469" s="123"/>
      <c r="E469" s="123"/>
      <c r="F469" s="26" t="s">
        <v>2546</v>
      </c>
      <c r="G469" s="26" t="s">
        <v>1933</v>
      </c>
      <c r="H469" s="29" t="s">
        <v>6429</v>
      </c>
      <c r="I469" s="29" t="s">
        <v>1913</v>
      </c>
      <c r="J469" s="29" t="s">
        <v>1428</v>
      </c>
      <c r="K469" s="124" t="s">
        <v>1428</v>
      </c>
      <c r="L469" s="1062" t="s">
        <v>1428</v>
      </c>
      <c r="M469" s="124" t="s">
        <v>1428</v>
      </c>
      <c r="N469" s="124" t="s">
        <v>1428</v>
      </c>
      <c r="O469" s="31">
        <v>8.40066692317558</v>
      </c>
      <c r="P469" s="31">
        <v>27.3184439332132</v>
      </c>
      <c r="Q469" s="29" t="s">
        <v>1428</v>
      </c>
      <c r="R469" s="31">
        <v>0.299570646431658</v>
      </c>
      <c r="S469" s="66">
        <f t="shared" si="10"/>
        <v>36.0186815028204</v>
      </c>
      <c r="T469" s="123" t="s">
        <v>6430</v>
      </c>
      <c r="U469" s="1075" t="s">
        <v>6431</v>
      </c>
    </row>
    <row r="470" s="989" customFormat="1" ht="30" spans="1:21">
      <c r="A470" s="1061"/>
      <c r="B470" s="123"/>
      <c r="C470" s="123"/>
      <c r="D470" s="123"/>
      <c r="E470" s="123"/>
      <c r="F470" s="26" t="s">
        <v>667</v>
      </c>
      <c r="G470" s="25" t="s">
        <v>1933</v>
      </c>
      <c r="H470" s="29" t="s">
        <v>6429</v>
      </c>
      <c r="I470" s="29" t="s">
        <v>1913</v>
      </c>
      <c r="J470" s="29" t="s">
        <v>1428</v>
      </c>
      <c r="K470" s="124" t="s">
        <v>1428</v>
      </c>
      <c r="L470" s="1062" t="s">
        <v>1428</v>
      </c>
      <c r="M470" s="124" t="s">
        <v>1428</v>
      </c>
      <c r="N470" s="124" t="s">
        <v>1428</v>
      </c>
      <c r="O470" s="31">
        <v>8.40066692317558</v>
      </c>
      <c r="P470" s="31">
        <v>29.0196601840939</v>
      </c>
      <c r="Q470" s="29" t="s">
        <v>1428</v>
      </c>
      <c r="R470" s="31">
        <v>0.299570646431658</v>
      </c>
      <c r="S470" s="66">
        <f t="shared" si="10"/>
        <v>37.7198977537011</v>
      </c>
      <c r="T470" s="123" t="s">
        <v>6430</v>
      </c>
      <c r="U470" s="1064" t="s">
        <v>6432</v>
      </c>
    </row>
    <row r="471" s="989" customFormat="1" spans="1:21">
      <c r="A471" s="1061"/>
      <c r="B471" s="1039"/>
      <c r="C471" s="123"/>
      <c r="D471" s="123"/>
      <c r="E471" s="123"/>
      <c r="F471" s="26" t="s">
        <v>6433</v>
      </c>
      <c r="G471" s="25"/>
      <c r="H471" s="29"/>
      <c r="I471" s="29"/>
      <c r="J471" s="29"/>
      <c r="K471" s="124"/>
      <c r="L471" s="1062"/>
      <c r="M471" s="124"/>
      <c r="N471" s="124"/>
      <c r="O471" s="31">
        <v>0.31</v>
      </c>
      <c r="P471" s="31">
        <v>0.104761904761904</v>
      </c>
      <c r="Q471" s="29" t="s">
        <v>1428</v>
      </c>
      <c r="R471" s="66">
        <v>0.4</v>
      </c>
      <c r="S471" s="66">
        <f t="shared" si="10"/>
        <v>0.814761904761904</v>
      </c>
      <c r="T471" s="123"/>
      <c r="U471" s="26"/>
    </row>
    <row r="472" s="989" customFormat="1" spans="1:21">
      <c r="A472" s="1061"/>
      <c r="B472" s="1039"/>
      <c r="C472" s="123"/>
      <c r="D472" s="123"/>
      <c r="E472" s="123"/>
      <c r="F472" s="26" t="s">
        <v>6434</v>
      </c>
      <c r="G472" s="25"/>
      <c r="H472" s="29"/>
      <c r="I472" s="29"/>
      <c r="J472" s="29"/>
      <c r="K472" s="124"/>
      <c r="L472" s="1062"/>
      <c r="M472" s="124"/>
      <c r="N472" s="124"/>
      <c r="O472" s="31">
        <v>0.11</v>
      </c>
      <c r="P472" s="31">
        <v>0.2</v>
      </c>
      <c r="Q472" s="29" t="s">
        <v>1428</v>
      </c>
      <c r="R472" s="66">
        <v>0.4</v>
      </c>
      <c r="S472" s="66">
        <f t="shared" si="10"/>
        <v>0.71</v>
      </c>
      <c r="T472" s="123"/>
      <c r="U472" s="26"/>
    </row>
    <row r="473" s="989" customFormat="1" spans="1:21">
      <c r="A473" s="1061"/>
      <c r="B473" s="1039"/>
      <c r="C473" s="123"/>
      <c r="D473" s="123"/>
      <c r="E473" s="123"/>
      <c r="F473" s="26" t="s">
        <v>6435</v>
      </c>
      <c r="G473" s="25"/>
      <c r="H473" s="29"/>
      <c r="I473" s="29"/>
      <c r="J473" s="29"/>
      <c r="K473" s="124"/>
      <c r="L473" s="1062"/>
      <c r="M473" s="124"/>
      <c r="N473" s="124"/>
      <c r="O473" s="31">
        <v>0.35</v>
      </c>
      <c r="P473" s="31">
        <v>0.476190476190476</v>
      </c>
      <c r="Q473" s="29" t="s">
        <v>1428</v>
      </c>
      <c r="R473" s="66">
        <v>0.2</v>
      </c>
      <c r="S473" s="66">
        <f t="shared" si="10"/>
        <v>1.02619047619048</v>
      </c>
      <c r="T473" s="123"/>
      <c r="U473" s="26"/>
    </row>
    <row r="474" s="989" customFormat="1" spans="1:21">
      <c r="A474" s="1061"/>
      <c r="B474" s="1040"/>
      <c r="C474" s="123"/>
      <c r="D474" s="123"/>
      <c r="E474" s="123"/>
      <c r="F474" s="26" t="s">
        <v>6436</v>
      </c>
      <c r="G474" s="25"/>
      <c r="H474" s="29"/>
      <c r="I474" s="29"/>
      <c r="J474" s="29"/>
      <c r="K474" s="124"/>
      <c r="L474" s="1062"/>
      <c r="M474" s="124"/>
      <c r="N474" s="124"/>
      <c r="O474" s="31">
        <v>0.407</v>
      </c>
      <c r="P474" s="31">
        <v>0.466666666666667</v>
      </c>
      <c r="Q474" s="29" t="s">
        <v>1428</v>
      </c>
      <c r="R474" s="66">
        <v>0.2</v>
      </c>
      <c r="S474" s="66">
        <f t="shared" si="10"/>
        <v>1.07366666666667</v>
      </c>
      <c r="T474" s="123"/>
      <c r="U474" s="26"/>
    </row>
    <row r="475" s="989" customFormat="1" ht="15" spans="1:21">
      <c r="A475" s="1061"/>
      <c r="B475" s="123" t="s">
        <v>6437</v>
      </c>
      <c r="C475" s="123"/>
      <c r="D475" s="123"/>
      <c r="E475" s="123"/>
      <c r="F475" s="25" t="s">
        <v>1629</v>
      </c>
      <c r="G475" s="25" t="s">
        <v>1933</v>
      </c>
      <c r="H475" s="29" t="s">
        <v>6423</v>
      </c>
      <c r="I475" s="29" t="s">
        <v>4174</v>
      </c>
      <c r="J475" s="29" t="s">
        <v>1742</v>
      </c>
      <c r="K475" s="124" t="s">
        <v>1428</v>
      </c>
      <c r="L475" s="1062" t="s">
        <v>1428</v>
      </c>
      <c r="M475" s="124" t="s">
        <v>1428</v>
      </c>
      <c r="N475" s="65">
        <v>6</v>
      </c>
      <c r="O475" s="31">
        <v>4.58128078817734</v>
      </c>
      <c r="P475" s="31">
        <v>18.9162561576355</v>
      </c>
      <c r="Q475" s="29" t="s">
        <v>1428</v>
      </c>
      <c r="R475" s="31">
        <v>3.088097008774</v>
      </c>
      <c r="S475" s="66">
        <f t="shared" si="10"/>
        <v>32.5856339545868</v>
      </c>
      <c r="T475" s="123" t="s">
        <v>4175</v>
      </c>
      <c r="U475" s="27" t="s">
        <v>6438</v>
      </c>
    </row>
    <row r="476" s="989" customFormat="1" ht="15" spans="1:21">
      <c r="A476" s="1061"/>
      <c r="B476" s="123"/>
      <c r="C476" s="123"/>
      <c r="D476" s="123"/>
      <c r="E476" s="123"/>
      <c r="F476" s="25" t="s">
        <v>1581</v>
      </c>
      <c r="G476" s="25" t="s">
        <v>1933</v>
      </c>
      <c r="H476" s="29" t="s">
        <v>6423</v>
      </c>
      <c r="I476" s="29" t="s">
        <v>3436</v>
      </c>
      <c r="J476" s="29" t="s">
        <v>1742</v>
      </c>
      <c r="K476" s="124" t="s">
        <v>1428</v>
      </c>
      <c r="L476" s="1062" t="s">
        <v>1428</v>
      </c>
      <c r="M476" s="124" t="s">
        <v>1428</v>
      </c>
      <c r="N476" s="65">
        <v>6</v>
      </c>
      <c r="O476" s="31">
        <v>4.58128078817734</v>
      </c>
      <c r="P476" s="31">
        <v>17.3891625615764</v>
      </c>
      <c r="Q476" s="29" t="s">
        <v>1428</v>
      </c>
      <c r="R476" s="31">
        <v>3.088097008774</v>
      </c>
      <c r="S476" s="66">
        <f t="shared" si="10"/>
        <v>31.0585403585277</v>
      </c>
      <c r="T476" s="123" t="s">
        <v>4175</v>
      </c>
      <c r="U476" s="27" t="s">
        <v>6439</v>
      </c>
    </row>
    <row r="477" s="989" customFormat="1" spans="1:21">
      <c r="A477" s="1061"/>
      <c r="B477" s="1040"/>
      <c r="C477" s="123"/>
      <c r="D477" s="123"/>
      <c r="E477" s="123"/>
      <c r="F477" s="25" t="s">
        <v>6286</v>
      </c>
      <c r="G477" s="25"/>
      <c r="H477" s="29"/>
      <c r="I477" s="29"/>
      <c r="J477" s="29"/>
      <c r="K477" s="124"/>
      <c r="L477" s="1062"/>
      <c r="M477" s="124"/>
      <c r="N477" s="124"/>
      <c r="O477" s="31">
        <v>0.955665024630542</v>
      </c>
      <c r="P477" s="31">
        <v>1.53694581280788</v>
      </c>
      <c r="Q477" s="29" t="s">
        <v>1428</v>
      </c>
      <c r="R477" s="66">
        <v>0.2</v>
      </c>
      <c r="S477" s="66">
        <f t="shared" si="10"/>
        <v>2.69261083743842</v>
      </c>
      <c r="T477" s="123"/>
      <c r="U477" s="27"/>
    </row>
    <row r="478" s="990" customFormat="1" ht="15" customHeight="1" spans="1:21">
      <c r="A478" s="1061"/>
      <c r="B478" s="123"/>
      <c r="C478" s="123"/>
      <c r="D478" s="123"/>
      <c r="E478" s="123"/>
      <c r="F478" s="123" t="s">
        <v>6343</v>
      </c>
      <c r="G478" s="123"/>
      <c r="H478" s="29" t="s">
        <v>1428</v>
      </c>
      <c r="I478" s="29" t="s">
        <v>1428</v>
      </c>
      <c r="J478" s="29" t="s">
        <v>1428</v>
      </c>
      <c r="K478" s="124"/>
      <c r="L478" s="1062"/>
      <c r="M478" s="124"/>
      <c r="N478" s="124"/>
      <c r="O478" s="31">
        <v>0.31625</v>
      </c>
      <c r="P478" s="31">
        <v>0.990476190476187</v>
      </c>
      <c r="Q478" s="29" t="s">
        <v>1428</v>
      </c>
      <c r="R478" s="66">
        <v>0.4</v>
      </c>
      <c r="S478" s="66">
        <f t="shared" si="10"/>
        <v>1.70672619047619</v>
      </c>
      <c r="T478" s="123"/>
      <c r="U478" s="1092"/>
    </row>
    <row r="479" s="989" customFormat="1" ht="15" spans="1:21">
      <c r="A479" s="1061"/>
      <c r="B479" s="123" t="s">
        <v>6440</v>
      </c>
      <c r="C479" s="123"/>
      <c r="D479" s="123"/>
      <c r="E479" s="123"/>
      <c r="F479" s="123" t="s">
        <v>1558</v>
      </c>
      <c r="G479" s="25" t="s">
        <v>1933</v>
      </c>
      <c r="H479" s="29" t="s">
        <v>6423</v>
      </c>
      <c r="I479" s="29" t="s">
        <v>4295</v>
      </c>
      <c r="J479" s="29" t="s">
        <v>1742</v>
      </c>
      <c r="K479" s="124" t="s">
        <v>1428</v>
      </c>
      <c r="L479" s="1062">
        <f>3*4</f>
        <v>12</v>
      </c>
      <c r="M479" s="124" t="s">
        <v>1428</v>
      </c>
      <c r="N479" s="65">
        <v>6</v>
      </c>
      <c r="O479" s="31">
        <v>5.4679802955665</v>
      </c>
      <c r="P479" s="31">
        <v>19.487684729064</v>
      </c>
      <c r="Q479" s="29" t="s">
        <v>1428</v>
      </c>
      <c r="R479" s="31">
        <v>2.96991011472732</v>
      </c>
      <c r="S479" s="66">
        <f t="shared" si="10"/>
        <v>45.9255751393578</v>
      </c>
      <c r="T479" s="123" t="s">
        <v>6441</v>
      </c>
      <c r="U479" s="25" t="s">
        <v>6442</v>
      </c>
    </row>
    <row r="480" s="991" customFormat="1" spans="1:21">
      <c r="A480" s="1061"/>
      <c r="B480" s="1039"/>
      <c r="C480" s="123"/>
      <c r="D480" s="123"/>
      <c r="E480" s="123"/>
      <c r="F480" s="1021" t="s">
        <v>6369</v>
      </c>
      <c r="G480" s="1021"/>
      <c r="H480" s="29"/>
      <c r="I480" s="29"/>
      <c r="J480" s="27"/>
      <c r="K480" s="1086"/>
      <c r="L480" s="1088"/>
      <c r="M480" s="1089"/>
      <c r="N480" s="1086"/>
      <c r="O480" s="31">
        <v>0.66</v>
      </c>
      <c r="P480" s="31">
        <v>4.66666666666667</v>
      </c>
      <c r="Q480" s="29" t="s">
        <v>1428</v>
      </c>
      <c r="R480" s="66">
        <v>0.4</v>
      </c>
      <c r="S480" s="66">
        <f t="shared" si="10"/>
        <v>5.72666666666667</v>
      </c>
      <c r="T480" s="27"/>
      <c r="U480" s="26" t="s">
        <v>346</v>
      </c>
    </row>
    <row r="481" s="991" customFormat="1" spans="1:21">
      <c r="A481" s="1061"/>
      <c r="B481" s="1039"/>
      <c r="C481" s="123"/>
      <c r="D481" s="123"/>
      <c r="E481" s="123"/>
      <c r="F481" s="1021" t="s">
        <v>6370</v>
      </c>
      <c r="G481" s="1021"/>
      <c r="H481" s="29"/>
      <c r="I481" s="29"/>
      <c r="J481" s="27"/>
      <c r="K481" s="1086"/>
      <c r="L481" s="1088"/>
      <c r="M481" s="1089"/>
      <c r="N481" s="1086"/>
      <c r="O481" s="31">
        <v>0.23</v>
      </c>
      <c r="P481" s="31">
        <v>0.666666666666667</v>
      </c>
      <c r="Q481" s="29" t="s">
        <v>1428</v>
      </c>
      <c r="R481" s="66">
        <v>0.4</v>
      </c>
      <c r="S481" s="66">
        <f t="shared" si="10"/>
        <v>1.29666666666667</v>
      </c>
      <c r="T481" s="27"/>
      <c r="U481" s="26"/>
    </row>
    <row r="482" s="989" customFormat="1" ht="18" customHeight="1" spans="1:21">
      <c r="A482" s="1061"/>
      <c r="B482" s="123"/>
      <c r="C482" s="123"/>
      <c r="D482" s="123"/>
      <c r="E482" s="123" t="s">
        <v>2905</v>
      </c>
      <c r="F482" s="123" t="s">
        <v>6443</v>
      </c>
      <c r="G482" s="26"/>
      <c r="H482" s="29"/>
      <c r="I482" s="29"/>
      <c r="J482" s="123"/>
      <c r="K482" s="124"/>
      <c r="L482" s="1062"/>
      <c r="M482" s="124"/>
      <c r="N482" s="124"/>
      <c r="O482" s="31">
        <v>0.14</v>
      </c>
      <c r="P482" s="31">
        <v>2.28571428571429</v>
      </c>
      <c r="Q482" s="29" t="s">
        <v>1428</v>
      </c>
      <c r="R482" s="66">
        <v>0.4</v>
      </c>
      <c r="S482" s="66">
        <f t="shared" si="10"/>
        <v>2.82571428571429</v>
      </c>
      <c r="T482" s="123"/>
      <c r="U482" s="1064"/>
    </row>
    <row r="483" s="989" customFormat="1" ht="17" customHeight="1" spans="1:21">
      <c r="A483" s="1061"/>
      <c r="B483" s="123"/>
      <c r="C483" s="123"/>
      <c r="D483" s="123"/>
      <c r="E483" s="123"/>
      <c r="F483" s="123" t="s">
        <v>6444</v>
      </c>
      <c r="G483" s="27"/>
      <c r="H483" s="29"/>
      <c r="I483" s="29"/>
      <c r="J483" s="29"/>
      <c r="K483" s="124"/>
      <c r="L483" s="1062"/>
      <c r="M483" s="124"/>
      <c r="N483" s="124"/>
      <c r="O483" s="31">
        <v>1.10935</v>
      </c>
      <c r="P483" s="31">
        <v>2.44761904761904</v>
      </c>
      <c r="Q483" s="29" t="s">
        <v>1428</v>
      </c>
      <c r="R483" s="66">
        <v>0.4</v>
      </c>
      <c r="S483" s="66">
        <f t="shared" si="10"/>
        <v>3.95696904761904</v>
      </c>
      <c r="T483" s="157"/>
      <c r="U483" s="26"/>
    </row>
    <row r="484" s="989" customFormat="1" ht="17" customHeight="1" spans="1:21">
      <c r="A484" s="1061"/>
      <c r="B484" s="123"/>
      <c r="C484" s="123"/>
      <c r="D484" s="123"/>
      <c r="E484" s="123"/>
      <c r="F484" s="27" t="s">
        <v>6375</v>
      </c>
      <c r="G484" s="27"/>
      <c r="H484" s="29"/>
      <c r="I484" s="29"/>
      <c r="J484" s="28"/>
      <c r="K484" s="124"/>
      <c r="L484" s="1090"/>
      <c r="M484" s="1091"/>
      <c r="N484" s="1091"/>
      <c r="O484" s="31">
        <v>0.08965</v>
      </c>
      <c r="P484" s="31">
        <v>1.76190476190476</v>
      </c>
      <c r="Q484" s="29" t="s">
        <v>1428</v>
      </c>
      <c r="R484" s="66">
        <v>0.4</v>
      </c>
      <c r="S484" s="66">
        <f t="shared" si="10"/>
        <v>2.25155476190476</v>
      </c>
      <c r="T484" s="1092"/>
      <c r="U484" s="26"/>
    </row>
    <row r="485" s="989" customFormat="1" ht="17" customHeight="1" spans="1:21">
      <c r="A485" s="1061"/>
      <c r="B485" s="123"/>
      <c r="C485" s="123"/>
      <c r="D485" s="123"/>
      <c r="E485" s="123"/>
      <c r="F485" s="27" t="s">
        <v>6374</v>
      </c>
      <c r="G485" s="27"/>
      <c r="H485" s="29"/>
      <c r="I485" s="29"/>
      <c r="J485" s="28"/>
      <c r="K485" s="124"/>
      <c r="L485" s="1090"/>
      <c r="M485" s="1091"/>
      <c r="N485" s="1091"/>
      <c r="O485" s="31">
        <v>1.089</v>
      </c>
      <c r="P485" s="31">
        <v>2.32380952380953</v>
      </c>
      <c r="Q485" s="29"/>
      <c r="R485" s="66">
        <v>0.4</v>
      </c>
      <c r="S485" s="66">
        <f t="shared" si="10"/>
        <v>3.81280952380953</v>
      </c>
      <c r="T485" s="1092"/>
      <c r="U485" s="26"/>
    </row>
    <row r="486" s="989" customFormat="1" ht="17" customHeight="1" spans="1:21">
      <c r="A486" s="1061"/>
      <c r="B486" s="1037" t="s">
        <v>6445</v>
      </c>
      <c r="C486" s="123"/>
      <c r="D486" s="123"/>
      <c r="E486" s="123"/>
      <c r="F486" s="1035" t="s">
        <v>1604</v>
      </c>
      <c r="G486" s="27" t="s">
        <v>1933</v>
      </c>
      <c r="H486" s="29" t="s">
        <v>6420</v>
      </c>
      <c r="I486" s="29" t="s">
        <v>3432</v>
      </c>
      <c r="J486" s="28" t="s">
        <v>1720</v>
      </c>
      <c r="K486" s="124" t="s">
        <v>1428</v>
      </c>
      <c r="L486" s="1062">
        <f>10.5*2</f>
        <v>21</v>
      </c>
      <c r="M486" s="1091" t="s">
        <v>1428</v>
      </c>
      <c r="N486" s="1096">
        <v>2.3</v>
      </c>
      <c r="O486" s="31">
        <v>3.78403210986992</v>
      </c>
      <c r="P486" s="31">
        <v>12.753998012393</v>
      </c>
      <c r="Q486" s="29" t="s">
        <v>1428</v>
      </c>
      <c r="R486" s="31">
        <v>3.74144249654037</v>
      </c>
      <c r="S486" s="66">
        <f t="shared" si="10"/>
        <v>43.5794726188033</v>
      </c>
      <c r="T486" s="157" t="s">
        <v>3719</v>
      </c>
      <c r="U486" s="25" t="s">
        <v>6446</v>
      </c>
    </row>
    <row r="487" s="990" customFormat="1" ht="15" customHeight="1" spans="1:21">
      <c r="A487" s="1061"/>
      <c r="B487" s="1040"/>
      <c r="C487" s="123"/>
      <c r="D487" s="123"/>
      <c r="E487" s="123"/>
      <c r="F487" s="1073" t="s">
        <v>1571</v>
      </c>
      <c r="G487" s="123" t="s">
        <v>3540</v>
      </c>
      <c r="H487" s="2942" t="s">
        <v>6447</v>
      </c>
      <c r="I487" s="29" t="s">
        <v>3432</v>
      </c>
      <c r="J487" s="29" t="s">
        <v>3787</v>
      </c>
      <c r="K487" s="124" t="s">
        <v>1428</v>
      </c>
      <c r="L487" s="1005" t="s">
        <v>1428</v>
      </c>
      <c r="M487" s="1091" t="s">
        <v>1428</v>
      </c>
      <c r="N487" s="124">
        <v>3.5</v>
      </c>
      <c r="O487" s="31">
        <v>4.63054187192118</v>
      </c>
      <c r="P487" s="31">
        <v>13.8325123152709</v>
      </c>
      <c r="Q487" s="29" t="s">
        <v>1428</v>
      </c>
      <c r="R487" s="31">
        <v>3.74144249654037</v>
      </c>
      <c r="S487" s="66">
        <f t="shared" si="10"/>
        <v>25.7044966837324</v>
      </c>
      <c r="T487" s="123" t="s">
        <v>3719</v>
      </c>
      <c r="U487" s="157" t="s">
        <v>6448</v>
      </c>
    </row>
    <row r="488" s="989" customFormat="1" ht="15" customHeight="1" spans="1:21">
      <c r="A488" s="1061"/>
      <c r="B488" s="123" t="s">
        <v>5949</v>
      </c>
      <c r="C488" s="123"/>
      <c r="D488" s="123"/>
      <c r="E488" s="123"/>
      <c r="F488" s="26" t="s">
        <v>1558</v>
      </c>
      <c r="G488" s="25" t="s">
        <v>1933</v>
      </c>
      <c r="H488" s="29" t="s">
        <v>6449</v>
      </c>
      <c r="I488" s="31" t="s">
        <v>6450</v>
      </c>
      <c r="J488" s="29" t="s">
        <v>2955</v>
      </c>
      <c r="K488" s="124" t="s">
        <v>1428</v>
      </c>
      <c r="L488" s="1062" t="s">
        <v>1428</v>
      </c>
      <c r="M488" s="124" t="s">
        <v>1428</v>
      </c>
      <c r="N488" s="1095" t="s">
        <v>1428</v>
      </c>
      <c r="O488" s="31">
        <v>4.74884706468902</v>
      </c>
      <c r="P488" s="31">
        <v>13.1751989777814</v>
      </c>
      <c r="Q488" s="29" t="s">
        <v>1428</v>
      </c>
      <c r="R488" s="31">
        <v>2.8648610804289</v>
      </c>
      <c r="S488" s="66">
        <f t="shared" si="10"/>
        <v>20.7889071228993</v>
      </c>
      <c r="T488" s="1041" t="s">
        <v>5945</v>
      </c>
      <c r="U488" s="25" t="s">
        <v>6451</v>
      </c>
    </row>
    <row r="489" s="989" customFormat="1" ht="15" spans="1:21">
      <c r="A489" s="1061"/>
      <c r="B489" s="1037" t="s">
        <v>5974</v>
      </c>
      <c r="C489" s="123"/>
      <c r="D489" s="123"/>
      <c r="E489" s="123"/>
      <c r="F489" s="26" t="s">
        <v>1571</v>
      </c>
      <c r="G489" s="25" t="s">
        <v>1933</v>
      </c>
      <c r="H489" s="29" t="s">
        <v>6452</v>
      </c>
      <c r="I489" s="29" t="s">
        <v>1913</v>
      </c>
      <c r="J489" s="29" t="s">
        <v>6453</v>
      </c>
      <c r="K489" s="1071" t="s">
        <v>712</v>
      </c>
      <c r="L489" s="1062" t="s">
        <v>1428</v>
      </c>
      <c r="M489" s="124" t="s">
        <v>1428</v>
      </c>
      <c r="N489" s="1086" t="s">
        <v>1428</v>
      </c>
      <c r="O489" s="31">
        <v>5.04218975097757</v>
      </c>
      <c r="P489" s="31">
        <v>16.6041632476929</v>
      </c>
      <c r="Q489" s="29" t="s">
        <v>1428</v>
      </c>
      <c r="R489" s="31">
        <v>2.8648610804289</v>
      </c>
      <c r="S489" s="66">
        <f t="shared" si="10"/>
        <v>24.5112140790994</v>
      </c>
      <c r="T489" s="25" t="s">
        <v>2854</v>
      </c>
      <c r="U489" s="25" t="s">
        <v>6454</v>
      </c>
    </row>
    <row r="490" s="989" customFormat="1" spans="1:21">
      <c r="A490" s="1061"/>
      <c r="B490" s="1040"/>
      <c r="C490" s="123"/>
      <c r="D490" s="123"/>
      <c r="E490" s="123"/>
      <c r="F490" s="26" t="s">
        <v>6455</v>
      </c>
      <c r="G490" s="25"/>
      <c r="H490" s="29"/>
      <c r="I490" s="29"/>
      <c r="J490" s="29"/>
      <c r="K490" s="124"/>
      <c r="L490" s="1062"/>
      <c r="M490" s="124"/>
      <c r="N490" s="124"/>
      <c r="O490" s="31">
        <v>0.798029556650246</v>
      </c>
      <c r="P490" s="31">
        <v>3.55665024630542</v>
      </c>
      <c r="Q490" s="29" t="s">
        <v>1428</v>
      </c>
      <c r="R490" s="1069">
        <v>0.4</v>
      </c>
      <c r="S490" s="66">
        <v>4.75467980295567</v>
      </c>
      <c r="T490" s="25"/>
      <c r="U490" s="25"/>
    </row>
    <row r="491" s="989" customFormat="1" ht="15" spans="1:21">
      <c r="A491" s="1061"/>
      <c r="B491" s="1015" t="s">
        <v>6456</v>
      </c>
      <c r="C491" s="123"/>
      <c r="D491" s="123"/>
      <c r="E491" s="123"/>
      <c r="F491" s="26" t="s">
        <v>1629</v>
      </c>
      <c r="G491" s="31" t="s">
        <v>1428</v>
      </c>
      <c r="H491" s="31" t="s">
        <v>1428</v>
      </c>
      <c r="I491" s="29" t="s">
        <v>3436</v>
      </c>
      <c r="J491" s="31" t="s">
        <v>1428</v>
      </c>
      <c r="K491" s="29" t="s">
        <v>1428</v>
      </c>
      <c r="L491" s="1062" t="s">
        <v>1428</v>
      </c>
      <c r="M491" s="29" t="s">
        <v>1428</v>
      </c>
      <c r="N491" s="29" t="s">
        <v>1428</v>
      </c>
      <c r="O491" s="66">
        <v>2.728</v>
      </c>
      <c r="P491" s="66">
        <v>7.19504761904762</v>
      </c>
      <c r="Q491" s="66" t="s">
        <v>1428</v>
      </c>
      <c r="R491" s="31">
        <v>3.19078351743348</v>
      </c>
      <c r="S491" s="66">
        <f t="shared" ref="S491:S499" si="11">SUM(K491:R491)</f>
        <v>13.1138311364811</v>
      </c>
      <c r="T491" s="123" t="s">
        <v>3920</v>
      </c>
      <c r="U491" s="27" t="s">
        <v>3882</v>
      </c>
    </row>
    <row r="492" s="989" customFormat="1" ht="15" spans="1:21">
      <c r="A492" s="1061"/>
      <c r="B492" s="1015"/>
      <c r="C492" s="123"/>
      <c r="D492" s="123"/>
      <c r="E492" s="123"/>
      <c r="F492" s="26" t="s">
        <v>6457</v>
      </c>
      <c r="G492" s="25"/>
      <c r="H492" s="29"/>
      <c r="I492" s="29"/>
      <c r="J492" s="29"/>
      <c r="K492" s="29"/>
      <c r="L492" s="1005"/>
      <c r="M492" s="29"/>
      <c r="N492" s="29"/>
      <c r="O492" s="66">
        <v>0.385</v>
      </c>
      <c r="P492" s="66">
        <v>1.19047619047619</v>
      </c>
      <c r="Q492" s="66" t="s">
        <v>1428</v>
      </c>
      <c r="R492" s="66">
        <v>0.4</v>
      </c>
      <c r="S492" s="66">
        <f t="shared" si="11"/>
        <v>1.97547619047619</v>
      </c>
      <c r="T492" s="123"/>
      <c r="U492" s="27"/>
    </row>
    <row r="493" s="989" customFormat="1" ht="15" spans="1:21">
      <c r="A493" s="1061"/>
      <c r="B493" s="1015" t="s">
        <v>6458</v>
      </c>
      <c r="C493" s="123"/>
      <c r="D493" s="123"/>
      <c r="E493" s="123"/>
      <c r="F493" s="26" t="s">
        <v>1723</v>
      </c>
      <c r="G493" s="146" t="s">
        <v>1933</v>
      </c>
      <c r="H493" s="29" t="s">
        <v>1428</v>
      </c>
      <c r="I493" s="29" t="s">
        <v>4295</v>
      </c>
      <c r="J493" s="29" t="s">
        <v>6459</v>
      </c>
      <c r="K493" s="29" t="s">
        <v>1428</v>
      </c>
      <c r="L493" s="65">
        <f>3.5*4</f>
        <v>14</v>
      </c>
      <c r="M493" s="29" t="s">
        <v>1428</v>
      </c>
      <c r="N493" s="1097">
        <v>8</v>
      </c>
      <c r="O493" s="66">
        <v>6.19704433497537</v>
      </c>
      <c r="P493" s="66">
        <v>25.3530377668308</v>
      </c>
      <c r="Q493" s="66" t="s">
        <v>1428</v>
      </c>
      <c r="R493" s="31">
        <v>5.04870809720488</v>
      </c>
      <c r="S493" s="66">
        <f t="shared" si="11"/>
        <v>58.598790199011</v>
      </c>
      <c r="T493" s="123" t="s">
        <v>4296</v>
      </c>
      <c r="U493" s="27" t="s">
        <v>6460</v>
      </c>
    </row>
    <row r="494" s="991" customFormat="1" ht="15" spans="1:21">
      <c r="A494" s="1061"/>
      <c r="B494" s="1015" t="s">
        <v>6461</v>
      </c>
      <c r="C494" s="123"/>
      <c r="D494" s="123"/>
      <c r="E494" s="123"/>
      <c r="F494" s="1021" t="s">
        <v>1669</v>
      </c>
      <c r="G494" s="1024" t="s">
        <v>3540</v>
      </c>
      <c r="H494" s="29" t="s">
        <v>6361</v>
      </c>
      <c r="I494" s="29" t="s">
        <v>5987</v>
      </c>
      <c r="J494" s="29" t="s">
        <v>6295</v>
      </c>
      <c r="K494" s="147" t="s">
        <v>1428</v>
      </c>
      <c r="L494" s="1022" t="s">
        <v>1428</v>
      </c>
      <c r="M494" s="147" t="s">
        <v>1428</v>
      </c>
      <c r="N494" s="29" t="s">
        <v>1428</v>
      </c>
      <c r="O494" s="1070">
        <v>3.68126</v>
      </c>
      <c r="P494" s="1070">
        <v>20.2167487684729</v>
      </c>
      <c r="Q494" s="1070">
        <v>5.47</v>
      </c>
      <c r="R494" s="31">
        <v>5.04870809720488</v>
      </c>
      <c r="S494" s="1070">
        <f t="shared" si="11"/>
        <v>34.4167168656778</v>
      </c>
      <c r="T494" s="146" t="s">
        <v>5989</v>
      </c>
      <c r="U494" s="1048" t="s">
        <v>6462</v>
      </c>
    </row>
    <row r="495" s="991" customFormat="1" ht="15" spans="1:21">
      <c r="A495" s="1061"/>
      <c r="B495" s="1015"/>
      <c r="C495" s="123"/>
      <c r="D495" s="123"/>
      <c r="E495" s="123"/>
      <c r="F495" s="1021" t="s">
        <v>1672</v>
      </c>
      <c r="G495" s="1024" t="s">
        <v>3540</v>
      </c>
      <c r="H495" s="29" t="s">
        <v>4159</v>
      </c>
      <c r="I495" s="29" t="s">
        <v>5987</v>
      </c>
      <c r="J495" s="29" t="s">
        <v>6295</v>
      </c>
      <c r="K495" s="29" t="s">
        <v>1428</v>
      </c>
      <c r="L495" s="1022" t="s">
        <v>1428</v>
      </c>
      <c r="M495" s="147" t="s">
        <v>1428</v>
      </c>
      <c r="N495" s="29" t="s">
        <v>1428</v>
      </c>
      <c r="O495" s="1070">
        <v>3.68126</v>
      </c>
      <c r="P495" s="1070">
        <v>18.9162561576355</v>
      </c>
      <c r="Q495" s="1070">
        <v>5.85</v>
      </c>
      <c r="R495" s="31">
        <v>5.04870809720488</v>
      </c>
      <c r="S495" s="1070">
        <f t="shared" si="11"/>
        <v>33.4962242548404</v>
      </c>
      <c r="T495" s="146" t="s">
        <v>5989</v>
      </c>
      <c r="U495" s="1048" t="s">
        <v>6463</v>
      </c>
    </row>
    <row r="496" s="992" customFormat="1" ht="15" customHeight="1" spans="1:21">
      <c r="A496" s="1061"/>
      <c r="B496" s="1015"/>
      <c r="C496" s="123"/>
      <c r="D496" s="123"/>
      <c r="E496" s="123"/>
      <c r="F496" s="1048" t="s">
        <v>5940</v>
      </c>
      <c r="G496" s="146"/>
      <c r="H496" s="29"/>
      <c r="I496" s="29"/>
      <c r="J496" s="29"/>
      <c r="K496" s="147"/>
      <c r="L496" s="1022"/>
      <c r="M496" s="147"/>
      <c r="N496" s="147"/>
      <c r="O496" s="1070">
        <v>0.407</v>
      </c>
      <c r="P496" s="1070">
        <v>0.733333333333333</v>
      </c>
      <c r="Q496" s="1070" t="s">
        <v>1428</v>
      </c>
      <c r="R496" s="1070">
        <v>0.2</v>
      </c>
      <c r="S496" s="1070">
        <f t="shared" si="11"/>
        <v>1.34033333333333</v>
      </c>
      <c r="T496" s="157"/>
      <c r="U496" s="1048"/>
    </row>
    <row r="497" s="991" customFormat="1" ht="15" spans="1:21">
      <c r="A497" s="1061"/>
      <c r="B497" s="1015"/>
      <c r="C497" s="123"/>
      <c r="D497" s="123"/>
      <c r="E497" s="123"/>
      <c r="F497" s="1048" t="s">
        <v>6464</v>
      </c>
      <c r="G497" s="1024"/>
      <c r="H497" s="29"/>
      <c r="I497" s="29"/>
      <c r="J497" s="29"/>
      <c r="K497" s="147"/>
      <c r="L497" s="1022"/>
      <c r="M497" s="147"/>
      <c r="N497" s="147"/>
      <c r="O497" s="1070">
        <v>0.35024</v>
      </c>
      <c r="P497" s="1070">
        <v>0.615333333333333</v>
      </c>
      <c r="Q497" s="1070" t="s">
        <v>1428</v>
      </c>
      <c r="R497" s="66">
        <v>0.4</v>
      </c>
      <c r="S497" s="1070">
        <f t="shared" si="11"/>
        <v>1.36557333333333</v>
      </c>
      <c r="T497" s="146"/>
      <c r="U497" s="1048"/>
    </row>
    <row r="498" s="992" customFormat="1" ht="15" customHeight="1" spans="1:21">
      <c r="A498" s="1061"/>
      <c r="B498" s="1015"/>
      <c r="C498" s="123"/>
      <c r="D498" s="123"/>
      <c r="E498" s="123"/>
      <c r="F498" s="1048" t="s">
        <v>5942</v>
      </c>
      <c r="G498" s="146"/>
      <c r="H498" s="29"/>
      <c r="I498" s="29"/>
      <c r="J498" s="29"/>
      <c r="K498" s="147"/>
      <c r="L498" s="1022"/>
      <c r="M498" s="147"/>
      <c r="N498" s="147"/>
      <c r="O498" s="1070">
        <v>0.2596</v>
      </c>
      <c r="P498" s="1070">
        <v>0.78847619047619</v>
      </c>
      <c r="Q498" s="1070" t="s">
        <v>1428</v>
      </c>
      <c r="R498" s="1070">
        <v>0.2</v>
      </c>
      <c r="S498" s="1070">
        <f t="shared" si="11"/>
        <v>1.24807619047619</v>
      </c>
      <c r="T498" s="157"/>
      <c r="U498" s="1048"/>
    </row>
    <row r="499" s="989" customFormat="1" ht="15" spans="1:21">
      <c r="A499" s="1061"/>
      <c r="B499" s="1015" t="s">
        <v>6465</v>
      </c>
      <c r="C499" s="123"/>
      <c r="D499" s="123"/>
      <c r="E499" s="123"/>
      <c r="F499" s="26" t="s">
        <v>1617</v>
      </c>
      <c r="G499" s="25" t="s">
        <v>1933</v>
      </c>
      <c r="H499" s="29" t="s">
        <v>6361</v>
      </c>
      <c r="I499" s="31" t="s">
        <v>1913</v>
      </c>
      <c r="J499" s="29" t="s">
        <v>3750</v>
      </c>
      <c r="K499" s="147" t="s">
        <v>1428</v>
      </c>
      <c r="L499" s="1005" t="s">
        <v>1428</v>
      </c>
      <c r="M499" s="29" t="s">
        <v>1428</v>
      </c>
      <c r="N499" s="29">
        <v>2</v>
      </c>
      <c r="O499" s="66">
        <v>5.53</v>
      </c>
      <c r="P499" s="66">
        <v>22.641332395027</v>
      </c>
      <c r="Q499" s="66" t="s">
        <v>1428</v>
      </c>
      <c r="R499" s="31">
        <v>5.04870809720488</v>
      </c>
      <c r="S499" s="66">
        <f t="shared" si="11"/>
        <v>35.2200404922319</v>
      </c>
      <c r="T499" s="1041" t="s">
        <v>2854</v>
      </c>
      <c r="U499" s="27" t="s">
        <v>6466</v>
      </c>
    </row>
    <row r="500" s="989" customFormat="1" ht="15" spans="1:21">
      <c r="A500" s="1061"/>
      <c r="B500" s="1098" t="s">
        <v>6467</v>
      </c>
      <c r="C500" s="123"/>
      <c r="D500" s="123"/>
      <c r="E500" s="123"/>
      <c r="F500" s="26" t="s">
        <v>1617</v>
      </c>
      <c r="G500" s="25" t="s">
        <v>1933</v>
      </c>
      <c r="H500" s="29" t="s">
        <v>6468</v>
      </c>
      <c r="I500" s="29" t="s">
        <v>1913</v>
      </c>
      <c r="J500" s="29" t="s">
        <v>1428</v>
      </c>
      <c r="K500" s="1071" t="s">
        <v>712</v>
      </c>
      <c r="L500" s="1005" t="s">
        <v>1428</v>
      </c>
      <c r="M500" s="29" t="s">
        <v>1428</v>
      </c>
      <c r="N500" s="29" t="s">
        <v>1428</v>
      </c>
      <c r="O500" s="66">
        <v>8.99084218503153</v>
      </c>
      <c r="P500" s="66">
        <v>37.0935960591133</v>
      </c>
      <c r="Q500" s="66" t="s">
        <v>1428</v>
      </c>
      <c r="R500" s="31">
        <v>5.04870809720488</v>
      </c>
      <c r="S500" s="66">
        <f>SUM(K500:R500)+96</f>
        <v>147.13314634135</v>
      </c>
      <c r="T500" s="1041" t="s">
        <v>2854</v>
      </c>
      <c r="U500" s="27" t="s">
        <v>6469</v>
      </c>
    </row>
    <row r="501" s="989" customFormat="1" ht="15" spans="1:21">
      <c r="A501" s="1061"/>
      <c r="B501" s="1099"/>
      <c r="C501" s="123"/>
      <c r="D501" s="123"/>
      <c r="E501" s="123"/>
      <c r="F501" s="26" t="s">
        <v>1604</v>
      </c>
      <c r="G501" s="25" t="s">
        <v>1933</v>
      </c>
      <c r="H501" s="29" t="s">
        <v>6470</v>
      </c>
      <c r="I501" s="29" t="s">
        <v>1913</v>
      </c>
      <c r="J501" s="29" t="s">
        <v>1428</v>
      </c>
      <c r="K501" s="1071" t="s">
        <v>712</v>
      </c>
      <c r="L501" s="1005" t="s">
        <v>1428</v>
      </c>
      <c r="M501" s="29" t="s">
        <v>1428</v>
      </c>
      <c r="N501" s="29" t="s">
        <v>1428</v>
      </c>
      <c r="O501" s="66">
        <v>8.99084218503153</v>
      </c>
      <c r="P501" s="66">
        <v>33.1629273363673</v>
      </c>
      <c r="Q501" s="66" t="s">
        <v>1428</v>
      </c>
      <c r="R501" s="31">
        <v>5.04870809720488</v>
      </c>
      <c r="S501" s="66">
        <f>SUM(K501:R501)+96</f>
        <v>143.202477618604</v>
      </c>
      <c r="T501" s="1041" t="s">
        <v>2854</v>
      </c>
      <c r="U501" s="27" t="s">
        <v>6469</v>
      </c>
    </row>
    <row r="502" s="989" customFormat="1" ht="15" spans="1:21">
      <c r="A502" s="1061"/>
      <c r="B502" s="1099"/>
      <c r="C502" s="123"/>
      <c r="D502" s="123"/>
      <c r="E502" s="123"/>
      <c r="F502" s="26" t="s">
        <v>1571</v>
      </c>
      <c r="G502" s="25" t="s">
        <v>1933</v>
      </c>
      <c r="H502" s="29" t="s">
        <v>2304</v>
      </c>
      <c r="I502" s="29" t="s">
        <v>1913</v>
      </c>
      <c r="J502" s="29" t="s">
        <v>1428</v>
      </c>
      <c r="K502" s="1071" t="s">
        <v>712</v>
      </c>
      <c r="L502" s="1005" t="s">
        <v>1428</v>
      </c>
      <c r="M502" s="29" t="s">
        <v>1428</v>
      </c>
      <c r="N502" s="29" t="s">
        <v>1428</v>
      </c>
      <c r="O502" s="66">
        <v>8.99084218503153</v>
      </c>
      <c r="P502" s="66">
        <v>32.1381932978445</v>
      </c>
      <c r="Q502" s="66" t="s">
        <v>1428</v>
      </c>
      <c r="R502" s="31">
        <v>5.04870809720488</v>
      </c>
      <c r="S502" s="66">
        <f>SUM(K502:R502)+96</f>
        <v>142.177743580081</v>
      </c>
      <c r="T502" s="1041" t="s">
        <v>2854</v>
      </c>
      <c r="U502" s="27" t="s">
        <v>6469</v>
      </c>
    </row>
    <row r="503" s="989" customFormat="1" ht="15" spans="1:21">
      <c r="A503" s="1061"/>
      <c r="B503" s="1099"/>
      <c r="C503" s="123"/>
      <c r="D503" s="123"/>
      <c r="E503" s="123"/>
      <c r="F503" s="26" t="s">
        <v>1685</v>
      </c>
      <c r="G503" s="25" t="s">
        <v>1933</v>
      </c>
      <c r="H503" s="29" t="s">
        <v>2365</v>
      </c>
      <c r="I503" s="29" t="s">
        <v>1913</v>
      </c>
      <c r="J503" s="29" t="s">
        <v>1428</v>
      </c>
      <c r="K503" s="29" t="s">
        <v>1428</v>
      </c>
      <c r="L503" s="1005" t="s">
        <v>1428</v>
      </c>
      <c r="M503" s="29" t="s">
        <v>1428</v>
      </c>
      <c r="N503" s="29" t="s">
        <v>1428</v>
      </c>
      <c r="O503" s="66">
        <v>8.99084218503153</v>
      </c>
      <c r="P503" s="66">
        <v>34.9093143438053</v>
      </c>
      <c r="Q503" s="66" t="s">
        <v>1428</v>
      </c>
      <c r="R503" s="31">
        <v>5.04870809720488</v>
      </c>
      <c r="S503" s="66">
        <f>SUM(K503:R503)+96</f>
        <v>144.948864626042</v>
      </c>
      <c r="T503" s="1041" t="s">
        <v>2854</v>
      </c>
      <c r="U503" s="1084" t="s">
        <v>6471</v>
      </c>
    </row>
    <row r="504" s="989" customFormat="1" spans="1:21">
      <c r="A504" s="1061"/>
      <c r="B504" s="1100"/>
      <c r="C504" s="123"/>
      <c r="D504" s="123"/>
      <c r="E504" s="123"/>
      <c r="F504" s="26" t="s">
        <v>6472</v>
      </c>
      <c r="G504" s="25"/>
      <c r="H504" s="29"/>
      <c r="I504" s="29"/>
      <c r="J504" s="29"/>
      <c r="K504" s="29"/>
      <c r="L504" s="1005"/>
      <c r="M504" s="29"/>
      <c r="N504" s="29"/>
      <c r="O504" s="66">
        <v>0.438338874841972</v>
      </c>
      <c r="P504" s="66">
        <v>2.53054328050569</v>
      </c>
      <c r="Q504" s="66" t="s">
        <v>1428</v>
      </c>
      <c r="R504" s="66">
        <v>0.4</v>
      </c>
      <c r="S504" s="66">
        <f t="shared" ref="S504:S567" si="12">SUM(K504:R504)</f>
        <v>3.36888215534766</v>
      </c>
      <c r="T504" s="1041"/>
      <c r="U504" s="27"/>
    </row>
    <row r="505" s="989" customFormat="1" ht="15" spans="1:21">
      <c r="A505" s="1061"/>
      <c r="B505" s="1015" t="s">
        <v>6473</v>
      </c>
      <c r="C505" s="123"/>
      <c r="D505" s="123"/>
      <c r="E505" s="123"/>
      <c r="F505" s="26" t="s">
        <v>1629</v>
      </c>
      <c r="G505" s="25" t="s">
        <v>1933</v>
      </c>
      <c r="H505" s="29" t="s">
        <v>6420</v>
      </c>
      <c r="I505" s="29" t="s">
        <v>5962</v>
      </c>
      <c r="J505" s="29" t="s">
        <v>3750</v>
      </c>
      <c r="K505" s="29" t="s">
        <v>1428</v>
      </c>
      <c r="L505" s="65">
        <f>3.5*2</f>
        <v>7</v>
      </c>
      <c r="M505" s="29" t="s">
        <v>1428</v>
      </c>
      <c r="N505" s="29" t="s">
        <v>1428</v>
      </c>
      <c r="O505" s="66">
        <v>5.18</v>
      </c>
      <c r="P505" s="66">
        <v>22.9753694581281</v>
      </c>
      <c r="Q505" s="66" t="s">
        <v>1428</v>
      </c>
      <c r="R505" s="31">
        <v>0.302922485832293</v>
      </c>
      <c r="S505" s="66">
        <f t="shared" si="12"/>
        <v>35.4582919439604</v>
      </c>
      <c r="T505" s="123" t="s">
        <v>6474</v>
      </c>
      <c r="U505" s="27" t="s">
        <v>6475</v>
      </c>
    </row>
    <row r="506" s="989" customFormat="1" ht="15" spans="1:21">
      <c r="A506" s="1061"/>
      <c r="B506" s="1015"/>
      <c r="C506" s="123"/>
      <c r="D506" s="123"/>
      <c r="E506" s="123"/>
      <c r="F506" s="26" t="s">
        <v>1645</v>
      </c>
      <c r="G506" s="25" t="s">
        <v>1933</v>
      </c>
      <c r="H506" s="29" t="s">
        <v>6418</v>
      </c>
      <c r="I506" s="29" t="s">
        <v>4295</v>
      </c>
      <c r="J506" s="29" t="s">
        <v>3750</v>
      </c>
      <c r="K506" s="1071" t="s">
        <v>712</v>
      </c>
      <c r="L506" s="65">
        <f>3.5*4</f>
        <v>14</v>
      </c>
      <c r="M506" s="29" t="s">
        <v>1428</v>
      </c>
      <c r="N506" s="29">
        <v>2</v>
      </c>
      <c r="O506" s="66">
        <v>5.18</v>
      </c>
      <c r="P506" s="66">
        <v>22.7389162561576</v>
      </c>
      <c r="Q506" s="66" t="s">
        <v>1428</v>
      </c>
      <c r="R506" s="31">
        <v>0.302922485832293</v>
      </c>
      <c r="S506" s="66">
        <f t="shared" si="12"/>
        <v>44.2218387419899</v>
      </c>
      <c r="T506" s="123" t="s">
        <v>6474</v>
      </c>
      <c r="U506" s="27" t="s">
        <v>6476</v>
      </c>
    </row>
    <row r="507" s="989" customFormat="1" ht="15" spans="1:21">
      <c r="A507" s="1061"/>
      <c r="B507" s="1015"/>
      <c r="C507" s="123"/>
      <c r="D507" s="123"/>
      <c r="E507" s="123"/>
      <c r="F507" s="26" t="s">
        <v>1998</v>
      </c>
      <c r="G507" s="25" t="s">
        <v>1933</v>
      </c>
      <c r="H507" s="29" t="s">
        <v>6418</v>
      </c>
      <c r="I507" s="29" t="s">
        <v>4295</v>
      </c>
      <c r="J507" s="29" t="s">
        <v>4687</v>
      </c>
      <c r="K507" s="1071" t="s">
        <v>712</v>
      </c>
      <c r="L507" s="65">
        <f>3.5*4</f>
        <v>14</v>
      </c>
      <c r="M507" s="29" t="s">
        <v>1428</v>
      </c>
      <c r="N507" s="29">
        <v>3.5</v>
      </c>
      <c r="O507" s="66">
        <v>5.18</v>
      </c>
      <c r="P507" s="66">
        <v>22.7487684729064</v>
      </c>
      <c r="Q507" s="66" t="s">
        <v>1428</v>
      </c>
      <c r="R507" s="31">
        <v>0.302922485832293</v>
      </c>
      <c r="S507" s="66">
        <f t="shared" si="12"/>
        <v>45.7316909587387</v>
      </c>
      <c r="T507" s="123" t="s">
        <v>6474</v>
      </c>
      <c r="U507" s="27" t="s">
        <v>6477</v>
      </c>
    </row>
    <row r="508" s="989" customFormat="1" ht="15" spans="1:21">
      <c r="A508" s="1061"/>
      <c r="B508" s="1015" t="s">
        <v>6478</v>
      </c>
      <c r="C508" s="123"/>
      <c r="D508" s="123"/>
      <c r="E508" s="123"/>
      <c r="F508" s="26" t="s">
        <v>1645</v>
      </c>
      <c r="G508" s="25" t="s">
        <v>1933</v>
      </c>
      <c r="H508" s="29" t="s">
        <v>6418</v>
      </c>
      <c r="I508" s="29" t="s">
        <v>3624</v>
      </c>
      <c r="J508" s="29" t="s">
        <v>3750</v>
      </c>
      <c r="K508" s="1071" t="s">
        <v>712</v>
      </c>
      <c r="L508" s="1005" t="s">
        <v>1428</v>
      </c>
      <c r="M508" s="29" t="s">
        <v>1428</v>
      </c>
      <c r="N508" s="29">
        <v>2</v>
      </c>
      <c r="O508" s="66">
        <v>6.314</v>
      </c>
      <c r="P508" s="66">
        <v>30.7093596059113</v>
      </c>
      <c r="Q508" s="66" t="s">
        <v>1428</v>
      </c>
      <c r="R508" s="31">
        <v>0.302922485832293</v>
      </c>
      <c r="S508" s="66">
        <f t="shared" si="12"/>
        <v>39.3262820917436</v>
      </c>
      <c r="T508" s="123" t="s">
        <v>6479</v>
      </c>
      <c r="U508" s="27" t="s">
        <v>6480</v>
      </c>
    </row>
    <row r="509" s="989" customFormat="1" ht="15" spans="1:21">
      <c r="A509" s="1061"/>
      <c r="B509" s="1098" t="s">
        <v>6481</v>
      </c>
      <c r="C509" s="123"/>
      <c r="D509" s="123"/>
      <c r="E509" s="123"/>
      <c r="F509" s="26" t="s">
        <v>1565</v>
      </c>
      <c r="G509" s="25" t="s">
        <v>1933</v>
      </c>
      <c r="H509" s="29" t="s">
        <v>6420</v>
      </c>
      <c r="I509" s="29" t="s">
        <v>1913</v>
      </c>
      <c r="J509" s="29" t="s">
        <v>1428</v>
      </c>
      <c r="K509" s="29" t="s">
        <v>1428</v>
      </c>
      <c r="L509" s="1005" t="s">
        <v>1428</v>
      </c>
      <c r="M509" s="29" t="s">
        <v>1428</v>
      </c>
      <c r="N509" s="29" t="s">
        <v>1428</v>
      </c>
      <c r="O509" s="66">
        <v>4.30276018855081</v>
      </c>
      <c r="P509" s="66">
        <v>12.7699040677329</v>
      </c>
      <c r="Q509" s="66" t="s">
        <v>1428</v>
      </c>
      <c r="R509" s="31">
        <v>5.04870809720488</v>
      </c>
      <c r="S509" s="66">
        <f t="shared" si="12"/>
        <v>22.1213723534886</v>
      </c>
      <c r="T509" s="123" t="s">
        <v>2854</v>
      </c>
      <c r="U509" s="27" t="s">
        <v>6482</v>
      </c>
    </row>
    <row r="510" s="989" customFormat="1" ht="15" spans="1:21">
      <c r="A510" s="1061"/>
      <c r="B510" s="1099"/>
      <c r="C510" s="123"/>
      <c r="D510" s="123"/>
      <c r="E510" s="123"/>
      <c r="F510" s="26" t="s">
        <v>1617</v>
      </c>
      <c r="G510" s="25" t="s">
        <v>1933</v>
      </c>
      <c r="H510" s="29" t="s">
        <v>6418</v>
      </c>
      <c r="I510" s="29" t="s">
        <v>1913</v>
      </c>
      <c r="J510" s="29" t="s">
        <v>1428</v>
      </c>
      <c r="K510" s="1071" t="s">
        <v>712</v>
      </c>
      <c r="L510" s="1005" t="s">
        <v>1428</v>
      </c>
      <c r="M510" s="29" t="s">
        <v>1428</v>
      </c>
      <c r="N510" s="29" t="s">
        <v>1428</v>
      </c>
      <c r="O510" s="66">
        <v>4.30276018855081</v>
      </c>
      <c r="P510" s="66">
        <v>12.2481034572342</v>
      </c>
      <c r="Q510" s="66" t="s">
        <v>1428</v>
      </c>
      <c r="R510" s="31">
        <v>5.04870809720488</v>
      </c>
      <c r="S510" s="66">
        <f t="shared" si="12"/>
        <v>21.5995717429899</v>
      </c>
      <c r="T510" s="123" t="s">
        <v>2854</v>
      </c>
      <c r="U510" s="27" t="s">
        <v>6483</v>
      </c>
    </row>
    <row r="511" s="989" customFormat="1" ht="15" spans="1:21">
      <c r="A511" s="1061"/>
      <c r="B511" s="1099"/>
      <c r="C511" s="123"/>
      <c r="D511" s="123"/>
      <c r="E511" s="123"/>
      <c r="F511" s="26" t="s">
        <v>1629</v>
      </c>
      <c r="G511" s="25" t="s">
        <v>1933</v>
      </c>
      <c r="H511" s="29" t="s">
        <v>6423</v>
      </c>
      <c r="I511" s="29" t="s">
        <v>1913</v>
      </c>
      <c r="J511" s="29" t="s">
        <v>1428</v>
      </c>
      <c r="K511" s="1071" t="s">
        <v>712</v>
      </c>
      <c r="L511" s="1005" t="s">
        <v>1428</v>
      </c>
      <c r="M511" s="29" t="s">
        <v>1428</v>
      </c>
      <c r="N511" s="29" t="s">
        <v>1428</v>
      </c>
      <c r="O511" s="66">
        <v>4.30276018855081</v>
      </c>
      <c r="P511" s="66">
        <v>16.0180726148608</v>
      </c>
      <c r="Q511" s="66" t="s">
        <v>1428</v>
      </c>
      <c r="R511" s="31">
        <v>5.04870809720488</v>
      </c>
      <c r="S511" s="66">
        <f t="shared" si="12"/>
        <v>25.3695409006165</v>
      </c>
      <c r="T511" s="123" t="s">
        <v>2854</v>
      </c>
      <c r="U511" s="27" t="s">
        <v>6484</v>
      </c>
    </row>
    <row r="512" s="989" customFormat="1" ht="15" spans="1:21">
      <c r="A512" s="1061"/>
      <c r="B512" s="1100"/>
      <c r="C512" s="123"/>
      <c r="D512" s="123"/>
      <c r="E512" s="123"/>
      <c r="F512" s="26" t="s">
        <v>1645</v>
      </c>
      <c r="G512" s="25" t="s">
        <v>1933</v>
      </c>
      <c r="H512" s="29" t="s">
        <v>6420</v>
      </c>
      <c r="I512" s="29" t="s">
        <v>1913</v>
      </c>
      <c r="J512" s="29" t="s">
        <v>1428</v>
      </c>
      <c r="K512" s="29" t="s">
        <v>1428</v>
      </c>
      <c r="L512" s="1005" t="s">
        <v>1428</v>
      </c>
      <c r="M512" s="29" t="s">
        <v>1428</v>
      </c>
      <c r="N512" s="29" t="s">
        <v>1428</v>
      </c>
      <c r="O512" s="66">
        <v>4.30276018855081</v>
      </c>
      <c r="P512" s="66">
        <v>12.7929478199058</v>
      </c>
      <c r="Q512" s="66" t="s">
        <v>1428</v>
      </c>
      <c r="R512" s="31">
        <v>5.04870809720488</v>
      </c>
      <c r="S512" s="66">
        <f t="shared" si="12"/>
        <v>22.1444161056615</v>
      </c>
      <c r="T512" s="123" t="s">
        <v>2854</v>
      </c>
      <c r="U512" s="27" t="s">
        <v>6482</v>
      </c>
    </row>
    <row r="513" s="989" customFormat="1" ht="15" spans="1:21">
      <c r="A513" s="1061"/>
      <c r="B513" s="1015" t="s">
        <v>6485</v>
      </c>
      <c r="C513" s="123"/>
      <c r="D513" s="123"/>
      <c r="E513" s="123"/>
      <c r="F513" s="26" t="s">
        <v>1629</v>
      </c>
      <c r="G513" s="25" t="s">
        <v>1933</v>
      </c>
      <c r="H513" s="29" t="s">
        <v>6423</v>
      </c>
      <c r="I513" s="29" t="s">
        <v>1913</v>
      </c>
      <c r="J513" s="29" t="s">
        <v>1428</v>
      </c>
      <c r="K513" s="29" t="s">
        <v>1428</v>
      </c>
      <c r="L513" s="1005" t="s">
        <v>1428</v>
      </c>
      <c r="M513" s="29" t="s">
        <v>1428</v>
      </c>
      <c r="N513" s="29" t="s">
        <v>1428</v>
      </c>
      <c r="O513" s="66">
        <v>11.0935960591133</v>
      </c>
      <c r="P513" s="66">
        <v>37.3103448275862</v>
      </c>
      <c r="Q513" s="66" t="s">
        <v>1428</v>
      </c>
      <c r="R513" s="31">
        <v>5.04870809720488</v>
      </c>
      <c r="S513" s="66">
        <f t="shared" si="12"/>
        <v>53.4526489839044</v>
      </c>
      <c r="T513" s="123" t="s">
        <v>2854</v>
      </c>
      <c r="U513" s="27" t="s">
        <v>6486</v>
      </c>
    </row>
    <row r="514" s="989" customFormat="1" ht="15" spans="1:21">
      <c r="A514" s="1061"/>
      <c r="B514" s="1015" t="s">
        <v>6487</v>
      </c>
      <c r="C514" s="123"/>
      <c r="D514" s="123"/>
      <c r="E514" s="123"/>
      <c r="F514" s="26" t="s">
        <v>1617</v>
      </c>
      <c r="G514" s="25" t="s">
        <v>1933</v>
      </c>
      <c r="H514" s="29" t="s">
        <v>6418</v>
      </c>
      <c r="I514" s="29" t="s">
        <v>1913</v>
      </c>
      <c r="J514" s="29" t="s">
        <v>2955</v>
      </c>
      <c r="K514" s="1071" t="s">
        <v>712</v>
      </c>
      <c r="L514" s="1005" t="s">
        <v>1428</v>
      </c>
      <c r="M514" s="29" t="s">
        <v>1428</v>
      </c>
      <c r="N514" s="29" t="s">
        <v>1428</v>
      </c>
      <c r="O514" s="66">
        <v>6.47290640394089</v>
      </c>
      <c r="P514" s="66">
        <v>23.3497536945813</v>
      </c>
      <c r="Q514" s="66" t="s">
        <v>1428</v>
      </c>
      <c r="R514" s="31">
        <v>3.75623882432042</v>
      </c>
      <c r="S514" s="66">
        <f t="shared" si="12"/>
        <v>33.5788989228426</v>
      </c>
      <c r="T514" s="123" t="s">
        <v>2854</v>
      </c>
      <c r="U514" s="27" t="s">
        <v>6488</v>
      </c>
    </row>
    <row r="515" s="989" customFormat="1" ht="15" spans="1:21">
      <c r="A515" s="1061"/>
      <c r="B515" s="1101" t="s">
        <v>6489</v>
      </c>
      <c r="C515" s="25"/>
      <c r="D515" s="25"/>
      <c r="E515" s="25"/>
      <c r="F515" s="26" t="s">
        <v>1645</v>
      </c>
      <c r="G515" s="25" t="s">
        <v>1933</v>
      </c>
      <c r="H515" s="29" t="s">
        <v>6418</v>
      </c>
      <c r="I515" s="29" t="s">
        <v>1913</v>
      </c>
      <c r="J515" s="29" t="s">
        <v>6490</v>
      </c>
      <c r="K515" s="1071" t="s">
        <v>712</v>
      </c>
      <c r="L515" s="1005" t="s">
        <v>1428</v>
      </c>
      <c r="M515" s="29" t="s">
        <v>1428</v>
      </c>
      <c r="N515" s="29">
        <v>3.5</v>
      </c>
      <c r="O515" s="66">
        <v>6.47290640394089</v>
      </c>
      <c r="P515" s="66">
        <v>27.5073891625616</v>
      </c>
      <c r="Q515" s="66" t="s">
        <v>1428</v>
      </c>
      <c r="R515" s="31">
        <v>5.04870809720488</v>
      </c>
      <c r="S515" s="66">
        <f t="shared" si="12"/>
        <v>42.5290036637074</v>
      </c>
      <c r="T515" s="123" t="s">
        <v>2854</v>
      </c>
      <c r="U515" s="27" t="s">
        <v>6491</v>
      </c>
    </row>
    <row r="516" s="989" customFormat="1" spans="1:21">
      <c r="A516" s="1061"/>
      <c r="B516" s="1102"/>
      <c r="C516" s="25"/>
      <c r="D516" s="25"/>
      <c r="E516" s="25"/>
      <c r="F516" s="26" t="s">
        <v>6492</v>
      </c>
      <c r="G516" s="25"/>
      <c r="H516" s="29"/>
      <c r="I516" s="29"/>
      <c r="J516" s="29"/>
      <c r="K516" s="29"/>
      <c r="L516" s="1005"/>
      <c r="M516" s="29"/>
      <c r="N516" s="29"/>
      <c r="O516" s="66">
        <v>1.16256157635468</v>
      </c>
      <c r="P516" s="66">
        <v>0.600985221674877</v>
      </c>
      <c r="Q516" s="66" t="s">
        <v>1428</v>
      </c>
      <c r="R516" s="66">
        <v>0.18</v>
      </c>
      <c r="S516" s="66">
        <f t="shared" si="12"/>
        <v>1.94354679802956</v>
      </c>
      <c r="T516" s="123"/>
      <c r="U516" s="27"/>
    </row>
    <row r="517" s="989" customFormat="1" spans="1:21">
      <c r="A517" s="1061"/>
      <c r="B517" s="1102"/>
      <c r="C517" s="25"/>
      <c r="D517" s="25"/>
      <c r="E517" s="25"/>
      <c r="F517" s="26" t="s">
        <v>6493</v>
      </c>
      <c r="G517" s="25"/>
      <c r="H517" s="29"/>
      <c r="I517" s="29"/>
      <c r="J517" s="29"/>
      <c r="K517" s="29"/>
      <c r="L517" s="1005"/>
      <c r="M517" s="29"/>
      <c r="N517" s="29"/>
      <c r="O517" s="66">
        <v>0.394088669950739</v>
      </c>
      <c r="P517" s="66">
        <v>0.58128078817734</v>
      </c>
      <c r="Q517" s="66" t="s">
        <v>1428</v>
      </c>
      <c r="R517" s="66">
        <v>0.4</v>
      </c>
      <c r="S517" s="66">
        <f t="shared" si="12"/>
        <v>1.37536945812808</v>
      </c>
      <c r="T517" s="123"/>
      <c r="U517" s="27"/>
    </row>
    <row r="518" s="989" customFormat="1" ht="15" customHeight="1" spans="1:21">
      <c r="A518" s="1061"/>
      <c r="B518" s="1103"/>
      <c r="C518" s="25"/>
      <c r="D518" s="25"/>
      <c r="E518" s="25"/>
      <c r="F518" s="26" t="s">
        <v>1030</v>
      </c>
      <c r="G518" s="25"/>
      <c r="H518" s="29"/>
      <c r="I518" s="31"/>
      <c r="J518" s="29"/>
      <c r="K518" s="29"/>
      <c r="L518" s="1005"/>
      <c r="M518" s="29"/>
      <c r="N518" s="29"/>
      <c r="O518" s="66">
        <v>0.315270935960591</v>
      </c>
      <c r="P518" s="66">
        <v>1.16256157635468</v>
      </c>
      <c r="Q518" s="66" t="s">
        <v>1428</v>
      </c>
      <c r="R518" s="66">
        <v>0.4</v>
      </c>
      <c r="S518" s="66">
        <f t="shared" si="12"/>
        <v>1.87783251231527</v>
      </c>
      <c r="T518" s="1041"/>
      <c r="U518" s="27"/>
    </row>
    <row r="519" s="989" customFormat="1" ht="15" customHeight="1" spans="1:21">
      <c r="A519" s="1061"/>
      <c r="B519" s="1015" t="s">
        <v>6494</v>
      </c>
      <c r="C519" s="123"/>
      <c r="D519" s="123"/>
      <c r="E519" s="123"/>
      <c r="F519" s="26" t="s">
        <v>1645</v>
      </c>
      <c r="G519" s="25" t="s">
        <v>1933</v>
      </c>
      <c r="H519" s="29" t="s">
        <v>6495</v>
      </c>
      <c r="I519" s="29" t="s">
        <v>1913</v>
      </c>
      <c r="J519" s="29" t="s">
        <v>6490</v>
      </c>
      <c r="K519" s="1071" t="s">
        <v>712</v>
      </c>
      <c r="L519" s="1005" t="s">
        <v>1428</v>
      </c>
      <c r="M519" s="29" t="s">
        <v>1428</v>
      </c>
      <c r="N519" s="29">
        <v>3.5</v>
      </c>
      <c r="O519" s="66">
        <v>4.9937706307718</v>
      </c>
      <c r="P519" s="66">
        <v>19.5665024630542</v>
      </c>
      <c r="Q519" s="66" t="s">
        <v>1428</v>
      </c>
      <c r="R519" s="31">
        <v>5.04870809720488</v>
      </c>
      <c r="S519" s="66">
        <f t="shared" si="12"/>
        <v>33.1089811910309</v>
      </c>
      <c r="T519" s="123" t="s">
        <v>2854</v>
      </c>
      <c r="U519" s="27"/>
    </row>
    <row r="520" s="989" customFormat="1" ht="15" customHeight="1" spans="1:21">
      <c r="A520" s="1061"/>
      <c r="B520" s="1015"/>
      <c r="C520" s="123"/>
      <c r="D520" s="123"/>
      <c r="E520" s="123"/>
      <c r="F520" s="26" t="s">
        <v>1604</v>
      </c>
      <c r="G520" s="25" t="s">
        <v>1933</v>
      </c>
      <c r="H520" s="29" t="s">
        <v>6418</v>
      </c>
      <c r="I520" s="29" t="s">
        <v>1913</v>
      </c>
      <c r="J520" s="29" t="s">
        <v>2955</v>
      </c>
      <c r="K520" s="1071" t="s">
        <v>712</v>
      </c>
      <c r="L520" s="1005" t="s">
        <v>1428</v>
      </c>
      <c r="M520" s="29" t="s">
        <v>1428</v>
      </c>
      <c r="N520" s="29" t="s">
        <v>1428</v>
      </c>
      <c r="O520" s="66">
        <v>4.9937706307718</v>
      </c>
      <c r="P520" s="66">
        <v>20</v>
      </c>
      <c r="Q520" s="66" t="s">
        <v>1428</v>
      </c>
      <c r="R520" s="31">
        <v>5.04870809720488</v>
      </c>
      <c r="S520" s="66">
        <f t="shared" si="12"/>
        <v>30.0424787279767</v>
      </c>
      <c r="T520" s="123" t="s">
        <v>2854</v>
      </c>
      <c r="U520" s="27" t="s">
        <v>6496</v>
      </c>
    </row>
    <row r="521" s="989" customFormat="1" ht="15" customHeight="1" spans="1:21">
      <c r="A521" s="1104"/>
      <c r="B521" s="1099"/>
      <c r="C521" s="123"/>
      <c r="D521" s="123"/>
      <c r="E521" s="123"/>
      <c r="F521" s="26" t="s">
        <v>1685</v>
      </c>
      <c r="G521" s="25" t="s">
        <v>1933</v>
      </c>
      <c r="H521" s="29" t="s">
        <v>6418</v>
      </c>
      <c r="I521" s="29" t="s">
        <v>1913</v>
      </c>
      <c r="J521" s="29" t="s">
        <v>1720</v>
      </c>
      <c r="K521" s="1071" t="s">
        <v>712</v>
      </c>
      <c r="L521" s="1005" t="s">
        <v>1428</v>
      </c>
      <c r="M521" s="29" t="s">
        <v>1428</v>
      </c>
      <c r="N521" s="1096">
        <v>2.3</v>
      </c>
      <c r="O521" s="66">
        <v>4.9937706307718</v>
      </c>
      <c r="P521" s="66">
        <v>15.0107409733997</v>
      </c>
      <c r="Q521" s="66" t="s">
        <v>1428</v>
      </c>
      <c r="R521" s="31">
        <v>5.04870809720488</v>
      </c>
      <c r="S521" s="66">
        <f t="shared" si="12"/>
        <v>27.3532197013764</v>
      </c>
      <c r="T521" s="123" t="s">
        <v>2854</v>
      </c>
      <c r="U521" s="27"/>
    </row>
    <row r="522" s="989" customFormat="1" ht="15" customHeight="1" spans="1:21">
      <c r="A522" s="1104"/>
      <c r="B522" s="1099"/>
      <c r="C522" s="123"/>
      <c r="D522" s="123"/>
      <c r="E522" s="123"/>
      <c r="F522" s="26" t="s">
        <v>6497</v>
      </c>
      <c r="G522" s="25"/>
      <c r="H522" s="29"/>
      <c r="I522" s="29"/>
      <c r="J522" s="29"/>
      <c r="K522" s="29"/>
      <c r="L522" s="1005"/>
      <c r="M522" s="29"/>
      <c r="N522" s="29"/>
      <c r="O522" s="66">
        <v>0.00610092862555711</v>
      </c>
      <c r="P522" s="66">
        <v>3.73953130643552</v>
      </c>
      <c r="Q522" s="66" t="s">
        <v>1428</v>
      </c>
      <c r="R522" s="1070">
        <v>0.3</v>
      </c>
      <c r="S522" s="66">
        <f t="shared" si="12"/>
        <v>4.04563223506108</v>
      </c>
      <c r="T522" s="123"/>
      <c r="U522" s="27"/>
    </row>
    <row r="523" s="990" customFormat="1" ht="15" customHeight="1" spans="1:21">
      <c r="A523" s="1104"/>
      <c r="B523" s="1099"/>
      <c r="C523" s="123"/>
      <c r="D523" s="123"/>
      <c r="E523" s="123"/>
      <c r="F523" s="27" t="s">
        <v>703</v>
      </c>
      <c r="G523" s="123"/>
      <c r="H523" s="29"/>
      <c r="I523" s="29"/>
      <c r="J523" s="29"/>
      <c r="K523" s="29"/>
      <c r="L523" s="1005"/>
      <c r="M523" s="29"/>
      <c r="N523" s="29"/>
      <c r="O523" s="66">
        <v>1.19211822660099</v>
      </c>
      <c r="P523" s="66">
        <v>5.68472906403941</v>
      </c>
      <c r="Q523" s="66" t="s">
        <v>1428</v>
      </c>
      <c r="R523" s="66">
        <v>0.4</v>
      </c>
      <c r="S523" s="66">
        <f t="shared" si="12"/>
        <v>7.2768472906404</v>
      </c>
      <c r="T523" s="157"/>
      <c r="U523" s="1021" t="s">
        <v>3118</v>
      </c>
    </row>
    <row r="524" s="990" customFormat="1" ht="15" customHeight="1" spans="1:21">
      <c r="A524" s="1104"/>
      <c r="B524" s="1099"/>
      <c r="C524" s="123"/>
      <c r="D524" s="123"/>
      <c r="E524" s="123"/>
      <c r="F524" s="27" t="s">
        <v>706</v>
      </c>
      <c r="G524" s="123"/>
      <c r="H524" s="29"/>
      <c r="I524" s="29"/>
      <c r="J524" s="29"/>
      <c r="K524" s="29"/>
      <c r="L524" s="1005"/>
      <c r="M524" s="29"/>
      <c r="N524" s="29"/>
      <c r="O524" s="66">
        <v>0.0689655172413793</v>
      </c>
      <c r="P524" s="66">
        <v>0.305418719211823</v>
      </c>
      <c r="Q524" s="66" t="s">
        <v>1428</v>
      </c>
      <c r="R524" s="66">
        <v>0.2</v>
      </c>
      <c r="S524" s="66">
        <f t="shared" si="12"/>
        <v>0.574384236453202</v>
      </c>
      <c r="T524" s="157"/>
      <c r="U524" s="27"/>
    </row>
    <row r="525" s="989" customFormat="1" ht="15" customHeight="1" spans="1:21">
      <c r="A525" s="1083"/>
      <c r="B525" s="1098" t="s">
        <v>6498</v>
      </c>
      <c r="C525" s="123"/>
      <c r="D525" s="29"/>
      <c r="E525" s="123"/>
      <c r="F525" s="26" t="s">
        <v>1565</v>
      </c>
      <c r="G525" s="27" t="s">
        <v>1933</v>
      </c>
      <c r="H525" s="28" t="s">
        <v>3794</v>
      </c>
      <c r="I525" s="29" t="s">
        <v>3624</v>
      </c>
      <c r="J525" s="29" t="s">
        <v>3891</v>
      </c>
      <c r="K525" s="29" t="s">
        <v>1428</v>
      </c>
      <c r="L525" s="1005" t="s">
        <v>1428</v>
      </c>
      <c r="M525" s="29" t="s">
        <v>1428</v>
      </c>
      <c r="N525" s="29" t="s">
        <v>1428</v>
      </c>
      <c r="O525" s="31">
        <v>4.84729064039409</v>
      </c>
      <c r="P525" s="31">
        <v>14.0492610837438</v>
      </c>
      <c r="Q525" s="29" t="s">
        <v>1428</v>
      </c>
      <c r="R525" s="31">
        <v>3.02922485832292</v>
      </c>
      <c r="S525" s="31">
        <f t="shared" si="12"/>
        <v>21.9257765824608</v>
      </c>
      <c r="T525" s="123" t="s">
        <v>3719</v>
      </c>
      <c r="U525" s="25" t="s">
        <v>6499</v>
      </c>
    </row>
    <row r="526" s="989" customFormat="1" ht="15" customHeight="1" spans="1:21">
      <c r="A526" s="1083"/>
      <c r="B526" s="1099"/>
      <c r="C526" s="123"/>
      <c r="D526" s="29"/>
      <c r="E526" s="123" t="s">
        <v>6500</v>
      </c>
      <c r="F526" s="26" t="s">
        <v>6501</v>
      </c>
      <c r="G526" s="27"/>
      <c r="H526" s="29"/>
      <c r="I526" s="29"/>
      <c r="J526" s="29"/>
      <c r="K526" s="29"/>
      <c r="L526" s="1005"/>
      <c r="M526" s="29"/>
      <c r="N526" s="29"/>
      <c r="O526" s="31">
        <v>0.689655172413793</v>
      </c>
      <c r="P526" s="31">
        <v>4.45320197044335</v>
      </c>
      <c r="Q526" s="29" t="s">
        <v>1428</v>
      </c>
      <c r="R526" s="66">
        <v>0.4</v>
      </c>
      <c r="S526" s="31">
        <f t="shared" si="12"/>
        <v>5.54285714285714</v>
      </c>
      <c r="T526" s="123"/>
      <c r="U526" s="25" t="s">
        <v>6502</v>
      </c>
    </row>
    <row r="527" s="989" customFormat="1" ht="15" customHeight="1" spans="1:21">
      <c r="A527" s="1083"/>
      <c r="B527" s="1100"/>
      <c r="C527" s="123"/>
      <c r="D527" s="29"/>
      <c r="E527" s="123" t="s">
        <v>6503</v>
      </c>
      <c r="F527" s="26" t="s">
        <v>6504</v>
      </c>
      <c r="G527" s="27"/>
      <c r="H527" s="29"/>
      <c r="I527" s="29"/>
      <c r="J527" s="29"/>
      <c r="K527" s="29"/>
      <c r="L527" s="1005"/>
      <c r="M527" s="29"/>
      <c r="N527" s="29"/>
      <c r="O527" s="31">
        <v>0.689655172413793</v>
      </c>
      <c r="P527" s="31">
        <v>1.19211822660099</v>
      </c>
      <c r="Q527" s="29" t="s">
        <v>1428</v>
      </c>
      <c r="R527" s="66">
        <v>0.4</v>
      </c>
      <c r="S527" s="31">
        <f t="shared" si="12"/>
        <v>2.28177339901478</v>
      </c>
      <c r="T527" s="123"/>
      <c r="U527" s="25"/>
    </row>
    <row r="528" s="991" customFormat="1" ht="15" spans="1:21">
      <c r="A528" s="1083"/>
      <c r="B528" s="1105" t="s">
        <v>6505</v>
      </c>
      <c r="C528" s="1014"/>
      <c r="D528" s="29"/>
      <c r="E528" s="1014"/>
      <c r="F528" s="1106" t="s">
        <v>1617</v>
      </c>
      <c r="G528" s="1107" t="s">
        <v>1933</v>
      </c>
      <c r="H528" s="28" t="s">
        <v>3853</v>
      </c>
      <c r="I528" s="29" t="s">
        <v>4669</v>
      </c>
      <c r="J528" s="29" t="s">
        <v>3787</v>
      </c>
      <c r="K528" s="29" t="s">
        <v>1428</v>
      </c>
      <c r="L528" s="1005">
        <f>8*2</f>
        <v>16</v>
      </c>
      <c r="M528" s="1006" t="s">
        <v>4671</v>
      </c>
      <c r="N528" s="29">
        <v>3.5</v>
      </c>
      <c r="O528" s="31">
        <v>4.87</v>
      </c>
      <c r="P528" s="31">
        <v>14.23</v>
      </c>
      <c r="Q528" s="29" t="s">
        <v>1428</v>
      </c>
      <c r="R528" s="31">
        <v>3.02922485832292</v>
      </c>
      <c r="S528" s="31">
        <f t="shared" si="12"/>
        <v>41.6292248583229</v>
      </c>
      <c r="T528" s="1010" t="s">
        <v>4596</v>
      </c>
      <c r="U528" s="123" t="s">
        <v>6506</v>
      </c>
    </row>
    <row r="529" s="993" customFormat="1" ht="15" spans="1:21">
      <c r="A529" s="1108"/>
      <c r="B529" s="1109"/>
      <c r="C529" s="725"/>
      <c r="D529" s="153"/>
      <c r="E529" s="725"/>
      <c r="F529" s="755" t="s">
        <v>1629</v>
      </c>
      <c r="G529" s="721" t="s">
        <v>6507</v>
      </c>
      <c r="H529" s="896" t="s">
        <v>3794</v>
      </c>
      <c r="I529" s="153" t="s">
        <v>4669</v>
      </c>
      <c r="J529" s="153" t="s">
        <v>6453</v>
      </c>
      <c r="K529" s="153"/>
      <c r="L529" s="924"/>
      <c r="M529" s="1019"/>
      <c r="N529" s="153"/>
      <c r="O529" s="727"/>
      <c r="P529" s="727">
        <v>11.1653101027387</v>
      </c>
      <c r="Q529" s="153"/>
      <c r="R529" s="31">
        <v>3</v>
      </c>
      <c r="S529" s="31">
        <f t="shared" si="12"/>
        <v>14.1653101027387</v>
      </c>
      <c r="T529" s="1018" t="s">
        <v>4596</v>
      </c>
      <c r="U529" s="923" t="s">
        <v>6508</v>
      </c>
    </row>
    <row r="530" s="989" customFormat="1" ht="14" customHeight="1" spans="1:21">
      <c r="A530" s="1083"/>
      <c r="B530" s="1072" t="s">
        <v>6509</v>
      </c>
      <c r="C530" s="1014"/>
      <c r="D530" s="29"/>
      <c r="E530" s="1014"/>
      <c r="F530" s="26" t="s">
        <v>1571</v>
      </c>
      <c r="G530" s="27" t="s">
        <v>1933</v>
      </c>
      <c r="H530" s="28" t="s">
        <v>3794</v>
      </c>
      <c r="I530" s="29" t="s">
        <v>6510</v>
      </c>
      <c r="J530" s="29" t="s">
        <v>3891</v>
      </c>
      <c r="K530" s="29" t="s">
        <v>1428</v>
      </c>
      <c r="L530" s="65">
        <f>3.5*2</f>
        <v>7</v>
      </c>
      <c r="M530" s="65">
        <v>6.6</v>
      </c>
      <c r="N530" s="29" t="s">
        <v>1428</v>
      </c>
      <c r="O530" s="31">
        <v>2.95842766001235</v>
      </c>
      <c r="P530" s="31">
        <v>22.8374384236453</v>
      </c>
      <c r="Q530" s="29" t="s">
        <v>1428</v>
      </c>
      <c r="R530" s="31">
        <v>3.02922485832292</v>
      </c>
      <c r="S530" s="31">
        <f t="shared" si="12"/>
        <v>42.4250909419806</v>
      </c>
      <c r="T530" s="123" t="s">
        <v>4707</v>
      </c>
      <c r="U530" s="25" t="s">
        <v>6511</v>
      </c>
    </row>
    <row r="531" s="989" customFormat="1" ht="14" customHeight="1" spans="1:21">
      <c r="A531" s="1083"/>
      <c r="B531" s="1072"/>
      <c r="C531" s="1014"/>
      <c r="D531" s="29"/>
      <c r="E531" s="1014"/>
      <c r="F531" s="26" t="s">
        <v>6512</v>
      </c>
      <c r="G531" s="27" t="s">
        <v>1933</v>
      </c>
      <c r="H531" s="28" t="s">
        <v>3794</v>
      </c>
      <c r="I531" s="29" t="s">
        <v>3898</v>
      </c>
      <c r="J531" s="29" t="s">
        <v>3891</v>
      </c>
      <c r="K531" s="29" t="s">
        <v>1428</v>
      </c>
      <c r="L531" s="1005" t="s">
        <v>1428</v>
      </c>
      <c r="M531" s="65">
        <v>6.6</v>
      </c>
      <c r="N531" s="29" t="s">
        <v>1428</v>
      </c>
      <c r="O531" s="31">
        <v>2.95842766001235</v>
      </c>
      <c r="P531" s="31">
        <v>22.8374384236453</v>
      </c>
      <c r="Q531" s="29" t="s">
        <v>1428</v>
      </c>
      <c r="R531" s="31">
        <v>3.02922485832292</v>
      </c>
      <c r="S531" s="31">
        <f t="shared" si="12"/>
        <v>35.4250909419806</v>
      </c>
      <c r="T531" s="123" t="s">
        <v>3899</v>
      </c>
      <c r="U531" s="25" t="s">
        <v>6513</v>
      </c>
    </row>
    <row r="532" s="989" customFormat="1" ht="14" customHeight="1" spans="1:21">
      <c r="A532" s="1083"/>
      <c r="B532" s="1072"/>
      <c r="C532" s="1014"/>
      <c r="D532" s="29"/>
      <c r="E532" s="1014"/>
      <c r="F532" s="26" t="s">
        <v>1685</v>
      </c>
      <c r="G532" s="27" t="s">
        <v>1933</v>
      </c>
      <c r="H532" s="28" t="s">
        <v>3794</v>
      </c>
      <c r="I532" s="29" t="s">
        <v>3898</v>
      </c>
      <c r="J532" s="29" t="s">
        <v>3874</v>
      </c>
      <c r="K532" s="29" t="s">
        <v>1428</v>
      </c>
      <c r="L532" s="1005" t="s">
        <v>1428</v>
      </c>
      <c r="M532" s="65">
        <v>6.6</v>
      </c>
      <c r="N532" s="29">
        <v>2.5</v>
      </c>
      <c r="O532" s="31">
        <v>2.95842766001235</v>
      </c>
      <c r="P532" s="31">
        <v>24.3553864532634</v>
      </c>
      <c r="Q532" s="29" t="s">
        <v>1428</v>
      </c>
      <c r="R532" s="31">
        <v>3.02922485832292</v>
      </c>
      <c r="S532" s="31">
        <f t="shared" si="12"/>
        <v>39.4430389715987</v>
      </c>
      <c r="T532" s="145" t="s">
        <v>3899</v>
      </c>
      <c r="U532" s="25" t="s">
        <v>6514</v>
      </c>
    </row>
    <row r="533" s="193" customFormat="1" ht="14" customHeight="1" spans="1:21">
      <c r="A533" s="1108"/>
      <c r="B533" s="1110"/>
      <c r="C533" s="725">
        <v>20250408</v>
      </c>
      <c r="D533" s="153">
        <v>7.25</v>
      </c>
      <c r="E533" s="725" t="s">
        <v>6515</v>
      </c>
      <c r="F533" s="755" t="s">
        <v>1669</v>
      </c>
      <c r="G533" s="721" t="s">
        <v>6516</v>
      </c>
      <c r="H533" s="896" t="s">
        <v>3794</v>
      </c>
      <c r="I533" s="153" t="s">
        <v>3898</v>
      </c>
      <c r="J533" s="153" t="s">
        <v>1635</v>
      </c>
      <c r="K533" s="29" t="s">
        <v>1428</v>
      </c>
      <c r="L533" s="1019" t="s">
        <v>6517</v>
      </c>
      <c r="M533" s="1019" t="s">
        <v>6517</v>
      </c>
      <c r="N533" s="153">
        <v>3.3</v>
      </c>
      <c r="O533" s="727">
        <v>5.44408910588953</v>
      </c>
      <c r="P533" s="727">
        <v>20.0873629652522</v>
      </c>
      <c r="Q533" s="153"/>
      <c r="R533" s="727">
        <v>3.02922485832292</v>
      </c>
      <c r="S533" s="727">
        <f t="shared" si="12"/>
        <v>31.8606769294646</v>
      </c>
      <c r="T533" s="1111" t="s">
        <v>6518</v>
      </c>
      <c r="U533" s="149" t="s">
        <v>6519</v>
      </c>
    </row>
    <row r="534" s="989" customFormat="1" spans="1:21">
      <c r="A534" s="1083"/>
      <c r="B534" s="1072"/>
      <c r="C534" s="1014"/>
      <c r="D534" s="29"/>
      <c r="E534" s="1014" t="s">
        <v>6520</v>
      </c>
      <c r="F534" s="26" t="s">
        <v>6521</v>
      </c>
      <c r="G534" s="27"/>
      <c r="H534" s="29"/>
      <c r="I534" s="29"/>
      <c r="J534" s="147"/>
      <c r="K534" s="29"/>
      <c r="L534" s="1005"/>
      <c r="M534" s="29"/>
      <c r="N534" s="29"/>
      <c r="O534" s="31">
        <v>0.0886699507389163</v>
      </c>
      <c r="P534" s="31">
        <v>0.226600985221675</v>
      </c>
      <c r="Q534" s="29" t="s">
        <v>1428</v>
      </c>
      <c r="R534" s="66">
        <v>0.2</v>
      </c>
      <c r="S534" s="31">
        <f t="shared" si="12"/>
        <v>0.515270935960591</v>
      </c>
      <c r="T534" s="1015"/>
      <c r="U534" s="25"/>
    </row>
    <row r="535" s="989" customFormat="1" spans="1:21">
      <c r="A535" s="1083"/>
      <c r="B535" s="1072"/>
      <c r="C535" s="1014"/>
      <c r="D535" s="29"/>
      <c r="E535" s="1014" t="s">
        <v>6522</v>
      </c>
      <c r="F535" s="26" t="s">
        <v>6523</v>
      </c>
      <c r="G535" s="27"/>
      <c r="H535" s="29"/>
      <c r="I535" s="29"/>
      <c r="J535" s="29"/>
      <c r="K535" s="29"/>
      <c r="L535" s="1005"/>
      <c r="M535" s="29"/>
      <c r="N535" s="29"/>
      <c r="O535" s="31">
        <v>0.0413793103448276</v>
      </c>
      <c r="P535" s="31">
        <v>0.236453201970443</v>
      </c>
      <c r="Q535" s="29" t="s">
        <v>1428</v>
      </c>
      <c r="R535" s="66">
        <v>0.2</v>
      </c>
      <c r="S535" s="31">
        <f t="shared" si="12"/>
        <v>0.477832512315271</v>
      </c>
      <c r="T535" s="1010"/>
      <c r="U535" s="25"/>
    </row>
    <row r="536" s="799" customFormat="1" ht="30" spans="1:21">
      <c r="A536" s="1112"/>
      <c r="B536" s="1113" t="s">
        <v>6524</v>
      </c>
      <c r="C536" s="142"/>
      <c r="D536" s="142"/>
      <c r="E536" s="142"/>
      <c r="F536" s="1114" t="s">
        <v>6525</v>
      </c>
      <c r="G536" s="25" t="s">
        <v>1933</v>
      </c>
      <c r="H536" s="29" t="s">
        <v>2951</v>
      </c>
      <c r="I536" s="29" t="s">
        <v>1428</v>
      </c>
      <c r="J536" s="29" t="s">
        <v>1428</v>
      </c>
      <c r="K536" s="1071" t="s">
        <v>712</v>
      </c>
      <c r="L536" s="1005" t="s">
        <v>1428</v>
      </c>
      <c r="M536" s="29" t="s">
        <v>1428</v>
      </c>
      <c r="N536" s="29" t="s">
        <v>1428</v>
      </c>
      <c r="O536" s="66">
        <v>9.38305941845765</v>
      </c>
      <c r="P536" s="1115">
        <v>38.2102039869157</v>
      </c>
      <c r="Q536" s="66" t="s">
        <v>1428</v>
      </c>
      <c r="R536" s="31">
        <v>5.04870809720488</v>
      </c>
      <c r="S536" s="66">
        <f t="shared" si="12"/>
        <v>52.6419715025782</v>
      </c>
      <c r="T536" s="1116" t="s">
        <v>1979</v>
      </c>
      <c r="U536" s="1117"/>
    </row>
    <row r="537" s="799" customFormat="1" ht="30" spans="1:21">
      <c r="A537" s="1112"/>
      <c r="B537" s="1118"/>
      <c r="C537" s="142"/>
      <c r="D537" s="142"/>
      <c r="E537" s="1116"/>
      <c r="F537" s="1114" t="s">
        <v>6526</v>
      </c>
      <c r="G537" s="25"/>
      <c r="H537" s="29"/>
      <c r="I537" s="29"/>
      <c r="J537" s="29"/>
      <c r="K537" s="29"/>
      <c r="L537" s="1005"/>
      <c r="M537" s="29"/>
      <c r="N537" s="29"/>
      <c r="O537" s="29"/>
      <c r="P537" s="1115">
        <v>7.60430612456687</v>
      </c>
      <c r="Q537" s="66" t="s">
        <v>1428</v>
      </c>
      <c r="R537" s="66">
        <v>0.4</v>
      </c>
      <c r="S537" s="66">
        <f t="shared" si="12"/>
        <v>8.00430612456687</v>
      </c>
      <c r="T537" s="1116"/>
      <c r="U537" s="1117"/>
    </row>
    <row r="538" s="989" customFormat="1" ht="15" spans="1:21">
      <c r="A538" s="1061"/>
      <c r="B538" s="1015" t="s">
        <v>6527</v>
      </c>
      <c r="C538" s="123"/>
      <c r="D538" s="123"/>
      <c r="E538" s="123"/>
      <c r="F538" s="26" t="s">
        <v>1565</v>
      </c>
      <c r="G538" s="25" t="s">
        <v>1933</v>
      </c>
      <c r="H538" s="29" t="s">
        <v>4159</v>
      </c>
      <c r="I538" s="31" t="s">
        <v>1913</v>
      </c>
      <c r="J538" s="29" t="s">
        <v>4314</v>
      </c>
      <c r="K538" s="29" t="s">
        <v>1428</v>
      </c>
      <c r="L538" s="1005" t="s">
        <v>1428</v>
      </c>
      <c r="M538" s="29" t="s">
        <v>1428</v>
      </c>
      <c r="N538" s="29" t="s">
        <v>1428</v>
      </c>
      <c r="O538" s="66">
        <v>5.8</v>
      </c>
      <c r="P538" s="66">
        <v>20.0190476190476</v>
      </c>
      <c r="Q538" s="66" t="s">
        <v>1428</v>
      </c>
      <c r="R538" s="31">
        <v>5.04870809720488</v>
      </c>
      <c r="S538" s="1070">
        <f t="shared" si="12"/>
        <v>30.8677557162525</v>
      </c>
      <c r="T538" s="1041" t="s">
        <v>2854</v>
      </c>
      <c r="U538" s="27" t="s">
        <v>6528</v>
      </c>
    </row>
    <row r="539" s="989" customFormat="1" ht="15" customHeight="1" spans="1:21">
      <c r="A539" s="1061"/>
      <c r="B539" s="1015"/>
      <c r="C539" s="123"/>
      <c r="D539" s="123"/>
      <c r="E539" s="123"/>
      <c r="F539" s="27" t="s">
        <v>396</v>
      </c>
      <c r="G539" s="25"/>
      <c r="H539" s="29"/>
      <c r="I539" s="29"/>
      <c r="J539" s="29"/>
      <c r="K539" s="29"/>
      <c r="L539" s="1005"/>
      <c r="M539" s="29"/>
      <c r="N539" s="29"/>
      <c r="O539" s="66">
        <v>0.403940886699507</v>
      </c>
      <c r="P539" s="66">
        <v>2.16748768472906</v>
      </c>
      <c r="Q539" s="66" t="s">
        <v>1428</v>
      </c>
      <c r="R539" s="66">
        <v>0.4</v>
      </c>
      <c r="S539" s="66">
        <f t="shared" si="12"/>
        <v>2.97142857142857</v>
      </c>
      <c r="T539" s="123"/>
      <c r="U539" s="27"/>
    </row>
    <row r="540" s="991" customFormat="1" ht="15" spans="1:21">
      <c r="B540" s="1015" t="s">
        <v>6529</v>
      </c>
      <c r="C540" s="123"/>
      <c r="D540" s="123"/>
      <c r="E540" s="123"/>
      <c r="F540" s="26" t="s">
        <v>1645</v>
      </c>
      <c r="G540" s="25" t="s">
        <v>1933</v>
      </c>
      <c r="H540" s="29" t="s">
        <v>4159</v>
      </c>
      <c r="I540" s="31" t="s">
        <v>1913</v>
      </c>
      <c r="J540" s="29" t="s">
        <v>6530</v>
      </c>
      <c r="K540" s="29" t="s">
        <v>1428</v>
      </c>
      <c r="L540" s="1005" t="s">
        <v>1428</v>
      </c>
      <c r="M540" s="29" t="s">
        <v>1428</v>
      </c>
      <c r="N540" s="1096">
        <v>2.3</v>
      </c>
      <c r="O540" s="66">
        <v>7.05</v>
      </c>
      <c r="P540" s="66">
        <v>24.4729064039409</v>
      </c>
      <c r="Q540" s="66" t="s">
        <v>1428</v>
      </c>
      <c r="R540" s="1070">
        <v>5</v>
      </c>
      <c r="S540" s="66">
        <f t="shared" si="12"/>
        <v>38.8229064039409</v>
      </c>
      <c r="T540" s="1119" t="s">
        <v>1526</v>
      </c>
      <c r="U540" s="27" t="s">
        <v>6531</v>
      </c>
    </row>
    <row r="541" s="991" customFormat="1" spans="1:21">
      <c r="B541" s="1015"/>
      <c r="C541" s="123"/>
      <c r="D541" s="123"/>
      <c r="E541" s="123"/>
      <c r="F541" s="26" t="s">
        <v>665</v>
      </c>
      <c r="G541" s="25"/>
      <c r="H541" s="29"/>
      <c r="I541" s="31"/>
      <c r="J541" s="29"/>
      <c r="K541" s="29"/>
      <c r="L541" s="1005"/>
      <c r="M541" s="29"/>
      <c r="N541" s="29"/>
      <c r="O541" s="66">
        <v>0.38423645320197</v>
      </c>
      <c r="P541" s="66">
        <v>0.344827586206897</v>
      </c>
      <c r="Q541" s="66" t="s">
        <v>1428</v>
      </c>
      <c r="R541" s="66">
        <v>0.4</v>
      </c>
      <c r="S541" s="66">
        <f t="shared" si="12"/>
        <v>1.12906403940887</v>
      </c>
      <c r="T541" s="1041"/>
      <c r="U541" s="27"/>
    </row>
    <row r="542" s="991" customFormat="1" spans="1:21">
      <c r="B542" s="1015"/>
      <c r="C542" s="123"/>
      <c r="D542" s="123"/>
      <c r="E542" s="123"/>
      <c r="F542" s="26" t="s">
        <v>1030</v>
      </c>
      <c r="G542" s="25"/>
      <c r="H542" s="29"/>
      <c r="I542" s="31"/>
      <c r="J542" s="29"/>
      <c r="K542" s="29"/>
      <c r="L542" s="1005"/>
      <c r="M542" s="29"/>
      <c r="N542" s="29"/>
      <c r="O542" s="66">
        <v>0.315270935960591</v>
      </c>
      <c r="P542" s="66">
        <v>1.16256157635468</v>
      </c>
      <c r="Q542" s="66" t="s">
        <v>1428</v>
      </c>
      <c r="R542" s="66">
        <v>0.4</v>
      </c>
      <c r="S542" s="66">
        <f t="shared" si="12"/>
        <v>1.87783251231527</v>
      </c>
      <c r="T542" s="1041"/>
      <c r="U542" s="27"/>
    </row>
    <row r="543" s="991" customFormat="1" spans="1:21">
      <c r="B543" s="1015"/>
      <c r="C543" s="123"/>
      <c r="D543" s="123"/>
      <c r="E543" s="123"/>
      <c r="F543" s="26" t="s">
        <v>6532</v>
      </c>
      <c r="G543" s="25"/>
      <c r="H543" s="29"/>
      <c r="I543" s="31"/>
      <c r="J543" s="29"/>
      <c r="K543" s="29"/>
      <c r="L543" s="1005"/>
      <c r="M543" s="29"/>
      <c r="N543" s="29"/>
      <c r="O543" s="66">
        <v>0.21</v>
      </c>
      <c r="P543" s="66">
        <v>0.591133004926108</v>
      </c>
      <c r="Q543" s="66" t="s">
        <v>1428</v>
      </c>
      <c r="R543" s="66">
        <v>0.4</v>
      </c>
      <c r="S543" s="66">
        <f t="shared" si="12"/>
        <v>1.20113300492611</v>
      </c>
      <c r="T543" s="1041"/>
      <c r="U543" s="27"/>
    </row>
    <row r="544" s="991" customFormat="1" spans="1:21">
      <c r="B544" s="1015"/>
      <c r="C544" s="123"/>
      <c r="D544" s="123"/>
      <c r="E544" s="123"/>
      <c r="F544" s="27" t="s">
        <v>669</v>
      </c>
      <c r="G544" s="123"/>
      <c r="H544" s="29"/>
      <c r="I544" s="29"/>
      <c r="J544" s="29"/>
      <c r="K544" s="29"/>
      <c r="L544" s="1005"/>
      <c r="M544" s="29"/>
      <c r="N544" s="29"/>
      <c r="O544" s="66">
        <v>0.157635467980296</v>
      </c>
      <c r="P544" s="66">
        <v>0.423645320197044</v>
      </c>
      <c r="Q544" s="66" t="s">
        <v>1428</v>
      </c>
      <c r="R544" s="66">
        <v>0.4</v>
      </c>
      <c r="S544" s="66">
        <f t="shared" si="12"/>
        <v>0.98128078817734</v>
      </c>
      <c r="T544" s="157"/>
      <c r="U544" s="27"/>
    </row>
    <row r="545" s="42" customFormat="1" ht="15" spans="1:22">
      <c r="A545" s="1120"/>
      <c r="B545" s="21" t="s">
        <v>6533</v>
      </c>
      <c r="C545" s="23"/>
      <c r="D545" s="23"/>
      <c r="E545" s="23"/>
      <c r="F545" s="23" t="s">
        <v>2314</v>
      </c>
      <c r="G545" s="20" t="s">
        <v>1933</v>
      </c>
      <c r="H545" s="21" t="s">
        <v>6534</v>
      </c>
      <c r="I545" s="21" t="s">
        <v>1913</v>
      </c>
      <c r="J545" s="21" t="s">
        <v>1428</v>
      </c>
      <c r="K545" s="36" t="s">
        <v>1428</v>
      </c>
      <c r="L545" s="36" t="s">
        <v>1428</v>
      </c>
      <c r="M545" s="36" t="s">
        <v>1428</v>
      </c>
      <c r="N545" s="36" t="s">
        <v>1428</v>
      </c>
      <c r="O545" s="22">
        <v>3.54450348826197</v>
      </c>
      <c r="P545" s="22">
        <v>20.5615763546798</v>
      </c>
      <c r="Q545" s="21" t="s">
        <v>1428</v>
      </c>
      <c r="R545" s="37">
        <v>3.06630934310253</v>
      </c>
      <c r="S545" s="37">
        <f t="shared" si="12"/>
        <v>27.1723891860443</v>
      </c>
      <c r="T545" s="167" t="s">
        <v>1526</v>
      </c>
      <c r="U545" s="20" t="s">
        <v>6535</v>
      </c>
      <c r="V545" s="120" t="s">
        <v>1406</v>
      </c>
    </row>
    <row r="546" s="42" customFormat="1" ht="15" spans="1:22">
      <c r="A546" s="1120"/>
      <c r="B546" s="21"/>
      <c r="C546" s="23"/>
      <c r="D546" s="23"/>
      <c r="E546" s="23"/>
      <c r="F546" s="23" t="s">
        <v>2459</v>
      </c>
      <c r="G546" s="20" t="s">
        <v>1933</v>
      </c>
      <c r="H546" s="21" t="s">
        <v>6536</v>
      </c>
      <c r="I546" s="21" t="s">
        <v>1913</v>
      </c>
      <c r="J546" s="21" t="s">
        <v>1428</v>
      </c>
      <c r="K546" s="1071" t="s">
        <v>712</v>
      </c>
      <c r="L546" s="36" t="s">
        <v>1428</v>
      </c>
      <c r="M546" s="36" t="s">
        <v>1428</v>
      </c>
      <c r="N546" s="36" t="s">
        <v>1428</v>
      </c>
      <c r="O546" s="22">
        <v>3.54450348826197</v>
      </c>
      <c r="P546" s="22">
        <v>20.4630541871921</v>
      </c>
      <c r="Q546" s="21" t="s">
        <v>1428</v>
      </c>
      <c r="R546" s="37">
        <v>3.06630934310253</v>
      </c>
      <c r="S546" s="37">
        <f t="shared" si="12"/>
        <v>27.0738670185566</v>
      </c>
      <c r="T546" s="167" t="s">
        <v>1526</v>
      </c>
      <c r="U546" s="759" t="s">
        <v>6537</v>
      </c>
      <c r="V546" s="120" t="s">
        <v>1406</v>
      </c>
    </row>
    <row r="547" s="42" customFormat="1" ht="15" customHeight="1" spans="1:22">
      <c r="A547" s="1120"/>
      <c r="B547" s="21"/>
      <c r="C547" s="23"/>
      <c r="D547" s="23"/>
      <c r="E547" s="23"/>
      <c r="F547" s="23" t="s">
        <v>2483</v>
      </c>
      <c r="G547" s="20" t="s">
        <v>1933</v>
      </c>
      <c r="H547" s="21" t="s">
        <v>6420</v>
      </c>
      <c r="I547" s="21" t="s">
        <v>1913</v>
      </c>
      <c r="J547" s="21" t="s">
        <v>1428</v>
      </c>
      <c r="K547" s="36" t="s">
        <v>1428</v>
      </c>
      <c r="L547" s="36" t="s">
        <v>1428</v>
      </c>
      <c r="M547" s="36" t="s">
        <v>1428</v>
      </c>
      <c r="N547" s="36" t="s">
        <v>1428</v>
      </c>
      <c r="O547" s="22">
        <v>3.54450348826197</v>
      </c>
      <c r="P547" s="22">
        <v>20.4977288721131</v>
      </c>
      <c r="Q547" s="21" t="s">
        <v>1428</v>
      </c>
      <c r="R547" s="37">
        <v>3.06630934310253</v>
      </c>
      <c r="S547" s="37">
        <f t="shared" si="12"/>
        <v>27.1085417034776</v>
      </c>
      <c r="T547" s="167" t="s">
        <v>1526</v>
      </c>
      <c r="U547" s="20" t="s">
        <v>6535</v>
      </c>
      <c r="V547" s="120" t="s">
        <v>1406</v>
      </c>
    </row>
    <row r="548" s="42" customFormat="1" ht="15" customHeight="1" spans="1:22">
      <c r="A548" s="1120"/>
      <c r="B548" s="21"/>
      <c r="C548" s="23"/>
      <c r="D548" s="23"/>
      <c r="E548" s="23"/>
      <c r="F548" s="23" t="s">
        <v>2106</v>
      </c>
      <c r="G548" s="20" t="s">
        <v>3540</v>
      </c>
      <c r="H548" s="21" t="s">
        <v>6420</v>
      </c>
      <c r="I548" s="21" t="s">
        <v>1913</v>
      </c>
      <c r="J548" s="21" t="s">
        <v>6453</v>
      </c>
      <c r="K548" s="36" t="s">
        <v>1428</v>
      </c>
      <c r="L548" s="36" t="s">
        <v>1428</v>
      </c>
      <c r="M548" s="36" t="s">
        <v>1428</v>
      </c>
      <c r="N548" s="779" t="s">
        <v>1428</v>
      </c>
      <c r="O548" s="22">
        <v>3.54450348826197</v>
      </c>
      <c r="P548" s="22">
        <v>14.6513166911935</v>
      </c>
      <c r="Q548" s="21" t="s">
        <v>1428</v>
      </c>
      <c r="R548" s="37">
        <v>3.06630934310253</v>
      </c>
      <c r="S548" s="37">
        <f t="shared" si="12"/>
        <v>21.262129522558</v>
      </c>
      <c r="T548" s="167" t="s">
        <v>1526</v>
      </c>
      <c r="U548" s="20" t="s">
        <v>6538</v>
      </c>
      <c r="V548" s="120" t="s">
        <v>1406</v>
      </c>
    </row>
    <row r="549" s="42" customFormat="1" ht="15" customHeight="1" spans="1:22">
      <c r="A549" s="1120"/>
      <c r="B549" s="21"/>
      <c r="C549" s="23"/>
      <c r="D549" s="23"/>
      <c r="E549" s="23"/>
      <c r="F549" s="23" t="s">
        <v>2322</v>
      </c>
      <c r="G549" s="20" t="s">
        <v>1933</v>
      </c>
      <c r="H549" s="21" t="s">
        <v>6418</v>
      </c>
      <c r="I549" s="21" t="s">
        <v>1913</v>
      </c>
      <c r="J549" s="21" t="s">
        <v>1428</v>
      </c>
      <c r="K549" s="1071" t="s">
        <v>712</v>
      </c>
      <c r="L549" s="36" t="s">
        <v>1428</v>
      </c>
      <c r="M549" s="36" t="s">
        <v>1428</v>
      </c>
      <c r="N549" s="36" t="s">
        <v>1428</v>
      </c>
      <c r="O549" s="22">
        <v>3.54450348826197</v>
      </c>
      <c r="P549" s="22">
        <v>17.3005106525557</v>
      </c>
      <c r="Q549" s="21" t="s">
        <v>1428</v>
      </c>
      <c r="R549" s="37">
        <v>3.06630934310253</v>
      </c>
      <c r="S549" s="37">
        <f t="shared" si="12"/>
        <v>23.9113234839202</v>
      </c>
      <c r="T549" s="167" t="s">
        <v>1526</v>
      </c>
      <c r="U549" s="759" t="s">
        <v>6539</v>
      </c>
      <c r="V549" s="120" t="s">
        <v>1406</v>
      </c>
    </row>
    <row r="550" s="42" customFormat="1" ht="15" customHeight="1" spans="1:22">
      <c r="A550" s="1120"/>
      <c r="B550" s="21"/>
      <c r="C550" s="23"/>
      <c r="D550" s="23"/>
      <c r="E550" s="23"/>
      <c r="F550" s="23" t="s">
        <v>2501</v>
      </c>
      <c r="G550" s="20" t="s">
        <v>1933</v>
      </c>
      <c r="H550" s="21" t="s">
        <v>6420</v>
      </c>
      <c r="I550" s="21" t="s">
        <v>1913</v>
      </c>
      <c r="J550" s="21" t="s">
        <v>6530</v>
      </c>
      <c r="K550" s="36" t="s">
        <v>1428</v>
      </c>
      <c r="L550" s="36" t="s">
        <v>1428</v>
      </c>
      <c r="M550" s="36" t="s">
        <v>1428</v>
      </c>
      <c r="N550" s="1121">
        <v>2.3</v>
      </c>
      <c r="O550" s="22">
        <v>3.54450348826197</v>
      </c>
      <c r="P550" s="22">
        <v>21.0935960591133</v>
      </c>
      <c r="Q550" s="21" t="s">
        <v>1428</v>
      </c>
      <c r="R550" s="37">
        <v>3.06630934310253</v>
      </c>
      <c r="S550" s="37">
        <f t="shared" si="12"/>
        <v>30.0044088904778</v>
      </c>
      <c r="T550" s="167" t="s">
        <v>1526</v>
      </c>
      <c r="U550" s="20" t="s">
        <v>6540</v>
      </c>
      <c r="V550" s="120" t="s">
        <v>1406</v>
      </c>
    </row>
    <row r="551" s="42" customFormat="1" ht="15" customHeight="1" spans="1:22">
      <c r="A551" s="1120"/>
      <c r="B551" s="21"/>
      <c r="C551" s="23"/>
      <c r="D551" s="23"/>
      <c r="E551" s="23"/>
      <c r="F551" s="23" t="s">
        <v>1767</v>
      </c>
      <c r="G551" s="20" t="s">
        <v>1933</v>
      </c>
      <c r="H551" s="21" t="s">
        <v>6420</v>
      </c>
      <c r="I551" s="21" t="s">
        <v>1913</v>
      </c>
      <c r="J551" s="21" t="s">
        <v>1428</v>
      </c>
      <c r="K551" s="36" t="s">
        <v>1428</v>
      </c>
      <c r="L551" s="36" t="s">
        <v>1428</v>
      </c>
      <c r="M551" s="36" t="s">
        <v>1428</v>
      </c>
      <c r="N551" s="36" t="s">
        <v>1428</v>
      </c>
      <c r="O551" s="22">
        <v>3.54450348826197</v>
      </c>
      <c r="P551" s="22">
        <v>20.512315270936</v>
      </c>
      <c r="Q551" s="21" t="s">
        <v>1428</v>
      </c>
      <c r="R551" s="37">
        <v>3.06630934310253</v>
      </c>
      <c r="S551" s="37">
        <f t="shared" si="12"/>
        <v>27.1231281023005</v>
      </c>
      <c r="T551" s="167" t="s">
        <v>1526</v>
      </c>
      <c r="U551" s="20" t="s">
        <v>6540</v>
      </c>
      <c r="V551" s="120" t="s">
        <v>1406</v>
      </c>
    </row>
    <row r="552" s="42" customFormat="1" ht="15" customHeight="1" spans="1:22">
      <c r="A552" s="1120"/>
      <c r="B552" s="21"/>
      <c r="C552" s="23"/>
      <c r="D552" s="23"/>
      <c r="E552" s="23"/>
      <c r="F552" s="23" t="s">
        <v>6541</v>
      </c>
      <c r="G552" s="20" t="s">
        <v>1933</v>
      </c>
      <c r="H552" s="21" t="s">
        <v>6542</v>
      </c>
      <c r="I552" s="21" t="s">
        <v>1913</v>
      </c>
      <c r="J552" s="21" t="s">
        <v>1428</v>
      </c>
      <c r="K552" s="36" t="s">
        <v>1428</v>
      </c>
      <c r="L552" s="36" t="s">
        <v>1428</v>
      </c>
      <c r="M552" s="36" t="s">
        <v>1428</v>
      </c>
      <c r="N552" s="36" t="s">
        <v>1428</v>
      </c>
      <c r="O552" s="22">
        <v>3.54450348826197</v>
      </c>
      <c r="P552" s="22">
        <v>18.1258643207183</v>
      </c>
      <c r="Q552" s="21"/>
      <c r="R552" s="37">
        <v>0.256382544904428</v>
      </c>
      <c r="S552" s="37">
        <f t="shared" si="12"/>
        <v>21.9267503538847</v>
      </c>
      <c r="T552" s="167" t="s">
        <v>1526</v>
      </c>
      <c r="U552" s="20" t="s">
        <v>6543</v>
      </c>
      <c r="V552" s="120" t="s">
        <v>1406</v>
      </c>
    </row>
    <row r="553" s="42" customFormat="1" ht="15" customHeight="1" spans="1:22">
      <c r="A553" s="1120"/>
      <c r="B553" s="21"/>
      <c r="C553" s="23"/>
      <c r="D553" s="23"/>
      <c r="E553" s="23"/>
      <c r="F553" s="23" t="s">
        <v>6544</v>
      </c>
      <c r="G553" s="20" t="s">
        <v>1933</v>
      </c>
      <c r="H553" s="21" t="s">
        <v>6545</v>
      </c>
      <c r="I553" s="21" t="s">
        <v>1913</v>
      </c>
      <c r="J553" s="21" t="s">
        <v>1428</v>
      </c>
      <c r="K553" s="36" t="s">
        <v>1428</v>
      </c>
      <c r="L553" s="36" t="s">
        <v>1428</v>
      </c>
      <c r="M553" s="36" t="s">
        <v>1428</v>
      </c>
      <c r="N553" s="36" t="s">
        <v>1428</v>
      </c>
      <c r="O553" s="22">
        <v>3.54450348826197</v>
      </c>
      <c r="P553" s="22">
        <v>17.8992950976555</v>
      </c>
      <c r="Q553" s="21"/>
      <c r="R553" s="37">
        <v>0.256382544904428</v>
      </c>
      <c r="S553" s="37">
        <f t="shared" si="12"/>
        <v>21.7001811308219</v>
      </c>
      <c r="T553" s="167" t="s">
        <v>1526</v>
      </c>
      <c r="U553" s="20" t="s">
        <v>6546</v>
      </c>
      <c r="V553" s="120" t="s">
        <v>1406</v>
      </c>
    </row>
    <row r="554" s="42" customFormat="1" ht="15" customHeight="1" spans="1:22">
      <c r="A554" s="1120"/>
      <c r="B554" s="21"/>
      <c r="C554" s="23"/>
      <c r="D554" s="23"/>
      <c r="E554" s="23"/>
      <c r="F554" s="23" t="s">
        <v>2571</v>
      </c>
      <c r="G554" s="20" t="s">
        <v>1933</v>
      </c>
      <c r="H554" s="21" t="s">
        <v>6420</v>
      </c>
      <c r="I554" s="21" t="s">
        <v>1913</v>
      </c>
      <c r="J554" s="21" t="s">
        <v>1428</v>
      </c>
      <c r="K554" s="36" t="s">
        <v>1428</v>
      </c>
      <c r="L554" s="36" t="s">
        <v>1428</v>
      </c>
      <c r="M554" s="36" t="s">
        <v>1428</v>
      </c>
      <c r="N554" s="36" t="s">
        <v>1428</v>
      </c>
      <c r="O554" s="22">
        <v>3.54450348826197</v>
      </c>
      <c r="P554" s="22">
        <v>20.2758620689655</v>
      </c>
      <c r="Q554" s="21" t="s">
        <v>1428</v>
      </c>
      <c r="R554" s="37">
        <v>3.06630934310253</v>
      </c>
      <c r="S554" s="37">
        <f t="shared" si="12"/>
        <v>26.88667490033</v>
      </c>
      <c r="T554" s="167" t="s">
        <v>1526</v>
      </c>
      <c r="U554" s="20" t="s">
        <v>6540</v>
      </c>
      <c r="V554" s="120" t="s">
        <v>1406</v>
      </c>
    </row>
    <row r="555" s="42" customFormat="1" ht="15" customHeight="1" spans="1:22">
      <c r="A555" s="1120"/>
      <c r="B555" s="21"/>
      <c r="C555" s="23"/>
      <c r="D555" s="23"/>
      <c r="E555" s="23"/>
      <c r="F555" s="23" t="s">
        <v>2575</v>
      </c>
      <c r="G555" s="20" t="s">
        <v>1933</v>
      </c>
      <c r="H555" s="21" t="s">
        <v>6418</v>
      </c>
      <c r="I555" s="21" t="s">
        <v>1913</v>
      </c>
      <c r="J555" s="21" t="s">
        <v>1428</v>
      </c>
      <c r="K555" s="1071" t="s">
        <v>712</v>
      </c>
      <c r="L555" s="36" t="s">
        <v>1428</v>
      </c>
      <c r="M555" s="36" t="s">
        <v>1428</v>
      </c>
      <c r="N555" s="36" t="s">
        <v>1428</v>
      </c>
      <c r="O555" s="22">
        <v>3.54450348826197</v>
      </c>
      <c r="P555" s="22">
        <v>18.4681302484513</v>
      </c>
      <c r="Q555" s="21" t="s">
        <v>1428</v>
      </c>
      <c r="R555" s="37">
        <v>3.06630934310253</v>
      </c>
      <c r="S555" s="37">
        <f t="shared" si="12"/>
        <v>25.0789430798158</v>
      </c>
      <c r="T555" s="167" t="s">
        <v>1526</v>
      </c>
      <c r="U555" s="759" t="s">
        <v>6547</v>
      </c>
      <c r="V555" s="120" t="s">
        <v>1406</v>
      </c>
    </row>
    <row r="556" s="42" customFormat="1" ht="15" customHeight="1" spans="1:22">
      <c r="A556" s="1120"/>
      <c r="B556" s="21"/>
      <c r="C556" s="23"/>
      <c r="D556" s="23"/>
      <c r="E556" s="23"/>
      <c r="F556" s="23" t="s">
        <v>5120</v>
      </c>
      <c r="G556" s="20" t="s">
        <v>1933</v>
      </c>
      <c r="H556" s="21" t="s">
        <v>6423</v>
      </c>
      <c r="I556" s="21" t="s">
        <v>1913</v>
      </c>
      <c r="J556" s="21" t="s">
        <v>1428</v>
      </c>
      <c r="K556" s="36" t="s">
        <v>1428</v>
      </c>
      <c r="L556" s="36" t="s">
        <v>1428</v>
      </c>
      <c r="M556" s="36" t="s">
        <v>1428</v>
      </c>
      <c r="N556" s="36" t="s">
        <v>1428</v>
      </c>
      <c r="O556" s="22">
        <v>3.54450348826197</v>
      </c>
      <c r="P556" s="22">
        <v>22.5858983605329</v>
      </c>
      <c r="Q556" s="21" t="s">
        <v>1428</v>
      </c>
      <c r="R556" s="37">
        <v>3.06630934310253</v>
      </c>
      <c r="S556" s="37">
        <f t="shared" si="12"/>
        <v>29.1967111918974</v>
      </c>
      <c r="T556" s="167" t="s">
        <v>1526</v>
      </c>
      <c r="U556" s="20" t="s">
        <v>6548</v>
      </c>
      <c r="V556" s="120" t="s">
        <v>1406</v>
      </c>
    </row>
    <row r="557" s="42" customFormat="1" ht="15" customHeight="1" spans="1:22">
      <c r="A557" s="1120"/>
      <c r="B557" s="21"/>
      <c r="C557" s="23"/>
      <c r="D557" s="23"/>
      <c r="E557" s="23"/>
      <c r="F557" s="23" t="s">
        <v>2325</v>
      </c>
      <c r="G557" s="20" t="s">
        <v>1933</v>
      </c>
      <c r="H557" s="21" t="s">
        <v>6418</v>
      </c>
      <c r="I557" s="21" t="s">
        <v>1913</v>
      </c>
      <c r="J557" s="21" t="s">
        <v>1428</v>
      </c>
      <c r="K557" s="1071" t="s">
        <v>712</v>
      </c>
      <c r="L557" s="36" t="s">
        <v>1428</v>
      </c>
      <c r="M557" s="36" t="s">
        <v>1428</v>
      </c>
      <c r="N557" s="36" t="s">
        <v>1428</v>
      </c>
      <c r="O557" s="22">
        <v>3.54450348826197</v>
      </c>
      <c r="P557" s="22">
        <v>20.2955665024631</v>
      </c>
      <c r="Q557" s="21" t="s">
        <v>1428</v>
      </c>
      <c r="R557" s="37">
        <v>3.06630934310253</v>
      </c>
      <c r="S557" s="37">
        <f t="shared" si="12"/>
        <v>26.9063793338276</v>
      </c>
      <c r="T557" s="167" t="s">
        <v>1526</v>
      </c>
      <c r="U557" s="759" t="s">
        <v>6547</v>
      </c>
      <c r="V557" s="120" t="s">
        <v>1406</v>
      </c>
    </row>
    <row r="558" s="42" customFormat="1" ht="15" customHeight="1" spans="1:22">
      <c r="A558" s="1120"/>
      <c r="B558" s="21"/>
      <c r="C558" s="23"/>
      <c r="D558" s="23"/>
      <c r="E558" s="23"/>
      <c r="F558" s="23" t="s">
        <v>2403</v>
      </c>
      <c r="G558" s="20" t="s">
        <v>1933</v>
      </c>
      <c r="H558" s="21" t="s">
        <v>6420</v>
      </c>
      <c r="I558" s="21" t="s">
        <v>1913</v>
      </c>
      <c r="J558" s="21" t="s">
        <v>1428</v>
      </c>
      <c r="K558" s="36" t="s">
        <v>1428</v>
      </c>
      <c r="L558" s="36" t="s">
        <v>1428</v>
      </c>
      <c r="M558" s="36" t="s">
        <v>1428</v>
      </c>
      <c r="N558" s="36" t="s">
        <v>1428</v>
      </c>
      <c r="O558" s="22">
        <v>3.54450348826197</v>
      </c>
      <c r="P558" s="22">
        <v>20.1970443349754</v>
      </c>
      <c r="Q558" s="21" t="s">
        <v>1428</v>
      </c>
      <c r="R558" s="37">
        <v>3.06630934310253</v>
      </c>
      <c r="S558" s="37">
        <f t="shared" si="12"/>
        <v>26.8078571663399</v>
      </c>
      <c r="T558" s="167" t="s">
        <v>1526</v>
      </c>
      <c r="U558" s="20" t="s">
        <v>6540</v>
      </c>
      <c r="V558" s="120" t="s">
        <v>1406</v>
      </c>
    </row>
    <row r="559" s="42" customFormat="1" ht="15" customHeight="1" spans="1:22">
      <c r="A559" s="1120"/>
      <c r="B559" s="21"/>
      <c r="C559" s="23"/>
      <c r="D559" s="23"/>
      <c r="E559" s="23"/>
      <c r="F559" s="23" t="s">
        <v>2409</v>
      </c>
      <c r="G559" s="20" t="s">
        <v>1933</v>
      </c>
      <c r="H559" s="21" t="s">
        <v>6418</v>
      </c>
      <c r="I559" s="21" t="s">
        <v>1913</v>
      </c>
      <c r="J559" s="21" t="s">
        <v>1428</v>
      </c>
      <c r="K559" s="1071" t="s">
        <v>712</v>
      </c>
      <c r="L559" s="36" t="s">
        <v>1428</v>
      </c>
      <c r="M559" s="36" t="s">
        <v>1428</v>
      </c>
      <c r="N559" s="36" t="s">
        <v>1428</v>
      </c>
      <c r="O559" s="22">
        <v>3.54450348826197</v>
      </c>
      <c r="P559" s="22">
        <v>20.3152709359606</v>
      </c>
      <c r="Q559" s="21" t="s">
        <v>1428</v>
      </c>
      <c r="R559" s="37">
        <v>3.06630934310253</v>
      </c>
      <c r="S559" s="37">
        <f t="shared" si="12"/>
        <v>26.9260837673251</v>
      </c>
      <c r="T559" s="167" t="s">
        <v>1526</v>
      </c>
      <c r="U559" s="759" t="s">
        <v>6547</v>
      </c>
      <c r="V559" s="120" t="s">
        <v>1406</v>
      </c>
    </row>
    <row r="560" s="42" customFormat="1" ht="15" customHeight="1" spans="1:22">
      <c r="A560" s="1120"/>
      <c r="B560" s="21"/>
      <c r="C560" s="23"/>
      <c r="D560" s="23"/>
      <c r="E560" s="23"/>
      <c r="F560" s="23" t="s">
        <v>2729</v>
      </c>
      <c r="G560" s="20" t="s">
        <v>1933</v>
      </c>
      <c r="H560" s="21" t="s">
        <v>6418</v>
      </c>
      <c r="I560" s="21" t="s">
        <v>1913</v>
      </c>
      <c r="J560" s="21" t="s">
        <v>1428</v>
      </c>
      <c r="K560" s="1071" t="s">
        <v>712</v>
      </c>
      <c r="L560" s="36" t="s">
        <v>1428</v>
      </c>
      <c r="M560" s="36" t="s">
        <v>1428</v>
      </c>
      <c r="N560" s="36" t="s">
        <v>1428</v>
      </c>
      <c r="O560" s="22">
        <v>3.54450348826197</v>
      </c>
      <c r="P560" s="22">
        <v>17.4577645557669</v>
      </c>
      <c r="Q560" s="21" t="s">
        <v>1428</v>
      </c>
      <c r="R560" s="37">
        <v>3.06630934310253</v>
      </c>
      <c r="S560" s="37">
        <f t="shared" si="12"/>
        <v>24.0685773871314</v>
      </c>
      <c r="T560" s="167" t="s">
        <v>1526</v>
      </c>
      <c r="U560" s="759" t="s">
        <v>6549</v>
      </c>
      <c r="V560" s="120" t="s">
        <v>1406</v>
      </c>
    </row>
    <row r="561" s="42" customFormat="1" ht="15" customHeight="1" spans="1:22">
      <c r="A561" s="1120"/>
      <c r="B561" s="21"/>
      <c r="C561" s="23"/>
      <c r="D561" s="23"/>
      <c r="E561" s="23"/>
      <c r="F561" s="23" t="s">
        <v>6550</v>
      </c>
      <c r="G561" s="20" t="s">
        <v>1933</v>
      </c>
      <c r="H561" s="21" t="s">
        <v>6420</v>
      </c>
      <c r="I561" s="21" t="s">
        <v>1913</v>
      </c>
      <c r="J561" s="21" t="s">
        <v>1428</v>
      </c>
      <c r="K561" s="36" t="s">
        <v>1428</v>
      </c>
      <c r="L561" s="36" t="s">
        <v>1428</v>
      </c>
      <c r="M561" s="36" t="s">
        <v>1428</v>
      </c>
      <c r="N561" s="36" t="s">
        <v>1428</v>
      </c>
      <c r="O561" s="22">
        <v>3.54450348826197</v>
      </c>
      <c r="P561" s="22">
        <v>18.4917157334781</v>
      </c>
      <c r="Q561" s="21" t="s">
        <v>1428</v>
      </c>
      <c r="R561" s="37">
        <v>3.06630934310253</v>
      </c>
      <c r="S561" s="37">
        <f t="shared" si="12"/>
        <v>25.1025285648426</v>
      </c>
      <c r="T561" s="167" t="s">
        <v>1526</v>
      </c>
      <c r="U561" s="20" t="s">
        <v>6551</v>
      </c>
      <c r="V561" s="120" t="s">
        <v>1406</v>
      </c>
    </row>
    <row r="562" s="42" customFormat="1" ht="15" customHeight="1" spans="1:22">
      <c r="A562" s="1120"/>
      <c r="B562" s="21"/>
      <c r="C562" s="23"/>
      <c r="D562" s="23"/>
      <c r="E562" s="23"/>
      <c r="F562" s="23" t="s">
        <v>2329</v>
      </c>
      <c r="G562" s="20" t="s">
        <v>1933</v>
      </c>
      <c r="H562" s="21" t="s">
        <v>6418</v>
      </c>
      <c r="I562" s="21" t="s">
        <v>1913</v>
      </c>
      <c r="J562" s="21" t="s">
        <v>1428</v>
      </c>
      <c r="K562" s="1071" t="s">
        <v>712</v>
      </c>
      <c r="L562" s="36" t="s">
        <v>1428</v>
      </c>
      <c r="M562" s="36" t="s">
        <v>1428</v>
      </c>
      <c r="N562" s="36" t="s">
        <v>1428</v>
      </c>
      <c r="O562" s="22">
        <v>3.54450348826197</v>
      </c>
      <c r="P562" s="22">
        <v>19.92</v>
      </c>
      <c r="Q562" s="21" t="s">
        <v>1428</v>
      </c>
      <c r="R562" s="37">
        <v>3.06630934310253</v>
      </c>
      <c r="S562" s="37">
        <f t="shared" si="12"/>
        <v>26.5308128313645</v>
      </c>
      <c r="T562" s="167" t="s">
        <v>1526</v>
      </c>
      <c r="U562" s="759" t="s">
        <v>6547</v>
      </c>
      <c r="V562" s="120" t="s">
        <v>1406</v>
      </c>
    </row>
    <row r="563" s="42" customFormat="1" ht="15" customHeight="1" spans="1:22">
      <c r="A563" s="1120"/>
      <c r="B563" s="21"/>
      <c r="C563" s="23"/>
      <c r="D563" s="23"/>
      <c r="E563" s="23"/>
      <c r="F563" s="23" t="s">
        <v>2336</v>
      </c>
      <c r="G563" s="20" t="s">
        <v>1933</v>
      </c>
      <c r="H563" s="21" t="s">
        <v>6423</v>
      </c>
      <c r="I563" s="21" t="s">
        <v>1913</v>
      </c>
      <c r="J563" s="21" t="s">
        <v>1428</v>
      </c>
      <c r="K563" s="36" t="s">
        <v>1428</v>
      </c>
      <c r="L563" s="36" t="s">
        <v>1428</v>
      </c>
      <c r="M563" s="36" t="s">
        <v>1428</v>
      </c>
      <c r="N563" s="36" t="s">
        <v>1428</v>
      </c>
      <c r="O563" s="22">
        <v>3.54450348826197</v>
      </c>
      <c r="P563" s="22">
        <v>17.9210793482226</v>
      </c>
      <c r="Q563" s="21" t="s">
        <v>1428</v>
      </c>
      <c r="R563" s="37">
        <v>3.06630934310253</v>
      </c>
      <c r="S563" s="37">
        <f t="shared" si="12"/>
        <v>24.5318921795871</v>
      </c>
      <c r="T563" s="167" t="s">
        <v>1526</v>
      </c>
      <c r="U563" s="20" t="s">
        <v>6552</v>
      </c>
      <c r="V563" s="120" t="s">
        <v>1406</v>
      </c>
    </row>
    <row r="564" s="42" customFormat="1" ht="15" customHeight="1" spans="1:22">
      <c r="A564" s="1120"/>
      <c r="B564" s="21"/>
      <c r="C564" s="23"/>
      <c r="D564" s="23"/>
      <c r="E564" s="23"/>
      <c r="F564" s="23" t="s">
        <v>2341</v>
      </c>
      <c r="G564" s="20" t="s">
        <v>1933</v>
      </c>
      <c r="H564" s="21" t="s">
        <v>6423</v>
      </c>
      <c r="I564" s="21" t="s">
        <v>1913</v>
      </c>
      <c r="J564" s="21" t="s">
        <v>1428</v>
      </c>
      <c r="K564" s="36" t="s">
        <v>1428</v>
      </c>
      <c r="L564" s="36" t="s">
        <v>1428</v>
      </c>
      <c r="M564" s="36" t="s">
        <v>1428</v>
      </c>
      <c r="N564" s="36" t="s">
        <v>1428</v>
      </c>
      <c r="O564" s="22">
        <v>3.54450348826197</v>
      </c>
      <c r="P564" s="22">
        <v>17.9543508826945</v>
      </c>
      <c r="Q564" s="21" t="s">
        <v>1428</v>
      </c>
      <c r="R564" s="37">
        <v>3.06630934310253</v>
      </c>
      <c r="S564" s="37">
        <f t="shared" si="12"/>
        <v>24.565163714059</v>
      </c>
      <c r="T564" s="167" t="s">
        <v>1526</v>
      </c>
      <c r="U564" s="20" t="s">
        <v>6553</v>
      </c>
      <c r="V564" s="120" t="s">
        <v>1406</v>
      </c>
    </row>
    <row r="565" s="42" customFormat="1" ht="15" customHeight="1" spans="1:22">
      <c r="A565" s="1120"/>
      <c r="B565" s="21"/>
      <c r="C565" s="23"/>
      <c r="D565" s="23"/>
      <c r="E565" s="23"/>
      <c r="F565" s="23" t="s">
        <v>2344</v>
      </c>
      <c r="G565" s="20" t="s">
        <v>1933</v>
      </c>
      <c r="H565" s="21" t="s">
        <v>6418</v>
      </c>
      <c r="I565" s="21" t="s">
        <v>1913</v>
      </c>
      <c r="J565" s="21" t="s">
        <v>1428</v>
      </c>
      <c r="K565" s="1071" t="s">
        <v>712</v>
      </c>
      <c r="L565" s="36" t="s">
        <v>1428</v>
      </c>
      <c r="M565" s="36" t="s">
        <v>1428</v>
      </c>
      <c r="N565" s="36" t="s">
        <v>1428</v>
      </c>
      <c r="O565" s="22">
        <v>3.54450348826197</v>
      </c>
      <c r="P565" s="22">
        <v>17.9451696879493</v>
      </c>
      <c r="Q565" s="21" t="s">
        <v>1428</v>
      </c>
      <c r="R565" s="37">
        <v>3.06630934310253</v>
      </c>
      <c r="S565" s="37">
        <f t="shared" si="12"/>
        <v>24.5559825193138</v>
      </c>
      <c r="T565" s="167" t="s">
        <v>1526</v>
      </c>
      <c r="U565" s="759" t="s">
        <v>6554</v>
      </c>
      <c r="V565" s="120" t="s">
        <v>1406</v>
      </c>
    </row>
    <row r="566" s="42" customFormat="1" ht="15" customHeight="1" spans="1:22">
      <c r="A566" s="1120"/>
      <c r="B566" s="21"/>
      <c r="C566" s="23"/>
      <c r="D566" s="23"/>
      <c r="E566" s="23"/>
      <c r="F566" s="23" t="s">
        <v>2350</v>
      </c>
      <c r="G566" s="20" t="s">
        <v>1933</v>
      </c>
      <c r="H566" s="21" t="s">
        <v>6420</v>
      </c>
      <c r="I566" s="21" t="s">
        <v>1913</v>
      </c>
      <c r="J566" s="21" t="s">
        <v>1428</v>
      </c>
      <c r="K566" s="36" t="s">
        <v>1428</v>
      </c>
      <c r="L566" s="36" t="s">
        <v>1428</v>
      </c>
      <c r="M566" s="36" t="s">
        <v>1428</v>
      </c>
      <c r="N566" s="36" t="s">
        <v>1428</v>
      </c>
      <c r="O566" s="22">
        <v>3.54450348826197</v>
      </c>
      <c r="P566" s="22">
        <v>18.0496792719027</v>
      </c>
      <c r="Q566" s="21"/>
      <c r="R566" s="37">
        <v>3.06630934310253</v>
      </c>
      <c r="S566" s="37">
        <f t="shared" si="12"/>
        <v>24.6604921032672</v>
      </c>
      <c r="T566" s="167" t="s">
        <v>1526</v>
      </c>
      <c r="U566" s="20" t="s">
        <v>6540</v>
      </c>
      <c r="V566" s="120" t="s">
        <v>1406</v>
      </c>
    </row>
    <row r="567" s="42" customFormat="1" ht="15" customHeight="1" spans="1:22">
      <c r="A567" s="1120"/>
      <c r="B567" s="21"/>
      <c r="C567" s="23"/>
      <c r="D567" s="23"/>
      <c r="E567" s="23"/>
      <c r="F567" s="23" t="s">
        <v>2353</v>
      </c>
      <c r="G567" s="20" t="s">
        <v>1933</v>
      </c>
      <c r="H567" s="21" t="s">
        <v>6418</v>
      </c>
      <c r="I567" s="21" t="s">
        <v>1913</v>
      </c>
      <c r="J567" s="21" t="s">
        <v>1428</v>
      </c>
      <c r="K567" s="1071" t="s">
        <v>712</v>
      </c>
      <c r="L567" s="36" t="s">
        <v>1428</v>
      </c>
      <c r="M567" s="36" t="s">
        <v>1428</v>
      </c>
      <c r="N567" s="36" t="s">
        <v>1428</v>
      </c>
      <c r="O567" s="22">
        <v>3.54450348826197</v>
      </c>
      <c r="P567" s="22">
        <v>18.1358797559735</v>
      </c>
      <c r="Q567" s="21" t="s">
        <v>1428</v>
      </c>
      <c r="R567" s="37">
        <v>3.06630934310253</v>
      </c>
      <c r="S567" s="37">
        <f t="shared" si="12"/>
        <v>24.746692587338</v>
      </c>
      <c r="T567" s="167" t="s">
        <v>1526</v>
      </c>
      <c r="U567" s="759" t="s">
        <v>6547</v>
      </c>
      <c r="V567" s="120" t="s">
        <v>1406</v>
      </c>
    </row>
    <row r="568" s="42" customFormat="1" ht="15" customHeight="1" spans="1:22">
      <c r="A568" s="1120"/>
      <c r="B568" s="21"/>
      <c r="C568" s="23"/>
      <c r="D568" s="23"/>
      <c r="E568" s="23"/>
      <c r="F568" s="23" t="s">
        <v>2361</v>
      </c>
      <c r="G568" s="20" t="s">
        <v>1933</v>
      </c>
      <c r="H568" s="21" t="s">
        <v>6418</v>
      </c>
      <c r="I568" s="21" t="s">
        <v>1913</v>
      </c>
      <c r="J568" s="21" t="s">
        <v>1428</v>
      </c>
      <c r="K568" s="1071" t="s">
        <v>712</v>
      </c>
      <c r="L568" s="36" t="s">
        <v>1428</v>
      </c>
      <c r="M568" s="36" t="s">
        <v>1428</v>
      </c>
      <c r="N568" s="36" t="s">
        <v>1428</v>
      </c>
      <c r="O568" s="22">
        <v>3.54450348826197</v>
      </c>
      <c r="P568" s="22">
        <v>20.204470128699</v>
      </c>
      <c r="Q568" s="21" t="s">
        <v>1428</v>
      </c>
      <c r="R568" s="37">
        <v>3.06630934310253</v>
      </c>
      <c r="S568" s="37">
        <f t="shared" ref="S568:S602" si="13">SUM(K568:R568)</f>
        <v>26.8152829600635</v>
      </c>
      <c r="T568" s="167" t="s">
        <v>1526</v>
      </c>
      <c r="U568" s="759" t="s">
        <v>6555</v>
      </c>
      <c r="V568" s="120" t="s">
        <v>1406</v>
      </c>
    </row>
    <row r="569" s="42" customFormat="1" ht="15" customHeight="1" spans="1:22">
      <c r="A569" s="1120"/>
      <c r="B569" s="21"/>
      <c r="C569" s="23"/>
      <c r="D569" s="23"/>
      <c r="E569" s="23"/>
      <c r="F569" s="23" t="s">
        <v>5135</v>
      </c>
      <c r="G569" s="20" t="s">
        <v>1933</v>
      </c>
      <c r="H569" s="21" t="s">
        <v>6423</v>
      </c>
      <c r="I569" s="21" t="s">
        <v>1913</v>
      </c>
      <c r="J569" s="21" t="s">
        <v>1428</v>
      </c>
      <c r="K569" s="36" t="s">
        <v>1428</v>
      </c>
      <c r="L569" s="36" t="s">
        <v>1428</v>
      </c>
      <c r="M569" s="36" t="s">
        <v>1428</v>
      </c>
      <c r="N569" s="36" t="s">
        <v>1428</v>
      </c>
      <c r="O569" s="22">
        <v>3.54450348826197</v>
      </c>
      <c r="P569" s="22">
        <v>17.9489345597467</v>
      </c>
      <c r="Q569" s="21" t="s">
        <v>1428</v>
      </c>
      <c r="R569" s="37">
        <v>3.06630934310253</v>
      </c>
      <c r="S569" s="37">
        <f t="shared" si="13"/>
        <v>24.5597473911112</v>
      </c>
      <c r="T569" s="167" t="s">
        <v>1526</v>
      </c>
      <c r="U569" s="20" t="s">
        <v>6553</v>
      </c>
      <c r="V569" s="120" t="s">
        <v>1406</v>
      </c>
    </row>
    <row r="570" s="42" customFormat="1" ht="15" customHeight="1" spans="1:22">
      <c r="A570" s="1120"/>
      <c r="B570" s="21"/>
      <c r="C570" s="23"/>
      <c r="D570" s="23"/>
      <c r="E570" s="23"/>
      <c r="F570" s="23" t="s">
        <v>6556</v>
      </c>
      <c r="G570" s="20" t="s">
        <v>1933</v>
      </c>
      <c r="H570" s="21" t="s">
        <v>6545</v>
      </c>
      <c r="I570" s="21" t="s">
        <v>1913</v>
      </c>
      <c r="J570" s="21" t="s">
        <v>1428</v>
      </c>
      <c r="K570" s="36" t="s">
        <v>1428</v>
      </c>
      <c r="L570" s="36" t="s">
        <v>1428</v>
      </c>
      <c r="M570" s="36" t="s">
        <v>1428</v>
      </c>
      <c r="N570" s="36" t="s">
        <v>1428</v>
      </c>
      <c r="O570" s="22">
        <v>3.54450348826197</v>
      </c>
      <c r="P570" s="22">
        <v>19.6680250683648</v>
      </c>
      <c r="Q570" s="21" t="s">
        <v>1428</v>
      </c>
      <c r="R570" s="37">
        <v>3.06630934310253</v>
      </c>
      <c r="S570" s="37">
        <f t="shared" si="13"/>
        <v>26.2788378997293</v>
      </c>
      <c r="T570" s="167" t="s">
        <v>1526</v>
      </c>
      <c r="U570" s="20" t="s">
        <v>6557</v>
      </c>
      <c r="V570" s="120" t="s">
        <v>1406</v>
      </c>
    </row>
    <row r="571" s="42" customFormat="1" ht="15" customHeight="1" spans="1:22">
      <c r="A571" s="1120"/>
      <c r="B571" s="21"/>
      <c r="C571" s="23"/>
      <c r="D571" s="23"/>
      <c r="E571" s="23"/>
      <c r="F571" s="23" t="s">
        <v>6558</v>
      </c>
      <c r="G571" s="20" t="s">
        <v>1933</v>
      </c>
      <c r="H571" s="21" t="s">
        <v>6559</v>
      </c>
      <c r="I571" s="21" t="s">
        <v>1913</v>
      </c>
      <c r="J571" s="21" t="s">
        <v>1428</v>
      </c>
      <c r="K571" s="36" t="s">
        <v>1428</v>
      </c>
      <c r="L571" s="36" t="s">
        <v>1428</v>
      </c>
      <c r="M571" s="36" t="s">
        <v>1428</v>
      </c>
      <c r="N571" s="36" t="s">
        <v>1428</v>
      </c>
      <c r="O571" s="22">
        <v>3.54450348826197</v>
      </c>
      <c r="P571" s="22">
        <v>19.6561140450675</v>
      </c>
      <c r="Q571" s="21" t="s">
        <v>1428</v>
      </c>
      <c r="R571" s="37">
        <v>3.06630934310253</v>
      </c>
      <c r="S571" s="37">
        <f t="shared" si="13"/>
        <v>26.266926876432</v>
      </c>
      <c r="T571" s="167" t="s">
        <v>1526</v>
      </c>
      <c r="U571" s="20" t="s">
        <v>6557</v>
      </c>
      <c r="V571" s="120" t="s">
        <v>1406</v>
      </c>
    </row>
    <row r="572" s="42" customFormat="1" ht="15" customHeight="1" spans="1:22">
      <c r="A572" s="1120"/>
      <c r="B572" s="21"/>
      <c r="C572" s="23"/>
      <c r="D572" s="23"/>
      <c r="E572" s="23"/>
      <c r="F572" s="23" t="s">
        <v>6560</v>
      </c>
      <c r="G572" s="20" t="s">
        <v>3540</v>
      </c>
      <c r="H572" s="21" t="s">
        <v>6420</v>
      </c>
      <c r="I572" s="21" t="s">
        <v>1913</v>
      </c>
      <c r="J572" s="21" t="s">
        <v>1428</v>
      </c>
      <c r="K572" s="36" t="s">
        <v>1428</v>
      </c>
      <c r="L572" s="36" t="s">
        <v>1428</v>
      </c>
      <c r="M572" s="36" t="s">
        <v>1428</v>
      </c>
      <c r="N572" s="36" t="s">
        <v>1428</v>
      </c>
      <c r="O572" s="22">
        <v>3.54450348826197</v>
      </c>
      <c r="P572" s="22">
        <v>13.021893428359</v>
      </c>
      <c r="Q572" s="21" t="s">
        <v>1428</v>
      </c>
      <c r="R572" s="37">
        <v>3.06630934310253</v>
      </c>
      <c r="S572" s="37">
        <f t="shared" si="13"/>
        <v>19.6327062597235</v>
      </c>
      <c r="T572" s="167" t="s">
        <v>1526</v>
      </c>
      <c r="U572" s="20" t="s">
        <v>4160</v>
      </c>
      <c r="V572" s="120" t="s">
        <v>1406</v>
      </c>
    </row>
    <row r="573" s="42" customFormat="1" ht="15" customHeight="1" spans="1:22">
      <c r="A573" s="1120"/>
      <c r="B573" s="21"/>
      <c r="C573" s="23">
        <v>20240419</v>
      </c>
      <c r="D573" s="23">
        <v>7.24</v>
      </c>
      <c r="E573" s="23" t="s">
        <v>6561</v>
      </c>
      <c r="F573" s="23" t="s">
        <v>6562</v>
      </c>
      <c r="G573" s="20" t="s">
        <v>1933</v>
      </c>
      <c r="H573" s="21" t="s">
        <v>6563</v>
      </c>
      <c r="I573" s="21" t="s">
        <v>1913</v>
      </c>
      <c r="J573" s="22" t="s">
        <v>1742</v>
      </c>
      <c r="K573" s="36"/>
      <c r="L573" s="36" t="s">
        <v>1428</v>
      </c>
      <c r="M573" s="36" t="s">
        <v>1428</v>
      </c>
      <c r="N573" s="762">
        <v>6</v>
      </c>
      <c r="O573" s="22">
        <v>3.54450348826197</v>
      </c>
      <c r="P573" s="22">
        <v>17.8406757401772</v>
      </c>
      <c r="Q573" s="21" t="s">
        <v>1428</v>
      </c>
      <c r="R573" s="37">
        <v>3.09168569628683</v>
      </c>
      <c r="S573" s="37">
        <f t="shared" si="13"/>
        <v>30.476864924726</v>
      </c>
      <c r="T573" s="167" t="s">
        <v>1526</v>
      </c>
      <c r="U573" s="20" t="s">
        <v>6564</v>
      </c>
      <c r="V573" s="120"/>
    </row>
    <row r="574" s="42" customFormat="1" ht="15" customHeight="1" spans="1:22">
      <c r="A574" s="1120"/>
      <c r="B574" s="21"/>
      <c r="C574" s="23">
        <v>20240419</v>
      </c>
      <c r="D574" s="23">
        <v>7.24</v>
      </c>
      <c r="E574" s="23" t="s">
        <v>6565</v>
      </c>
      <c r="F574" s="23" t="s">
        <v>6566</v>
      </c>
      <c r="G574" s="20" t="s">
        <v>1933</v>
      </c>
      <c r="H574" s="21" t="s">
        <v>6420</v>
      </c>
      <c r="I574" s="21" t="s">
        <v>1913</v>
      </c>
      <c r="J574" s="21" t="s">
        <v>1428</v>
      </c>
      <c r="K574" s="36" t="s">
        <v>1428</v>
      </c>
      <c r="L574" s="36" t="s">
        <v>1428</v>
      </c>
      <c r="M574" s="36" t="s">
        <v>1428</v>
      </c>
      <c r="N574" s="36" t="s">
        <v>1428</v>
      </c>
      <c r="O574" s="22">
        <v>3.54450348826197</v>
      </c>
      <c r="P574" s="22">
        <v>18.4316279826649</v>
      </c>
      <c r="Q574" s="21" t="s">
        <v>1428</v>
      </c>
      <c r="R574" s="37">
        <v>3.09168569628683</v>
      </c>
      <c r="S574" s="37">
        <f t="shared" si="13"/>
        <v>25.0678171672137</v>
      </c>
      <c r="T574" s="167" t="s">
        <v>1526</v>
      </c>
      <c r="U574" s="20" t="s">
        <v>6567</v>
      </c>
      <c r="V574" s="120"/>
    </row>
    <row r="575" s="42" customFormat="1" ht="15" customHeight="1" spans="1:22">
      <c r="A575" s="1120"/>
      <c r="B575" s="21"/>
      <c r="C575" s="23">
        <v>20250102</v>
      </c>
      <c r="D575" s="23">
        <v>7.24</v>
      </c>
      <c r="E575" s="23" t="s">
        <v>6568</v>
      </c>
      <c r="F575" s="23" t="s">
        <v>6569</v>
      </c>
      <c r="G575" s="20" t="s">
        <v>6570</v>
      </c>
      <c r="H575" s="21" t="s">
        <v>6571</v>
      </c>
      <c r="I575" s="21" t="s">
        <v>1913</v>
      </c>
      <c r="J575" s="21" t="s">
        <v>1428</v>
      </c>
      <c r="K575" s="1071" t="s">
        <v>712</v>
      </c>
      <c r="L575" s="36" t="s">
        <v>1428</v>
      </c>
      <c r="M575" s="36" t="s">
        <v>1428</v>
      </c>
      <c r="N575" s="36" t="s">
        <v>1428</v>
      </c>
      <c r="O575" s="22">
        <v>3.54450348826197</v>
      </c>
      <c r="P575" s="22">
        <v>16.8110053222538</v>
      </c>
      <c r="Q575" s="21"/>
      <c r="R575" s="37">
        <v>3.0705097668602</v>
      </c>
      <c r="S575" s="37">
        <f t="shared" si="13"/>
        <v>23.426018577376</v>
      </c>
      <c r="T575" s="167" t="s">
        <v>1526</v>
      </c>
      <c r="U575" s="139" t="s">
        <v>6572</v>
      </c>
      <c r="V575" s="120"/>
    </row>
    <row r="576" s="42" customFormat="1" ht="15" customHeight="1" spans="1:22">
      <c r="A576" s="1120"/>
      <c r="B576" s="21"/>
      <c r="C576" s="23">
        <v>20250310</v>
      </c>
      <c r="D576" s="23">
        <v>7.24</v>
      </c>
      <c r="E576" s="23" t="s">
        <v>6573</v>
      </c>
      <c r="F576" s="23" t="s">
        <v>6574</v>
      </c>
      <c r="G576" s="20" t="s">
        <v>6570</v>
      </c>
      <c r="H576" s="21" t="s">
        <v>6420</v>
      </c>
      <c r="I576" s="21" t="s">
        <v>1913</v>
      </c>
      <c r="J576" s="21" t="s">
        <v>1428</v>
      </c>
      <c r="K576" s="36" t="s">
        <v>1428</v>
      </c>
      <c r="L576" s="36" t="s">
        <v>1428</v>
      </c>
      <c r="M576" s="36" t="s">
        <v>1428</v>
      </c>
      <c r="N576" s="36" t="s">
        <v>1428</v>
      </c>
      <c r="O576" s="22">
        <v>3.54450348826197</v>
      </c>
      <c r="P576" s="22">
        <v>16.9534217750617</v>
      </c>
      <c r="Q576" s="21"/>
      <c r="R576" s="37">
        <v>3.09168569628683</v>
      </c>
      <c r="S576" s="37">
        <f t="shared" si="13"/>
        <v>23.5896109596105</v>
      </c>
      <c r="T576" s="167" t="s">
        <v>1526</v>
      </c>
      <c r="U576" s="139" t="s">
        <v>6575</v>
      </c>
      <c r="V576" s="120"/>
    </row>
    <row r="577" s="42" customFormat="1" ht="15" customHeight="1" spans="1:22">
      <c r="A577" s="1120"/>
      <c r="B577" s="21"/>
      <c r="C577" s="23">
        <v>20250310</v>
      </c>
      <c r="D577" s="23">
        <v>7.24</v>
      </c>
      <c r="E577" s="23" t="s">
        <v>6576</v>
      </c>
      <c r="F577" s="23" t="s">
        <v>6577</v>
      </c>
      <c r="G577" s="20" t="s">
        <v>6570</v>
      </c>
      <c r="H577" s="21" t="s">
        <v>6420</v>
      </c>
      <c r="I577" s="21" t="s">
        <v>1913</v>
      </c>
      <c r="J577" s="21" t="s">
        <v>1428</v>
      </c>
      <c r="K577" s="36" t="s">
        <v>1428</v>
      </c>
      <c r="L577" s="36" t="s">
        <v>1428</v>
      </c>
      <c r="M577" s="36" t="s">
        <v>1428</v>
      </c>
      <c r="N577" s="36" t="s">
        <v>1428</v>
      </c>
      <c r="O577" s="22">
        <v>3.54450348826197</v>
      </c>
      <c r="P577" s="22">
        <v>16.9675671921821</v>
      </c>
      <c r="Q577" s="21"/>
      <c r="R577" s="37">
        <v>3.09168569628683</v>
      </c>
      <c r="S577" s="37">
        <f t="shared" si="13"/>
        <v>23.6037563767309</v>
      </c>
      <c r="T577" s="167" t="s">
        <v>1526</v>
      </c>
      <c r="U577" s="139" t="s">
        <v>6578</v>
      </c>
      <c r="V577" s="120"/>
    </row>
    <row r="578" s="931" customFormat="1" ht="15" spans="1:22">
      <c r="A578" s="1120"/>
      <c r="B578" s="1122" t="s">
        <v>6579</v>
      </c>
      <c r="C578" s="23"/>
      <c r="D578" s="23"/>
      <c r="E578" s="23"/>
      <c r="F578" s="35" t="s">
        <v>1671</v>
      </c>
      <c r="G578" s="23" t="s">
        <v>1933</v>
      </c>
      <c r="H578" s="21" t="s">
        <v>6423</v>
      </c>
      <c r="I578" s="21" t="s">
        <v>1913</v>
      </c>
      <c r="J578" s="21" t="s">
        <v>3787</v>
      </c>
      <c r="K578" s="36" t="s">
        <v>1428</v>
      </c>
      <c r="L578" s="36" t="s">
        <v>1428</v>
      </c>
      <c r="M578" s="36" t="s">
        <v>1428</v>
      </c>
      <c r="N578" s="36">
        <v>3.5</v>
      </c>
      <c r="O578" s="22">
        <v>2.94325281480827</v>
      </c>
      <c r="P578" s="22">
        <v>12.2376222413808</v>
      </c>
      <c r="Q578" s="21" t="s">
        <v>1428</v>
      </c>
      <c r="R578" s="770">
        <v>2.54302833070916</v>
      </c>
      <c r="S578" s="37">
        <f t="shared" si="13"/>
        <v>21.2239033868982</v>
      </c>
      <c r="T578" s="167" t="s">
        <v>1526</v>
      </c>
      <c r="U578" s="35" t="s">
        <v>6580</v>
      </c>
      <c r="V578" s="120" t="s">
        <v>1406</v>
      </c>
    </row>
    <row r="579" s="839" customFormat="1" ht="15" spans="1:22">
      <c r="A579" s="1120"/>
      <c r="B579" s="872"/>
      <c r="C579" s="23"/>
      <c r="D579" s="23"/>
      <c r="E579" s="23"/>
      <c r="F579" s="695" t="s">
        <v>1998</v>
      </c>
      <c r="G579" s="20" t="s">
        <v>1933</v>
      </c>
      <c r="H579" s="21" t="s">
        <v>6418</v>
      </c>
      <c r="I579" s="21" t="s">
        <v>1913</v>
      </c>
      <c r="J579" s="21" t="s">
        <v>2955</v>
      </c>
      <c r="K579" s="1071" t="s">
        <v>712</v>
      </c>
      <c r="L579" s="36" t="s">
        <v>1428</v>
      </c>
      <c r="M579" s="36" t="s">
        <v>1428</v>
      </c>
      <c r="N579" s="713" t="s">
        <v>1428</v>
      </c>
      <c r="O579" s="22">
        <v>2.94325281480827</v>
      </c>
      <c r="P579" s="22">
        <v>13.0360507382316</v>
      </c>
      <c r="Q579" s="21" t="s">
        <v>1428</v>
      </c>
      <c r="R579" s="770">
        <v>2.54302833070916</v>
      </c>
      <c r="S579" s="37">
        <f t="shared" si="13"/>
        <v>18.522331883749</v>
      </c>
      <c r="T579" s="167" t="s">
        <v>1526</v>
      </c>
      <c r="U579" s="35" t="s">
        <v>3738</v>
      </c>
      <c r="V579" s="120" t="s">
        <v>1406</v>
      </c>
    </row>
    <row r="580" s="42" customFormat="1" ht="15" customHeight="1" spans="1:22">
      <c r="A580" s="1120"/>
      <c r="B580" s="872"/>
      <c r="C580" s="23"/>
      <c r="D580" s="23"/>
      <c r="E580" s="23"/>
      <c r="F580" s="695" t="s">
        <v>1581</v>
      </c>
      <c r="G580" s="20" t="s">
        <v>1933</v>
      </c>
      <c r="H580" s="21" t="s">
        <v>6420</v>
      </c>
      <c r="I580" s="21" t="s">
        <v>1913</v>
      </c>
      <c r="J580" s="21" t="s">
        <v>2955</v>
      </c>
      <c r="K580" s="36" t="s">
        <v>1428</v>
      </c>
      <c r="L580" s="36" t="s">
        <v>1428</v>
      </c>
      <c r="M580" s="36" t="s">
        <v>1428</v>
      </c>
      <c r="N580" s="713" t="s">
        <v>1428</v>
      </c>
      <c r="O580" s="22">
        <v>2.94325281480827</v>
      </c>
      <c r="P580" s="22">
        <v>13.8761574546398</v>
      </c>
      <c r="Q580" s="37" t="s">
        <v>1428</v>
      </c>
      <c r="R580" s="770">
        <v>2.54302833070916</v>
      </c>
      <c r="S580" s="37">
        <f t="shared" si="13"/>
        <v>19.3624386001572</v>
      </c>
      <c r="T580" s="167" t="s">
        <v>1526</v>
      </c>
      <c r="U580" s="35" t="s">
        <v>6581</v>
      </c>
      <c r="V580" s="120" t="s">
        <v>1406</v>
      </c>
    </row>
    <row r="581" s="42" customFormat="1" ht="15" customHeight="1" spans="1:22">
      <c r="A581" s="1120"/>
      <c r="B581" s="872"/>
      <c r="C581" s="23"/>
      <c r="D581" s="23"/>
      <c r="E581" s="23"/>
      <c r="F581" s="695" t="s">
        <v>1667</v>
      </c>
      <c r="G581" s="20" t="s">
        <v>3540</v>
      </c>
      <c r="H581" s="21" t="s">
        <v>6536</v>
      </c>
      <c r="I581" s="21" t="s">
        <v>1913</v>
      </c>
      <c r="J581" s="21" t="s">
        <v>1428</v>
      </c>
      <c r="K581" s="1071" t="s">
        <v>712</v>
      </c>
      <c r="L581" s="36" t="s">
        <v>1428</v>
      </c>
      <c r="M581" s="36" t="s">
        <v>1428</v>
      </c>
      <c r="N581" s="36" t="s">
        <v>1428</v>
      </c>
      <c r="O581" s="22">
        <v>2.94325281480827</v>
      </c>
      <c r="P581" s="22">
        <v>11.3623318649765</v>
      </c>
      <c r="Q581" s="37" t="s">
        <v>1428</v>
      </c>
      <c r="R581" s="770">
        <v>2.54302833070916</v>
      </c>
      <c r="S581" s="37">
        <f t="shared" si="13"/>
        <v>16.8486130104939</v>
      </c>
      <c r="T581" s="167" t="s">
        <v>1526</v>
      </c>
      <c r="U581" s="35"/>
      <c r="V581" s="120" t="s">
        <v>1406</v>
      </c>
    </row>
    <row r="582" s="42" customFormat="1" ht="15" customHeight="1" spans="1:22">
      <c r="A582" s="1120"/>
      <c r="B582" s="872"/>
      <c r="C582" s="23">
        <v>20241009</v>
      </c>
      <c r="D582" s="23">
        <v>7.24</v>
      </c>
      <c r="E582" s="23" t="s">
        <v>6582</v>
      </c>
      <c r="F582" s="695" t="s">
        <v>1558</v>
      </c>
      <c r="G582" s="139" t="s">
        <v>6583</v>
      </c>
      <c r="H582" s="21" t="s">
        <v>6584</v>
      </c>
      <c r="I582" s="21" t="s">
        <v>1913</v>
      </c>
      <c r="J582" s="21" t="s">
        <v>3874</v>
      </c>
      <c r="K582" s="36" t="s">
        <v>1428</v>
      </c>
      <c r="L582" s="36"/>
      <c r="M582" s="36"/>
      <c r="N582" s="36">
        <v>2.5</v>
      </c>
      <c r="O582" s="22">
        <v>2.94325281480827</v>
      </c>
      <c r="P582" s="22">
        <v>11.2061163424103</v>
      </c>
      <c r="Q582" s="37" t="s">
        <v>1428</v>
      </c>
      <c r="R582" s="37">
        <v>2.56407408241158</v>
      </c>
      <c r="S582" s="37">
        <f t="shared" si="13"/>
        <v>19.2134432396302</v>
      </c>
      <c r="T582" s="167" t="s">
        <v>1526</v>
      </c>
      <c r="U582" s="760" t="s">
        <v>6585</v>
      </c>
      <c r="V582" s="120"/>
    </row>
    <row r="583" s="42" customFormat="1" ht="15" customHeight="1" spans="1:22">
      <c r="A583" s="1120"/>
      <c r="B583" s="872"/>
      <c r="C583" s="23">
        <v>20241009</v>
      </c>
      <c r="D583" s="23">
        <v>7.24</v>
      </c>
      <c r="E583" s="23" t="s">
        <v>6586</v>
      </c>
      <c r="F583" s="695" t="s">
        <v>2311</v>
      </c>
      <c r="G583" s="139" t="s">
        <v>6587</v>
      </c>
      <c r="H583" s="21" t="s">
        <v>6418</v>
      </c>
      <c r="I583" s="21" t="s">
        <v>1913</v>
      </c>
      <c r="J583" s="21" t="s">
        <v>3696</v>
      </c>
      <c r="K583" s="36" t="s">
        <v>1428</v>
      </c>
      <c r="L583" s="36"/>
      <c r="M583" s="36"/>
      <c r="N583" s="36">
        <v>3.3</v>
      </c>
      <c r="O583" s="22">
        <v>3.13328457263394</v>
      </c>
      <c r="P583" s="22">
        <v>11.8445037357146</v>
      </c>
      <c r="Q583" s="37" t="s">
        <v>1428</v>
      </c>
      <c r="R583" s="37">
        <v>2.56407408241158</v>
      </c>
      <c r="S583" s="37">
        <f t="shared" si="13"/>
        <v>20.8418623907601</v>
      </c>
      <c r="T583" s="167" t="s">
        <v>1526</v>
      </c>
      <c r="U583" s="760" t="s">
        <v>6588</v>
      </c>
      <c r="V583" s="120"/>
    </row>
    <row r="584" s="42" customFormat="1" ht="15" customHeight="1" spans="1:22">
      <c r="A584" s="1120"/>
      <c r="B584" s="872"/>
      <c r="C584" s="23"/>
      <c r="D584" s="23"/>
      <c r="E584" s="23"/>
      <c r="F584" s="695" t="s">
        <v>487</v>
      </c>
      <c r="G584" s="20"/>
      <c r="H584" s="21"/>
      <c r="I584" s="21"/>
      <c r="J584" s="21"/>
      <c r="K584" s="36"/>
      <c r="L584" s="36"/>
      <c r="M584" s="36"/>
      <c r="N584" s="36"/>
      <c r="O584" s="22">
        <v>0.374265052095281</v>
      </c>
      <c r="P584" s="22">
        <v>0.649263510002535</v>
      </c>
      <c r="Q584" s="37" t="s">
        <v>1428</v>
      </c>
      <c r="R584" s="770">
        <v>0.2</v>
      </c>
      <c r="S584" s="37">
        <f t="shared" si="13"/>
        <v>1.22352856209782</v>
      </c>
      <c r="T584" s="23"/>
      <c r="U584" s="35"/>
      <c r="V584" s="120" t="s">
        <v>1406</v>
      </c>
    </row>
    <row r="585" s="42" customFormat="1" ht="15" customHeight="1" spans="1:22">
      <c r="A585" s="1120"/>
      <c r="B585" s="1123"/>
      <c r="C585" s="23">
        <v>20250418</v>
      </c>
      <c r="D585" s="23">
        <v>7.24</v>
      </c>
      <c r="E585" s="23"/>
      <c r="F585" s="695" t="s">
        <v>488</v>
      </c>
      <c r="G585" s="20"/>
      <c r="H585" s="21"/>
      <c r="I585" s="21"/>
      <c r="J585" s="21"/>
      <c r="K585" s="36"/>
      <c r="L585" s="36"/>
      <c r="M585" s="36"/>
      <c r="N585" s="36"/>
      <c r="O585" s="37">
        <v>0.482758620689655</v>
      </c>
      <c r="P585" s="22">
        <v>2.07066719502672</v>
      </c>
      <c r="Q585" s="37" t="s">
        <v>1428</v>
      </c>
      <c r="R585" s="37">
        <v>0.4</v>
      </c>
      <c r="S585" s="37">
        <f t="shared" si="13"/>
        <v>2.95342581571637</v>
      </c>
      <c r="T585" s="23"/>
      <c r="U585" s="35" t="s">
        <v>25</v>
      </c>
      <c r="V585" s="120" t="s">
        <v>1406</v>
      </c>
    </row>
    <row r="586" s="187" customFormat="1" ht="15" customHeight="1" spans="1:22">
      <c r="A586" s="1120"/>
      <c r="B586" s="1122" t="s">
        <v>6589</v>
      </c>
      <c r="C586" s="23"/>
      <c r="D586" s="23"/>
      <c r="E586" s="23"/>
      <c r="F586" s="695" t="s">
        <v>1565</v>
      </c>
      <c r="G586" s="20" t="s">
        <v>1933</v>
      </c>
      <c r="H586" s="21" t="s">
        <v>6420</v>
      </c>
      <c r="I586" s="21" t="s">
        <v>1913</v>
      </c>
      <c r="J586" s="21" t="s">
        <v>1428</v>
      </c>
      <c r="K586" s="36" t="s">
        <v>1428</v>
      </c>
      <c r="L586" s="21" t="s">
        <v>1428</v>
      </c>
      <c r="M586" s="21" t="s">
        <v>1428</v>
      </c>
      <c r="N586" s="21" t="s">
        <v>1428</v>
      </c>
      <c r="O586" s="37">
        <v>4.46325509811466</v>
      </c>
      <c r="P586" s="22">
        <v>17.8798886890015</v>
      </c>
      <c r="Q586" s="37" t="s">
        <v>1428</v>
      </c>
      <c r="R586" s="770">
        <v>3.29670164249352</v>
      </c>
      <c r="S586" s="37">
        <f t="shared" si="13"/>
        <v>25.6398454296097</v>
      </c>
      <c r="T586" s="167" t="s">
        <v>1526</v>
      </c>
      <c r="U586" s="751" t="s">
        <v>6590</v>
      </c>
      <c r="V586" s="120" t="s">
        <v>1406</v>
      </c>
    </row>
    <row r="587" s="187" customFormat="1" ht="15" customHeight="1" spans="1:22">
      <c r="A587" s="1120"/>
      <c r="B587" s="872"/>
      <c r="C587" s="23">
        <v>20240221</v>
      </c>
      <c r="D587" s="23">
        <v>7.24</v>
      </c>
      <c r="E587" s="23" t="s">
        <v>6591</v>
      </c>
      <c r="F587" s="695" t="s">
        <v>2449</v>
      </c>
      <c r="G587" s="20" t="s">
        <v>1933</v>
      </c>
      <c r="H587" s="21" t="s">
        <v>6571</v>
      </c>
      <c r="I587" s="21" t="s">
        <v>1913</v>
      </c>
      <c r="J587" s="21" t="s">
        <v>1428</v>
      </c>
      <c r="K587" s="1071" t="s">
        <v>712</v>
      </c>
      <c r="L587" s="21" t="s">
        <v>1428</v>
      </c>
      <c r="M587" s="21" t="s">
        <v>1428</v>
      </c>
      <c r="N587" s="21" t="s">
        <v>1428</v>
      </c>
      <c r="O587" s="22">
        <v>3.89339560799738</v>
      </c>
      <c r="P587" s="22">
        <v>17.9222597291255</v>
      </c>
      <c r="Q587" s="37" t="s">
        <v>1428</v>
      </c>
      <c r="R587" s="37">
        <v>3.32398469056933</v>
      </c>
      <c r="S587" s="37">
        <f t="shared" si="13"/>
        <v>25.1396400276922</v>
      </c>
      <c r="T587" s="167" t="s">
        <v>1526</v>
      </c>
      <c r="U587" s="751" t="s">
        <v>6592</v>
      </c>
      <c r="V587" s="120" t="s">
        <v>1406</v>
      </c>
    </row>
    <row r="588" s="187" customFormat="1" ht="15" customHeight="1" spans="1:22">
      <c r="A588" s="1120"/>
      <c r="B588" s="872"/>
      <c r="C588" s="23">
        <v>20240221</v>
      </c>
      <c r="D588" s="23">
        <v>7.24</v>
      </c>
      <c r="E588" s="23" t="s">
        <v>6593</v>
      </c>
      <c r="F588" s="695" t="s">
        <v>2431</v>
      </c>
      <c r="G588" s="20" t="s">
        <v>1933</v>
      </c>
      <c r="H588" s="21" t="s">
        <v>6420</v>
      </c>
      <c r="I588" s="21" t="s">
        <v>1913</v>
      </c>
      <c r="J588" s="21" t="s">
        <v>1428</v>
      </c>
      <c r="K588" s="36" t="s">
        <v>1428</v>
      </c>
      <c r="L588" s="21" t="s">
        <v>1428</v>
      </c>
      <c r="M588" s="21" t="s">
        <v>1428</v>
      </c>
      <c r="N588" s="21" t="s">
        <v>1428</v>
      </c>
      <c r="O588" s="22">
        <v>3.89339560799738</v>
      </c>
      <c r="P588" s="22">
        <v>17.8618114539697</v>
      </c>
      <c r="Q588" s="37" t="s">
        <v>1428</v>
      </c>
      <c r="R588" s="37">
        <v>3.32398469056933</v>
      </c>
      <c r="S588" s="37">
        <f t="shared" si="13"/>
        <v>25.0791917525364</v>
      </c>
      <c r="T588" s="167" t="s">
        <v>1526</v>
      </c>
      <c r="U588" s="35" t="s">
        <v>6594</v>
      </c>
      <c r="V588" s="120" t="s">
        <v>1406</v>
      </c>
    </row>
    <row r="589" s="187" customFormat="1" ht="15" customHeight="1" spans="1:22">
      <c r="A589" s="1120"/>
      <c r="B589" s="872"/>
      <c r="C589" s="23">
        <v>20240221</v>
      </c>
      <c r="D589" s="23">
        <v>7.24</v>
      </c>
      <c r="E589" s="23" t="s">
        <v>6595</v>
      </c>
      <c r="F589" s="695" t="s">
        <v>1667</v>
      </c>
      <c r="G589" s="20" t="s">
        <v>1933</v>
      </c>
      <c r="H589" s="21" t="s">
        <v>6536</v>
      </c>
      <c r="I589" s="21" t="s">
        <v>1913</v>
      </c>
      <c r="J589" s="21" t="s">
        <v>1428</v>
      </c>
      <c r="K589" s="1071" t="s">
        <v>712</v>
      </c>
      <c r="L589" s="21" t="s">
        <v>1428</v>
      </c>
      <c r="M589" s="21" t="s">
        <v>1428</v>
      </c>
      <c r="N589" s="21" t="s">
        <v>1428</v>
      </c>
      <c r="O589" s="22">
        <v>3.89339560799738</v>
      </c>
      <c r="P589" s="22">
        <v>17.3987942772244</v>
      </c>
      <c r="Q589" s="37" t="s">
        <v>1428</v>
      </c>
      <c r="R589" s="37">
        <v>3.32398469056933</v>
      </c>
      <c r="S589" s="37">
        <f t="shared" si="13"/>
        <v>24.6161745757911</v>
      </c>
      <c r="T589" s="167" t="s">
        <v>1526</v>
      </c>
      <c r="U589" s="751" t="s">
        <v>6592</v>
      </c>
      <c r="V589" s="120" t="s">
        <v>1406</v>
      </c>
    </row>
    <row r="590" s="187" customFormat="1" ht="15" customHeight="1" spans="1:22">
      <c r="A590" s="1120"/>
      <c r="B590" s="872"/>
      <c r="C590" s="23">
        <v>20240221</v>
      </c>
      <c r="D590" s="23">
        <v>7.24</v>
      </c>
      <c r="E590" s="23" t="s">
        <v>6596</v>
      </c>
      <c r="F590" s="695" t="s">
        <v>1558</v>
      </c>
      <c r="G590" s="20" t="s">
        <v>1933</v>
      </c>
      <c r="H590" s="21" t="s">
        <v>6420</v>
      </c>
      <c r="I590" s="21" t="s">
        <v>1913</v>
      </c>
      <c r="J590" s="21" t="s">
        <v>1428</v>
      </c>
      <c r="K590" s="36" t="s">
        <v>1428</v>
      </c>
      <c r="L590" s="21" t="s">
        <v>1428</v>
      </c>
      <c r="M590" s="21" t="s">
        <v>1428</v>
      </c>
      <c r="N590" s="21" t="s">
        <v>1428</v>
      </c>
      <c r="O590" s="22">
        <v>3.89339560799738</v>
      </c>
      <c r="P590" s="22">
        <v>17.8666130559034</v>
      </c>
      <c r="Q590" s="37" t="s">
        <v>1428</v>
      </c>
      <c r="R590" s="37">
        <v>3.32398469056933</v>
      </c>
      <c r="S590" s="37">
        <f t="shared" si="13"/>
        <v>25.0839933544701</v>
      </c>
      <c r="T590" s="167" t="s">
        <v>1526</v>
      </c>
      <c r="U590" s="35" t="s">
        <v>6594</v>
      </c>
      <c r="V590" s="120" t="s">
        <v>1406</v>
      </c>
    </row>
    <row r="591" s="187" customFormat="1" ht="15" customHeight="1" spans="1:22">
      <c r="A591" s="1120"/>
      <c r="B591" s="819" t="s">
        <v>6597</v>
      </c>
      <c r="C591" s="23"/>
      <c r="D591" s="23"/>
      <c r="E591" s="23"/>
      <c r="F591" s="1124" t="s">
        <v>1571</v>
      </c>
      <c r="G591" s="23" t="s">
        <v>1933</v>
      </c>
      <c r="H591" s="21" t="s">
        <v>6423</v>
      </c>
      <c r="I591" s="21" t="s">
        <v>1913</v>
      </c>
      <c r="J591" s="21" t="s">
        <v>3787</v>
      </c>
      <c r="K591" s="36" t="s">
        <v>1428</v>
      </c>
      <c r="L591" s="1125" t="s">
        <v>1428</v>
      </c>
      <c r="M591" s="1125" t="s">
        <v>1428</v>
      </c>
      <c r="N591" s="36">
        <v>3.5</v>
      </c>
      <c r="O591" s="22">
        <v>6.17733990147783</v>
      </c>
      <c r="P591" s="22">
        <v>16.4334975369458</v>
      </c>
      <c r="Q591" s="21" t="s">
        <v>1428</v>
      </c>
      <c r="R591" s="770">
        <v>4.15650877350027</v>
      </c>
      <c r="S591" s="37">
        <f t="shared" si="13"/>
        <v>30.2673462119239</v>
      </c>
      <c r="T591" s="167" t="s">
        <v>1526</v>
      </c>
      <c r="U591" s="38" t="s">
        <v>6598</v>
      </c>
      <c r="V591" s="120" t="s">
        <v>1406</v>
      </c>
    </row>
    <row r="592" s="187" customFormat="1" ht="15" customHeight="1" spans="1:22">
      <c r="A592" s="1120"/>
      <c r="B592" s="872"/>
      <c r="C592" s="23"/>
      <c r="D592" s="23"/>
      <c r="E592" s="23"/>
      <c r="F592" s="35" t="s">
        <v>6599</v>
      </c>
      <c r="G592" s="23"/>
      <c r="H592" s="21"/>
      <c r="I592" s="21"/>
      <c r="J592" s="21"/>
      <c r="K592" s="36"/>
      <c r="L592" s="1125"/>
      <c r="M592" s="1125"/>
      <c r="N592" s="36"/>
      <c r="O592" s="22">
        <v>0.53</v>
      </c>
      <c r="P592" s="22">
        <v>4.7853624208304</v>
      </c>
      <c r="Q592" s="21" t="s">
        <v>1428</v>
      </c>
      <c r="R592" s="37">
        <v>0.4</v>
      </c>
      <c r="S592" s="37">
        <f t="shared" si="13"/>
        <v>5.7153624208304</v>
      </c>
      <c r="T592" s="35"/>
      <c r="U592" s="1126" t="s">
        <v>6600</v>
      </c>
      <c r="V592" s="120" t="s">
        <v>1406</v>
      </c>
    </row>
    <row r="593" s="42" customFormat="1" ht="15" customHeight="1" spans="1:22">
      <c r="A593" s="1120"/>
      <c r="B593" s="1123"/>
      <c r="C593" s="23"/>
      <c r="D593" s="23"/>
      <c r="E593" s="23"/>
      <c r="F593" s="695" t="s">
        <v>6601</v>
      </c>
      <c r="G593" s="20"/>
      <c r="H593" s="21"/>
      <c r="I593" s="22"/>
      <c r="J593" s="21"/>
      <c r="K593" s="779"/>
      <c r="L593" s="36"/>
      <c r="M593" s="36"/>
      <c r="N593" s="36"/>
      <c r="O593" s="22">
        <v>0.56</v>
      </c>
      <c r="P593" s="22">
        <v>3.75238095238096</v>
      </c>
      <c r="Q593" s="21" t="s">
        <v>1428</v>
      </c>
      <c r="R593" s="37">
        <v>0.4</v>
      </c>
      <c r="S593" s="37">
        <f t="shared" si="13"/>
        <v>4.71238095238096</v>
      </c>
      <c r="T593" s="813"/>
      <c r="U593" s="20" t="s">
        <v>346</v>
      </c>
      <c r="V593" s="120" t="s">
        <v>1406</v>
      </c>
    </row>
    <row r="594" s="42" customFormat="1" ht="15" customHeight="1" spans="1:22">
      <c r="A594" s="1120"/>
      <c r="B594" s="23" t="s">
        <v>6602</v>
      </c>
      <c r="C594" s="23"/>
      <c r="D594" s="23"/>
      <c r="E594" s="23"/>
      <c r="F594" s="695" t="s">
        <v>1671</v>
      </c>
      <c r="G594" s="20" t="s">
        <v>1933</v>
      </c>
      <c r="H594" s="21" t="s">
        <v>6418</v>
      </c>
      <c r="I594" s="21" t="s">
        <v>1913</v>
      </c>
      <c r="J594" s="757" t="s">
        <v>3874</v>
      </c>
      <c r="K594" s="1071" t="s">
        <v>712</v>
      </c>
      <c r="L594" s="1125" t="s">
        <v>1428</v>
      </c>
      <c r="M594" s="1125" t="s">
        <v>1428</v>
      </c>
      <c r="N594" s="779">
        <v>2.5</v>
      </c>
      <c r="O594" s="22">
        <v>6.15</v>
      </c>
      <c r="P594" s="22">
        <v>19.68</v>
      </c>
      <c r="Q594" s="21" t="s">
        <v>1428</v>
      </c>
      <c r="R594" s="770">
        <v>3.21948233671737</v>
      </c>
      <c r="S594" s="37">
        <f t="shared" si="13"/>
        <v>31.5494823367174</v>
      </c>
      <c r="T594" s="751" t="s">
        <v>1526</v>
      </c>
      <c r="U594" s="1127" t="s">
        <v>6603</v>
      </c>
      <c r="V594" s="120" t="s">
        <v>1406</v>
      </c>
    </row>
    <row r="595" s="42" customFormat="1" ht="15" customHeight="1" spans="1:22">
      <c r="A595" s="1120"/>
      <c r="B595" s="23"/>
      <c r="C595" s="23"/>
      <c r="D595" s="23"/>
      <c r="E595" s="23"/>
      <c r="F595" s="695" t="s">
        <v>1998</v>
      </c>
      <c r="G595" s="20" t="s">
        <v>1933</v>
      </c>
      <c r="H595" s="21" t="s">
        <v>6418</v>
      </c>
      <c r="I595" s="21" t="s">
        <v>1913</v>
      </c>
      <c r="J595" s="757" t="s">
        <v>3874</v>
      </c>
      <c r="K595" s="1071" t="s">
        <v>712</v>
      </c>
      <c r="L595" s="1125" t="s">
        <v>1428</v>
      </c>
      <c r="M595" s="1125" t="s">
        <v>1428</v>
      </c>
      <c r="N595" s="779">
        <v>2.5</v>
      </c>
      <c r="O595" s="22">
        <v>6.15</v>
      </c>
      <c r="P595" s="22">
        <v>19.39</v>
      </c>
      <c r="Q595" s="21" t="s">
        <v>1428</v>
      </c>
      <c r="R595" s="770">
        <v>3.21948233671737</v>
      </c>
      <c r="S595" s="37">
        <f t="shared" si="13"/>
        <v>31.2594823367174</v>
      </c>
      <c r="T595" s="751" t="s">
        <v>1526</v>
      </c>
      <c r="U595" s="1127" t="s">
        <v>6603</v>
      </c>
      <c r="V595" s="120" t="s">
        <v>1406</v>
      </c>
    </row>
    <row r="596" s="42" customFormat="1" ht="15" customHeight="1" spans="1:22">
      <c r="A596" s="1120"/>
      <c r="B596" s="23"/>
      <c r="C596" s="23"/>
      <c r="D596" s="23"/>
      <c r="E596" s="23"/>
      <c r="F596" s="695" t="s">
        <v>672</v>
      </c>
      <c r="G596" s="20"/>
      <c r="H596" s="21"/>
      <c r="I596" s="22"/>
      <c r="J596" s="21"/>
      <c r="K596" s="36"/>
      <c r="L596" s="36"/>
      <c r="M596" s="36"/>
      <c r="N596" s="36"/>
      <c r="O596" s="22">
        <v>0.315270935960591</v>
      </c>
      <c r="P596" s="22">
        <v>1.16256157635468</v>
      </c>
      <c r="Q596" s="21" t="s">
        <v>1428</v>
      </c>
      <c r="R596" s="37">
        <v>0.2</v>
      </c>
      <c r="S596" s="37">
        <f t="shared" si="13"/>
        <v>1.67783251231527</v>
      </c>
      <c r="T596" s="813"/>
      <c r="U596" s="20"/>
      <c r="V596" s="120" t="s">
        <v>1406</v>
      </c>
    </row>
    <row r="597" s="42" customFormat="1" ht="15" customHeight="1" spans="1:22">
      <c r="A597" s="1120"/>
      <c r="B597" s="819" t="s">
        <v>2070</v>
      </c>
      <c r="C597" s="23"/>
      <c r="D597" s="23"/>
      <c r="E597" s="23"/>
      <c r="F597" s="695" t="s">
        <v>2306</v>
      </c>
      <c r="G597" s="20" t="s">
        <v>1933</v>
      </c>
      <c r="H597" s="21" t="s">
        <v>6423</v>
      </c>
      <c r="I597" s="21" t="s">
        <v>1913</v>
      </c>
      <c r="J597" s="21" t="s">
        <v>1428</v>
      </c>
      <c r="K597" s="36" t="s">
        <v>1428</v>
      </c>
      <c r="L597" s="36" t="s">
        <v>1428</v>
      </c>
      <c r="M597" s="36" t="s">
        <v>1428</v>
      </c>
      <c r="N597" s="36" t="s">
        <v>1428</v>
      </c>
      <c r="O597" s="22">
        <v>4.69322781289507</v>
      </c>
      <c r="P597" s="22">
        <v>17.1330049261084</v>
      </c>
      <c r="Q597" s="21" t="s">
        <v>1428</v>
      </c>
      <c r="R597" s="770">
        <v>2.91471059988258</v>
      </c>
      <c r="S597" s="37">
        <f t="shared" si="13"/>
        <v>24.740943338886</v>
      </c>
      <c r="T597" s="751" t="s">
        <v>1526</v>
      </c>
      <c r="U597" s="20" t="s">
        <v>6598</v>
      </c>
      <c r="V597" s="120" t="s">
        <v>1406</v>
      </c>
    </row>
    <row r="598" s="42" customFormat="1" ht="15" customHeight="1" spans="1:22">
      <c r="A598" s="1120"/>
      <c r="B598" s="819"/>
      <c r="C598" s="23"/>
      <c r="D598" s="23"/>
      <c r="E598" s="23"/>
      <c r="F598" s="695" t="s">
        <v>2311</v>
      </c>
      <c r="G598" s="20" t="s">
        <v>1933</v>
      </c>
      <c r="H598" s="21" t="s">
        <v>6423</v>
      </c>
      <c r="I598" s="21" t="s">
        <v>1913</v>
      </c>
      <c r="J598" s="21" t="s">
        <v>1428</v>
      </c>
      <c r="K598" s="36" t="s">
        <v>1428</v>
      </c>
      <c r="L598" s="36" t="s">
        <v>1428</v>
      </c>
      <c r="M598" s="36" t="s">
        <v>1428</v>
      </c>
      <c r="N598" s="36" t="s">
        <v>1428</v>
      </c>
      <c r="O598" s="22">
        <v>4.69322781289507</v>
      </c>
      <c r="P598" s="22">
        <v>17.8936016527433</v>
      </c>
      <c r="Q598" s="21" t="s">
        <v>1428</v>
      </c>
      <c r="R598" s="770">
        <v>2.90253214333711</v>
      </c>
      <c r="S598" s="37">
        <f t="shared" si="13"/>
        <v>25.4893616089755</v>
      </c>
      <c r="T598" s="751" t="s">
        <v>1526</v>
      </c>
      <c r="U598" s="20" t="s">
        <v>6604</v>
      </c>
      <c r="V598" s="120" t="s">
        <v>1406</v>
      </c>
    </row>
    <row r="599" s="42" customFormat="1" ht="15" customHeight="1" spans="1:22">
      <c r="A599" s="1120"/>
      <c r="B599" s="819"/>
      <c r="C599" s="23"/>
      <c r="D599" s="23"/>
      <c r="E599" s="23"/>
      <c r="F599" s="695" t="s">
        <v>2314</v>
      </c>
      <c r="G599" s="20" t="s">
        <v>1933</v>
      </c>
      <c r="H599" s="21" t="s">
        <v>6605</v>
      </c>
      <c r="I599" s="21" t="s">
        <v>1913</v>
      </c>
      <c r="J599" s="21" t="s">
        <v>1428</v>
      </c>
      <c r="K599" s="36" t="s">
        <v>1428</v>
      </c>
      <c r="L599" s="36" t="s">
        <v>1428</v>
      </c>
      <c r="M599" s="36" t="s">
        <v>1428</v>
      </c>
      <c r="N599" s="36" t="s">
        <v>1428</v>
      </c>
      <c r="O599" s="22">
        <v>4.69322781289507</v>
      </c>
      <c r="P599" s="22">
        <v>18.4188857527434</v>
      </c>
      <c r="Q599" s="21" t="s">
        <v>1428</v>
      </c>
      <c r="R599" s="770">
        <v>2.90253214333711</v>
      </c>
      <c r="S599" s="37">
        <f t="shared" si="13"/>
        <v>26.0146457089756</v>
      </c>
      <c r="T599" s="751" t="s">
        <v>1526</v>
      </c>
      <c r="U599" s="20" t="s">
        <v>6606</v>
      </c>
      <c r="V599" s="120" t="s">
        <v>1406</v>
      </c>
    </row>
    <row r="600" s="42" customFormat="1" ht="15" customHeight="1" spans="1:22">
      <c r="A600" s="1120"/>
      <c r="B600" s="819"/>
      <c r="C600" s="23"/>
      <c r="D600" s="23"/>
      <c r="E600" s="23"/>
      <c r="F600" s="695" t="s">
        <v>1723</v>
      </c>
      <c r="G600" s="20" t="s">
        <v>1933</v>
      </c>
      <c r="H600" s="21" t="s">
        <v>6418</v>
      </c>
      <c r="I600" s="21" t="s">
        <v>1913</v>
      </c>
      <c r="J600" s="21" t="s">
        <v>1428</v>
      </c>
      <c r="K600" s="1071" t="s">
        <v>712</v>
      </c>
      <c r="L600" s="36" t="s">
        <v>1428</v>
      </c>
      <c r="M600" s="36" t="s">
        <v>1428</v>
      </c>
      <c r="N600" s="36" t="s">
        <v>1428</v>
      </c>
      <c r="O600" s="22">
        <v>4.69322781289507</v>
      </c>
      <c r="P600" s="22">
        <v>15.7318882279646</v>
      </c>
      <c r="Q600" s="21" t="s">
        <v>1428</v>
      </c>
      <c r="R600" s="770">
        <v>2.90253214333711</v>
      </c>
      <c r="S600" s="37">
        <f t="shared" si="13"/>
        <v>23.3276481841968</v>
      </c>
      <c r="T600" s="751" t="s">
        <v>1526</v>
      </c>
      <c r="U600" s="759" t="s">
        <v>6607</v>
      </c>
      <c r="V600" s="120" t="s">
        <v>1406</v>
      </c>
    </row>
    <row r="601" s="42" customFormat="1" ht="15" customHeight="1" spans="1:22">
      <c r="A601" s="1120"/>
      <c r="B601" s="1123"/>
      <c r="C601" s="23"/>
      <c r="D601" s="23"/>
      <c r="E601" s="23"/>
      <c r="F601" s="695" t="s">
        <v>676</v>
      </c>
      <c r="G601" s="20"/>
      <c r="H601" s="21"/>
      <c r="I601" s="21"/>
      <c r="J601" s="21"/>
      <c r="K601" s="36"/>
      <c r="L601" s="36"/>
      <c r="M601" s="36"/>
      <c r="N601" s="36"/>
      <c r="O601" s="22">
        <v>0.502463054187192</v>
      </c>
      <c r="P601" s="22">
        <v>2.22660098522167</v>
      </c>
      <c r="Q601" s="21" t="s">
        <v>1428</v>
      </c>
      <c r="R601" s="37">
        <v>0.2</v>
      </c>
      <c r="S601" s="37">
        <f t="shared" si="13"/>
        <v>2.92906403940886</v>
      </c>
      <c r="T601" s="35"/>
      <c r="U601" s="20"/>
      <c r="V601" s="120" t="s">
        <v>1406</v>
      </c>
    </row>
    <row r="602" s="42" customFormat="1" ht="15" customHeight="1" spans="1:22">
      <c r="A602" s="1120"/>
      <c r="B602" s="819"/>
      <c r="C602" s="23"/>
      <c r="D602" s="23"/>
      <c r="E602" s="23"/>
      <c r="F602" s="695" t="s">
        <v>677</v>
      </c>
      <c r="G602" s="20"/>
      <c r="H602" s="21"/>
      <c r="I602" s="22"/>
      <c r="J602" s="21"/>
      <c r="K602" s="36"/>
      <c r="L602" s="36"/>
      <c r="M602" s="36"/>
      <c r="N602" s="36"/>
      <c r="O602" s="22">
        <v>0.847290640394089</v>
      </c>
      <c r="P602" s="22">
        <v>5.68472906403941</v>
      </c>
      <c r="Q602" s="21" t="s">
        <v>1428</v>
      </c>
      <c r="R602" s="37">
        <v>0.4</v>
      </c>
      <c r="S602" s="37">
        <f t="shared" si="13"/>
        <v>6.9320197044335</v>
      </c>
      <c r="T602" s="813"/>
      <c r="U602" s="20" t="s">
        <v>346</v>
      </c>
      <c r="V602" s="120" t="s">
        <v>1406</v>
      </c>
    </row>
    <row r="603" ht="15" spans="1:22">
      <c r="B603" s="23" t="s">
        <v>313</v>
      </c>
      <c r="C603" s="23"/>
      <c r="D603" s="23"/>
      <c r="E603" s="23"/>
      <c r="F603" s="20" t="s">
        <v>1241</v>
      </c>
      <c r="G603" s="20" t="s">
        <v>1242</v>
      </c>
      <c r="H603" s="21" t="s">
        <v>6420</v>
      </c>
      <c r="I603" s="21" t="s">
        <v>6263</v>
      </c>
      <c r="J603" s="21" t="s">
        <v>1428</v>
      </c>
      <c r="K603" s="21" t="s">
        <v>1428</v>
      </c>
      <c r="L603" s="21">
        <f>3.7*2</f>
        <v>7.4</v>
      </c>
      <c r="M603" s="21" t="s">
        <v>1428</v>
      </c>
      <c r="N603" s="690" t="s">
        <v>1428</v>
      </c>
      <c r="O603" s="37">
        <v>3.6606339444301</v>
      </c>
      <c r="P603" s="37">
        <v>23.5611862273761</v>
      </c>
      <c r="Q603" s="37" t="s">
        <v>1428</v>
      </c>
      <c r="R603" s="774">
        <v>5</v>
      </c>
      <c r="S603" s="37">
        <f>SUM(K603:R603)+26.5</f>
        <v>66.1218201718062</v>
      </c>
      <c r="T603" s="38" t="s">
        <v>6608</v>
      </c>
      <c r="U603" s="35" t="s">
        <v>6609</v>
      </c>
    </row>
    <row r="604" ht="15" spans="1:22">
      <c r="B604" s="23"/>
      <c r="C604" s="23"/>
      <c r="D604" s="23"/>
      <c r="E604" s="23"/>
      <c r="F604" s="20" t="s">
        <v>6610</v>
      </c>
      <c r="G604" s="20" t="s">
        <v>1933</v>
      </c>
      <c r="H604" s="21" t="s">
        <v>6418</v>
      </c>
      <c r="I604" s="21" t="s">
        <v>6263</v>
      </c>
      <c r="J604" s="21" t="s">
        <v>1428</v>
      </c>
      <c r="K604" s="1071" t="s">
        <v>712</v>
      </c>
      <c r="L604" s="21">
        <f>3.7*2</f>
        <v>7.4</v>
      </c>
      <c r="M604" s="21" t="s">
        <v>1428</v>
      </c>
      <c r="N604" s="690" t="s">
        <v>1428</v>
      </c>
      <c r="O604" s="37">
        <v>3.6606339444301</v>
      </c>
      <c r="P604" s="37">
        <v>22.391949408603</v>
      </c>
      <c r="Q604" s="37" t="s">
        <v>1428</v>
      </c>
      <c r="R604" s="774">
        <v>5</v>
      </c>
      <c r="S604" s="37">
        <f>SUM(K604:R604)+26.5</f>
        <v>64.9525833530331</v>
      </c>
      <c r="T604" s="38" t="s">
        <v>6608</v>
      </c>
      <c r="U604" s="35" t="s">
        <v>6611</v>
      </c>
    </row>
    <row r="605" spans="1:22">
      <c r="B605" s="23"/>
      <c r="C605" s="23"/>
      <c r="D605" s="23"/>
      <c r="E605" s="23"/>
      <c r="F605" s="20" t="s">
        <v>6612</v>
      </c>
      <c r="G605" s="20"/>
      <c r="H605" s="21"/>
      <c r="I605" s="21"/>
      <c r="J605" s="21"/>
      <c r="K605" s="21"/>
      <c r="L605" s="21"/>
      <c r="M605" s="21"/>
      <c r="N605" s="690"/>
      <c r="O605" s="37">
        <v>0.368605501348864</v>
      </c>
      <c r="P605" s="37">
        <v>2.25542569075713</v>
      </c>
      <c r="Q605" s="37" t="s">
        <v>1428</v>
      </c>
      <c r="R605" s="774">
        <v>0.4</v>
      </c>
      <c r="S605" s="37">
        <f>SUM(K605:R605)</f>
        <v>3.02403119210599</v>
      </c>
      <c r="T605" s="38"/>
      <c r="U605" s="35"/>
    </row>
    <row r="606" spans="1:22">
      <c r="B606" s="19"/>
      <c r="C606" s="19"/>
      <c r="D606" s="19"/>
      <c r="E606" s="19"/>
      <c r="F606" s="20" t="s">
        <v>580</v>
      </c>
      <c r="G606" s="20"/>
      <c r="H606" s="21"/>
      <c r="I606" s="21"/>
      <c r="J606" s="21"/>
      <c r="K606" s="21"/>
      <c r="L606" s="21"/>
      <c r="M606" s="21"/>
      <c r="N606" s="21"/>
      <c r="O606" s="37">
        <v>0.57615763546798</v>
      </c>
      <c r="P606" s="37">
        <v>2.77832512315271</v>
      </c>
      <c r="Q606" s="37" t="s">
        <v>1428</v>
      </c>
      <c r="R606" s="37">
        <v>0.2</v>
      </c>
      <c r="S606" s="37">
        <f>SUM(K606:R606)</f>
        <v>3.55448275862069</v>
      </c>
      <c r="T606" s="23"/>
      <c r="U606" s="35" t="s">
        <v>581</v>
      </c>
    </row>
    <row r="607" ht="15" spans="1:22">
      <c r="B607" s="19" t="s">
        <v>6613</v>
      </c>
      <c r="C607" s="19">
        <v>20240725</v>
      </c>
      <c r="D607" s="23">
        <v>7.24</v>
      </c>
      <c r="E607" s="19" t="s">
        <v>6614</v>
      </c>
      <c r="F607" s="20" t="s">
        <v>1565</v>
      </c>
      <c r="G607" s="20" t="s">
        <v>1933</v>
      </c>
      <c r="H607" s="21" t="s">
        <v>6418</v>
      </c>
      <c r="I607" s="21" t="s">
        <v>1913</v>
      </c>
      <c r="J607" s="21" t="s">
        <v>1428</v>
      </c>
      <c r="K607" s="1071" t="s">
        <v>712</v>
      </c>
      <c r="L607" s="21" t="s">
        <v>1428</v>
      </c>
      <c r="M607" s="21" t="s">
        <v>1428</v>
      </c>
      <c r="N607" s="21" t="s">
        <v>1428</v>
      </c>
      <c r="O607" s="37">
        <v>4.00359977233188</v>
      </c>
      <c r="P607" s="37">
        <v>16.3939316310893</v>
      </c>
      <c r="Q607" s="37" t="s">
        <v>1428</v>
      </c>
      <c r="R607" s="774">
        <v>5</v>
      </c>
      <c r="S607" s="37">
        <f>SUM(K607:R607)+26.5</f>
        <v>51.8975314034212</v>
      </c>
      <c r="T607" s="166" t="s">
        <v>1526</v>
      </c>
      <c r="U607" s="35" t="s">
        <v>4206</v>
      </c>
    </row>
    <row r="608" ht="15" spans="1:22">
      <c r="B608" s="19"/>
      <c r="C608" s="19">
        <v>20240725</v>
      </c>
      <c r="D608" s="23">
        <v>7.24</v>
      </c>
      <c r="E608" s="19" t="s">
        <v>6615</v>
      </c>
      <c r="F608" s="20" t="s">
        <v>1617</v>
      </c>
      <c r="G608" s="20" t="s">
        <v>1933</v>
      </c>
      <c r="H608" s="21" t="s">
        <v>6418</v>
      </c>
      <c r="I608" s="21" t="s">
        <v>1913</v>
      </c>
      <c r="J608" s="21" t="s">
        <v>1428</v>
      </c>
      <c r="K608" s="1071" t="s">
        <v>712</v>
      </c>
      <c r="L608" s="21" t="s">
        <v>1428</v>
      </c>
      <c r="M608" s="21" t="s">
        <v>1428</v>
      </c>
      <c r="N608" s="21" t="s">
        <v>1428</v>
      </c>
      <c r="O608" s="37">
        <v>4.00359977233188</v>
      </c>
      <c r="P608" s="37">
        <v>17.4321970760226</v>
      </c>
      <c r="Q608" s="37" t="s">
        <v>1428</v>
      </c>
      <c r="R608" s="774">
        <v>5</v>
      </c>
      <c r="S608" s="37">
        <f>SUM(K608:R608)+26.5</f>
        <v>52.9357968483545</v>
      </c>
      <c r="T608" s="166" t="s">
        <v>1526</v>
      </c>
      <c r="U608" s="35" t="s">
        <v>4206</v>
      </c>
    </row>
    <row r="609" ht="15" spans="2:21">
      <c r="B609" s="19"/>
      <c r="C609" s="1128">
        <v>46161</v>
      </c>
      <c r="D609" s="23">
        <v>6.8</v>
      </c>
      <c r="E609" s="19" t="s">
        <v>1285</v>
      </c>
      <c r="F609" s="20" t="s">
        <v>1286</v>
      </c>
      <c r="G609" s="20">
        <f>3.99/D609/1.13</f>
        <v>0.519260801665799</v>
      </c>
      <c r="H609" s="21" t="s">
        <v>6418</v>
      </c>
      <c r="I609" s="21" t="s">
        <v>1913</v>
      </c>
      <c r="J609" s="21" t="s">
        <v>1428</v>
      </c>
      <c r="K609" s="1071" t="s">
        <v>712</v>
      </c>
      <c r="L609" s="21" t="s">
        <v>1428</v>
      </c>
      <c r="M609" s="21" t="s">
        <v>1428</v>
      </c>
      <c r="N609" s="21" t="s">
        <v>1428</v>
      </c>
      <c r="O609" s="37">
        <v>4.00359977233188</v>
      </c>
      <c r="P609" s="37">
        <v>16.256326701078</v>
      </c>
      <c r="Q609" s="37" t="s">
        <v>1428</v>
      </c>
      <c r="R609" s="774">
        <v>5</v>
      </c>
      <c r="S609" s="37">
        <f>SUM(K609:R609)+26.5</f>
        <v>51.7599264734099</v>
      </c>
      <c r="T609" s="166" t="s">
        <v>1526</v>
      </c>
      <c r="U609" s="35" t="s">
        <v>4206</v>
      </c>
    </row>
    <row r="610" ht="15" spans="2:21">
      <c r="B610" s="23" t="s">
        <v>6616</v>
      </c>
      <c r="C610" s="23"/>
      <c r="D610" s="23"/>
      <c r="E610" s="23"/>
      <c r="F610" s="23" t="s">
        <v>1604</v>
      </c>
      <c r="G610" s="23" t="s">
        <v>1933</v>
      </c>
      <c r="H610" s="21" t="s">
        <v>6420</v>
      </c>
      <c r="I610" s="21" t="s">
        <v>1913</v>
      </c>
      <c r="J610" s="21" t="s">
        <v>1428</v>
      </c>
      <c r="K610" s="21" t="s">
        <v>1428</v>
      </c>
      <c r="L610" s="21" t="s">
        <v>1428</v>
      </c>
      <c r="M610" s="21" t="s">
        <v>1428</v>
      </c>
      <c r="N610" s="21" t="s">
        <v>1428</v>
      </c>
      <c r="O610" s="37">
        <v>4.9302005046387</v>
      </c>
      <c r="P610" s="37">
        <v>19.4293498518977</v>
      </c>
      <c r="Q610" s="37" t="s">
        <v>1428</v>
      </c>
      <c r="R610" s="774">
        <v>3.63</v>
      </c>
      <c r="S610" s="37">
        <f t="shared" ref="S610:S652" si="14">SUM(K610:R610)</f>
        <v>27.9895503565364</v>
      </c>
      <c r="T610" s="166" t="s">
        <v>1526</v>
      </c>
      <c r="U610" s="35" t="s">
        <v>6617</v>
      </c>
    </row>
    <row r="611" ht="15" spans="2:21">
      <c r="B611" s="23"/>
      <c r="C611" s="23"/>
      <c r="D611" s="23"/>
      <c r="E611" s="23"/>
      <c r="F611" s="23" t="s">
        <v>1571</v>
      </c>
      <c r="G611" s="23" t="s">
        <v>1933</v>
      </c>
      <c r="H611" s="21" t="s">
        <v>6418</v>
      </c>
      <c r="I611" s="21" t="s">
        <v>1913</v>
      </c>
      <c r="J611" s="21" t="s">
        <v>1428</v>
      </c>
      <c r="K611" s="1071" t="s">
        <v>712</v>
      </c>
      <c r="L611" s="21" t="s">
        <v>1428</v>
      </c>
      <c r="M611" s="21" t="s">
        <v>1428</v>
      </c>
      <c r="N611" s="21" t="s">
        <v>1428</v>
      </c>
      <c r="O611" s="37">
        <v>4.9302005046387</v>
      </c>
      <c r="P611" s="37">
        <v>18.9922200861652</v>
      </c>
      <c r="Q611" s="37" t="s">
        <v>1428</v>
      </c>
      <c r="R611" s="774">
        <v>3.63</v>
      </c>
      <c r="S611" s="37">
        <f t="shared" si="14"/>
        <v>27.5524205908039</v>
      </c>
      <c r="T611" s="167" t="s">
        <v>1526</v>
      </c>
      <c r="U611" s="35" t="s">
        <v>6618</v>
      </c>
    </row>
    <row r="612" ht="15" spans="2:21">
      <c r="B612" s="23"/>
      <c r="C612" s="23"/>
      <c r="D612" s="23"/>
      <c r="E612" s="23"/>
      <c r="F612" s="23" t="s">
        <v>4165</v>
      </c>
      <c r="G612" s="23" t="s">
        <v>1933</v>
      </c>
      <c r="H612" s="21" t="s">
        <v>6418</v>
      </c>
      <c r="I612" s="21" t="s">
        <v>1913</v>
      </c>
      <c r="J612" s="21" t="s">
        <v>1428</v>
      </c>
      <c r="K612" s="1071" t="s">
        <v>712</v>
      </c>
      <c r="L612" s="21" t="s">
        <v>1428</v>
      </c>
      <c r="M612" s="21" t="s">
        <v>1428</v>
      </c>
      <c r="N612" s="21" t="s">
        <v>1428</v>
      </c>
      <c r="O612" s="37">
        <v>4.9302005046387</v>
      </c>
      <c r="P612" s="37">
        <v>16.2250516335084</v>
      </c>
      <c r="Q612" s="37" t="s">
        <v>1428</v>
      </c>
      <c r="R612" s="774">
        <v>3.63</v>
      </c>
      <c r="S612" s="37">
        <f t="shared" si="14"/>
        <v>24.7852521381471</v>
      </c>
      <c r="T612" s="167" t="s">
        <v>1526</v>
      </c>
      <c r="U612" s="35" t="s">
        <v>6619</v>
      </c>
    </row>
    <row r="613" ht="15" spans="2:21">
      <c r="B613" s="23"/>
      <c r="C613" s="23"/>
      <c r="D613" s="23"/>
      <c r="E613" s="23"/>
      <c r="F613" s="23" t="s">
        <v>1685</v>
      </c>
      <c r="G613" s="23" t="s">
        <v>1933</v>
      </c>
      <c r="H613" s="21" t="s">
        <v>6423</v>
      </c>
      <c r="I613" s="21" t="s">
        <v>1913</v>
      </c>
      <c r="J613" s="21" t="s">
        <v>1428</v>
      </c>
      <c r="K613" s="21" t="s">
        <v>1428</v>
      </c>
      <c r="L613" s="21" t="s">
        <v>1428</v>
      </c>
      <c r="M613" s="21" t="s">
        <v>1428</v>
      </c>
      <c r="N613" s="21" t="s">
        <v>1428</v>
      </c>
      <c r="O613" s="37">
        <v>4.9302005046387</v>
      </c>
      <c r="P613" s="37">
        <v>18.980161089115</v>
      </c>
      <c r="Q613" s="37" t="s">
        <v>1428</v>
      </c>
      <c r="R613" s="774">
        <v>3.63</v>
      </c>
      <c r="S613" s="37">
        <f t="shared" si="14"/>
        <v>27.5403615937537</v>
      </c>
      <c r="T613" s="167" t="s">
        <v>1526</v>
      </c>
      <c r="U613" s="35" t="s">
        <v>6620</v>
      </c>
    </row>
    <row r="614" ht="15" spans="2:21">
      <c r="B614" s="23"/>
      <c r="C614" s="23"/>
      <c r="D614" s="23"/>
      <c r="E614" s="23"/>
      <c r="F614" s="23" t="s">
        <v>6621</v>
      </c>
      <c r="G614" s="23" t="s">
        <v>1933</v>
      </c>
      <c r="H614" s="21" t="s">
        <v>6418</v>
      </c>
      <c r="I614" s="21" t="s">
        <v>1913</v>
      </c>
      <c r="J614" s="21" t="s">
        <v>1428</v>
      </c>
      <c r="K614" s="1071" t="s">
        <v>712</v>
      </c>
      <c r="L614" s="21" t="s">
        <v>1428</v>
      </c>
      <c r="M614" s="21" t="s">
        <v>1428</v>
      </c>
      <c r="N614" s="21" t="s">
        <v>1428</v>
      </c>
      <c r="O614" s="37">
        <v>4.9302005046387</v>
      </c>
      <c r="P614" s="37">
        <v>16.4891789856681</v>
      </c>
      <c r="Q614" s="37" t="s">
        <v>1428</v>
      </c>
      <c r="R614" s="774">
        <v>3.63</v>
      </c>
      <c r="S614" s="37">
        <f t="shared" si="14"/>
        <v>25.0493794903068</v>
      </c>
      <c r="T614" s="167" t="s">
        <v>1526</v>
      </c>
      <c r="U614" s="35" t="s">
        <v>6622</v>
      </c>
    </row>
    <row r="615" spans="2:21">
      <c r="B615" s="23"/>
      <c r="C615" s="23"/>
      <c r="D615" s="23"/>
      <c r="E615" s="23"/>
      <c r="F615" s="23" t="s">
        <v>6623</v>
      </c>
      <c r="G615" s="23"/>
      <c r="H615" s="21"/>
      <c r="I615" s="21"/>
      <c r="J615" s="21"/>
      <c r="K615" s="21"/>
      <c r="L615" s="21"/>
      <c r="M615" s="21"/>
      <c r="N615" s="21"/>
      <c r="O615" s="37">
        <v>0.599601479812902</v>
      </c>
      <c r="P615" s="37">
        <v>3.51077253230538</v>
      </c>
      <c r="Q615" s="37" t="s">
        <v>1428</v>
      </c>
      <c r="R615" s="774">
        <v>0.4</v>
      </c>
      <c r="S615" s="37">
        <f t="shared" si="14"/>
        <v>4.51037401211828</v>
      </c>
      <c r="T615" s="23"/>
      <c r="U615" s="35"/>
    </row>
    <row r="616" ht="15" spans="2:21">
      <c r="B616" s="23" t="s">
        <v>6624</v>
      </c>
      <c r="C616" s="23"/>
      <c r="D616" s="23"/>
      <c r="E616" s="23"/>
      <c r="F616" s="23" t="s">
        <v>1565</v>
      </c>
      <c r="G616" s="23" t="s">
        <v>3540</v>
      </c>
      <c r="H616" s="21" t="s">
        <v>6420</v>
      </c>
      <c r="I616" s="21" t="s">
        <v>1913</v>
      </c>
      <c r="J616" s="21" t="s">
        <v>2955</v>
      </c>
      <c r="K616" s="21" t="s">
        <v>1428</v>
      </c>
      <c r="L616" s="21" t="s">
        <v>1428</v>
      </c>
      <c r="M616" s="21" t="s">
        <v>1428</v>
      </c>
      <c r="N616" s="21" t="s">
        <v>1428</v>
      </c>
      <c r="O616" s="37">
        <v>4.46139761977419</v>
      </c>
      <c r="P616" s="37">
        <v>15.2242164754155</v>
      </c>
      <c r="Q616" s="37" t="s">
        <v>1428</v>
      </c>
      <c r="R616" s="774">
        <v>5</v>
      </c>
      <c r="S616" s="37">
        <f t="shared" si="14"/>
        <v>24.6856140951897</v>
      </c>
      <c r="T616" s="167" t="s">
        <v>1526</v>
      </c>
      <c r="U616" s="35" t="s">
        <v>6625</v>
      </c>
    </row>
    <row r="617" ht="15" spans="2:21">
      <c r="B617" s="23"/>
      <c r="C617" s="23"/>
      <c r="D617" s="23"/>
      <c r="E617" s="23"/>
      <c r="F617" s="23" t="s">
        <v>1617</v>
      </c>
      <c r="G617" s="23" t="s">
        <v>1933</v>
      </c>
      <c r="H617" s="21" t="s">
        <v>6418</v>
      </c>
      <c r="I617" s="21" t="s">
        <v>1913</v>
      </c>
      <c r="J617" s="21" t="s">
        <v>1635</v>
      </c>
      <c r="K617" s="1071" t="s">
        <v>712</v>
      </c>
      <c r="L617" s="21" t="s">
        <v>1428</v>
      </c>
      <c r="M617" s="21" t="s">
        <v>1428</v>
      </c>
      <c r="N617" s="21">
        <v>3.3</v>
      </c>
      <c r="O617" s="37">
        <v>4.46139761977419</v>
      </c>
      <c r="P617" s="37">
        <v>15.1521333236803</v>
      </c>
      <c r="Q617" s="37" t="s">
        <v>1428</v>
      </c>
      <c r="R617" s="774">
        <v>5</v>
      </c>
      <c r="S617" s="37">
        <f t="shared" si="14"/>
        <v>27.9135309434545</v>
      </c>
      <c r="T617" s="167" t="s">
        <v>1526</v>
      </c>
      <c r="U617" s="35" t="s">
        <v>6626</v>
      </c>
    </row>
    <row r="618" ht="15" spans="2:21">
      <c r="B618" s="23" t="s">
        <v>6627</v>
      </c>
      <c r="C618" s="23"/>
      <c r="D618" s="23"/>
      <c r="E618" s="23"/>
      <c r="F618" s="23" t="s">
        <v>1565</v>
      </c>
      <c r="G618" s="23" t="s">
        <v>1933</v>
      </c>
      <c r="H618" s="21" t="s">
        <v>6420</v>
      </c>
      <c r="I618" s="21" t="s">
        <v>1913</v>
      </c>
      <c r="J618" s="21" t="s">
        <v>2955</v>
      </c>
      <c r="K618" s="21" t="s">
        <v>1428</v>
      </c>
      <c r="L618" s="21" t="s">
        <v>1428</v>
      </c>
      <c r="M618" s="21" t="s">
        <v>1428</v>
      </c>
      <c r="N618" s="21" t="s">
        <v>1428</v>
      </c>
      <c r="O618" s="37">
        <v>4.74343999803578</v>
      </c>
      <c r="P618" s="37">
        <v>18.9465133927022</v>
      </c>
      <c r="Q618" s="37" t="s">
        <v>1428</v>
      </c>
      <c r="R618" s="774">
        <v>5</v>
      </c>
      <c r="S618" s="37">
        <f t="shared" si="14"/>
        <v>28.689953390738</v>
      </c>
      <c r="T618" s="167" t="s">
        <v>1526</v>
      </c>
      <c r="U618" s="35" t="s">
        <v>6628</v>
      </c>
    </row>
    <row r="619" ht="15" spans="2:21">
      <c r="B619" s="23"/>
      <c r="C619" s="23"/>
      <c r="D619" s="23"/>
      <c r="E619" s="23"/>
      <c r="F619" s="23" t="s">
        <v>1617</v>
      </c>
      <c r="G619" s="23" t="s">
        <v>1933</v>
      </c>
      <c r="H619" s="21" t="s">
        <v>6418</v>
      </c>
      <c r="I619" s="21" t="s">
        <v>1913</v>
      </c>
      <c r="J619" s="21" t="s">
        <v>1635</v>
      </c>
      <c r="K619" s="1071" t="s">
        <v>712</v>
      </c>
      <c r="L619" s="21" t="s">
        <v>1428</v>
      </c>
      <c r="M619" s="21" t="s">
        <v>1428</v>
      </c>
      <c r="N619" s="21">
        <v>3.3</v>
      </c>
      <c r="O619" s="37">
        <v>4.74343999803578</v>
      </c>
      <c r="P619" s="37">
        <v>18.5193225572582</v>
      </c>
      <c r="Q619" s="37" t="s">
        <v>1428</v>
      </c>
      <c r="R619" s="774">
        <v>5</v>
      </c>
      <c r="S619" s="37">
        <f t="shared" si="14"/>
        <v>31.562762555294</v>
      </c>
      <c r="T619" s="167" t="s">
        <v>1526</v>
      </c>
      <c r="U619" s="35" t="s">
        <v>6629</v>
      </c>
    </row>
    <row r="620" ht="15" spans="2:21">
      <c r="B620" s="23"/>
      <c r="C620" s="23"/>
      <c r="D620" s="23"/>
      <c r="E620" s="23"/>
      <c r="F620" s="23" t="s">
        <v>1629</v>
      </c>
      <c r="G620" s="23" t="s">
        <v>1933</v>
      </c>
      <c r="H620" s="21" t="s">
        <v>6423</v>
      </c>
      <c r="I620" s="21" t="s">
        <v>1913</v>
      </c>
      <c r="J620" s="21" t="s">
        <v>1742</v>
      </c>
      <c r="K620" s="1071" t="s">
        <v>712</v>
      </c>
      <c r="L620" s="21" t="s">
        <v>1428</v>
      </c>
      <c r="M620" s="21" t="s">
        <v>1428</v>
      </c>
      <c r="N620" s="762">
        <v>6</v>
      </c>
      <c r="O620" s="37">
        <v>4.74343999803578</v>
      </c>
      <c r="P620" s="37">
        <v>21.1018263150397</v>
      </c>
      <c r="Q620" s="37" t="s">
        <v>1428</v>
      </c>
      <c r="R620" s="774">
        <v>5</v>
      </c>
      <c r="S620" s="37">
        <f t="shared" si="14"/>
        <v>36.8452663130755</v>
      </c>
      <c r="T620" s="167" t="s">
        <v>1526</v>
      </c>
      <c r="U620" s="35" t="s">
        <v>6630</v>
      </c>
    </row>
    <row r="621" ht="15" spans="2:21">
      <c r="B621" s="23" t="s">
        <v>6631</v>
      </c>
      <c r="C621" s="23"/>
      <c r="D621" s="23"/>
      <c r="E621" s="23"/>
      <c r="F621" s="23" t="s">
        <v>1565</v>
      </c>
      <c r="G621" s="23" t="s">
        <v>1933</v>
      </c>
      <c r="H621" s="21" t="s">
        <v>6418</v>
      </c>
      <c r="I621" s="21" t="s">
        <v>1913</v>
      </c>
      <c r="J621" s="21" t="s">
        <v>1428</v>
      </c>
      <c r="K621" s="1071" t="s">
        <v>712</v>
      </c>
      <c r="L621" s="21" t="s">
        <v>1428</v>
      </c>
      <c r="M621" s="21" t="s">
        <v>1428</v>
      </c>
      <c r="N621" s="21" t="s">
        <v>1428</v>
      </c>
      <c r="O621" s="37">
        <v>6.84382268735258</v>
      </c>
      <c r="P621" s="37">
        <v>21.6773901669456</v>
      </c>
      <c r="Q621" s="37" t="s">
        <v>1428</v>
      </c>
      <c r="R621" s="774">
        <v>5</v>
      </c>
      <c r="S621" s="37">
        <f t="shared" si="14"/>
        <v>33.5212128542982</v>
      </c>
      <c r="T621" s="167" t="s">
        <v>1526</v>
      </c>
      <c r="U621" s="35" t="s">
        <v>6618</v>
      </c>
    </row>
    <row r="622" ht="15" spans="2:21">
      <c r="B622" s="23"/>
      <c r="C622" s="23"/>
      <c r="D622" s="23"/>
      <c r="E622" s="23"/>
      <c r="F622" s="20" t="s">
        <v>1617</v>
      </c>
      <c r="G622" s="23" t="s">
        <v>1933</v>
      </c>
      <c r="H622" s="21" t="s">
        <v>6423</v>
      </c>
      <c r="I622" s="21" t="s">
        <v>1913</v>
      </c>
      <c r="J622" s="21" t="s">
        <v>1428</v>
      </c>
      <c r="K622" s="21" t="s">
        <v>1428</v>
      </c>
      <c r="L622" s="21" t="s">
        <v>1428</v>
      </c>
      <c r="M622" s="21" t="s">
        <v>1428</v>
      </c>
      <c r="N622" s="21" t="s">
        <v>1428</v>
      </c>
      <c r="O622" s="37">
        <v>6.84382268735258</v>
      </c>
      <c r="P622" s="37">
        <v>22.3244153052293</v>
      </c>
      <c r="Q622" s="37" t="s">
        <v>1428</v>
      </c>
      <c r="R622" s="774">
        <v>5</v>
      </c>
      <c r="S622" s="37">
        <f t="shared" si="14"/>
        <v>34.1682379925819</v>
      </c>
      <c r="T622" s="167" t="s">
        <v>1526</v>
      </c>
      <c r="U622" s="35" t="s">
        <v>6620</v>
      </c>
    </row>
    <row r="623" ht="15" spans="2:21">
      <c r="B623" s="23" t="s">
        <v>6632</v>
      </c>
      <c r="C623" s="20"/>
      <c r="D623" s="20"/>
      <c r="E623" s="20"/>
      <c r="F623" s="20" t="s">
        <v>1565</v>
      </c>
      <c r="G623" s="23" t="s">
        <v>1933</v>
      </c>
      <c r="H623" s="21" t="s">
        <v>6418</v>
      </c>
      <c r="I623" s="21" t="s">
        <v>1913</v>
      </c>
      <c r="J623" s="21" t="s">
        <v>1428</v>
      </c>
      <c r="K623" s="1071" t="s">
        <v>712</v>
      </c>
      <c r="L623" s="21" t="s">
        <v>1428</v>
      </c>
      <c r="M623" s="21" t="s">
        <v>1428</v>
      </c>
      <c r="N623" s="21" t="s">
        <v>1428</v>
      </c>
      <c r="O623" s="37">
        <v>3.86444518173094</v>
      </c>
      <c r="P623" s="37">
        <v>13.2995690801602</v>
      </c>
      <c r="Q623" s="37" t="s">
        <v>1428</v>
      </c>
      <c r="R623" s="774">
        <v>5</v>
      </c>
      <c r="S623" s="37">
        <f t="shared" si="14"/>
        <v>22.1640142618911</v>
      </c>
      <c r="T623" s="167" t="s">
        <v>1526</v>
      </c>
      <c r="U623" s="35" t="s">
        <v>6633</v>
      </c>
    </row>
    <row r="624" ht="15" spans="2:21">
      <c r="B624" s="23"/>
      <c r="C624" s="20"/>
      <c r="D624" s="20"/>
      <c r="E624" s="20"/>
      <c r="F624" s="20" t="s">
        <v>1617</v>
      </c>
      <c r="G624" s="23" t="s">
        <v>1933</v>
      </c>
      <c r="H624" s="21" t="s">
        <v>6536</v>
      </c>
      <c r="I624" s="21" t="s">
        <v>1913</v>
      </c>
      <c r="J624" s="21" t="s">
        <v>1428</v>
      </c>
      <c r="K624" s="1071" t="s">
        <v>712</v>
      </c>
      <c r="L624" s="21" t="s">
        <v>1428</v>
      </c>
      <c r="M624" s="21" t="s">
        <v>1428</v>
      </c>
      <c r="N624" s="21" t="s">
        <v>1428</v>
      </c>
      <c r="O624" s="37">
        <v>3.86444518173094</v>
      </c>
      <c r="P624" s="37">
        <v>13.2972193700595</v>
      </c>
      <c r="Q624" s="37" t="s">
        <v>1428</v>
      </c>
      <c r="R624" s="774">
        <v>5</v>
      </c>
      <c r="S624" s="37">
        <f t="shared" si="14"/>
        <v>22.1616645517904</v>
      </c>
      <c r="T624" s="167" t="s">
        <v>1526</v>
      </c>
      <c r="U624" s="35" t="s">
        <v>6633</v>
      </c>
    </row>
    <row r="625" ht="15" spans="2:21">
      <c r="B625" s="23"/>
      <c r="C625" s="20"/>
      <c r="D625" s="20"/>
      <c r="E625" s="20"/>
      <c r="F625" s="20" t="s">
        <v>1629</v>
      </c>
      <c r="G625" s="23" t="s">
        <v>1933</v>
      </c>
      <c r="H625" s="21" t="s">
        <v>6571</v>
      </c>
      <c r="I625" s="21" t="s">
        <v>1913</v>
      </c>
      <c r="J625" s="21" t="s">
        <v>1428</v>
      </c>
      <c r="K625" s="1071" t="s">
        <v>712</v>
      </c>
      <c r="L625" s="21" t="s">
        <v>1428</v>
      </c>
      <c r="M625" s="21" t="s">
        <v>1428</v>
      </c>
      <c r="N625" s="21" t="s">
        <v>1428</v>
      </c>
      <c r="O625" s="37">
        <v>3.86444518173094</v>
      </c>
      <c r="P625" s="37">
        <v>13.5779126911483</v>
      </c>
      <c r="Q625" s="37" t="s">
        <v>1428</v>
      </c>
      <c r="R625" s="774">
        <v>5</v>
      </c>
      <c r="S625" s="37">
        <f t="shared" si="14"/>
        <v>22.4423578728792</v>
      </c>
      <c r="T625" s="167" t="s">
        <v>1526</v>
      </c>
      <c r="U625" s="35" t="s">
        <v>6634</v>
      </c>
    </row>
    <row r="626" ht="15" spans="2:21">
      <c r="B626" s="23"/>
      <c r="C626" s="20"/>
      <c r="D626" s="20"/>
      <c r="E626" s="20"/>
      <c r="F626" s="20" t="s">
        <v>1645</v>
      </c>
      <c r="G626" s="23" t="s">
        <v>1933</v>
      </c>
      <c r="H626" s="21" t="s">
        <v>6536</v>
      </c>
      <c r="I626" s="21" t="s">
        <v>1913</v>
      </c>
      <c r="J626" s="21" t="s">
        <v>1428</v>
      </c>
      <c r="K626" s="1071" t="s">
        <v>712</v>
      </c>
      <c r="L626" s="21" t="s">
        <v>1428</v>
      </c>
      <c r="M626" s="21" t="s">
        <v>1428</v>
      </c>
      <c r="N626" s="21" t="s">
        <v>1428</v>
      </c>
      <c r="O626" s="37">
        <v>3.86444518173094</v>
      </c>
      <c r="P626" s="37">
        <v>13.8594986153532</v>
      </c>
      <c r="Q626" s="37" t="s">
        <v>1428</v>
      </c>
      <c r="R626" s="774">
        <v>5</v>
      </c>
      <c r="S626" s="37">
        <f t="shared" si="14"/>
        <v>22.7239437970841</v>
      </c>
      <c r="T626" s="167" t="s">
        <v>1526</v>
      </c>
      <c r="U626" s="35" t="s">
        <v>6633</v>
      </c>
    </row>
    <row r="627" spans="2:21">
      <c r="B627" s="23"/>
      <c r="C627" s="20"/>
      <c r="D627" s="20"/>
      <c r="E627" s="20"/>
      <c r="F627" s="20" t="s">
        <v>6635</v>
      </c>
      <c r="G627" s="23"/>
      <c r="H627" s="21"/>
      <c r="I627" s="21"/>
      <c r="J627" s="21"/>
      <c r="K627" s="21"/>
      <c r="L627" s="21"/>
      <c r="M627" s="21"/>
      <c r="N627" s="21"/>
      <c r="O627" s="37">
        <v>0.208240624402473</v>
      </c>
      <c r="P627" s="37">
        <v>1.05124357248472</v>
      </c>
      <c r="Q627" s="37" t="s">
        <v>1428</v>
      </c>
      <c r="R627" s="774">
        <v>0.2</v>
      </c>
      <c r="S627" s="37">
        <f t="shared" si="14"/>
        <v>1.45948419688719</v>
      </c>
      <c r="T627" s="23"/>
      <c r="U627" s="35"/>
    </row>
    <row r="628" spans="2:21">
      <c r="B628" s="23"/>
      <c r="C628" s="20"/>
      <c r="D628" s="20"/>
      <c r="E628" s="20"/>
      <c r="F628" s="20" t="s">
        <v>6636</v>
      </c>
      <c r="G628" s="23"/>
      <c r="H628" s="21"/>
      <c r="I628" s="21"/>
      <c r="J628" s="21"/>
      <c r="K628" s="21"/>
      <c r="L628" s="21"/>
      <c r="M628" s="21"/>
      <c r="N628" s="21"/>
      <c r="O628" s="37">
        <v>0.211531783696189</v>
      </c>
      <c r="P628" s="37">
        <v>1.18548459414098</v>
      </c>
      <c r="Q628" s="37" t="s">
        <v>1428</v>
      </c>
      <c r="R628" s="774">
        <v>0.2</v>
      </c>
      <c r="S628" s="37">
        <f t="shared" si="14"/>
        <v>1.59701637783717</v>
      </c>
      <c r="T628" s="23"/>
      <c r="U628" s="35"/>
    </row>
    <row r="629" ht="15" spans="2:21">
      <c r="B629" s="23" t="s">
        <v>6637</v>
      </c>
      <c r="C629" s="23"/>
      <c r="D629" s="23"/>
      <c r="E629" s="23"/>
      <c r="F629" s="20" t="s">
        <v>1617</v>
      </c>
      <c r="G629" s="20" t="s">
        <v>1933</v>
      </c>
      <c r="H629" s="21" t="s">
        <v>6638</v>
      </c>
      <c r="I629" s="21" t="s">
        <v>1913</v>
      </c>
      <c r="J629" s="21" t="s">
        <v>1428</v>
      </c>
      <c r="K629" s="699" t="s">
        <v>712</v>
      </c>
      <c r="L629" s="21" t="s">
        <v>1428</v>
      </c>
      <c r="M629" s="21" t="s">
        <v>1428</v>
      </c>
      <c r="N629" s="21" t="s">
        <v>1428</v>
      </c>
      <c r="O629" s="37">
        <v>8.79216551724138</v>
      </c>
      <c r="P629" s="37">
        <v>22</v>
      </c>
      <c r="Q629" s="37" t="s">
        <v>1428</v>
      </c>
      <c r="R629" s="774">
        <v>5</v>
      </c>
      <c r="S629" s="37">
        <f t="shared" si="14"/>
        <v>35.7921655172414</v>
      </c>
      <c r="T629" s="167" t="s">
        <v>1526</v>
      </c>
      <c r="U629" s="35" t="s">
        <v>2953</v>
      </c>
    </row>
    <row r="630" ht="15" spans="2:21">
      <c r="B630" s="23"/>
      <c r="C630" s="23"/>
      <c r="D630" s="23"/>
      <c r="E630" s="23"/>
      <c r="F630" s="20" t="s">
        <v>1645</v>
      </c>
      <c r="G630" s="20" t="s">
        <v>1933</v>
      </c>
      <c r="H630" s="21" t="s">
        <v>6639</v>
      </c>
      <c r="I630" s="21" t="s">
        <v>1913</v>
      </c>
      <c r="J630" s="21" t="s">
        <v>1428</v>
      </c>
      <c r="K630" s="1071" t="s">
        <v>712</v>
      </c>
      <c r="L630" s="21" t="s">
        <v>1428</v>
      </c>
      <c r="M630" s="21" t="s">
        <v>1428</v>
      </c>
      <c r="N630" s="21" t="s">
        <v>1428</v>
      </c>
      <c r="O630" s="37">
        <v>8.79216551724138</v>
      </c>
      <c r="P630" s="37">
        <v>22.66</v>
      </c>
      <c r="Q630" s="37" t="s">
        <v>1428</v>
      </c>
      <c r="R630" s="774">
        <v>5</v>
      </c>
      <c r="S630" s="37">
        <f t="shared" si="14"/>
        <v>36.4521655172414</v>
      </c>
      <c r="T630" s="167" t="s">
        <v>1526</v>
      </c>
      <c r="U630" s="35" t="s">
        <v>2953</v>
      </c>
    </row>
    <row r="631" spans="2:21">
      <c r="B631" s="23"/>
      <c r="C631" s="23"/>
      <c r="D631" s="23"/>
      <c r="E631" s="23"/>
      <c r="F631" s="20" t="s">
        <v>6640</v>
      </c>
      <c r="G631" s="20"/>
      <c r="H631" s="21"/>
      <c r="I631" s="21"/>
      <c r="J631" s="21"/>
      <c r="K631" s="21"/>
      <c r="L631" s="21"/>
      <c r="M631" s="21"/>
      <c r="N631" s="21"/>
      <c r="O631" s="37">
        <v>0.725163920502803</v>
      </c>
      <c r="P631" s="37">
        <v>3.08702791461412</v>
      </c>
      <c r="Q631" s="37" t="s">
        <v>1428</v>
      </c>
      <c r="R631" s="37">
        <v>0.4</v>
      </c>
      <c r="S631" s="37">
        <f t="shared" si="14"/>
        <v>4.21219183511692</v>
      </c>
      <c r="T631" s="23"/>
      <c r="U631" s="35" t="s">
        <v>25</v>
      </c>
    </row>
    <row r="632" spans="2:21">
      <c r="B632" s="23"/>
      <c r="C632" s="23"/>
      <c r="D632" s="23"/>
      <c r="E632" s="23"/>
      <c r="F632" s="20" t="s">
        <v>6641</v>
      </c>
      <c r="G632" s="20"/>
      <c r="H632" s="21"/>
      <c r="I632" s="21"/>
      <c r="J632" s="21"/>
      <c r="K632" s="21"/>
      <c r="L632" s="21"/>
      <c r="M632" s="21"/>
      <c r="N632" s="21"/>
      <c r="O632" s="37">
        <v>0.725163920502803</v>
      </c>
      <c r="P632" s="37">
        <v>2.20501993901009</v>
      </c>
      <c r="Q632" s="37" t="s">
        <v>1428</v>
      </c>
      <c r="R632" s="37">
        <v>0.4</v>
      </c>
      <c r="S632" s="37">
        <f t="shared" si="14"/>
        <v>3.33018385951289</v>
      </c>
      <c r="T632" s="23"/>
      <c r="U632" s="35"/>
    </row>
    <row r="633" ht="15" spans="2:21">
      <c r="B633" s="23" t="s">
        <v>6642</v>
      </c>
      <c r="C633" s="23"/>
      <c r="D633" s="23"/>
      <c r="E633" s="23"/>
      <c r="F633" s="20" t="s">
        <v>1617</v>
      </c>
      <c r="G633" s="20" t="s">
        <v>1933</v>
      </c>
      <c r="H633" s="21" t="s">
        <v>6639</v>
      </c>
      <c r="I633" s="21" t="s">
        <v>1913</v>
      </c>
      <c r="J633" s="21" t="s">
        <v>1428</v>
      </c>
      <c r="K633" s="1071" t="s">
        <v>712</v>
      </c>
      <c r="L633" s="21" t="s">
        <v>1428</v>
      </c>
      <c r="M633" s="21" t="s">
        <v>1428</v>
      </c>
      <c r="N633" s="21" t="s">
        <v>1428</v>
      </c>
      <c r="O633" s="37">
        <v>4.11376551724138</v>
      </c>
      <c r="P633" s="37">
        <v>18.9</v>
      </c>
      <c r="Q633" s="37" t="s">
        <v>1428</v>
      </c>
      <c r="R633" s="774">
        <v>5</v>
      </c>
      <c r="S633" s="37">
        <f t="shared" si="14"/>
        <v>28.0137655172414</v>
      </c>
      <c r="T633" s="167" t="s">
        <v>1526</v>
      </c>
      <c r="U633" s="35" t="s">
        <v>2953</v>
      </c>
    </row>
    <row r="634" ht="15" spans="2:21">
      <c r="B634" s="23"/>
      <c r="C634" s="23"/>
      <c r="D634" s="23"/>
      <c r="E634" s="23"/>
      <c r="F634" s="20" t="s">
        <v>1645</v>
      </c>
      <c r="G634" s="20" t="s">
        <v>1933</v>
      </c>
      <c r="H634" s="21" t="s">
        <v>6639</v>
      </c>
      <c r="I634" s="21" t="s">
        <v>1913</v>
      </c>
      <c r="J634" s="21" t="s">
        <v>1428</v>
      </c>
      <c r="K634" s="1071" t="s">
        <v>712</v>
      </c>
      <c r="L634" s="21" t="s">
        <v>1428</v>
      </c>
      <c r="M634" s="21" t="s">
        <v>1428</v>
      </c>
      <c r="N634" s="21" t="s">
        <v>1428</v>
      </c>
      <c r="O634" s="37">
        <v>4.11376551724138</v>
      </c>
      <c r="P634" s="37">
        <v>19.79</v>
      </c>
      <c r="Q634" s="37" t="s">
        <v>1428</v>
      </c>
      <c r="R634" s="774">
        <v>5</v>
      </c>
      <c r="S634" s="37">
        <f t="shared" si="14"/>
        <v>28.9037655172414</v>
      </c>
      <c r="T634" s="167" t="s">
        <v>1526</v>
      </c>
      <c r="U634" s="35"/>
    </row>
    <row r="635" spans="2:21">
      <c r="B635" s="23"/>
      <c r="C635" s="23"/>
      <c r="D635" s="23"/>
      <c r="E635" s="23"/>
      <c r="F635" s="20" t="s">
        <v>562</v>
      </c>
      <c r="G635" s="20"/>
      <c r="H635" s="21"/>
      <c r="I635" s="21"/>
      <c r="J635" s="21"/>
      <c r="K635" s="21"/>
      <c r="L635" s="21"/>
      <c r="M635" s="21"/>
      <c r="N635" s="21"/>
      <c r="O635" s="37">
        <v>0.379731602004918</v>
      </c>
      <c r="P635" s="37">
        <v>1.59733816930119</v>
      </c>
      <c r="Q635" s="21" t="s">
        <v>1428</v>
      </c>
      <c r="R635" s="37">
        <v>0.2</v>
      </c>
      <c r="S635" s="22">
        <f t="shared" si="14"/>
        <v>2.17706977130611</v>
      </c>
      <c r="T635" s="23"/>
      <c r="U635" s="35"/>
    </row>
    <row r="636" ht="15" spans="2:21">
      <c r="B636" s="23" t="s">
        <v>6643</v>
      </c>
      <c r="C636" s="23"/>
      <c r="D636" s="23"/>
      <c r="E636" s="23"/>
      <c r="F636" s="20" t="s">
        <v>1604</v>
      </c>
      <c r="G636" s="20" t="s">
        <v>1933</v>
      </c>
      <c r="H636" s="21" t="s">
        <v>6639</v>
      </c>
      <c r="I636" s="21" t="s">
        <v>5962</v>
      </c>
      <c r="J636" s="21" t="s">
        <v>1428</v>
      </c>
      <c r="K636" s="699" t="s">
        <v>712</v>
      </c>
      <c r="L636" s="21">
        <v>96</v>
      </c>
      <c r="M636" s="21" t="s">
        <v>1428</v>
      </c>
      <c r="N636" s="21" t="s">
        <v>1428</v>
      </c>
      <c r="O636" s="37">
        <v>9.92276367156672</v>
      </c>
      <c r="P636" s="37">
        <v>34.9141657188679</v>
      </c>
      <c r="Q636" s="21" t="s">
        <v>1428</v>
      </c>
      <c r="R636" s="37">
        <v>5</v>
      </c>
      <c r="S636" s="22">
        <f t="shared" si="14"/>
        <v>145.836929390435</v>
      </c>
      <c r="T636" s="23" t="s">
        <v>6644</v>
      </c>
      <c r="U636" s="35" t="s">
        <v>6645</v>
      </c>
    </row>
    <row r="637" ht="15" spans="2:21">
      <c r="B637" s="23"/>
      <c r="C637" s="23"/>
      <c r="D637" s="23"/>
      <c r="E637" s="23"/>
      <c r="F637" s="20" t="s">
        <v>1571</v>
      </c>
      <c r="G637" s="20" t="s">
        <v>1933</v>
      </c>
      <c r="H637" s="21" t="s">
        <v>6638</v>
      </c>
      <c r="I637" s="21" t="s">
        <v>5962</v>
      </c>
      <c r="J637" s="21" t="s">
        <v>1428</v>
      </c>
      <c r="K637" s="699" t="s">
        <v>712</v>
      </c>
      <c r="L637" s="21">
        <v>94.6</v>
      </c>
      <c r="M637" s="21" t="s">
        <v>1428</v>
      </c>
      <c r="N637" s="21" t="s">
        <v>1428</v>
      </c>
      <c r="O637" s="37">
        <v>9.92276367156672</v>
      </c>
      <c r="P637" s="37">
        <v>35.2002822551467</v>
      </c>
      <c r="Q637" s="21" t="s">
        <v>1428</v>
      </c>
      <c r="R637" s="37">
        <v>5</v>
      </c>
      <c r="S637" s="22">
        <f t="shared" si="14"/>
        <v>144.723045926713</v>
      </c>
      <c r="T637" s="23" t="s">
        <v>6644</v>
      </c>
      <c r="U637" s="35" t="s">
        <v>6645</v>
      </c>
    </row>
    <row r="638" ht="15" spans="2:21">
      <c r="B638" s="19" t="s">
        <v>6646</v>
      </c>
      <c r="C638" s="19"/>
      <c r="D638" s="19"/>
      <c r="E638" s="19"/>
      <c r="F638" s="20" t="s">
        <v>1998</v>
      </c>
      <c r="G638" s="20" t="s">
        <v>1933</v>
      </c>
      <c r="H638" s="21" t="s">
        <v>6423</v>
      </c>
      <c r="I638" s="21" t="s">
        <v>4174</v>
      </c>
      <c r="J638" s="21" t="s">
        <v>6647</v>
      </c>
      <c r="K638" s="1071" t="s">
        <v>712</v>
      </c>
      <c r="L638" s="21">
        <f>7.5*4</f>
        <v>30</v>
      </c>
      <c r="M638" s="21" t="s">
        <v>1428</v>
      </c>
      <c r="N638" s="21">
        <v>8.5</v>
      </c>
      <c r="O638" s="37">
        <v>4.38289795491012</v>
      </c>
      <c r="P638" s="37">
        <v>27.3768916526128</v>
      </c>
      <c r="Q638" s="21" t="s">
        <v>1428</v>
      </c>
      <c r="R638" s="37">
        <v>5</v>
      </c>
      <c r="S638" s="22">
        <f t="shared" si="14"/>
        <v>75.2597896075229</v>
      </c>
      <c r="T638" s="23" t="s">
        <v>3895</v>
      </c>
      <c r="U638" s="20" t="s">
        <v>6648</v>
      </c>
    </row>
    <row r="639" ht="15" spans="2:21">
      <c r="B639" s="19"/>
      <c r="C639" s="19"/>
      <c r="D639" s="19"/>
      <c r="E639" s="19"/>
      <c r="F639" s="20" t="s">
        <v>2306</v>
      </c>
      <c r="G639" s="23" t="s">
        <v>1933</v>
      </c>
      <c r="H639" s="21" t="s">
        <v>6420</v>
      </c>
      <c r="I639" s="21" t="s">
        <v>4295</v>
      </c>
      <c r="J639" s="21" t="s">
        <v>1742</v>
      </c>
      <c r="K639" s="21" t="s">
        <v>1428</v>
      </c>
      <c r="L639" s="700">
        <f>3*4</f>
        <v>12</v>
      </c>
      <c r="M639" s="21" t="s">
        <v>1428</v>
      </c>
      <c r="N639" s="762">
        <v>6</v>
      </c>
      <c r="O639" s="37">
        <v>4.38289795491012</v>
      </c>
      <c r="P639" s="37">
        <v>23.8794404443805</v>
      </c>
      <c r="Q639" s="21" t="s">
        <v>1428</v>
      </c>
      <c r="R639" s="37">
        <v>5</v>
      </c>
      <c r="S639" s="22">
        <f t="shared" si="14"/>
        <v>51.2623383992906</v>
      </c>
      <c r="T639" s="23" t="s">
        <v>4683</v>
      </c>
      <c r="U639" s="20" t="s">
        <v>6649</v>
      </c>
    </row>
    <row r="640" ht="15" spans="2:21">
      <c r="B640" s="19"/>
      <c r="C640" s="19"/>
      <c r="D640" s="19"/>
      <c r="E640" s="19"/>
      <c r="F640" s="20" t="s">
        <v>1558</v>
      </c>
      <c r="G640" s="23" t="s">
        <v>1933</v>
      </c>
      <c r="H640" s="21" t="s">
        <v>6418</v>
      </c>
      <c r="I640" s="21" t="s">
        <v>4174</v>
      </c>
      <c r="J640" s="21" t="s">
        <v>1742</v>
      </c>
      <c r="K640" s="1071" t="s">
        <v>712</v>
      </c>
      <c r="L640" s="21">
        <f>7.5*4</f>
        <v>30</v>
      </c>
      <c r="M640" s="21" t="s">
        <v>1428</v>
      </c>
      <c r="N640" s="762">
        <v>6</v>
      </c>
      <c r="O640" s="37">
        <v>4.38289795491012</v>
      </c>
      <c r="P640" s="37">
        <v>24.7552311257466</v>
      </c>
      <c r="Q640" s="21" t="s">
        <v>1428</v>
      </c>
      <c r="R640" s="37">
        <v>5</v>
      </c>
      <c r="S640" s="22">
        <f t="shared" si="14"/>
        <v>70.1381290806567</v>
      </c>
      <c r="T640" s="23" t="s">
        <v>3895</v>
      </c>
      <c r="U640" s="20" t="s">
        <v>6650</v>
      </c>
    </row>
    <row r="641" ht="15" spans="1:22">
      <c r="B641" s="23" t="s">
        <v>6651</v>
      </c>
      <c r="C641" s="23"/>
      <c r="D641" s="23"/>
      <c r="E641" s="23"/>
      <c r="F641" s="759" t="s">
        <v>6652</v>
      </c>
      <c r="G641" s="23" t="s">
        <v>4065</v>
      </c>
      <c r="H641" s="21" t="s">
        <v>3819</v>
      </c>
      <c r="I641" s="21" t="s">
        <v>1913</v>
      </c>
      <c r="J641" s="21" t="s">
        <v>1635</v>
      </c>
      <c r="K641" s="21" t="s">
        <v>1428</v>
      </c>
      <c r="L641" s="21" t="s">
        <v>1428</v>
      </c>
      <c r="M641" s="21" t="s">
        <v>1428</v>
      </c>
      <c r="N641" s="21">
        <v>3.3</v>
      </c>
      <c r="O641" s="37">
        <v>3.78788635375869</v>
      </c>
      <c r="P641" s="37">
        <v>34.1060489066043</v>
      </c>
      <c r="Q641" s="21" t="s">
        <v>1428</v>
      </c>
      <c r="R641" s="37">
        <v>5</v>
      </c>
      <c r="S641" s="22">
        <f t="shared" si="14"/>
        <v>46.193935260363</v>
      </c>
      <c r="T641" s="167" t="s">
        <v>1526</v>
      </c>
      <c r="U641" s="1129" t="s">
        <v>6653</v>
      </c>
    </row>
    <row r="642" ht="15" spans="1:22">
      <c r="B642" s="23"/>
      <c r="C642" s="23"/>
      <c r="D642" s="23"/>
      <c r="E642" s="23"/>
      <c r="F642" s="759" t="s">
        <v>6654</v>
      </c>
      <c r="G642" s="20"/>
      <c r="H642" s="21"/>
      <c r="I642" s="20"/>
      <c r="J642" s="20"/>
      <c r="K642" s="20"/>
      <c r="L642" s="20"/>
      <c r="M642" s="20"/>
      <c r="N642" s="20"/>
      <c r="O642" s="37">
        <v>0.156884311904147</v>
      </c>
      <c r="P642" s="37">
        <v>1.06639097509252</v>
      </c>
      <c r="Q642" s="21" t="s">
        <v>1428</v>
      </c>
      <c r="R642" s="37">
        <v>0.4</v>
      </c>
      <c r="S642" s="22">
        <f t="shared" si="14"/>
        <v>1.62327528699667</v>
      </c>
      <c r="T642" s="23"/>
      <c r="U642" s="776" t="s">
        <v>6655</v>
      </c>
    </row>
    <row r="643" s="42" customFormat="1" ht="15" spans="1:22">
      <c r="A643" s="1120"/>
      <c r="B643" s="23" t="s">
        <v>6656</v>
      </c>
      <c r="C643" s="23">
        <v>20231128</v>
      </c>
      <c r="D643" s="23">
        <v>7.24</v>
      </c>
      <c r="E643" s="23" t="s">
        <v>6657</v>
      </c>
      <c r="F643" s="20" t="s">
        <v>1565</v>
      </c>
      <c r="G643" s="20" t="s">
        <v>3540</v>
      </c>
      <c r="H643" s="21" t="s">
        <v>6414</v>
      </c>
      <c r="I643" s="21" t="s">
        <v>1913</v>
      </c>
      <c r="J643" s="21" t="s">
        <v>1428</v>
      </c>
      <c r="K643" s="21" t="s">
        <v>1428</v>
      </c>
      <c r="L643" s="21" t="s">
        <v>1428</v>
      </c>
      <c r="M643" s="21" t="s">
        <v>1428</v>
      </c>
      <c r="N643" s="21" t="s">
        <v>1428</v>
      </c>
      <c r="O643" s="37">
        <v>4.97360798740834</v>
      </c>
      <c r="P643" s="37">
        <v>12.4605269341225</v>
      </c>
      <c r="Q643" s="37" t="s">
        <v>1428</v>
      </c>
      <c r="R643" s="37">
        <v>5</v>
      </c>
      <c r="S643" s="37">
        <f t="shared" si="14"/>
        <v>22.4341349215308</v>
      </c>
      <c r="T643" s="167" t="s">
        <v>1526</v>
      </c>
      <c r="U643" s="35" t="s">
        <v>4160</v>
      </c>
      <c r="V643" s="120"/>
    </row>
    <row r="644" s="42" customFormat="1" ht="15" spans="1:22">
      <c r="A644" s="1120"/>
      <c r="B644" s="23"/>
      <c r="C644" s="23">
        <v>20231128</v>
      </c>
      <c r="D644" s="23">
        <v>7.24</v>
      </c>
      <c r="E644" s="23" t="s">
        <v>6658</v>
      </c>
      <c r="F644" s="20" t="s">
        <v>1617</v>
      </c>
      <c r="G644" s="20" t="s">
        <v>1933</v>
      </c>
      <c r="H644" s="21" t="s">
        <v>6414</v>
      </c>
      <c r="I644" s="21" t="s">
        <v>1913</v>
      </c>
      <c r="J644" s="21" t="s">
        <v>1428</v>
      </c>
      <c r="K644" s="21" t="s">
        <v>1428</v>
      </c>
      <c r="L644" s="21" t="s">
        <v>1428</v>
      </c>
      <c r="M644" s="21" t="s">
        <v>1428</v>
      </c>
      <c r="N644" s="21" t="s">
        <v>1428</v>
      </c>
      <c r="O644" s="37">
        <v>4.97360798740834</v>
      </c>
      <c r="P644" s="37">
        <v>15.5554554511658</v>
      </c>
      <c r="Q644" s="37" t="s">
        <v>1428</v>
      </c>
      <c r="R644" s="37">
        <v>5</v>
      </c>
      <c r="S644" s="37">
        <f t="shared" si="14"/>
        <v>25.5290634385741</v>
      </c>
      <c r="T644" s="167" t="s">
        <v>1526</v>
      </c>
      <c r="U644" s="35" t="s">
        <v>6659</v>
      </c>
      <c r="V644" s="120"/>
    </row>
    <row r="645" s="42" customFormat="1" spans="1:22">
      <c r="A645" s="1120"/>
      <c r="B645" s="23"/>
      <c r="C645" s="23">
        <v>20231128</v>
      </c>
      <c r="D645" s="23">
        <v>7.24</v>
      </c>
      <c r="E645" s="23" t="s">
        <v>6660</v>
      </c>
      <c r="F645" s="20" t="s">
        <v>6661</v>
      </c>
      <c r="G645" s="20"/>
      <c r="H645" s="21"/>
      <c r="I645" s="21"/>
      <c r="J645" s="21"/>
      <c r="K645" s="21"/>
      <c r="L645" s="21"/>
      <c r="M645" s="21"/>
      <c r="N645" s="21"/>
      <c r="O645" s="37">
        <v>0.338852928740917</v>
      </c>
      <c r="P645" s="37">
        <v>0.89439319173623</v>
      </c>
      <c r="Q645" s="37" t="s">
        <v>1428</v>
      </c>
      <c r="R645" s="37">
        <v>0.2</v>
      </c>
      <c r="S645" s="37">
        <f t="shared" si="14"/>
        <v>1.43324612047715</v>
      </c>
      <c r="T645" s="23"/>
      <c r="U645" s="35"/>
      <c r="V645" s="120"/>
    </row>
    <row r="646" s="42" customFormat="1" spans="1:22">
      <c r="A646" s="1120"/>
      <c r="B646" s="23"/>
      <c r="C646" s="23">
        <v>20240726</v>
      </c>
      <c r="D646" s="23">
        <v>7.24</v>
      </c>
      <c r="E646" s="23" t="s">
        <v>6662</v>
      </c>
      <c r="F646" s="20" t="s">
        <v>6663</v>
      </c>
      <c r="G646" s="20"/>
      <c r="H646" s="21"/>
      <c r="I646" s="21"/>
      <c r="J646" s="21"/>
      <c r="K646" s="21"/>
      <c r="L646" s="21"/>
      <c r="M646" s="21"/>
      <c r="N646" s="21"/>
      <c r="O646" s="37">
        <v>0.365181190734136</v>
      </c>
      <c r="P646" s="37">
        <v>0.864850402598912</v>
      </c>
      <c r="Q646" s="37" t="s">
        <v>1428</v>
      </c>
      <c r="R646" s="37">
        <v>0.2</v>
      </c>
      <c r="S646" s="37">
        <f t="shared" si="14"/>
        <v>1.43003159333305</v>
      </c>
      <c r="T646" s="23"/>
      <c r="U646" s="35"/>
      <c r="V646" s="120"/>
    </row>
    <row r="647" s="42" customFormat="1" spans="1:22">
      <c r="A647" s="1120"/>
      <c r="B647" s="23"/>
      <c r="C647" s="23">
        <v>20240724</v>
      </c>
      <c r="D647" s="23">
        <v>7.24</v>
      </c>
      <c r="E647" s="23" t="s">
        <v>1105</v>
      </c>
      <c r="F647" s="20" t="s">
        <v>1106</v>
      </c>
      <c r="G647" s="20"/>
      <c r="H647" s="21"/>
      <c r="I647" s="21"/>
      <c r="J647" s="21"/>
      <c r="K647" s="21"/>
      <c r="L647" s="21"/>
      <c r="M647" s="21"/>
      <c r="N647" s="21"/>
      <c r="O647" s="709">
        <v>0.363090329489089</v>
      </c>
      <c r="P647" s="37">
        <v>0.860967864761427</v>
      </c>
      <c r="Q647" s="37" t="s">
        <v>1428</v>
      </c>
      <c r="R647" s="37">
        <v>0.2</v>
      </c>
      <c r="S647" s="37">
        <f t="shared" si="14"/>
        <v>1.42405819425052</v>
      </c>
      <c r="T647" s="23"/>
      <c r="U647" s="35"/>
      <c r="V647" s="120"/>
    </row>
    <row r="648" s="42" customFormat="1" spans="1:22">
      <c r="A648" s="1120"/>
      <c r="B648" s="23"/>
      <c r="C648" s="814">
        <v>20250522</v>
      </c>
      <c r="D648" s="23">
        <v>7.21</v>
      </c>
      <c r="E648" s="23" t="s">
        <v>6664</v>
      </c>
      <c r="F648" s="20" t="s">
        <v>6665</v>
      </c>
      <c r="G648" s="20"/>
      <c r="H648" s="21"/>
      <c r="I648" s="21"/>
      <c r="J648" s="21"/>
      <c r="K648" s="21"/>
      <c r="L648" s="21"/>
      <c r="M648" s="21"/>
      <c r="N648" s="21"/>
      <c r="O648" s="37">
        <v>0.328663071660722</v>
      </c>
      <c r="P648" s="37">
        <v>0.856342898058467</v>
      </c>
      <c r="Q648" s="37" t="s">
        <v>1428</v>
      </c>
      <c r="R648" s="37">
        <v>0.2</v>
      </c>
      <c r="S648" s="37">
        <f t="shared" si="14"/>
        <v>1.38500596971919</v>
      </c>
      <c r="T648" s="23"/>
      <c r="U648" s="35"/>
      <c r="V648" s="120" t="s">
        <v>1406</v>
      </c>
    </row>
    <row r="649" s="42" customFormat="1" ht="15" spans="1:22">
      <c r="A649" s="1120"/>
      <c r="B649" s="23" t="s">
        <v>6666</v>
      </c>
      <c r="C649" s="23"/>
      <c r="D649" s="23"/>
      <c r="E649" s="23"/>
      <c r="F649" s="23" t="s">
        <v>1565</v>
      </c>
      <c r="G649" s="20" t="s">
        <v>3540</v>
      </c>
      <c r="H649" s="21" t="s">
        <v>6247</v>
      </c>
      <c r="I649" s="21" t="s">
        <v>1913</v>
      </c>
      <c r="J649" s="21" t="s">
        <v>1720</v>
      </c>
      <c r="K649" s="21" t="s">
        <v>1428</v>
      </c>
      <c r="L649" s="21" t="s">
        <v>1428</v>
      </c>
      <c r="M649" s="21" t="s">
        <v>1428</v>
      </c>
      <c r="N649" s="1121">
        <v>2.3</v>
      </c>
      <c r="O649" s="37">
        <v>2.87641219598771</v>
      </c>
      <c r="P649" s="37">
        <v>11.0276805689922</v>
      </c>
      <c r="Q649" s="37" t="s">
        <v>1428</v>
      </c>
      <c r="R649" s="37">
        <v>3.5</v>
      </c>
      <c r="S649" s="37">
        <f t="shared" si="14"/>
        <v>19.7040927649799</v>
      </c>
      <c r="T649" s="167" t="s">
        <v>1526</v>
      </c>
      <c r="U649" s="35" t="s">
        <v>4160</v>
      </c>
      <c r="V649" s="120" t="s">
        <v>1406</v>
      </c>
    </row>
    <row r="650" s="42" customFormat="1" ht="16" customHeight="1" spans="1:22">
      <c r="A650" s="1120"/>
      <c r="B650" s="23"/>
      <c r="C650" s="23"/>
      <c r="D650" s="23"/>
      <c r="E650" s="23"/>
      <c r="F650" s="23" t="s">
        <v>1617</v>
      </c>
      <c r="G650" s="20" t="s">
        <v>1933</v>
      </c>
      <c r="H650" s="21" t="s">
        <v>6414</v>
      </c>
      <c r="I650" s="21" t="s">
        <v>1913</v>
      </c>
      <c r="J650" s="21" t="s">
        <v>1720</v>
      </c>
      <c r="K650" s="21" t="s">
        <v>1428</v>
      </c>
      <c r="L650" s="21" t="s">
        <v>1428</v>
      </c>
      <c r="M650" s="21" t="s">
        <v>1428</v>
      </c>
      <c r="N650" s="1121">
        <v>2.3</v>
      </c>
      <c r="O650" s="37">
        <v>2.87641219598771</v>
      </c>
      <c r="P650" s="37">
        <v>12.1765967657902</v>
      </c>
      <c r="Q650" s="37" t="s">
        <v>1428</v>
      </c>
      <c r="R650" s="37">
        <v>3.5</v>
      </c>
      <c r="S650" s="37">
        <f t="shared" si="14"/>
        <v>20.8530089617779</v>
      </c>
      <c r="T650" s="167" t="s">
        <v>1526</v>
      </c>
      <c r="U650" s="35" t="s">
        <v>6667</v>
      </c>
      <c r="V650" s="120" t="s">
        <v>1406</v>
      </c>
    </row>
    <row r="651" s="42" customFormat="1" ht="16" customHeight="1" spans="1:22">
      <c r="A651" s="1120"/>
      <c r="B651" s="23"/>
      <c r="C651" s="23"/>
      <c r="D651" s="23"/>
      <c r="E651" s="23"/>
      <c r="F651" s="23" t="s">
        <v>1629</v>
      </c>
      <c r="G651" s="20" t="s">
        <v>3540</v>
      </c>
      <c r="H651" s="21" t="s">
        <v>6414</v>
      </c>
      <c r="I651" s="21" t="s">
        <v>1913</v>
      </c>
      <c r="J651" s="21" t="s">
        <v>1720</v>
      </c>
      <c r="K651" s="21" t="s">
        <v>1428</v>
      </c>
      <c r="L651" s="21" t="s">
        <v>1428</v>
      </c>
      <c r="M651" s="21" t="s">
        <v>1428</v>
      </c>
      <c r="N651" s="1121">
        <v>2.3</v>
      </c>
      <c r="O651" s="37">
        <v>2.87641219598771</v>
      </c>
      <c r="P651" s="37">
        <v>10.8888598268516</v>
      </c>
      <c r="Q651" s="37" t="s">
        <v>1428</v>
      </c>
      <c r="R651" s="37">
        <v>3.5</v>
      </c>
      <c r="S651" s="37">
        <f t="shared" si="14"/>
        <v>19.5652720228393</v>
      </c>
      <c r="T651" s="167" t="s">
        <v>1526</v>
      </c>
      <c r="U651" s="35" t="s">
        <v>4160</v>
      </c>
      <c r="V651" s="120" t="s">
        <v>1406</v>
      </c>
    </row>
    <row r="652" s="42" customFormat="1" ht="16" customHeight="1" spans="1:22">
      <c r="A652" s="1120"/>
      <c r="B652" s="23"/>
      <c r="C652" s="23"/>
      <c r="D652" s="23"/>
      <c r="E652" s="23"/>
      <c r="F652" s="23" t="s">
        <v>1571</v>
      </c>
      <c r="G652" s="20" t="s">
        <v>1933</v>
      </c>
      <c r="H652" s="21" t="s">
        <v>6249</v>
      </c>
      <c r="I652" s="21" t="s">
        <v>1913</v>
      </c>
      <c r="J652" s="21" t="s">
        <v>1720</v>
      </c>
      <c r="K652" s="1071" t="s">
        <v>712</v>
      </c>
      <c r="L652" s="21" t="s">
        <v>1428</v>
      </c>
      <c r="M652" s="21" t="s">
        <v>1428</v>
      </c>
      <c r="N652" s="1121">
        <v>2.3</v>
      </c>
      <c r="O652" s="37">
        <v>2.87641219598771</v>
      </c>
      <c r="P652" s="37">
        <v>12.2935080080716</v>
      </c>
      <c r="Q652" s="37" t="s">
        <v>1428</v>
      </c>
      <c r="R652" s="37">
        <v>3.5</v>
      </c>
      <c r="S652" s="37">
        <f t="shared" si="14"/>
        <v>20.9699202040593</v>
      </c>
      <c r="T652" s="167" t="s">
        <v>1526</v>
      </c>
      <c r="U652" s="35" t="s">
        <v>3861</v>
      </c>
      <c r="V652" s="120" t="s">
        <v>1406</v>
      </c>
    </row>
    <row r="653" s="42" customFormat="1" ht="16" customHeight="1" spans="1:22">
      <c r="A653" s="1120"/>
      <c r="B653" s="705"/>
      <c r="C653" s="705">
        <v>20250415</v>
      </c>
      <c r="D653" s="705">
        <v>7.24</v>
      </c>
      <c r="E653" s="1130" t="s">
        <v>6668</v>
      </c>
      <c r="F653" s="1130" t="s">
        <v>6669</v>
      </c>
      <c r="G653" s="1131"/>
      <c r="H653" s="1132"/>
      <c r="I653" s="701"/>
      <c r="J653" s="701"/>
      <c r="K653" s="1133"/>
      <c r="L653" s="701"/>
      <c r="M653" s="701"/>
      <c r="N653" s="1134"/>
      <c r="O653" s="37">
        <v>0.357129886323741</v>
      </c>
      <c r="P653" s="37">
        <v>0.831393828353929</v>
      </c>
      <c r="Q653" s="37"/>
      <c r="R653" s="37">
        <v>0.2</v>
      </c>
      <c r="S653" s="37">
        <v>3.00659623408063</v>
      </c>
      <c r="T653" s="23"/>
      <c r="U653" s="167" t="s">
        <v>484</v>
      </c>
      <c r="V653" s="120"/>
    </row>
    <row r="654" s="42" customFormat="1" ht="16" customHeight="1" spans="1:22">
      <c r="A654" s="924" t="s">
        <v>1366</v>
      </c>
      <c r="B654" s="687"/>
      <c r="C654" s="687"/>
      <c r="D654" s="687"/>
      <c r="E654" s="687" t="s">
        <v>1367</v>
      </c>
      <c r="F654" s="687" t="s">
        <v>6670</v>
      </c>
      <c r="G654" s="149"/>
      <c r="H654" s="153">
        <v>2.92</v>
      </c>
      <c r="I654" s="153"/>
      <c r="J654" s="153">
        <v>9.82</v>
      </c>
      <c r="K654" s="153">
        <v>0.76</v>
      </c>
      <c r="L654" s="153"/>
      <c r="M654" s="21"/>
      <c r="N654" s="1135" t="s">
        <v>1368</v>
      </c>
      <c r="O654" s="37">
        <v>0.393588712172783</v>
      </c>
      <c r="P654" s="37">
        <v>0.890414373061452</v>
      </c>
      <c r="Q654" s="37" t="s">
        <v>1428</v>
      </c>
      <c r="R654" s="37">
        <v>0.2</v>
      </c>
      <c r="S654" s="37">
        <f t="shared" ref="S654:S717" si="15">SUM(K654:R654)</f>
        <v>2.24400308523423</v>
      </c>
      <c r="T654" s="23"/>
      <c r="U654" s="35"/>
      <c r="V654" s="120" t="s">
        <v>1406</v>
      </c>
    </row>
    <row r="655" s="42" customFormat="1" ht="16" customHeight="1" spans="1:22">
      <c r="A655" s="1120"/>
      <c r="B655" s="1136" t="s">
        <v>6671</v>
      </c>
      <c r="C655" s="1136"/>
      <c r="D655" s="1136"/>
      <c r="E655" s="1136"/>
      <c r="F655" s="862" t="s">
        <v>1565</v>
      </c>
      <c r="G655" s="707" t="s">
        <v>1933</v>
      </c>
      <c r="H655" s="703" t="s">
        <v>6414</v>
      </c>
      <c r="I655" s="703" t="s">
        <v>1913</v>
      </c>
      <c r="J655" s="703" t="s">
        <v>1428</v>
      </c>
      <c r="K655" s="703" t="s">
        <v>1428</v>
      </c>
      <c r="L655" s="703" t="s">
        <v>1428</v>
      </c>
      <c r="M655" s="703" t="s">
        <v>1428</v>
      </c>
      <c r="N655" s="703" t="s">
        <v>1428</v>
      </c>
      <c r="O655" s="22">
        <v>5.39153714583179</v>
      </c>
      <c r="P655" s="37">
        <v>13.8763654306742</v>
      </c>
      <c r="Q655" s="21" t="s">
        <v>1428</v>
      </c>
      <c r="R655" s="37">
        <v>5</v>
      </c>
      <c r="S655" s="22">
        <f t="shared" si="15"/>
        <v>24.267902576506</v>
      </c>
      <c r="T655" s="167" t="s">
        <v>1526</v>
      </c>
      <c r="U655" s="35" t="s">
        <v>6672</v>
      </c>
      <c r="V655" s="120"/>
    </row>
    <row r="656" s="42" customFormat="1" ht="16" customHeight="1" spans="1:22">
      <c r="A656" s="1120"/>
      <c r="B656" s="19"/>
      <c r="C656" s="19"/>
      <c r="D656" s="19"/>
      <c r="E656" s="19"/>
      <c r="F656" s="20" t="s">
        <v>1617</v>
      </c>
      <c r="G656" s="23" t="s">
        <v>1933</v>
      </c>
      <c r="H656" s="21"/>
      <c r="I656" s="21" t="s">
        <v>1913</v>
      </c>
      <c r="J656" s="21" t="s">
        <v>1428</v>
      </c>
      <c r="K656" s="21" t="s">
        <v>1428</v>
      </c>
      <c r="L656" s="21" t="s">
        <v>1428</v>
      </c>
      <c r="M656" s="21" t="s">
        <v>1428</v>
      </c>
      <c r="N656" s="21" t="s">
        <v>1428</v>
      </c>
      <c r="O656" s="22">
        <v>5.39153714583179</v>
      </c>
      <c r="P656" s="37">
        <v>13.7391442010541</v>
      </c>
      <c r="Q656" s="21" t="s">
        <v>1428</v>
      </c>
      <c r="R656" s="37">
        <v>5</v>
      </c>
      <c r="S656" s="22">
        <f t="shared" si="15"/>
        <v>24.1306813468859</v>
      </c>
      <c r="T656" s="167" t="s">
        <v>1526</v>
      </c>
      <c r="U656" s="35" t="s">
        <v>6672</v>
      </c>
      <c r="V656" s="120"/>
    </row>
    <row r="657" s="42" customFormat="1" ht="16" customHeight="1" spans="1:22">
      <c r="A657" s="1120"/>
      <c r="B657" s="19"/>
      <c r="C657" s="19"/>
      <c r="D657" s="19"/>
      <c r="E657" s="19"/>
      <c r="F657" s="20" t="s">
        <v>1629</v>
      </c>
      <c r="G657" s="23" t="s">
        <v>1933</v>
      </c>
      <c r="H657" s="21"/>
      <c r="I657" s="21" t="s">
        <v>1913</v>
      </c>
      <c r="J657" s="21" t="s">
        <v>1428</v>
      </c>
      <c r="K657" s="21" t="s">
        <v>1428</v>
      </c>
      <c r="L657" s="21" t="s">
        <v>1428</v>
      </c>
      <c r="M657" s="21" t="s">
        <v>1428</v>
      </c>
      <c r="N657" s="21" t="s">
        <v>1428</v>
      </c>
      <c r="O657" s="22">
        <v>5.39153714583179</v>
      </c>
      <c r="P657" s="37">
        <v>13.8717283044378</v>
      </c>
      <c r="Q657" s="21" t="s">
        <v>1428</v>
      </c>
      <c r="R657" s="37">
        <v>5</v>
      </c>
      <c r="S657" s="22">
        <f t="shared" si="15"/>
        <v>24.2632654502696</v>
      </c>
      <c r="T657" s="167" t="s">
        <v>1526</v>
      </c>
      <c r="U657" s="35" t="s">
        <v>6672</v>
      </c>
      <c r="V657" s="120"/>
    </row>
    <row r="658" s="42" customFormat="1" ht="16" customHeight="1" spans="1:22">
      <c r="A658" s="1120"/>
      <c r="B658" s="19" t="s">
        <v>6673</v>
      </c>
      <c r="C658" s="19"/>
      <c r="D658" s="19"/>
      <c r="E658" s="19"/>
      <c r="F658" s="20" t="s">
        <v>1565</v>
      </c>
      <c r="G658" s="23" t="s">
        <v>1933</v>
      </c>
      <c r="H658" s="21"/>
      <c r="I658" s="21" t="s">
        <v>1913</v>
      </c>
      <c r="J658" s="21" t="s">
        <v>1635</v>
      </c>
      <c r="K658" s="21" t="s">
        <v>1428</v>
      </c>
      <c r="L658" s="21" t="s">
        <v>1428</v>
      </c>
      <c r="M658" s="21" t="s">
        <v>1428</v>
      </c>
      <c r="N658" s="21">
        <v>3.3</v>
      </c>
      <c r="O658" s="22">
        <v>3.47399985372632</v>
      </c>
      <c r="P658" s="37">
        <v>13.3437811818617</v>
      </c>
      <c r="Q658" s="21" t="s">
        <v>1428</v>
      </c>
      <c r="R658" s="37">
        <v>3</v>
      </c>
      <c r="S658" s="22">
        <f t="shared" si="15"/>
        <v>23.117781035588</v>
      </c>
      <c r="T658" s="167" t="s">
        <v>1526</v>
      </c>
      <c r="U658" s="35" t="s">
        <v>6667</v>
      </c>
      <c r="V658" s="120"/>
    </row>
    <row r="659" s="42" customFormat="1" ht="16" customHeight="1" spans="1:22">
      <c r="A659" s="1120"/>
      <c r="B659" s="19"/>
      <c r="C659" s="19"/>
      <c r="D659" s="19"/>
      <c r="E659" s="19"/>
      <c r="F659" s="20" t="s">
        <v>1617</v>
      </c>
      <c r="G659" s="23" t="s">
        <v>3540</v>
      </c>
      <c r="H659" s="21"/>
      <c r="I659" s="21" t="s">
        <v>1913</v>
      </c>
      <c r="J659" s="21" t="s">
        <v>1720</v>
      </c>
      <c r="K659" s="21" t="s">
        <v>1428</v>
      </c>
      <c r="L659" s="21" t="s">
        <v>1428</v>
      </c>
      <c r="M659" s="21" t="s">
        <v>1428</v>
      </c>
      <c r="N659" s="1121">
        <v>2.3</v>
      </c>
      <c r="O659" s="22">
        <v>3.47399985372632</v>
      </c>
      <c r="P659" s="37">
        <v>12.5408398940719</v>
      </c>
      <c r="Q659" s="21" t="s">
        <v>1428</v>
      </c>
      <c r="R659" s="37">
        <v>3</v>
      </c>
      <c r="S659" s="22">
        <f t="shared" si="15"/>
        <v>21.3148397477982</v>
      </c>
      <c r="T659" s="167" t="s">
        <v>1526</v>
      </c>
      <c r="U659" s="35" t="s">
        <v>6674</v>
      </c>
      <c r="V659" s="120"/>
    </row>
    <row r="660" s="42" customFormat="1" ht="16" customHeight="1" spans="1:22">
      <c r="A660" s="1120"/>
      <c r="B660" s="19"/>
      <c r="C660" s="19"/>
      <c r="D660" s="19"/>
      <c r="E660" s="19"/>
      <c r="F660" s="20" t="s">
        <v>1629</v>
      </c>
      <c r="G660" s="23" t="s">
        <v>1933</v>
      </c>
      <c r="H660" s="21"/>
      <c r="I660" s="21" t="s">
        <v>1913</v>
      </c>
      <c r="J660" s="21" t="s">
        <v>1635</v>
      </c>
      <c r="K660" s="21" t="s">
        <v>1428</v>
      </c>
      <c r="L660" s="21" t="s">
        <v>1428</v>
      </c>
      <c r="M660" s="21" t="s">
        <v>1428</v>
      </c>
      <c r="N660" s="21">
        <v>3.3</v>
      </c>
      <c r="O660" s="22">
        <v>3.47</v>
      </c>
      <c r="P660" s="37">
        <v>12.8</v>
      </c>
      <c r="Q660" s="21" t="s">
        <v>1428</v>
      </c>
      <c r="R660" s="37">
        <v>3</v>
      </c>
      <c r="S660" s="22">
        <f t="shared" si="15"/>
        <v>22.57</v>
      </c>
      <c r="T660" s="167" t="s">
        <v>1526</v>
      </c>
      <c r="U660" s="35" t="s">
        <v>4160</v>
      </c>
      <c r="V660" s="120"/>
    </row>
    <row r="661" s="42" customFormat="1" ht="16" customHeight="1" spans="1:22">
      <c r="A661" s="1120"/>
      <c r="B661" s="19"/>
      <c r="C661" s="19"/>
      <c r="D661" s="19"/>
      <c r="E661" s="19"/>
      <c r="F661" s="20" t="s">
        <v>1016</v>
      </c>
      <c r="G661" s="23"/>
      <c r="H661" s="21"/>
      <c r="I661" s="21"/>
      <c r="J661" s="21"/>
      <c r="K661" s="21"/>
      <c r="L661" s="21"/>
      <c r="M661" s="21"/>
      <c r="N661" s="21"/>
      <c r="O661" s="22">
        <v>0.35</v>
      </c>
      <c r="P661" s="37">
        <v>1.02</v>
      </c>
      <c r="Q661" s="22"/>
      <c r="R661" s="37">
        <v>0.2</v>
      </c>
      <c r="S661" s="22">
        <f t="shared" si="15"/>
        <v>1.57</v>
      </c>
      <c r="T661" s="22"/>
      <c r="U661" s="35"/>
      <c r="V661" s="120"/>
    </row>
    <row r="662" s="42" customFormat="1" ht="16" customHeight="1" spans="1:22">
      <c r="A662" s="1120"/>
      <c r="B662" s="19"/>
      <c r="C662" s="19"/>
      <c r="D662" s="19"/>
      <c r="E662" s="19"/>
      <c r="F662" s="20" t="s">
        <v>6675</v>
      </c>
      <c r="G662" s="23"/>
      <c r="H662" s="21"/>
      <c r="I662" s="21"/>
      <c r="J662" s="21"/>
      <c r="K662" s="21"/>
      <c r="L662" s="21"/>
      <c r="M662" s="21"/>
      <c r="N662" s="21"/>
      <c r="O662" s="22">
        <v>0.271176591649214</v>
      </c>
      <c r="P662" s="37">
        <v>1.19627233225488</v>
      </c>
      <c r="Q662" s="37" t="s">
        <v>1428</v>
      </c>
      <c r="R662" s="37">
        <v>0.2</v>
      </c>
      <c r="S662" s="37">
        <f t="shared" si="15"/>
        <v>1.66744892390409</v>
      </c>
      <c r="T662" s="23"/>
      <c r="U662" s="35"/>
      <c r="V662" s="120" t="s">
        <v>1406</v>
      </c>
    </row>
    <row r="663" s="42" customFormat="1" ht="15" spans="1:22">
      <c r="A663" s="1120"/>
      <c r="B663" s="872" t="s">
        <v>6676</v>
      </c>
      <c r="C663" s="23"/>
      <c r="D663" s="23"/>
      <c r="E663" s="23"/>
      <c r="F663" s="695" t="s">
        <v>1617</v>
      </c>
      <c r="G663" s="20" t="s">
        <v>3540</v>
      </c>
      <c r="H663" s="21" t="s">
        <v>6414</v>
      </c>
      <c r="I663" s="21" t="s">
        <v>1913</v>
      </c>
      <c r="J663" s="21" t="s">
        <v>1428</v>
      </c>
      <c r="K663" s="1071" t="s">
        <v>712</v>
      </c>
      <c r="L663" s="36" t="s">
        <v>1428</v>
      </c>
      <c r="M663" s="36" t="s">
        <v>1428</v>
      </c>
      <c r="N663" s="36" t="s">
        <v>1428</v>
      </c>
      <c r="O663" s="37">
        <v>2.91463657154221</v>
      </c>
      <c r="P663" s="22">
        <v>14.3881420808112</v>
      </c>
      <c r="Q663" s="37" t="s">
        <v>1428</v>
      </c>
      <c r="R663" s="770">
        <v>4.90974642205361</v>
      </c>
      <c r="S663" s="37">
        <f t="shared" si="15"/>
        <v>22.212525074407</v>
      </c>
      <c r="T663" s="167" t="s">
        <v>1526</v>
      </c>
      <c r="U663" s="765" t="s">
        <v>6677</v>
      </c>
    </row>
    <row r="664" s="42" customFormat="1" ht="15" spans="1:22">
      <c r="A664" s="1120"/>
      <c r="B664" s="872"/>
      <c r="C664" s="23"/>
      <c r="D664" s="23"/>
      <c r="E664" s="23"/>
      <c r="F664" s="695" t="s">
        <v>1629</v>
      </c>
      <c r="G664" s="20" t="s">
        <v>3540</v>
      </c>
      <c r="H664" s="21" t="s">
        <v>6414</v>
      </c>
      <c r="I664" s="21" t="s">
        <v>1913</v>
      </c>
      <c r="J664" s="21" t="s">
        <v>1428</v>
      </c>
      <c r="K664" s="1071" t="s">
        <v>712</v>
      </c>
      <c r="L664" s="36" t="s">
        <v>1428</v>
      </c>
      <c r="M664" s="36" t="s">
        <v>1428</v>
      </c>
      <c r="N664" s="36" t="s">
        <v>1428</v>
      </c>
      <c r="O664" s="37">
        <v>2.91463657154221</v>
      </c>
      <c r="P664" s="22">
        <v>13.6831620918731</v>
      </c>
      <c r="Q664" s="37" t="s">
        <v>1428</v>
      </c>
      <c r="R664" s="770">
        <v>4.90974642205361</v>
      </c>
      <c r="S664" s="37">
        <f t="shared" si="15"/>
        <v>21.5075450854689</v>
      </c>
      <c r="T664" s="167" t="s">
        <v>1526</v>
      </c>
      <c r="U664" s="765" t="s">
        <v>6677</v>
      </c>
    </row>
    <row r="665" s="42" customFormat="1" ht="15" spans="1:22">
      <c r="A665" s="1120"/>
      <c r="B665" s="872"/>
      <c r="C665" s="23"/>
      <c r="D665" s="23"/>
      <c r="E665" s="23"/>
      <c r="F665" s="695" t="s">
        <v>1645</v>
      </c>
      <c r="G665" s="20" t="s">
        <v>3540</v>
      </c>
      <c r="H665" s="21" t="s">
        <v>6414</v>
      </c>
      <c r="I665" s="21" t="s">
        <v>1913</v>
      </c>
      <c r="J665" s="21" t="s">
        <v>1428</v>
      </c>
      <c r="K665" s="1071" t="s">
        <v>712</v>
      </c>
      <c r="L665" s="36" t="s">
        <v>1428</v>
      </c>
      <c r="M665" s="36" t="s">
        <v>1428</v>
      </c>
      <c r="N665" s="36" t="s">
        <v>1428</v>
      </c>
      <c r="O665" s="37">
        <v>2.91463657154221</v>
      </c>
      <c r="P665" s="22">
        <v>14.4821345951212</v>
      </c>
      <c r="Q665" s="37" t="s">
        <v>1428</v>
      </c>
      <c r="R665" s="770">
        <v>4.90974642205361</v>
      </c>
      <c r="S665" s="37">
        <f t="shared" si="15"/>
        <v>22.306517588717</v>
      </c>
      <c r="T665" s="167" t="s">
        <v>1526</v>
      </c>
      <c r="U665" s="765" t="s">
        <v>6677</v>
      </c>
    </row>
    <row r="666" s="42" customFormat="1" ht="30" spans="1:22">
      <c r="A666" s="1120"/>
      <c r="B666" s="872"/>
      <c r="C666" s="23"/>
      <c r="D666" s="23"/>
      <c r="E666" s="23"/>
      <c r="F666" s="695" t="s">
        <v>1604</v>
      </c>
      <c r="G666" s="20" t="s">
        <v>3540</v>
      </c>
      <c r="H666" s="21" t="s">
        <v>6249</v>
      </c>
      <c r="I666" s="21" t="s">
        <v>1913</v>
      </c>
      <c r="J666" s="21" t="s">
        <v>1428</v>
      </c>
      <c r="K666" s="1071" t="s">
        <v>712</v>
      </c>
      <c r="L666" s="36" t="s">
        <v>1428</v>
      </c>
      <c r="M666" s="36" t="s">
        <v>1428</v>
      </c>
      <c r="N666" s="36" t="s">
        <v>1428</v>
      </c>
      <c r="O666" s="37">
        <v>2.91463657154221</v>
      </c>
      <c r="P666" s="22">
        <v>13.7547336980428</v>
      </c>
      <c r="Q666" s="37" t="s">
        <v>1428</v>
      </c>
      <c r="R666" s="770">
        <v>4.90974642205361</v>
      </c>
      <c r="S666" s="37">
        <f t="shared" si="15"/>
        <v>21.5791166916386</v>
      </c>
      <c r="T666" s="167" t="s">
        <v>1526</v>
      </c>
      <c r="U666" s="765" t="s">
        <v>6678</v>
      </c>
    </row>
    <row r="667" s="42" customFormat="1" ht="30" spans="1:22">
      <c r="A667" s="1120"/>
      <c r="B667" s="1123"/>
      <c r="C667" s="23"/>
      <c r="D667" s="23"/>
      <c r="E667" s="23"/>
      <c r="F667" s="695" t="s">
        <v>1571</v>
      </c>
      <c r="G667" s="20" t="s">
        <v>3540</v>
      </c>
      <c r="H667" s="21" t="s">
        <v>6249</v>
      </c>
      <c r="I667" s="21" t="s">
        <v>1913</v>
      </c>
      <c r="J667" s="21" t="s">
        <v>1428</v>
      </c>
      <c r="K667" s="1071" t="s">
        <v>712</v>
      </c>
      <c r="L667" s="36" t="s">
        <v>1428</v>
      </c>
      <c r="M667" s="36" t="s">
        <v>1428</v>
      </c>
      <c r="N667" s="36" t="s">
        <v>1428</v>
      </c>
      <c r="O667" s="37">
        <v>2.91463657154221</v>
      </c>
      <c r="P667" s="22">
        <v>13.7937046686303</v>
      </c>
      <c r="Q667" s="37" t="s">
        <v>1428</v>
      </c>
      <c r="R667" s="770">
        <v>4.90974642205361</v>
      </c>
      <c r="S667" s="37">
        <f t="shared" si="15"/>
        <v>21.6180876622261</v>
      </c>
      <c r="T667" s="167" t="s">
        <v>1526</v>
      </c>
      <c r="U667" s="765" t="s">
        <v>6678</v>
      </c>
    </row>
    <row r="668" s="42" customFormat="1" ht="15" spans="1:22">
      <c r="A668" s="1120"/>
      <c r="B668" s="819" t="s">
        <v>6679</v>
      </c>
      <c r="C668" s="23"/>
      <c r="D668" s="23"/>
      <c r="E668" s="23"/>
      <c r="F668" s="695" t="s">
        <v>1645</v>
      </c>
      <c r="G668" s="23" t="s">
        <v>1933</v>
      </c>
      <c r="H668" s="21" t="s">
        <v>6247</v>
      </c>
      <c r="I668" s="21" t="s">
        <v>3670</v>
      </c>
      <c r="J668" s="36" t="s">
        <v>1428</v>
      </c>
      <c r="K668" s="36" t="s">
        <v>1428</v>
      </c>
      <c r="L668" s="36" t="s">
        <v>1428</v>
      </c>
      <c r="M668" s="691" t="s">
        <v>4671</v>
      </c>
      <c r="N668" s="36" t="s">
        <v>1428</v>
      </c>
      <c r="O668" s="22">
        <v>4.10173896899561</v>
      </c>
      <c r="P668" s="22">
        <v>14.4798895835878</v>
      </c>
      <c r="Q668" s="21" t="s">
        <v>1428</v>
      </c>
      <c r="R668" s="770">
        <v>4.44462596180788</v>
      </c>
      <c r="S668" s="37">
        <f t="shared" si="15"/>
        <v>23.0262545143913</v>
      </c>
      <c r="T668" s="167" t="s">
        <v>3800</v>
      </c>
      <c r="U668" s="937" t="s">
        <v>6680</v>
      </c>
    </row>
    <row r="669" s="42" customFormat="1" ht="15" spans="1:22">
      <c r="A669" s="1120"/>
      <c r="B669" s="1123"/>
      <c r="C669" s="23"/>
      <c r="D669" s="23"/>
      <c r="E669" s="23"/>
      <c r="F669" s="695" t="s">
        <v>1604</v>
      </c>
      <c r="G669" s="23" t="s">
        <v>1933</v>
      </c>
      <c r="H669" s="21" t="s">
        <v>6257</v>
      </c>
      <c r="I669" s="21" t="s">
        <v>1913</v>
      </c>
      <c r="J669" s="21" t="s">
        <v>3787</v>
      </c>
      <c r="K669" s="1125" t="s">
        <v>1428</v>
      </c>
      <c r="L669" s="36" t="s">
        <v>1428</v>
      </c>
      <c r="M669" s="36" t="s">
        <v>1428</v>
      </c>
      <c r="N669" s="779">
        <v>3.5</v>
      </c>
      <c r="O669" s="22">
        <v>4.10173896899561</v>
      </c>
      <c r="P669" s="22">
        <v>14.2065668783461</v>
      </c>
      <c r="Q669" s="21" t="s">
        <v>1428</v>
      </c>
      <c r="R669" s="770">
        <v>4.44462596180788</v>
      </c>
      <c r="S669" s="37">
        <f t="shared" si="15"/>
        <v>26.2529318091496</v>
      </c>
      <c r="T669" s="167" t="s">
        <v>1526</v>
      </c>
      <c r="U669" s="1137" t="s">
        <v>6681</v>
      </c>
    </row>
    <row r="670" s="42" customFormat="1" ht="15" spans="1:22">
      <c r="A670" s="1120"/>
      <c r="B670" s="1123"/>
      <c r="C670" s="23"/>
      <c r="D670" s="23"/>
      <c r="E670" s="23"/>
      <c r="F670" s="695" t="s">
        <v>1571</v>
      </c>
      <c r="G670" s="23" t="s">
        <v>3540</v>
      </c>
      <c r="H670" s="21" t="s">
        <v>6247</v>
      </c>
      <c r="I670" s="21" t="s">
        <v>1913</v>
      </c>
      <c r="J670" s="21" t="s">
        <v>6530</v>
      </c>
      <c r="K670" s="36" t="s">
        <v>1428</v>
      </c>
      <c r="L670" s="36" t="s">
        <v>1428</v>
      </c>
      <c r="M670" s="36" t="s">
        <v>1428</v>
      </c>
      <c r="N670" s="1121">
        <v>2.3</v>
      </c>
      <c r="O670" s="22">
        <v>4.10173896899561</v>
      </c>
      <c r="P670" s="22">
        <v>11.8168779013732</v>
      </c>
      <c r="Q670" s="21" t="s">
        <v>1428</v>
      </c>
      <c r="R670" s="770">
        <v>4.44462596180788</v>
      </c>
      <c r="S670" s="37">
        <f t="shared" si="15"/>
        <v>22.6632428321767</v>
      </c>
      <c r="T670" s="167" t="s">
        <v>1526</v>
      </c>
      <c r="U670" s="937" t="s">
        <v>4160</v>
      </c>
    </row>
    <row r="671" s="42" customFormat="1" ht="15" spans="1:22">
      <c r="A671" s="1120"/>
      <c r="B671" s="1123"/>
      <c r="C671" s="23"/>
      <c r="D671" s="23"/>
      <c r="E671" s="23"/>
      <c r="F671" s="695" t="s">
        <v>1685</v>
      </c>
      <c r="G671" s="35" t="s">
        <v>3540</v>
      </c>
      <c r="H671" s="21" t="s">
        <v>6247</v>
      </c>
      <c r="I671" s="21" t="s">
        <v>1913</v>
      </c>
      <c r="J671" s="21" t="s">
        <v>3787</v>
      </c>
      <c r="K671" s="36" t="s">
        <v>1428</v>
      </c>
      <c r="L671" s="36"/>
      <c r="M671" s="36"/>
      <c r="N671" s="779">
        <v>3.5</v>
      </c>
      <c r="O671" s="22">
        <v>4.10173896899561</v>
      </c>
      <c r="P671" s="22">
        <v>11.7025090917659</v>
      </c>
      <c r="Q671" s="21" t="s">
        <v>1428</v>
      </c>
      <c r="R671" s="770">
        <v>4.44462596180788</v>
      </c>
      <c r="S671" s="37">
        <f t="shared" si="15"/>
        <v>23.7488740225694</v>
      </c>
      <c r="T671" s="167" t="s">
        <v>1526</v>
      </c>
      <c r="U671" s="937" t="s">
        <v>4160</v>
      </c>
    </row>
    <row r="672" s="42" customFormat="1" spans="1:22">
      <c r="A672" s="1120"/>
      <c r="B672" s="1123"/>
      <c r="C672" s="23"/>
      <c r="D672" s="23"/>
      <c r="E672" s="23"/>
      <c r="F672" s="695" t="s">
        <v>431</v>
      </c>
      <c r="G672" s="35"/>
      <c r="H672" s="21"/>
      <c r="I672" s="21"/>
      <c r="J672" s="21"/>
      <c r="K672" s="36"/>
      <c r="L672" s="36"/>
      <c r="M672" s="36"/>
      <c r="N672" s="779"/>
      <c r="O672" s="22">
        <v>0.39556</v>
      </c>
      <c r="P672" s="22">
        <v>0.92</v>
      </c>
      <c r="Q672" s="21" t="s">
        <v>1428</v>
      </c>
      <c r="R672" s="770">
        <v>0.35</v>
      </c>
      <c r="S672" s="37">
        <f t="shared" si="15"/>
        <v>1.66556</v>
      </c>
      <c r="T672" s="23"/>
      <c r="U672" s="937"/>
    </row>
    <row r="673" s="42" customFormat="1" spans="1:21">
      <c r="A673" s="1120"/>
      <c r="B673" s="1123"/>
      <c r="C673" s="23"/>
      <c r="D673" s="23"/>
      <c r="E673" s="23"/>
      <c r="F673" s="778" t="s">
        <v>410</v>
      </c>
      <c r="G673" s="778"/>
      <c r="H673" s="21"/>
      <c r="I673" s="21"/>
      <c r="J673" s="21"/>
      <c r="K673" s="36"/>
      <c r="L673" s="779"/>
      <c r="M673" s="779"/>
      <c r="N673" s="779"/>
      <c r="O673" s="22">
        <v>0.615621392843401</v>
      </c>
      <c r="P673" s="22">
        <v>2.09142865702193</v>
      </c>
      <c r="Q673" s="21" t="s">
        <v>1428</v>
      </c>
      <c r="R673" s="37">
        <v>0.4</v>
      </c>
      <c r="S673" s="37">
        <f t="shared" si="15"/>
        <v>3.10705004986533</v>
      </c>
      <c r="T673" s="23"/>
      <c r="U673" s="39"/>
    </row>
    <row r="674" s="839" customFormat="1" ht="15" spans="1:21">
      <c r="A674" s="1120"/>
      <c r="B674" s="1123"/>
      <c r="C674" s="23"/>
      <c r="D674" s="23"/>
      <c r="E674" s="23"/>
      <c r="F674" s="778" t="s">
        <v>421</v>
      </c>
      <c r="G674" s="778"/>
      <c r="H674" s="21"/>
      <c r="I674" s="21"/>
      <c r="J674" s="21"/>
      <c r="K674" s="779"/>
      <c r="L674" s="779"/>
      <c r="M674" s="779"/>
      <c r="N674" s="779"/>
      <c r="O674" s="22">
        <v>0.9</v>
      </c>
      <c r="P674" s="22">
        <v>3.61904761904762</v>
      </c>
      <c r="Q674" s="21" t="s">
        <v>1428</v>
      </c>
      <c r="R674" s="37">
        <v>0.4</v>
      </c>
      <c r="S674" s="37">
        <f t="shared" si="15"/>
        <v>4.91904761904762</v>
      </c>
      <c r="T674" s="23"/>
      <c r="U674" s="39" t="s">
        <v>2947</v>
      </c>
    </row>
    <row r="675" s="839" customFormat="1" ht="15" spans="1:21">
      <c r="A675" s="1120"/>
      <c r="B675" s="819"/>
      <c r="C675" s="23"/>
      <c r="D675" s="23"/>
      <c r="E675" s="23"/>
      <c r="F675" s="778" t="s">
        <v>423</v>
      </c>
      <c r="G675" s="778"/>
      <c r="H675" s="21"/>
      <c r="I675" s="21"/>
      <c r="J675" s="21"/>
      <c r="K675" s="779"/>
      <c r="L675" s="779"/>
      <c r="M675" s="779"/>
      <c r="N675" s="779"/>
      <c r="O675" s="22">
        <v>0.86</v>
      </c>
      <c r="P675" s="22">
        <v>3.33333333333333</v>
      </c>
      <c r="Q675" s="21" t="s">
        <v>1428</v>
      </c>
      <c r="R675" s="37">
        <v>0.4</v>
      </c>
      <c r="S675" s="37">
        <f t="shared" si="15"/>
        <v>4.59333333333333</v>
      </c>
      <c r="T675" s="23"/>
      <c r="U675" s="39" t="s">
        <v>2947</v>
      </c>
    </row>
    <row r="676" s="42" customFormat="1" ht="15" spans="1:21">
      <c r="A676" s="1120"/>
      <c r="B676" s="819"/>
      <c r="C676" s="23"/>
      <c r="D676" s="23"/>
      <c r="E676" s="23"/>
      <c r="F676" s="695" t="s">
        <v>6682</v>
      </c>
      <c r="G676" s="695"/>
      <c r="H676" s="21"/>
      <c r="I676" s="22"/>
      <c r="J676" s="21"/>
      <c r="K676" s="36"/>
      <c r="L676" s="36"/>
      <c r="M676" s="36"/>
      <c r="N676" s="36"/>
      <c r="O676" s="22">
        <v>0.9735</v>
      </c>
      <c r="P676" s="22">
        <v>4.66338259441707</v>
      </c>
      <c r="Q676" s="21" t="s">
        <v>1428</v>
      </c>
      <c r="R676" s="37">
        <v>0.4</v>
      </c>
      <c r="S676" s="37">
        <f t="shared" si="15"/>
        <v>6.03688259441707</v>
      </c>
      <c r="T676" s="813"/>
      <c r="U676" s="39" t="s">
        <v>2948</v>
      </c>
    </row>
    <row r="677" s="42" customFormat="1" ht="15" spans="1:21">
      <c r="A677" s="1120"/>
      <c r="B677" s="819" t="s">
        <v>6683</v>
      </c>
      <c r="C677" s="23"/>
      <c r="D677" s="23"/>
      <c r="E677" s="23"/>
      <c r="F677" s="695" t="s">
        <v>2546</v>
      </c>
      <c r="G677" s="695" t="s">
        <v>1933</v>
      </c>
      <c r="H677" s="21" t="s">
        <v>6684</v>
      </c>
      <c r="I677" s="21" t="s">
        <v>1913</v>
      </c>
      <c r="J677" s="757" t="s">
        <v>1742</v>
      </c>
      <c r="K677" s="1125" t="s">
        <v>1428</v>
      </c>
      <c r="L677" s="1125" t="s">
        <v>1428</v>
      </c>
      <c r="M677" s="1125" t="s">
        <v>1428</v>
      </c>
      <c r="N677" s="762">
        <v>6</v>
      </c>
      <c r="O677" s="22">
        <v>3.7131010582338</v>
      </c>
      <c r="P677" s="22">
        <v>17.2761866844811</v>
      </c>
      <c r="Q677" s="21" t="s">
        <v>1428</v>
      </c>
      <c r="R677" s="770">
        <v>4.37216867160913</v>
      </c>
      <c r="S677" s="37">
        <f t="shared" si="15"/>
        <v>31.361456414324</v>
      </c>
      <c r="T677" s="167" t="s">
        <v>1526</v>
      </c>
      <c r="U677" s="695" t="s">
        <v>6685</v>
      </c>
    </row>
    <row r="678" s="42" customFormat="1" ht="15" spans="1:21">
      <c r="A678" s="1120"/>
      <c r="B678" s="819"/>
      <c r="C678" s="23"/>
      <c r="D678" s="23"/>
      <c r="E678" s="23"/>
      <c r="F678" s="695" t="s">
        <v>2506</v>
      </c>
      <c r="G678" s="20" t="s">
        <v>1933</v>
      </c>
      <c r="H678" s="21" t="s">
        <v>6247</v>
      </c>
      <c r="I678" s="21" t="s">
        <v>1913</v>
      </c>
      <c r="J678" s="21" t="s">
        <v>4687</v>
      </c>
      <c r="K678" s="36" t="s">
        <v>1428</v>
      </c>
      <c r="L678" s="36" t="s">
        <v>1428</v>
      </c>
      <c r="M678" s="36" t="s">
        <v>1428</v>
      </c>
      <c r="N678" s="779">
        <v>3.5</v>
      </c>
      <c r="O678" s="22">
        <v>4.14778325123153</v>
      </c>
      <c r="P678" s="22">
        <v>17.7536945812808</v>
      </c>
      <c r="Q678" s="21" t="s">
        <v>1428</v>
      </c>
      <c r="R678" s="770">
        <v>4.17927887727339</v>
      </c>
      <c r="S678" s="37">
        <f t="shared" si="15"/>
        <v>29.5807567097857</v>
      </c>
      <c r="T678" s="167" t="s">
        <v>1526</v>
      </c>
      <c r="U678" s="705" t="s">
        <v>6686</v>
      </c>
    </row>
    <row r="679" s="42" customFormat="1" spans="1:21">
      <c r="A679" s="1120"/>
      <c r="B679" s="819"/>
      <c r="C679" s="23"/>
      <c r="D679" s="23"/>
      <c r="E679" s="23"/>
      <c r="F679" s="695" t="s">
        <v>6687</v>
      </c>
      <c r="G679" s="20"/>
      <c r="H679" s="21"/>
      <c r="I679" s="21"/>
      <c r="J679" s="21"/>
      <c r="K679" s="36"/>
      <c r="L679" s="36"/>
      <c r="M679" s="36"/>
      <c r="N679" s="36"/>
      <c r="O679" s="22">
        <v>0.43</v>
      </c>
      <c r="P679" s="22">
        <v>4.81351161154117</v>
      </c>
      <c r="Q679" s="21" t="s">
        <v>1428</v>
      </c>
      <c r="R679" s="37">
        <v>0.4</v>
      </c>
      <c r="S679" s="37">
        <f t="shared" si="15"/>
        <v>5.64351161154117</v>
      </c>
      <c r="T679" s="23"/>
      <c r="U679" s="23" t="s">
        <v>6688</v>
      </c>
    </row>
    <row r="680" s="42" customFormat="1" spans="1:21">
      <c r="A680" s="1120"/>
      <c r="B680" s="819"/>
      <c r="C680" s="23"/>
      <c r="D680" s="23"/>
      <c r="E680" s="23"/>
      <c r="F680" s="695" t="s">
        <v>6689</v>
      </c>
      <c r="G680" s="20"/>
      <c r="H680" s="21"/>
      <c r="I680" s="21"/>
      <c r="J680" s="21"/>
      <c r="K680" s="36"/>
      <c r="L680" s="36"/>
      <c r="M680" s="36"/>
      <c r="N680" s="36"/>
      <c r="O680" s="22">
        <v>0.44</v>
      </c>
      <c r="P680" s="22">
        <v>4.02533427163969</v>
      </c>
      <c r="Q680" s="21" t="s">
        <v>1428</v>
      </c>
      <c r="R680" s="37">
        <v>0.4</v>
      </c>
      <c r="S680" s="37">
        <f t="shared" si="15"/>
        <v>4.86533427163969</v>
      </c>
      <c r="T680" s="23"/>
      <c r="U680" s="23" t="s">
        <v>25</v>
      </c>
    </row>
    <row r="681" s="42" customFormat="1" ht="16" customHeight="1" spans="1:21">
      <c r="A681" s="1120"/>
      <c r="B681" s="819"/>
      <c r="C681" s="23"/>
      <c r="D681" s="23"/>
      <c r="E681" s="23"/>
      <c r="F681" s="695" t="s">
        <v>6690</v>
      </c>
      <c r="G681" s="20"/>
      <c r="H681" s="21"/>
      <c r="I681" s="21"/>
      <c r="J681" s="21"/>
      <c r="K681" s="36"/>
      <c r="L681" s="36"/>
      <c r="M681" s="36"/>
      <c r="N681" s="36"/>
      <c r="O681" s="22">
        <v>0.66748</v>
      </c>
      <c r="P681" s="22">
        <v>4.21904761904762</v>
      </c>
      <c r="Q681" s="21" t="s">
        <v>1428</v>
      </c>
      <c r="R681" s="37">
        <v>0.4</v>
      </c>
      <c r="S681" s="37">
        <f t="shared" si="15"/>
        <v>5.28652761904762</v>
      </c>
      <c r="T681" s="23"/>
      <c r="U681" s="23" t="s">
        <v>25</v>
      </c>
    </row>
    <row r="682" s="42" customFormat="1" ht="16" customHeight="1" spans="1:21">
      <c r="A682" s="1120"/>
      <c r="B682" s="819" t="s">
        <v>6691</v>
      </c>
      <c r="C682" s="23"/>
      <c r="D682" s="23"/>
      <c r="E682" s="23"/>
      <c r="F682" s="695" t="s">
        <v>1617</v>
      </c>
      <c r="G682" s="20" t="s">
        <v>1933</v>
      </c>
      <c r="H682" s="21" t="s">
        <v>6247</v>
      </c>
      <c r="I682" s="21" t="s">
        <v>1913</v>
      </c>
      <c r="J682" s="21" t="s">
        <v>3787</v>
      </c>
      <c r="K682" s="36" t="s">
        <v>1428</v>
      </c>
      <c r="L682" s="36" t="s">
        <v>1428</v>
      </c>
      <c r="M682" s="36" t="s">
        <v>1428</v>
      </c>
      <c r="N682" s="779">
        <v>3.5</v>
      </c>
      <c r="O682" s="22">
        <v>3.64179321898103</v>
      </c>
      <c r="P682" s="22">
        <v>16.4322327258822</v>
      </c>
      <c r="Q682" s="21" t="s">
        <v>1428</v>
      </c>
      <c r="R682" s="770">
        <v>4.17927887727339</v>
      </c>
      <c r="S682" s="37">
        <f t="shared" si="15"/>
        <v>27.7533048221366</v>
      </c>
      <c r="T682" s="167" t="s">
        <v>1526</v>
      </c>
      <c r="U682" s="20" t="s">
        <v>6692</v>
      </c>
    </row>
    <row r="683" s="42" customFormat="1" ht="16" customHeight="1" spans="1:21">
      <c r="A683" s="1120"/>
      <c r="B683" s="819"/>
      <c r="C683" s="23"/>
      <c r="D683" s="23"/>
      <c r="E683" s="23"/>
      <c r="F683" s="695" t="s">
        <v>1685</v>
      </c>
      <c r="G683" s="20" t="s">
        <v>1933</v>
      </c>
      <c r="H683" s="21" t="s">
        <v>6247</v>
      </c>
      <c r="I683" s="21" t="s">
        <v>1913</v>
      </c>
      <c r="J683" s="21" t="s">
        <v>6453</v>
      </c>
      <c r="K683" s="36" t="s">
        <v>1428</v>
      </c>
      <c r="L683" s="36" t="s">
        <v>1428</v>
      </c>
      <c r="M683" s="36" t="s">
        <v>1428</v>
      </c>
      <c r="N683" s="779" t="s">
        <v>1428</v>
      </c>
      <c r="O683" s="22">
        <v>3.64179321898103</v>
      </c>
      <c r="P683" s="22">
        <v>17.3408767491886</v>
      </c>
      <c r="Q683" s="21" t="s">
        <v>1428</v>
      </c>
      <c r="R683" s="770">
        <v>4.17927887727339</v>
      </c>
      <c r="S683" s="37">
        <f t="shared" si="15"/>
        <v>25.161948845443</v>
      </c>
      <c r="T683" s="167" t="s">
        <v>1526</v>
      </c>
      <c r="U683" s="20" t="s">
        <v>6693</v>
      </c>
    </row>
    <row r="684" s="42" customFormat="1" ht="16" customHeight="1" spans="1:21">
      <c r="A684" s="1120"/>
      <c r="B684" s="819"/>
      <c r="C684" s="23"/>
      <c r="D684" s="23"/>
      <c r="E684" s="23"/>
      <c r="F684" s="695" t="s">
        <v>1671</v>
      </c>
      <c r="G684" s="20" t="s">
        <v>1933</v>
      </c>
      <c r="H684" s="21" t="s">
        <v>6247</v>
      </c>
      <c r="I684" s="21" t="s">
        <v>1913</v>
      </c>
      <c r="J684" s="21" t="s">
        <v>3787</v>
      </c>
      <c r="K684" s="36" t="s">
        <v>1428</v>
      </c>
      <c r="L684" s="36" t="s">
        <v>1428</v>
      </c>
      <c r="M684" s="36" t="s">
        <v>1428</v>
      </c>
      <c r="N684" s="779">
        <v>3.5</v>
      </c>
      <c r="O684" s="22">
        <v>3.64179321898103</v>
      </c>
      <c r="P684" s="22">
        <v>16.0197044334975</v>
      </c>
      <c r="Q684" s="21" t="s">
        <v>1428</v>
      </c>
      <c r="R684" s="770">
        <v>4.17927887727339</v>
      </c>
      <c r="S684" s="37">
        <f t="shared" si="15"/>
        <v>27.3407765297519</v>
      </c>
      <c r="T684" s="167" t="s">
        <v>1526</v>
      </c>
      <c r="U684" s="20" t="s">
        <v>6692</v>
      </c>
    </row>
    <row r="685" s="42" customFormat="1" ht="16" customHeight="1" spans="1:21">
      <c r="A685" s="1120"/>
      <c r="B685" s="819"/>
      <c r="C685" s="23"/>
      <c r="D685" s="23"/>
      <c r="E685" s="23"/>
      <c r="F685" s="695" t="s">
        <v>1672</v>
      </c>
      <c r="G685" s="20" t="s">
        <v>1933</v>
      </c>
      <c r="H685" s="21" t="s">
        <v>6414</v>
      </c>
      <c r="I685" s="21" t="s">
        <v>1913</v>
      </c>
      <c r="J685" s="21" t="s">
        <v>6530</v>
      </c>
      <c r="K685" s="1071" t="s">
        <v>712</v>
      </c>
      <c r="L685" s="36" t="s">
        <v>1428</v>
      </c>
      <c r="M685" s="36" t="s">
        <v>1428</v>
      </c>
      <c r="N685" s="1121">
        <v>2.3</v>
      </c>
      <c r="O685" s="22">
        <v>3.64179321898103</v>
      </c>
      <c r="P685" s="22">
        <v>16.5071738407129</v>
      </c>
      <c r="Q685" s="21" t="s">
        <v>1428</v>
      </c>
      <c r="R685" s="770">
        <v>4.17927887727339</v>
      </c>
      <c r="S685" s="37">
        <f t="shared" si="15"/>
        <v>26.6282459369673</v>
      </c>
      <c r="T685" s="167" t="s">
        <v>1526</v>
      </c>
      <c r="U685" s="20" t="s">
        <v>6694</v>
      </c>
    </row>
    <row r="686" s="42" customFormat="1" ht="16" customHeight="1" spans="1:21">
      <c r="A686" s="1120"/>
      <c r="B686" s="819"/>
      <c r="C686" s="23"/>
      <c r="D686" s="23"/>
      <c r="E686" s="23"/>
      <c r="F686" s="695" t="s">
        <v>1998</v>
      </c>
      <c r="G686" s="20" t="s">
        <v>1933</v>
      </c>
      <c r="H686" s="21" t="s">
        <v>6414</v>
      </c>
      <c r="I686" s="21" t="s">
        <v>1913</v>
      </c>
      <c r="J686" s="21" t="s">
        <v>4687</v>
      </c>
      <c r="K686" s="1071" t="s">
        <v>712</v>
      </c>
      <c r="L686" s="36" t="s">
        <v>1428</v>
      </c>
      <c r="M686" s="36" t="s">
        <v>1428</v>
      </c>
      <c r="N686" s="779">
        <v>3.5</v>
      </c>
      <c r="O686" s="22">
        <v>3.64179321898103</v>
      </c>
      <c r="P686" s="22">
        <v>16.0105947867937</v>
      </c>
      <c r="Q686" s="21" t="s">
        <v>1428</v>
      </c>
      <c r="R686" s="770">
        <v>4.17927887727339</v>
      </c>
      <c r="S686" s="37">
        <f t="shared" si="15"/>
        <v>27.3316668830481</v>
      </c>
      <c r="T686" s="167" t="s">
        <v>1526</v>
      </c>
      <c r="U686" s="20" t="s">
        <v>6695</v>
      </c>
    </row>
    <row r="687" s="42" customFormat="1" ht="16" customHeight="1" spans="1:21">
      <c r="A687" s="1120"/>
      <c r="B687" s="819"/>
      <c r="C687" s="23"/>
      <c r="D687" s="23"/>
      <c r="E687" s="23"/>
      <c r="F687" s="695" t="s">
        <v>2546</v>
      </c>
      <c r="G687" s="20" t="s">
        <v>1933</v>
      </c>
      <c r="H687" s="21" t="s">
        <v>6247</v>
      </c>
      <c r="I687" s="21" t="s">
        <v>1913</v>
      </c>
      <c r="J687" s="21" t="s">
        <v>1720</v>
      </c>
      <c r="K687" s="36" t="s">
        <v>1428</v>
      </c>
      <c r="L687" s="36" t="s">
        <v>1428</v>
      </c>
      <c r="M687" s="36" t="s">
        <v>1428</v>
      </c>
      <c r="N687" s="1121">
        <v>2.3</v>
      </c>
      <c r="O687" s="22">
        <v>3.64179321898103</v>
      </c>
      <c r="P687" s="22">
        <v>15.5783809356874</v>
      </c>
      <c r="Q687" s="21" t="s">
        <v>1428</v>
      </c>
      <c r="R687" s="770">
        <v>4.17927887727339</v>
      </c>
      <c r="S687" s="37">
        <f t="shared" si="15"/>
        <v>25.6994530319418</v>
      </c>
      <c r="T687" s="167" t="s">
        <v>1526</v>
      </c>
      <c r="U687" s="20" t="s">
        <v>6692</v>
      </c>
    </row>
    <row r="688" s="42" customFormat="1" ht="16" customHeight="1" spans="1:21">
      <c r="A688" s="1120"/>
      <c r="B688" s="819"/>
      <c r="C688" s="23"/>
      <c r="D688" s="23"/>
      <c r="E688" s="23"/>
      <c r="F688" s="695" t="s">
        <v>6696</v>
      </c>
      <c r="G688" s="20"/>
      <c r="H688" s="21"/>
      <c r="I688" s="21"/>
      <c r="J688" s="21"/>
      <c r="K688" s="36"/>
      <c r="L688" s="36"/>
      <c r="M688" s="36"/>
      <c r="N688" s="36"/>
      <c r="O688" s="22">
        <v>0.51</v>
      </c>
      <c r="P688" s="22">
        <v>4.01595120806944</v>
      </c>
      <c r="Q688" s="21" t="s">
        <v>1428</v>
      </c>
      <c r="R688" s="37">
        <v>0.4</v>
      </c>
      <c r="S688" s="37">
        <f t="shared" si="15"/>
        <v>4.92595120806944</v>
      </c>
      <c r="T688" s="23"/>
      <c r="U688" s="23" t="s">
        <v>25</v>
      </c>
    </row>
    <row r="689" s="42" customFormat="1" ht="16" customHeight="1" spans="1:21">
      <c r="A689" s="1120"/>
      <c r="B689" s="819"/>
      <c r="C689" s="23"/>
      <c r="D689" s="23"/>
      <c r="E689" s="23"/>
      <c r="F689" s="695" t="s">
        <v>6697</v>
      </c>
      <c r="G689" s="20"/>
      <c r="H689" s="21"/>
      <c r="I689" s="21"/>
      <c r="J689" s="21"/>
      <c r="K689" s="36"/>
      <c r="L689" s="36"/>
      <c r="M689" s="36"/>
      <c r="N689" s="36"/>
      <c r="O689" s="22">
        <v>0.86</v>
      </c>
      <c r="P689" s="22">
        <v>4.00656814449918</v>
      </c>
      <c r="Q689" s="21" t="s">
        <v>1428</v>
      </c>
      <c r="R689" s="37">
        <v>0.4</v>
      </c>
      <c r="S689" s="37">
        <f t="shared" si="15"/>
        <v>5.26656814449918</v>
      </c>
      <c r="T689" s="23"/>
      <c r="U689" s="23" t="s">
        <v>25</v>
      </c>
    </row>
    <row r="690" s="42" customFormat="1" ht="16" customHeight="1" spans="1:21">
      <c r="A690" s="1120"/>
      <c r="B690" s="819"/>
      <c r="C690" s="23"/>
      <c r="D690" s="23"/>
      <c r="E690" s="23"/>
      <c r="F690" s="695" t="s">
        <v>6698</v>
      </c>
      <c r="G690" s="20"/>
      <c r="H690" s="21"/>
      <c r="I690" s="21"/>
      <c r="J690" s="21"/>
      <c r="K690" s="36"/>
      <c r="L690" s="36"/>
      <c r="M690" s="36"/>
      <c r="N690" s="36"/>
      <c r="O690" s="22">
        <v>0.54</v>
      </c>
      <c r="P690" s="22">
        <v>4.54140276800375</v>
      </c>
      <c r="Q690" s="21" t="s">
        <v>1428</v>
      </c>
      <c r="R690" s="37">
        <v>0.4</v>
      </c>
      <c r="S690" s="37">
        <f t="shared" si="15"/>
        <v>5.48140276800375</v>
      </c>
      <c r="T690" s="23"/>
      <c r="U690" s="20" t="s">
        <v>346</v>
      </c>
    </row>
    <row r="691" s="42" customFormat="1" ht="16" customHeight="1" spans="1:21">
      <c r="A691" s="1120"/>
      <c r="B691" s="819"/>
      <c r="C691" s="23"/>
      <c r="D691" s="23"/>
      <c r="E691" s="23"/>
      <c r="F691" s="695" t="s">
        <v>6699</v>
      </c>
      <c r="G691" s="20"/>
      <c r="H691" s="21"/>
      <c r="I691" s="21"/>
      <c r="J691" s="21"/>
      <c r="K691" s="36"/>
      <c r="L691" s="36"/>
      <c r="M691" s="36"/>
      <c r="N691" s="36"/>
      <c r="O691" s="22">
        <v>0.924</v>
      </c>
      <c r="P691" s="22">
        <v>3.96903589021816</v>
      </c>
      <c r="Q691" s="21" t="s">
        <v>1428</v>
      </c>
      <c r="R691" s="37">
        <v>0.4</v>
      </c>
      <c r="S691" s="37">
        <f t="shared" si="15"/>
        <v>5.29303589021816</v>
      </c>
      <c r="T691" s="23"/>
      <c r="U691" s="23" t="s">
        <v>25</v>
      </c>
    </row>
    <row r="692" s="42" customFormat="1" ht="16" customHeight="1" spans="1:21">
      <c r="A692" s="1120"/>
      <c r="B692" s="819"/>
      <c r="C692" s="23"/>
      <c r="D692" s="23"/>
      <c r="E692" s="23"/>
      <c r="F692" s="695" t="s">
        <v>6700</v>
      </c>
      <c r="G692" s="20"/>
      <c r="H692" s="21"/>
      <c r="I692" s="21"/>
      <c r="J692" s="21"/>
      <c r="K692" s="36"/>
      <c r="L692" s="36"/>
      <c r="M692" s="36"/>
      <c r="N692" s="36"/>
      <c r="O692" s="22">
        <v>0.539</v>
      </c>
      <c r="P692" s="22">
        <v>3.96903589021816</v>
      </c>
      <c r="Q692" s="21" t="s">
        <v>1428</v>
      </c>
      <c r="R692" s="37">
        <v>0.4</v>
      </c>
      <c r="S692" s="37">
        <f t="shared" si="15"/>
        <v>4.90803589021816</v>
      </c>
      <c r="T692" s="23"/>
      <c r="U692" s="23" t="s">
        <v>25</v>
      </c>
    </row>
    <row r="693" s="42" customFormat="1" ht="16" customHeight="1" spans="1:21">
      <c r="A693" s="1120"/>
      <c r="B693" s="819"/>
      <c r="C693" s="23"/>
      <c r="D693" s="23"/>
      <c r="E693" s="23"/>
      <c r="F693" s="695" t="s">
        <v>6701</v>
      </c>
      <c r="G693" s="20"/>
      <c r="H693" s="21"/>
      <c r="I693" s="21"/>
      <c r="J693" s="21"/>
      <c r="K693" s="36"/>
      <c r="L693" s="36"/>
      <c r="M693" s="36"/>
      <c r="N693" s="36"/>
      <c r="O693" s="22">
        <v>0.539</v>
      </c>
      <c r="P693" s="22">
        <v>3.96903589021816</v>
      </c>
      <c r="Q693" s="21" t="s">
        <v>1428</v>
      </c>
      <c r="R693" s="37">
        <v>0.4</v>
      </c>
      <c r="S693" s="37">
        <f t="shared" si="15"/>
        <v>4.90803589021816</v>
      </c>
      <c r="T693" s="23"/>
      <c r="U693" s="23" t="s">
        <v>25</v>
      </c>
    </row>
    <row r="694" s="42" customFormat="1" ht="16" customHeight="1" spans="1:21">
      <c r="A694" s="1120"/>
      <c r="B694" s="819"/>
      <c r="C694" s="23"/>
      <c r="D694" s="23"/>
      <c r="E694" s="23"/>
      <c r="F694" s="695" t="s">
        <v>6702</v>
      </c>
      <c r="G694" s="695"/>
      <c r="H694" s="21"/>
      <c r="I694" s="21"/>
      <c r="J694" s="21"/>
      <c r="K694" s="36"/>
      <c r="L694" s="36"/>
      <c r="M694" s="36"/>
      <c r="N694" s="36"/>
      <c r="O694" s="22">
        <v>0.074262021164676</v>
      </c>
      <c r="P694" s="22">
        <v>2.8013845251872</v>
      </c>
      <c r="Q694" s="21" t="s">
        <v>1428</v>
      </c>
      <c r="R694" s="37">
        <v>0.4</v>
      </c>
      <c r="S694" s="37">
        <f t="shared" si="15"/>
        <v>3.27564654635188</v>
      </c>
      <c r="T694" s="23"/>
      <c r="U694" s="23" t="s">
        <v>6703</v>
      </c>
    </row>
    <row r="695" s="42" customFormat="1" ht="15" spans="1:21">
      <c r="A695" s="1120"/>
      <c r="B695" s="819"/>
      <c r="C695" s="23"/>
      <c r="D695" s="23"/>
      <c r="E695" s="23"/>
      <c r="F695" s="695" t="s">
        <v>6183</v>
      </c>
      <c r="G695" s="695"/>
      <c r="H695" s="21"/>
      <c r="I695" s="21"/>
      <c r="J695" s="21"/>
      <c r="K695" s="36"/>
      <c r="L695" s="36"/>
      <c r="M695" s="36"/>
      <c r="N695" s="36"/>
      <c r="O695" s="22">
        <v>0.3729</v>
      </c>
      <c r="P695" s="22">
        <v>1.22857142857143</v>
      </c>
      <c r="Q695" s="21" t="s">
        <v>1428</v>
      </c>
      <c r="R695" s="37">
        <v>0.2</v>
      </c>
      <c r="S695" s="37">
        <f t="shared" si="15"/>
        <v>1.80147142857143</v>
      </c>
      <c r="T695" s="23"/>
      <c r="U695" s="20"/>
    </row>
    <row r="696" s="42" customFormat="1" ht="15" spans="1:21">
      <c r="A696" s="1120"/>
      <c r="B696" s="1122" t="s">
        <v>6704</v>
      </c>
      <c r="C696" s="23"/>
      <c r="D696" s="23"/>
      <c r="E696" s="23"/>
      <c r="F696" s="695" t="s">
        <v>1565</v>
      </c>
      <c r="G696" s="20" t="s">
        <v>1933</v>
      </c>
      <c r="H696" s="21" t="s">
        <v>6414</v>
      </c>
      <c r="I696" s="21" t="s">
        <v>1913</v>
      </c>
      <c r="J696" s="22" t="s">
        <v>1742</v>
      </c>
      <c r="K696" s="21" t="s">
        <v>1428</v>
      </c>
      <c r="L696" s="21" t="s">
        <v>1428</v>
      </c>
      <c r="M696" s="21" t="s">
        <v>1428</v>
      </c>
      <c r="N696" s="762">
        <v>6</v>
      </c>
      <c r="O696" s="37">
        <v>3.89526603449745</v>
      </c>
      <c r="P696" s="22">
        <v>13.3829708760997</v>
      </c>
      <c r="Q696" s="37" t="s">
        <v>1428</v>
      </c>
      <c r="R696" s="770">
        <v>2.9951800405493</v>
      </c>
      <c r="S696" s="37">
        <f t="shared" si="15"/>
        <v>26.2734169511465</v>
      </c>
      <c r="T696" s="167" t="s">
        <v>1526</v>
      </c>
      <c r="U696" s="35" t="s">
        <v>6705</v>
      </c>
    </row>
    <row r="697" s="42" customFormat="1" ht="15" spans="1:21">
      <c r="A697" s="1120"/>
      <c r="B697" s="872"/>
      <c r="C697" s="23"/>
      <c r="D697" s="23"/>
      <c r="E697" s="23"/>
      <c r="F697" s="695" t="s">
        <v>1617</v>
      </c>
      <c r="G697" s="20" t="s">
        <v>1933</v>
      </c>
      <c r="H697" s="21" t="s">
        <v>6414</v>
      </c>
      <c r="I697" s="21" t="s">
        <v>1913</v>
      </c>
      <c r="J697" s="22" t="s">
        <v>1720</v>
      </c>
      <c r="K697" s="21" t="s">
        <v>1428</v>
      </c>
      <c r="L697" s="21" t="s">
        <v>1428</v>
      </c>
      <c r="M697" s="21" t="s">
        <v>1428</v>
      </c>
      <c r="N697" s="1121">
        <v>2.3</v>
      </c>
      <c r="O697" s="37">
        <v>3.89526603449745</v>
      </c>
      <c r="P697" s="22">
        <v>13.7414110369698</v>
      </c>
      <c r="Q697" s="37" t="s">
        <v>1428</v>
      </c>
      <c r="R697" s="770">
        <v>2.9951800405493</v>
      </c>
      <c r="S697" s="37">
        <f t="shared" si="15"/>
        <v>22.9318571120166</v>
      </c>
      <c r="T697" s="167" t="s">
        <v>1526</v>
      </c>
      <c r="U697" s="35" t="s">
        <v>6706</v>
      </c>
    </row>
    <row r="698" s="42" customFormat="1" ht="15" spans="1:21">
      <c r="A698" s="1120"/>
      <c r="B698" s="872"/>
      <c r="C698" s="23"/>
      <c r="D698" s="23"/>
      <c r="E698" s="23"/>
      <c r="F698" s="695" t="s">
        <v>1629</v>
      </c>
      <c r="G698" s="20" t="s">
        <v>1933</v>
      </c>
      <c r="H698" s="21" t="s">
        <v>6414</v>
      </c>
      <c r="I698" s="21" t="s">
        <v>1913</v>
      </c>
      <c r="J698" s="22" t="s">
        <v>1720</v>
      </c>
      <c r="K698" s="21" t="s">
        <v>1428</v>
      </c>
      <c r="L698" s="21" t="s">
        <v>1428</v>
      </c>
      <c r="M698" s="21" t="s">
        <v>1428</v>
      </c>
      <c r="N698" s="1121">
        <v>2.3</v>
      </c>
      <c r="O698" s="37">
        <v>3.89526603449745</v>
      </c>
      <c r="P698" s="22">
        <v>15.6188202671814</v>
      </c>
      <c r="Q698" s="37" t="s">
        <v>1428</v>
      </c>
      <c r="R698" s="770">
        <v>2.9951800405493</v>
      </c>
      <c r="S698" s="37">
        <f t="shared" si="15"/>
        <v>24.8092663422281</v>
      </c>
      <c r="T698" s="167" t="s">
        <v>1526</v>
      </c>
      <c r="U698" s="35" t="s">
        <v>6706</v>
      </c>
    </row>
    <row r="699" s="42" customFormat="1" ht="15" spans="1:21">
      <c r="A699" s="1120"/>
      <c r="B699" s="872"/>
      <c r="C699" s="23"/>
      <c r="D699" s="23"/>
      <c r="E699" s="23"/>
      <c r="F699" s="695" t="s">
        <v>1645</v>
      </c>
      <c r="G699" s="20" t="s">
        <v>1933</v>
      </c>
      <c r="H699" s="21" t="s">
        <v>6414</v>
      </c>
      <c r="I699" s="21" t="s">
        <v>1913</v>
      </c>
      <c r="J699" s="22" t="s">
        <v>1720</v>
      </c>
      <c r="K699" s="21" t="s">
        <v>1428</v>
      </c>
      <c r="L699" s="21" t="s">
        <v>1428</v>
      </c>
      <c r="M699" s="21" t="s">
        <v>1428</v>
      </c>
      <c r="N699" s="1121">
        <v>2.3</v>
      </c>
      <c r="O699" s="37">
        <v>3.89526603449745</v>
      </c>
      <c r="P699" s="22">
        <v>14.2379657864676</v>
      </c>
      <c r="Q699" s="37" t="s">
        <v>1428</v>
      </c>
      <c r="R699" s="770">
        <v>2.9951800405493</v>
      </c>
      <c r="S699" s="37">
        <f t="shared" si="15"/>
        <v>23.4284118615143</v>
      </c>
      <c r="T699" s="167" t="s">
        <v>1526</v>
      </c>
      <c r="U699" s="35" t="s">
        <v>6705</v>
      </c>
    </row>
    <row r="700" s="42" customFormat="1" ht="15" spans="1:21">
      <c r="A700" s="1120"/>
      <c r="B700" s="872"/>
      <c r="C700" s="23"/>
      <c r="D700" s="23"/>
      <c r="E700" s="23"/>
      <c r="F700" s="695" t="s">
        <v>1604</v>
      </c>
      <c r="G700" s="20" t="s">
        <v>1933</v>
      </c>
      <c r="H700" s="21" t="s">
        <v>6414</v>
      </c>
      <c r="I700" s="21" t="s">
        <v>1913</v>
      </c>
      <c r="J700" s="22" t="s">
        <v>1720</v>
      </c>
      <c r="K700" s="21" t="s">
        <v>1428</v>
      </c>
      <c r="L700" s="21" t="s">
        <v>1428</v>
      </c>
      <c r="M700" s="21" t="s">
        <v>1428</v>
      </c>
      <c r="N700" s="1121">
        <v>2.3</v>
      </c>
      <c r="O700" s="37">
        <v>3.89526603449745</v>
      </c>
      <c r="P700" s="22">
        <v>13.9634303077949</v>
      </c>
      <c r="Q700" s="37" t="s">
        <v>1428</v>
      </c>
      <c r="R700" s="770">
        <v>2.9951800405493</v>
      </c>
      <c r="S700" s="37">
        <f t="shared" si="15"/>
        <v>23.1538763828417</v>
      </c>
      <c r="T700" s="167" t="s">
        <v>1526</v>
      </c>
      <c r="U700" s="35" t="s">
        <v>6705</v>
      </c>
    </row>
    <row r="701" s="42" customFormat="1" ht="15" spans="1:21">
      <c r="A701" s="1120"/>
      <c r="B701" s="872"/>
      <c r="C701" s="23"/>
      <c r="D701" s="23"/>
      <c r="E701" s="23"/>
      <c r="F701" s="695" t="s">
        <v>1571</v>
      </c>
      <c r="G701" s="20" t="s">
        <v>3540</v>
      </c>
      <c r="H701" s="21" t="s">
        <v>6247</v>
      </c>
      <c r="I701" s="21" t="s">
        <v>1913</v>
      </c>
      <c r="J701" s="22" t="s">
        <v>1720</v>
      </c>
      <c r="K701" s="36" t="s">
        <v>1428</v>
      </c>
      <c r="L701" s="21" t="s">
        <v>1428</v>
      </c>
      <c r="M701" s="21" t="s">
        <v>1428</v>
      </c>
      <c r="N701" s="1121">
        <v>2.3</v>
      </c>
      <c r="O701" s="37">
        <v>3.89526603449745</v>
      </c>
      <c r="P701" s="22">
        <v>11.3436567089105</v>
      </c>
      <c r="Q701" s="37" t="s">
        <v>1428</v>
      </c>
      <c r="R701" s="770">
        <v>2.9951800405493</v>
      </c>
      <c r="S701" s="37">
        <f t="shared" si="15"/>
        <v>20.5341027839573</v>
      </c>
      <c r="T701" s="167" t="s">
        <v>1526</v>
      </c>
      <c r="U701" s="35" t="s">
        <v>4160</v>
      </c>
    </row>
    <row r="702" s="42" customFormat="1" ht="15" spans="1:21">
      <c r="A702" s="1120"/>
      <c r="B702" s="872"/>
      <c r="C702" s="23"/>
      <c r="D702" s="23"/>
      <c r="E702" s="23"/>
      <c r="F702" s="695" t="s">
        <v>1685</v>
      </c>
      <c r="G702" s="20" t="s">
        <v>1933</v>
      </c>
      <c r="H702" s="21" t="s">
        <v>6414</v>
      </c>
      <c r="I702" s="21" t="s">
        <v>1913</v>
      </c>
      <c r="J702" s="22" t="s">
        <v>1720</v>
      </c>
      <c r="K702" s="21" t="s">
        <v>1428</v>
      </c>
      <c r="L702" s="21" t="s">
        <v>1428</v>
      </c>
      <c r="M702" s="21" t="s">
        <v>1428</v>
      </c>
      <c r="N702" s="1121">
        <v>2.3</v>
      </c>
      <c r="O702" s="37">
        <v>3.89526603449745</v>
      </c>
      <c r="P702" s="22">
        <v>13.0678283864281</v>
      </c>
      <c r="Q702" s="37" t="s">
        <v>1428</v>
      </c>
      <c r="R702" s="770">
        <v>2.9951800405493</v>
      </c>
      <c r="S702" s="37">
        <f t="shared" si="15"/>
        <v>22.2582744614749</v>
      </c>
      <c r="T702" s="167" t="s">
        <v>1526</v>
      </c>
      <c r="U702" s="35" t="s">
        <v>6705</v>
      </c>
    </row>
    <row r="703" s="42" customFormat="1" ht="15" spans="1:21">
      <c r="A703" s="1120"/>
      <c r="B703" s="872"/>
      <c r="C703" s="23"/>
      <c r="D703" s="23"/>
      <c r="E703" s="23"/>
      <c r="F703" s="695" t="s">
        <v>1671</v>
      </c>
      <c r="G703" s="20" t="s">
        <v>1933</v>
      </c>
      <c r="H703" s="21" t="s">
        <v>6249</v>
      </c>
      <c r="I703" s="21" t="s">
        <v>1913</v>
      </c>
      <c r="J703" s="22" t="s">
        <v>1720</v>
      </c>
      <c r="K703" s="1071" t="s">
        <v>712</v>
      </c>
      <c r="L703" s="21" t="s">
        <v>1428</v>
      </c>
      <c r="M703" s="21" t="s">
        <v>1428</v>
      </c>
      <c r="N703" s="1121">
        <v>2.3</v>
      </c>
      <c r="O703" s="37">
        <v>3.89526603449745</v>
      </c>
      <c r="P703" s="22">
        <v>13.1284715565201</v>
      </c>
      <c r="Q703" s="37" t="s">
        <v>1428</v>
      </c>
      <c r="R703" s="770">
        <v>2.9951800405493</v>
      </c>
      <c r="S703" s="37">
        <f t="shared" si="15"/>
        <v>22.3189176315669</v>
      </c>
      <c r="T703" s="167" t="s">
        <v>1526</v>
      </c>
      <c r="U703" s="751" t="s">
        <v>3861</v>
      </c>
    </row>
    <row r="704" s="42" customFormat="1" ht="15" spans="1:21">
      <c r="A704" s="1120"/>
      <c r="B704" s="872"/>
      <c r="C704" s="23">
        <v>20240612</v>
      </c>
      <c r="D704" s="23">
        <v>7.24</v>
      </c>
      <c r="E704" s="23" t="s">
        <v>6707</v>
      </c>
      <c r="F704" s="695" t="s">
        <v>2546</v>
      </c>
      <c r="G704" s="20" t="s">
        <v>1933</v>
      </c>
      <c r="H704" s="21" t="s">
        <v>6247</v>
      </c>
      <c r="I704" s="21" t="s">
        <v>1913</v>
      </c>
      <c r="J704" s="22" t="s">
        <v>1720</v>
      </c>
      <c r="K704" s="36" t="s">
        <v>1428</v>
      </c>
      <c r="L704" s="21" t="s">
        <v>1428</v>
      </c>
      <c r="M704" s="21" t="s">
        <v>1428</v>
      </c>
      <c r="N704" s="1121">
        <v>2.3</v>
      </c>
      <c r="O704" s="37">
        <v>3.89526603449745</v>
      </c>
      <c r="P704" s="22">
        <v>12.4206129789004</v>
      </c>
      <c r="Q704" s="37" t="s">
        <v>1428</v>
      </c>
      <c r="R704" s="37">
        <v>3.0199677374366</v>
      </c>
      <c r="S704" s="37">
        <f t="shared" si="15"/>
        <v>21.6358467508345</v>
      </c>
      <c r="T704" s="167" t="s">
        <v>1526</v>
      </c>
      <c r="U704" s="35" t="s">
        <v>6667</v>
      </c>
    </row>
    <row r="705" s="42" customFormat="1" ht="15" spans="1:22">
      <c r="A705" s="1120"/>
      <c r="B705" s="872"/>
      <c r="C705" s="23">
        <v>20240703</v>
      </c>
      <c r="D705" s="23">
        <v>7.24</v>
      </c>
      <c r="E705" s="23" t="s">
        <v>6708</v>
      </c>
      <c r="F705" s="695" t="s">
        <v>2306</v>
      </c>
      <c r="G705" s="20" t="s">
        <v>1933</v>
      </c>
      <c r="H705" s="21" t="s">
        <v>6414</v>
      </c>
      <c r="I705" s="21" t="s">
        <v>1913</v>
      </c>
      <c r="J705" s="22" t="s">
        <v>1720</v>
      </c>
      <c r="K705" s="36" t="s">
        <v>1428</v>
      </c>
      <c r="L705" s="21" t="s">
        <v>1428</v>
      </c>
      <c r="M705" s="21" t="s">
        <v>1428</v>
      </c>
      <c r="N705" s="1121">
        <v>2.3</v>
      </c>
      <c r="O705" s="22">
        <v>3.89526603449745</v>
      </c>
      <c r="P705" s="22">
        <v>12.659749929897</v>
      </c>
      <c r="Q705" s="37" t="s">
        <v>1428</v>
      </c>
      <c r="R705" s="37">
        <v>3.01165971064861</v>
      </c>
      <c r="S705" s="37">
        <f t="shared" si="15"/>
        <v>21.8666756750431</v>
      </c>
      <c r="T705" s="167" t="s">
        <v>1526</v>
      </c>
      <c r="U705" s="35" t="s">
        <v>6705</v>
      </c>
    </row>
    <row r="706" s="42" customFormat="1" ht="15" spans="1:22">
      <c r="A706" s="1120"/>
      <c r="B706" s="872"/>
      <c r="C706" s="23">
        <v>20241028</v>
      </c>
      <c r="D706" s="23">
        <v>7.24</v>
      </c>
      <c r="E706" s="23" t="s">
        <v>588</v>
      </c>
      <c r="F706" s="695" t="s">
        <v>589</v>
      </c>
      <c r="G706" s="20"/>
      <c r="H706" s="21"/>
      <c r="I706" s="21"/>
      <c r="J706" s="22"/>
      <c r="K706" s="21"/>
      <c r="L706" s="21"/>
      <c r="M706" s="21"/>
      <c r="N706" s="21"/>
      <c r="O706" s="22">
        <v>0.39669929243068</v>
      </c>
      <c r="P706" s="22">
        <v>2.32378266520322</v>
      </c>
      <c r="Q706" s="37" t="s">
        <v>1428</v>
      </c>
      <c r="R706" s="770">
        <v>0.4</v>
      </c>
      <c r="S706" s="37">
        <f t="shared" si="15"/>
        <v>3.1204819576339</v>
      </c>
      <c r="T706" s="23"/>
      <c r="U706" s="751" t="s">
        <v>2975</v>
      </c>
    </row>
    <row r="707" s="42" customFormat="1" spans="1:22">
      <c r="A707" s="1120"/>
      <c r="B707" s="1123"/>
      <c r="C707" s="23"/>
      <c r="D707" s="23"/>
      <c r="E707" s="23"/>
      <c r="F707" s="695" t="s">
        <v>810</v>
      </c>
      <c r="G707" s="20"/>
      <c r="H707" s="21"/>
      <c r="I707" s="21"/>
      <c r="J707" s="22"/>
      <c r="K707" s="21"/>
      <c r="L707" s="21"/>
      <c r="M707" s="21"/>
      <c r="N707" s="21"/>
      <c r="O707" s="37">
        <v>0.32834909978639</v>
      </c>
      <c r="P707" s="22">
        <v>0.785548993713763</v>
      </c>
      <c r="Q707" s="37" t="s">
        <v>1428</v>
      </c>
      <c r="R707" s="774">
        <v>0.2</v>
      </c>
      <c r="S707" s="37">
        <f t="shared" si="15"/>
        <v>1.31389809350015</v>
      </c>
      <c r="T707" s="23"/>
      <c r="U707" s="35"/>
    </row>
    <row r="708" s="42" customFormat="1" ht="15" spans="1:22">
      <c r="A708" s="1120"/>
      <c r="B708" s="1122" t="s">
        <v>6709</v>
      </c>
      <c r="C708" s="23"/>
      <c r="D708" s="23"/>
      <c r="E708" s="23"/>
      <c r="F708" s="695" t="s">
        <v>1617</v>
      </c>
      <c r="G708" s="20" t="s">
        <v>1933</v>
      </c>
      <c r="H708" s="21" t="s">
        <v>6710</v>
      </c>
      <c r="I708" s="21" t="s">
        <v>1913</v>
      </c>
      <c r="J708" s="21" t="s">
        <v>1428</v>
      </c>
      <c r="K708" s="1071" t="s">
        <v>712</v>
      </c>
      <c r="L708" s="21" t="s">
        <v>1428</v>
      </c>
      <c r="M708" s="21" t="s">
        <v>1428</v>
      </c>
      <c r="N708" s="21" t="s">
        <v>1428</v>
      </c>
      <c r="O708" s="37">
        <v>3.61012611985142</v>
      </c>
      <c r="P708" s="22">
        <v>28.29</v>
      </c>
      <c r="Q708" s="37" t="s">
        <v>1428</v>
      </c>
      <c r="R708" s="770">
        <v>4.96491211218904</v>
      </c>
      <c r="S708" s="37">
        <f t="shared" si="15"/>
        <v>36.8650382320405</v>
      </c>
      <c r="T708" s="167" t="s">
        <v>1526</v>
      </c>
      <c r="U708" s="751" t="s">
        <v>6711</v>
      </c>
    </row>
    <row r="709" s="42" customFormat="1" ht="15" spans="1:22">
      <c r="A709" s="1120"/>
      <c r="B709" s="872"/>
      <c r="C709" s="23"/>
      <c r="D709" s="23"/>
      <c r="E709" s="23"/>
      <c r="F709" s="695" t="s">
        <v>1629</v>
      </c>
      <c r="G709" s="20" t="s">
        <v>1933</v>
      </c>
      <c r="H709" s="21" t="s">
        <v>6710</v>
      </c>
      <c r="I709" s="21" t="s">
        <v>1913</v>
      </c>
      <c r="J709" s="21" t="s">
        <v>1428</v>
      </c>
      <c r="K709" s="1071" t="s">
        <v>712</v>
      </c>
      <c r="L709" s="21" t="s">
        <v>1428</v>
      </c>
      <c r="M709" s="21" t="s">
        <v>1428</v>
      </c>
      <c r="N709" s="21" t="s">
        <v>1428</v>
      </c>
      <c r="O709" s="37">
        <v>3.61012611985142</v>
      </c>
      <c r="P709" s="22">
        <v>26.1871870946485</v>
      </c>
      <c r="Q709" s="37" t="s">
        <v>1428</v>
      </c>
      <c r="R709" s="770">
        <v>4.96491211218904</v>
      </c>
      <c r="S709" s="37">
        <f t="shared" si="15"/>
        <v>34.762225326689</v>
      </c>
      <c r="T709" s="167" t="s">
        <v>1526</v>
      </c>
      <c r="U709" s="751" t="s">
        <v>6711</v>
      </c>
    </row>
    <row r="710" s="42" customFormat="1" ht="15" spans="1:22">
      <c r="A710" s="1120"/>
      <c r="B710" s="872"/>
      <c r="C710" s="23">
        <v>20240126</v>
      </c>
      <c r="D710" s="23">
        <v>7.24</v>
      </c>
      <c r="E710" s="23" t="s">
        <v>6712</v>
      </c>
      <c r="F710" s="695" t="s">
        <v>1645</v>
      </c>
      <c r="G710" s="20" t="s">
        <v>3540</v>
      </c>
      <c r="H710" s="21" t="s">
        <v>6710</v>
      </c>
      <c r="I710" s="21" t="s">
        <v>1913</v>
      </c>
      <c r="J710" s="21" t="s">
        <v>1428</v>
      </c>
      <c r="K710" s="1071" t="s">
        <v>712</v>
      </c>
      <c r="L710" s="21" t="s">
        <v>1428</v>
      </c>
      <c r="M710" s="21" t="s">
        <v>1428</v>
      </c>
      <c r="N710" s="21" t="s">
        <v>1428</v>
      </c>
      <c r="O710" s="22">
        <v>3.61012611985142</v>
      </c>
      <c r="P710" s="22">
        <v>22.0943453449243</v>
      </c>
      <c r="Q710" s="37" t="s">
        <v>1428</v>
      </c>
      <c r="R710" s="37">
        <v>5.00600104001405</v>
      </c>
      <c r="S710" s="37">
        <f t="shared" si="15"/>
        <v>30.7104725047898</v>
      </c>
      <c r="T710" s="167" t="s">
        <v>1526</v>
      </c>
      <c r="U710" s="751" t="s">
        <v>6711</v>
      </c>
    </row>
    <row r="711" s="42" customFormat="1" ht="15" spans="1:22">
      <c r="A711" s="1120"/>
      <c r="B711" s="872"/>
      <c r="C711" s="23">
        <v>20240126</v>
      </c>
      <c r="D711" s="23">
        <v>7.24</v>
      </c>
      <c r="E711" s="23" t="s">
        <v>6713</v>
      </c>
      <c r="F711" s="695" t="s">
        <v>1604</v>
      </c>
      <c r="G711" s="20" t="s">
        <v>3540</v>
      </c>
      <c r="H711" s="21" t="s">
        <v>6710</v>
      </c>
      <c r="I711" s="21" t="s">
        <v>1913</v>
      </c>
      <c r="J711" s="21" t="s">
        <v>1428</v>
      </c>
      <c r="K711" s="1071" t="s">
        <v>712</v>
      </c>
      <c r="L711" s="21" t="s">
        <v>1428</v>
      </c>
      <c r="M711" s="21" t="s">
        <v>1428</v>
      </c>
      <c r="N711" s="21" t="s">
        <v>1428</v>
      </c>
      <c r="O711" s="22">
        <v>3.61012611985142</v>
      </c>
      <c r="P711" s="22">
        <v>21.7331120276432</v>
      </c>
      <c r="Q711" s="37" t="s">
        <v>1428</v>
      </c>
      <c r="R711" s="37">
        <v>5.00600104001405</v>
      </c>
      <c r="S711" s="37">
        <f t="shared" si="15"/>
        <v>30.3492391875087</v>
      </c>
      <c r="T711" s="167" t="s">
        <v>1526</v>
      </c>
      <c r="U711" s="751" t="s">
        <v>6711</v>
      </c>
    </row>
    <row r="712" s="42" customFormat="1" ht="15" spans="1:22">
      <c r="A712" s="1120"/>
      <c r="B712" s="872"/>
      <c r="C712" s="23">
        <v>20240126</v>
      </c>
      <c r="D712" s="23">
        <v>7.24</v>
      </c>
      <c r="E712" s="23" t="s">
        <v>6714</v>
      </c>
      <c r="F712" s="695" t="s">
        <v>1571</v>
      </c>
      <c r="G712" s="20" t="s">
        <v>3540</v>
      </c>
      <c r="H712" s="21" t="s">
        <v>6710</v>
      </c>
      <c r="I712" s="21" t="s">
        <v>1913</v>
      </c>
      <c r="J712" s="21" t="s">
        <v>1428</v>
      </c>
      <c r="K712" s="1071" t="s">
        <v>712</v>
      </c>
      <c r="L712" s="21" t="s">
        <v>1428</v>
      </c>
      <c r="M712" s="21" t="s">
        <v>1428</v>
      </c>
      <c r="N712" s="21" t="s">
        <v>1428</v>
      </c>
      <c r="O712" s="22">
        <v>3.61012611985142</v>
      </c>
      <c r="P712" s="22">
        <v>21.0474043395901</v>
      </c>
      <c r="Q712" s="37" t="s">
        <v>1428</v>
      </c>
      <c r="R712" s="37">
        <v>5.00600104001405</v>
      </c>
      <c r="S712" s="37">
        <f t="shared" si="15"/>
        <v>29.6635314994556</v>
      </c>
      <c r="T712" s="167" t="s">
        <v>1526</v>
      </c>
      <c r="U712" s="751" t="s">
        <v>6711</v>
      </c>
    </row>
    <row r="713" s="42" customFormat="1" spans="1:22">
      <c r="A713" s="1120"/>
      <c r="B713" s="872"/>
      <c r="C713" s="23"/>
      <c r="D713" s="23"/>
      <c r="E713" s="23"/>
      <c r="F713" s="695" t="s">
        <v>1136</v>
      </c>
      <c r="G713" s="20"/>
      <c r="H713" s="21"/>
      <c r="I713" s="21"/>
      <c r="J713" s="22"/>
      <c r="K713" s="21"/>
      <c r="L713" s="21"/>
      <c r="M713" s="21"/>
      <c r="N713" s="21"/>
      <c r="O713" s="37">
        <v>0.19</v>
      </c>
      <c r="P713" s="22">
        <v>2.36</v>
      </c>
      <c r="Q713" s="37" t="s">
        <v>1428</v>
      </c>
      <c r="R713" s="37">
        <v>0.4</v>
      </c>
      <c r="S713" s="37">
        <f t="shared" si="15"/>
        <v>2.95</v>
      </c>
      <c r="T713" s="23"/>
      <c r="U713" s="35"/>
    </row>
    <row r="714" s="42" customFormat="1" spans="1:22">
      <c r="A714" s="1120"/>
      <c r="B714" s="1123"/>
      <c r="C714" s="23"/>
      <c r="D714" s="23"/>
      <c r="E714" s="23"/>
      <c r="F714" s="695" t="s">
        <v>6715</v>
      </c>
      <c r="G714" s="20"/>
      <c r="H714" s="21"/>
      <c r="I714" s="21"/>
      <c r="J714" s="22"/>
      <c r="K714" s="21"/>
      <c r="L714" s="21"/>
      <c r="M714" s="21"/>
      <c r="N714" s="21"/>
      <c r="O714" s="37">
        <v>0.366624525916561</v>
      </c>
      <c r="P714" s="22">
        <v>3.46372971238938</v>
      </c>
      <c r="Q714" s="37" t="s">
        <v>1428</v>
      </c>
      <c r="R714" s="37">
        <v>0.4</v>
      </c>
      <c r="S714" s="37">
        <f t="shared" si="15"/>
        <v>4.23035423830594</v>
      </c>
      <c r="T714" s="23"/>
      <c r="U714" s="35"/>
    </row>
    <row r="715" s="42" customFormat="1" ht="14" customHeight="1" spans="1:22">
      <c r="A715" s="1138"/>
      <c r="B715" s="23" t="s">
        <v>6716</v>
      </c>
      <c r="C715" s="23"/>
      <c r="D715" s="21"/>
      <c r="E715" s="23"/>
      <c r="F715" s="20" t="s">
        <v>1685</v>
      </c>
      <c r="G715" s="20" t="s">
        <v>3540</v>
      </c>
      <c r="H715" s="21" t="s">
        <v>6192</v>
      </c>
      <c r="I715" s="37" t="s">
        <v>4691</v>
      </c>
      <c r="J715" s="21" t="s">
        <v>3787</v>
      </c>
      <c r="K715" s="29" t="s">
        <v>1428</v>
      </c>
      <c r="L715" s="21" t="s">
        <v>1428</v>
      </c>
      <c r="M715" s="138" t="s">
        <v>4671</v>
      </c>
      <c r="N715" s="21">
        <v>3.5</v>
      </c>
      <c r="O715" s="37">
        <v>2.19535926617972</v>
      </c>
      <c r="P715" s="22">
        <v>9.55665024630542</v>
      </c>
      <c r="Q715" s="21" t="s">
        <v>1428</v>
      </c>
      <c r="R715" s="37">
        <v>2.47309380815883</v>
      </c>
      <c r="S715" s="22">
        <f t="shared" si="15"/>
        <v>17.725103320644</v>
      </c>
      <c r="T715" s="23" t="s">
        <v>6225</v>
      </c>
      <c r="U715" s="812" t="s">
        <v>6717</v>
      </c>
      <c r="V715" s="120" t="s">
        <v>1406</v>
      </c>
    </row>
    <row r="716" s="42" customFormat="1" spans="1:22">
      <c r="A716" s="1138"/>
      <c r="B716" s="23"/>
      <c r="C716" s="23"/>
      <c r="D716" s="21"/>
      <c r="E716" s="23"/>
      <c r="F716" s="20" t="s">
        <v>6718</v>
      </c>
      <c r="G716" s="20"/>
      <c r="H716" s="37"/>
      <c r="I716" s="37"/>
      <c r="J716" s="37"/>
      <c r="K716" s="21"/>
      <c r="L716" s="21"/>
      <c r="M716" s="21"/>
      <c r="N716" s="21"/>
      <c r="O716" s="37">
        <v>0.364562303448276</v>
      </c>
      <c r="P716" s="22">
        <v>0.838</v>
      </c>
      <c r="Q716" s="21" t="s">
        <v>1428</v>
      </c>
      <c r="R716" s="22">
        <v>0.2</v>
      </c>
      <c r="S716" s="22">
        <f t="shared" si="15"/>
        <v>1.40256230344828</v>
      </c>
      <c r="T716" s="1139"/>
      <c r="U716" s="20"/>
      <c r="V716" s="120" t="s">
        <v>1406</v>
      </c>
    </row>
    <row r="717" s="42" customFormat="1" spans="1:22">
      <c r="A717" s="1138"/>
      <c r="B717" s="23"/>
      <c r="C717" s="23"/>
      <c r="D717" s="21"/>
      <c r="E717" s="23"/>
      <c r="F717" s="20" t="s">
        <v>6719</v>
      </c>
      <c r="G717" s="20"/>
      <c r="H717" s="37"/>
      <c r="I717" s="37"/>
      <c r="J717" s="37"/>
      <c r="K717" s="21"/>
      <c r="L717" s="21"/>
      <c r="M717" s="21"/>
      <c r="N717" s="21"/>
      <c r="O717" s="37">
        <v>0.296019710344828</v>
      </c>
      <c r="P717" s="22">
        <v>0.737</v>
      </c>
      <c r="Q717" s="21" t="s">
        <v>1428</v>
      </c>
      <c r="R717" s="22">
        <v>0.2</v>
      </c>
      <c r="S717" s="22">
        <f t="shared" si="15"/>
        <v>1.23301971034483</v>
      </c>
      <c r="T717" s="1139"/>
      <c r="U717" s="20"/>
      <c r="V717" s="120" t="s">
        <v>1406</v>
      </c>
    </row>
    <row r="718" s="42" customFormat="1" spans="1:22">
      <c r="A718" s="1138"/>
      <c r="B718" s="23"/>
      <c r="C718" s="23"/>
      <c r="D718" s="21"/>
      <c r="E718" s="23" t="s">
        <v>6720</v>
      </c>
      <c r="F718" s="20" t="s">
        <v>5871</v>
      </c>
      <c r="G718" s="20"/>
      <c r="H718" s="21"/>
      <c r="I718" s="21"/>
      <c r="J718" s="21"/>
      <c r="K718" s="21"/>
      <c r="L718" s="21"/>
      <c r="M718" s="21"/>
      <c r="N718" s="21"/>
      <c r="O718" s="37">
        <v>0.501647489655172</v>
      </c>
      <c r="P718" s="22">
        <v>0.8885</v>
      </c>
      <c r="Q718" s="21" t="s">
        <v>1428</v>
      </c>
      <c r="R718" s="22">
        <v>0.2</v>
      </c>
      <c r="S718" s="22">
        <f t="shared" ref="S718:S781" si="16">SUM(K718:R718)</f>
        <v>1.59014748965517</v>
      </c>
      <c r="T718" s="23"/>
      <c r="U718" s="20"/>
      <c r="V718" s="120" t="s">
        <v>1406</v>
      </c>
    </row>
    <row r="719" s="42" customFormat="1" ht="15" spans="1:22">
      <c r="A719" s="1138"/>
      <c r="B719" s="23"/>
      <c r="C719" s="23"/>
      <c r="D719" s="21"/>
      <c r="E719" s="23" t="s">
        <v>6721</v>
      </c>
      <c r="F719" s="20" t="s">
        <v>5870</v>
      </c>
      <c r="G719" s="20"/>
      <c r="H719" s="21"/>
      <c r="I719" s="1140"/>
      <c r="J719" s="21"/>
      <c r="K719" s="21"/>
      <c r="L719" s="21"/>
      <c r="M719" s="21"/>
      <c r="N719" s="21"/>
      <c r="O719" s="37">
        <v>0.3988336</v>
      </c>
      <c r="P719" s="22">
        <v>0.7774</v>
      </c>
      <c r="Q719" s="21" t="s">
        <v>1428</v>
      </c>
      <c r="R719" s="22">
        <v>0.38</v>
      </c>
      <c r="S719" s="22">
        <f t="shared" si="16"/>
        <v>1.5562336</v>
      </c>
      <c r="T719" s="23"/>
      <c r="U719" s="20"/>
      <c r="V719" s="120" t="s">
        <v>1406</v>
      </c>
    </row>
    <row r="720" s="42" customFormat="1" ht="15" spans="1:22">
      <c r="A720" s="1138"/>
      <c r="B720" s="23" t="s">
        <v>6722</v>
      </c>
      <c r="C720" s="23"/>
      <c r="D720" s="21"/>
      <c r="E720" s="23"/>
      <c r="F720" s="20" t="s">
        <v>1685</v>
      </c>
      <c r="G720" s="20" t="s">
        <v>3540</v>
      </c>
      <c r="H720" s="21" t="s">
        <v>6192</v>
      </c>
      <c r="I720" s="37" t="s">
        <v>4691</v>
      </c>
      <c r="J720" s="21" t="s">
        <v>5813</v>
      </c>
      <c r="K720" s="29" t="s">
        <v>1428</v>
      </c>
      <c r="L720" s="21" t="s">
        <v>1428</v>
      </c>
      <c r="M720" s="138" t="s">
        <v>4671</v>
      </c>
      <c r="N720" s="21">
        <v>3.5</v>
      </c>
      <c r="O720" s="37">
        <v>2.55093793103448</v>
      </c>
      <c r="P720" s="22">
        <v>9.60591133004926</v>
      </c>
      <c r="Q720" s="21" t="s">
        <v>1428</v>
      </c>
      <c r="R720" s="37">
        <v>2.59261135279107</v>
      </c>
      <c r="S720" s="22">
        <f t="shared" si="16"/>
        <v>18.2494606138748</v>
      </c>
      <c r="T720" s="38" t="s">
        <v>5814</v>
      </c>
      <c r="U720" s="20" t="s">
        <v>6723</v>
      </c>
      <c r="V720" s="120" t="s">
        <v>1406</v>
      </c>
    </row>
    <row r="721" s="42" customFormat="1" ht="15" spans="1:22">
      <c r="A721" s="1138"/>
      <c r="B721" s="23"/>
      <c r="C721" s="23"/>
      <c r="D721" s="21"/>
      <c r="E721" s="23"/>
      <c r="F721" s="23" t="s">
        <v>1998</v>
      </c>
      <c r="G721" s="20" t="s">
        <v>3540</v>
      </c>
      <c r="H721" s="21" t="s">
        <v>6163</v>
      </c>
      <c r="I721" s="37" t="s">
        <v>4691</v>
      </c>
      <c r="J721" s="21" t="s">
        <v>5813</v>
      </c>
      <c r="K721" s="21" t="s">
        <v>1428</v>
      </c>
      <c r="L721" s="21" t="s">
        <v>1428</v>
      </c>
      <c r="M721" s="138" t="s">
        <v>4671</v>
      </c>
      <c r="N721" s="21">
        <v>3.5</v>
      </c>
      <c r="O721" s="37">
        <v>2.55093793103448</v>
      </c>
      <c r="P721" s="22">
        <v>9.57635467980296</v>
      </c>
      <c r="Q721" s="21" t="s">
        <v>1428</v>
      </c>
      <c r="R721" s="37">
        <v>2.59261135279107</v>
      </c>
      <c r="S721" s="22">
        <f t="shared" si="16"/>
        <v>18.2199039636285</v>
      </c>
      <c r="T721" s="38" t="s">
        <v>5814</v>
      </c>
      <c r="U721" s="20" t="s">
        <v>6724</v>
      </c>
      <c r="V721" s="120" t="s">
        <v>1406</v>
      </c>
    </row>
    <row r="722" s="42" customFormat="1" ht="15" spans="1:22">
      <c r="A722" s="1138"/>
      <c r="B722" s="23"/>
      <c r="C722" s="23"/>
      <c r="D722" s="21"/>
      <c r="E722" s="23"/>
      <c r="F722" s="23" t="s">
        <v>2431</v>
      </c>
      <c r="G722" s="20" t="s">
        <v>3540</v>
      </c>
      <c r="H722" s="21" t="s">
        <v>6149</v>
      </c>
      <c r="I722" s="37" t="s">
        <v>4691</v>
      </c>
      <c r="J722" s="21" t="s">
        <v>3696</v>
      </c>
      <c r="K722" s="21" t="s">
        <v>1428</v>
      </c>
      <c r="L722" s="21" t="s">
        <v>1428</v>
      </c>
      <c r="M722" s="138" t="s">
        <v>4671</v>
      </c>
      <c r="N722" s="21">
        <v>3.3</v>
      </c>
      <c r="O722" s="37">
        <v>2.55093793103448</v>
      </c>
      <c r="P722" s="22">
        <v>9.69458128078818</v>
      </c>
      <c r="Q722" s="21" t="s">
        <v>1428</v>
      </c>
      <c r="R722" s="37">
        <v>2.59261135279107</v>
      </c>
      <c r="S722" s="22">
        <f t="shared" si="16"/>
        <v>18.1381305646137</v>
      </c>
      <c r="T722" s="38" t="s">
        <v>5814</v>
      </c>
      <c r="U722" s="20" t="s">
        <v>6725</v>
      </c>
      <c r="V722" s="120" t="s">
        <v>1406</v>
      </c>
    </row>
    <row r="723" s="42" customFormat="1" spans="1:22">
      <c r="A723" s="1138"/>
      <c r="B723" s="23"/>
      <c r="C723" s="23"/>
      <c r="D723" s="21"/>
      <c r="E723" s="23" t="s">
        <v>6726</v>
      </c>
      <c r="F723" s="23" t="s">
        <v>6727</v>
      </c>
      <c r="G723" s="20"/>
      <c r="H723" s="37"/>
      <c r="I723" s="37"/>
      <c r="J723" s="21"/>
      <c r="K723" s="21"/>
      <c r="L723" s="21"/>
      <c r="M723" s="21"/>
      <c r="N723" s="21"/>
      <c r="O723" s="37">
        <v>0.0631032195159007</v>
      </c>
      <c r="P723" s="22">
        <v>0.708546945212852</v>
      </c>
      <c r="Q723" s="21" t="s">
        <v>1428</v>
      </c>
      <c r="R723" s="1141">
        <v>0.2</v>
      </c>
      <c r="S723" s="22">
        <f t="shared" si="16"/>
        <v>0.971650164728753</v>
      </c>
      <c r="T723" s="38"/>
      <c r="U723" s="20"/>
      <c r="V723" s="120" t="s">
        <v>1406</v>
      </c>
    </row>
    <row r="724" s="42" customFormat="1" spans="1:22">
      <c r="A724" s="1138"/>
      <c r="B724" s="23"/>
      <c r="C724" s="23"/>
      <c r="D724" s="21"/>
      <c r="E724" s="23" t="s">
        <v>6728</v>
      </c>
      <c r="F724" s="23" t="s">
        <v>5872</v>
      </c>
      <c r="G724" s="20"/>
      <c r="H724" s="37"/>
      <c r="I724" s="37"/>
      <c r="J724" s="21"/>
      <c r="K724" s="21"/>
      <c r="L724" s="21"/>
      <c r="M724" s="21"/>
      <c r="N724" s="21"/>
      <c r="O724" s="37">
        <v>0.558766317241379</v>
      </c>
      <c r="P724" s="22">
        <v>2.5853</v>
      </c>
      <c r="Q724" s="21" t="s">
        <v>1428</v>
      </c>
      <c r="R724" s="22">
        <v>0.26</v>
      </c>
      <c r="S724" s="22">
        <f t="shared" si="16"/>
        <v>3.40406631724138</v>
      </c>
      <c r="T724" s="38"/>
      <c r="U724" s="20"/>
      <c r="V724" s="120" t="s">
        <v>1406</v>
      </c>
    </row>
    <row r="725" s="42" customFormat="1" spans="1:22">
      <c r="A725" s="1138"/>
      <c r="B725" s="23"/>
      <c r="C725" s="23"/>
      <c r="D725" s="21"/>
      <c r="E725" s="23" t="s">
        <v>6720</v>
      </c>
      <c r="F725" s="20" t="s">
        <v>5871</v>
      </c>
      <c r="G725" s="20"/>
      <c r="H725" s="21"/>
      <c r="I725" s="21"/>
      <c r="J725" s="21"/>
      <c r="K725" s="21"/>
      <c r="L725" s="21"/>
      <c r="M725" s="21"/>
      <c r="N725" s="21"/>
      <c r="O725" s="37">
        <v>0.501647489655172</v>
      </c>
      <c r="P725" s="22">
        <v>0.8885</v>
      </c>
      <c r="Q725" s="21" t="s">
        <v>1428</v>
      </c>
      <c r="R725" s="22">
        <v>0.2</v>
      </c>
      <c r="S725" s="22">
        <f t="shared" si="16"/>
        <v>1.59014748965517</v>
      </c>
      <c r="T725" s="23"/>
      <c r="U725" s="20"/>
      <c r="V725" s="120" t="s">
        <v>1406</v>
      </c>
    </row>
    <row r="726" s="42" customFormat="1" spans="1:22">
      <c r="A726" s="1138"/>
      <c r="B726" s="23"/>
      <c r="C726" s="23"/>
      <c r="D726" s="21"/>
      <c r="E726" s="23" t="s">
        <v>6729</v>
      </c>
      <c r="F726" s="20" t="s">
        <v>5882</v>
      </c>
      <c r="G726" s="20"/>
      <c r="H726" s="21"/>
      <c r="I726" s="21"/>
      <c r="J726" s="21"/>
      <c r="K726" s="21"/>
      <c r="L726" s="21"/>
      <c r="M726" s="21"/>
      <c r="N726" s="21"/>
      <c r="O726" s="37">
        <v>0.332731034482759</v>
      </c>
      <c r="P726" s="22">
        <v>0.7</v>
      </c>
      <c r="Q726" s="21" t="s">
        <v>1428</v>
      </c>
      <c r="R726" s="22">
        <v>0.16</v>
      </c>
      <c r="S726" s="22">
        <f t="shared" si="16"/>
        <v>1.19273103448276</v>
      </c>
      <c r="T726" s="23"/>
      <c r="U726" s="20"/>
      <c r="V726" s="120" t="s">
        <v>1406</v>
      </c>
    </row>
    <row r="727" s="42" customFormat="1" spans="1:22">
      <c r="A727" s="1138"/>
      <c r="B727" s="23"/>
      <c r="C727" s="23"/>
      <c r="D727" s="21"/>
      <c r="E727" s="23" t="s">
        <v>6730</v>
      </c>
      <c r="F727" s="20" t="s">
        <v>5863</v>
      </c>
      <c r="G727" s="20"/>
      <c r="H727" s="21"/>
      <c r="I727" s="21"/>
      <c r="J727" s="21"/>
      <c r="K727" s="21"/>
      <c r="L727" s="21"/>
      <c r="M727" s="21"/>
      <c r="N727" s="21"/>
      <c r="O727" s="37">
        <v>0.3988336</v>
      </c>
      <c r="P727" s="22">
        <v>2.555</v>
      </c>
      <c r="Q727" s="21" t="s">
        <v>1428</v>
      </c>
      <c r="R727" s="22">
        <v>0.37</v>
      </c>
      <c r="S727" s="22">
        <f t="shared" si="16"/>
        <v>3.3238336</v>
      </c>
      <c r="T727" s="23"/>
      <c r="U727" s="20"/>
      <c r="V727" s="120" t="s">
        <v>1406</v>
      </c>
    </row>
    <row r="728" s="42" customFormat="1" ht="15" spans="1:22">
      <c r="A728" s="1138"/>
      <c r="B728" s="23"/>
      <c r="C728" s="23"/>
      <c r="D728" s="21"/>
      <c r="E728" s="23" t="s">
        <v>6315</v>
      </c>
      <c r="F728" s="20" t="s">
        <v>6731</v>
      </c>
      <c r="G728" s="20"/>
      <c r="H728" s="37"/>
      <c r="I728" s="37"/>
      <c r="J728" s="37"/>
      <c r="K728" s="21"/>
      <c r="L728" s="21"/>
      <c r="M728" s="21"/>
      <c r="N728" s="21"/>
      <c r="O728" s="37">
        <v>0.341714772413793</v>
      </c>
      <c r="P728" s="22">
        <v>0.6764</v>
      </c>
      <c r="Q728" s="21" t="s">
        <v>1428</v>
      </c>
      <c r="R728" s="22">
        <v>0.16</v>
      </c>
      <c r="S728" s="22">
        <f t="shared" si="16"/>
        <v>1.17811477241379</v>
      </c>
      <c r="T728" s="1139"/>
      <c r="U728" s="20"/>
      <c r="V728" s="120" t="s">
        <v>1406</v>
      </c>
    </row>
    <row r="729" s="42" customFormat="1" ht="15" spans="1:22">
      <c r="A729" s="1138"/>
      <c r="B729" s="23"/>
      <c r="C729" s="23"/>
      <c r="D729" s="21"/>
      <c r="E729" s="23" t="s">
        <v>6732</v>
      </c>
      <c r="F729" s="20" t="s">
        <v>6733</v>
      </c>
      <c r="G729" s="20"/>
      <c r="H729" s="37"/>
      <c r="I729" s="37"/>
      <c r="J729" s="37"/>
      <c r="K729" s="21"/>
      <c r="L729" s="21"/>
      <c r="M729" s="21"/>
      <c r="N729" s="21"/>
      <c r="O729" s="37">
        <v>0.3988336</v>
      </c>
      <c r="P729" s="22">
        <v>0.7673</v>
      </c>
      <c r="Q729" s="21" t="s">
        <v>1428</v>
      </c>
      <c r="R729" s="22">
        <v>0.38</v>
      </c>
      <c r="S729" s="22">
        <f t="shared" si="16"/>
        <v>1.5461336</v>
      </c>
      <c r="T729" s="1139"/>
      <c r="U729" s="20"/>
      <c r="V729" s="120" t="s">
        <v>1406</v>
      </c>
    </row>
    <row r="730" s="187" customFormat="1" ht="15" spans="1:22">
      <c r="A730" s="1138"/>
      <c r="B730" s="23" t="s">
        <v>6734</v>
      </c>
      <c r="C730" s="23"/>
      <c r="D730" s="21"/>
      <c r="E730" s="23"/>
      <c r="F730" s="23" t="s">
        <v>1629</v>
      </c>
      <c r="G730" s="20" t="s">
        <v>3540</v>
      </c>
      <c r="H730" s="21" t="s">
        <v>6149</v>
      </c>
      <c r="I730" s="21" t="s">
        <v>4569</v>
      </c>
      <c r="J730" s="21" t="s">
        <v>3696</v>
      </c>
      <c r="K730" s="21" t="s">
        <v>1428</v>
      </c>
      <c r="L730" s="21" t="s">
        <v>1428</v>
      </c>
      <c r="M730" s="700">
        <v>3</v>
      </c>
      <c r="N730" s="21">
        <v>3.3</v>
      </c>
      <c r="O730" s="37">
        <v>1.8220840123495</v>
      </c>
      <c r="P730" s="22">
        <v>9.52709359605911</v>
      </c>
      <c r="Q730" s="21" t="s">
        <v>1428</v>
      </c>
      <c r="R730" s="37">
        <v>2.43631917904122</v>
      </c>
      <c r="S730" s="22">
        <f t="shared" si="16"/>
        <v>20.0854967874498</v>
      </c>
      <c r="T730" s="38" t="s">
        <v>5814</v>
      </c>
      <c r="U730" s="23" t="s">
        <v>6735</v>
      </c>
      <c r="V730" s="120" t="s">
        <v>1406</v>
      </c>
    </row>
    <row r="731" s="187" customFormat="1" ht="15" spans="1:22">
      <c r="A731" s="1138"/>
      <c r="B731" s="23"/>
      <c r="C731" s="23"/>
      <c r="D731" s="21"/>
      <c r="E731" s="23"/>
      <c r="F731" s="23" t="s">
        <v>1604</v>
      </c>
      <c r="G731" s="23" t="s">
        <v>1933</v>
      </c>
      <c r="H731" s="21" t="s">
        <v>6192</v>
      </c>
      <c r="I731" s="21" t="s">
        <v>4677</v>
      </c>
      <c r="J731" s="21" t="s">
        <v>3696</v>
      </c>
      <c r="K731" s="21" t="s">
        <v>1428</v>
      </c>
      <c r="L731" s="21" t="s">
        <v>1428</v>
      </c>
      <c r="M731" s="138" t="s">
        <v>4671</v>
      </c>
      <c r="N731" s="21">
        <v>3.3</v>
      </c>
      <c r="O731" s="37">
        <v>1.8220840123495</v>
      </c>
      <c r="P731" s="22">
        <v>13.2</v>
      </c>
      <c r="Q731" s="21" t="s">
        <v>1428</v>
      </c>
      <c r="R731" s="37">
        <v>2.43631917904122</v>
      </c>
      <c r="S731" s="22">
        <f t="shared" si="16"/>
        <v>20.7584031913907</v>
      </c>
      <c r="T731" s="38" t="s">
        <v>5814</v>
      </c>
      <c r="U731" s="23"/>
      <c r="V731" s="120" t="s">
        <v>1406</v>
      </c>
    </row>
    <row r="732" s="187" customFormat="1" ht="15" spans="1:22">
      <c r="A732" s="1138"/>
      <c r="B732" s="23"/>
      <c r="C732" s="23"/>
      <c r="D732" s="21"/>
      <c r="E732" s="23"/>
      <c r="F732" s="23" t="s">
        <v>1571</v>
      </c>
      <c r="G732" s="23" t="s">
        <v>3540</v>
      </c>
      <c r="H732" s="21" t="s">
        <v>6159</v>
      </c>
      <c r="I732" s="21" t="s">
        <v>6736</v>
      </c>
      <c r="J732" s="21" t="s">
        <v>2955</v>
      </c>
      <c r="K732" s="21" t="s">
        <v>1428</v>
      </c>
      <c r="L732" s="21">
        <f>3*2</f>
        <v>6</v>
      </c>
      <c r="M732" s="21" t="s">
        <v>1428</v>
      </c>
      <c r="N732" s="21" t="s">
        <v>1428</v>
      </c>
      <c r="O732" s="37">
        <v>1.8220840123495</v>
      </c>
      <c r="P732" s="22">
        <v>8.79490949685078</v>
      </c>
      <c r="Q732" s="21" t="s">
        <v>1428</v>
      </c>
      <c r="R732" s="37">
        <v>2.43631917904122</v>
      </c>
      <c r="S732" s="22">
        <f t="shared" si="16"/>
        <v>19.0533126882415</v>
      </c>
      <c r="T732" s="38" t="s">
        <v>4683</v>
      </c>
      <c r="U732" s="23" t="s">
        <v>6737</v>
      </c>
      <c r="V732" s="120" t="s">
        <v>1406</v>
      </c>
    </row>
    <row r="733" s="187" customFormat="1" ht="15" spans="1:22">
      <c r="A733" s="1138"/>
      <c r="B733" s="23"/>
      <c r="C733" s="23"/>
      <c r="D733" s="21"/>
      <c r="E733" s="23"/>
      <c r="F733" s="23" t="s">
        <v>1581</v>
      </c>
      <c r="G733" s="23" t="s">
        <v>1933</v>
      </c>
      <c r="H733" s="21" t="s">
        <v>6159</v>
      </c>
      <c r="I733" s="21" t="s">
        <v>4677</v>
      </c>
      <c r="J733" s="21" t="s">
        <v>2955</v>
      </c>
      <c r="K733" s="21" t="s">
        <v>1428</v>
      </c>
      <c r="L733" s="21" t="s">
        <v>1428</v>
      </c>
      <c r="M733" s="138" t="s">
        <v>4671</v>
      </c>
      <c r="N733" s="21" t="s">
        <v>1428</v>
      </c>
      <c r="O733" s="37">
        <v>1.8220840123495</v>
      </c>
      <c r="P733" s="22">
        <v>10.9845290114358</v>
      </c>
      <c r="Q733" s="21" t="s">
        <v>1428</v>
      </c>
      <c r="R733" s="37">
        <v>2.43631917904122</v>
      </c>
      <c r="S733" s="22">
        <f t="shared" si="16"/>
        <v>15.2429322028265</v>
      </c>
      <c r="T733" s="166" t="s">
        <v>5814</v>
      </c>
      <c r="U733" s="23" t="s">
        <v>6738</v>
      </c>
      <c r="V733" s="120" t="s">
        <v>1406</v>
      </c>
    </row>
    <row r="734" s="187" customFormat="1" ht="15" spans="1:22">
      <c r="A734" s="1138"/>
      <c r="B734" s="23"/>
      <c r="C734" s="23"/>
      <c r="D734" s="21"/>
      <c r="E734" s="23"/>
      <c r="F734" s="23" t="s">
        <v>2427</v>
      </c>
      <c r="G734" s="23" t="s">
        <v>1933</v>
      </c>
      <c r="H734" s="21" t="s">
        <v>6159</v>
      </c>
      <c r="I734" s="21" t="s">
        <v>5865</v>
      </c>
      <c r="J734" s="21" t="s">
        <v>2955</v>
      </c>
      <c r="K734" s="21" t="s">
        <v>1428</v>
      </c>
      <c r="L734" s="21" t="s">
        <v>1428</v>
      </c>
      <c r="M734" s="21" t="s">
        <v>1428</v>
      </c>
      <c r="N734" s="21" t="s">
        <v>1428</v>
      </c>
      <c r="O734" s="37">
        <v>1.8220840123495</v>
      </c>
      <c r="P734" s="22">
        <v>10.9869915500526</v>
      </c>
      <c r="Q734" s="21" t="s">
        <v>1428</v>
      </c>
      <c r="R734" s="37">
        <v>2.43631917904122</v>
      </c>
      <c r="S734" s="22">
        <f t="shared" si="16"/>
        <v>15.2453947414433</v>
      </c>
      <c r="T734" s="38" t="s">
        <v>5866</v>
      </c>
      <c r="U734" s="23" t="s">
        <v>6739</v>
      </c>
      <c r="V734" s="120" t="s">
        <v>1406</v>
      </c>
    </row>
    <row r="735" s="187" customFormat="1" ht="15" spans="1:22">
      <c r="A735" s="1138"/>
      <c r="B735" s="23"/>
      <c r="C735" s="23"/>
      <c r="D735" s="21"/>
      <c r="E735" s="23"/>
      <c r="F735" s="23" t="s">
        <v>2449</v>
      </c>
      <c r="G735" s="23" t="s">
        <v>1933</v>
      </c>
      <c r="H735" s="21" t="s">
        <v>6159</v>
      </c>
      <c r="I735" s="21" t="s">
        <v>3711</v>
      </c>
      <c r="J735" s="21" t="s">
        <v>2955</v>
      </c>
      <c r="K735" s="21" t="s">
        <v>1428</v>
      </c>
      <c r="L735" s="21" t="s">
        <v>1428</v>
      </c>
      <c r="M735" s="1142">
        <v>8.5</v>
      </c>
      <c r="N735" s="21" t="s">
        <v>1428</v>
      </c>
      <c r="O735" s="37">
        <v>1.8220840123495</v>
      </c>
      <c r="P735" s="22">
        <v>10.9831769838047</v>
      </c>
      <c r="Q735" s="21" t="s">
        <v>1428</v>
      </c>
      <c r="R735" s="37">
        <v>2.43631917904122</v>
      </c>
      <c r="S735" s="22">
        <f t="shared" si="16"/>
        <v>23.7415801751954</v>
      </c>
      <c r="T735" s="166" t="s">
        <v>6740</v>
      </c>
      <c r="U735" s="23" t="s">
        <v>6738</v>
      </c>
      <c r="V735" s="120" t="s">
        <v>1406</v>
      </c>
    </row>
    <row r="736" s="187" customFormat="1" ht="15" spans="1:22">
      <c r="A736" s="1138"/>
      <c r="B736" s="23"/>
      <c r="C736" s="23"/>
      <c r="D736" s="21"/>
      <c r="E736" s="23"/>
      <c r="F736" s="23" t="s">
        <v>2431</v>
      </c>
      <c r="G736" s="23" t="s">
        <v>1933</v>
      </c>
      <c r="H736" s="21" t="s">
        <v>6159</v>
      </c>
      <c r="I736" s="21" t="s">
        <v>5865</v>
      </c>
      <c r="J736" s="21" t="s">
        <v>2955</v>
      </c>
      <c r="K736" s="21" t="s">
        <v>1428</v>
      </c>
      <c r="L736" s="21" t="s">
        <v>1428</v>
      </c>
      <c r="M736" s="21" t="s">
        <v>1428</v>
      </c>
      <c r="N736" s="21" t="s">
        <v>1428</v>
      </c>
      <c r="O736" s="37">
        <v>1.8220840123495</v>
      </c>
      <c r="P736" s="22">
        <v>10.8734313086149</v>
      </c>
      <c r="Q736" s="21" t="s">
        <v>1428</v>
      </c>
      <c r="R736" s="37">
        <v>2.43631917904122</v>
      </c>
      <c r="S736" s="22">
        <f t="shared" si="16"/>
        <v>15.1318345000056</v>
      </c>
      <c r="T736" s="38" t="s">
        <v>5866</v>
      </c>
      <c r="U736" s="23" t="s">
        <v>6739</v>
      </c>
      <c r="V736" s="120" t="s">
        <v>1406</v>
      </c>
    </row>
    <row r="737" s="187" customFormat="1" ht="15" spans="1:22">
      <c r="A737" s="1138"/>
      <c r="B737" s="23"/>
      <c r="C737" s="23"/>
      <c r="D737" s="21"/>
      <c r="E737" s="23"/>
      <c r="F737" s="23" t="s">
        <v>2311</v>
      </c>
      <c r="G737" s="23" t="s">
        <v>3540</v>
      </c>
      <c r="H737" s="21" t="s">
        <v>6159</v>
      </c>
      <c r="I737" s="21" t="s">
        <v>5865</v>
      </c>
      <c r="J737" s="21" t="s">
        <v>1720</v>
      </c>
      <c r="K737" s="21" t="s">
        <v>1428</v>
      </c>
      <c r="L737" s="21" t="s">
        <v>1428</v>
      </c>
      <c r="M737" s="21" t="s">
        <v>1428</v>
      </c>
      <c r="N737" s="762">
        <v>2.3</v>
      </c>
      <c r="O737" s="37">
        <v>1.8220840123495</v>
      </c>
      <c r="P737" s="22">
        <v>8.9730920771722</v>
      </c>
      <c r="Q737" s="21" t="s">
        <v>1428</v>
      </c>
      <c r="R737" s="37">
        <v>2.43631917904122</v>
      </c>
      <c r="S737" s="22">
        <f t="shared" si="16"/>
        <v>15.5314952685629</v>
      </c>
      <c r="T737" s="38" t="s">
        <v>5866</v>
      </c>
      <c r="U737" s="23" t="s">
        <v>6741</v>
      </c>
      <c r="V737" s="120" t="s">
        <v>1406</v>
      </c>
    </row>
    <row r="738" s="187" customFormat="1" ht="15" spans="1:22">
      <c r="A738" s="1138"/>
      <c r="B738" s="23"/>
      <c r="C738" s="23">
        <v>20240115</v>
      </c>
      <c r="D738" s="21">
        <v>7.24</v>
      </c>
      <c r="E738" s="23" t="s">
        <v>6742</v>
      </c>
      <c r="F738" s="23" t="s">
        <v>2314</v>
      </c>
      <c r="G738" s="23" t="s">
        <v>1933</v>
      </c>
      <c r="H738" s="21" t="s">
        <v>6159</v>
      </c>
      <c r="I738" s="21" t="s">
        <v>3711</v>
      </c>
      <c r="J738" s="21" t="s">
        <v>1720</v>
      </c>
      <c r="K738" s="21" t="s">
        <v>1428</v>
      </c>
      <c r="L738" s="21" t="s">
        <v>1428</v>
      </c>
      <c r="M738" s="138" t="s">
        <v>4671</v>
      </c>
      <c r="N738" s="762">
        <v>2.3</v>
      </c>
      <c r="O738" s="37">
        <v>1.8220840123495</v>
      </c>
      <c r="P738" s="22">
        <v>11.0667921835085</v>
      </c>
      <c r="Q738" s="21" t="s">
        <v>1428</v>
      </c>
      <c r="R738" s="37">
        <v>2.43631917904122</v>
      </c>
      <c r="S738" s="22">
        <f t="shared" si="16"/>
        <v>17.6251953748992</v>
      </c>
      <c r="T738" s="38" t="s">
        <v>5814</v>
      </c>
      <c r="U738" s="23" t="s">
        <v>6743</v>
      </c>
      <c r="V738" s="120" t="s">
        <v>1406</v>
      </c>
    </row>
    <row r="739" s="187" customFormat="1" ht="15" spans="1:22">
      <c r="A739" s="1138"/>
      <c r="B739" s="23"/>
      <c r="C739" s="23">
        <v>20240115</v>
      </c>
      <c r="D739" s="21">
        <v>7.24</v>
      </c>
      <c r="E739" s="23" t="s">
        <v>6744</v>
      </c>
      <c r="F739" s="23" t="s">
        <v>2459</v>
      </c>
      <c r="G739" s="23" t="s">
        <v>3540</v>
      </c>
      <c r="H739" s="21" t="s">
        <v>6159</v>
      </c>
      <c r="I739" s="21" t="s">
        <v>3711</v>
      </c>
      <c r="J739" s="21" t="s">
        <v>1720</v>
      </c>
      <c r="K739" s="21" t="s">
        <v>1428</v>
      </c>
      <c r="L739" s="21" t="s">
        <v>1428</v>
      </c>
      <c r="M739" s="138" t="s">
        <v>4671</v>
      </c>
      <c r="N739" s="762">
        <v>2.3</v>
      </c>
      <c r="O739" s="37">
        <v>1.8220840123495</v>
      </c>
      <c r="P739" s="22">
        <v>9.19642639190322</v>
      </c>
      <c r="Q739" s="21" t="s">
        <v>1428</v>
      </c>
      <c r="R739" s="37">
        <v>2.43631917904122</v>
      </c>
      <c r="S739" s="22">
        <f t="shared" si="16"/>
        <v>15.7548295832939</v>
      </c>
      <c r="T739" s="166" t="s">
        <v>5814</v>
      </c>
      <c r="U739" s="23" t="s">
        <v>6745</v>
      </c>
      <c r="V739" s="120" t="s">
        <v>1406</v>
      </c>
    </row>
    <row r="740" s="187" customFormat="1" ht="15" spans="1:22">
      <c r="A740" s="1138"/>
      <c r="B740" s="23"/>
      <c r="C740" s="23">
        <v>20241115</v>
      </c>
      <c r="D740" s="21">
        <v>7.24</v>
      </c>
      <c r="E740" s="23" t="s">
        <v>6746</v>
      </c>
      <c r="F740" s="23" t="s">
        <v>6747</v>
      </c>
      <c r="G740" s="23" t="s">
        <v>3588</v>
      </c>
      <c r="H740" s="21" t="s">
        <v>6159</v>
      </c>
      <c r="I740" s="21" t="s">
        <v>3711</v>
      </c>
      <c r="J740" s="21" t="s">
        <v>1720</v>
      </c>
      <c r="K740" s="21" t="s">
        <v>1428</v>
      </c>
      <c r="L740" s="22" t="s">
        <v>1428</v>
      </c>
      <c r="M740" s="21" t="s">
        <v>1428</v>
      </c>
      <c r="N740" s="762">
        <v>2.3</v>
      </c>
      <c r="O740" s="37">
        <v>1.8220840123495</v>
      </c>
      <c r="P740" s="22">
        <v>8.22751792181004</v>
      </c>
      <c r="Q740" s="21"/>
      <c r="R740" s="37">
        <v>2.43631917904122</v>
      </c>
      <c r="S740" s="22">
        <f t="shared" si="16"/>
        <v>14.7859211132008</v>
      </c>
      <c r="T740" s="38" t="s">
        <v>6748</v>
      </c>
      <c r="U740" s="750" t="s">
        <v>6749</v>
      </c>
      <c r="V740" s="120"/>
    </row>
    <row r="741" s="187" customFormat="1" ht="15" spans="1:22">
      <c r="A741" s="1138"/>
      <c r="B741" s="23"/>
      <c r="C741" s="23">
        <v>20241115</v>
      </c>
      <c r="D741" s="21">
        <v>7.24</v>
      </c>
      <c r="E741" s="23" t="s">
        <v>6750</v>
      </c>
      <c r="F741" s="23" t="s">
        <v>6751</v>
      </c>
      <c r="G741" s="23" t="s">
        <v>3586</v>
      </c>
      <c r="H741" s="21" t="s">
        <v>6159</v>
      </c>
      <c r="I741" s="21" t="s">
        <v>3711</v>
      </c>
      <c r="J741" s="21" t="s">
        <v>1720</v>
      </c>
      <c r="K741" s="21" t="s">
        <v>1428</v>
      </c>
      <c r="L741" s="22" t="s">
        <v>1428</v>
      </c>
      <c r="M741" s="138" t="s">
        <v>4671</v>
      </c>
      <c r="N741" s="762">
        <v>2.3</v>
      </c>
      <c r="O741" s="37">
        <v>1.8220840123495</v>
      </c>
      <c r="P741" s="22">
        <v>9.08447100033244</v>
      </c>
      <c r="Q741" s="21"/>
      <c r="R741" s="37">
        <v>2.43631917904122</v>
      </c>
      <c r="S741" s="22">
        <f t="shared" si="16"/>
        <v>15.6428741917232</v>
      </c>
      <c r="T741" s="166" t="s">
        <v>6752</v>
      </c>
      <c r="U741" s="750" t="s">
        <v>6753</v>
      </c>
      <c r="V741" s="120"/>
    </row>
    <row r="742" s="187" customFormat="1" spans="1:22">
      <c r="A742" s="1138"/>
      <c r="B742" s="23"/>
      <c r="C742" s="23">
        <v>20241106</v>
      </c>
      <c r="D742" s="21">
        <v>7.24</v>
      </c>
      <c r="E742" s="23" t="s">
        <v>6754</v>
      </c>
      <c r="F742" s="23" t="s">
        <v>1591</v>
      </c>
      <c r="G742" s="23" t="s">
        <v>3540</v>
      </c>
      <c r="H742" s="21" t="s">
        <v>6159</v>
      </c>
      <c r="I742" s="21" t="s">
        <v>3711</v>
      </c>
      <c r="J742" s="21" t="s">
        <v>2955</v>
      </c>
      <c r="K742" s="21" t="s">
        <v>1428</v>
      </c>
      <c r="L742" s="21"/>
      <c r="M742" s="138" t="s">
        <v>4671</v>
      </c>
      <c r="N742" s="21" t="s">
        <v>1428</v>
      </c>
      <c r="O742" s="37">
        <v>1.8220840123495</v>
      </c>
      <c r="P742" s="22">
        <v>7.95948080209164</v>
      </c>
      <c r="Q742" s="21"/>
      <c r="R742" s="37">
        <v>2.43631917904122</v>
      </c>
      <c r="S742" s="22">
        <f t="shared" si="16"/>
        <v>12.2178839934824</v>
      </c>
      <c r="T742" s="895" t="s">
        <v>6755</v>
      </c>
      <c r="U742" s="23" t="s">
        <v>6756</v>
      </c>
      <c r="V742" s="120"/>
    </row>
    <row r="743" s="187" customFormat="1" spans="1:22">
      <c r="A743" s="1138"/>
      <c r="B743" s="23"/>
      <c r="C743" s="23">
        <v>20241113</v>
      </c>
      <c r="D743" s="21">
        <v>7.24</v>
      </c>
      <c r="E743" s="23" t="s">
        <v>6757</v>
      </c>
      <c r="F743" s="23" t="s">
        <v>1593</v>
      </c>
      <c r="G743" s="23" t="s">
        <v>3540</v>
      </c>
      <c r="H743" s="21" t="s">
        <v>6159</v>
      </c>
      <c r="I743" s="21" t="s">
        <v>3711</v>
      </c>
      <c r="J743" s="21" t="s">
        <v>1633</v>
      </c>
      <c r="K743" s="21" t="s">
        <v>1428</v>
      </c>
      <c r="L743" s="22" t="s">
        <v>1428</v>
      </c>
      <c r="M743" s="700">
        <v>6.5</v>
      </c>
      <c r="N743" s="21">
        <v>1.72</v>
      </c>
      <c r="O743" s="37">
        <v>1.8220840123495</v>
      </c>
      <c r="P743" s="22">
        <v>7.87148888176583</v>
      </c>
      <c r="Q743" s="21"/>
      <c r="R743" s="37">
        <v>2.43631917904122</v>
      </c>
      <c r="S743" s="22">
        <f t="shared" si="16"/>
        <v>20.3498920731565</v>
      </c>
      <c r="T743" s="895" t="s">
        <v>6758</v>
      </c>
      <c r="U743" s="750" t="s">
        <v>6759</v>
      </c>
      <c r="V743" s="120"/>
    </row>
    <row r="744" s="187" customFormat="1" spans="1:22">
      <c r="A744" s="1138"/>
      <c r="B744" s="23"/>
      <c r="C744" s="23"/>
      <c r="D744" s="21"/>
      <c r="E744" s="23" t="s">
        <v>6760</v>
      </c>
      <c r="F744" s="23" t="s">
        <v>4317</v>
      </c>
      <c r="G744" s="20"/>
      <c r="H744" s="21"/>
      <c r="I744" s="21"/>
      <c r="J744" s="21"/>
      <c r="K744" s="21"/>
      <c r="L744" s="21"/>
      <c r="M744" s="21"/>
      <c r="N744" s="21"/>
      <c r="O744" s="37">
        <v>0.31886724137931</v>
      </c>
      <c r="P744" s="22">
        <v>1.1309</v>
      </c>
      <c r="Q744" s="21" t="s">
        <v>1428</v>
      </c>
      <c r="R744" s="22">
        <v>0.5</v>
      </c>
      <c r="S744" s="22">
        <f t="shared" si="16"/>
        <v>1.94976724137931</v>
      </c>
      <c r="T744" s="38"/>
      <c r="U744" s="23"/>
      <c r="V744" s="120" t="s">
        <v>1406</v>
      </c>
    </row>
    <row r="745" s="187" customFormat="1" spans="1:22">
      <c r="A745" s="1138"/>
      <c r="B745" s="23"/>
      <c r="C745" s="23"/>
      <c r="D745" s="21"/>
      <c r="E745" s="23" t="s">
        <v>6761</v>
      </c>
      <c r="F745" s="23" t="s">
        <v>5899</v>
      </c>
      <c r="G745" s="23"/>
      <c r="H745" s="21"/>
      <c r="I745" s="21"/>
      <c r="J745" s="21"/>
      <c r="K745" s="21"/>
      <c r="L745" s="21"/>
      <c r="M745" s="21"/>
      <c r="N745" s="21"/>
      <c r="O745" s="37">
        <v>0.288366896551724</v>
      </c>
      <c r="P745" s="22">
        <v>1.11</v>
      </c>
      <c r="Q745" s="21" t="s">
        <v>1428</v>
      </c>
      <c r="R745" s="22">
        <v>0.2</v>
      </c>
      <c r="S745" s="22">
        <f t="shared" si="16"/>
        <v>1.59836689655172</v>
      </c>
      <c r="T745" s="38"/>
      <c r="U745" s="23"/>
      <c r="V745" s="120" t="s">
        <v>1406</v>
      </c>
    </row>
    <row r="746" s="187" customFormat="1" spans="1:22">
      <c r="A746" s="1138"/>
      <c r="B746" s="23"/>
      <c r="C746" s="23"/>
      <c r="D746" s="21"/>
      <c r="E746" s="23" t="s">
        <v>6762</v>
      </c>
      <c r="F746" s="23" t="s">
        <v>5900</v>
      </c>
      <c r="G746" s="23"/>
      <c r="H746" s="21"/>
      <c r="I746" s="21"/>
      <c r="J746" s="21"/>
      <c r="K746" s="21"/>
      <c r="L746" s="21"/>
      <c r="M746" s="21"/>
      <c r="N746" s="21"/>
      <c r="O746" s="37">
        <v>0.284595944827586</v>
      </c>
      <c r="P746" s="22">
        <v>1.2016</v>
      </c>
      <c r="Q746" s="21" t="s">
        <v>1428</v>
      </c>
      <c r="R746" s="22">
        <v>0.2</v>
      </c>
      <c r="S746" s="22">
        <f t="shared" si="16"/>
        <v>1.68619594482759</v>
      </c>
      <c r="T746" s="38"/>
      <c r="U746" s="23"/>
      <c r="V746" s="120" t="s">
        <v>1406</v>
      </c>
    </row>
    <row r="747" s="839" customFormat="1" ht="15" spans="1:22">
      <c r="A747" s="1138"/>
      <c r="B747" s="23" t="s">
        <v>6763</v>
      </c>
      <c r="C747" s="23"/>
      <c r="D747" s="21"/>
      <c r="E747" s="23"/>
      <c r="F747" s="39" t="s">
        <v>1629</v>
      </c>
      <c r="G747" s="729" t="s">
        <v>1933</v>
      </c>
      <c r="H747" s="21" t="s">
        <v>6149</v>
      </c>
      <c r="I747" s="21" t="s">
        <v>3463</v>
      </c>
      <c r="J747" s="21" t="s">
        <v>3696</v>
      </c>
      <c r="K747" s="21" t="s">
        <v>1428</v>
      </c>
      <c r="L747" s="21">
        <f>3*2</f>
        <v>6</v>
      </c>
      <c r="M747" s="138" t="s">
        <v>4671</v>
      </c>
      <c r="N747" s="21">
        <v>3.3</v>
      </c>
      <c r="O747" s="37">
        <v>2.05910659374193</v>
      </c>
      <c r="P747" s="22">
        <v>12.86</v>
      </c>
      <c r="Q747" s="690" t="s">
        <v>1428</v>
      </c>
      <c r="R747" s="37">
        <v>2.43631917904122</v>
      </c>
      <c r="S747" s="22">
        <f t="shared" si="16"/>
        <v>26.6554257727832</v>
      </c>
      <c r="T747" s="39" t="s">
        <v>4707</v>
      </c>
      <c r="U747" s="23" t="s">
        <v>6764</v>
      </c>
      <c r="V747" s="120" t="s">
        <v>1406</v>
      </c>
    </row>
    <row r="748" s="839" customFormat="1" ht="15" spans="1:22">
      <c r="A748" s="1138"/>
      <c r="B748" s="23"/>
      <c r="C748" s="23"/>
      <c r="D748" s="21"/>
      <c r="E748" s="23"/>
      <c r="F748" s="39" t="s">
        <v>1558</v>
      </c>
      <c r="G748" s="729" t="s">
        <v>1933</v>
      </c>
      <c r="H748" s="21" t="s">
        <v>6159</v>
      </c>
      <c r="I748" s="21" t="s">
        <v>5962</v>
      </c>
      <c r="J748" s="21" t="s">
        <v>3696</v>
      </c>
      <c r="K748" s="21" t="s">
        <v>1428</v>
      </c>
      <c r="L748" s="21">
        <f>3.9*2</f>
        <v>7.8</v>
      </c>
      <c r="M748" s="21" t="s">
        <v>1428</v>
      </c>
      <c r="N748" s="21">
        <v>3.3</v>
      </c>
      <c r="O748" s="37">
        <v>2.05910659374193</v>
      </c>
      <c r="P748" s="22">
        <v>10.6577691987298</v>
      </c>
      <c r="Q748" s="690" t="s">
        <v>1428</v>
      </c>
      <c r="R748" s="37">
        <v>2.43631917904122</v>
      </c>
      <c r="S748" s="22">
        <f t="shared" si="16"/>
        <v>26.253194971513</v>
      </c>
      <c r="T748" s="688" t="s">
        <v>4296</v>
      </c>
      <c r="U748" s="23" t="s">
        <v>6765</v>
      </c>
      <c r="V748" s="120" t="s">
        <v>1406</v>
      </c>
    </row>
    <row r="749" s="839" customFormat="1" ht="15" spans="1:22">
      <c r="A749" s="1138"/>
      <c r="B749" s="23"/>
      <c r="C749" s="23">
        <v>20240115</v>
      </c>
      <c r="D749" s="21">
        <v>7.24</v>
      </c>
      <c r="E749" s="23" t="s">
        <v>6766</v>
      </c>
      <c r="F749" s="23" t="s">
        <v>2314</v>
      </c>
      <c r="G749" s="729" t="s">
        <v>3932</v>
      </c>
      <c r="H749" s="21" t="s">
        <v>6159</v>
      </c>
      <c r="I749" s="21" t="s">
        <v>3436</v>
      </c>
      <c r="J749" s="21" t="s">
        <v>1720</v>
      </c>
      <c r="K749" s="21" t="s">
        <v>1428</v>
      </c>
      <c r="L749" s="21">
        <f t="shared" ref="L749:L752" si="17">7*2</f>
        <v>14</v>
      </c>
      <c r="M749" s="21" t="s">
        <v>1428</v>
      </c>
      <c r="N749" s="762">
        <v>2.3</v>
      </c>
      <c r="O749" s="37">
        <v>2.05910659374193</v>
      </c>
      <c r="P749" s="22">
        <v>8.56678936330182</v>
      </c>
      <c r="Q749" s="690" t="s">
        <v>1428</v>
      </c>
      <c r="R749" s="37">
        <v>2.43631917904122</v>
      </c>
      <c r="S749" s="22">
        <f t="shared" si="16"/>
        <v>29.362215136085</v>
      </c>
      <c r="T749" s="688" t="s">
        <v>3895</v>
      </c>
      <c r="U749" s="23" t="s">
        <v>6767</v>
      </c>
      <c r="V749" s="120" t="s">
        <v>1406</v>
      </c>
    </row>
    <row r="750" s="839" customFormat="1" ht="15" spans="1:22">
      <c r="A750" s="1138"/>
      <c r="B750" s="23"/>
      <c r="C750" s="23">
        <v>20240115</v>
      </c>
      <c r="D750" s="21">
        <v>7.24</v>
      </c>
      <c r="E750" s="23" t="s">
        <v>6768</v>
      </c>
      <c r="F750" s="23" t="s">
        <v>1723</v>
      </c>
      <c r="G750" s="729" t="s">
        <v>1933</v>
      </c>
      <c r="H750" s="21" t="s">
        <v>6159</v>
      </c>
      <c r="I750" s="21" t="s">
        <v>3436</v>
      </c>
      <c r="J750" s="21" t="s">
        <v>1720</v>
      </c>
      <c r="K750" s="21" t="s">
        <v>1428</v>
      </c>
      <c r="L750" s="21">
        <f t="shared" si="17"/>
        <v>14</v>
      </c>
      <c r="M750" s="21" t="s">
        <v>1428</v>
      </c>
      <c r="N750" s="762">
        <v>2.3</v>
      </c>
      <c r="O750" s="37">
        <v>2.05910659374193</v>
      </c>
      <c r="P750" s="22">
        <v>10.103536504104</v>
      </c>
      <c r="Q750" s="690" t="s">
        <v>1428</v>
      </c>
      <c r="R750" s="37">
        <v>2.43631917904122</v>
      </c>
      <c r="S750" s="22">
        <f t="shared" si="16"/>
        <v>30.8989622768872</v>
      </c>
      <c r="T750" s="688" t="s">
        <v>3895</v>
      </c>
      <c r="U750" s="23" t="s">
        <v>6765</v>
      </c>
      <c r="V750" s="120" t="s">
        <v>1406</v>
      </c>
    </row>
    <row r="751" s="839" customFormat="1" spans="1:22">
      <c r="A751" s="1138"/>
      <c r="B751" s="23"/>
      <c r="C751" s="23">
        <v>20250214</v>
      </c>
      <c r="D751" s="21">
        <v>7.24</v>
      </c>
      <c r="E751" s="23" t="s">
        <v>6769</v>
      </c>
      <c r="F751" s="23" t="s">
        <v>1591</v>
      </c>
      <c r="G751" s="729" t="s">
        <v>5111</v>
      </c>
      <c r="H751" s="21" t="s">
        <v>6159</v>
      </c>
      <c r="I751" s="21" t="s">
        <v>5962</v>
      </c>
      <c r="J751" s="21" t="s">
        <v>1720</v>
      </c>
      <c r="K751" s="21" t="s">
        <v>1428</v>
      </c>
      <c r="L751" s="21" t="s">
        <v>1428</v>
      </c>
      <c r="M751" s="21"/>
      <c r="N751" s="762">
        <v>2.3</v>
      </c>
      <c r="O751" s="37">
        <v>2.04500312392178</v>
      </c>
      <c r="P751" s="22">
        <v>9.09095552150044</v>
      </c>
      <c r="Q751" s="690"/>
      <c r="R751" s="37">
        <v>2.43631917904122</v>
      </c>
      <c r="S751" s="22">
        <f t="shared" si="16"/>
        <v>15.8722778244634</v>
      </c>
      <c r="T751" s="688" t="s">
        <v>6770</v>
      </c>
      <c r="U751" s="23" t="s">
        <v>6771</v>
      </c>
      <c r="V751" s="120"/>
    </row>
    <row r="752" s="839" customFormat="1" ht="15" spans="1:22">
      <c r="A752" s="1138"/>
      <c r="B752" s="23"/>
      <c r="C752" s="23">
        <v>20241203</v>
      </c>
      <c r="D752" s="21">
        <v>7.24</v>
      </c>
      <c r="E752" s="23" t="s">
        <v>6772</v>
      </c>
      <c r="F752" s="23" t="s">
        <v>1593</v>
      </c>
      <c r="G752" s="729" t="s">
        <v>5111</v>
      </c>
      <c r="H752" s="21" t="s">
        <v>6159</v>
      </c>
      <c r="I752" s="21" t="s">
        <v>3436</v>
      </c>
      <c r="J752" s="21" t="s">
        <v>1720</v>
      </c>
      <c r="K752" s="21" t="s">
        <v>1428</v>
      </c>
      <c r="L752" s="21">
        <f t="shared" si="17"/>
        <v>14</v>
      </c>
      <c r="M752" s="21" t="s">
        <v>1428</v>
      </c>
      <c r="N752" s="762">
        <v>2.3</v>
      </c>
      <c r="O752" s="37">
        <v>2.05910659374193</v>
      </c>
      <c r="P752" s="22">
        <v>9.12450214693189</v>
      </c>
      <c r="Q752" s="690" t="s">
        <v>1428</v>
      </c>
      <c r="R752" s="37">
        <v>2.43631917904122</v>
      </c>
      <c r="S752" s="22">
        <f t="shared" si="16"/>
        <v>29.919927919715</v>
      </c>
      <c r="T752" s="688" t="s">
        <v>3895</v>
      </c>
      <c r="U752" s="23" t="s">
        <v>6773</v>
      </c>
      <c r="V752" s="120"/>
    </row>
    <row r="753" s="839" customFormat="1" spans="1:22">
      <c r="A753" s="1138"/>
      <c r="B753" s="23"/>
      <c r="C753" s="23"/>
      <c r="D753" s="21"/>
      <c r="E753" s="23" t="s">
        <v>805</v>
      </c>
      <c r="F753" s="20" t="s">
        <v>806</v>
      </c>
      <c r="G753" s="23"/>
      <c r="H753" s="21"/>
      <c r="I753" s="21"/>
      <c r="J753" s="690"/>
      <c r="K753" s="21"/>
      <c r="L753" s="21"/>
      <c r="M753" s="21"/>
      <c r="N753" s="21"/>
      <c r="O753" s="37">
        <v>0.28306798690981</v>
      </c>
      <c r="P753" s="22">
        <v>0.894516872969179</v>
      </c>
      <c r="Q753" s="21" t="s">
        <v>1428</v>
      </c>
      <c r="R753" s="22">
        <v>0.2</v>
      </c>
      <c r="S753" s="22">
        <f t="shared" si="16"/>
        <v>1.37758485987899</v>
      </c>
      <c r="T753" s="688"/>
      <c r="U753" s="23"/>
      <c r="V753" s="120" t="s">
        <v>1406</v>
      </c>
    </row>
    <row r="754" s="839" customFormat="1" spans="1:22">
      <c r="A754" s="1138"/>
      <c r="B754" s="23"/>
      <c r="C754" s="23"/>
      <c r="D754" s="21"/>
      <c r="E754" s="23" t="s">
        <v>933</v>
      </c>
      <c r="F754" s="39" t="s">
        <v>6774</v>
      </c>
      <c r="G754" s="729"/>
      <c r="H754" s="21"/>
      <c r="I754" s="21"/>
      <c r="J754" s="21"/>
      <c r="K754" s="21"/>
      <c r="L754" s="690"/>
      <c r="M754" s="690"/>
      <c r="N754" s="21"/>
      <c r="O754" s="37">
        <v>0.252068965517241</v>
      </c>
      <c r="P754" s="22">
        <v>0.85</v>
      </c>
      <c r="Q754" s="21" t="s">
        <v>1428</v>
      </c>
      <c r="R754" s="22">
        <v>0.4</v>
      </c>
      <c r="S754" s="22">
        <f t="shared" si="16"/>
        <v>1.50206896551724</v>
      </c>
      <c r="T754" s="688"/>
      <c r="U754" s="39"/>
      <c r="V754" s="120" t="s">
        <v>1406</v>
      </c>
    </row>
    <row r="755" s="839" customFormat="1" spans="1:22">
      <c r="A755" s="1138"/>
      <c r="B755" s="23"/>
      <c r="C755" s="23"/>
      <c r="D755" s="21"/>
      <c r="E755" s="23" t="s">
        <v>6775</v>
      </c>
      <c r="F755" s="39" t="s">
        <v>6776</v>
      </c>
      <c r="G755" s="39"/>
      <c r="H755" s="21"/>
      <c r="I755" s="21"/>
      <c r="J755" s="21"/>
      <c r="K755" s="690"/>
      <c r="L755" s="690"/>
      <c r="M755" s="690"/>
      <c r="N755" s="690"/>
      <c r="O755" s="37">
        <v>0.312565517241379</v>
      </c>
      <c r="P755" s="22">
        <v>0.78</v>
      </c>
      <c r="Q755" s="21" t="s">
        <v>1428</v>
      </c>
      <c r="R755" s="22">
        <v>0.4</v>
      </c>
      <c r="S755" s="22">
        <f t="shared" si="16"/>
        <v>1.49256551724138</v>
      </c>
      <c r="T755" s="688"/>
      <c r="U755" s="39"/>
      <c r="V755" s="120" t="s">
        <v>1406</v>
      </c>
    </row>
    <row r="756" s="42" customFormat="1" ht="15" spans="1:22">
      <c r="A756" s="1138"/>
      <c r="B756" s="1143" t="s">
        <v>6777</v>
      </c>
      <c r="C756" s="19"/>
      <c r="D756" s="21"/>
      <c r="E756" s="19"/>
      <c r="F756" s="20" t="s">
        <v>1671</v>
      </c>
      <c r="G756" s="23" t="s">
        <v>1933</v>
      </c>
      <c r="H756" s="757" t="s">
        <v>6159</v>
      </c>
      <c r="I756" s="21" t="s">
        <v>3463</v>
      </c>
      <c r="J756" s="21" t="s">
        <v>3926</v>
      </c>
      <c r="K756" s="21" t="s">
        <v>1428</v>
      </c>
      <c r="L756" s="21">
        <f>3.8*2</f>
        <v>7.6</v>
      </c>
      <c r="M756" s="138" t="s">
        <v>4671</v>
      </c>
      <c r="N756" s="21">
        <v>3.5</v>
      </c>
      <c r="O756" s="37">
        <v>1.82399681692426</v>
      </c>
      <c r="P756" s="22">
        <v>14.5736144907543</v>
      </c>
      <c r="Q756" s="21" t="s">
        <v>1428</v>
      </c>
      <c r="R756" s="37">
        <v>2.78567815565844</v>
      </c>
      <c r="S756" s="22">
        <f t="shared" si="16"/>
        <v>30.283289463337</v>
      </c>
      <c r="T756" s="38" t="s">
        <v>5889</v>
      </c>
      <c r="U756" s="1144" t="s">
        <v>6778</v>
      </c>
      <c r="V756" s="120"/>
    </row>
    <row r="757" s="42" customFormat="1" ht="15" spans="1:22">
      <c r="A757" s="1138"/>
      <c r="B757" s="19"/>
      <c r="C757" s="19"/>
      <c r="D757" s="21"/>
      <c r="E757" s="19"/>
      <c r="F757" s="20" t="s">
        <v>1998</v>
      </c>
      <c r="G757" s="23" t="s">
        <v>1933</v>
      </c>
      <c r="H757" s="757" t="s">
        <v>6159</v>
      </c>
      <c r="I757" s="21" t="s">
        <v>3898</v>
      </c>
      <c r="J757" s="21" t="s">
        <v>3696</v>
      </c>
      <c r="K757" s="21" t="s">
        <v>1428</v>
      </c>
      <c r="L757" s="21" t="s">
        <v>1428</v>
      </c>
      <c r="M757" s="138" t="s">
        <v>4671</v>
      </c>
      <c r="N757" s="21">
        <v>3.3</v>
      </c>
      <c r="O757" s="37">
        <v>1.82399681692426</v>
      </c>
      <c r="P757" s="22">
        <v>14.5493516259043</v>
      </c>
      <c r="Q757" s="21" t="s">
        <v>1428</v>
      </c>
      <c r="R757" s="37">
        <v>2.78567815565844</v>
      </c>
      <c r="S757" s="22">
        <f t="shared" si="16"/>
        <v>22.459026598487</v>
      </c>
      <c r="T757" s="38" t="s">
        <v>5814</v>
      </c>
      <c r="U757" s="1144" t="s">
        <v>6778</v>
      </c>
      <c r="V757" s="120"/>
    </row>
    <row r="758" s="42" customFormat="1" ht="15" spans="1:22">
      <c r="A758" s="1138"/>
      <c r="B758" s="1145"/>
      <c r="C758" s="19"/>
      <c r="D758" s="21"/>
      <c r="E758" s="19"/>
      <c r="F758" s="20" t="s">
        <v>1581</v>
      </c>
      <c r="G758" s="23" t="s">
        <v>1933</v>
      </c>
      <c r="H758" s="757" t="s">
        <v>3785</v>
      </c>
      <c r="I758" s="21" t="s">
        <v>4691</v>
      </c>
      <c r="J758" s="21" t="s">
        <v>3696</v>
      </c>
      <c r="K758" s="21" t="s">
        <v>1428</v>
      </c>
      <c r="L758" s="21" t="s">
        <v>1428</v>
      </c>
      <c r="M758" s="138" t="s">
        <v>4671</v>
      </c>
      <c r="N758" s="21">
        <v>3.3</v>
      </c>
      <c r="O758" s="37">
        <v>1.82399681692426</v>
      </c>
      <c r="P758" s="22">
        <v>16.1773399014778</v>
      </c>
      <c r="Q758" s="21" t="s">
        <v>1428</v>
      </c>
      <c r="R758" s="37">
        <v>2.78567815565844</v>
      </c>
      <c r="S758" s="22">
        <f t="shared" si="16"/>
        <v>24.0870148740605</v>
      </c>
      <c r="T758" s="38" t="s">
        <v>5814</v>
      </c>
      <c r="U758" s="1144" t="s">
        <v>5715</v>
      </c>
      <c r="V758" s="120"/>
    </row>
    <row r="759" s="42" customFormat="1" ht="15" spans="1:22">
      <c r="A759" s="1138"/>
      <c r="B759" s="1145"/>
      <c r="C759" s="19">
        <v>20240520</v>
      </c>
      <c r="D759" s="21">
        <v>7.24</v>
      </c>
      <c r="E759" s="19" t="s">
        <v>6779</v>
      </c>
      <c r="F759" s="20" t="s">
        <v>2546</v>
      </c>
      <c r="G759" s="23" t="s">
        <v>1933</v>
      </c>
      <c r="H759" s="757" t="s">
        <v>6780</v>
      </c>
      <c r="I759" s="21" t="s">
        <v>3436</v>
      </c>
      <c r="J759" s="21" t="s">
        <v>3696</v>
      </c>
      <c r="K759" s="21" t="s">
        <v>1428</v>
      </c>
      <c r="L759" s="21">
        <f>4.2*2</f>
        <v>8.4</v>
      </c>
      <c r="M759" s="21" t="s">
        <v>1428</v>
      </c>
      <c r="N759" s="21">
        <v>3.3</v>
      </c>
      <c r="O759" s="37">
        <v>1.82651614954431</v>
      </c>
      <c r="P759" s="22">
        <v>12.1907105240364</v>
      </c>
      <c r="Q759" s="21" t="s">
        <v>1428</v>
      </c>
      <c r="R759" s="37">
        <v>2.78567815565844</v>
      </c>
      <c r="S759" s="22">
        <f t="shared" si="16"/>
        <v>28.5029048292391</v>
      </c>
      <c r="T759" s="38" t="s">
        <v>5866</v>
      </c>
      <c r="U759" s="705" t="s">
        <v>6781</v>
      </c>
      <c r="V759" s="120" t="s">
        <v>4115</v>
      </c>
    </row>
    <row r="760" s="42" customFormat="1" ht="14" customHeight="1" spans="1:22">
      <c r="A760" s="1138"/>
      <c r="B760" s="1145"/>
      <c r="C760" s="19">
        <v>20250227</v>
      </c>
      <c r="D760" s="21">
        <v>7.24</v>
      </c>
      <c r="E760" s="19" t="s">
        <v>6782</v>
      </c>
      <c r="F760" s="20" t="s">
        <v>2306</v>
      </c>
      <c r="G760" s="23" t="s">
        <v>1933</v>
      </c>
      <c r="H760" s="757" t="s">
        <v>6783</v>
      </c>
      <c r="I760" s="21" t="s">
        <v>6784</v>
      </c>
      <c r="J760" s="21" t="s">
        <v>6785</v>
      </c>
      <c r="K760" s="21"/>
      <c r="L760" s="699" t="s">
        <v>6517</v>
      </c>
      <c r="M760" s="21"/>
      <c r="N760" s="21">
        <v>3.5</v>
      </c>
      <c r="O760" s="37">
        <v>1.82148095924574</v>
      </c>
      <c r="P760" s="22">
        <v>11.5274677493997</v>
      </c>
      <c r="Q760" s="21"/>
      <c r="R760" s="37">
        <v>2.78567815565844</v>
      </c>
      <c r="S760" s="22">
        <f t="shared" si="16"/>
        <v>19.6346268643039</v>
      </c>
      <c r="T760" s="895" t="s">
        <v>6786</v>
      </c>
      <c r="U760" s="1144" t="s">
        <v>6787</v>
      </c>
      <c r="V760" s="120"/>
    </row>
    <row r="761" s="42" customFormat="1" spans="1:22">
      <c r="A761" s="1138"/>
      <c r="B761" s="1145"/>
      <c r="C761" s="19"/>
      <c r="D761" s="21"/>
      <c r="E761" s="19" t="s">
        <v>6788</v>
      </c>
      <c r="F761" s="20" t="s">
        <v>6789</v>
      </c>
      <c r="G761" s="23"/>
      <c r="H761" s="757"/>
      <c r="I761" s="21"/>
      <c r="J761" s="21"/>
      <c r="K761" s="21"/>
      <c r="L761" s="21"/>
      <c r="M761" s="21"/>
      <c r="N761" s="21"/>
      <c r="O761" s="37">
        <v>0.131075862068966</v>
      </c>
      <c r="P761" s="22">
        <v>0.305725008669741</v>
      </c>
      <c r="Q761" s="21" t="s">
        <v>1428</v>
      </c>
      <c r="R761" s="22">
        <v>0.2</v>
      </c>
      <c r="S761" s="22">
        <f t="shared" si="16"/>
        <v>0.636800870738707</v>
      </c>
      <c r="T761" s="38"/>
      <c r="U761" s="705"/>
      <c r="V761" s="120"/>
    </row>
    <row r="762" s="42" customFormat="1" ht="15" spans="1:22">
      <c r="A762" s="1138"/>
      <c r="B762" s="1145"/>
      <c r="C762" s="19"/>
      <c r="D762" s="21"/>
      <c r="E762" s="19" t="s">
        <v>6790</v>
      </c>
      <c r="F762" s="20" t="s">
        <v>6791</v>
      </c>
      <c r="G762" s="23"/>
      <c r="H762" s="757"/>
      <c r="I762" s="21"/>
      <c r="J762" s="21"/>
      <c r="K762" s="21"/>
      <c r="L762" s="21"/>
      <c r="M762" s="21"/>
      <c r="N762" s="21"/>
      <c r="O762" s="37">
        <v>0.198675046713096</v>
      </c>
      <c r="P762" s="22">
        <v>0.423645320197044</v>
      </c>
      <c r="Q762" s="21" t="s">
        <v>1428</v>
      </c>
      <c r="R762" s="22">
        <v>0.4</v>
      </c>
      <c r="S762" s="22">
        <f t="shared" si="16"/>
        <v>1.02232036691014</v>
      </c>
      <c r="T762" s="38"/>
      <c r="U762" s="705"/>
      <c r="V762" s="120"/>
    </row>
    <row r="763" s="42" customFormat="1" spans="1:22">
      <c r="A763" s="1138"/>
      <c r="B763" s="1145"/>
      <c r="C763" s="19"/>
      <c r="D763" s="21"/>
      <c r="E763" s="19" t="s">
        <v>6792</v>
      </c>
      <c r="F763" s="20" t="s">
        <v>6793</v>
      </c>
      <c r="G763" s="23"/>
      <c r="H763" s="757"/>
      <c r="I763" s="21"/>
      <c r="J763" s="21"/>
      <c r="K763" s="21"/>
      <c r="L763" s="21"/>
      <c r="M763" s="21"/>
      <c r="N763" s="21"/>
      <c r="O763" s="37">
        <v>1.32084137931034</v>
      </c>
      <c r="P763" s="22">
        <v>26.26</v>
      </c>
      <c r="Q763" s="21" t="s">
        <v>1428</v>
      </c>
      <c r="R763" s="22">
        <v>0.4</v>
      </c>
      <c r="S763" s="22">
        <f t="shared" si="16"/>
        <v>27.9808413793103</v>
      </c>
      <c r="T763" s="38"/>
      <c r="U763" s="705"/>
      <c r="V763" s="120"/>
    </row>
    <row r="764" s="42" customFormat="1" spans="1:22">
      <c r="A764" s="1138"/>
      <c r="B764" s="1145"/>
      <c r="C764" s="19"/>
      <c r="D764" s="21"/>
      <c r="E764" s="19" t="s">
        <v>6794</v>
      </c>
      <c r="F764" s="20" t="s">
        <v>6795</v>
      </c>
      <c r="G764" s="23"/>
      <c r="H764" s="757"/>
      <c r="I764" s="21"/>
      <c r="J764" s="21"/>
      <c r="K764" s="21"/>
      <c r="L764" s="21"/>
      <c r="M764" s="21"/>
      <c r="N764" s="21"/>
      <c r="O764" s="37">
        <v>1.16455862068966</v>
      </c>
      <c r="P764" s="22">
        <v>26.76</v>
      </c>
      <c r="Q764" s="21" t="s">
        <v>1428</v>
      </c>
      <c r="R764" s="22">
        <v>0.4</v>
      </c>
      <c r="S764" s="22">
        <f t="shared" si="16"/>
        <v>28.3245586206897</v>
      </c>
      <c r="T764" s="38"/>
      <c r="U764" s="705"/>
      <c r="V764" s="120"/>
    </row>
    <row r="765" s="42" customFormat="1" spans="1:22">
      <c r="A765" s="1138"/>
      <c r="B765" s="1145"/>
      <c r="C765" s="19"/>
      <c r="D765" s="21"/>
      <c r="E765" s="19" t="s">
        <v>6796</v>
      </c>
      <c r="F765" s="20" t="s">
        <v>6797</v>
      </c>
      <c r="G765" s="23"/>
      <c r="H765" s="757"/>
      <c r="I765" s="21"/>
      <c r="J765" s="21"/>
      <c r="K765" s="21"/>
      <c r="L765" s="21"/>
      <c r="M765" s="21"/>
      <c r="N765" s="21"/>
      <c r="O765" s="37">
        <v>0.0794700186852387</v>
      </c>
      <c r="P765" s="22">
        <v>0.669950738916256</v>
      </c>
      <c r="Q765" s="21" t="s">
        <v>1428</v>
      </c>
      <c r="R765" s="22">
        <v>0.4</v>
      </c>
      <c r="S765" s="22">
        <f t="shared" si="16"/>
        <v>1.14942075760149</v>
      </c>
      <c r="T765" s="38"/>
      <c r="U765" s="705"/>
      <c r="V765" s="120"/>
    </row>
    <row r="766" s="42" customFormat="1" spans="1:22">
      <c r="A766" s="1138"/>
      <c r="B766" s="1145"/>
      <c r="C766" s="19"/>
      <c r="D766" s="21"/>
      <c r="E766" s="19" t="s">
        <v>6237</v>
      </c>
      <c r="F766" s="20" t="s">
        <v>5919</v>
      </c>
      <c r="G766" s="23"/>
      <c r="H766" s="757"/>
      <c r="I766" s="21"/>
      <c r="J766" s="21"/>
      <c r="K766" s="21"/>
      <c r="L766" s="21"/>
      <c r="M766" s="21"/>
      <c r="N766" s="21"/>
      <c r="O766" s="37">
        <v>0.488005517241379</v>
      </c>
      <c r="P766" s="22">
        <v>0.61</v>
      </c>
      <c r="Q766" s="21" t="s">
        <v>1428</v>
      </c>
      <c r="R766" s="22">
        <v>0.2</v>
      </c>
      <c r="S766" s="22">
        <f t="shared" si="16"/>
        <v>1.29800551724138</v>
      </c>
      <c r="T766" s="38"/>
      <c r="U766" s="705"/>
      <c r="V766" s="120"/>
    </row>
    <row r="767" s="42" customFormat="1" spans="1:22">
      <c r="A767" s="1138"/>
      <c r="B767" s="1136"/>
      <c r="C767" s="19"/>
      <c r="D767" s="21"/>
      <c r="E767" s="19" t="s">
        <v>6236</v>
      </c>
      <c r="F767" s="20" t="s">
        <v>5918</v>
      </c>
      <c r="G767" s="23"/>
      <c r="H767" s="757"/>
      <c r="I767" s="21"/>
      <c r="J767" s="21"/>
      <c r="K767" s="21"/>
      <c r="L767" s="21"/>
      <c r="M767" s="21"/>
      <c r="N767" s="21"/>
      <c r="O767" s="37">
        <v>0.488005517241379</v>
      </c>
      <c r="P767" s="22">
        <v>0.57</v>
      </c>
      <c r="Q767" s="21" t="s">
        <v>1428</v>
      </c>
      <c r="R767" s="22">
        <v>0.4</v>
      </c>
      <c r="S767" s="22">
        <f t="shared" si="16"/>
        <v>1.45800551724138</v>
      </c>
      <c r="T767" s="38"/>
      <c r="U767" s="705"/>
      <c r="V767" s="120"/>
    </row>
    <row r="768" s="42" customFormat="1" ht="15" spans="1:22">
      <c r="A768" s="1138"/>
      <c r="B768" s="23" t="s">
        <v>6798</v>
      </c>
      <c r="C768" s="23"/>
      <c r="D768" s="21"/>
      <c r="E768" s="23" t="s">
        <v>6799</v>
      </c>
      <c r="F768" s="20" t="s">
        <v>2427</v>
      </c>
      <c r="G768" s="20" t="s">
        <v>1933</v>
      </c>
      <c r="H768" s="21" t="s">
        <v>6159</v>
      </c>
      <c r="I768" s="21" t="s">
        <v>3670</v>
      </c>
      <c r="J768" s="21" t="s">
        <v>3926</v>
      </c>
      <c r="K768" s="21" t="s">
        <v>1428</v>
      </c>
      <c r="L768" s="21" t="s">
        <v>1428</v>
      </c>
      <c r="M768" s="21">
        <v>5</v>
      </c>
      <c r="N768" s="690">
        <v>3.5</v>
      </c>
      <c r="O768" s="37">
        <v>3.22212050317024</v>
      </c>
      <c r="P768" s="22">
        <v>11.8887651116062</v>
      </c>
      <c r="Q768" s="21" t="s">
        <v>1428</v>
      </c>
      <c r="R768" s="37">
        <v>2.71637806675407</v>
      </c>
      <c r="S768" s="22">
        <f t="shared" si="16"/>
        <v>26.3272636815305</v>
      </c>
      <c r="T768" s="23" t="s">
        <v>3558</v>
      </c>
      <c r="U768" s="759" t="s">
        <v>6800</v>
      </c>
      <c r="V768" s="120" t="s">
        <v>1406</v>
      </c>
    </row>
    <row r="769" s="42" customFormat="1" ht="15" spans="1:22">
      <c r="A769" s="1138"/>
      <c r="B769" s="23"/>
      <c r="C769" s="23"/>
      <c r="D769" s="21"/>
      <c r="E769" s="23" t="s">
        <v>6801</v>
      </c>
      <c r="F769" s="20" t="s">
        <v>2459</v>
      </c>
      <c r="G769" s="20" t="s">
        <v>1933</v>
      </c>
      <c r="H769" s="21" t="s">
        <v>6159</v>
      </c>
      <c r="I769" s="21" t="s">
        <v>3349</v>
      </c>
      <c r="J769" s="21" t="s">
        <v>3787</v>
      </c>
      <c r="K769" s="21" t="s">
        <v>1428</v>
      </c>
      <c r="L769" s="21" t="s">
        <v>1428</v>
      </c>
      <c r="M769" s="138" t="s">
        <v>4671</v>
      </c>
      <c r="N769" s="21">
        <v>3.5</v>
      </c>
      <c r="O769" s="37">
        <v>3.22212050317024</v>
      </c>
      <c r="P769" s="22">
        <v>11.1154392998579</v>
      </c>
      <c r="Q769" s="21" t="s">
        <v>1428</v>
      </c>
      <c r="R769" s="37">
        <v>2.71637806675407</v>
      </c>
      <c r="S769" s="22">
        <f t="shared" si="16"/>
        <v>20.5539378697822</v>
      </c>
      <c r="T769" s="23" t="s">
        <v>3800</v>
      </c>
      <c r="U769" s="139" t="s">
        <v>6802</v>
      </c>
      <c r="V769" s="120" t="s">
        <v>1406</v>
      </c>
    </row>
    <row r="770" s="42" customFormat="1" ht="15" spans="1:22">
      <c r="A770" s="1138"/>
      <c r="B770" s="23"/>
      <c r="C770" s="23"/>
      <c r="D770" s="21"/>
      <c r="E770" s="23" t="s">
        <v>6803</v>
      </c>
      <c r="F770" s="20" t="s">
        <v>1587</v>
      </c>
      <c r="G770" s="23" t="s">
        <v>1933</v>
      </c>
      <c r="H770" s="21" t="s">
        <v>6159</v>
      </c>
      <c r="I770" s="21" t="s">
        <v>3670</v>
      </c>
      <c r="J770" s="21" t="s">
        <v>3787</v>
      </c>
      <c r="K770" s="21" t="s">
        <v>1428</v>
      </c>
      <c r="L770" s="21" t="s">
        <v>1428</v>
      </c>
      <c r="M770" s="138" t="s">
        <v>4671</v>
      </c>
      <c r="N770" s="21">
        <v>3.5</v>
      </c>
      <c r="O770" s="37">
        <v>3.22212050317024</v>
      </c>
      <c r="P770" s="22">
        <v>12.4729064039409</v>
      </c>
      <c r="Q770" s="21" t="s">
        <v>1428</v>
      </c>
      <c r="R770" s="37">
        <v>2.71637806675407</v>
      </c>
      <c r="S770" s="22">
        <f t="shared" si="16"/>
        <v>21.9114049738652</v>
      </c>
      <c r="T770" s="23" t="s">
        <v>3800</v>
      </c>
      <c r="U770" s="139" t="s">
        <v>6778</v>
      </c>
      <c r="V770" s="120" t="s">
        <v>1406</v>
      </c>
    </row>
    <row r="771" s="42" customFormat="1" ht="15" spans="1:22">
      <c r="A771" s="1138"/>
      <c r="B771" s="23"/>
      <c r="C771" s="23">
        <v>20241119</v>
      </c>
      <c r="D771" s="21">
        <v>7.24</v>
      </c>
      <c r="E771" s="23" t="s">
        <v>6804</v>
      </c>
      <c r="F771" s="20" t="s">
        <v>1591</v>
      </c>
      <c r="G771" s="23" t="s">
        <v>1933</v>
      </c>
      <c r="H771" s="21" t="s">
        <v>6159</v>
      </c>
      <c r="I771" s="21" t="s">
        <v>3349</v>
      </c>
      <c r="J771" s="21" t="s">
        <v>2955</v>
      </c>
      <c r="K771" s="21" t="s">
        <v>1428</v>
      </c>
      <c r="L771" s="21" t="s">
        <v>1428</v>
      </c>
      <c r="M771" s="138" t="s">
        <v>4671</v>
      </c>
      <c r="N771" s="21" t="s">
        <v>1428</v>
      </c>
      <c r="O771" s="37">
        <v>3.22212050317024</v>
      </c>
      <c r="P771" s="22">
        <v>9.63995234786624</v>
      </c>
      <c r="Q771" s="21" t="s">
        <v>1428</v>
      </c>
      <c r="R771" s="37">
        <v>2.71637806675407</v>
      </c>
      <c r="S771" s="22">
        <f t="shared" si="16"/>
        <v>15.5784509177905</v>
      </c>
      <c r="T771" s="167" t="s">
        <v>6805</v>
      </c>
      <c r="U771" s="20" t="s">
        <v>6806</v>
      </c>
      <c r="V771" s="120" t="s">
        <v>1406</v>
      </c>
    </row>
    <row r="772" s="42" customFormat="1" ht="15" spans="1:22">
      <c r="A772" s="1138"/>
      <c r="B772" s="23"/>
      <c r="C772" s="23">
        <v>20240308</v>
      </c>
      <c r="D772" s="21">
        <v>7.24</v>
      </c>
      <c r="E772" s="23" t="s">
        <v>6807</v>
      </c>
      <c r="F772" s="20" t="s">
        <v>2081</v>
      </c>
      <c r="G772" s="23" t="s">
        <v>1933</v>
      </c>
      <c r="H772" s="21" t="s">
        <v>6159</v>
      </c>
      <c r="I772" s="21" t="s">
        <v>3349</v>
      </c>
      <c r="J772" s="21" t="s">
        <v>1720</v>
      </c>
      <c r="K772" s="21" t="s">
        <v>1428</v>
      </c>
      <c r="L772" s="21" t="s">
        <v>1428</v>
      </c>
      <c r="M772" s="138" t="s">
        <v>4671</v>
      </c>
      <c r="N772" s="762">
        <v>2.3</v>
      </c>
      <c r="O772" s="37">
        <v>3.22212050317024</v>
      </c>
      <c r="P772" s="22">
        <v>9.96298400810062</v>
      </c>
      <c r="Q772" s="21" t="s">
        <v>1428</v>
      </c>
      <c r="R772" s="37">
        <v>2.71637806675407</v>
      </c>
      <c r="S772" s="22">
        <f t="shared" si="16"/>
        <v>18.2014825780249</v>
      </c>
      <c r="T772" s="23" t="s">
        <v>3800</v>
      </c>
      <c r="U772" s="759" t="s">
        <v>6808</v>
      </c>
      <c r="V772" s="120" t="s">
        <v>1406</v>
      </c>
    </row>
    <row r="773" s="42" customFormat="1" ht="15" spans="1:22">
      <c r="A773" s="1138"/>
      <c r="B773" s="23"/>
      <c r="C773" s="23">
        <v>20250219</v>
      </c>
      <c r="D773" s="21">
        <v>7.24</v>
      </c>
      <c r="E773" s="23" t="s">
        <v>6809</v>
      </c>
      <c r="F773" s="20" t="s">
        <v>2110</v>
      </c>
      <c r="G773" s="23" t="s">
        <v>1933</v>
      </c>
      <c r="H773" s="21" t="s">
        <v>6159</v>
      </c>
      <c r="I773" s="21" t="s">
        <v>1913</v>
      </c>
      <c r="J773" s="21" t="s">
        <v>1720</v>
      </c>
      <c r="K773" s="21" t="s">
        <v>1428</v>
      </c>
      <c r="L773" s="21" t="s">
        <v>1428</v>
      </c>
      <c r="M773" s="21" t="s">
        <v>1428</v>
      </c>
      <c r="N773" s="762">
        <v>2.3</v>
      </c>
      <c r="O773" s="37">
        <v>3.20005118465538</v>
      </c>
      <c r="P773" s="22">
        <v>9.48963467369105</v>
      </c>
      <c r="Q773" s="21" t="s">
        <v>1428</v>
      </c>
      <c r="R773" s="37">
        <v>2.71637806675407</v>
      </c>
      <c r="S773" s="22">
        <f t="shared" si="16"/>
        <v>17.7060639251005</v>
      </c>
      <c r="T773" s="23" t="s">
        <v>2854</v>
      </c>
      <c r="U773" s="759" t="s">
        <v>6810</v>
      </c>
      <c r="V773" s="120" t="s">
        <v>1406</v>
      </c>
    </row>
    <row r="774" s="42" customFormat="1" ht="15" spans="1:22">
      <c r="A774" s="1138"/>
      <c r="B774" s="23"/>
      <c r="C774" s="23">
        <v>20240822</v>
      </c>
      <c r="D774" s="21">
        <v>7.24</v>
      </c>
      <c r="E774" s="23" t="s">
        <v>6811</v>
      </c>
      <c r="F774" s="20" t="s">
        <v>667</v>
      </c>
      <c r="G774" s="23" t="s">
        <v>3727</v>
      </c>
      <c r="H774" s="21" t="s">
        <v>6159</v>
      </c>
      <c r="I774" s="21" t="s">
        <v>1913</v>
      </c>
      <c r="J774" s="21" t="s">
        <v>1720</v>
      </c>
      <c r="K774" s="21" t="s">
        <v>1428</v>
      </c>
      <c r="L774" s="21" t="s">
        <v>1428</v>
      </c>
      <c r="M774" s="21" t="s">
        <v>1428</v>
      </c>
      <c r="N774" s="762">
        <v>2.3</v>
      </c>
      <c r="O774" s="37">
        <v>3.22212050317024</v>
      </c>
      <c r="P774" s="22">
        <v>9.98558702632569</v>
      </c>
      <c r="Q774" s="21" t="s">
        <v>1428</v>
      </c>
      <c r="R774" s="37">
        <v>2.71637806675407</v>
      </c>
      <c r="S774" s="22">
        <f t="shared" si="16"/>
        <v>18.22408559625</v>
      </c>
      <c r="T774" s="23" t="s">
        <v>2854</v>
      </c>
      <c r="U774" s="759" t="s">
        <v>6812</v>
      </c>
      <c r="V774" s="120"/>
    </row>
    <row r="775" s="42" customFormat="1" ht="15" spans="1:22">
      <c r="A775" s="1138"/>
      <c r="B775" s="23"/>
      <c r="C775" s="23">
        <v>20240822</v>
      </c>
      <c r="D775" s="21">
        <v>7.24</v>
      </c>
      <c r="E775" s="23" t="s">
        <v>6813</v>
      </c>
      <c r="F775" s="20" t="s">
        <v>2483</v>
      </c>
      <c r="G775" s="23" t="s">
        <v>3727</v>
      </c>
      <c r="H775" s="21" t="s">
        <v>6159</v>
      </c>
      <c r="I775" s="21" t="s">
        <v>1913</v>
      </c>
      <c r="J775" s="21" t="s">
        <v>1720</v>
      </c>
      <c r="K775" s="21" t="s">
        <v>1428</v>
      </c>
      <c r="L775" s="21" t="s">
        <v>1428</v>
      </c>
      <c r="M775" s="21" t="s">
        <v>1428</v>
      </c>
      <c r="N775" s="762">
        <v>2.3</v>
      </c>
      <c r="O775" s="37">
        <v>3.22212050317024</v>
      </c>
      <c r="P775" s="22">
        <v>9.97496479331122</v>
      </c>
      <c r="Q775" s="21" t="s">
        <v>1428</v>
      </c>
      <c r="R775" s="37">
        <v>2.71637806675407</v>
      </c>
      <c r="S775" s="22">
        <f t="shared" si="16"/>
        <v>18.2134633632355</v>
      </c>
      <c r="T775" s="23" t="s">
        <v>2854</v>
      </c>
      <c r="U775" s="759" t="s">
        <v>6812</v>
      </c>
      <c r="V775" s="120"/>
    </row>
    <row r="776" s="42" customFormat="1" ht="15" spans="1:22">
      <c r="A776" s="1138"/>
      <c r="B776" s="23"/>
      <c r="C776" s="1146">
        <v>20241202</v>
      </c>
      <c r="D776" s="21">
        <v>7.24</v>
      </c>
      <c r="E776" s="1146" t="s">
        <v>6814</v>
      </c>
      <c r="F776" s="20" t="s">
        <v>2486</v>
      </c>
      <c r="G776" s="23" t="s">
        <v>3727</v>
      </c>
      <c r="H776" s="21" t="s">
        <v>6159</v>
      </c>
      <c r="I776" s="21" t="s">
        <v>1913</v>
      </c>
      <c r="J776" s="21" t="s">
        <v>1720</v>
      </c>
      <c r="K776" s="21" t="s">
        <v>1428</v>
      </c>
      <c r="L776" s="21" t="s">
        <v>1428</v>
      </c>
      <c r="M776" s="21" t="s">
        <v>1428</v>
      </c>
      <c r="N776" s="762">
        <v>2.3</v>
      </c>
      <c r="O776" s="37">
        <v>3.22212050317024</v>
      </c>
      <c r="P776" s="22">
        <v>9.79549276703383</v>
      </c>
      <c r="Q776" s="21" t="s">
        <v>1428</v>
      </c>
      <c r="R776" s="37">
        <v>2.71637806675407</v>
      </c>
      <c r="S776" s="22">
        <f t="shared" si="16"/>
        <v>18.0339913369581</v>
      </c>
      <c r="T776" s="23" t="s">
        <v>2854</v>
      </c>
      <c r="U776" s="759" t="s">
        <v>6812</v>
      </c>
      <c r="V776" s="120"/>
    </row>
    <row r="777" s="42" customFormat="1" ht="15" spans="1:22">
      <c r="A777" s="1138"/>
      <c r="B777" s="23"/>
      <c r="C777" s="23">
        <v>20250307</v>
      </c>
      <c r="D777" s="21">
        <v>7.24</v>
      </c>
      <c r="E777" s="23" t="s">
        <v>6815</v>
      </c>
      <c r="F777" s="20" t="s">
        <v>2488</v>
      </c>
      <c r="G777" s="23" t="s">
        <v>6816</v>
      </c>
      <c r="H777" s="21" t="s">
        <v>6159</v>
      </c>
      <c r="I777" s="21" t="s">
        <v>3349</v>
      </c>
      <c r="J777" s="21" t="s">
        <v>1633</v>
      </c>
      <c r="K777" s="21" t="s">
        <v>1428</v>
      </c>
      <c r="L777" s="21"/>
      <c r="M777" s="21"/>
      <c r="N777" s="762">
        <v>1.7</v>
      </c>
      <c r="O777" s="37">
        <v>3.22212050317024</v>
      </c>
      <c r="P777" s="22">
        <v>9.34000389748635</v>
      </c>
      <c r="Q777" s="21"/>
      <c r="R777" s="37">
        <v>2.71637806675407</v>
      </c>
      <c r="S777" s="22">
        <f t="shared" si="16"/>
        <v>16.9785024674107</v>
      </c>
      <c r="T777" s="750" t="s">
        <v>6817</v>
      </c>
      <c r="U777" s="759" t="s">
        <v>6818</v>
      </c>
      <c r="V777" s="120"/>
    </row>
    <row r="778" s="42" customFormat="1" spans="1:22">
      <c r="A778" s="1138"/>
      <c r="B778" s="23"/>
      <c r="C778" s="23"/>
      <c r="D778" s="21"/>
      <c r="E778" s="23" t="s">
        <v>6819</v>
      </c>
      <c r="F778" s="20" t="s">
        <v>6820</v>
      </c>
      <c r="G778" s="23"/>
      <c r="H778" s="21"/>
      <c r="I778" s="21"/>
      <c r="J778" s="21"/>
      <c r="K778" s="21"/>
      <c r="L778" s="21"/>
      <c r="M778" s="21"/>
      <c r="N778" s="21"/>
      <c r="O778" s="37">
        <v>0.466212813677418</v>
      </c>
      <c r="P778" s="22">
        <v>0.867416913674043</v>
      </c>
      <c r="Q778" s="21" t="s">
        <v>1428</v>
      </c>
      <c r="R778" s="22">
        <v>0.2</v>
      </c>
      <c r="S778" s="22">
        <f t="shared" si="16"/>
        <v>1.53362972735146</v>
      </c>
      <c r="T778" s="23"/>
      <c r="U778" s="20"/>
      <c r="V778" s="120" t="s">
        <v>1406</v>
      </c>
    </row>
    <row r="779" s="42" customFormat="1" ht="15" spans="1:22">
      <c r="A779" s="1138"/>
      <c r="B779" s="23"/>
      <c r="C779" s="23"/>
      <c r="D779" s="21"/>
      <c r="E779" s="23" t="s">
        <v>6821</v>
      </c>
      <c r="F779" s="20" t="s">
        <v>589</v>
      </c>
      <c r="G779" s="23"/>
      <c r="H779" s="21"/>
      <c r="I779" s="21"/>
      <c r="J779" s="21"/>
      <c r="K779" s="21"/>
      <c r="L779" s="21"/>
      <c r="M779" s="21"/>
      <c r="N779" s="21"/>
      <c r="O779" s="37">
        <v>0.386862450945454</v>
      </c>
      <c r="P779" s="22">
        <v>2.50308576644594</v>
      </c>
      <c r="Q779" s="21" t="s">
        <v>1428</v>
      </c>
      <c r="R779" s="22">
        <v>0.2</v>
      </c>
      <c r="S779" s="22">
        <f t="shared" si="16"/>
        <v>3.08994821739139</v>
      </c>
      <c r="T779" s="23"/>
      <c r="U779" s="20" t="s">
        <v>2975</v>
      </c>
      <c r="V779" s="120" t="s">
        <v>1406</v>
      </c>
    </row>
    <row r="780" s="42" customFormat="1" spans="1:22">
      <c r="A780" s="1138"/>
      <c r="B780" s="23"/>
      <c r="C780" s="23"/>
      <c r="D780" s="21"/>
      <c r="E780" s="23" t="s">
        <v>23</v>
      </c>
      <c r="F780" s="20" t="s">
        <v>24</v>
      </c>
      <c r="G780" s="23"/>
      <c r="H780" s="21"/>
      <c r="I780" s="21"/>
      <c r="J780" s="21"/>
      <c r="K780" s="21"/>
      <c r="L780" s="21"/>
      <c r="M780" s="21"/>
      <c r="N780" s="21"/>
      <c r="O780" s="37">
        <v>0.705296415831494</v>
      </c>
      <c r="P780" s="22">
        <v>2.94581280788177</v>
      </c>
      <c r="Q780" s="22" t="s">
        <v>1428</v>
      </c>
      <c r="R780" s="22">
        <v>0.4</v>
      </c>
      <c r="S780" s="22">
        <f t="shared" si="16"/>
        <v>4.05110922371326</v>
      </c>
      <c r="T780" s="23"/>
      <c r="U780" s="20" t="s">
        <v>25</v>
      </c>
      <c r="V780" s="120" t="s">
        <v>1406</v>
      </c>
    </row>
    <row r="781" s="839" customFormat="1" spans="1:22">
      <c r="A781" s="1138"/>
      <c r="B781" s="23"/>
      <c r="C781" s="23"/>
      <c r="D781" s="21"/>
      <c r="E781" s="23" t="s">
        <v>6822</v>
      </c>
      <c r="F781" s="1147" t="s">
        <v>5967</v>
      </c>
      <c r="G781" s="39"/>
      <c r="H781" s="21"/>
      <c r="I781" s="21"/>
      <c r="J781" s="21"/>
      <c r="K781" s="690"/>
      <c r="L781" s="690"/>
      <c r="M781" s="39"/>
      <c r="N781" s="690"/>
      <c r="O781" s="37">
        <v>0.377095172413793</v>
      </c>
      <c r="P781" s="22">
        <v>0.89658</v>
      </c>
      <c r="Q781" s="690" t="s">
        <v>1428</v>
      </c>
      <c r="R781" s="22">
        <v>0.2</v>
      </c>
      <c r="S781" s="22">
        <f t="shared" si="16"/>
        <v>1.47367517241379</v>
      </c>
      <c r="T781" s="688"/>
      <c r="U781" s="39"/>
      <c r="V781" s="120" t="s">
        <v>1406</v>
      </c>
    </row>
    <row r="782" s="839" customFormat="1" ht="15" spans="1:22">
      <c r="A782" s="1138"/>
      <c r="B782" s="23" t="s">
        <v>6823</v>
      </c>
      <c r="C782" s="23"/>
      <c r="D782" s="21"/>
      <c r="E782" s="23" t="s">
        <v>6824</v>
      </c>
      <c r="F782" s="39" t="s">
        <v>1685</v>
      </c>
      <c r="G782" s="23" t="s">
        <v>1933</v>
      </c>
      <c r="H782" s="21" t="s">
        <v>3785</v>
      </c>
      <c r="I782" s="21" t="s">
        <v>4677</v>
      </c>
      <c r="J782" s="21" t="s">
        <v>5813</v>
      </c>
      <c r="K782" s="21" t="s">
        <v>1428</v>
      </c>
      <c r="L782" s="21">
        <v>8</v>
      </c>
      <c r="M782" s="138" t="s">
        <v>4671</v>
      </c>
      <c r="N782" s="21">
        <v>3.5</v>
      </c>
      <c r="O782" s="37">
        <v>2.54304059792764</v>
      </c>
      <c r="P782" s="22">
        <v>11.9408866995074</v>
      </c>
      <c r="Q782" s="690" t="s">
        <v>1428</v>
      </c>
      <c r="R782" s="37">
        <v>2.41222408015119</v>
      </c>
      <c r="S782" s="22">
        <f t="shared" ref="S782:S845" si="18">SUM(K782:R782)</f>
        <v>28.3961513775862</v>
      </c>
      <c r="T782" s="688" t="s">
        <v>6825</v>
      </c>
      <c r="U782" s="39" t="s">
        <v>6826</v>
      </c>
      <c r="V782" s="120" t="s">
        <v>1406</v>
      </c>
    </row>
    <row r="783" s="839" customFormat="1" spans="1:22">
      <c r="A783" s="1138"/>
      <c r="B783" s="23"/>
      <c r="C783" s="23"/>
      <c r="D783" s="21"/>
      <c r="E783" s="23" t="s">
        <v>6827</v>
      </c>
      <c r="F783" s="39" t="s">
        <v>6828</v>
      </c>
      <c r="G783" s="23"/>
      <c r="H783" s="21"/>
      <c r="I783" s="21"/>
      <c r="J783" s="21"/>
      <c r="K783" s="690"/>
      <c r="L783" s="690"/>
      <c r="M783" s="690"/>
      <c r="N783" s="690"/>
      <c r="O783" s="37">
        <v>0.625131034482759</v>
      </c>
      <c r="P783" s="22">
        <v>2.64</v>
      </c>
      <c r="Q783" s="690" t="s">
        <v>1428</v>
      </c>
      <c r="R783" s="22">
        <v>0.4</v>
      </c>
      <c r="S783" s="22">
        <f t="shared" si="18"/>
        <v>3.66513103448276</v>
      </c>
      <c r="T783" s="688"/>
      <c r="U783" s="20" t="s">
        <v>25</v>
      </c>
      <c r="V783" s="120" t="s">
        <v>1406</v>
      </c>
    </row>
    <row r="784" s="839" customFormat="1" ht="15" spans="1:22">
      <c r="A784" s="1138"/>
      <c r="B784" s="23" t="s">
        <v>6829</v>
      </c>
      <c r="C784" s="23"/>
      <c r="D784" s="21"/>
      <c r="E784" s="23" t="s">
        <v>6830</v>
      </c>
      <c r="F784" s="39" t="s">
        <v>1685</v>
      </c>
      <c r="G784" s="23" t="s">
        <v>3540</v>
      </c>
      <c r="H784" s="21" t="s">
        <v>3785</v>
      </c>
      <c r="I784" s="21" t="s">
        <v>3656</v>
      </c>
      <c r="J784" s="21" t="s">
        <v>1428</v>
      </c>
      <c r="K784" s="21" t="s">
        <v>1428</v>
      </c>
      <c r="L784" s="690" t="s">
        <v>1428</v>
      </c>
      <c r="M784" s="21" t="s">
        <v>1428</v>
      </c>
      <c r="N784" s="690" t="s">
        <v>1428</v>
      </c>
      <c r="O784" s="37">
        <v>3.17880074740955</v>
      </c>
      <c r="P784" s="22">
        <v>9.4384236453202</v>
      </c>
      <c r="Q784" s="21" t="s">
        <v>1428</v>
      </c>
      <c r="R784" s="22">
        <v>2.89600204301127</v>
      </c>
      <c r="S784" s="22">
        <f t="shared" si="18"/>
        <v>15.513226435741</v>
      </c>
      <c r="T784" s="688" t="s">
        <v>6831</v>
      </c>
      <c r="U784" s="39" t="s">
        <v>6832</v>
      </c>
      <c r="V784" s="120" t="s">
        <v>1406</v>
      </c>
    </row>
    <row r="785" s="839" customFormat="1" spans="1:22">
      <c r="A785" s="1138"/>
      <c r="B785" s="23"/>
      <c r="C785" s="23"/>
      <c r="D785" s="21"/>
      <c r="E785" s="23" t="s">
        <v>6833</v>
      </c>
      <c r="F785" s="39" t="s">
        <v>6834</v>
      </c>
      <c r="G785" s="23"/>
      <c r="H785" s="21" t="s">
        <v>1979</v>
      </c>
      <c r="I785" s="21"/>
      <c r="J785" s="21"/>
      <c r="K785" s="21"/>
      <c r="L785" s="690"/>
      <c r="M785" s="21"/>
      <c r="N785" s="690"/>
      <c r="O785" s="37">
        <v>0.483972413793103</v>
      </c>
      <c r="P785" s="22">
        <v>1.54679802955665</v>
      </c>
      <c r="Q785" s="690" t="s">
        <v>1428</v>
      </c>
      <c r="R785" s="22">
        <v>0.2</v>
      </c>
      <c r="S785" s="22">
        <f t="shared" si="18"/>
        <v>2.23077044334975</v>
      </c>
      <c r="T785" s="688"/>
      <c r="U785" s="39"/>
      <c r="V785" s="120" t="s">
        <v>1406</v>
      </c>
    </row>
    <row r="786" s="839" customFormat="1" spans="1:22">
      <c r="A786" s="1138"/>
      <c r="B786" s="23"/>
      <c r="C786" s="23"/>
      <c r="D786" s="21"/>
      <c r="E786" s="23" t="s">
        <v>6835</v>
      </c>
      <c r="F786" s="39" t="s">
        <v>6836</v>
      </c>
      <c r="G786" s="39"/>
      <c r="H786" s="21"/>
      <c r="I786" s="21"/>
      <c r="J786" s="21"/>
      <c r="K786" s="690"/>
      <c r="L786" s="690"/>
      <c r="M786" s="690"/>
      <c r="N786" s="690"/>
      <c r="O786" s="37">
        <v>0.483972413793103</v>
      </c>
      <c r="P786" s="22">
        <v>0.82</v>
      </c>
      <c r="Q786" s="690" t="s">
        <v>1428</v>
      </c>
      <c r="R786" s="22">
        <v>0.2</v>
      </c>
      <c r="S786" s="22">
        <f t="shared" si="18"/>
        <v>1.5039724137931</v>
      </c>
      <c r="T786" s="688"/>
      <c r="U786" s="39"/>
      <c r="V786" s="120" t="s">
        <v>1406</v>
      </c>
    </row>
    <row r="787" s="839" customFormat="1" ht="15" spans="1:22">
      <c r="A787" s="1138"/>
      <c r="B787" s="23" t="s">
        <v>898</v>
      </c>
      <c r="C787" s="23"/>
      <c r="D787" s="21"/>
      <c r="E787" s="23" t="s">
        <v>6837</v>
      </c>
      <c r="F787" s="39" t="s">
        <v>2427</v>
      </c>
      <c r="G787" s="23" t="s">
        <v>1933</v>
      </c>
      <c r="H787" s="21" t="s">
        <v>6185</v>
      </c>
      <c r="I787" s="21" t="s">
        <v>6838</v>
      </c>
      <c r="J787" s="21" t="s">
        <v>5813</v>
      </c>
      <c r="K787" s="21" t="s">
        <v>1428</v>
      </c>
      <c r="L787" s="1148" t="s">
        <v>1428</v>
      </c>
      <c r="M787" s="138" t="s">
        <v>4671</v>
      </c>
      <c r="N787" s="21">
        <v>3.5</v>
      </c>
      <c r="O787" s="37">
        <v>3.28807202310174</v>
      </c>
      <c r="P787" s="22">
        <v>11.9507389162562</v>
      </c>
      <c r="Q787" s="21" t="s">
        <v>1428</v>
      </c>
      <c r="R787" s="22">
        <v>2.75809718382026</v>
      </c>
      <c r="S787" s="22">
        <f t="shared" si="18"/>
        <v>21.4969081231782</v>
      </c>
      <c r="T787" s="38" t="s">
        <v>6070</v>
      </c>
      <c r="U787" s="39" t="s">
        <v>6839</v>
      </c>
      <c r="V787" s="120" t="s">
        <v>1406</v>
      </c>
    </row>
    <row r="788" s="839" customFormat="1" spans="1:22">
      <c r="A788" s="1138"/>
      <c r="B788" s="23"/>
      <c r="C788" s="23"/>
      <c r="D788" s="21"/>
      <c r="E788" s="23" t="s">
        <v>899</v>
      </c>
      <c r="F788" s="39" t="s">
        <v>900</v>
      </c>
      <c r="G788" s="23"/>
      <c r="H788" s="21"/>
      <c r="I788" s="21"/>
      <c r="J788" s="21"/>
      <c r="K788" s="21"/>
      <c r="L788" s="21"/>
      <c r="M788" s="21"/>
      <c r="N788" s="21"/>
      <c r="O788" s="37">
        <v>0.516555121454052</v>
      </c>
      <c r="P788" s="22">
        <v>4.01970443349754</v>
      </c>
      <c r="Q788" s="21" t="s">
        <v>1428</v>
      </c>
      <c r="R788" s="22">
        <v>0.4</v>
      </c>
      <c r="S788" s="22">
        <f t="shared" si="18"/>
        <v>4.93625955495159</v>
      </c>
      <c r="T788" s="38"/>
      <c r="U788" s="20" t="s">
        <v>840</v>
      </c>
      <c r="V788" s="120" t="s">
        <v>1406</v>
      </c>
    </row>
    <row r="789" s="42" customFormat="1" spans="1:22">
      <c r="A789" s="1138"/>
      <c r="B789" s="23"/>
      <c r="C789" s="23"/>
      <c r="D789" s="21"/>
      <c r="E789" s="23" t="s">
        <v>847</v>
      </c>
      <c r="F789" s="20" t="s">
        <v>848</v>
      </c>
      <c r="G789" s="20"/>
      <c r="H789" s="21"/>
      <c r="I789" s="21"/>
      <c r="J789" s="21"/>
      <c r="K789" s="21"/>
      <c r="L789" s="21"/>
      <c r="M789" s="21"/>
      <c r="N789" s="21"/>
      <c r="O789" s="37">
        <v>0.661580206896552</v>
      </c>
      <c r="P789" s="22">
        <v>0.7471</v>
      </c>
      <c r="Q789" s="21" t="s">
        <v>1428</v>
      </c>
      <c r="R789" s="22">
        <v>0.2</v>
      </c>
      <c r="S789" s="22">
        <f t="shared" si="18"/>
        <v>1.60868020689655</v>
      </c>
      <c r="T789" s="38"/>
      <c r="U789" s="20"/>
      <c r="V789" s="120" t="s">
        <v>1406</v>
      </c>
    </row>
    <row r="790" s="42" customFormat="1" spans="1:22">
      <c r="A790" s="1138"/>
      <c r="B790" s="23"/>
      <c r="C790" s="23"/>
      <c r="D790" s="21"/>
      <c r="E790" s="23" t="s">
        <v>851</v>
      </c>
      <c r="F790" s="20" t="s">
        <v>852</v>
      </c>
      <c r="G790" s="20"/>
      <c r="H790" s="21"/>
      <c r="I790" s="21"/>
      <c r="J790" s="21"/>
      <c r="K790" s="21"/>
      <c r="L790" s="21"/>
      <c r="M790" s="21"/>
      <c r="N790" s="21"/>
      <c r="O790" s="37">
        <v>0.581613848275862</v>
      </c>
      <c r="P790" s="22">
        <v>4.1871921182266</v>
      </c>
      <c r="Q790" s="21" t="s">
        <v>1428</v>
      </c>
      <c r="R790" s="22">
        <v>0.4</v>
      </c>
      <c r="S790" s="22">
        <f t="shared" si="18"/>
        <v>5.16880596650246</v>
      </c>
      <c r="T790" s="20"/>
      <c r="U790" s="20" t="s">
        <v>840</v>
      </c>
      <c r="V790" s="120" t="s">
        <v>1406</v>
      </c>
    </row>
    <row r="791" s="42" customFormat="1" spans="1:22">
      <c r="A791" s="1138"/>
      <c r="B791" s="23"/>
      <c r="C791" s="23"/>
      <c r="D791" s="21"/>
      <c r="E791" s="23" t="s">
        <v>853</v>
      </c>
      <c r="F791" s="20" t="s">
        <v>854</v>
      </c>
      <c r="G791" s="20"/>
      <c r="H791" s="21"/>
      <c r="I791" s="21"/>
      <c r="J791" s="21"/>
      <c r="K791" s="21"/>
      <c r="L791" s="21"/>
      <c r="M791" s="21"/>
      <c r="N791" s="21"/>
      <c r="O791" s="37">
        <v>0.421681131034483</v>
      </c>
      <c r="P791" s="22">
        <v>2.81773399014778</v>
      </c>
      <c r="Q791" s="21" t="s">
        <v>1428</v>
      </c>
      <c r="R791" s="22">
        <v>0.4</v>
      </c>
      <c r="S791" s="22">
        <f t="shared" si="18"/>
        <v>3.63941512118226</v>
      </c>
      <c r="T791" s="23"/>
      <c r="U791" s="23" t="s">
        <v>25</v>
      </c>
      <c r="V791" s="120" t="s">
        <v>1406</v>
      </c>
    </row>
    <row r="792" s="42" customFormat="1" spans="1:22">
      <c r="A792" s="1138"/>
      <c r="B792" s="23"/>
      <c r="C792" s="23"/>
      <c r="D792" s="21"/>
      <c r="E792" s="23" t="s">
        <v>855</v>
      </c>
      <c r="F792" s="20" t="s">
        <v>856</v>
      </c>
      <c r="G792" s="20"/>
      <c r="H792" s="21"/>
      <c r="I792" s="21"/>
      <c r="J792" s="21"/>
      <c r="K792" s="21"/>
      <c r="L792" s="21"/>
      <c r="M792" s="21"/>
      <c r="N792" s="21"/>
      <c r="O792" s="37">
        <v>0.65015644137931</v>
      </c>
      <c r="P792" s="22">
        <v>1.2218</v>
      </c>
      <c r="Q792" s="21" t="s">
        <v>1428</v>
      </c>
      <c r="R792" s="22">
        <v>0.2</v>
      </c>
      <c r="S792" s="22">
        <f t="shared" si="18"/>
        <v>2.07195644137931</v>
      </c>
      <c r="T792" s="23"/>
      <c r="U792" s="20"/>
      <c r="V792" s="120" t="s">
        <v>1406</v>
      </c>
    </row>
    <row r="793" s="42" customFormat="1" ht="15" spans="1:22">
      <c r="A793" s="1138"/>
      <c r="B793" s="23"/>
      <c r="C793" s="23"/>
      <c r="D793" s="21"/>
      <c r="E793" s="23" t="s">
        <v>857</v>
      </c>
      <c r="F793" s="20" t="s">
        <v>3790</v>
      </c>
      <c r="G793" s="20"/>
      <c r="H793" s="21"/>
      <c r="I793" s="21"/>
      <c r="J793" s="21"/>
      <c r="K793" s="21"/>
      <c r="L793" s="21"/>
      <c r="M793" s="21"/>
      <c r="N793" s="21"/>
      <c r="O793" s="37">
        <v>0.444528662068965</v>
      </c>
      <c r="P793" s="22">
        <v>0.9996</v>
      </c>
      <c r="Q793" s="21" t="s">
        <v>1428</v>
      </c>
      <c r="R793" s="22">
        <v>0.2</v>
      </c>
      <c r="S793" s="22">
        <f t="shared" si="18"/>
        <v>1.64412866206897</v>
      </c>
      <c r="T793" s="23"/>
      <c r="U793" s="20"/>
      <c r="V793" s="120" t="s">
        <v>1406</v>
      </c>
    </row>
    <row r="794" s="42" customFormat="1" spans="1:22">
      <c r="A794" s="1138"/>
      <c r="B794" s="23"/>
      <c r="C794" s="23"/>
      <c r="D794" s="21"/>
      <c r="E794" s="23" t="s">
        <v>859</v>
      </c>
      <c r="F794" s="20" t="s">
        <v>860</v>
      </c>
      <c r="G794" s="20"/>
      <c r="H794" s="21"/>
      <c r="I794" s="21"/>
      <c r="J794" s="21"/>
      <c r="K794" s="21"/>
      <c r="L794" s="21"/>
      <c r="M794" s="21"/>
      <c r="N794" s="21"/>
      <c r="O794" s="37">
        <v>0.261748413793103</v>
      </c>
      <c r="P794" s="22">
        <v>2.717</v>
      </c>
      <c r="Q794" s="21" t="s">
        <v>1428</v>
      </c>
      <c r="R794" s="22">
        <v>0.4</v>
      </c>
      <c r="S794" s="22">
        <f t="shared" si="18"/>
        <v>3.3787484137931</v>
      </c>
      <c r="T794" s="23"/>
      <c r="U794" s="23" t="s">
        <v>25</v>
      </c>
      <c r="V794" s="120" t="s">
        <v>1406</v>
      </c>
    </row>
    <row r="795" s="42" customFormat="1" spans="1:22">
      <c r="A795" s="1138"/>
      <c r="B795" s="23"/>
      <c r="C795" s="23"/>
      <c r="D795" s="21"/>
      <c r="E795" s="23" t="s">
        <v>861</v>
      </c>
      <c r="F795" s="20" t="s">
        <v>862</v>
      </c>
      <c r="G795" s="20"/>
      <c r="H795" s="21"/>
      <c r="I795" s="21"/>
      <c r="J795" s="21"/>
      <c r="K795" s="21"/>
      <c r="L795" s="21"/>
      <c r="M795" s="21"/>
      <c r="N795" s="21"/>
      <c r="O795" s="37">
        <v>0.232911724137931</v>
      </c>
      <c r="P795" s="22">
        <v>2.684</v>
      </c>
      <c r="Q795" s="21" t="s">
        <v>1428</v>
      </c>
      <c r="R795" s="22">
        <v>0.4</v>
      </c>
      <c r="S795" s="22">
        <f t="shared" si="18"/>
        <v>3.31691172413793</v>
      </c>
      <c r="T795" s="38"/>
      <c r="U795" s="23" t="s">
        <v>25</v>
      </c>
      <c r="V795" s="120" t="s">
        <v>1406</v>
      </c>
    </row>
    <row r="796" s="42" customFormat="1" spans="1:22">
      <c r="A796" s="1138"/>
      <c r="B796" s="23"/>
      <c r="C796" s="23"/>
      <c r="D796" s="21"/>
      <c r="E796" s="23" t="s">
        <v>863</v>
      </c>
      <c r="F796" s="20" t="s">
        <v>864</v>
      </c>
      <c r="G796" s="20"/>
      <c r="H796" s="21"/>
      <c r="I796" s="21"/>
      <c r="J796" s="21"/>
      <c r="K796" s="21"/>
      <c r="L796" s="21"/>
      <c r="M796" s="21"/>
      <c r="N796" s="21"/>
      <c r="O796" s="37">
        <v>0.662946489252414</v>
      </c>
      <c r="P796" s="22">
        <v>0.6966</v>
      </c>
      <c r="Q796" s="21" t="s">
        <v>1428</v>
      </c>
      <c r="R796" s="22">
        <v>0.2</v>
      </c>
      <c r="S796" s="22">
        <f t="shared" si="18"/>
        <v>1.55954648925241</v>
      </c>
      <c r="T796" s="23"/>
      <c r="U796" s="20"/>
      <c r="V796" s="120" t="s">
        <v>1406</v>
      </c>
    </row>
    <row r="797" s="42" customFormat="1" spans="1:22">
      <c r="A797" s="1138"/>
      <c r="B797" s="23"/>
      <c r="C797" s="23"/>
      <c r="D797" s="21"/>
      <c r="E797" s="23" t="s">
        <v>866</v>
      </c>
      <c r="F797" s="20" t="s">
        <v>867</v>
      </c>
      <c r="G797" s="20"/>
      <c r="H797" s="21"/>
      <c r="I797" s="21"/>
      <c r="J797" s="21"/>
      <c r="K797" s="21"/>
      <c r="L797" s="21"/>
      <c r="M797" s="21"/>
      <c r="N797" s="21"/>
      <c r="O797" s="37">
        <v>0.357615084083574</v>
      </c>
      <c r="P797" s="22">
        <v>0.591133004926108</v>
      </c>
      <c r="Q797" s="21" t="s">
        <v>1428</v>
      </c>
      <c r="R797" s="22">
        <v>0.2</v>
      </c>
      <c r="S797" s="22">
        <f t="shared" si="18"/>
        <v>1.14874808900968</v>
      </c>
      <c r="T797" s="23"/>
      <c r="U797" s="20"/>
      <c r="V797" s="120" t="s">
        <v>1406</v>
      </c>
    </row>
    <row r="798" s="42" customFormat="1" ht="15" spans="1:22">
      <c r="A798" s="1138"/>
      <c r="B798" s="23" t="s">
        <v>6840</v>
      </c>
      <c r="C798" s="23"/>
      <c r="D798" s="21"/>
      <c r="E798" s="23" t="s">
        <v>6841</v>
      </c>
      <c r="F798" s="23" t="s">
        <v>6842</v>
      </c>
      <c r="G798" s="23" t="s">
        <v>1933</v>
      </c>
      <c r="H798" s="21" t="s">
        <v>6843</v>
      </c>
      <c r="I798" s="21" t="s">
        <v>4691</v>
      </c>
      <c r="J798" s="21" t="s">
        <v>5813</v>
      </c>
      <c r="K798" s="21" t="s">
        <v>1428</v>
      </c>
      <c r="L798" s="21" t="s">
        <v>1428</v>
      </c>
      <c r="M798" s="138" t="s">
        <v>4671</v>
      </c>
      <c r="N798" s="21">
        <v>3.5</v>
      </c>
      <c r="O798" s="37">
        <v>2.53310684559198</v>
      </c>
      <c r="P798" s="22">
        <v>14.0394088669951</v>
      </c>
      <c r="Q798" s="21" t="s">
        <v>1428</v>
      </c>
      <c r="R798" s="22">
        <v>2.7780544716916</v>
      </c>
      <c r="S798" s="22">
        <f t="shared" si="18"/>
        <v>22.8505701842787</v>
      </c>
      <c r="T798" s="23" t="s">
        <v>5814</v>
      </c>
      <c r="U798" s="23" t="s">
        <v>6844</v>
      </c>
      <c r="V798" s="120" t="s">
        <v>1406</v>
      </c>
    </row>
    <row r="799" s="42" customFormat="1" ht="15" spans="1:22">
      <c r="A799" s="1138"/>
      <c r="B799" s="23"/>
      <c r="C799" s="23"/>
      <c r="D799" s="21"/>
      <c r="E799" s="23" t="s">
        <v>6845</v>
      </c>
      <c r="F799" s="23" t="s">
        <v>6846</v>
      </c>
      <c r="G799" s="23" t="s">
        <v>1933</v>
      </c>
      <c r="H799" s="21" t="s">
        <v>6843</v>
      </c>
      <c r="I799" s="21" t="s">
        <v>4691</v>
      </c>
      <c r="J799" s="21" t="s">
        <v>3874</v>
      </c>
      <c r="K799" s="21" t="s">
        <v>1428</v>
      </c>
      <c r="L799" s="21" t="s">
        <v>1428</v>
      </c>
      <c r="M799" s="138" t="s">
        <v>4671</v>
      </c>
      <c r="N799" s="21">
        <v>2.5</v>
      </c>
      <c r="O799" s="37">
        <v>2.53310684559198</v>
      </c>
      <c r="P799" s="22">
        <v>13.3793103448276</v>
      </c>
      <c r="Q799" s="21" t="s">
        <v>1428</v>
      </c>
      <c r="R799" s="22">
        <v>2.7780544716916</v>
      </c>
      <c r="S799" s="22">
        <f t="shared" si="18"/>
        <v>21.1904716621112</v>
      </c>
      <c r="T799" s="23" t="s">
        <v>5814</v>
      </c>
      <c r="U799" s="23"/>
      <c r="V799" s="120" t="s">
        <v>1406</v>
      </c>
    </row>
    <row r="800" s="42" customFormat="1" spans="1:22">
      <c r="A800" s="1138"/>
      <c r="B800" s="23"/>
      <c r="C800" s="23"/>
      <c r="D800" s="21"/>
      <c r="E800" s="23" t="s">
        <v>6847</v>
      </c>
      <c r="F800" s="23" t="s">
        <v>6848</v>
      </c>
      <c r="G800" s="23"/>
      <c r="H800" s="21"/>
      <c r="I800" s="21"/>
      <c r="J800" s="21"/>
      <c r="K800" s="21"/>
      <c r="L800" s="21"/>
      <c r="M800" s="21"/>
      <c r="N800" s="21"/>
      <c r="O800" s="37">
        <v>0.534386206896552</v>
      </c>
      <c r="P800" s="22">
        <v>1.53</v>
      </c>
      <c r="Q800" s="21" t="s">
        <v>1428</v>
      </c>
      <c r="R800" s="22">
        <v>0.2</v>
      </c>
      <c r="S800" s="22">
        <f t="shared" si="18"/>
        <v>2.26438620689655</v>
      </c>
      <c r="T800" s="23"/>
      <c r="U800" s="23"/>
      <c r="V800" s="120" t="s">
        <v>1406</v>
      </c>
    </row>
    <row r="801" s="42" customFormat="1" ht="15" spans="1:22">
      <c r="A801" s="1138"/>
      <c r="B801" s="23"/>
      <c r="C801" s="23"/>
      <c r="D801" s="21"/>
      <c r="E801" s="23" t="s">
        <v>6849</v>
      </c>
      <c r="F801" s="23" t="s">
        <v>6850</v>
      </c>
      <c r="G801" s="23"/>
      <c r="H801" s="21"/>
      <c r="I801" s="21"/>
      <c r="J801" s="21"/>
      <c r="K801" s="21"/>
      <c r="L801" s="21"/>
      <c r="M801" s="21"/>
      <c r="N801" s="21"/>
      <c r="O801" s="37">
        <v>0.685627586206897</v>
      </c>
      <c r="P801" s="22">
        <v>3.91133004926108</v>
      </c>
      <c r="Q801" s="21" t="s">
        <v>1428</v>
      </c>
      <c r="R801" s="22">
        <v>0.4</v>
      </c>
      <c r="S801" s="22">
        <f t="shared" si="18"/>
        <v>4.99695763546798</v>
      </c>
      <c r="T801" s="23"/>
      <c r="U801" s="20" t="s">
        <v>6177</v>
      </c>
      <c r="V801" s="120" t="s">
        <v>1406</v>
      </c>
    </row>
    <row r="802" s="42" customFormat="1" spans="1:22">
      <c r="A802" s="1138"/>
      <c r="B802" s="23"/>
      <c r="C802" s="23"/>
      <c r="D802" s="21"/>
      <c r="E802" s="23" t="s">
        <v>405</v>
      </c>
      <c r="F802" s="20" t="s">
        <v>406</v>
      </c>
      <c r="G802" s="20"/>
      <c r="H802" s="21"/>
      <c r="I802" s="21"/>
      <c r="J802" s="21"/>
      <c r="K802" s="21"/>
      <c r="L802" s="21"/>
      <c r="M802" s="21"/>
      <c r="N802" s="21"/>
      <c r="O802" s="37">
        <v>0.410257365517241</v>
      </c>
      <c r="P802" s="22">
        <v>1.848</v>
      </c>
      <c r="Q802" s="21" t="s">
        <v>1428</v>
      </c>
      <c r="R802" s="22">
        <v>0.2</v>
      </c>
      <c r="S802" s="22">
        <f t="shared" si="18"/>
        <v>2.45825736551724</v>
      </c>
      <c r="T802" s="23"/>
      <c r="U802" s="20"/>
      <c r="V802" s="120" t="s">
        <v>1406</v>
      </c>
    </row>
    <row r="803" s="839" customFormat="1" ht="15" spans="1:22">
      <c r="A803" s="1138"/>
      <c r="B803" s="23" t="s">
        <v>6851</v>
      </c>
      <c r="C803" s="23"/>
      <c r="D803" s="21"/>
      <c r="E803" s="23" t="s">
        <v>6852</v>
      </c>
      <c r="F803" s="39" t="s">
        <v>1629</v>
      </c>
      <c r="G803" s="23" t="s">
        <v>3540</v>
      </c>
      <c r="H803" s="21" t="s">
        <v>3785</v>
      </c>
      <c r="I803" s="21" t="s">
        <v>3436</v>
      </c>
      <c r="J803" s="21" t="s">
        <v>1428</v>
      </c>
      <c r="K803" s="21" t="s">
        <v>1428</v>
      </c>
      <c r="L803" s="36" t="s">
        <v>1428</v>
      </c>
      <c r="M803" s="690" t="s">
        <v>1428</v>
      </c>
      <c r="N803" s="21" t="s">
        <v>1428</v>
      </c>
      <c r="O803" s="37">
        <v>1.61324137931034</v>
      </c>
      <c r="P803" s="22">
        <v>9.60591133004926</v>
      </c>
      <c r="Q803" s="690" t="s">
        <v>1428</v>
      </c>
      <c r="R803" s="37">
        <v>2.44551283632064</v>
      </c>
      <c r="S803" s="22">
        <f t="shared" si="18"/>
        <v>13.6646655456802</v>
      </c>
      <c r="T803" s="23" t="s">
        <v>3920</v>
      </c>
      <c r="U803" s="39" t="s">
        <v>6853</v>
      </c>
      <c r="V803" s="120" t="s">
        <v>1406</v>
      </c>
    </row>
    <row r="804" s="839" customFormat="1" ht="15" spans="1:22">
      <c r="A804" s="1138"/>
      <c r="B804" s="23"/>
      <c r="C804" s="23"/>
      <c r="D804" s="21"/>
      <c r="E804" s="23" t="s">
        <v>6854</v>
      </c>
      <c r="F804" s="39" t="s">
        <v>1998</v>
      </c>
      <c r="G804" s="20" t="s">
        <v>1933</v>
      </c>
      <c r="H804" s="21" t="s">
        <v>3785</v>
      </c>
      <c r="I804" s="21" t="s">
        <v>4669</v>
      </c>
      <c r="J804" s="21" t="s">
        <v>1428</v>
      </c>
      <c r="K804" s="21" t="s">
        <v>1428</v>
      </c>
      <c r="L804" s="21">
        <f>8*2</f>
        <v>16</v>
      </c>
      <c r="M804" s="138" t="s">
        <v>4671</v>
      </c>
      <c r="N804" s="21" t="s">
        <v>1428</v>
      </c>
      <c r="O804" s="37">
        <v>1.61324137931034</v>
      </c>
      <c r="P804" s="22">
        <v>12.2660098522167</v>
      </c>
      <c r="Q804" s="690"/>
      <c r="R804" s="37">
        <v>2.44551283632064</v>
      </c>
      <c r="S804" s="22">
        <f t="shared" si="18"/>
        <v>32.3247640678477</v>
      </c>
      <c r="T804" s="23" t="s">
        <v>4596</v>
      </c>
      <c r="U804" s="39" t="s">
        <v>6855</v>
      </c>
      <c r="V804" s="120" t="s">
        <v>1406</v>
      </c>
    </row>
    <row r="805" s="839" customFormat="1" ht="15" spans="1:22">
      <c r="A805" s="1138"/>
      <c r="B805" s="23"/>
      <c r="C805" s="23"/>
      <c r="D805" s="21"/>
      <c r="E805" s="23" t="s">
        <v>6856</v>
      </c>
      <c r="F805" s="39" t="s">
        <v>1581</v>
      </c>
      <c r="G805" s="23" t="s">
        <v>3540</v>
      </c>
      <c r="H805" s="21" t="s">
        <v>3785</v>
      </c>
      <c r="I805" s="21" t="s">
        <v>3909</v>
      </c>
      <c r="J805" s="21" t="s">
        <v>1428</v>
      </c>
      <c r="K805" s="21" t="s">
        <v>1428</v>
      </c>
      <c r="L805" s="21">
        <f>8*2</f>
        <v>16</v>
      </c>
      <c r="M805" s="21" t="s">
        <v>1428</v>
      </c>
      <c r="N805" s="21" t="s">
        <v>1428</v>
      </c>
      <c r="O805" s="37">
        <v>1.61324137931034</v>
      </c>
      <c r="P805" s="22">
        <v>9.96224761184556</v>
      </c>
      <c r="Q805" s="690" t="s">
        <v>1428</v>
      </c>
      <c r="R805" s="37">
        <v>2.44906220183052</v>
      </c>
      <c r="S805" s="22">
        <f t="shared" si="18"/>
        <v>30.0245511929864</v>
      </c>
      <c r="T805" s="23" t="s">
        <v>3922</v>
      </c>
      <c r="U805" s="39" t="s">
        <v>6857</v>
      </c>
      <c r="V805" s="120" t="s">
        <v>1406</v>
      </c>
    </row>
    <row r="806" s="839" customFormat="1" spans="1:22">
      <c r="A806" s="1138"/>
      <c r="B806" s="23"/>
      <c r="C806" s="23"/>
      <c r="D806" s="21"/>
      <c r="E806" s="23" t="s">
        <v>6858</v>
      </c>
      <c r="F806" s="39" t="s">
        <v>6859</v>
      </c>
      <c r="G806" s="20"/>
      <c r="H806" s="21"/>
      <c r="I806" s="21"/>
      <c r="J806" s="21"/>
      <c r="K806" s="21"/>
      <c r="L806" s="21"/>
      <c r="M806" s="21"/>
      <c r="N806" s="21"/>
      <c r="O806" s="37">
        <v>0.388510678064515</v>
      </c>
      <c r="P806" s="22">
        <v>0.697107954326522</v>
      </c>
      <c r="Q806" s="690" t="s">
        <v>1428</v>
      </c>
      <c r="R806" s="22">
        <v>0.2</v>
      </c>
      <c r="S806" s="22">
        <f t="shared" si="18"/>
        <v>1.28561863239104</v>
      </c>
      <c r="T806" s="23"/>
      <c r="U806" s="39"/>
      <c r="V806" s="120" t="s">
        <v>1406</v>
      </c>
    </row>
    <row r="807" s="839" customFormat="1" spans="1:22">
      <c r="A807" s="1138"/>
      <c r="B807" s="23"/>
      <c r="C807" s="23"/>
      <c r="D807" s="21"/>
      <c r="E807" s="23"/>
      <c r="F807" s="39" t="s">
        <v>6860</v>
      </c>
      <c r="G807" s="23"/>
      <c r="H807" s="21"/>
      <c r="I807" s="21"/>
      <c r="J807" s="21"/>
      <c r="K807" s="21"/>
      <c r="L807" s="21"/>
      <c r="M807" s="690"/>
      <c r="N807" s="21"/>
      <c r="O807" s="37">
        <v>0.57615763546798</v>
      </c>
      <c r="P807" s="22">
        <v>1.55665024630542</v>
      </c>
      <c r="Q807" s="690" t="s">
        <v>1428</v>
      </c>
      <c r="R807" s="22">
        <v>0.2</v>
      </c>
      <c r="S807" s="22">
        <f t="shared" si="18"/>
        <v>2.3328078817734</v>
      </c>
      <c r="T807" s="23"/>
      <c r="U807" s="39"/>
      <c r="V807" s="120" t="s">
        <v>1406</v>
      </c>
    </row>
    <row r="808" s="839" customFormat="1" spans="1:22">
      <c r="A808" s="1138"/>
      <c r="B808" s="23"/>
      <c r="C808" s="23"/>
      <c r="D808" s="21"/>
      <c r="E808" s="23" t="s">
        <v>6835</v>
      </c>
      <c r="F808" s="39" t="s">
        <v>6836</v>
      </c>
      <c r="G808" s="39"/>
      <c r="H808" s="21"/>
      <c r="I808" s="21"/>
      <c r="J808" s="21"/>
      <c r="K808" s="690"/>
      <c r="L808" s="690"/>
      <c r="M808" s="690"/>
      <c r="N808" s="690"/>
      <c r="O808" s="37">
        <v>0.483972413793103</v>
      </c>
      <c r="P808" s="22">
        <v>0.82</v>
      </c>
      <c r="Q808" s="690" t="s">
        <v>1428</v>
      </c>
      <c r="R808" s="22">
        <v>0.2</v>
      </c>
      <c r="S808" s="22">
        <f t="shared" si="18"/>
        <v>1.5039724137931</v>
      </c>
      <c r="T808" s="688"/>
      <c r="U808" s="39"/>
      <c r="V808" s="120" t="s">
        <v>1406</v>
      </c>
    </row>
    <row r="809" s="839" customFormat="1" ht="14" customHeight="1" spans="1:22">
      <c r="A809" s="1138"/>
      <c r="B809" s="23" t="s">
        <v>6861</v>
      </c>
      <c r="C809" s="23"/>
      <c r="D809" s="21"/>
      <c r="E809" s="23" t="s">
        <v>6862</v>
      </c>
      <c r="F809" s="39" t="s">
        <v>1685</v>
      </c>
      <c r="G809" s="39"/>
      <c r="H809" s="21" t="s">
        <v>6159</v>
      </c>
      <c r="I809" s="21" t="s">
        <v>3656</v>
      </c>
      <c r="J809" s="21" t="s">
        <v>1428</v>
      </c>
      <c r="K809" s="21" t="s">
        <v>1428</v>
      </c>
      <c r="L809" s="690" t="s">
        <v>1428</v>
      </c>
      <c r="M809" s="690"/>
      <c r="N809" s="690"/>
      <c r="O809" s="37">
        <v>5.27079486574192</v>
      </c>
      <c r="P809" s="22">
        <v>11.3591501229184</v>
      </c>
      <c r="Q809" s="690" t="s">
        <v>1428</v>
      </c>
      <c r="R809" s="37">
        <v>2.38230644252475</v>
      </c>
      <c r="S809" s="22">
        <f t="shared" si="18"/>
        <v>19.0122514311851</v>
      </c>
      <c r="T809" s="38" t="s">
        <v>6863</v>
      </c>
      <c r="U809" s="20" t="s">
        <v>6864</v>
      </c>
      <c r="V809" s="120" t="s">
        <v>1406</v>
      </c>
    </row>
    <row r="810" s="42" customFormat="1" ht="15" spans="1:22">
      <c r="A810" s="1138"/>
      <c r="B810" s="23"/>
      <c r="C810" s="23"/>
      <c r="D810" s="21"/>
      <c r="E810" s="23" t="s">
        <v>6865</v>
      </c>
      <c r="F810" s="20" t="s">
        <v>1669</v>
      </c>
      <c r="G810" s="20" t="s">
        <v>3540</v>
      </c>
      <c r="H810" s="21" t="s">
        <v>3785</v>
      </c>
      <c r="I810" s="21" t="s">
        <v>3436</v>
      </c>
      <c r="J810" s="21" t="s">
        <v>1428</v>
      </c>
      <c r="K810" s="21" t="s">
        <v>1428</v>
      </c>
      <c r="L810" s="36" t="s">
        <v>1428</v>
      </c>
      <c r="M810" s="21" t="s">
        <v>1428</v>
      </c>
      <c r="N810" s="21" t="s">
        <v>1428</v>
      </c>
      <c r="O810" s="37">
        <v>5.27079486574192</v>
      </c>
      <c r="P810" s="22">
        <v>7.49662252421157</v>
      </c>
      <c r="Q810" s="21" t="s">
        <v>1428</v>
      </c>
      <c r="R810" s="37">
        <v>2.38230644252475</v>
      </c>
      <c r="S810" s="22">
        <f t="shared" si="18"/>
        <v>15.1497238324782</v>
      </c>
      <c r="T810" s="38" t="s">
        <v>6863</v>
      </c>
      <c r="U810" s="20" t="s">
        <v>6866</v>
      </c>
      <c r="V810" s="120" t="s">
        <v>1406</v>
      </c>
    </row>
    <row r="811" s="42" customFormat="1" ht="15" spans="1:22">
      <c r="A811" s="1138"/>
      <c r="B811" s="23"/>
      <c r="C811" s="23"/>
      <c r="D811" s="21"/>
      <c r="E811" s="23" t="s">
        <v>6867</v>
      </c>
      <c r="F811" s="20" t="s">
        <v>1672</v>
      </c>
      <c r="G811" s="20" t="s">
        <v>1933</v>
      </c>
      <c r="H811" s="21" t="s">
        <v>6159</v>
      </c>
      <c r="I811" s="21" t="s">
        <v>4731</v>
      </c>
      <c r="J811" s="21" t="s">
        <v>3926</v>
      </c>
      <c r="K811" s="21" t="s">
        <v>1428</v>
      </c>
      <c r="L811" s="36">
        <f>8*2</f>
        <v>16</v>
      </c>
      <c r="M811" s="138" t="s">
        <v>4671</v>
      </c>
      <c r="N811" s="690">
        <v>3.5</v>
      </c>
      <c r="O811" s="37">
        <v>5.27079486574192</v>
      </c>
      <c r="P811" s="22">
        <v>10.6968229580481</v>
      </c>
      <c r="Q811" s="21" t="s">
        <v>1428</v>
      </c>
      <c r="R811" s="37">
        <v>2.38230644252475</v>
      </c>
      <c r="S811" s="22">
        <f t="shared" si="18"/>
        <v>37.8499242663148</v>
      </c>
      <c r="T811" s="38" t="s">
        <v>4581</v>
      </c>
      <c r="U811" s="20" t="s">
        <v>6868</v>
      </c>
      <c r="V811" s="120" t="s">
        <v>1406</v>
      </c>
    </row>
    <row r="812" s="42" customFormat="1" ht="15" spans="1:22">
      <c r="A812" s="1138"/>
      <c r="B812" s="23"/>
      <c r="C812" s="23"/>
      <c r="D812" s="21"/>
      <c r="E812" s="23" t="s">
        <v>6867</v>
      </c>
      <c r="F812" s="20" t="s">
        <v>6869</v>
      </c>
      <c r="G812" s="20" t="s">
        <v>1933</v>
      </c>
      <c r="H812" s="21" t="s">
        <v>6159</v>
      </c>
      <c r="I812" s="21" t="s">
        <v>3656</v>
      </c>
      <c r="J812" s="21" t="s">
        <v>3926</v>
      </c>
      <c r="K812" s="21" t="s">
        <v>1428</v>
      </c>
      <c r="L812" s="36">
        <v>8</v>
      </c>
      <c r="M812" s="21" t="s">
        <v>1428</v>
      </c>
      <c r="N812" s="690">
        <v>3.5</v>
      </c>
      <c r="O812" s="37">
        <v>5.27079486574192</v>
      </c>
      <c r="P812" s="22">
        <v>10.6968229580481</v>
      </c>
      <c r="Q812" s="21" t="s">
        <v>1428</v>
      </c>
      <c r="R812" s="37">
        <v>2.38230644252475</v>
      </c>
      <c r="S812" s="22">
        <f t="shared" si="18"/>
        <v>29.8499242663148</v>
      </c>
      <c r="T812" s="38" t="s">
        <v>3910</v>
      </c>
      <c r="U812" s="20" t="s">
        <v>6870</v>
      </c>
      <c r="V812" s="120" t="s">
        <v>1406</v>
      </c>
    </row>
    <row r="813" s="42" customFormat="1" ht="26.4" spans="1:22">
      <c r="A813" s="1138"/>
      <c r="B813" s="23"/>
      <c r="C813" s="23"/>
      <c r="D813" s="21"/>
      <c r="E813" s="23" t="s">
        <v>23</v>
      </c>
      <c r="F813" s="729" t="s">
        <v>24</v>
      </c>
      <c r="G813" s="23"/>
      <c r="H813" s="21"/>
      <c r="I813" s="21"/>
      <c r="J813" s="21"/>
      <c r="K813" s="21"/>
      <c r="L813" s="689"/>
      <c r="M813" s="689"/>
      <c r="N813" s="689"/>
      <c r="O813" s="37">
        <v>0.705296415831494</v>
      </c>
      <c r="P813" s="22">
        <v>2.94581280788177</v>
      </c>
      <c r="Q813" s="22" t="s">
        <v>1428</v>
      </c>
      <c r="R813" s="22">
        <v>0.4</v>
      </c>
      <c r="S813" s="22">
        <f t="shared" si="18"/>
        <v>4.05110922371326</v>
      </c>
      <c r="T813" s="729"/>
      <c r="U813" s="20" t="s">
        <v>25</v>
      </c>
      <c r="V813" s="120" t="s">
        <v>1406</v>
      </c>
    </row>
    <row r="814" s="42" customFormat="1" spans="1:22">
      <c r="A814" s="1138"/>
      <c r="B814" s="23"/>
      <c r="C814" s="23"/>
      <c r="D814" s="21"/>
      <c r="E814" s="23" t="s">
        <v>885</v>
      </c>
      <c r="F814" s="20" t="s">
        <v>886</v>
      </c>
      <c r="G814" s="20"/>
      <c r="H814" s="20"/>
      <c r="I814" s="20"/>
      <c r="J814" s="21"/>
      <c r="K814" s="20"/>
      <c r="L814" s="20"/>
      <c r="M814" s="20"/>
      <c r="N814" s="20"/>
      <c r="O814" s="37">
        <v>0.141158620689655</v>
      </c>
      <c r="P814" s="22">
        <v>0.77</v>
      </c>
      <c r="Q814" s="21" t="s">
        <v>1428</v>
      </c>
      <c r="R814" s="22">
        <v>0.4</v>
      </c>
      <c r="S814" s="22">
        <f t="shared" si="18"/>
        <v>1.31115862068966</v>
      </c>
      <c r="T814" s="20"/>
      <c r="U814" s="20"/>
      <c r="V814" s="120" t="s">
        <v>1406</v>
      </c>
    </row>
    <row r="815" s="42" customFormat="1" ht="10" customHeight="1" spans="1:22">
      <c r="A815" s="1138"/>
      <c r="B815" s="23"/>
      <c r="C815" s="23"/>
      <c r="D815" s="21"/>
      <c r="E815" s="23" t="s">
        <v>6871</v>
      </c>
      <c r="F815" s="20" t="s">
        <v>6392</v>
      </c>
      <c r="G815" s="20"/>
      <c r="H815" s="20"/>
      <c r="I815" s="20"/>
      <c r="J815" s="20"/>
      <c r="K815" s="20"/>
      <c r="L815" s="20"/>
      <c r="M815" s="20"/>
      <c r="N815" s="20"/>
      <c r="O815" s="37">
        <v>0.151241379310345</v>
      </c>
      <c r="P815" s="22">
        <v>0.828571428571429</v>
      </c>
      <c r="Q815" s="21" t="s">
        <v>1428</v>
      </c>
      <c r="R815" s="22">
        <v>0.4</v>
      </c>
      <c r="S815" s="22">
        <f t="shared" si="18"/>
        <v>1.37981280788177</v>
      </c>
      <c r="T815" s="38"/>
      <c r="U815" s="20"/>
      <c r="V815" s="120" t="s">
        <v>1406</v>
      </c>
    </row>
    <row r="816" s="187" customFormat="1" ht="15" spans="1:22">
      <c r="A816" s="1138"/>
      <c r="B816" s="23" t="s">
        <v>1088</v>
      </c>
      <c r="C816" s="23"/>
      <c r="D816" s="21"/>
      <c r="E816" s="23"/>
      <c r="F816" s="23" t="s">
        <v>1629</v>
      </c>
      <c r="G816" s="20" t="s">
        <v>3540</v>
      </c>
      <c r="H816" s="21" t="s">
        <v>6872</v>
      </c>
      <c r="I816" s="37" t="s">
        <v>3436</v>
      </c>
      <c r="J816" s="21" t="s">
        <v>3787</v>
      </c>
      <c r="K816" s="21" t="s">
        <v>1428</v>
      </c>
      <c r="L816" s="21" t="s">
        <v>1428</v>
      </c>
      <c r="M816" s="21" t="s">
        <v>1428</v>
      </c>
      <c r="N816" s="21">
        <v>3.5</v>
      </c>
      <c r="O816" s="37">
        <v>2.57312</v>
      </c>
      <c r="P816" s="22">
        <v>9.5</v>
      </c>
      <c r="Q816" s="21" t="s">
        <v>1428</v>
      </c>
      <c r="R816" s="37">
        <v>2.45470649360002</v>
      </c>
      <c r="S816" s="22">
        <f t="shared" si="18"/>
        <v>18.0278264936</v>
      </c>
      <c r="T816" s="38" t="s">
        <v>5866</v>
      </c>
      <c r="U816" s="20" t="s">
        <v>6873</v>
      </c>
      <c r="V816" s="120" t="s">
        <v>1406</v>
      </c>
    </row>
    <row r="817" s="187" customFormat="1" ht="15" spans="1:22">
      <c r="A817" s="1138"/>
      <c r="B817" s="23"/>
      <c r="C817" s="23"/>
      <c r="D817" s="21"/>
      <c r="E817" s="23" t="s">
        <v>910</v>
      </c>
      <c r="F817" s="23" t="s">
        <v>3889</v>
      </c>
      <c r="G817" s="20"/>
      <c r="H817" s="21"/>
      <c r="I817" s="37"/>
      <c r="J817" s="21"/>
      <c r="K817" s="21"/>
      <c r="L817" s="21"/>
      <c r="M817" s="21"/>
      <c r="N817" s="21"/>
      <c r="O817" s="37">
        <v>0.298012570069645</v>
      </c>
      <c r="P817" s="22">
        <v>0.660098522167488</v>
      </c>
      <c r="Q817" s="21" t="s">
        <v>1428</v>
      </c>
      <c r="R817" s="22">
        <v>0.4</v>
      </c>
      <c r="S817" s="22">
        <f t="shared" si="18"/>
        <v>1.35811109223713</v>
      </c>
      <c r="T817" s="38"/>
      <c r="U817" s="20"/>
      <c r="V817" s="120" t="s">
        <v>1406</v>
      </c>
    </row>
    <row r="818" s="187" customFormat="1" ht="15" spans="1:22">
      <c r="A818" s="1138"/>
      <c r="B818" s="23"/>
      <c r="C818" s="23"/>
      <c r="D818" s="21"/>
      <c r="E818" s="23" t="s">
        <v>1089</v>
      </c>
      <c r="F818" s="23" t="s">
        <v>1090</v>
      </c>
      <c r="G818" s="20"/>
      <c r="H818" s="21"/>
      <c r="I818" s="37"/>
      <c r="J818" s="21"/>
      <c r="K818" s="21"/>
      <c r="L818" s="21"/>
      <c r="M818" s="21"/>
      <c r="N818" s="21"/>
      <c r="O818" s="37">
        <v>0.298012570069645</v>
      </c>
      <c r="P818" s="22">
        <v>0.660098522167488</v>
      </c>
      <c r="Q818" s="21" t="s">
        <v>1428</v>
      </c>
      <c r="R818" s="22">
        <v>0.4</v>
      </c>
      <c r="S818" s="22">
        <f t="shared" si="18"/>
        <v>1.35811109223713</v>
      </c>
      <c r="T818" s="38"/>
      <c r="U818" s="20"/>
      <c r="V818" s="120" t="s">
        <v>1406</v>
      </c>
    </row>
    <row r="819" s="187" customFormat="1" spans="1:22">
      <c r="A819" s="1138"/>
      <c r="B819" s="23"/>
      <c r="C819" s="23"/>
      <c r="D819" s="21"/>
      <c r="E819" s="23" t="s">
        <v>6874</v>
      </c>
      <c r="F819" s="23" t="s">
        <v>6875</v>
      </c>
      <c r="G819" s="20"/>
      <c r="H819" s="21"/>
      <c r="I819" s="37"/>
      <c r="J819" s="21"/>
      <c r="K819" s="21"/>
      <c r="L819" s="21"/>
      <c r="M819" s="21"/>
      <c r="N819" s="21"/>
      <c r="O819" s="37">
        <v>0.298012570069645</v>
      </c>
      <c r="P819" s="22">
        <v>0.660098522167488</v>
      </c>
      <c r="Q819" s="21" t="s">
        <v>1428</v>
      </c>
      <c r="R819" s="22">
        <v>0.4</v>
      </c>
      <c r="S819" s="22">
        <f t="shared" si="18"/>
        <v>1.35811109223713</v>
      </c>
      <c r="T819" s="38"/>
      <c r="U819" s="20"/>
      <c r="V819" s="120" t="s">
        <v>1406</v>
      </c>
    </row>
    <row r="820" s="187" customFormat="1" spans="1:22">
      <c r="A820" s="1138"/>
      <c r="B820" s="23"/>
      <c r="C820" s="23"/>
      <c r="D820" s="21"/>
      <c r="E820" s="23" t="s">
        <v>6876</v>
      </c>
      <c r="F820" s="23" t="s">
        <v>6877</v>
      </c>
      <c r="G820" s="20"/>
      <c r="H820" s="21"/>
      <c r="I820" s="37"/>
      <c r="J820" s="21"/>
      <c r="K820" s="21"/>
      <c r="L820" s="21"/>
      <c r="M820" s="21"/>
      <c r="N820" s="21"/>
      <c r="O820" s="37">
        <v>0.298012570069645</v>
      </c>
      <c r="P820" s="22">
        <v>0.660098522167488</v>
      </c>
      <c r="Q820" s="21" t="s">
        <v>1428</v>
      </c>
      <c r="R820" s="22">
        <v>0.4</v>
      </c>
      <c r="S820" s="22">
        <f t="shared" si="18"/>
        <v>1.35811109223713</v>
      </c>
      <c r="T820" s="38"/>
      <c r="U820" s="20"/>
      <c r="V820" s="120" t="s">
        <v>1406</v>
      </c>
    </row>
    <row r="821" s="187" customFormat="1" ht="15" spans="1:22">
      <c r="A821" s="1138"/>
      <c r="B821" s="23"/>
      <c r="C821" s="23"/>
      <c r="D821" s="21"/>
      <c r="E821" s="23" t="s">
        <v>6878</v>
      </c>
      <c r="F821" s="23" t="s">
        <v>6879</v>
      </c>
      <c r="G821" s="20"/>
      <c r="H821" s="21"/>
      <c r="I821" s="37"/>
      <c r="J821" s="21"/>
      <c r="K821" s="21"/>
      <c r="L821" s="21"/>
      <c r="M821" s="21"/>
      <c r="N821" s="21"/>
      <c r="O821" s="37">
        <v>0.322648275862069</v>
      </c>
      <c r="P821" s="22" t="e">
        <f>36.32/D821/1.13</f>
        <v>#DIV/0!</v>
      </c>
      <c r="Q821" s="21" t="s">
        <v>1428</v>
      </c>
      <c r="R821" s="22">
        <v>0.4</v>
      </c>
      <c r="S821" s="22" t="e">
        <f t="shared" si="18"/>
        <v>#DIV/0!</v>
      </c>
      <c r="T821" s="38"/>
      <c r="U821" s="20"/>
      <c r="V821" s="120" t="s">
        <v>1406</v>
      </c>
    </row>
    <row r="822" s="187" customFormat="1" spans="1:22">
      <c r="A822" s="1138"/>
      <c r="B822" s="23"/>
      <c r="C822" s="23"/>
      <c r="D822" s="21"/>
      <c r="E822" s="23" t="s">
        <v>912</v>
      </c>
      <c r="F822" s="23" t="s">
        <v>913</v>
      </c>
      <c r="G822" s="20"/>
      <c r="H822" s="21"/>
      <c r="I822" s="37"/>
      <c r="J822" s="21"/>
      <c r="K822" s="21"/>
      <c r="L822" s="21"/>
      <c r="M822" s="21"/>
      <c r="N822" s="21"/>
      <c r="O822" s="37">
        <v>0.465823448275862</v>
      </c>
      <c r="P822" s="22">
        <v>0.73</v>
      </c>
      <c r="Q822" s="21" t="s">
        <v>1428</v>
      </c>
      <c r="R822" s="22">
        <v>0.4</v>
      </c>
      <c r="S822" s="22">
        <f t="shared" si="18"/>
        <v>1.59582344827586</v>
      </c>
      <c r="T822" s="38"/>
      <c r="U822" s="20"/>
      <c r="V822" s="120" t="s">
        <v>1406</v>
      </c>
    </row>
    <row r="823" s="187" customFormat="1" spans="1:22">
      <c r="A823" s="1138"/>
      <c r="B823" s="23"/>
      <c r="C823" s="23"/>
      <c r="D823" s="21"/>
      <c r="E823" s="23" t="s">
        <v>6880</v>
      </c>
      <c r="F823" s="23" t="s">
        <v>6881</v>
      </c>
      <c r="G823" s="23"/>
      <c r="H823" s="21"/>
      <c r="I823" s="21"/>
      <c r="J823" s="21"/>
      <c r="K823" s="21"/>
      <c r="L823" s="21"/>
      <c r="M823" s="21"/>
      <c r="N823" s="21"/>
      <c r="O823" s="37">
        <v>0.366004137931034</v>
      </c>
      <c r="P823" s="22">
        <v>0.74</v>
      </c>
      <c r="Q823" s="21" t="s">
        <v>1428</v>
      </c>
      <c r="R823" s="22">
        <v>0.2</v>
      </c>
      <c r="S823" s="22">
        <f t="shared" si="18"/>
        <v>1.30600413793103</v>
      </c>
      <c r="T823" s="38"/>
      <c r="U823" s="23"/>
      <c r="V823" s="120" t="s">
        <v>1406</v>
      </c>
    </row>
    <row r="824" s="187" customFormat="1" spans="1:22">
      <c r="A824" s="1138"/>
      <c r="B824" s="23"/>
      <c r="C824" s="23"/>
      <c r="D824" s="21"/>
      <c r="E824" s="23" t="s">
        <v>914</v>
      </c>
      <c r="F824" s="23" t="s">
        <v>6882</v>
      </c>
      <c r="G824" s="23"/>
      <c r="H824" s="21"/>
      <c r="I824" s="21"/>
      <c r="J824" s="21"/>
      <c r="K824" s="21"/>
      <c r="L824" s="21"/>
      <c r="M824" s="21"/>
      <c r="N824" s="21"/>
      <c r="O824" s="37">
        <v>0.366004137931034</v>
      </c>
      <c r="P824" s="22">
        <v>0.73</v>
      </c>
      <c r="Q824" s="21" t="s">
        <v>1428</v>
      </c>
      <c r="R824" s="22">
        <v>0.2</v>
      </c>
      <c r="S824" s="22">
        <f t="shared" si="18"/>
        <v>1.29600413793103</v>
      </c>
      <c r="T824" s="38"/>
      <c r="U824" s="23"/>
      <c r="V824" s="120" t="s">
        <v>1406</v>
      </c>
    </row>
    <row r="825" s="187" customFormat="1" ht="15" spans="1:22">
      <c r="A825" s="1138"/>
      <c r="B825" s="705" t="s">
        <v>6883</v>
      </c>
      <c r="C825" s="23"/>
      <c r="D825" s="21"/>
      <c r="E825" s="23"/>
      <c r="F825" s="23" t="s">
        <v>1672</v>
      </c>
      <c r="G825" s="23" t="s">
        <v>3540</v>
      </c>
      <c r="H825" s="21" t="s">
        <v>6159</v>
      </c>
      <c r="I825" s="21" t="s">
        <v>4666</v>
      </c>
      <c r="J825" s="21" t="s">
        <v>4670</v>
      </c>
      <c r="K825" s="21" t="s">
        <v>1428</v>
      </c>
      <c r="L825" s="699" t="s">
        <v>712</v>
      </c>
      <c r="M825" s="699" t="s">
        <v>712</v>
      </c>
      <c r="N825" s="699" t="s">
        <v>712</v>
      </c>
      <c r="O825" s="37">
        <f t="shared" ref="O825:O840" si="19">18.1/7.19/1.13</f>
        <v>2.2277745639839</v>
      </c>
      <c r="P825" s="22">
        <v>9.17241379310345</v>
      </c>
      <c r="Q825" s="21" t="s">
        <v>1428</v>
      </c>
      <c r="R825" s="37">
        <v>2.43</v>
      </c>
      <c r="S825" s="22">
        <f t="shared" si="18"/>
        <v>13.8301883570873</v>
      </c>
      <c r="T825" s="38" t="s">
        <v>5875</v>
      </c>
      <c r="U825" s="20" t="s">
        <v>6884</v>
      </c>
      <c r="V825" s="120" t="s">
        <v>1406</v>
      </c>
    </row>
    <row r="826" s="187" customFormat="1" ht="15" spans="1:22">
      <c r="A826" s="1138"/>
      <c r="B826" s="706"/>
      <c r="C826" s="23"/>
      <c r="D826" s="21"/>
      <c r="E826" s="23"/>
      <c r="F826" s="23" t="s">
        <v>2110</v>
      </c>
      <c r="G826" s="23" t="s">
        <v>3540</v>
      </c>
      <c r="H826" s="21" t="s">
        <v>6159</v>
      </c>
      <c r="I826" s="21" t="s">
        <v>3624</v>
      </c>
      <c r="J826" s="21" t="s">
        <v>3787</v>
      </c>
      <c r="K826" s="21" t="s">
        <v>1428</v>
      </c>
      <c r="L826" s="699" t="s">
        <v>712</v>
      </c>
      <c r="M826" s="21" t="s">
        <v>1428</v>
      </c>
      <c r="N826" s="699" t="s">
        <v>712</v>
      </c>
      <c r="O826" s="37">
        <f t="shared" si="19"/>
        <v>2.2277745639839</v>
      </c>
      <c r="P826" s="22">
        <v>9.12315270935961</v>
      </c>
      <c r="Q826" s="21" t="s">
        <v>1428</v>
      </c>
      <c r="R826" s="37">
        <v>2.43</v>
      </c>
      <c r="S826" s="22">
        <f t="shared" si="18"/>
        <v>13.7809272733435</v>
      </c>
      <c r="T826" s="38" t="s">
        <v>3881</v>
      </c>
      <c r="U826" s="20" t="s">
        <v>6864</v>
      </c>
      <c r="V826" s="120" t="s">
        <v>1406</v>
      </c>
    </row>
    <row r="827" s="187" customFormat="1" ht="15" spans="1:22">
      <c r="A827" s="1138"/>
      <c r="B827" s="706"/>
      <c r="C827" s="23">
        <v>20240307</v>
      </c>
      <c r="D827" s="21">
        <v>7.24</v>
      </c>
      <c r="E827" s="23" t="s">
        <v>6885</v>
      </c>
      <c r="F827" s="23" t="s">
        <v>1767</v>
      </c>
      <c r="G827" s="23" t="s">
        <v>3540</v>
      </c>
      <c r="H827" s="21" t="s">
        <v>6159</v>
      </c>
      <c r="I827" s="21" t="s">
        <v>3624</v>
      </c>
      <c r="J827" s="21" t="s">
        <v>1720</v>
      </c>
      <c r="K827" s="21" t="s">
        <v>1428</v>
      </c>
      <c r="L827" s="699" t="s">
        <v>712</v>
      </c>
      <c r="M827" s="21" t="s">
        <v>1428</v>
      </c>
      <c r="N827" s="699" t="s">
        <v>712</v>
      </c>
      <c r="O827" s="37">
        <f t="shared" si="19"/>
        <v>2.2277745639839</v>
      </c>
      <c r="P827" s="22">
        <v>7.07453519698466</v>
      </c>
      <c r="Q827" s="21" t="s">
        <v>1428</v>
      </c>
      <c r="R827" s="37">
        <v>2.43</v>
      </c>
      <c r="S827" s="22">
        <f t="shared" si="18"/>
        <v>11.7323097609686</v>
      </c>
      <c r="T827" s="38" t="s">
        <v>3881</v>
      </c>
      <c r="U827" s="20" t="s">
        <v>6886</v>
      </c>
      <c r="V827" s="120" t="s">
        <v>1406</v>
      </c>
    </row>
    <row r="828" s="187" customFormat="1" ht="15" spans="1:22">
      <c r="A828" s="1138"/>
      <c r="B828" s="706"/>
      <c r="C828" s="23">
        <v>20240424</v>
      </c>
      <c r="D828" s="21">
        <v>7.24</v>
      </c>
      <c r="E828" s="23" t="s">
        <v>6887</v>
      </c>
      <c r="F828" s="23" t="s">
        <v>2506</v>
      </c>
      <c r="G828" s="23" t="s">
        <v>3540</v>
      </c>
      <c r="H828" s="21" t="s">
        <v>6159</v>
      </c>
      <c r="I828" s="21" t="s">
        <v>4592</v>
      </c>
      <c r="J828" s="21" t="s">
        <v>1720</v>
      </c>
      <c r="K828" s="21" t="s">
        <v>1428</v>
      </c>
      <c r="L828" s="699" t="s">
        <v>712</v>
      </c>
      <c r="M828" s="699" t="s">
        <v>712</v>
      </c>
      <c r="N828" s="699" t="s">
        <v>712</v>
      </c>
      <c r="O828" s="37">
        <f t="shared" si="19"/>
        <v>2.2277745639839</v>
      </c>
      <c r="P828" s="22">
        <v>6.97455392135889</v>
      </c>
      <c r="Q828" s="21" t="s">
        <v>1428</v>
      </c>
      <c r="R828" s="37">
        <v>2.43</v>
      </c>
      <c r="S828" s="22">
        <f t="shared" si="18"/>
        <v>11.6323284853428</v>
      </c>
      <c r="T828" s="38" t="s">
        <v>5875</v>
      </c>
      <c r="U828" s="20" t="s">
        <v>6888</v>
      </c>
      <c r="V828" s="120"/>
    </row>
    <row r="829" s="187" customFormat="1" spans="1:22">
      <c r="A829" s="1138"/>
      <c r="B829" s="706"/>
      <c r="C829" s="23">
        <v>20240914</v>
      </c>
      <c r="D829" s="21">
        <v>7.24</v>
      </c>
      <c r="E829" s="23" t="s">
        <v>6889</v>
      </c>
      <c r="F829" s="23" t="s">
        <v>2096</v>
      </c>
      <c r="G829" s="23" t="s">
        <v>6890</v>
      </c>
      <c r="H829" s="21" t="s">
        <v>6159</v>
      </c>
      <c r="I829" s="21" t="s">
        <v>4677</v>
      </c>
      <c r="J829" s="21" t="s">
        <v>6891</v>
      </c>
      <c r="K829" s="21" t="s">
        <v>1428</v>
      </c>
      <c r="L829" s="699" t="s">
        <v>712</v>
      </c>
      <c r="M829" s="699" t="s">
        <v>712</v>
      </c>
      <c r="N829" s="699" t="s">
        <v>712</v>
      </c>
      <c r="O829" s="37">
        <f t="shared" si="19"/>
        <v>2.2277745639839</v>
      </c>
      <c r="P829" s="22">
        <v>6.73071162617156</v>
      </c>
      <c r="Q829" s="21" t="s">
        <v>1428</v>
      </c>
      <c r="R829" s="37">
        <v>2.43</v>
      </c>
      <c r="S829" s="22">
        <f t="shared" si="18"/>
        <v>11.3884861901555</v>
      </c>
      <c r="T829" s="895" t="s">
        <v>6892</v>
      </c>
      <c r="U829" s="20" t="s">
        <v>6893</v>
      </c>
      <c r="V829" s="120"/>
    </row>
    <row r="830" s="187" customFormat="1" ht="15" spans="1:22">
      <c r="A830" s="1138"/>
      <c r="B830" s="706"/>
      <c r="C830" s="23">
        <v>20240914</v>
      </c>
      <c r="D830" s="21">
        <v>7.24</v>
      </c>
      <c r="E830" s="23" t="s">
        <v>6894</v>
      </c>
      <c r="F830" s="23" t="s">
        <v>2394</v>
      </c>
      <c r="G830" s="23" t="s">
        <v>6890</v>
      </c>
      <c r="H830" s="21" t="s">
        <v>6159</v>
      </c>
      <c r="I830" s="21" t="s">
        <v>3624</v>
      </c>
      <c r="J830" s="21" t="s">
        <v>1720</v>
      </c>
      <c r="K830" s="21" t="s">
        <v>1428</v>
      </c>
      <c r="L830" s="699" t="s">
        <v>712</v>
      </c>
      <c r="M830" s="21" t="s">
        <v>1428</v>
      </c>
      <c r="N830" s="699" t="s">
        <v>712</v>
      </c>
      <c r="O830" s="37">
        <f t="shared" si="19"/>
        <v>2.2277745639839</v>
      </c>
      <c r="P830" s="22">
        <v>6.60355926069589</v>
      </c>
      <c r="Q830" s="21" t="s">
        <v>1428</v>
      </c>
      <c r="R830" s="37">
        <v>2.43</v>
      </c>
      <c r="S830" s="22">
        <f t="shared" si="18"/>
        <v>11.2613338246798</v>
      </c>
      <c r="T830" s="38" t="s">
        <v>3881</v>
      </c>
      <c r="U830" s="20" t="s">
        <v>6895</v>
      </c>
      <c r="V830" s="120"/>
    </row>
    <row r="831" s="187" customFormat="1" ht="15" spans="1:22">
      <c r="A831" s="1138"/>
      <c r="B831" s="706"/>
      <c r="C831" s="782">
        <v>20240914</v>
      </c>
      <c r="D831" s="21">
        <v>7.24</v>
      </c>
      <c r="E831" s="782" t="s">
        <v>6896</v>
      </c>
      <c r="F831" s="23" t="s">
        <v>2234</v>
      </c>
      <c r="G831" s="23" t="s">
        <v>6890</v>
      </c>
      <c r="H831" s="21" t="s">
        <v>6159</v>
      </c>
      <c r="I831" s="21" t="s">
        <v>3656</v>
      </c>
      <c r="J831" s="21" t="s">
        <v>1720</v>
      </c>
      <c r="K831" s="21" t="s">
        <v>1428</v>
      </c>
      <c r="L831" s="699" t="s">
        <v>712</v>
      </c>
      <c r="M831" s="21" t="s">
        <v>1428</v>
      </c>
      <c r="N831" s="699" t="s">
        <v>712</v>
      </c>
      <c r="O831" s="37">
        <f t="shared" si="19"/>
        <v>2.2277745639839</v>
      </c>
      <c r="P831" s="22">
        <v>6.60158990462147</v>
      </c>
      <c r="Q831" s="21" t="s">
        <v>1428</v>
      </c>
      <c r="R831" s="37">
        <v>2.43</v>
      </c>
      <c r="S831" s="22">
        <f t="shared" si="18"/>
        <v>11.2593644686054</v>
      </c>
      <c r="T831" s="38" t="s">
        <v>6897</v>
      </c>
      <c r="U831" s="20" t="s">
        <v>6895</v>
      </c>
      <c r="V831" s="120"/>
    </row>
    <row r="832" s="187" customFormat="1" spans="1:22">
      <c r="A832" s="1138"/>
      <c r="B832" s="706"/>
      <c r="C832" s="782">
        <v>20250108</v>
      </c>
      <c r="D832" s="21">
        <v>7.24</v>
      </c>
      <c r="E832" s="23" t="s">
        <v>6898</v>
      </c>
      <c r="F832" s="23" t="s">
        <v>2395</v>
      </c>
      <c r="G832" s="23" t="s">
        <v>3540</v>
      </c>
      <c r="H832" s="21" t="s">
        <v>6159</v>
      </c>
      <c r="I832" s="21" t="s">
        <v>3656</v>
      </c>
      <c r="J832" s="21" t="s">
        <v>6891</v>
      </c>
      <c r="K832" s="21" t="s">
        <v>1428</v>
      </c>
      <c r="L832" s="699" t="s">
        <v>712</v>
      </c>
      <c r="M832" s="21"/>
      <c r="N832" s="699" t="s">
        <v>712</v>
      </c>
      <c r="O832" s="37">
        <f t="shared" si="19"/>
        <v>2.2277745639839</v>
      </c>
      <c r="P832" s="22">
        <v>6.36183578506524</v>
      </c>
      <c r="Q832" s="21"/>
      <c r="R832" s="37">
        <v>2.43</v>
      </c>
      <c r="S832" s="22">
        <f t="shared" si="18"/>
        <v>11.0196103490491</v>
      </c>
      <c r="T832" s="38" t="s">
        <v>6899</v>
      </c>
      <c r="U832" s="20" t="s">
        <v>6900</v>
      </c>
      <c r="V832" s="120"/>
    </row>
    <row r="833" s="187" customFormat="1" spans="1:22">
      <c r="A833" s="1138"/>
      <c r="B833" s="706"/>
      <c r="C833" s="782">
        <v>20250108</v>
      </c>
      <c r="D833" s="21">
        <v>7.24</v>
      </c>
      <c r="E833" s="23" t="s">
        <v>6901</v>
      </c>
      <c r="F833" s="23" t="s">
        <v>1596</v>
      </c>
      <c r="G833" s="23" t="s">
        <v>3540</v>
      </c>
      <c r="H833" s="21" t="s">
        <v>6159</v>
      </c>
      <c r="I833" s="21" t="s">
        <v>3624</v>
      </c>
      <c r="J833" s="21" t="s">
        <v>6891</v>
      </c>
      <c r="K833" s="21" t="s">
        <v>1428</v>
      </c>
      <c r="L833" s="699" t="s">
        <v>712</v>
      </c>
      <c r="M833" s="21"/>
      <c r="N833" s="699" t="s">
        <v>712</v>
      </c>
      <c r="O833" s="37">
        <f t="shared" si="19"/>
        <v>2.2277745639839</v>
      </c>
      <c r="P833" s="22">
        <v>6.35570364836789</v>
      </c>
      <c r="Q833" s="21"/>
      <c r="R833" s="37">
        <v>2.43</v>
      </c>
      <c r="S833" s="22">
        <f t="shared" si="18"/>
        <v>11.0134782123518</v>
      </c>
      <c r="T833" s="38" t="s">
        <v>6902</v>
      </c>
      <c r="U833" s="20" t="s">
        <v>6900</v>
      </c>
      <c r="V833" s="120"/>
    </row>
    <row r="834" s="187" customFormat="1" spans="1:22">
      <c r="A834" s="1138"/>
      <c r="B834" s="706"/>
      <c r="C834" s="23">
        <v>20250210</v>
      </c>
      <c r="D834" s="21">
        <v>6.8819</v>
      </c>
      <c r="E834" s="23" t="s">
        <v>3193</v>
      </c>
      <c r="F834" s="23" t="s">
        <v>2569</v>
      </c>
      <c r="G834" s="23" t="s">
        <v>6903</v>
      </c>
      <c r="H834" s="21" t="s">
        <v>6159</v>
      </c>
      <c r="I834" s="21" t="s">
        <v>3656</v>
      </c>
      <c r="J834" s="21" t="s">
        <v>1633</v>
      </c>
      <c r="K834" s="21" t="s">
        <v>1428</v>
      </c>
      <c r="L834" s="699" t="s">
        <v>712</v>
      </c>
      <c r="M834" s="21"/>
      <c r="N834" s="699" t="s">
        <v>712</v>
      </c>
      <c r="O834" s="37">
        <f t="shared" si="19"/>
        <v>2.2277745639839</v>
      </c>
      <c r="P834" s="22">
        <v>6.11262189428506</v>
      </c>
      <c r="Q834" s="21"/>
      <c r="R834" s="37">
        <v>2.43</v>
      </c>
      <c r="S834" s="22">
        <f t="shared" si="18"/>
        <v>10.770396458269</v>
      </c>
      <c r="T834" s="38" t="s">
        <v>6904</v>
      </c>
      <c r="U834" s="20" t="s">
        <v>6905</v>
      </c>
      <c r="V834" s="120"/>
    </row>
    <row r="835" s="187" customFormat="1" spans="1:22">
      <c r="A835" s="1138"/>
      <c r="B835" s="706"/>
      <c r="C835" s="23">
        <v>20250210</v>
      </c>
      <c r="D835" s="21">
        <v>7.24</v>
      </c>
      <c r="E835" s="23" t="s">
        <v>6906</v>
      </c>
      <c r="F835" s="23" t="s">
        <v>2571</v>
      </c>
      <c r="G835" s="23" t="s">
        <v>6903</v>
      </c>
      <c r="H835" s="21" t="s">
        <v>6159</v>
      </c>
      <c r="I835" s="21" t="s">
        <v>3656</v>
      </c>
      <c r="J835" s="21" t="s">
        <v>6891</v>
      </c>
      <c r="K835" s="21" t="s">
        <v>1428</v>
      </c>
      <c r="L835" s="699" t="s">
        <v>712</v>
      </c>
      <c r="M835" s="21"/>
      <c r="N835" s="699" t="s">
        <v>712</v>
      </c>
      <c r="O835" s="37">
        <f t="shared" si="19"/>
        <v>2.2277745639839</v>
      </c>
      <c r="P835" s="22">
        <v>6.28289129228598</v>
      </c>
      <c r="Q835" s="21"/>
      <c r="R835" s="37">
        <v>2.43</v>
      </c>
      <c r="S835" s="22">
        <f t="shared" si="18"/>
        <v>10.9406658562699</v>
      </c>
      <c r="T835" s="38" t="s">
        <v>6904</v>
      </c>
      <c r="U835" s="20" t="s">
        <v>6905</v>
      </c>
      <c r="V835" s="120"/>
    </row>
    <row r="836" s="187" customFormat="1" spans="1:22">
      <c r="A836" s="1138"/>
      <c r="B836" s="706"/>
      <c r="C836" s="23">
        <v>20250408</v>
      </c>
      <c r="D836" s="21">
        <v>7.24</v>
      </c>
      <c r="E836" s="23" t="s">
        <v>6907</v>
      </c>
      <c r="F836" s="23" t="s">
        <v>2575</v>
      </c>
      <c r="G836" s="23" t="s">
        <v>6903</v>
      </c>
      <c r="H836" s="21" t="s">
        <v>6159</v>
      </c>
      <c r="I836" s="21" t="s">
        <v>3656</v>
      </c>
      <c r="J836" s="21" t="s">
        <v>1720</v>
      </c>
      <c r="K836" s="21" t="s">
        <v>1428</v>
      </c>
      <c r="L836" s="699" t="s">
        <v>712</v>
      </c>
      <c r="M836" s="21"/>
      <c r="N836" s="699" t="s">
        <v>712</v>
      </c>
      <c r="O836" s="37">
        <f t="shared" si="19"/>
        <v>2.2277745639839</v>
      </c>
      <c r="P836" s="22">
        <v>6.523481210248</v>
      </c>
      <c r="Q836" s="21"/>
      <c r="R836" s="37">
        <v>2.43</v>
      </c>
      <c r="S836" s="22">
        <f t="shared" si="18"/>
        <v>11.1812557742319</v>
      </c>
      <c r="T836" s="38" t="s">
        <v>6904</v>
      </c>
      <c r="U836" s="20" t="s">
        <v>6908</v>
      </c>
      <c r="V836" s="120"/>
    </row>
    <row r="837" s="187" customFormat="1" spans="1:22">
      <c r="A837" s="1138"/>
      <c r="B837" s="706"/>
      <c r="C837" s="23">
        <v>20250408</v>
      </c>
      <c r="D837" s="21">
        <v>7.24</v>
      </c>
      <c r="E837" s="23" t="s">
        <v>6909</v>
      </c>
      <c r="F837" s="23" t="s">
        <v>5120</v>
      </c>
      <c r="G837" s="23" t="s">
        <v>6903</v>
      </c>
      <c r="H837" s="21" t="s">
        <v>6159</v>
      </c>
      <c r="I837" s="21" t="s">
        <v>3711</v>
      </c>
      <c r="J837" s="21" t="s">
        <v>1720</v>
      </c>
      <c r="K837" s="21" t="s">
        <v>1428</v>
      </c>
      <c r="L837" s="699" t="s">
        <v>712</v>
      </c>
      <c r="M837" s="699" t="s">
        <v>712</v>
      </c>
      <c r="N837" s="699" t="s">
        <v>712</v>
      </c>
      <c r="O837" s="37">
        <f t="shared" si="19"/>
        <v>2.2277745639839</v>
      </c>
      <c r="P837" s="22">
        <v>6.50349940222947</v>
      </c>
      <c r="Q837" s="21"/>
      <c r="R837" s="37">
        <v>2.43</v>
      </c>
      <c r="S837" s="22">
        <f t="shared" si="18"/>
        <v>11.1612739662134</v>
      </c>
      <c r="T837" s="895" t="s">
        <v>6910</v>
      </c>
      <c r="U837" s="20" t="s">
        <v>6905</v>
      </c>
      <c r="V837" s="120"/>
    </row>
    <row r="838" s="187" customFormat="1" spans="1:22">
      <c r="A838" s="1138"/>
      <c r="B838" s="23"/>
      <c r="C838" s="23"/>
      <c r="D838" s="1149">
        <v>46132</v>
      </c>
      <c r="E838" s="23">
        <v>6.8225</v>
      </c>
      <c r="F838" s="23">
        <v>1</v>
      </c>
      <c r="G838" s="23"/>
      <c r="H838" s="21"/>
      <c r="I838" s="21"/>
      <c r="J838" s="21"/>
      <c r="K838" s="21"/>
      <c r="L838" s="699"/>
      <c r="M838" s="21" t="e" cm="1">
        <f t="array" ref="M838">36.32/DB小板汇总:老项目!E837:E837/1.13</f>
        <v>#REF!</v>
      </c>
      <c r="N838" s="699">
        <v>22.7</v>
      </c>
      <c r="O838" s="37">
        <f t="shared" ref="O838:O841" si="20">24.5/E838</f>
        <v>3.59105899596922</v>
      </c>
      <c r="P838" s="22">
        <v>6.50349940222947</v>
      </c>
      <c r="Q838" s="21"/>
      <c r="R838" s="37"/>
      <c r="S838" s="22"/>
      <c r="T838" s="38"/>
      <c r="U838" s="20"/>
      <c r="V838" s="120"/>
    </row>
    <row r="839" s="187" customFormat="1" spans="1:22">
      <c r="A839" s="1138"/>
      <c r="B839" s="23"/>
      <c r="C839" s="23"/>
      <c r="D839" s="1149">
        <v>46132</v>
      </c>
      <c r="E839" s="23">
        <v>6.8225</v>
      </c>
      <c r="F839" s="23">
        <v>2</v>
      </c>
      <c r="G839" s="23"/>
      <c r="H839" s="21"/>
      <c r="I839" s="21"/>
      <c r="J839" s="21"/>
      <c r="K839" s="21"/>
      <c r="L839" s="699"/>
      <c r="M839" s="21"/>
      <c r="N839" s="699"/>
      <c r="O839" s="37">
        <f t="shared" si="20"/>
        <v>3.59105899596922</v>
      </c>
      <c r="P839" s="22">
        <v>6.50349940222947</v>
      </c>
      <c r="Q839" s="21"/>
      <c r="R839" s="37"/>
      <c r="S839" s="22"/>
      <c r="T839" s="38"/>
      <c r="U839" s="20"/>
      <c r="V839" s="120"/>
    </row>
    <row r="840" s="187" customFormat="1" spans="1:22">
      <c r="A840" s="1138"/>
      <c r="B840" s="23"/>
      <c r="C840" s="23"/>
      <c r="D840" s="1149">
        <v>46132</v>
      </c>
      <c r="E840" s="23">
        <v>6.8225</v>
      </c>
      <c r="F840" s="23">
        <v>3</v>
      </c>
      <c r="G840" s="23"/>
      <c r="H840" s="21"/>
      <c r="I840" s="21"/>
      <c r="J840" s="21"/>
      <c r="K840" s="21"/>
      <c r="L840" s="699"/>
      <c r="M840" s="21"/>
      <c r="N840" s="699"/>
      <c r="O840" s="37">
        <f t="shared" si="20"/>
        <v>3.59105899596922</v>
      </c>
      <c r="P840" s="22">
        <v>6.50349940222947</v>
      </c>
      <c r="Q840" s="21"/>
      <c r="R840" s="37"/>
      <c r="S840" s="22"/>
      <c r="T840" s="38"/>
      <c r="U840" s="20"/>
      <c r="V840" s="120"/>
    </row>
    <row r="841" s="187" customFormat="1" spans="1:22">
      <c r="A841" s="1138"/>
      <c r="B841" s="23"/>
      <c r="C841" s="23"/>
      <c r="D841" s="1149">
        <v>46132</v>
      </c>
      <c r="E841" s="23">
        <v>6.8225</v>
      </c>
      <c r="F841" s="23">
        <v>4</v>
      </c>
      <c r="G841" s="23"/>
      <c r="H841" s="21"/>
      <c r="I841" s="21"/>
      <c r="J841" s="21"/>
      <c r="K841" s="21"/>
      <c r="L841" s="699"/>
      <c r="M841" s="21"/>
      <c r="N841" s="699"/>
      <c r="O841" s="37">
        <f t="shared" si="20"/>
        <v>3.59105899596922</v>
      </c>
      <c r="P841" s="22">
        <v>6.50349940222947</v>
      </c>
      <c r="Q841" s="21"/>
      <c r="R841" s="37"/>
      <c r="S841" s="22"/>
      <c r="T841" s="38"/>
      <c r="U841" s="20"/>
      <c r="V841" s="120"/>
    </row>
    <row r="842" s="187" customFormat="1" spans="1:22">
      <c r="A842" s="1138"/>
      <c r="B842" s="706"/>
      <c r="C842" s="23">
        <v>20250408</v>
      </c>
      <c r="D842" s="21">
        <v>7.24</v>
      </c>
      <c r="E842" s="23" t="s">
        <v>6911</v>
      </c>
      <c r="F842" s="23" t="s">
        <v>2325</v>
      </c>
      <c r="G842" s="23" t="s">
        <v>6903</v>
      </c>
      <c r="H842" s="21" t="s">
        <v>6159</v>
      </c>
      <c r="I842" s="21" t="s">
        <v>3656</v>
      </c>
      <c r="J842" s="21" t="s">
        <v>1720</v>
      </c>
      <c r="K842" s="21" t="s">
        <v>1428</v>
      </c>
      <c r="L842" s="699" t="s">
        <v>712</v>
      </c>
      <c r="M842" s="21"/>
      <c r="N842" s="699" t="s">
        <v>712</v>
      </c>
      <c r="O842" s="37">
        <f>18.1/7.19/1.13</f>
        <v>2.2277745639839</v>
      </c>
      <c r="P842" s="22">
        <v>6.51857083893445</v>
      </c>
      <c r="Q842" s="21"/>
      <c r="R842" s="37">
        <v>2.43</v>
      </c>
      <c r="S842" s="22">
        <f t="shared" ref="S842:S849" si="21">SUM(K842:R842)</f>
        <v>11.1763454029184</v>
      </c>
      <c r="T842" s="38" t="s">
        <v>6904</v>
      </c>
      <c r="U842" s="20" t="s">
        <v>6908</v>
      </c>
      <c r="V842" s="120"/>
    </row>
    <row r="843" s="187" customFormat="1" spans="1:22">
      <c r="A843" s="1138"/>
      <c r="B843" s="706"/>
      <c r="C843" s="23">
        <v>20250408</v>
      </c>
      <c r="D843" s="21">
        <v>7.24</v>
      </c>
      <c r="E843" s="23" t="s">
        <v>6912</v>
      </c>
      <c r="F843" s="23" t="s">
        <v>2403</v>
      </c>
      <c r="G843" s="23" t="s">
        <v>6903</v>
      </c>
      <c r="H843" s="21" t="s">
        <v>6159</v>
      </c>
      <c r="I843" s="21" t="s">
        <v>3624</v>
      </c>
      <c r="J843" s="21" t="s">
        <v>1720</v>
      </c>
      <c r="K843" s="21" t="s">
        <v>1428</v>
      </c>
      <c r="L843" s="699" t="s">
        <v>712</v>
      </c>
      <c r="M843" s="21"/>
      <c r="N843" s="699" t="s">
        <v>712</v>
      </c>
      <c r="O843" s="37">
        <f>18.1/7.19/1.13</f>
        <v>2.2277745639839</v>
      </c>
      <c r="P843" s="22">
        <v>6.59267612086203</v>
      </c>
      <c r="Q843" s="21"/>
      <c r="R843" s="37">
        <v>2.43</v>
      </c>
      <c r="S843" s="22">
        <f t="shared" si="21"/>
        <v>11.2504506848459</v>
      </c>
      <c r="T843" s="38" t="s">
        <v>6913</v>
      </c>
      <c r="U843" s="20" t="s">
        <v>6908</v>
      </c>
      <c r="V843" s="120"/>
    </row>
    <row r="844" s="187" customFormat="1" spans="1:22">
      <c r="A844" s="1138"/>
      <c r="B844" s="706"/>
      <c r="C844" s="23">
        <v>20250408</v>
      </c>
      <c r="D844" s="21">
        <v>7.24</v>
      </c>
      <c r="E844" s="23" t="s">
        <v>6914</v>
      </c>
      <c r="F844" s="23" t="s">
        <v>2406</v>
      </c>
      <c r="G844" s="23" t="s">
        <v>6903</v>
      </c>
      <c r="H844" s="21" t="s">
        <v>6159</v>
      </c>
      <c r="I844" s="21" t="s">
        <v>3656</v>
      </c>
      <c r="J844" s="21" t="s">
        <v>1720</v>
      </c>
      <c r="K844" s="21" t="s">
        <v>1428</v>
      </c>
      <c r="L844" s="699" t="s">
        <v>712</v>
      </c>
      <c r="M844" s="21"/>
      <c r="N844" s="699" t="s">
        <v>712</v>
      </c>
      <c r="O844" s="37">
        <f>18.1/7.19/1.13</f>
        <v>2.2277745639839</v>
      </c>
      <c r="P844" s="22">
        <v>6.55559309393714</v>
      </c>
      <c r="Q844" s="21"/>
      <c r="R844" s="37">
        <v>2.43</v>
      </c>
      <c r="S844" s="22">
        <f t="shared" si="21"/>
        <v>11.213367657921</v>
      </c>
      <c r="T844" s="38" t="s">
        <v>6904</v>
      </c>
      <c r="U844" s="20" t="s">
        <v>6908</v>
      </c>
      <c r="V844" s="120"/>
    </row>
    <row r="845" s="187" customFormat="1" spans="1:22">
      <c r="A845" s="1138"/>
      <c r="B845" s="706"/>
      <c r="C845" s="23"/>
      <c r="D845" s="21"/>
      <c r="E845" s="23" t="s">
        <v>6915</v>
      </c>
      <c r="F845" s="23" t="s">
        <v>6916</v>
      </c>
      <c r="G845" s="23"/>
      <c r="H845" s="23"/>
      <c r="I845" s="21"/>
      <c r="J845" s="21"/>
      <c r="K845" s="23"/>
      <c r="L845" s="23"/>
      <c r="M845" s="23"/>
      <c r="N845" s="23"/>
      <c r="O845" s="37">
        <v>0.252068965517241</v>
      </c>
      <c r="P845" s="22">
        <v>1.31</v>
      </c>
      <c r="Q845" s="21" t="s">
        <v>1428</v>
      </c>
      <c r="R845" s="22">
        <v>0.2</v>
      </c>
      <c r="S845" s="22">
        <f t="shared" si="21"/>
        <v>1.76206896551724</v>
      </c>
      <c r="T845" s="23"/>
      <c r="U845" s="23"/>
      <c r="V845" s="120" t="s">
        <v>1406</v>
      </c>
    </row>
    <row r="846" s="187" customFormat="1" ht="15" spans="1:22">
      <c r="A846" s="1138"/>
      <c r="B846" s="706"/>
      <c r="C846" s="23"/>
      <c r="D846" s="21"/>
      <c r="E846" s="23" t="s">
        <v>6917</v>
      </c>
      <c r="F846" s="23" t="s">
        <v>6918</v>
      </c>
      <c r="G846" s="23"/>
      <c r="H846" s="21"/>
      <c r="I846" s="21"/>
      <c r="J846" s="21"/>
      <c r="K846" s="21"/>
      <c r="L846" s="21"/>
      <c r="M846" s="21"/>
      <c r="N846" s="21"/>
      <c r="O846" s="37">
        <v>0.514220689655172</v>
      </c>
      <c r="P846" s="22">
        <v>2.88</v>
      </c>
      <c r="Q846" s="21" t="s">
        <v>1428</v>
      </c>
      <c r="R846" s="22">
        <v>0.4</v>
      </c>
      <c r="S846" s="22">
        <f t="shared" si="21"/>
        <v>3.79422068965517</v>
      </c>
      <c r="T846" s="38"/>
      <c r="U846" s="23"/>
      <c r="V846" s="120" t="s">
        <v>1406</v>
      </c>
    </row>
    <row r="847" s="187" customFormat="1" ht="15" spans="1:22">
      <c r="A847" s="1138"/>
      <c r="B847" s="706"/>
      <c r="C847" s="23"/>
      <c r="D847" s="21"/>
      <c r="E847" s="23" t="s">
        <v>6919</v>
      </c>
      <c r="F847" s="23" t="s">
        <v>6920</v>
      </c>
      <c r="G847" s="23"/>
      <c r="H847" s="21"/>
      <c r="I847" s="21"/>
      <c r="J847" s="21"/>
      <c r="K847" s="21"/>
      <c r="L847" s="21"/>
      <c r="M847" s="21"/>
      <c r="N847" s="21"/>
      <c r="O847" s="37">
        <v>0.514220689655172</v>
      </c>
      <c r="P847" s="22">
        <v>2.88</v>
      </c>
      <c r="Q847" s="21" t="s">
        <v>1428</v>
      </c>
      <c r="R847" s="22">
        <v>0.4</v>
      </c>
      <c r="S847" s="22">
        <f t="shared" si="21"/>
        <v>3.79422068965517</v>
      </c>
      <c r="T847" s="38"/>
      <c r="U847" s="23"/>
      <c r="V847" s="120" t="s">
        <v>1406</v>
      </c>
    </row>
    <row r="848" s="187" customFormat="1" ht="15" spans="1:22">
      <c r="A848" s="1138"/>
      <c r="B848" s="706"/>
      <c r="C848" s="23"/>
      <c r="D848" s="21"/>
      <c r="E848" s="23" t="s">
        <v>6921</v>
      </c>
      <c r="F848" s="23" t="s">
        <v>6922</v>
      </c>
      <c r="G848" s="20"/>
      <c r="H848" s="21"/>
      <c r="I848" s="37"/>
      <c r="J848" s="21"/>
      <c r="K848" s="21"/>
      <c r="L848" s="21"/>
      <c r="M848" s="21"/>
      <c r="N848" s="21"/>
      <c r="O848" s="37">
        <v>0.486753864447087</v>
      </c>
      <c r="P848" s="22">
        <v>3.16256157635468</v>
      </c>
      <c r="Q848" s="21" t="s">
        <v>1428</v>
      </c>
      <c r="R848" s="22">
        <v>0.4</v>
      </c>
      <c r="S848" s="22">
        <f t="shared" si="21"/>
        <v>4.04931544080177</v>
      </c>
      <c r="T848" s="38"/>
      <c r="U848" s="20"/>
      <c r="V848" s="120" t="s">
        <v>1406</v>
      </c>
    </row>
    <row r="849" s="187" customFormat="1" ht="15" spans="1:22">
      <c r="A849" s="1138"/>
      <c r="B849" s="706"/>
      <c r="C849" s="23"/>
      <c r="D849" s="21"/>
      <c r="E849" s="23" t="s">
        <v>6923</v>
      </c>
      <c r="F849" s="23" t="s">
        <v>6924</v>
      </c>
      <c r="G849" s="23"/>
      <c r="H849" s="21"/>
      <c r="I849" s="21"/>
      <c r="J849" s="21"/>
      <c r="K849" s="21"/>
      <c r="L849" s="21"/>
      <c r="M849" s="21"/>
      <c r="N849" s="21"/>
      <c r="O849" s="37">
        <v>0.272234482758621</v>
      </c>
      <c r="P849" s="22">
        <v>3.85</v>
      </c>
      <c r="Q849" s="21" t="s">
        <v>1428</v>
      </c>
      <c r="R849" s="22">
        <v>0.4</v>
      </c>
      <c r="S849" s="22">
        <f t="shared" si="21"/>
        <v>4.52223448275862</v>
      </c>
      <c r="T849" s="38"/>
      <c r="U849" s="23"/>
      <c r="V849" s="120" t="s">
        <v>1406</v>
      </c>
    </row>
    <row r="850" s="187" customFormat="1" ht="15" spans="1:22">
      <c r="A850" s="1138"/>
      <c r="B850" s="706"/>
      <c r="C850" s="23"/>
      <c r="D850" s="21"/>
      <c r="E850" s="23">
        <v>6.8309</v>
      </c>
      <c r="F850" s="23" t="s">
        <v>6925</v>
      </c>
      <c r="G850" s="23"/>
      <c r="H850" s="21"/>
      <c r="I850" s="21"/>
      <c r="J850" s="21"/>
      <c r="K850" s="21"/>
      <c r="L850" s="21"/>
      <c r="M850" s="21"/>
      <c r="N850" s="21">
        <v>55.1</v>
      </c>
      <c r="O850" s="37">
        <v>0.272234482758621</v>
      </c>
      <c r="P850" s="22">
        <v>3.85</v>
      </c>
      <c r="Q850" s="21" t="s">
        <v>1428</v>
      </c>
      <c r="R850" s="22">
        <v>0.4</v>
      </c>
      <c r="S850" s="22">
        <f t="shared" ref="S850:S913" si="22">SUM(K850:R850)</f>
        <v>59.6222344827586</v>
      </c>
      <c r="T850" s="38"/>
      <c r="U850" s="23"/>
      <c r="V850" s="120" t="s">
        <v>1406</v>
      </c>
    </row>
    <row r="851" s="187" customFormat="1" ht="15" spans="1:22">
      <c r="A851" s="1138"/>
      <c r="B851" s="706"/>
      <c r="C851" s="23">
        <v>20250114</v>
      </c>
      <c r="D851" s="21">
        <v>7.24</v>
      </c>
      <c r="E851" s="23" t="s">
        <v>6926</v>
      </c>
      <c r="F851" s="23" t="s">
        <v>6927</v>
      </c>
      <c r="G851" s="23"/>
      <c r="H851" s="21"/>
      <c r="I851" s="21"/>
      <c r="J851" s="21"/>
      <c r="K851" s="21"/>
      <c r="L851" s="21"/>
      <c r="M851" s="21"/>
      <c r="N851" s="21"/>
      <c r="O851" s="37">
        <v>0.453822795060396</v>
      </c>
      <c r="P851" s="22">
        <v>2.11645794813897</v>
      </c>
      <c r="Q851" s="21" t="s">
        <v>1428</v>
      </c>
      <c r="R851" s="37">
        <v>0.4</v>
      </c>
      <c r="S851" s="22">
        <f t="shared" si="22"/>
        <v>2.97028074319937</v>
      </c>
      <c r="T851" s="38"/>
      <c r="U851" s="23" t="s">
        <v>6928</v>
      </c>
      <c r="V851" s="120" t="s">
        <v>1406</v>
      </c>
    </row>
    <row r="852" s="187" customFormat="1" spans="1:22">
      <c r="A852" s="1138"/>
      <c r="B852" s="706"/>
      <c r="C852" s="23"/>
      <c r="D852" s="21"/>
      <c r="E852" s="23" t="s">
        <v>6929</v>
      </c>
      <c r="F852" s="23" t="s">
        <v>6930</v>
      </c>
      <c r="G852" s="23"/>
      <c r="H852" s="21"/>
      <c r="I852" s="21"/>
      <c r="J852" s="21"/>
      <c r="K852" s="21"/>
      <c r="L852" s="21"/>
      <c r="M852" s="21"/>
      <c r="N852" s="21"/>
      <c r="O852" s="37">
        <v>0.506621369118396</v>
      </c>
      <c r="P852" s="22">
        <v>0.699507389162562</v>
      </c>
      <c r="Q852" s="21" t="s">
        <v>1428</v>
      </c>
      <c r="R852" s="22">
        <v>0.2</v>
      </c>
      <c r="S852" s="22">
        <f t="shared" si="22"/>
        <v>1.40612875828096</v>
      </c>
      <c r="T852" s="38"/>
      <c r="U852" s="23"/>
      <c r="V852" s="120" t="s">
        <v>1406</v>
      </c>
    </row>
    <row r="853" s="187" customFormat="1" spans="1:22">
      <c r="A853" s="1138"/>
      <c r="B853" s="706"/>
      <c r="C853" s="23"/>
      <c r="D853" s="21"/>
      <c r="E853" s="23" t="s">
        <v>6931</v>
      </c>
      <c r="F853" s="23" t="s">
        <v>6932</v>
      </c>
      <c r="G853" s="23"/>
      <c r="H853" s="21"/>
      <c r="I853" s="21"/>
      <c r="J853" s="21"/>
      <c r="K853" s="21"/>
      <c r="L853" s="21"/>
      <c r="M853" s="21"/>
      <c r="N853" s="21"/>
      <c r="O853" s="37">
        <v>0.377482588754884</v>
      </c>
      <c r="P853" s="22">
        <v>0.620689655172414</v>
      </c>
      <c r="Q853" s="21" t="s">
        <v>1428</v>
      </c>
      <c r="R853" s="22">
        <v>0.2</v>
      </c>
      <c r="S853" s="22">
        <f t="shared" si="22"/>
        <v>1.1981722439273</v>
      </c>
      <c r="T853" s="38"/>
      <c r="U853" s="23"/>
      <c r="V853" s="120" t="s">
        <v>1406</v>
      </c>
    </row>
    <row r="854" s="187" customFormat="1" spans="1:22">
      <c r="A854" s="1138"/>
      <c r="B854" s="707"/>
      <c r="C854" s="23"/>
      <c r="D854" s="21"/>
      <c r="E854" s="23" t="s">
        <v>914</v>
      </c>
      <c r="F854" s="23" t="s">
        <v>6933</v>
      </c>
      <c r="G854" s="23"/>
      <c r="H854" s="21"/>
      <c r="I854" s="21"/>
      <c r="J854" s="21"/>
      <c r="K854" s="21"/>
      <c r="L854" s="21"/>
      <c r="M854" s="21"/>
      <c r="N854" s="21"/>
      <c r="O854" s="37">
        <v>0.366004137931034</v>
      </c>
      <c r="P854" s="22">
        <v>0.73</v>
      </c>
      <c r="Q854" s="21" t="s">
        <v>1428</v>
      </c>
      <c r="R854" s="22">
        <v>0.2</v>
      </c>
      <c r="S854" s="22">
        <f t="shared" si="22"/>
        <v>1.29600413793103</v>
      </c>
      <c r="T854" s="38"/>
      <c r="U854" s="23"/>
      <c r="V854" s="120" t="s">
        <v>1406</v>
      </c>
    </row>
    <row r="855" s="187" customFormat="1" ht="45" spans="1:22">
      <c r="A855" s="1138"/>
      <c r="B855" s="23" t="s">
        <v>6934</v>
      </c>
      <c r="C855" s="23"/>
      <c r="D855" s="21"/>
      <c r="E855" s="23"/>
      <c r="F855" s="23" t="s">
        <v>1617</v>
      </c>
      <c r="G855" s="23" t="s">
        <v>3540</v>
      </c>
      <c r="H855" s="21" t="s">
        <v>6206</v>
      </c>
      <c r="I855" s="21" t="s">
        <v>6935</v>
      </c>
      <c r="J855" s="21" t="s">
        <v>3750</v>
      </c>
      <c r="K855" s="21" t="s">
        <v>1428</v>
      </c>
      <c r="L855" s="1148" t="s">
        <v>1428</v>
      </c>
      <c r="M855" s="138" t="s">
        <v>4671</v>
      </c>
      <c r="N855" s="21">
        <v>2</v>
      </c>
      <c r="O855" s="37">
        <v>1.63417485847909</v>
      </c>
      <c r="P855" s="22">
        <v>9.70443349753695</v>
      </c>
      <c r="Q855" s="21" t="s">
        <v>1428</v>
      </c>
      <c r="R855" s="37">
        <v>2.44551283632064</v>
      </c>
      <c r="S855" s="22">
        <f t="shared" si="22"/>
        <v>15.7841211923367</v>
      </c>
      <c r="T855" s="38" t="s">
        <v>6070</v>
      </c>
      <c r="U855" s="19" t="s">
        <v>6936</v>
      </c>
      <c r="V855" s="120" t="s">
        <v>1406</v>
      </c>
    </row>
    <row r="856" s="187" customFormat="1" ht="60" spans="1:22">
      <c r="A856" s="1138"/>
      <c r="B856" s="23"/>
      <c r="C856" s="23"/>
      <c r="D856" s="21"/>
      <c r="E856" s="23"/>
      <c r="F856" s="23" t="s">
        <v>1998</v>
      </c>
      <c r="G856" s="23" t="s">
        <v>3540</v>
      </c>
      <c r="H856" s="21" t="s">
        <v>6159</v>
      </c>
      <c r="I856" s="21" t="s">
        <v>6937</v>
      </c>
      <c r="J856" s="21" t="s">
        <v>3750</v>
      </c>
      <c r="K856" s="21" t="s">
        <v>1428</v>
      </c>
      <c r="L856" s="1148" t="s">
        <v>1428</v>
      </c>
      <c r="M856" s="138" t="s">
        <v>4671</v>
      </c>
      <c r="N856" s="21">
        <v>2</v>
      </c>
      <c r="O856" s="37">
        <v>1.63417485847909</v>
      </c>
      <c r="P856" s="22">
        <v>9.78325123152709</v>
      </c>
      <c r="Q856" s="21" t="s">
        <v>1428</v>
      </c>
      <c r="R856" s="37">
        <v>2.44551283632064</v>
      </c>
      <c r="S856" s="22">
        <f t="shared" si="22"/>
        <v>15.8629389263268</v>
      </c>
      <c r="T856" s="38" t="s">
        <v>6070</v>
      </c>
      <c r="U856" s="19" t="s">
        <v>6938</v>
      </c>
      <c r="V856" s="120" t="s">
        <v>1406</v>
      </c>
    </row>
    <row r="857" s="187" customFormat="1" ht="27" spans="1:22">
      <c r="A857" s="1138"/>
      <c r="B857" s="23"/>
      <c r="C857" s="23">
        <v>20240830</v>
      </c>
      <c r="D857" s="21">
        <v>7.24</v>
      </c>
      <c r="E857" s="23" t="s">
        <v>6939</v>
      </c>
      <c r="F857" s="23" t="s">
        <v>2427</v>
      </c>
      <c r="G857" s="23" t="s">
        <v>6940</v>
      </c>
      <c r="H857" s="21" t="s">
        <v>6159</v>
      </c>
      <c r="I857" s="21" t="s">
        <v>6941</v>
      </c>
      <c r="J857" s="21" t="s">
        <v>1720</v>
      </c>
      <c r="K857" s="21" t="s">
        <v>1428</v>
      </c>
      <c r="L857" s="1148" t="s">
        <v>1428</v>
      </c>
      <c r="M857" s="21" t="s">
        <v>1428</v>
      </c>
      <c r="N857" s="762">
        <v>2.3</v>
      </c>
      <c r="O857" s="37">
        <v>1.66401232078277</v>
      </c>
      <c r="P857" s="22">
        <v>7.5678387039617</v>
      </c>
      <c r="Q857" s="21" t="s">
        <v>1428</v>
      </c>
      <c r="R857" s="37">
        <v>2.44551283632064</v>
      </c>
      <c r="S857" s="22">
        <f t="shared" si="22"/>
        <v>13.9773638610651</v>
      </c>
      <c r="T857" s="38" t="s">
        <v>5989</v>
      </c>
      <c r="U857" s="19" t="s">
        <v>6942</v>
      </c>
      <c r="V857" s="120" t="s">
        <v>1406</v>
      </c>
    </row>
    <row r="858" s="187" customFormat="1" spans="1:22">
      <c r="A858" s="1138"/>
      <c r="B858" s="23"/>
      <c r="C858" s="23">
        <v>20240924</v>
      </c>
      <c r="D858" s="21">
        <v>7.24</v>
      </c>
      <c r="E858" s="23" t="s">
        <v>6943</v>
      </c>
      <c r="F858" s="23" t="s">
        <v>6944</v>
      </c>
      <c r="G858" s="23"/>
      <c r="H858" s="21"/>
      <c r="I858" s="21"/>
      <c r="J858" s="21"/>
      <c r="K858" s="21"/>
      <c r="L858" s="1148"/>
      <c r="M858" s="21"/>
      <c r="N858" s="21"/>
      <c r="O858" s="37">
        <v>0.258494377648378</v>
      </c>
      <c r="P858" s="22">
        <v>0.536308295506621</v>
      </c>
      <c r="Q858" s="21" t="s">
        <v>1428</v>
      </c>
      <c r="R858" s="22">
        <v>0.2</v>
      </c>
      <c r="S858" s="22">
        <f t="shared" si="22"/>
        <v>0.994802673154999</v>
      </c>
      <c r="T858" s="38"/>
      <c r="U858" s="1150" t="s">
        <v>6945</v>
      </c>
      <c r="V858" s="120"/>
    </row>
    <row r="859" s="187" customFormat="1" spans="1:22">
      <c r="A859" s="1138"/>
      <c r="B859" s="23"/>
      <c r="C859" s="23">
        <v>20240830</v>
      </c>
      <c r="D859" s="21">
        <v>7.24</v>
      </c>
      <c r="E859" s="23" t="s">
        <v>6946</v>
      </c>
      <c r="F859" s="23" t="s">
        <v>6947</v>
      </c>
      <c r="G859" s="23"/>
      <c r="H859" s="21"/>
      <c r="I859" s="21"/>
      <c r="J859" s="21"/>
      <c r="K859" s="21"/>
      <c r="L859" s="1148"/>
      <c r="M859" s="21"/>
      <c r="N859" s="21"/>
      <c r="O859" s="37">
        <v>0.312640351680812</v>
      </c>
      <c r="P859" s="22">
        <v>0.526352609478173</v>
      </c>
      <c r="Q859" s="21" t="s">
        <v>1428</v>
      </c>
      <c r="R859" s="22">
        <v>0.2</v>
      </c>
      <c r="S859" s="22">
        <f t="shared" si="22"/>
        <v>1.03899296115898</v>
      </c>
      <c r="T859" s="38"/>
      <c r="U859" s="19"/>
      <c r="V859" s="120"/>
    </row>
    <row r="860" s="187" customFormat="1" spans="1:22">
      <c r="A860" s="1138"/>
      <c r="B860" s="23"/>
      <c r="C860" s="23"/>
      <c r="D860" s="21"/>
      <c r="E860" s="23" t="s">
        <v>6948</v>
      </c>
      <c r="F860" s="23" t="s">
        <v>6949</v>
      </c>
      <c r="G860" s="23"/>
      <c r="H860" s="21"/>
      <c r="I860" s="21"/>
      <c r="J860" s="21"/>
      <c r="K860" s="21"/>
      <c r="L860" s="1148"/>
      <c r="M860" s="21"/>
      <c r="N860" s="21"/>
      <c r="O860" s="37">
        <v>0.24537686908758</v>
      </c>
      <c r="P860" s="22">
        <v>0.58705494100295</v>
      </c>
      <c r="Q860" s="21" t="s">
        <v>1428</v>
      </c>
      <c r="R860" s="22">
        <v>0.2</v>
      </c>
      <c r="S860" s="22">
        <f t="shared" si="22"/>
        <v>1.03243181009053</v>
      </c>
      <c r="T860" s="38"/>
      <c r="U860" s="19"/>
      <c r="V860" s="120" t="s">
        <v>1406</v>
      </c>
    </row>
    <row r="861" s="42" customFormat="1" spans="1:22">
      <c r="A861" s="1138"/>
      <c r="B861" s="23"/>
      <c r="C861" s="23"/>
      <c r="D861" s="21"/>
      <c r="E861" s="23" t="s">
        <v>6728</v>
      </c>
      <c r="F861" s="23" t="s">
        <v>5872</v>
      </c>
      <c r="G861" s="20"/>
      <c r="H861" s="37"/>
      <c r="I861" s="37"/>
      <c r="J861" s="21"/>
      <c r="K861" s="21"/>
      <c r="L861" s="21"/>
      <c r="M861" s="21"/>
      <c r="N861" s="21"/>
      <c r="O861" s="37">
        <v>0.558766317241379</v>
      </c>
      <c r="P861" s="22">
        <v>2.5853</v>
      </c>
      <c r="Q861" s="21" t="s">
        <v>1428</v>
      </c>
      <c r="R861" s="22">
        <v>0.26</v>
      </c>
      <c r="S861" s="22">
        <f t="shared" si="22"/>
        <v>3.40406631724138</v>
      </c>
      <c r="T861" s="38"/>
      <c r="U861" s="20"/>
      <c r="V861" s="120" t="s">
        <v>1406</v>
      </c>
    </row>
    <row r="862" s="42" customFormat="1" spans="1:22">
      <c r="A862" s="1138"/>
      <c r="B862" s="23"/>
      <c r="C862" s="23"/>
      <c r="D862" s="21"/>
      <c r="E862" s="23" t="s">
        <v>6720</v>
      </c>
      <c r="F862" s="20" t="s">
        <v>5871</v>
      </c>
      <c r="G862" s="20"/>
      <c r="H862" s="21"/>
      <c r="I862" s="21"/>
      <c r="J862" s="21"/>
      <c r="K862" s="21"/>
      <c r="L862" s="21"/>
      <c r="M862" s="21"/>
      <c r="N862" s="21"/>
      <c r="O862" s="37">
        <v>0.501647489655172</v>
      </c>
      <c r="P862" s="22">
        <v>0.8885</v>
      </c>
      <c r="Q862" s="21" t="s">
        <v>1428</v>
      </c>
      <c r="R862" s="22">
        <v>0.2</v>
      </c>
      <c r="S862" s="22">
        <f t="shared" si="22"/>
        <v>1.59014748965517</v>
      </c>
      <c r="T862" s="23"/>
      <c r="U862" s="20"/>
      <c r="V862" s="120" t="s">
        <v>1406</v>
      </c>
    </row>
    <row r="863" s="187" customFormat="1" ht="15" spans="1:22">
      <c r="A863" s="1138"/>
      <c r="B863" s="23" t="s">
        <v>6950</v>
      </c>
      <c r="C863" s="23"/>
      <c r="D863" s="21"/>
      <c r="E863" s="23"/>
      <c r="F863" s="23" t="s">
        <v>1998</v>
      </c>
      <c r="G863" s="23" t="s">
        <v>3540</v>
      </c>
      <c r="H863" s="21" t="s">
        <v>6159</v>
      </c>
      <c r="I863" s="21" t="s">
        <v>5877</v>
      </c>
      <c r="J863" s="21" t="s">
        <v>6951</v>
      </c>
      <c r="K863" s="21" t="s">
        <v>1428</v>
      </c>
      <c r="L863" s="21" t="s">
        <v>1428</v>
      </c>
      <c r="M863" s="21" t="s">
        <v>1428</v>
      </c>
      <c r="N863" s="21">
        <v>2</v>
      </c>
      <c r="O863" s="37">
        <v>3.55796460176991</v>
      </c>
      <c r="P863" s="22">
        <v>9.52709359605911</v>
      </c>
      <c r="Q863" s="21" t="s">
        <v>1428</v>
      </c>
      <c r="R863" s="37">
        <v>2.13292848882099</v>
      </c>
      <c r="S863" s="22">
        <f t="shared" si="22"/>
        <v>17.21798668665</v>
      </c>
      <c r="T863" s="38" t="s">
        <v>5878</v>
      </c>
      <c r="U863" s="20" t="s">
        <v>6864</v>
      </c>
      <c r="V863" s="120" t="s">
        <v>1406</v>
      </c>
    </row>
    <row r="864" s="187" customFormat="1" spans="1:22">
      <c r="A864" s="1138"/>
      <c r="B864" s="23"/>
      <c r="C864" s="23"/>
      <c r="D864" s="21"/>
      <c r="E864" s="23" t="s">
        <v>6952</v>
      </c>
      <c r="F864" s="23" t="s">
        <v>6953</v>
      </c>
      <c r="G864" s="23"/>
      <c r="H864" s="21"/>
      <c r="I864" s="21"/>
      <c r="J864" s="21"/>
      <c r="K864" s="21"/>
      <c r="L864" s="21"/>
      <c r="M864" s="21"/>
      <c r="N864" s="21"/>
      <c r="O864" s="37">
        <v>0.317880074740955</v>
      </c>
      <c r="P864" s="22">
        <v>0.66</v>
      </c>
      <c r="Q864" s="21" t="s">
        <v>1428</v>
      </c>
      <c r="R864" s="22">
        <v>0.2</v>
      </c>
      <c r="S864" s="22">
        <f t="shared" si="22"/>
        <v>1.17788007474096</v>
      </c>
      <c r="T864" s="38"/>
      <c r="U864" s="20"/>
      <c r="V864" s="120" t="s">
        <v>1406</v>
      </c>
    </row>
    <row r="865" s="187" customFormat="1" ht="15" spans="1:22">
      <c r="A865" s="1138"/>
      <c r="B865" s="23"/>
      <c r="C865" s="23"/>
      <c r="D865" s="21"/>
      <c r="E865" s="23" t="s">
        <v>6954</v>
      </c>
      <c r="F865" s="23" t="s">
        <v>6955</v>
      </c>
      <c r="G865" s="23"/>
      <c r="H865" s="21"/>
      <c r="I865" s="21"/>
      <c r="J865" s="21"/>
      <c r="K865" s="21"/>
      <c r="L865" s="21"/>
      <c r="M865" s="21"/>
      <c r="N865" s="21"/>
      <c r="O865" s="37">
        <v>1.00330898590114</v>
      </c>
      <c r="P865" s="22">
        <v>0.788177339901478</v>
      </c>
      <c r="Q865" s="21" t="s">
        <v>1428</v>
      </c>
      <c r="R865" s="22">
        <v>0.2</v>
      </c>
      <c r="S865" s="22">
        <f t="shared" si="22"/>
        <v>1.99148632580262</v>
      </c>
      <c r="T865" s="38"/>
      <c r="U865" s="20"/>
      <c r="V865" s="120" t="s">
        <v>1406</v>
      </c>
    </row>
    <row r="866" s="187" customFormat="1" ht="15" spans="1:22">
      <c r="A866" s="1138"/>
      <c r="B866" s="23"/>
      <c r="C866" s="23"/>
      <c r="D866" s="21"/>
      <c r="E866" s="23" t="s">
        <v>6956</v>
      </c>
      <c r="F866" s="23" t="s">
        <v>6957</v>
      </c>
      <c r="G866" s="23"/>
      <c r="H866" s="21"/>
      <c r="I866" s="21"/>
      <c r="J866" s="21"/>
      <c r="K866" s="21"/>
      <c r="L866" s="21"/>
      <c r="M866" s="21"/>
      <c r="N866" s="21"/>
      <c r="O866" s="37">
        <v>1.00330898590114</v>
      </c>
      <c r="P866" s="22">
        <v>0.788177339901478</v>
      </c>
      <c r="Q866" s="21" t="s">
        <v>1428</v>
      </c>
      <c r="R866" s="22">
        <v>0.2</v>
      </c>
      <c r="S866" s="22">
        <f t="shared" si="22"/>
        <v>1.99148632580262</v>
      </c>
      <c r="T866" s="38"/>
      <c r="U866" s="20"/>
      <c r="V866" s="120" t="s">
        <v>1406</v>
      </c>
    </row>
    <row r="867" s="187" customFormat="1" ht="15" spans="1:22">
      <c r="A867" s="1138"/>
      <c r="B867" s="23"/>
      <c r="C867" s="23"/>
      <c r="D867" s="21"/>
      <c r="E867" s="23" t="s">
        <v>6958</v>
      </c>
      <c r="F867" s="23" t="s">
        <v>6959</v>
      </c>
      <c r="G867" s="23"/>
      <c r="H867" s="21"/>
      <c r="I867" s="21"/>
      <c r="J867" s="21"/>
      <c r="K867" s="21"/>
      <c r="L867" s="21"/>
      <c r="M867" s="21"/>
      <c r="N867" s="21"/>
      <c r="O867" s="37">
        <v>0.322648275862069</v>
      </c>
      <c r="P867" s="22">
        <v>0.68</v>
      </c>
      <c r="Q867" s="21" t="s">
        <v>1428</v>
      </c>
      <c r="R867" s="22">
        <v>0.2</v>
      </c>
      <c r="S867" s="22">
        <f t="shared" si="22"/>
        <v>1.20264827586207</v>
      </c>
      <c r="T867" s="38"/>
      <c r="U867" s="20"/>
      <c r="V867" s="120" t="s">
        <v>1406</v>
      </c>
    </row>
    <row r="868" s="187" customFormat="1" ht="15" spans="1:22">
      <c r="A868" s="1138"/>
      <c r="B868" s="23"/>
      <c r="C868" s="23"/>
      <c r="D868" s="21"/>
      <c r="E868" s="23" t="s">
        <v>908</v>
      </c>
      <c r="F868" s="23" t="s">
        <v>3888</v>
      </c>
      <c r="G868" s="23"/>
      <c r="H868" s="21"/>
      <c r="I868" s="21"/>
      <c r="J868" s="21"/>
      <c r="K868" s="21"/>
      <c r="L868" s="21"/>
      <c r="M868" s="21"/>
      <c r="N868" s="21"/>
      <c r="O868" s="37">
        <v>0.367548836419229</v>
      </c>
      <c r="P868" s="22">
        <v>0.729064039408867</v>
      </c>
      <c r="Q868" s="21" t="s">
        <v>1428</v>
      </c>
      <c r="R868" s="22">
        <v>0.2</v>
      </c>
      <c r="S868" s="22">
        <f t="shared" si="22"/>
        <v>1.2966128758281</v>
      </c>
      <c r="T868" s="38"/>
      <c r="U868" s="20"/>
      <c r="V868" s="120" t="s">
        <v>1406</v>
      </c>
    </row>
    <row r="869" s="187" customFormat="1" ht="15" spans="1:22">
      <c r="A869" s="1138"/>
      <c r="B869" s="23"/>
      <c r="C869" s="23"/>
      <c r="D869" s="21"/>
      <c r="E869" s="23" t="s">
        <v>6960</v>
      </c>
      <c r="F869" s="23" t="s">
        <v>6961</v>
      </c>
      <c r="G869" s="23"/>
      <c r="H869" s="21"/>
      <c r="I869" s="21"/>
      <c r="J869" s="21"/>
      <c r="K869" s="21"/>
      <c r="L869" s="21"/>
      <c r="M869" s="21"/>
      <c r="N869" s="21"/>
      <c r="O869" s="37">
        <v>0.756206896551724</v>
      </c>
      <c r="P869" s="22">
        <v>3.76</v>
      </c>
      <c r="Q869" s="21" t="s">
        <v>1428</v>
      </c>
      <c r="R869" s="22">
        <v>0.4</v>
      </c>
      <c r="S869" s="22">
        <f t="shared" si="22"/>
        <v>4.91620689655172</v>
      </c>
      <c r="T869" s="38"/>
      <c r="U869" s="23"/>
      <c r="V869" s="120" t="s">
        <v>1406</v>
      </c>
    </row>
    <row r="870" s="187" customFormat="1" spans="1:22">
      <c r="A870" s="1138"/>
      <c r="B870" s="23"/>
      <c r="C870" s="23"/>
      <c r="D870" s="21"/>
      <c r="E870" s="23" t="s">
        <v>6962</v>
      </c>
      <c r="F870" s="23" t="s">
        <v>6963</v>
      </c>
      <c r="G870" s="23"/>
      <c r="H870" s="21"/>
      <c r="I870" s="21"/>
      <c r="J870" s="21"/>
      <c r="K870" s="21"/>
      <c r="L870" s="21"/>
      <c r="M870" s="21"/>
      <c r="N870" s="21"/>
      <c r="O870" s="37">
        <v>0.756206896551724</v>
      </c>
      <c r="P870" s="22">
        <v>4.56</v>
      </c>
      <c r="Q870" s="21" t="s">
        <v>1428</v>
      </c>
      <c r="R870" s="22">
        <v>0.4</v>
      </c>
      <c r="S870" s="22">
        <f t="shared" si="22"/>
        <v>5.71620689655172</v>
      </c>
      <c r="T870" s="38"/>
      <c r="U870" s="23"/>
      <c r="V870" s="120" t="s">
        <v>1406</v>
      </c>
    </row>
    <row r="871" s="187" customFormat="1" ht="15" spans="1:22">
      <c r="A871" s="1138"/>
      <c r="B871" s="23"/>
      <c r="C871" s="23"/>
      <c r="D871" s="21"/>
      <c r="E871" s="23" t="s">
        <v>6964</v>
      </c>
      <c r="F871" s="23" t="s">
        <v>6965</v>
      </c>
      <c r="G871" s="23"/>
      <c r="H871" s="21"/>
      <c r="I871" s="21"/>
      <c r="J871" s="21"/>
      <c r="K871" s="21"/>
      <c r="L871" s="21"/>
      <c r="M871" s="21"/>
      <c r="N871" s="21"/>
      <c r="O871" s="37">
        <v>1.00330898590114</v>
      </c>
      <c r="P871" s="22">
        <v>0.807881773399015</v>
      </c>
      <c r="Q871" s="21" t="s">
        <v>1428</v>
      </c>
      <c r="R871" s="22">
        <v>0.2</v>
      </c>
      <c r="S871" s="22">
        <f t="shared" si="22"/>
        <v>2.01119075930016</v>
      </c>
      <c r="T871" s="38"/>
      <c r="U871" s="23"/>
      <c r="V871" s="120" t="s">
        <v>1406</v>
      </c>
    </row>
    <row r="872" s="187" customFormat="1" ht="15" spans="1:22">
      <c r="A872" s="1138"/>
      <c r="B872" s="23"/>
      <c r="C872" s="23"/>
      <c r="D872" s="21"/>
      <c r="E872" s="23" t="s">
        <v>6966</v>
      </c>
      <c r="F872" s="23" t="s">
        <v>6967</v>
      </c>
      <c r="G872" s="23"/>
      <c r="H872" s="21"/>
      <c r="I872" s="21"/>
      <c r="J872" s="21"/>
      <c r="K872" s="21"/>
      <c r="L872" s="21"/>
      <c r="M872" s="21"/>
      <c r="N872" s="21"/>
      <c r="O872" s="37">
        <v>1.00330898590114</v>
      </c>
      <c r="P872" s="22">
        <v>0.788177339901478</v>
      </c>
      <c r="Q872" s="21" t="s">
        <v>1428</v>
      </c>
      <c r="R872" s="22">
        <v>0.2</v>
      </c>
      <c r="S872" s="22">
        <f t="shared" si="22"/>
        <v>1.99148632580262</v>
      </c>
      <c r="T872" s="38"/>
      <c r="U872" s="23"/>
      <c r="V872" s="120" t="s">
        <v>1406</v>
      </c>
    </row>
    <row r="873" s="187" customFormat="1" spans="1:22">
      <c r="A873" s="1138"/>
      <c r="B873" s="23"/>
      <c r="C873" s="23"/>
      <c r="D873" s="21"/>
      <c r="E873" s="23" t="s">
        <v>6968</v>
      </c>
      <c r="F873" s="23" t="s">
        <v>6969</v>
      </c>
      <c r="G873" s="23"/>
      <c r="H873" s="21"/>
      <c r="I873" s="21"/>
      <c r="J873" s="21"/>
      <c r="K873" s="21"/>
      <c r="L873" s="21"/>
      <c r="M873" s="21"/>
      <c r="N873" s="21"/>
      <c r="O873" s="37">
        <v>0.352896551724138</v>
      </c>
      <c r="P873" s="22">
        <v>0.81</v>
      </c>
      <c r="Q873" s="21" t="s">
        <v>1428</v>
      </c>
      <c r="R873" s="22">
        <v>0.2</v>
      </c>
      <c r="S873" s="22">
        <f t="shared" si="22"/>
        <v>1.36289655172414</v>
      </c>
      <c r="T873" s="38"/>
      <c r="U873" s="23"/>
      <c r="V873" s="120" t="s">
        <v>1406</v>
      </c>
    </row>
    <row r="874" s="187" customFormat="1" ht="15" spans="1:22">
      <c r="A874" s="1138"/>
      <c r="B874" s="23"/>
      <c r="C874" s="23"/>
      <c r="D874" s="21"/>
      <c r="E874" s="23" t="s">
        <v>6970</v>
      </c>
      <c r="F874" s="23" t="s">
        <v>6971</v>
      </c>
      <c r="G874" s="23"/>
      <c r="H874" s="21"/>
      <c r="I874" s="21"/>
      <c r="J874" s="21"/>
      <c r="K874" s="21"/>
      <c r="L874" s="21"/>
      <c r="M874" s="21"/>
      <c r="N874" s="21"/>
      <c r="O874" s="37">
        <v>0.625131034482759</v>
      </c>
      <c r="P874" s="22">
        <v>1.15</v>
      </c>
      <c r="Q874" s="21" t="s">
        <v>1428</v>
      </c>
      <c r="R874" s="22">
        <v>0.2</v>
      </c>
      <c r="S874" s="22">
        <f t="shared" si="22"/>
        <v>1.97513103448276</v>
      </c>
      <c r="T874" s="38"/>
      <c r="U874" s="23"/>
      <c r="V874" s="120" t="s">
        <v>1406</v>
      </c>
    </row>
    <row r="875" s="187" customFormat="1" spans="1:22">
      <c r="A875" s="1138"/>
      <c r="B875" s="23"/>
      <c r="C875" s="23"/>
      <c r="D875" s="21"/>
      <c r="E875" s="23" t="s">
        <v>6972</v>
      </c>
      <c r="F875" s="23" t="s">
        <v>6973</v>
      </c>
      <c r="G875" s="23"/>
      <c r="H875" s="21"/>
      <c r="I875" s="21"/>
      <c r="J875" s="21"/>
      <c r="K875" s="21"/>
      <c r="L875" s="21"/>
      <c r="M875" s="21"/>
      <c r="N875" s="21"/>
      <c r="O875" s="37">
        <v>0.322648275862069</v>
      </c>
      <c r="P875" s="22">
        <v>0.9</v>
      </c>
      <c r="Q875" s="21" t="s">
        <v>1428</v>
      </c>
      <c r="R875" s="22">
        <v>0.2</v>
      </c>
      <c r="S875" s="22">
        <f t="shared" si="22"/>
        <v>1.42264827586207</v>
      </c>
      <c r="T875" s="38"/>
      <c r="U875" s="23"/>
      <c r="V875" s="120" t="s">
        <v>1406</v>
      </c>
    </row>
    <row r="876" s="187" customFormat="1" spans="1:22">
      <c r="A876" s="1138"/>
      <c r="B876" s="23"/>
      <c r="C876" s="23"/>
      <c r="D876" s="21"/>
      <c r="E876" s="23" t="s">
        <v>912</v>
      </c>
      <c r="F876" s="23" t="s">
        <v>913</v>
      </c>
      <c r="G876" s="20"/>
      <c r="H876" s="21"/>
      <c r="I876" s="37"/>
      <c r="J876" s="21"/>
      <c r="K876" s="21"/>
      <c r="L876" s="21"/>
      <c r="M876" s="21"/>
      <c r="N876" s="21"/>
      <c r="O876" s="37">
        <v>0.465823448275862</v>
      </c>
      <c r="P876" s="22">
        <v>0.73</v>
      </c>
      <c r="Q876" s="21" t="s">
        <v>1428</v>
      </c>
      <c r="R876" s="22">
        <v>0.4</v>
      </c>
      <c r="S876" s="22">
        <f t="shared" si="22"/>
        <v>1.59582344827586</v>
      </c>
      <c r="T876" s="38"/>
      <c r="U876" s="20"/>
      <c r="V876" s="120" t="s">
        <v>1406</v>
      </c>
    </row>
    <row r="877" s="187" customFormat="1" spans="1:22">
      <c r="A877" s="1138"/>
      <c r="B877" s="23"/>
      <c r="C877" s="23"/>
      <c r="D877" s="21"/>
      <c r="E877" s="23" t="s">
        <v>914</v>
      </c>
      <c r="F877" s="23" t="s">
        <v>915</v>
      </c>
      <c r="G877" s="23"/>
      <c r="H877" s="21"/>
      <c r="I877" s="21"/>
      <c r="J877" s="21"/>
      <c r="K877" s="21"/>
      <c r="L877" s="21"/>
      <c r="M877" s="21"/>
      <c r="N877" s="21"/>
      <c r="O877" s="37">
        <v>0.366004137931034</v>
      </c>
      <c r="P877" s="22">
        <v>0.73</v>
      </c>
      <c r="Q877" s="21" t="s">
        <v>1428</v>
      </c>
      <c r="R877" s="22">
        <v>0.2</v>
      </c>
      <c r="S877" s="22">
        <f t="shared" si="22"/>
        <v>1.29600413793103</v>
      </c>
      <c r="T877" s="38"/>
      <c r="U877" s="23"/>
      <c r="V877" s="120" t="s">
        <v>1406</v>
      </c>
    </row>
    <row r="878" s="42" customFormat="1" ht="15" spans="1:22">
      <c r="A878" s="1138"/>
      <c r="B878" s="819" t="s">
        <v>6974</v>
      </c>
      <c r="C878" s="23"/>
      <c r="D878" s="21"/>
      <c r="E878" s="23"/>
      <c r="F878" s="35" t="s">
        <v>1617</v>
      </c>
      <c r="G878" s="35" t="s">
        <v>3540</v>
      </c>
      <c r="H878" s="757" t="s">
        <v>6149</v>
      </c>
      <c r="I878" s="21" t="s">
        <v>4580</v>
      </c>
      <c r="J878" s="21" t="s">
        <v>5813</v>
      </c>
      <c r="K878" s="21" t="s">
        <v>1428</v>
      </c>
      <c r="L878" s="21">
        <v>8</v>
      </c>
      <c r="M878" s="138" t="s">
        <v>4671</v>
      </c>
      <c r="N878" s="21" t="s">
        <v>1428</v>
      </c>
      <c r="O878" s="37">
        <v>2.47745106498643</v>
      </c>
      <c r="P878" s="22">
        <v>9.60591133004926</v>
      </c>
      <c r="Q878" s="21" t="s">
        <v>1428</v>
      </c>
      <c r="R878" s="37">
        <v>2.399625</v>
      </c>
      <c r="S878" s="22">
        <f t="shared" si="22"/>
        <v>22.4829873950357</v>
      </c>
      <c r="T878" s="756" t="s">
        <v>4596</v>
      </c>
      <c r="U878" s="23" t="s">
        <v>6975</v>
      </c>
      <c r="V878" s="120"/>
    </row>
    <row r="879" s="42" customFormat="1" ht="15" spans="1:22">
      <c r="A879" s="1138"/>
      <c r="B879" s="819"/>
      <c r="C879" s="23"/>
      <c r="D879" s="21"/>
      <c r="E879" s="23"/>
      <c r="F879" s="35" t="s">
        <v>1571</v>
      </c>
      <c r="G879" s="35" t="s">
        <v>3540</v>
      </c>
      <c r="H879" s="703" t="s">
        <v>6976</v>
      </c>
      <c r="I879" s="21" t="s">
        <v>3711</v>
      </c>
      <c r="J879" s="21" t="s">
        <v>3874</v>
      </c>
      <c r="K879" s="21" t="s">
        <v>1428</v>
      </c>
      <c r="L879" s="21" t="s">
        <v>1428</v>
      </c>
      <c r="M879" s="138" t="s">
        <v>4671</v>
      </c>
      <c r="N879" s="21">
        <v>2.5</v>
      </c>
      <c r="O879" s="37">
        <v>2.47745106498643</v>
      </c>
      <c r="P879" s="22">
        <v>7.97201250630994</v>
      </c>
      <c r="Q879" s="21" t="s">
        <v>1428</v>
      </c>
      <c r="R879" s="37">
        <v>2.399625</v>
      </c>
      <c r="S879" s="22">
        <f t="shared" si="22"/>
        <v>15.3490885712964</v>
      </c>
      <c r="T879" s="756" t="s">
        <v>4678</v>
      </c>
      <c r="U879" s="23" t="s">
        <v>6977</v>
      </c>
      <c r="V879" s="120"/>
    </row>
    <row r="880" s="42" customFormat="1" ht="15" spans="1:22">
      <c r="A880" s="1138"/>
      <c r="B880" s="819"/>
      <c r="C880" s="23"/>
      <c r="D880" s="21"/>
      <c r="E880" s="23"/>
      <c r="F880" s="35" t="s">
        <v>1998</v>
      </c>
      <c r="G880" s="35" t="s">
        <v>3540</v>
      </c>
      <c r="H880" s="757" t="s">
        <v>6159</v>
      </c>
      <c r="I880" s="21" t="s">
        <v>4592</v>
      </c>
      <c r="J880" s="21" t="s">
        <v>6978</v>
      </c>
      <c r="K880" s="21" t="s">
        <v>1428</v>
      </c>
      <c r="L880" s="21">
        <v>8</v>
      </c>
      <c r="M880" s="138" t="s">
        <v>4671</v>
      </c>
      <c r="N880" s="21">
        <v>12.5</v>
      </c>
      <c r="O880" s="37">
        <v>2.47745106498643</v>
      </c>
      <c r="P880" s="22">
        <v>7.31485778055878</v>
      </c>
      <c r="Q880" s="21" t="s">
        <v>1428</v>
      </c>
      <c r="R880" s="37">
        <v>2.399625</v>
      </c>
      <c r="S880" s="22">
        <f t="shared" si="22"/>
        <v>32.6919338455452</v>
      </c>
      <c r="T880" s="756" t="s">
        <v>4596</v>
      </c>
      <c r="U880" s="20" t="s">
        <v>6979</v>
      </c>
      <c r="V880" s="120"/>
    </row>
    <row r="881" s="42" customFormat="1" ht="15" spans="1:22">
      <c r="A881" s="1138"/>
      <c r="B881" s="872"/>
      <c r="C881" s="23"/>
      <c r="D881" s="21"/>
      <c r="E881" s="23"/>
      <c r="F881" s="35" t="s">
        <v>1581</v>
      </c>
      <c r="G881" s="35" t="s">
        <v>3540</v>
      </c>
      <c r="H881" s="757" t="s">
        <v>6159</v>
      </c>
      <c r="I881" s="21" t="s">
        <v>5877</v>
      </c>
      <c r="J881" s="21" t="s">
        <v>1720</v>
      </c>
      <c r="K881" s="21" t="s">
        <v>1428</v>
      </c>
      <c r="L881" s="21">
        <v>8</v>
      </c>
      <c r="M881" s="21" t="s">
        <v>1428</v>
      </c>
      <c r="N881" s="762">
        <v>2.3</v>
      </c>
      <c r="O881" s="37">
        <v>2.47745106498643</v>
      </c>
      <c r="P881" s="22">
        <v>7.33968079163965</v>
      </c>
      <c r="Q881" s="21" t="s">
        <v>1428</v>
      </c>
      <c r="R881" s="37">
        <v>2.399625</v>
      </c>
      <c r="S881" s="22">
        <f t="shared" si="22"/>
        <v>22.5167568566261</v>
      </c>
      <c r="T881" s="756" t="s">
        <v>3922</v>
      </c>
      <c r="U881" s="20" t="s">
        <v>6980</v>
      </c>
      <c r="V881" s="120"/>
    </row>
    <row r="882" s="42" customFormat="1" ht="15" spans="1:22">
      <c r="A882" s="1138"/>
      <c r="B882" s="872"/>
      <c r="C882" s="23">
        <v>20240424</v>
      </c>
      <c r="D882" s="21">
        <v>7.24</v>
      </c>
      <c r="E882" s="23" t="s">
        <v>6981</v>
      </c>
      <c r="F882" s="35" t="s">
        <v>1558</v>
      </c>
      <c r="G882" s="35" t="s">
        <v>3540</v>
      </c>
      <c r="H882" s="1151" t="s">
        <v>6159</v>
      </c>
      <c r="I882" s="21" t="s">
        <v>5877</v>
      </c>
      <c r="J882" s="21" t="s">
        <v>2955</v>
      </c>
      <c r="K882" s="21" t="s">
        <v>1428</v>
      </c>
      <c r="L882" s="21">
        <v>8</v>
      </c>
      <c r="M882" s="21" t="s">
        <v>1428</v>
      </c>
      <c r="N882" s="21">
        <v>2.5</v>
      </c>
      <c r="O882" s="37">
        <v>2.47745106498643</v>
      </c>
      <c r="P882" s="22">
        <v>6.3458543704291</v>
      </c>
      <c r="Q882" s="21" t="s">
        <v>1428</v>
      </c>
      <c r="R882" s="37">
        <v>2.399625</v>
      </c>
      <c r="S882" s="22">
        <f t="shared" si="22"/>
        <v>21.7229304354155</v>
      </c>
      <c r="T882" s="756" t="s">
        <v>3922</v>
      </c>
      <c r="U882" s="20" t="s">
        <v>6980</v>
      </c>
      <c r="V882" s="120"/>
    </row>
    <row r="883" s="42" customFormat="1" ht="15" spans="1:22">
      <c r="A883" s="1138"/>
      <c r="B883" s="872"/>
      <c r="C883" s="23">
        <v>20240912</v>
      </c>
      <c r="D883" s="21">
        <v>7.24</v>
      </c>
      <c r="E883" s="23" t="s">
        <v>6982</v>
      </c>
      <c r="F883" s="35" t="s">
        <v>2314</v>
      </c>
      <c r="G883" s="35" t="s">
        <v>6983</v>
      </c>
      <c r="H883" s="1151" t="s">
        <v>6159</v>
      </c>
      <c r="I883" s="21" t="s">
        <v>5877</v>
      </c>
      <c r="J883" s="21" t="s">
        <v>1720</v>
      </c>
      <c r="K883" s="21" t="s">
        <v>1428</v>
      </c>
      <c r="L883" s="21">
        <v>8</v>
      </c>
      <c r="M883" s="21" t="s">
        <v>1428</v>
      </c>
      <c r="N883" s="762">
        <v>2.3</v>
      </c>
      <c r="O883" s="37">
        <v>2.47745106498643</v>
      </c>
      <c r="P883" s="22">
        <v>6.13787451157149</v>
      </c>
      <c r="Q883" s="21" t="s">
        <v>1428</v>
      </c>
      <c r="R883" s="37">
        <v>2.399625</v>
      </c>
      <c r="S883" s="22">
        <f t="shared" si="22"/>
        <v>21.3149505765579</v>
      </c>
      <c r="T883" s="756" t="s">
        <v>3922</v>
      </c>
      <c r="U883" s="20" t="s">
        <v>6980</v>
      </c>
      <c r="V883" s="120"/>
    </row>
    <row r="884" s="42" customFormat="1" ht="15" spans="1:22">
      <c r="A884" s="1138"/>
      <c r="B884" s="872"/>
      <c r="C884" s="23">
        <v>20240815</v>
      </c>
      <c r="D884" s="21">
        <v>7.24</v>
      </c>
      <c r="E884" s="23" t="s">
        <v>6984</v>
      </c>
      <c r="F884" s="35" t="s">
        <v>2459</v>
      </c>
      <c r="G884" s="35" t="s">
        <v>6983</v>
      </c>
      <c r="H884" s="1151" t="s">
        <v>6159</v>
      </c>
      <c r="I884" s="21" t="s">
        <v>3909</v>
      </c>
      <c r="J884" s="21" t="s">
        <v>1720</v>
      </c>
      <c r="K884" s="21" t="s">
        <v>1428</v>
      </c>
      <c r="L884" s="21">
        <f t="shared" ref="L884:L887" si="23">8*2</f>
        <v>16</v>
      </c>
      <c r="M884" s="21" t="s">
        <v>1428</v>
      </c>
      <c r="N884" s="762">
        <v>2.3</v>
      </c>
      <c r="O884" s="37">
        <v>2.47745106498643</v>
      </c>
      <c r="P884" s="22">
        <v>6.13138082413849</v>
      </c>
      <c r="Q884" s="21" t="s">
        <v>1428</v>
      </c>
      <c r="R884" s="37">
        <v>2.399625</v>
      </c>
      <c r="S884" s="22">
        <f t="shared" si="22"/>
        <v>29.3084568891249</v>
      </c>
      <c r="T884" s="756" t="s">
        <v>3922</v>
      </c>
      <c r="U884" s="20" t="s">
        <v>6980</v>
      </c>
      <c r="V884" s="120"/>
    </row>
    <row r="885" s="42" customFormat="1" ht="15" spans="1:22">
      <c r="A885" s="1138"/>
      <c r="B885" s="872"/>
      <c r="C885" s="23">
        <v>20240815</v>
      </c>
      <c r="D885" s="21">
        <v>7.24</v>
      </c>
      <c r="E885" s="23" t="s">
        <v>6985</v>
      </c>
      <c r="F885" s="35" t="s">
        <v>1723</v>
      </c>
      <c r="G885" s="35" t="s">
        <v>6983</v>
      </c>
      <c r="H885" s="1151" t="s">
        <v>6159</v>
      </c>
      <c r="I885" s="21" t="s">
        <v>3909</v>
      </c>
      <c r="J885" s="21" t="s">
        <v>1720</v>
      </c>
      <c r="K885" s="21" t="s">
        <v>1428</v>
      </c>
      <c r="L885" s="21">
        <f t="shared" si="23"/>
        <v>16</v>
      </c>
      <c r="M885" s="21" t="s">
        <v>1428</v>
      </c>
      <c r="N885" s="762">
        <v>2.3</v>
      </c>
      <c r="O885" s="37">
        <v>2.47745106498643</v>
      </c>
      <c r="P885" s="22">
        <v>6.13784972650496</v>
      </c>
      <c r="Q885" s="21" t="s">
        <v>1428</v>
      </c>
      <c r="R885" s="37">
        <v>2.399625</v>
      </c>
      <c r="S885" s="22">
        <f t="shared" si="22"/>
        <v>29.3149257914914</v>
      </c>
      <c r="T885" s="756" t="s">
        <v>3922</v>
      </c>
      <c r="U885" s="20" t="s">
        <v>6980</v>
      </c>
      <c r="V885" s="120"/>
    </row>
    <row r="886" s="42" customFormat="1" ht="15" spans="1:22">
      <c r="A886" s="1138"/>
      <c r="B886" s="872"/>
      <c r="C886" s="23">
        <v>20240815</v>
      </c>
      <c r="D886" s="21">
        <v>7.24</v>
      </c>
      <c r="E886" s="23" t="s">
        <v>6986</v>
      </c>
      <c r="F886" s="35" t="s">
        <v>1587</v>
      </c>
      <c r="G886" s="35" t="s">
        <v>6983</v>
      </c>
      <c r="H886" s="1151" t="s">
        <v>6159</v>
      </c>
      <c r="I886" s="21" t="s">
        <v>4592</v>
      </c>
      <c r="J886" s="21" t="s">
        <v>1720</v>
      </c>
      <c r="K886" s="21" t="s">
        <v>1428</v>
      </c>
      <c r="L886" s="21">
        <v>8</v>
      </c>
      <c r="M886" s="138" t="s">
        <v>4671</v>
      </c>
      <c r="N886" s="762">
        <v>2.3</v>
      </c>
      <c r="O886" s="37">
        <v>2.47745106498643</v>
      </c>
      <c r="P886" s="22">
        <v>6.10470716601575</v>
      </c>
      <c r="Q886" s="21" t="s">
        <v>1428</v>
      </c>
      <c r="R886" s="37">
        <v>2.399625</v>
      </c>
      <c r="S886" s="22">
        <f t="shared" si="22"/>
        <v>21.2817832310022</v>
      </c>
      <c r="T886" s="756" t="s">
        <v>4596</v>
      </c>
      <c r="U886" s="20" t="s">
        <v>6987</v>
      </c>
      <c r="V886" s="120"/>
    </row>
    <row r="887" s="42" customFormat="1" ht="15" spans="1:22">
      <c r="A887" s="1138"/>
      <c r="B887" s="872"/>
      <c r="C887" s="23">
        <v>20240815</v>
      </c>
      <c r="D887" s="21">
        <v>7.24</v>
      </c>
      <c r="E887" s="23" t="s">
        <v>6988</v>
      </c>
      <c r="F887" s="35" t="s">
        <v>1591</v>
      </c>
      <c r="G887" s="35" t="s">
        <v>6983</v>
      </c>
      <c r="H887" s="1151" t="s">
        <v>6159</v>
      </c>
      <c r="I887" s="21" t="s">
        <v>3909</v>
      </c>
      <c r="J887" s="21" t="s">
        <v>1720</v>
      </c>
      <c r="K887" s="21" t="s">
        <v>1428</v>
      </c>
      <c r="L887" s="21">
        <f t="shared" si="23"/>
        <v>16</v>
      </c>
      <c r="M887" s="21" t="s">
        <v>1428</v>
      </c>
      <c r="N887" s="762">
        <v>2.3</v>
      </c>
      <c r="O887" s="37">
        <v>2.47745106498643</v>
      </c>
      <c r="P887" s="22">
        <v>6.10200559376309</v>
      </c>
      <c r="Q887" s="21" t="s">
        <v>1428</v>
      </c>
      <c r="R887" s="37">
        <v>2.399625</v>
      </c>
      <c r="S887" s="22">
        <f t="shared" si="22"/>
        <v>29.2790816587495</v>
      </c>
      <c r="T887" s="756" t="s">
        <v>3922</v>
      </c>
      <c r="U887" s="20" t="s">
        <v>6980</v>
      </c>
      <c r="V887" s="120"/>
    </row>
    <row r="888" s="42" customFormat="1" ht="15" spans="1:22">
      <c r="A888" s="1138"/>
      <c r="B888" s="872"/>
      <c r="C888" s="23">
        <v>20240815</v>
      </c>
      <c r="D888" s="21">
        <v>7.24</v>
      </c>
      <c r="E888" s="23" t="s">
        <v>6989</v>
      </c>
      <c r="F888" s="35" t="s">
        <v>1593</v>
      </c>
      <c r="G888" s="35" t="s">
        <v>6983</v>
      </c>
      <c r="H888" s="1151" t="s">
        <v>6159</v>
      </c>
      <c r="I888" s="21" t="s">
        <v>4580</v>
      </c>
      <c r="J888" s="21" t="s">
        <v>6891</v>
      </c>
      <c r="K888" s="21" t="s">
        <v>1428</v>
      </c>
      <c r="L888" s="21">
        <v>8</v>
      </c>
      <c r="M888" s="138" t="s">
        <v>4671</v>
      </c>
      <c r="N888" s="21">
        <v>1</v>
      </c>
      <c r="O888" s="37">
        <v>2.47745106498643</v>
      </c>
      <c r="P888" s="22">
        <v>6.03539795190153</v>
      </c>
      <c r="Q888" s="21" t="s">
        <v>1428</v>
      </c>
      <c r="R888" s="37">
        <v>2.399625</v>
      </c>
      <c r="S888" s="22">
        <f t="shared" si="22"/>
        <v>19.912474016888</v>
      </c>
      <c r="T888" s="756" t="s">
        <v>4596</v>
      </c>
      <c r="U888" s="20" t="s">
        <v>6987</v>
      </c>
      <c r="V888" s="120"/>
    </row>
    <row r="889" s="42" customFormat="1" ht="15" spans="1:22">
      <c r="A889" s="1138"/>
      <c r="B889" s="872"/>
      <c r="C889" s="23">
        <v>20240815</v>
      </c>
      <c r="D889" s="21">
        <v>7.24</v>
      </c>
      <c r="E889" s="23" t="s">
        <v>6990</v>
      </c>
      <c r="F889" s="35" t="s">
        <v>1525</v>
      </c>
      <c r="G889" s="35" t="s">
        <v>6983</v>
      </c>
      <c r="H889" s="1151" t="s">
        <v>6991</v>
      </c>
      <c r="I889" s="21" t="s">
        <v>4592</v>
      </c>
      <c r="J889" s="21" t="s">
        <v>6891</v>
      </c>
      <c r="K889" s="21" t="s">
        <v>1428</v>
      </c>
      <c r="L889" s="21">
        <v>8</v>
      </c>
      <c r="M889" s="700">
        <v>6.5</v>
      </c>
      <c r="N889" s="21">
        <v>1</v>
      </c>
      <c r="O889" s="37">
        <v>2.47745106498643</v>
      </c>
      <c r="P889" s="22">
        <v>6.02797525768742</v>
      </c>
      <c r="Q889" s="21" t="s">
        <v>1428</v>
      </c>
      <c r="R889" s="37">
        <v>2.399625</v>
      </c>
      <c r="S889" s="22">
        <f t="shared" si="22"/>
        <v>26.4050513226738</v>
      </c>
      <c r="T889" s="756" t="s">
        <v>4600</v>
      </c>
      <c r="U889" s="20" t="s">
        <v>6980</v>
      </c>
      <c r="V889" s="120"/>
    </row>
    <row r="890" s="42" customFormat="1" ht="15" spans="1:22">
      <c r="A890" s="1138"/>
      <c r="B890" s="872"/>
      <c r="C890" s="23">
        <v>20241210</v>
      </c>
      <c r="D890" s="21">
        <v>7.24</v>
      </c>
      <c r="E890" s="23" t="s">
        <v>6992</v>
      </c>
      <c r="F890" s="35" t="s">
        <v>2081</v>
      </c>
      <c r="G890" s="35" t="s">
        <v>6983</v>
      </c>
      <c r="H890" s="1151" t="s">
        <v>6159</v>
      </c>
      <c r="I890" s="21" t="s">
        <v>4592</v>
      </c>
      <c r="J890" s="21" t="s">
        <v>1720</v>
      </c>
      <c r="K890" s="21" t="s">
        <v>1428</v>
      </c>
      <c r="L890" s="21">
        <v>8</v>
      </c>
      <c r="M890" s="700">
        <v>6.5</v>
      </c>
      <c r="N890" s="762">
        <v>2.3</v>
      </c>
      <c r="O890" s="37">
        <v>2.46048222207557</v>
      </c>
      <c r="P890" s="22">
        <v>6.03406154643285</v>
      </c>
      <c r="Q890" s="21" t="s">
        <v>1428</v>
      </c>
      <c r="R890" s="37">
        <v>2.399625</v>
      </c>
      <c r="S890" s="22">
        <f t="shared" si="22"/>
        <v>27.6941687685084</v>
      </c>
      <c r="T890" s="756" t="s">
        <v>4600</v>
      </c>
      <c r="U890" s="20" t="s">
        <v>6980</v>
      </c>
      <c r="V890" s="120"/>
    </row>
    <row r="891" s="42" customFormat="1" ht="15" spans="1:22">
      <c r="A891" s="1138"/>
      <c r="B891" s="872"/>
      <c r="C891" s="23">
        <v>20240923</v>
      </c>
      <c r="D891" s="21">
        <v>7.24</v>
      </c>
      <c r="E891" s="23" t="s">
        <v>6993</v>
      </c>
      <c r="F891" s="35" t="s">
        <v>667</v>
      </c>
      <c r="G891" s="35" t="s">
        <v>6983</v>
      </c>
      <c r="H891" s="1151" t="s">
        <v>6159</v>
      </c>
      <c r="I891" s="21" t="s">
        <v>5877</v>
      </c>
      <c r="J891" s="21" t="s">
        <v>1720</v>
      </c>
      <c r="K891" s="21" t="s">
        <v>1428</v>
      </c>
      <c r="L891" s="21">
        <v>8</v>
      </c>
      <c r="M891" s="21" t="s">
        <v>1428</v>
      </c>
      <c r="N891" s="762">
        <v>2.3</v>
      </c>
      <c r="O891" s="37">
        <v>2.47745106498643</v>
      </c>
      <c r="P891" s="22">
        <v>6.09436393548654</v>
      </c>
      <c r="Q891" s="21" t="s">
        <v>1428</v>
      </c>
      <c r="R891" s="37">
        <v>2.399625</v>
      </c>
      <c r="S891" s="22">
        <f t="shared" si="22"/>
        <v>21.271440000473</v>
      </c>
      <c r="T891" s="756" t="s">
        <v>3910</v>
      </c>
      <c r="U891" s="20" t="s">
        <v>6994</v>
      </c>
      <c r="V891" s="120"/>
    </row>
    <row r="892" s="42" customFormat="1" ht="15" spans="1:22">
      <c r="A892" s="1138"/>
      <c r="B892" s="872"/>
      <c r="C892" s="782">
        <v>20240923</v>
      </c>
      <c r="D892" s="21">
        <v>7.24</v>
      </c>
      <c r="E892" s="782" t="s">
        <v>6995</v>
      </c>
      <c r="F892" s="35" t="s">
        <v>2483</v>
      </c>
      <c r="G892" s="35" t="s">
        <v>6983</v>
      </c>
      <c r="H892" s="1151" t="s">
        <v>6159</v>
      </c>
      <c r="I892" s="21" t="s">
        <v>5877</v>
      </c>
      <c r="J892" s="21" t="s">
        <v>1720</v>
      </c>
      <c r="K892" s="21" t="s">
        <v>1428</v>
      </c>
      <c r="L892" s="21">
        <v>8</v>
      </c>
      <c r="M892" s="21" t="s">
        <v>1428</v>
      </c>
      <c r="N892" s="762">
        <v>2.3</v>
      </c>
      <c r="O892" s="37">
        <v>2.47745106498643</v>
      </c>
      <c r="P892" s="22">
        <v>6.04313049455457</v>
      </c>
      <c r="Q892" s="21" t="s">
        <v>1428</v>
      </c>
      <c r="R892" s="37">
        <v>2.399625</v>
      </c>
      <c r="S892" s="22">
        <f t="shared" si="22"/>
        <v>21.220206559541</v>
      </c>
      <c r="T892" s="756" t="s">
        <v>3910</v>
      </c>
      <c r="U892" s="20" t="s">
        <v>6994</v>
      </c>
      <c r="V892" s="120"/>
    </row>
    <row r="893" s="42" customFormat="1" ht="15" spans="1:22">
      <c r="A893" s="1138"/>
      <c r="B893" s="872"/>
      <c r="C893" s="782">
        <v>20240923</v>
      </c>
      <c r="D893" s="21">
        <v>7.24</v>
      </c>
      <c r="E893" s="782" t="s">
        <v>6996</v>
      </c>
      <c r="F893" s="35" t="s">
        <v>2486</v>
      </c>
      <c r="G893" s="35" t="s">
        <v>6983</v>
      </c>
      <c r="H893" s="1151" t="s">
        <v>6159</v>
      </c>
      <c r="I893" s="21" t="s">
        <v>5877</v>
      </c>
      <c r="J893" s="21" t="s">
        <v>1720</v>
      </c>
      <c r="K893" s="21" t="s">
        <v>1428</v>
      </c>
      <c r="L893" s="21">
        <v>8</v>
      </c>
      <c r="M893" s="21" t="s">
        <v>1428</v>
      </c>
      <c r="N893" s="762">
        <v>2.3</v>
      </c>
      <c r="O893" s="37">
        <v>2.47745106498643</v>
      </c>
      <c r="P893" s="22">
        <v>6.09431338448414</v>
      </c>
      <c r="Q893" s="21" t="s">
        <v>1428</v>
      </c>
      <c r="R893" s="37">
        <v>2.399625</v>
      </c>
      <c r="S893" s="22">
        <f t="shared" si="22"/>
        <v>21.2713894494706</v>
      </c>
      <c r="T893" s="756" t="s">
        <v>3910</v>
      </c>
      <c r="U893" s="20" t="s">
        <v>6994</v>
      </c>
      <c r="V893" s="120"/>
    </row>
    <row r="894" s="42" customFormat="1" spans="1:22">
      <c r="A894" s="1138"/>
      <c r="B894" s="872"/>
      <c r="C894" s="23">
        <v>20250311</v>
      </c>
      <c r="D894" s="21">
        <v>7.24</v>
      </c>
      <c r="E894" s="23" t="s">
        <v>6997</v>
      </c>
      <c r="F894" s="35" t="s">
        <v>2488</v>
      </c>
      <c r="G894" s="35" t="s">
        <v>6998</v>
      </c>
      <c r="H894" s="1151" t="s">
        <v>6159</v>
      </c>
      <c r="I894" s="21" t="s">
        <v>5877</v>
      </c>
      <c r="J894" s="21" t="s">
        <v>1720</v>
      </c>
      <c r="K894" s="21" t="s">
        <v>1428</v>
      </c>
      <c r="L894" s="699" t="s">
        <v>1428</v>
      </c>
      <c r="M894" s="21" t="s">
        <v>1428</v>
      </c>
      <c r="N894" s="762">
        <v>2.3</v>
      </c>
      <c r="O894" s="37">
        <v>2.47745106498643</v>
      </c>
      <c r="P894" s="22">
        <v>5.85353888726852</v>
      </c>
      <c r="Q894" s="21"/>
      <c r="R894" s="37">
        <v>2.399625</v>
      </c>
      <c r="S894" s="22">
        <f t="shared" si="22"/>
        <v>13.030614952255</v>
      </c>
      <c r="T894" s="756" t="s">
        <v>6999</v>
      </c>
      <c r="U894" s="20" t="s">
        <v>7000</v>
      </c>
      <c r="V894" s="120"/>
    </row>
    <row r="895" s="42" customFormat="1" spans="1:22">
      <c r="A895" s="1138"/>
      <c r="B895" s="872"/>
      <c r="C895" s="23">
        <v>20250311</v>
      </c>
      <c r="D895" s="21">
        <v>7.24</v>
      </c>
      <c r="E895" s="23" t="s">
        <v>7001</v>
      </c>
      <c r="F895" s="35" t="s">
        <v>2383</v>
      </c>
      <c r="G895" s="35" t="s">
        <v>6998</v>
      </c>
      <c r="H895" s="1151" t="s">
        <v>6159</v>
      </c>
      <c r="I895" s="21" t="s">
        <v>4677</v>
      </c>
      <c r="J895" s="21" t="s">
        <v>6891</v>
      </c>
      <c r="K895" s="21" t="s">
        <v>1428</v>
      </c>
      <c r="L895" s="699" t="s">
        <v>4671</v>
      </c>
      <c r="M895" s="21">
        <v>4</v>
      </c>
      <c r="N895" s="762">
        <v>1</v>
      </c>
      <c r="O895" s="37">
        <v>2.47745106498643</v>
      </c>
      <c r="P895" s="22">
        <v>5.92108853482589</v>
      </c>
      <c r="Q895" s="21"/>
      <c r="R895" s="37">
        <v>2.399625</v>
      </c>
      <c r="S895" s="22">
        <f t="shared" si="22"/>
        <v>15.7981645998123</v>
      </c>
      <c r="T895" s="1152" t="s">
        <v>7002</v>
      </c>
      <c r="U895" s="20" t="s">
        <v>7003</v>
      </c>
      <c r="V895" s="120"/>
    </row>
    <row r="896" s="42" customFormat="1" spans="1:22">
      <c r="A896" s="1138"/>
      <c r="B896" s="872"/>
      <c r="C896" s="23">
        <v>20241129</v>
      </c>
      <c r="D896" s="21">
        <v>7.24</v>
      </c>
      <c r="E896" s="23" t="s">
        <v>1133</v>
      </c>
      <c r="F896" s="35" t="s">
        <v>7004</v>
      </c>
      <c r="G896" s="35"/>
      <c r="H896" s="703"/>
      <c r="I896" s="21"/>
      <c r="J896" s="21"/>
      <c r="K896" s="21"/>
      <c r="L896" s="21"/>
      <c r="M896" s="21"/>
      <c r="N896" s="21"/>
      <c r="O896" s="37">
        <v>0.252299727463091</v>
      </c>
      <c r="P896" s="22">
        <v>0.519652867132567</v>
      </c>
      <c r="Q896" s="21" t="s">
        <v>1428</v>
      </c>
      <c r="R896" s="37">
        <v>0.2</v>
      </c>
      <c r="S896" s="22">
        <f t="shared" si="22"/>
        <v>0.971952594595658</v>
      </c>
      <c r="T896" s="756"/>
      <c r="U896" s="20" t="s">
        <v>484</v>
      </c>
      <c r="V896" s="120"/>
    </row>
    <row r="897" s="42" customFormat="1" spans="1:22">
      <c r="A897" s="1138"/>
      <c r="B897" s="1153"/>
      <c r="C897" s="21"/>
      <c r="D897" s="21"/>
      <c r="E897" s="23" t="s">
        <v>7005</v>
      </c>
      <c r="F897" s="35" t="s">
        <v>7006</v>
      </c>
      <c r="G897" s="35"/>
      <c r="H897" s="703"/>
      <c r="I897" s="21"/>
      <c r="J897" s="21"/>
      <c r="K897" s="21"/>
      <c r="L897" s="21"/>
      <c r="M897" s="21"/>
      <c r="N897" s="21"/>
      <c r="O897" s="37">
        <v>0.377482588754884</v>
      </c>
      <c r="P897" s="22">
        <v>2.39408866995074</v>
      </c>
      <c r="Q897" s="21" t="s">
        <v>1428</v>
      </c>
      <c r="R897" s="37">
        <v>0.4</v>
      </c>
      <c r="S897" s="22">
        <f t="shared" si="22"/>
        <v>3.17157125870562</v>
      </c>
      <c r="T897" s="38"/>
      <c r="U897" s="23"/>
      <c r="V897" s="120"/>
    </row>
    <row r="898" s="42" customFormat="1" spans="1:22">
      <c r="A898" s="1138"/>
      <c r="B898" s="1153"/>
      <c r="C898" s="21"/>
      <c r="D898" s="21"/>
      <c r="E898" s="23" t="s">
        <v>395</v>
      </c>
      <c r="F898" s="35" t="s">
        <v>396</v>
      </c>
      <c r="G898" s="695"/>
      <c r="H898" s="21"/>
      <c r="I898" s="21"/>
      <c r="J898" s="21"/>
      <c r="K898" s="21"/>
      <c r="L898" s="21"/>
      <c r="M898" s="21"/>
      <c r="N898" s="21"/>
      <c r="O898" s="37">
        <v>0.407283845761848</v>
      </c>
      <c r="P898" s="22">
        <v>2.27586206896552</v>
      </c>
      <c r="Q898" s="21" t="s">
        <v>1428</v>
      </c>
      <c r="R898" s="37">
        <v>0.4</v>
      </c>
      <c r="S898" s="22">
        <f t="shared" si="22"/>
        <v>3.08314591472737</v>
      </c>
      <c r="T898" s="23"/>
      <c r="U898" s="20"/>
      <c r="V898" s="120"/>
    </row>
    <row r="899" s="42" customFormat="1" spans="1:22">
      <c r="A899" s="1138"/>
      <c r="B899" s="1154"/>
      <c r="C899" s="21"/>
      <c r="D899" s="21"/>
      <c r="E899" s="23" t="s">
        <v>6196</v>
      </c>
      <c r="F899" s="35" t="s">
        <v>7007</v>
      </c>
      <c r="G899" s="695"/>
      <c r="H899" s="703"/>
      <c r="I899" s="21"/>
      <c r="J899" s="21"/>
      <c r="K899" s="21"/>
      <c r="L899" s="21"/>
      <c r="M899" s="703"/>
      <c r="N899" s="21"/>
      <c r="O899" s="37">
        <v>0.301908277283349</v>
      </c>
      <c r="P899" s="22">
        <v>0.631920743639922</v>
      </c>
      <c r="Q899" s="21"/>
      <c r="R899" s="37">
        <v>0.2</v>
      </c>
      <c r="S899" s="22">
        <f t="shared" si="22"/>
        <v>1.13382902092327</v>
      </c>
      <c r="T899" s="23"/>
      <c r="U899" s="20"/>
      <c r="V899" s="120"/>
    </row>
    <row r="900" s="187" customFormat="1" ht="15" spans="1:22">
      <c r="A900" s="1138"/>
      <c r="B900" s="23" t="s">
        <v>7008</v>
      </c>
      <c r="C900" s="23"/>
      <c r="D900" s="21"/>
      <c r="E900" s="23"/>
      <c r="F900" s="23" t="s">
        <v>1565</v>
      </c>
      <c r="G900" s="23" t="s">
        <v>3540</v>
      </c>
      <c r="H900" s="21" t="s">
        <v>6149</v>
      </c>
      <c r="I900" s="21" t="s">
        <v>3463</v>
      </c>
      <c r="J900" s="21" t="s">
        <v>4670</v>
      </c>
      <c r="K900" s="21" t="s">
        <v>1428</v>
      </c>
      <c r="L900" s="21">
        <f>3*2</f>
        <v>6</v>
      </c>
      <c r="M900" s="138" t="s">
        <v>4671</v>
      </c>
      <c r="N900" s="21">
        <v>1.3</v>
      </c>
      <c r="O900" s="37">
        <v>2.45011034482759</v>
      </c>
      <c r="P900" s="22">
        <v>9.49753694581281</v>
      </c>
      <c r="Q900" s="21" t="s">
        <v>1428</v>
      </c>
      <c r="R900" s="22">
        <v>2.75809718382026</v>
      </c>
      <c r="S900" s="22">
        <f t="shared" si="22"/>
        <v>22.0057444744607</v>
      </c>
      <c r="T900" s="23" t="s">
        <v>4707</v>
      </c>
      <c r="U900" s="167" t="s">
        <v>7009</v>
      </c>
      <c r="V900" s="120" t="s">
        <v>1406</v>
      </c>
    </row>
    <row r="901" s="187" customFormat="1" spans="1:22">
      <c r="A901" s="1138"/>
      <c r="B901" s="23"/>
      <c r="C901" s="23"/>
      <c r="D901" s="21"/>
      <c r="E901" s="23" t="s">
        <v>912</v>
      </c>
      <c r="F901" s="23" t="s">
        <v>913</v>
      </c>
      <c r="G901" s="20"/>
      <c r="H901" s="21"/>
      <c r="I901" s="37"/>
      <c r="J901" s="21"/>
      <c r="K901" s="21"/>
      <c r="L901" s="21"/>
      <c r="M901" s="21"/>
      <c r="N901" s="21"/>
      <c r="O901" s="37">
        <v>0.465823448275862</v>
      </c>
      <c r="P901" s="22">
        <v>0.73</v>
      </c>
      <c r="Q901" s="21" t="s">
        <v>1428</v>
      </c>
      <c r="R901" s="22">
        <v>0.4</v>
      </c>
      <c r="S901" s="22">
        <f t="shared" si="22"/>
        <v>1.59582344827586</v>
      </c>
      <c r="T901" s="38"/>
      <c r="U901" s="20"/>
      <c r="V901" s="120" t="s">
        <v>1406</v>
      </c>
    </row>
    <row r="902" s="42" customFormat="1" ht="15" spans="1:22">
      <c r="A902" s="1138"/>
      <c r="B902" s="23" t="s">
        <v>7010</v>
      </c>
      <c r="C902" s="23"/>
      <c r="D902" s="21"/>
      <c r="E902" s="23"/>
      <c r="F902" s="20" t="s">
        <v>1672</v>
      </c>
      <c r="G902" s="23" t="s">
        <v>3540</v>
      </c>
      <c r="H902" s="21" t="s">
        <v>6206</v>
      </c>
      <c r="I902" s="21" t="s">
        <v>7011</v>
      </c>
      <c r="J902" s="21" t="s">
        <v>3696</v>
      </c>
      <c r="K902" s="21" t="s">
        <v>1428</v>
      </c>
      <c r="L902" s="36">
        <f>8*2</f>
        <v>16</v>
      </c>
      <c r="M902" s="21" t="s">
        <v>1428</v>
      </c>
      <c r="N902" s="21">
        <v>3.3</v>
      </c>
      <c r="O902" s="37">
        <v>2.29621583786978</v>
      </c>
      <c r="P902" s="22">
        <v>9.21182266009852</v>
      </c>
      <c r="Q902" s="21" t="s">
        <v>1428</v>
      </c>
      <c r="R902" s="37">
        <v>2.11454117426219</v>
      </c>
      <c r="S902" s="22">
        <f t="shared" si="22"/>
        <v>32.9225796722305</v>
      </c>
      <c r="T902" s="23" t="s">
        <v>3910</v>
      </c>
      <c r="U902" s="20" t="s">
        <v>7012</v>
      </c>
      <c r="V902" s="120" t="s">
        <v>1406</v>
      </c>
    </row>
    <row r="903" s="42" customFormat="1" ht="15" spans="1:22">
      <c r="A903" s="1138"/>
      <c r="B903" s="23"/>
      <c r="C903" s="23"/>
      <c r="D903" s="21"/>
      <c r="E903" s="23"/>
      <c r="F903" s="20" t="s">
        <v>2427</v>
      </c>
      <c r="G903" s="23" t="s">
        <v>3540</v>
      </c>
      <c r="H903" s="21" t="s">
        <v>6159</v>
      </c>
      <c r="I903" s="21" t="s">
        <v>5865</v>
      </c>
      <c r="J903" s="21" t="s">
        <v>3696</v>
      </c>
      <c r="K903" s="21" t="s">
        <v>1428</v>
      </c>
      <c r="L903" s="690" t="s">
        <v>1428</v>
      </c>
      <c r="M903" s="21" t="s">
        <v>1428</v>
      </c>
      <c r="N903" s="21">
        <v>3.3</v>
      </c>
      <c r="O903" s="37">
        <v>2.29621583786978</v>
      </c>
      <c r="P903" s="22">
        <v>7.59124011233825</v>
      </c>
      <c r="Q903" s="21" t="s">
        <v>1428</v>
      </c>
      <c r="R903" s="37">
        <v>2.11454117426219</v>
      </c>
      <c r="S903" s="22">
        <f t="shared" si="22"/>
        <v>15.3019971244702</v>
      </c>
      <c r="T903" s="23" t="s">
        <v>3920</v>
      </c>
      <c r="U903" s="20" t="s">
        <v>7013</v>
      </c>
      <c r="V903" s="120" t="s">
        <v>1406</v>
      </c>
    </row>
    <row r="904" s="42" customFormat="1" ht="15" spans="1:22">
      <c r="A904" s="1138"/>
      <c r="B904" s="23"/>
      <c r="C904" s="23"/>
      <c r="D904" s="21"/>
      <c r="E904" s="23"/>
      <c r="F904" s="20" t="s">
        <v>1558</v>
      </c>
      <c r="G904" s="23" t="s">
        <v>7014</v>
      </c>
      <c r="H904" s="21" t="s">
        <v>6159</v>
      </c>
      <c r="I904" s="21" t="s">
        <v>4691</v>
      </c>
      <c r="J904" s="21" t="s">
        <v>4670</v>
      </c>
      <c r="K904" s="21" t="s">
        <v>1428</v>
      </c>
      <c r="L904" s="690" t="s">
        <v>1428</v>
      </c>
      <c r="M904" s="138" t="s">
        <v>4671</v>
      </c>
      <c r="N904" s="21">
        <v>1.3</v>
      </c>
      <c r="O904" s="37">
        <v>2.29621583786978</v>
      </c>
      <c r="P904" s="22">
        <v>7.67158630257105</v>
      </c>
      <c r="Q904" s="21" t="s">
        <v>1428</v>
      </c>
      <c r="R904" s="37">
        <v>2.11454117426219</v>
      </c>
      <c r="S904" s="22">
        <f t="shared" si="22"/>
        <v>13.382343314703</v>
      </c>
      <c r="T904" s="23" t="s">
        <v>4678</v>
      </c>
      <c r="U904" s="20" t="s">
        <v>7015</v>
      </c>
      <c r="V904" s="120" t="s">
        <v>1406</v>
      </c>
    </row>
    <row r="905" s="42" customFormat="1" ht="15" spans="1:22">
      <c r="A905" s="1138"/>
      <c r="B905" s="23"/>
      <c r="C905" s="23"/>
      <c r="D905" s="21"/>
      <c r="E905" s="23"/>
      <c r="F905" s="20" t="s">
        <v>2311</v>
      </c>
      <c r="G905" s="23" t="s">
        <v>3540</v>
      </c>
      <c r="H905" s="21" t="s">
        <v>6159</v>
      </c>
      <c r="I905" s="21" t="s">
        <v>7016</v>
      </c>
      <c r="J905" s="21" t="s">
        <v>3696</v>
      </c>
      <c r="K905" s="21" t="s">
        <v>1428</v>
      </c>
      <c r="L905" s="36">
        <v>8</v>
      </c>
      <c r="M905" s="21" t="s">
        <v>1428</v>
      </c>
      <c r="N905" s="21">
        <v>3.3</v>
      </c>
      <c r="O905" s="37">
        <v>2.29621583786978</v>
      </c>
      <c r="P905" s="22">
        <v>7.73593625438039</v>
      </c>
      <c r="Q905" s="21" t="s">
        <v>1428</v>
      </c>
      <c r="R905" s="37">
        <v>2.11454117426219</v>
      </c>
      <c r="S905" s="22">
        <f t="shared" si="22"/>
        <v>23.4466932665124</v>
      </c>
      <c r="T905" s="23" t="s">
        <v>3910</v>
      </c>
      <c r="U905" s="20" t="s">
        <v>7017</v>
      </c>
      <c r="V905" s="120" t="s">
        <v>1406</v>
      </c>
    </row>
    <row r="906" s="187" customFormat="1" spans="1:22">
      <c r="A906" s="1138"/>
      <c r="B906" s="23"/>
      <c r="C906" s="23"/>
      <c r="D906" s="21"/>
      <c r="E906" s="23" t="s">
        <v>912</v>
      </c>
      <c r="F906" s="23" t="s">
        <v>913</v>
      </c>
      <c r="G906" s="20"/>
      <c r="H906" s="21"/>
      <c r="I906" s="37"/>
      <c r="J906" s="21"/>
      <c r="K906" s="21"/>
      <c r="L906" s="21"/>
      <c r="M906" s="21"/>
      <c r="N906" s="21"/>
      <c r="O906" s="37">
        <v>0.465823448275862</v>
      </c>
      <c r="P906" s="22">
        <v>0.73</v>
      </c>
      <c r="Q906" s="21" t="s">
        <v>1428</v>
      </c>
      <c r="R906" s="22">
        <v>0.4</v>
      </c>
      <c r="S906" s="22">
        <f t="shared" si="22"/>
        <v>1.59582344827586</v>
      </c>
      <c r="T906" s="38"/>
      <c r="U906" s="20"/>
      <c r="V906" s="120" t="s">
        <v>1406</v>
      </c>
    </row>
    <row r="907" s="187" customFormat="1" spans="1:22">
      <c r="A907" s="1138"/>
      <c r="B907" s="23"/>
      <c r="C907" s="23"/>
      <c r="D907" s="21"/>
      <c r="E907" s="23" t="s">
        <v>914</v>
      </c>
      <c r="F907" s="23" t="s">
        <v>915</v>
      </c>
      <c r="G907" s="23"/>
      <c r="H907" s="21"/>
      <c r="I907" s="21"/>
      <c r="J907" s="21"/>
      <c r="K907" s="21"/>
      <c r="L907" s="21"/>
      <c r="M907" s="21"/>
      <c r="N907" s="21"/>
      <c r="O907" s="37">
        <v>0.366004137931034</v>
      </c>
      <c r="P907" s="22">
        <v>0.73</v>
      </c>
      <c r="Q907" s="21" t="s">
        <v>1428</v>
      </c>
      <c r="R907" s="22">
        <v>0.2</v>
      </c>
      <c r="S907" s="22">
        <f t="shared" si="22"/>
        <v>1.29600413793103</v>
      </c>
      <c r="T907" s="38"/>
      <c r="U907" s="23"/>
      <c r="V907" s="120" t="s">
        <v>1406</v>
      </c>
    </row>
    <row r="908" s="187" customFormat="1" ht="15" spans="1:22">
      <c r="A908" s="1138"/>
      <c r="B908" s="23"/>
      <c r="C908" s="23"/>
      <c r="D908" s="21"/>
      <c r="E908" s="23" t="s">
        <v>7018</v>
      </c>
      <c r="F908" s="23" t="s">
        <v>6925</v>
      </c>
      <c r="G908" s="23"/>
      <c r="H908" s="21"/>
      <c r="I908" s="21"/>
      <c r="J908" s="21"/>
      <c r="K908" s="21"/>
      <c r="L908" s="21"/>
      <c r="M908" s="21"/>
      <c r="N908" s="21"/>
      <c r="O908" s="37">
        <v>0.272234482758621</v>
      </c>
      <c r="P908" s="22">
        <v>3.85</v>
      </c>
      <c r="Q908" s="21" t="s">
        <v>1428</v>
      </c>
      <c r="R908" s="22">
        <v>0.4</v>
      </c>
      <c r="S908" s="22">
        <f t="shared" si="22"/>
        <v>4.52223448275862</v>
      </c>
      <c r="T908" s="38"/>
      <c r="U908" s="23"/>
      <c r="V908" s="120" t="s">
        <v>1406</v>
      </c>
    </row>
    <row r="909" s="187" customFormat="1" ht="15" spans="1:22">
      <c r="A909" s="1138"/>
      <c r="B909" s="23"/>
      <c r="C909" s="23"/>
      <c r="D909" s="21"/>
      <c r="E909" s="23" t="s">
        <v>6923</v>
      </c>
      <c r="F909" s="23" t="s">
        <v>6924</v>
      </c>
      <c r="G909" s="23"/>
      <c r="H909" s="21"/>
      <c r="I909" s="21"/>
      <c r="J909" s="21"/>
      <c r="K909" s="21"/>
      <c r="L909" s="21"/>
      <c r="M909" s="21"/>
      <c r="N909" s="21"/>
      <c r="O909" s="37">
        <v>0.272234482758621</v>
      </c>
      <c r="P909" s="22">
        <v>3.85</v>
      </c>
      <c r="Q909" s="21" t="s">
        <v>1428</v>
      </c>
      <c r="R909" s="22">
        <v>0.4</v>
      </c>
      <c r="S909" s="22">
        <f t="shared" si="22"/>
        <v>4.52223448275862</v>
      </c>
      <c r="T909" s="38"/>
      <c r="U909" s="23"/>
      <c r="V909" s="120" t="s">
        <v>1406</v>
      </c>
    </row>
    <row r="910" s="187" customFormat="1" ht="15" spans="1:22">
      <c r="A910" s="1138"/>
      <c r="B910" s="23" t="s">
        <v>7019</v>
      </c>
      <c r="C910" s="23"/>
      <c r="D910" s="21"/>
      <c r="E910" s="23"/>
      <c r="F910" s="23" t="s">
        <v>1604</v>
      </c>
      <c r="G910" s="23" t="s">
        <v>3540</v>
      </c>
      <c r="H910" s="21" t="s">
        <v>6159</v>
      </c>
      <c r="I910" s="21" t="s">
        <v>4580</v>
      </c>
      <c r="J910" s="21" t="s">
        <v>3874</v>
      </c>
      <c r="K910" s="21" t="s">
        <v>1428</v>
      </c>
      <c r="L910" s="21">
        <v>8</v>
      </c>
      <c r="M910" s="138" t="s">
        <v>4671</v>
      </c>
      <c r="N910" s="21">
        <v>2.5</v>
      </c>
      <c r="O910" s="37">
        <v>3.28807202310174</v>
      </c>
      <c r="P910" s="22">
        <v>9.29064039408867</v>
      </c>
      <c r="Q910" s="21" t="s">
        <v>1428</v>
      </c>
      <c r="R910" s="22">
        <v>2.11454117426219</v>
      </c>
      <c r="S910" s="22">
        <f t="shared" si="22"/>
        <v>25.1932535914526</v>
      </c>
      <c r="T910" s="38" t="s">
        <v>7020</v>
      </c>
      <c r="U910" s="23" t="s">
        <v>7021</v>
      </c>
      <c r="V910" s="120" t="s">
        <v>1406</v>
      </c>
    </row>
    <row r="911" s="42" customFormat="1" ht="60" spans="1:22">
      <c r="A911" s="1138"/>
      <c r="B911" s="19"/>
      <c r="C911" s="19"/>
      <c r="D911" s="21"/>
      <c r="E911" s="19"/>
      <c r="F911" s="20" t="s">
        <v>1669</v>
      </c>
      <c r="G911" s="23" t="s">
        <v>3540</v>
      </c>
      <c r="H911" s="21" t="s">
        <v>6149</v>
      </c>
      <c r="I911" s="21" t="s">
        <v>4677</v>
      </c>
      <c r="J911" s="21" t="s">
        <v>3891</v>
      </c>
      <c r="K911" s="21" t="s">
        <v>1428</v>
      </c>
      <c r="L911" s="21" t="s">
        <v>1428</v>
      </c>
      <c r="M911" s="138" t="s">
        <v>4671</v>
      </c>
      <c r="N911" s="21">
        <v>3.5</v>
      </c>
      <c r="O911" s="37">
        <v>2.0662204858162</v>
      </c>
      <c r="P911" s="22">
        <v>9.40886699507389</v>
      </c>
      <c r="Q911" s="21" t="s">
        <v>1428</v>
      </c>
      <c r="R911" s="22">
        <v>2.11454117426219</v>
      </c>
      <c r="S911" s="22">
        <f t="shared" si="22"/>
        <v>17.0896286551523</v>
      </c>
      <c r="T911" s="38" t="s">
        <v>6225</v>
      </c>
      <c r="U911" s="812" t="s">
        <v>6844</v>
      </c>
      <c r="V911" s="120" t="s">
        <v>1406</v>
      </c>
    </row>
    <row r="912" s="42" customFormat="1" spans="1:22">
      <c r="A912" s="1138"/>
      <c r="B912" s="19"/>
      <c r="C912" s="19"/>
      <c r="D912" s="21"/>
      <c r="E912" s="19" t="s">
        <v>7022</v>
      </c>
      <c r="F912" s="20" t="s">
        <v>7023</v>
      </c>
      <c r="G912" s="23"/>
      <c r="H912" s="21"/>
      <c r="I912" s="21"/>
      <c r="J912" s="21"/>
      <c r="K912" s="21"/>
      <c r="L912" s="21"/>
      <c r="M912" s="21"/>
      <c r="N912" s="21"/>
      <c r="O912" s="37">
        <v>0.492113525548386</v>
      </c>
      <c r="P912" s="22">
        <v>0.754410667261775</v>
      </c>
      <c r="Q912" s="21" t="s">
        <v>1428</v>
      </c>
      <c r="R912" s="22">
        <v>0.2</v>
      </c>
      <c r="S912" s="22">
        <f t="shared" si="22"/>
        <v>1.44652419281016</v>
      </c>
      <c r="T912" s="38"/>
      <c r="U912" s="812"/>
      <c r="V912" s="120" t="s">
        <v>1406</v>
      </c>
    </row>
    <row r="913" s="42" customFormat="1" spans="1:22">
      <c r="A913" s="1138"/>
      <c r="B913" s="19"/>
      <c r="C913" s="19"/>
      <c r="D913" s="21"/>
      <c r="E913" s="19" t="s">
        <v>7024</v>
      </c>
      <c r="F913" s="20" t="s">
        <v>7025</v>
      </c>
      <c r="G913" s="23"/>
      <c r="H913" s="21"/>
      <c r="I913" s="21"/>
      <c r="J913" s="21"/>
      <c r="K913" s="21"/>
      <c r="L913" s="21"/>
      <c r="M913" s="21"/>
      <c r="N913" s="21"/>
      <c r="O913" s="37">
        <v>0.170358289655172</v>
      </c>
      <c r="P913" s="22">
        <v>0.4946</v>
      </c>
      <c r="Q913" s="21" t="s">
        <v>1428</v>
      </c>
      <c r="R913" s="22">
        <v>0.4</v>
      </c>
      <c r="S913" s="22">
        <f t="shared" si="22"/>
        <v>1.06495828965517</v>
      </c>
      <c r="T913" s="38"/>
      <c r="U913" s="20"/>
      <c r="V913" s="120" t="s">
        <v>1406</v>
      </c>
    </row>
    <row r="914" s="42" customFormat="1" spans="1:22">
      <c r="A914" s="1138"/>
      <c r="B914" s="19"/>
      <c r="C914" s="19"/>
      <c r="D914" s="21"/>
      <c r="E914" s="19" t="s">
        <v>7026</v>
      </c>
      <c r="F914" s="20" t="s">
        <v>7027</v>
      </c>
      <c r="G914" s="20"/>
      <c r="H914" s="21"/>
      <c r="I914" s="21"/>
      <c r="J914" s="21"/>
      <c r="K914" s="21"/>
      <c r="L914" s="21"/>
      <c r="M914" s="21"/>
      <c r="N914" s="21"/>
      <c r="O914" s="37">
        <v>0.284595944827586</v>
      </c>
      <c r="P914" s="22">
        <v>0.7269</v>
      </c>
      <c r="Q914" s="21" t="s">
        <v>1428</v>
      </c>
      <c r="R914" s="22">
        <v>0.2</v>
      </c>
      <c r="S914" s="22">
        <f t="shared" ref="S914:S941" si="24">SUM(K914:R914)</f>
        <v>1.21149594482759</v>
      </c>
      <c r="T914" s="23"/>
      <c r="U914" s="20"/>
      <c r="V914" s="120" t="s">
        <v>1406</v>
      </c>
    </row>
    <row r="915" s="42" customFormat="1" ht="30" spans="1:22">
      <c r="A915" s="1138"/>
      <c r="B915" s="23" t="s">
        <v>7028</v>
      </c>
      <c r="C915" s="23"/>
      <c r="D915" s="21"/>
      <c r="E915" s="23"/>
      <c r="F915" s="23" t="s">
        <v>1604</v>
      </c>
      <c r="G915" s="23" t="s">
        <v>1933</v>
      </c>
      <c r="H915" s="21" t="s">
        <v>6163</v>
      </c>
      <c r="I915" s="37" t="s">
        <v>4569</v>
      </c>
      <c r="J915" s="21" t="s">
        <v>5813</v>
      </c>
      <c r="K915" s="21" t="s">
        <v>1428</v>
      </c>
      <c r="L915" s="21" t="s">
        <v>1428</v>
      </c>
      <c r="M915" s="700">
        <v>3</v>
      </c>
      <c r="N915" s="21">
        <v>3.5</v>
      </c>
      <c r="O915" s="37">
        <v>1.56457877746097</v>
      </c>
      <c r="P915" s="22">
        <v>13.1527093596059</v>
      </c>
      <c r="Q915" s="21" t="s">
        <v>1428</v>
      </c>
      <c r="R915" s="37">
        <v>2.45470649360002</v>
      </c>
      <c r="S915" s="22">
        <f t="shared" si="24"/>
        <v>23.6719946306669</v>
      </c>
      <c r="T915" s="167" t="s">
        <v>6225</v>
      </c>
      <c r="U915" s="812" t="s">
        <v>7029</v>
      </c>
      <c r="V915" s="120" t="s">
        <v>1406</v>
      </c>
    </row>
    <row r="916" s="42" customFormat="1" ht="15" spans="1:22">
      <c r="A916" s="1138"/>
      <c r="B916" s="23"/>
      <c r="C916" s="23"/>
      <c r="D916" s="21"/>
      <c r="E916" s="23"/>
      <c r="F916" s="23" t="s">
        <v>1571</v>
      </c>
      <c r="G916" s="23" t="s">
        <v>3540</v>
      </c>
      <c r="H916" s="21" t="s">
        <v>6843</v>
      </c>
      <c r="I916" s="37" t="s">
        <v>3436</v>
      </c>
      <c r="J916" s="21" t="s">
        <v>3696</v>
      </c>
      <c r="K916" s="21" t="s">
        <v>1428</v>
      </c>
      <c r="L916" s="21" t="s">
        <v>1428</v>
      </c>
      <c r="M916" s="21" t="s">
        <v>1428</v>
      </c>
      <c r="N916" s="21">
        <v>3.3</v>
      </c>
      <c r="O916" s="37">
        <v>1.56457877746097</v>
      </c>
      <c r="P916" s="22">
        <v>9.60591133004926</v>
      </c>
      <c r="Q916" s="21" t="s">
        <v>1428</v>
      </c>
      <c r="R916" s="37">
        <v>2.45470649360002</v>
      </c>
      <c r="S916" s="22">
        <f t="shared" si="24"/>
        <v>16.9251966011103</v>
      </c>
      <c r="T916" s="23" t="s">
        <v>6150</v>
      </c>
      <c r="U916" s="20" t="s">
        <v>6191</v>
      </c>
      <c r="V916" s="120" t="s">
        <v>1406</v>
      </c>
    </row>
    <row r="917" s="42" customFormat="1" ht="45" spans="1:22">
      <c r="A917" s="1138"/>
      <c r="B917" s="23"/>
      <c r="C917" s="23"/>
      <c r="D917" s="21"/>
      <c r="E917" s="23"/>
      <c r="F917" s="23" t="s">
        <v>1669</v>
      </c>
      <c r="G917" s="23" t="s">
        <v>1933</v>
      </c>
      <c r="H917" s="21" t="s">
        <v>3785</v>
      </c>
      <c r="I917" s="37" t="s">
        <v>4569</v>
      </c>
      <c r="J917" s="21" t="s">
        <v>3696</v>
      </c>
      <c r="K917" s="21" t="s">
        <v>1428</v>
      </c>
      <c r="L917" s="21" t="s">
        <v>1428</v>
      </c>
      <c r="M917" s="699">
        <v>3.3</v>
      </c>
      <c r="N917" s="21">
        <v>3.3</v>
      </c>
      <c r="O917" s="37">
        <v>1.56457877746097</v>
      </c>
      <c r="P917" s="22">
        <v>9.7067420691983</v>
      </c>
      <c r="Q917" s="21" t="s">
        <v>1428</v>
      </c>
      <c r="R917" s="37">
        <v>2.45470649360002</v>
      </c>
      <c r="S917" s="22">
        <f t="shared" si="24"/>
        <v>20.3260273402593</v>
      </c>
      <c r="T917" s="167" t="s">
        <v>7030</v>
      </c>
      <c r="U917" s="812" t="s">
        <v>7031</v>
      </c>
      <c r="V917" s="120" t="s">
        <v>1406</v>
      </c>
    </row>
    <row r="918" s="42" customFormat="1" ht="15" spans="1:22">
      <c r="A918" s="1138"/>
      <c r="B918" s="23"/>
      <c r="C918" s="23"/>
      <c r="D918" s="21"/>
      <c r="E918" s="23"/>
      <c r="F918" s="23" t="s">
        <v>1998</v>
      </c>
      <c r="G918" s="23" t="s">
        <v>1933</v>
      </c>
      <c r="H918" s="21" t="s">
        <v>3785</v>
      </c>
      <c r="I918" s="37" t="s">
        <v>4569</v>
      </c>
      <c r="J918" s="21" t="s">
        <v>3696</v>
      </c>
      <c r="K918" s="21" t="s">
        <v>1428</v>
      </c>
      <c r="L918" s="21" t="s">
        <v>1428</v>
      </c>
      <c r="M918" s="21" t="s">
        <v>1428</v>
      </c>
      <c r="N918" s="21">
        <v>3.3</v>
      </c>
      <c r="O918" s="37">
        <v>1.56457877746097</v>
      </c>
      <c r="P918" s="22">
        <v>8.04640050207727</v>
      </c>
      <c r="Q918" s="21" t="s">
        <v>1428</v>
      </c>
      <c r="R918" s="37">
        <v>2.45470649360002</v>
      </c>
      <c r="S918" s="22">
        <f t="shared" si="24"/>
        <v>15.3656857731383</v>
      </c>
      <c r="T918" s="23" t="s">
        <v>7032</v>
      </c>
      <c r="U918" s="20" t="s">
        <v>7033</v>
      </c>
      <c r="V918" s="120" t="s">
        <v>1406</v>
      </c>
    </row>
    <row r="919" s="42" customFormat="1" ht="15" spans="1:22">
      <c r="A919" s="1138"/>
      <c r="B919" s="23"/>
      <c r="C919" s="23">
        <v>20240511</v>
      </c>
      <c r="D919" s="21">
        <v>7.24</v>
      </c>
      <c r="E919" s="23" t="s">
        <v>7034</v>
      </c>
      <c r="F919" s="23" t="s">
        <v>1581</v>
      </c>
      <c r="G919" s="23" t="s">
        <v>1933</v>
      </c>
      <c r="H919" s="21" t="s">
        <v>3785</v>
      </c>
      <c r="I919" s="37" t="s">
        <v>4677</v>
      </c>
      <c r="J919" s="21" t="s">
        <v>3696</v>
      </c>
      <c r="K919" s="21" t="s">
        <v>1428</v>
      </c>
      <c r="L919" s="21">
        <v>3.62</v>
      </c>
      <c r="M919" s="138" t="s">
        <v>4671</v>
      </c>
      <c r="N919" s="21">
        <v>3.3</v>
      </c>
      <c r="O919" s="37">
        <v>1.57107979731192</v>
      </c>
      <c r="P919" s="22">
        <v>9.66960358603996</v>
      </c>
      <c r="Q919" s="21" t="s">
        <v>1428</v>
      </c>
      <c r="R919" s="37">
        <v>2.45470649360002</v>
      </c>
      <c r="S919" s="22">
        <f t="shared" si="24"/>
        <v>20.6153898769519</v>
      </c>
      <c r="T919" s="23" t="s">
        <v>6225</v>
      </c>
      <c r="U919" s="20" t="s">
        <v>7035</v>
      </c>
      <c r="V919" s="120"/>
    </row>
    <row r="920" s="42" customFormat="1" ht="15" spans="1:22">
      <c r="A920" s="1138"/>
      <c r="B920" s="23"/>
      <c r="C920" s="23"/>
      <c r="D920" s="21"/>
      <c r="E920" s="23" t="s">
        <v>7036</v>
      </c>
      <c r="F920" s="23" t="s">
        <v>7037</v>
      </c>
      <c r="G920" s="23"/>
      <c r="H920" s="37"/>
      <c r="I920" s="37"/>
      <c r="J920" s="21"/>
      <c r="K920" s="21"/>
      <c r="L920" s="21"/>
      <c r="M920" s="21"/>
      <c r="N920" s="21"/>
      <c r="O920" s="37">
        <v>0.806620689655172</v>
      </c>
      <c r="P920" s="22">
        <v>4.78</v>
      </c>
      <c r="Q920" s="21" t="s">
        <v>1428</v>
      </c>
      <c r="R920" s="22">
        <v>0.4</v>
      </c>
      <c r="S920" s="22">
        <f t="shared" si="24"/>
        <v>5.98662068965517</v>
      </c>
      <c r="T920" s="23"/>
      <c r="U920" s="812" t="s">
        <v>7038</v>
      </c>
      <c r="V920" s="120" t="s">
        <v>1406</v>
      </c>
    </row>
    <row r="921" s="42" customFormat="1" ht="15" spans="1:22">
      <c r="A921" s="1138"/>
      <c r="B921" s="23"/>
      <c r="C921" s="23"/>
      <c r="D921" s="21"/>
      <c r="E921" s="23" t="s">
        <v>7039</v>
      </c>
      <c r="F921" s="23" t="s">
        <v>7040</v>
      </c>
      <c r="G921" s="23"/>
      <c r="H921" s="37"/>
      <c r="I921" s="37"/>
      <c r="J921" s="21"/>
      <c r="K921" s="21"/>
      <c r="L921" s="21"/>
      <c r="M921" s="21"/>
      <c r="N921" s="21"/>
      <c r="O921" s="37">
        <v>0.806620689655172</v>
      </c>
      <c r="P921" s="22">
        <v>3.07</v>
      </c>
      <c r="Q921" s="21" t="s">
        <v>1428</v>
      </c>
      <c r="R921" s="22">
        <v>0.4</v>
      </c>
      <c r="S921" s="22">
        <f t="shared" si="24"/>
        <v>4.27662068965517</v>
      </c>
      <c r="T921" s="23"/>
      <c r="U921" s="812"/>
      <c r="V921" s="120" t="s">
        <v>1406</v>
      </c>
    </row>
    <row r="922" s="42" customFormat="1" spans="1:22">
      <c r="A922" s="1138"/>
      <c r="B922" s="23"/>
      <c r="C922" s="23"/>
      <c r="D922" s="21"/>
      <c r="E922" s="23" t="s">
        <v>7041</v>
      </c>
      <c r="F922" s="23" t="s">
        <v>7042</v>
      </c>
      <c r="G922" s="23"/>
      <c r="H922" s="37"/>
      <c r="I922" s="37"/>
      <c r="J922" s="21"/>
      <c r="K922" s="21"/>
      <c r="L922" s="21"/>
      <c r="M922" s="21"/>
      <c r="N922" s="21"/>
      <c r="O922" s="37">
        <v>0.806620689655172</v>
      </c>
      <c r="P922" s="22">
        <v>3.18</v>
      </c>
      <c r="Q922" s="21" t="s">
        <v>1428</v>
      </c>
      <c r="R922" s="22">
        <v>0.4</v>
      </c>
      <c r="S922" s="22">
        <f t="shared" si="24"/>
        <v>4.38662068965517</v>
      </c>
      <c r="T922" s="23"/>
      <c r="U922" s="812"/>
      <c r="V922" s="120" t="s">
        <v>1406</v>
      </c>
    </row>
    <row r="923" s="42" customFormat="1" spans="1:22">
      <c r="A923" s="1138"/>
      <c r="B923" s="23"/>
      <c r="C923" s="23"/>
      <c r="D923" s="21"/>
      <c r="E923" s="23" t="s">
        <v>7043</v>
      </c>
      <c r="F923" s="20" t="s">
        <v>5929</v>
      </c>
      <c r="G923" s="20"/>
      <c r="H923" s="21"/>
      <c r="I923" s="21"/>
      <c r="J923" s="21"/>
      <c r="K923" s="21"/>
      <c r="L923" s="21"/>
      <c r="M923" s="21"/>
      <c r="N923" s="21"/>
      <c r="O923" s="37">
        <v>0.876191724137931</v>
      </c>
      <c r="P923" s="22">
        <v>3.09</v>
      </c>
      <c r="Q923" s="21" t="s">
        <v>1428</v>
      </c>
      <c r="R923" s="22">
        <v>0.4</v>
      </c>
      <c r="S923" s="22">
        <f t="shared" si="24"/>
        <v>4.36619172413793</v>
      </c>
      <c r="T923" s="23"/>
      <c r="U923" s="20"/>
      <c r="V923" s="120" t="s">
        <v>1406</v>
      </c>
    </row>
    <row r="924" s="42" customFormat="1" spans="1:22">
      <c r="A924" s="1138"/>
      <c r="B924" s="23"/>
      <c r="C924" s="23"/>
      <c r="D924" s="21"/>
      <c r="E924" s="23" t="s">
        <v>7044</v>
      </c>
      <c r="F924" s="20" t="s">
        <v>5893</v>
      </c>
      <c r="G924" s="20"/>
      <c r="H924" s="37"/>
      <c r="I924" s="37"/>
      <c r="J924" s="37"/>
      <c r="K924" s="21"/>
      <c r="L924" s="21"/>
      <c r="M924" s="21"/>
      <c r="N924" s="21"/>
      <c r="O924" s="37">
        <v>0.307443475862069</v>
      </c>
      <c r="P924" s="22">
        <v>0.8582</v>
      </c>
      <c r="Q924" s="21" t="s">
        <v>1428</v>
      </c>
      <c r="R924" s="22">
        <v>0.24</v>
      </c>
      <c r="S924" s="22">
        <f t="shared" si="24"/>
        <v>1.40564347586207</v>
      </c>
      <c r="T924" s="1139"/>
      <c r="U924" s="20"/>
      <c r="V924" s="120" t="s">
        <v>1406</v>
      </c>
    </row>
    <row r="925" s="42" customFormat="1" ht="15" spans="1:22">
      <c r="A925" s="1138"/>
      <c r="B925" s="23"/>
      <c r="C925" s="23"/>
      <c r="D925" s="21"/>
      <c r="E925" s="23" t="s">
        <v>7045</v>
      </c>
      <c r="F925" s="20" t="s">
        <v>5894</v>
      </c>
      <c r="G925" s="20"/>
      <c r="H925" s="21"/>
      <c r="I925" s="21"/>
      <c r="J925" s="21"/>
      <c r="K925" s="21"/>
      <c r="L925" s="21"/>
      <c r="M925" s="21"/>
      <c r="N925" s="21"/>
      <c r="O925" s="37">
        <v>0.610006896551724</v>
      </c>
      <c r="P925" s="22">
        <v>4.55172413793103</v>
      </c>
      <c r="Q925" s="21" t="s">
        <v>1428</v>
      </c>
      <c r="R925" s="22">
        <v>0.33</v>
      </c>
      <c r="S925" s="22">
        <f t="shared" si="24"/>
        <v>5.49173103448275</v>
      </c>
      <c r="T925" s="23"/>
      <c r="U925" s="20" t="s">
        <v>7046</v>
      </c>
      <c r="V925" s="120" t="s">
        <v>1406</v>
      </c>
    </row>
    <row r="926" s="42" customFormat="1" ht="15" spans="1:22">
      <c r="A926" s="1138"/>
      <c r="B926" s="23"/>
      <c r="C926" s="23"/>
      <c r="D926" s="21"/>
      <c r="E926" s="23" t="s">
        <v>7047</v>
      </c>
      <c r="F926" s="20" t="s">
        <v>7048</v>
      </c>
      <c r="G926" s="20"/>
      <c r="H926" s="37"/>
      <c r="I926" s="37"/>
      <c r="J926" s="37"/>
      <c r="K926" s="21"/>
      <c r="L926" s="21"/>
      <c r="M926" s="21"/>
      <c r="N926" s="21"/>
      <c r="O926" s="37">
        <v>0.615885144827586</v>
      </c>
      <c r="P926" s="22">
        <v>1.2622</v>
      </c>
      <c r="Q926" s="21" t="s">
        <v>1428</v>
      </c>
      <c r="R926" s="22">
        <v>0.33</v>
      </c>
      <c r="S926" s="22">
        <f t="shared" si="24"/>
        <v>2.20808514482759</v>
      </c>
      <c r="T926" s="1139"/>
      <c r="U926" s="20" t="s">
        <v>7049</v>
      </c>
      <c r="V926" s="120" t="s">
        <v>1406</v>
      </c>
    </row>
    <row r="927" s="42" customFormat="1" ht="15" spans="1:22">
      <c r="A927" s="1138"/>
      <c r="B927" s="23" t="s">
        <v>7050</v>
      </c>
      <c r="C927" s="23"/>
      <c r="D927" s="21"/>
      <c r="E927" s="23"/>
      <c r="F927" s="20" t="s">
        <v>1604</v>
      </c>
      <c r="G927" s="729" t="s">
        <v>1933</v>
      </c>
      <c r="H927" s="21" t="s">
        <v>6159</v>
      </c>
      <c r="I927" s="21" t="s">
        <v>3670</v>
      </c>
      <c r="J927" s="21" t="s">
        <v>4670</v>
      </c>
      <c r="K927" s="21" t="s">
        <v>1428</v>
      </c>
      <c r="L927" s="21" t="s">
        <v>1428</v>
      </c>
      <c r="M927" s="138" t="s">
        <v>4671</v>
      </c>
      <c r="N927" s="21">
        <v>1.3</v>
      </c>
      <c r="O927" s="37">
        <v>4.27151350433157</v>
      </c>
      <c r="P927" s="22">
        <v>13.5665024630542</v>
      </c>
      <c r="Q927" s="21" t="s">
        <v>1428</v>
      </c>
      <c r="R927" s="37">
        <v>2.45470649360002</v>
      </c>
      <c r="S927" s="22">
        <f t="shared" si="24"/>
        <v>21.5927224609858</v>
      </c>
      <c r="T927" s="23" t="s">
        <v>3800</v>
      </c>
      <c r="U927" s="139" t="s">
        <v>7051</v>
      </c>
      <c r="V927" s="120" t="s">
        <v>1406</v>
      </c>
    </row>
    <row r="928" s="42" customFormat="1" ht="15" spans="1:22">
      <c r="A928" s="1138"/>
      <c r="B928" s="23"/>
      <c r="C928" s="23"/>
      <c r="D928" s="21"/>
      <c r="E928" s="23"/>
      <c r="F928" s="20" t="s">
        <v>1669</v>
      </c>
      <c r="G928" s="23" t="s">
        <v>3540</v>
      </c>
      <c r="H928" s="21" t="s">
        <v>3785</v>
      </c>
      <c r="I928" s="21" t="s">
        <v>3670</v>
      </c>
      <c r="J928" s="21" t="s">
        <v>3696</v>
      </c>
      <c r="K928" s="21" t="s">
        <v>1428</v>
      </c>
      <c r="L928" s="21" t="s">
        <v>1428</v>
      </c>
      <c r="M928" s="138" t="s">
        <v>4671</v>
      </c>
      <c r="N928" s="21">
        <v>3.3</v>
      </c>
      <c r="O928" s="37">
        <v>4.27151350433157</v>
      </c>
      <c r="P928" s="22">
        <v>10.4433497536946</v>
      </c>
      <c r="Q928" s="21" t="s">
        <v>1428</v>
      </c>
      <c r="R928" s="37">
        <v>2.45470649360002</v>
      </c>
      <c r="S928" s="22">
        <f t="shared" si="24"/>
        <v>20.4695697516262</v>
      </c>
      <c r="T928" s="23" t="s">
        <v>3800</v>
      </c>
      <c r="U928" s="20" t="s">
        <v>7052</v>
      </c>
      <c r="V928" s="120" t="s">
        <v>1406</v>
      </c>
    </row>
    <row r="929" s="42" customFormat="1" ht="15" spans="1:22">
      <c r="A929" s="1138"/>
      <c r="B929" s="23"/>
      <c r="C929" s="23"/>
      <c r="D929" s="21"/>
      <c r="E929" s="23"/>
      <c r="F929" s="20" t="s">
        <v>1671</v>
      </c>
      <c r="G929" s="23" t="s">
        <v>3540</v>
      </c>
      <c r="H929" s="21" t="s">
        <v>6159</v>
      </c>
      <c r="I929" s="21" t="s">
        <v>1913</v>
      </c>
      <c r="J929" s="21" t="s">
        <v>5813</v>
      </c>
      <c r="K929" s="21" t="s">
        <v>1428</v>
      </c>
      <c r="L929" s="21" t="s">
        <v>1428</v>
      </c>
      <c r="M929" s="21" t="s">
        <v>1428</v>
      </c>
      <c r="N929" s="21">
        <v>3.5</v>
      </c>
      <c r="O929" s="37">
        <v>4.27151350433157</v>
      </c>
      <c r="P929" s="22">
        <v>10.3743842364532</v>
      </c>
      <c r="Q929" s="21" t="s">
        <v>1428</v>
      </c>
      <c r="R929" s="37">
        <v>2.45470649360002</v>
      </c>
      <c r="S929" s="22">
        <f t="shared" si="24"/>
        <v>20.6006042343848</v>
      </c>
      <c r="T929" s="23" t="s">
        <v>2854</v>
      </c>
      <c r="U929" s="139" t="s">
        <v>7053</v>
      </c>
      <c r="V929" s="120" t="s">
        <v>1406</v>
      </c>
    </row>
    <row r="930" s="42" customFormat="1" ht="15" spans="1:22">
      <c r="A930" s="1138"/>
      <c r="B930" s="23"/>
      <c r="C930" s="23"/>
      <c r="D930" s="21"/>
      <c r="E930" s="23"/>
      <c r="F930" s="20" t="s">
        <v>1998</v>
      </c>
      <c r="G930" s="23" t="s">
        <v>3540</v>
      </c>
      <c r="H930" s="21" t="s">
        <v>6159</v>
      </c>
      <c r="I930" s="21" t="s">
        <v>1913</v>
      </c>
      <c r="J930" s="21" t="s">
        <v>3696</v>
      </c>
      <c r="K930" s="21" t="s">
        <v>1428</v>
      </c>
      <c r="L930" s="21" t="s">
        <v>1428</v>
      </c>
      <c r="M930" s="21" t="s">
        <v>1428</v>
      </c>
      <c r="N930" s="21">
        <v>3.3</v>
      </c>
      <c r="O930" s="37">
        <v>4.27151350433157</v>
      </c>
      <c r="P930" s="22">
        <v>10.4827586206897</v>
      </c>
      <c r="Q930" s="21" t="s">
        <v>1428</v>
      </c>
      <c r="R930" s="37">
        <v>2.45470649360002</v>
      </c>
      <c r="S930" s="22">
        <f t="shared" si="24"/>
        <v>20.5089786186213</v>
      </c>
      <c r="T930" s="23" t="s">
        <v>2854</v>
      </c>
      <c r="U930" s="139" t="s">
        <v>7053</v>
      </c>
      <c r="V930" s="120" t="s">
        <v>1406</v>
      </c>
    </row>
    <row r="931" s="42" customFormat="1" spans="1:22">
      <c r="A931" s="1138"/>
      <c r="B931" s="23"/>
      <c r="C931" s="23"/>
      <c r="D931" s="21"/>
      <c r="E931" s="23" t="s">
        <v>7054</v>
      </c>
      <c r="F931" s="20" t="s">
        <v>7055</v>
      </c>
      <c r="G931" s="23"/>
      <c r="H931" s="21"/>
      <c r="I931" s="21"/>
      <c r="J931" s="21"/>
      <c r="K931" s="21"/>
      <c r="L931" s="21"/>
      <c r="M931" s="21"/>
      <c r="N931" s="21"/>
      <c r="O931" s="37">
        <v>0.748766034087974</v>
      </c>
      <c r="P931" s="22">
        <v>5.59141321622625</v>
      </c>
      <c r="Q931" s="690" t="s">
        <v>1428</v>
      </c>
      <c r="R931" s="22">
        <v>0.4</v>
      </c>
      <c r="S931" s="1155">
        <f t="shared" si="24"/>
        <v>6.74017925031422</v>
      </c>
      <c r="T931" s="23"/>
      <c r="U931" s="20"/>
      <c r="V931" s="120" t="s">
        <v>1406</v>
      </c>
    </row>
    <row r="932" s="42" customFormat="1" spans="1:22">
      <c r="A932" s="1138"/>
      <c r="B932" s="23"/>
      <c r="C932" s="23"/>
      <c r="D932" s="21"/>
      <c r="E932" s="23" t="s">
        <v>7056</v>
      </c>
      <c r="F932" s="20" t="s">
        <v>7057</v>
      </c>
      <c r="G932" s="23"/>
      <c r="H932" s="21"/>
      <c r="I932" s="21"/>
      <c r="J932" s="21"/>
      <c r="K932" s="21"/>
      <c r="L932" s="21"/>
      <c r="M932" s="21"/>
      <c r="N932" s="21"/>
      <c r="O932" s="37">
        <v>0.625826397146255</v>
      </c>
      <c r="P932" s="22">
        <v>4.7487684729064</v>
      </c>
      <c r="Q932" s="690" t="s">
        <v>1428</v>
      </c>
      <c r="R932" s="22">
        <v>0.4</v>
      </c>
      <c r="S932" s="1155">
        <f t="shared" si="24"/>
        <v>5.77459487005266</v>
      </c>
      <c r="T932" s="23"/>
      <c r="U932" s="20" t="s">
        <v>840</v>
      </c>
      <c r="V932" s="120" t="s">
        <v>1406</v>
      </c>
    </row>
    <row r="933" s="42" customFormat="1" spans="1:22">
      <c r="A933" s="1138"/>
      <c r="B933" s="23"/>
      <c r="C933" s="23"/>
      <c r="D933" s="21"/>
      <c r="E933" s="23" t="s">
        <v>7058</v>
      </c>
      <c r="F933" s="20" t="s">
        <v>7059</v>
      </c>
      <c r="G933" s="23"/>
      <c r="H933" s="21"/>
      <c r="I933" s="21"/>
      <c r="J933" s="21"/>
      <c r="K933" s="21"/>
      <c r="L933" s="21"/>
      <c r="M933" s="21"/>
      <c r="N933" s="21"/>
      <c r="O933" s="37">
        <v>0.695362663495838</v>
      </c>
      <c r="P933" s="22">
        <v>3.14285714285714</v>
      </c>
      <c r="Q933" s="690" t="s">
        <v>1428</v>
      </c>
      <c r="R933" s="22">
        <v>0.4</v>
      </c>
      <c r="S933" s="1155">
        <f t="shared" si="24"/>
        <v>4.23821980635298</v>
      </c>
      <c r="T933" s="23"/>
      <c r="U933" s="20" t="s">
        <v>25</v>
      </c>
      <c r="V933" s="120" t="s">
        <v>1406</v>
      </c>
    </row>
    <row r="934" s="42" customFormat="1" spans="1:22">
      <c r="A934" s="1138"/>
      <c r="B934" s="23"/>
      <c r="C934" s="23"/>
      <c r="D934" s="21"/>
      <c r="E934" s="23" t="s">
        <v>7060</v>
      </c>
      <c r="F934" s="20" t="s">
        <v>7061</v>
      </c>
      <c r="G934" s="23"/>
      <c r="H934" s="21"/>
      <c r="I934" s="21"/>
      <c r="J934" s="21"/>
      <c r="K934" s="21"/>
      <c r="L934" s="21"/>
      <c r="M934" s="21"/>
      <c r="N934" s="21"/>
      <c r="O934" s="37">
        <v>0.695362663495838</v>
      </c>
      <c r="P934" s="22">
        <v>5.40886699507389</v>
      </c>
      <c r="Q934" s="21" t="s">
        <v>1428</v>
      </c>
      <c r="R934" s="22">
        <v>0.4</v>
      </c>
      <c r="S934" s="22">
        <f t="shared" si="24"/>
        <v>6.50422965856973</v>
      </c>
      <c r="T934" s="23"/>
      <c r="U934" s="20" t="s">
        <v>840</v>
      </c>
      <c r="V934" s="120" t="s">
        <v>1406</v>
      </c>
    </row>
    <row r="935" s="839" customFormat="1" ht="15" spans="1:22">
      <c r="A935" s="1138"/>
      <c r="B935" s="23"/>
      <c r="C935" s="23"/>
      <c r="D935" s="21"/>
      <c r="E935" s="23" t="s">
        <v>7062</v>
      </c>
      <c r="F935" s="39" t="s">
        <v>421</v>
      </c>
      <c r="G935" s="39"/>
      <c r="H935" s="21"/>
      <c r="I935" s="21"/>
      <c r="J935" s="21"/>
      <c r="K935" s="690"/>
      <c r="L935" s="690"/>
      <c r="M935" s="690"/>
      <c r="N935" s="690"/>
      <c r="O935" s="37">
        <v>0.907448275862069</v>
      </c>
      <c r="P935" s="22">
        <v>3.8</v>
      </c>
      <c r="Q935" s="21" t="s">
        <v>1428</v>
      </c>
      <c r="R935" s="22">
        <v>0.4</v>
      </c>
      <c r="S935" s="22">
        <f t="shared" si="24"/>
        <v>5.10744827586207</v>
      </c>
      <c r="T935" s="688"/>
      <c r="U935" s="39" t="s">
        <v>2947</v>
      </c>
      <c r="V935" s="120" t="s">
        <v>1406</v>
      </c>
    </row>
    <row r="936" s="839" customFormat="1" ht="15" spans="1:22">
      <c r="A936" s="1138"/>
      <c r="B936" s="23"/>
      <c r="C936" s="23"/>
      <c r="D936" s="21"/>
      <c r="E936" s="23" t="s">
        <v>7063</v>
      </c>
      <c r="F936" s="39" t="s">
        <v>423</v>
      </c>
      <c r="G936" s="39"/>
      <c r="H936" s="21"/>
      <c r="I936" s="21"/>
      <c r="J936" s="21"/>
      <c r="K936" s="690"/>
      <c r="L936" s="690"/>
      <c r="M936" s="690"/>
      <c r="N936" s="690"/>
      <c r="O936" s="37">
        <v>0.86711724137931</v>
      </c>
      <c r="P936" s="22">
        <v>3.5</v>
      </c>
      <c r="Q936" s="21" t="s">
        <v>1428</v>
      </c>
      <c r="R936" s="22">
        <v>0.64</v>
      </c>
      <c r="S936" s="22">
        <f t="shared" si="24"/>
        <v>5.00711724137931</v>
      </c>
      <c r="T936" s="688"/>
      <c r="U936" s="39" t="s">
        <v>2947</v>
      </c>
      <c r="V936" s="120" t="s">
        <v>1406</v>
      </c>
    </row>
    <row r="937" s="42" customFormat="1" ht="15" spans="1:22">
      <c r="A937" s="1138"/>
      <c r="B937" s="23"/>
      <c r="C937" s="23"/>
      <c r="D937" s="21"/>
      <c r="E937" s="23" t="s">
        <v>7064</v>
      </c>
      <c r="F937" s="20" t="s">
        <v>7065</v>
      </c>
      <c r="G937" s="20"/>
      <c r="H937" s="21"/>
      <c r="I937" s="22"/>
      <c r="J937" s="21"/>
      <c r="K937" s="21"/>
      <c r="L937" s="21"/>
      <c r="M937" s="21"/>
      <c r="N937" s="21"/>
      <c r="O937" s="37">
        <v>0.981556551724138</v>
      </c>
      <c r="P937" s="22">
        <v>4.89655172413793</v>
      </c>
      <c r="Q937" s="21" t="s">
        <v>1428</v>
      </c>
      <c r="R937" s="22">
        <v>0.4</v>
      </c>
      <c r="S937" s="22">
        <f t="shared" si="24"/>
        <v>6.27810827586207</v>
      </c>
      <c r="T937" s="813"/>
      <c r="U937" s="39" t="s">
        <v>2948</v>
      </c>
      <c r="V937" s="120" t="s">
        <v>1406</v>
      </c>
    </row>
    <row r="938" s="42" customFormat="1" ht="15" spans="1:22">
      <c r="A938" s="1138"/>
      <c r="B938" s="23"/>
      <c r="C938" s="23"/>
      <c r="D938" s="21"/>
      <c r="E938" s="23" t="s">
        <v>7066</v>
      </c>
      <c r="F938" s="20" t="s">
        <v>6682</v>
      </c>
      <c r="G938" s="20"/>
      <c r="H938" s="21"/>
      <c r="I938" s="22"/>
      <c r="J938" s="21"/>
      <c r="K938" s="21"/>
      <c r="L938" s="21"/>
      <c r="M938" s="21"/>
      <c r="N938" s="21"/>
      <c r="O938" s="37">
        <v>0.981556551724138</v>
      </c>
      <c r="P938" s="22">
        <v>4.89655172413793</v>
      </c>
      <c r="Q938" s="21" t="s">
        <v>1428</v>
      </c>
      <c r="R938" s="22">
        <v>0.4</v>
      </c>
      <c r="S938" s="22">
        <f t="shared" si="24"/>
        <v>6.27810827586207</v>
      </c>
      <c r="T938" s="813"/>
      <c r="U938" s="39" t="s">
        <v>2948</v>
      </c>
      <c r="V938" s="120" t="s">
        <v>1406</v>
      </c>
    </row>
    <row r="939" s="839" customFormat="1" spans="1:22">
      <c r="A939" s="1138"/>
      <c r="B939" s="23"/>
      <c r="C939" s="23"/>
      <c r="D939" s="21"/>
      <c r="E939" s="23" t="s">
        <v>7067</v>
      </c>
      <c r="F939" s="39" t="s">
        <v>431</v>
      </c>
      <c r="G939" s="39"/>
      <c r="H939" s="21"/>
      <c r="I939" s="21"/>
      <c r="J939" s="21"/>
      <c r="K939" s="690"/>
      <c r="L939" s="690"/>
      <c r="M939" s="690"/>
      <c r="N939" s="690"/>
      <c r="O939" s="37">
        <v>0.3988336</v>
      </c>
      <c r="P939" s="22">
        <v>0.92</v>
      </c>
      <c r="Q939" s="21" t="s">
        <v>1428</v>
      </c>
      <c r="R939" s="22">
        <v>0.35</v>
      </c>
      <c r="S939" s="22">
        <f t="shared" si="24"/>
        <v>1.6688336</v>
      </c>
      <c r="T939" s="688"/>
      <c r="U939" s="39"/>
      <c r="V939" s="120" t="s">
        <v>1406</v>
      </c>
    </row>
    <row r="940" s="839" customFormat="1" spans="1:22">
      <c r="A940" s="1138"/>
      <c r="B940" s="23"/>
      <c r="C940" s="23"/>
      <c r="D940" s="21"/>
      <c r="E940" s="23" t="s">
        <v>7068</v>
      </c>
      <c r="F940" s="39" t="s">
        <v>427</v>
      </c>
      <c r="G940" s="39"/>
      <c r="H940" s="21"/>
      <c r="I940" s="21"/>
      <c r="J940" s="21"/>
      <c r="K940" s="690"/>
      <c r="L940" s="690"/>
      <c r="M940" s="690"/>
      <c r="N940" s="690"/>
      <c r="O940" s="37">
        <v>0.467376193103448</v>
      </c>
      <c r="P940" s="22">
        <v>3.60591133004926</v>
      </c>
      <c r="Q940" s="21" t="s">
        <v>1428</v>
      </c>
      <c r="R940" s="22">
        <v>0.4</v>
      </c>
      <c r="S940" s="22">
        <f t="shared" si="24"/>
        <v>4.47328752315271</v>
      </c>
      <c r="T940" s="688"/>
      <c r="U940" s="39" t="s">
        <v>25</v>
      </c>
      <c r="V940" s="120" t="s">
        <v>1406</v>
      </c>
    </row>
    <row r="941" s="839" customFormat="1" spans="1:22">
      <c r="A941" s="1138"/>
      <c r="B941" s="23"/>
      <c r="C941" s="23"/>
      <c r="D941" s="21"/>
      <c r="E941" s="23" t="s">
        <v>7069</v>
      </c>
      <c r="F941" s="39" t="s">
        <v>428</v>
      </c>
      <c r="G941" s="39"/>
      <c r="H941" s="21"/>
      <c r="I941" s="21"/>
      <c r="J941" s="21"/>
      <c r="K941" s="690"/>
      <c r="L941" s="690"/>
      <c r="M941" s="690"/>
      <c r="N941" s="690"/>
      <c r="O941" s="37">
        <v>0.323289682592332</v>
      </c>
      <c r="P941" s="22">
        <v>2.57571351631397</v>
      </c>
      <c r="Q941" s="21" t="s">
        <v>1428</v>
      </c>
      <c r="R941" s="22">
        <v>0.4</v>
      </c>
      <c r="S941" s="22">
        <f t="shared" si="24"/>
        <v>3.2990031989063</v>
      </c>
      <c r="T941" s="688"/>
      <c r="U941" s="39" t="s">
        <v>25</v>
      </c>
      <c r="V941" s="120" t="s">
        <v>1406</v>
      </c>
    </row>
    <row r="942" s="42" customFormat="1" ht="15" customHeight="1" spans="1:22">
      <c r="A942" s="1156"/>
      <c r="B942" s="1157" t="s">
        <v>7070</v>
      </c>
      <c r="C942" s="729"/>
      <c r="D942" s="729"/>
      <c r="E942" s="729"/>
      <c r="F942" s="818" t="s">
        <v>1565</v>
      </c>
      <c r="G942" s="729" t="s">
        <v>1933</v>
      </c>
      <c r="H942" s="757" t="s">
        <v>6159</v>
      </c>
      <c r="I942" s="21" t="s">
        <v>3670</v>
      </c>
      <c r="J942" s="21" t="s">
        <v>3874</v>
      </c>
      <c r="K942" s="21" t="s">
        <v>1428</v>
      </c>
      <c r="L942" s="21" t="s">
        <v>1428</v>
      </c>
      <c r="M942" s="138" t="s">
        <v>4671</v>
      </c>
      <c r="N942" s="21">
        <v>2.5</v>
      </c>
      <c r="O942" s="22">
        <v>2.55991918596698</v>
      </c>
      <c r="P942" s="22">
        <v>11.483417700017</v>
      </c>
      <c r="Q942" s="21" t="s">
        <v>1428</v>
      </c>
      <c r="R942" s="37">
        <v>3</v>
      </c>
      <c r="S942" s="22">
        <v>31.026754586001</v>
      </c>
      <c r="T942" s="1158" t="s">
        <v>3800</v>
      </c>
      <c r="U942" s="1159" t="s">
        <v>6778</v>
      </c>
    </row>
    <row r="943" s="42" customFormat="1" ht="15" customHeight="1" spans="1:22">
      <c r="A943" s="1156"/>
      <c r="B943" s="1157"/>
      <c r="C943" s="729"/>
      <c r="D943" s="729"/>
      <c r="E943" s="729"/>
      <c r="F943" s="818" t="s">
        <v>1617</v>
      </c>
      <c r="G943" s="729" t="s">
        <v>1933</v>
      </c>
      <c r="H943" s="757" t="s">
        <v>6159</v>
      </c>
      <c r="I943" s="21" t="s">
        <v>3670</v>
      </c>
      <c r="J943" s="21" t="s">
        <v>1720</v>
      </c>
      <c r="K943" s="21" t="s">
        <v>1428</v>
      </c>
      <c r="L943" s="21" t="s">
        <v>1428</v>
      </c>
      <c r="M943" s="138" t="s">
        <v>4671</v>
      </c>
      <c r="N943" s="762">
        <v>2.3</v>
      </c>
      <c r="O943" s="22">
        <v>2.55991918596698</v>
      </c>
      <c r="P943" s="22">
        <v>10.8774588075421</v>
      </c>
      <c r="Q943" s="21" t="s">
        <v>1428</v>
      </c>
      <c r="R943" s="37">
        <v>3</v>
      </c>
      <c r="S943" s="22">
        <v>29.6148368010512</v>
      </c>
      <c r="T943" s="1158" t="s">
        <v>3800</v>
      </c>
      <c r="U943" s="1137" t="s">
        <v>7071</v>
      </c>
    </row>
    <row r="944" s="42" customFormat="1" ht="15" customHeight="1" spans="1:22">
      <c r="A944" s="1156"/>
      <c r="B944" s="1157"/>
      <c r="C944" s="729"/>
      <c r="D944" s="729"/>
      <c r="E944" s="729"/>
      <c r="F944" s="818" t="s">
        <v>1604</v>
      </c>
      <c r="G944" s="729" t="s">
        <v>1933</v>
      </c>
      <c r="H944" s="757" t="s">
        <v>6159</v>
      </c>
      <c r="I944" s="21" t="s">
        <v>3349</v>
      </c>
      <c r="J944" s="21" t="s">
        <v>3874</v>
      </c>
      <c r="K944" s="21" t="s">
        <v>1428</v>
      </c>
      <c r="L944" s="21" t="s">
        <v>1428</v>
      </c>
      <c r="M944" s="138" t="s">
        <v>4671</v>
      </c>
      <c r="N944" s="21">
        <v>2.5</v>
      </c>
      <c r="O944" s="22">
        <v>2.55991918596698</v>
      </c>
      <c r="P944" s="22">
        <v>8.98928063791029</v>
      </c>
      <c r="Q944" s="21" t="s">
        <v>1428</v>
      </c>
      <c r="R944" s="37">
        <v>3</v>
      </c>
      <c r="S944" s="22">
        <v>26.0384804617876</v>
      </c>
      <c r="T944" s="1158" t="s">
        <v>3800</v>
      </c>
      <c r="U944" s="1159" t="s">
        <v>6778</v>
      </c>
    </row>
    <row r="945" s="42" customFormat="1" ht="15" customHeight="1" spans="1:21">
      <c r="A945" s="1156"/>
      <c r="B945" s="1157"/>
      <c r="C945" s="729"/>
      <c r="D945" s="729"/>
      <c r="E945" s="729"/>
      <c r="F945" s="818" t="s">
        <v>1685</v>
      </c>
      <c r="G945" s="729" t="s">
        <v>1933</v>
      </c>
      <c r="H945" s="757" t="s">
        <v>6159</v>
      </c>
      <c r="I945" s="21" t="s">
        <v>3349</v>
      </c>
      <c r="J945" s="21" t="s">
        <v>1720</v>
      </c>
      <c r="K945" s="21" t="s">
        <v>1428</v>
      </c>
      <c r="L945" s="21" t="s">
        <v>1428</v>
      </c>
      <c r="M945" s="138" t="s">
        <v>4671</v>
      </c>
      <c r="N945" s="762">
        <v>2.3</v>
      </c>
      <c r="O945" s="22">
        <v>2.55991918596698</v>
      </c>
      <c r="P945" s="22">
        <v>10.9784503519818</v>
      </c>
      <c r="Q945" s="21" t="s">
        <v>1428</v>
      </c>
      <c r="R945" s="37">
        <v>3</v>
      </c>
      <c r="S945" s="22">
        <v>29.8168198899306</v>
      </c>
      <c r="T945" s="1158" t="s">
        <v>3800</v>
      </c>
      <c r="U945" s="1137" t="s">
        <v>7072</v>
      </c>
    </row>
    <row r="946" s="42" customFormat="1" ht="15" customHeight="1" spans="1:21">
      <c r="A946" s="1156"/>
      <c r="B946" s="1157"/>
      <c r="C946" s="729"/>
      <c r="D946" s="729"/>
      <c r="E946" s="729"/>
      <c r="F946" s="818" t="s">
        <v>1669</v>
      </c>
      <c r="G946" s="729" t="s">
        <v>1933</v>
      </c>
      <c r="H946" s="757" t="s">
        <v>6159</v>
      </c>
      <c r="I946" s="21" t="s">
        <v>3349</v>
      </c>
      <c r="J946" s="21" t="s">
        <v>3874</v>
      </c>
      <c r="K946" s="21" t="s">
        <v>1428</v>
      </c>
      <c r="L946" s="21" t="s">
        <v>1428</v>
      </c>
      <c r="M946" s="138" t="s">
        <v>4671</v>
      </c>
      <c r="N946" s="21">
        <v>2.5</v>
      </c>
      <c r="O946" s="22">
        <v>2.55991918596698</v>
      </c>
      <c r="P946" s="22">
        <v>10.8270905360273</v>
      </c>
      <c r="Q946" s="21" t="s">
        <v>1428</v>
      </c>
      <c r="R946" s="37">
        <v>3</v>
      </c>
      <c r="S946" s="22">
        <v>29.7141002580216</v>
      </c>
      <c r="T946" s="1158" t="s">
        <v>3800</v>
      </c>
      <c r="U946" s="1137" t="s">
        <v>7073</v>
      </c>
    </row>
    <row r="947" s="42" customFormat="1" ht="15" customHeight="1" spans="1:21">
      <c r="A947" s="1156"/>
      <c r="B947" s="1157"/>
      <c r="C947" s="729">
        <v>20240529</v>
      </c>
      <c r="D947" s="21">
        <v>7.24</v>
      </c>
      <c r="E947" s="729" t="s">
        <v>7074</v>
      </c>
      <c r="F947" s="818" t="s">
        <v>1671</v>
      </c>
      <c r="G947" s="729" t="s">
        <v>1933</v>
      </c>
      <c r="H947" s="757" t="s">
        <v>6159</v>
      </c>
      <c r="I947" s="21" t="s">
        <v>1913</v>
      </c>
      <c r="J947" s="21" t="s">
        <v>2955</v>
      </c>
      <c r="K947" s="21" t="s">
        <v>1428</v>
      </c>
      <c r="L947" s="21" t="s">
        <v>1428</v>
      </c>
      <c r="M947" s="21" t="s">
        <v>1428</v>
      </c>
      <c r="N947" s="21">
        <v>2.5</v>
      </c>
      <c r="O947" s="22">
        <v>2.55991918596698</v>
      </c>
      <c r="P947" s="22">
        <v>8.61110490173557</v>
      </c>
      <c r="Q947" s="21" t="s">
        <v>1428</v>
      </c>
      <c r="R947" s="37">
        <v>3</v>
      </c>
      <c r="S947" s="22">
        <v>25.2821289894381</v>
      </c>
      <c r="T947" s="1158" t="s">
        <v>1526</v>
      </c>
      <c r="U947" s="1137" t="s">
        <v>7075</v>
      </c>
    </row>
    <row r="948" s="42" customFormat="1" ht="15" customHeight="1" spans="1:21">
      <c r="A948" s="1156"/>
      <c r="B948" s="729"/>
      <c r="C948" s="729">
        <v>20240529</v>
      </c>
      <c r="D948" s="21">
        <v>7.24</v>
      </c>
      <c r="E948" s="729" t="s">
        <v>7076</v>
      </c>
      <c r="F948" s="729" t="s">
        <v>1672</v>
      </c>
      <c r="G948" s="729" t="s">
        <v>1933</v>
      </c>
      <c r="H948" s="21" t="s">
        <v>6159</v>
      </c>
      <c r="I948" s="21" t="s">
        <v>1913</v>
      </c>
      <c r="J948" s="21" t="s">
        <v>2955</v>
      </c>
      <c r="K948" s="21" t="s">
        <v>1428</v>
      </c>
      <c r="L948" s="21" t="s">
        <v>1428</v>
      </c>
      <c r="M948" s="21" t="s">
        <v>1428</v>
      </c>
      <c r="N948" s="21">
        <v>2.5</v>
      </c>
      <c r="O948" s="22">
        <v>2.55991918596698</v>
      </c>
      <c r="P948" s="22">
        <v>8.84876150400755</v>
      </c>
      <c r="Q948" s="21" t="s">
        <v>1428</v>
      </c>
      <c r="R948" s="37">
        <v>3</v>
      </c>
      <c r="S948" s="22">
        <v>25.7574421939821</v>
      </c>
      <c r="T948" s="166" t="s">
        <v>1526</v>
      </c>
      <c r="U948" s="759" t="s">
        <v>7075</v>
      </c>
    </row>
    <row r="949" s="42" customFormat="1" ht="15" customHeight="1" spans="1:21">
      <c r="A949" s="1156"/>
      <c r="B949" s="1157"/>
      <c r="C949" s="729"/>
      <c r="D949" s="21"/>
      <c r="E949" s="729" t="s">
        <v>879</v>
      </c>
      <c r="F949" s="818" t="s">
        <v>880</v>
      </c>
      <c r="G949" s="729"/>
      <c r="H949" s="21"/>
      <c r="I949" s="21"/>
      <c r="J949" s="21"/>
      <c r="K949" s="21"/>
      <c r="L949" s="21"/>
      <c r="M949" s="21"/>
      <c r="N949" s="21"/>
      <c r="O949" s="22">
        <v>1.19544735640451</v>
      </c>
      <c r="P949" s="22">
        <v>2.70961247744421</v>
      </c>
      <c r="Q949" s="21" t="s">
        <v>1428</v>
      </c>
      <c r="R949" s="37">
        <v>0.4</v>
      </c>
      <c r="S949" s="22">
        <v>7.01467231129293</v>
      </c>
      <c r="T949" s="756"/>
      <c r="U949" s="937" t="s">
        <v>25</v>
      </c>
    </row>
    <row r="950" s="42" customFormat="1" ht="15" customHeight="1" spans="1:21">
      <c r="A950" s="1156"/>
      <c r="B950" s="1157"/>
      <c r="C950" s="729"/>
      <c r="D950" s="21"/>
      <c r="E950" s="729" t="s">
        <v>881</v>
      </c>
      <c r="F950" s="818" t="s">
        <v>882</v>
      </c>
      <c r="G950" s="729"/>
      <c r="H950" s="21"/>
      <c r="I950" s="21"/>
      <c r="J950" s="21"/>
      <c r="K950" s="21"/>
      <c r="L950" s="21"/>
      <c r="M950" s="21"/>
      <c r="N950" s="21"/>
      <c r="O950" s="22">
        <v>0.59765892642258</v>
      </c>
      <c r="P950" s="22">
        <v>0.0409567956815612</v>
      </c>
      <c r="Q950" s="21" t="s">
        <v>1428</v>
      </c>
      <c r="R950" s="37">
        <v>0.1</v>
      </c>
      <c r="S950" s="22">
        <v>0.779572517785702</v>
      </c>
      <c r="T950" s="756"/>
      <c r="U950" s="937"/>
    </row>
    <row r="951" s="42" customFormat="1" ht="15.6" spans="1:21">
      <c r="A951" s="1156"/>
      <c r="B951" s="1157"/>
      <c r="C951" s="729"/>
      <c r="D951" s="21"/>
      <c r="E951" s="729" t="s">
        <v>834</v>
      </c>
      <c r="F951" s="695" t="s">
        <v>835</v>
      </c>
      <c r="G951" s="20"/>
      <c r="H951" s="21"/>
      <c r="I951" s="21"/>
      <c r="J951" s="21"/>
      <c r="K951" s="21"/>
      <c r="L951" s="21"/>
      <c r="M951" s="21"/>
      <c r="N951" s="21"/>
      <c r="O951" s="22">
        <v>0.509838605770861</v>
      </c>
      <c r="P951" s="22">
        <v>0.637150432552804</v>
      </c>
      <c r="Q951" s="21" t="s">
        <v>1428</v>
      </c>
      <c r="R951" s="37">
        <v>0.4</v>
      </c>
      <c r="S951" s="22">
        <v>2.18413947087647</v>
      </c>
      <c r="T951" s="38"/>
      <c r="U951" s="20"/>
    </row>
    <row r="952" s="42" customFormat="1" ht="20" customHeight="1" spans="1:21">
      <c r="A952" s="1156"/>
      <c r="B952" s="1160" t="s">
        <v>7077</v>
      </c>
      <c r="C952" s="729">
        <v>20240122</v>
      </c>
      <c r="D952" s="21">
        <v>7.24</v>
      </c>
      <c r="E952" s="729" t="s">
        <v>7078</v>
      </c>
      <c r="F952" s="695" t="s">
        <v>1581</v>
      </c>
      <c r="G952" s="729" t="s">
        <v>7079</v>
      </c>
      <c r="H952" s="757" t="s">
        <v>3785</v>
      </c>
      <c r="I952" s="21" t="s">
        <v>5877</v>
      </c>
      <c r="J952" s="21" t="s">
        <v>1428</v>
      </c>
      <c r="K952" s="21" t="s">
        <v>1428</v>
      </c>
      <c r="L952" s="21">
        <v>8</v>
      </c>
      <c r="M952" s="21" t="s">
        <v>1428</v>
      </c>
      <c r="N952" s="21" t="s">
        <v>1428</v>
      </c>
      <c r="O952" s="22">
        <v>4.36686020231463</v>
      </c>
      <c r="P952" s="22">
        <v>9.23329099629146</v>
      </c>
      <c r="Q952" s="21" t="s">
        <v>1428</v>
      </c>
      <c r="R952" s="37">
        <v>2.5</v>
      </c>
      <c r="S952" s="22">
        <v>33.3334421948976</v>
      </c>
      <c r="T952" s="756" t="s">
        <v>3922</v>
      </c>
      <c r="U952" s="937" t="s">
        <v>7080</v>
      </c>
    </row>
    <row r="953" s="42" customFormat="1" ht="20" customHeight="1" spans="1:21">
      <c r="A953" s="1156"/>
      <c r="B953" s="1161"/>
      <c r="C953" s="729"/>
      <c r="D953" s="21"/>
      <c r="E953" s="729" t="s">
        <v>6858</v>
      </c>
      <c r="F953" s="695" t="s">
        <v>6859</v>
      </c>
      <c r="G953" s="729"/>
      <c r="H953" s="21"/>
      <c r="I953" s="21"/>
      <c r="J953" s="21"/>
      <c r="K953" s="21"/>
      <c r="L953" s="21"/>
      <c r="M953" s="21"/>
      <c r="N953" s="21"/>
      <c r="O953" s="22">
        <v>0.388510678064515</v>
      </c>
      <c r="P953" s="22">
        <v>0.702877123603707</v>
      </c>
      <c r="Q953" s="21" t="s">
        <v>1428</v>
      </c>
      <c r="R953" s="37">
        <v>0.2</v>
      </c>
      <c r="S953" s="22">
        <v>1.99426492527193</v>
      </c>
      <c r="T953" s="756"/>
      <c r="U953" s="937"/>
    </row>
    <row r="954" s="42" customFormat="1" ht="15.6" spans="1:21">
      <c r="A954" s="1156"/>
      <c r="B954" s="1162" t="s">
        <v>7081</v>
      </c>
      <c r="C954" s="19"/>
      <c r="D954" s="21"/>
      <c r="E954" s="19"/>
      <c r="F954" s="695" t="s">
        <v>1629</v>
      </c>
      <c r="G954" s="20" t="s">
        <v>3540</v>
      </c>
      <c r="H954" s="757" t="s">
        <v>6159</v>
      </c>
      <c r="I954" s="21" t="s">
        <v>3670</v>
      </c>
      <c r="J954" s="21" t="s">
        <v>4670</v>
      </c>
      <c r="K954" s="21" t="s">
        <v>1428</v>
      </c>
      <c r="L954" s="21" t="s">
        <v>1428</v>
      </c>
      <c r="M954" s="138" t="s">
        <v>4671</v>
      </c>
      <c r="N954" s="21">
        <v>1.3</v>
      </c>
      <c r="O954" s="22">
        <v>2.80131815865466</v>
      </c>
      <c r="P954" s="22">
        <v>15.973473755733</v>
      </c>
      <c r="Q954" s="21" t="s">
        <v>1428</v>
      </c>
      <c r="R954" s="37">
        <v>3</v>
      </c>
      <c r="S954" s="22">
        <v>39.0482656701207</v>
      </c>
      <c r="T954" s="1158" t="s">
        <v>3800</v>
      </c>
      <c r="U954" s="1137" t="s">
        <v>7082</v>
      </c>
    </row>
    <row r="955" s="839" customFormat="1" ht="15.6" spans="1:21">
      <c r="A955" s="1156"/>
      <c r="B955" s="1163"/>
      <c r="C955" s="23"/>
      <c r="D955" s="21"/>
      <c r="E955" s="23" t="s">
        <v>7083</v>
      </c>
      <c r="F955" s="695" t="s">
        <v>6386</v>
      </c>
      <c r="G955" s="20"/>
      <c r="H955" s="21"/>
      <c r="I955" s="20"/>
      <c r="J955" s="20"/>
      <c r="K955" s="20"/>
      <c r="L955" s="20"/>
      <c r="M955" s="20"/>
      <c r="N955" s="20"/>
      <c r="O955" s="22">
        <v>0.158940037370478</v>
      </c>
      <c r="P955" s="22">
        <v>0.695362663495838</v>
      </c>
      <c r="Q955" s="21" t="s">
        <v>1428</v>
      </c>
      <c r="R955" s="37">
        <v>0.2</v>
      </c>
      <c r="S955" s="22">
        <v>1.74966536436215</v>
      </c>
      <c r="T955" s="20"/>
      <c r="U955" s="20"/>
    </row>
    <row r="956" s="42" customFormat="1" ht="15.6" spans="1:21">
      <c r="A956" s="1156"/>
      <c r="B956" s="1162"/>
      <c r="C956" s="19"/>
      <c r="D956" s="21"/>
      <c r="E956" s="19" t="s">
        <v>7084</v>
      </c>
      <c r="F956" s="695" t="s">
        <v>7085</v>
      </c>
      <c r="G956" s="35"/>
      <c r="H956" s="21"/>
      <c r="I956" s="21"/>
      <c r="J956" s="21"/>
      <c r="K956" s="21"/>
      <c r="L956" s="21"/>
      <c r="M956" s="21"/>
      <c r="N956" s="21"/>
      <c r="O956" s="22">
        <v>0.366004137931034</v>
      </c>
      <c r="P956" s="22">
        <v>1.1696</v>
      </c>
      <c r="Q956" s="21" t="s">
        <v>1428</v>
      </c>
      <c r="R956" s="37">
        <v>0.4</v>
      </c>
      <c r="S956" s="22">
        <v>3.10520413793103</v>
      </c>
      <c r="T956" s="756"/>
      <c r="U956" s="937"/>
    </row>
    <row r="957" s="187" customFormat="1" ht="22" customHeight="1" spans="1:21">
      <c r="A957" s="1156"/>
      <c r="B957" s="820" t="s">
        <v>7086</v>
      </c>
      <c r="C957" s="23"/>
      <c r="D957" s="21"/>
      <c r="E957" s="23"/>
      <c r="F957" s="35" t="s">
        <v>7087</v>
      </c>
      <c r="G957" s="23" t="s">
        <v>1933</v>
      </c>
      <c r="H957" s="757" t="s">
        <v>6149</v>
      </c>
      <c r="I957" s="21" t="s">
        <v>4677</v>
      </c>
      <c r="J957" s="21" t="s">
        <v>4670</v>
      </c>
      <c r="K957" s="21" t="s">
        <v>1428</v>
      </c>
      <c r="L957" s="21" t="s">
        <v>1428</v>
      </c>
      <c r="M957" s="138" t="s">
        <v>4671</v>
      </c>
      <c r="N957" s="21">
        <v>1.3</v>
      </c>
      <c r="O957" s="22">
        <v>2.80924812413793</v>
      </c>
      <c r="P957" s="22">
        <v>13.4201517241379</v>
      </c>
      <c r="Q957" s="21" t="s">
        <v>1428</v>
      </c>
      <c r="R957" s="37">
        <v>3</v>
      </c>
      <c r="S957" s="22">
        <v>33.9495515724137</v>
      </c>
      <c r="T957" s="758" t="s">
        <v>5814</v>
      </c>
      <c r="U957" s="1143" t="s">
        <v>7088</v>
      </c>
    </row>
    <row r="958" s="187" customFormat="1" ht="15.6" spans="1:21">
      <c r="A958" s="1156"/>
      <c r="B958" s="820"/>
      <c r="C958" s="23"/>
      <c r="D958" s="21"/>
      <c r="E958" s="23"/>
      <c r="F958" s="35" t="s">
        <v>7089</v>
      </c>
      <c r="G958" s="23" t="s">
        <v>1933</v>
      </c>
      <c r="H958" s="757" t="s">
        <v>6192</v>
      </c>
      <c r="I958" s="21" t="s">
        <v>4691</v>
      </c>
      <c r="J958" s="21" t="s">
        <v>5813</v>
      </c>
      <c r="K958" s="21" t="s">
        <v>1428</v>
      </c>
      <c r="L958" s="21" t="s">
        <v>1428</v>
      </c>
      <c r="M958" s="138" t="s">
        <v>4671</v>
      </c>
      <c r="N958" s="21" t="s">
        <v>1428</v>
      </c>
      <c r="O958" s="22">
        <v>2.80924812413793</v>
      </c>
      <c r="P958" s="22">
        <v>13.4201517241379</v>
      </c>
      <c r="Q958" s="21" t="s">
        <v>1428</v>
      </c>
      <c r="R958" s="37">
        <v>3</v>
      </c>
      <c r="S958" s="22">
        <v>32.6495515724137</v>
      </c>
      <c r="T958" s="758" t="s">
        <v>5814</v>
      </c>
      <c r="U958" s="1136"/>
    </row>
    <row r="959" s="187" customFormat="1" ht="14" customHeight="1" spans="1:21">
      <c r="A959" s="1156"/>
      <c r="B959" s="820"/>
      <c r="C959" s="23"/>
      <c r="D959" s="21"/>
      <c r="E959" s="23" t="s">
        <v>7090</v>
      </c>
      <c r="F959" s="35" t="s">
        <v>7091</v>
      </c>
      <c r="G959" s="35"/>
      <c r="H959" s="21"/>
      <c r="I959" s="21"/>
      <c r="J959" s="21"/>
      <c r="K959" s="21"/>
      <c r="L959" s="21"/>
      <c r="M959" s="21"/>
      <c r="N959" s="21"/>
      <c r="O959" s="22">
        <v>0.535918786206897</v>
      </c>
      <c r="P959" s="22">
        <v>1.88547586206897</v>
      </c>
      <c r="Q959" s="21" t="s">
        <v>1428</v>
      </c>
      <c r="R959" s="37">
        <v>0.4</v>
      </c>
      <c r="S959" s="22">
        <v>4.70687051034484</v>
      </c>
      <c r="T959" s="756"/>
      <c r="U959" s="23"/>
    </row>
    <row r="960" s="42" customFormat="1" ht="15" customHeight="1" spans="1:21">
      <c r="A960" s="1156"/>
      <c r="B960" s="820" t="s">
        <v>7092</v>
      </c>
      <c r="C960" s="23"/>
      <c r="D960" s="21"/>
      <c r="E960" s="23"/>
      <c r="F960" s="35" t="s">
        <v>1565</v>
      </c>
      <c r="G960" s="23" t="s">
        <v>3540</v>
      </c>
      <c r="H960" s="757" t="s">
        <v>6159</v>
      </c>
      <c r="I960" s="21" t="s">
        <v>3463</v>
      </c>
      <c r="J960" s="21" t="s">
        <v>2955</v>
      </c>
      <c r="K960" s="21" t="s">
        <v>1428</v>
      </c>
      <c r="L960" s="21">
        <v>10</v>
      </c>
      <c r="M960" s="138" t="s">
        <v>4671</v>
      </c>
      <c r="N960" s="21" t="s">
        <v>1428</v>
      </c>
      <c r="O960" s="22">
        <v>3.08218471264515</v>
      </c>
      <c r="P960" s="22">
        <v>11.4089826248832</v>
      </c>
      <c r="Q960" s="21" t="s">
        <v>1428</v>
      </c>
      <c r="R960" s="37">
        <v>2.33529990167158</v>
      </c>
      <c r="S960" s="22">
        <v>38.2354498640831</v>
      </c>
      <c r="T960" s="758" t="s">
        <v>4707</v>
      </c>
      <c r="U960" s="20" t="s">
        <v>7093</v>
      </c>
    </row>
    <row r="961" s="42" customFormat="1" ht="15" customHeight="1" spans="1:21">
      <c r="A961" s="1156"/>
      <c r="B961" s="820"/>
      <c r="C961" s="23"/>
      <c r="D961" s="21"/>
      <c r="E961" s="23"/>
      <c r="F961" s="35" t="s">
        <v>1617</v>
      </c>
      <c r="G961" s="23" t="s">
        <v>1933</v>
      </c>
      <c r="H961" s="757" t="s">
        <v>3785</v>
      </c>
      <c r="I961" s="21" t="s">
        <v>7094</v>
      </c>
      <c r="J961" s="21" t="s">
        <v>1720</v>
      </c>
      <c r="K961" s="21" t="s">
        <v>1428</v>
      </c>
      <c r="L961" s="700">
        <v>14</v>
      </c>
      <c r="M961" s="138" t="s">
        <v>4671</v>
      </c>
      <c r="N961" s="762">
        <v>2.3</v>
      </c>
      <c r="O961" s="22">
        <v>3.08218471264515</v>
      </c>
      <c r="P961" s="22">
        <v>14.0467175104974</v>
      </c>
      <c r="Q961" s="21" t="s">
        <v>1428</v>
      </c>
      <c r="R961" s="37">
        <v>2.33529990167158</v>
      </c>
      <c r="S961" s="22">
        <v>49.8109196353115</v>
      </c>
      <c r="T961" s="758" t="s">
        <v>4707</v>
      </c>
      <c r="U961" s="20" t="s">
        <v>7095</v>
      </c>
    </row>
    <row r="962" s="42" customFormat="1" ht="15" customHeight="1" spans="1:21">
      <c r="A962" s="1156"/>
      <c r="B962" s="1163"/>
      <c r="C962" s="23"/>
      <c r="D962" s="21"/>
      <c r="E962" s="23" t="s">
        <v>7096</v>
      </c>
      <c r="F962" s="35" t="s">
        <v>507</v>
      </c>
      <c r="G962" s="35"/>
      <c r="H962" s="703"/>
      <c r="I962" s="21"/>
      <c r="J962" s="21"/>
      <c r="K962" s="21"/>
      <c r="L962" s="21"/>
      <c r="M962" s="703"/>
      <c r="N962" s="21"/>
      <c r="O962" s="22">
        <v>0.524303448275862</v>
      </c>
      <c r="P962" s="22">
        <v>2.95424827586207</v>
      </c>
      <c r="Q962" s="21" t="s">
        <v>1428</v>
      </c>
      <c r="R962" s="37">
        <v>0.4</v>
      </c>
      <c r="S962" s="22">
        <v>6.8328</v>
      </c>
      <c r="T962" s="819"/>
      <c r="U962" s="20" t="s">
        <v>25</v>
      </c>
    </row>
    <row r="963" s="42" customFormat="1" ht="15" customHeight="1" spans="1:21">
      <c r="A963" s="1156"/>
      <c r="B963" s="1164"/>
      <c r="C963" s="23"/>
      <c r="D963" s="21"/>
      <c r="E963" s="23" t="s">
        <v>7097</v>
      </c>
      <c r="F963" s="35" t="s">
        <v>7098</v>
      </c>
      <c r="G963" s="35"/>
      <c r="H963" s="703"/>
      <c r="I963" s="21"/>
      <c r="J963" s="21"/>
      <c r="K963" s="21"/>
      <c r="L963" s="21"/>
      <c r="M963" s="703"/>
      <c r="N963" s="21"/>
      <c r="O963" s="22">
        <v>0.0481079822291354</v>
      </c>
      <c r="P963" s="22">
        <v>0.468090615288063</v>
      </c>
      <c r="Q963" s="21" t="s">
        <v>1428</v>
      </c>
      <c r="R963" s="37">
        <v>0.2</v>
      </c>
      <c r="S963" s="22">
        <v>1.18428921280526</v>
      </c>
      <c r="T963" s="819"/>
      <c r="U963" s="20"/>
    </row>
    <row r="964" s="42" customFormat="1" ht="30" spans="1:21">
      <c r="A964" s="1156"/>
      <c r="B964" s="1162" t="s">
        <v>7099</v>
      </c>
      <c r="C964" s="19"/>
      <c r="D964" s="19"/>
      <c r="E964" s="19"/>
      <c r="F964" s="695" t="s">
        <v>1617</v>
      </c>
      <c r="G964" s="35" t="s">
        <v>3540</v>
      </c>
      <c r="H964" s="757" t="s">
        <v>6149</v>
      </c>
      <c r="I964" s="21" t="s">
        <v>5877</v>
      </c>
      <c r="J964" s="21" t="s">
        <v>3750</v>
      </c>
      <c r="K964" s="21" t="s">
        <v>1428</v>
      </c>
      <c r="L964" s="21" t="s">
        <v>1428</v>
      </c>
      <c r="M964" s="703" t="s">
        <v>1428</v>
      </c>
      <c r="N964" s="21">
        <v>2</v>
      </c>
      <c r="O964" s="22">
        <v>2.77275862068965</v>
      </c>
      <c r="P964" s="22">
        <v>15.043475862069</v>
      </c>
      <c r="Q964" s="21" t="s">
        <v>1428</v>
      </c>
      <c r="R964" s="37">
        <v>0.3</v>
      </c>
      <c r="S964" s="22">
        <v>35.1597103448277</v>
      </c>
      <c r="T964" s="756" t="s">
        <v>7100</v>
      </c>
      <c r="U964" s="812" t="s">
        <v>7101</v>
      </c>
    </row>
    <row r="965" s="42" customFormat="1" ht="15.6" spans="1:21">
      <c r="A965" s="1156"/>
      <c r="B965" s="1162" t="s">
        <v>7102</v>
      </c>
      <c r="C965" s="19"/>
      <c r="D965" s="19"/>
      <c r="E965" s="19"/>
      <c r="F965" s="695" t="s">
        <v>1617</v>
      </c>
      <c r="G965" s="23" t="s">
        <v>3540</v>
      </c>
      <c r="H965" s="757" t="s">
        <v>6159</v>
      </c>
      <c r="I965" s="21" t="s">
        <v>6069</v>
      </c>
      <c r="J965" s="21" t="s">
        <v>3787</v>
      </c>
      <c r="K965" s="21" t="s">
        <v>1428</v>
      </c>
      <c r="L965" s="21" t="s">
        <v>1428</v>
      </c>
      <c r="M965" s="138" t="s">
        <v>4671</v>
      </c>
      <c r="N965" s="21">
        <v>3.5</v>
      </c>
      <c r="O965" s="22">
        <v>3.17606896551724</v>
      </c>
      <c r="P965" s="22">
        <v>11.8807677934432</v>
      </c>
      <c r="Q965" s="21" t="s">
        <v>1428</v>
      </c>
      <c r="R965" s="37">
        <v>0.3</v>
      </c>
      <c r="S965" s="22">
        <v>30.7376045524036</v>
      </c>
      <c r="T965" s="166" t="s">
        <v>7103</v>
      </c>
      <c r="U965" s="20" t="s">
        <v>7104</v>
      </c>
    </row>
    <row r="966" s="42" customFormat="1" ht="15.6" spans="1:21">
      <c r="A966" s="1156"/>
      <c r="B966" s="765" t="s">
        <v>7105</v>
      </c>
      <c r="C966" s="19">
        <v>20250219</v>
      </c>
      <c r="D966" s="21">
        <v>7.24</v>
      </c>
      <c r="E966" s="19" t="s">
        <v>7106</v>
      </c>
      <c r="F966" s="695" t="s">
        <v>1565</v>
      </c>
      <c r="G966" s="23" t="s">
        <v>3976</v>
      </c>
      <c r="H966" s="757" t="s">
        <v>6159</v>
      </c>
      <c r="I966" s="21" t="s">
        <v>1913</v>
      </c>
      <c r="J966" s="21" t="s">
        <v>3696</v>
      </c>
      <c r="K966" s="21" t="s">
        <v>1428</v>
      </c>
      <c r="L966" s="21" t="s">
        <v>1428</v>
      </c>
      <c r="M966" s="21" t="s">
        <v>1428</v>
      </c>
      <c r="N966" s="21">
        <v>3.3</v>
      </c>
      <c r="O966" s="22">
        <v>3.61556552309371</v>
      </c>
      <c r="P966" s="22">
        <v>9.26114756087784</v>
      </c>
      <c r="Q966" s="21" t="s">
        <v>1428</v>
      </c>
      <c r="R966" s="1165">
        <v>3</v>
      </c>
      <c r="S966" s="22">
        <v>28.4378606448494</v>
      </c>
      <c r="T966" s="166" t="s">
        <v>1526</v>
      </c>
      <c r="U966" s="759" t="s">
        <v>7107</v>
      </c>
    </row>
    <row r="967" s="42" customFormat="1" ht="15.6" spans="1:21">
      <c r="A967" s="1156"/>
      <c r="B967" s="765"/>
      <c r="C967" s="19"/>
      <c r="D967" s="19"/>
      <c r="E967" s="19"/>
      <c r="F967" s="695" t="s">
        <v>1617</v>
      </c>
      <c r="G967" s="23" t="s">
        <v>1933</v>
      </c>
      <c r="H967" s="757" t="s">
        <v>3785</v>
      </c>
      <c r="I967" s="21" t="s">
        <v>3670</v>
      </c>
      <c r="J967" s="21" t="s">
        <v>2955</v>
      </c>
      <c r="K967" s="21" t="s">
        <v>1428</v>
      </c>
      <c r="L967" s="21" t="s">
        <v>1428</v>
      </c>
      <c r="M967" s="138" t="s">
        <v>4671</v>
      </c>
      <c r="N967" s="21" t="s">
        <v>1428</v>
      </c>
      <c r="O967" s="22">
        <v>3.64050045773573</v>
      </c>
      <c r="P967" s="22">
        <v>13.3239936690152</v>
      </c>
      <c r="Q967" s="21" t="s">
        <v>1428</v>
      </c>
      <c r="R967" s="1165">
        <v>3</v>
      </c>
      <c r="S967" s="22">
        <v>33.2884877957661</v>
      </c>
      <c r="T967" s="166" t="s">
        <v>3800</v>
      </c>
      <c r="U967" s="20" t="s">
        <v>7108</v>
      </c>
    </row>
    <row r="968" s="42" customFormat="1" ht="15.6" spans="1:21">
      <c r="A968" s="1156"/>
      <c r="B968" s="765"/>
      <c r="C968" s="19"/>
      <c r="D968" s="19"/>
      <c r="E968" s="19"/>
      <c r="F968" s="695" t="s">
        <v>1629</v>
      </c>
      <c r="G968" s="23" t="s">
        <v>1933</v>
      </c>
      <c r="H968" s="757" t="s">
        <v>6206</v>
      </c>
      <c r="I968" s="21" t="s">
        <v>3670</v>
      </c>
      <c r="J968" s="21" t="s">
        <v>2955</v>
      </c>
      <c r="K968" s="21" t="s">
        <v>1428</v>
      </c>
      <c r="L968" s="21" t="s">
        <v>1428</v>
      </c>
      <c r="M968" s="138" t="s">
        <v>4671</v>
      </c>
      <c r="N968" s="21" t="s">
        <v>1428</v>
      </c>
      <c r="O968" s="22">
        <v>3.64050045773573</v>
      </c>
      <c r="P968" s="22">
        <v>11.309521704389</v>
      </c>
      <c r="Q968" s="21" t="s">
        <v>1428</v>
      </c>
      <c r="R968" s="1165">
        <v>3</v>
      </c>
      <c r="S968" s="22">
        <v>29.2595438665137</v>
      </c>
      <c r="T968" s="166" t="s">
        <v>3800</v>
      </c>
      <c r="U968" s="20" t="s">
        <v>7109</v>
      </c>
    </row>
    <row r="969" s="42" customFormat="1" ht="15.6" spans="1:21">
      <c r="A969" s="1156"/>
      <c r="B969" s="765"/>
      <c r="C969" s="19">
        <v>20241212</v>
      </c>
      <c r="D969" s="21">
        <v>7.24</v>
      </c>
      <c r="E969" s="19" t="s">
        <v>7110</v>
      </c>
      <c r="F969" s="695" t="s">
        <v>1645</v>
      </c>
      <c r="G969" s="35" t="s">
        <v>3757</v>
      </c>
      <c r="H969" s="757" t="s">
        <v>6159</v>
      </c>
      <c r="I969" s="21" t="s">
        <v>1913</v>
      </c>
      <c r="J969" s="21" t="s">
        <v>1633</v>
      </c>
      <c r="K969" s="21" t="s">
        <v>1428</v>
      </c>
      <c r="L969" s="21"/>
      <c r="M969" s="689"/>
      <c r="N969" s="22">
        <v>1.7</v>
      </c>
      <c r="O969" s="22">
        <v>3.61556552309371</v>
      </c>
      <c r="P969" s="22">
        <v>7.4650043828128</v>
      </c>
      <c r="Q969" s="21" t="s">
        <v>1428</v>
      </c>
      <c r="R969" s="1165">
        <v>3</v>
      </c>
      <c r="S969" s="22">
        <v>23.2455742887193</v>
      </c>
      <c r="T969" s="166" t="s">
        <v>1526</v>
      </c>
      <c r="U969" s="139" t="s">
        <v>7111</v>
      </c>
    </row>
    <row r="970" s="42" customFormat="1" ht="15.6" spans="1:21">
      <c r="A970" s="1156"/>
      <c r="B970" s="1162" t="s">
        <v>7112</v>
      </c>
      <c r="C970" s="19"/>
      <c r="D970" s="19"/>
      <c r="E970" s="19"/>
      <c r="F970" s="695" t="s">
        <v>1629</v>
      </c>
      <c r="G970" s="35" t="s">
        <v>1933</v>
      </c>
      <c r="H970" s="757" t="s">
        <v>6206</v>
      </c>
      <c r="I970" s="21" t="s">
        <v>7094</v>
      </c>
      <c r="J970" s="21" t="s">
        <v>4670</v>
      </c>
      <c r="K970" s="21" t="s">
        <v>1428</v>
      </c>
      <c r="L970" s="700">
        <v>14</v>
      </c>
      <c r="M970" s="138" t="s">
        <v>4671</v>
      </c>
      <c r="N970" s="21">
        <v>1.3</v>
      </c>
      <c r="O970" s="22">
        <v>3.83144827586207</v>
      </c>
      <c r="P970" s="22">
        <v>12.734524137931</v>
      </c>
      <c r="Q970" s="21" t="s">
        <v>1428</v>
      </c>
      <c r="R970" s="37">
        <v>3</v>
      </c>
      <c r="S970" s="22">
        <v>47.6004965517241</v>
      </c>
      <c r="T970" s="167" t="s">
        <v>4707</v>
      </c>
      <c r="U970" s="20" t="s">
        <v>7113</v>
      </c>
    </row>
    <row r="971" s="42" customFormat="1" ht="15.6" spans="1:21">
      <c r="A971" s="1156"/>
      <c r="B971" s="1162"/>
      <c r="C971" s="19"/>
      <c r="D971" s="19"/>
      <c r="E971" s="19"/>
      <c r="F971" s="695" t="s">
        <v>1571</v>
      </c>
      <c r="G971" s="35" t="s">
        <v>1933</v>
      </c>
      <c r="H971" s="757" t="s">
        <v>6159</v>
      </c>
      <c r="I971" s="21" t="s">
        <v>4679</v>
      </c>
      <c r="J971" s="21" t="s">
        <v>5813</v>
      </c>
      <c r="K971" s="21" t="s">
        <v>1428</v>
      </c>
      <c r="L971" s="21">
        <v>13.2</v>
      </c>
      <c r="M971" s="138" t="s">
        <v>4671</v>
      </c>
      <c r="N971" s="21" t="s">
        <v>1428</v>
      </c>
      <c r="O971" s="22">
        <v>3.83144827586207</v>
      </c>
      <c r="P971" s="22">
        <v>12.7152029896381</v>
      </c>
      <c r="Q971" s="21" t="s">
        <v>1428</v>
      </c>
      <c r="R971" s="37">
        <v>3</v>
      </c>
      <c r="S971" s="22">
        <v>45.4618542551383</v>
      </c>
      <c r="T971" s="167" t="s">
        <v>4707</v>
      </c>
      <c r="U971" s="20" t="s">
        <v>7114</v>
      </c>
    </row>
    <row r="972" s="42" customFormat="1" ht="15.6" spans="1:21">
      <c r="A972" s="1156"/>
      <c r="B972" s="1162"/>
      <c r="C972" s="19"/>
      <c r="D972" s="21"/>
      <c r="E972" s="19" t="s">
        <v>7115</v>
      </c>
      <c r="F972" s="695" t="s">
        <v>7116</v>
      </c>
      <c r="G972" s="35"/>
      <c r="H972" s="21"/>
      <c r="I972" s="21"/>
      <c r="J972" s="21"/>
      <c r="K972" s="21"/>
      <c r="L972" s="21"/>
      <c r="M972" s="21"/>
      <c r="N972" s="21"/>
      <c r="O972" s="22">
        <v>0.766289655172414</v>
      </c>
      <c r="P972" s="22">
        <v>1.41158620689655</v>
      </c>
      <c r="Q972" s="21" t="s">
        <v>1428</v>
      </c>
      <c r="R972" s="37">
        <v>0.4</v>
      </c>
      <c r="S972" s="22">
        <v>3.98946206896551</v>
      </c>
      <c r="T972" s="756"/>
      <c r="U972" s="20"/>
    </row>
    <row r="973" s="839" customFormat="1" ht="15.6" spans="1:21">
      <c r="A973" s="1156"/>
      <c r="B973" s="1162" t="s">
        <v>7117</v>
      </c>
      <c r="C973" s="19"/>
      <c r="D973" s="19"/>
      <c r="E973" s="19"/>
      <c r="F973" s="695" t="s">
        <v>1604</v>
      </c>
      <c r="G973" s="35" t="s">
        <v>1933</v>
      </c>
      <c r="H973" s="757" t="s">
        <v>3850</v>
      </c>
      <c r="I973" s="21" t="s">
        <v>3436</v>
      </c>
      <c r="J973" s="690" t="s">
        <v>7118</v>
      </c>
      <c r="K973" s="1071" t="s">
        <v>712</v>
      </c>
      <c r="L973" s="36" t="s">
        <v>1428</v>
      </c>
      <c r="M973" s="21" t="s">
        <v>1428</v>
      </c>
      <c r="N973" s="762">
        <v>2.3</v>
      </c>
      <c r="O973" s="22">
        <v>5.18541871921182</v>
      </c>
      <c r="P973" s="22">
        <v>12.7450042466452</v>
      </c>
      <c r="Q973" s="21" t="s">
        <v>1428</v>
      </c>
      <c r="R973" s="37">
        <v>3</v>
      </c>
      <c r="S973" s="22">
        <v>90.9754272125022</v>
      </c>
      <c r="T973" s="23" t="s">
        <v>3920</v>
      </c>
      <c r="U973" s="20" t="s">
        <v>3882</v>
      </c>
    </row>
    <row r="974" s="839" customFormat="1" ht="15.6" spans="1:21">
      <c r="A974" s="1156"/>
      <c r="B974" s="1166" t="s">
        <v>7119</v>
      </c>
      <c r="C974" s="19"/>
      <c r="D974" s="21"/>
      <c r="E974" s="19"/>
      <c r="F974" s="695" t="s">
        <v>1629</v>
      </c>
      <c r="G974" s="35" t="s">
        <v>1933</v>
      </c>
      <c r="H974" s="757" t="s">
        <v>3850</v>
      </c>
      <c r="I974" s="21" t="s">
        <v>5250</v>
      </c>
      <c r="J974" s="690" t="s">
        <v>7118</v>
      </c>
      <c r="K974" s="1071" t="s">
        <v>712</v>
      </c>
      <c r="L974" s="21">
        <v>13.2</v>
      </c>
      <c r="M974" s="21" t="s">
        <v>1428</v>
      </c>
      <c r="N974" s="762">
        <v>2.3</v>
      </c>
      <c r="O974" s="22">
        <v>4.03886971149474</v>
      </c>
      <c r="P974" s="22">
        <v>12.5363954475964</v>
      </c>
      <c r="Q974" s="21" t="s">
        <v>1428</v>
      </c>
      <c r="R974" s="37">
        <v>3.11</v>
      </c>
      <c r="S974" s="22">
        <v>102.721660606688</v>
      </c>
      <c r="T974" s="167" t="s">
        <v>4707</v>
      </c>
      <c r="U974" s="20" t="s">
        <v>7120</v>
      </c>
    </row>
    <row r="975" s="839" customFormat="1" ht="15.6" spans="1:21">
      <c r="A975" s="1156"/>
      <c r="B975" s="1162"/>
      <c r="C975" s="19">
        <v>20240122</v>
      </c>
      <c r="D975" s="21">
        <v>7.24</v>
      </c>
      <c r="E975" s="19" t="s">
        <v>7121</v>
      </c>
      <c r="F975" s="695" t="s">
        <v>1604</v>
      </c>
      <c r="G975" s="23" t="s">
        <v>1933</v>
      </c>
      <c r="H975" s="757" t="s">
        <v>3850</v>
      </c>
      <c r="I975" s="21" t="s">
        <v>5250</v>
      </c>
      <c r="J975" s="690" t="s">
        <v>7118</v>
      </c>
      <c r="K975" s="1071" t="s">
        <v>712</v>
      </c>
      <c r="L975" s="21">
        <v>13.2</v>
      </c>
      <c r="M975" s="21" t="s">
        <v>1428</v>
      </c>
      <c r="N975" s="762">
        <v>2.3</v>
      </c>
      <c r="O975" s="22">
        <v>4.07824587859845</v>
      </c>
      <c r="P975" s="22">
        <v>10.698756357877</v>
      </c>
      <c r="Q975" s="21" t="s">
        <v>1428</v>
      </c>
      <c r="R975" s="37">
        <v>3.11</v>
      </c>
      <c r="S975" s="22">
        <v>99.0857585943525</v>
      </c>
      <c r="T975" s="167" t="s">
        <v>4707</v>
      </c>
      <c r="U975" s="20" t="s">
        <v>7122</v>
      </c>
    </row>
    <row r="976" s="839" customFormat="1" ht="15.6" spans="1:21">
      <c r="A976" s="1156"/>
      <c r="B976" s="1167"/>
      <c r="C976" s="19"/>
      <c r="D976" s="21"/>
      <c r="E976" s="19" t="s">
        <v>7123</v>
      </c>
      <c r="F976" s="695" t="s">
        <v>7124</v>
      </c>
      <c r="G976" s="35"/>
      <c r="H976" s="690"/>
      <c r="I976" s="21"/>
      <c r="J976" s="690"/>
      <c r="K976" s="21"/>
      <c r="L976" s="21"/>
      <c r="M976" s="21"/>
      <c r="N976" s="21"/>
      <c r="O976" s="22">
        <v>0.059602514013929</v>
      </c>
      <c r="P976" s="22">
        <v>0.158940037370478</v>
      </c>
      <c r="Q976" s="21" t="s">
        <v>1428</v>
      </c>
      <c r="R976" s="37">
        <v>0.2</v>
      </c>
      <c r="S976" s="22">
        <v>0.577482588754885</v>
      </c>
      <c r="T976" s="23"/>
      <c r="U976" s="20"/>
    </row>
    <row r="977" s="839" customFormat="1" ht="15.6" spans="1:22">
      <c r="A977" s="1156"/>
      <c r="B977" s="1168"/>
      <c r="C977" s="19"/>
      <c r="D977" s="21"/>
      <c r="E977" s="19" t="s">
        <v>7125</v>
      </c>
      <c r="F977" s="695" t="s">
        <v>7126</v>
      </c>
      <c r="G977" s="35"/>
      <c r="H977" s="690"/>
      <c r="I977" s="21"/>
      <c r="J977" s="690"/>
      <c r="K977" s="21"/>
      <c r="L977" s="21"/>
      <c r="M977" s="21"/>
      <c r="N977" s="21"/>
      <c r="O977" s="22">
        <v>0.427151350433157</v>
      </c>
      <c r="P977" s="22">
        <v>1.83774418209615</v>
      </c>
      <c r="Q977" s="21" t="s">
        <v>1428</v>
      </c>
      <c r="R977" s="37">
        <v>0.4</v>
      </c>
      <c r="S977" s="22">
        <v>4.50263971462546</v>
      </c>
      <c r="T977" s="23"/>
      <c r="U977" s="20"/>
    </row>
    <row r="978" s="42" customFormat="1" ht="15" spans="1:22">
      <c r="A978" s="1169"/>
      <c r="B978" s="23" t="s">
        <v>7127</v>
      </c>
      <c r="C978" s="23"/>
      <c r="D978" s="23"/>
      <c r="E978" s="23"/>
      <c r="F978" s="20" t="s">
        <v>7128</v>
      </c>
      <c r="G978" s="20" t="s">
        <v>1933</v>
      </c>
      <c r="H978" s="21" t="s">
        <v>7129</v>
      </c>
      <c r="I978" s="21" t="s">
        <v>4295</v>
      </c>
      <c r="J978" s="21" t="s">
        <v>1428</v>
      </c>
      <c r="K978" s="36" t="s">
        <v>1428</v>
      </c>
      <c r="L978" s="698">
        <f>3*4</f>
        <v>12</v>
      </c>
      <c r="M978" s="36" t="s">
        <v>1428</v>
      </c>
      <c r="N978" s="36" t="s">
        <v>1428</v>
      </c>
      <c r="O978" s="22">
        <v>5.69</v>
      </c>
      <c r="P978" s="22">
        <v>27.1133004926108</v>
      </c>
      <c r="Q978" s="21" t="s">
        <v>1428</v>
      </c>
      <c r="R978" s="37">
        <v>3.16099404476035</v>
      </c>
      <c r="S978" s="37">
        <f>SUM(K978:R978)</f>
        <v>47.9642945373712</v>
      </c>
      <c r="T978" s="23" t="s">
        <v>6441</v>
      </c>
      <c r="U978" s="20" t="s">
        <v>7130</v>
      </c>
      <c r="V978" s="120" t="s">
        <v>1406</v>
      </c>
    </row>
    <row r="979" s="42" customFormat="1" ht="15" spans="1:22">
      <c r="A979" s="1169"/>
      <c r="B979" s="23"/>
      <c r="C979" s="23"/>
      <c r="D979" s="23"/>
      <c r="E979" s="23"/>
      <c r="F979" s="20" t="s">
        <v>7131</v>
      </c>
      <c r="G979" s="20" t="s">
        <v>1933</v>
      </c>
      <c r="H979" s="21" t="s">
        <v>4162</v>
      </c>
      <c r="I979" s="22" t="s">
        <v>1913</v>
      </c>
      <c r="J979" s="21" t="s">
        <v>1428</v>
      </c>
      <c r="K979" s="1071" t="s">
        <v>712</v>
      </c>
      <c r="L979" s="36" t="s">
        <v>1428</v>
      </c>
      <c r="M979" s="36" t="s">
        <v>1428</v>
      </c>
      <c r="N979" s="36" t="s">
        <v>1428</v>
      </c>
      <c r="O979" s="22">
        <v>5.69</v>
      </c>
      <c r="P979" s="22">
        <v>23.7142857142857</v>
      </c>
      <c r="Q979" s="21" t="s">
        <v>1428</v>
      </c>
      <c r="R979" s="37">
        <v>3.16099404476035</v>
      </c>
      <c r="S979" s="37">
        <f>SUM(K979:R979)</f>
        <v>32.565279759046</v>
      </c>
      <c r="T979" s="813" t="s">
        <v>2854</v>
      </c>
      <c r="U979" s="20"/>
      <c r="V979" s="120" t="s">
        <v>1406</v>
      </c>
    </row>
    <row r="980" s="42" customFormat="1" ht="15" spans="1:22">
      <c r="A980" s="1169"/>
      <c r="B980" s="23"/>
      <c r="C980" s="23"/>
      <c r="D980" s="23"/>
      <c r="E980" s="23"/>
      <c r="F980" s="20" t="s">
        <v>7132</v>
      </c>
      <c r="G980" s="20" t="s">
        <v>1933</v>
      </c>
      <c r="H980" s="21" t="s">
        <v>6404</v>
      </c>
      <c r="I980" s="22" t="s">
        <v>1913</v>
      </c>
      <c r="J980" s="21" t="s">
        <v>1428</v>
      </c>
      <c r="K980" s="36" t="s">
        <v>1428</v>
      </c>
      <c r="L980" s="36" t="s">
        <v>1428</v>
      </c>
      <c r="M980" s="36" t="s">
        <v>1428</v>
      </c>
      <c r="N980" s="36" t="s">
        <v>1428</v>
      </c>
      <c r="O980" s="22">
        <v>5.69</v>
      </c>
      <c r="P980" s="22">
        <v>26.384236453202</v>
      </c>
      <c r="Q980" s="21" t="s">
        <v>1428</v>
      </c>
      <c r="R980" s="37">
        <v>3.16099404476035</v>
      </c>
      <c r="S980" s="37">
        <f>SUM(K980:R980)+13+3.7*2</f>
        <v>55.6352304979623</v>
      </c>
      <c r="T980" s="793" t="s">
        <v>1526</v>
      </c>
      <c r="U980" s="20" t="s">
        <v>7133</v>
      </c>
      <c r="V980" s="120" t="s">
        <v>1406</v>
      </c>
    </row>
    <row r="981" s="42" customFormat="1" ht="15" spans="1:22">
      <c r="A981" s="1169"/>
      <c r="B981" s="23"/>
      <c r="C981" s="23"/>
      <c r="D981" s="23"/>
      <c r="E981" s="23"/>
      <c r="F981" s="20" t="s">
        <v>7134</v>
      </c>
      <c r="G981" s="20" t="s">
        <v>1933</v>
      </c>
      <c r="H981" s="21" t="s">
        <v>4159</v>
      </c>
      <c r="I981" s="22" t="s">
        <v>1913</v>
      </c>
      <c r="J981" s="21" t="s">
        <v>1428</v>
      </c>
      <c r="K981" s="36" t="s">
        <v>1428</v>
      </c>
      <c r="L981" s="36" t="s">
        <v>1428</v>
      </c>
      <c r="M981" s="36" t="s">
        <v>1428</v>
      </c>
      <c r="N981" s="36" t="s">
        <v>1428</v>
      </c>
      <c r="O981" s="22">
        <v>5.69</v>
      </c>
      <c r="P981" s="22">
        <v>26.384236453202</v>
      </c>
      <c r="Q981" s="21" t="s">
        <v>1428</v>
      </c>
      <c r="R981" s="37">
        <v>3.16099404476035</v>
      </c>
      <c r="S981" s="37">
        <f>SUM(K981:R981)+13+3.6*2</f>
        <v>55.4352304979624</v>
      </c>
      <c r="T981" s="793" t="s">
        <v>1526</v>
      </c>
      <c r="U981" s="20" t="s">
        <v>7135</v>
      </c>
      <c r="V981" s="120" t="s">
        <v>1406</v>
      </c>
    </row>
    <row r="982" s="42" customFormat="1" ht="15" spans="1:22">
      <c r="A982" s="1169"/>
      <c r="B982" s="23"/>
      <c r="C982" s="23"/>
      <c r="D982" s="23"/>
      <c r="E982" s="23"/>
      <c r="F982" s="20" t="s">
        <v>7136</v>
      </c>
      <c r="G982" s="20" t="s">
        <v>1933</v>
      </c>
      <c r="H982" s="21" t="s">
        <v>7137</v>
      </c>
      <c r="I982" s="22" t="s">
        <v>1913</v>
      </c>
      <c r="J982" s="21" t="s">
        <v>1428</v>
      </c>
      <c r="K982" s="36" t="s">
        <v>1428</v>
      </c>
      <c r="L982" s="36" t="s">
        <v>1428</v>
      </c>
      <c r="M982" s="36" t="s">
        <v>1428</v>
      </c>
      <c r="N982" s="36" t="s">
        <v>1428</v>
      </c>
      <c r="O982" s="22">
        <v>5.69</v>
      </c>
      <c r="P982" s="22">
        <v>26.2955665024631</v>
      </c>
      <c r="Q982" s="21" t="s">
        <v>1428</v>
      </c>
      <c r="R982" s="37">
        <v>3.16099404476035</v>
      </c>
      <c r="S982" s="37">
        <f>SUM(K982:R982)+13+3.7*2</f>
        <v>55.5465605472235</v>
      </c>
      <c r="T982" s="793" t="s">
        <v>1526</v>
      </c>
      <c r="U982" s="20" t="s">
        <v>7133</v>
      </c>
      <c r="V982" s="120" t="s">
        <v>1406</v>
      </c>
    </row>
    <row r="983" s="42" customFormat="1" ht="15" spans="1:22">
      <c r="A983" s="1169"/>
      <c r="B983" s="23"/>
      <c r="C983" s="23"/>
      <c r="D983" s="23"/>
      <c r="E983" s="23"/>
      <c r="F983" s="20" t="s">
        <v>2459</v>
      </c>
      <c r="G983" s="20" t="s">
        <v>1933</v>
      </c>
      <c r="H983" s="21" t="s">
        <v>4159</v>
      </c>
      <c r="I983" s="22" t="s">
        <v>1913</v>
      </c>
      <c r="J983" s="21" t="s">
        <v>1428</v>
      </c>
      <c r="K983" s="36" t="s">
        <v>1428</v>
      </c>
      <c r="L983" s="36" t="s">
        <v>1428</v>
      </c>
      <c r="M983" s="36" t="s">
        <v>1428</v>
      </c>
      <c r="N983" s="36" t="s">
        <v>1428</v>
      </c>
      <c r="O983" s="22">
        <v>5.6890012642225</v>
      </c>
      <c r="P983" s="22">
        <v>25.2666314074779</v>
      </c>
      <c r="Q983" s="21" t="s">
        <v>1428</v>
      </c>
      <c r="R983" s="37">
        <v>3.16099404476035</v>
      </c>
      <c r="S983" s="37">
        <f>SUM(K983:R983)+13+3.7*2</f>
        <v>54.5166267164607</v>
      </c>
      <c r="T983" s="793" t="s">
        <v>1526</v>
      </c>
      <c r="U983" s="20" t="s">
        <v>7138</v>
      </c>
      <c r="V983" s="120" t="s">
        <v>1406</v>
      </c>
    </row>
    <row r="984" s="42" customFormat="1" ht="15" spans="1:22">
      <c r="A984" s="1169"/>
      <c r="B984" s="23"/>
      <c r="C984" s="23"/>
      <c r="D984" s="23"/>
      <c r="E984" s="23"/>
      <c r="F984" s="20" t="s">
        <v>2234</v>
      </c>
      <c r="G984" s="20" t="s">
        <v>1933</v>
      </c>
      <c r="H984" s="21" t="s">
        <v>4162</v>
      </c>
      <c r="I984" s="22" t="s">
        <v>1913</v>
      </c>
      <c r="J984" s="21" t="s">
        <v>1428</v>
      </c>
      <c r="K984" s="1071" t="s">
        <v>712</v>
      </c>
      <c r="L984" s="36" t="s">
        <v>1428</v>
      </c>
      <c r="M984" s="36" t="s">
        <v>1428</v>
      </c>
      <c r="N984" s="36" t="s">
        <v>1428</v>
      </c>
      <c r="O984" s="22">
        <v>5.6890012642225</v>
      </c>
      <c r="P984" s="22">
        <v>20.4270133785078</v>
      </c>
      <c r="Q984" s="21" t="s">
        <v>1428</v>
      </c>
      <c r="R984" s="37">
        <v>3.16099404476035</v>
      </c>
      <c r="S984" s="37">
        <f>SUM(K984:R984)+13+3.7*2</f>
        <v>49.6770086874906</v>
      </c>
      <c r="T984" s="793" t="s">
        <v>1526</v>
      </c>
      <c r="U984" s="759" t="s">
        <v>7139</v>
      </c>
      <c r="V984" s="120" t="s">
        <v>1406</v>
      </c>
    </row>
    <row r="985" s="42" customFormat="1" ht="15" spans="1:22">
      <c r="A985" s="1169"/>
      <c r="B985" s="23"/>
      <c r="C985" s="23"/>
      <c r="D985" s="23"/>
      <c r="E985" s="23"/>
      <c r="F985" s="20" t="s">
        <v>2395</v>
      </c>
      <c r="G985" s="20" t="s">
        <v>1933</v>
      </c>
      <c r="H985" s="21" t="s">
        <v>6361</v>
      </c>
      <c r="I985" s="22" t="s">
        <v>1913</v>
      </c>
      <c r="J985" s="21" t="s">
        <v>1428</v>
      </c>
      <c r="K985" s="36" t="s">
        <v>1428</v>
      </c>
      <c r="L985" s="36" t="s">
        <v>1428</v>
      </c>
      <c r="M985" s="36" t="s">
        <v>1428</v>
      </c>
      <c r="N985" s="36" t="s">
        <v>1428</v>
      </c>
      <c r="O985" s="22">
        <v>5.6890012642225</v>
      </c>
      <c r="P985" s="22">
        <v>19.0095926130531</v>
      </c>
      <c r="Q985" s="21" t="s">
        <v>1428</v>
      </c>
      <c r="R985" s="37">
        <v>3.16099404476035</v>
      </c>
      <c r="S985" s="37">
        <f t="shared" ref="S985:S1023" si="25">SUM(K985:R985)</f>
        <v>27.859587922036</v>
      </c>
      <c r="T985" s="793" t="s">
        <v>1526</v>
      </c>
      <c r="U985" s="759" t="s">
        <v>6362</v>
      </c>
      <c r="V985" s="120" t="s">
        <v>1406</v>
      </c>
    </row>
    <row r="986" s="42" customFormat="1" ht="15" spans="1:22">
      <c r="A986" s="1169"/>
      <c r="B986" s="23"/>
      <c r="C986" s="23"/>
      <c r="D986" s="23"/>
      <c r="E986" s="23"/>
      <c r="F986" s="20" t="s">
        <v>1596</v>
      </c>
      <c r="G986" s="20" t="s">
        <v>1933</v>
      </c>
      <c r="H986" s="21" t="s">
        <v>4159</v>
      </c>
      <c r="I986" s="22" t="s">
        <v>1913</v>
      </c>
      <c r="J986" s="21" t="s">
        <v>1428</v>
      </c>
      <c r="K986" s="36" t="s">
        <v>1428</v>
      </c>
      <c r="L986" s="36" t="s">
        <v>1428</v>
      </c>
      <c r="M986" s="36" t="s">
        <v>1428</v>
      </c>
      <c r="N986" s="36" t="s">
        <v>1428</v>
      </c>
      <c r="O986" s="22">
        <v>5.6890012642225</v>
      </c>
      <c r="P986" s="22">
        <v>18.9702202891593</v>
      </c>
      <c r="Q986" s="21" t="s">
        <v>1428</v>
      </c>
      <c r="R986" s="37">
        <v>3.16099404476035</v>
      </c>
      <c r="S986" s="37">
        <f t="shared" si="25"/>
        <v>27.8202155981422</v>
      </c>
      <c r="T986" s="793" t="s">
        <v>1526</v>
      </c>
      <c r="U986" s="20" t="s">
        <v>4160</v>
      </c>
      <c r="V986" s="120" t="s">
        <v>1406</v>
      </c>
    </row>
    <row r="987" s="42" customFormat="1" ht="15" spans="1:22">
      <c r="A987" s="1169"/>
      <c r="B987" s="23"/>
      <c r="C987" s="23"/>
      <c r="D987" s="23"/>
      <c r="E987" s="23"/>
      <c r="F987" s="20" t="s">
        <v>7140</v>
      </c>
      <c r="G987" s="20" t="s">
        <v>1933</v>
      </c>
      <c r="H987" s="21" t="s">
        <v>6404</v>
      </c>
      <c r="I987" s="22" t="s">
        <v>1913</v>
      </c>
      <c r="J987" s="21" t="s">
        <v>1428</v>
      </c>
      <c r="K987" s="36" t="s">
        <v>1428</v>
      </c>
      <c r="L987" s="36" t="s">
        <v>1428</v>
      </c>
      <c r="M987" s="36" t="s">
        <v>1428</v>
      </c>
      <c r="N987" s="36" t="s">
        <v>1428</v>
      </c>
      <c r="O987" s="22">
        <v>5.69</v>
      </c>
      <c r="P987" s="22">
        <v>17.6256157635468</v>
      </c>
      <c r="Q987" s="21" t="s">
        <v>1428</v>
      </c>
      <c r="R987" s="37">
        <v>3.16099404476035</v>
      </c>
      <c r="S987" s="37">
        <f t="shared" si="25"/>
        <v>26.4766098083072</v>
      </c>
      <c r="T987" s="793" t="s">
        <v>1526</v>
      </c>
      <c r="U987" s="759" t="s">
        <v>6362</v>
      </c>
      <c r="V987" s="120" t="s">
        <v>1406</v>
      </c>
    </row>
    <row r="988" s="42" customFormat="1" ht="15" spans="1:22">
      <c r="A988" s="1169"/>
      <c r="B988" s="23"/>
      <c r="C988" s="23"/>
      <c r="D988" s="23"/>
      <c r="E988" s="23"/>
      <c r="F988" s="20" t="s">
        <v>7141</v>
      </c>
      <c r="G988" s="20" t="s">
        <v>1933</v>
      </c>
      <c r="H988" s="21" t="s">
        <v>6361</v>
      </c>
      <c r="I988" s="22" t="s">
        <v>1913</v>
      </c>
      <c r="J988" s="21" t="s">
        <v>1428</v>
      </c>
      <c r="K988" s="36" t="s">
        <v>1428</v>
      </c>
      <c r="L988" s="36" t="s">
        <v>1428</v>
      </c>
      <c r="M988" s="36" t="s">
        <v>1428</v>
      </c>
      <c r="N988" s="36" t="s">
        <v>1428</v>
      </c>
      <c r="O988" s="22">
        <v>5.69</v>
      </c>
      <c r="P988" s="22">
        <v>18.81</v>
      </c>
      <c r="Q988" s="21" t="s">
        <v>1428</v>
      </c>
      <c r="R988" s="37">
        <v>3.16099404476035</v>
      </c>
      <c r="S988" s="37">
        <f t="shared" si="25"/>
        <v>27.6609940447604</v>
      </c>
      <c r="T988" s="793" t="s">
        <v>1526</v>
      </c>
      <c r="U988" s="759" t="s">
        <v>6362</v>
      </c>
      <c r="V988" s="120" t="s">
        <v>1406</v>
      </c>
    </row>
    <row r="989" s="42" customFormat="1" ht="15" spans="1:22">
      <c r="A989" s="1169"/>
      <c r="B989" s="23"/>
      <c r="C989" s="23"/>
      <c r="D989" s="23"/>
      <c r="E989" s="23"/>
      <c r="F989" s="20" t="s">
        <v>7142</v>
      </c>
      <c r="G989" s="20" t="s">
        <v>1933</v>
      </c>
      <c r="H989" s="21" t="s">
        <v>4162</v>
      </c>
      <c r="I989" s="22" t="s">
        <v>1913</v>
      </c>
      <c r="J989" s="21" t="s">
        <v>1428</v>
      </c>
      <c r="K989" s="1071" t="s">
        <v>712</v>
      </c>
      <c r="L989" s="36" t="s">
        <v>1428</v>
      </c>
      <c r="M989" s="36" t="s">
        <v>1428</v>
      </c>
      <c r="N989" s="36" t="s">
        <v>1428</v>
      </c>
      <c r="O989" s="22">
        <v>5.69</v>
      </c>
      <c r="P989" s="22">
        <v>18.17</v>
      </c>
      <c r="Q989" s="21" t="s">
        <v>1428</v>
      </c>
      <c r="R989" s="37">
        <v>3.16099404476035</v>
      </c>
      <c r="S989" s="37">
        <f t="shared" si="25"/>
        <v>27.0209940447604</v>
      </c>
      <c r="T989" s="793" t="s">
        <v>1526</v>
      </c>
      <c r="U989" s="20"/>
      <c r="V989" s="120" t="s">
        <v>1406</v>
      </c>
    </row>
    <row r="990" s="42" customFormat="1" spans="1:22">
      <c r="A990" s="1169"/>
      <c r="B990" s="23"/>
      <c r="C990" s="23">
        <v>20250211</v>
      </c>
      <c r="D990" s="23">
        <v>7.24</v>
      </c>
      <c r="E990" s="23" t="s">
        <v>380</v>
      </c>
      <c r="F990" s="23" t="s">
        <v>381</v>
      </c>
      <c r="G990" s="23"/>
      <c r="H990" s="21"/>
      <c r="I990" s="21"/>
      <c r="J990" s="21"/>
      <c r="K990" s="36"/>
      <c r="L990" s="36"/>
      <c r="M990" s="36"/>
      <c r="N990" s="36"/>
      <c r="O990" s="22">
        <v>0.320015863021777</v>
      </c>
      <c r="P990" s="22">
        <v>1.00364113494327</v>
      </c>
      <c r="Q990" s="21"/>
      <c r="R990" s="37">
        <v>0.2</v>
      </c>
      <c r="S990" s="37">
        <f t="shared" si="25"/>
        <v>1.52365699796505</v>
      </c>
      <c r="T990" s="38"/>
      <c r="U990" s="23" t="s">
        <v>382</v>
      </c>
      <c r="V990" s="120"/>
    </row>
    <row r="991" s="42" customFormat="1" spans="1:22">
      <c r="A991" s="1169"/>
      <c r="B991" s="23"/>
      <c r="C991" s="23"/>
      <c r="D991" s="23"/>
      <c r="E991" s="23" t="s">
        <v>383</v>
      </c>
      <c r="F991" s="20" t="s">
        <v>384</v>
      </c>
      <c r="G991" s="20"/>
      <c r="H991" s="21"/>
      <c r="I991" s="22"/>
      <c r="J991" s="21"/>
      <c r="K991" s="36"/>
      <c r="L991" s="36"/>
      <c r="M991" s="36"/>
      <c r="N991" s="36"/>
      <c r="O991" s="22">
        <v>0.51</v>
      </c>
      <c r="P991" s="22">
        <v>2.68</v>
      </c>
      <c r="Q991" s="21" t="s">
        <v>1428</v>
      </c>
      <c r="R991" s="37">
        <v>0.4</v>
      </c>
      <c r="S991" s="37">
        <f t="shared" si="25"/>
        <v>3.59</v>
      </c>
      <c r="T991" s="813"/>
      <c r="U991" s="20" t="s">
        <v>25</v>
      </c>
      <c r="V991" s="120" t="s">
        <v>1406</v>
      </c>
    </row>
    <row r="992" s="42" customFormat="1" ht="12" customHeight="1" spans="1:22">
      <c r="A992" s="1169"/>
      <c r="B992" s="23"/>
      <c r="C992" s="23"/>
      <c r="D992" s="23"/>
      <c r="E992" s="23" t="s">
        <v>385</v>
      </c>
      <c r="F992" s="20" t="s">
        <v>386</v>
      </c>
      <c r="G992" s="20"/>
      <c r="H992" s="21"/>
      <c r="I992" s="22"/>
      <c r="J992" s="21"/>
      <c r="K992" s="779"/>
      <c r="L992" s="36"/>
      <c r="M992" s="36"/>
      <c r="N992" s="36"/>
      <c r="O992" s="22">
        <v>0.610837438423645</v>
      </c>
      <c r="P992" s="22">
        <v>2.1871921182266</v>
      </c>
      <c r="Q992" s="21" t="s">
        <v>1428</v>
      </c>
      <c r="R992" s="37">
        <v>0.2</v>
      </c>
      <c r="S992" s="37">
        <f t="shared" si="25"/>
        <v>2.99802955665025</v>
      </c>
      <c r="T992" s="813"/>
      <c r="U992" s="20"/>
      <c r="V992" s="120" t="s">
        <v>1406</v>
      </c>
    </row>
    <row r="993" s="42" customFormat="1" spans="1:22">
      <c r="A993" s="1169"/>
      <c r="B993" s="23"/>
      <c r="C993" s="23"/>
      <c r="D993" s="23"/>
      <c r="E993" s="23" t="s">
        <v>387</v>
      </c>
      <c r="F993" s="20" t="s">
        <v>388</v>
      </c>
      <c r="G993" s="20"/>
      <c r="H993" s="21"/>
      <c r="I993" s="22"/>
      <c r="J993" s="21"/>
      <c r="K993" s="779"/>
      <c r="L993" s="36"/>
      <c r="M993" s="36"/>
      <c r="N993" s="36"/>
      <c r="O993" s="22">
        <v>0.354679802955665</v>
      </c>
      <c r="P993" s="22">
        <v>1.08843537414966</v>
      </c>
      <c r="Q993" s="21" t="s">
        <v>1428</v>
      </c>
      <c r="R993" s="37">
        <v>0.2</v>
      </c>
      <c r="S993" s="37">
        <f t="shared" si="25"/>
        <v>1.64311517710532</v>
      </c>
      <c r="T993" s="813"/>
      <c r="U993" s="20"/>
      <c r="V993" s="120" t="s">
        <v>1406</v>
      </c>
    </row>
    <row r="994" s="42" customFormat="1" spans="1:22">
      <c r="A994" s="1169"/>
      <c r="B994" s="23"/>
      <c r="C994" s="23"/>
      <c r="D994" s="23"/>
      <c r="E994" s="23" t="s">
        <v>389</v>
      </c>
      <c r="F994" s="20" t="s">
        <v>390</v>
      </c>
      <c r="G994" s="20"/>
      <c r="H994" s="21"/>
      <c r="I994" s="22"/>
      <c r="J994" s="21"/>
      <c r="K994" s="36"/>
      <c r="L994" s="36"/>
      <c r="M994" s="36"/>
      <c r="N994" s="36"/>
      <c r="O994" s="22">
        <v>0.61</v>
      </c>
      <c r="P994" s="22">
        <v>5.22857142857143</v>
      </c>
      <c r="Q994" s="21" t="s">
        <v>1428</v>
      </c>
      <c r="R994" s="37">
        <v>0.4</v>
      </c>
      <c r="S994" s="37">
        <f t="shared" si="25"/>
        <v>6.23857142857143</v>
      </c>
      <c r="T994" s="813"/>
      <c r="U994" s="20"/>
      <c r="V994" s="120" t="s">
        <v>1406</v>
      </c>
    </row>
    <row r="995" s="42" customFormat="1" spans="1:22">
      <c r="A995" s="1169"/>
      <c r="B995" s="23"/>
      <c r="C995" s="23"/>
      <c r="D995" s="23"/>
      <c r="E995" s="23" t="s">
        <v>391</v>
      </c>
      <c r="F995" s="20" t="s">
        <v>392</v>
      </c>
      <c r="G995" s="20"/>
      <c r="H995" s="21"/>
      <c r="I995" s="22"/>
      <c r="J995" s="21"/>
      <c r="K995" s="36"/>
      <c r="L995" s="36"/>
      <c r="M995" s="36"/>
      <c r="N995" s="36"/>
      <c r="O995" s="22">
        <v>0.814</v>
      </c>
      <c r="P995" s="22">
        <v>5.06666666666667</v>
      </c>
      <c r="Q995" s="21" t="s">
        <v>1428</v>
      </c>
      <c r="R995" s="37">
        <v>0.4</v>
      </c>
      <c r="S995" s="37">
        <f t="shared" si="25"/>
        <v>6.28066666666667</v>
      </c>
      <c r="T995" s="813"/>
      <c r="U995" s="20"/>
      <c r="V995" s="120" t="s">
        <v>1406</v>
      </c>
    </row>
    <row r="996" s="42" customFormat="1" spans="1:22">
      <c r="A996" s="1169"/>
      <c r="B996" s="23"/>
      <c r="C996" s="23"/>
      <c r="D996" s="23"/>
      <c r="E996" s="23" t="s">
        <v>393</v>
      </c>
      <c r="F996" s="20" t="s">
        <v>394</v>
      </c>
      <c r="G996" s="20"/>
      <c r="H996" s="21"/>
      <c r="I996" s="22"/>
      <c r="J996" s="21"/>
      <c r="K996" s="36"/>
      <c r="L996" s="36"/>
      <c r="M996" s="36"/>
      <c r="N996" s="36"/>
      <c r="O996" s="22">
        <v>0.363</v>
      </c>
      <c r="P996" s="22">
        <v>1.03809523809524</v>
      </c>
      <c r="Q996" s="21" t="s">
        <v>1428</v>
      </c>
      <c r="R996" s="37">
        <v>0.2</v>
      </c>
      <c r="S996" s="37">
        <f t="shared" si="25"/>
        <v>1.60109523809524</v>
      </c>
      <c r="T996" s="813"/>
      <c r="U996" s="20"/>
      <c r="V996" s="120" t="s">
        <v>1406</v>
      </c>
    </row>
    <row r="997" s="42" customFormat="1" ht="15" customHeight="1" spans="1:22">
      <c r="A997" s="1169"/>
      <c r="B997" s="23"/>
      <c r="C997" s="23"/>
      <c r="D997" s="23"/>
      <c r="E997" s="23" t="s">
        <v>395</v>
      </c>
      <c r="F997" s="23" t="s">
        <v>396</v>
      </c>
      <c r="G997" s="20"/>
      <c r="H997" s="21"/>
      <c r="I997" s="21"/>
      <c r="J997" s="21"/>
      <c r="K997" s="36"/>
      <c r="L997" s="36"/>
      <c r="M997" s="36"/>
      <c r="N997" s="36"/>
      <c r="O997" s="22">
        <v>0.403940886699507</v>
      </c>
      <c r="P997" s="22">
        <v>2.16748768472906</v>
      </c>
      <c r="Q997" s="21" t="s">
        <v>1428</v>
      </c>
      <c r="R997" s="37">
        <v>0.2</v>
      </c>
      <c r="S997" s="37">
        <f t="shared" si="25"/>
        <v>2.77142857142857</v>
      </c>
      <c r="T997" s="23"/>
      <c r="U997" s="20"/>
      <c r="V997" s="120" t="s">
        <v>1406</v>
      </c>
    </row>
    <row r="998" s="42" customFormat="1" spans="1:22">
      <c r="A998" s="1169"/>
      <c r="B998" s="23"/>
      <c r="C998" s="23"/>
      <c r="D998" s="23"/>
      <c r="E998" s="23" t="s">
        <v>397</v>
      </c>
      <c r="F998" s="20" t="s">
        <v>398</v>
      </c>
      <c r="G998" s="20"/>
      <c r="H998" s="21"/>
      <c r="I998" s="21"/>
      <c r="J998" s="21"/>
      <c r="K998" s="36"/>
      <c r="L998" s="36"/>
      <c r="M998" s="36"/>
      <c r="N998" s="36"/>
      <c r="O998" s="22">
        <v>0.46354</v>
      </c>
      <c r="P998" s="22">
        <v>3.42857142857143</v>
      </c>
      <c r="Q998" s="21" t="s">
        <v>1428</v>
      </c>
      <c r="R998" s="37">
        <v>0.4</v>
      </c>
      <c r="S998" s="37">
        <f t="shared" si="25"/>
        <v>4.29211142857143</v>
      </c>
      <c r="T998" s="23"/>
      <c r="U998" s="20"/>
      <c r="V998" s="120" t="s">
        <v>1406</v>
      </c>
    </row>
    <row r="999" s="42" customFormat="1" spans="1:22">
      <c r="A999" s="1169"/>
      <c r="B999" s="23"/>
      <c r="C999" s="23"/>
      <c r="D999" s="23"/>
      <c r="E999" s="23" t="s">
        <v>399</v>
      </c>
      <c r="F999" s="20" t="s">
        <v>400</v>
      </c>
      <c r="G999" s="20"/>
      <c r="H999" s="21"/>
      <c r="I999" s="21"/>
      <c r="J999" s="21"/>
      <c r="K999" s="36"/>
      <c r="L999" s="36"/>
      <c r="M999" s="36"/>
      <c r="N999" s="36"/>
      <c r="O999" s="22">
        <v>0.39</v>
      </c>
      <c r="P999" s="22">
        <v>2.77</v>
      </c>
      <c r="Q999" s="21" t="s">
        <v>1428</v>
      </c>
      <c r="R999" s="37">
        <v>0.4</v>
      </c>
      <c r="S999" s="37">
        <f t="shared" si="25"/>
        <v>3.56</v>
      </c>
      <c r="T999" s="23"/>
      <c r="U999" s="20"/>
      <c r="V999" s="120" t="s">
        <v>1406</v>
      </c>
    </row>
    <row r="1000" s="42" customFormat="1" spans="1:22">
      <c r="A1000" s="1169"/>
      <c r="B1000" s="23"/>
      <c r="C1000" s="23"/>
      <c r="D1000" s="23"/>
      <c r="E1000" s="23" t="s">
        <v>401</v>
      </c>
      <c r="F1000" s="20" t="s">
        <v>402</v>
      </c>
      <c r="G1000" s="20"/>
      <c r="H1000" s="21"/>
      <c r="I1000" s="21"/>
      <c r="J1000" s="21"/>
      <c r="K1000" s="36"/>
      <c r="L1000" s="36"/>
      <c r="M1000" s="36"/>
      <c r="N1000" s="36"/>
      <c r="O1000" s="22">
        <v>0.363</v>
      </c>
      <c r="P1000" s="22">
        <v>1.39047619047619</v>
      </c>
      <c r="Q1000" s="21" t="s">
        <v>1428</v>
      </c>
      <c r="R1000" s="37">
        <v>0.2</v>
      </c>
      <c r="S1000" s="37">
        <f t="shared" si="25"/>
        <v>1.95347619047619</v>
      </c>
      <c r="T1000" s="23"/>
      <c r="U1000" s="20"/>
      <c r="V1000" s="120" t="s">
        <v>1406</v>
      </c>
    </row>
    <row r="1001" s="42" customFormat="1" spans="1:22">
      <c r="A1001" s="1169"/>
      <c r="B1001" s="23"/>
      <c r="C1001" s="23"/>
      <c r="D1001" s="23"/>
      <c r="E1001" s="23" t="s">
        <v>403</v>
      </c>
      <c r="F1001" s="20" t="s">
        <v>404</v>
      </c>
      <c r="G1001" s="20"/>
      <c r="H1001" s="21"/>
      <c r="I1001" s="21"/>
      <c r="J1001" s="21"/>
      <c r="K1001" s="36"/>
      <c r="L1001" s="36"/>
      <c r="M1001" s="36"/>
      <c r="N1001" s="36"/>
      <c r="O1001" s="22">
        <v>0.36</v>
      </c>
      <c r="P1001" s="22">
        <v>1.38</v>
      </c>
      <c r="Q1001" s="21" t="s">
        <v>1428</v>
      </c>
      <c r="R1001" s="37">
        <v>0.3</v>
      </c>
      <c r="S1001" s="37">
        <f t="shared" si="25"/>
        <v>2.04</v>
      </c>
      <c r="T1001" s="23"/>
      <c r="U1001" s="20"/>
      <c r="V1001" s="120" t="s">
        <v>1406</v>
      </c>
    </row>
    <row r="1002" s="42" customFormat="1" spans="1:22">
      <c r="A1002" s="1169"/>
      <c r="B1002" s="23"/>
      <c r="C1002" s="23"/>
      <c r="D1002" s="23"/>
      <c r="E1002" s="23" t="s">
        <v>405</v>
      </c>
      <c r="F1002" s="20" t="s">
        <v>406</v>
      </c>
      <c r="G1002" s="20"/>
      <c r="H1002" s="21"/>
      <c r="I1002" s="21"/>
      <c r="J1002" s="21"/>
      <c r="K1002" s="36"/>
      <c r="L1002" s="36"/>
      <c r="M1002" s="36"/>
      <c r="N1002" s="36"/>
      <c r="O1002" s="22">
        <v>0.33</v>
      </c>
      <c r="P1002" s="22">
        <v>1.78</v>
      </c>
      <c r="Q1002" s="21" t="s">
        <v>1428</v>
      </c>
      <c r="R1002" s="37">
        <v>0.2</v>
      </c>
      <c r="S1002" s="37">
        <f t="shared" si="25"/>
        <v>2.31</v>
      </c>
      <c r="T1002" s="23"/>
      <c r="U1002" s="20"/>
      <c r="V1002" s="120" t="s">
        <v>1406</v>
      </c>
    </row>
    <row r="1003" s="839" customFormat="1" ht="15" spans="1:22">
      <c r="A1003" s="1120"/>
      <c r="B1003" s="23" t="s">
        <v>7143</v>
      </c>
      <c r="C1003" s="23"/>
      <c r="D1003" s="23"/>
      <c r="E1003" s="23"/>
      <c r="F1003" s="39" t="s">
        <v>2459</v>
      </c>
      <c r="G1003" s="39" t="s">
        <v>1933</v>
      </c>
      <c r="H1003" s="21" t="s">
        <v>4159</v>
      </c>
      <c r="I1003" s="21" t="s">
        <v>1913</v>
      </c>
      <c r="J1003" s="21" t="s">
        <v>4314</v>
      </c>
      <c r="K1003" s="36" t="s">
        <v>1428</v>
      </c>
      <c r="L1003" s="779" t="s">
        <v>1428</v>
      </c>
      <c r="M1003" s="779" t="s">
        <v>1428</v>
      </c>
      <c r="N1003" s="779" t="s">
        <v>1428</v>
      </c>
      <c r="O1003" s="22">
        <v>4.85714285714286</v>
      </c>
      <c r="P1003" s="22">
        <v>18.6108374384236</v>
      </c>
      <c r="Q1003" s="21" t="s">
        <v>1428</v>
      </c>
      <c r="R1003" s="37">
        <v>4.3170573017989</v>
      </c>
      <c r="S1003" s="37">
        <f t="shared" si="25"/>
        <v>27.7850375973654</v>
      </c>
      <c r="T1003" s="167" t="s">
        <v>1526</v>
      </c>
      <c r="U1003" s="39" t="s">
        <v>7144</v>
      </c>
      <c r="V1003" s="120" t="s">
        <v>1406</v>
      </c>
    </row>
    <row r="1004" s="839" customFormat="1" ht="15" spans="1:22">
      <c r="A1004" s="1120"/>
      <c r="B1004" s="23"/>
      <c r="C1004" s="23"/>
      <c r="D1004" s="23"/>
      <c r="E1004" s="23"/>
      <c r="F1004" s="39" t="s">
        <v>1525</v>
      </c>
      <c r="G1004" s="39" t="s">
        <v>1933</v>
      </c>
      <c r="H1004" s="21" t="s">
        <v>4162</v>
      </c>
      <c r="I1004" s="21" t="s">
        <v>3425</v>
      </c>
      <c r="J1004" s="21" t="s">
        <v>3787</v>
      </c>
      <c r="K1004" s="1071" t="s">
        <v>712</v>
      </c>
      <c r="L1004" s="779" t="s">
        <v>1428</v>
      </c>
      <c r="M1004" s="779" t="s">
        <v>1428</v>
      </c>
      <c r="N1004" s="779">
        <v>3.5</v>
      </c>
      <c r="O1004" s="22">
        <v>4.85714285714286</v>
      </c>
      <c r="P1004" s="22">
        <v>19.615763546798</v>
      </c>
      <c r="Q1004" s="21" t="s">
        <v>1428</v>
      </c>
      <c r="R1004" s="37">
        <v>4.3170573017989</v>
      </c>
      <c r="S1004" s="37">
        <f t="shared" si="25"/>
        <v>32.2899637057398</v>
      </c>
      <c r="T1004" s="167" t="s">
        <v>3558</v>
      </c>
      <c r="U1004" s="39" t="s">
        <v>7145</v>
      </c>
      <c r="V1004" s="120" t="s">
        <v>1406</v>
      </c>
    </row>
    <row r="1005" s="839" customFormat="1" spans="1:22">
      <c r="A1005" s="1120"/>
      <c r="B1005" s="23"/>
      <c r="C1005" s="23">
        <v>20240125</v>
      </c>
      <c r="D1005" s="23">
        <v>7.24</v>
      </c>
      <c r="E1005" s="23" t="s">
        <v>408</v>
      </c>
      <c r="F1005" s="39" t="s">
        <v>409</v>
      </c>
      <c r="G1005" s="39"/>
      <c r="H1005" s="21"/>
      <c r="I1005" s="21"/>
      <c r="J1005" s="21"/>
      <c r="K1005" s="36"/>
      <c r="L1005" s="779"/>
      <c r="M1005" s="779"/>
      <c r="N1005" s="779"/>
      <c r="O1005" s="22">
        <v>0.274125</v>
      </c>
      <c r="P1005" s="22">
        <v>0.650850273597728</v>
      </c>
      <c r="Q1005" s="21" t="s">
        <v>1428</v>
      </c>
      <c r="R1005" s="37">
        <v>0.2</v>
      </c>
      <c r="S1005" s="37">
        <f t="shared" si="25"/>
        <v>1.12497527359773</v>
      </c>
      <c r="T1005" s="23"/>
      <c r="U1005" s="39"/>
      <c r="V1005" s="120" t="s">
        <v>1406</v>
      </c>
    </row>
    <row r="1006" s="839" customFormat="1" spans="1:22">
      <c r="A1006" s="1120"/>
      <c r="B1006" s="23"/>
      <c r="C1006" s="23"/>
      <c r="D1006" s="23"/>
      <c r="E1006" s="23"/>
      <c r="F1006" s="39" t="s">
        <v>410</v>
      </c>
      <c r="G1006" s="39"/>
      <c r="H1006" s="21"/>
      <c r="I1006" s="21"/>
      <c r="J1006" s="21"/>
      <c r="K1006" s="36"/>
      <c r="L1006" s="779"/>
      <c r="M1006" s="779"/>
      <c r="N1006" s="779"/>
      <c r="O1006" s="22">
        <v>0.615621392843401</v>
      </c>
      <c r="P1006" s="22">
        <v>2.09142865702193</v>
      </c>
      <c r="Q1006" s="21" t="s">
        <v>1428</v>
      </c>
      <c r="R1006" s="37">
        <v>0.4</v>
      </c>
      <c r="S1006" s="37">
        <f t="shared" si="25"/>
        <v>3.10705004986533</v>
      </c>
      <c r="T1006" s="23"/>
      <c r="U1006" s="39"/>
      <c r="V1006" s="120" t="s">
        <v>1406</v>
      </c>
    </row>
    <row r="1007" s="839" customFormat="1" spans="1:22">
      <c r="A1007" s="1120"/>
      <c r="B1007" s="23"/>
      <c r="C1007" s="23"/>
      <c r="D1007" s="23"/>
      <c r="E1007" s="23"/>
      <c r="F1007" s="39" t="s">
        <v>411</v>
      </c>
      <c r="G1007" s="39"/>
      <c r="H1007" s="21"/>
      <c r="I1007" s="21"/>
      <c r="J1007" s="21"/>
      <c r="K1007" s="779"/>
      <c r="L1007" s="779"/>
      <c r="M1007" s="779"/>
      <c r="N1007" s="779"/>
      <c r="O1007" s="22">
        <v>0.76</v>
      </c>
      <c r="P1007" s="22">
        <v>2.95238095238096</v>
      </c>
      <c r="Q1007" s="21" t="s">
        <v>1428</v>
      </c>
      <c r="R1007" s="37">
        <v>0.2</v>
      </c>
      <c r="S1007" s="37">
        <f t="shared" si="25"/>
        <v>3.91238095238096</v>
      </c>
      <c r="T1007" s="23"/>
      <c r="U1007" s="39"/>
      <c r="V1007" s="120" t="s">
        <v>1406</v>
      </c>
    </row>
    <row r="1008" s="839" customFormat="1" ht="15" spans="1:22">
      <c r="A1008" s="1120"/>
      <c r="B1008" s="23"/>
      <c r="C1008" s="23"/>
      <c r="D1008" s="23"/>
      <c r="E1008" s="23"/>
      <c r="F1008" s="39" t="s">
        <v>412</v>
      </c>
      <c r="G1008" s="39"/>
      <c r="H1008" s="21"/>
      <c r="I1008" s="21"/>
      <c r="J1008" s="21"/>
      <c r="K1008" s="779"/>
      <c r="L1008" s="779"/>
      <c r="M1008" s="779"/>
      <c r="N1008" s="779"/>
      <c r="O1008" s="22">
        <v>0.8</v>
      </c>
      <c r="P1008" s="22">
        <v>4.88857612010321</v>
      </c>
      <c r="Q1008" s="21" t="s">
        <v>1428</v>
      </c>
      <c r="R1008" s="37">
        <v>0.4</v>
      </c>
      <c r="S1008" s="37">
        <f t="shared" si="25"/>
        <v>6.08857612010321</v>
      </c>
      <c r="T1008" s="23"/>
      <c r="U1008" s="39" t="s">
        <v>2945</v>
      </c>
      <c r="V1008" s="120" t="s">
        <v>1406</v>
      </c>
    </row>
    <row r="1009" s="839" customFormat="1" ht="15" spans="1:22">
      <c r="A1009" s="1120"/>
      <c r="B1009" s="23"/>
      <c r="C1009" s="23"/>
      <c r="D1009" s="23"/>
      <c r="E1009" s="23"/>
      <c r="F1009" s="39" t="s">
        <v>414</v>
      </c>
      <c r="G1009" s="39"/>
      <c r="H1009" s="21"/>
      <c r="I1009" s="21"/>
      <c r="J1009" s="21"/>
      <c r="K1009" s="779"/>
      <c r="L1009" s="779"/>
      <c r="M1009" s="779"/>
      <c r="N1009" s="779"/>
      <c r="O1009" s="22">
        <v>0.83</v>
      </c>
      <c r="P1009" s="22">
        <v>5.30143091719446</v>
      </c>
      <c r="Q1009" s="21" t="s">
        <v>1428</v>
      </c>
      <c r="R1009" s="37">
        <v>0.4</v>
      </c>
      <c r="S1009" s="37">
        <f t="shared" si="25"/>
        <v>6.53143091719446</v>
      </c>
      <c r="T1009" s="23"/>
      <c r="U1009" s="39" t="s">
        <v>2946</v>
      </c>
      <c r="V1009" s="120" t="s">
        <v>1406</v>
      </c>
    </row>
    <row r="1010" s="839" customFormat="1" spans="1:22">
      <c r="A1010" s="1120"/>
      <c r="B1010" s="23"/>
      <c r="C1010" s="23"/>
      <c r="D1010" s="23"/>
      <c r="E1010" s="23"/>
      <c r="F1010" s="39" t="s">
        <v>416</v>
      </c>
      <c r="G1010" s="39"/>
      <c r="H1010" s="21"/>
      <c r="I1010" s="21"/>
      <c r="J1010" s="21"/>
      <c r="K1010" s="779"/>
      <c r="L1010" s="779"/>
      <c r="M1010" s="779"/>
      <c r="N1010" s="779"/>
      <c r="O1010" s="22">
        <v>0.27</v>
      </c>
      <c r="P1010" s="22">
        <v>0.476190476190476</v>
      </c>
      <c r="Q1010" s="21" t="s">
        <v>1428</v>
      </c>
      <c r="R1010" s="37">
        <v>0.2</v>
      </c>
      <c r="S1010" s="37">
        <f t="shared" si="25"/>
        <v>0.946190476190476</v>
      </c>
      <c r="T1010" s="23"/>
      <c r="U1010" s="39"/>
      <c r="V1010" s="120" t="s">
        <v>1406</v>
      </c>
    </row>
    <row r="1011" s="839" customFormat="1" spans="1:22">
      <c r="A1011" s="1120"/>
      <c r="B1011" s="23"/>
      <c r="C1011" s="23"/>
      <c r="D1011" s="23"/>
      <c r="E1011" s="23"/>
      <c r="F1011" s="39" t="s">
        <v>417</v>
      </c>
      <c r="G1011" s="39"/>
      <c r="H1011" s="690"/>
      <c r="I1011" s="690"/>
      <c r="J1011" s="690"/>
      <c r="K1011" s="779"/>
      <c r="L1011" s="779"/>
      <c r="M1011" s="779"/>
      <c r="N1011" s="779"/>
      <c r="O1011" s="22">
        <v>0.79</v>
      </c>
      <c r="P1011" s="22">
        <v>4.9047619047619</v>
      </c>
      <c r="Q1011" s="21" t="s">
        <v>1428</v>
      </c>
      <c r="R1011" s="37">
        <v>0.4</v>
      </c>
      <c r="S1011" s="37">
        <f t="shared" si="25"/>
        <v>6.0947619047619</v>
      </c>
      <c r="T1011" s="23"/>
      <c r="U1011" s="39" t="s">
        <v>346</v>
      </c>
      <c r="V1011" s="120" t="s">
        <v>1406</v>
      </c>
    </row>
    <row r="1012" s="839" customFormat="1" spans="1:22">
      <c r="A1012" s="1120"/>
      <c r="B1012" s="23"/>
      <c r="C1012" s="23"/>
      <c r="D1012" s="23"/>
      <c r="E1012" s="23"/>
      <c r="F1012" s="39" t="s">
        <v>418</v>
      </c>
      <c r="G1012" s="39"/>
      <c r="H1012" s="690"/>
      <c r="I1012" s="690"/>
      <c r="J1012" s="690"/>
      <c r="K1012" s="779"/>
      <c r="L1012" s="779"/>
      <c r="M1012" s="779"/>
      <c r="N1012" s="779"/>
      <c r="O1012" s="22">
        <v>0.73</v>
      </c>
      <c r="P1012" s="22">
        <v>4.07224958949097</v>
      </c>
      <c r="Q1012" s="21" t="s">
        <v>1428</v>
      </c>
      <c r="R1012" s="37">
        <v>0.4</v>
      </c>
      <c r="S1012" s="37">
        <f t="shared" si="25"/>
        <v>5.20224958949097</v>
      </c>
      <c r="T1012" s="23"/>
      <c r="U1012" s="39" t="s">
        <v>346</v>
      </c>
      <c r="V1012" s="120" t="s">
        <v>1406</v>
      </c>
    </row>
    <row r="1013" s="839" customFormat="1" spans="1:22">
      <c r="A1013" s="1120"/>
      <c r="B1013" s="23"/>
      <c r="C1013" s="23"/>
      <c r="D1013" s="23"/>
      <c r="E1013" s="23"/>
      <c r="F1013" s="39" t="s">
        <v>419</v>
      </c>
      <c r="G1013" s="39"/>
      <c r="H1013" s="690"/>
      <c r="I1013" s="690"/>
      <c r="J1013" s="690"/>
      <c r="K1013" s="779"/>
      <c r="L1013" s="779"/>
      <c r="M1013" s="779"/>
      <c r="N1013" s="779"/>
      <c r="O1013" s="22">
        <v>0.58</v>
      </c>
      <c r="P1013" s="22">
        <v>3.65001172882946</v>
      </c>
      <c r="Q1013" s="21" t="s">
        <v>1428</v>
      </c>
      <c r="R1013" s="37">
        <v>0.3</v>
      </c>
      <c r="S1013" s="37">
        <f t="shared" si="25"/>
        <v>4.53001172882946</v>
      </c>
      <c r="T1013" s="23"/>
      <c r="U1013" s="39" t="s">
        <v>346</v>
      </c>
      <c r="V1013" s="120" t="s">
        <v>1406</v>
      </c>
    </row>
    <row r="1014" s="839" customFormat="1" spans="1:22">
      <c r="A1014" s="1120"/>
      <c r="B1014" s="23"/>
      <c r="C1014" s="23"/>
      <c r="D1014" s="23"/>
      <c r="E1014" s="23"/>
      <c r="F1014" s="39" t="s">
        <v>420</v>
      </c>
      <c r="G1014" s="39"/>
      <c r="H1014" s="690"/>
      <c r="I1014" s="690"/>
      <c r="J1014" s="690"/>
      <c r="K1014" s="779"/>
      <c r="L1014" s="779"/>
      <c r="M1014" s="779"/>
      <c r="N1014" s="779"/>
      <c r="O1014" s="22">
        <v>0.35</v>
      </c>
      <c r="P1014" s="22">
        <v>1.08571428571429</v>
      </c>
      <c r="Q1014" s="21" t="s">
        <v>1428</v>
      </c>
      <c r="R1014" s="37">
        <v>0.2</v>
      </c>
      <c r="S1014" s="37">
        <f t="shared" si="25"/>
        <v>1.63571428571429</v>
      </c>
      <c r="T1014" s="23"/>
      <c r="U1014" s="39"/>
      <c r="V1014" s="120" t="s">
        <v>1406</v>
      </c>
    </row>
    <row r="1015" s="839" customFormat="1" ht="15" spans="1:22">
      <c r="A1015" s="1120"/>
      <c r="B1015" s="23"/>
      <c r="C1015" s="23"/>
      <c r="D1015" s="23"/>
      <c r="E1015" s="23"/>
      <c r="F1015" s="39" t="s">
        <v>421</v>
      </c>
      <c r="G1015" s="39"/>
      <c r="H1015" s="21"/>
      <c r="I1015" s="21"/>
      <c r="J1015" s="21"/>
      <c r="K1015" s="779"/>
      <c r="L1015" s="779"/>
      <c r="M1015" s="779"/>
      <c r="N1015" s="779"/>
      <c r="O1015" s="22">
        <v>0.9</v>
      </c>
      <c r="P1015" s="22">
        <v>3.61904761904762</v>
      </c>
      <c r="Q1015" s="21" t="s">
        <v>1428</v>
      </c>
      <c r="R1015" s="37">
        <v>0.4</v>
      </c>
      <c r="S1015" s="37">
        <f t="shared" si="25"/>
        <v>4.91904761904762</v>
      </c>
      <c r="T1015" s="23"/>
      <c r="U1015" s="39" t="s">
        <v>2947</v>
      </c>
      <c r="V1015" s="120" t="s">
        <v>1406</v>
      </c>
    </row>
    <row r="1016" s="839" customFormat="1" ht="15" spans="1:22">
      <c r="A1016" s="1120"/>
      <c r="B1016" s="23"/>
      <c r="C1016" s="23"/>
      <c r="D1016" s="23"/>
      <c r="E1016" s="23"/>
      <c r="F1016" s="39" t="s">
        <v>423</v>
      </c>
      <c r="G1016" s="39"/>
      <c r="H1016" s="21"/>
      <c r="I1016" s="21"/>
      <c r="J1016" s="21"/>
      <c r="K1016" s="779"/>
      <c r="L1016" s="779"/>
      <c r="M1016" s="779"/>
      <c r="N1016" s="779"/>
      <c r="O1016" s="22">
        <v>0.86</v>
      </c>
      <c r="P1016" s="22">
        <v>3.33333333333333</v>
      </c>
      <c r="Q1016" s="21" t="s">
        <v>1428</v>
      </c>
      <c r="R1016" s="37">
        <v>0.4</v>
      </c>
      <c r="S1016" s="37">
        <f t="shared" si="25"/>
        <v>4.59333333333333</v>
      </c>
      <c r="T1016" s="23"/>
      <c r="U1016" s="39" t="s">
        <v>2947</v>
      </c>
      <c r="V1016" s="120" t="s">
        <v>1406</v>
      </c>
    </row>
    <row r="1017" s="839" customFormat="1" spans="1:22">
      <c r="A1017" s="1120"/>
      <c r="B1017" s="23"/>
      <c r="C1017" s="23"/>
      <c r="D1017" s="23"/>
      <c r="E1017" s="23"/>
      <c r="F1017" s="39" t="s">
        <v>424</v>
      </c>
      <c r="G1017" s="39"/>
      <c r="H1017" s="21"/>
      <c r="I1017" s="21"/>
      <c r="J1017" s="21"/>
      <c r="K1017" s="779"/>
      <c r="L1017" s="779"/>
      <c r="M1017" s="779"/>
      <c r="N1017" s="779"/>
      <c r="O1017" s="22">
        <v>0.42955</v>
      </c>
      <c r="P1017" s="22">
        <v>1.02318095238096</v>
      </c>
      <c r="Q1017" s="21" t="s">
        <v>1428</v>
      </c>
      <c r="R1017" s="37">
        <v>0.2</v>
      </c>
      <c r="S1017" s="37">
        <f t="shared" si="25"/>
        <v>1.65273095238096</v>
      </c>
      <c r="T1017" s="23"/>
      <c r="U1017" s="39"/>
      <c r="V1017" s="120" t="s">
        <v>1406</v>
      </c>
    </row>
    <row r="1018" s="839" customFormat="1" ht="15" spans="1:22">
      <c r="A1018" s="1120"/>
      <c r="B1018" s="23"/>
      <c r="C1018" s="23"/>
      <c r="D1018" s="23"/>
      <c r="E1018" s="23"/>
      <c r="F1018" s="39" t="s">
        <v>425</v>
      </c>
      <c r="G1018" s="39"/>
      <c r="H1018" s="21"/>
      <c r="I1018" s="21"/>
      <c r="J1018" s="21"/>
      <c r="K1018" s="779"/>
      <c r="L1018" s="779"/>
      <c r="M1018" s="779"/>
      <c r="N1018" s="779"/>
      <c r="O1018" s="22">
        <v>0.46354</v>
      </c>
      <c r="P1018" s="22">
        <v>3.86582219094534</v>
      </c>
      <c r="Q1018" s="21" t="s">
        <v>1428</v>
      </c>
      <c r="R1018" s="37">
        <v>0.4</v>
      </c>
      <c r="S1018" s="37">
        <f t="shared" si="25"/>
        <v>4.72936219094534</v>
      </c>
      <c r="T1018" s="23"/>
      <c r="U1018" s="39" t="s">
        <v>2948</v>
      </c>
      <c r="V1018" s="120" t="s">
        <v>1406</v>
      </c>
    </row>
    <row r="1019" s="839" customFormat="1" spans="1:22">
      <c r="A1019" s="1120"/>
      <c r="B1019" s="23"/>
      <c r="C1019" s="23"/>
      <c r="D1019" s="23"/>
      <c r="E1019" s="23"/>
      <c r="F1019" s="39" t="s">
        <v>427</v>
      </c>
      <c r="G1019" s="39"/>
      <c r="H1019" s="21"/>
      <c r="I1019" s="21"/>
      <c r="J1019" s="21"/>
      <c r="K1019" s="779"/>
      <c r="L1019" s="779"/>
      <c r="M1019" s="779"/>
      <c r="N1019" s="779"/>
      <c r="O1019" s="22">
        <v>0.46354</v>
      </c>
      <c r="P1019" s="22">
        <v>3.43420126671359</v>
      </c>
      <c r="Q1019" s="21" t="s">
        <v>1428</v>
      </c>
      <c r="R1019" s="37">
        <v>0.4</v>
      </c>
      <c r="S1019" s="37">
        <f t="shared" si="25"/>
        <v>4.29774126671359</v>
      </c>
      <c r="T1019" s="23"/>
      <c r="U1019" s="39" t="s">
        <v>25</v>
      </c>
      <c r="V1019" s="120" t="s">
        <v>1406</v>
      </c>
    </row>
    <row r="1020" s="839" customFormat="1" spans="1:22">
      <c r="A1020" s="1120"/>
      <c r="B1020" s="23"/>
      <c r="C1020" s="23"/>
      <c r="D1020" s="23"/>
      <c r="E1020" s="23"/>
      <c r="F1020" s="39" t="s">
        <v>428</v>
      </c>
      <c r="G1020" s="39"/>
      <c r="H1020" s="21"/>
      <c r="I1020" s="21"/>
      <c r="J1020" s="21"/>
      <c r="K1020" s="779"/>
      <c r="L1020" s="779"/>
      <c r="M1020" s="779"/>
      <c r="N1020" s="779"/>
      <c r="O1020" s="22">
        <v>0.39556</v>
      </c>
      <c r="P1020" s="22">
        <v>3.24653999530846</v>
      </c>
      <c r="Q1020" s="21" t="s">
        <v>1428</v>
      </c>
      <c r="R1020" s="37">
        <v>0.4</v>
      </c>
      <c r="S1020" s="37">
        <f t="shared" si="25"/>
        <v>4.04209999530846</v>
      </c>
      <c r="T1020" s="23"/>
      <c r="U1020" s="39" t="s">
        <v>25</v>
      </c>
      <c r="V1020" s="120" t="s">
        <v>1406</v>
      </c>
    </row>
    <row r="1021" s="839" customFormat="1" spans="1:22">
      <c r="A1021" s="1120"/>
      <c r="B1021" s="23"/>
      <c r="C1021" s="23"/>
      <c r="D1021" s="23"/>
      <c r="E1021" s="23"/>
      <c r="F1021" s="39" t="s">
        <v>429</v>
      </c>
      <c r="G1021" s="39"/>
      <c r="H1021" s="21"/>
      <c r="I1021" s="21"/>
      <c r="J1021" s="21"/>
      <c r="K1021" s="779"/>
      <c r="L1021" s="779"/>
      <c r="M1021" s="779"/>
      <c r="N1021" s="779"/>
      <c r="O1021" s="22">
        <v>0.385</v>
      </c>
      <c r="P1021" s="22">
        <v>3.29345531315974</v>
      </c>
      <c r="Q1021" s="21" t="s">
        <v>1428</v>
      </c>
      <c r="R1021" s="37">
        <v>0.4</v>
      </c>
      <c r="S1021" s="37">
        <f t="shared" si="25"/>
        <v>4.07845531315974</v>
      </c>
      <c r="T1021" s="23"/>
      <c r="U1021" s="39" t="s">
        <v>25</v>
      </c>
      <c r="V1021" s="120" t="s">
        <v>1406</v>
      </c>
    </row>
    <row r="1022" s="839" customFormat="1" ht="15" customHeight="1" spans="1:22">
      <c r="A1022" s="1120"/>
      <c r="B1022" s="23"/>
      <c r="C1022" s="23"/>
      <c r="D1022" s="23"/>
      <c r="E1022" s="23"/>
      <c r="F1022" s="39" t="s">
        <v>430</v>
      </c>
      <c r="G1022" s="39"/>
      <c r="H1022" s="21"/>
      <c r="I1022" s="21"/>
      <c r="J1022" s="21"/>
      <c r="K1022" s="779"/>
      <c r="L1022" s="779"/>
      <c r="M1022" s="779"/>
      <c r="N1022" s="779"/>
      <c r="O1022" s="22">
        <v>0.96206</v>
      </c>
      <c r="P1022" s="22">
        <v>4.34435843302838</v>
      </c>
      <c r="Q1022" s="21" t="s">
        <v>1428</v>
      </c>
      <c r="R1022" s="37">
        <v>0.4</v>
      </c>
      <c r="S1022" s="37">
        <f t="shared" si="25"/>
        <v>5.70641843302838</v>
      </c>
      <c r="T1022" s="23"/>
      <c r="U1022" s="39" t="s">
        <v>2948</v>
      </c>
      <c r="V1022" s="120" t="s">
        <v>1406</v>
      </c>
    </row>
    <row r="1023" s="839" customFormat="1" spans="1:22">
      <c r="A1023" s="1120"/>
      <c r="B1023" s="23"/>
      <c r="C1023" s="23"/>
      <c r="D1023" s="23"/>
      <c r="E1023" s="23"/>
      <c r="F1023" s="39" t="s">
        <v>431</v>
      </c>
      <c r="G1023" s="39"/>
      <c r="H1023" s="21"/>
      <c r="I1023" s="21"/>
      <c r="J1023" s="21"/>
      <c r="K1023" s="779"/>
      <c r="L1023" s="779"/>
      <c r="M1023" s="779"/>
      <c r="N1023" s="779"/>
      <c r="O1023" s="22">
        <v>0.39556</v>
      </c>
      <c r="P1023" s="22">
        <v>0.876190476190476</v>
      </c>
      <c r="Q1023" s="21" t="s">
        <v>1428</v>
      </c>
      <c r="R1023" s="37">
        <v>0.4</v>
      </c>
      <c r="S1023" s="37">
        <f t="shared" si="25"/>
        <v>1.67175047619048</v>
      </c>
      <c r="T1023" s="23"/>
      <c r="U1023" s="39"/>
      <c r="V1023" s="120" t="s">
        <v>1406</v>
      </c>
    </row>
    <row r="1024" s="42" customFormat="1" ht="15" spans="1:22">
      <c r="A1024" s="1120"/>
      <c r="B1024" s="20" t="s">
        <v>7146</v>
      </c>
      <c r="C1024" s="23"/>
      <c r="D1024" s="23">
        <v>7.17</v>
      </c>
      <c r="E1024" s="23"/>
      <c r="F1024" s="20" t="s">
        <v>1671</v>
      </c>
      <c r="G1024" s="20" t="s">
        <v>1933</v>
      </c>
      <c r="H1024" s="21" t="s">
        <v>4162</v>
      </c>
      <c r="I1024" s="22" t="s">
        <v>1913</v>
      </c>
      <c r="J1024" s="21" t="s">
        <v>1428</v>
      </c>
      <c r="K1024" s="1071" t="s">
        <v>712</v>
      </c>
      <c r="L1024" s="36" t="s">
        <v>1428</v>
      </c>
      <c r="M1024" s="36" t="s">
        <v>1428</v>
      </c>
      <c r="N1024" s="36" t="s">
        <v>1428</v>
      </c>
      <c r="O1024" s="22">
        <v>4.43084841642692</v>
      </c>
      <c r="P1024" s="22">
        <v>18.4729064039409</v>
      </c>
      <c r="Q1024" s="21" t="s">
        <v>1428</v>
      </c>
      <c r="R1024" s="37">
        <v>3.24128312412831</v>
      </c>
      <c r="S1024" s="37">
        <v>96.1450379444961</v>
      </c>
      <c r="T1024" s="793" t="s">
        <v>1526</v>
      </c>
      <c r="U1024" s="20"/>
      <c r="V1024" s="120" t="s">
        <v>1406</v>
      </c>
    </row>
    <row r="1025" s="42" customFormat="1" ht="15" spans="1:22">
      <c r="A1025" s="1120"/>
      <c r="B1025" s="20"/>
      <c r="C1025" s="23"/>
      <c r="D1025" s="23">
        <v>7.17</v>
      </c>
      <c r="E1025" s="23"/>
      <c r="F1025" s="20" t="s">
        <v>2449</v>
      </c>
      <c r="G1025" s="20" t="s">
        <v>1933</v>
      </c>
      <c r="H1025" s="21" t="s">
        <v>6404</v>
      </c>
      <c r="I1025" s="22" t="s">
        <v>1913</v>
      </c>
      <c r="J1025" s="21" t="s">
        <v>1428</v>
      </c>
      <c r="K1025" s="779" t="s">
        <v>1428</v>
      </c>
      <c r="L1025" s="36" t="s">
        <v>1428</v>
      </c>
      <c r="M1025" s="36" t="s">
        <v>1428</v>
      </c>
      <c r="N1025" s="36" t="s">
        <v>1428</v>
      </c>
      <c r="O1025" s="22">
        <v>4.43084841642692</v>
      </c>
      <c r="P1025" s="22">
        <v>17.9014778325123</v>
      </c>
      <c r="Q1025" s="21" t="s">
        <v>1428</v>
      </c>
      <c r="R1025" s="37">
        <v>3.24128312412831</v>
      </c>
      <c r="S1025" s="37">
        <v>25.5736093730675</v>
      </c>
      <c r="T1025" s="793" t="s">
        <v>1526</v>
      </c>
      <c r="U1025" s="759" t="s">
        <v>6362</v>
      </c>
      <c r="V1025" s="120" t="s">
        <v>1406</v>
      </c>
    </row>
    <row r="1026" s="42" customFormat="1" ht="15" spans="1:22">
      <c r="A1026" s="1120"/>
      <c r="B1026" s="20"/>
      <c r="C1026" s="23"/>
      <c r="D1026" s="23">
        <v>7.17</v>
      </c>
      <c r="E1026" s="23"/>
      <c r="F1026" s="20" t="s">
        <v>1667</v>
      </c>
      <c r="G1026" s="20" t="s">
        <v>3540</v>
      </c>
      <c r="H1026" s="21" t="s">
        <v>4159</v>
      </c>
      <c r="I1026" s="22" t="s">
        <v>1913</v>
      </c>
      <c r="J1026" s="21" t="s">
        <v>1428</v>
      </c>
      <c r="K1026" s="779" t="s">
        <v>1428</v>
      </c>
      <c r="L1026" s="36" t="s">
        <v>1428</v>
      </c>
      <c r="M1026" s="36" t="s">
        <v>1428</v>
      </c>
      <c r="N1026" s="36" t="s">
        <v>1428</v>
      </c>
      <c r="O1026" s="22">
        <v>4.43084841642692</v>
      </c>
      <c r="P1026" s="22">
        <v>13.4953617870057</v>
      </c>
      <c r="Q1026" s="21" t="s">
        <v>1428</v>
      </c>
      <c r="R1026" s="37">
        <v>3.24128312412831</v>
      </c>
      <c r="S1026" s="37">
        <v>21.1674933275609</v>
      </c>
      <c r="T1026" s="793" t="s">
        <v>1526</v>
      </c>
      <c r="U1026" s="20" t="s">
        <v>4160</v>
      </c>
      <c r="V1026" s="120" t="s">
        <v>1406</v>
      </c>
    </row>
    <row r="1027" s="42" customFormat="1" ht="15" spans="1:22">
      <c r="A1027" s="1120"/>
      <c r="B1027" s="20"/>
      <c r="C1027" s="23"/>
      <c r="D1027" s="23">
        <v>7.17</v>
      </c>
      <c r="E1027" s="23"/>
      <c r="F1027" s="20" t="s">
        <v>1558</v>
      </c>
      <c r="G1027" s="39" t="s">
        <v>3540</v>
      </c>
      <c r="H1027" s="21" t="s">
        <v>6072</v>
      </c>
      <c r="I1027" s="22" t="s">
        <v>1913</v>
      </c>
      <c r="J1027" s="21" t="s">
        <v>1428</v>
      </c>
      <c r="K1027" s="36" t="s">
        <v>1428</v>
      </c>
      <c r="L1027" s="36" t="s">
        <v>1428</v>
      </c>
      <c r="M1027" s="36" t="s">
        <v>1428</v>
      </c>
      <c r="N1027" s="36" t="s">
        <v>1428</v>
      </c>
      <c r="O1027" s="22">
        <v>4.43084841642692</v>
      </c>
      <c r="P1027" s="22">
        <v>16.3152709359606</v>
      </c>
      <c r="Q1027" s="21" t="s">
        <v>1428</v>
      </c>
      <c r="R1027" s="37">
        <v>3.24128312412831</v>
      </c>
      <c r="S1027" s="37">
        <v>23.9874024765158</v>
      </c>
      <c r="T1027" s="793" t="s">
        <v>1526</v>
      </c>
      <c r="U1027" s="20" t="s">
        <v>3819</v>
      </c>
      <c r="V1027" s="120" t="s">
        <v>1406</v>
      </c>
    </row>
    <row r="1028" s="42" customFormat="1" ht="15" spans="1:22">
      <c r="A1028" s="1120"/>
      <c r="B1028" s="20"/>
      <c r="C1028" s="23"/>
      <c r="D1028" s="23"/>
      <c r="E1028" s="23"/>
      <c r="F1028" s="20" t="s">
        <v>7065</v>
      </c>
      <c r="G1028" s="20"/>
      <c r="H1028" s="21"/>
      <c r="I1028" s="22"/>
      <c r="J1028" s="21"/>
      <c r="K1028" s="36"/>
      <c r="L1028" s="36"/>
      <c r="M1028" s="36"/>
      <c r="N1028" s="36"/>
      <c r="O1028" s="22">
        <v>0.9735</v>
      </c>
      <c r="P1028" s="22">
        <v>4.66338259441707</v>
      </c>
      <c r="Q1028" s="21" t="s">
        <v>1428</v>
      </c>
      <c r="R1028" s="37">
        <v>0.4</v>
      </c>
      <c r="S1028" s="37">
        <v>6.03688259441707</v>
      </c>
      <c r="T1028" s="813"/>
      <c r="U1028" s="39" t="s">
        <v>2948</v>
      </c>
      <c r="V1028" s="120" t="s">
        <v>1406</v>
      </c>
    </row>
    <row r="1029" s="42" customFormat="1" ht="15" spans="1:22">
      <c r="A1029" s="1120"/>
      <c r="B1029" s="20"/>
      <c r="C1029" s="23"/>
      <c r="D1029" s="23"/>
      <c r="E1029" s="23"/>
      <c r="F1029" s="20" t="s">
        <v>6682</v>
      </c>
      <c r="G1029" s="20"/>
      <c r="H1029" s="21"/>
      <c r="I1029" s="22"/>
      <c r="J1029" s="21"/>
      <c r="K1029" s="36"/>
      <c r="L1029" s="36"/>
      <c r="M1029" s="36"/>
      <c r="N1029" s="36"/>
      <c r="O1029" s="22">
        <v>0.9735</v>
      </c>
      <c r="P1029" s="22">
        <v>4.66338259441707</v>
      </c>
      <c r="Q1029" s="21" t="s">
        <v>1428</v>
      </c>
      <c r="R1029" s="37">
        <v>0.4</v>
      </c>
      <c r="S1029" s="37">
        <v>6.03688259441707</v>
      </c>
      <c r="T1029" s="813"/>
      <c r="U1029" s="39" t="s">
        <v>2948</v>
      </c>
      <c r="V1029" s="120" t="s">
        <v>1406</v>
      </c>
    </row>
    <row r="1030" s="839" customFormat="1" spans="1:22">
      <c r="A1030" s="1120"/>
      <c r="B1030" s="20"/>
      <c r="C1030" s="23"/>
      <c r="D1030" s="23"/>
      <c r="E1030" s="23"/>
      <c r="F1030" s="39" t="s">
        <v>411</v>
      </c>
      <c r="G1030" s="39"/>
      <c r="H1030" s="21"/>
      <c r="I1030" s="21"/>
      <c r="J1030" s="21"/>
      <c r="K1030" s="779"/>
      <c r="L1030" s="779"/>
      <c r="M1030" s="779"/>
      <c r="N1030" s="779"/>
      <c r="O1030" s="22">
        <v>0.65</v>
      </c>
      <c r="P1030" s="22">
        <v>2.34285714285714</v>
      </c>
      <c r="Q1030" s="21" t="s">
        <v>1428</v>
      </c>
      <c r="R1030" s="37">
        <v>0.2</v>
      </c>
      <c r="S1030" s="37">
        <v>3.19285714285714</v>
      </c>
      <c r="T1030" s="23"/>
      <c r="U1030" s="39"/>
      <c r="V1030" s="120" t="s">
        <v>1406</v>
      </c>
    </row>
    <row r="1031" s="839" customFormat="1" spans="1:22">
      <c r="A1031" s="1120"/>
      <c r="B1031" s="20"/>
      <c r="C1031" s="23"/>
      <c r="D1031" s="23"/>
      <c r="E1031" s="23"/>
      <c r="F1031" s="39" t="s">
        <v>427</v>
      </c>
      <c r="G1031" s="39"/>
      <c r="H1031" s="21"/>
      <c r="I1031" s="21"/>
      <c r="J1031" s="21"/>
      <c r="K1031" s="779"/>
      <c r="L1031" s="779"/>
      <c r="M1031" s="779"/>
      <c r="N1031" s="779"/>
      <c r="O1031" s="22">
        <v>0.46354</v>
      </c>
      <c r="P1031" s="22">
        <v>3.43420126671359</v>
      </c>
      <c r="Q1031" s="21" t="s">
        <v>1428</v>
      </c>
      <c r="R1031" s="37">
        <v>0.4</v>
      </c>
      <c r="S1031" s="37">
        <v>4.29774126671359</v>
      </c>
      <c r="T1031" s="23"/>
      <c r="U1031" s="39" t="s">
        <v>25</v>
      </c>
      <c r="V1031" s="120" t="s">
        <v>1406</v>
      </c>
    </row>
    <row r="1032" s="42" customFormat="1" ht="15" customHeight="1" spans="1:22">
      <c r="A1032" s="1120"/>
      <c r="B1032" s="20"/>
      <c r="C1032" s="23"/>
      <c r="D1032" s="23"/>
      <c r="E1032" s="23"/>
      <c r="F1032" s="20" t="s">
        <v>5894</v>
      </c>
      <c r="G1032" s="20"/>
      <c r="H1032" s="21"/>
      <c r="I1032" s="21"/>
      <c r="J1032" s="21"/>
      <c r="K1032" s="36"/>
      <c r="L1032" s="36"/>
      <c r="M1032" s="36"/>
      <c r="N1032" s="36"/>
      <c r="O1032" s="22">
        <v>0.605</v>
      </c>
      <c r="P1032" s="22">
        <v>4.33497536945813</v>
      </c>
      <c r="Q1032" s="21" t="s">
        <v>1428</v>
      </c>
      <c r="R1032" s="37">
        <v>0.4</v>
      </c>
      <c r="S1032" s="37">
        <v>5.33997536945813</v>
      </c>
      <c r="T1032" s="23"/>
      <c r="U1032" s="20" t="s">
        <v>7046</v>
      </c>
      <c r="V1032" s="120" t="s">
        <v>1406</v>
      </c>
    </row>
    <row r="1033" s="42" customFormat="1" ht="15" customHeight="1" spans="1:22">
      <c r="A1033" s="1120"/>
      <c r="B1033" s="20" t="s">
        <v>7147</v>
      </c>
      <c r="C1033" s="23"/>
      <c r="D1033" s="23">
        <v>7.17</v>
      </c>
      <c r="E1033" s="23"/>
      <c r="F1033" s="20" t="s">
        <v>1645</v>
      </c>
      <c r="G1033" s="39" t="s">
        <v>3540</v>
      </c>
      <c r="H1033" s="21" t="s">
        <v>6361</v>
      </c>
      <c r="I1033" s="22" t="s">
        <v>1913</v>
      </c>
      <c r="J1033" s="21" t="s">
        <v>6530</v>
      </c>
      <c r="K1033" s="36" t="s">
        <v>1428</v>
      </c>
      <c r="L1033" s="36" t="s">
        <v>1428</v>
      </c>
      <c r="M1033" s="36" t="s">
        <v>1428</v>
      </c>
      <c r="N1033" s="36">
        <v>2.3</v>
      </c>
      <c r="O1033" s="22">
        <v>4.03685295187295</v>
      </c>
      <c r="P1033" s="22">
        <v>16.7192118226601</v>
      </c>
      <c r="Q1033" s="21" t="s">
        <v>1428</v>
      </c>
      <c r="R1033" s="37">
        <v>3.17695412300515</v>
      </c>
      <c r="S1033" s="37">
        <v>26.2330188975382</v>
      </c>
      <c r="T1033" s="793" t="s">
        <v>1526</v>
      </c>
      <c r="U1033" s="759" t="s">
        <v>6362</v>
      </c>
      <c r="V1033" s="120" t="s">
        <v>1406</v>
      </c>
    </row>
    <row r="1034" s="42" customFormat="1" ht="15" customHeight="1" spans="1:22">
      <c r="A1034" s="1120"/>
      <c r="B1034" s="20"/>
      <c r="C1034" s="23"/>
      <c r="D1034" s="23">
        <v>7.17</v>
      </c>
      <c r="E1034" s="23"/>
      <c r="F1034" s="20" t="s">
        <v>1685</v>
      </c>
      <c r="G1034" s="20" t="s">
        <v>1933</v>
      </c>
      <c r="H1034" s="21" t="s">
        <v>6363</v>
      </c>
      <c r="I1034" s="22" t="s">
        <v>1913</v>
      </c>
      <c r="J1034" s="21" t="s">
        <v>3926</v>
      </c>
      <c r="K1034" s="36" t="s">
        <v>1428</v>
      </c>
      <c r="L1034" s="36" t="s">
        <v>1428</v>
      </c>
      <c r="M1034" s="36" t="s">
        <v>1428</v>
      </c>
      <c r="N1034" s="779" t="s">
        <v>1428</v>
      </c>
      <c r="O1034" s="22">
        <v>4.03685295187295</v>
      </c>
      <c r="P1034" s="22">
        <v>16.3847173035216</v>
      </c>
      <c r="Q1034" s="21" t="s">
        <v>1428</v>
      </c>
      <c r="R1034" s="37">
        <v>3.15460483263957</v>
      </c>
      <c r="S1034" s="37">
        <v>23.5761750880341</v>
      </c>
      <c r="T1034" s="793" t="s">
        <v>1526</v>
      </c>
      <c r="U1034" s="20" t="s">
        <v>7148</v>
      </c>
      <c r="V1034" s="120" t="s">
        <v>1406</v>
      </c>
    </row>
    <row r="1035" s="42" customFormat="1" ht="15" customHeight="1" spans="1:22">
      <c r="A1035" s="1120"/>
      <c r="B1035" s="20"/>
      <c r="C1035" s="23"/>
      <c r="D1035" s="23"/>
      <c r="E1035" s="23"/>
      <c r="F1035" s="20" t="s">
        <v>7149</v>
      </c>
      <c r="G1035" s="20"/>
      <c r="H1035" s="21"/>
      <c r="I1035" s="22"/>
      <c r="J1035" s="21"/>
      <c r="K1035" s="36"/>
      <c r="L1035" s="36"/>
      <c r="M1035" s="36"/>
      <c r="N1035" s="779"/>
      <c r="O1035" s="22">
        <v>0.391743838062088</v>
      </c>
      <c r="P1035" s="22">
        <v>2.9116208480933</v>
      </c>
      <c r="Q1035" s="21" t="s">
        <v>1428</v>
      </c>
      <c r="R1035" s="37">
        <v>0.2</v>
      </c>
      <c r="S1035" s="37">
        <v>3.50336468615539</v>
      </c>
      <c r="T1035" s="813"/>
      <c r="U1035" s="20"/>
      <c r="V1035" s="120" t="s">
        <v>1406</v>
      </c>
    </row>
    <row r="1036" s="839" customFormat="1" spans="1:22">
      <c r="A1036" s="1120"/>
      <c r="B1036" s="20"/>
      <c r="C1036" s="23"/>
      <c r="D1036" s="23"/>
      <c r="E1036" s="23"/>
      <c r="F1036" s="39" t="s">
        <v>411</v>
      </c>
      <c r="G1036" s="39"/>
      <c r="H1036" s="21"/>
      <c r="I1036" s="21"/>
      <c r="J1036" s="21"/>
      <c r="K1036" s="779"/>
      <c r="L1036" s="779"/>
      <c r="M1036" s="779"/>
      <c r="N1036" s="779"/>
      <c r="O1036" s="22">
        <v>0.65</v>
      </c>
      <c r="P1036" s="22">
        <v>2.95238095238096</v>
      </c>
      <c r="Q1036" s="21" t="s">
        <v>1428</v>
      </c>
      <c r="R1036" s="37">
        <v>0.2</v>
      </c>
      <c r="S1036" s="37">
        <v>3.80238095238096</v>
      </c>
      <c r="T1036" s="23"/>
      <c r="U1036" s="39"/>
      <c r="V1036" s="120" t="s">
        <v>1406</v>
      </c>
    </row>
    <row r="1037" s="42" customFormat="1" ht="15" customHeight="1" spans="1:22">
      <c r="A1037" s="1120"/>
      <c r="B1037" s="20" t="s">
        <v>7150</v>
      </c>
      <c r="C1037" s="23"/>
      <c r="D1037" s="23"/>
      <c r="E1037" s="23"/>
      <c r="F1037" s="20" t="s">
        <v>1669</v>
      </c>
      <c r="G1037" s="20" t="s">
        <v>1933</v>
      </c>
      <c r="H1037" s="21" t="s">
        <v>4157</v>
      </c>
      <c r="I1037" s="22" t="s">
        <v>1913</v>
      </c>
      <c r="J1037" s="21" t="s">
        <v>4314</v>
      </c>
      <c r="K1037" s="1071" t="s">
        <v>712</v>
      </c>
      <c r="L1037" s="36" t="s">
        <v>1428</v>
      </c>
      <c r="M1037" s="36" t="s">
        <v>1428</v>
      </c>
      <c r="N1037" s="779" t="s">
        <v>1428</v>
      </c>
      <c r="O1037" s="22">
        <v>5.94088669950739</v>
      </c>
      <c r="P1037" s="22">
        <v>17.1330049261084</v>
      </c>
      <c r="Q1037" s="21" t="s">
        <v>1428</v>
      </c>
      <c r="R1037" s="37">
        <v>4.42728004141928</v>
      </c>
      <c r="S1037" s="37">
        <v>117.501171667035</v>
      </c>
      <c r="T1037" s="793" t="s">
        <v>1526</v>
      </c>
      <c r="U1037" s="759" t="s">
        <v>7151</v>
      </c>
      <c r="V1037" s="120" t="s">
        <v>1406</v>
      </c>
    </row>
    <row r="1038" s="42" customFormat="1" ht="15" customHeight="1" spans="1:22">
      <c r="A1038" s="1120"/>
      <c r="B1038" s="20"/>
      <c r="C1038" s="23"/>
      <c r="D1038" s="23"/>
      <c r="E1038" s="23"/>
      <c r="F1038" s="20" t="s">
        <v>635</v>
      </c>
      <c r="G1038" s="20"/>
      <c r="H1038" s="21"/>
      <c r="I1038" s="22"/>
      <c r="J1038" s="21"/>
      <c r="K1038" s="779"/>
      <c r="L1038" s="36"/>
      <c r="M1038" s="36"/>
      <c r="N1038" s="36"/>
      <c r="O1038" s="22">
        <v>0.56</v>
      </c>
      <c r="P1038" s="22">
        <v>3.75238095238096</v>
      </c>
      <c r="Q1038" s="21" t="s">
        <v>1428</v>
      </c>
      <c r="R1038" s="37">
        <v>0.4</v>
      </c>
      <c r="S1038" s="37">
        <v>4.71238095238096</v>
      </c>
      <c r="T1038" s="813"/>
      <c r="U1038" s="20" t="s">
        <v>346</v>
      </c>
      <c r="V1038" s="120" t="s">
        <v>1406</v>
      </c>
    </row>
    <row r="1039" s="42" customFormat="1" ht="15" customHeight="1" spans="1:22">
      <c r="A1039" s="1120"/>
      <c r="B1039" s="20"/>
      <c r="C1039" s="23"/>
      <c r="D1039" s="23"/>
      <c r="E1039" s="23"/>
      <c r="F1039" s="20" t="s">
        <v>636</v>
      </c>
      <c r="G1039" s="20"/>
      <c r="H1039" s="21"/>
      <c r="I1039" s="22"/>
      <c r="J1039" s="21"/>
      <c r="K1039" s="36"/>
      <c r="L1039" s="36"/>
      <c r="M1039" s="36"/>
      <c r="N1039" s="36"/>
      <c r="O1039" s="22">
        <v>0.53</v>
      </c>
      <c r="P1039" s="22">
        <v>2.81491907107671</v>
      </c>
      <c r="Q1039" s="21" t="s">
        <v>1428</v>
      </c>
      <c r="R1039" s="37">
        <v>0.4</v>
      </c>
      <c r="S1039" s="37">
        <v>3.74491907107671</v>
      </c>
      <c r="T1039" s="813"/>
      <c r="U1039" s="39" t="s">
        <v>25</v>
      </c>
      <c r="V1039" s="120" t="s">
        <v>1406</v>
      </c>
    </row>
    <row r="1040" s="42" customFormat="1" ht="15" customHeight="1" spans="1:22">
      <c r="A1040" s="1120"/>
      <c r="B1040" s="20" t="s">
        <v>7152</v>
      </c>
      <c r="C1040" s="23"/>
      <c r="D1040" s="23">
        <v>7.17</v>
      </c>
      <c r="E1040" s="23"/>
      <c r="F1040" s="20" t="s">
        <v>1593</v>
      </c>
      <c r="G1040" s="20" t="s">
        <v>1933</v>
      </c>
      <c r="H1040" s="21" t="s">
        <v>4162</v>
      </c>
      <c r="I1040" s="22" t="s">
        <v>1913</v>
      </c>
      <c r="J1040" s="21" t="s">
        <v>3874</v>
      </c>
      <c r="K1040" s="1071" t="s">
        <v>712</v>
      </c>
      <c r="L1040" s="36" t="s">
        <v>1428</v>
      </c>
      <c r="M1040" s="36" t="s">
        <v>1428</v>
      </c>
      <c r="N1040" s="779">
        <v>2.5</v>
      </c>
      <c r="O1040" s="22">
        <v>6.24</v>
      </c>
      <c r="P1040" s="22">
        <v>23.17</v>
      </c>
      <c r="Q1040" s="21" t="s">
        <v>1428</v>
      </c>
      <c r="R1040" s="37">
        <v>3.44072524407252</v>
      </c>
      <c r="S1040" s="37">
        <v>105.350725244073</v>
      </c>
      <c r="T1040" s="793" t="s">
        <v>6430</v>
      </c>
      <c r="U1040" s="759" t="s">
        <v>7153</v>
      </c>
      <c r="V1040" s="120" t="s">
        <v>1406</v>
      </c>
    </row>
    <row r="1041" s="42" customFormat="1" ht="15" customHeight="1" spans="1:22">
      <c r="A1041" s="1120"/>
      <c r="B1041" s="20"/>
      <c r="C1041" s="23"/>
      <c r="D1041" s="23">
        <v>7.17</v>
      </c>
      <c r="E1041" s="23"/>
      <c r="F1041" s="20" t="s">
        <v>1672</v>
      </c>
      <c r="G1041" s="20" t="s">
        <v>1933</v>
      </c>
      <c r="H1041" s="21" t="s">
        <v>4159</v>
      </c>
      <c r="I1041" s="22" t="s">
        <v>1913</v>
      </c>
      <c r="J1041" s="21" t="s">
        <v>3787</v>
      </c>
      <c r="K1041" s="36" t="s">
        <v>1428</v>
      </c>
      <c r="L1041" s="36" t="s">
        <v>1428</v>
      </c>
      <c r="M1041" s="36" t="s">
        <v>1428</v>
      </c>
      <c r="N1041" s="779">
        <v>3.5</v>
      </c>
      <c r="O1041" s="22">
        <v>6.24</v>
      </c>
      <c r="P1041" s="22">
        <v>23.28</v>
      </c>
      <c r="Q1041" s="21" t="s">
        <v>1428</v>
      </c>
      <c r="R1041" s="37">
        <v>3.44072524407252</v>
      </c>
      <c r="S1041" s="37">
        <v>36.4607252440725</v>
      </c>
      <c r="T1041" s="793" t="s">
        <v>6430</v>
      </c>
      <c r="U1041" s="20" t="s">
        <v>4160</v>
      </c>
      <c r="V1041" s="120" t="s">
        <v>1406</v>
      </c>
    </row>
    <row r="1042" s="42" customFormat="1" ht="15" customHeight="1" spans="1:22">
      <c r="A1042" s="1120"/>
      <c r="B1042" s="20"/>
      <c r="C1042" s="23"/>
      <c r="D1042" s="23"/>
      <c r="E1042" s="23"/>
      <c r="F1042" s="20" t="s">
        <v>671</v>
      </c>
      <c r="G1042" s="20"/>
      <c r="H1042" s="21"/>
      <c r="I1042" s="22"/>
      <c r="J1042" s="21"/>
      <c r="K1042" s="36"/>
      <c r="L1042" s="36"/>
      <c r="M1042" s="36"/>
      <c r="N1042" s="36"/>
      <c r="O1042" s="22">
        <v>0.21</v>
      </c>
      <c r="P1042" s="22">
        <v>0.591133004926108</v>
      </c>
      <c r="Q1042" s="21" t="s">
        <v>1428</v>
      </c>
      <c r="R1042" s="37">
        <v>0.4</v>
      </c>
      <c r="S1042" s="37">
        <v>1.20113300492611</v>
      </c>
      <c r="T1042" s="813"/>
      <c r="U1042" s="20"/>
      <c r="V1042" s="120" t="s">
        <v>1406</v>
      </c>
    </row>
    <row r="1043" s="42" customFormat="1" ht="15" customHeight="1" spans="1:22">
      <c r="A1043" s="1120"/>
      <c r="B1043" s="20"/>
      <c r="C1043" s="23"/>
      <c r="D1043" s="23"/>
      <c r="E1043" s="23"/>
      <c r="F1043" s="20" t="s">
        <v>672</v>
      </c>
      <c r="G1043" s="20"/>
      <c r="H1043" s="21"/>
      <c r="I1043" s="22"/>
      <c r="J1043" s="21"/>
      <c r="K1043" s="36"/>
      <c r="L1043" s="36"/>
      <c r="M1043" s="36"/>
      <c r="N1043" s="36"/>
      <c r="O1043" s="22">
        <v>0.315270935960591</v>
      </c>
      <c r="P1043" s="22">
        <v>1.16256157635468</v>
      </c>
      <c r="Q1043" s="21" t="s">
        <v>1428</v>
      </c>
      <c r="R1043" s="37">
        <v>0.2</v>
      </c>
      <c r="S1043" s="37">
        <v>1.67783251231527</v>
      </c>
      <c r="T1043" s="813"/>
      <c r="U1043" s="20"/>
      <c r="V1043" s="120" t="s">
        <v>1406</v>
      </c>
    </row>
    <row r="1044" s="42" customFormat="1" ht="15" customHeight="1" spans="1:22">
      <c r="A1044" s="1120"/>
      <c r="B1044" s="20"/>
      <c r="C1044" s="23"/>
      <c r="D1044" s="23"/>
      <c r="E1044" s="23"/>
      <c r="F1044" s="20" t="s">
        <v>666</v>
      </c>
      <c r="G1044" s="20"/>
      <c r="H1044" s="21"/>
      <c r="I1044" s="22"/>
      <c r="J1044" s="21"/>
      <c r="K1044" s="36"/>
      <c r="L1044" s="36"/>
      <c r="M1044" s="36"/>
      <c r="N1044" s="36"/>
      <c r="O1044" s="22">
        <v>0.216748768472906</v>
      </c>
      <c r="P1044" s="22">
        <v>0.41285479709125</v>
      </c>
      <c r="Q1044" s="21" t="s">
        <v>1428</v>
      </c>
      <c r="R1044" s="37">
        <v>0.2</v>
      </c>
      <c r="S1044" s="37">
        <v>0.829603565564156</v>
      </c>
      <c r="T1044" s="813"/>
      <c r="U1044" s="20"/>
      <c r="V1044" s="120" t="s">
        <v>1406</v>
      </c>
    </row>
    <row r="1045" s="42" customFormat="1" ht="15" customHeight="1" spans="1:22">
      <c r="A1045" s="1120"/>
      <c r="B1045" s="20"/>
      <c r="C1045" s="23"/>
      <c r="D1045" s="23"/>
      <c r="E1045" s="23"/>
      <c r="F1045" s="20" t="s">
        <v>7154</v>
      </c>
      <c r="G1045" s="20"/>
      <c r="H1045" s="21"/>
      <c r="I1045" s="22"/>
      <c r="J1045" s="21"/>
      <c r="K1045" s="36"/>
      <c r="L1045" s="36"/>
      <c r="M1045" s="36"/>
      <c r="N1045" s="36"/>
      <c r="O1045" s="22">
        <v>0</v>
      </c>
      <c r="P1045" s="22">
        <v>4.42857142857143</v>
      </c>
      <c r="Q1045" s="21" t="s">
        <v>1428</v>
      </c>
      <c r="R1045" s="37">
        <v>0.4</v>
      </c>
      <c r="S1045" s="37">
        <v>4.82857142857143</v>
      </c>
      <c r="T1045" s="813"/>
      <c r="U1045" s="20"/>
      <c r="V1045" s="120" t="s">
        <v>1406</v>
      </c>
    </row>
    <row r="1046" s="42" customFormat="1" ht="15" customHeight="1" spans="1:22">
      <c r="A1046" s="1120"/>
      <c r="B1046" s="20"/>
      <c r="C1046" s="23"/>
      <c r="D1046" s="23"/>
      <c r="E1046" s="23"/>
      <c r="F1046" s="20" t="s">
        <v>665</v>
      </c>
      <c r="G1046" s="20"/>
      <c r="H1046" s="21"/>
      <c r="I1046" s="22"/>
      <c r="J1046" s="21"/>
      <c r="K1046" s="36"/>
      <c r="L1046" s="36"/>
      <c r="M1046" s="36"/>
      <c r="N1046" s="36"/>
      <c r="O1046" s="22">
        <v>0.38423645320197</v>
      </c>
      <c r="P1046" s="22">
        <v>0.344827586206897</v>
      </c>
      <c r="Q1046" s="21" t="s">
        <v>1428</v>
      </c>
      <c r="R1046" s="37">
        <v>0.4</v>
      </c>
      <c r="S1046" s="37">
        <v>1.12906403940887</v>
      </c>
      <c r="T1046" s="813"/>
      <c r="U1046" s="20"/>
      <c r="V1046" s="120" t="s">
        <v>1406</v>
      </c>
    </row>
    <row r="1047" s="42" customFormat="1" ht="15" customHeight="1" spans="1:22">
      <c r="A1047" s="1120"/>
      <c r="B1047" s="20"/>
      <c r="C1047" s="23"/>
      <c r="D1047" s="23"/>
      <c r="E1047" s="23"/>
      <c r="F1047" s="20" t="s">
        <v>670</v>
      </c>
      <c r="G1047" s="20"/>
      <c r="H1047" s="21"/>
      <c r="I1047" s="22"/>
      <c r="J1047" s="21"/>
      <c r="K1047" s="36"/>
      <c r="L1047" s="36"/>
      <c r="M1047" s="36"/>
      <c r="N1047" s="36"/>
      <c r="O1047" s="22">
        <v>0.38423645320197</v>
      </c>
      <c r="P1047" s="22">
        <v>1.23152709359606</v>
      </c>
      <c r="Q1047" s="21" t="s">
        <v>1428</v>
      </c>
      <c r="R1047" s="37">
        <v>0.4</v>
      </c>
      <c r="S1047" s="37">
        <v>2.01576354679803</v>
      </c>
      <c r="T1047" s="813"/>
      <c r="U1047" s="20"/>
      <c r="V1047" s="120" t="s">
        <v>1406</v>
      </c>
    </row>
    <row r="1048" s="42" customFormat="1" spans="1:22">
      <c r="A1048" s="1120"/>
      <c r="B1048" s="20"/>
      <c r="C1048" s="23"/>
      <c r="D1048" s="23"/>
      <c r="E1048" s="23"/>
      <c r="F1048" s="20" t="s">
        <v>7155</v>
      </c>
      <c r="G1048" s="20"/>
      <c r="H1048" s="20"/>
      <c r="I1048" s="20"/>
      <c r="J1048" s="20"/>
      <c r="K1048" s="772"/>
      <c r="L1048" s="772"/>
      <c r="M1048" s="772"/>
      <c r="N1048" s="772"/>
      <c r="O1048" s="22">
        <v>0.35</v>
      </c>
      <c r="P1048" s="22">
        <v>1</v>
      </c>
      <c r="Q1048" s="21" t="s">
        <v>1428</v>
      </c>
      <c r="R1048" s="37">
        <v>0.2</v>
      </c>
      <c r="S1048" s="37">
        <v>1.55</v>
      </c>
      <c r="T1048" s="20"/>
      <c r="U1048" s="20"/>
      <c r="V1048" s="120" t="s">
        <v>1406</v>
      </c>
    </row>
    <row r="1049" s="42" customFormat="1" ht="15" spans="1:22">
      <c r="A1049" s="1120"/>
      <c r="B1049" s="20" t="s">
        <v>7156</v>
      </c>
      <c r="C1049" s="23">
        <v>20220706</v>
      </c>
      <c r="D1049" s="23">
        <v>7.17</v>
      </c>
      <c r="E1049" s="23" t="s">
        <v>7157</v>
      </c>
      <c r="F1049" s="20" t="s">
        <v>1672</v>
      </c>
      <c r="G1049" s="20" t="s">
        <v>1933</v>
      </c>
      <c r="H1049" s="21" t="s">
        <v>4159</v>
      </c>
      <c r="I1049" s="22" t="s">
        <v>1913</v>
      </c>
      <c r="J1049" s="21" t="s">
        <v>3787</v>
      </c>
      <c r="K1049" s="36" t="s">
        <v>1428</v>
      </c>
      <c r="L1049" s="36" t="s">
        <v>1428</v>
      </c>
      <c r="M1049" s="36" t="s">
        <v>1428</v>
      </c>
      <c r="N1049" s="779">
        <v>3.5</v>
      </c>
      <c r="O1049" s="22">
        <v>3.79450504218975</v>
      </c>
      <c r="P1049" s="22">
        <v>16.2167487684729</v>
      </c>
      <c r="Q1049" s="21" t="s">
        <v>1428</v>
      </c>
      <c r="R1049" s="37">
        <v>2.82287308228731</v>
      </c>
      <c r="S1049" s="37">
        <v>26.33412689295</v>
      </c>
      <c r="T1049" s="793" t="s">
        <v>1526</v>
      </c>
      <c r="U1049" s="20" t="s">
        <v>7158</v>
      </c>
      <c r="V1049" s="120" t="s">
        <v>1406</v>
      </c>
    </row>
    <row r="1050" s="42" customFormat="1" ht="15" spans="1:22">
      <c r="A1050" s="1120"/>
      <c r="B1050" s="20"/>
      <c r="C1050" s="23">
        <v>20221010</v>
      </c>
      <c r="D1050" s="23">
        <v>7.17</v>
      </c>
      <c r="E1050" s="23" t="s">
        <v>7159</v>
      </c>
      <c r="F1050" s="20" t="s">
        <v>2431</v>
      </c>
      <c r="G1050" s="20" t="s">
        <v>1933</v>
      </c>
      <c r="H1050" s="21" t="s">
        <v>4159</v>
      </c>
      <c r="I1050" s="22" t="s">
        <v>1913</v>
      </c>
      <c r="J1050" s="21" t="s">
        <v>2955</v>
      </c>
      <c r="K1050" s="36" t="s">
        <v>1428</v>
      </c>
      <c r="L1050" s="36" t="s">
        <v>1428</v>
      </c>
      <c r="M1050" s="36" t="s">
        <v>1428</v>
      </c>
      <c r="N1050" s="36" t="s">
        <v>1428</v>
      </c>
      <c r="O1050" s="22">
        <v>3.79450504218975</v>
      </c>
      <c r="P1050" s="22">
        <v>14.900437821811</v>
      </c>
      <c r="Q1050" s="21" t="s">
        <v>1428</v>
      </c>
      <c r="R1050" s="37">
        <v>2.82287308228731</v>
      </c>
      <c r="S1050" s="37">
        <v>21.5178159462881</v>
      </c>
      <c r="T1050" s="793" t="s">
        <v>1526</v>
      </c>
      <c r="U1050" s="20" t="s">
        <v>7160</v>
      </c>
      <c r="V1050" s="120" t="s">
        <v>1406</v>
      </c>
    </row>
    <row r="1051" s="42" customFormat="1" ht="15" spans="1:22">
      <c r="A1051" s="1120"/>
      <c r="B1051" s="20"/>
      <c r="C1051" s="23">
        <v>20221215</v>
      </c>
      <c r="D1051" s="23">
        <v>7.17</v>
      </c>
      <c r="E1051" s="23" t="s">
        <v>7161</v>
      </c>
      <c r="F1051" s="20" t="s">
        <v>1667</v>
      </c>
      <c r="G1051" s="20" t="s">
        <v>1933</v>
      </c>
      <c r="H1051" s="21" t="s">
        <v>4159</v>
      </c>
      <c r="I1051" s="22" t="s">
        <v>1913</v>
      </c>
      <c r="J1051" s="21" t="s">
        <v>2955</v>
      </c>
      <c r="K1051" s="36" t="s">
        <v>1428</v>
      </c>
      <c r="L1051" s="36" t="s">
        <v>1428</v>
      </c>
      <c r="M1051" s="36" t="s">
        <v>1428</v>
      </c>
      <c r="N1051" s="36" t="s">
        <v>1428</v>
      </c>
      <c r="O1051" s="22">
        <v>3.79450504218975</v>
      </c>
      <c r="P1051" s="22">
        <v>14.9013748777751</v>
      </c>
      <c r="Q1051" s="21" t="s">
        <v>1428</v>
      </c>
      <c r="R1051" s="37">
        <v>2.82287308228731</v>
      </c>
      <c r="S1051" s="37">
        <v>21.5187530022522</v>
      </c>
      <c r="T1051" s="793" t="s">
        <v>1526</v>
      </c>
      <c r="U1051" s="20" t="s">
        <v>7160</v>
      </c>
      <c r="V1051" s="120" t="s">
        <v>1406</v>
      </c>
    </row>
    <row r="1052" s="42" customFormat="1" ht="15" spans="1:22">
      <c r="A1052" s="1120"/>
      <c r="B1052" s="20"/>
      <c r="C1052" s="23">
        <v>20230222</v>
      </c>
      <c r="D1052" s="23">
        <v>7.17</v>
      </c>
      <c r="E1052" s="23" t="s">
        <v>7162</v>
      </c>
      <c r="F1052" s="20" t="s">
        <v>1558</v>
      </c>
      <c r="G1052" s="20" t="s">
        <v>1933</v>
      </c>
      <c r="H1052" s="21" t="s">
        <v>7163</v>
      </c>
      <c r="I1052" s="22" t="s">
        <v>1913</v>
      </c>
      <c r="J1052" s="21" t="s">
        <v>3696</v>
      </c>
      <c r="K1052" s="1071" t="s">
        <v>712</v>
      </c>
      <c r="L1052" s="36" t="s">
        <v>1428</v>
      </c>
      <c r="M1052" s="36" t="s">
        <v>1428</v>
      </c>
      <c r="N1052" s="779">
        <v>3.3</v>
      </c>
      <c r="O1052" s="22">
        <v>3.79450504218975</v>
      </c>
      <c r="P1052" s="22">
        <v>14.3237444588495</v>
      </c>
      <c r="Q1052" s="21" t="s">
        <v>1428</v>
      </c>
      <c r="R1052" s="37">
        <v>2.82287308228731</v>
      </c>
      <c r="S1052" s="37">
        <v>114.241122583327</v>
      </c>
      <c r="T1052" s="793" t="s">
        <v>1526</v>
      </c>
      <c r="U1052" s="20"/>
      <c r="V1052" s="120" t="s">
        <v>1406</v>
      </c>
    </row>
    <row r="1053" s="42" customFormat="1" ht="15" spans="1:22">
      <c r="A1053" s="1120"/>
      <c r="B1053" s="20"/>
      <c r="C1053" s="23">
        <v>20250307</v>
      </c>
      <c r="D1053" s="23">
        <v>7.17</v>
      </c>
      <c r="E1053" s="23" t="s">
        <v>1113</v>
      </c>
      <c r="F1053" s="846" t="s">
        <v>1114</v>
      </c>
      <c r="G1053" s="20"/>
      <c r="H1053" s="21"/>
      <c r="I1053" s="22"/>
      <c r="J1053" s="21"/>
      <c r="K1053" s="779"/>
      <c r="L1053" s="36"/>
      <c r="M1053" s="36"/>
      <c r="N1053" s="779"/>
      <c r="O1053" s="22">
        <v>0.0923047783401555</v>
      </c>
      <c r="P1053" s="22">
        <v>0.427439970592932</v>
      </c>
      <c r="Q1053" s="21"/>
      <c r="R1053" s="37">
        <v>0.2</v>
      </c>
      <c r="S1053" s="37">
        <v>0.719744748933087</v>
      </c>
      <c r="T1053" s="793"/>
      <c r="U1053" s="20" t="s">
        <v>1115</v>
      </c>
      <c r="V1053" s="120"/>
    </row>
    <row r="1054" s="42" customFormat="1" ht="15" spans="1:22">
      <c r="A1054" s="1120"/>
      <c r="B1054" s="20"/>
      <c r="C1054" s="23">
        <v>20250307</v>
      </c>
      <c r="D1054" s="23">
        <v>7.17</v>
      </c>
      <c r="E1054" s="23" t="s">
        <v>1116</v>
      </c>
      <c r="F1054" s="846" t="s">
        <v>1117</v>
      </c>
      <c r="G1054" s="20"/>
      <c r="H1054" s="21"/>
      <c r="I1054" s="22"/>
      <c r="J1054" s="21"/>
      <c r="K1054" s="779"/>
      <c r="L1054" s="36"/>
      <c r="M1054" s="36"/>
      <c r="N1054" s="779"/>
      <c r="O1054" s="22">
        <v>0.370449843738491</v>
      </c>
      <c r="P1054" s="22">
        <v>0.817163792077943</v>
      </c>
      <c r="Q1054" s="21"/>
      <c r="R1054" s="37">
        <v>0.2</v>
      </c>
      <c r="S1054" s="37">
        <v>1.38761363581643</v>
      </c>
      <c r="T1054" s="793"/>
      <c r="U1054" s="20" t="s">
        <v>1118</v>
      </c>
      <c r="V1054" s="120"/>
    </row>
    <row r="1055" s="42" customFormat="1" spans="1:22">
      <c r="A1055" s="1120"/>
      <c r="B1055" s="20"/>
      <c r="C1055" s="23"/>
      <c r="D1055" s="23"/>
      <c r="E1055" s="23"/>
      <c r="F1055" s="20" t="s">
        <v>7164</v>
      </c>
      <c r="G1055" s="20"/>
      <c r="H1055" s="21"/>
      <c r="I1055" s="22"/>
      <c r="J1055" s="21"/>
      <c r="K1055" s="779"/>
      <c r="L1055" s="36"/>
      <c r="M1055" s="36"/>
      <c r="N1055" s="779"/>
      <c r="O1055" s="22">
        <v>0.463058242436715</v>
      </c>
      <c r="P1055" s="22">
        <v>3.2155484833299</v>
      </c>
      <c r="Q1055" s="21" t="s">
        <v>1428</v>
      </c>
      <c r="R1055" s="37">
        <v>0.4</v>
      </c>
      <c r="S1055" s="37">
        <v>4.07860672576662</v>
      </c>
      <c r="T1055" s="813"/>
      <c r="U1055" s="20"/>
      <c r="V1055" s="120" t="s">
        <v>1406</v>
      </c>
    </row>
    <row r="1056" s="42" customFormat="1" spans="1:22">
      <c r="A1056" s="1120"/>
      <c r="B1056" s="20"/>
      <c r="C1056" s="23"/>
      <c r="D1056" s="23"/>
      <c r="E1056" s="23"/>
      <c r="F1056" s="20" t="s">
        <v>7165</v>
      </c>
      <c r="G1056" s="22" t="s">
        <v>1428</v>
      </c>
      <c r="H1056" s="21" t="s">
        <v>1428</v>
      </c>
      <c r="I1056" s="21" t="s">
        <v>1428</v>
      </c>
      <c r="J1056" s="21" t="s">
        <v>1428</v>
      </c>
      <c r="K1056" s="36" t="s">
        <v>1428</v>
      </c>
      <c r="L1056" s="36" t="s">
        <v>1428</v>
      </c>
      <c r="M1056" s="36" t="s">
        <v>1428</v>
      </c>
      <c r="N1056" s="36" t="s">
        <v>1428</v>
      </c>
      <c r="O1056" s="22">
        <v>0.424883026835403</v>
      </c>
      <c r="P1056" s="22">
        <v>0.988804902800839</v>
      </c>
      <c r="Q1056" s="21" t="s">
        <v>1428</v>
      </c>
      <c r="R1056" s="37">
        <v>0.2</v>
      </c>
      <c r="S1056" s="37">
        <v>1.61368792963624</v>
      </c>
      <c r="T1056" s="813"/>
      <c r="U1056" s="20"/>
      <c r="V1056" s="120" t="s">
        <v>1406</v>
      </c>
    </row>
    <row r="1057" s="42" customFormat="1" spans="1:22">
      <c r="A1057" s="1120"/>
      <c r="B1057" s="20"/>
      <c r="C1057" s="23"/>
      <c r="D1057" s="23"/>
      <c r="E1057" s="23"/>
      <c r="F1057" s="20" t="s">
        <v>7166</v>
      </c>
      <c r="G1057" s="20"/>
      <c r="H1057" s="21"/>
      <c r="I1057" s="22"/>
      <c r="J1057" s="21"/>
      <c r="K1057" s="36"/>
      <c r="L1057" s="36"/>
      <c r="M1057" s="36"/>
      <c r="N1057" s="779"/>
      <c r="O1057" s="22">
        <v>0.492610837438424</v>
      </c>
      <c r="P1057" s="22">
        <v>3.05418719211823</v>
      </c>
      <c r="Q1057" s="21" t="s">
        <v>1428</v>
      </c>
      <c r="R1057" s="37">
        <v>0.4</v>
      </c>
      <c r="S1057" s="37">
        <v>3.94679802955665</v>
      </c>
      <c r="T1057" s="813"/>
      <c r="U1057" s="20" t="s">
        <v>25</v>
      </c>
      <c r="V1057" s="120" t="s">
        <v>1406</v>
      </c>
    </row>
    <row r="1058" s="42" customFormat="1" spans="1:22">
      <c r="A1058" s="1120"/>
      <c r="B1058" s="20"/>
      <c r="C1058" s="23"/>
      <c r="D1058" s="23"/>
      <c r="E1058" s="23"/>
      <c r="F1058" s="20" t="s">
        <v>7167</v>
      </c>
      <c r="G1058" s="20"/>
      <c r="H1058" s="21"/>
      <c r="I1058" s="22"/>
      <c r="J1058" s="21"/>
      <c r="K1058" s="779"/>
      <c r="L1058" s="36"/>
      <c r="M1058" s="36"/>
      <c r="N1058" s="779"/>
      <c r="O1058" s="22">
        <v>0.512315270935961</v>
      </c>
      <c r="P1058" s="22">
        <v>0.95707248416608</v>
      </c>
      <c r="Q1058" s="21" t="s">
        <v>1428</v>
      </c>
      <c r="R1058" s="37">
        <v>0.2</v>
      </c>
      <c r="S1058" s="37">
        <v>1.66938775510204</v>
      </c>
      <c r="T1058" s="813"/>
      <c r="U1058" s="20"/>
      <c r="V1058" s="120" t="s">
        <v>1406</v>
      </c>
    </row>
    <row r="1059" s="42" customFormat="1" spans="1:22">
      <c r="A1059" s="1120"/>
      <c r="B1059" s="20"/>
      <c r="C1059" s="23"/>
      <c r="D1059" s="23"/>
      <c r="E1059" s="23"/>
      <c r="F1059" s="20" t="s">
        <v>7168</v>
      </c>
      <c r="G1059" s="20"/>
      <c r="H1059" s="21"/>
      <c r="I1059" s="22"/>
      <c r="J1059" s="21"/>
      <c r="K1059" s="779"/>
      <c r="L1059" s="36"/>
      <c r="M1059" s="36"/>
      <c r="N1059" s="779"/>
      <c r="O1059" s="22">
        <v>0.12807881773399</v>
      </c>
      <c r="P1059" s="22">
        <v>0.365939479239971</v>
      </c>
      <c r="Q1059" s="21" t="s">
        <v>1428</v>
      </c>
      <c r="R1059" s="37">
        <v>0.4</v>
      </c>
      <c r="S1059" s="37">
        <v>0.894018296973961</v>
      </c>
      <c r="T1059" s="813"/>
      <c r="U1059" s="20"/>
      <c r="V1059" s="120" t="s">
        <v>1406</v>
      </c>
    </row>
    <row r="1060" s="42" customFormat="1" spans="1:22">
      <c r="A1060" s="1120"/>
      <c r="B1060" s="20"/>
      <c r="C1060" s="23"/>
      <c r="D1060" s="23"/>
      <c r="E1060" s="23"/>
      <c r="F1060" s="20" t="s">
        <v>7169</v>
      </c>
      <c r="G1060" s="20"/>
      <c r="H1060" s="21"/>
      <c r="I1060" s="22"/>
      <c r="J1060" s="21"/>
      <c r="K1060" s="36"/>
      <c r="L1060" s="36"/>
      <c r="M1060" s="36"/>
      <c r="N1060" s="779"/>
      <c r="O1060" s="22">
        <v>0.482758620689655</v>
      </c>
      <c r="P1060" s="22">
        <v>1.5669716162327</v>
      </c>
      <c r="Q1060" s="21" t="s">
        <v>1428</v>
      </c>
      <c r="R1060" s="37">
        <v>0.2</v>
      </c>
      <c r="S1060" s="37">
        <v>2.24973023692235</v>
      </c>
      <c r="T1060" s="813"/>
      <c r="U1060" s="20"/>
      <c r="V1060" s="120" t="s">
        <v>1406</v>
      </c>
    </row>
    <row r="1061" s="839" customFormat="1" spans="1:22">
      <c r="A1061" s="1120"/>
      <c r="B1061" s="20"/>
      <c r="C1061" s="23"/>
      <c r="D1061" s="23"/>
      <c r="E1061" s="23"/>
      <c r="F1061" s="39" t="s">
        <v>6774</v>
      </c>
      <c r="G1061" s="729"/>
      <c r="H1061" s="21"/>
      <c r="I1061" s="21"/>
      <c r="J1061" s="21"/>
      <c r="K1061" s="36"/>
      <c r="L1061" s="779"/>
      <c r="M1061" s="779"/>
      <c r="N1061" s="36"/>
      <c r="O1061" s="22">
        <v>0.25</v>
      </c>
      <c r="P1061" s="22">
        <v>0.80952380952381</v>
      </c>
      <c r="Q1061" s="21" t="s">
        <v>1428</v>
      </c>
      <c r="R1061" s="37">
        <v>0.4</v>
      </c>
      <c r="S1061" s="37">
        <v>1.45952380952381</v>
      </c>
      <c r="T1061" s="23"/>
      <c r="U1061" s="39"/>
      <c r="V1061" s="120" t="s">
        <v>1406</v>
      </c>
    </row>
    <row r="1062" s="42" customFormat="1" ht="11" customHeight="1" spans="1:22">
      <c r="A1062" s="1120"/>
      <c r="B1062" s="697" t="s">
        <v>7170</v>
      </c>
      <c r="C1062" s="23">
        <v>20240613</v>
      </c>
      <c r="D1062" s="23">
        <v>7.17</v>
      </c>
      <c r="E1062" s="23" t="s">
        <v>7171</v>
      </c>
      <c r="F1062" s="695" t="s">
        <v>7172</v>
      </c>
      <c r="G1062" s="688" t="s">
        <v>4122</v>
      </c>
      <c r="H1062" s="21" t="s">
        <v>2982</v>
      </c>
      <c r="I1062" s="690" t="s">
        <v>1913</v>
      </c>
      <c r="J1062" s="21" t="s">
        <v>1428</v>
      </c>
      <c r="K1062" s="1071" t="s">
        <v>712</v>
      </c>
      <c r="L1062" s="36" t="s">
        <v>1428</v>
      </c>
      <c r="M1062" s="36" t="s">
        <v>1428</v>
      </c>
      <c r="N1062" s="36" t="s">
        <v>1428</v>
      </c>
      <c r="O1062" s="22">
        <v>3.9669929243068</v>
      </c>
      <c r="P1062" s="22">
        <v>14.9027636646532</v>
      </c>
      <c r="Q1062" s="21" t="s">
        <v>1428</v>
      </c>
      <c r="R1062" s="37">
        <v>0.307368789021227</v>
      </c>
      <c r="S1062" s="37">
        <f t="shared" ref="S1062:S1080" si="26">SUM(K1062:R1062)</f>
        <v>19.1771253779812</v>
      </c>
      <c r="T1062" s="167" t="s">
        <v>1526</v>
      </c>
      <c r="U1062" s="695" t="s">
        <v>7173</v>
      </c>
      <c r="V1062" s="1170"/>
    </row>
    <row r="1063" s="42" customFormat="1" ht="11" customHeight="1" spans="1:22">
      <c r="A1063" s="1120"/>
      <c r="B1063" s="697"/>
      <c r="C1063" s="23"/>
      <c r="D1063" s="23">
        <v>7.17</v>
      </c>
      <c r="E1063" s="23"/>
      <c r="F1063" s="695" t="s">
        <v>7174</v>
      </c>
      <c r="G1063" s="688" t="s">
        <v>1933</v>
      </c>
      <c r="H1063" s="690" t="s">
        <v>2858</v>
      </c>
      <c r="I1063" s="690" t="s">
        <v>1913</v>
      </c>
      <c r="J1063" s="21" t="s">
        <v>1428</v>
      </c>
      <c r="K1063" s="700" t="s">
        <v>1428</v>
      </c>
      <c r="L1063" s="36" t="s">
        <v>1428</v>
      </c>
      <c r="M1063" s="36" t="s">
        <v>1428</v>
      </c>
      <c r="N1063" s="36" t="s">
        <v>1428</v>
      </c>
      <c r="O1063" s="22">
        <v>3.9669929243068</v>
      </c>
      <c r="P1063" s="22">
        <v>16.8126044365975</v>
      </c>
      <c r="Q1063" s="21" t="s">
        <v>1428</v>
      </c>
      <c r="R1063" s="37">
        <v>2.92747559274756</v>
      </c>
      <c r="S1063" s="37">
        <f t="shared" si="26"/>
        <v>23.7070729536519</v>
      </c>
      <c r="T1063" s="167" t="s">
        <v>1526</v>
      </c>
      <c r="U1063" s="1127" t="s">
        <v>7175</v>
      </c>
      <c r="V1063" s="1170" t="s">
        <v>1406</v>
      </c>
    </row>
    <row r="1064" s="42" customFormat="1" ht="11" customHeight="1" spans="1:22">
      <c r="A1064" s="1120"/>
      <c r="B1064" s="697"/>
      <c r="C1064" s="23">
        <v>20240523</v>
      </c>
      <c r="D1064" s="23">
        <v>7.17</v>
      </c>
      <c r="E1064" s="23" t="s">
        <v>7176</v>
      </c>
      <c r="F1064" s="695" t="s">
        <v>7177</v>
      </c>
      <c r="G1064" s="688" t="s">
        <v>1933</v>
      </c>
      <c r="H1064" s="690" t="s">
        <v>2972</v>
      </c>
      <c r="I1064" s="690" t="s">
        <v>1913</v>
      </c>
      <c r="J1064" s="21" t="s">
        <v>1428</v>
      </c>
      <c r="K1064" s="1071" t="s">
        <v>712</v>
      </c>
      <c r="L1064" s="36" t="s">
        <v>1428</v>
      </c>
      <c r="M1064" s="36" t="s">
        <v>1428</v>
      </c>
      <c r="N1064" s="36" t="s">
        <v>1428</v>
      </c>
      <c r="O1064" s="22">
        <v>3.9669929243068</v>
      </c>
      <c r="P1064" s="22">
        <v>14.3823905787904</v>
      </c>
      <c r="Q1064" s="21" t="s">
        <v>1428</v>
      </c>
      <c r="R1064" s="37">
        <v>2.92747559274756</v>
      </c>
      <c r="S1064" s="37">
        <f t="shared" si="26"/>
        <v>21.2768590958448</v>
      </c>
      <c r="T1064" s="167" t="s">
        <v>1526</v>
      </c>
      <c r="U1064" s="1127" t="s">
        <v>7178</v>
      </c>
      <c r="V1064" s="1170"/>
    </row>
    <row r="1065" s="42" customFormat="1" ht="11" customHeight="1" spans="1:22">
      <c r="A1065" s="1120"/>
      <c r="B1065" s="697"/>
      <c r="C1065" s="23">
        <v>20240523</v>
      </c>
      <c r="D1065" s="23">
        <v>7.17</v>
      </c>
      <c r="E1065" s="23" t="s">
        <v>7179</v>
      </c>
      <c r="F1065" s="695" t="s">
        <v>7180</v>
      </c>
      <c r="G1065" s="688" t="s">
        <v>1933</v>
      </c>
      <c r="H1065" s="690" t="s">
        <v>6470</v>
      </c>
      <c r="I1065" s="690" t="s">
        <v>1913</v>
      </c>
      <c r="J1065" s="21" t="s">
        <v>1428</v>
      </c>
      <c r="K1065" s="1071" t="s">
        <v>712</v>
      </c>
      <c r="L1065" s="36" t="s">
        <v>1428</v>
      </c>
      <c r="M1065" s="36" t="s">
        <v>1428</v>
      </c>
      <c r="N1065" s="36" t="s">
        <v>1428</v>
      </c>
      <c r="O1065" s="22">
        <v>3.9669929243068</v>
      </c>
      <c r="P1065" s="22">
        <v>17.0044885803916</v>
      </c>
      <c r="Q1065" s="21" t="s">
        <v>1428</v>
      </c>
      <c r="R1065" s="37">
        <v>2.92747559274756</v>
      </c>
      <c r="S1065" s="37">
        <f t="shared" si="26"/>
        <v>23.898957097446</v>
      </c>
      <c r="T1065" s="167" t="s">
        <v>1526</v>
      </c>
      <c r="U1065" s="1127" t="s">
        <v>7175</v>
      </c>
      <c r="V1065" s="1170"/>
    </row>
    <row r="1066" s="42" customFormat="1" ht="11" customHeight="1" spans="1:22">
      <c r="A1066" s="1120"/>
      <c r="B1066" s="697"/>
      <c r="C1066" s="23">
        <v>20240523</v>
      </c>
      <c r="D1066" s="23">
        <v>7.17</v>
      </c>
      <c r="E1066" s="23" t="s">
        <v>7181</v>
      </c>
      <c r="F1066" s="695" t="s">
        <v>7182</v>
      </c>
      <c r="G1066" s="688" t="s">
        <v>1933</v>
      </c>
      <c r="H1066" s="690" t="s">
        <v>6470</v>
      </c>
      <c r="I1066" s="690" t="s">
        <v>1913</v>
      </c>
      <c r="J1066" s="21" t="s">
        <v>1428</v>
      </c>
      <c r="K1066" s="1071" t="s">
        <v>712</v>
      </c>
      <c r="L1066" s="36" t="s">
        <v>1428</v>
      </c>
      <c r="M1066" s="36" t="s">
        <v>1428</v>
      </c>
      <c r="N1066" s="36" t="s">
        <v>1428</v>
      </c>
      <c r="O1066" s="22">
        <v>3.9669929243068</v>
      </c>
      <c r="P1066" s="22">
        <v>15.9451063833221</v>
      </c>
      <c r="Q1066" s="21" t="s">
        <v>1428</v>
      </c>
      <c r="R1066" s="37">
        <v>2.92747559274756</v>
      </c>
      <c r="S1066" s="37">
        <f t="shared" si="26"/>
        <v>22.8395749003765</v>
      </c>
      <c r="T1066" s="167" t="s">
        <v>1526</v>
      </c>
      <c r="U1066" s="1127" t="s">
        <v>7175</v>
      </c>
      <c r="V1066" s="1170"/>
    </row>
    <row r="1067" s="42" customFormat="1" ht="11" customHeight="1" spans="1:22">
      <c r="A1067" s="1120"/>
      <c r="B1067" s="697"/>
      <c r="C1067" s="23">
        <v>20240523</v>
      </c>
      <c r="D1067" s="23">
        <v>7.17</v>
      </c>
      <c r="E1067" s="23" t="s">
        <v>7183</v>
      </c>
      <c r="F1067" s="695" t="s">
        <v>7184</v>
      </c>
      <c r="G1067" s="688" t="s">
        <v>1933</v>
      </c>
      <c r="H1067" s="690" t="s">
        <v>2407</v>
      </c>
      <c r="I1067" s="690" t="s">
        <v>1913</v>
      </c>
      <c r="J1067" s="21" t="s">
        <v>1428</v>
      </c>
      <c r="K1067" s="1071" t="s">
        <v>712</v>
      </c>
      <c r="L1067" s="36" t="s">
        <v>1428</v>
      </c>
      <c r="M1067" s="36" t="s">
        <v>1428</v>
      </c>
      <c r="N1067" s="36" t="s">
        <v>1428</v>
      </c>
      <c r="O1067" s="22">
        <v>3.9669929243068</v>
      </c>
      <c r="P1067" s="22">
        <v>16.3965660167946</v>
      </c>
      <c r="Q1067" s="21" t="s">
        <v>1428</v>
      </c>
      <c r="R1067" s="37">
        <v>2.92747559274756</v>
      </c>
      <c r="S1067" s="37">
        <f t="shared" si="26"/>
        <v>23.291034533849</v>
      </c>
      <c r="T1067" s="167" t="s">
        <v>1526</v>
      </c>
      <c r="U1067" s="1127" t="s">
        <v>7175</v>
      </c>
      <c r="V1067" s="1170"/>
    </row>
    <row r="1068" s="42" customFormat="1" ht="11" customHeight="1" spans="1:22">
      <c r="A1068" s="1120"/>
      <c r="B1068" s="697"/>
      <c r="C1068" s="23">
        <v>20240628</v>
      </c>
      <c r="D1068" s="23">
        <v>7.17</v>
      </c>
      <c r="E1068" s="23" t="s">
        <v>7185</v>
      </c>
      <c r="F1068" s="695" t="s">
        <v>7186</v>
      </c>
      <c r="G1068" s="688" t="s">
        <v>1933</v>
      </c>
      <c r="H1068" s="690" t="s">
        <v>2982</v>
      </c>
      <c r="I1068" s="690" t="s">
        <v>1913</v>
      </c>
      <c r="J1068" s="21" t="s">
        <v>1428</v>
      </c>
      <c r="K1068" s="1071" t="s">
        <v>712</v>
      </c>
      <c r="L1068" s="36" t="s">
        <v>1428</v>
      </c>
      <c r="M1068" s="36" t="s">
        <v>1428</v>
      </c>
      <c r="N1068" s="36" t="s">
        <v>1428</v>
      </c>
      <c r="O1068" s="22">
        <v>3.9669929243068</v>
      </c>
      <c r="P1068" s="22">
        <v>15.7737485753745</v>
      </c>
      <c r="Q1068" s="21" t="s">
        <v>1428</v>
      </c>
      <c r="R1068" s="37">
        <v>2.92747559274756</v>
      </c>
      <c r="S1068" s="37">
        <f t="shared" si="26"/>
        <v>22.6682170924289</v>
      </c>
      <c r="T1068" s="167" t="s">
        <v>1526</v>
      </c>
      <c r="U1068" s="1127" t="s">
        <v>7175</v>
      </c>
      <c r="V1068" s="1170"/>
    </row>
    <row r="1069" s="42" customFormat="1" ht="11" customHeight="1" spans="1:22">
      <c r="A1069" s="1120"/>
      <c r="B1069" s="697"/>
      <c r="C1069" s="23">
        <v>20240719</v>
      </c>
      <c r="D1069" s="23">
        <v>7.17</v>
      </c>
      <c r="E1069" s="23" t="s">
        <v>7187</v>
      </c>
      <c r="F1069" s="695" t="s">
        <v>7188</v>
      </c>
      <c r="G1069" s="688" t="s">
        <v>1933</v>
      </c>
      <c r="H1069" s="690" t="s">
        <v>7189</v>
      </c>
      <c r="I1069" s="690" t="s">
        <v>1913</v>
      </c>
      <c r="J1069" s="21" t="s">
        <v>1428</v>
      </c>
      <c r="K1069" s="1071" t="s">
        <v>712</v>
      </c>
      <c r="L1069" s="36" t="s">
        <v>1428</v>
      </c>
      <c r="M1069" s="36" t="s">
        <v>1428</v>
      </c>
      <c r="N1069" s="36" t="s">
        <v>1428</v>
      </c>
      <c r="O1069" s="22">
        <v>3.9669929243068</v>
      </c>
      <c r="P1069" s="22">
        <v>16.5269800498472</v>
      </c>
      <c r="Q1069" s="21" t="s">
        <v>1428</v>
      </c>
      <c r="R1069" s="37">
        <v>2.92747559274756</v>
      </c>
      <c r="S1069" s="37">
        <f t="shared" si="26"/>
        <v>23.4214485669016</v>
      </c>
      <c r="T1069" s="167" t="s">
        <v>1526</v>
      </c>
      <c r="U1069" s="1127" t="s">
        <v>7190</v>
      </c>
      <c r="V1069" s="1170"/>
    </row>
    <row r="1070" s="42" customFormat="1" ht="11" customHeight="1" spans="1:22">
      <c r="A1070" s="1120"/>
      <c r="B1070" s="697"/>
      <c r="C1070" s="23">
        <v>20240719</v>
      </c>
      <c r="D1070" s="23">
        <v>7.17</v>
      </c>
      <c r="E1070" s="23" t="s">
        <v>7191</v>
      </c>
      <c r="F1070" s="695" t="s">
        <v>7192</v>
      </c>
      <c r="G1070" s="688" t="s">
        <v>1933</v>
      </c>
      <c r="H1070" s="690" t="s">
        <v>2997</v>
      </c>
      <c r="I1070" s="690" t="s">
        <v>1913</v>
      </c>
      <c r="J1070" s="21" t="s">
        <v>1428</v>
      </c>
      <c r="K1070" s="1071" t="s">
        <v>712</v>
      </c>
      <c r="L1070" s="36" t="s">
        <v>1428</v>
      </c>
      <c r="M1070" s="36" t="s">
        <v>1428</v>
      </c>
      <c r="N1070" s="36" t="s">
        <v>1428</v>
      </c>
      <c r="O1070" s="22">
        <v>3.9669929243068</v>
      </c>
      <c r="P1070" s="22">
        <v>16.5281543091453</v>
      </c>
      <c r="Q1070" s="21" t="s">
        <v>1428</v>
      </c>
      <c r="R1070" s="37">
        <v>2.92747559274756</v>
      </c>
      <c r="S1070" s="37">
        <f t="shared" si="26"/>
        <v>23.4226228261997</v>
      </c>
      <c r="T1070" s="167" t="s">
        <v>1526</v>
      </c>
      <c r="U1070" s="1127" t="s">
        <v>7190</v>
      </c>
      <c r="V1070" s="1170"/>
    </row>
    <row r="1071" s="42" customFormat="1" ht="11" customHeight="1" spans="1:22">
      <c r="A1071" s="1120"/>
      <c r="B1071" s="697"/>
      <c r="C1071" s="23">
        <v>20240813</v>
      </c>
      <c r="D1071" s="23">
        <v>7.17</v>
      </c>
      <c r="E1071" s="23" t="s">
        <v>7193</v>
      </c>
      <c r="F1071" s="695" t="s">
        <v>7194</v>
      </c>
      <c r="G1071" s="688" t="s">
        <v>4122</v>
      </c>
      <c r="H1071" s="690" t="s">
        <v>2993</v>
      </c>
      <c r="I1071" s="690" t="s">
        <v>1913</v>
      </c>
      <c r="J1071" s="21" t="s">
        <v>1428</v>
      </c>
      <c r="K1071" s="1071" t="s">
        <v>712</v>
      </c>
      <c r="L1071" s="36" t="s">
        <v>1428</v>
      </c>
      <c r="M1071" s="36" t="s">
        <v>1428</v>
      </c>
      <c r="N1071" s="36" t="s">
        <v>1428</v>
      </c>
      <c r="O1071" s="22">
        <v>3.9669929243068</v>
      </c>
      <c r="P1071" s="22">
        <v>15.6449421797148</v>
      </c>
      <c r="Q1071" s="21" t="s">
        <v>1428</v>
      </c>
      <c r="R1071" s="37">
        <v>2.92747559274756</v>
      </c>
      <c r="S1071" s="37">
        <f t="shared" si="26"/>
        <v>22.5394106967692</v>
      </c>
      <c r="T1071" s="167" t="s">
        <v>1526</v>
      </c>
      <c r="U1071" s="1127" t="s">
        <v>7195</v>
      </c>
      <c r="V1071" s="1170"/>
    </row>
    <row r="1072" s="42" customFormat="1" ht="11" customHeight="1" spans="1:22">
      <c r="A1072" s="1120"/>
      <c r="B1072" s="697"/>
      <c r="C1072" s="23">
        <v>20240813</v>
      </c>
      <c r="D1072" s="23">
        <v>7.17</v>
      </c>
      <c r="E1072" s="23" t="s">
        <v>7196</v>
      </c>
      <c r="F1072" s="695" t="s">
        <v>7197</v>
      </c>
      <c r="G1072" s="688" t="s">
        <v>4122</v>
      </c>
      <c r="H1072" s="690" t="s">
        <v>2962</v>
      </c>
      <c r="I1072" s="690" t="s">
        <v>1913</v>
      </c>
      <c r="J1072" s="21" t="s">
        <v>1428</v>
      </c>
      <c r="K1072" s="1071" t="s">
        <v>712</v>
      </c>
      <c r="L1072" s="36" t="s">
        <v>1428</v>
      </c>
      <c r="M1072" s="36" t="s">
        <v>1428</v>
      </c>
      <c r="N1072" s="36" t="s">
        <v>1428</v>
      </c>
      <c r="O1072" s="22">
        <v>3.9669929243068</v>
      </c>
      <c r="P1072" s="22">
        <v>15.0394463130193</v>
      </c>
      <c r="Q1072" s="21" t="s">
        <v>1428</v>
      </c>
      <c r="R1072" s="37">
        <v>2.92747559274756</v>
      </c>
      <c r="S1072" s="37">
        <f t="shared" si="26"/>
        <v>21.9339148300737</v>
      </c>
      <c r="T1072" s="167" t="s">
        <v>1526</v>
      </c>
      <c r="U1072" s="1127" t="s">
        <v>7198</v>
      </c>
      <c r="V1072" s="1170"/>
    </row>
    <row r="1073" s="42" customFormat="1" ht="11" customHeight="1" spans="1:22">
      <c r="A1073" s="1120"/>
      <c r="B1073" s="697"/>
      <c r="C1073" s="23">
        <v>20240813</v>
      </c>
      <c r="D1073" s="23">
        <v>7.17</v>
      </c>
      <c r="E1073" s="23" t="s">
        <v>7199</v>
      </c>
      <c r="F1073" s="695" t="s">
        <v>7200</v>
      </c>
      <c r="G1073" s="688" t="s">
        <v>4122</v>
      </c>
      <c r="H1073" s="690" t="s">
        <v>2997</v>
      </c>
      <c r="I1073" s="690" t="s">
        <v>1913</v>
      </c>
      <c r="J1073" s="21" t="s">
        <v>1428</v>
      </c>
      <c r="K1073" s="1071" t="s">
        <v>712</v>
      </c>
      <c r="L1073" s="36" t="s">
        <v>1428</v>
      </c>
      <c r="M1073" s="36" t="s">
        <v>1428</v>
      </c>
      <c r="N1073" s="36" t="s">
        <v>1428</v>
      </c>
      <c r="O1073" s="22">
        <v>3.9669929243068</v>
      </c>
      <c r="P1073" s="22">
        <v>17.2994289402202</v>
      </c>
      <c r="Q1073" s="21" t="s">
        <v>1428</v>
      </c>
      <c r="R1073" s="37">
        <v>2.92747559274756</v>
      </c>
      <c r="S1073" s="37">
        <f t="shared" si="26"/>
        <v>24.1938974572746</v>
      </c>
      <c r="T1073" s="167" t="s">
        <v>1526</v>
      </c>
      <c r="U1073" s="1127" t="s">
        <v>7201</v>
      </c>
      <c r="V1073" s="1170"/>
    </row>
    <row r="1074" s="42" customFormat="1" ht="11" customHeight="1" spans="1:22">
      <c r="A1074" s="1120"/>
      <c r="B1074" s="697"/>
      <c r="C1074" s="23">
        <v>20240813</v>
      </c>
      <c r="D1074" s="23">
        <v>7.17</v>
      </c>
      <c r="E1074" s="23" t="s">
        <v>7202</v>
      </c>
      <c r="F1074" s="695" t="s">
        <v>7203</v>
      </c>
      <c r="G1074" s="688" t="s">
        <v>4122</v>
      </c>
      <c r="H1074" s="690" t="s">
        <v>2358</v>
      </c>
      <c r="I1074" s="690" t="s">
        <v>1913</v>
      </c>
      <c r="J1074" s="21" t="s">
        <v>1428</v>
      </c>
      <c r="K1074" s="1071" t="s">
        <v>712</v>
      </c>
      <c r="L1074" s="36" t="s">
        <v>1428</v>
      </c>
      <c r="M1074" s="36" t="s">
        <v>1428</v>
      </c>
      <c r="N1074" s="36" t="s">
        <v>1428</v>
      </c>
      <c r="O1074" s="22">
        <v>3.9669929243068</v>
      </c>
      <c r="P1074" s="22">
        <v>16.9636482491594</v>
      </c>
      <c r="Q1074" s="21" t="s">
        <v>1428</v>
      </c>
      <c r="R1074" s="37">
        <v>2.92747559274756</v>
      </c>
      <c r="S1074" s="37">
        <f t="shared" si="26"/>
        <v>23.8581167662138</v>
      </c>
      <c r="T1074" s="167" t="s">
        <v>1526</v>
      </c>
      <c r="U1074" s="1127" t="s">
        <v>7204</v>
      </c>
      <c r="V1074" s="1170"/>
    </row>
    <row r="1075" s="42" customFormat="1" ht="11" customHeight="1" spans="1:22">
      <c r="A1075" s="1120"/>
      <c r="B1075" s="697"/>
      <c r="C1075" s="23">
        <v>20240813</v>
      </c>
      <c r="D1075" s="23">
        <v>7.17</v>
      </c>
      <c r="E1075" s="23" t="s">
        <v>7205</v>
      </c>
      <c r="F1075" s="695" t="s">
        <v>7206</v>
      </c>
      <c r="G1075" s="688" t="s">
        <v>4122</v>
      </c>
      <c r="H1075" s="690" t="s">
        <v>2369</v>
      </c>
      <c r="I1075" s="690" t="s">
        <v>1913</v>
      </c>
      <c r="J1075" s="21" t="s">
        <v>1428</v>
      </c>
      <c r="K1075" s="1071" t="s">
        <v>712</v>
      </c>
      <c r="L1075" s="36" t="s">
        <v>1428</v>
      </c>
      <c r="M1075" s="36" t="s">
        <v>1428</v>
      </c>
      <c r="N1075" s="36" t="s">
        <v>1428</v>
      </c>
      <c r="O1075" s="22">
        <v>3.9669929243068</v>
      </c>
      <c r="P1075" s="22">
        <v>15.6571750478843</v>
      </c>
      <c r="Q1075" s="21" t="s">
        <v>1428</v>
      </c>
      <c r="R1075" s="37">
        <v>2.92747559274756</v>
      </c>
      <c r="S1075" s="37">
        <f t="shared" si="26"/>
        <v>22.5516435649387</v>
      </c>
      <c r="T1075" s="167" t="s">
        <v>1526</v>
      </c>
      <c r="U1075" s="1127" t="s">
        <v>7207</v>
      </c>
      <c r="V1075" s="1170"/>
    </row>
    <row r="1076" s="42" customFormat="1" ht="11" customHeight="1" spans="1:22">
      <c r="A1076" s="1120"/>
      <c r="B1076" s="697"/>
      <c r="C1076" s="23">
        <v>20240912</v>
      </c>
      <c r="D1076" s="23">
        <v>7.17</v>
      </c>
      <c r="E1076" s="23" t="s">
        <v>7208</v>
      </c>
      <c r="F1076" s="695" t="s">
        <v>7209</v>
      </c>
      <c r="G1076" s="688" t="s">
        <v>4122</v>
      </c>
      <c r="H1076" s="690" t="s">
        <v>2407</v>
      </c>
      <c r="I1076" s="690" t="s">
        <v>1913</v>
      </c>
      <c r="J1076" s="21" t="s">
        <v>1428</v>
      </c>
      <c r="K1076" s="1071" t="s">
        <v>712</v>
      </c>
      <c r="L1076" s="36" t="s">
        <v>1428</v>
      </c>
      <c r="M1076" s="36" t="s">
        <v>1428</v>
      </c>
      <c r="N1076" s="36" t="s">
        <v>1428</v>
      </c>
      <c r="O1076" s="22">
        <v>3.9669929243068</v>
      </c>
      <c r="P1076" s="22">
        <v>14.0949982611884</v>
      </c>
      <c r="Q1076" s="21" t="s">
        <v>1428</v>
      </c>
      <c r="R1076" s="37">
        <v>2.92747559274756</v>
      </c>
      <c r="S1076" s="37">
        <f t="shared" si="26"/>
        <v>20.9894667782428</v>
      </c>
      <c r="T1076" s="167" t="s">
        <v>1526</v>
      </c>
      <c r="U1076" s="1127" t="s">
        <v>7210</v>
      </c>
      <c r="V1076" s="1170"/>
    </row>
    <row r="1077" s="42" customFormat="1" ht="11" customHeight="1" spans="1:22">
      <c r="A1077" s="1120"/>
      <c r="B1077" s="697"/>
      <c r="C1077" s="23">
        <v>20240912</v>
      </c>
      <c r="D1077" s="23">
        <v>7.17</v>
      </c>
      <c r="E1077" s="23" t="s">
        <v>7211</v>
      </c>
      <c r="F1077" s="695" t="s">
        <v>7212</v>
      </c>
      <c r="G1077" s="688" t="s">
        <v>4122</v>
      </c>
      <c r="H1077" s="690" t="s">
        <v>2982</v>
      </c>
      <c r="I1077" s="690" t="s">
        <v>1913</v>
      </c>
      <c r="J1077" s="21" t="s">
        <v>1428</v>
      </c>
      <c r="K1077" s="1071" t="s">
        <v>712</v>
      </c>
      <c r="L1077" s="36" t="s">
        <v>1428</v>
      </c>
      <c r="M1077" s="36" t="s">
        <v>1428</v>
      </c>
      <c r="N1077" s="36" t="s">
        <v>1428</v>
      </c>
      <c r="O1077" s="22">
        <v>3.9669929243068</v>
      </c>
      <c r="P1077" s="22">
        <v>13.9990445990619</v>
      </c>
      <c r="Q1077" s="21" t="s">
        <v>1428</v>
      </c>
      <c r="R1077" s="37">
        <v>2.92747559274756</v>
      </c>
      <c r="S1077" s="37">
        <f t="shared" si="26"/>
        <v>20.8935131161163</v>
      </c>
      <c r="T1077" s="167" t="s">
        <v>1526</v>
      </c>
      <c r="U1077" s="1127" t="s">
        <v>7210</v>
      </c>
      <c r="V1077" s="1170"/>
    </row>
    <row r="1078" s="42" customFormat="1" ht="11" customHeight="1" spans="1:22">
      <c r="A1078" s="1120"/>
      <c r="B1078" s="697"/>
      <c r="C1078" s="23">
        <v>20240924</v>
      </c>
      <c r="D1078" s="23">
        <v>7.17</v>
      </c>
      <c r="E1078" s="23" t="s">
        <v>7213</v>
      </c>
      <c r="F1078" s="695" t="s">
        <v>7214</v>
      </c>
      <c r="G1078" s="688" t="s">
        <v>4122</v>
      </c>
      <c r="H1078" s="690" t="s">
        <v>4213</v>
      </c>
      <c r="I1078" s="690" t="s">
        <v>1913</v>
      </c>
      <c r="J1078" s="21" t="s">
        <v>1428</v>
      </c>
      <c r="K1078" s="1071" t="s">
        <v>712</v>
      </c>
      <c r="L1078" s="36" t="s">
        <v>1428</v>
      </c>
      <c r="M1078" s="36" t="s">
        <v>1428</v>
      </c>
      <c r="N1078" s="36" t="s">
        <v>1428</v>
      </c>
      <c r="O1078" s="22">
        <v>3.9669929243068</v>
      </c>
      <c r="P1078" s="22">
        <v>13.6072198280197</v>
      </c>
      <c r="Q1078" s="21" t="s">
        <v>1428</v>
      </c>
      <c r="R1078" s="37">
        <v>2.92747559274756</v>
      </c>
      <c r="S1078" s="37">
        <f t="shared" si="26"/>
        <v>20.5016883450741</v>
      </c>
      <c r="T1078" s="167" t="s">
        <v>1526</v>
      </c>
      <c r="U1078" s="1127" t="s">
        <v>7210</v>
      </c>
      <c r="V1078" s="1170"/>
    </row>
    <row r="1079" s="42" customFormat="1" ht="11" customHeight="1" spans="1:22">
      <c r="A1079" s="1120"/>
      <c r="B1079" s="697"/>
      <c r="C1079" s="23">
        <v>20240924</v>
      </c>
      <c r="D1079" s="23">
        <v>7.17</v>
      </c>
      <c r="E1079" s="23" t="s">
        <v>7215</v>
      </c>
      <c r="F1079" s="695" t="s">
        <v>7216</v>
      </c>
      <c r="G1079" s="688" t="s">
        <v>4122</v>
      </c>
      <c r="H1079" s="690" t="s">
        <v>4187</v>
      </c>
      <c r="I1079" s="690" t="s">
        <v>1913</v>
      </c>
      <c r="J1079" s="21" t="s">
        <v>1428</v>
      </c>
      <c r="K1079" s="1071" t="s">
        <v>712</v>
      </c>
      <c r="L1079" s="36" t="s">
        <v>1428</v>
      </c>
      <c r="M1079" s="36" t="s">
        <v>1428</v>
      </c>
      <c r="N1079" s="36" t="s">
        <v>1428</v>
      </c>
      <c r="O1079" s="22">
        <v>3.9669929243068</v>
      </c>
      <c r="P1079" s="22">
        <v>13.6072198280197</v>
      </c>
      <c r="Q1079" s="21" t="s">
        <v>1428</v>
      </c>
      <c r="R1079" s="37">
        <v>2.92747559274756</v>
      </c>
      <c r="S1079" s="37">
        <f t="shared" si="26"/>
        <v>20.5016883450741</v>
      </c>
      <c r="T1079" s="167" t="s">
        <v>1526</v>
      </c>
      <c r="U1079" s="1127" t="s">
        <v>7210</v>
      </c>
      <c r="V1079" s="1170"/>
    </row>
    <row r="1080" s="42" customFormat="1" ht="11" customHeight="1" spans="1:22">
      <c r="A1080" s="1120"/>
      <c r="B1080" s="697"/>
      <c r="C1080" s="23">
        <v>20250507</v>
      </c>
      <c r="D1080" s="23">
        <v>7.17</v>
      </c>
      <c r="E1080" s="23" t="s">
        <v>7217</v>
      </c>
      <c r="F1080" s="695" t="s">
        <v>7218</v>
      </c>
      <c r="G1080" s="688" t="s">
        <v>4122</v>
      </c>
      <c r="H1080" s="690" t="s">
        <v>4190</v>
      </c>
      <c r="I1080" s="690" t="s">
        <v>1913</v>
      </c>
      <c r="J1080" s="21"/>
      <c r="K1080" s="700" t="s">
        <v>1428</v>
      </c>
      <c r="L1080" s="36"/>
      <c r="M1080" s="36"/>
      <c r="N1080" s="36"/>
      <c r="O1080" s="22">
        <v>3.78917518212487</v>
      </c>
      <c r="P1080" s="22">
        <v>14.8423191218183</v>
      </c>
      <c r="Q1080" s="21"/>
      <c r="R1080" s="37">
        <v>2.92747559274756</v>
      </c>
      <c r="S1080" s="37">
        <f t="shared" si="26"/>
        <v>21.5589698966907</v>
      </c>
      <c r="T1080" s="167" t="s">
        <v>1526</v>
      </c>
      <c r="U1080" s="1127" t="s">
        <v>7219</v>
      </c>
      <c r="V1080" s="1170"/>
    </row>
    <row r="1081" s="42" customFormat="1" ht="11" customHeight="1" spans="1:22">
      <c r="A1081" s="1120"/>
      <c r="B1081" s="697"/>
      <c r="C1081" s="23"/>
      <c r="D1081" s="23"/>
      <c r="E1081" s="23"/>
      <c r="F1081" s="695"/>
      <c r="G1081" s="688"/>
      <c r="H1081" s="690"/>
      <c r="I1081" s="690"/>
      <c r="J1081" s="21"/>
      <c r="K1081" s="700"/>
      <c r="L1081" s="36"/>
      <c r="M1081" s="36"/>
      <c r="N1081" s="36"/>
      <c r="O1081" s="22"/>
      <c r="P1081" s="22"/>
      <c r="Q1081" s="21"/>
      <c r="R1081" s="770"/>
      <c r="S1081" s="37"/>
      <c r="T1081" s="167"/>
      <c r="U1081" s="1127"/>
      <c r="V1081" s="1170"/>
    </row>
    <row r="1082" s="42" customFormat="1" ht="11" customHeight="1" spans="1:22">
      <c r="A1082" s="1120"/>
      <c r="B1082" s="697"/>
      <c r="C1082" s="23"/>
      <c r="D1082" s="23"/>
      <c r="E1082" s="23"/>
      <c r="F1082" s="695"/>
      <c r="G1082" s="688"/>
      <c r="H1082" s="690"/>
      <c r="I1082" s="690"/>
      <c r="J1082" s="21"/>
      <c r="K1082" s="700"/>
      <c r="L1082" s="36"/>
      <c r="M1082" s="36"/>
      <c r="N1082" s="36"/>
      <c r="O1082" s="22"/>
      <c r="P1082" s="22"/>
      <c r="Q1082" s="21"/>
      <c r="R1082" s="770"/>
      <c r="S1082" s="37"/>
      <c r="T1082" s="167"/>
      <c r="U1082" s="1127"/>
      <c r="V1082" s="1170"/>
    </row>
    <row r="1083" s="42" customFormat="1" ht="11" customHeight="1" spans="1:22">
      <c r="A1083" s="1120"/>
      <c r="B1083" s="697"/>
      <c r="C1083" s="23">
        <v>20240930</v>
      </c>
      <c r="D1083" s="23">
        <v>7.17</v>
      </c>
      <c r="E1083" s="23" t="s">
        <v>7220</v>
      </c>
      <c r="F1083" s="695" t="s">
        <v>7221</v>
      </c>
      <c r="G1083" s="688"/>
      <c r="H1083" s="690"/>
      <c r="I1083" s="690"/>
      <c r="J1083" s="21"/>
      <c r="K1083" s="833"/>
      <c r="L1083" s="36"/>
      <c r="M1083" s="36"/>
      <c r="N1083" s="36"/>
      <c r="O1083" s="22">
        <v>0.668284106891701</v>
      </c>
      <c r="P1083" s="22">
        <v>4.87758087201125</v>
      </c>
      <c r="Q1083" s="21" t="s">
        <v>1428</v>
      </c>
      <c r="R1083" s="770">
        <v>0.4</v>
      </c>
      <c r="S1083" s="37">
        <f t="shared" ref="S1083:S1104" si="27">SUM(K1083:R1083)</f>
        <v>5.94586497890295</v>
      </c>
      <c r="T1083" s="167"/>
      <c r="U1083" s="1127" t="s">
        <v>7222</v>
      </c>
      <c r="V1083" s="1170"/>
    </row>
    <row r="1084" s="42" customFormat="1" ht="11" customHeight="1" spans="1:22">
      <c r="A1084" s="1120"/>
      <c r="B1084" s="697"/>
      <c r="C1084" s="23">
        <v>20240719</v>
      </c>
      <c r="D1084" s="23">
        <v>7.17</v>
      </c>
      <c r="E1084" s="23" t="s">
        <v>7223</v>
      </c>
      <c r="F1084" s="695" t="s">
        <v>7224</v>
      </c>
      <c r="G1084" s="688"/>
      <c r="H1084" s="690"/>
      <c r="I1084" s="690"/>
      <c r="J1084" s="21"/>
      <c r="K1084" s="833"/>
      <c r="L1084" s="36"/>
      <c r="M1084" s="36"/>
      <c r="N1084" s="36"/>
      <c r="O1084" s="22">
        <v>0.520901979716104</v>
      </c>
      <c r="P1084" s="22">
        <v>4.87375966409007</v>
      </c>
      <c r="Q1084" s="21" t="s">
        <v>1428</v>
      </c>
      <c r="R1084" s="770">
        <v>0.4</v>
      </c>
      <c r="S1084" s="37">
        <f t="shared" si="27"/>
        <v>5.79466164380617</v>
      </c>
      <c r="T1084" s="23"/>
      <c r="U1084" s="1127" t="s">
        <v>7222</v>
      </c>
      <c r="V1084" s="1170"/>
    </row>
    <row r="1085" s="42" customFormat="1" ht="11" customHeight="1" spans="1:22">
      <c r="A1085" s="1120"/>
      <c r="B1085" s="697"/>
      <c r="C1085" s="23"/>
      <c r="D1085" s="23"/>
      <c r="E1085" s="23"/>
      <c r="F1085" s="695" t="s">
        <v>7225</v>
      </c>
      <c r="G1085" s="688"/>
      <c r="H1085" s="21"/>
      <c r="I1085" s="690"/>
      <c r="J1085" s="21"/>
      <c r="K1085" s="833"/>
      <c r="L1085" s="36"/>
      <c r="M1085" s="36"/>
      <c r="N1085" s="36"/>
      <c r="O1085" s="22">
        <v>0.523824783691178</v>
      </c>
      <c r="P1085" s="22">
        <v>5.25540685874603</v>
      </c>
      <c r="Q1085" s="21" t="s">
        <v>1428</v>
      </c>
      <c r="R1085" s="770">
        <v>0.4</v>
      </c>
      <c r="S1085" s="37">
        <f t="shared" si="27"/>
        <v>6.17923164243721</v>
      </c>
      <c r="T1085" s="23"/>
      <c r="U1085" s="1127" t="s">
        <v>7226</v>
      </c>
      <c r="V1085" s="1170" t="s">
        <v>1406</v>
      </c>
    </row>
    <row r="1086" s="42" customFormat="1" ht="11" customHeight="1" spans="1:22">
      <c r="A1086" s="1120"/>
      <c r="B1086" s="697"/>
      <c r="C1086" s="23"/>
      <c r="D1086" s="23"/>
      <c r="E1086" s="23"/>
      <c r="F1086" s="695" t="s">
        <v>7227</v>
      </c>
      <c r="G1086" s="688"/>
      <c r="H1086" s="21"/>
      <c r="I1086" s="690"/>
      <c r="J1086" s="21"/>
      <c r="K1086" s="36"/>
      <c r="L1086" s="36"/>
      <c r="M1086" s="36"/>
      <c r="N1086" s="36"/>
      <c r="O1086" s="22">
        <v>0.514509158263017</v>
      </c>
      <c r="P1086" s="22">
        <v>4.64910525199751</v>
      </c>
      <c r="Q1086" s="701" t="s">
        <v>1428</v>
      </c>
      <c r="R1086" s="770">
        <v>0.4</v>
      </c>
      <c r="S1086" s="1171">
        <f t="shared" si="27"/>
        <v>5.56361441026053</v>
      </c>
      <c r="T1086" s="23"/>
      <c r="U1086" s="695"/>
      <c r="V1086" s="1170" t="s">
        <v>1406</v>
      </c>
    </row>
    <row r="1087" s="42" customFormat="1" ht="11" customHeight="1" spans="1:22">
      <c r="A1087" s="1120"/>
      <c r="B1087" s="697"/>
      <c r="C1087" s="23"/>
      <c r="D1087" s="23"/>
      <c r="E1087" s="23"/>
      <c r="F1087" s="695" t="s">
        <v>676</v>
      </c>
      <c r="G1087" s="688"/>
      <c r="H1087" s="21"/>
      <c r="I1087" s="21"/>
      <c r="J1087" s="21"/>
      <c r="K1087" s="36"/>
      <c r="L1087" s="36"/>
      <c r="M1087" s="36"/>
      <c r="N1087" s="36"/>
      <c r="O1087" s="22">
        <v>0.502463054187192</v>
      </c>
      <c r="P1087" s="22">
        <v>2.22660098522167</v>
      </c>
      <c r="Q1087" s="21" t="s">
        <v>1428</v>
      </c>
      <c r="R1087" s="37">
        <v>0.2</v>
      </c>
      <c r="S1087" s="1171">
        <f t="shared" si="27"/>
        <v>2.92906403940886</v>
      </c>
      <c r="T1087" s="23"/>
      <c r="U1087" s="35"/>
      <c r="V1087" s="1170" t="s">
        <v>1406</v>
      </c>
    </row>
    <row r="1088" s="42" customFormat="1" ht="15" spans="1:22">
      <c r="A1088" s="1120"/>
      <c r="B1088" s="697" t="s">
        <v>4525</v>
      </c>
      <c r="C1088" s="35">
        <v>20240726</v>
      </c>
      <c r="D1088" s="23">
        <v>7.17</v>
      </c>
      <c r="E1088" s="23" t="s">
        <v>4526</v>
      </c>
      <c r="F1088" s="695" t="s">
        <v>4527</v>
      </c>
      <c r="G1088" s="688" t="s">
        <v>1933</v>
      </c>
      <c r="H1088" s="690" t="s">
        <v>2962</v>
      </c>
      <c r="I1088" s="690" t="s">
        <v>1913</v>
      </c>
      <c r="J1088" s="21" t="s">
        <v>1635</v>
      </c>
      <c r="K1088" s="1071" t="s">
        <v>712</v>
      </c>
      <c r="L1088" s="36" t="s">
        <v>1428</v>
      </c>
      <c r="M1088" s="36" t="s">
        <v>1428</v>
      </c>
      <c r="N1088" s="21">
        <v>3.1</v>
      </c>
      <c r="O1088" s="22">
        <v>4.86170252156848</v>
      </c>
      <c r="P1088" s="22">
        <v>23.5322515922249</v>
      </c>
      <c r="Q1088" s="21" t="s">
        <v>1428</v>
      </c>
      <c r="R1088" s="37">
        <v>3.77</v>
      </c>
      <c r="S1088" s="1171">
        <f t="shared" si="27"/>
        <v>35.2639541137934</v>
      </c>
      <c r="T1088" s="167" t="s">
        <v>1526</v>
      </c>
      <c r="U1088" s="751" t="s">
        <v>4528</v>
      </c>
      <c r="V1088" s="1170"/>
    </row>
    <row r="1089" s="193" customFormat="1" ht="15" spans="1:22">
      <c r="A1089" s="1108"/>
      <c r="B1089" s="1172"/>
      <c r="C1089" s="721">
        <v>20250730</v>
      </c>
      <c r="D1089" s="687">
        <v>7.17</v>
      </c>
      <c r="E1089" s="687" t="s">
        <v>4529</v>
      </c>
      <c r="F1089" s="687" t="s">
        <v>4530</v>
      </c>
      <c r="G1089" s="150"/>
      <c r="H1089" s="152"/>
      <c r="I1089" s="152"/>
      <c r="J1089" s="153"/>
      <c r="K1089" s="726"/>
      <c r="L1089" s="907"/>
      <c r="M1089" s="907"/>
      <c r="N1089" s="153"/>
      <c r="O1089" s="727">
        <v>0.493699164414164</v>
      </c>
      <c r="P1089" s="727">
        <v>2.26612106005998</v>
      </c>
      <c r="Q1089" s="153"/>
      <c r="R1089" s="154">
        <v>0.4</v>
      </c>
      <c r="S1089" s="1173">
        <f t="shared" si="27"/>
        <v>3.15982022447414</v>
      </c>
      <c r="T1089" s="156"/>
      <c r="U1089" s="908" t="s">
        <v>609</v>
      </c>
      <c r="V1089" s="1174"/>
    </row>
    <row r="1090" s="193" customFormat="1" ht="15" spans="1:22">
      <c r="A1090" s="1108"/>
      <c r="B1090" s="1172"/>
      <c r="C1090" s="721">
        <v>20250730</v>
      </c>
      <c r="D1090" s="687">
        <v>7.17</v>
      </c>
      <c r="E1090" s="687" t="s">
        <v>4531</v>
      </c>
      <c r="F1090" s="687" t="s">
        <v>4532</v>
      </c>
      <c r="G1090" s="150"/>
      <c r="H1090" s="152"/>
      <c r="I1090" s="152"/>
      <c r="J1090" s="153"/>
      <c r="K1090" s="726"/>
      <c r="L1090" s="907"/>
      <c r="M1090" s="907"/>
      <c r="N1090" s="153"/>
      <c r="O1090" s="727">
        <v>0.217227632342232</v>
      </c>
      <c r="P1090" s="727">
        <v>0.667061907406722</v>
      </c>
      <c r="Q1090" s="153"/>
      <c r="R1090" s="154">
        <v>0.2</v>
      </c>
      <c r="S1090" s="1173">
        <f t="shared" si="27"/>
        <v>1.08428953974895</v>
      </c>
      <c r="T1090" s="156"/>
      <c r="U1090" s="908"/>
      <c r="V1090" s="1174"/>
    </row>
    <row r="1091" s="193" customFormat="1" ht="15" spans="1:22">
      <c r="A1091" s="1108"/>
      <c r="B1091" s="1172"/>
      <c r="C1091" s="721">
        <v>20250730</v>
      </c>
      <c r="D1091" s="687">
        <v>7.17</v>
      </c>
      <c r="E1091" s="687" t="s">
        <v>4533</v>
      </c>
      <c r="F1091" s="687" t="s">
        <v>4534</v>
      </c>
      <c r="G1091" s="150"/>
      <c r="H1091" s="152"/>
      <c r="I1091" s="152"/>
      <c r="J1091" s="153"/>
      <c r="K1091" s="726"/>
      <c r="L1091" s="907"/>
      <c r="M1091" s="907"/>
      <c r="N1091" s="153"/>
      <c r="O1091" s="727">
        <v>0.0518384122634872</v>
      </c>
      <c r="P1091" s="727">
        <v>0.258246133718419</v>
      </c>
      <c r="Q1091" s="153"/>
      <c r="R1091" s="154">
        <v>0.2</v>
      </c>
      <c r="S1091" s="1173">
        <f t="shared" si="27"/>
        <v>0.510084545981906</v>
      </c>
      <c r="T1091" s="156"/>
      <c r="U1091" s="908"/>
      <c r="V1091" s="1174"/>
    </row>
    <row r="1092" s="42" customFormat="1" ht="15" spans="1:22">
      <c r="A1092" s="1120"/>
      <c r="B1092" s="697"/>
      <c r="C1092" s="35">
        <v>20250730</v>
      </c>
      <c r="D1092" s="23">
        <v>7.17</v>
      </c>
      <c r="E1092" s="23" t="s">
        <v>4535</v>
      </c>
      <c r="F1092" s="23" t="s">
        <v>4536</v>
      </c>
      <c r="G1092" s="688" t="s">
        <v>2801</v>
      </c>
      <c r="H1092" s="690" t="s">
        <v>2982</v>
      </c>
      <c r="I1092" s="21" t="s">
        <v>1913</v>
      </c>
      <c r="J1092" s="21" t="s">
        <v>1742</v>
      </c>
      <c r="K1092" s="1071" t="s">
        <v>712</v>
      </c>
      <c r="L1092" s="21" t="s">
        <v>1428</v>
      </c>
      <c r="M1092" s="21" t="s">
        <v>1428</v>
      </c>
      <c r="N1092" s="21">
        <v>6</v>
      </c>
      <c r="O1092" s="37">
        <v>4.86170252156848</v>
      </c>
      <c r="P1092" s="22">
        <v>21.7204069866683</v>
      </c>
      <c r="Q1092" s="37" t="s">
        <v>1428</v>
      </c>
      <c r="R1092" s="37">
        <v>3.77</v>
      </c>
      <c r="S1092" s="37">
        <f t="shared" si="27"/>
        <v>36.3521095082368</v>
      </c>
      <c r="T1092" s="167" t="s">
        <v>1526</v>
      </c>
      <c r="U1092" s="898" t="s">
        <v>4528</v>
      </c>
      <c r="V1092" s="1170"/>
    </row>
    <row r="1093" s="42" customFormat="1" ht="15" spans="1:22">
      <c r="A1093" s="1120"/>
      <c r="B1093" s="697"/>
      <c r="C1093" s="35">
        <v>20250730</v>
      </c>
      <c r="D1093" s="23">
        <v>7.17</v>
      </c>
      <c r="E1093" s="23" t="s">
        <v>4537</v>
      </c>
      <c r="F1093" s="23" t="s">
        <v>4538</v>
      </c>
      <c r="G1093" s="688" t="s">
        <v>2801</v>
      </c>
      <c r="H1093" s="690" t="s">
        <v>3010</v>
      </c>
      <c r="I1093" s="21" t="s">
        <v>1913</v>
      </c>
      <c r="J1093" s="21" t="s">
        <v>1742</v>
      </c>
      <c r="K1093" s="698" t="s">
        <v>4539</v>
      </c>
      <c r="L1093" s="21" t="s">
        <v>1428</v>
      </c>
      <c r="M1093" s="21" t="s">
        <v>1428</v>
      </c>
      <c r="N1093" s="21">
        <v>6</v>
      </c>
      <c r="O1093" s="37">
        <v>4.86170252156848</v>
      </c>
      <c r="P1093" s="22">
        <v>22.8142339397545</v>
      </c>
      <c r="Q1093" s="37" t="s">
        <v>1428</v>
      </c>
      <c r="R1093" s="37">
        <v>3.77</v>
      </c>
      <c r="S1093" s="37">
        <f t="shared" si="27"/>
        <v>37.445936461323</v>
      </c>
      <c r="T1093" s="167" t="s">
        <v>1526</v>
      </c>
      <c r="U1093" s="898" t="s">
        <v>4528</v>
      </c>
      <c r="V1093" s="1170"/>
    </row>
    <row r="1094" s="42" customFormat="1" ht="13" customHeight="1" spans="1:22">
      <c r="A1094" s="1120"/>
      <c r="B1094" s="858" t="s">
        <v>7228</v>
      </c>
      <c r="C1094" s="23"/>
      <c r="D1094" s="23">
        <v>7.17</v>
      </c>
      <c r="E1094" s="23"/>
      <c r="F1094" s="695" t="s">
        <v>1617</v>
      </c>
      <c r="G1094" s="20" t="s">
        <v>1933</v>
      </c>
      <c r="H1094" s="21" t="s">
        <v>2358</v>
      </c>
      <c r="I1094" s="21" t="s">
        <v>1913</v>
      </c>
      <c r="J1094" s="21" t="s">
        <v>6490</v>
      </c>
      <c r="K1094" s="1071" t="s">
        <v>712</v>
      </c>
      <c r="L1094" s="21" t="s">
        <v>1428</v>
      </c>
      <c r="M1094" s="21" t="s">
        <v>1428</v>
      </c>
      <c r="N1094" s="21">
        <v>3.5</v>
      </c>
      <c r="O1094" s="37">
        <v>5.33624532076108</v>
      </c>
      <c r="P1094" s="22">
        <v>24.8061386328909</v>
      </c>
      <c r="Q1094" s="37" t="s">
        <v>1428</v>
      </c>
      <c r="R1094" s="37">
        <v>3.32635983263598</v>
      </c>
      <c r="S1094" s="37">
        <f t="shared" si="27"/>
        <v>36.968743786288</v>
      </c>
      <c r="T1094" s="793" t="s">
        <v>1526</v>
      </c>
      <c r="U1094" s="751" t="s">
        <v>7229</v>
      </c>
      <c r="V1094" s="1170"/>
    </row>
    <row r="1095" s="42" customFormat="1" ht="15" spans="1:22">
      <c r="A1095" s="1120"/>
      <c r="B1095" s="1175"/>
      <c r="C1095" s="23">
        <v>20240530</v>
      </c>
      <c r="D1095" s="23">
        <v>7.17</v>
      </c>
      <c r="E1095" s="23" t="s">
        <v>7230</v>
      </c>
      <c r="F1095" s="695" t="s">
        <v>1671</v>
      </c>
      <c r="G1095" s="20" t="s">
        <v>1933</v>
      </c>
      <c r="H1095" s="21" t="s">
        <v>2982</v>
      </c>
      <c r="I1095" s="21" t="s">
        <v>1913</v>
      </c>
      <c r="J1095" s="21" t="s">
        <v>1635</v>
      </c>
      <c r="K1095" s="1071" t="s">
        <v>712</v>
      </c>
      <c r="L1095" s="21" t="s">
        <v>1428</v>
      </c>
      <c r="M1095" s="21" t="s">
        <v>1428</v>
      </c>
      <c r="N1095" s="21">
        <v>3.3</v>
      </c>
      <c r="O1095" s="37">
        <v>5.33624532076108</v>
      </c>
      <c r="P1095" s="22">
        <v>17.7375161624402</v>
      </c>
      <c r="Q1095" s="37" t="s">
        <v>1428</v>
      </c>
      <c r="R1095" s="37">
        <v>3.32635983263598</v>
      </c>
      <c r="S1095" s="37">
        <f t="shared" si="27"/>
        <v>29.7001213158373</v>
      </c>
      <c r="T1095" s="793" t="s">
        <v>1526</v>
      </c>
      <c r="U1095" s="751" t="s">
        <v>7231</v>
      </c>
      <c r="V1095" s="1170"/>
    </row>
    <row r="1096" s="42" customFormat="1" ht="15" spans="1:22">
      <c r="A1096" s="1120"/>
      <c r="B1096" s="1175"/>
      <c r="C1096" s="23">
        <v>20240528</v>
      </c>
      <c r="D1096" s="23">
        <v>7.17</v>
      </c>
      <c r="E1096" s="23" t="s">
        <v>7232</v>
      </c>
      <c r="F1096" s="695" t="s">
        <v>1581</v>
      </c>
      <c r="G1096" s="20" t="s">
        <v>1933</v>
      </c>
      <c r="H1096" s="21" t="s">
        <v>6470</v>
      </c>
      <c r="I1096" s="21" t="s">
        <v>1913</v>
      </c>
      <c r="J1096" s="21" t="s">
        <v>1742</v>
      </c>
      <c r="K1096" s="1071" t="s">
        <v>712</v>
      </c>
      <c r="L1096" s="21" t="s">
        <v>1428</v>
      </c>
      <c r="M1096" s="21" t="s">
        <v>1428</v>
      </c>
      <c r="N1096" s="21">
        <v>6</v>
      </c>
      <c r="O1096" s="37">
        <v>5.33624532076108</v>
      </c>
      <c r="P1096" s="22">
        <v>18.9063758252486</v>
      </c>
      <c r="Q1096" s="37" t="s">
        <v>1428</v>
      </c>
      <c r="R1096" s="37">
        <v>3.32635983263598</v>
      </c>
      <c r="S1096" s="37">
        <f t="shared" si="27"/>
        <v>33.5689809786457</v>
      </c>
      <c r="T1096" s="793" t="s">
        <v>1526</v>
      </c>
      <c r="U1096" s="751" t="s">
        <v>7231</v>
      </c>
      <c r="V1096" s="1170"/>
    </row>
    <row r="1097" s="42" customFormat="1" ht="15" spans="1:22">
      <c r="A1097" s="1120"/>
      <c r="B1097" s="1175"/>
      <c r="C1097" s="23">
        <v>20240702</v>
      </c>
      <c r="D1097" s="23">
        <v>7.17</v>
      </c>
      <c r="E1097" s="23" t="s">
        <v>7233</v>
      </c>
      <c r="F1097" s="695" t="s">
        <v>2546</v>
      </c>
      <c r="G1097" s="20" t="s">
        <v>1933</v>
      </c>
      <c r="H1097" s="21" t="s">
        <v>2972</v>
      </c>
      <c r="I1097" s="21" t="s">
        <v>1913</v>
      </c>
      <c r="J1097" s="21" t="s">
        <v>1635</v>
      </c>
      <c r="K1097" s="1071" t="s">
        <v>712</v>
      </c>
      <c r="L1097" s="21" t="s">
        <v>1428</v>
      </c>
      <c r="M1097" s="21" t="s">
        <v>1428</v>
      </c>
      <c r="N1097" s="21">
        <v>3.3</v>
      </c>
      <c r="O1097" s="22">
        <v>5.33624532076108</v>
      </c>
      <c r="P1097" s="22">
        <v>15.7024672112054</v>
      </c>
      <c r="Q1097" s="37" t="s">
        <v>1428</v>
      </c>
      <c r="R1097" s="37">
        <v>3.32635983263598</v>
      </c>
      <c r="S1097" s="37">
        <f t="shared" si="27"/>
        <v>27.6650723646025</v>
      </c>
      <c r="T1097" s="793" t="s">
        <v>1526</v>
      </c>
      <c r="U1097" s="751" t="s">
        <v>7234</v>
      </c>
      <c r="V1097" s="1170"/>
    </row>
    <row r="1098" s="994" customFormat="1" ht="15" spans="1:22">
      <c r="A1098" s="1176"/>
      <c r="B1098" s="1177"/>
      <c r="C1098" s="782">
        <v>20251014</v>
      </c>
      <c r="D1098" s="782">
        <v>7.13</v>
      </c>
      <c r="E1098" s="782" t="s">
        <v>7235</v>
      </c>
      <c r="F1098" s="1178" t="s">
        <v>2306</v>
      </c>
      <c r="G1098" s="1177" t="s">
        <v>1933</v>
      </c>
      <c r="H1098" s="783" t="s">
        <v>2982</v>
      </c>
      <c r="I1098" s="783" t="s">
        <v>1913</v>
      </c>
      <c r="J1098" s="783" t="s">
        <v>1720</v>
      </c>
      <c r="K1098" s="1071" t="s">
        <v>712</v>
      </c>
      <c r="L1098" s="783" t="s">
        <v>1428</v>
      </c>
      <c r="M1098" s="783" t="s">
        <v>1428</v>
      </c>
      <c r="N1098" s="1179">
        <v>2.3</v>
      </c>
      <c r="O1098" s="1180">
        <v>5.17568791967134</v>
      </c>
      <c r="P1098" s="1180">
        <v>15.2222586590056</v>
      </c>
      <c r="Q1098" s="1181" t="s">
        <v>1428</v>
      </c>
      <c r="R1098" s="1181">
        <v>3.32635983263598</v>
      </c>
      <c r="S1098" s="1182">
        <f t="shared" si="27"/>
        <v>26.0243064113129</v>
      </c>
      <c r="T1098" s="1183" t="s">
        <v>1526</v>
      </c>
      <c r="U1098" s="1184" t="s">
        <v>7234</v>
      </c>
      <c r="V1098" s="1185"/>
    </row>
    <row r="1099" s="42" customFormat="1" ht="15" spans="1:22">
      <c r="A1099" s="1120"/>
      <c r="B1099" s="1175"/>
      <c r="C1099" s="23">
        <v>20240904</v>
      </c>
      <c r="D1099" s="23">
        <v>7.17</v>
      </c>
      <c r="E1099" s="23" t="s">
        <v>7236</v>
      </c>
      <c r="F1099" s="695" t="s">
        <v>2431</v>
      </c>
      <c r="G1099" s="688" t="s">
        <v>4122</v>
      </c>
      <c r="H1099" s="21" t="s">
        <v>4222</v>
      </c>
      <c r="I1099" s="21" t="s">
        <v>1913</v>
      </c>
      <c r="J1099" s="21" t="s">
        <v>1567</v>
      </c>
      <c r="K1099" s="1071" t="s">
        <v>712</v>
      </c>
      <c r="L1099" s="21" t="s">
        <v>1428</v>
      </c>
      <c r="M1099" s="21" t="s">
        <v>1428</v>
      </c>
      <c r="N1099" s="21">
        <v>8</v>
      </c>
      <c r="O1099" s="22">
        <v>5.33624532076108</v>
      </c>
      <c r="P1099" s="22">
        <v>16.3782525765734</v>
      </c>
      <c r="Q1099" s="37" t="s">
        <v>1428</v>
      </c>
      <c r="R1099" s="37">
        <v>3.32635983263598</v>
      </c>
      <c r="S1099" s="37">
        <f t="shared" si="27"/>
        <v>33.0408577299705</v>
      </c>
      <c r="T1099" s="793" t="s">
        <v>1526</v>
      </c>
      <c r="U1099" s="751" t="s">
        <v>7237</v>
      </c>
      <c r="V1099" s="1170"/>
    </row>
    <row r="1100" s="42" customFormat="1" ht="15" spans="1:22">
      <c r="A1100" s="1120"/>
      <c r="B1100" s="1175"/>
      <c r="C1100" s="23">
        <v>20240904</v>
      </c>
      <c r="D1100" s="23">
        <v>7.17</v>
      </c>
      <c r="E1100" s="23" t="s">
        <v>7238</v>
      </c>
      <c r="F1100" s="695" t="s">
        <v>1667</v>
      </c>
      <c r="G1100" s="688" t="s">
        <v>4122</v>
      </c>
      <c r="H1100" s="21" t="s">
        <v>4225</v>
      </c>
      <c r="I1100" s="21" t="s">
        <v>1913</v>
      </c>
      <c r="J1100" s="21" t="s">
        <v>1567</v>
      </c>
      <c r="K1100" s="1071" t="s">
        <v>712</v>
      </c>
      <c r="L1100" s="21" t="s">
        <v>1428</v>
      </c>
      <c r="M1100" s="21" t="s">
        <v>1428</v>
      </c>
      <c r="N1100" s="21">
        <v>8</v>
      </c>
      <c r="O1100" s="22">
        <v>5.33624532076108</v>
      </c>
      <c r="P1100" s="22">
        <v>16.3578116096243</v>
      </c>
      <c r="Q1100" s="37" t="s">
        <v>1428</v>
      </c>
      <c r="R1100" s="37">
        <v>3.32635983263598</v>
      </c>
      <c r="S1100" s="37">
        <f t="shared" si="27"/>
        <v>33.0204167630214</v>
      </c>
      <c r="T1100" s="793" t="s">
        <v>1526</v>
      </c>
      <c r="U1100" s="751" t="s">
        <v>7237</v>
      </c>
      <c r="V1100" s="1170"/>
    </row>
    <row r="1101" s="42" customFormat="1" ht="15" spans="1:22">
      <c r="A1101" s="1120"/>
      <c r="B1101" s="1175"/>
      <c r="C1101" s="23">
        <v>20240904</v>
      </c>
      <c r="D1101" s="23">
        <v>7.17</v>
      </c>
      <c r="E1101" s="23" t="s">
        <v>7239</v>
      </c>
      <c r="F1101" s="695" t="s">
        <v>1558</v>
      </c>
      <c r="G1101" s="688" t="s">
        <v>4122</v>
      </c>
      <c r="H1101" s="21" t="s">
        <v>2369</v>
      </c>
      <c r="I1101" s="21" t="s">
        <v>1913</v>
      </c>
      <c r="J1101" s="21" t="s">
        <v>1567</v>
      </c>
      <c r="K1101" s="1071" t="s">
        <v>712</v>
      </c>
      <c r="L1101" s="21" t="s">
        <v>1428</v>
      </c>
      <c r="M1101" s="21" t="s">
        <v>1428</v>
      </c>
      <c r="N1101" s="21">
        <v>8</v>
      </c>
      <c r="O1101" s="22">
        <v>5.33624532076108</v>
      </c>
      <c r="P1101" s="22">
        <v>16.3785453508395</v>
      </c>
      <c r="Q1101" s="37" t="s">
        <v>1428</v>
      </c>
      <c r="R1101" s="37">
        <v>3.32635983263598</v>
      </c>
      <c r="S1101" s="37">
        <f t="shared" si="27"/>
        <v>33.0411505042366</v>
      </c>
      <c r="T1101" s="793" t="s">
        <v>1526</v>
      </c>
      <c r="U1101" s="751" t="s">
        <v>7237</v>
      </c>
      <c r="V1101" s="1170"/>
    </row>
    <row r="1102" s="42" customFormat="1" spans="1:22">
      <c r="A1102" s="1120"/>
      <c r="B1102" s="1175"/>
      <c r="C1102" s="23">
        <v>20240402</v>
      </c>
      <c r="D1102" s="23">
        <v>7.17</v>
      </c>
      <c r="E1102" s="23" t="s">
        <v>7240</v>
      </c>
      <c r="F1102" s="695" t="s">
        <v>7241</v>
      </c>
      <c r="G1102" s="20"/>
      <c r="H1102" s="21"/>
      <c r="I1102" s="21"/>
      <c r="J1102" s="21"/>
      <c r="K1102" s="21"/>
      <c r="L1102" s="21"/>
      <c r="M1102" s="21"/>
      <c r="N1102" s="21"/>
      <c r="O1102" s="22">
        <v>0.569272455208986</v>
      </c>
      <c r="P1102" s="22">
        <v>3.55213828616278</v>
      </c>
      <c r="Q1102" s="37" t="s">
        <v>1428</v>
      </c>
      <c r="R1102" s="37">
        <v>0.4</v>
      </c>
      <c r="S1102" s="37">
        <f t="shared" si="27"/>
        <v>4.52141074137177</v>
      </c>
      <c r="T1102" s="813"/>
      <c r="U1102" s="35"/>
      <c r="V1102" s="1170"/>
    </row>
    <row r="1103" s="42" customFormat="1" spans="1:22">
      <c r="A1103" s="1120"/>
      <c r="B1103" s="1175"/>
      <c r="C1103" s="23">
        <v>20240322</v>
      </c>
      <c r="D1103" s="23">
        <v>7.17</v>
      </c>
      <c r="E1103" s="23" t="s">
        <v>7242</v>
      </c>
      <c r="F1103" s="695" t="s">
        <v>7243</v>
      </c>
      <c r="G1103" s="20"/>
      <c r="H1103" s="21"/>
      <c r="I1103" s="21"/>
      <c r="J1103" s="21"/>
      <c r="K1103" s="21"/>
      <c r="L1103" s="21"/>
      <c r="M1103" s="21"/>
      <c r="N1103" s="21"/>
      <c r="O1103" s="22">
        <v>0.56154744346116</v>
      </c>
      <c r="P1103" s="22">
        <v>5.28744690429804</v>
      </c>
      <c r="Q1103" s="37" t="s">
        <v>1428</v>
      </c>
      <c r="R1103" s="37">
        <v>0.4</v>
      </c>
      <c r="S1103" s="37">
        <f t="shared" si="27"/>
        <v>6.2489943477592</v>
      </c>
      <c r="T1103" s="813"/>
      <c r="U1103" s="35"/>
      <c r="V1103" s="1170"/>
    </row>
    <row r="1104" s="42" customFormat="1" spans="1:22">
      <c r="A1104" s="1120"/>
      <c r="B1104" s="860"/>
      <c r="C1104" s="23"/>
      <c r="D1104" s="23"/>
      <c r="E1104" s="23"/>
      <c r="F1104" s="695" t="s">
        <v>1030</v>
      </c>
      <c r="G1104" s="20"/>
      <c r="H1104" s="21"/>
      <c r="I1104" s="22"/>
      <c r="J1104" s="21"/>
      <c r="K1104" s="21"/>
      <c r="L1104" s="21"/>
      <c r="M1104" s="21"/>
      <c r="N1104" s="21"/>
      <c r="O1104" s="37">
        <v>0.315270935960591</v>
      </c>
      <c r="P1104" s="22">
        <v>1.16256157635468</v>
      </c>
      <c r="Q1104" s="37" t="s">
        <v>1428</v>
      </c>
      <c r="R1104" s="37">
        <v>0.4</v>
      </c>
      <c r="S1104" s="37">
        <f t="shared" si="27"/>
        <v>1.87783251231527</v>
      </c>
      <c r="T1104" s="813"/>
      <c r="U1104" s="35"/>
      <c r="V1104" s="1170"/>
    </row>
    <row r="1105" s="42" customFormat="1" spans="1:22">
      <c r="A1105" s="1120"/>
      <c r="B1105" s="858" t="s">
        <v>7244</v>
      </c>
      <c r="C1105" s="23">
        <v>20241031</v>
      </c>
      <c r="D1105" s="23">
        <v>7.17</v>
      </c>
      <c r="E1105" s="23" t="s">
        <v>7245</v>
      </c>
      <c r="F1105" s="695" t="s">
        <v>1685</v>
      </c>
      <c r="G1105" s="139" t="s">
        <v>7246</v>
      </c>
      <c r="H1105" s="21" t="s">
        <v>7247</v>
      </c>
      <c r="I1105" s="22" t="s">
        <v>4174</v>
      </c>
      <c r="J1105" s="21"/>
      <c r="K1105" s="700" t="s">
        <v>1428</v>
      </c>
      <c r="L1105" s="21"/>
      <c r="M1105" s="21"/>
      <c r="N1105" s="21"/>
      <c r="O1105" s="22">
        <v>6.60312370626551</v>
      </c>
      <c r="P1105" s="22">
        <v>19.2652656775806</v>
      </c>
      <c r="Q1105" s="37"/>
      <c r="R1105" s="37">
        <v>0</v>
      </c>
      <c r="S1105" s="37"/>
      <c r="T1105" s="813"/>
      <c r="U1105" s="760" t="s">
        <v>7248</v>
      </c>
      <c r="V1105" s="1170"/>
    </row>
    <row r="1106" s="42" customFormat="1" spans="1:22">
      <c r="A1106" s="1120"/>
      <c r="B1106" s="1175"/>
      <c r="C1106" s="23">
        <v>20241031</v>
      </c>
      <c r="D1106" s="23">
        <v>7.17</v>
      </c>
      <c r="E1106" s="23" t="s">
        <v>7249</v>
      </c>
      <c r="F1106" s="695" t="s">
        <v>454</v>
      </c>
      <c r="G1106" s="20"/>
      <c r="H1106" s="21"/>
      <c r="I1106" s="22"/>
      <c r="J1106" s="21"/>
      <c r="K1106" s="21"/>
      <c r="L1106" s="21"/>
      <c r="M1106" s="21"/>
      <c r="N1106" s="21"/>
      <c r="O1106" s="22">
        <v>0.451725323316225</v>
      </c>
      <c r="P1106" s="22">
        <v>1.73667612989056</v>
      </c>
      <c r="Q1106" s="37"/>
      <c r="R1106" s="774">
        <v>0.4</v>
      </c>
      <c r="S1106" s="37">
        <f t="shared" ref="S1106:S1117" si="28">SUM(K1106:R1106)</f>
        <v>2.58840145320678</v>
      </c>
      <c r="T1106" s="813"/>
      <c r="U1106" s="35"/>
      <c r="V1106" s="1170"/>
    </row>
    <row r="1107" s="42" customFormat="1" ht="15" spans="1:22">
      <c r="A1107" s="1120"/>
      <c r="B1107" s="1186" t="s">
        <v>7250</v>
      </c>
      <c r="C1107" s="23"/>
      <c r="D1107" s="23">
        <v>7.17</v>
      </c>
      <c r="E1107" s="23"/>
      <c r="F1107" s="695" t="s">
        <v>1669</v>
      </c>
      <c r="G1107" s="688" t="s">
        <v>1933</v>
      </c>
      <c r="H1107" s="21" t="s">
        <v>2972</v>
      </c>
      <c r="I1107" s="1187" t="s">
        <v>3432</v>
      </c>
      <c r="J1107" s="21" t="s">
        <v>1742</v>
      </c>
      <c r="K1107" s="1071" t="s">
        <v>712</v>
      </c>
      <c r="L1107" s="36" t="s">
        <v>1428</v>
      </c>
      <c r="M1107" s="36" t="s">
        <v>1428</v>
      </c>
      <c r="N1107" s="21">
        <v>6</v>
      </c>
      <c r="O1107" s="822">
        <v>4.44666442920005</v>
      </c>
      <c r="P1107" s="22">
        <v>18.0007054319133</v>
      </c>
      <c r="Q1107" s="21" t="s">
        <v>1428</v>
      </c>
      <c r="R1107" s="37">
        <v>3.56624825662483</v>
      </c>
      <c r="S1107" s="37">
        <f t="shared" si="28"/>
        <v>32.0136181177382</v>
      </c>
      <c r="T1107" s="23" t="s">
        <v>3719</v>
      </c>
      <c r="U1107" s="20" t="s">
        <v>4675</v>
      </c>
      <c r="V1107" s="1170" t="s">
        <v>1406</v>
      </c>
    </row>
    <row r="1108" s="42" customFormat="1" ht="15" spans="1:22">
      <c r="A1108" s="1120"/>
      <c r="B1108" s="1186"/>
      <c r="C1108" s="23"/>
      <c r="D1108" s="23">
        <v>7.17</v>
      </c>
      <c r="E1108" s="23"/>
      <c r="F1108" s="695" t="s">
        <v>1998</v>
      </c>
      <c r="G1108" s="20" t="s">
        <v>1933</v>
      </c>
      <c r="H1108" s="690" t="s">
        <v>2858</v>
      </c>
      <c r="I1108" s="1187" t="s">
        <v>3432</v>
      </c>
      <c r="J1108" s="1187" t="s">
        <v>1742</v>
      </c>
      <c r="K1108" s="700" t="s">
        <v>1428</v>
      </c>
      <c r="L1108" s="36" t="s">
        <v>1428</v>
      </c>
      <c r="M1108" s="36" t="s">
        <v>1428</v>
      </c>
      <c r="N1108" s="21">
        <v>6</v>
      </c>
      <c r="O1108" s="822">
        <v>4.44666442920005</v>
      </c>
      <c r="P1108" s="22">
        <v>18.0638665416727</v>
      </c>
      <c r="Q1108" s="21" t="s">
        <v>1428</v>
      </c>
      <c r="R1108" s="37">
        <v>3.56624825662483</v>
      </c>
      <c r="S1108" s="37">
        <f t="shared" si="28"/>
        <v>32.0767792274976</v>
      </c>
      <c r="T1108" s="813" t="s">
        <v>3719</v>
      </c>
      <c r="U1108" s="20" t="s">
        <v>4675</v>
      </c>
      <c r="V1108" s="1170" t="s">
        <v>1406</v>
      </c>
    </row>
    <row r="1109" s="42" customFormat="1" ht="15" spans="1:22">
      <c r="A1109" s="1120"/>
      <c r="B1109" s="1186"/>
      <c r="C1109" s="23"/>
      <c r="D1109" s="23">
        <v>7.17</v>
      </c>
      <c r="E1109" s="23"/>
      <c r="F1109" s="695" t="s">
        <v>1581</v>
      </c>
      <c r="G1109" s="20" t="s">
        <v>1933</v>
      </c>
      <c r="H1109" s="21" t="s">
        <v>2972</v>
      </c>
      <c r="I1109" s="1187" t="s">
        <v>3624</v>
      </c>
      <c r="J1109" s="1187" t="s">
        <v>1742</v>
      </c>
      <c r="K1109" s="1071" t="s">
        <v>712</v>
      </c>
      <c r="L1109" s="36" t="s">
        <v>1428</v>
      </c>
      <c r="M1109" s="36" t="s">
        <v>1428</v>
      </c>
      <c r="N1109" s="21">
        <v>6</v>
      </c>
      <c r="O1109" s="822">
        <v>4.44666442920005</v>
      </c>
      <c r="P1109" s="22">
        <v>19.8197475858997</v>
      </c>
      <c r="Q1109" s="21" t="s">
        <v>1428</v>
      </c>
      <c r="R1109" s="37">
        <v>3.56624825662483</v>
      </c>
      <c r="S1109" s="37">
        <f t="shared" si="28"/>
        <v>33.8326602717246</v>
      </c>
      <c r="T1109" s="813" t="s">
        <v>3719</v>
      </c>
      <c r="U1109" s="695" t="s">
        <v>7251</v>
      </c>
      <c r="V1109" s="1170" t="s">
        <v>1406</v>
      </c>
    </row>
    <row r="1110" s="42" customFormat="1" ht="15" spans="1:22">
      <c r="A1110" s="1120"/>
      <c r="B1110" s="1186"/>
      <c r="C1110" s="23"/>
      <c r="D1110" s="23">
        <v>7.17</v>
      </c>
      <c r="E1110" s="23"/>
      <c r="F1110" s="695" t="s">
        <v>2427</v>
      </c>
      <c r="G1110" s="20" t="s">
        <v>1933</v>
      </c>
      <c r="H1110" s="21" t="s">
        <v>2982</v>
      </c>
      <c r="I1110" s="1187" t="s">
        <v>3624</v>
      </c>
      <c r="J1110" s="1187" t="s">
        <v>1742</v>
      </c>
      <c r="K1110" s="1071" t="s">
        <v>712</v>
      </c>
      <c r="L1110" s="36" t="s">
        <v>1428</v>
      </c>
      <c r="M1110" s="36" t="s">
        <v>1428</v>
      </c>
      <c r="N1110" s="21">
        <v>6</v>
      </c>
      <c r="O1110" s="822">
        <v>4.44666442920005</v>
      </c>
      <c r="P1110" s="22">
        <v>19.8854479670206</v>
      </c>
      <c r="Q1110" s="21" t="s">
        <v>1428</v>
      </c>
      <c r="R1110" s="37">
        <v>3.56624825662483</v>
      </c>
      <c r="S1110" s="37">
        <f t="shared" si="28"/>
        <v>33.8983606528455</v>
      </c>
      <c r="T1110" s="813" t="s">
        <v>3719</v>
      </c>
      <c r="U1110" s="695" t="s">
        <v>7252</v>
      </c>
      <c r="V1110" s="1170" t="s">
        <v>1406</v>
      </c>
    </row>
    <row r="1111" s="42" customFormat="1" ht="15" spans="1:22">
      <c r="A1111" s="1120"/>
      <c r="B1111" s="1186"/>
      <c r="C1111" s="23"/>
      <c r="D1111" s="23">
        <v>7.17</v>
      </c>
      <c r="E1111" s="23"/>
      <c r="F1111" s="695" t="s">
        <v>2449</v>
      </c>
      <c r="G1111" s="20" t="s">
        <v>1933</v>
      </c>
      <c r="H1111" s="690" t="s">
        <v>2858</v>
      </c>
      <c r="I1111" s="1187" t="s">
        <v>3624</v>
      </c>
      <c r="J1111" s="1187" t="s">
        <v>1742</v>
      </c>
      <c r="K1111" s="700" t="s">
        <v>1428</v>
      </c>
      <c r="L1111" s="36" t="s">
        <v>1428</v>
      </c>
      <c r="M1111" s="36" t="s">
        <v>1428</v>
      </c>
      <c r="N1111" s="21">
        <v>6</v>
      </c>
      <c r="O1111" s="822">
        <v>4.44666442920005</v>
      </c>
      <c r="P1111" s="22">
        <v>19.8534483858997</v>
      </c>
      <c r="Q1111" s="21" t="s">
        <v>1428</v>
      </c>
      <c r="R1111" s="37">
        <v>3.56624825662483</v>
      </c>
      <c r="S1111" s="37">
        <f t="shared" si="28"/>
        <v>33.8663610717246</v>
      </c>
      <c r="T1111" s="813" t="s">
        <v>3719</v>
      </c>
      <c r="U1111" s="695" t="s">
        <v>7253</v>
      </c>
      <c r="V1111" s="1170" t="s">
        <v>1406</v>
      </c>
    </row>
    <row r="1112" s="42" customFormat="1" ht="15" spans="1:22">
      <c r="A1112" s="1120"/>
      <c r="B1112" s="860"/>
      <c r="C1112" s="23"/>
      <c r="D1112" s="23">
        <v>7.17</v>
      </c>
      <c r="E1112" s="23"/>
      <c r="F1112" s="695" t="s">
        <v>2431</v>
      </c>
      <c r="G1112" s="20" t="s">
        <v>1933</v>
      </c>
      <c r="H1112" s="21" t="s">
        <v>2982</v>
      </c>
      <c r="I1112" s="1187" t="s">
        <v>3432</v>
      </c>
      <c r="J1112" s="1187" t="s">
        <v>1742</v>
      </c>
      <c r="K1112" s="1071" t="s">
        <v>712</v>
      </c>
      <c r="L1112" s="36" t="s">
        <v>1428</v>
      </c>
      <c r="M1112" s="36" t="s">
        <v>1428</v>
      </c>
      <c r="N1112" s="21">
        <v>6</v>
      </c>
      <c r="O1112" s="822">
        <v>4.44666442920005</v>
      </c>
      <c r="P1112" s="22">
        <v>15.2131627221337</v>
      </c>
      <c r="Q1112" s="21" t="s">
        <v>1428</v>
      </c>
      <c r="R1112" s="37">
        <v>3.56624825662483</v>
      </c>
      <c r="S1112" s="37">
        <f t="shared" si="28"/>
        <v>29.2260754079586</v>
      </c>
      <c r="T1112" s="813" t="s">
        <v>4301</v>
      </c>
      <c r="U1112" s="695" t="s">
        <v>7254</v>
      </c>
      <c r="V1112" s="1170" t="s">
        <v>1406</v>
      </c>
    </row>
    <row r="1113" s="42" customFormat="1" ht="15" spans="1:22">
      <c r="A1113" s="1120"/>
      <c r="B1113" s="860"/>
      <c r="C1113" s="23">
        <v>20240626</v>
      </c>
      <c r="D1113" s="23">
        <v>7.17</v>
      </c>
      <c r="E1113" s="23" t="s">
        <v>7255</v>
      </c>
      <c r="F1113" s="695" t="s">
        <v>2314</v>
      </c>
      <c r="G1113" s="20" t="s">
        <v>1933</v>
      </c>
      <c r="H1113" s="21" t="s">
        <v>2982</v>
      </c>
      <c r="I1113" s="1187" t="s">
        <v>3432</v>
      </c>
      <c r="J1113" s="1187" t="s">
        <v>1742</v>
      </c>
      <c r="K1113" s="1071" t="s">
        <v>712</v>
      </c>
      <c r="L1113" s="36" t="s">
        <v>1428</v>
      </c>
      <c r="M1113" s="36" t="s">
        <v>1428</v>
      </c>
      <c r="N1113" s="21">
        <v>6</v>
      </c>
      <c r="O1113" s="822">
        <v>4.44666442920005</v>
      </c>
      <c r="P1113" s="22">
        <v>15.1005765132332</v>
      </c>
      <c r="Q1113" s="21" t="s">
        <v>1428</v>
      </c>
      <c r="R1113" s="37">
        <v>3.56624825662483</v>
      </c>
      <c r="S1113" s="37">
        <f t="shared" si="28"/>
        <v>29.1134891990581</v>
      </c>
      <c r="T1113" s="813" t="s">
        <v>3719</v>
      </c>
      <c r="U1113" s="695" t="s">
        <v>7256</v>
      </c>
      <c r="V1113" s="1170"/>
    </row>
    <row r="1114" s="42" customFormat="1" spans="1:22">
      <c r="A1114" s="1120"/>
      <c r="B1114" s="860"/>
      <c r="C1114" s="23"/>
      <c r="D1114" s="23"/>
      <c r="E1114" s="23"/>
      <c r="F1114" s="695" t="s">
        <v>6286</v>
      </c>
      <c r="G1114" s="20"/>
      <c r="H1114" s="21"/>
      <c r="I1114" s="21"/>
      <c r="J1114" s="21"/>
      <c r="K1114" s="36"/>
      <c r="L1114" s="36"/>
      <c r="M1114" s="36"/>
      <c r="N1114" s="36"/>
      <c r="O1114" s="22">
        <v>0.955665024630542</v>
      </c>
      <c r="P1114" s="22">
        <v>1.53694581280788</v>
      </c>
      <c r="Q1114" s="21" t="s">
        <v>1428</v>
      </c>
      <c r="R1114" s="37">
        <v>0.2</v>
      </c>
      <c r="S1114" s="37">
        <f t="shared" si="28"/>
        <v>2.69261083743842</v>
      </c>
      <c r="T1114" s="23"/>
      <c r="U1114" s="35"/>
      <c r="V1114" s="1170" t="s">
        <v>1406</v>
      </c>
    </row>
    <row r="1115" s="42" customFormat="1" ht="15" spans="1:22">
      <c r="A1115" s="1120"/>
      <c r="B1115" s="20" t="s">
        <v>7257</v>
      </c>
      <c r="C1115" s="35"/>
      <c r="D1115" s="23">
        <v>7.17</v>
      </c>
      <c r="E1115" s="23"/>
      <c r="F1115" s="695" t="s">
        <v>1617</v>
      </c>
      <c r="G1115" s="20" t="s">
        <v>1933</v>
      </c>
      <c r="H1115" s="21" t="s">
        <v>2982</v>
      </c>
      <c r="I1115" s="21" t="s">
        <v>3432</v>
      </c>
      <c r="J1115" s="21" t="s">
        <v>1742</v>
      </c>
      <c r="K1115" s="1071" t="s">
        <v>712</v>
      </c>
      <c r="L1115" s="21" t="s">
        <v>1428</v>
      </c>
      <c r="M1115" s="21" t="s">
        <v>1428</v>
      </c>
      <c r="N1115" s="21">
        <v>6</v>
      </c>
      <c r="O1115" s="37">
        <v>2.56525148426123</v>
      </c>
      <c r="P1115" s="22">
        <v>19.6807684834313</v>
      </c>
      <c r="Q1115" s="37" t="s">
        <v>1428</v>
      </c>
      <c r="R1115" s="37">
        <v>3.06216906727885</v>
      </c>
      <c r="S1115" s="37">
        <f t="shared" si="28"/>
        <v>31.3081890349714</v>
      </c>
      <c r="T1115" s="23" t="s">
        <v>3625</v>
      </c>
      <c r="U1115" s="35" t="s">
        <v>7258</v>
      </c>
    </row>
    <row r="1116" s="42" customFormat="1" ht="15" spans="1:22">
      <c r="A1116" s="1120"/>
      <c r="B1116" s="20"/>
      <c r="C1116" s="35"/>
      <c r="D1116" s="23">
        <v>7.17</v>
      </c>
      <c r="E1116" s="23"/>
      <c r="F1116" s="695" t="s">
        <v>1629</v>
      </c>
      <c r="G1116" s="20" t="s">
        <v>1933</v>
      </c>
      <c r="H1116" s="21" t="s">
        <v>2982</v>
      </c>
      <c r="I1116" s="21" t="s">
        <v>3432</v>
      </c>
      <c r="J1116" s="21" t="s">
        <v>1742</v>
      </c>
      <c r="K1116" s="1071" t="s">
        <v>712</v>
      </c>
      <c r="L1116" s="21" t="s">
        <v>1428</v>
      </c>
      <c r="M1116" s="21" t="s">
        <v>1428</v>
      </c>
      <c r="N1116" s="21">
        <v>6</v>
      </c>
      <c r="O1116" s="37">
        <v>2.56525148426123</v>
      </c>
      <c r="P1116" s="22">
        <v>19.2609106471149</v>
      </c>
      <c r="Q1116" s="37" t="s">
        <v>1428</v>
      </c>
      <c r="R1116" s="37">
        <v>3.06216906727885</v>
      </c>
      <c r="S1116" s="37">
        <f t="shared" si="28"/>
        <v>30.888331198655</v>
      </c>
      <c r="T1116" s="23" t="s">
        <v>3625</v>
      </c>
      <c r="U1116" s="35" t="s">
        <v>7259</v>
      </c>
    </row>
    <row r="1117" s="42" customFormat="1" ht="15" spans="1:22">
      <c r="A1117" s="1120"/>
      <c r="B1117" s="20"/>
      <c r="C1117" s="35"/>
      <c r="D1117" s="23">
        <v>7.17</v>
      </c>
      <c r="E1117" s="23"/>
      <c r="F1117" s="695" t="s">
        <v>1604</v>
      </c>
      <c r="G1117" s="20" t="s">
        <v>1933</v>
      </c>
      <c r="H1117" s="690" t="s">
        <v>2858</v>
      </c>
      <c r="I1117" s="21" t="s">
        <v>5962</v>
      </c>
      <c r="J1117" s="21" t="s">
        <v>1742</v>
      </c>
      <c r="K1117" s="700" t="s">
        <v>1428</v>
      </c>
      <c r="L1117" s="21" t="s">
        <v>1428</v>
      </c>
      <c r="M1117" s="21" t="s">
        <v>1428</v>
      </c>
      <c r="N1117" s="21">
        <v>6</v>
      </c>
      <c r="O1117" s="37">
        <v>2.56525148426123</v>
      </c>
      <c r="P1117" s="22">
        <v>19.0264435260239</v>
      </c>
      <c r="Q1117" s="37" t="s">
        <v>1428</v>
      </c>
      <c r="R1117" s="37">
        <v>3.06216906727885</v>
      </c>
      <c r="S1117" s="37">
        <f t="shared" si="28"/>
        <v>30.653864077564</v>
      </c>
      <c r="T1117" s="23" t="s">
        <v>7260</v>
      </c>
      <c r="U1117" s="35" t="s">
        <v>7261</v>
      </c>
    </row>
    <row r="1118" s="42" customFormat="1" ht="15" spans="1:22">
      <c r="A1118" s="1120"/>
      <c r="B1118" s="20"/>
      <c r="C1118" s="35"/>
      <c r="D1118" s="23">
        <v>7.17</v>
      </c>
      <c r="E1118" s="23"/>
      <c r="F1118" s="695" t="s">
        <v>1685</v>
      </c>
      <c r="G1118" s="20" t="s">
        <v>1933</v>
      </c>
      <c r="H1118" s="21" t="s">
        <v>2982</v>
      </c>
      <c r="I1118" s="21" t="s">
        <v>3432</v>
      </c>
      <c r="J1118" s="21" t="s">
        <v>1742</v>
      </c>
      <c r="K1118" s="1071" t="s">
        <v>712</v>
      </c>
      <c r="L1118" s="21" t="s">
        <v>1428</v>
      </c>
      <c r="M1118" s="21" t="s">
        <v>1428</v>
      </c>
      <c r="N1118" s="21">
        <v>6</v>
      </c>
      <c r="O1118" s="37">
        <v>2.56525148426123</v>
      </c>
      <c r="P1118" s="22">
        <v>19.1226395455439</v>
      </c>
      <c r="Q1118" s="37" t="s">
        <v>1428</v>
      </c>
      <c r="R1118" s="37">
        <v>3.06216906727885</v>
      </c>
      <c r="S1118" s="37">
        <f t="shared" ref="S1118:S1125" si="29">SUM(K1118:R1118)</f>
        <v>30.750060097084</v>
      </c>
      <c r="T1118" s="23" t="s">
        <v>3625</v>
      </c>
      <c r="U1118" s="35" t="s">
        <v>7258</v>
      </c>
    </row>
    <row r="1119" s="42" customFormat="1" ht="15" spans="1:22">
      <c r="A1119" s="1120"/>
      <c r="B1119" s="20"/>
      <c r="C1119" s="35">
        <v>20240904</v>
      </c>
      <c r="D1119" s="23">
        <v>7.17</v>
      </c>
      <c r="E1119" s="23" t="s">
        <v>7262</v>
      </c>
      <c r="F1119" s="695" t="s">
        <v>1669</v>
      </c>
      <c r="G1119" s="20" t="s">
        <v>3916</v>
      </c>
      <c r="H1119" s="21" t="s">
        <v>4187</v>
      </c>
      <c r="I1119" s="21" t="s">
        <v>3624</v>
      </c>
      <c r="J1119" s="21" t="s">
        <v>1742</v>
      </c>
      <c r="K1119" s="1071" t="s">
        <v>712</v>
      </c>
      <c r="L1119" s="21" t="s">
        <v>1428</v>
      </c>
      <c r="M1119" s="21" t="s">
        <v>1428</v>
      </c>
      <c r="N1119" s="21">
        <v>6</v>
      </c>
      <c r="O1119" s="37">
        <v>2.56525148426123</v>
      </c>
      <c r="P1119" s="22">
        <v>17.7553791920284</v>
      </c>
      <c r="Q1119" s="37" t="s">
        <v>1428</v>
      </c>
      <c r="R1119" s="37">
        <v>3.06216906727885</v>
      </c>
      <c r="S1119" s="37">
        <f t="shared" si="29"/>
        <v>29.3827997435685</v>
      </c>
      <c r="T1119" s="23" t="s">
        <v>3625</v>
      </c>
      <c r="U1119" s="35" t="s">
        <v>7263</v>
      </c>
    </row>
    <row r="1120" s="42" customFormat="1" ht="15" spans="1:22">
      <c r="A1120" s="1120"/>
      <c r="B1120" s="20"/>
      <c r="C1120" s="35">
        <v>20240904</v>
      </c>
      <c r="D1120" s="23">
        <v>7.17</v>
      </c>
      <c r="E1120" s="23" t="s">
        <v>7264</v>
      </c>
      <c r="F1120" s="695" t="s">
        <v>1671</v>
      </c>
      <c r="G1120" s="20" t="s">
        <v>3916</v>
      </c>
      <c r="H1120" s="21" t="s">
        <v>4187</v>
      </c>
      <c r="I1120" s="21" t="s">
        <v>3432</v>
      </c>
      <c r="J1120" s="21" t="s">
        <v>1742</v>
      </c>
      <c r="K1120" s="1071" t="s">
        <v>712</v>
      </c>
      <c r="L1120" s="21" t="s">
        <v>1428</v>
      </c>
      <c r="M1120" s="21" t="s">
        <v>1428</v>
      </c>
      <c r="N1120" s="21">
        <v>6</v>
      </c>
      <c r="O1120" s="37">
        <v>2.56525148426123</v>
      </c>
      <c r="P1120" s="22">
        <v>17.7367481023613</v>
      </c>
      <c r="Q1120" s="37" t="s">
        <v>1428</v>
      </c>
      <c r="R1120" s="37">
        <v>3.06216906727885</v>
      </c>
      <c r="S1120" s="37">
        <f t="shared" si="29"/>
        <v>29.3641686539014</v>
      </c>
      <c r="T1120" s="23" t="s">
        <v>3625</v>
      </c>
      <c r="U1120" s="35" t="s">
        <v>7263</v>
      </c>
    </row>
    <row r="1121" s="42" customFormat="1" ht="15" spans="1:22">
      <c r="A1121" s="1120"/>
      <c r="B1121" s="20"/>
      <c r="C1121" s="35">
        <v>20240904</v>
      </c>
      <c r="D1121" s="23">
        <v>7.17</v>
      </c>
      <c r="E1121" s="23" t="s">
        <v>7265</v>
      </c>
      <c r="F1121" s="695" t="s">
        <v>1672</v>
      </c>
      <c r="G1121" s="20" t="s">
        <v>3916</v>
      </c>
      <c r="H1121" s="21" t="s">
        <v>4219</v>
      </c>
      <c r="I1121" s="21" t="s">
        <v>4193</v>
      </c>
      <c r="J1121" s="21" t="s">
        <v>1742</v>
      </c>
      <c r="K1121" s="700" t="s">
        <v>1428</v>
      </c>
      <c r="L1121" s="21" t="s">
        <v>1428</v>
      </c>
      <c r="M1121" s="21" t="s">
        <v>1428</v>
      </c>
      <c r="N1121" s="21">
        <v>6</v>
      </c>
      <c r="O1121" s="37">
        <v>2.56525148426123</v>
      </c>
      <c r="P1121" s="22">
        <v>17.7354918346009</v>
      </c>
      <c r="Q1121" s="37" t="s">
        <v>1428</v>
      </c>
      <c r="R1121" s="37">
        <v>3.06216906727885</v>
      </c>
      <c r="S1121" s="37">
        <f t="shared" si="29"/>
        <v>29.362912386141</v>
      </c>
      <c r="T1121" s="23" t="s">
        <v>3414</v>
      </c>
      <c r="U1121" s="35" t="s">
        <v>7263</v>
      </c>
    </row>
    <row r="1122" s="42" customFormat="1" ht="30" spans="1:22">
      <c r="A1122" s="1120"/>
      <c r="B1122" s="1186" t="s">
        <v>7266</v>
      </c>
      <c r="C1122" s="23"/>
      <c r="D1122" s="23"/>
      <c r="E1122" s="23"/>
      <c r="F1122" s="1127" t="s">
        <v>4172</v>
      </c>
      <c r="G1122" s="20" t="s">
        <v>1933</v>
      </c>
      <c r="H1122" s="697" t="s">
        <v>7267</v>
      </c>
      <c r="I1122" s="21" t="s">
        <v>1913</v>
      </c>
      <c r="J1122" s="21" t="s">
        <v>1428</v>
      </c>
      <c r="K1122" s="21" t="s">
        <v>1428</v>
      </c>
      <c r="L1122" s="21" t="s">
        <v>1428</v>
      </c>
      <c r="M1122" s="21" t="s">
        <v>1428</v>
      </c>
      <c r="N1122" s="21" t="s">
        <v>1428</v>
      </c>
      <c r="O1122" s="37">
        <v>5.25</v>
      </c>
      <c r="P1122" s="22">
        <v>24</v>
      </c>
      <c r="Q1122" s="37" t="s">
        <v>1428</v>
      </c>
      <c r="R1122" s="770">
        <v>5</v>
      </c>
      <c r="S1122" s="37">
        <f t="shared" si="29"/>
        <v>34.25</v>
      </c>
      <c r="T1122" s="167" t="s">
        <v>1526</v>
      </c>
      <c r="U1122" s="751" t="s">
        <v>7268</v>
      </c>
    </row>
    <row r="1123" s="42" customFormat="1" ht="15" spans="1:22">
      <c r="A1123" s="1120"/>
      <c r="B1123" s="858" t="s">
        <v>7269</v>
      </c>
      <c r="C1123" s="23">
        <v>20251231</v>
      </c>
      <c r="D1123" s="23">
        <v>7.01</v>
      </c>
      <c r="E1123" s="23"/>
      <c r="F1123" s="1127" t="s">
        <v>7270</v>
      </c>
      <c r="G1123" s="23" t="s">
        <v>7271</v>
      </c>
      <c r="H1123" s="690" t="s">
        <v>4187</v>
      </c>
      <c r="I1123" s="21" t="s">
        <v>3432</v>
      </c>
      <c r="J1123" s="21" t="s">
        <v>1742</v>
      </c>
      <c r="K1123" s="1071" t="s">
        <v>712</v>
      </c>
      <c r="L1123" s="21" t="s">
        <v>1428</v>
      </c>
      <c r="M1123" s="21"/>
      <c r="N1123" s="21">
        <v>6</v>
      </c>
      <c r="O1123" s="22">
        <f t="shared" ref="O1123:O1126" si="30">57.35/D1123/1.13</f>
        <v>7.2399732367162</v>
      </c>
      <c r="P1123" s="22">
        <f>16.1092424521259*1.05</f>
        <v>16.9147045747322</v>
      </c>
      <c r="Q1123" s="37"/>
      <c r="R1123" s="37">
        <v>6.5</v>
      </c>
      <c r="S1123" s="37">
        <f t="shared" si="29"/>
        <v>36.6546778114484</v>
      </c>
      <c r="T1123" s="38" t="s">
        <v>3625</v>
      </c>
      <c r="U1123" s="35" t="s">
        <v>7272</v>
      </c>
    </row>
    <row r="1124" s="42" customFormat="1" ht="15" customHeight="1" spans="1:22">
      <c r="A1124" s="1169"/>
      <c r="B1124" s="937" t="s">
        <v>7273</v>
      </c>
      <c r="C1124" s="23">
        <v>20241128</v>
      </c>
      <c r="D1124" s="23">
        <v>6.7986</v>
      </c>
      <c r="E1124" s="23" t="s">
        <v>7274</v>
      </c>
      <c r="F1124" s="23" t="s">
        <v>1671</v>
      </c>
      <c r="G1124" s="23" t="s">
        <v>7271</v>
      </c>
      <c r="H1124" s="690" t="s">
        <v>2082</v>
      </c>
      <c r="I1124" s="21" t="s">
        <v>3432</v>
      </c>
      <c r="J1124" s="21" t="s">
        <v>1742</v>
      </c>
      <c r="K1124" s="699" t="s">
        <v>712</v>
      </c>
      <c r="L1124" s="21" t="s">
        <v>1428</v>
      </c>
      <c r="M1124" s="21"/>
      <c r="N1124" s="21">
        <v>6</v>
      </c>
      <c r="O1124" s="22">
        <f t="shared" si="30"/>
        <v>7.4650975773513</v>
      </c>
      <c r="P1124" s="22">
        <v>16.9</v>
      </c>
      <c r="Q1124" s="37"/>
      <c r="R1124" s="37">
        <f>30/D1124</f>
        <v>4.412673197423</v>
      </c>
      <c r="S1124" s="37">
        <f t="shared" si="29"/>
        <v>34.7777707747743</v>
      </c>
      <c r="T1124" s="38" t="s">
        <v>3625</v>
      </c>
      <c r="U1124" s="35" t="s">
        <v>7275</v>
      </c>
      <c r="V1124" s="120"/>
    </row>
    <row r="1125" s="42" customFormat="1" ht="15" customHeight="1" spans="1:22">
      <c r="A1125" s="1169"/>
      <c r="B1125" s="1131"/>
      <c r="C1125" s="1188">
        <v>46142</v>
      </c>
      <c r="D1125" s="23">
        <v>6.7986</v>
      </c>
      <c r="E1125" s="23" t="s">
        <v>7276</v>
      </c>
      <c r="F1125" s="23" t="s">
        <v>1672</v>
      </c>
      <c r="G1125" s="23" t="s">
        <v>7271</v>
      </c>
      <c r="H1125" s="690" t="s">
        <v>4219</v>
      </c>
      <c r="I1125" s="21" t="s">
        <v>3432</v>
      </c>
      <c r="J1125" s="21" t="s">
        <v>1742</v>
      </c>
      <c r="K1125" s="699" t="s">
        <v>712</v>
      </c>
      <c r="L1125" s="21" t="s">
        <v>1428</v>
      </c>
      <c r="M1125" s="21"/>
      <c r="N1125" s="21">
        <v>6</v>
      </c>
      <c r="O1125" s="22">
        <f t="shared" si="30"/>
        <v>7.4650975773513</v>
      </c>
      <c r="P1125" s="22">
        <v>16.9</v>
      </c>
      <c r="Q1125" s="37"/>
      <c r="R1125" s="37">
        <f>30/D1125</f>
        <v>4.412673197423</v>
      </c>
      <c r="S1125" s="37">
        <f t="shared" si="29"/>
        <v>34.7777707747743</v>
      </c>
      <c r="T1125" s="38" t="s">
        <v>3625</v>
      </c>
      <c r="U1125" s="35"/>
      <c r="V1125" s="120"/>
    </row>
    <row r="1126" s="42" customFormat="1" ht="15" customHeight="1" spans="1:22">
      <c r="A1126" s="1169"/>
      <c r="B1126" s="862"/>
      <c r="C1126" s="23">
        <v>20250102</v>
      </c>
      <c r="D1126" s="23">
        <v>6.7986</v>
      </c>
      <c r="E1126" s="776" t="s">
        <v>7277</v>
      </c>
      <c r="F1126" s="23" t="s">
        <v>1998</v>
      </c>
      <c r="G1126" s="23" t="s">
        <v>6570</v>
      </c>
      <c r="H1126" s="690" t="s">
        <v>4187</v>
      </c>
      <c r="I1126" s="21" t="s">
        <v>3432</v>
      </c>
      <c r="J1126" s="21" t="s">
        <v>1742</v>
      </c>
      <c r="K1126" s="699" t="s">
        <v>712</v>
      </c>
      <c r="L1126" s="21" t="s">
        <v>1428</v>
      </c>
      <c r="M1126" s="21"/>
      <c r="N1126" s="21">
        <v>6</v>
      </c>
      <c r="O1126" s="22">
        <f t="shared" si="30"/>
        <v>7.4650975773513</v>
      </c>
      <c r="P1126" s="22">
        <v>16.9</v>
      </c>
      <c r="Q1126" s="37"/>
      <c r="R1126" s="37">
        <f>30/D1126</f>
        <v>4.412673197423</v>
      </c>
      <c r="S1126" s="37">
        <f t="shared" ref="S1126:S1170" si="31">SUM(K1126:R1126)</f>
        <v>34.7777707747743</v>
      </c>
      <c r="T1126" s="38" t="s">
        <v>7278</v>
      </c>
      <c r="U1126" s="35" t="s">
        <v>7279</v>
      </c>
      <c r="V1126" s="120" t="s">
        <v>1406</v>
      </c>
    </row>
    <row r="1127" s="42" customFormat="1" ht="15" spans="1:22">
      <c r="A1127" s="1120"/>
      <c r="B1127" s="20" t="s">
        <v>7280</v>
      </c>
      <c r="C1127" s="23">
        <v>20240402</v>
      </c>
      <c r="D1127" s="23">
        <v>7.17</v>
      </c>
      <c r="E1127" s="23" t="s">
        <v>7281</v>
      </c>
      <c r="F1127" s="20" t="s">
        <v>1669</v>
      </c>
      <c r="G1127" s="20" t="s">
        <v>1933</v>
      </c>
      <c r="H1127" s="21" t="s">
        <v>2972</v>
      </c>
      <c r="I1127" s="21" t="s">
        <v>1913</v>
      </c>
      <c r="J1127" s="21" t="s">
        <v>1720</v>
      </c>
      <c r="K1127" s="1071" t="s">
        <v>712</v>
      </c>
      <c r="L1127" s="21" t="s">
        <v>1428</v>
      </c>
      <c r="M1127" s="21" t="s">
        <v>1428</v>
      </c>
      <c r="N1127" s="36">
        <v>2.3</v>
      </c>
      <c r="O1127" s="37">
        <v>4.61605708245548</v>
      </c>
      <c r="P1127" s="37">
        <v>18.018572182107</v>
      </c>
      <c r="Q1127" s="37" t="s">
        <v>1428</v>
      </c>
      <c r="R1127" s="774">
        <v>3.3</v>
      </c>
      <c r="S1127" s="37">
        <f t="shared" si="31"/>
        <v>28.2346292645625</v>
      </c>
      <c r="T1127" s="793" t="s">
        <v>1526</v>
      </c>
      <c r="U1127" s="23"/>
      <c r="V1127" s="120"/>
    </row>
    <row r="1128" s="42" customFormat="1" ht="15" spans="1:22">
      <c r="A1128" s="1120"/>
      <c r="B1128" s="937" t="s">
        <v>1198</v>
      </c>
      <c r="C1128" s="23">
        <v>20241230</v>
      </c>
      <c r="D1128" s="23">
        <v>7.17</v>
      </c>
      <c r="E1128" s="23" t="s">
        <v>7282</v>
      </c>
      <c r="F1128" s="20" t="s">
        <v>1672</v>
      </c>
      <c r="G1128" s="20" t="s">
        <v>3649</v>
      </c>
      <c r="H1128" s="690" t="s">
        <v>7283</v>
      </c>
      <c r="I1128" s="21" t="s">
        <v>1913</v>
      </c>
      <c r="J1128" s="1071" t="s">
        <v>712</v>
      </c>
      <c r="K1128" s="1071" t="s">
        <v>712</v>
      </c>
      <c r="L1128" s="21" t="s">
        <v>1428</v>
      </c>
      <c r="M1128" s="21" t="s">
        <v>1428</v>
      </c>
      <c r="N1128" s="21" t="s">
        <v>1428</v>
      </c>
      <c r="O1128" s="37">
        <f>29.63/7.04/1.13</f>
        <v>3.72460780370072</v>
      </c>
      <c r="P1128" s="37">
        <v>16.6855495632663</v>
      </c>
      <c r="Q1128" s="37" t="s">
        <v>1428</v>
      </c>
      <c r="R1128" s="774">
        <v>5</v>
      </c>
      <c r="S1128" s="37">
        <f t="shared" si="31"/>
        <v>25.410157366967</v>
      </c>
      <c r="T1128" s="167" t="s">
        <v>1526</v>
      </c>
      <c r="U1128" s="167" t="s">
        <v>7284</v>
      </c>
      <c r="V1128" s="120"/>
    </row>
    <row r="1129" s="42" customFormat="1" ht="15" spans="1:22">
      <c r="A1129" s="1120"/>
      <c r="B1129" s="1131"/>
      <c r="C1129" s="23">
        <v>20241230</v>
      </c>
      <c r="D1129" s="23">
        <v>7.17</v>
      </c>
      <c r="E1129" s="23" t="s">
        <v>7285</v>
      </c>
      <c r="F1129" s="846" t="s">
        <v>1998</v>
      </c>
      <c r="G1129" s="20" t="s">
        <v>3649</v>
      </c>
      <c r="H1129" s="690" t="s">
        <v>2358</v>
      </c>
      <c r="I1129" s="21" t="s">
        <v>1913</v>
      </c>
      <c r="J1129" s="1071" t="s">
        <v>712</v>
      </c>
      <c r="K1129" s="1071" t="s">
        <v>712</v>
      </c>
      <c r="L1129" s="21" t="s">
        <v>1428</v>
      </c>
      <c r="M1129" s="21" t="s">
        <v>1428</v>
      </c>
      <c r="N1129" s="21" t="s">
        <v>1428</v>
      </c>
      <c r="O1129" s="37">
        <f>29.63/7.04/1.13</f>
        <v>3.72460780370072</v>
      </c>
      <c r="P1129" s="37">
        <v>16.7907776703741</v>
      </c>
      <c r="Q1129" s="37" t="s">
        <v>1428</v>
      </c>
      <c r="R1129" s="774">
        <v>5</v>
      </c>
      <c r="S1129" s="37">
        <f t="shared" si="31"/>
        <v>25.5153854740748</v>
      </c>
      <c r="T1129" s="167" t="s">
        <v>1526</v>
      </c>
      <c r="U1129" s="167" t="s">
        <v>7284</v>
      </c>
      <c r="V1129" s="120"/>
    </row>
    <row r="1130" s="42" customFormat="1" spans="1:22">
      <c r="A1130" s="1120"/>
      <c r="B1130" s="1131"/>
      <c r="C1130" s="23">
        <v>20240906</v>
      </c>
      <c r="D1130" s="23">
        <v>7.17</v>
      </c>
      <c r="E1130" s="23" t="s">
        <v>7286</v>
      </c>
      <c r="F1130" s="846" t="s">
        <v>7287</v>
      </c>
      <c r="G1130" s="20"/>
      <c r="H1130" s="690"/>
      <c r="I1130" s="21"/>
      <c r="J1130" s="21"/>
      <c r="K1130" s="690"/>
      <c r="L1130" s="21"/>
      <c r="M1130" s="21"/>
      <c r="N1130" s="21"/>
      <c r="O1130" s="37">
        <v>0.263613078195871</v>
      </c>
      <c r="P1130" s="37">
        <v>1.75220669076173</v>
      </c>
      <c r="Q1130" s="37" t="s">
        <v>1428</v>
      </c>
      <c r="R1130" s="774">
        <v>0.4</v>
      </c>
      <c r="S1130" s="37">
        <f t="shared" si="31"/>
        <v>2.4158197689576</v>
      </c>
      <c r="T1130" s="23"/>
      <c r="U1130" s="750" t="s">
        <v>7288</v>
      </c>
      <c r="V1130" s="120"/>
    </row>
    <row r="1131" s="42" customFormat="1" ht="15" spans="1:22">
      <c r="A1131" s="1120"/>
      <c r="B1131" s="1131"/>
      <c r="C1131" s="23">
        <v>20240819</v>
      </c>
      <c r="D1131" s="23">
        <v>7.17</v>
      </c>
      <c r="E1131" s="23" t="s">
        <v>7289</v>
      </c>
      <c r="F1131" s="20" t="s">
        <v>7290</v>
      </c>
      <c r="G1131" s="20"/>
      <c r="H1131" s="690"/>
      <c r="I1131" s="21"/>
      <c r="J1131" s="21"/>
      <c r="K1131" s="690"/>
      <c r="L1131" s="21"/>
      <c r="M1131" s="21"/>
      <c r="N1131" s="21"/>
      <c r="O1131" s="37">
        <v>0.234098471613169</v>
      </c>
      <c r="P1131" s="37">
        <v>1.73868458659089</v>
      </c>
      <c r="Q1131" s="37" t="s">
        <v>1428</v>
      </c>
      <c r="R1131" s="774">
        <v>0.2</v>
      </c>
      <c r="S1131" s="37">
        <f t="shared" si="31"/>
        <v>2.17278305820406</v>
      </c>
      <c r="T1131" s="23"/>
      <c r="U1131" s="23" t="s">
        <v>7291</v>
      </c>
      <c r="V1131" s="120"/>
    </row>
    <row r="1132" s="42" customFormat="1" ht="15" spans="1:22">
      <c r="A1132" s="1120"/>
      <c r="B1132" s="1131"/>
      <c r="C1132" s="23">
        <v>20240715</v>
      </c>
      <c r="D1132" s="23">
        <v>7.17</v>
      </c>
      <c r="E1132" s="23" t="s">
        <v>7292</v>
      </c>
      <c r="F1132" s="846" t="s">
        <v>7293</v>
      </c>
      <c r="G1132" s="20"/>
      <c r="H1132" s="690"/>
      <c r="I1132" s="21"/>
      <c r="J1132" s="21"/>
      <c r="K1132" s="690"/>
      <c r="L1132" s="21"/>
      <c r="M1132" s="21"/>
      <c r="N1132" s="21"/>
      <c r="O1132" s="37">
        <v>0.575265023844691</v>
      </c>
      <c r="P1132" s="37">
        <v>4.01506253136513</v>
      </c>
      <c r="Q1132" s="37" t="s">
        <v>1428</v>
      </c>
      <c r="R1132" s="774">
        <v>0.4</v>
      </c>
      <c r="S1132" s="37">
        <f t="shared" si="31"/>
        <v>4.99032755520982</v>
      </c>
      <c r="T1132" s="23"/>
      <c r="U1132" s="23" t="s">
        <v>7294</v>
      </c>
      <c r="V1132" s="120"/>
    </row>
    <row r="1133" s="42" customFormat="1" spans="1:22">
      <c r="A1133" s="1120"/>
      <c r="B1133" s="1131"/>
      <c r="C1133" s="23">
        <v>20240715</v>
      </c>
      <c r="D1133" s="23">
        <v>7.17</v>
      </c>
      <c r="E1133" s="23" t="s">
        <v>7295</v>
      </c>
      <c r="F1133" s="20" t="s">
        <v>767</v>
      </c>
      <c r="G1133" s="20"/>
      <c r="H1133" s="690"/>
      <c r="I1133" s="21"/>
      <c r="J1133" s="21"/>
      <c r="K1133" s="690"/>
      <c r="L1133" s="21"/>
      <c r="M1133" s="21"/>
      <c r="N1133" s="21"/>
      <c r="O1133" s="37">
        <v>0.0611984067919884</v>
      </c>
      <c r="P1133" s="37">
        <v>0.167740239737349</v>
      </c>
      <c r="Q1133" s="37" t="s">
        <v>1428</v>
      </c>
      <c r="R1133" s="774">
        <v>0.2</v>
      </c>
      <c r="S1133" s="37">
        <f t="shared" si="31"/>
        <v>0.428938646529337</v>
      </c>
      <c r="T1133" s="23"/>
      <c r="U1133" s="23"/>
      <c r="V1133" s="120"/>
    </row>
    <row r="1134" s="42" customFormat="1" ht="15" spans="1:22">
      <c r="A1134" s="1120"/>
      <c r="B1134" s="1131"/>
      <c r="C1134" s="23"/>
      <c r="D1134" s="23"/>
      <c r="E1134" s="23"/>
      <c r="F1134" s="20" t="s">
        <v>7296</v>
      </c>
      <c r="G1134" s="20"/>
      <c r="H1134" s="690"/>
      <c r="I1134" s="21"/>
      <c r="J1134" s="21"/>
      <c r="K1134" s="690"/>
      <c r="L1134" s="21"/>
      <c r="M1134" s="21"/>
      <c r="N1134" s="21"/>
      <c r="O1134" s="37">
        <v>0.537812315808395</v>
      </c>
      <c r="P1134" s="37">
        <v>4.30334209022306</v>
      </c>
      <c r="Q1134" s="37" t="s">
        <v>1428</v>
      </c>
      <c r="R1134" s="774">
        <v>0.4</v>
      </c>
      <c r="S1134" s="37">
        <f t="shared" si="31"/>
        <v>5.24115440603146</v>
      </c>
      <c r="T1134" s="23"/>
      <c r="U1134" s="23" t="s">
        <v>7297</v>
      </c>
      <c r="V1134" s="120" t="s">
        <v>1406</v>
      </c>
    </row>
    <row r="1135" s="42" customFormat="1" ht="15" spans="1:22">
      <c r="A1135" s="1120"/>
      <c r="B1135" s="1131"/>
      <c r="C1135" s="23"/>
      <c r="D1135" s="23"/>
      <c r="E1135" s="23"/>
      <c r="F1135" s="20" t="s">
        <v>7298</v>
      </c>
      <c r="G1135" s="20"/>
      <c r="H1135" s="690"/>
      <c r="I1135" s="21"/>
      <c r="J1135" s="21"/>
      <c r="K1135" s="690"/>
      <c r="L1135" s="21"/>
      <c r="M1135" s="21"/>
      <c r="N1135" s="21"/>
      <c r="O1135" s="37">
        <v>0.537812315808395</v>
      </c>
      <c r="P1135" s="37">
        <v>5.6249093029155</v>
      </c>
      <c r="Q1135" s="37" t="s">
        <v>1428</v>
      </c>
      <c r="R1135" s="774">
        <v>0.4</v>
      </c>
      <c r="S1135" s="37">
        <f t="shared" si="31"/>
        <v>6.5627216187239</v>
      </c>
      <c r="T1135" s="23"/>
      <c r="U1135" s="23" t="s">
        <v>7297</v>
      </c>
      <c r="V1135" s="120" t="s">
        <v>1406</v>
      </c>
    </row>
    <row r="1136" s="42" customFormat="1" ht="15" spans="1:22">
      <c r="A1136" s="1120"/>
      <c r="B1136" s="862"/>
      <c r="C1136" s="23"/>
      <c r="D1136" s="23"/>
      <c r="E1136" s="23"/>
      <c r="F1136" s="20" t="s">
        <v>7299</v>
      </c>
      <c r="G1136" s="20"/>
      <c r="H1136" s="690"/>
      <c r="I1136" s="21"/>
      <c r="J1136" s="21"/>
      <c r="K1136" s="690"/>
      <c r="L1136" s="21"/>
      <c r="M1136" s="21"/>
      <c r="N1136" s="21"/>
      <c r="O1136" s="37">
        <v>0.537812315808395</v>
      </c>
      <c r="P1136" s="37">
        <v>4.30825541305007</v>
      </c>
      <c r="Q1136" s="37" t="s">
        <v>1428</v>
      </c>
      <c r="R1136" s="774">
        <v>0.2</v>
      </c>
      <c r="S1136" s="37">
        <f t="shared" si="31"/>
        <v>5.04606772885846</v>
      </c>
      <c r="T1136" s="23"/>
      <c r="U1136" s="23" t="s">
        <v>7297</v>
      </c>
      <c r="V1136" s="120" t="s">
        <v>1406</v>
      </c>
    </row>
    <row r="1137" s="42" customFormat="1" ht="15" spans="1:22">
      <c r="A1137" s="1120"/>
      <c r="B1137" s="23" t="s">
        <v>6709</v>
      </c>
      <c r="C1137" s="23"/>
      <c r="D1137" s="23"/>
      <c r="E1137" s="23"/>
      <c r="F1137" s="20" t="s">
        <v>1617</v>
      </c>
      <c r="G1137" s="20" t="s">
        <v>1933</v>
      </c>
      <c r="H1137" s="21" t="s">
        <v>6710</v>
      </c>
      <c r="I1137" s="21" t="s">
        <v>1913</v>
      </c>
      <c r="J1137" s="21" t="s">
        <v>1428</v>
      </c>
      <c r="K1137" s="1071" t="s">
        <v>712</v>
      </c>
      <c r="L1137" s="21" t="s">
        <v>1428</v>
      </c>
      <c r="M1137" s="21" t="s">
        <v>1428</v>
      </c>
      <c r="N1137" s="21" t="s">
        <v>1428</v>
      </c>
      <c r="O1137" s="37">
        <v>3.57067920662544</v>
      </c>
      <c r="P1137" s="37">
        <v>28.29</v>
      </c>
      <c r="Q1137" s="37" t="s">
        <v>1428</v>
      </c>
      <c r="R1137" s="1069">
        <v>5.02775910095093</v>
      </c>
      <c r="S1137" s="37">
        <f t="shared" si="31"/>
        <v>36.8884383075764</v>
      </c>
      <c r="T1137" s="167" t="s">
        <v>1526</v>
      </c>
      <c r="U1137" s="167" t="s">
        <v>6711</v>
      </c>
    </row>
    <row r="1138" s="42" customFormat="1" ht="15" spans="1:22">
      <c r="A1138" s="1120"/>
      <c r="B1138" s="23"/>
      <c r="C1138" s="23"/>
      <c r="D1138" s="23"/>
      <c r="E1138" s="23"/>
      <c r="F1138" s="20" t="s">
        <v>1629</v>
      </c>
      <c r="G1138" s="20" t="s">
        <v>1933</v>
      </c>
      <c r="H1138" s="21" t="s">
        <v>6710</v>
      </c>
      <c r="I1138" s="21" t="s">
        <v>1913</v>
      </c>
      <c r="J1138" s="21" t="s">
        <v>1428</v>
      </c>
      <c r="K1138" s="1071" t="s">
        <v>712</v>
      </c>
      <c r="L1138" s="21" t="s">
        <v>1428</v>
      </c>
      <c r="M1138" s="21" t="s">
        <v>1428</v>
      </c>
      <c r="N1138" s="21" t="s">
        <v>1428</v>
      </c>
      <c r="O1138" s="37">
        <v>3.57067920662544</v>
      </c>
      <c r="P1138" s="37">
        <v>26.1871870946485</v>
      </c>
      <c r="Q1138" s="37" t="s">
        <v>1428</v>
      </c>
      <c r="R1138" s="1069">
        <v>5.02775910095093</v>
      </c>
      <c r="S1138" s="37">
        <f t="shared" si="31"/>
        <v>34.7856254022249</v>
      </c>
      <c r="T1138" s="167" t="s">
        <v>1526</v>
      </c>
      <c r="U1138" s="751" t="s">
        <v>6711</v>
      </c>
    </row>
    <row r="1139" s="42" customFormat="1" ht="15" spans="1:22">
      <c r="A1139" s="1120"/>
      <c r="B1139" s="23"/>
      <c r="C1139" s="23">
        <v>20240126</v>
      </c>
      <c r="D1139" s="23"/>
      <c r="E1139" s="23" t="s">
        <v>6712</v>
      </c>
      <c r="F1139" s="20" t="s">
        <v>1645</v>
      </c>
      <c r="G1139" s="20" t="s">
        <v>3540</v>
      </c>
      <c r="H1139" s="21" t="s">
        <v>6710</v>
      </c>
      <c r="I1139" s="21" t="s">
        <v>1913</v>
      </c>
      <c r="J1139" s="21" t="s">
        <v>1428</v>
      </c>
      <c r="K1139" s="1071" t="s">
        <v>712</v>
      </c>
      <c r="L1139" s="21" t="s">
        <v>1428</v>
      </c>
      <c r="M1139" s="21" t="s">
        <v>1428</v>
      </c>
      <c r="N1139" s="21" t="s">
        <v>1428</v>
      </c>
      <c r="O1139" s="37">
        <v>3.57067920662544</v>
      </c>
      <c r="P1139" s="37">
        <v>21.9722771385988</v>
      </c>
      <c r="Q1139" s="37" t="s">
        <v>1428</v>
      </c>
      <c r="R1139" s="1069">
        <v>5.02775910095093</v>
      </c>
      <c r="S1139" s="37">
        <f t="shared" si="31"/>
        <v>30.5707154461752</v>
      </c>
      <c r="T1139" s="167" t="s">
        <v>1526</v>
      </c>
      <c r="U1139" s="751" t="s">
        <v>6711</v>
      </c>
    </row>
    <row r="1140" s="42" customFormat="1" ht="15" spans="1:22">
      <c r="A1140" s="1120"/>
      <c r="B1140" s="23"/>
      <c r="C1140" s="23">
        <v>20240126</v>
      </c>
      <c r="D1140" s="23"/>
      <c r="E1140" s="23" t="s">
        <v>6713</v>
      </c>
      <c r="F1140" s="20" t="s">
        <v>1604</v>
      </c>
      <c r="G1140" s="20" t="s">
        <v>3540</v>
      </c>
      <c r="H1140" s="21" t="s">
        <v>6710</v>
      </c>
      <c r="I1140" s="21" t="s">
        <v>1913</v>
      </c>
      <c r="J1140" s="21" t="s">
        <v>1428</v>
      </c>
      <c r="K1140" s="1071" t="s">
        <v>712</v>
      </c>
      <c r="L1140" s="21" t="s">
        <v>1428</v>
      </c>
      <c r="M1140" s="21" t="s">
        <v>1428</v>
      </c>
      <c r="N1140" s="21" t="s">
        <v>1428</v>
      </c>
      <c r="O1140" s="37">
        <v>3.57067920662544</v>
      </c>
      <c r="P1140" s="37">
        <v>21.6130395855015</v>
      </c>
      <c r="Q1140" s="37" t="s">
        <v>1428</v>
      </c>
      <c r="R1140" s="1069">
        <v>5.02775910095093</v>
      </c>
      <c r="S1140" s="37">
        <f t="shared" si="31"/>
        <v>30.2114778930779</v>
      </c>
      <c r="T1140" s="167" t="s">
        <v>1526</v>
      </c>
      <c r="U1140" s="751" t="s">
        <v>6711</v>
      </c>
    </row>
    <row r="1141" s="839" customFormat="1" ht="20" customHeight="1" spans="1:22">
      <c r="A1141" s="1120"/>
      <c r="B1141" s="23"/>
      <c r="C1141" s="23">
        <v>20240126</v>
      </c>
      <c r="D1141" s="23"/>
      <c r="E1141" s="23" t="s">
        <v>6714</v>
      </c>
      <c r="F1141" s="20" t="s">
        <v>1571</v>
      </c>
      <c r="G1141" s="20" t="s">
        <v>3540</v>
      </c>
      <c r="H1141" s="21" t="s">
        <v>6710</v>
      </c>
      <c r="I1141" s="21" t="s">
        <v>1913</v>
      </c>
      <c r="J1141" s="21" t="s">
        <v>1428</v>
      </c>
      <c r="K1141" s="21" t="s">
        <v>1428</v>
      </c>
      <c r="L1141" s="21" t="s">
        <v>1428</v>
      </c>
      <c r="M1141" s="21" t="s">
        <v>1428</v>
      </c>
      <c r="N1141" s="21" t="s">
        <v>1428</v>
      </c>
      <c r="O1141" s="37">
        <v>3.57067920662544</v>
      </c>
      <c r="P1141" s="37">
        <v>19.6838556099124</v>
      </c>
      <c r="Q1141" s="37" t="s">
        <v>1428</v>
      </c>
      <c r="R1141" s="770">
        <v>5.02775910095093</v>
      </c>
      <c r="S1141" s="37">
        <f t="shared" si="31"/>
        <v>28.2822939174888</v>
      </c>
      <c r="T1141" s="167" t="s">
        <v>1526</v>
      </c>
      <c r="U1141" s="751" t="s">
        <v>6711</v>
      </c>
    </row>
    <row r="1142" s="42" customFormat="1" spans="1:22">
      <c r="A1142" s="1120"/>
      <c r="B1142" s="23"/>
      <c r="C1142" s="23"/>
      <c r="D1142" s="23"/>
      <c r="E1142" s="23"/>
      <c r="F1142" s="20" t="s">
        <v>1136</v>
      </c>
      <c r="G1142" s="20"/>
      <c r="H1142" s="21"/>
      <c r="I1142" s="21"/>
      <c r="J1142" s="22"/>
      <c r="K1142" s="21"/>
      <c r="L1142" s="21"/>
      <c r="M1142" s="21"/>
      <c r="N1142" s="21"/>
      <c r="O1142" s="37">
        <v>0.19</v>
      </c>
      <c r="P1142" s="37">
        <v>2.36</v>
      </c>
      <c r="Q1142" s="37" t="s">
        <v>1428</v>
      </c>
      <c r="R1142" s="66">
        <v>0.4</v>
      </c>
      <c r="S1142" s="37">
        <f t="shared" si="31"/>
        <v>2.95</v>
      </c>
      <c r="T1142" s="23"/>
      <c r="U1142" s="35"/>
    </row>
    <row r="1143" s="839" customFormat="1" spans="1:22">
      <c r="A1143" s="1120"/>
      <c r="B1143" s="23"/>
      <c r="C1143" s="23"/>
      <c r="D1143" s="23"/>
      <c r="E1143" s="23"/>
      <c r="F1143" s="20" t="s">
        <v>6715</v>
      </c>
      <c r="G1143" s="20"/>
      <c r="H1143" s="21"/>
      <c r="I1143" s="21"/>
      <c r="J1143" s="22"/>
      <c r="K1143" s="21"/>
      <c r="L1143" s="21"/>
      <c r="M1143" s="21"/>
      <c r="N1143" s="21"/>
      <c r="O1143" s="37">
        <v>0.366624525916561</v>
      </c>
      <c r="P1143" s="37">
        <v>3.46372971238938</v>
      </c>
      <c r="Q1143" s="37" t="s">
        <v>1428</v>
      </c>
      <c r="R1143" s="37">
        <v>0.4</v>
      </c>
      <c r="S1143" s="37">
        <f t="shared" si="31"/>
        <v>4.23035423830594</v>
      </c>
      <c r="T1143" s="23"/>
      <c r="U1143" s="35"/>
    </row>
    <row r="1144" s="930" customFormat="1" ht="15" customHeight="1" spans="1:22">
      <c r="A1144" s="1189"/>
      <c r="B1144" s="729" t="s">
        <v>7300</v>
      </c>
      <c r="C1144" s="142"/>
      <c r="D1144" s="142"/>
      <c r="E1144" s="142"/>
      <c r="F1144" s="729" t="s">
        <v>1629</v>
      </c>
      <c r="G1144" s="23" t="s">
        <v>1933</v>
      </c>
      <c r="H1144" s="689" t="s">
        <v>7301</v>
      </c>
      <c r="I1144" s="21" t="s">
        <v>3670</v>
      </c>
      <c r="J1144" s="21" t="s">
        <v>3891</v>
      </c>
      <c r="K1144" s="1071" t="s">
        <v>712</v>
      </c>
      <c r="L1144" s="689" t="s">
        <v>1428</v>
      </c>
      <c r="M1144" s="863">
        <v>3.9</v>
      </c>
      <c r="N1144" s="689" t="s">
        <v>1428</v>
      </c>
      <c r="O1144" s="822">
        <v>4.76702684202806</v>
      </c>
      <c r="P1144" s="37">
        <v>17.9211822660099</v>
      </c>
      <c r="Q1144" s="22" t="s">
        <v>1428</v>
      </c>
      <c r="R1144" s="37">
        <v>3.21748515196715</v>
      </c>
      <c r="S1144" s="22">
        <f t="shared" si="31"/>
        <v>29.8056942600051</v>
      </c>
      <c r="T1144" s="729" t="s">
        <v>3800</v>
      </c>
      <c r="U1144" s="759" t="s">
        <v>7302</v>
      </c>
      <c r="V1144" s="1190" t="s">
        <v>1406</v>
      </c>
    </row>
    <row r="1145" s="930" customFormat="1" ht="15" customHeight="1" spans="1:22">
      <c r="A1145" s="1189"/>
      <c r="B1145" s="729"/>
      <c r="C1145" s="142"/>
      <c r="D1145" s="142"/>
      <c r="E1145" s="142"/>
      <c r="F1145" s="729" t="s">
        <v>7303</v>
      </c>
      <c r="G1145" s="23" t="s">
        <v>7304</v>
      </c>
      <c r="H1145" s="689" t="s">
        <v>7301</v>
      </c>
      <c r="I1145" s="21" t="s">
        <v>1913</v>
      </c>
      <c r="J1145" s="21" t="s">
        <v>5838</v>
      </c>
      <c r="K1145" s="1071" t="s">
        <v>712</v>
      </c>
      <c r="L1145" s="689" t="s">
        <v>1428</v>
      </c>
      <c r="M1145" s="689" t="s">
        <v>1428</v>
      </c>
      <c r="N1145" s="689">
        <v>1.8</v>
      </c>
      <c r="O1145" s="822">
        <v>4.76702684202806</v>
      </c>
      <c r="P1145" s="37">
        <v>13.9704433497537</v>
      </c>
      <c r="Q1145" s="22" t="s">
        <v>1428</v>
      </c>
      <c r="R1145" s="37">
        <v>3.21748515196715</v>
      </c>
      <c r="S1145" s="22">
        <f t="shared" si="31"/>
        <v>23.7549553437489</v>
      </c>
      <c r="T1145" s="729" t="s">
        <v>2854</v>
      </c>
      <c r="U1145" s="20" t="s">
        <v>7305</v>
      </c>
      <c r="V1145" s="1190" t="s">
        <v>1406</v>
      </c>
    </row>
    <row r="1146" s="930" customFormat="1" ht="15" customHeight="1" spans="1:22">
      <c r="A1146" s="1189"/>
      <c r="B1146" s="729"/>
      <c r="C1146" s="142"/>
      <c r="D1146" s="142"/>
      <c r="E1146" s="142"/>
      <c r="F1146" s="729" t="s">
        <v>1604</v>
      </c>
      <c r="G1146" s="23" t="s">
        <v>1933</v>
      </c>
      <c r="H1146" s="689" t="s">
        <v>7301</v>
      </c>
      <c r="I1146" s="21" t="s">
        <v>3670</v>
      </c>
      <c r="J1146" s="21" t="s">
        <v>5838</v>
      </c>
      <c r="K1146" s="1071" t="s">
        <v>712</v>
      </c>
      <c r="L1146" s="689" t="s">
        <v>1428</v>
      </c>
      <c r="M1146" s="863">
        <v>3.9</v>
      </c>
      <c r="N1146" s="689">
        <v>1.8</v>
      </c>
      <c r="O1146" s="822">
        <v>4.76702684202806</v>
      </c>
      <c r="P1146" s="37">
        <v>17.8522167487685</v>
      </c>
      <c r="Q1146" s="22" t="s">
        <v>1428</v>
      </c>
      <c r="R1146" s="37">
        <v>3.21748515196715</v>
      </c>
      <c r="S1146" s="22">
        <f t="shared" si="31"/>
        <v>31.5367287427637</v>
      </c>
      <c r="T1146" s="729" t="s">
        <v>3800</v>
      </c>
      <c r="U1146" s="759" t="s">
        <v>7306</v>
      </c>
      <c r="V1146" s="1190" t="s">
        <v>1406</v>
      </c>
    </row>
    <row r="1147" s="930" customFormat="1" ht="15" customHeight="1" spans="1:22">
      <c r="A1147" s="1189"/>
      <c r="B1147" s="729"/>
      <c r="C1147" s="142"/>
      <c r="D1147" s="142"/>
      <c r="E1147" s="142"/>
      <c r="F1147" s="729" t="s">
        <v>1571</v>
      </c>
      <c r="G1147" s="23" t="s">
        <v>7304</v>
      </c>
      <c r="H1147" s="689" t="s">
        <v>7301</v>
      </c>
      <c r="I1147" s="21" t="s">
        <v>3670</v>
      </c>
      <c r="J1147" s="21" t="s">
        <v>5838</v>
      </c>
      <c r="K1147" s="1071" t="s">
        <v>712</v>
      </c>
      <c r="L1147" s="689" t="s">
        <v>1428</v>
      </c>
      <c r="M1147" s="863">
        <v>3.9</v>
      </c>
      <c r="N1147" s="689">
        <v>1.8</v>
      </c>
      <c r="O1147" s="822">
        <v>4.76702684202806</v>
      </c>
      <c r="P1147" s="37">
        <v>16.2955665024631</v>
      </c>
      <c r="Q1147" s="22" t="s">
        <v>1428</v>
      </c>
      <c r="R1147" s="37">
        <v>3.21748515196715</v>
      </c>
      <c r="S1147" s="22">
        <f t="shared" si="31"/>
        <v>29.9800784964583</v>
      </c>
      <c r="T1147" s="729" t="s">
        <v>3800</v>
      </c>
      <c r="U1147" s="759" t="s">
        <v>7307</v>
      </c>
      <c r="V1147" s="1190" t="s">
        <v>1406</v>
      </c>
    </row>
    <row r="1148" s="930" customFormat="1" ht="15" customHeight="1" spans="1:22">
      <c r="A1148" s="1189"/>
      <c r="B1148" s="729"/>
      <c r="C1148" s="142"/>
      <c r="D1148" s="142"/>
      <c r="E1148" s="142"/>
      <c r="F1148" s="729" t="s">
        <v>2488</v>
      </c>
      <c r="G1148" s="23" t="s">
        <v>1933</v>
      </c>
      <c r="H1148" s="689" t="s">
        <v>4877</v>
      </c>
      <c r="I1148" s="689" t="s">
        <v>1428</v>
      </c>
      <c r="J1148" s="689" t="s">
        <v>1428</v>
      </c>
      <c r="K1148" s="1071" t="s">
        <v>712</v>
      </c>
      <c r="L1148" s="689" t="s">
        <v>1428</v>
      </c>
      <c r="M1148" s="689" t="s">
        <v>1428</v>
      </c>
      <c r="N1148" s="689" t="s">
        <v>1428</v>
      </c>
      <c r="O1148" s="822">
        <v>4.76702684202806</v>
      </c>
      <c r="P1148" s="37">
        <v>19.3498543102663</v>
      </c>
      <c r="Q1148" s="22" t="s">
        <v>1428</v>
      </c>
      <c r="R1148" s="37">
        <v>3.21748515196715</v>
      </c>
      <c r="S1148" s="22">
        <f t="shared" si="31"/>
        <v>27.3343663042615</v>
      </c>
      <c r="T1148" s="729" t="s">
        <v>2854</v>
      </c>
      <c r="U1148" s="20" t="s">
        <v>7308</v>
      </c>
      <c r="V1148" s="1190" t="s">
        <v>1406</v>
      </c>
    </row>
    <row r="1149" s="995" customFormat="1" ht="15" customHeight="1" spans="1:22">
      <c r="A1149" s="1189"/>
      <c r="B1149" s="729"/>
      <c r="C1149" s="142"/>
      <c r="D1149" s="142"/>
      <c r="E1149" s="142"/>
      <c r="F1149" s="729" t="s">
        <v>7309</v>
      </c>
      <c r="G1149" s="23" t="s">
        <v>1933</v>
      </c>
      <c r="H1149" s="689" t="s">
        <v>4877</v>
      </c>
      <c r="I1149" s="689" t="s">
        <v>1428</v>
      </c>
      <c r="J1149" s="689" t="s">
        <v>3939</v>
      </c>
      <c r="K1149" s="1071" t="s">
        <v>712</v>
      </c>
      <c r="L1149" s="689" t="s">
        <v>1428</v>
      </c>
      <c r="M1149" s="689" t="s">
        <v>1428</v>
      </c>
      <c r="N1149" s="689">
        <v>3</v>
      </c>
      <c r="O1149" s="822">
        <v>4.76702684202806</v>
      </c>
      <c r="P1149" s="37">
        <v>15.2737006300579</v>
      </c>
      <c r="Q1149" s="22" t="s">
        <v>1428</v>
      </c>
      <c r="R1149" s="37">
        <v>0.304564414383013</v>
      </c>
      <c r="S1149" s="22">
        <f t="shared" si="31"/>
        <v>23.345291886469</v>
      </c>
      <c r="T1149" s="729" t="s">
        <v>2854</v>
      </c>
      <c r="U1149" s="20" t="s">
        <v>7310</v>
      </c>
      <c r="V1149" s="1190" t="s">
        <v>1406</v>
      </c>
    </row>
    <row r="1150" s="995" customFormat="1" ht="15" customHeight="1" spans="1:22">
      <c r="A1150" s="1189"/>
      <c r="B1150" s="729"/>
      <c r="C1150" s="142">
        <v>20240415</v>
      </c>
      <c r="D1150" s="142"/>
      <c r="E1150" s="142" t="s">
        <v>7311</v>
      </c>
      <c r="F1150" s="729" t="s">
        <v>7312</v>
      </c>
      <c r="G1150" s="23" t="s">
        <v>1933</v>
      </c>
      <c r="H1150" s="689" t="s">
        <v>5100</v>
      </c>
      <c r="I1150" s="689" t="s">
        <v>1428</v>
      </c>
      <c r="J1150" s="689" t="s">
        <v>1692</v>
      </c>
      <c r="K1150" s="1071" t="s">
        <v>712</v>
      </c>
      <c r="L1150" s="689" t="s">
        <v>1428</v>
      </c>
      <c r="M1150" s="689" t="s">
        <v>1428</v>
      </c>
      <c r="N1150" s="1191">
        <v>8.8</v>
      </c>
      <c r="O1150" s="822">
        <v>4.76702684202806</v>
      </c>
      <c r="P1150" s="37">
        <v>16.1919122425429</v>
      </c>
      <c r="Q1150" s="22" t="s">
        <v>1428</v>
      </c>
      <c r="R1150" s="37">
        <v>3.21748515196715</v>
      </c>
      <c r="S1150" s="22">
        <f t="shared" si="31"/>
        <v>32.9764242365381</v>
      </c>
      <c r="T1150" s="729" t="s">
        <v>2854</v>
      </c>
      <c r="U1150" s="20" t="s">
        <v>7313</v>
      </c>
      <c r="V1150" s="1190"/>
    </row>
    <row r="1151" s="995" customFormat="1" ht="15" customHeight="1" spans="1:22">
      <c r="A1151" s="1189"/>
      <c r="B1151" s="729"/>
      <c r="C1151" s="142">
        <v>20240312</v>
      </c>
      <c r="D1151" s="142">
        <v>7.24</v>
      </c>
      <c r="E1151" s="142" t="s">
        <v>7314</v>
      </c>
      <c r="F1151" s="729" t="s">
        <v>7315</v>
      </c>
      <c r="G1151" s="23"/>
      <c r="H1151" s="689"/>
      <c r="I1151" s="689"/>
      <c r="J1151" s="689"/>
      <c r="K1151" s="21"/>
      <c r="L1151" s="689"/>
      <c r="M1151" s="689"/>
      <c r="N1151" s="689"/>
      <c r="O1151" s="822">
        <v>0.593534906588004</v>
      </c>
      <c r="P1151" s="822">
        <v>3.18097830747842</v>
      </c>
      <c r="Q1151" s="22" t="s">
        <v>1428</v>
      </c>
      <c r="R1151" s="37">
        <v>0.4</v>
      </c>
      <c r="S1151" s="22">
        <f t="shared" si="31"/>
        <v>4.17451321406642</v>
      </c>
      <c r="T1151" s="729"/>
      <c r="U1151" s="20" t="s">
        <v>7316</v>
      </c>
      <c r="V1151" s="1190" t="s">
        <v>1406</v>
      </c>
    </row>
    <row r="1152" s="995" customFormat="1" ht="15" customHeight="1" spans="1:22">
      <c r="A1152" s="1189"/>
      <c r="B1152" s="729"/>
      <c r="C1152" s="142"/>
      <c r="D1152" s="142"/>
      <c r="E1152" s="142"/>
      <c r="F1152" s="729" t="s">
        <v>7317</v>
      </c>
      <c r="G1152" s="23"/>
      <c r="H1152" s="689"/>
      <c r="I1152" s="689"/>
      <c r="J1152" s="689"/>
      <c r="K1152" s="21"/>
      <c r="L1152" s="689"/>
      <c r="M1152" s="689"/>
      <c r="N1152" s="822"/>
      <c r="O1152" s="822">
        <v>0.400164418008608</v>
      </c>
      <c r="P1152" s="37">
        <v>2.37049775422506</v>
      </c>
      <c r="Q1152" s="22" t="s">
        <v>1428</v>
      </c>
      <c r="R1152" s="22">
        <v>0.3</v>
      </c>
      <c r="S1152" s="22">
        <f t="shared" si="31"/>
        <v>3.07066217223367</v>
      </c>
      <c r="T1152" s="729"/>
      <c r="U1152" s="20" t="s">
        <v>25</v>
      </c>
      <c r="V1152" s="1190" t="s">
        <v>1406</v>
      </c>
    </row>
    <row r="1153" s="996" customFormat="1" spans="1:22">
      <c r="A1153" s="1189"/>
      <c r="B1153" s="729"/>
      <c r="C1153" s="142"/>
      <c r="D1153" s="142"/>
      <c r="E1153" s="142"/>
      <c r="F1153" s="39" t="s">
        <v>6834</v>
      </c>
      <c r="G1153" s="23"/>
      <c r="H1153" s="21"/>
      <c r="I1153" s="21"/>
      <c r="J1153" s="21"/>
      <c r="K1153" s="21"/>
      <c r="L1153" s="690"/>
      <c r="M1153" s="21"/>
      <c r="N1153" s="690"/>
      <c r="O1153" s="1155">
        <v>0.48</v>
      </c>
      <c r="P1153" s="37">
        <v>1.54679802955665</v>
      </c>
      <c r="Q1153" s="690" t="s">
        <v>1428</v>
      </c>
      <c r="R1153" s="22">
        <v>0.2</v>
      </c>
      <c r="S1153" s="22">
        <f t="shared" si="31"/>
        <v>2.22679802955665</v>
      </c>
      <c r="T1153" s="688"/>
      <c r="U1153" s="39"/>
      <c r="V1153" s="1190" t="s">
        <v>1406</v>
      </c>
    </row>
    <row r="1154" s="996" customFormat="1" spans="1:22">
      <c r="A1154" s="1189"/>
      <c r="B1154" s="729"/>
      <c r="C1154" s="142"/>
      <c r="D1154" s="142"/>
      <c r="E1154" s="142"/>
      <c r="F1154" s="39" t="s">
        <v>6836</v>
      </c>
      <c r="G1154" s="39"/>
      <c r="H1154" s="21"/>
      <c r="I1154" s="21"/>
      <c r="J1154" s="21"/>
      <c r="K1154" s="690"/>
      <c r="L1154" s="690"/>
      <c r="M1154" s="690"/>
      <c r="N1154" s="690"/>
      <c r="O1154" s="1155">
        <v>0.48</v>
      </c>
      <c r="P1154" s="37">
        <v>0.82</v>
      </c>
      <c r="Q1154" s="690" t="s">
        <v>1428</v>
      </c>
      <c r="R1154" s="22">
        <v>0.2</v>
      </c>
      <c r="S1154" s="22">
        <f t="shared" si="31"/>
        <v>1.5</v>
      </c>
      <c r="T1154" s="688"/>
      <c r="U1154" s="39"/>
      <c r="V1154" s="1190" t="s">
        <v>1406</v>
      </c>
    </row>
    <row r="1155" s="997" customFormat="1" ht="14.25" customHeight="1" spans="1:22">
      <c r="A1155" s="1189"/>
      <c r="B1155" s="23"/>
      <c r="C1155" s="123"/>
      <c r="D1155" s="123"/>
      <c r="E1155" s="123"/>
      <c r="F1155" s="23" t="s">
        <v>7318</v>
      </c>
      <c r="G1155" s="20"/>
      <c r="H1155" s="21"/>
      <c r="I1155" s="37"/>
      <c r="J1155" s="21"/>
      <c r="K1155" s="21"/>
      <c r="L1155" s="21"/>
      <c r="M1155" s="21"/>
      <c r="N1155" s="21"/>
      <c r="O1155" s="22">
        <v>0.295566502463054</v>
      </c>
      <c r="P1155" s="37">
        <v>0.660098522167488</v>
      </c>
      <c r="Q1155" s="22" t="s">
        <v>1428</v>
      </c>
      <c r="R1155" s="22">
        <v>0.4</v>
      </c>
      <c r="S1155" s="22">
        <f t="shared" si="31"/>
        <v>1.35566502463054</v>
      </c>
      <c r="T1155" s="38"/>
      <c r="U1155" s="20"/>
      <c r="V1155" s="1190" t="s">
        <v>1406</v>
      </c>
    </row>
    <row r="1156" s="997" customFormat="1" ht="14.25" customHeight="1" spans="1:22">
      <c r="A1156" s="1189"/>
      <c r="B1156" s="23"/>
      <c r="C1156" s="123"/>
      <c r="D1156" s="123"/>
      <c r="E1156" s="123"/>
      <c r="F1156" s="23" t="s">
        <v>6922</v>
      </c>
      <c r="G1156" s="20"/>
      <c r="H1156" s="21"/>
      <c r="I1156" s="37"/>
      <c r="J1156" s="21"/>
      <c r="K1156" s="21"/>
      <c r="L1156" s="21"/>
      <c r="M1156" s="21"/>
      <c r="N1156" s="21"/>
      <c r="O1156" s="22">
        <v>0.482758620689655</v>
      </c>
      <c r="P1156" s="37">
        <v>3.16256157635468</v>
      </c>
      <c r="Q1156" s="22" t="s">
        <v>1428</v>
      </c>
      <c r="R1156" s="22">
        <v>0.4</v>
      </c>
      <c r="S1156" s="22">
        <f t="shared" si="31"/>
        <v>4.04532019704434</v>
      </c>
      <c r="T1156" s="38"/>
      <c r="U1156" s="20" t="s">
        <v>6688</v>
      </c>
      <c r="V1156" s="1190" t="s">
        <v>1406</v>
      </c>
    </row>
    <row r="1157" s="930" customFormat="1" ht="15" customHeight="1" spans="1:22">
      <c r="A1157" s="1189"/>
      <c r="B1157" s="729"/>
      <c r="C1157" s="142"/>
      <c r="D1157" s="142"/>
      <c r="E1157" s="142"/>
      <c r="F1157" s="729" t="s">
        <v>7319</v>
      </c>
      <c r="G1157" s="23"/>
      <c r="H1157" s="689"/>
      <c r="I1157" s="21"/>
      <c r="J1157" s="21"/>
      <c r="K1157" s="21"/>
      <c r="L1157" s="689"/>
      <c r="M1157" s="689"/>
      <c r="N1157" s="689"/>
      <c r="O1157" s="22">
        <v>0.157635467980296</v>
      </c>
      <c r="P1157" s="37">
        <v>1.67487684729064</v>
      </c>
      <c r="Q1157" s="22" t="s">
        <v>1428</v>
      </c>
      <c r="R1157" s="22">
        <v>0.2</v>
      </c>
      <c r="S1157" s="22">
        <f t="shared" si="31"/>
        <v>2.03251231527094</v>
      </c>
      <c r="T1157" s="729"/>
      <c r="U1157" s="20"/>
      <c r="V1157" s="1190" t="s">
        <v>1406</v>
      </c>
    </row>
    <row r="1158" s="996" customFormat="1" spans="1:22">
      <c r="A1158" s="1189"/>
      <c r="B1158" s="729"/>
      <c r="C1158" s="142"/>
      <c r="D1158" s="142"/>
      <c r="E1158" s="142"/>
      <c r="F1158" s="20" t="s">
        <v>6385</v>
      </c>
      <c r="G1158" s="20"/>
      <c r="H1158" s="21"/>
      <c r="I1158" s="21"/>
      <c r="J1158" s="21"/>
      <c r="K1158" s="21"/>
      <c r="L1158" s="21"/>
      <c r="M1158" s="21"/>
      <c r="N1158" s="21"/>
      <c r="O1158" s="22">
        <v>0.108374384236453</v>
      </c>
      <c r="P1158" s="37">
        <v>1.49753694581281</v>
      </c>
      <c r="Q1158" s="22" t="s">
        <v>1428</v>
      </c>
      <c r="R1158" s="22">
        <v>0.2</v>
      </c>
      <c r="S1158" s="22">
        <f t="shared" si="31"/>
        <v>1.80591133004926</v>
      </c>
      <c r="T1158" s="20"/>
      <c r="U1158" s="20"/>
      <c r="V1158" s="1190" t="s">
        <v>1406</v>
      </c>
    </row>
    <row r="1159" s="930" customFormat="1" ht="15" customHeight="1" spans="1:22">
      <c r="A1159" s="1189"/>
      <c r="B1159" s="729" t="s">
        <v>7320</v>
      </c>
      <c r="C1159" s="142"/>
      <c r="D1159" s="142"/>
      <c r="E1159" s="142"/>
      <c r="F1159" s="729" t="s">
        <v>1604</v>
      </c>
      <c r="G1159" s="23" t="s">
        <v>1933</v>
      </c>
      <c r="H1159" s="689" t="s">
        <v>7301</v>
      </c>
      <c r="I1159" s="21" t="s">
        <v>6239</v>
      </c>
      <c r="J1159" s="21" t="s">
        <v>3939</v>
      </c>
      <c r="K1159" s="1071" t="s">
        <v>712</v>
      </c>
      <c r="L1159" s="689" t="s">
        <v>1428</v>
      </c>
      <c r="M1159" s="863">
        <v>7.2</v>
      </c>
      <c r="N1159" s="689">
        <v>3</v>
      </c>
      <c r="O1159" s="822">
        <v>2.53</v>
      </c>
      <c r="P1159" s="37">
        <v>17.12</v>
      </c>
      <c r="Q1159" s="22" t="s">
        <v>1428</v>
      </c>
      <c r="R1159" s="37">
        <v>4.01629370629371</v>
      </c>
      <c r="S1159" s="22">
        <f t="shared" si="31"/>
        <v>33.8662937062937</v>
      </c>
      <c r="T1159" s="729" t="s">
        <v>6070</v>
      </c>
      <c r="U1159" s="20" t="s">
        <v>7321</v>
      </c>
      <c r="V1159" s="1190" t="s">
        <v>1406</v>
      </c>
    </row>
    <row r="1160" s="930" customFormat="1" ht="15" customHeight="1" spans="1:22">
      <c r="A1160" s="1189"/>
      <c r="B1160" s="729"/>
      <c r="C1160" s="142"/>
      <c r="D1160" s="142"/>
      <c r="E1160" s="142"/>
      <c r="F1160" s="729" t="s">
        <v>7303</v>
      </c>
      <c r="G1160" s="23" t="s">
        <v>7304</v>
      </c>
      <c r="H1160" s="689" t="s">
        <v>7301</v>
      </c>
      <c r="I1160" s="21" t="s">
        <v>6169</v>
      </c>
      <c r="J1160" s="21" t="s">
        <v>3874</v>
      </c>
      <c r="K1160" s="1071" t="s">
        <v>712</v>
      </c>
      <c r="L1160" s="689" t="s">
        <v>1428</v>
      </c>
      <c r="M1160" s="689" t="s">
        <v>1428</v>
      </c>
      <c r="N1160" s="689">
        <v>2.5</v>
      </c>
      <c r="O1160" s="822">
        <v>2.53</v>
      </c>
      <c r="P1160" s="37">
        <v>13.3793103448276</v>
      </c>
      <c r="Q1160" s="22" t="s">
        <v>1428</v>
      </c>
      <c r="R1160" s="37">
        <v>4.01629370629371</v>
      </c>
      <c r="S1160" s="22">
        <f t="shared" si="31"/>
        <v>22.4256040511213</v>
      </c>
      <c r="T1160" s="729" t="s">
        <v>5989</v>
      </c>
      <c r="U1160" s="20" t="s">
        <v>7322</v>
      </c>
      <c r="V1160" s="1190" t="s">
        <v>1406</v>
      </c>
    </row>
    <row r="1161" s="997" customFormat="1" ht="14.25" customHeight="1" spans="1:22">
      <c r="A1161" s="1189"/>
      <c r="B1161" s="23"/>
      <c r="C1161" s="123"/>
      <c r="D1161" s="123"/>
      <c r="E1161" s="123"/>
      <c r="F1161" s="23" t="s">
        <v>7318</v>
      </c>
      <c r="G1161" s="20"/>
      <c r="H1161" s="21"/>
      <c r="I1161" s="37"/>
      <c r="J1161" s="21"/>
      <c r="K1161" s="21"/>
      <c r="L1161" s="21"/>
      <c r="M1161" s="21"/>
      <c r="N1161" s="21"/>
      <c r="O1161" s="22">
        <v>0.295566502463054</v>
      </c>
      <c r="P1161" s="37">
        <v>0.660098522167488</v>
      </c>
      <c r="Q1161" s="22" t="s">
        <v>1428</v>
      </c>
      <c r="R1161" s="22">
        <v>0.4</v>
      </c>
      <c r="S1161" s="22">
        <f t="shared" si="31"/>
        <v>1.35566502463054</v>
      </c>
      <c r="T1161" s="38"/>
      <c r="U1161" s="20"/>
      <c r="V1161" s="1190" t="s">
        <v>1406</v>
      </c>
    </row>
    <row r="1162" s="997" customFormat="1" ht="14.25" customHeight="1" spans="1:22">
      <c r="A1162" s="1189"/>
      <c r="B1162" s="23"/>
      <c r="C1162" s="123"/>
      <c r="D1162" s="123"/>
      <c r="E1162" s="123"/>
      <c r="F1162" s="23" t="s">
        <v>6922</v>
      </c>
      <c r="G1162" s="20"/>
      <c r="H1162" s="21"/>
      <c r="I1162" s="37"/>
      <c r="J1162" s="21"/>
      <c r="K1162" s="21"/>
      <c r="L1162" s="21"/>
      <c r="M1162" s="21"/>
      <c r="N1162" s="21"/>
      <c r="O1162" s="22">
        <v>0.482758620689655</v>
      </c>
      <c r="P1162" s="37">
        <v>3.16256157635468</v>
      </c>
      <c r="Q1162" s="22" t="s">
        <v>1428</v>
      </c>
      <c r="R1162" s="22">
        <v>0.4</v>
      </c>
      <c r="S1162" s="22">
        <f t="shared" si="31"/>
        <v>4.04532019704434</v>
      </c>
      <c r="T1162" s="38"/>
      <c r="U1162" s="20" t="s">
        <v>6688</v>
      </c>
      <c r="V1162" s="1190" t="s">
        <v>1406</v>
      </c>
    </row>
    <row r="1163" s="996" customFormat="1" spans="1:22">
      <c r="A1163" s="1189"/>
      <c r="B1163" s="23"/>
      <c r="C1163" s="123"/>
      <c r="D1163" s="123"/>
      <c r="E1163" s="123"/>
      <c r="F1163" s="20" t="s">
        <v>904</v>
      </c>
      <c r="G1163" s="20"/>
      <c r="H1163" s="21"/>
      <c r="I1163" s="21"/>
      <c r="J1163" s="21"/>
      <c r="K1163" s="21"/>
      <c r="L1163" s="21"/>
      <c r="M1163" s="21"/>
      <c r="N1163" s="21"/>
      <c r="O1163" s="22">
        <v>0.14</v>
      </c>
      <c r="P1163" s="37">
        <v>0.77</v>
      </c>
      <c r="Q1163" s="22" t="s">
        <v>1428</v>
      </c>
      <c r="R1163" s="22">
        <v>0.2</v>
      </c>
      <c r="S1163" s="22">
        <f t="shared" si="31"/>
        <v>1.11</v>
      </c>
      <c r="T1163" s="20"/>
      <c r="U1163" s="20"/>
      <c r="V1163" s="1190" t="s">
        <v>1406</v>
      </c>
    </row>
    <row r="1164" s="996" customFormat="1" spans="1:22">
      <c r="A1164" s="1189"/>
      <c r="B1164" s="729"/>
      <c r="C1164" s="142"/>
      <c r="D1164" s="142"/>
      <c r="E1164" s="142"/>
      <c r="F1164" s="20" t="s">
        <v>6385</v>
      </c>
      <c r="G1164" s="20"/>
      <c r="H1164" s="21"/>
      <c r="I1164" s="21"/>
      <c r="J1164" s="21"/>
      <c r="K1164" s="21"/>
      <c r="L1164" s="21"/>
      <c r="M1164" s="21"/>
      <c r="N1164" s="21"/>
      <c r="O1164" s="22">
        <v>0.108374384236453</v>
      </c>
      <c r="P1164" s="37">
        <v>1.49753694581281</v>
      </c>
      <c r="Q1164" s="22" t="s">
        <v>1428</v>
      </c>
      <c r="R1164" s="22">
        <v>0.2</v>
      </c>
      <c r="S1164" s="22">
        <f t="shared" si="31"/>
        <v>1.80591133004926</v>
      </c>
      <c r="T1164" s="20"/>
      <c r="U1164" s="20"/>
      <c r="V1164" s="1190" t="s">
        <v>1406</v>
      </c>
    </row>
    <row r="1165" s="930" customFormat="1" ht="15" customHeight="1" spans="1:22">
      <c r="A1165" s="1189"/>
      <c r="B1165" s="729" t="s">
        <v>7323</v>
      </c>
      <c r="C1165" s="142"/>
      <c r="D1165" s="142"/>
      <c r="E1165" s="142"/>
      <c r="F1165" s="729" t="s">
        <v>1565</v>
      </c>
      <c r="G1165" s="23" t="s">
        <v>7304</v>
      </c>
      <c r="H1165" s="689" t="s">
        <v>7301</v>
      </c>
      <c r="I1165" s="21" t="s">
        <v>3670</v>
      </c>
      <c r="J1165" s="21" t="s">
        <v>4670</v>
      </c>
      <c r="K1165" s="1071" t="s">
        <v>712</v>
      </c>
      <c r="L1165" s="689" t="s">
        <v>1428</v>
      </c>
      <c r="M1165" s="863">
        <v>3.9</v>
      </c>
      <c r="N1165" s="689">
        <v>1.8</v>
      </c>
      <c r="O1165" s="822">
        <v>3.69458128078818</v>
      </c>
      <c r="P1165" s="37">
        <v>16.5221674876847</v>
      </c>
      <c r="Q1165" s="22" t="s">
        <v>1428</v>
      </c>
      <c r="R1165" s="37">
        <v>4.01629370629371</v>
      </c>
      <c r="S1165" s="22">
        <f t="shared" si="31"/>
        <v>29.9330424747666</v>
      </c>
      <c r="T1165" s="729" t="s">
        <v>3800</v>
      </c>
      <c r="U1165" s="759" t="s">
        <v>7324</v>
      </c>
      <c r="V1165" s="1190" t="s">
        <v>1406</v>
      </c>
    </row>
    <row r="1166" s="930" customFormat="1" ht="15" customHeight="1" spans="1:22">
      <c r="A1166" s="1189"/>
      <c r="B1166" s="729"/>
      <c r="C1166" s="142"/>
      <c r="D1166" s="142"/>
      <c r="E1166" s="142"/>
      <c r="F1166" s="729" t="s">
        <v>1629</v>
      </c>
      <c r="G1166" s="23" t="s">
        <v>7304</v>
      </c>
      <c r="H1166" s="689" t="s">
        <v>7301</v>
      </c>
      <c r="I1166" s="21" t="s">
        <v>3670</v>
      </c>
      <c r="J1166" s="21" t="s">
        <v>4670</v>
      </c>
      <c r="K1166" s="1071" t="s">
        <v>712</v>
      </c>
      <c r="L1166" s="689" t="s">
        <v>1428</v>
      </c>
      <c r="M1166" s="863">
        <v>3.9</v>
      </c>
      <c r="N1166" s="689">
        <v>1.8</v>
      </c>
      <c r="O1166" s="822">
        <v>3.69458128078818</v>
      </c>
      <c r="P1166" s="37">
        <v>16.3546798029557</v>
      </c>
      <c r="Q1166" s="22" t="s">
        <v>1428</v>
      </c>
      <c r="R1166" s="37">
        <v>4.01629370629371</v>
      </c>
      <c r="S1166" s="22">
        <f t="shared" si="31"/>
        <v>29.7655547900376</v>
      </c>
      <c r="T1166" s="729" t="s">
        <v>3800</v>
      </c>
      <c r="U1166" s="759" t="s">
        <v>7324</v>
      </c>
      <c r="V1166" s="1190" t="s">
        <v>1406</v>
      </c>
    </row>
    <row r="1167" s="930" customFormat="1" ht="15" customHeight="1" spans="1:22">
      <c r="A1167" s="1189"/>
      <c r="B1167" s="729"/>
      <c r="C1167" s="142"/>
      <c r="D1167" s="142"/>
      <c r="E1167" s="142"/>
      <c r="F1167" s="1192" t="s">
        <v>7325</v>
      </c>
      <c r="G1167" s="23"/>
      <c r="H1167" s="689"/>
      <c r="I1167" s="21"/>
      <c r="J1167" s="21"/>
      <c r="K1167" s="21"/>
      <c r="L1167" s="689"/>
      <c r="M1167" s="689"/>
      <c r="N1167" s="689"/>
      <c r="O1167" s="822">
        <v>0.955665024630542</v>
      </c>
      <c r="P1167" s="37">
        <v>0.610837438423645</v>
      </c>
      <c r="Q1167" s="22" t="s">
        <v>1428</v>
      </c>
      <c r="R1167" s="22">
        <v>0.2</v>
      </c>
      <c r="S1167" s="22">
        <f t="shared" si="31"/>
        <v>1.76650246305419</v>
      </c>
      <c r="T1167" s="729"/>
      <c r="U1167" s="20"/>
      <c r="V1167" s="1190" t="s">
        <v>1406</v>
      </c>
    </row>
    <row r="1168" s="997" customFormat="1" ht="14.25" customHeight="1" spans="1:22">
      <c r="A1168" s="1189"/>
      <c r="B1168" s="729"/>
      <c r="C1168" s="142"/>
      <c r="D1168" s="142"/>
      <c r="E1168" s="142"/>
      <c r="F1168" s="23" t="s">
        <v>7318</v>
      </c>
      <c r="G1168" s="20"/>
      <c r="H1168" s="21"/>
      <c r="I1168" s="37"/>
      <c r="J1168" s="21"/>
      <c r="K1168" s="21"/>
      <c r="L1168" s="21"/>
      <c r="M1168" s="21"/>
      <c r="N1168" s="21"/>
      <c r="O1168" s="22">
        <v>0.295566502463054</v>
      </c>
      <c r="P1168" s="37">
        <v>0.660098522167488</v>
      </c>
      <c r="Q1168" s="22" t="s">
        <v>1428</v>
      </c>
      <c r="R1168" s="22">
        <v>0.4</v>
      </c>
      <c r="S1168" s="22">
        <f t="shared" si="31"/>
        <v>1.35566502463054</v>
      </c>
      <c r="T1168" s="38"/>
      <c r="U1168" s="20"/>
      <c r="V1168" s="1190" t="s">
        <v>1406</v>
      </c>
    </row>
    <row r="1169" s="997" customFormat="1" ht="14.25" customHeight="1" spans="1:22">
      <c r="A1169" s="1189"/>
      <c r="B1169" s="729"/>
      <c r="C1169" s="142"/>
      <c r="D1169" s="142"/>
      <c r="E1169" s="142"/>
      <c r="F1169" s="23" t="s">
        <v>6922</v>
      </c>
      <c r="G1169" s="20"/>
      <c r="H1169" s="21"/>
      <c r="I1169" s="37"/>
      <c r="J1169" s="21"/>
      <c r="K1169" s="21"/>
      <c r="L1169" s="21"/>
      <c r="M1169" s="21"/>
      <c r="N1169" s="21"/>
      <c r="O1169" s="22">
        <v>0.482758620689655</v>
      </c>
      <c r="P1169" s="37">
        <v>3.16256157635468</v>
      </c>
      <c r="Q1169" s="22" t="s">
        <v>1428</v>
      </c>
      <c r="R1169" s="22">
        <v>0.4</v>
      </c>
      <c r="S1169" s="22">
        <f t="shared" si="31"/>
        <v>4.04532019704434</v>
      </c>
      <c r="T1169" s="38"/>
      <c r="U1169" s="20" t="s">
        <v>6688</v>
      </c>
      <c r="V1169" s="1190" t="s">
        <v>1406</v>
      </c>
    </row>
    <row r="1170" s="930" customFormat="1" ht="15" customHeight="1" spans="1:22">
      <c r="A1170" s="1189"/>
      <c r="B1170" s="729" t="s">
        <v>7326</v>
      </c>
      <c r="C1170" s="142"/>
      <c r="D1170" s="142"/>
      <c r="E1170" s="142"/>
      <c r="F1170" s="729" t="s">
        <v>1629</v>
      </c>
      <c r="G1170" s="23" t="s">
        <v>1933</v>
      </c>
      <c r="H1170" s="689" t="s">
        <v>7301</v>
      </c>
      <c r="I1170" s="21" t="s">
        <v>1913</v>
      </c>
      <c r="J1170" s="21" t="s">
        <v>3891</v>
      </c>
      <c r="K1170" s="1071" t="s">
        <v>712</v>
      </c>
      <c r="L1170" s="689" t="s">
        <v>1428</v>
      </c>
      <c r="M1170" s="689" t="s">
        <v>1428</v>
      </c>
      <c r="N1170" s="689" t="s">
        <v>1428</v>
      </c>
      <c r="O1170" s="822">
        <v>3.93</v>
      </c>
      <c r="P1170" s="37">
        <v>15.9211822660099</v>
      </c>
      <c r="Q1170" s="22" t="s">
        <v>1428</v>
      </c>
      <c r="R1170" s="37">
        <v>2.64181390277856</v>
      </c>
      <c r="S1170" s="22">
        <f t="shared" si="31"/>
        <v>22.4929961687885</v>
      </c>
      <c r="T1170" s="729" t="s">
        <v>2854</v>
      </c>
      <c r="U1170" s="20" t="s">
        <v>7327</v>
      </c>
      <c r="V1170" s="1190" t="s">
        <v>1406</v>
      </c>
    </row>
    <row r="1171" s="930" customFormat="1" ht="15" customHeight="1" spans="1:22">
      <c r="A1171" s="1189"/>
      <c r="B1171" s="729"/>
      <c r="C1171" s="142"/>
      <c r="D1171" s="142"/>
      <c r="E1171" s="142"/>
      <c r="F1171" s="729" t="s">
        <v>7303</v>
      </c>
      <c r="G1171" s="23" t="s">
        <v>7304</v>
      </c>
      <c r="H1171" s="689" t="s">
        <v>7301</v>
      </c>
      <c r="I1171" s="21" t="s">
        <v>1913</v>
      </c>
      <c r="J1171" s="21" t="s">
        <v>5838</v>
      </c>
      <c r="K1171" s="1071" t="s">
        <v>712</v>
      </c>
      <c r="L1171" s="689" t="s">
        <v>1428</v>
      </c>
      <c r="M1171" s="689" t="s">
        <v>1428</v>
      </c>
      <c r="N1171" s="689">
        <v>1.8</v>
      </c>
      <c r="O1171" s="822">
        <v>3.93</v>
      </c>
      <c r="P1171" s="37">
        <v>14.0689655172414</v>
      </c>
      <c r="Q1171" s="22" t="s">
        <v>1428</v>
      </c>
      <c r="R1171" s="37">
        <v>2.64181390277856</v>
      </c>
      <c r="S1171" s="22">
        <f t="shared" ref="S1171:S1234" si="32">SUM(K1171:R1171)</f>
        <v>22.44077942002</v>
      </c>
      <c r="T1171" s="729" t="s">
        <v>2854</v>
      </c>
      <c r="U1171" s="20" t="s">
        <v>7328</v>
      </c>
      <c r="V1171" s="1190" t="s">
        <v>1406</v>
      </c>
    </row>
    <row r="1172" s="930" customFormat="1" ht="15" customHeight="1" spans="1:22">
      <c r="A1172" s="1189"/>
      <c r="B1172" s="729"/>
      <c r="C1172" s="142"/>
      <c r="D1172" s="142"/>
      <c r="E1172" s="142"/>
      <c r="F1172" s="729" t="s">
        <v>1571</v>
      </c>
      <c r="G1172" s="23" t="s">
        <v>1933</v>
      </c>
      <c r="H1172" s="689" t="s">
        <v>7301</v>
      </c>
      <c r="I1172" s="21" t="s">
        <v>1913</v>
      </c>
      <c r="J1172" s="21" t="s">
        <v>3939</v>
      </c>
      <c r="K1172" s="1071" t="s">
        <v>712</v>
      </c>
      <c r="L1172" s="689" t="s">
        <v>1428</v>
      </c>
      <c r="M1172" s="689" t="s">
        <v>1428</v>
      </c>
      <c r="N1172" s="689">
        <v>3</v>
      </c>
      <c r="O1172" s="822">
        <v>3.93</v>
      </c>
      <c r="P1172" s="37">
        <v>15.7536945812808</v>
      </c>
      <c r="Q1172" s="22" t="s">
        <v>1428</v>
      </c>
      <c r="R1172" s="37">
        <v>2.64181390277856</v>
      </c>
      <c r="S1172" s="22">
        <f t="shared" si="32"/>
        <v>25.3255084840594</v>
      </c>
      <c r="T1172" s="729" t="s">
        <v>2854</v>
      </c>
      <c r="U1172" s="20" t="s">
        <v>7329</v>
      </c>
      <c r="V1172" s="1190" t="s">
        <v>1406</v>
      </c>
    </row>
    <row r="1173" s="930" customFormat="1" ht="15" customHeight="1" spans="1:22">
      <c r="A1173" s="1189"/>
      <c r="B1173" s="729"/>
      <c r="C1173" s="142"/>
      <c r="D1173" s="142"/>
      <c r="E1173" s="142"/>
      <c r="F1173" s="729" t="s">
        <v>1685</v>
      </c>
      <c r="G1173" s="23" t="s">
        <v>1933</v>
      </c>
      <c r="H1173" s="689" t="s">
        <v>7301</v>
      </c>
      <c r="I1173" s="21" t="s">
        <v>1913</v>
      </c>
      <c r="J1173" s="21" t="s">
        <v>3874</v>
      </c>
      <c r="K1173" s="1071" t="s">
        <v>712</v>
      </c>
      <c r="L1173" s="689" t="s">
        <v>1428</v>
      </c>
      <c r="M1173" s="689" t="s">
        <v>1428</v>
      </c>
      <c r="N1173" s="689">
        <v>2.5</v>
      </c>
      <c r="O1173" s="822">
        <v>3.93</v>
      </c>
      <c r="P1173" s="37">
        <v>12.46</v>
      </c>
      <c r="Q1173" s="22" t="s">
        <v>1428</v>
      </c>
      <c r="R1173" s="37">
        <v>2.64181390277856</v>
      </c>
      <c r="S1173" s="22">
        <f t="shared" si="32"/>
        <v>21.5318139027786</v>
      </c>
      <c r="T1173" s="729" t="s">
        <v>2854</v>
      </c>
      <c r="U1173" s="812" t="s">
        <v>7330</v>
      </c>
      <c r="V1173" s="1190" t="s">
        <v>1406</v>
      </c>
    </row>
    <row r="1174" s="930" customFormat="1" ht="15" customHeight="1" spans="1:22">
      <c r="A1174" s="1189"/>
      <c r="B1174" s="729"/>
      <c r="C1174" s="142"/>
      <c r="D1174" s="142"/>
      <c r="E1174" s="142"/>
      <c r="F1174" s="729" t="s">
        <v>7331</v>
      </c>
      <c r="G1174" s="23"/>
      <c r="H1174" s="689"/>
      <c r="I1174" s="21"/>
      <c r="J1174" s="21"/>
      <c r="K1174" s="21"/>
      <c r="L1174" s="689"/>
      <c r="M1174" s="689"/>
      <c r="N1174" s="689"/>
      <c r="O1174" s="822">
        <v>0.482758620689655</v>
      </c>
      <c r="P1174" s="37">
        <v>4.48275862068966</v>
      </c>
      <c r="Q1174" s="22" t="s">
        <v>1428</v>
      </c>
      <c r="R1174" s="22">
        <v>0.4</v>
      </c>
      <c r="S1174" s="22">
        <f t="shared" si="32"/>
        <v>5.36551724137932</v>
      </c>
      <c r="T1174" s="729"/>
      <c r="U1174" s="20" t="s">
        <v>840</v>
      </c>
      <c r="V1174" s="1190" t="s">
        <v>1406</v>
      </c>
    </row>
    <row r="1175" s="930" customFormat="1" ht="15" customHeight="1" spans="1:22">
      <c r="A1175" s="1189"/>
      <c r="B1175" s="729"/>
      <c r="C1175" s="142"/>
      <c r="D1175" s="142"/>
      <c r="E1175" s="142"/>
      <c r="F1175" s="729" t="s">
        <v>7332</v>
      </c>
      <c r="G1175" s="23"/>
      <c r="H1175" s="689"/>
      <c r="I1175" s="21"/>
      <c r="J1175" s="21"/>
      <c r="K1175" s="21"/>
      <c r="L1175" s="689"/>
      <c r="M1175" s="689"/>
      <c r="N1175" s="689"/>
      <c r="O1175" s="822">
        <v>0.51</v>
      </c>
      <c r="P1175" s="37">
        <v>4.58</v>
      </c>
      <c r="Q1175" s="22" t="s">
        <v>1428</v>
      </c>
      <c r="R1175" s="22">
        <v>0.4</v>
      </c>
      <c r="S1175" s="22">
        <f t="shared" si="32"/>
        <v>5.49</v>
      </c>
      <c r="T1175" s="729"/>
      <c r="U1175" s="20" t="s">
        <v>840</v>
      </c>
      <c r="V1175" s="1190" t="s">
        <v>1406</v>
      </c>
    </row>
    <row r="1176" s="996" customFormat="1" spans="1:22">
      <c r="A1176" s="1189"/>
      <c r="B1176" s="729"/>
      <c r="C1176" s="142"/>
      <c r="D1176" s="142"/>
      <c r="E1176" s="142"/>
      <c r="F1176" s="20" t="s">
        <v>6385</v>
      </c>
      <c r="G1176" s="20"/>
      <c r="H1176" s="21"/>
      <c r="I1176" s="21"/>
      <c r="J1176" s="21"/>
      <c r="K1176" s="21"/>
      <c r="L1176" s="21"/>
      <c r="M1176" s="21"/>
      <c r="N1176" s="21"/>
      <c r="O1176" s="22">
        <v>0.15</v>
      </c>
      <c r="P1176" s="37">
        <v>0.79</v>
      </c>
      <c r="Q1176" s="22" t="s">
        <v>1428</v>
      </c>
      <c r="R1176" s="22">
        <v>0.2</v>
      </c>
      <c r="S1176" s="22">
        <f t="shared" si="32"/>
        <v>1.14</v>
      </c>
      <c r="T1176" s="20"/>
      <c r="U1176" s="20"/>
      <c r="V1176" s="1190" t="s">
        <v>1406</v>
      </c>
    </row>
    <row r="1177" s="930" customFormat="1" ht="15" customHeight="1" spans="1:22">
      <c r="A1177" s="1189"/>
      <c r="B1177" s="729"/>
      <c r="C1177" s="142"/>
      <c r="D1177" s="142"/>
      <c r="E1177" s="142"/>
      <c r="F1177" s="729" t="s">
        <v>7333</v>
      </c>
      <c r="G1177" s="20"/>
      <c r="H1177" s="21"/>
      <c r="I1177" s="21"/>
      <c r="J1177" s="21"/>
      <c r="K1177" s="689"/>
      <c r="L1177" s="689"/>
      <c r="M1177" s="689"/>
      <c r="N1177" s="689"/>
      <c r="O1177" s="822">
        <v>0.108374384236453</v>
      </c>
      <c r="P1177" s="37">
        <v>1.51724137931034</v>
      </c>
      <c r="Q1177" s="22" t="s">
        <v>1428</v>
      </c>
      <c r="R1177" s="22">
        <v>0.2</v>
      </c>
      <c r="S1177" s="22">
        <f t="shared" si="32"/>
        <v>1.82561576354679</v>
      </c>
      <c r="T1177" s="729"/>
      <c r="U1177" s="20"/>
      <c r="V1177" s="1190" t="s">
        <v>1406</v>
      </c>
    </row>
    <row r="1178" s="930" customFormat="1" ht="15" customHeight="1" spans="1:22">
      <c r="A1178" s="1189"/>
      <c r="B1178" s="729" t="s">
        <v>7334</v>
      </c>
      <c r="C1178" s="142">
        <v>20250804</v>
      </c>
      <c r="D1178" s="142"/>
      <c r="E1178" s="142">
        <v>7.17</v>
      </c>
      <c r="F1178" s="729" t="s">
        <v>1617</v>
      </c>
      <c r="G1178" s="23" t="s">
        <v>1933</v>
      </c>
      <c r="H1178" s="689" t="s">
        <v>7335</v>
      </c>
      <c r="I1178" s="21" t="s">
        <v>1913</v>
      </c>
      <c r="J1178" s="21" t="s">
        <v>3891</v>
      </c>
      <c r="K1178" s="1071" t="s">
        <v>712</v>
      </c>
      <c r="L1178" s="689" t="s">
        <v>1428</v>
      </c>
      <c r="M1178" s="689" t="s">
        <v>1428</v>
      </c>
      <c r="N1178" s="689" t="s">
        <v>1428</v>
      </c>
      <c r="O1178" s="822">
        <v>6.3743842364532</v>
      </c>
      <c r="P1178" s="37">
        <v>25.3891625615764</v>
      </c>
      <c r="Q1178" s="22" t="s">
        <v>1428</v>
      </c>
      <c r="R1178" s="37">
        <v>4.06713286713287</v>
      </c>
      <c r="S1178" s="22">
        <f t="shared" si="32"/>
        <v>35.8306796651625</v>
      </c>
      <c r="T1178" s="729" t="s">
        <v>2854</v>
      </c>
      <c r="U1178" s="20" t="s">
        <v>7336</v>
      </c>
      <c r="V1178" s="1190" t="s">
        <v>1406</v>
      </c>
    </row>
    <row r="1179" s="930" customFormat="1" ht="15" customHeight="1" spans="1:22">
      <c r="A1179" s="1189"/>
      <c r="B1179" s="729"/>
      <c r="C1179" s="142"/>
      <c r="D1179" s="142"/>
      <c r="E1179" s="142"/>
      <c r="F1179" s="729" t="s">
        <v>1604</v>
      </c>
      <c r="G1179" s="23" t="s">
        <v>1933</v>
      </c>
      <c r="H1179" s="689" t="s">
        <v>7337</v>
      </c>
      <c r="I1179" s="21" t="s">
        <v>1913</v>
      </c>
      <c r="J1179" s="21" t="s">
        <v>3891</v>
      </c>
      <c r="K1179" s="1071" t="s">
        <v>712</v>
      </c>
      <c r="L1179" s="689" t="s">
        <v>1428</v>
      </c>
      <c r="M1179" s="689" t="s">
        <v>1428</v>
      </c>
      <c r="N1179" s="689" t="s">
        <v>1428</v>
      </c>
      <c r="O1179" s="822">
        <v>6.3743842364532</v>
      </c>
      <c r="P1179" s="37">
        <v>22.7192118226601</v>
      </c>
      <c r="Q1179" s="22" t="s">
        <v>1428</v>
      </c>
      <c r="R1179" s="37">
        <v>4.06713286713287</v>
      </c>
      <c r="S1179" s="22">
        <f t="shared" si="32"/>
        <v>33.1607289262462</v>
      </c>
      <c r="T1179" s="729" t="s">
        <v>2854</v>
      </c>
      <c r="U1179" s="20" t="s">
        <v>7338</v>
      </c>
      <c r="V1179" s="1190" t="s">
        <v>1406</v>
      </c>
    </row>
    <row r="1180" s="930" customFormat="1" ht="15" customHeight="1" spans="1:22">
      <c r="A1180" s="1189"/>
      <c r="B1180" s="729"/>
      <c r="C1180" s="142"/>
      <c r="D1180" s="142"/>
      <c r="E1180" s="142"/>
      <c r="F1180" s="729" t="s">
        <v>1685</v>
      </c>
      <c r="G1180" s="23" t="s">
        <v>1933</v>
      </c>
      <c r="H1180" s="689" t="s">
        <v>7339</v>
      </c>
      <c r="I1180" s="21" t="s">
        <v>1913</v>
      </c>
      <c r="J1180" s="21" t="s">
        <v>3891</v>
      </c>
      <c r="K1180" s="1071" t="s">
        <v>712</v>
      </c>
      <c r="L1180" s="689" t="s">
        <v>1428</v>
      </c>
      <c r="M1180" s="689" t="s">
        <v>1428</v>
      </c>
      <c r="N1180" s="689" t="s">
        <v>1428</v>
      </c>
      <c r="O1180" s="822">
        <v>6.3743842364532</v>
      </c>
      <c r="P1180" s="37">
        <v>23.8522167487685</v>
      </c>
      <c r="Q1180" s="22" t="s">
        <v>1428</v>
      </c>
      <c r="R1180" s="37">
        <v>4.06713286713287</v>
      </c>
      <c r="S1180" s="22">
        <f t="shared" si="32"/>
        <v>34.2937338523546</v>
      </c>
      <c r="T1180" s="729" t="s">
        <v>2854</v>
      </c>
      <c r="U1180" s="20" t="s">
        <v>7340</v>
      </c>
      <c r="V1180" s="1190" t="s">
        <v>1406</v>
      </c>
    </row>
    <row r="1181" s="930" customFormat="1" ht="15" customHeight="1" spans="1:22">
      <c r="A1181" s="1189"/>
      <c r="B1181" s="729"/>
      <c r="C1181" s="142"/>
      <c r="D1181" s="142"/>
      <c r="E1181" s="142"/>
      <c r="F1181" s="729" t="s">
        <v>7333</v>
      </c>
      <c r="G1181" s="20"/>
      <c r="H1181" s="21"/>
      <c r="I1181" s="21"/>
      <c r="J1181" s="21"/>
      <c r="K1181" s="689"/>
      <c r="L1181" s="689"/>
      <c r="M1181" s="689"/>
      <c r="N1181" s="689"/>
      <c r="O1181" s="822">
        <v>0.108374384236453</v>
      </c>
      <c r="P1181" s="37">
        <v>1.51724137931034</v>
      </c>
      <c r="Q1181" s="22" t="s">
        <v>1428</v>
      </c>
      <c r="R1181" s="22">
        <v>0.2</v>
      </c>
      <c r="S1181" s="22">
        <f t="shared" si="32"/>
        <v>1.82561576354679</v>
      </c>
      <c r="T1181" s="729"/>
      <c r="U1181" s="20"/>
      <c r="V1181" s="1190" t="s">
        <v>1406</v>
      </c>
    </row>
    <row r="1182" s="998" customFormat="1" spans="1:22">
      <c r="A1182" s="1189"/>
      <c r="B1182" s="729"/>
      <c r="C1182" s="142"/>
      <c r="D1182" s="142"/>
      <c r="E1182" s="142"/>
      <c r="F1182" s="20" t="s">
        <v>6385</v>
      </c>
      <c r="G1182" s="20"/>
      <c r="H1182" s="21"/>
      <c r="I1182" s="21"/>
      <c r="J1182" s="21"/>
      <c r="K1182" s="21"/>
      <c r="L1182" s="21"/>
      <c r="M1182" s="21"/>
      <c r="N1182" s="21"/>
      <c r="O1182" s="22">
        <v>0.108374384236453</v>
      </c>
      <c r="P1182" s="37">
        <v>1.49753694581281</v>
      </c>
      <c r="Q1182" s="22" t="s">
        <v>1428</v>
      </c>
      <c r="R1182" s="22">
        <v>0.2</v>
      </c>
      <c r="S1182" s="22">
        <f t="shared" si="32"/>
        <v>1.80591133004926</v>
      </c>
      <c r="T1182" s="20"/>
      <c r="U1182" s="20"/>
      <c r="V1182" s="1190" t="s">
        <v>1406</v>
      </c>
    </row>
    <row r="1183" s="999" customFormat="1" ht="15" customHeight="1" spans="1:22">
      <c r="A1183" s="1189"/>
      <c r="B1183" s="729" t="s">
        <v>7341</v>
      </c>
      <c r="C1183" s="142"/>
      <c r="D1183" s="142"/>
      <c r="E1183" s="142"/>
      <c r="F1183" s="729" t="s">
        <v>1617</v>
      </c>
      <c r="G1183" s="23" t="s">
        <v>1933</v>
      </c>
      <c r="H1183" s="689" t="s">
        <v>7335</v>
      </c>
      <c r="I1183" s="21" t="s">
        <v>3670</v>
      </c>
      <c r="J1183" s="21" t="s">
        <v>3939</v>
      </c>
      <c r="K1183" s="1071" t="s">
        <v>712</v>
      </c>
      <c r="L1183" s="689" t="s">
        <v>1428</v>
      </c>
      <c r="M1183" s="863">
        <v>3.9</v>
      </c>
      <c r="N1183" s="689">
        <v>3</v>
      </c>
      <c r="O1183" s="822">
        <v>4.62386169515907</v>
      </c>
      <c r="P1183" s="37">
        <v>19.576354679803</v>
      </c>
      <c r="Q1183" s="22" t="s">
        <v>1428</v>
      </c>
      <c r="R1183" s="37">
        <v>3.09308460503257</v>
      </c>
      <c r="S1183" s="22">
        <f t="shared" si="32"/>
        <v>34.1933009799946</v>
      </c>
      <c r="T1183" s="729" t="s">
        <v>3800</v>
      </c>
      <c r="U1183" s="759" t="s">
        <v>7342</v>
      </c>
      <c r="V1183" s="1190" t="s">
        <v>1406</v>
      </c>
    </row>
    <row r="1184" s="999" customFormat="1" ht="15" customHeight="1" spans="1:22">
      <c r="A1184" s="1189"/>
      <c r="B1184" s="729"/>
      <c r="C1184" s="142"/>
      <c r="D1184" s="142"/>
      <c r="E1184" s="142"/>
      <c r="F1184" s="729" t="s">
        <v>1571</v>
      </c>
      <c r="G1184" s="23" t="s">
        <v>1933</v>
      </c>
      <c r="H1184" s="689" t="s">
        <v>7335</v>
      </c>
      <c r="I1184" s="21" t="s">
        <v>1913</v>
      </c>
      <c r="J1184" s="21" t="s">
        <v>3891</v>
      </c>
      <c r="K1184" s="1071" t="s">
        <v>712</v>
      </c>
      <c r="L1184" s="689" t="s">
        <v>1428</v>
      </c>
      <c r="M1184" s="689" t="s">
        <v>1428</v>
      </c>
      <c r="N1184" s="689" t="s">
        <v>1428</v>
      </c>
      <c r="O1184" s="822">
        <v>4.62386169515907</v>
      </c>
      <c r="P1184" s="37">
        <v>19.4975369458128</v>
      </c>
      <c r="Q1184" s="22" t="s">
        <v>1428</v>
      </c>
      <c r="R1184" s="37">
        <v>3.09308460503257</v>
      </c>
      <c r="S1184" s="22">
        <f t="shared" si="32"/>
        <v>27.2144832460044</v>
      </c>
      <c r="T1184" s="729" t="s">
        <v>2854</v>
      </c>
      <c r="U1184" s="20" t="s">
        <v>7343</v>
      </c>
      <c r="V1184" s="1190" t="s">
        <v>1406</v>
      </c>
    </row>
    <row r="1185" s="999" customFormat="1" ht="15" customHeight="1" spans="1:22">
      <c r="A1185" s="1189"/>
      <c r="B1185" s="729"/>
      <c r="C1185" s="142"/>
      <c r="D1185" s="142"/>
      <c r="E1185" s="142"/>
      <c r="F1185" s="729" t="s">
        <v>1669</v>
      </c>
      <c r="G1185" s="23" t="s">
        <v>1933</v>
      </c>
      <c r="H1185" s="689" t="s">
        <v>7335</v>
      </c>
      <c r="I1185" s="21" t="s">
        <v>1913</v>
      </c>
      <c r="J1185" s="21" t="s">
        <v>6453</v>
      </c>
      <c r="K1185" s="1071" t="s">
        <v>712</v>
      </c>
      <c r="L1185" s="689" t="s">
        <v>1428</v>
      </c>
      <c r="M1185" s="689" t="s">
        <v>1428</v>
      </c>
      <c r="N1185" s="689" t="s">
        <v>1428</v>
      </c>
      <c r="O1185" s="822">
        <v>4.62386169515907</v>
      </c>
      <c r="P1185" s="37">
        <v>16.6048188404692</v>
      </c>
      <c r="Q1185" s="22" t="s">
        <v>1428</v>
      </c>
      <c r="R1185" s="37">
        <v>3.09308460503257</v>
      </c>
      <c r="S1185" s="22">
        <f t="shared" si="32"/>
        <v>24.3217651406608</v>
      </c>
      <c r="T1185" s="729" t="s">
        <v>2854</v>
      </c>
      <c r="U1185" s="20" t="s">
        <v>7344</v>
      </c>
      <c r="V1185" s="1190" t="s">
        <v>1406</v>
      </c>
    </row>
    <row r="1186" s="999" customFormat="1" ht="15" customHeight="1" spans="1:22">
      <c r="A1186" s="1189"/>
      <c r="B1186" s="729"/>
      <c r="C1186" s="142"/>
      <c r="D1186" s="142"/>
      <c r="E1186" s="142"/>
      <c r="F1186" s="729" t="s">
        <v>1581</v>
      </c>
      <c r="G1186" s="23" t="s">
        <v>1933</v>
      </c>
      <c r="H1186" s="689" t="s">
        <v>7345</v>
      </c>
      <c r="I1186" s="21" t="s">
        <v>1913</v>
      </c>
      <c r="J1186" s="21" t="s">
        <v>3939</v>
      </c>
      <c r="K1186" s="1071" t="s">
        <v>712</v>
      </c>
      <c r="L1186" s="689" t="s">
        <v>1428</v>
      </c>
      <c r="M1186" s="689" t="s">
        <v>1428</v>
      </c>
      <c r="N1186" s="689">
        <v>3</v>
      </c>
      <c r="O1186" s="822">
        <v>4.62386169515907</v>
      </c>
      <c r="P1186" s="37">
        <v>18.4137931034483</v>
      </c>
      <c r="Q1186" s="22" t="s">
        <v>1428</v>
      </c>
      <c r="R1186" s="37">
        <v>3.09308460503257</v>
      </c>
      <c r="S1186" s="22">
        <f t="shared" si="32"/>
        <v>29.1307394036399</v>
      </c>
      <c r="T1186" s="729" t="s">
        <v>2854</v>
      </c>
      <c r="U1186" s="20" t="s">
        <v>5726</v>
      </c>
      <c r="V1186" s="1190" t="s">
        <v>1406</v>
      </c>
    </row>
    <row r="1187" s="999" customFormat="1" ht="15" customHeight="1" spans="1:22">
      <c r="A1187" s="1189"/>
      <c r="B1187" s="729"/>
      <c r="C1187" s="142"/>
      <c r="D1187" s="142"/>
      <c r="E1187" s="142"/>
      <c r="F1187" s="729" t="s">
        <v>6820</v>
      </c>
      <c r="G1187" s="23"/>
      <c r="H1187" s="689"/>
      <c r="I1187" s="21"/>
      <c r="J1187" s="21"/>
      <c r="K1187" s="21"/>
      <c r="L1187" s="689"/>
      <c r="M1187" s="689"/>
      <c r="N1187" s="689"/>
      <c r="O1187" s="822">
        <v>0.462386169515907</v>
      </c>
      <c r="P1187" s="37">
        <v>0.867416913674043</v>
      </c>
      <c r="Q1187" s="22" t="s">
        <v>1428</v>
      </c>
      <c r="R1187" s="22">
        <v>0.2</v>
      </c>
      <c r="S1187" s="22">
        <f t="shared" si="32"/>
        <v>1.52980308318995</v>
      </c>
      <c r="T1187" s="729"/>
      <c r="U1187" s="20"/>
      <c r="V1187" s="1190" t="s">
        <v>1406</v>
      </c>
    </row>
    <row r="1188" s="999" customFormat="1" ht="15" customHeight="1" spans="1:22">
      <c r="A1188" s="1189"/>
      <c r="B1188" s="729"/>
      <c r="C1188" s="142"/>
      <c r="D1188" s="142"/>
      <c r="E1188" s="142"/>
      <c r="F1188" s="729" t="s">
        <v>7346</v>
      </c>
      <c r="G1188" s="23"/>
      <c r="H1188" s="689"/>
      <c r="I1188" s="21"/>
      <c r="J1188" s="21"/>
      <c r="K1188" s="21"/>
      <c r="L1188" s="689"/>
      <c r="M1188" s="689"/>
      <c r="N1188" s="689"/>
      <c r="O1188" s="822">
        <v>0.669950738916256</v>
      </c>
      <c r="P1188" s="37">
        <v>1.60591133004926</v>
      </c>
      <c r="Q1188" s="22" t="s">
        <v>1428</v>
      </c>
      <c r="R1188" s="22">
        <v>0.4</v>
      </c>
      <c r="S1188" s="22">
        <f t="shared" si="32"/>
        <v>2.67586206896552</v>
      </c>
      <c r="T1188" s="729"/>
      <c r="U1188" s="20"/>
      <c r="V1188" s="1190" t="s">
        <v>1406</v>
      </c>
    </row>
    <row r="1189" s="999" customFormat="1" ht="15" customHeight="1" spans="1:22">
      <c r="A1189" s="1189"/>
      <c r="B1189" s="729"/>
      <c r="C1189" s="142"/>
      <c r="D1189" s="142"/>
      <c r="E1189" s="142"/>
      <c r="F1189" s="729" t="s">
        <v>548</v>
      </c>
      <c r="G1189" s="23"/>
      <c r="H1189" s="689"/>
      <c r="I1189" s="21"/>
      <c r="J1189" s="21"/>
      <c r="K1189" s="21"/>
      <c r="L1189" s="689"/>
      <c r="M1189" s="689"/>
      <c r="N1189" s="689"/>
      <c r="O1189" s="822">
        <v>0.699507389162562</v>
      </c>
      <c r="P1189" s="37">
        <v>3.37931034482759</v>
      </c>
      <c r="Q1189" s="22" t="s">
        <v>1428</v>
      </c>
      <c r="R1189" s="22">
        <v>0.4</v>
      </c>
      <c r="S1189" s="22">
        <f t="shared" si="32"/>
        <v>4.47881773399015</v>
      </c>
      <c r="T1189" s="729"/>
      <c r="U1189" s="20" t="s">
        <v>25</v>
      </c>
      <c r="V1189" s="1190" t="s">
        <v>1406</v>
      </c>
    </row>
    <row r="1190" s="999" customFormat="1" ht="15" customHeight="1" spans="1:22">
      <c r="A1190" s="1189"/>
      <c r="B1190" s="729"/>
      <c r="C1190" s="142"/>
      <c r="D1190" s="142"/>
      <c r="E1190" s="142"/>
      <c r="F1190" s="729" t="s">
        <v>24</v>
      </c>
      <c r="G1190" s="23"/>
      <c r="H1190" s="689"/>
      <c r="I1190" s="21"/>
      <c r="J1190" s="21"/>
      <c r="K1190" s="21"/>
      <c r="L1190" s="689"/>
      <c r="M1190" s="689"/>
      <c r="N1190" s="689"/>
      <c r="O1190" s="822">
        <v>0.699507389162562</v>
      </c>
      <c r="P1190" s="37">
        <v>2.94581280788177</v>
      </c>
      <c r="Q1190" s="22" t="s">
        <v>1428</v>
      </c>
      <c r="R1190" s="22">
        <v>0.4</v>
      </c>
      <c r="S1190" s="22">
        <f t="shared" si="32"/>
        <v>4.04532019704433</v>
      </c>
      <c r="T1190" s="729"/>
      <c r="U1190" s="20" t="s">
        <v>25</v>
      </c>
      <c r="V1190" s="1190" t="s">
        <v>1406</v>
      </c>
    </row>
    <row r="1191" s="999" customFormat="1" ht="15" customHeight="1" spans="1:22">
      <c r="A1191" s="1189"/>
      <c r="B1191" s="729"/>
      <c r="C1191" s="142"/>
      <c r="D1191" s="142"/>
      <c r="E1191" s="142"/>
      <c r="F1191" s="729" t="s">
        <v>6455</v>
      </c>
      <c r="G1191" s="23"/>
      <c r="H1191" s="689"/>
      <c r="I1191" s="21"/>
      <c r="J1191" s="21"/>
      <c r="K1191" s="21"/>
      <c r="L1191" s="689"/>
      <c r="M1191" s="689"/>
      <c r="N1191" s="689"/>
      <c r="O1191" s="822">
        <v>0.798029556650246</v>
      </c>
      <c r="P1191" s="37">
        <v>3.55665024630542</v>
      </c>
      <c r="Q1191" s="22" t="s">
        <v>1428</v>
      </c>
      <c r="R1191" s="22">
        <v>0.4</v>
      </c>
      <c r="S1191" s="22">
        <f t="shared" si="32"/>
        <v>4.75467980295567</v>
      </c>
      <c r="T1191" s="729"/>
      <c r="U1191" s="20" t="s">
        <v>25</v>
      </c>
      <c r="V1191" s="1190" t="s">
        <v>1406</v>
      </c>
    </row>
    <row r="1192" s="999" customFormat="1" ht="15" customHeight="1" spans="1:22">
      <c r="A1192" s="1189"/>
      <c r="B1192" s="729"/>
      <c r="C1192" s="142"/>
      <c r="D1192" s="142"/>
      <c r="E1192" s="142"/>
      <c r="F1192" s="729" t="s">
        <v>7333</v>
      </c>
      <c r="G1192" s="20"/>
      <c r="H1192" s="21"/>
      <c r="I1192" s="21"/>
      <c r="J1192" s="21"/>
      <c r="K1192" s="689"/>
      <c r="L1192" s="689"/>
      <c r="M1192" s="689"/>
      <c r="N1192" s="689"/>
      <c r="O1192" s="822">
        <v>0.108374384236453</v>
      </c>
      <c r="P1192" s="37">
        <v>1.51724137931034</v>
      </c>
      <c r="Q1192" s="22" t="s">
        <v>1428</v>
      </c>
      <c r="R1192" s="22">
        <v>0.2</v>
      </c>
      <c r="S1192" s="22">
        <f t="shared" si="32"/>
        <v>1.82561576354679</v>
      </c>
      <c r="T1192" s="729"/>
      <c r="U1192" s="20"/>
      <c r="V1192" s="1190" t="s">
        <v>1406</v>
      </c>
    </row>
    <row r="1193" s="999" customFormat="1" ht="15" spans="1:22">
      <c r="A1193" s="1189"/>
      <c r="B1193" s="23" t="s">
        <v>7347</v>
      </c>
      <c r="C1193" s="123"/>
      <c r="D1193" s="123"/>
      <c r="E1193" s="123"/>
      <c r="F1193" s="20" t="s">
        <v>1685</v>
      </c>
      <c r="G1193" s="23" t="s">
        <v>1933</v>
      </c>
      <c r="H1193" s="689" t="s">
        <v>7335</v>
      </c>
      <c r="I1193" s="21" t="s">
        <v>1913</v>
      </c>
      <c r="J1193" s="21" t="s">
        <v>5813</v>
      </c>
      <c r="K1193" s="1071" t="s">
        <v>712</v>
      </c>
      <c r="L1193" s="21" t="s">
        <v>1428</v>
      </c>
      <c r="M1193" s="21" t="s">
        <v>1428</v>
      </c>
      <c r="N1193" s="689" t="s">
        <v>1428</v>
      </c>
      <c r="O1193" s="22">
        <v>4.24</v>
      </c>
      <c r="P1193" s="37">
        <v>19.37</v>
      </c>
      <c r="Q1193" s="22" t="s">
        <v>1428</v>
      </c>
      <c r="R1193" s="37">
        <v>2.85614368515187</v>
      </c>
      <c r="S1193" s="22">
        <f t="shared" si="32"/>
        <v>26.4661436851519</v>
      </c>
      <c r="T1193" s="729" t="s">
        <v>2854</v>
      </c>
      <c r="U1193" s="20" t="s">
        <v>7343</v>
      </c>
      <c r="V1193" s="1190" t="s">
        <v>1406</v>
      </c>
    </row>
    <row r="1194" s="999" customFormat="1" ht="14" customHeight="1" spans="1:22">
      <c r="A1194" s="1189"/>
      <c r="B1194" s="729" t="s">
        <v>7300</v>
      </c>
      <c r="C1194" s="142"/>
      <c r="D1194" s="142"/>
      <c r="E1194" s="142"/>
      <c r="F1194" s="20" t="s">
        <v>2306</v>
      </c>
      <c r="G1194" s="23" t="s">
        <v>1933</v>
      </c>
      <c r="H1194" s="689" t="s">
        <v>4874</v>
      </c>
      <c r="I1194" s="21" t="s">
        <v>1913</v>
      </c>
      <c r="J1194" s="21" t="s">
        <v>1692</v>
      </c>
      <c r="K1194" s="1071" t="s">
        <v>712</v>
      </c>
      <c r="L1194" s="21" t="s">
        <v>1428</v>
      </c>
      <c r="M1194" s="21" t="s">
        <v>1428</v>
      </c>
      <c r="N1194" s="1191">
        <v>8.8</v>
      </c>
      <c r="O1194" s="22">
        <v>4.43089878701086</v>
      </c>
      <c r="P1194" s="37">
        <v>18.4131171583309</v>
      </c>
      <c r="Q1194" s="22" t="s">
        <v>1428</v>
      </c>
      <c r="R1194" s="37">
        <v>3.06148991849877</v>
      </c>
      <c r="S1194" s="22">
        <f t="shared" si="32"/>
        <v>34.7055058638405</v>
      </c>
      <c r="T1194" s="729" t="s">
        <v>2854</v>
      </c>
      <c r="U1194" s="20" t="s">
        <v>7348</v>
      </c>
      <c r="V1194" s="1190" t="s">
        <v>1406</v>
      </c>
    </row>
    <row r="1195" s="999" customFormat="1" ht="15" customHeight="1" spans="1:22">
      <c r="A1195" s="1189"/>
      <c r="B1195" s="729"/>
      <c r="C1195" s="142"/>
      <c r="D1195" s="142"/>
      <c r="E1195" s="142"/>
      <c r="F1195" s="729" t="s">
        <v>2081</v>
      </c>
      <c r="G1195" s="23" t="s">
        <v>1933</v>
      </c>
      <c r="H1195" s="689" t="s">
        <v>7349</v>
      </c>
      <c r="I1195" s="21" t="s">
        <v>1913</v>
      </c>
      <c r="J1195" s="21" t="s">
        <v>1428</v>
      </c>
      <c r="K1195" s="21" t="s">
        <v>1428</v>
      </c>
      <c r="L1195" s="689" t="s">
        <v>1428</v>
      </c>
      <c r="M1195" s="689" t="s">
        <v>1428</v>
      </c>
      <c r="N1195" s="21" t="s">
        <v>1428</v>
      </c>
      <c r="O1195" s="22">
        <v>4.43089878701086</v>
      </c>
      <c r="P1195" s="37">
        <v>19.4</v>
      </c>
      <c r="Q1195" s="22" t="s">
        <v>1428</v>
      </c>
      <c r="R1195" s="37">
        <v>3.06148991849877</v>
      </c>
      <c r="S1195" s="22">
        <f t="shared" si="32"/>
        <v>26.8923887055096</v>
      </c>
      <c r="T1195" s="729" t="s">
        <v>2854</v>
      </c>
      <c r="U1195" s="20" t="s">
        <v>7350</v>
      </c>
      <c r="V1195" s="1190" t="s">
        <v>1406</v>
      </c>
    </row>
    <row r="1196" s="999" customFormat="1" ht="15" customHeight="1" spans="1:22">
      <c r="A1196" s="1189"/>
      <c r="B1196" s="729"/>
      <c r="C1196" s="142"/>
      <c r="D1196" s="142"/>
      <c r="E1196" s="142"/>
      <c r="F1196" s="729" t="s">
        <v>2110</v>
      </c>
      <c r="G1196" s="23" t="s">
        <v>1933</v>
      </c>
      <c r="H1196" s="689" t="s">
        <v>7351</v>
      </c>
      <c r="I1196" s="21" t="s">
        <v>1913</v>
      </c>
      <c r="J1196" s="21" t="s">
        <v>1428</v>
      </c>
      <c r="K1196" s="1071" t="s">
        <v>712</v>
      </c>
      <c r="L1196" s="21" t="s">
        <v>1428</v>
      </c>
      <c r="M1196" s="21" t="s">
        <v>1428</v>
      </c>
      <c r="N1196" s="21" t="s">
        <v>1428</v>
      </c>
      <c r="O1196" s="22">
        <v>4.43089878701086</v>
      </c>
      <c r="P1196" s="37">
        <v>19.38</v>
      </c>
      <c r="Q1196" s="22" t="s">
        <v>1428</v>
      </c>
      <c r="R1196" s="37">
        <v>3.06148991849877</v>
      </c>
      <c r="S1196" s="22">
        <f t="shared" si="32"/>
        <v>26.8723887055096</v>
      </c>
      <c r="T1196" s="729" t="s">
        <v>2854</v>
      </c>
      <c r="U1196" s="20" t="s">
        <v>5726</v>
      </c>
      <c r="V1196" s="1190" t="s">
        <v>1406</v>
      </c>
    </row>
    <row r="1197" s="999" customFormat="1" ht="15" customHeight="1" spans="1:22">
      <c r="A1197" s="1189"/>
      <c r="B1197" s="729"/>
      <c r="C1197" s="142"/>
      <c r="D1197" s="142"/>
      <c r="E1197" s="142"/>
      <c r="F1197" s="729" t="s">
        <v>2483</v>
      </c>
      <c r="G1197" s="23" t="s">
        <v>1933</v>
      </c>
      <c r="H1197" s="689" t="s">
        <v>7349</v>
      </c>
      <c r="I1197" s="21" t="s">
        <v>1913</v>
      </c>
      <c r="J1197" s="21" t="s">
        <v>1692</v>
      </c>
      <c r="K1197" s="21" t="s">
        <v>1428</v>
      </c>
      <c r="L1197" s="21" t="s">
        <v>1428</v>
      </c>
      <c r="M1197" s="21" t="s">
        <v>1428</v>
      </c>
      <c r="N1197" s="1191">
        <v>8.8</v>
      </c>
      <c r="O1197" s="22">
        <v>4.43089878701086</v>
      </c>
      <c r="P1197" s="37">
        <v>17.9614710039533</v>
      </c>
      <c r="Q1197" s="22" t="s">
        <v>1428</v>
      </c>
      <c r="R1197" s="37">
        <v>3.06148991849877</v>
      </c>
      <c r="S1197" s="22">
        <f t="shared" si="32"/>
        <v>34.2538597094629</v>
      </c>
      <c r="T1197" s="729" t="s">
        <v>2854</v>
      </c>
      <c r="U1197" s="20" t="s">
        <v>7352</v>
      </c>
      <c r="V1197" s="1190" t="s">
        <v>1406</v>
      </c>
    </row>
    <row r="1198" s="999" customFormat="1" ht="15" customHeight="1" spans="1:22">
      <c r="A1198" s="1189"/>
      <c r="B1198" s="729"/>
      <c r="C1198" s="142"/>
      <c r="D1198" s="142"/>
      <c r="E1198" s="142"/>
      <c r="F1198" s="729" t="s">
        <v>2486</v>
      </c>
      <c r="G1198" s="23" t="s">
        <v>1933</v>
      </c>
      <c r="H1198" s="689" t="s">
        <v>4882</v>
      </c>
      <c r="I1198" s="21" t="s">
        <v>1913</v>
      </c>
      <c r="J1198" s="21" t="s">
        <v>1428</v>
      </c>
      <c r="K1198" s="1071" t="s">
        <v>712</v>
      </c>
      <c r="L1198" s="21" t="s">
        <v>1428</v>
      </c>
      <c r="M1198" s="21" t="s">
        <v>1428</v>
      </c>
      <c r="N1198" s="21" t="s">
        <v>1428</v>
      </c>
      <c r="O1198" s="22">
        <v>4.43089878701086</v>
      </c>
      <c r="P1198" s="37">
        <v>19.240947189458</v>
      </c>
      <c r="Q1198" s="22" t="s">
        <v>1428</v>
      </c>
      <c r="R1198" s="37">
        <v>3.06148991849877</v>
      </c>
      <c r="S1198" s="22">
        <f t="shared" si="32"/>
        <v>26.7333358949676</v>
      </c>
      <c r="T1198" s="729" t="s">
        <v>2854</v>
      </c>
      <c r="U1198" s="20" t="s">
        <v>7353</v>
      </c>
      <c r="V1198" s="1190" t="s">
        <v>1406</v>
      </c>
    </row>
    <row r="1199" s="805" customFormat="1" ht="15" customHeight="1" spans="1:22">
      <c r="A1199" s="1189"/>
      <c r="B1199" s="729"/>
      <c r="C1199" s="142"/>
      <c r="D1199" s="142"/>
      <c r="E1199" s="142"/>
      <c r="F1199" s="729" t="s">
        <v>2234</v>
      </c>
      <c r="G1199" s="23" t="s">
        <v>1933</v>
      </c>
      <c r="H1199" s="689" t="s">
        <v>4869</v>
      </c>
      <c r="I1199" s="21" t="s">
        <v>1913</v>
      </c>
      <c r="J1199" s="21" t="s">
        <v>1692</v>
      </c>
      <c r="K1199" s="1071" t="s">
        <v>712</v>
      </c>
      <c r="L1199" s="21" t="s">
        <v>1428</v>
      </c>
      <c r="M1199" s="21" t="s">
        <v>1428</v>
      </c>
      <c r="N1199" s="1191">
        <v>8.8</v>
      </c>
      <c r="O1199" s="22">
        <v>4.43089878701086</v>
      </c>
      <c r="P1199" s="37">
        <v>15.9741656038226</v>
      </c>
      <c r="Q1199" s="22" t="s">
        <v>1428</v>
      </c>
      <c r="R1199" s="37">
        <v>3.06148991849877</v>
      </c>
      <c r="S1199" s="22">
        <f t="shared" si="32"/>
        <v>32.2665543093322</v>
      </c>
      <c r="T1199" s="729" t="s">
        <v>2854</v>
      </c>
      <c r="U1199" s="20" t="s">
        <v>7354</v>
      </c>
      <c r="V1199" s="1190" t="s">
        <v>1406</v>
      </c>
    </row>
    <row r="1200" s="930" customFormat="1" spans="1:22">
      <c r="A1200" s="1189"/>
      <c r="B1200" s="729"/>
      <c r="C1200" s="142"/>
      <c r="D1200" s="142"/>
      <c r="E1200" s="142"/>
      <c r="F1200" s="20" t="s">
        <v>388</v>
      </c>
      <c r="G1200" s="20"/>
      <c r="H1200" s="21"/>
      <c r="I1200" s="22"/>
      <c r="J1200" s="21"/>
      <c r="K1200" s="690"/>
      <c r="L1200" s="21"/>
      <c r="M1200" s="21"/>
      <c r="N1200" s="21"/>
      <c r="O1200" s="22">
        <v>0.354679802955665</v>
      </c>
      <c r="P1200" s="37">
        <v>1.14285714285714</v>
      </c>
      <c r="Q1200" s="22" t="s">
        <v>1428</v>
      </c>
      <c r="R1200" s="22">
        <v>0.4</v>
      </c>
      <c r="S1200" s="22">
        <f t="shared" si="32"/>
        <v>1.89753694581281</v>
      </c>
      <c r="T1200" s="813"/>
      <c r="U1200" s="20"/>
      <c r="V1200" s="1190" t="s">
        <v>1406</v>
      </c>
    </row>
    <row r="1201" s="996" customFormat="1" spans="1:22">
      <c r="A1201" s="1189"/>
      <c r="B1201" s="729"/>
      <c r="C1201" s="142"/>
      <c r="D1201" s="142"/>
      <c r="E1201" s="142"/>
      <c r="F1201" s="20" t="s">
        <v>565</v>
      </c>
      <c r="G1201" s="20"/>
      <c r="H1201" s="21"/>
      <c r="I1201" s="21"/>
      <c r="J1201" s="21"/>
      <c r="K1201" s="21"/>
      <c r="L1201" s="21"/>
      <c r="M1201" s="21"/>
      <c r="N1201" s="21"/>
      <c r="O1201" s="22">
        <v>0.70935960591133</v>
      </c>
      <c r="P1201" s="37">
        <v>4.24630541871921</v>
      </c>
      <c r="Q1201" s="22" t="s">
        <v>1428</v>
      </c>
      <c r="R1201" s="22">
        <v>0.4</v>
      </c>
      <c r="S1201" s="22">
        <f t="shared" si="32"/>
        <v>5.35566502463054</v>
      </c>
      <c r="T1201" s="20"/>
      <c r="U1201" s="20" t="s">
        <v>25</v>
      </c>
      <c r="V1201" s="1190" t="s">
        <v>1406</v>
      </c>
    </row>
    <row r="1202" s="996" customFormat="1" spans="1:22">
      <c r="A1202" s="1189"/>
      <c r="B1202" s="729"/>
      <c r="C1202" s="142"/>
      <c r="D1202" s="142"/>
      <c r="E1202" s="142"/>
      <c r="F1202" s="20" t="s">
        <v>6385</v>
      </c>
      <c r="G1202" s="20"/>
      <c r="H1202" s="21"/>
      <c r="I1202" s="21"/>
      <c r="J1202" s="21"/>
      <c r="K1202" s="21"/>
      <c r="L1202" s="21"/>
      <c r="M1202" s="21"/>
      <c r="N1202" s="21"/>
      <c r="O1202" s="22">
        <v>0.108374384236453</v>
      </c>
      <c r="P1202" s="37">
        <v>1.49753694581281</v>
      </c>
      <c r="Q1202" s="22" t="s">
        <v>1428</v>
      </c>
      <c r="R1202" s="22">
        <v>0.2</v>
      </c>
      <c r="S1202" s="22">
        <f t="shared" si="32"/>
        <v>1.80591133004926</v>
      </c>
      <c r="T1202" s="20"/>
      <c r="U1202" s="20"/>
      <c r="V1202" s="1190" t="s">
        <v>1406</v>
      </c>
    </row>
    <row r="1203" s="996" customFormat="1" ht="15" spans="1:22">
      <c r="A1203" s="1189"/>
      <c r="B1203" s="23" t="s">
        <v>7355</v>
      </c>
      <c r="C1203" s="123"/>
      <c r="D1203" s="123"/>
      <c r="E1203" s="123"/>
      <c r="F1203" s="20" t="s">
        <v>1645</v>
      </c>
      <c r="G1203" s="23" t="s">
        <v>1933</v>
      </c>
      <c r="H1203" s="21" t="s">
        <v>7356</v>
      </c>
      <c r="I1203" s="21" t="s">
        <v>1913</v>
      </c>
      <c r="J1203" s="21" t="s">
        <v>1742</v>
      </c>
      <c r="K1203" s="1071" t="s">
        <v>712</v>
      </c>
      <c r="L1203" s="21" t="s">
        <v>1428</v>
      </c>
      <c r="M1203" s="21" t="s">
        <v>1428</v>
      </c>
      <c r="N1203" s="762">
        <v>6</v>
      </c>
      <c r="O1203" s="22">
        <v>5.43615676359039</v>
      </c>
      <c r="P1203" s="37">
        <v>25.9116400965527</v>
      </c>
      <c r="Q1203" s="22" t="s">
        <v>1428</v>
      </c>
      <c r="R1203" s="37">
        <v>4.01629370629371</v>
      </c>
      <c r="S1203" s="22">
        <f t="shared" si="32"/>
        <v>41.3640905664368</v>
      </c>
      <c r="T1203" s="729" t="s">
        <v>2854</v>
      </c>
      <c r="U1203" s="20" t="s">
        <v>7357</v>
      </c>
      <c r="V1203" s="1190" t="s">
        <v>1406</v>
      </c>
    </row>
    <row r="1204" s="996" customFormat="1" ht="15" spans="1:22">
      <c r="A1204" s="1189"/>
      <c r="B1204" s="23"/>
      <c r="C1204" s="123"/>
      <c r="D1204" s="123"/>
      <c r="E1204" s="123"/>
      <c r="F1204" s="20" t="s">
        <v>1604</v>
      </c>
      <c r="G1204" s="23" t="s">
        <v>1933</v>
      </c>
      <c r="H1204" s="21" t="s">
        <v>7356</v>
      </c>
      <c r="I1204" s="21" t="s">
        <v>1913</v>
      </c>
      <c r="J1204" s="21" t="s">
        <v>3939</v>
      </c>
      <c r="K1204" s="1071" t="s">
        <v>712</v>
      </c>
      <c r="L1204" s="21" t="s">
        <v>1428</v>
      </c>
      <c r="M1204" s="21" t="s">
        <v>1428</v>
      </c>
      <c r="N1204" s="689">
        <v>3</v>
      </c>
      <c r="O1204" s="22">
        <v>5.43615676359039</v>
      </c>
      <c r="P1204" s="37">
        <v>25.9116400965527</v>
      </c>
      <c r="Q1204" s="22" t="s">
        <v>1428</v>
      </c>
      <c r="R1204" s="37">
        <v>4.01629370629371</v>
      </c>
      <c r="S1204" s="22">
        <f t="shared" si="32"/>
        <v>38.3640905664368</v>
      </c>
      <c r="T1204" s="729" t="s">
        <v>2854</v>
      </c>
      <c r="U1204" s="20" t="s">
        <v>7357</v>
      </c>
      <c r="V1204" s="1190" t="s">
        <v>1406</v>
      </c>
    </row>
    <row r="1205" s="996" customFormat="1" ht="15" spans="1:22">
      <c r="A1205" s="1189"/>
      <c r="B1205" s="23"/>
      <c r="C1205" s="123"/>
      <c r="D1205" s="123"/>
      <c r="E1205" s="123"/>
      <c r="F1205" s="20" t="s">
        <v>1685</v>
      </c>
      <c r="G1205" s="23" t="s">
        <v>1933</v>
      </c>
      <c r="H1205" s="21" t="s">
        <v>7358</v>
      </c>
      <c r="I1205" s="21" t="s">
        <v>1913</v>
      </c>
      <c r="J1205" s="21" t="s">
        <v>1692</v>
      </c>
      <c r="K1205" s="1071" t="s">
        <v>712</v>
      </c>
      <c r="L1205" s="21" t="s">
        <v>1428</v>
      </c>
      <c r="M1205" s="21" t="s">
        <v>1428</v>
      </c>
      <c r="N1205" s="1191">
        <v>8.8</v>
      </c>
      <c r="O1205" s="22">
        <v>5.43615676359039</v>
      </c>
      <c r="P1205" s="37">
        <v>22.945595004315</v>
      </c>
      <c r="Q1205" s="22" t="s">
        <v>1428</v>
      </c>
      <c r="R1205" s="37">
        <v>4.01629370629371</v>
      </c>
      <c r="S1205" s="22">
        <f t="shared" si="32"/>
        <v>41.1980454741991</v>
      </c>
      <c r="T1205" s="729" t="s">
        <v>2854</v>
      </c>
      <c r="U1205" s="20" t="s">
        <v>7359</v>
      </c>
      <c r="V1205" s="1190" t="s">
        <v>1406</v>
      </c>
    </row>
    <row r="1206" s="996" customFormat="1" ht="15" spans="1:22">
      <c r="A1206" s="1189"/>
      <c r="B1206" s="23"/>
      <c r="C1206" s="123">
        <v>20240127</v>
      </c>
      <c r="D1206" s="142">
        <v>7.24</v>
      </c>
      <c r="E1206" s="123" t="s">
        <v>7360</v>
      </c>
      <c r="F1206" s="20" t="s">
        <v>1672</v>
      </c>
      <c r="G1206" s="23" t="s">
        <v>1933</v>
      </c>
      <c r="H1206" s="21" t="s">
        <v>5087</v>
      </c>
      <c r="I1206" s="21" t="s">
        <v>1913</v>
      </c>
      <c r="J1206" s="21" t="s">
        <v>1692</v>
      </c>
      <c r="K1206" s="1071" t="s">
        <v>712</v>
      </c>
      <c r="L1206" s="21" t="s">
        <v>1428</v>
      </c>
      <c r="M1206" s="21" t="s">
        <v>1428</v>
      </c>
      <c r="N1206" s="1191">
        <v>8.8</v>
      </c>
      <c r="O1206" s="22">
        <v>5.43615676359039</v>
      </c>
      <c r="P1206" s="822">
        <v>22.5629136226855</v>
      </c>
      <c r="Q1206" s="22" t="s">
        <v>1428</v>
      </c>
      <c r="R1206" s="37">
        <v>4.01629370629371</v>
      </c>
      <c r="S1206" s="22">
        <f t="shared" si="32"/>
        <v>40.8153640925696</v>
      </c>
      <c r="T1206" s="729" t="s">
        <v>2854</v>
      </c>
      <c r="U1206" s="20" t="s">
        <v>7361</v>
      </c>
      <c r="V1206" s="1190" t="s">
        <v>1406</v>
      </c>
    </row>
    <row r="1207" s="996" customFormat="1" ht="15" spans="1:22">
      <c r="A1207" s="1189"/>
      <c r="B1207" s="23"/>
      <c r="C1207" s="123">
        <v>20240127</v>
      </c>
      <c r="D1207" s="142">
        <v>7.24</v>
      </c>
      <c r="E1207" s="123" t="s">
        <v>7362</v>
      </c>
      <c r="F1207" s="20" t="s">
        <v>1998</v>
      </c>
      <c r="G1207" s="23" t="s">
        <v>1933</v>
      </c>
      <c r="H1207" s="21" t="s">
        <v>7356</v>
      </c>
      <c r="I1207" s="21" t="s">
        <v>1913</v>
      </c>
      <c r="J1207" s="21" t="s">
        <v>1692</v>
      </c>
      <c r="K1207" s="1071" t="s">
        <v>712</v>
      </c>
      <c r="L1207" s="21" t="s">
        <v>1428</v>
      </c>
      <c r="M1207" s="21" t="s">
        <v>1428</v>
      </c>
      <c r="N1207" s="1191">
        <v>8.8</v>
      </c>
      <c r="O1207" s="22">
        <v>5.43615676359039</v>
      </c>
      <c r="P1207" s="822">
        <v>21.7395374514035</v>
      </c>
      <c r="Q1207" s="22" t="s">
        <v>1428</v>
      </c>
      <c r="R1207" s="37">
        <v>4.01629370629371</v>
      </c>
      <c r="S1207" s="22">
        <f t="shared" si="32"/>
        <v>39.9919879212876</v>
      </c>
      <c r="T1207" s="729" t="s">
        <v>2854</v>
      </c>
      <c r="U1207" s="20" t="s">
        <v>7361</v>
      </c>
      <c r="V1207" s="1190" t="s">
        <v>1406</v>
      </c>
    </row>
    <row r="1208" s="930" customFormat="1" spans="1:22">
      <c r="A1208" s="1189"/>
      <c r="B1208" s="23"/>
      <c r="C1208" s="123"/>
      <c r="D1208" s="123"/>
      <c r="E1208" s="123"/>
      <c r="F1208" s="20" t="s">
        <v>388</v>
      </c>
      <c r="G1208" s="20"/>
      <c r="H1208" s="21"/>
      <c r="I1208" s="22"/>
      <c r="J1208" s="21"/>
      <c r="K1208" s="690"/>
      <c r="L1208" s="21"/>
      <c r="M1208" s="21"/>
      <c r="N1208" s="21"/>
      <c r="O1208" s="22">
        <v>0.354679802955665</v>
      </c>
      <c r="P1208" s="37">
        <v>1.14285714285714</v>
      </c>
      <c r="Q1208" s="22" t="s">
        <v>1428</v>
      </c>
      <c r="R1208" s="22">
        <v>0.4</v>
      </c>
      <c r="S1208" s="22">
        <f t="shared" si="32"/>
        <v>1.89753694581281</v>
      </c>
      <c r="T1208" s="813"/>
      <c r="U1208" s="20"/>
      <c r="V1208" s="1190" t="s">
        <v>1406</v>
      </c>
    </row>
    <row r="1209" s="930" customFormat="1" ht="15" customHeight="1" spans="1:22">
      <c r="B1209" s="729" t="s">
        <v>7363</v>
      </c>
      <c r="C1209" s="729"/>
      <c r="D1209" s="729"/>
      <c r="E1209" s="729"/>
      <c r="F1209" s="729" t="s">
        <v>1685</v>
      </c>
      <c r="G1209" s="23" t="s">
        <v>1933</v>
      </c>
      <c r="H1209" s="21" t="s">
        <v>7351</v>
      </c>
      <c r="I1209" s="21" t="s">
        <v>1913</v>
      </c>
      <c r="J1209" s="21" t="s">
        <v>4687</v>
      </c>
      <c r="K1209" s="1071" t="s">
        <v>712</v>
      </c>
      <c r="L1209" s="689" t="s">
        <v>1428</v>
      </c>
      <c r="M1209" s="689" t="s">
        <v>1428</v>
      </c>
      <c r="N1209" s="689">
        <v>2</v>
      </c>
      <c r="O1209" s="822">
        <v>6.45320197044335</v>
      </c>
      <c r="P1209" s="37">
        <v>23.487684729064</v>
      </c>
      <c r="Q1209" s="22" t="s">
        <v>1428</v>
      </c>
      <c r="R1209" s="37">
        <v>4.06713286713287</v>
      </c>
      <c r="S1209" s="22">
        <f t="shared" si="32"/>
        <v>36.0080195666402</v>
      </c>
      <c r="T1209" s="729" t="s">
        <v>2854</v>
      </c>
      <c r="U1209" s="20" t="s">
        <v>7364</v>
      </c>
      <c r="V1209" s="1190" t="s">
        <v>1406</v>
      </c>
    </row>
    <row r="1210" s="930" customFormat="1" ht="15" customHeight="1" spans="1:22">
      <c r="B1210" s="729"/>
      <c r="C1210" s="729"/>
      <c r="D1210" s="729"/>
      <c r="E1210" s="729"/>
      <c r="F1210" s="729" t="s">
        <v>7365</v>
      </c>
      <c r="G1210" s="23"/>
      <c r="H1210" s="21"/>
      <c r="I1210" s="21"/>
      <c r="J1210" s="21"/>
      <c r="K1210" s="21"/>
      <c r="L1210" s="689"/>
      <c r="M1210" s="689"/>
      <c r="N1210" s="689"/>
      <c r="O1210" s="822">
        <v>0.620689655172414</v>
      </c>
      <c r="P1210" s="37">
        <v>5.40886699507389</v>
      </c>
      <c r="Q1210" s="22" t="s">
        <v>1428</v>
      </c>
      <c r="R1210" s="22">
        <v>0.4</v>
      </c>
      <c r="S1210" s="22">
        <f t="shared" si="32"/>
        <v>6.4295566502463</v>
      </c>
      <c r="T1210" s="729"/>
      <c r="U1210" s="20" t="s">
        <v>7366</v>
      </c>
      <c r="V1210" s="1190" t="s">
        <v>1406</v>
      </c>
    </row>
    <row r="1211" s="930" customFormat="1" ht="15" spans="1:22">
      <c r="B1211" s="729" t="s">
        <v>7367</v>
      </c>
      <c r="C1211" s="729"/>
      <c r="D1211" s="729"/>
      <c r="E1211" s="729"/>
      <c r="F1211" s="729" t="s">
        <v>1667</v>
      </c>
      <c r="G1211" s="23" t="s">
        <v>1933</v>
      </c>
      <c r="H1211" s="21" t="s">
        <v>5100</v>
      </c>
      <c r="I1211" s="21" t="s">
        <v>1913</v>
      </c>
      <c r="J1211" s="21" t="s">
        <v>4687</v>
      </c>
      <c r="K1211" s="1071" t="s">
        <v>712</v>
      </c>
      <c r="L1211" s="689" t="s">
        <v>1428</v>
      </c>
      <c r="M1211" s="689" t="s">
        <v>1428</v>
      </c>
      <c r="N1211" s="689">
        <v>2</v>
      </c>
      <c r="O1211" s="822">
        <v>6.31527093596059</v>
      </c>
      <c r="P1211" s="37">
        <v>22.3546798029557</v>
      </c>
      <c r="Q1211" s="22" t="s">
        <v>1428</v>
      </c>
      <c r="R1211" s="37">
        <v>4.06713286713287</v>
      </c>
      <c r="S1211" s="22">
        <f t="shared" si="32"/>
        <v>34.7370836060492</v>
      </c>
      <c r="T1211" s="729" t="s">
        <v>2854</v>
      </c>
      <c r="U1211" s="20" t="s">
        <v>7364</v>
      </c>
      <c r="V1211" s="1190" t="s">
        <v>1406</v>
      </c>
    </row>
    <row r="1212" s="930" customFormat="1" spans="1:22">
      <c r="B1212" s="729"/>
      <c r="C1212" s="729"/>
      <c r="D1212" s="729"/>
      <c r="E1212" s="729"/>
      <c r="F1212" s="20" t="s">
        <v>7368</v>
      </c>
      <c r="G1212" s="20"/>
      <c r="H1212" s="21"/>
      <c r="I1212" s="21"/>
      <c r="J1212" s="21"/>
      <c r="K1212" s="21"/>
      <c r="L1212" s="21"/>
      <c r="M1212" s="21"/>
      <c r="N1212" s="21"/>
      <c r="O1212" s="22">
        <v>0.492610837438424</v>
      </c>
      <c r="P1212" s="37">
        <v>3.29064039408867</v>
      </c>
      <c r="Q1212" s="22" t="s">
        <v>1428</v>
      </c>
      <c r="R1212" s="22">
        <v>0.4</v>
      </c>
      <c r="S1212" s="22">
        <f t="shared" si="32"/>
        <v>4.18325123152709</v>
      </c>
      <c r="T1212" s="23"/>
      <c r="U1212" s="20" t="s">
        <v>25</v>
      </c>
      <c r="V1212" s="1190" t="s">
        <v>1406</v>
      </c>
    </row>
    <row r="1213" s="930" customFormat="1" ht="15" spans="1:22">
      <c r="B1213" s="23" t="s">
        <v>7369</v>
      </c>
      <c r="C1213" s="23"/>
      <c r="D1213" s="23"/>
      <c r="E1213" s="23"/>
      <c r="F1213" s="20" t="s">
        <v>1645</v>
      </c>
      <c r="G1213" s="23" t="s">
        <v>1933</v>
      </c>
      <c r="H1213" s="21" t="s">
        <v>4874</v>
      </c>
      <c r="I1213" s="21" t="s">
        <v>1913</v>
      </c>
      <c r="J1213" s="21" t="s">
        <v>4687</v>
      </c>
      <c r="K1213" s="1071" t="s">
        <v>712</v>
      </c>
      <c r="L1213" s="689" t="s">
        <v>1428</v>
      </c>
      <c r="M1213" s="689" t="s">
        <v>1428</v>
      </c>
      <c r="N1213" s="689">
        <v>2</v>
      </c>
      <c r="O1213" s="22">
        <v>3.81446444919133</v>
      </c>
      <c r="P1213" s="37">
        <v>17.1193225818058</v>
      </c>
      <c r="Q1213" s="22" t="s">
        <v>1428</v>
      </c>
      <c r="R1213" s="37">
        <v>4.06713286713287</v>
      </c>
      <c r="S1213" s="22">
        <f t="shared" si="32"/>
        <v>27.00091989813</v>
      </c>
      <c r="T1213" s="729" t="s">
        <v>2854</v>
      </c>
      <c r="U1213" s="20" t="s">
        <v>5098</v>
      </c>
      <c r="V1213" s="1190" t="s">
        <v>1406</v>
      </c>
    </row>
    <row r="1214" s="930" customFormat="1" ht="15" spans="1:22">
      <c r="B1214" s="23"/>
      <c r="C1214" s="23"/>
      <c r="D1214" s="23"/>
      <c r="E1214" s="23"/>
      <c r="F1214" s="20" t="s">
        <v>1604</v>
      </c>
      <c r="G1214" s="23" t="s">
        <v>1933</v>
      </c>
      <c r="H1214" s="21" t="s">
        <v>7349</v>
      </c>
      <c r="I1214" s="21" t="s">
        <v>1913</v>
      </c>
      <c r="J1214" s="21" t="s">
        <v>1692</v>
      </c>
      <c r="K1214" s="21" t="s">
        <v>1428</v>
      </c>
      <c r="L1214" s="689" t="s">
        <v>1428</v>
      </c>
      <c r="M1214" s="689" t="s">
        <v>1428</v>
      </c>
      <c r="N1214" s="1191">
        <v>8.8</v>
      </c>
      <c r="O1214" s="22">
        <v>3.81446444919133</v>
      </c>
      <c r="P1214" s="37">
        <v>16.6889939307453</v>
      </c>
      <c r="Q1214" s="22" t="s">
        <v>1428</v>
      </c>
      <c r="R1214" s="37">
        <v>4.06713286713287</v>
      </c>
      <c r="S1214" s="22">
        <f t="shared" si="32"/>
        <v>33.3705912470695</v>
      </c>
      <c r="T1214" s="729" t="s">
        <v>2854</v>
      </c>
      <c r="U1214" s="20" t="s">
        <v>5098</v>
      </c>
      <c r="V1214" s="1190" t="s">
        <v>1406</v>
      </c>
    </row>
    <row r="1215" s="996" customFormat="1" spans="1:22">
      <c r="A1215" s="1193"/>
      <c r="B1215" s="23"/>
      <c r="C1215" s="23"/>
      <c r="D1215" s="23"/>
      <c r="E1215" s="23"/>
      <c r="F1215" s="20" t="s">
        <v>501</v>
      </c>
      <c r="G1215" s="20"/>
      <c r="H1215" s="20"/>
      <c r="I1215" s="20"/>
      <c r="J1215" s="20"/>
      <c r="K1215" s="20"/>
      <c r="L1215" s="20"/>
      <c r="M1215" s="20"/>
      <c r="N1215" s="20"/>
      <c r="O1215" s="22">
        <v>0.403940886699507</v>
      </c>
      <c r="P1215" s="37">
        <v>1.24137931034483</v>
      </c>
      <c r="Q1215" s="22" t="s">
        <v>1428</v>
      </c>
      <c r="R1215" s="22">
        <v>0.2</v>
      </c>
      <c r="S1215" s="22">
        <f t="shared" si="32"/>
        <v>1.84532019704434</v>
      </c>
      <c r="T1215" s="20"/>
      <c r="U1215" s="20"/>
      <c r="V1215" s="1190" t="s">
        <v>1406</v>
      </c>
    </row>
    <row r="1216" s="930" customFormat="1" ht="16" customHeight="1" spans="1:22">
      <c r="B1216" s="880" t="s">
        <v>7370</v>
      </c>
      <c r="C1216" s="880">
        <v>20240612</v>
      </c>
      <c r="D1216" s="729">
        <v>7.24</v>
      </c>
      <c r="E1216" s="880" t="s">
        <v>7371</v>
      </c>
      <c r="F1216" s="20" t="s">
        <v>7372</v>
      </c>
      <c r="G1216" s="20"/>
      <c r="H1216" s="21"/>
      <c r="I1216" s="21"/>
      <c r="J1216" s="21"/>
      <c r="K1216" s="21"/>
      <c r="L1216" s="21"/>
      <c r="M1216" s="21"/>
      <c r="N1216" s="21"/>
      <c r="O1216" s="22">
        <v>0.512664021971315</v>
      </c>
      <c r="P1216" s="822">
        <v>3.6486982182386</v>
      </c>
      <c r="Q1216" s="22" t="s">
        <v>1428</v>
      </c>
      <c r="R1216" s="22">
        <v>0.2</v>
      </c>
      <c r="S1216" s="22">
        <f t="shared" si="32"/>
        <v>4.36136224020991</v>
      </c>
      <c r="T1216" s="23"/>
      <c r="U1216" s="20" t="s">
        <v>7373</v>
      </c>
    </row>
    <row r="1217" s="996" customFormat="1" ht="15" spans="1:22">
      <c r="A1217" s="1189"/>
      <c r="B1217" s="23" t="s">
        <v>7374</v>
      </c>
      <c r="C1217" s="123"/>
      <c r="D1217" s="123"/>
      <c r="E1217" s="123"/>
      <c r="F1217" s="20" t="s">
        <v>1671</v>
      </c>
      <c r="G1217" s="23" t="s">
        <v>1933</v>
      </c>
      <c r="H1217" s="21" t="s">
        <v>4874</v>
      </c>
      <c r="I1217" s="21" t="s">
        <v>1913</v>
      </c>
      <c r="J1217" s="21" t="s">
        <v>1428</v>
      </c>
      <c r="K1217" s="1071" t="s">
        <v>712</v>
      </c>
      <c r="L1217" s="21" t="s">
        <v>1428</v>
      </c>
      <c r="M1217" s="21" t="s">
        <v>1428</v>
      </c>
      <c r="N1217" s="21" t="s">
        <v>1428</v>
      </c>
      <c r="O1217" s="22">
        <v>5.62881715069176</v>
      </c>
      <c r="P1217" s="37">
        <v>22.5399393587039</v>
      </c>
      <c r="Q1217" s="22"/>
      <c r="R1217" s="37">
        <v>4.06713286713287</v>
      </c>
      <c r="S1217" s="22">
        <f t="shared" si="32"/>
        <v>32.2358893765285</v>
      </c>
      <c r="T1217" s="729" t="s">
        <v>7375</v>
      </c>
      <c r="U1217" s="20" t="s">
        <v>7376</v>
      </c>
      <c r="V1217" s="1190" t="s">
        <v>1406</v>
      </c>
    </row>
    <row r="1218" s="996" customFormat="1" spans="1:22">
      <c r="A1218" s="1189"/>
      <c r="B1218" s="23"/>
      <c r="C1218" s="123"/>
      <c r="D1218" s="123"/>
      <c r="E1218" s="123"/>
      <c r="F1218" s="20" t="s">
        <v>7377</v>
      </c>
      <c r="G1218" s="23"/>
      <c r="H1218" s="21"/>
      <c r="I1218" s="21"/>
      <c r="J1218" s="21"/>
      <c r="K1218" s="21"/>
      <c r="L1218" s="21"/>
      <c r="M1218" s="21"/>
      <c r="N1218" s="21"/>
      <c r="O1218" s="22">
        <v>0.810170759067681</v>
      </c>
      <c r="P1218" s="37">
        <v>2.06997013765026</v>
      </c>
      <c r="Q1218" s="22"/>
      <c r="R1218" s="22">
        <v>0.4</v>
      </c>
      <c r="S1218" s="22">
        <f t="shared" si="32"/>
        <v>3.28014089671794</v>
      </c>
      <c r="T1218" s="729"/>
      <c r="U1218" s="20"/>
      <c r="V1218" s="1190" t="s">
        <v>1406</v>
      </c>
    </row>
    <row r="1219" s="996" customFormat="1" ht="15" spans="1:22">
      <c r="A1219" s="1189"/>
      <c r="B1219" s="23" t="s">
        <v>7378</v>
      </c>
      <c r="C1219" s="123"/>
      <c r="D1219" s="123"/>
      <c r="E1219" s="123"/>
      <c r="F1219" s="20" t="s">
        <v>1617</v>
      </c>
      <c r="G1219" s="23" t="s">
        <v>1933</v>
      </c>
      <c r="H1219" s="689" t="s">
        <v>7349</v>
      </c>
      <c r="I1219" s="21" t="s">
        <v>1913</v>
      </c>
      <c r="J1219" s="21" t="s">
        <v>3891</v>
      </c>
      <c r="K1219" s="21" t="s">
        <v>1428</v>
      </c>
      <c r="L1219" s="21" t="s">
        <v>1428</v>
      </c>
      <c r="M1219" s="21" t="s">
        <v>1428</v>
      </c>
      <c r="N1219" s="689" t="s">
        <v>1428</v>
      </c>
      <c r="O1219" s="22">
        <v>5.42857142857143</v>
      </c>
      <c r="P1219" s="37">
        <v>32.9655172413793</v>
      </c>
      <c r="Q1219" s="22" t="s">
        <v>1428</v>
      </c>
      <c r="R1219" s="37">
        <v>0.301222027972028</v>
      </c>
      <c r="S1219" s="22">
        <f t="shared" si="32"/>
        <v>38.6953106979228</v>
      </c>
      <c r="T1219" s="729" t="s">
        <v>7375</v>
      </c>
      <c r="U1219" s="20" t="s">
        <v>7379</v>
      </c>
      <c r="V1219" s="1190" t="s">
        <v>1406</v>
      </c>
    </row>
    <row r="1220" s="996" customFormat="1" ht="15" spans="1:22">
      <c r="A1220" s="1189"/>
      <c r="B1220" s="23"/>
      <c r="C1220" s="123"/>
      <c r="D1220" s="123"/>
      <c r="E1220" s="123"/>
      <c r="F1220" s="20" t="s">
        <v>1571</v>
      </c>
      <c r="G1220" s="23" t="s">
        <v>1933</v>
      </c>
      <c r="H1220" s="689" t="s">
        <v>7349</v>
      </c>
      <c r="I1220" s="21" t="s">
        <v>1913</v>
      </c>
      <c r="J1220" s="21" t="s">
        <v>3891</v>
      </c>
      <c r="K1220" s="21" t="s">
        <v>1428</v>
      </c>
      <c r="L1220" s="21" t="s">
        <v>1428</v>
      </c>
      <c r="M1220" s="21" t="s">
        <v>1428</v>
      </c>
      <c r="N1220" s="689" t="s">
        <v>1428</v>
      </c>
      <c r="O1220" s="22">
        <v>5.42857142857143</v>
      </c>
      <c r="P1220" s="37">
        <v>33.0738916256158</v>
      </c>
      <c r="Q1220" s="22" t="s">
        <v>1428</v>
      </c>
      <c r="R1220" s="37">
        <v>0.301222027972028</v>
      </c>
      <c r="S1220" s="22">
        <f t="shared" si="32"/>
        <v>38.8036850821593</v>
      </c>
      <c r="T1220" s="729" t="s">
        <v>7375</v>
      </c>
      <c r="U1220" s="20" t="s">
        <v>7379</v>
      </c>
      <c r="V1220" s="1190" t="s">
        <v>1406</v>
      </c>
    </row>
    <row r="1221" s="996" customFormat="1" ht="15" spans="1:22">
      <c r="A1221" s="1189"/>
      <c r="B1221" s="23"/>
      <c r="C1221" s="123"/>
      <c r="D1221" s="123"/>
      <c r="E1221" s="123"/>
      <c r="F1221" s="20" t="s">
        <v>1671</v>
      </c>
      <c r="G1221" s="23" t="s">
        <v>1933</v>
      </c>
      <c r="H1221" s="689" t="s">
        <v>7349</v>
      </c>
      <c r="I1221" s="21" t="s">
        <v>1913</v>
      </c>
      <c r="J1221" s="21" t="s">
        <v>7380</v>
      </c>
      <c r="K1221" s="21" t="s">
        <v>1428</v>
      </c>
      <c r="L1221" s="21" t="s">
        <v>1428</v>
      </c>
      <c r="M1221" s="21" t="s">
        <v>1428</v>
      </c>
      <c r="N1221" s="689" t="s">
        <v>1428</v>
      </c>
      <c r="O1221" s="22">
        <v>5.42857142857143</v>
      </c>
      <c r="P1221" s="37">
        <v>32.0886699507389</v>
      </c>
      <c r="Q1221" s="22" t="s">
        <v>1428</v>
      </c>
      <c r="R1221" s="37">
        <v>0.301222027972028</v>
      </c>
      <c r="S1221" s="22">
        <f t="shared" si="32"/>
        <v>37.8184634072824</v>
      </c>
      <c r="T1221" s="729" t="s">
        <v>7375</v>
      </c>
      <c r="U1221" s="20" t="s">
        <v>7381</v>
      </c>
      <c r="V1221" s="1190" t="s">
        <v>1406</v>
      </c>
    </row>
    <row r="1222" s="997" customFormat="1" ht="15" customHeight="1" spans="1:22">
      <c r="A1222" s="1189"/>
      <c r="B1222" s="23"/>
      <c r="C1222" s="123"/>
      <c r="D1222" s="123"/>
      <c r="E1222" s="123"/>
      <c r="F1222" s="23" t="s">
        <v>654</v>
      </c>
      <c r="G1222" s="23"/>
      <c r="H1222" s="21"/>
      <c r="I1222" s="21"/>
      <c r="J1222" s="21"/>
      <c r="K1222" s="21"/>
      <c r="L1222" s="21"/>
      <c r="M1222" s="21"/>
      <c r="N1222" s="21"/>
      <c r="O1222" s="22">
        <v>0.0689655172413793</v>
      </c>
      <c r="P1222" s="37">
        <v>0.305418719211823</v>
      </c>
      <c r="Q1222" s="22" t="s">
        <v>1428</v>
      </c>
      <c r="R1222" s="22">
        <v>0.2</v>
      </c>
      <c r="S1222" s="22">
        <f t="shared" si="32"/>
        <v>0.574384236453202</v>
      </c>
      <c r="T1222" s="38"/>
      <c r="U1222" s="23"/>
      <c r="V1222" s="1190" t="s">
        <v>1406</v>
      </c>
    </row>
    <row r="1223" s="930" customFormat="1" ht="15" customHeight="1" spans="1:22">
      <c r="A1223" s="1189"/>
      <c r="B1223" s="23"/>
      <c r="C1223" s="123"/>
      <c r="D1223" s="123"/>
      <c r="E1223" s="123"/>
      <c r="F1223" s="20" t="s">
        <v>646</v>
      </c>
      <c r="G1223" s="20"/>
      <c r="H1223" s="21"/>
      <c r="I1223" s="22"/>
      <c r="J1223" s="21"/>
      <c r="K1223" s="21"/>
      <c r="L1223" s="21"/>
      <c r="M1223" s="21"/>
      <c r="N1223" s="21"/>
      <c r="O1223" s="22">
        <v>0.206896551724138</v>
      </c>
      <c r="P1223" s="37">
        <v>0.246305418719212</v>
      </c>
      <c r="Q1223" s="22" t="s">
        <v>1428</v>
      </c>
      <c r="R1223" s="22">
        <v>0.2</v>
      </c>
      <c r="S1223" s="22">
        <f t="shared" si="32"/>
        <v>0.65320197044335</v>
      </c>
      <c r="T1223" s="813"/>
      <c r="U1223" s="39"/>
      <c r="V1223" s="1190" t="s">
        <v>1406</v>
      </c>
    </row>
    <row r="1224" s="930" customFormat="1" ht="15" customHeight="1" spans="1:22">
      <c r="A1224" s="1189"/>
      <c r="B1224" s="23"/>
      <c r="C1224" s="123"/>
      <c r="D1224" s="123"/>
      <c r="E1224" s="123"/>
      <c r="F1224" s="20" t="s">
        <v>647</v>
      </c>
      <c r="G1224" s="20"/>
      <c r="H1224" s="21"/>
      <c r="I1224" s="22"/>
      <c r="J1224" s="21"/>
      <c r="K1224" s="21"/>
      <c r="L1224" s="21"/>
      <c r="M1224" s="21"/>
      <c r="N1224" s="21"/>
      <c r="O1224" s="22">
        <v>0.542501610551656</v>
      </c>
      <c r="P1224" s="37">
        <v>2.76847290640394</v>
      </c>
      <c r="Q1224" s="22" t="s">
        <v>1428</v>
      </c>
      <c r="R1224" s="22">
        <v>0.4</v>
      </c>
      <c r="S1224" s="22">
        <f t="shared" si="32"/>
        <v>3.7109745169556</v>
      </c>
      <c r="T1224" s="813"/>
      <c r="U1224" s="39"/>
      <c r="V1224" s="1190" t="s">
        <v>1406</v>
      </c>
    </row>
    <row r="1225" s="930" customFormat="1" ht="15" customHeight="1" spans="1:22">
      <c r="A1225" s="1189"/>
      <c r="B1225" s="23"/>
      <c r="C1225" s="123"/>
      <c r="D1225" s="123"/>
      <c r="E1225" s="123"/>
      <c r="F1225" s="20" t="s">
        <v>666</v>
      </c>
      <c r="G1225" s="20"/>
      <c r="H1225" s="21"/>
      <c r="I1225" s="22"/>
      <c r="J1225" s="21"/>
      <c r="K1225" s="21"/>
      <c r="L1225" s="21"/>
      <c r="M1225" s="21"/>
      <c r="N1225" s="21"/>
      <c r="O1225" s="22">
        <v>0.216748768472906</v>
      </c>
      <c r="P1225" s="37">
        <v>0.433497536945813</v>
      </c>
      <c r="Q1225" s="22" t="s">
        <v>1428</v>
      </c>
      <c r="R1225" s="22">
        <v>0.2</v>
      </c>
      <c r="S1225" s="22">
        <f t="shared" si="32"/>
        <v>0.850246305418719</v>
      </c>
      <c r="T1225" s="813"/>
      <c r="U1225" s="20"/>
      <c r="V1225" s="1190" t="s">
        <v>1406</v>
      </c>
    </row>
    <row r="1226" s="930" customFormat="1" ht="15" customHeight="1" spans="1:22">
      <c r="A1226" s="1189"/>
      <c r="B1226" s="23"/>
      <c r="C1226" s="123"/>
      <c r="D1226" s="123"/>
      <c r="E1226" s="123"/>
      <c r="F1226" s="20" t="s">
        <v>672</v>
      </c>
      <c r="G1226" s="20"/>
      <c r="H1226" s="21"/>
      <c r="I1226" s="22"/>
      <c r="J1226" s="21"/>
      <c r="K1226" s="21"/>
      <c r="L1226" s="21"/>
      <c r="M1226" s="21"/>
      <c r="N1226" s="21"/>
      <c r="O1226" s="22">
        <v>0.315270935960591</v>
      </c>
      <c r="P1226" s="37">
        <v>1.16256157635468</v>
      </c>
      <c r="Q1226" s="22" t="s">
        <v>1428</v>
      </c>
      <c r="R1226" s="22">
        <v>0.2</v>
      </c>
      <c r="S1226" s="22">
        <f t="shared" si="32"/>
        <v>1.67783251231527</v>
      </c>
      <c r="T1226" s="813"/>
      <c r="U1226" s="20"/>
      <c r="V1226" s="1190" t="s">
        <v>1406</v>
      </c>
    </row>
    <row r="1227" s="930" customFormat="1" ht="15" customHeight="1" spans="1:22">
      <c r="A1227" s="1193"/>
      <c r="B1227" s="705" t="s">
        <v>7382</v>
      </c>
      <c r="C1227" s="123"/>
      <c r="D1227" s="123"/>
      <c r="E1227" s="123"/>
      <c r="F1227" s="20" t="s">
        <v>1565</v>
      </c>
      <c r="G1227" s="20" t="s">
        <v>1933</v>
      </c>
      <c r="H1227" s="21" t="s">
        <v>4882</v>
      </c>
      <c r="I1227" s="21" t="s">
        <v>1913</v>
      </c>
      <c r="J1227" s="21" t="s">
        <v>3939</v>
      </c>
      <c r="K1227" s="1071" t="s">
        <v>712</v>
      </c>
      <c r="L1227" s="689" t="s">
        <v>1428</v>
      </c>
      <c r="M1227" s="689" t="s">
        <v>1428</v>
      </c>
      <c r="N1227" s="689">
        <v>3</v>
      </c>
      <c r="O1227" s="22">
        <v>4.84144542772861</v>
      </c>
      <c r="P1227" s="37">
        <v>25.4924601186379</v>
      </c>
      <c r="Q1227" s="22" t="s">
        <v>1428</v>
      </c>
      <c r="R1227" s="37">
        <v>4.06099088970708</v>
      </c>
      <c r="S1227" s="22">
        <f t="shared" si="32"/>
        <v>37.3948964360736</v>
      </c>
      <c r="T1227" s="729" t="s">
        <v>2854</v>
      </c>
      <c r="U1227" s="20" t="s">
        <v>7175</v>
      </c>
      <c r="V1227" s="1190" t="s">
        <v>1406</v>
      </c>
    </row>
    <row r="1228" s="930" customFormat="1" ht="15" customHeight="1" spans="1:22">
      <c r="A1228" s="1193"/>
      <c r="B1228" s="706"/>
      <c r="C1228" s="123"/>
      <c r="D1228" s="123"/>
      <c r="E1228" s="123"/>
      <c r="F1228" s="20" t="s">
        <v>1617</v>
      </c>
      <c r="G1228" s="20" t="s">
        <v>1933</v>
      </c>
      <c r="H1228" s="21" t="s">
        <v>4877</v>
      </c>
      <c r="I1228" s="21" t="s">
        <v>1913</v>
      </c>
      <c r="J1228" s="21" t="s">
        <v>7383</v>
      </c>
      <c r="K1228" s="1071" t="s">
        <v>712</v>
      </c>
      <c r="L1228" s="689" t="s">
        <v>1428</v>
      </c>
      <c r="M1228" s="689" t="s">
        <v>1428</v>
      </c>
      <c r="N1228" s="21">
        <v>5</v>
      </c>
      <c r="O1228" s="22">
        <v>4.84144542772861</v>
      </c>
      <c r="P1228" s="37">
        <v>23.9763764147471</v>
      </c>
      <c r="Q1228" s="22" t="s">
        <v>1428</v>
      </c>
      <c r="R1228" s="37">
        <v>4.06099088970708</v>
      </c>
      <c r="S1228" s="22">
        <f t="shared" si="32"/>
        <v>37.8788127321828</v>
      </c>
      <c r="T1228" s="729" t="s">
        <v>2854</v>
      </c>
      <c r="U1228" s="20" t="s">
        <v>7384</v>
      </c>
      <c r="V1228" s="1190" t="s">
        <v>1406</v>
      </c>
    </row>
    <row r="1229" s="930" customFormat="1" ht="15" customHeight="1" spans="1:22">
      <c r="A1229" s="1193"/>
      <c r="B1229" s="707"/>
      <c r="C1229" s="123">
        <v>20240312</v>
      </c>
      <c r="D1229" s="142">
        <v>7.24</v>
      </c>
      <c r="E1229" s="123" t="s">
        <v>7385</v>
      </c>
      <c r="F1229" s="20" t="s">
        <v>7386</v>
      </c>
      <c r="G1229" s="20" t="s">
        <v>1933</v>
      </c>
      <c r="H1229" s="21" t="s">
        <v>4882</v>
      </c>
      <c r="I1229" s="21" t="s">
        <v>1913</v>
      </c>
      <c r="J1229" s="21" t="s">
        <v>4687</v>
      </c>
      <c r="K1229" s="1071" t="s">
        <v>712</v>
      </c>
      <c r="L1229" s="689" t="s">
        <v>1428</v>
      </c>
      <c r="M1229" s="689" t="s">
        <v>1428</v>
      </c>
      <c r="N1229" s="689">
        <v>2</v>
      </c>
      <c r="O1229" s="22">
        <v>4.84144542772861</v>
      </c>
      <c r="P1229" s="822">
        <v>22.4548875963159</v>
      </c>
      <c r="Q1229" s="22" t="s">
        <v>1428</v>
      </c>
      <c r="R1229" s="37">
        <v>0.301222027972028</v>
      </c>
      <c r="S1229" s="22">
        <f t="shared" si="32"/>
        <v>29.5975550520165</v>
      </c>
      <c r="T1229" s="729" t="s">
        <v>2854</v>
      </c>
      <c r="U1229" s="20" t="s">
        <v>7387</v>
      </c>
      <c r="V1229" s="1190" t="s">
        <v>1406</v>
      </c>
    </row>
    <row r="1230" s="930" customFormat="1" ht="15" customHeight="1" spans="1:22">
      <c r="A1230" s="1193"/>
      <c r="B1230" s="23" t="s">
        <v>7388</v>
      </c>
      <c r="C1230" s="123"/>
      <c r="D1230" s="123"/>
      <c r="E1230" s="123"/>
      <c r="F1230" s="20" t="s">
        <v>1645</v>
      </c>
      <c r="G1230" s="23" t="s">
        <v>1933</v>
      </c>
      <c r="H1230" s="689" t="s">
        <v>7349</v>
      </c>
      <c r="I1230" s="21" t="s">
        <v>1913</v>
      </c>
      <c r="J1230" s="21" t="s">
        <v>3939</v>
      </c>
      <c r="K1230" s="21" t="s">
        <v>1428</v>
      </c>
      <c r="L1230" s="689" t="s">
        <v>1428</v>
      </c>
      <c r="M1230" s="689" t="s">
        <v>1428</v>
      </c>
      <c r="N1230" s="689">
        <v>3</v>
      </c>
      <c r="O1230" s="22">
        <v>4.98797680805615</v>
      </c>
      <c r="P1230" s="37">
        <v>28.8275862068966</v>
      </c>
      <c r="Q1230" s="22" t="s">
        <v>1428</v>
      </c>
      <c r="R1230" s="37">
        <v>0.301222027972028</v>
      </c>
      <c r="S1230" s="22">
        <f t="shared" si="32"/>
        <v>37.1167850429248</v>
      </c>
      <c r="T1230" s="729" t="s">
        <v>7375</v>
      </c>
      <c r="U1230" s="20" t="s">
        <v>7389</v>
      </c>
      <c r="V1230" s="1190" t="s">
        <v>1406</v>
      </c>
    </row>
    <row r="1231" s="930" customFormat="1" ht="15" customHeight="1" spans="1:22">
      <c r="A1231" s="1193"/>
      <c r="B1231" s="23"/>
      <c r="C1231" s="123"/>
      <c r="D1231" s="123"/>
      <c r="E1231" s="123"/>
      <c r="F1231" s="20" t="s">
        <v>1685</v>
      </c>
      <c r="G1231" s="23" t="s">
        <v>1933</v>
      </c>
      <c r="H1231" s="689" t="s">
        <v>7349</v>
      </c>
      <c r="I1231" s="21" t="s">
        <v>1913</v>
      </c>
      <c r="J1231" s="21" t="s">
        <v>3939</v>
      </c>
      <c r="K1231" s="21" t="s">
        <v>1428</v>
      </c>
      <c r="L1231" s="689" t="s">
        <v>1428</v>
      </c>
      <c r="M1231" s="689" t="s">
        <v>1428</v>
      </c>
      <c r="N1231" s="689">
        <v>3</v>
      </c>
      <c r="O1231" s="22">
        <v>4.98797680805615</v>
      </c>
      <c r="P1231" s="37">
        <v>28.5057207747032</v>
      </c>
      <c r="Q1231" s="22" t="s">
        <v>1428</v>
      </c>
      <c r="R1231" s="37">
        <v>0.301222027972028</v>
      </c>
      <c r="S1231" s="22">
        <f t="shared" si="32"/>
        <v>36.7949196107314</v>
      </c>
      <c r="T1231" s="729" t="s">
        <v>7375</v>
      </c>
      <c r="U1231" s="20" t="s">
        <v>7390</v>
      </c>
      <c r="V1231" s="1190" t="s">
        <v>1406</v>
      </c>
    </row>
    <row r="1232" s="1000" customFormat="1" ht="15" customHeight="1" spans="1:22">
      <c r="A1232" s="1194"/>
      <c r="B1232" s="782"/>
      <c r="C1232" s="782">
        <v>20251014</v>
      </c>
      <c r="D1232" s="782">
        <v>7.13</v>
      </c>
      <c r="E1232" s="1195" t="s">
        <v>7391</v>
      </c>
      <c r="F1232" s="1177" t="s">
        <v>1669</v>
      </c>
      <c r="G1232" s="782" t="s">
        <v>1933</v>
      </c>
      <c r="H1232" s="1196" t="s">
        <v>7392</v>
      </c>
      <c r="I1232" s="783" t="s">
        <v>1913</v>
      </c>
      <c r="J1232" s="783" t="s">
        <v>1646</v>
      </c>
      <c r="K1232" s="1197" t="s">
        <v>712</v>
      </c>
      <c r="L1232" s="1197" t="s">
        <v>712</v>
      </c>
      <c r="M1232" s="1197" t="s">
        <v>712</v>
      </c>
      <c r="N1232" s="1197" t="s">
        <v>712</v>
      </c>
      <c r="O1232" s="1198">
        <v>4.98797680805615</v>
      </c>
      <c r="P1232" s="1182">
        <v>21.6889512137074</v>
      </c>
      <c r="Q1232" s="1198" t="s">
        <v>1428</v>
      </c>
      <c r="R1232" s="1182">
        <v>3</v>
      </c>
      <c r="S1232" s="1198">
        <f t="shared" si="32"/>
        <v>29.6769280217636</v>
      </c>
      <c r="T1232" s="1199" t="s">
        <v>7393</v>
      </c>
      <c r="U1232" s="1177" t="s">
        <v>7394</v>
      </c>
      <c r="V1232" s="1200" t="s">
        <v>1406</v>
      </c>
    </row>
    <row r="1233" s="930" customFormat="1" ht="15" customHeight="1" spans="1:22">
      <c r="A1233" s="1193"/>
      <c r="B1233" s="23"/>
      <c r="C1233" s="123">
        <v>20240528</v>
      </c>
      <c r="D1233" s="142">
        <v>7.24</v>
      </c>
      <c r="E1233" s="123" t="s">
        <v>7395</v>
      </c>
      <c r="F1233" s="20" t="s">
        <v>1671</v>
      </c>
      <c r="G1233" s="23" t="s">
        <v>1933</v>
      </c>
      <c r="H1233" s="689" t="s">
        <v>4882</v>
      </c>
      <c r="I1233" s="21" t="s">
        <v>1913</v>
      </c>
      <c r="J1233" s="21" t="s">
        <v>3939</v>
      </c>
      <c r="K1233" s="21" t="s">
        <v>1428</v>
      </c>
      <c r="L1233" s="689" t="s">
        <v>1428</v>
      </c>
      <c r="M1233" s="689" t="s">
        <v>1428</v>
      </c>
      <c r="N1233" s="689">
        <v>3</v>
      </c>
      <c r="O1233" s="22">
        <v>4.98797680805615</v>
      </c>
      <c r="P1233" s="822">
        <v>21.2296866092244</v>
      </c>
      <c r="Q1233" s="22" t="s">
        <v>1428</v>
      </c>
      <c r="R1233" s="37">
        <v>0.301222027972028</v>
      </c>
      <c r="S1233" s="22">
        <f t="shared" si="32"/>
        <v>29.5188854452526</v>
      </c>
      <c r="T1233" s="729" t="s">
        <v>7375</v>
      </c>
      <c r="U1233" s="20" t="s">
        <v>7390</v>
      </c>
      <c r="V1233" s="1190"/>
    </row>
    <row r="1234" s="930" customFormat="1" ht="15" customHeight="1" spans="1:22">
      <c r="A1234" s="1193"/>
      <c r="B1234" s="23"/>
      <c r="C1234" s="123">
        <v>20240528</v>
      </c>
      <c r="D1234" s="142">
        <v>7.24</v>
      </c>
      <c r="E1234" s="123" t="s">
        <v>7396</v>
      </c>
      <c r="F1234" s="20" t="s">
        <v>1672</v>
      </c>
      <c r="G1234" s="23" t="s">
        <v>1933</v>
      </c>
      <c r="H1234" s="689" t="s">
        <v>4874</v>
      </c>
      <c r="I1234" s="21" t="s">
        <v>1913</v>
      </c>
      <c r="J1234" s="21" t="s">
        <v>3939</v>
      </c>
      <c r="K1234" s="1071" t="s">
        <v>712</v>
      </c>
      <c r="L1234" s="689" t="s">
        <v>1428</v>
      </c>
      <c r="M1234" s="689" t="s">
        <v>1428</v>
      </c>
      <c r="N1234" s="689">
        <v>3</v>
      </c>
      <c r="O1234" s="22">
        <v>4.98797680805615</v>
      </c>
      <c r="P1234" s="822">
        <v>21.3601232390032</v>
      </c>
      <c r="Q1234" s="22" t="s">
        <v>1428</v>
      </c>
      <c r="R1234" s="37">
        <v>0.301222027972028</v>
      </c>
      <c r="S1234" s="22">
        <f t="shared" si="32"/>
        <v>29.6493220750314</v>
      </c>
      <c r="T1234" s="729" t="s">
        <v>7375</v>
      </c>
      <c r="U1234" s="20" t="s">
        <v>7397</v>
      </c>
      <c r="V1234" s="1190"/>
    </row>
    <row r="1235" s="997" customFormat="1" ht="15" customHeight="1" spans="1:22">
      <c r="A1235" s="1193"/>
      <c r="B1235" s="23"/>
      <c r="C1235" s="123"/>
      <c r="D1235" s="123"/>
      <c r="E1235" s="123"/>
      <c r="F1235" s="23" t="s">
        <v>706</v>
      </c>
      <c r="G1235" s="23"/>
      <c r="H1235" s="21"/>
      <c r="I1235" s="21"/>
      <c r="J1235" s="21"/>
      <c r="K1235" s="21"/>
      <c r="L1235" s="21"/>
      <c r="M1235" s="21"/>
      <c r="N1235" s="21"/>
      <c r="O1235" s="22">
        <v>0.0689655172413793</v>
      </c>
      <c r="P1235" s="37">
        <v>0.157635467980296</v>
      </c>
      <c r="Q1235" s="22" t="s">
        <v>1428</v>
      </c>
      <c r="R1235" s="22">
        <v>0.2</v>
      </c>
      <c r="S1235" s="22">
        <f>SUM(K1235:R1235)</f>
        <v>0.426600985221675</v>
      </c>
      <c r="T1235" s="38"/>
      <c r="U1235" s="20"/>
      <c r="V1235" s="1190" t="s">
        <v>1406</v>
      </c>
    </row>
    <row r="1236" s="997" customFormat="1" ht="15" customHeight="1" spans="1:22">
      <c r="A1236" s="1193"/>
      <c r="B1236" s="23"/>
      <c r="C1236" s="123"/>
      <c r="D1236" s="123"/>
      <c r="E1236" s="123"/>
      <c r="F1236" s="23" t="s">
        <v>698</v>
      </c>
      <c r="G1236" s="23"/>
      <c r="H1236" s="21"/>
      <c r="I1236" s="21"/>
      <c r="J1236" s="21"/>
      <c r="K1236" s="21"/>
      <c r="L1236" s="21"/>
      <c r="M1236" s="21"/>
      <c r="N1236" s="21"/>
      <c r="O1236" s="22">
        <v>1.03448275862069</v>
      </c>
      <c r="P1236" s="37">
        <v>5.02463054187192</v>
      </c>
      <c r="Q1236" s="22" t="s">
        <v>1428</v>
      </c>
      <c r="R1236" s="22">
        <v>0.4</v>
      </c>
      <c r="S1236" s="22">
        <f>SUM(K1236:R1236)</f>
        <v>6.45911330049261</v>
      </c>
      <c r="T1236" s="38"/>
      <c r="U1236" s="23" t="s">
        <v>3117</v>
      </c>
      <c r="V1236" s="1190" t="s">
        <v>1406</v>
      </c>
    </row>
    <row r="1237" s="997" customFormat="1" ht="15" customHeight="1" spans="1:22">
      <c r="A1237" s="1193"/>
      <c r="B1237" s="23" t="s">
        <v>7398</v>
      </c>
      <c r="C1237" s="123"/>
      <c r="D1237" s="123"/>
      <c r="E1237" s="123"/>
      <c r="F1237" s="23" t="s">
        <v>1645</v>
      </c>
      <c r="G1237" s="23" t="s">
        <v>1933</v>
      </c>
      <c r="H1237" s="21" t="s">
        <v>7399</v>
      </c>
      <c r="I1237" s="21" t="s">
        <v>4295</v>
      </c>
      <c r="J1237" s="21" t="s">
        <v>1428</v>
      </c>
      <c r="K1237" s="1071" t="s">
        <v>712</v>
      </c>
      <c r="L1237" s="21" t="s">
        <v>1428</v>
      </c>
      <c r="M1237" s="21" t="s">
        <v>1428</v>
      </c>
      <c r="N1237" s="21" t="s">
        <v>1428</v>
      </c>
      <c r="O1237" s="22">
        <v>8.15</v>
      </c>
      <c r="P1237" s="37">
        <v>22.21</v>
      </c>
      <c r="Q1237" s="22" t="s">
        <v>1428</v>
      </c>
      <c r="R1237" s="37">
        <v>4.06713286713287</v>
      </c>
      <c r="S1237" s="22">
        <f>SUM(K1237:R1237)</f>
        <v>34.4271328671329</v>
      </c>
      <c r="T1237" s="20" t="s">
        <v>4683</v>
      </c>
      <c r="U1237" s="23" t="s">
        <v>7400</v>
      </c>
      <c r="V1237" s="1190" t="s">
        <v>1406</v>
      </c>
    </row>
    <row r="1238" hidden="1"/>
  </sheetData>
  <mergeCells count="219">
    <mergeCell ref="A243:A270"/>
    <mergeCell ref="B3:B6"/>
    <mergeCell ref="B7:B14"/>
    <mergeCell ref="B15:B17"/>
    <mergeCell ref="B18:B25"/>
    <mergeCell ref="B28:B37"/>
    <mergeCell ref="B38:B41"/>
    <mergeCell ref="B42:B50"/>
    <mergeCell ref="B51:B56"/>
    <mergeCell ref="B57:B65"/>
    <mergeCell ref="B66:B72"/>
    <mergeCell ref="B73:B76"/>
    <mergeCell ref="B77:B82"/>
    <mergeCell ref="B83:B85"/>
    <mergeCell ref="B86:B93"/>
    <mergeCell ref="B94:B96"/>
    <mergeCell ref="B97:B101"/>
    <mergeCell ref="B102:B104"/>
    <mergeCell ref="B105:B108"/>
    <mergeCell ref="B109:B112"/>
    <mergeCell ref="B113:B117"/>
    <mergeCell ref="B118:B121"/>
    <mergeCell ref="B122:B125"/>
    <mergeCell ref="B126:B139"/>
    <mergeCell ref="B140:B143"/>
    <mergeCell ref="B144:B148"/>
    <mergeCell ref="B149:B152"/>
    <mergeCell ref="B153:B155"/>
    <mergeCell ref="B156:B158"/>
    <mergeCell ref="B159:B161"/>
    <mergeCell ref="B162:B164"/>
    <mergeCell ref="B165:B166"/>
    <mergeCell ref="B167:B168"/>
    <mergeCell ref="B169:B172"/>
    <mergeCell ref="B173:B178"/>
    <mergeCell ref="B179:B182"/>
    <mergeCell ref="B183:B184"/>
    <mergeCell ref="B187:B190"/>
    <mergeCell ref="B191:B192"/>
    <mergeCell ref="B193:B194"/>
    <mergeCell ref="B195:B196"/>
    <mergeCell ref="B197:B201"/>
    <mergeCell ref="B202:B205"/>
    <mergeCell ref="B206:B208"/>
    <mergeCell ref="B209:B212"/>
    <mergeCell ref="B213:B216"/>
    <mergeCell ref="B217:B221"/>
    <mergeCell ref="B222:B231"/>
    <mergeCell ref="B232:B233"/>
    <mergeCell ref="B236:B239"/>
    <mergeCell ref="B240:B242"/>
    <mergeCell ref="B243:B248"/>
    <mergeCell ref="B250:B261"/>
    <mergeCell ref="B262:B263"/>
    <mergeCell ref="B264:B265"/>
    <mergeCell ref="B267:B268"/>
    <mergeCell ref="B269:B270"/>
    <mergeCell ref="B271:B272"/>
    <mergeCell ref="B275:B276"/>
    <mergeCell ref="B277:B278"/>
    <mergeCell ref="B279:B283"/>
    <mergeCell ref="B284:B286"/>
    <mergeCell ref="B287:B290"/>
    <mergeCell ref="B292:B293"/>
    <mergeCell ref="B297:B298"/>
    <mergeCell ref="B299:B302"/>
    <mergeCell ref="B303:B307"/>
    <mergeCell ref="B308:B310"/>
    <mergeCell ref="B311:B317"/>
    <mergeCell ref="B318:B324"/>
    <mergeCell ref="B325:B326"/>
    <mergeCell ref="B327:B328"/>
    <mergeCell ref="B329:B330"/>
    <mergeCell ref="B335:B336"/>
    <mergeCell ref="B338:B339"/>
    <mergeCell ref="B340:B342"/>
    <mergeCell ref="B343:B348"/>
    <mergeCell ref="B349:B351"/>
    <mergeCell ref="B352:B354"/>
    <mergeCell ref="B355:B360"/>
    <mergeCell ref="B361:B362"/>
    <mergeCell ref="B363:B366"/>
    <mergeCell ref="B368:B369"/>
    <mergeCell ref="B370:B372"/>
    <mergeCell ref="B374:B375"/>
    <mergeCell ref="B378:B381"/>
    <mergeCell ref="B382:B384"/>
    <mergeCell ref="B385:B389"/>
    <mergeCell ref="B390:B395"/>
    <mergeCell ref="B396:B414"/>
    <mergeCell ref="B415:B417"/>
    <mergeCell ref="B418:B429"/>
    <mergeCell ref="B430:B431"/>
    <mergeCell ref="B432:B434"/>
    <mergeCell ref="B435:B440"/>
    <mergeCell ref="B441:B443"/>
    <mergeCell ref="B444:B446"/>
    <mergeCell ref="B448:B449"/>
    <mergeCell ref="B450:B456"/>
    <mergeCell ref="B458:B464"/>
    <mergeCell ref="B465:B468"/>
    <mergeCell ref="B469:B474"/>
    <mergeCell ref="B475:B478"/>
    <mergeCell ref="B479:B485"/>
    <mergeCell ref="B486:B487"/>
    <mergeCell ref="B489:B490"/>
    <mergeCell ref="B491:B492"/>
    <mergeCell ref="B494:B498"/>
    <mergeCell ref="B500:B504"/>
    <mergeCell ref="B505:B507"/>
    <mergeCell ref="B509:B512"/>
    <mergeCell ref="B515:B518"/>
    <mergeCell ref="B519:B524"/>
    <mergeCell ref="B525:B527"/>
    <mergeCell ref="B530:B535"/>
    <mergeCell ref="B536:B537"/>
    <mergeCell ref="B538:B539"/>
    <mergeCell ref="B540:B544"/>
    <mergeCell ref="B545:B577"/>
    <mergeCell ref="B578:B585"/>
    <mergeCell ref="B586:B590"/>
    <mergeCell ref="B591:B593"/>
    <mergeCell ref="B594:B596"/>
    <mergeCell ref="B597:B602"/>
    <mergeCell ref="B603:B606"/>
    <mergeCell ref="B607:B609"/>
    <mergeCell ref="B610:B615"/>
    <mergeCell ref="B616:B617"/>
    <mergeCell ref="B618:B620"/>
    <mergeCell ref="B621:B622"/>
    <mergeCell ref="B623:B628"/>
    <mergeCell ref="B629:B632"/>
    <mergeCell ref="B633:B635"/>
    <mergeCell ref="B636:B637"/>
    <mergeCell ref="B638:B640"/>
    <mergeCell ref="B641:B642"/>
    <mergeCell ref="B643:B648"/>
    <mergeCell ref="B649:B654"/>
    <mergeCell ref="B655:B657"/>
    <mergeCell ref="B658:B662"/>
    <mergeCell ref="B663:B667"/>
    <mergeCell ref="B668:B676"/>
    <mergeCell ref="B677:B681"/>
    <mergeCell ref="B682:B695"/>
    <mergeCell ref="B696:B707"/>
    <mergeCell ref="B708:B714"/>
    <mergeCell ref="B715:B719"/>
    <mergeCell ref="B720:B729"/>
    <mergeCell ref="B730:B746"/>
    <mergeCell ref="B747:B755"/>
    <mergeCell ref="B756:B767"/>
    <mergeCell ref="B768:B781"/>
    <mergeCell ref="B782:B783"/>
    <mergeCell ref="B784:B786"/>
    <mergeCell ref="B787:B797"/>
    <mergeCell ref="B798:B802"/>
    <mergeCell ref="B803:B808"/>
    <mergeCell ref="B809:B815"/>
    <mergeCell ref="B816:B824"/>
    <mergeCell ref="B825:B854"/>
    <mergeCell ref="B855:B862"/>
    <mergeCell ref="B863:B877"/>
    <mergeCell ref="B878:B899"/>
    <mergeCell ref="B900:B901"/>
    <mergeCell ref="B902:B909"/>
    <mergeCell ref="B911:B914"/>
    <mergeCell ref="B915:B926"/>
    <mergeCell ref="B927:B941"/>
    <mergeCell ref="B942:B951"/>
    <mergeCell ref="B952:B953"/>
    <mergeCell ref="B954:B956"/>
    <mergeCell ref="B957:B959"/>
    <mergeCell ref="B960:B963"/>
    <mergeCell ref="B966:B969"/>
    <mergeCell ref="B970:B972"/>
    <mergeCell ref="B974:B977"/>
    <mergeCell ref="B978:B1002"/>
    <mergeCell ref="B1003:B1023"/>
    <mergeCell ref="B1024:B1032"/>
    <mergeCell ref="B1033:B1036"/>
    <mergeCell ref="B1037:B1039"/>
    <mergeCell ref="B1040:B1048"/>
    <mergeCell ref="B1049:B1061"/>
    <mergeCell ref="B1062:B1087"/>
    <mergeCell ref="B1088:B1093"/>
    <mergeCell ref="B1094:B1104"/>
    <mergeCell ref="B1105:B1106"/>
    <mergeCell ref="B1107:B1114"/>
    <mergeCell ref="B1115:B1121"/>
    <mergeCell ref="B1124:B1126"/>
    <mergeCell ref="B1128:B1136"/>
    <mergeCell ref="B1137:B1143"/>
    <mergeCell ref="B1144:B1158"/>
    <mergeCell ref="B1159:B1164"/>
    <mergeCell ref="B1165:B1169"/>
    <mergeCell ref="B1170:B1177"/>
    <mergeCell ref="B1178:B1182"/>
    <mergeCell ref="B1183:B1192"/>
    <mergeCell ref="B1194:B1202"/>
    <mergeCell ref="B1203:B1208"/>
    <mergeCell ref="B1209:B1210"/>
    <mergeCell ref="B1211:B1212"/>
    <mergeCell ref="B1213:B1215"/>
    <mergeCell ref="B1217:B1218"/>
    <mergeCell ref="B1219:B1226"/>
    <mergeCell ref="B1227:B1229"/>
    <mergeCell ref="B1230:B1236"/>
    <mergeCell ref="F331:F333"/>
    <mergeCell ref="U118:U119"/>
    <mergeCell ref="U122:U124"/>
    <mergeCell ref="U126:U129"/>
    <mergeCell ref="U144:U145"/>
    <mergeCell ref="U179:U180"/>
    <mergeCell ref="U197:U198"/>
    <mergeCell ref="U202:U203"/>
    <mergeCell ref="U236:U237"/>
    <mergeCell ref="U730:U731"/>
    <mergeCell ref="U798:U799"/>
    <mergeCell ref="U957:U958"/>
  </mergeCells>
  <conditionalFormatting sqref="E1232">
    <cfRule type="duplicateValues" dxfId="0" priority="1"/>
  </conditionalFormatting>
  <pageMargins left="0.75" right="0.75" top="1" bottom="1" header="0.5" footer="0.5"/>
  <pageSetup paperSize="9" orientation="portrait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tabColor rgb="FFFF0000"/>
  </sheetPr>
  <dimension ref="A4:B9"/>
  <sheetViews>
    <sheetView workbookViewId="0">
      <selection activeCell="G521" sqref="G521"/>
    </sheetView>
  </sheetViews>
  <sheetFormatPr defaultColWidth="8.73148148148148" defaultRowHeight="14.4" outlineLevelCol="1"/>
  <cols>
    <col min="1" max="1" width="48.4537037037037" customWidth="1"/>
    <col min="2" max="2" width="9.5462962962963"/>
  </cols>
  <sheetData>
    <row r="4" ht="105" customHeight="1" spans="1:2">
      <c r="A4" s="988" t="s">
        <v>7401</v>
      </c>
    </row>
    <row r="5" spans="1:2">
      <c r="A5">
        <f>32557.32+131+299+200+100+100+55.382-500+200-500+2000-1500</f>
        <v>33142.702</v>
      </c>
    </row>
    <row r="9" spans="1:2">
      <c r="B9">
        <f>31593.52+41.55+66.15+6.23+24.93+24.94+800</f>
        <v>32557.32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9">
    <tabColor rgb="FFFF0000"/>
  </sheetPr>
  <dimension ref="A1:XFD3162"/>
  <sheetViews>
    <sheetView zoomScale="55" zoomScaleNormal="55" topLeftCell="A3138" workbookViewId="0">
      <selection activeCell="G521" sqref="G521"/>
    </sheetView>
  </sheetViews>
  <sheetFormatPr defaultColWidth="8.88888888888889" defaultRowHeight="13.2"/>
  <cols>
    <col min="1" max="1" width="25" style="182" customWidth="1"/>
    <col min="2" max="2" width="12.3333333333333" style="182" hidden="1" customWidth="1"/>
    <col min="3" max="3" width="22.7962962962963" style="182" hidden="1" customWidth="1"/>
    <col min="4" max="4" width="23.787037037037" style="182" hidden="1" customWidth="1"/>
    <col min="5" max="5" width="31.037037037037" style="182" customWidth="1"/>
    <col min="6" max="6" width="27.2685185185185" style="182" customWidth="1"/>
    <col min="7" max="7" width="31.0648148148148" style="182" customWidth="1"/>
    <col min="8" max="8" width="25.9444444444444" style="182" customWidth="1"/>
    <col min="9" max="9" width="18.1851851851852" style="182" customWidth="1"/>
    <col min="10" max="10" width="18.3333333333333" style="182" customWidth="1"/>
    <col min="11" max="11" width="18.8333333333333" style="182" customWidth="1"/>
    <col min="12" max="12" width="17.0277777777778" style="182" customWidth="1"/>
    <col min="13" max="13" width="12.8888888888889" style="182" customWidth="1"/>
    <col min="14" max="14" width="13.8796296296296" style="182" customWidth="1"/>
    <col min="15" max="15" width="19" style="182" customWidth="1"/>
    <col min="16" max="16" width="18.6759259259259" style="182" hidden="1" customWidth="1"/>
    <col min="17" max="17" width="12.8888888888889" style="182" customWidth="1"/>
    <col min="18" max="18" width="20.8148148148148" style="182" customWidth="1"/>
    <col min="19" max="19" width="27.2592592592593" style="182" customWidth="1"/>
    <col min="20" max="20" width="167.268518518519" style="182" customWidth="1"/>
    <col min="21" max="21" width="12.8148148148148" style="182"/>
    <col min="22" max="16383" width="8.88888888888889" style="182"/>
    <col min="16384" max="16384" width="15.2685185185185" style="182"/>
  </cols>
  <sheetData>
    <row r="1" spans="1:20">
      <c r="A1" s="194" t="s">
        <v>7402</v>
      </c>
      <c r="B1" s="194"/>
      <c r="C1" s="195"/>
      <c r="D1" s="195"/>
      <c r="E1" s="196"/>
      <c r="F1" s="196"/>
      <c r="G1" s="197"/>
      <c r="H1" s="198"/>
      <c r="I1" s="198"/>
      <c r="J1" s="199"/>
      <c r="K1" s="200"/>
      <c r="L1" s="200"/>
      <c r="M1" s="200"/>
      <c r="N1" s="201"/>
      <c r="O1" s="201"/>
      <c r="P1" s="197"/>
      <c r="Q1" s="202"/>
      <c r="R1" s="202"/>
      <c r="S1" s="203"/>
      <c r="T1" s="80"/>
    </row>
    <row r="2" spans="1:20">
      <c r="A2" s="204" t="s">
        <v>1</v>
      </c>
      <c r="B2" s="204" t="s">
        <v>2</v>
      </c>
      <c r="C2" s="205" t="s">
        <v>1493</v>
      </c>
      <c r="D2" s="206" t="s">
        <v>4</v>
      </c>
      <c r="E2" s="75" t="s">
        <v>5</v>
      </c>
      <c r="F2" s="75" t="s">
        <v>1933</v>
      </c>
      <c r="G2" s="75" t="s">
        <v>4102</v>
      </c>
      <c r="H2" s="75" t="s">
        <v>4541</v>
      </c>
      <c r="I2" s="75" t="s">
        <v>1497</v>
      </c>
      <c r="J2" s="75" t="s">
        <v>4102</v>
      </c>
      <c r="K2" s="75" t="s">
        <v>4103</v>
      </c>
      <c r="L2" s="75" t="s">
        <v>4104</v>
      </c>
      <c r="M2" s="75" t="s">
        <v>1497</v>
      </c>
      <c r="N2" s="75" t="s">
        <v>6</v>
      </c>
      <c r="O2" s="75" t="s">
        <v>7</v>
      </c>
      <c r="P2" s="75" t="s">
        <v>5211</v>
      </c>
      <c r="Q2" s="75" t="s">
        <v>8</v>
      </c>
      <c r="R2" s="75" t="s">
        <v>9</v>
      </c>
      <c r="S2" s="75" t="s">
        <v>4105</v>
      </c>
      <c r="T2" s="75" t="s">
        <v>10</v>
      </c>
    </row>
    <row r="3" spans="1:20">
      <c r="A3" s="207" t="s">
        <v>7403</v>
      </c>
      <c r="B3" s="207">
        <v>20240805</v>
      </c>
      <c r="C3" s="208">
        <v>7.15</v>
      </c>
      <c r="D3" s="209" t="s">
        <v>3742</v>
      </c>
      <c r="E3" s="210" t="s">
        <v>1581</v>
      </c>
      <c r="F3" s="211" t="s">
        <v>4189</v>
      </c>
      <c r="G3" s="212" t="s">
        <v>3541</v>
      </c>
      <c r="H3" s="212" t="s">
        <v>1913</v>
      </c>
      <c r="I3" s="212" t="s">
        <v>1633</v>
      </c>
      <c r="J3" s="212">
        <v>27</v>
      </c>
      <c r="K3" s="212" t="s">
        <v>1428</v>
      </c>
      <c r="L3" s="212" t="s">
        <v>1428</v>
      </c>
      <c r="M3" s="212">
        <v>1.86</v>
      </c>
      <c r="N3" s="213">
        <v>2.10409059966582</v>
      </c>
      <c r="O3" s="213">
        <v>9.10192388755963</v>
      </c>
      <c r="P3" s="212" t="s">
        <v>1428</v>
      </c>
      <c r="Q3" s="214">
        <v>2.46</v>
      </c>
      <c r="R3" s="213">
        <v>42.5260144872255</v>
      </c>
      <c r="S3" s="215" t="s">
        <v>1526</v>
      </c>
      <c r="T3" s="210" t="s">
        <v>7404</v>
      </c>
    </row>
    <row r="5" spans="1:20">
      <c r="B5" s="216">
        <v>20242025</v>
      </c>
      <c r="C5" s="217">
        <v>7.1</v>
      </c>
      <c r="D5" s="216" t="s">
        <v>3742</v>
      </c>
      <c r="E5" s="218" t="s">
        <v>1581</v>
      </c>
      <c r="F5" s="211" t="s">
        <v>4189</v>
      </c>
      <c r="G5" s="212" t="s">
        <v>3541</v>
      </c>
      <c r="H5" s="212" t="s">
        <v>1913</v>
      </c>
      <c r="I5" s="212" t="s">
        <v>1633</v>
      </c>
      <c r="J5" s="212">
        <v>27</v>
      </c>
      <c r="K5" s="212" t="s">
        <v>1428</v>
      </c>
      <c r="L5" s="212" t="s">
        <v>1428</v>
      </c>
      <c r="M5" s="219">
        <v>1.7</v>
      </c>
      <c r="N5" s="213">
        <v>2.10409059966582</v>
      </c>
      <c r="O5" s="220">
        <v>9.13232323728929</v>
      </c>
      <c r="P5" s="212" t="s">
        <v>1428</v>
      </c>
      <c r="Q5" s="214">
        <v>2.46</v>
      </c>
      <c r="R5" s="213">
        <f>SUM(J5:Q5)</f>
        <v>42.3964138369551</v>
      </c>
      <c r="S5" s="215" t="s">
        <v>1526</v>
      </c>
      <c r="T5" s="210" t="s">
        <v>7404</v>
      </c>
    </row>
    <row r="9" spans="1:20">
      <c r="A9" s="221" t="s">
        <v>7405</v>
      </c>
      <c r="B9" s="222"/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3"/>
    </row>
    <row r="10" spans="1:20">
      <c r="A10" s="224" t="s">
        <v>1</v>
      </c>
      <c r="B10" s="224" t="s">
        <v>2</v>
      </c>
      <c r="C10" s="224" t="s">
        <v>1493</v>
      </c>
      <c r="D10" s="206" t="s">
        <v>4</v>
      </c>
      <c r="E10" s="75" t="s">
        <v>5</v>
      </c>
      <c r="F10" s="75" t="s">
        <v>1933</v>
      </c>
      <c r="G10" s="75" t="s">
        <v>4102</v>
      </c>
      <c r="H10" s="75" t="s">
        <v>4541</v>
      </c>
      <c r="I10" s="75" t="s">
        <v>1497</v>
      </c>
      <c r="J10" s="75" t="s">
        <v>4102</v>
      </c>
      <c r="K10" s="75" t="s">
        <v>4103</v>
      </c>
      <c r="L10" s="75" t="s">
        <v>4104</v>
      </c>
      <c r="M10" s="75" t="s">
        <v>1497</v>
      </c>
      <c r="N10" s="75" t="s">
        <v>6</v>
      </c>
      <c r="O10" s="75" t="s">
        <v>7</v>
      </c>
      <c r="P10" s="75" t="s">
        <v>5211</v>
      </c>
      <c r="Q10" s="75" t="s">
        <v>8</v>
      </c>
      <c r="R10" s="75" t="s">
        <v>9</v>
      </c>
      <c r="S10" s="75" t="s">
        <v>4105</v>
      </c>
      <c r="T10" s="75" t="s">
        <v>10</v>
      </c>
    </row>
    <row r="11" spans="1:20">
      <c r="A11" s="225" t="s">
        <v>817</v>
      </c>
      <c r="B11" s="226">
        <v>20240418</v>
      </c>
      <c r="C11" s="227">
        <v>7.24</v>
      </c>
      <c r="D11" s="226" t="s">
        <v>3749</v>
      </c>
      <c r="E11" s="228" t="s">
        <v>1629</v>
      </c>
      <c r="F11" s="229" t="s">
        <v>1933</v>
      </c>
      <c r="G11" s="227" t="s">
        <v>3542</v>
      </c>
      <c r="H11" s="227" t="s">
        <v>1913</v>
      </c>
      <c r="I11" s="227" t="s">
        <v>3750</v>
      </c>
      <c r="J11" s="227">
        <v>30</v>
      </c>
      <c r="K11" s="227" t="s">
        <v>1428</v>
      </c>
      <c r="L11" s="227" t="s">
        <v>1428</v>
      </c>
      <c r="M11" s="230">
        <v>1.8296553526754</v>
      </c>
      <c r="N11" s="230">
        <v>2.6449099485954</v>
      </c>
      <c r="O11" s="230">
        <v>12.2310601676948</v>
      </c>
      <c r="P11" s="227" t="s">
        <v>1428</v>
      </c>
      <c r="Q11" s="231">
        <f>2.67270194986072</f>
        <v>2.67270194986072</v>
      </c>
      <c r="R11" s="232">
        <f>SUM(J11:Q11)</f>
        <v>49.3783274188263</v>
      </c>
      <c r="S11" s="233" t="s">
        <v>1526</v>
      </c>
      <c r="T11" s="228" t="s">
        <v>7406</v>
      </c>
    </row>
    <row r="12" spans="1:20">
      <c r="A12" s="234"/>
      <c r="B12" s="226">
        <v>20241022</v>
      </c>
      <c r="C12" s="227">
        <v>7.11</v>
      </c>
      <c r="D12" s="226" t="s">
        <v>818</v>
      </c>
      <c r="E12" s="228" t="s">
        <v>819</v>
      </c>
      <c r="F12" s="229"/>
      <c r="G12" s="227"/>
      <c r="H12" s="227"/>
      <c r="I12" s="227"/>
      <c r="J12" s="227"/>
      <c r="K12" s="227"/>
      <c r="L12" s="227"/>
      <c r="M12" s="227"/>
      <c r="N12" s="230">
        <v>0.342282463935875</v>
      </c>
      <c r="O12" s="230">
        <v>2.77272366002624</v>
      </c>
      <c r="P12" s="227" t="s">
        <v>1428</v>
      </c>
      <c r="Q12" s="231">
        <v>0.4</v>
      </c>
      <c r="R12" s="232">
        <f>SUM(J12:Q12)</f>
        <v>3.51500612396211</v>
      </c>
      <c r="S12" s="233"/>
      <c r="T12" s="228"/>
    </row>
    <row r="13" spans="1:20">
      <c r="A13" s="181"/>
      <c r="B13" s="235"/>
      <c r="C13" s="181"/>
      <c r="D13" s="235"/>
      <c r="E13" s="236"/>
      <c r="F13" s="237"/>
      <c r="G13" s="181"/>
      <c r="H13" s="181"/>
      <c r="I13" s="181"/>
      <c r="J13" s="181"/>
      <c r="K13" s="181"/>
      <c r="L13" s="181"/>
      <c r="M13" s="181"/>
      <c r="N13" s="238"/>
      <c r="O13" s="238"/>
      <c r="P13" s="181"/>
      <c r="Q13" s="239"/>
      <c r="R13" s="240"/>
      <c r="S13" s="241"/>
      <c r="T13" s="236"/>
    </row>
    <row r="14" spans="1:20">
      <c r="A14" s="181"/>
      <c r="B14" s="235"/>
      <c r="C14" s="181"/>
      <c r="D14" s="235"/>
      <c r="E14" s="236"/>
      <c r="F14" s="237"/>
      <c r="G14" s="181"/>
      <c r="H14" s="181"/>
      <c r="I14" s="181"/>
      <c r="J14" s="181"/>
      <c r="K14" s="181"/>
      <c r="L14" s="181"/>
      <c r="M14" s="181"/>
      <c r="N14" s="238"/>
      <c r="O14" s="238"/>
      <c r="P14" s="181"/>
      <c r="Q14" s="239"/>
      <c r="R14" s="240"/>
      <c r="S14" s="241"/>
      <c r="T14" s="236"/>
    </row>
    <row r="15" spans="1:20">
      <c r="A15" s="181"/>
      <c r="B15" s="235"/>
      <c r="C15" s="181"/>
      <c r="D15" s="235"/>
      <c r="E15" s="236"/>
      <c r="F15" s="237"/>
      <c r="G15" s="181"/>
      <c r="H15" s="181"/>
      <c r="I15" s="181"/>
      <c r="J15" s="181"/>
      <c r="K15" s="181"/>
      <c r="L15" s="181"/>
      <c r="M15" s="181"/>
      <c r="N15" s="238"/>
      <c r="O15" s="238"/>
      <c r="P15" s="181"/>
      <c r="Q15" s="239"/>
      <c r="R15" s="240"/>
      <c r="S15" s="241"/>
      <c r="T15" s="236"/>
    </row>
    <row r="16" spans="1:20">
      <c r="A16" s="242" t="s">
        <v>7405</v>
      </c>
      <c r="B16" s="242"/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2"/>
    </row>
    <row r="17" s="81" customFormat="1" ht="26" customHeight="1" spans="1:24">
      <c r="A17" s="80" t="s">
        <v>1403</v>
      </c>
      <c r="B17" s="224" t="s">
        <v>1</v>
      </c>
      <c r="C17" s="224"/>
      <c r="D17" s="224"/>
      <c r="E17" s="75" t="s">
        <v>5</v>
      </c>
      <c r="F17" s="75" t="s">
        <v>1933</v>
      </c>
      <c r="G17" s="75" t="s">
        <v>4102</v>
      </c>
      <c r="H17" s="75" t="s">
        <v>4541</v>
      </c>
      <c r="I17" s="75" t="s">
        <v>1497</v>
      </c>
      <c r="J17" s="75" t="s">
        <v>4102</v>
      </c>
      <c r="K17" s="75" t="s">
        <v>4103</v>
      </c>
      <c r="L17" s="75" t="s">
        <v>4104</v>
      </c>
      <c r="M17" s="75" t="s">
        <v>1497</v>
      </c>
      <c r="N17" s="75" t="s">
        <v>6</v>
      </c>
      <c r="O17" s="75" t="s">
        <v>7</v>
      </c>
      <c r="P17" s="75" t="s">
        <v>5211</v>
      </c>
      <c r="Q17" s="75" t="s">
        <v>8</v>
      </c>
      <c r="R17" s="75" t="s">
        <v>9</v>
      </c>
      <c r="S17" s="75" t="s">
        <v>4105</v>
      </c>
      <c r="T17" s="75" t="s">
        <v>10</v>
      </c>
    </row>
    <row r="18" spans="1:24">
      <c r="A18" s="227" t="s">
        <v>7407</v>
      </c>
      <c r="B18" s="226"/>
      <c r="C18" s="227">
        <v>20240528</v>
      </c>
      <c r="D18" s="226">
        <v>7.25</v>
      </c>
      <c r="E18" s="228" t="s">
        <v>6562</v>
      </c>
      <c r="F18" s="243" t="s">
        <v>1933</v>
      </c>
      <c r="G18" s="244" t="s">
        <v>7408</v>
      </c>
      <c r="H18" s="245" t="s">
        <v>1913</v>
      </c>
      <c r="I18" s="245" t="s">
        <v>1428</v>
      </c>
      <c r="J18" s="245">
        <v>185</v>
      </c>
      <c r="K18" s="227" t="s">
        <v>1428</v>
      </c>
      <c r="L18" s="227" t="s">
        <v>1428</v>
      </c>
      <c r="M18" s="227" t="s">
        <v>1428</v>
      </c>
      <c r="N18" s="231">
        <v>3.65619904658776</v>
      </c>
      <c r="O18" s="231">
        <v>13.820717903372</v>
      </c>
      <c r="P18" s="231" t="s">
        <v>1428</v>
      </c>
      <c r="Q18" s="246">
        <v>2.92479108635098</v>
      </c>
      <c r="R18" s="232">
        <f>SUM(I18:Q18)+1</f>
        <v>206.401708036311</v>
      </c>
      <c r="S18" s="243" t="s">
        <v>1526</v>
      </c>
      <c r="T18" s="226" t="s">
        <v>7409</v>
      </c>
    </row>
    <row r="20" spans="1:24">
      <c r="X20" s="182" t="s">
        <v>7410</v>
      </c>
    </row>
    <row r="22" spans="1:24">
      <c r="A22" s="195" t="s">
        <v>7405</v>
      </c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</row>
    <row r="23" s="81" customFormat="1" ht="26" customHeight="1" spans="1:24">
      <c r="A23" s="80" t="s">
        <v>1403</v>
      </c>
      <c r="B23" s="224" t="s">
        <v>1</v>
      </c>
      <c r="C23" s="224"/>
      <c r="D23" s="224"/>
      <c r="E23" s="75" t="s">
        <v>5</v>
      </c>
      <c r="F23" s="75" t="s">
        <v>1933</v>
      </c>
      <c r="G23" s="75" t="s">
        <v>4102</v>
      </c>
      <c r="H23" s="75" t="s">
        <v>4541</v>
      </c>
      <c r="I23" s="75" t="s">
        <v>1497</v>
      </c>
      <c r="J23" s="75" t="s">
        <v>4102</v>
      </c>
      <c r="K23" s="75" t="s">
        <v>4103</v>
      </c>
      <c r="L23" s="75" t="s">
        <v>4104</v>
      </c>
      <c r="M23" s="75" t="s">
        <v>1497</v>
      </c>
      <c r="N23" s="75" t="s">
        <v>6</v>
      </c>
      <c r="O23" s="75" t="s">
        <v>7</v>
      </c>
      <c r="P23" s="75" t="s">
        <v>5211</v>
      </c>
      <c r="Q23" s="75" t="s">
        <v>8</v>
      </c>
      <c r="R23" s="75" t="s">
        <v>9</v>
      </c>
      <c r="S23" s="75" t="s">
        <v>4105</v>
      </c>
      <c r="T23" s="75" t="s">
        <v>10</v>
      </c>
    </row>
    <row r="24" spans="1:24">
      <c r="A24" s="227" t="s">
        <v>7407</v>
      </c>
      <c r="B24" s="226"/>
      <c r="C24" s="227">
        <v>20240528</v>
      </c>
      <c r="D24" s="226">
        <v>7.25</v>
      </c>
      <c r="E24" s="228" t="s">
        <v>6562</v>
      </c>
      <c r="F24" s="229" t="s">
        <v>1933</v>
      </c>
      <c r="G24" s="227" t="s">
        <v>4190</v>
      </c>
      <c r="H24" s="227" t="s">
        <v>1913</v>
      </c>
      <c r="I24" s="227" t="s">
        <v>1428</v>
      </c>
      <c r="J24" s="247">
        <v>180</v>
      </c>
      <c r="K24" s="227" t="s">
        <v>1428</v>
      </c>
      <c r="L24" s="227" t="s">
        <v>1428</v>
      </c>
      <c r="M24" s="230" t="s">
        <v>1428</v>
      </c>
      <c r="N24" s="230">
        <v>3.81638723970974</v>
      </c>
      <c r="O24" s="230">
        <v>13.1831856566745</v>
      </c>
      <c r="P24" s="227" t="s">
        <v>1428</v>
      </c>
      <c r="Q24" s="231">
        <v>2.92479108635098</v>
      </c>
      <c r="R24" s="232">
        <f>SUM(I24:Q24)+1</f>
        <v>200.924363982735</v>
      </c>
      <c r="S24" s="233" t="s">
        <v>1526</v>
      </c>
      <c r="T24" s="228" t="s">
        <v>7409</v>
      </c>
    </row>
    <row r="29" spans="1:24">
      <c r="M29" s="83" t="s">
        <v>7411</v>
      </c>
      <c r="N29" s="201">
        <v>206.401708036311</v>
      </c>
      <c r="O29" s="85" t="s">
        <v>7412</v>
      </c>
    </row>
    <row r="30" spans="1:24">
      <c r="M30" s="86" t="s">
        <v>7413</v>
      </c>
      <c r="N30" s="248">
        <v>200.924363982735</v>
      </c>
      <c r="O30" s="249"/>
    </row>
    <row r="31" spans="1:24">
      <c r="M31" s="89"/>
      <c r="N31" s="201"/>
      <c r="O31" s="85"/>
    </row>
    <row r="33" spans="1:20">
      <c r="A33" s="221" t="s">
        <v>7405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3"/>
    </row>
    <row r="34" spans="1:20">
      <c r="A34" s="224" t="s">
        <v>1</v>
      </c>
      <c r="B34" s="224"/>
      <c r="C34" s="224"/>
      <c r="D34" s="224"/>
      <c r="E34" s="75" t="s">
        <v>5</v>
      </c>
      <c r="F34" s="75" t="s">
        <v>1933</v>
      </c>
      <c r="G34" s="75" t="s">
        <v>4102</v>
      </c>
      <c r="H34" s="75" t="s">
        <v>4541</v>
      </c>
      <c r="I34" s="75" t="s">
        <v>1497</v>
      </c>
      <c r="J34" s="75" t="s">
        <v>4102</v>
      </c>
      <c r="K34" s="75" t="s">
        <v>4103</v>
      </c>
      <c r="L34" s="75" t="s">
        <v>4104</v>
      </c>
      <c r="M34" s="75" t="s">
        <v>1497</v>
      </c>
      <c r="N34" s="75" t="s">
        <v>6</v>
      </c>
      <c r="O34" s="75" t="s">
        <v>7</v>
      </c>
      <c r="P34" s="75" t="s">
        <v>5211</v>
      </c>
      <c r="Q34" s="75" t="s">
        <v>8</v>
      </c>
      <c r="R34" s="75" t="s">
        <v>9</v>
      </c>
      <c r="S34" s="75" t="s">
        <v>4105</v>
      </c>
      <c r="T34" s="75" t="s">
        <v>10</v>
      </c>
    </row>
    <row r="35" spans="1:20">
      <c r="A35" s="250" t="s">
        <v>7414</v>
      </c>
      <c r="B35" s="251">
        <v>20240821</v>
      </c>
      <c r="C35" s="216">
        <v>7.15</v>
      </c>
      <c r="D35" s="216" t="s">
        <v>7415</v>
      </c>
      <c r="E35" s="227" t="s">
        <v>1565</v>
      </c>
      <c r="F35" s="243" t="s">
        <v>2801</v>
      </c>
      <c r="G35" s="227" t="s">
        <v>2323</v>
      </c>
      <c r="H35" s="227" t="s">
        <v>4474</v>
      </c>
      <c r="I35" s="227" t="s">
        <v>1633</v>
      </c>
      <c r="J35" s="252">
        <v>65</v>
      </c>
      <c r="K35" s="227">
        <f>7*4</f>
        <v>28</v>
      </c>
      <c r="L35" s="227" t="s">
        <v>1428</v>
      </c>
      <c r="M35" s="227">
        <v>1.7</v>
      </c>
      <c r="N35" s="231">
        <v>3.01830900016181</v>
      </c>
      <c r="O35" s="231">
        <v>10.9559605342444</v>
      </c>
      <c r="P35" s="231" t="s">
        <v>1428</v>
      </c>
      <c r="Q35" s="231">
        <v>2.99570646431659</v>
      </c>
      <c r="R35" s="231">
        <f>SUM(J35:Q35)</f>
        <v>111.669975998723</v>
      </c>
      <c r="S35" s="226" t="s">
        <v>3995</v>
      </c>
      <c r="T35" s="226" t="s">
        <v>7416</v>
      </c>
    </row>
    <row r="36" s="177" customFormat="1" spans="1:20">
      <c r="A36" s="181"/>
      <c r="B36" s="253">
        <v>20241022</v>
      </c>
      <c r="C36" s="227">
        <v>7.11</v>
      </c>
      <c r="D36" s="227" t="s">
        <v>7417</v>
      </c>
      <c r="E36" s="227" t="s">
        <v>2427</v>
      </c>
      <c r="F36" s="243" t="s">
        <v>2801</v>
      </c>
      <c r="G36" s="227" t="s">
        <v>2558</v>
      </c>
      <c r="H36" s="247" t="s">
        <v>3432</v>
      </c>
      <c r="I36" s="247" t="s">
        <v>1635</v>
      </c>
      <c r="J36" s="252" t="s">
        <v>1428</v>
      </c>
      <c r="K36" s="247">
        <v>25</v>
      </c>
      <c r="L36" s="227" t="s">
        <v>1428</v>
      </c>
      <c r="M36" s="247">
        <v>3.3</v>
      </c>
      <c r="N36" s="231">
        <v>3.01830900016181</v>
      </c>
      <c r="O36" s="231">
        <v>13.929168021</v>
      </c>
      <c r="P36" s="231" t="s">
        <v>1428</v>
      </c>
      <c r="Q36" s="231">
        <v>2.99570646431659</v>
      </c>
      <c r="R36" s="231">
        <f>SUM(J36:Q36)</f>
        <v>48.2431834854784</v>
      </c>
      <c r="S36" s="226" t="s">
        <v>4001</v>
      </c>
      <c r="T36" s="226" t="s">
        <v>7418</v>
      </c>
    </row>
    <row r="39" spans="1:20">
      <c r="A39" s="195" t="s">
        <v>7405</v>
      </c>
      <c r="B39" s="195"/>
      <c r="C39" s="195"/>
      <c r="D39" s="195"/>
      <c r="E39" s="196"/>
      <c r="F39" s="196"/>
      <c r="G39" s="197"/>
      <c r="H39" s="198"/>
      <c r="I39" s="198"/>
      <c r="J39" s="199"/>
      <c r="K39" s="200"/>
      <c r="L39" s="200"/>
      <c r="M39" s="200"/>
      <c r="N39" s="201"/>
      <c r="O39" s="201"/>
      <c r="P39" s="197"/>
      <c r="Q39" s="202"/>
      <c r="R39" s="202"/>
      <c r="S39" s="203"/>
      <c r="T39" s="80"/>
    </row>
    <row r="40" spans="1:20">
      <c r="A40" s="224" t="s">
        <v>1</v>
      </c>
      <c r="B40" s="224"/>
      <c r="C40" s="224"/>
      <c r="D40" s="224"/>
      <c r="E40" s="75" t="s">
        <v>5</v>
      </c>
      <c r="F40" s="75" t="s">
        <v>1933</v>
      </c>
      <c r="G40" s="75" t="s">
        <v>4102</v>
      </c>
      <c r="H40" s="75" t="s">
        <v>4541</v>
      </c>
      <c r="I40" s="75" t="s">
        <v>1497</v>
      </c>
      <c r="J40" s="75" t="s">
        <v>4102</v>
      </c>
      <c r="K40" s="75" t="s">
        <v>4103</v>
      </c>
      <c r="L40" s="75" t="s">
        <v>4104</v>
      </c>
      <c r="M40" s="75" t="s">
        <v>1497</v>
      </c>
      <c r="N40" s="75" t="s">
        <v>6</v>
      </c>
      <c r="O40" s="75" t="s">
        <v>7</v>
      </c>
      <c r="P40" s="75" t="s">
        <v>5211</v>
      </c>
      <c r="Q40" s="75" t="s">
        <v>8</v>
      </c>
      <c r="R40" s="75" t="s">
        <v>9</v>
      </c>
      <c r="S40" s="75" t="s">
        <v>4105</v>
      </c>
      <c r="T40" s="75" t="s">
        <v>10</v>
      </c>
    </row>
    <row r="41" s="177" customFormat="1" spans="1:20">
      <c r="A41" s="226" t="s">
        <v>7414</v>
      </c>
      <c r="B41" s="254">
        <v>20240910</v>
      </c>
      <c r="C41" s="226">
        <v>7.11</v>
      </c>
      <c r="D41" s="226" t="s">
        <v>7419</v>
      </c>
      <c r="E41" s="255" t="s">
        <v>1571</v>
      </c>
      <c r="F41" s="243" t="s">
        <v>2801</v>
      </c>
      <c r="G41" s="227" t="s">
        <v>2566</v>
      </c>
      <c r="H41" s="227" t="s">
        <v>3432</v>
      </c>
      <c r="I41" s="227" t="s">
        <v>1635</v>
      </c>
      <c r="J41" s="252">
        <v>130</v>
      </c>
      <c r="K41" s="227">
        <v>25</v>
      </c>
      <c r="L41" s="227" t="s">
        <v>1428</v>
      </c>
      <c r="M41" s="227">
        <v>3.3</v>
      </c>
      <c r="N41" s="231">
        <v>3.01830900016181</v>
      </c>
      <c r="O41" s="231">
        <v>13.9681545729491</v>
      </c>
      <c r="P41" s="231" t="s">
        <v>1428</v>
      </c>
      <c r="Q41" s="246">
        <v>2.99570646431659</v>
      </c>
      <c r="R41" s="231">
        <v>178.282170037428</v>
      </c>
      <c r="S41" s="226" t="s">
        <v>4001</v>
      </c>
      <c r="T41" s="254" t="s">
        <v>7420</v>
      </c>
    </row>
    <row r="42" s="177" customFormat="1" spans="1:20">
      <c r="A42" s="226"/>
      <c r="B42" s="254">
        <v>20241022</v>
      </c>
      <c r="C42" s="226">
        <v>7.11</v>
      </c>
      <c r="D42" s="226" t="s">
        <v>7417</v>
      </c>
      <c r="E42" s="255" t="s">
        <v>2427</v>
      </c>
      <c r="F42" s="243" t="s">
        <v>2801</v>
      </c>
      <c r="G42" s="227" t="s">
        <v>2558</v>
      </c>
      <c r="H42" s="227" t="s">
        <v>3432</v>
      </c>
      <c r="I42" s="227" t="s">
        <v>1635</v>
      </c>
      <c r="J42" s="227" t="s">
        <v>1428</v>
      </c>
      <c r="K42" s="227">
        <v>25</v>
      </c>
      <c r="L42" s="227" t="s">
        <v>1428</v>
      </c>
      <c r="M42" s="227">
        <v>3.3</v>
      </c>
      <c r="N42" s="231">
        <v>3.01830900016181</v>
      </c>
      <c r="O42" s="231">
        <v>13.929168021</v>
      </c>
      <c r="P42" s="227" t="s">
        <v>1428</v>
      </c>
      <c r="Q42" s="246">
        <v>2.99570646431659</v>
      </c>
      <c r="R42" s="231">
        <v>48.2431834854784</v>
      </c>
      <c r="S42" s="226" t="s">
        <v>4001</v>
      </c>
      <c r="T42" s="254" t="s">
        <v>7418</v>
      </c>
    </row>
    <row r="45" spans="1:20">
      <c r="A45" s="221" t="s">
        <v>7405</v>
      </c>
      <c r="B45" s="222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3"/>
    </row>
    <row r="46" spans="1:20">
      <c r="A46" s="224" t="s">
        <v>1</v>
      </c>
      <c r="B46" s="224"/>
      <c r="C46" s="224"/>
      <c r="D46" s="224"/>
      <c r="E46" s="75" t="s">
        <v>5</v>
      </c>
      <c r="F46" s="75" t="s">
        <v>1933</v>
      </c>
      <c r="G46" s="75" t="s">
        <v>4102</v>
      </c>
      <c r="H46" s="75" t="s">
        <v>4541</v>
      </c>
      <c r="I46" s="75" t="s">
        <v>1497</v>
      </c>
      <c r="J46" s="75" t="s">
        <v>4102</v>
      </c>
      <c r="K46" s="75" t="s">
        <v>4103</v>
      </c>
      <c r="L46" s="75" t="s">
        <v>4104</v>
      </c>
      <c r="M46" s="75" t="s">
        <v>1497</v>
      </c>
      <c r="N46" s="75" t="s">
        <v>6</v>
      </c>
      <c r="O46" s="75" t="s">
        <v>7</v>
      </c>
      <c r="P46" s="75" t="s">
        <v>5211</v>
      </c>
      <c r="Q46" s="75" t="s">
        <v>8</v>
      </c>
      <c r="R46" s="75" t="s">
        <v>9</v>
      </c>
      <c r="S46" s="75" t="s">
        <v>4105</v>
      </c>
      <c r="T46" s="75" t="s">
        <v>10</v>
      </c>
    </row>
    <row r="47" s="177" customFormat="1" spans="1:20">
      <c r="A47" s="227" t="s">
        <v>41</v>
      </c>
      <c r="B47" s="226">
        <v>20241023</v>
      </c>
      <c r="C47" s="226">
        <v>7.11</v>
      </c>
      <c r="D47" s="226" t="s">
        <v>187</v>
      </c>
      <c r="E47" s="254" t="s">
        <v>188</v>
      </c>
      <c r="F47" s="226"/>
      <c r="G47" s="227"/>
      <c r="H47" s="227"/>
      <c r="I47" s="227"/>
      <c r="J47" s="256"/>
      <c r="K47" s="256"/>
      <c r="L47" s="256"/>
      <c r="M47" s="256"/>
      <c r="N47" s="232">
        <v>0.431898236311813</v>
      </c>
      <c r="O47" s="232">
        <v>1.46277730114634</v>
      </c>
      <c r="P47" s="227"/>
      <c r="Q47" s="231">
        <v>0.2</v>
      </c>
      <c r="R47" s="231">
        <v>2.09467553745815</v>
      </c>
      <c r="S47" s="233"/>
      <c r="T47" s="254" t="s">
        <v>7421</v>
      </c>
    </row>
    <row r="50" spans="1:21">
      <c r="A50" s="221" t="s">
        <v>7405</v>
      </c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3"/>
    </row>
    <row r="51" spans="1:21">
      <c r="A51" s="224" t="s">
        <v>1</v>
      </c>
      <c r="B51" s="224"/>
      <c r="C51" s="224"/>
      <c r="D51" s="224"/>
      <c r="E51" s="75" t="s">
        <v>5</v>
      </c>
      <c r="F51" s="75" t="s">
        <v>1933</v>
      </c>
      <c r="G51" s="75" t="s">
        <v>4102</v>
      </c>
      <c r="H51" s="75" t="s">
        <v>4541</v>
      </c>
      <c r="I51" s="75" t="s">
        <v>1497</v>
      </c>
      <c r="J51" s="75" t="s">
        <v>4102</v>
      </c>
      <c r="K51" s="75" t="s">
        <v>4103</v>
      </c>
      <c r="L51" s="75" t="s">
        <v>4104</v>
      </c>
      <c r="M51" s="75" t="s">
        <v>1497</v>
      </c>
      <c r="N51" s="75" t="s">
        <v>6</v>
      </c>
      <c r="O51" s="75" t="s">
        <v>7</v>
      </c>
      <c r="P51" s="75" t="s">
        <v>5211</v>
      </c>
      <c r="Q51" s="75" t="s">
        <v>8</v>
      </c>
      <c r="R51" s="75" t="s">
        <v>9</v>
      </c>
      <c r="S51" s="75" t="s">
        <v>4105</v>
      </c>
      <c r="T51" s="75" t="s">
        <v>10</v>
      </c>
    </row>
    <row r="52" s="177" customFormat="1" ht="25" customHeight="1" spans="1:21">
      <c r="A52" s="227" t="s">
        <v>7414</v>
      </c>
      <c r="B52" s="226">
        <v>20241022</v>
      </c>
      <c r="C52" s="226">
        <v>7.11</v>
      </c>
      <c r="D52" s="226" t="s">
        <v>7417</v>
      </c>
      <c r="E52" s="227" t="s">
        <v>7422</v>
      </c>
      <c r="F52" s="243" t="s">
        <v>2801</v>
      </c>
      <c r="G52" s="227" t="s">
        <v>7423</v>
      </c>
      <c r="H52" s="227" t="s">
        <v>3436</v>
      </c>
      <c r="I52" s="227" t="s">
        <v>1635</v>
      </c>
      <c r="J52" s="252">
        <v>65</v>
      </c>
      <c r="K52" s="227">
        <v>14</v>
      </c>
      <c r="L52" s="227" t="s">
        <v>1428</v>
      </c>
      <c r="M52" s="227">
        <v>3.3</v>
      </c>
      <c r="N52" s="231">
        <v>3.01830900016181</v>
      </c>
      <c r="O52" s="231">
        <v>13.929168021</v>
      </c>
      <c r="P52" s="231" t="s">
        <v>1428</v>
      </c>
      <c r="Q52" s="231">
        <v>2.99570646431659</v>
      </c>
      <c r="R52" s="231">
        <f>SUM(J52:Q52)</f>
        <v>102.243183485478</v>
      </c>
      <c r="S52" s="226" t="s">
        <v>2579</v>
      </c>
      <c r="T52" s="226" t="s">
        <v>7418</v>
      </c>
    </row>
    <row r="53" s="177" customFormat="1" ht="25" customHeight="1" spans="1:21">
      <c r="A53" s="227"/>
      <c r="B53" s="226">
        <v>20241023</v>
      </c>
      <c r="C53" s="226">
        <v>7.11</v>
      </c>
      <c r="D53" s="226" t="s">
        <v>187</v>
      </c>
      <c r="E53" s="227" t="s">
        <v>188</v>
      </c>
      <c r="F53" s="227" t="s">
        <v>1428</v>
      </c>
      <c r="G53" s="227" t="s">
        <v>1428</v>
      </c>
      <c r="H53" s="227" t="s">
        <v>1428</v>
      </c>
      <c r="I53" s="227" t="s">
        <v>1428</v>
      </c>
      <c r="J53" s="227" t="s">
        <v>1428</v>
      </c>
      <c r="K53" s="227" t="s">
        <v>1428</v>
      </c>
      <c r="L53" s="227" t="s">
        <v>1428</v>
      </c>
      <c r="M53" s="227" t="s">
        <v>1428</v>
      </c>
      <c r="N53" s="232">
        <v>0.431898236311813</v>
      </c>
      <c r="O53" s="232">
        <v>1.46277730114634</v>
      </c>
      <c r="P53" s="227" t="s">
        <v>1428</v>
      </c>
      <c r="Q53" s="231">
        <v>0.2</v>
      </c>
      <c r="R53" s="231">
        <f>SUM(N53:Q53)</f>
        <v>2.09467553745815</v>
      </c>
      <c r="S53" s="233"/>
      <c r="T53" s="226" t="s">
        <v>7421</v>
      </c>
    </row>
    <row r="56" spans="1:21">
      <c r="A56" s="221" t="s">
        <v>7405</v>
      </c>
      <c r="B56" s="222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3"/>
    </row>
    <row r="57" spans="1:21">
      <c r="A57" s="224" t="s">
        <v>1</v>
      </c>
      <c r="B57" s="224"/>
      <c r="C57" s="224"/>
      <c r="D57" s="224"/>
      <c r="E57" s="75" t="s">
        <v>5</v>
      </c>
      <c r="F57" s="75" t="s">
        <v>1933</v>
      </c>
      <c r="G57" s="75" t="s">
        <v>4102</v>
      </c>
      <c r="H57" s="75" t="s">
        <v>4541</v>
      </c>
      <c r="I57" s="75" t="s">
        <v>1497</v>
      </c>
      <c r="J57" s="75" t="s">
        <v>4102</v>
      </c>
      <c r="K57" s="75" t="s">
        <v>4103</v>
      </c>
      <c r="L57" s="75" t="s">
        <v>4104</v>
      </c>
      <c r="M57" s="75" t="s">
        <v>1497</v>
      </c>
      <c r="N57" s="75" t="s">
        <v>6</v>
      </c>
      <c r="O57" s="75" t="s">
        <v>7</v>
      </c>
      <c r="P57" s="75" t="s">
        <v>5211</v>
      </c>
      <c r="Q57" s="75" t="s">
        <v>8</v>
      </c>
      <c r="R57" s="75" t="s">
        <v>9</v>
      </c>
      <c r="S57" s="75" t="s">
        <v>4105</v>
      </c>
      <c r="T57" s="75" t="s">
        <v>10</v>
      </c>
    </row>
    <row r="58" spans="1:21">
      <c r="A58" s="244" t="s">
        <v>2199</v>
      </c>
      <c r="B58" s="244">
        <v>20240527</v>
      </c>
      <c r="C58" s="244"/>
      <c r="D58" s="244"/>
      <c r="E58" s="226" t="s">
        <v>1685</v>
      </c>
      <c r="F58" s="226" t="s">
        <v>1933</v>
      </c>
      <c r="G58" s="227" t="s">
        <v>2638</v>
      </c>
      <c r="H58" s="227" t="s">
        <v>4295</v>
      </c>
      <c r="I58" s="227" t="s">
        <v>1720</v>
      </c>
      <c r="J58" s="227">
        <v>65</v>
      </c>
      <c r="K58" s="227">
        <v>20</v>
      </c>
      <c r="L58" s="227" t="s">
        <v>1428</v>
      </c>
      <c r="M58" s="256">
        <v>2.3</v>
      </c>
      <c r="N58" s="231">
        <v>3.3</v>
      </c>
      <c r="O58" s="257">
        <v>13.9590410526063</v>
      </c>
      <c r="P58" s="231" t="s">
        <v>1428</v>
      </c>
      <c r="Q58" s="231">
        <v>2.5891364902507</v>
      </c>
      <c r="R58" s="231">
        <f>SUM(J58:Q58)</f>
        <v>107.148177542857</v>
      </c>
      <c r="S58" s="226" t="s">
        <v>7424</v>
      </c>
      <c r="T58" s="226" t="s">
        <v>7425</v>
      </c>
    </row>
    <row r="59" s="178" customFormat="1" ht="15" customHeight="1" spans="1:21">
      <c r="A59" s="175"/>
      <c r="B59" s="258" t="s">
        <v>782</v>
      </c>
      <c r="C59" s="259">
        <v>20240910</v>
      </c>
      <c r="D59" s="259">
        <v>7.11</v>
      </c>
      <c r="E59" s="259" t="s">
        <v>783</v>
      </c>
      <c r="F59" s="260" t="s">
        <v>784</v>
      </c>
      <c r="G59" s="260"/>
      <c r="H59" s="227"/>
      <c r="I59" s="227"/>
      <c r="J59" s="227"/>
      <c r="K59" s="261"/>
      <c r="L59" s="261"/>
      <c r="M59" s="261"/>
      <c r="N59" s="261"/>
      <c r="O59" s="232">
        <v>0.20039082434064</v>
      </c>
      <c r="P59" s="232">
        <v>1.06563659657817</v>
      </c>
      <c r="Q59" s="227" t="s">
        <v>1428</v>
      </c>
      <c r="R59" s="231">
        <v>0.3</v>
      </c>
      <c r="S59" s="231">
        <f>SUM(K59:R59)</f>
        <v>1.56602742091881</v>
      </c>
      <c r="T59" s="226"/>
      <c r="U59" s="260" t="s">
        <v>7426</v>
      </c>
    </row>
    <row r="64" spans="1:21">
      <c r="A64" s="195" t="s">
        <v>7405</v>
      </c>
      <c r="B64" s="195"/>
      <c r="C64" s="195"/>
      <c r="D64" s="195"/>
      <c r="E64" s="196"/>
      <c r="F64" s="196"/>
      <c r="G64" s="197"/>
      <c r="H64" s="198"/>
      <c r="I64" s="198"/>
      <c r="J64" s="199"/>
      <c r="K64" s="200"/>
      <c r="L64" s="200"/>
      <c r="M64" s="200"/>
      <c r="N64" s="201"/>
      <c r="O64" s="201"/>
      <c r="P64" s="197"/>
      <c r="Q64" s="202"/>
      <c r="R64" s="202"/>
      <c r="S64" s="203"/>
      <c r="T64" s="80"/>
    </row>
    <row r="65" spans="1:20 16384:16384">
      <c r="A65" s="224" t="s">
        <v>1</v>
      </c>
      <c r="B65" s="224" t="s">
        <v>2</v>
      </c>
      <c r="C65" s="224" t="s">
        <v>1493</v>
      </c>
      <c r="D65" s="206" t="s">
        <v>4</v>
      </c>
      <c r="E65" s="75" t="s">
        <v>5</v>
      </c>
      <c r="F65" s="75" t="s">
        <v>1933</v>
      </c>
      <c r="G65" s="75" t="s">
        <v>4102</v>
      </c>
      <c r="H65" s="75" t="s">
        <v>4541</v>
      </c>
      <c r="I65" s="75" t="s">
        <v>1497</v>
      </c>
      <c r="J65" s="75" t="s">
        <v>4102</v>
      </c>
      <c r="K65" s="75" t="s">
        <v>4103</v>
      </c>
      <c r="L65" s="75" t="s">
        <v>4104</v>
      </c>
      <c r="M65" s="75" t="s">
        <v>1497</v>
      </c>
      <c r="N65" s="75" t="s">
        <v>6</v>
      </c>
      <c r="O65" s="75" t="s">
        <v>7</v>
      </c>
      <c r="P65" s="75" t="s">
        <v>5211</v>
      </c>
      <c r="Q65" s="75" t="s">
        <v>8</v>
      </c>
      <c r="R65" s="75" t="s">
        <v>9</v>
      </c>
      <c r="S65" s="75" t="s">
        <v>4105</v>
      </c>
      <c r="T65" s="75" t="s">
        <v>10</v>
      </c>
    </row>
    <row r="66" s="177" customFormat="1" spans="1:20 16384:16384">
      <c r="A66" s="229" t="s">
        <v>935</v>
      </c>
      <c r="B66" s="229">
        <v>20241025</v>
      </c>
      <c r="C66" s="227">
        <v>7.11</v>
      </c>
      <c r="D66" s="229" t="s">
        <v>3946</v>
      </c>
      <c r="E66" s="262" t="s">
        <v>7427</v>
      </c>
      <c r="F66" s="229" t="s">
        <v>1933</v>
      </c>
      <c r="G66" s="253" t="s">
        <v>3799</v>
      </c>
      <c r="H66" s="244" t="s">
        <v>1428</v>
      </c>
      <c r="I66" s="244" t="s">
        <v>1428</v>
      </c>
      <c r="J66" s="227">
        <v>26</v>
      </c>
      <c r="K66" s="244" t="s">
        <v>1428</v>
      </c>
      <c r="L66" s="244" t="s">
        <v>1428</v>
      </c>
      <c r="M66" s="244" t="s">
        <v>1428</v>
      </c>
      <c r="N66" s="232">
        <v>2.84671081131258</v>
      </c>
      <c r="O66" s="232">
        <v>12.162880711943</v>
      </c>
      <c r="P66" s="227"/>
      <c r="Q66" s="231">
        <v>3.03760445682451</v>
      </c>
      <c r="R66" s="232">
        <f>SUM(J66:Q66)</f>
        <v>44.0471959800801</v>
      </c>
      <c r="S66" s="263" t="s">
        <v>1526</v>
      </c>
      <c r="T66" s="229" t="s">
        <v>7428</v>
      </c>
    </row>
    <row r="68" spans="1:20 16384:16384">
      <c r="A68" s="195" t="s">
        <v>7405</v>
      </c>
      <c r="B68" s="195"/>
      <c r="C68" s="195"/>
      <c r="D68" s="195"/>
      <c r="E68" s="196"/>
      <c r="F68" s="196"/>
      <c r="G68" s="197"/>
      <c r="H68" s="198"/>
      <c r="I68" s="198"/>
      <c r="J68" s="199"/>
      <c r="K68" s="200"/>
      <c r="L68" s="200"/>
      <c r="M68" s="200"/>
      <c r="N68" s="201"/>
      <c r="O68" s="201"/>
      <c r="P68" s="197"/>
      <c r="Q68" s="202"/>
      <c r="R68" s="202"/>
      <c r="S68" s="203"/>
      <c r="T68" s="80"/>
    </row>
    <row r="69" spans="1:20 16384:16384">
      <c r="A69" s="224" t="s">
        <v>1</v>
      </c>
      <c r="B69" s="224" t="s">
        <v>2</v>
      </c>
      <c r="C69" s="224" t="s">
        <v>1493</v>
      </c>
      <c r="D69" s="206" t="s">
        <v>4</v>
      </c>
      <c r="E69" s="75" t="s">
        <v>5</v>
      </c>
      <c r="F69" s="75" t="s">
        <v>1933</v>
      </c>
      <c r="G69" s="75" t="s">
        <v>4102</v>
      </c>
      <c r="H69" s="75" t="s">
        <v>4541</v>
      </c>
      <c r="I69" s="75" t="s">
        <v>1497</v>
      </c>
      <c r="J69" s="75" t="s">
        <v>4102</v>
      </c>
      <c r="K69" s="75" t="s">
        <v>4103</v>
      </c>
      <c r="L69" s="75" t="s">
        <v>4104</v>
      </c>
      <c r="M69" s="75" t="s">
        <v>1497</v>
      </c>
      <c r="N69" s="75" t="s">
        <v>6</v>
      </c>
      <c r="O69" s="75" t="s">
        <v>7</v>
      </c>
      <c r="P69" s="75" t="s">
        <v>5211</v>
      </c>
      <c r="Q69" s="75" t="s">
        <v>8</v>
      </c>
      <c r="R69" s="75" t="s">
        <v>9</v>
      </c>
      <c r="S69" s="75" t="s">
        <v>4105</v>
      </c>
      <c r="T69" s="75" t="s">
        <v>10</v>
      </c>
    </row>
    <row r="70" spans="1:20 16384:16384">
      <c r="A70" s="212" t="s">
        <v>7429</v>
      </c>
      <c r="B70" s="209"/>
      <c r="C70" s="209"/>
      <c r="D70" s="209"/>
      <c r="E70" s="210" t="s">
        <v>7430</v>
      </c>
      <c r="F70" s="209" t="s">
        <v>7431</v>
      </c>
      <c r="G70" s="212" t="s">
        <v>1428</v>
      </c>
      <c r="H70" s="212" t="s">
        <v>1913</v>
      </c>
      <c r="I70" s="212"/>
      <c r="J70" s="212" t="s">
        <v>1428</v>
      </c>
      <c r="K70" s="212" t="s">
        <v>1428</v>
      </c>
      <c r="L70" s="212" t="s">
        <v>1428</v>
      </c>
      <c r="M70" s="212" t="s">
        <v>1428</v>
      </c>
      <c r="N70" s="213" t="s">
        <v>1428</v>
      </c>
      <c r="O70" s="213">
        <v>25.7554997557167</v>
      </c>
      <c r="P70" s="213"/>
      <c r="Q70" s="264" t="s">
        <v>1428</v>
      </c>
      <c r="R70" s="213">
        <f>SUM(J70:Q70)</f>
        <v>25.7554997557167</v>
      </c>
      <c r="S70" s="210" t="s">
        <v>1526</v>
      </c>
      <c r="T70" s="210"/>
    </row>
    <row r="72" spans="1:20 16384:16384">
      <c r="A72" s="195" t="s">
        <v>7405</v>
      </c>
      <c r="B72" s="195"/>
      <c r="C72" s="195"/>
      <c r="D72" s="195"/>
      <c r="E72" s="196"/>
      <c r="F72" s="196"/>
      <c r="G72" s="197"/>
      <c r="H72" s="198"/>
      <c r="I72" s="198"/>
      <c r="J72" s="199"/>
      <c r="K72" s="200"/>
      <c r="L72" s="200"/>
      <c r="M72" s="200"/>
      <c r="N72" s="201"/>
      <c r="O72" s="201"/>
      <c r="P72" s="197"/>
      <c r="Q72" s="202"/>
      <c r="R72" s="202"/>
      <c r="S72" s="203"/>
      <c r="T72" s="80"/>
    </row>
    <row r="73" spans="1:20 16384:16384">
      <c r="A73" s="224" t="s">
        <v>1</v>
      </c>
      <c r="B73" s="224"/>
      <c r="C73" s="224"/>
      <c r="D73" s="224"/>
      <c r="E73" s="75" t="s">
        <v>5</v>
      </c>
      <c r="F73" s="75" t="s">
        <v>1933</v>
      </c>
      <c r="G73" s="75" t="s">
        <v>4102</v>
      </c>
      <c r="H73" s="75" t="s">
        <v>4541</v>
      </c>
      <c r="I73" s="75" t="s">
        <v>1497</v>
      </c>
      <c r="J73" s="75" t="s">
        <v>4102</v>
      </c>
      <c r="K73" s="75" t="s">
        <v>4103</v>
      </c>
      <c r="L73" s="75" t="s">
        <v>4104</v>
      </c>
      <c r="M73" s="75" t="s">
        <v>1497</v>
      </c>
      <c r="N73" s="75" t="s">
        <v>6</v>
      </c>
      <c r="O73" s="75" t="s">
        <v>7</v>
      </c>
      <c r="P73" s="75" t="s">
        <v>5211</v>
      </c>
      <c r="Q73" s="75" t="s">
        <v>8</v>
      </c>
      <c r="R73" s="75" t="s">
        <v>9</v>
      </c>
      <c r="S73" s="75" t="s">
        <v>4105</v>
      </c>
      <c r="T73" s="75" t="s">
        <v>10</v>
      </c>
    </row>
    <row r="74" s="177" customFormat="1" spans="1:20 16384:16384">
      <c r="A74" s="226" t="s">
        <v>7407</v>
      </c>
      <c r="B74" s="226">
        <v>20241028</v>
      </c>
      <c r="C74" s="226">
        <v>7.11</v>
      </c>
      <c r="D74" s="226" t="s">
        <v>7432</v>
      </c>
      <c r="E74" s="228" t="s">
        <v>2364</v>
      </c>
      <c r="F74" s="243" t="s">
        <v>1933</v>
      </c>
      <c r="G74" s="245" t="s">
        <v>2326</v>
      </c>
      <c r="H74" s="245" t="s">
        <v>1913</v>
      </c>
      <c r="I74" s="245" t="s">
        <v>1428</v>
      </c>
      <c r="J74" s="256">
        <v>97.5</v>
      </c>
      <c r="K74" s="227" t="s">
        <v>1428</v>
      </c>
      <c r="L74" s="227" t="s">
        <v>1428</v>
      </c>
      <c r="M74" s="227" t="s">
        <v>1428</v>
      </c>
      <c r="N74" s="231">
        <v>3.65619904658776</v>
      </c>
      <c r="O74" s="231">
        <v>15.3211913053097</v>
      </c>
      <c r="P74" s="231" t="s">
        <v>1428</v>
      </c>
      <c r="Q74" s="246">
        <v>2.92479108635098</v>
      </c>
      <c r="R74" s="231">
        <v>120.402181438248</v>
      </c>
      <c r="S74" s="243" t="s">
        <v>1526</v>
      </c>
      <c r="T74" s="226" t="s">
        <v>7433</v>
      </c>
      <c r="XFD74" s="177">
        <f>SUM(A74:XFC74)</f>
        <v>20241274.9143629</v>
      </c>
    </row>
    <row r="76" spans="1:20 16384:16384">
      <c r="A76" s="221" t="s">
        <v>7405</v>
      </c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3"/>
    </row>
    <row r="77" spans="1:20 16384:16384">
      <c r="A77" s="224" t="s">
        <v>1</v>
      </c>
      <c r="B77" s="224"/>
      <c r="C77" s="224"/>
      <c r="D77" s="224"/>
      <c r="E77" s="75" t="s">
        <v>5</v>
      </c>
      <c r="F77" s="75" t="s">
        <v>1933</v>
      </c>
      <c r="G77" s="75" t="s">
        <v>4102</v>
      </c>
      <c r="H77" s="75" t="s">
        <v>4541</v>
      </c>
      <c r="I77" s="75" t="s">
        <v>1497</v>
      </c>
      <c r="J77" s="75" t="s">
        <v>4102</v>
      </c>
      <c r="K77" s="75" t="s">
        <v>4103</v>
      </c>
      <c r="L77" s="75" t="s">
        <v>4104</v>
      </c>
      <c r="M77" s="75" t="s">
        <v>1497</v>
      </c>
      <c r="N77" s="75" t="s">
        <v>6</v>
      </c>
      <c r="O77" s="75" t="s">
        <v>7</v>
      </c>
      <c r="P77" s="75" t="s">
        <v>5211</v>
      </c>
      <c r="Q77" s="75" t="s">
        <v>8</v>
      </c>
      <c r="R77" s="75" t="s">
        <v>9</v>
      </c>
      <c r="S77" s="75" t="s">
        <v>4105</v>
      </c>
      <c r="T77" s="75" t="s">
        <v>10</v>
      </c>
    </row>
    <row r="78" s="177" customFormat="1" spans="1:20 16384:16384">
      <c r="A78" s="226" t="s">
        <v>7407</v>
      </c>
      <c r="B78" s="226">
        <v>20241028</v>
      </c>
      <c r="C78" s="226">
        <v>7.11</v>
      </c>
      <c r="D78" s="226" t="s">
        <v>7432</v>
      </c>
      <c r="E78" s="228" t="s">
        <v>2364</v>
      </c>
      <c r="F78" s="243" t="s">
        <v>1933</v>
      </c>
      <c r="G78" s="245" t="s">
        <v>2326</v>
      </c>
      <c r="H78" s="245" t="s">
        <v>1913</v>
      </c>
      <c r="I78" s="245" t="s">
        <v>1428</v>
      </c>
      <c r="J78" s="256">
        <v>97.5</v>
      </c>
      <c r="K78" s="227" t="s">
        <v>1428</v>
      </c>
      <c r="L78" s="227" t="s">
        <v>1428</v>
      </c>
      <c r="M78" s="227" t="s">
        <v>1428</v>
      </c>
      <c r="N78" s="231">
        <v>3.81638723970974</v>
      </c>
      <c r="O78" s="231">
        <v>13.9036373471267</v>
      </c>
      <c r="P78" s="231" t="s">
        <v>1428</v>
      </c>
      <c r="Q78" s="246">
        <v>2.92479108635098</v>
      </c>
      <c r="R78" s="231">
        <f>SUM(J78:Q78)+1</f>
        <v>119.144815673187</v>
      </c>
      <c r="S78" s="243" t="s">
        <v>1526</v>
      </c>
      <c r="T78" s="226" t="s">
        <v>7433</v>
      </c>
      <c r="XFD78" s="177">
        <f>SUM(A78:XFC78)</f>
        <v>20241272.3996313</v>
      </c>
    </row>
    <row r="81" spans="1:20">
      <c r="A81" s="195" t="s">
        <v>7405</v>
      </c>
      <c r="B81" s="195"/>
      <c r="C81" s="195"/>
      <c r="D81" s="195"/>
      <c r="E81" s="196"/>
      <c r="F81" s="196"/>
      <c r="G81" s="197"/>
      <c r="H81" s="198"/>
      <c r="I81" s="198"/>
      <c r="J81" s="199"/>
      <c r="K81" s="200"/>
      <c r="L81" s="200"/>
      <c r="M81" s="200"/>
      <c r="N81" s="201"/>
      <c r="O81" s="201"/>
      <c r="P81" s="197"/>
      <c r="Q81" s="202"/>
      <c r="R81" s="202"/>
      <c r="S81" s="203"/>
      <c r="T81" s="80"/>
    </row>
    <row r="82" spans="1:20">
      <c r="A82" s="205" t="s">
        <v>1</v>
      </c>
      <c r="B82" s="265" t="s">
        <v>2</v>
      </c>
      <c r="C82" s="265" t="s">
        <v>1493</v>
      </c>
      <c r="D82" s="265" t="s">
        <v>4</v>
      </c>
      <c r="E82" s="75" t="s">
        <v>5</v>
      </c>
      <c r="F82" s="75" t="s">
        <v>1933</v>
      </c>
      <c r="G82" s="75" t="s">
        <v>4102</v>
      </c>
      <c r="H82" s="75" t="s">
        <v>4541</v>
      </c>
      <c r="I82" s="75" t="s">
        <v>1497</v>
      </c>
      <c r="J82" s="75" t="s">
        <v>4102</v>
      </c>
      <c r="K82" s="75" t="s">
        <v>4103</v>
      </c>
      <c r="L82" s="75" t="s">
        <v>4104</v>
      </c>
      <c r="M82" s="75" t="s">
        <v>1497</v>
      </c>
      <c r="N82" s="75" t="s">
        <v>6</v>
      </c>
      <c r="O82" s="75" t="s">
        <v>7</v>
      </c>
      <c r="P82" s="75" t="s">
        <v>5211</v>
      </c>
      <c r="Q82" s="75" t="s">
        <v>8</v>
      </c>
      <c r="R82" s="75" t="s">
        <v>9</v>
      </c>
      <c r="S82" s="75" t="s">
        <v>4105</v>
      </c>
      <c r="T82" s="75" t="s">
        <v>10</v>
      </c>
    </row>
    <row r="83" spans="1:20">
      <c r="A83" s="226"/>
      <c r="B83" s="266">
        <v>20241028</v>
      </c>
      <c r="C83" s="219">
        <v>7.11</v>
      </c>
      <c r="D83" s="266" t="s">
        <v>1443</v>
      </c>
      <c r="E83" s="226" t="s">
        <v>7434</v>
      </c>
      <c r="F83" s="267"/>
      <c r="G83" s="234"/>
      <c r="H83" s="234"/>
      <c r="I83" s="234"/>
      <c r="J83" s="268"/>
      <c r="K83" s="234"/>
      <c r="L83" s="234"/>
      <c r="M83" s="234"/>
      <c r="N83" s="269">
        <v>0.591215164980148</v>
      </c>
      <c r="O83" s="269">
        <v>2.42284459258056</v>
      </c>
      <c r="P83" s="234"/>
      <c r="Q83" s="270">
        <v>0.2</v>
      </c>
      <c r="R83" s="269">
        <f>SUM(J83:Q83)</f>
        <v>3.21405975756071</v>
      </c>
      <c r="S83" s="271"/>
      <c r="T83" s="228" t="s">
        <v>1445</v>
      </c>
    </row>
    <row r="84" spans="1:20">
      <c r="A84" s="226"/>
      <c r="B84" s="209">
        <v>20241028</v>
      </c>
      <c r="C84" s="212">
        <v>7.11</v>
      </c>
      <c r="D84" s="272" t="s">
        <v>1446</v>
      </c>
      <c r="E84" s="226" t="s">
        <v>7435</v>
      </c>
      <c r="F84" s="267"/>
      <c r="G84" s="234"/>
      <c r="H84" s="234"/>
      <c r="I84" s="234"/>
      <c r="J84" s="234"/>
      <c r="K84" s="234"/>
      <c r="L84" s="234"/>
      <c r="M84" s="234"/>
      <c r="N84" s="273">
        <v>0.542673288276515</v>
      </c>
      <c r="O84" s="273">
        <v>2.19369798415643</v>
      </c>
      <c r="P84" s="234" t="s">
        <v>1428</v>
      </c>
      <c r="Q84" s="270">
        <v>0.2</v>
      </c>
      <c r="R84" s="269">
        <f>SUM(N84:Q84)</f>
        <v>2.93637127243294</v>
      </c>
      <c r="S84" s="271"/>
      <c r="T84" s="228" t="s">
        <v>1448</v>
      </c>
    </row>
    <row r="87" spans="1:20">
      <c r="A87" s="195" t="s">
        <v>7405</v>
      </c>
      <c r="B87" s="195"/>
      <c r="C87" s="195"/>
      <c r="D87" s="195"/>
      <c r="E87" s="196"/>
      <c r="F87" s="196"/>
      <c r="G87" s="197"/>
      <c r="H87" s="198"/>
      <c r="I87" s="198"/>
      <c r="J87" s="199"/>
      <c r="K87" s="200"/>
      <c r="L87" s="200"/>
      <c r="M87" s="200"/>
      <c r="N87" s="201"/>
      <c r="O87" s="201"/>
      <c r="P87" s="197"/>
      <c r="Q87" s="202"/>
      <c r="R87" s="202"/>
      <c r="S87" s="203"/>
      <c r="T87" s="80"/>
    </row>
    <row r="88" spans="1:20">
      <c r="A88" s="224" t="s">
        <v>1</v>
      </c>
      <c r="B88" s="224" t="s">
        <v>2</v>
      </c>
      <c r="C88" s="224" t="s">
        <v>1493</v>
      </c>
      <c r="D88" s="224" t="s">
        <v>4</v>
      </c>
      <c r="E88" s="75" t="s">
        <v>5</v>
      </c>
      <c r="F88" s="274" t="s">
        <v>1933</v>
      </c>
      <c r="G88" s="75" t="s">
        <v>4102</v>
      </c>
      <c r="H88" s="75" t="s">
        <v>4541</v>
      </c>
      <c r="I88" s="75" t="s">
        <v>1497</v>
      </c>
      <c r="J88" s="75" t="s">
        <v>4102</v>
      </c>
      <c r="K88" s="75" t="s">
        <v>4103</v>
      </c>
      <c r="L88" s="75" t="s">
        <v>4104</v>
      </c>
      <c r="M88" s="75" t="s">
        <v>1497</v>
      </c>
      <c r="N88" s="75" t="s">
        <v>6</v>
      </c>
      <c r="O88" s="75" t="s">
        <v>7</v>
      </c>
      <c r="P88" s="75" t="s">
        <v>5211</v>
      </c>
      <c r="Q88" s="75" t="s">
        <v>8</v>
      </c>
      <c r="R88" s="75" t="s">
        <v>9</v>
      </c>
      <c r="S88" s="75" t="s">
        <v>4105</v>
      </c>
      <c r="T88" s="75" t="s">
        <v>10</v>
      </c>
    </row>
    <row r="89" s="177" customFormat="1" spans="1:20">
      <c r="A89" s="225" t="s">
        <v>350</v>
      </c>
      <c r="B89" s="226">
        <v>20241028</v>
      </c>
      <c r="C89" s="226">
        <v>7.11</v>
      </c>
      <c r="D89" s="226" t="s">
        <v>360</v>
      </c>
      <c r="E89" s="226" t="s">
        <v>361</v>
      </c>
      <c r="F89" s="226"/>
      <c r="G89" s="227"/>
      <c r="H89" s="227"/>
      <c r="I89" s="227"/>
      <c r="J89" s="227"/>
      <c r="K89" s="227"/>
      <c r="L89" s="227"/>
      <c r="M89" s="227"/>
      <c r="N89" s="231">
        <v>0.921050993863809</v>
      </c>
      <c r="O89" s="257">
        <v>4.33121491596654</v>
      </c>
      <c r="P89" s="231" t="s">
        <v>1428</v>
      </c>
      <c r="Q89" s="231">
        <v>0.4</v>
      </c>
      <c r="R89" s="269">
        <f>SUM(J89:Q89)</f>
        <v>5.65226590983035</v>
      </c>
      <c r="S89" s="233"/>
      <c r="T89" s="254" t="s">
        <v>7436</v>
      </c>
    </row>
    <row r="90" s="177" customFormat="1" spans="1:20">
      <c r="A90" s="275"/>
      <c r="B90" s="226">
        <v>20241028</v>
      </c>
      <c r="C90" s="226">
        <v>7.11</v>
      </c>
      <c r="D90" s="226" t="s">
        <v>369</v>
      </c>
      <c r="E90" s="226" t="s">
        <v>370</v>
      </c>
      <c r="F90" s="226"/>
      <c r="G90" s="227"/>
      <c r="H90" s="227"/>
      <c r="I90" s="227"/>
      <c r="J90" s="227"/>
      <c r="K90" s="227"/>
      <c r="L90" s="227"/>
      <c r="M90" s="227"/>
      <c r="N90" s="231">
        <v>0.921050993863809</v>
      </c>
      <c r="O90" s="257">
        <v>4.63093104841306</v>
      </c>
      <c r="P90" s="231" t="s">
        <v>1428</v>
      </c>
      <c r="Q90" s="231">
        <v>0.4</v>
      </c>
      <c r="R90" s="269">
        <f>SUM(J90:Q90)</f>
        <v>5.95198204227687</v>
      </c>
      <c r="S90" s="233"/>
      <c r="T90" s="254" t="s">
        <v>7436</v>
      </c>
    </row>
    <row r="91" s="177" customFormat="1" spans="1:20">
      <c r="A91" s="275"/>
      <c r="B91" s="226">
        <v>20241028</v>
      </c>
      <c r="C91" s="226">
        <v>7.11</v>
      </c>
      <c r="D91" s="226" t="s">
        <v>363</v>
      </c>
      <c r="E91" s="226" t="s">
        <v>364</v>
      </c>
      <c r="F91" s="226"/>
      <c r="G91" s="227"/>
      <c r="H91" s="227"/>
      <c r="I91" s="227"/>
      <c r="J91" s="227"/>
      <c r="K91" s="227"/>
      <c r="L91" s="227"/>
      <c r="M91" s="227"/>
      <c r="N91" s="231">
        <v>0.921050993863809</v>
      </c>
      <c r="O91" s="231">
        <v>6.97017896350024</v>
      </c>
      <c r="P91" s="231"/>
      <c r="Q91" s="231">
        <v>0.4</v>
      </c>
      <c r="R91" s="269">
        <f>SUM(J91:Q91)</f>
        <v>8.29122995736405</v>
      </c>
      <c r="S91" s="233"/>
      <c r="T91" s="254" t="s">
        <v>7437</v>
      </c>
    </row>
    <row r="92" s="177" customFormat="1" spans="1:20">
      <c r="A92" s="234"/>
      <c r="B92" s="226">
        <v>20241028</v>
      </c>
      <c r="C92" s="226">
        <v>7.11</v>
      </c>
      <c r="D92" s="226" t="s">
        <v>366</v>
      </c>
      <c r="E92" s="226" t="s">
        <v>367</v>
      </c>
      <c r="F92" s="226"/>
      <c r="G92" s="227"/>
      <c r="H92" s="227"/>
      <c r="I92" s="227"/>
      <c r="J92" s="227"/>
      <c r="K92" s="227"/>
      <c r="L92" s="227"/>
      <c r="M92" s="227"/>
      <c r="N92" s="231">
        <v>0.921050993863809</v>
      </c>
      <c r="O92" s="231">
        <v>5.02132870482805</v>
      </c>
      <c r="P92" s="231"/>
      <c r="Q92" s="231">
        <v>0.4</v>
      </c>
      <c r="R92" s="269">
        <f>SUM(J92:Q92)</f>
        <v>6.34237969869186</v>
      </c>
      <c r="S92" s="233"/>
      <c r="T92" s="254" t="s">
        <v>7438</v>
      </c>
    </row>
    <row r="93" spans="1:20">
      <c r="A93" s="276"/>
      <c r="B93" s="276"/>
      <c r="C93" s="179"/>
      <c r="D93" s="179"/>
      <c r="E93" s="179"/>
      <c r="F93" s="179"/>
      <c r="G93" s="186"/>
      <c r="H93" s="186"/>
      <c r="I93" s="186"/>
      <c r="J93" s="186"/>
      <c r="K93" s="186"/>
      <c r="L93" s="186"/>
      <c r="M93" s="186"/>
      <c r="N93" s="277"/>
      <c r="O93" s="277"/>
      <c r="P93" s="277"/>
      <c r="Q93" s="277"/>
      <c r="R93" s="277"/>
      <c r="S93" s="276"/>
      <c r="T93" s="276"/>
    </row>
    <row r="94" spans="1:20">
      <c r="A94" s="221" t="s">
        <v>7405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3"/>
    </row>
    <row r="95" spans="1:20">
      <c r="A95" s="224" t="s">
        <v>1</v>
      </c>
      <c r="B95" s="224"/>
      <c r="C95" s="224"/>
      <c r="D95" s="224"/>
      <c r="E95" s="75" t="s">
        <v>5</v>
      </c>
      <c r="F95" s="75" t="s">
        <v>1933</v>
      </c>
      <c r="G95" s="75" t="s">
        <v>4102</v>
      </c>
      <c r="H95" s="75" t="s">
        <v>4541</v>
      </c>
      <c r="I95" s="75" t="s">
        <v>1497</v>
      </c>
      <c r="J95" s="75" t="s">
        <v>4102</v>
      </c>
      <c r="K95" s="75" t="s">
        <v>4103</v>
      </c>
      <c r="L95" s="75" t="s">
        <v>4104</v>
      </c>
      <c r="M95" s="75" t="s">
        <v>1497</v>
      </c>
      <c r="N95" s="75" t="s">
        <v>6</v>
      </c>
      <c r="O95" s="75" t="s">
        <v>7</v>
      </c>
      <c r="P95" s="75" t="s">
        <v>5211</v>
      </c>
      <c r="Q95" s="75" t="s">
        <v>8</v>
      </c>
      <c r="R95" s="75" t="s">
        <v>9</v>
      </c>
      <c r="S95" s="75" t="s">
        <v>4105</v>
      </c>
      <c r="T95" s="75" t="s">
        <v>10</v>
      </c>
    </row>
    <row r="96" s="177" customFormat="1" spans="1:20">
      <c r="A96" s="226" t="s">
        <v>537</v>
      </c>
      <c r="B96" s="226">
        <v>20241028</v>
      </c>
      <c r="C96" s="226">
        <v>7.11</v>
      </c>
      <c r="D96" s="226" t="s">
        <v>540</v>
      </c>
      <c r="E96" s="255" t="s">
        <v>541</v>
      </c>
      <c r="F96" s="255"/>
      <c r="G96" s="228"/>
      <c r="H96" s="228"/>
      <c r="I96" s="228"/>
      <c r="J96" s="278"/>
      <c r="K96" s="278"/>
      <c r="L96" s="278"/>
      <c r="M96" s="278"/>
      <c r="N96" s="230">
        <v>0.385845686618623</v>
      </c>
      <c r="O96" s="230">
        <v>2.09018382349427</v>
      </c>
      <c r="P96" s="227" t="s">
        <v>1428</v>
      </c>
      <c r="Q96" s="231">
        <v>0.4</v>
      </c>
      <c r="R96" s="269">
        <f>SUM(J96:Q96)</f>
        <v>2.87602951011289</v>
      </c>
      <c r="S96" s="228"/>
      <c r="T96" s="228" t="s">
        <v>25</v>
      </c>
    </row>
    <row r="98" spans="1:21">
      <c r="A98" s="221" t="s">
        <v>7405</v>
      </c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3"/>
    </row>
    <row r="99" spans="1:21">
      <c r="A99" s="224" t="s">
        <v>1</v>
      </c>
      <c r="B99" s="224"/>
      <c r="C99" s="224"/>
      <c r="D99" s="224"/>
      <c r="E99" s="75" t="s">
        <v>5</v>
      </c>
      <c r="F99" s="75" t="s">
        <v>1933</v>
      </c>
      <c r="G99" s="75" t="s">
        <v>4102</v>
      </c>
      <c r="H99" s="75" t="s">
        <v>4541</v>
      </c>
      <c r="I99" s="75" t="s">
        <v>1497</v>
      </c>
      <c r="J99" s="75" t="s">
        <v>4102</v>
      </c>
      <c r="K99" s="75" t="s">
        <v>4103</v>
      </c>
      <c r="L99" s="75" t="s">
        <v>4104</v>
      </c>
      <c r="M99" s="75" t="s">
        <v>1497</v>
      </c>
      <c r="N99" s="75" t="s">
        <v>6</v>
      </c>
      <c r="O99" s="75" t="s">
        <v>7</v>
      </c>
      <c r="P99" s="75" t="s">
        <v>5211</v>
      </c>
      <c r="Q99" s="75" t="s">
        <v>8</v>
      </c>
      <c r="R99" s="75" t="s">
        <v>9</v>
      </c>
      <c r="S99" s="75" t="s">
        <v>4105</v>
      </c>
      <c r="T99" s="75" t="s">
        <v>10</v>
      </c>
    </row>
    <row r="100" spans="1:21">
      <c r="A100" s="226"/>
      <c r="B100" s="226">
        <v>20241028</v>
      </c>
      <c r="C100" s="226">
        <v>7.11</v>
      </c>
      <c r="D100" s="226" t="s">
        <v>588</v>
      </c>
      <c r="E100" s="254" t="s">
        <v>589</v>
      </c>
      <c r="F100" s="226"/>
      <c r="G100" s="227"/>
      <c r="H100" s="227"/>
      <c r="I100" s="227"/>
      <c r="J100" s="256"/>
      <c r="K100" s="256"/>
      <c r="L100" s="256"/>
      <c r="M100" s="256"/>
      <c r="N100" s="230">
        <v>0.385845686618623</v>
      </c>
      <c r="O100" s="230">
        <v>2.28205728585564</v>
      </c>
      <c r="P100" s="227" t="s">
        <v>1428</v>
      </c>
      <c r="Q100" s="231">
        <v>0.4</v>
      </c>
      <c r="R100" s="269">
        <f>SUM(J100:Q100)</f>
        <v>3.06790297247426</v>
      </c>
      <c r="S100" s="233"/>
      <c r="T100" s="226" t="s">
        <v>7439</v>
      </c>
    </row>
    <row r="102" spans="1:21">
      <c r="A102" s="221" t="s">
        <v>7405</v>
      </c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3"/>
    </row>
    <row r="103" spans="1:21">
      <c r="A103" s="224" t="s">
        <v>1</v>
      </c>
      <c r="B103" s="224"/>
      <c r="C103" s="224"/>
      <c r="D103" s="224"/>
      <c r="E103" s="75" t="s">
        <v>5</v>
      </c>
      <c r="F103" s="75" t="s">
        <v>1933</v>
      </c>
      <c r="G103" s="75" t="s">
        <v>4102</v>
      </c>
      <c r="H103" s="75" t="s">
        <v>4541</v>
      </c>
      <c r="I103" s="75" t="s">
        <v>1497</v>
      </c>
      <c r="J103" s="75" t="s">
        <v>4102</v>
      </c>
      <c r="K103" s="75" t="s">
        <v>4103</v>
      </c>
      <c r="L103" s="75" t="s">
        <v>4104</v>
      </c>
      <c r="M103" s="75" t="s">
        <v>1497</v>
      </c>
      <c r="N103" s="75" t="s">
        <v>6</v>
      </c>
      <c r="O103" s="75" t="s">
        <v>7</v>
      </c>
      <c r="P103" s="75" t="s">
        <v>5211</v>
      </c>
      <c r="Q103" s="75" t="s">
        <v>8</v>
      </c>
      <c r="R103" s="75" t="s">
        <v>9</v>
      </c>
      <c r="S103" s="75" t="s">
        <v>4105</v>
      </c>
      <c r="T103" s="75" t="s">
        <v>10</v>
      </c>
    </row>
    <row r="104" s="177" customFormat="1" spans="1:21">
      <c r="A104" s="226"/>
      <c r="B104" s="226"/>
      <c r="C104" s="226"/>
      <c r="D104" s="226" t="s">
        <v>233</v>
      </c>
      <c r="E104" s="279" t="s">
        <v>234</v>
      </c>
      <c r="F104" s="260"/>
      <c r="G104" s="227"/>
      <c r="H104" s="227"/>
      <c r="I104" s="227"/>
      <c r="J104" s="261"/>
      <c r="K104" s="261"/>
      <c r="L104" s="261"/>
      <c r="M104" s="261"/>
      <c r="N104" s="230">
        <v>0.581257856938377</v>
      </c>
      <c r="O104" s="230">
        <v>3.10103003431537</v>
      </c>
      <c r="P104" s="227" t="s">
        <v>1428</v>
      </c>
      <c r="Q104" s="231">
        <v>0.4</v>
      </c>
      <c r="R104" s="269">
        <f>SUM(J104:Q104)</f>
        <v>4.08228789125375</v>
      </c>
      <c r="S104" s="226"/>
      <c r="T104" s="279" t="s">
        <v>25</v>
      </c>
    </row>
    <row r="106" spans="1:21">
      <c r="A106" s="221" t="s">
        <v>7405</v>
      </c>
      <c r="B106" s="222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3"/>
    </row>
    <row r="107" spans="1:21">
      <c r="A107" s="224" t="s">
        <v>1</v>
      </c>
      <c r="B107" s="224"/>
      <c r="C107" s="224"/>
      <c r="D107" s="224"/>
      <c r="E107" s="75" t="s">
        <v>5</v>
      </c>
      <c r="F107" s="75" t="s">
        <v>1933</v>
      </c>
      <c r="G107" s="75" t="s">
        <v>4102</v>
      </c>
      <c r="H107" s="75" t="s">
        <v>4541</v>
      </c>
      <c r="I107" s="75" t="s">
        <v>1497</v>
      </c>
      <c r="J107" s="75" t="s">
        <v>4102</v>
      </c>
      <c r="K107" s="280" t="s">
        <v>4103</v>
      </c>
      <c r="L107" s="280" t="s">
        <v>4104</v>
      </c>
      <c r="M107" s="280" t="s">
        <v>1497</v>
      </c>
      <c r="N107" s="280" t="s">
        <v>6</v>
      </c>
      <c r="O107" s="75" t="s">
        <v>7</v>
      </c>
      <c r="P107" s="75" t="s">
        <v>5211</v>
      </c>
      <c r="Q107" s="75" t="s">
        <v>8</v>
      </c>
      <c r="R107" s="75" t="s">
        <v>9</v>
      </c>
      <c r="S107" s="75" t="s">
        <v>4105</v>
      </c>
      <c r="T107" s="75" t="s">
        <v>10</v>
      </c>
    </row>
    <row r="108" s="177" customFormat="1" spans="1:21">
      <c r="A108" s="227" t="s">
        <v>451</v>
      </c>
      <c r="B108" s="226">
        <v>20241029</v>
      </c>
      <c r="C108" s="226">
        <v>7.11</v>
      </c>
      <c r="D108" s="226" t="s">
        <v>2547</v>
      </c>
      <c r="E108" s="228" t="s">
        <v>2431</v>
      </c>
      <c r="F108" s="228" t="s">
        <v>1933</v>
      </c>
      <c r="G108" s="227" t="s">
        <v>2365</v>
      </c>
      <c r="H108" s="227" t="s">
        <v>4174</v>
      </c>
      <c r="I108" s="227" t="s">
        <v>1428</v>
      </c>
      <c r="J108" s="247">
        <v>140</v>
      </c>
      <c r="K108" s="247">
        <v>47.2</v>
      </c>
      <c r="L108" s="227" t="s">
        <v>1428</v>
      </c>
      <c r="M108" s="227" t="s">
        <v>1428</v>
      </c>
      <c r="N108" s="231">
        <v>5.60098577349614</v>
      </c>
      <c r="O108" s="231">
        <v>25.6782382196408</v>
      </c>
      <c r="P108" s="231" t="s">
        <v>1428</v>
      </c>
      <c r="Q108" s="231">
        <v>4.29688275859394</v>
      </c>
      <c r="R108" s="269">
        <f t="shared" ref="R108:R114" si="0">SUM(J108:Q108)</f>
        <v>222.776106751731</v>
      </c>
      <c r="S108" s="281" t="s">
        <v>2579</v>
      </c>
      <c r="T108" s="226" t="s">
        <v>7440</v>
      </c>
    </row>
    <row r="109" s="177" customFormat="1" spans="1:21">
      <c r="A109" s="227"/>
      <c r="B109" s="226"/>
      <c r="C109" s="226"/>
      <c r="D109" s="226"/>
      <c r="E109" s="228" t="s">
        <v>453</v>
      </c>
      <c r="F109" s="228"/>
      <c r="G109" s="227"/>
      <c r="H109" s="227"/>
      <c r="I109" s="227"/>
      <c r="J109" s="227"/>
      <c r="K109" s="247"/>
      <c r="L109" s="227"/>
      <c r="M109" s="227"/>
      <c r="N109" s="231">
        <v>0.373399051566409</v>
      </c>
      <c r="O109" s="231">
        <v>3.05326395127142</v>
      </c>
      <c r="P109" s="231" t="s">
        <v>1428</v>
      </c>
      <c r="Q109" s="231">
        <v>0.4</v>
      </c>
      <c r="R109" s="269">
        <f t="shared" si="0"/>
        <v>3.82666300283783</v>
      </c>
      <c r="S109" s="281"/>
      <c r="T109" s="226"/>
    </row>
    <row r="110" s="177" customFormat="1" spans="1:21">
      <c r="A110" s="227"/>
      <c r="B110" s="226"/>
      <c r="C110" s="226"/>
      <c r="D110" s="226"/>
      <c r="E110" s="228" t="s">
        <v>7441</v>
      </c>
      <c r="F110" s="228"/>
      <c r="G110" s="227"/>
      <c r="H110" s="227"/>
      <c r="I110" s="227"/>
      <c r="J110" s="227"/>
      <c r="K110" s="247"/>
      <c r="L110" s="227"/>
      <c r="M110" s="227">
        <v>3.3</v>
      </c>
      <c r="N110" s="231"/>
      <c r="O110" s="231"/>
      <c r="P110" s="231"/>
      <c r="Q110" s="231"/>
      <c r="R110" s="269">
        <f t="shared" si="0"/>
        <v>3.3</v>
      </c>
      <c r="S110" s="281"/>
      <c r="T110" s="226"/>
    </row>
    <row r="111" s="177" customFormat="1" spans="1:21">
      <c r="A111" s="227"/>
      <c r="B111" s="226">
        <v>20240712</v>
      </c>
      <c r="C111" s="226">
        <v>7.27</v>
      </c>
      <c r="D111" s="226" t="s">
        <v>2554</v>
      </c>
      <c r="E111" s="228" t="s">
        <v>2483</v>
      </c>
      <c r="F111" s="228" t="s">
        <v>1933</v>
      </c>
      <c r="G111" s="227" t="s">
        <v>2542</v>
      </c>
      <c r="H111" s="227" t="s">
        <v>4174</v>
      </c>
      <c r="I111" s="227" t="s">
        <v>1428</v>
      </c>
      <c r="J111" s="227" t="s">
        <v>1428</v>
      </c>
      <c r="K111" s="247">
        <f>11.8*4</f>
        <v>47.2</v>
      </c>
      <c r="L111" s="227" t="s">
        <v>1428</v>
      </c>
      <c r="M111" s="227" t="s">
        <v>1428</v>
      </c>
      <c r="N111" s="231">
        <v>5.60098577349614</v>
      </c>
      <c r="O111" s="257">
        <v>23.1589872028864</v>
      </c>
      <c r="P111" s="231" t="s">
        <v>1428</v>
      </c>
      <c r="Q111" s="246">
        <v>4.29688275859394</v>
      </c>
      <c r="R111" s="269">
        <f t="shared" si="0"/>
        <v>80.2568557349765</v>
      </c>
      <c r="S111" s="281" t="s">
        <v>2579</v>
      </c>
      <c r="T111" s="254" t="s">
        <v>2555</v>
      </c>
    </row>
    <row r="112" s="179" customFormat="1" spans="1:21">
      <c r="A112" s="227"/>
      <c r="B112" s="226">
        <v>20240712</v>
      </c>
      <c r="C112" s="226">
        <v>7.27</v>
      </c>
      <c r="D112" s="226" t="s">
        <v>2549</v>
      </c>
      <c r="E112" s="282" t="s">
        <v>1591</v>
      </c>
      <c r="F112" s="228" t="s">
        <v>1933</v>
      </c>
      <c r="G112" s="227" t="s">
        <v>2365</v>
      </c>
      <c r="H112" s="227" t="s">
        <v>4174</v>
      </c>
      <c r="I112" s="227" t="s">
        <v>1428</v>
      </c>
      <c r="J112" s="227">
        <v>140</v>
      </c>
      <c r="K112" s="227">
        <f>7*4</f>
        <v>28</v>
      </c>
      <c r="L112" s="227" t="s">
        <v>1428</v>
      </c>
      <c r="M112" s="227" t="s">
        <v>1428</v>
      </c>
      <c r="N112" s="231">
        <v>5.60098577349614</v>
      </c>
      <c r="O112" s="257">
        <v>23.3115935282663</v>
      </c>
      <c r="P112" s="231" t="s">
        <v>1428</v>
      </c>
      <c r="Q112" s="246">
        <v>4.29688275859394</v>
      </c>
      <c r="R112" s="269">
        <f t="shared" si="0"/>
        <v>201.209462060356</v>
      </c>
      <c r="S112" s="281" t="s">
        <v>2579</v>
      </c>
      <c r="T112" s="254" t="s">
        <v>7442</v>
      </c>
      <c r="U112" s="283"/>
    </row>
    <row r="113" s="179" customFormat="1" spans="1:21">
      <c r="A113" s="227"/>
      <c r="B113" s="226">
        <v>20240712</v>
      </c>
      <c r="C113" s="226">
        <v>7.27</v>
      </c>
      <c r="D113" s="226" t="s">
        <v>2551</v>
      </c>
      <c r="E113" s="282" t="s">
        <v>2110</v>
      </c>
      <c r="F113" s="228" t="s">
        <v>1933</v>
      </c>
      <c r="G113" s="227" t="s">
        <v>2365</v>
      </c>
      <c r="H113" s="227" t="s">
        <v>4174</v>
      </c>
      <c r="I113" s="227" t="s">
        <v>1428</v>
      </c>
      <c r="J113" s="227">
        <v>140</v>
      </c>
      <c r="K113" s="247">
        <f>11.8*4</f>
        <v>47.2</v>
      </c>
      <c r="L113" s="227" t="s">
        <v>1428</v>
      </c>
      <c r="M113" s="227" t="s">
        <v>1428</v>
      </c>
      <c r="N113" s="231">
        <v>5.60098577349614</v>
      </c>
      <c r="O113" s="257">
        <v>23.1734414801725</v>
      </c>
      <c r="P113" s="231" t="s">
        <v>1428</v>
      </c>
      <c r="Q113" s="246">
        <v>4.29688275859394</v>
      </c>
      <c r="R113" s="269">
        <f t="shared" si="0"/>
        <v>220.271310012263</v>
      </c>
      <c r="S113" s="281" t="s">
        <v>2579</v>
      </c>
      <c r="T113" s="254" t="s">
        <v>2532</v>
      </c>
      <c r="U113" s="283"/>
    </row>
    <row r="114" s="179" customFormat="1" spans="1:21">
      <c r="A114" s="227"/>
      <c r="B114" s="226">
        <v>20240712</v>
      </c>
      <c r="C114" s="226">
        <v>7.27</v>
      </c>
      <c r="D114" s="226" t="s">
        <v>2533</v>
      </c>
      <c r="E114" s="282" t="s">
        <v>1685</v>
      </c>
      <c r="F114" s="228" t="s">
        <v>1933</v>
      </c>
      <c r="G114" s="227" t="s">
        <v>2534</v>
      </c>
      <c r="H114" s="227" t="s">
        <v>4174</v>
      </c>
      <c r="I114" s="227" t="s">
        <v>1428</v>
      </c>
      <c r="J114" s="227" t="s">
        <v>1428</v>
      </c>
      <c r="K114" s="247">
        <f>11*4</f>
        <v>44</v>
      </c>
      <c r="L114" s="227" t="s">
        <v>1428</v>
      </c>
      <c r="M114" s="227" t="s">
        <v>1428</v>
      </c>
      <c r="N114" s="231">
        <v>5.60098577349614</v>
      </c>
      <c r="O114" s="257">
        <v>25.7805568363018</v>
      </c>
      <c r="P114" s="231" t="s">
        <v>1428</v>
      </c>
      <c r="Q114" s="246">
        <v>4.29688275859394</v>
      </c>
      <c r="R114" s="269">
        <f t="shared" si="0"/>
        <v>79.6784253683919</v>
      </c>
      <c r="S114" s="281" t="s">
        <v>2579</v>
      </c>
      <c r="T114" s="254" t="s">
        <v>2543</v>
      </c>
      <c r="U114" s="283" t="s">
        <v>1406</v>
      </c>
    </row>
    <row r="115" s="177" customFormat="1"/>
    <row r="116" spans="1:21">
      <c r="A116" s="195" t="s">
        <v>7405</v>
      </c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</row>
    <row r="117" spans="1:21">
      <c r="A117" s="224" t="s">
        <v>1</v>
      </c>
      <c r="B117" s="224"/>
      <c r="C117" s="224"/>
      <c r="D117" s="224"/>
      <c r="E117" s="75" t="s">
        <v>5</v>
      </c>
      <c r="F117" s="75" t="s">
        <v>1933</v>
      </c>
      <c r="G117" s="75" t="s">
        <v>4102</v>
      </c>
      <c r="H117" s="75" t="s">
        <v>4541</v>
      </c>
      <c r="I117" s="75" t="s">
        <v>1497</v>
      </c>
      <c r="J117" s="75" t="s">
        <v>4102</v>
      </c>
      <c r="K117" s="280" t="s">
        <v>4103</v>
      </c>
      <c r="L117" s="280" t="s">
        <v>4104</v>
      </c>
      <c r="M117" s="280" t="s">
        <v>1497</v>
      </c>
      <c r="N117" s="280" t="s">
        <v>6</v>
      </c>
      <c r="O117" s="75" t="s">
        <v>7</v>
      </c>
      <c r="P117" s="75" t="s">
        <v>5211</v>
      </c>
      <c r="Q117" s="75" t="s">
        <v>8</v>
      </c>
      <c r="R117" s="75" t="s">
        <v>9</v>
      </c>
      <c r="S117" s="75" t="s">
        <v>4105</v>
      </c>
      <c r="T117" s="75" t="s">
        <v>10</v>
      </c>
    </row>
    <row r="118" spans="1:21">
      <c r="A118" s="226" t="s">
        <v>7443</v>
      </c>
      <c r="B118" s="226">
        <v>20241030</v>
      </c>
      <c r="C118" s="226">
        <v>7.11</v>
      </c>
      <c r="D118" s="226" t="s">
        <v>53</v>
      </c>
      <c r="E118" s="226" t="s">
        <v>54</v>
      </c>
      <c r="F118" s="228"/>
      <c r="G118" s="245"/>
      <c r="H118" s="227"/>
      <c r="I118" s="227"/>
      <c r="J118" s="227"/>
      <c r="K118" s="256"/>
      <c r="L118" s="256"/>
      <c r="M118" s="256"/>
      <c r="N118" s="231">
        <v>0.560098577349614</v>
      </c>
      <c r="O118" s="231">
        <v>6.7785356342743</v>
      </c>
      <c r="P118" s="231"/>
      <c r="Q118" s="231">
        <v>0.4</v>
      </c>
      <c r="R118" s="231">
        <v>7.73863421162391</v>
      </c>
      <c r="S118" s="226"/>
      <c r="T118" s="226" t="s">
        <v>2373</v>
      </c>
    </row>
    <row r="119" spans="1:21">
      <c r="A119" s="226"/>
      <c r="B119" s="226">
        <v>20241030</v>
      </c>
      <c r="C119" s="226">
        <v>7.11</v>
      </c>
      <c r="D119" s="226" t="s">
        <v>57</v>
      </c>
      <c r="E119" s="226" t="s">
        <v>58</v>
      </c>
      <c r="F119" s="228"/>
      <c r="G119" s="245"/>
      <c r="H119" s="227"/>
      <c r="I119" s="227"/>
      <c r="J119" s="227"/>
      <c r="K119" s="256"/>
      <c r="L119" s="256"/>
      <c r="M119" s="256"/>
      <c r="N119" s="231">
        <v>0.560098577349614</v>
      </c>
      <c r="O119" s="231">
        <v>4.8302081342743</v>
      </c>
      <c r="P119" s="231"/>
      <c r="Q119" s="231">
        <v>0.4</v>
      </c>
      <c r="R119" s="231">
        <v>5.79030671162391</v>
      </c>
      <c r="S119" s="226"/>
      <c r="T119" s="226" t="s">
        <v>2374</v>
      </c>
    </row>
    <row r="122" spans="1:21">
      <c r="A122" s="221" t="s">
        <v>7405</v>
      </c>
      <c r="B122" s="222"/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3"/>
    </row>
    <row r="123" spans="1:21">
      <c r="A123" s="224" t="s">
        <v>1</v>
      </c>
      <c r="B123" s="224"/>
      <c r="C123" s="224"/>
      <c r="D123" s="224"/>
      <c r="E123" s="75" t="s">
        <v>5</v>
      </c>
      <c r="F123" s="75" t="s">
        <v>1933</v>
      </c>
      <c r="G123" s="75" t="s">
        <v>4102</v>
      </c>
      <c r="H123" s="75" t="s">
        <v>4541</v>
      </c>
      <c r="I123" s="75" t="s">
        <v>1497</v>
      </c>
      <c r="J123" s="75" t="s">
        <v>4102</v>
      </c>
      <c r="K123" s="75" t="s">
        <v>4103</v>
      </c>
      <c r="L123" s="75" t="s">
        <v>4104</v>
      </c>
      <c r="M123" s="75" t="s">
        <v>1497</v>
      </c>
      <c r="N123" s="75" t="s">
        <v>6</v>
      </c>
      <c r="O123" s="75" t="s">
        <v>7</v>
      </c>
      <c r="P123" s="75" t="s">
        <v>5211</v>
      </c>
      <c r="Q123" s="75" t="s">
        <v>8</v>
      </c>
      <c r="R123" s="75" t="s">
        <v>9</v>
      </c>
      <c r="S123" s="75" t="s">
        <v>4105</v>
      </c>
      <c r="T123" s="75" t="s">
        <v>10</v>
      </c>
    </row>
    <row r="124" s="177" customFormat="1" ht="25" customHeight="1" spans="1:21">
      <c r="A124" s="227" t="s">
        <v>7414</v>
      </c>
      <c r="B124" s="254">
        <v>20241031</v>
      </c>
      <c r="C124" s="226">
        <v>7.11</v>
      </c>
      <c r="D124" s="226" t="s">
        <v>7444</v>
      </c>
      <c r="E124" s="255" t="s">
        <v>2311</v>
      </c>
      <c r="F124" s="243" t="s">
        <v>7445</v>
      </c>
      <c r="G124" s="227" t="s">
        <v>2558</v>
      </c>
      <c r="H124" s="227" t="s">
        <v>4248</v>
      </c>
      <c r="I124" s="227" t="s">
        <v>1635</v>
      </c>
      <c r="J124" s="252" t="s">
        <v>1428</v>
      </c>
      <c r="K124" s="227">
        <f>12.5*4</f>
        <v>50</v>
      </c>
      <c r="L124" s="227" t="s">
        <v>1428</v>
      </c>
      <c r="M124" s="227">
        <v>3.3</v>
      </c>
      <c r="N124" s="231">
        <v>3.01830900016181</v>
      </c>
      <c r="O124" s="231">
        <v>13.6448003722938</v>
      </c>
      <c r="P124" s="231"/>
      <c r="Q124" s="246">
        <v>2.99570646431659</v>
      </c>
      <c r="R124" s="269">
        <f>SUM(J124:Q124)</f>
        <v>72.9588158367722</v>
      </c>
      <c r="S124" s="226" t="s">
        <v>4001</v>
      </c>
      <c r="T124" s="254" t="s">
        <v>7418</v>
      </c>
    </row>
    <row r="125" s="177" customFormat="1" ht="25" customHeight="1" spans="1:21">
      <c r="A125" s="227"/>
      <c r="B125" s="226">
        <v>20241023</v>
      </c>
      <c r="C125" s="226">
        <v>7.11</v>
      </c>
      <c r="D125" s="226" t="s">
        <v>187</v>
      </c>
      <c r="E125" s="226" t="s">
        <v>188</v>
      </c>
      <c r="F125" s="227" t="s">
        <v>1428</v>
      </c>
      <c r="G125" s="227" t="s">
        <v>1428</v>
      </c>
      <c r="H125" s="227" t="s">
        <v>1428</v>
      </c>
      <c r="I125" s="227" t="s">
        <v>1428</v>
      </c>
      <c r="J125" s="227" t="s">
        <v>1428</v>
      </c>
      <c r="K125" s="227" t="s">
        <v>1428</v>
      </c>
      <c r="L125" s="227" t="s">
        <v>1428</v>
      </c>
      <c r="M125" s="227" t="s">
        <v>1428</v>
      </c>
      <c r="N125" s="232">
        <v>0.431898236311813</v>
      </c>
      <c r="O125" s="232">
        <f>1.46277730114634</f>
        <v>1.46277730114634</v>
      </c>
      <c r="P125" s="227" t="s">
        <v>1428</v>
      </c>
      <c r="Q125" s="231">
        <v>0.2</v>
      </c>
      <c r="R125" s="269">
        <f>SUM(J125:Q125)</f>
        <v>2.09467553745815</v>
      </c>
      <c r="S125" s="233"/>
      <c r="T125" s="226" t="s">
        <v>7421</v>
      </c>
    </row>
    <row r="128" spans="1:21">
      <c r="A128" s="221" t="s">
        <v>7405</v>
      </c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3"/>
    </row>
    <row r="129" spans="1:20">
      <c r="A129" s="224" t="s">
        <v>1</v>
      </c>
      <c r="B129" s="224"/>
      <c r="C129" s="224"/>
      <c r="D129" s="224"/>
      <c r="E129" s="75" t="s">
        <v>5</v>
      </c>
      <c r="F129" s="75" t="s">
        <v>1933</v>
      </c>
      <c r="G129" s="75" t="s">
        <v>4102</v>
      </c>
      <c r="H129" s="75" t="s">
        <v>4541</v>
      </c>
      <c r="I129" s="75" t="s">
        <v>1497</v>
      </c>
      <c r="J129" s="75" t="s">
        <v>4102</v>
      </c>
      <c r="K129" s="75" t="s">
        <v>4103</v>
      </c>
      <c r="L129" s="75" t="s">
        <v>4104</v>
      </c>
      <c r="M129" s="75" t="s">
        <v>1497</v>
      </c>
      <c r="N129" s="75" t="s">
        <v>6</v>
      </c>
      <c r="O129" s="75" t="s">
        <v>7</v>
      </c>
      <c r="P129" s="75" t="s">
        <v>5211</v>
      </c>
      <c r="Q129" s="75" t="s">
        <v>8</v>
      </c>
      <c r="R129" s="75" t="s">
        <v>9</v>
      </c>
      <c r="S129" s="75" t="s">
        <v>4105</v>
      </c>
      <c r="T129" s="75" t="s">
        <v>10</v>
      </c>
    </row>
    <row r="130" s="177" customFormat="1" spans="1:20">
      <c r="A130" s="228" t="s">
        <v>7407</v>
      </c>
      <c r="B130" s="226">
        <v>20241105</v>
      </c>
      <c r="C130" s="226">
        <v>7.11</v>
      </c>
      <c r="D130" s="226" t="s">
        <v>7446</v>
      </c>
      <c r="E130" s="284" t="s">
        <v>7447</v>
      </c>
      <c r="F130" s="243" t="s">
        <v>1933</v>
      </c>
      <c r="G130" s="244" t="s">
        <v>2323</v>
      </c>
      <c r="H130" s="245" t="s">
        <v>1913</v>
      </c>
      <c r="I130" s="245" t="s">
        <v>1428</v>
      </c>
      <c r="J130" s="227">
        <v>65</v>
      </c>
      <c r="K130" s="227" t="s">
        <v>1428</v>
      </c>
      <c r="L130" s="227" t="s">
        <v>1428</v>
      </c>
      <c r="M130" s="227" t="s">
        <v>1428</v>
      </c>
      <c r="N130" s="257">
        <v>3.81638723970974</v>
      </c>
      <c r="O130" s="257">
        <v>13.062779433886</v>
      </c>
      <c r="P130" s="231" t="s">
        <v>1428</v>
      </c>
      <c r="Q130" s="246">
        <v>2.92479108635098</v>
      </c>
      <c r="R130" s="269">
        <f>SUM(J130:Q130)</f>
        <v>84.8039577599467</v>
      </c>
      <c r="S130" s="243" t="s">
        <v>1526</v>
      </c>
      <c r="T130" s="226" t="s">
        <v>7433</v>
      </c>
    </row>
    <row r="131" s="177" customFormat="1" spans="1:20">
      <c r="A131" s="228"/>
      <c r="B131" s="226">
        <v>20241105</v>
      </c>
      <c r="C131" s="226">
        <v>7.11</v>
      </c>
      <c r="D131" s="226" t="s">
        <v>7448</v>
      </c>
      <c r="E131" s="228" t="s">
        <v>7449</v>
      </c>
      <c r="F131" s="229"/>
      <c r="G131" s="227"/>
      <c r="H131" s="227"/>
      <c r="I131" s="227"/>
      <c r="J131" s="227"/>
      <c r="K131" s="227"/>
      <c r="L131" s="227"/>
      <c r="M131" s="227"/>
      <c r="N131" s="232">
        <v>0.421489007854134</v>
      </c>
      <c r="O131" s="230">
        <v>1.1196039270565</v>
      </c>
      <c r="P131" s="227"/>
      <c r="Q131" s="231">
        <v>0.2</v>
      </c>
      <c r="R131" s="269">
        <f>SUM(J131:Q131)</f>
        <v>1.74109293491063</v>
      </c>
      <c r="S131" s="233"/>
      <c r="T131" s="226"/>
    </row>
    <row r="134" spans="1:20">
      <c r="A134" s="221" t="s">
        <v>7405</v>
      </c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3"/>
    </row>
    <row r="135" spans="1:20">
      <c r="A135" s="224" t="s">
        <v>1</v>
      </c>
      <c r="B135" s="224"/>
      <c r="C135" s="224"/>
      <c r="D135" s="224"/>
      <c r="E135" s="75" t="s">
        <v>5</v>
      </c>
      <c r="F135" s="75" t="s">
        <v>1933</v>
      </c>
      <c r="G135" s="75" t="s">
        <v>4102</v>
      </c>
      <c r="H135" s="75" t="s">
        <v>4541</v>
      </c>
      <c r="I135" s="75" t="s">
        <v>1497</v>
      </c>
      <c r="J135" s="75" t="s">
        <v>4102</v>
      </c>
      <c r="K135" s="75" t="s">
        <v>4103</v>
      </c>
      <c r="L135" s="75" t="s">
        <v>4104</v>
      </c>
      <c r="M135" s="75" t="s">
        <v>1497</v>
      </c>
      <c r="N135" s="75" t="s">
        <v>6</v>
      </c>
      <c r="O135" s="75" t="s">
        <v>7</v>
      </c>
      <c r="P135" s="75" t="s">
        <v>5211</v>
      </c>
      <c r="Q135" s="75" t="s">
        <v>8</v>
      </c>
      <c r="R135" s="75" t="s">
        <v>9</v>
      </c>
      <c r="S135" s="75" t="s">
        <v>4105</v>
      </c>
      <c r="T135" s="75" t="s">
        <v>10</v>
      </c>
    </row>
    <row r="136" spans="1:20">
      <c r="A136" s="226" t="s">
        <v>7414</v>
      </c>
      <c r="B136" s="226">
        <v>20241106</v>
      </c>
      <c r="C136" s="226">
        <v>7.11</v>
      </c>
      <c r="D136" s="216" t="s">
        <v>7419</v>
      </c>
      <c r="E136" s="228" t="s">
        <v>1571</v>
      </c>
      <c r="F136" s="243" t="s">
        <v>2801</v>
      </c>
      <c r="G136" s="227" t="s">
        <v>2566</v>
      </c>
      <c r="H136" s="227" t="s">
        <v>3432</v>
      </c>
      <c r="I136" s="227" t="s">
        <v>1635</v>
      </c>
      <c r="J136" s="252">
        <v>130</v>
      </c>
      <c r="K136" s="227">
        <v>25</v>
      </c>
      <c r="L136" s="227" t="s">
        <v>1428</v>
      </c>
      <c r="M136" s="227">
        <v>3.3</v>
      </c>
      <c r="N136" s="231">
        <v>3.01830900016181</v>
      </c>
      <c r="O136" s="257">
        <v>13.9548098319947</v>
      </c>
      <c r="P136" s="231" t="s">
        <v>1428</v>
      </c>
      <c r="Q136" s="231">
        <v>2.99570646431659</v>
      </c>
      <c r="R136" s="269">
        <f>SUM(J136:Q136)</f>
        <v>178.268825296473</v>
      </c>
      <c r="S136" s="226" t="s">
        <v>4001</v>
      </c>
      <c r="T136" s="226" t="s">
        <v>7420</v>
      </c>
    </row>
    <row r="137" spans="1:20">
      <c r="A137" s="226"/>
      <c r="B137" s="226">
        <v>20241031</v>
      </c>
      <c r="C137" s="226">
        <v>7.11</v>
      </c>
      <c r="D137" s="226" t="s">
        <v>7444</v>
      </c>
      <c r="E137" s="228" t="s">
        <v>2311</v>
      </c>
      <c r="F137" s="243" t="s">
        <v>7445</v>
      </c>
      <c r="G137" s="227" t="s">
        <v>2558</v>
      </c>
      <c r="H137" s="227" t="s">
        <v>4248</v>
      </c>
      <c r="I137" s="227" t="s">
        <v>1635</v>
      </c>
      <c r="J137" s="252" t="s">
        <v>1428</v>
      </c>
      <c r="K137" s="227">
        <v>50</v>
      </c>
      <c r="L137" s="227" t="s">
        <v>1428</v>
      </c>
      <c r="M137" s="227">
        <v>3.3</v>
      </c>
      <c r="N137" s="231">
        <v>3.01830900016181</v>
      </c>
      <c r="O137" s="231">
        <v>13.6448003722938</v>
      </c>
      <c r="P137" s="231"/>
      <c r="Q137" s="231">
        <v>2.99570646431659</v>
      </c>
      <c r="R137" s="269">
        <f>SUM(J137:Q137)</f>
        <v>72.9588158367722</v>
      </c>
      <c r="S137" s="226" t="s">
        <v>4001</v>
      </c>
      <c r="T137" s="226" t="s">
        <v>7450</v>
      </c>
    </row>
    <row r="140" spans="1:20">
      <c r="A140" s="221" t="s">
        <v>7405</v>
      </c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3"/>
    </row>
    <row r="141" spans="1:20">
      <c r="A141" s="224" t="s">
        <v>1</v>
      </c>
      <c r="B141" s="224"/>
      <c r="C141" s="224"/>
      <c r="D141" s="224"/>
      <c r="E141" s="75" t="s">
        <v>5</v>
      </c>
      <c r="F141" s="75" t="s">
        <v>1933</v>
      </c>
      <c r="G141" s="75" t="s">
        <v>4102</v>
      </c>
      <c r="H141" s="75" t="s">
        <v>4541</v>
      </c>
      <c r="I141" s="75" t="s">
        <v>1497</v>
      </c>
      <c r="J141" s="75" t="s">
        <v>4102</v>
      </c>
      <c r="K141" s="75" t="s">
        <v>4103</v>
      </c>
      <c r="L141" s="75" t="s">
        <v>4104</v>
      </c>
      <c r="M141" s="75" t="s">
        <v>1497</v>
      </c>
      <c r="N141" s="75" t="s">
        <v>6</v>
      </c>
      <c r="O141" s="75" t="s">
        <v>7</v>
      </c>
      <c r="P141" s="75" t="s">
        <v>5211</v>
      </c>
      <c r="Q141" s="75" t="s">
        <v>8</v>
      </c>
      <c r="R141" s="75" t="s">
        <v>9</v>
      </c>
      <c r="S141" s="75" t="s">
        <v>4105</v>
      </c>
      <c r="T141" s="75" t="s">
        <v>10</v>
      </c>
    </row>
    <row r="142" s="177" customFormat="1" ht="22" customHeight="1" spans="1:20">
      <c r="A142" s="226" t="s">
        <v>7451</v>
      </c>
      <c r="B142" s="226">
        <v>20240923</v>
      </c>
      <c r="C142" s="227">
        <v>7.11</v>
      </c>
      <c r="D142" s="226" t="s">
        <v>6996</v>
      </c>
      <c r="E142" s="226" t="s">
        <v>2486</v>
      </c>
      <c r="F142" s="254" t="s">
        <v>6998</v>
      </c>
      <c r="G142" s="285" t="s">
        <v>6159</v>
      </c>
      <c r="H142" s="227" t="s">
        <v>5877</v>
      </c>
      <c r="I142" s="227" t="s">
        <v>1720</v>
      </c>
      <c r="J142" s="227">
        <v>16</v>
      </c>
      <c r="K142" s="227">
        <v>8</v>
      </c>
      <c r="L142" s="227" t="s">
        <v>1428</v>
      </c>
      <c r="M142" s="286"/>
      <c r="N142" s="269">
        <v>2.40966854610856</v>
      </c>
      <c r="O142" s="230">
        <v>5.97616199238266</v>
      </c>
      <c r="P142" s="227" t="s">
        <v>1428</v>
      </c>
      <c r="Q142" s="231">
        <v>2.43</v>
      </c>
      <c r="R142" s="269">
        <f>SUM(J142:Q142)</f>
        <v>34.8158305384912</v>
      </c>
      <c r="S142" s="287" t="s">
        <v>7452</v>
      </c>
      <c r="T142" s="228" t="s">
        <v>7453</v>
      </c>
    </row>
    <row r="143" s="177" customFormat="1" ht="22" customHeight="1" spans="1:20">
      <c r="A143" s="226" t="s">
        <v>7451</v>
      </c>
      <c r="B143" s="226">
        <v>20240923</v>
      </c>
      <c r="C143" s="227">
        <v>7.11</v>
      </c>
      <c r="D143" s="226" t="s">
        <v>6996</v>
      </c>
      <c r="E143" s="226" t="s">
        <v>2486</v>
      </c>
      <c r="F143" s="254" t="s">
        <v>6998</v>
      </c>
      <c r="G143" s="285" t="s">
        <v>6159</v>
      </c>
      <c r="H143" s="227" t="s">
        <v>5877</v>
      </c>
      <c r="I143" s="227" t="s">
        <v>1720</v>
      </c>
      <c r="J143" s="227">
        <v>16</v>
      </c>
      <c r="K143" s="227">
        <v>8</v>
      </c>
      <c r="L143" s="227" t="s">
        <v>1428</v>
      </c>
      <c r="M143" s="286"/>
      <c r="N143" s="269">
        <v>2.40966854610856</v>
      </c>
      <c r="O143" s="230">
        <v>5.97616199238266</v>
      </c>
      <c r="P143" s="227" t="s">
        <v>1428</v>
      </c>
      <c r="Q143" s="231">
        <v>2.43</v>
      </c>
      <c r="R143" s="269">
        <f>SUM(J143:Q143)</f>
        <v>34.8158305384912</v>
      </c>
      <c r="S143" s="287" t="s">
        <v>7452</v>
      </c>
      <c r="T143" s="228" t="s">
        <v>7453</v>
      </c>
    </row>
    <row r="144" s="177" customFormat="1" ht="22" customHeight="1" spans="1:20">
      <c r="A144" s="226" t="s">
        <v>7454</v>
      </c>
      <c r="B144" s="226">
        <v>20241106</v>
      </c>
      <c r="C144" s="227">
        <v>7.11</v>
      </c>
      <c r="D144" s="226" t="s">
        <v>6754</v>
      </c>
      <c r="E144" s="225" t="s">
        <v>1591</v>
      </c>
      <c r="F144" s="225" t="s">
        <v>3540</v>
      </c>
      <c r="G144" s="225" t="s">
        <v>6159</v>
      </c>
      <c r="H144" s="227" t="s">
        <v>3711</v>
      </c>
      <c r="I144" s="227" t="s">
        <v>2955</v>
      </c>
      <c r="J144" s="227">
        <v>16</v>
      </c>
      <c r="K144" s="227"/>
      <c r="L144" s="227"/>
      <c r="M144" s="286" t="s">
        <v>1428</v>
      </c>
      <c r="N144" s="269">
        <v>1.79466551147967</v>
      </c>
      <c r="O144" s="230">
        <v>7.87046927168913</v>
      </c>
      <c r="P144" s="227" t="s">
        <v>1428</v>
      </c>
      <c r="Q144" s="231">
        <v>2.46715866232022</v>
      </c>
      <c r="R144" s="269">
        <f>SUM(J144:Q144)</f>
        <v>28.132293445489</v>
      </c>
      <c r="S144" s="287" t="s">
        <v>7455</v>
      </c>
      <c r="T144" s="228" t="s">
        <v>7456</v>
      </c>
    </row>
    <row r="145" s="177" customFormat="1" ht="22" customHeight="1" spans="1:20">
      <c r="A145" s="226" t="s">
        <v>7454</v>
      </c>
      <c r="B145" s="226">
        <v>20241106</v>
      </c>
      <c r="C145" s="227">
        <v>7.11</v>
      </c>
      <c r="D145" s="226" t="s">
        <v>6754</v>
      </c>
      <c r="E145" s="234"/>
      <c r="F145" s="234" t="s">
        <v>3540</v>
      </c>
      <c r="G145" s="234" t="s">
        <v>6159</v>
      </c>
      <c r="H145" s="227" t="s">
        <v>3770</v>
      </c>
      <c r="I145" s="227" t="s">
        <v>2955</v>
      </c>
      <c r="J145" s="227">
        <v>16</v>
      </c>
      <c r="K145" s="227"/>
      <c r="L145" s="227"/>
      <c r="M145" s="286" t="s">
        <v>1428</v>
      </c>
      <c r="N145" s="269">
        <v>1.79466551147967</v>
      </c>
      <c r="O145" s="230">
        <v>7.87046927168913</v>
      </c>
      <c r="P145" s="227" t="s">
        <v>1428</v>
      </c>
      <c r="Q145" s="231">
        <v>2.46715866232022</v>
      </c>
      <c r="R145" s="269">
        <f>SUM(J145:Q145)</f>
        <v>28.132293445489</v>
      </c>
      <c r="S145" s="287" t="s">
        <v>7455</v>
      </c>
      <c r="T145" s="228" t="s">
        <v>7456</v>
      </c>
    </row>
    <row r="148" spans="1:20">
      <c r="A148" s="221" t="s">
        <v>7405</v>
      </c>
      <c r="B148" s="222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3"/>
    </row>
    <row r="149" spans="1:20">
      <c r="A149" s="224" t="s">
        <v>1</v>
      </c>
      <c r="B149" s="224" t="s">
        <v>2</v>
      </c>
      <c r="C149" s="224" t="s">
        <v>1493</v>
      </c>
      <c r="D149" s="224" t="s">
        <v>4</v>
      </c>
      <c r="E149" s="75" t="s">
        <v>5</v>
      </c>
      <c r="F149" s="274" t="s">
        <v>1933</v>
      </c>
      <c r="G149" s="75" t="s">
        <v>4102</v>
      </c>
      <c r="H149" s="75" t="s">
        <v>4541</v>
      </c>
      <c r="I149" s="75" t="s">
        <v>1497</v>
      </c>
      <c r="J149" s="75" t="s">
        <v>4102</v>
      </c>
      <c r="K149" s="75" t="s">
        <v>4103</v>
      </c>
      <c r="L149" s="75" t="s">
        <v>4104</v>
      </c>
      <c r="M149" s="75" t="s">
        <v>1497</v>
      </c>
      <c r="N149" s="75" t="s">
        <v>6</v>
      </c>
      <c r="O149" s="75" t="s">
        <v>7</v>
      </c>
      <c r="P149" s="75" t="s">
        <v>5211</v>
      </c>
      <c r="Q149" s="75" t="s">
        <v>8</v>
      </c>
      <c r="R149" s="75" t="s">
        <v>9</v>
      </c>
      <c r="S149" s="75" t="s">
        <v>4105</v>
      </c>
      <c r="T149" s="75" t="s">
        <v>10</v>
      </c>
    </row>
    <row r="150" s="177" customFormat="1" spans="1:20">
      <c r="A150" s="226" t="s">
        <v>7457</v>
      </c>
      <c r="B150" s="226">
        <v>20241107</v>
      </c>
      <c r="C150" s="226">
        <v>7.11</v>
      </c>
      <c r="D150" s="226" t="s">
        <v>7458</v>
      </c>
      <c r="E150" s="226" t="s">
        <v>1998</v>
      </c>
      <c r="F150" s="226" t="s">
        <v>2801</v>
      </c>
      <c r="G150" s="227" t="s">
        <v>2692</v>
      </c>
      <c r="H150" s="227" t="s">
        <v>1913</v>
      </c>
      <c r="I150" s="227" t="s">
        <v>1428</v>
      </c>
      <c r="J150" s="247">
        <v>240</v>
      </c>
      <c r="K150" s="227" t="s">
        <v>1428</v>
      </c>
      <c r="L150" s="227" t="s">
        <v>1428</v>
      </c>
      <c r="M150" s="227" t="s">
        <v>1428</v>
      </c>
      <c r="N150" s="231">
        <v>5.94859301978721</v>
      </c>
      <c r="O150" s="231">
        <v>16.8922576872359</v>
      </c>
      <c r="P150" s="231"/>
      <c r="Q150" s="288">
        <v>3.58</v>
      </c>
      <c r="R150" s="269">
        <f>SUM(J150:Q150)</f>
        <v>266.420850707023</v>
      </c>
      <c r="S150" s="233" t="s">
        <v>1526</v>
      </c>
      <c r="T150" s="254" t="s">
        <v>7459</v>
      </c>
    </row>
    <row r="153" spans="1:20">
      <c r="A153" s="195" t="s">
        <v>7405</v>
      </c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</row>
    <row r="154" spans="1:20">
      <c r="A154" s="224" t="s">
        <v>1</v>
      </c>
      <c r="B154" s="224" t="s">
        <v>2</v>
      </c>
      <c r="C154" s="224" t="s">
        <v>1493</v>
      </c>
      <c r="D154" s="75" t="s">
        <v>4</v>
      </c>
      <c r="E154" s="75" t="s">
        <v>5</v>
      </c>
      <c r="F154" s="75" t="s">
        <v>1933</v>
      </c>
      <c r="G154" s="75" t="s">
        <v>4102</v>
      </c>
      <c r="H154" s="75" t="s">
        <v>4541</v>
      </c>
      <c r="I154" s="75" t="s">
        <v>1497</v>
      </c>
      <c r="J154" s="75" t="s">
        <v>4102</v>
      </c>
      <c r="K154" s="75" t="s">
        <v>4103</v>
      </c>
      <c r="L154" s="75" t="s">
        <v>4104</v>
      </c>
      <c r="M154" s="75" t="s">
        <v>1497</v>
      </c>
      <c r="N154" s="75" t="s">
        <v>6</v>
      </c>
      <c r="O154" s="75" t="s">
        <v>7</v>
      </c>
      <c r="P154" s="75" t="s">
        <v>5211</v>
      </c>
      <c r="Q154" s="75" t="s">
        <v>8</v>
      </c>
      <c r="R154" s="75" t="s">
        <v>9</v>
      </c>
      <c r="S154" s="75" t="s">
        <v>4105</v>
      </c>
      <c r="T154" s="75" t="s">
        <v>10</v>
      </c>
    </row>
    <row r="155" s="177" customFormat="1" spans="1:20">
      <c r="A155" s="226" t="s">
        <v>7460</v>
      </c>
      <c r="B155" s="226">
        <v>20241107</v>
      </c>
      <c r="C155" s="226">
        <v>7.11</v>
      </c>
      <c r="D155" s="226" t="s">
        <v>3734</v>
      </c>
      <c r="E155" s="228" t="s">
        <v>2427</v>
      </c>
      <c r="F155" s="229" t="s">
        <v>6816</v>
      </c>
      <c r="G155" s="227" t="s">
        <v>3553</v>
      </c>
      <c r="H155" s="227" t="s">
        <v>3413</v>
      </c>
      <c r="I155" s="227" t="s">
        <v>1428</v>
      </c>
      <c r="J155" s="227">
        <v>60</v>
      </c>
      <c r="K155" s="227">
        <v>22</v>
      </c>
      <c r="L155" s="244"/>
      <c r="M155" s="227" t="s">
        <v>1428</v>
      </c>
      <c r="N155" s="232">
        <f>54.123/7.11/1.13</f>
        <v>6.73649228930959</v>
      </c>
      <c r="O155" s="230">
        <v>10.3321975225881</v>
      </c>
      <c r="P155" s="227" t="s">
        <v>1428</v>
      </c>
      <c r="Q155" s="231">
        <v>3</v>
      </c>
      <c r="R155" s="269">
        <f>SUM(J155:Q155)</f>
        <v>102.068689811898</v>
      </c>
      <c r="S155" s="233" t="s">
        <v>7461</v>
      </c>
      <c r="T155" s="226" t="s">
        <v>7462</v>
      </c>
    </row>
    <row r="157" spans="1:20">
      <c r="A157" s="195" t="s">
        <v>7405</v>
      </c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</row>
    <row r="158" spans="1:20">
      <c r="A158" s="224" t="s">
        <v>1</v>
      </c>
      <c r="B158" s="224" t="s">
        <v>2</v>
      </c>
      <c r="C158" s="224" t="s">
        <v>1493</v>
      </c>
      <c r="D158" s="75" t="s">
        <v>4</v>
      </c>
      <c r="E158" s="75" t="s">
        <v>5</v>
      </c>
      <c r="F158" s="75" t="s">
        <v>1933</v>
      </c>
      <c r="G158" s="75" t="s">
        <v>4102</v>
      </c>
      <c r="H158" s="75" t="s">
        <v>4541</v>
      </c>
      <c r="I158" s="75" t="s">
        <v>1497</v>
      </c>
      <c r="J158" s="75" t="s">
        <v>4102</v>
      </c>
      <c r="K158" s="75" t="s">
        <v>4103</v>
      </c>
      <c r="L158" s="75" t="s">
        <v>4104</v>
      </c>
      <c r="M158" s="75" t="s">
        <v>1497</v>
      </c>
      <c r="N158" s="75" t="s">
        <v>6</v>
      </c>
      <c r="O158" s="75" t="s">
        <v>7</v>
      </c>
      <c r="P158" s="75" t="s">
        <v>5211</v>
      </c>
      <c r="Q158" s="75" t="s">
        <v>8</v>
      </c>
      <c r="R158" s="75" t="s">
        <v>9</v>
      </c>
      <c r="S158" s="75" t="s">
        <v>4105</v>
      </c>
      <c r="T158" s="75" t="s">
        <v>10</v>
      </c>
    </row>
    <row r="159" s="177" customFormat="1" ht="16" customHeight="1" spans="1:20">
      <c r="A159" s="226" t="s">
        <v>7463</v>
      </c>
      <c r="B159" s="226">
        <v>20241108</v>
      </c>
      <c r="C159" s="289">
        <v>7.11</v>
      </c>
      <c r="D159" s="226" t="s">
        <v>7464</v>
      </c>
      <c r="E159" s="228" t="s">
        <v>1565</v>
      </c>
      <c r="F159" s="229" t="s">
        <v>7465</v>
      </c>
      <c r="G159" s="227" t="s">
        <v>3542</v>
      </c>
      <c r="H159" s="227" t="s">
        <v>1428</v>
      </c>
      <c r="I159" s="227" t="s">
        <v>1428</v>
      </c>
      <c r="J159" s="227">
        <v>30</v>
      </c>
      <c r="K159" s="227" t="s">
        <v>1428</v>
      </c>
      <c r="L159" s="227" t="s">
        <v>1428</v>
      </c>
      <c r="M159" s="244" t="s">
        <v>1428</v>
      </c>
      <c r="N159" s="232">
        <v>3</v>
      </c>
      <c r="O159" s="232">
        <v>11.097123799769</v>
      </c>
      <c r="P159" s="227" t="s">
        <v>1428</v>
      </c>
      <c r="Q159" s="231">
        <v>3</v>
      </c>
      <c r="R159" s="269">
        <f>SUM(J159:Q159)</f>
        <v>47.097123799769</v>
      </c>
      <c r="S159" s="233" t="s">
        <v>1526</v>
      </c>
      <c r="T159" s="228" t="s">
        <v>7466</v>
      </c>
    </row>
    <row r="160" s="177" customFormat="1" ht="16" customHeight="1" spans="1:20">
      <c r="A160" s="226"/>
      <c r="B160" s="226">
        <v>20241108</v>
      </c>
      <c r="C160" s="289">
        <v>7.11</v>
      </c>
      <c r="D160" s="226" t="s">
        <v>7467</v>
      </c>
      <c r="E160" s="228" t="s">
        <v>1617</v>
      </c>
      <c r="F160" s="229" t="s">
        <v>7468</v>
      </c>
      <c r="G160" s="227" t="s">
        <v>3542</v>
      </c>
      <c r="H160" s="227" t="s">
        <v>3349</v>
      </c>
      <c r="I160" s="227" t="s">
        <v>1633</v>
      </c>
      <c r="J160" s="227">
        <v>30</v>
      </c>
      <c r="K160" s="227" t="s">
        <v>1428</v>
      </c>
      <c r="L160" s="227">
        <v>7.2</v>
      </c>
      <c r="M160" s="244">
        <v>1.7</v>
      </c>
      <c r="N160" s="232">
        <v>3</v>
      </c>
      <c r="O160" s="232">
        <v>11.419424029884</v>
      </c>
      <c r="P160" s="227" t="s">
        <v>1428</v>
      </c>
      <c r="Q160" s="231">
        <v>3</v>
      </c>
      <c r="R160" s="269">
        <f>SUM(J160:Q160)</f>
        <v>56.319424029884</v>
      </c>
      <c r="S160" s="233" t="s">
        <v>3384</v>
      </c>
      <c r="T160" s="228" t="s">
        <v>7469</v>
      </c>
    </row>
    <row r="162" spans="1:20">
      <c r="A162" s="195" t="s">
        <v>7405</v>
      </c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</row>
    <row r="163" spans="1:20">
      <c r="A163" s="224" t="s">
        <v>1</v>
      </c>
      <c r="B163" s="224" t="s">
        <v>2</v>
      </c>
      <c r="C163" s="224" t="s">
        <v>1493</v>
      </c>
      <c r="D163" s="75" t="s">
        <v>4</v>
      </c>
      <c r="E163" s="75" t="s">
        <v>5</v>
      </c>
      <c r="F163" s="75" t="s">
        <v>1933</v>
      </c>
      <c r="G163" s="75" t="s">
        <v>4102</v>
      </c>
      <c r="H163" s="75" t="s">
        <v>4541</v>
      </c>
      <c r="I163" s="75" t="s">
        <v>1497</v>
      </c>
      <c r="J163" s="75" t="s">
        <v>4102</v>
      </c>
      <c r="K163" s="75" t="s">
        <v>4103</v>
      </c>
      <c r="L163" s="75" t="s">
        <v>4104</v>
      </c>
      <c r="M163" s="75" t="s">
        <v>1497</v>
      </c>
      <c r="N163" s="75" t="s">
        <v>6</v>
      </c>
      <c r="O163" s="75" t="s">
        <v>7</v>
      </c>
      <c r="P163" s="75" t="s">
        <v>5211</v>
      </c>
      <c r="Q163" s="75" t="s">
        <v>8</v>
      </c>
      <c r="R163" s="75" t="s">
        <v>9</v>
      </c>
      <c r="S163" s="75" t="s">
        <v>4105</v>
      </c>
      <c r="T163" s="75" t="s">
        <v>10</v>
      </c>
    </row>
    <row r="164" s="177" customFormat="1" ht="16" customHeight="1" spans="1:20">
      <c r="A164" s="290" t="s">
        <v>455</v>
      </c>
      <c r="B164" s="226">
        <v>20241108</v>
      </c>
      <c r="C164" s="289">
        <v>7.11</v>
      </c>
      <c r="D164" s="226" t="s">
        <v>3058</v>
      </c>
      <c r="E164" s="228" t="s">
        <v>1671</v>
      </c>
      <c r="F164" s="229" t="s">
        <v>4284</v>
      </c>
      <c r="G164" s="227" t="s">
        <v>2641</v>
      </c>
      <c r="H164" s="227" t="s">
        <v>1913</v>
      </c>
      <c r="I164" s="227" t="s">
        <v>1428</v>
      </c>
      <c r="J164" s="227">
        <v>105</v>
      </c>
      <c r="K164" s="227" t="s">
        <v>1428</v>
      </c>
      <c r="L164" s="227" t="s">
        <v>1428</v>
      </c>
      <c r="M164" s="244" t="s">
        <v>1428</v>
      </c>
      <c r="N164" s="232">
        <v>5.13797094955379</v>
      </c>
      <c r="O164" s="232">
        <v>12.191167971308</v>
      </c>
      <c r="P164" s="227" t="s">
        <v>1428</v>
      </c>
      <c r="Q164" s="231">
        <v>3.1866295264624</v>
      </c>
      <c r="R164" s="269">
        <f>SUM(J164:Q164)</f>
        <v>125.515768447324</v>
      </c>
      <c r="S164" s="233" t="s">
        <v>1526</v>
      </c>
      <c r="T164" s="228" t="s">
        <v>7470</v>
      </c>
    </row>
    <row r="165" s="177" customFormat="1" ht="16" customHeight="1" spans="1:20">
      <c r="A165" s="291"/>
      <c r="B165" s="226">
        <v>20241108</v>
      </c>
      <c r="C165" s="289">
        <v>7.11</v>
      </c>
      <c r="D165" s="226" t="s">
        <v>3060</v>
      </c>
      <c r="E165" s="228" t="s">
        <v>1672</v>
      </c>
      <c r="F165" s="229" t="s">
        <v>4284</v>
      </c>
      <c r="G165" s="227" t="s">
        <v>7471</v>
      </c>
      <c r="H165" s="227" t="s">
        <v>1913</v>
      </c>
      <c r="I165" s="227" t="s">
        <v>1428</v>
      </c>
      <c r="J165" s="227">
        <v>97.5</v>
      </c>
      <c r="K165" s="227" t="s">
        <v>1428</v>
      </c>
      <c r="L165" s="227" t="s">
        <v>1428</v>
      </c>
      <c r="M165" s="244" t="s">
        <v>1428</v>
      </c>
      <c r="N165" s="232">
        <v>5.13797094955379</v>
      </c>
      <c r="O165" s="232">
        <v>13.8567417337515</v>
      </c>
      <c r="P165" s="227" t="s">
        <v>1428</v>
      </c>
      <c r="Q165" s="231">
        <v>3.1866295264624</v>
      </c>
      <c r="R165" s="269">
        <f>SUM(J165:Q165)</f>
        <v>119.681342209768</v>
      </c>
      <c r="S165" s="233" t="s">
        <v>1526</v>
      </c>
      <c r="T165" s="228" t="s">
        <v>7472</v>
      </c>
    </row>
    <row r="166" s="177" customFormat="1" ht="16" customHeight="1" spans="1:20">
      <c r="A166" s="292"/>
      <c r="B166" s="226">
        <v>20241108</v>
      </c>
      <c r="C166" s="289">
        <v>7.11</v>
      </c>
      <c r="D166" s="226" t="s">
        <v>3062</v>
      </c>
      <c r="E166" s="228" t="s">
        <v>1998</v>
      </c>
      <c r="F166" s="229" t="s">
        <v>4284</v>
      </c>
      <c r="G166" s="227" t="s">
        <v>7473</v>
      </c>
      <c r="H166" s="227" t="s">
        <v>1913</v>
      </c>
      <c r="I166" s="227" t="s">
        <v>1428</v>
      </c>
      <c r="J166" s="227">
        <v>140</v>
      </c>
      <c r="K166" s="227" t="s">
        <v>1428</v>
      </c>
      <c r="L166" s="227" t="s">
        <v>1428</v>
      </c>
      <c r="M166" s="244" t="s">
        <v>1428</v>
      </c>
      <c r="N166" s="232">
        <v>5.13797094955379</v>
      </c>
      <c r="O166" s="232">
        <v>13.8509260435234</v>
      </c>
      <c r="P166" s="227" t="s">
        <v>1428</v>
      </c>
      <c r="Q166" s="231">
        <v>3.1866295264624</v>
      </c>
      <c r="R166" s="269">
        <f>SUM(J166:Q166)</f>
        <v>162.17552651954</v>
      </c>
      <c r="S166" s="233" t="s">
        <v>1526</v>
      </c>
      <c r="T166" s="228" t="s">
        <v>7470</v>
      </c>
    </row>
    <row r="169" spans="1:20">
      <c r="A169" s="195" t="s">
        <v>7474</v>
      </c>
      <c r="B169" s="195"/>
      <c r="C169" s="195"/>
      <c r="D169" s="195"/>
      <c r="E169" s="196"/>
      <c r="F169" s="196"/>
      <c r="G169" s="197"/>
      <c r="H169" s="198"/>
      <c r="I169" s="198"/>
      <c r="J169" s="199"/>
      <c r="K169" s="200"/>
      <c r="L169" s="200"/>
      <c r="M169" s="200"/>
      <c r="N169" s="201"/>
      <c r="O169" s="201"/>
      <c r="P169" s="197"/>
      <c r="Q169" s="202"/>
      <c r="R169" s="202"/>
      <c r="S169" s="203"/>
      <c r="T169" s="80"/>
    </row>
    <row r="170" spans="1:20">
      <c r="A170" s="50" t="s">
        <v>1</v>
      </c>
      <c r="B170" s="224" t="s">
        <v>2</v>
      </c>
      <c r="C170" s="224" t="s">
        <v>1493</v>
      </c>
      <c r="D170" s="224" t="s">
        <v>4</v>
      </c>
      <c r="E170" s="274" t="s">
        <v>5</v>
      </c>
      <c r="F170" s="274" t="s">
        <v>1933</v>
      </c>
      <c r="G170" s="75" t="s">
        <v>4102</v>
      </c>
      <c r="H170" s="53" t="s">
        <v>4541</v>
      </c>
      <c r="I170" s="53" t="s">
        <v>1497</v>
      </c>
      <c r="J170" s="75" t="s">
        <v>4102</v>
      </c>
      <c r="K170" s="75" t="s">
        <v>4103</v>
      </c>
      <c r="L170" s="75" t="s">
        <v>4104</v>
      </c>
      <c r="M170" s="75" t="s">
        <v>1497</v>
      </c>
      <c r="N170" s="293" t="s">
        <v>6</v>
      </c>
      <c r="O170" s="293" t="s">
        <v>7</v>
      </c>
      <c r="P170" s="56" t="s">
        <v>5211</v>
      </c>
      <c r="Q170" s="293" t="s">
        <v>8</v>
      </c>
      <c r="R170" s="293" t="s">
        <v>9</v>
      </c>
      <c r="S170" s="274" t="s">
        <v>4105</v>
      </c>
      <c r="T170" s="57" t="s">
        <v>10</v>
      </c>
    </row>
    <row r="171" spans="1:20">
      <c r="A171" s="227" t="s">
        <v>7475</v>
      </c>
      <c r="B171" s="294"/>
      <c r="C171" s="294">
        <v>7.2</v>
      </c>
      <c r="D171" s="294" t="s">
        <v>5060</v>
      </c>
      <c r="E171" s="228" t="s">
        <v>5061</v>
      </c>
      <c r="F171" s="226" t="s">
        <v>7476</v>
      </c>
      <c r="G171" s="227" t="s">
        <v>4838</v>
      </c>
      <c r="H171" s="227" t="s">
        <v>3436</v>
      </c>
      <c r="I171" s="227"/>
      <c r="J171" s="227">
        <v>60</v>
      </c>
      <c r="K171" s="212">
        <f>8.5*2</f>
        <v>17</v>
      </c>
      <c r="L171" s="295" t="s">
        <v>1428</v>
      </c>
      <c r="M171" s="295" t="s">
        <v>1428</v>
      </c>
      <c r="N171" s="232">
        <f>3.93867630562134/7.1*7.2</f>
        <v>3.99415061978502</v>
      </c>
      <c r="O171" s="232">
        <f>13.2340772575064/7.1*7.2</f>
        <v>13.4204727118375</v>
      </c>
      <c r="P171" s="232"/>
      <c r="Q171" s="231">
        <f>4.06141256774168/7.1*7.2</f>
        <v>4.11861556165353</v>
      </c>
      <c r="R171" s="269">
        <f>SUM(J171:Q171)</f>
        <v>98.533238893276</v>
      </c>
      <c r="S171" s="228" t="s">
        <v>2579</v>
      </c>
      <c r="T171" s="228" t="s">
        <v>7477</v>
      </c>
    </row>
    <row r="172" spans="1:20">
      <c r="A172" s="227"/>
      <c r="B172" s="294">
        <v>20241111</v>
      </c>
      <c r="C172" s="294">
        <v>7.2</v>
      </c>
      <c r="D172" s="294" t="s">
        <v>175</v>
      </c>
      <c r="E172" s="228" t="s">
        <v>176</v>
      </c>
      <c r="F172" s="226"/>
      <c r="G172" s="227"/>
      <c r="H172" s="227"/>
      <c r="I172" s="227"/>
      <c r="J172" s="227"/>
      <c r="K172" s="227"/>
      <c r="L172" s="295"/>
      <c r="M172" s="295"/>
      <c r="N172" s="232">
        <f>0.41599108855746/7.15*7.2</f>
        <v>0.418900117148771</v>
      </c>
      <c r="O172" s="232">
        <v>2.13917109449361</v>
      </c>
      <c r="P172" s="232" t="s">
        <v>1428</v>
      </c>
      <c r="Q172" s="231">
        <v>0.4</v>
      </c>
      <c r="R172" s="269">
        <f>SUM(J172:Q172)</f>
        <v>2.95807121164238</v>
      </c>
      <c r="S172" s="228"/>
      <c r="T172" s="228" t="s">
        <v>7478</v>
      </c>
    </row>
    <row r="174" spans="1:20">
      <c r="A174" s="195" t="s">
        <v>7405</v>
      </c>
      <c r="B174" s="195"/>
      <c r="C174" s="195"/>
      <c r="D174" s="195"/>
      <c r="E174" s="196"/>
      <c r="F174" s="196"/>
      <c r="G174" s="197"/>
      <c r="H174" s="198"/>
      <c r="I174" s="198"/>
      <c r="J174" s="199"/>
      <c r="K174" s="200"/>
      <c r="L174" s="200"/>
      <c r="M174" s="200"/>
      <c r="N174" s="201"/>
      <c r="O174" s="201"/>
      <c r="P174" s="197"/>
      <c r="Q174" s="202"/>
      <c r="R174" s="202"/>
      <c r="S174" s="203"/>
      <c r="T174" s="80"/>
    </row>
    <row r="175" spans="1:20">
      <c r="A175" s="224" t="s">
        <v>1</v>
      </c>
      <c r="B175" s="224" t="s">
        <v>2</v>
      </c>
      <c r="C175" s="224" t="s">
        <v>1493</v>
      </c>
      <c r="D175" s="224" t="s">
        <v>4</v>
      </c>
      <c r="E175" s="75" t="s">
        <v>5</v>
      </c>
      <c r="F175" s="274" t="s">
        <v>1933</v>
      </c>
      <c r="G175" s="75" t="s">
        <v>4102</v>
      </c>
      <c r="H175" s="75" t="s">
        <v>4541</v>
      </c>
      <c r="I175" s="75" t="s">
        <v>1497</v>
      </c>
      <c r="J175" s="75" t="s">
        <v>4102</v>
      </c>
      <c r="K175" s="75" t="s">
        <v>4103</v>
      </c>
      <c r="L175" s="75" t="s">
        <v>4104</v>
      </c>
      <c r="M175" s="75" t="s">
        <v>1497</v>
      </c>
      <c r="N175" s="75" t="s">
        <v>6</v>
      </c>
      <c r="O175" s="75" t="s">
        <v>7</v>
      </c>
      <c r="P175" s="75" t="s">
        <v>5211</v>
      </c>
      <c r="Q175" s="75" t="s">
        <v>8</v>
      </c>
      <c r="R175" s="75" t="s">
        <v>9</v>
      </c>
      <c r="S175" s="75" t="s">
        <v>4105</v>
      </c>
      <c r="T175" s="75" t="s">
        <v>10</v>
      </c>
    </row>
    <row r="176" spans="1:20">
      <c r="A176" s="226" t="s">
        <v>7457</v>
      </c>
      <c r="B176" s="226">
        <v>20241111</v>
      </c>
      <c r="C176" s="226">
        <v>7.2</v>
      </c>
      <c r="D176" s="226" t="s">
        <v>2778</v>
      </c>
      <c r="E176" s="226" t="s">
        <v>1581</v>
      </c>
      <c r="F176" s="226" t="s">
        <v>2801</v>
      </c>
      <c r="G176" s="227" t="s">
        <v>2779</v>
      </c>
      <c r="H176" s="227" t="s">
        <v>1913</v>
      </c>
      <c r="I176" s="227" t="s">
        <v>1428</v>
      </c>
      <c r="J176" s="247">
        <v>310</v>
      </c>
      <c r="K176" s="227" t="s">
        <v>1428</v>
      </c>
      <c r="L176" s="227" t="s">
        <v>1428</v>
      </c>
      <c r="M176" s="227" t="s">
        <v>1428</v>
      </c>
      <c r="N176" s="231">
        <v>5.94859301978721</v>
      </c>
      <c r="O176" s="231">
        <v>19.8377240173599</v>
      </c>
      <c r="P176" s="231"/>
      <c r="Q176" s="288">
        <v>3.58</v>
      </c>
      <c r="R176" s="269">
        <f>SUM(J176:Q176)</f>
        <v>339.366317037147</v>
      </c>
      <c r="S176" s="215" t="s">
        <v>1526</v>
      </c>
      <c r="T176" s="254" t="s">
        <v>2780</v>
      </c>
    </row>
    <row r="179" spans="1:21">
      <c r="A179" s="195" t="s">
        <v>7474</v>
      </c>
      <c r="B179" s="195"/>
      <c r="C179" s="195"/>
      <c r="D179" s="195"/>
      <c r="E179" s="196"/>
      <c r="F179" s="196"/>
      <c r="G179" s="197"/>
      <c r="H179" s="198"/>
      <c r="I179" s="198"/>
      <c r="J179" s="199"/>
      <c r="K179" s="296"/>
      <c r="L179" s="200"/>
      <c r="M179" s="200"/>
      <c r="N179" s="297"/>
      <c r="O179" s="201"/>
      <c r="P179" s="197"/>
      <c r="Q179" s="202"/>
      <c r="R179" s="202"/>
      <c r="S179" s="203"/>
      <c r="T179" s="80"/>
    </row>
    <row r="180" spans="1:21">
      <c r="A180" s="224" t="s">
        <v>1</v>
      </c>
      <c r="B180" s="224"/>
      <c r="C180" s="224"/>
      <c r="D180" s="224"/>
      <c r="E180" s="75" t="s">
        <v>5</v>
      </c>
      <c r="F180" s="75" t="s">
        <v>1933</v>
      </c>
      <c r="G180" s="75" t="s">
        <v>4102</v>
      </c>
      <c r="H180" s="75" t="s">
        <v>4541</v>
      </c>
      <c r="I180" s="75" t="s">
        <v>1497</v>
      </c>
      <c r="J180" s="75" t="s">
        <v>4102</v>
      </c>
      <c r="K180" s="298" t="s">
        <v>4103</v>
      </c>
      <c r="L180" s="75" t="s">
        <v>4104</v>
      </c>
      <c r="M180" s="75" t="s">
        <v>1497</v>
      </c>
      <c r="N180" s="298" t="s">
        <v>6</v>
      </c>
      <c r="O180" s="75" t="s">
        <v>7</v>
      </c>
      <c r="P180" s="75" t="s">
        <v>5211</v>
      </c>
      <c r="Q180" s="75" t="s">
        <v>8</v>
      </c>
      <c r="R180" s="75" t="s">
        <v>9</v>
      </c>
      <c r="S180" s="75" t="s">
        <v>4105</v>
      </c>
      <c r="T180" s="75" t="s">
        <v>10</v>
      </c>
    </row>
    <row r="181" spans="1:21">
      <c r="A181" s="299"/>
      <c r="B181" s="300">
        <v>20241106</v>
      </c>
      <c r="C181" s="272">
        <v>7.11</v>
      </c>
      <c r="D181" s="272" t="s">
        <v>7419</v>
      </c>
      <c r="E181" s="301" t="s">
        <v>1571</v>
      </c>
      <c r="F181" s="302" t="s">
        <v>2801</v>
      </c>
      <c r="G181" s="303" t="s">
        <v>2566</v>
      </c>
      <c r="H181" s="303" t="s">
        <v>3432</v>
      </c>
      <c r="I181" s="303" t="s">
        <v>1635</v>
      </c>
      <c r="J181" s="304">
        <v>130</v>
      </c>
      <c r="K181" s="303">
        <v>25</v>
      </c>
      <c r="L181" s="303" t="s">
        <v>1428</v>
      </c>
      <c r="M181" s="303">
        <v>3.3</v>
      </c>
      <c r="N181" s="305">
        <f>3.01830900016181*7.11/7.2</f>
        <v>2.98058013765979</v>
      </c>
      <c r="O181" s="306">
        <f>13.9548098319947*7.11/7.2</f>
        <v>13.7803747090948</v>
      </c>
      <c r="P181" s="305" t="s">
        <v>1428</v>
      </c>
      <c r="Q181" s="307">
        <f>2.99570646431659*7.11/7.2</f>
        <v>2.95826013351263</v>
      </c>
      <c r="R181" s="269">
        <f>SUM(J181:Q181)</f>
        <v>178.019214980267</v>
      </c>
      <c r="S181" s="272" t="s">
        <v>4001</v>
      </c>
      <c r="T181" s="300" t="s">
        <v>7420</v>
      </c>
    </row>
    <row r="182" spans="1:21">
      <c r="A182" s="299"/>
      <c r="B182" s="300">
        <v>20241022</v>
      </c>
      <c r="C182" s="272">
        <v>7.11</v>
      </c>
      <c r="D182" s="272" t="s">
        <v>7417</v>
      </c>
      <c r="E182" s="301" t="s">
        <v>2427</v>
      </c>
      <c r="F182" s="302" t="s">
        <v>2801</v>
      </c>
      <c r="G182" s="303" t="s">
        <v>2558</v>
      </c>
      <c r="H182" s="303" t="s">
        <v>3432</v>
      </c>
      <c r="I182" s="303" t="s">
        <v>1635</v>
      </c>
      <c r="J182" s="304" t="s">
        <v>1428</v>
      </c>
      <c r="K182" s="303">
        <v>25</v>
      </c>
      <c r="L182" s="303" t="s">
        <v>1428</v>
      </c>
      <c r="M182" s="303">
        <v>3.3</v>
      </c>
      <c r="N182" s="305">
        <f>3.01830900016181*7.11/7.2</f>
        <v>2.98058013765979</v>
      </c>
      <c r="O182" s="305">
        <f>13.929168021*7.11/7.2</f>
        <v>13.7550534207375</v>
      </c>
      <c r="P182" s="305" t="s">
        <v>1428</v>
      </c>
      <c r="Q182" s="307">
        <f>2.99570646431659*7.11/7.2</f>
        <v>2.95826013351263</v>
      </c>
      <c r="R182" s="269">
        <f>SUM(J182:Q182)</f>
        <v>47.9938936919099</v>
      </c>
      <c r="S182" s="272" t="s">
        <v>4001</v>
      </c>
      <c r="T182" s="300" t="s">
        <v>7450</v>
      </c>
    </row>
    <row r="183" spans="1:21">
      <c r="A183" s="308"/>
      <c r="B183" s="300">
        <v>20240914</v>
      </c>
      <c r="C183" s="272">
        <v>7.11</v>
      </c>
      <c r="D183" s="272" t="s">
        <v>42</v>
      </c>
      <c r="E183" s="301" t="s">
        <v>43</v>
      </c>
      <c r="F183" s="309"/>
      <c r="G183" s="303"/>
      <c r="H183" s="303"/>
      <c r="I183" s="303"/>
      <c r="J183" s="304"/>
      <c r="K183" s="303"/>
      <c r="L183" s="303"/>
      <c r="M183" s="303"/>
      <c r="N183" s="305">
        <v>0.426499508357916</v>
      </c>
      <c r="O183" s="306">
        <v>1.30766402212389</v>
      </c>
      <c r="P183" s="305" t="s">
        <v>1428</v>
      </c>
      <c r="Q183" s="305">
        <v>0.2</v>
      </c>
      <c r="R183" s="269">
        <f>SUM(J183:Q183)</f>
        <v>1.93416353048181</v>
      </c>
      <c r="S183" s="272"/>
      <c r="T183" s="300" t="s">
        <v>7479</v>
      </c>
    </row>
    <row r="184" spans="1:21">
      <c r="A184" s="308"/>
      <c r="B184" s="300"/>
      <c r="C184" s="272"/>
      <c r="D184" s="272"/>
      <c r="E184" s="301"/>
      <c r="F184" s="309"/>
      <c r="G184" s="303"/>
      <c r="H184" s="303"/>
      <c r="I184" s="303"/>
      <c r="J184" s="304"/>
      <c r="K184" s="303"/>
      <c r="L184" s="303"/>
      <c r="M184" s="303"/>
      <c r="N184" s="305"/>
      <c r="O184" s="306"/>
      <c r="P184" s="305"/>
      <c r="Q184" s="305"/>
      <c r="R184" s="269"/>
      <c r="S184" s="272"/>
      <c r="T184" s="300"/>
    </row>
    <row r="185" spans="1:21">
      <c r="A185" s="195" t="s">
        <v>7474</v>
      </c>
      <c r="B185" s="195"/>
      <c r="C185" s="195"/>
      <c r="D185" s="195"/>
      <c r="E185" s="196"/>
      <c r="F185" s="196"/>
      <c r="G185" s="197"/>
      <c r="H185" s="198"/>
      <c r="I185" s="198"/>
      <c r="J185" s="199"/>
      <c r="K185" s="200"/>
      <c r="L185" s="200"/>
      <c r="M185" s="200"/>
      <c r="N185" s="201"/>
      <c r="O185" s="201"/>
      <c r="P185" s="197"/>
      <c r="Q185" s="202"/>
      <c r="R185" s="202"/>
      <c r="S185" s="203"/>
      <c r="T185" s="80"/>
    </row>
    <row r="186" spans="1:21">
      <c r="A186" s="224" t="s">
        <v>1</v>
      </c>
      <c r="B186" s="224" t="s">
        <v>2</v>
      </c>
      <c r="C186" s="224" t="s">
        <v>1493</v>
      </c>
      <c r="D186" s="224" t="s">
        <v>4</v>
      </c>
      <c r="E186" s="75" t="s">
        <v>5</v>
      </c>
      <c r="F186" s="274" t="s">
        <v>1933</v>
      </c>
      <c r="G186" s="75" t="s">
        <v>4102</v>
      </c>
      <c r="H186" s="75" t="s">
        <v>4541</v>
      </c>
      <c r="I186" s="75" t="s">
        <v>1497</v>
      </c>
      <c r="J186" s="75" t="s">
        <v>4102</v>
      </c>
      <c r="K186" s="75" t="s">
        <v>4103</v>
      </c>
      <c r="L186" s="75" t="s">
        <v>4104</v>
      </c>
      <c r="M186" s="75" t="s">
        <v>1497</v>
      </c>
      <c r="N186" s="75" t="s">
        <v>6</v>
      </c>
      <c r="O186" s="75" t="s">
        <v>7</v>
      </c>
      <c r="P186" s="75" t="s">
        <v>5211</v>
      </c>
      <c r="Q186" s="75" t="s">
        <v>8</v>
      </c>
      <c r="R186" s="75" t="s">
        <v>9</v>
      </c>
      <c r="S186" s="75" t="s">
        <v>4105</v>
      </c>
      <c r="T186" s="75" t="s">
        <v>10</v>
      </c>
    </row>
    <row r="187" spans="1:21">
      <c r="A187" s="226" t="s">
        <v>50</v>
      </c>
      <c r="B187" s="226">
        <v>20241113</v>
      </c>
      <c r="C187" s="226">
        <v>7.2</v>
      </c>
      <c r="D187" s="226" t="s">
        <v>2343</v>
      </c>
      <c r="E187" s="226" t="s">
        <v>2344</v>
      </c>
      <c r="F187" s="226" t="s">
        <v>2801</v>
      </c>
      <c r="G187" s="227" t="s">
        <v>2082</v>
      </c>
      <c r="H187" s="227" t="s">
        <v>1913</v>
      </c>
      <c r="I187" s="227" t="s">
        <v>1428</v>
      </c>
      <c r="J187" s="247">
        <v>105</v>
      </c>
      <c r="K187" s="227" t="s">
        <v>1428</v>
      </c>
      <c r="L187" s="227" t="s">
        <v>1428</v>
      </c>
      <c r="M187" s="227" t="s">
        <v>1428</v>
      </c>
      <c r="N187" s="231">
        <v>4.43722539611416</v>
      </c>
      <c r="O187" s="257">
        <v>21.4753992884956</v>
      </c>
      <c r="P187" s="231" t="s">
        <v>1428</v>
      </c>
      <c r="Q187" s="288">
        <v>3.3392888176485</v>
      </c>
      <c r="R187" s="269">
        <f>SUM(J187:Q187)</f>
        <v>134.251913502258</v>
      </c>
      <c r="S187" s="215" t="s">
        <v>1526</v>
      </c>
      <c r="T187" s="254" t="s">
        <v>2305</v>
      </c>
    </row>
    <row r="189" spans="1:21">
      <c r="A189" s="195" t="s">
        <v>7474</v>
      </c>
      <c r="B189" s="195"/>
      <c r="C189" s="195"/>
      <c r="D189" s="195"/>
      <c r="E189" s="196"/>
      <c r="F189" s="196"/>
      <c r="G189" s="197"/>
      <c r="H189" s="198"/>
      <c r="I189" s="198"/>
      <c r="J189" s="199"/>
      <c r="K189" s="200"/>
      <c r="L189" s="200"/>
      <c r="M189" s="200"/>
      <c r="N189" s="201"/>
      <c r="O189" s="201"/>
      <c r="P189" s="197"/>
      <c r="Q189" s="202"/>
      <c r="R189" s="202"/>
      <c r="S189" s="203"/>
      <c r="T189" s="80"/>
    </row>
    <row r="190" spans="1:21">
      <c r="A190" s="224" t="s">
        <v>1</v>
      </c>
      <c r="B190" s="224" t="s">
        <v>2</v>
      </c>
      <c r="C190" s="224" t="s">
        <v>1493</v>
      </c>
      <c r="D190" s="224" t="s">
        <v>4</v>
      </c>
      <c r="E190" s="75" t="s">
        <v>5</v>
      </c>
      <c r="F190" s="274" t="s">
        <v>1933</v>
      </c>
      <c r="G190" s="75" t="s">
        <v>4102</v>
      </c>
      <c r="H190" s="75" t="s">
        <v>4541</v>
      </c>
      <c r="I190" s="75" t="s">
        <v>1497</v>
      </c>
      <c r="J190" s="75" t="s">
        <v>4102</v>
      </c>
      <c r="K190" s="75" t="s">
        <v>4103</v>
      </c>
      <c r="L190" s="75" t="s">
        <v>4104</v>
      </c>
      <c r="M190" s="75" t="s">
        <v>1497</v>
      </c>
      <c r="N190" s="75" t="s">
        <v>6</v>
      </c>
      <c r="O190" s="75" t="s">
        <v>7</v>
      </c>
      <c r="P190" s="75" t="s">
        <v>5211</v>
      </c>
      <c r="Q190" s="75" t="s">
        <v>8</v>
      </c>
      <c r="R190" s="75" t="s">
        <v>9</v>
      </c>
      <c r="S190" s="75" t="s">
        <v>4105</v>
      </c>
      <c r="T190" s="75" t="s">
        <v>10</v>
      </c>
    </row>
    <row r="191" spans="1:21">
      <c r="A191" s="226" t="s">
        <v>7407</v>
      </c>
      <c r="B191" s="226">
        <v>20240911</v>
      </c>
      <c r="C191" s="226">
        <v>7.11</v>
      </c>
      <c r="D191" s="226" t="s">
        <v>7480</v>
      </c>
      <c r="E191" s="226" t="s">
        <v>2136</v>
      </c>
      <c r="F191" s="226" t="s">
        <v>4284</v>
      </c>
      <c r="G191" s="227" t="s">
        <v>2365</v>
      </c>
      <c r="H191" s="227" t="s">
        <v>1913</v>
      </c>
      <c r="I191" s="227" t="s">
        <v>1428</v>
      </c>
      <c r="J191" s="247">
        <v>140</v>
      </c>
      <c r="K191" s="227" t="s">
        <v>1428</v>
      </c>
      <c r="L191" s="227" t="s">
        <v>1428</v>
      </c>
      <c r="M191" s="227" t="s">
        <v>1428</v>
      </c>
      <c r="N191" s="231">
        <v>3.48451327433628</v>
      </c>
      <c r="O191" s="257">
        <v>12.5235085902655</v>
      </c>
      <c r="P191" s="231" t="s">
        <v>1428</v>
      </c>
      <c r="Q191" s="288">
        <v>2.92479108635098</v>
      </c>
      <c r="R191" s="269">
        <f>SUM(J191:Q191)+1</f>
        <v>159.932812950953</v>
      </c>
      <c r="S191" s="215" t="s">
        <v>1526</v>
      </c>
      <c r="T191" s="254" t="s">
        <v>2588</v>
      </c>
    </row>
    <row r="192" spans="1:21">
      <c r="A192" s="226"/>
      <c r="B192" s="226">
        <v>20240315</v>
      </c>
      <c r="C192" s="226">
        <v>7.2</v>
      </c>
      <c r="D192" s="226" t="s">
        <v>1405</v>
      </c>
      <c r="E192" s="226" t="s">
        <v>21</v>
      </c>
      <c r="F192" s="226"/>
      <c r="G192" s="227"/>
      <c r="H192" s="227"/>
      <c r="I192" s="227"/>
      <c r="J192" s="247"/>
      <c r="K192" s="227"/>
      <c r="L192" s="227"/>
      <c r="M192" s="227"/>
      <c r="N192" s="231">
        <v>0.420818119933164</v>
      </c>
      <c r="O192" s="257">
        <v>2.4839641920354</v>
      </c>
      <c r="P192" s="231" t="s">
        <v>1428</v>
      </c>
      <c r="Q192" s="288">
        <v>0.4</v>
      </c>
      <c r="R192" s="269">
        <f>SUM(J192:Q192)</f>
        <v>3.30478231196856</v>
      </c>
      <c r="S192" s="215"/>
      <c r="T192" s="254" t="s">
        <v>7478</v>
      </c>
      <c r="U192" s="182" t="s">
        <v>1406</v>
      </c>
    </row>
    <row r="193" spans="1:20">
      <c r="A193" s="226"/>
      <c r="B193" s="226"/>
      <c r="C193" s="226"/>
      <c r="D193" s="226"/>
      <c r="E193" s="226" t="s">
        <v>7481</v>
      </c>
      <c r="F193" s="226"/>
      <c r="G193" s="227"/>
      <c r="H193" s="227"/>
      <c r="I193" s="227"/>
      <c r="J193" s="247"/>
      <c r="K193" s="227"/>
      <c r="L193" s="227"/>
      <c r="M193" s="227"/>
      <c r="N193" s="231"/>
      <c r="O193" s="257"/>
      <c r="P193" s="231"/>
      <c r="Q193" s="288">
        <v>8.95</v>
      </c>
      <c r="R193" s="269">
        <f>SUM(J193:Q193)</f>
        <v>8.95</v>
      </c>
      <c r="S193" s="215"/>
      <c r="T193" s="254"/>
    </row>
    <row r="194" spans="1:20">
      <c r="A194" s="226"/>
      <c r="B194" s="226"/>
      <c r="C194" s="226"/>
      <c r="D194" s="226"/>
      <c r="E194" s="226" t="s">
        <v>7482</v>
      </c>
      <c r="F194" s="226"/>
      <c r="G194" s="227"/>
      <c r="H194" s="227"/>
      <c r="I194" s="227"/>
      <c r="J194" s="247"/>
      <c r="K194" s="227"/>
      <c r="L194" s="227"/>
      <c r="M194" s="227"/>
      <c r="N194" s="231"/>
      <c r="O194" s="257"/>
      <c r="P194" s="231"/>
      <c r="Q194" s="288">
        <v>24</v>
      </c>
      <c r="R194" s="269">
        <f>SUM(J194:Q194)</f>
        <v>24</v>
      </c>
      <c r="S194" s="215"/>
      <c r="T194" s="254"/>
    </row>
    <row r="195" spans="1:20">
      <c r="A195" s="226"/>
      <c r="B195" s="226"/>
      <c r="C195" s="226"/>
      <c r="D195" s="226"/>
      <c r="E195" s="226" t="s">
        <v>7441</v>
      </c>
      <c r="F195" s="226"/>
      <c r="G195" s="227"/>
      <c r="H195" s="227"/>
      <c r="I195" s="227"/>
      <c r="J195" s="247"/>
      <c r="K195" s="227"/>
      <c r="L195" s="227"/>
      <c r="M195" s="227"/>
      <c r="N195" s="231"/>
      <c r="O195" s="257"/>
      <c r="P195" s="231"/>
      <c r="Q195" s="288">
        <v>3.3</v>
      </c>
      <c r="R195" s="269">
        <f>SUM(J195:Q195)</f>
        <v>3.3</v>
      </c>
      <c r="S195" s="215"/>
      <c r="T195" s="254"/>
    </row>
    <row r="196" spans="1:20">
      <c r="A196" s="226" t="s">
        <v>7407</v>
      </c>
      <c r="B196" s="226">
        <v>20240902</v>
      </c>
      <c r="C196" s="226">
        <v>7.11</v>
      </c>
      <c r="D196" s="226" t="s">
        <v>7483</v>
      </c>
      <c r="E196" s="226" t="s">
        <v>7484</v>
      </c>
      <c r="F196" s="226" t="s">
        <v>4284</v>
      </c>
      <c r="G196" s="227" t="s">
        <v>2323</v>
      </c>
      <c r="H196" s="227" t="s">
        <v>1913</v>
      </c>
      <c r="I196" s="227" t="s">
        <v>1428</v>
      </c>
      <c r="J196" s="247">
        <v>65</v>
      </c>
      <c r="K196" s="227" t="s">
        <v>1428</v>
      </c>
      <c r="L196" s="227" t="s">
        <v>1428</v>
      </c>
      <c r="M196" s="227" t="s">
        <v>1428</v>
      </c>
      <c r="N196" s="231">
        <v>3.64183874139626</v>
      </c>
      <c r="O196" s="257">
        <v>11.5894036256637</v>
      </c>
      <c r="P196" s="231" t="s">
        <v>1428</v>
      </c>
      <c r="Q196" s="288">
        <v>2.92479108635098</v>
      </c>
      <c r="R196" s="269">
        <f>SUM(J196:Q196)+1</f>
        <v>84.1560334534109</v>
      </c>
      <c r="S196" s="215" t="s">
        <v>1526</v>
      </c>
      <c r="T196" s="254" t="s">
        <v>2588</v>
      </c>
    </row>
    <row r="197" spans="1:20">
      <c r="A197" s="226"/>
      <c r="B197" s="226">
        <v>20240724</v>
      </c>
      <c r="C197" s="226">
        <v>7.27</v>
      </c>
      <c r="D197" s="226" t="s">
        <v>442</v>
      </c>
      <c r="E197" s="226" t="s">
        <v>2974</v>
      </c>
      <c r="F197" s="226"/>
      <c r="G197" s="227"/>
      <c r="H197" s="227"/>
      <c r="I197" s="227"/>
      <c r="J197" s="247"/>
      <c r="K197" s="227"/>
      <c r="L197" s="227"/>
      <c r="M197" s="227"/>
      <c r="N197" s="231">
        <v>0.413872016165354</v>
      </c>
      <c r="O197" s="257">
        <v>2.4839641920354</v>
      </c>
      <c r="P197" s="231" t="s">
        <v>1428</v>
      </c>
      <c r="Q197" s="288">
        <v>0.2</v>
      </c>
      <c r="R197" s="269">
        <f>SUM(J197:Q197)</f>
        <v>3.09783620820075</v>
      </c>
      <c r="S197" s="215"/>
      <c r="T197" s="254" t="s">
        <v>7439</v>
      </c>
    </row>
    <row r="198" spans="1:20">
      <c r="A198" s="226"/>
      <c r="B198" s="226"/>
      <c r="C198" s="226"/>
      <c r="D198" s="226"/>
      <c r="E198" s="226" t="s">
        <v>7485</v>
      </c>
      <c r="F198" s="226"/>
      <c r="G198" s="227"/>
      <c r="H198" s="227"/>
      <c r="I198" s="227"/>
      <c r="J198" s="247"/>
      <c r="K198" s="227"/>
      <c r="L198" s="227"/>
      <c r="M198" s="227"/>
      <c r="N198" s="231"/>
      <c r="O198" s="257"/>
      <c r="P198" s="231"/>
      <c r="Q198" s="288">
        <v>6</v>
      </c>
      <c r="R198" s="269">
        <f>SUM(J198:Q198)</f>
        <v>6</v>
      </c>
      <c r="S198" s="215"/>
      <c r="T198" s="254"/>
    </row>
    <row r="199" spans="1:20">
      <c r="A199" s="226"/>
      <c r="B199" s="226"/>
      <c r="C199" s="226"/>
      <c r="D199" s="226"/>
      <c r="E199" s="226"/>
      <c r="F199" s="226"/>
      <c r="G199" s="227"/>
      <c r="H199" s="227"/>
      <c r="I199" s="227"/>
      <c r="J199" s="247"/>
      <c r="K199" s="227"/>
      <c r="L199" s="227"/>
      <c r="M199" s="227"/>
      <c r="N199" s="231"/>
      <c r="O199" s="257"/>
      <c r="P199" s="231"/>
      <c r="Q199" s="288"/>
      <c r="R199" s="269"/>
      <c r="S199" s="215"/>
      <c r="T199" s="254"/>
    </row>
    <row r="200" spans="1:20">
      <c r="A200" s="195" t="s">
        <v>7474</v>
      </c>
      <c r="B200" s="195"/>
      <c r="C200" s="195"/>
      <c r="D200" s="195"/>
      <c r="E200" s="196"/>
      <c r="F200" s="196"/>
      <c r="G200" s="197"/>
      <c r="H200" s="198"/>
      <c r="I200" s="198"/>
      <c r="J200" s="199"/>
      <c r="K200" s="200"/>
      <c r="L200" s="200"/>
      <c r="M200" s="200"/>
      <c r="N200" s="201"/>
      <c r="O200" s="201"/>
      <c r="P200" s="197"/>
      <c r="Q200" s="202"/>
      <c r="R200" s="202"/>
      <c r="S200" s="203"/>
      <c r="T200" s="80"/>
    </row>
    <row r="201" spans="1:20">
      <c r="A201" s="224" t="s">
        <v>1</v>
      </c>
      <c r="B201" s="224" t="s">
        <v>2</v>
      </c>
      <c r="C201" s="224" t="s">
        <v>1493</v>
      </c>
      <c r="D201" s="224" t="s">
        <v>4</v>
      </c>
      <c r="E201" s="75" t="s">
        <v>5</v>
      </c>
      <c r="F201" s="274" t="s">
        <v>1933</v>
      </c>
      <c r="G201" s="75" t="s">
        <v>4102</v>
      </c>
      <c r="H201" s="75" t="s">
        <v>4541</v>
      </c>
      <c r="I201" s="75" t="s">
        <v>1497</v>
      </c>
      <c r="J201" s="75" t="s">
        <v>4102</v>
      </c>
      <c r="K201" s="75" t="s">
        <v>4103</v>
      </c>
      <c r="L201" s="75" t="s">
        <v>4104</v>
      </c>
      <c r="M201" s="75" t="s">
        <v>1497</v>
      </c>
      <c r="N201" s="75" t="s">
        <v>6</v>
      </c>
      <c r="O201" s="75" t="s">
        <v>7</v>
      </c>
      <c r="P201" s="75" t="s">
        <v>5211</v>
      </c>
      <c r="Q201" s="75" t="s">
        <v>8</v>
      </c>
      <c r="R201" s="75" t="s">
        <v>9</v>
      </c>
      <c r="S201" s="75" t="s">
        <v>4105</v>
      </c>
      <c r="T201" s="75" t="s">
        <v>10</v>
      </c>
    </row>
    <row r="202" spans="1:20">
      <c r="A202" s="226"/>
      <c r="B202" s="226">
        <v>20241114</v>
      </c>
      <c r="C202" s="226">
        <v>7.2</v>
      </c>
      <c r="D202" s="226" t="s">
        <v>482</v>
      </c>
      <c r="E202" s="226" t="s">
        <v>483</v>
      </c>
      <c r="F202" s="226"/>
      <c r="G202" s="227"/>
      <c r="H202" s="227"/>
      <c r="I202" s="227"/>
      <c r="J202" s="247"/>
      <c r="K202" s="227"/>
      <c r="L202" s="227"/>
      <c r="M202" s="227"/>
      <c r="N202" s="231">
        <v>0.417895771878073</v>
      </c>
      <c r="O202" s="257">
        <v>0.670804361160275</v>
      </c>
      <c r="P202" s="231"/>
      <c r="Q202" s="288">
        <v>0.2</v>
      </c>
      <c r="R202" s="269">
        <f>SUM(J202:Q202)</f>
        <v>1.28870013303835</v>
      </c>
      <c r="S202" s="215"/>
      <c r="T202" s="254" t="s">
        <v>484</v>
      </c>
    </row>
    <row r="206" ht="17" customHeight="1" spans="1:20">
      <c r="A206" s="195" t="s">
        <v>7474</v>
      </c>
      <c r="B206" s="195"/>
      <c r="C206" s="195"/>
      <c r="D206" s="195"/>
      <c r="E206" s="196"/>
      <c r="F206" s="196"/>
      <c r="G206" s="197"/>
      <c r="H206" s="198"/>
      <c r="I206" s="198"/>
      <c r="J206" s="199"/>
      <c r="K206" s="200"/>
      <c r="L206" s="200"/>
      <c r="M206" s="200"/>
      <c r="N206" s="201"/>
      <c r="O206" s="201"/>
      <c r="P206" s="197"/>
      <c r="Q206" s="202"/>
      <c r="R206" s="202"/>
      <c r="S206" s="203"/>
      <c r="T206" s="80"/>
    </row>
    <row r="207" spans="1:20">
      <c r="A207" s="224" t="s">
        <v>1</v>
      </c>
      <c r="B207" s="224" t="s">
        <v>2</v>
      </c>
      <c r="C207" s="224" t="s">
        <v>1493</v>
      </c>
      <c r="D207" s="75" t="s">
        <v>4</v>
      </c>
      <c r="E207" s="75" t="s">
        <v>5</v>
      </c>
      <c r="F207" s="75" t="s">
        <v>1933</v>
      </c>
      <c r="G207" s="75" t="s">
        <v>4102</v>
      </c>
      <c r="H207" s="75" t="s">
        <v>4541</v>
      </c>
      <c r="I207" s="75" t="s">
        <v>1497</v>
      </c>
      <c r="J207" s="75" t="s">
        <v>4102</v>
      </c>
      <c r="K207" s="75" t="s">
        <v>4103</v>
      </c>
      <c r="L207" s="75" t="s">
        <v>4104</v>
      </c>
      <c r="M207" s="75" t="s">
        <v>1497</v>
      </c>
      <c r="N207" s="75" t="s">
        <v>6</v>
      </c>
      <c r="O207" s="75" t="s">
        <v>7</v>
      </c>
      <c r="P207" s="75" t="s">
        <v>5211</v>
      </c>
      <c r="Q207" s="75" t="s">
        <v>8</v>
      </c>
      <c r="R207" s="75" t="s">
        <v>9</v>
      </c>
      <c r="S207" s="75" t="s">
        <v>4105</v>
      </c>
      <c r="T207" s="75" t="s">
        <v>10</v>
      </c>
    </row>
    <row r="208" spans="1:20">
      <c r="A208" s="226" t="s">
        <v>7403</v>
      </c>
      <c r="B208" s="226">
        <v>20241015</v>
      </c>
      <c r="C208" s="227">
        <v>7.1</v>
      </c>
      <c r="D208" s="226" t="s">
        <v>3742</v>
      </c>
      <c r="E208" s="228" t="s">
        <v>1581</v>
      </c>
      <c r="F208" s="229" t="s">
        <v>4189</v>
      </c>
      <c r="G208" s="227" t="s">
        <v>3541</v>
      </c>
      <c r="H208" s="227" t="s">
        <v>1913</v>
      </c>
      <c r="I208" s="227" t="s">
        <v>1633</v>
      </c>
      <c r="J208" s="227">
        <v>27</v>
      </c>
      <c r="K208" s="227" t="s">
        <v>1428</v>
      </c>
      <c r="L208" s="227" t="s">
        <v>1428</v>
      </c>
      <c r="M208" s="227">
        <v>1.7</v>
      </c>
      <c r="N208" s="232">
        <f>2.10409059966582</f>
        <v>2.10409059966582</v>
      </c>
      <c r="O208" s="232">
        <v>9.13232323728929</v>
      </c>
      <c r="P208" s="227" t="s">
        <v>1428</v>
      </c>
      <c r="Q208" s="257">
        <v>2.46</v>
      </c>
      <c r="R208" s="232">
        <v>42.3964138369551</v>
      </c>
      <c r="S208" s="233" t="s">
        <v>1526</v>
      </c>
      <c r="T208" s="228" t="s">
        <v>7404</v>
      </c>
    </row>
    <row r="210" ht="17" customHeight="1" spans="1:21">
      <c r="A210" s="195" t="s">
        <v>7474</v>
      </c>
      <c r="B210" s="195"/>
      <c r="C210" s="195"/>
      <c r="D210" s="195"/>
      <c r="E210" s="196"/>
      <c r="F210" s="196"/>
      <c r="G210" s="197"/>
      <c r="H210" s="198"/>
      <c r="I210" s="198"/>
      <c r="J210" s="199"/>
      <c r="K210" s="200"/>
      <c r="L210" s="200"/>
      <c r="M210" s="200"/>
      <c r="N210" s="201"/>
      <c r="O210" s="201"/>
      <c r="P210" s="197"/>
      <c r="Q210" s="202"/>
      <c r="R210" s="202"/>
      <c r="S210" s="203"/>
      <c r="T210" s="80"/>
    </row>
    <row r="211" spans="1:21">
      <c r="A211" s="224" t="s">
        <v>1</v>
      </c>
      <c r="B211" s="224" t="s">
        <v>2</v>
      </c>
      <c r="C211" s="224" t="s">
        <v>1493</v>
      </c>
      <c r="D211" s="75" t="s">
        <v>4</v>
      </c>
      <c r="E211" s="75" t="s">
        <v>5</v>
      </c>
      <c r="F211" s="75" t="s">
        <v>1933</v>
      </c>
      <c r="G211" s="75" t="s">
        <v>4102</v>
      </c>
      <c r="H211" s="75" t="s">
        <v>4541</v>
      </c>
      <c r="I211" s="75" t="s">
        <v>1497</v>
      </c>
      <c r="J211" s="75" t="s">
        <v>4102</v>
      </c>
      <c r="K211" s="75" t="s">
        <v>4103</v>
      </c>
      <c r="L211" s="75" t="s">
        <v>4104</v>
      </c>
      <c r="M211" s="75" t="s">
        <v>1497</v>
      </c>
      <c r="N211" s="75" t="s">
        <v>6</v>
      </c>
      <c r="O211" s="75" t="s">
        <v>7</v>
      </c>
      <c r="P211" s="75" t="s">
        <v>5211</v>
      </c>
      <c r="Q211" s="75" t="s">
        <v>8</v>
      </c>
      <c r="R211" s="75" t="s">
        <v>9</v>
      </c>
      <c r="S211" s="75" t="s">
        <v>4105</v>
      </c>
      <c r="T211" s="75" t="s">
        <v>10</v>
      </c>
    </row>
    <row r="212" s="180" customFormat="1" spans="1:21">
      <c r="A212" s="310"/>
      <c r="B212" s="272"/>
      <c r="C212" s="272">
        <v>20240715</v>
      </c>
      <c r="D212" s="272">
        <v>7.27</v>
      </c>
      <c r="E212" s="272" t="s">
        <v>310</v>
      </c>
      <c r="F212" s="311" t="s">
        <v>311</v>
      </c>
      <c r="G212" s="311"/>
      <c r="H212" s="309"/>
      <c r="I212" s="303"/>
      <c r="J212" s="303"/>
      <c r="K212" s="309"/>
      <c r="L212" s="303"/>
      <c r="M212" s="303"/>
      <c r="N212" s="303"/>
      <c r="O212" s="305">
        <v>0.547771786101204</v>
      </c>
      <c r="P212" s="305">
        <v>3.94374478744215</v>
      </c>
      <c r="Q212" s="305" t="s">
        <v>1428</v>
      </c>
      <c r="R212" s="312">
        <v>0.4</v>
      </c>
      <c r="S212" s="305">
        <f>SUM(K212:R212)</f>
        <v>4.89151657354335</v>
      </c>
      <c r="T212" s="272" t="s">
        <v>7486</v>
      </c>
      <c r="U212" s="313" t="s">
        <v>1406</v>
      </c>
    </row>
    <row r="213" s="180" customFormat="1" spans="1:21">
      <c r="A213" s="310"/>
      <c r="B213" s="272"/>
      <c r="C213" s="272">
        <v>20241114</v>
      </c>
      <c r="D213" s="272">
        <v>7.2</v>
      </c>
      <c r="E213" s="272" t="s">
        <v>314</v>
      </c>
      <c r="F213" s="311" t="s">
        <v>315</v>
      </c>
      <c r="G213" s="311"/>
      <c r="H213" s="309"/>
      <c r="I213" s="303"/>
      <c r="J213" s="303"/>
      <c r="K213" s="309"/>
      <c r="L213" s="303"/>
      <c r="M213" s="303"/>
      <c r="N213" s="303"/>
      <c r="O213" s="305">
        <v>0.553097345132743</v>
      </c>
      <c r="P213" s="306">
        <v>5.22</v>
      </c>
      <c r="Q213" s="305" t="s">
        <v>1428</v>
      </c>
      <c r="R213" s="305">
        <v>0.2</v>
      </c>
      <c r="S213" s="305">
        <f>SUM(K213:R213)</f>
        <v>5.97309734513274</v>
      </c>
      <c r="T213" s="272" t="s">
        <v>7487</v>
      </c>
      <c r="U213" s="313" t="s">
        <v>1406</v>
      </c>
    </row>
    <row r="220" spans="1:21">
      <c r="A220" s="195" t="s">
        <v>7405</v>
      </c>
      <c r="B220" s="195"/>
      <c r="C220" s="195"/>
      <c r="D220" s="195"/>
      <c r="E220" s="196"/>
      <c r="F220" s="196"/>
      <c r="G220" s="197"/>
      <c r="H220" s="198"/>
      <c r="I220" s="198"/>
      <c r="J220" s="199"/>
      <c r="K220" s="200"/>
      <c r="L220" s="200"/>
      <c r="M220" s="200"/>
      <c r="N220" s="201"/>
      <c r="O220" s="201"/>
      <c r="P220" s="197"/>
      <c r="Q220" s="202"/>
      <c r="R220" s="202"/>
      <c r="S220" s="203"/>
      <c r="T220" s="80"/>
    </row>
    <row r="221" spans="1:21">
      <c r="A221" s="224" t="s">
        <v>1</v>
      </c>
      <c r="B221" s="224" t="s">
        <v>2</v>
      </c>
      <c r="C221" s="224" t="s">
        <v>1493</v>
      </c>
      <c r="D221" s="206" t="s">
        <v>4</v>
      </c>
      <c r="E221" s="75" t="s">
        <v>5</v>
      </c>
      <c r="F221" s="75" t="s">
        <v>1933</v>
      </c>
      <c r="G221" s="75" t="s">
        <v>4102</v>
      </c>
      <c r="H221" s="75" t="s">
        <v>4541</v>
      </c>
      <c r="I221" s="75" t="s">
        <v>1497</v>
      </c>
      <c r="J221" s="75" t="s">
        <v>4102</v>
      </c>
      <c r="K221" s="75" t="s">
        <v>4103</v>
      </c>
      <c r="L221" s="75" t="s">
        <v>4104</v>
      </c>
      <c r="M221" s="75" t="s">
        <v>1497</v>
      </c>
      <c r="N221" s="75" t="s">
        <v>6</v>
      </c>
      <c r="O221" s="75" t="s">
        <v>7</v>
      </c>
      <c r="P221" s="75" t="s">
        <v>5211</v>
      </c>
      <c r="Q221" s="75" t="s">
        <v>8</v>
      </c>
      <c r="R221" s="75" t="s">
        <v>9</v>
      </c>
      <c r="S221" s="75" t="s">
        <v>4105</v>
      </c>
      <c r="T221" s="75" t="s">
        <v>10</v>
      </c>
    </row>
    <row r="222" spans="1:21">
      <c r="A222" s="314" t="s">
        <v>7488</v>
      </c>
      <c r="B222" s="315">
        <v>20240920</v>
      </c>
      <c r="C222" s="219">
        <v>7.11</v>
      </c>
      <c r="D222" s="314" t="s">
        <v>3826</v>
      </c>
      <c r="E222" s="316" t="s">
        <v>3827</v>
      </c>
      <c r="F222" s="315" t="s">
        <v>7489</v>
      </c>
      <c r="G222" s="317" t="s">
        <v>3794</v>
      </c>
      <c r="H222" s="219" t="s">
        <v>3349</v>
      </c>
      <c r="I222" s="317" t="s">
        <v>1720</v>
      </c>
      <c r="J222" s="219">
        <v>29</v>
      </c>
      <c r="K222" s="219" t="s">
        <v>1428</v>
      </c>
      <c r="L222" s="219" t="s">
        <v>1428</v>
      </c>
      <c r="M222" s="318">
        <v>2.3</v>
      </c>
      <c r="N222" s="319">
        <v>2.7967588962324</v>
      </c>
      <c r="O222" s="319">
        <v>9.5213021046176</v>
      </c>
      <c r="P222" s="219" t="s">
        <v>1428</v>
      </c>
      <c r="Q222" s="320">
        <v>2.83118701373547</v>
      </c>
      <c r="R222" s="319">
        <v>46.4492480145855</v>
      </c>
      <c r="S222" s="266" t="s">
        <v>7490</v>
      </c>
      <c r="T222" s="321" t="s">
        <v>7491</v>
      </c>
    </row>
    <row r="224" spans="1:21">
      <c r="A224" s="195" t="s">
        <v>7474</v>
      </c>
      <c r="B224" s="195"/>
      <c r="C224" s="195"/>
      <c r="D224" s="195"/>
      <c r="E224" s="196"/>
      <c r="F224" s="196"/>
      <c r="G224" s="197"/>
      <c r="H224" s="198"/>
      <c r="I224" s="198"/>
      <c r="J224" s="199"/>
      <c r="K224" s="200"/>
      <c r="L224" s="200"/>
      <c r="M224" s="200"/>
      <c r="N224" s="201"/>
      <c r="O224" s="201"/>
      <c r="P224" s="197"/>
      <c r="Q224" s="202"/>
      <c r="R224" s="202"/>
      <c r="S224" s="203"/>
      <c r="T224" s="80"/>
    </row>
    <row r="225" spans="1:20">
      <c r="A225" s="224" t="s">
        <v>1</v>
      </c>
      <c r="B225" s="224" t="s">
        <v>2</v>
      </c>
      <c r="C225" s="224" t="s">
        <v>1493</v>
      </c>
      <c r="D225" s="206" t="s">
        <v>4</v>
      </c>
      <c r="E225" s="75" t="s">
        <v>5</v>
      </c>
      <c r="F225" s="75" t="s">
        <v>1933</v>
      </c>
      <c r="G225" s="75" t="s">
        <v>4102</v>
      </c>
      <c r="H225" s="75" t="s">
        <v>4541</v>
      </c>
      <c r="I225" s="75" t="s">
        <v>1497</v>
      </c>
      <c r="J225" s="75" t="s">
        <v>4102</v>
      </c>
      <c r="K225" s="75" t="s">
        <v>4103</v>
      </c>
      <c r="L225" s="75" t="s">
        <v>4104</v>
      </c>
      <c r="M225" s="75" t="s">
        <v>1497</v>
      </c>
      <c r="N225" s="75" t="s">
        <v>6</v>
      </c>
      <c r="O225" s="75" t="s">
        <v>7</v>
      </c>
      <c r="P225" s="75" t="s">
        <v>5211</v>
      </c>
      <c r="Q225" s="75" t="s">
        <v>7492</v>
      </c>
      <c r="R225" s="75" t="s">
        <v>9</v>
      </c>
      <c r="S225" s="75" t="s">
        <v>4105</v>
      </c>
      <c r="T225" s="75" t="s">
        <v>10</v>
      </c>
    </row>
    <row r="226" s="181" customFormat="1" ht="21" customHeight="1" spans="1:20">
      <c r="A226" s="322" t="s">
        <v>7493</v>
      </c>
      <c r="B226" s="253">
        <v>20241114</v>
      </c>
      <c r="C226" s="227">
        <v>7.2</v>
      </c>
      <c r="D226" s="322" t="s">
        <v>3826</v>
      </c>
      <c r="E226" s="254" t="s">
        <v>7494</v>
      </c>
      <c r="F226" s="253" t="s">
        <v>7489</v>
      </c>
      <c r="G226" s="227" t="s">
        <v>3794</v>
      </c>
      <c r="H226" s="227" t="s">
        <v>3349</v>
      </c>
      <c r="I226" s="227" t="s">
        <v>1720</v>
      </c>
      <c r="J226" s="227">
        <v>29</v>
      </c>
      <c r="K226" s="227" t="s">
        <v>1428</v>
      </c>
      <c r="L226" s="227" t="s">
        <v>1428</v>
      </c>
      <c r="M226" s="227">
        <v>2.3</v>
      </c>
      <c r="N226" s="232">
        <v>2.7617994100295</v>
      </c>
      <c r="O226" s="230">
        <v>9.40864385032487</v>
      </c>
      <c r="P226" s="227" t="s">
        <v>1428</v>
      </c>
      <c r="Q226" s="269">
        <v>0.25</v>
      </c>
      <c r="R226" s="269">
        <f>SUM(J226:Q226)</f>
        <v>43.7204432603544</v>
      </c>
      <c r="S226" s="227" t="s">
        <v>7490</v>
      </c>
      <c r="T226" s="226" t="s">
        <v>7495</v>
      </c>
    </row>
    <row r="227" s="181" customFormat="1" ht="21" customHeight="1" spans="1:20">
      <c r="A227" s="322" t="s">
        <v>7496</v>
      </c>
      <c r="B227" s="253">
        <v>20241114</v>
      </c>
      <c r="C227" s="227">
        <v>7.2</v>
      </c>
      <c r="D227" s="322" t="s">
        <v>2377</v>
      </c>
      <c r="E227" s="254" t="s">
        <v>7497</v>
      </c>
      <c r="F227" s="253" t="s">
        <v>7489</v>
      </c>
      <c r="G227" s="227" t="s">
        <v>1428</v>
      </c>
      <c r="H227" s="227" t="s">
        <v>1428</v>
      </c>
      <c r="I227" s="227" t="s">
        <v>1428</v>
      </c>
      <c r="J227" s="227" t="s">
        <v>1428</v>
      </c>
      <c r="K227" s="227" t="s">
        <v>1428</v>
      </c>
      <c r="L227" s="227" t="s">
        <v>1428</v>
      </c>
      <c r="M227" s="227" t="s">
        <v>1428</v>
      </c>
      <c r="N227" s="232">
        <v>4.57227138643068</v>
      </c>
      <c r="O227" s="230">
        <v>20.6918575565979</v>
      </c>
      <c r="P227" s="227"/>
      <c r="Q227" s="269">
        <v>0.25</v>
      </c>
      <c r="R227" s="269">
        <f>SUM(J227:Q227)</f>
        <v>25.5141289430286</v>
      </c>
      <c r="S227" s="227" t="s">
        <v>1526</v>
      </c>
      <c r="T227" s="226" t="s">
        <v>7498</v>
      </c>
    </row>
    <row r="228" s="181" customFormat="1" ht="21" customHeight="1" spans="1:20">
      <c r="A228" s="322"/>
      <c r="B228" s="253">
        <v>20241114</v>
      </c>
      <c r="C228" s="227">
        <v>7.2</v>
      </c>
      <c r="D228" s="322" t="s">
        <v>310</v>
      </c>
      <c r="E228" s="254" t="s">
        <v>311</v>
      </c>
      <c r="F228" s="253"/>
      <c r="G228" s="227"/>
      <c r="H228" s="227"/>
      <c r="I228" s="227"/>
      <c r="J228" s="227"/>
      <c r="K228" s="227"/>
      <c r="L228" s="227"/>
      <c r="M228" s="227"/>
      <c r="N228" s="232">
        <v>0.553097345132743</v>
      </c>
      <c r="O228" s="230">
        <v>3.92853149038348</v>
      </c>
      <c r="P228" s="227" t="s">
        <v>1428</v>
      </c>
      <c r="Q228" s="269">
        <v>0.4</v>
      </c>
      <c r="R228" s="269">
        <f>SUM(J228:Q228)</f>
        <v>4.88162883551622</v>
      </c>
      <c r="S228" s="227"/>
      <c r="T228" s="226" t="s">
        <v>7486</v>
      </c>
    </row>
    <row r="229" s="181" customFormat="1" ht="21" customHeight="1" spans="1:20">
      <c r="A229" s="322"/>
      <c r="B229" s="253">
        <v>20241114</v>
      </c>
      <c r="C229" s="227">
        <v>7.2</v>
      </c>
      <c r="D229" s="322" t="s">
        <v>314</v>
      </c>
      <c r="E229" s="254" t="s">
        <v>315</v>
      </c>
      <c r="F229" s="253"/>
      <c r="G229" s="227"/>
      <c r="H229" s="227"/>
      <c r="I229" s="227"/>
      <c r="J229" s="227"/>
      <c r="K229" s="227"/>
      <c r="L229" s="227"/>
      <c r="M229" s="227"/>
      <c r="N229" s="232">
        <v>0.553097345132743</v>
      </c>
      <c r="O229" s="230">
        <v>4.38168689038348</v>
      </c>
      <c r="P229" s="227" t="s">
        <v>1428</v>
      </c>
      <c r="Q229" s="269">
        <v>0.2</v>
      </c>
      <c r="R229" s="269">
        <f>SUM(J229:Q229)</f>
        <v>5.13478423551622</v>
      </c>
      <c r="S229" s="227"/>
      <c r="T229" s="226" t="s">
        <v>7487</v>
      </c>
    </row>
    <row r="232" spans="1:20">
      <c r="A232" s="195" t="s">
        <v>7474</v>
      </c>
      <c r="B232" s="195"/>
      <c r="C232" s="195"/>
      <c r="D232" s="195"/>
      <c r="E232" s="196"/>
      <c r="F232" s="196"/>
      <c r="G232" s="197"/>
      <c r="H232" s="198"/>
      <c r="I232" s="198"/>
      <c r="J232" s="199"/>
      <c r="K232" s="200"/>
      <c r="L232" s="200"/>
      <c r="M232" s="200"/>
      <c r="N232" s="201"/>
      <c r="O232" s="201"/>
      <c r="P232" s="197"/>
      <c r="Q232" s="202"/>
      <c r="R232" s="202"/>
      <c r="S232" s="203"/>
      <c r="T232" s="80"/>
    </row>
    <row r="233" spans="1:20">
      <c r="A233" s="224" t="s">
        <v>1</v>
      </c>
      <c r="B233" s="224" t="s">
        <v>2</v>
      </c>
      <c r="C233" s="224" t="s">
        <v>1493</v>
      </c>
      <c r="D233" s="224" t="s">
        <v>4</v>
      </c>
      <c r="E233" s="75" t="s">
        <v>5</v>
      </c>
      <c r="F233" s="274" t="s">
        <v>1933</v>
      </c>
      <c r="G233" s="75" t="s">
        <v>4102</v>
      </c>
      <c r="H233" s="75" t="s">
        <v>4541</v>
      </c>
      <c r="I233" s="75" t="s">
        <v>1497</v>
      </c>
      <c r="J233" s="75" t="s">
        <v>4102</v>
      </c>
      <c r="K233" s="75" t="s">
        <v>4103</v>
      </c>
      <c r="L233" s="75" t="s">
        <v>4104</v>
      </c>
      <c r="M233" s="75" t="s">
        <v>1497</v>
      </c>
      <c r="N233" s="75" t="s">
        <v>6</v>
      </c>
      <c r="O233" s="75" t="s">
        <v>7</v>
      </c>
      <c r="P233" s="75" t="s">
        <v>5211</v>
      </c>
      <c r="Q233" s="75" t="s">
        <v>8</v>
      </c>
      <c r="R233" s="75" t="s">
        <v>9</v>
      </c>
      <c r="S233" s="75" t="s">
        <v>4105</v>
      </c>
      <c r="T233" s="75" t="s">
        <v>10</v>
      </c>
    </row>
    <row r="234" s="177" customFormat="1" spans="1:20">
      <c r="A234" s="226" t="s">
        <v>350</v>
      </c>
      <c r="B234" s="226">
        <v>20240814</v>
      </c>
      <c r="C234" s="226">
        <v>7.18</v>
      </c>
      <c r="D234" s="226" t="s">
        <v>7499</v>
      </c>
      <c r="E234" s="226" t="s">
        <v>1604</v>
      </c>
      <c r="F234" s="226" t="s">
        <v>2801</v>
      </c>
      <c r="G234" s="227" t="s">
        <v>2692</v>
      </c>
      <c r="H234" s="227" t="s">
        <v>1913</v>
      </c>
      <c r="I234" s="227" t="s">
        <v>1428</v>
      </c>
      <c r="J234" s="227">
        <v>240</v>
      </c>
      <c r="K234" s="227" t="s">
        <v>1428</v>
      </c>
      <c r="L234" s="227" t="s">
        <v>1428</v>
      </c>
      <c r="M234" s="227" t="s">
        <v>1428</v>
      </c>
      <c r="N234" s="231">
        <v>6.10373647984267</v>
      </c>
      <c r="O234" s="257">
        <v>25.9209518683923</v>
      </c>
      <c r="P234" s="231" t="s">
        <v>1428</v>
      </c>
      <c r="Q234" s="231">
        <v>3.81</v>
      </c>
      <c r="R234" s="269">
        <f>SUM(J234:Q234)</f>
        <v>275.834688348235</v>
      </c>
      <c r="S234" s="233" t="s">
        <v>1526</v>
      </c>
      <c r="T234" s="254" t="s">
        <v>7500</v>
      </c>
    </row>
    <row r="237" spans="1:20">
      <c r="A237" s="221" t="s">
        <v>7474</v>
      </c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3"/>
    </row>
    <row r="238" spans="1:20">
      <c r="A238" s="224" t="s">
        <v>1</v>
      </c>
      <c r="B238" s="224"/>
      <c r="C238" s="224"/>
      <c r="D238" s="224"/>
      <c r="E238" s="75" t="s">
        <v>5</v>
      </c>
      <c r="F238" s="75" t="s">
        <v>1933</v>
      </c>
      <c r="G238" s="75" t="s">
        <v>4102</v>
      </c>
      <c r="H238" s="75" t="s">
        <v>4541</v>
      </c>
      <c r="I238" s="75" t="s">
        <v>1497</v>
      </c>
      <c r="J238" s="75" t="s">
        <v>4102</v>
      </c>
      <c r="K238" s="75" t="s">
        <v>4103</v>
      </c>
      <c r="L238" s="75" t="s">
        <v>4104</v>
      </c>
      <c r="M238" s="75" t="s">
        <v>1497</v>
      </c>
      <c r="N238" s="75" t="s">
        <v>6</v>
      </c>
      <c r="O238" s="75" t="s">
        <v>7</v>
      </c>
      <c r="P238" s="75" t="s">
        <v>5211</v>
      </c>
      <c r="Q238" s="75" t="s">
        <v>8</v>
      </c>
      <c r="R238" s="75" t="s">
        <v>9</v>
      </c>
      <c r="S238" s="75" t="s">
        <v>4105</v>
      </c>
      <c r="T238" s="75" t="s">
        <v>10</v>
      </c>
    </row>
    <row r="239" spans="1:20">
      <c r="A239" s="228" t="s">
        <v>7407</v>
      </c>
      <c r="B239" s="226">
        <v>20241105</v>
      </c>
      <c r="C239" s="226">
        <v>7.11</v>
      </c>
      <c r="D239" s="226" t="s">
        <v>7446</v>
      </c>
      <c r="E239" s="284" t="s">
        <v>7447</v>
      </c>
      <c r="F239" s="243" t="s">
        <v>1933</v>
      </c>
      <c r="G239" s="244" t="s">
        <v>2323</v>
      </c>
      <c r="H239" s="245" t="s">
        <v>1913</v>
      </c>
      <c r="I239" s="245" t="s">
        <v>1428</v>
      </c>
      <c r="J239" s="227">
        <v>65</v>
      </c>
      <c r="K239" s="227" t="s">
        <v>1428</v>
      </c>
      <c r="L239" s="227" t="s">
        <v>1428</v>
      </c>
      <c r="M239" s="227" t="s">
        <v>1428</v>
      </c>
      <c r="N239" s="257">
        <v>3.81638723970974</v>
      </c>
      <c r="O239" s="257">
        <v>13.062779433886</v>
      </c>
      <c r="P239" s="231" t="s">
        <v>1428</v>
      </c>
      <c r="Q239" s="246">
        <v>2.92479108635098</v>
      </c>
      <c r="R239" s="269">
        <f>SUM(J239:Q239)</f>
        <v>84.8039577599467</v>
      </c>
      <c r="S239" s="243" t="s">
        <v>1526</v>
      </c>
      <c r="T239" s="226" t="s">
        <v>7433</v>
      </c>
    </row>
    <row r="240" spans="1:20">
      <c r="A240" s="228"/>
      <c r="B240" s="226">
        <v>20241105</v>
      </c>
      <c r="C240" s="226">
        <v>7.11</v>
      </c>
      <c r="D240" s="226" t="s">
        <v>7448</v>
      </c>
      <c r="E240" s="228" t="s">
        <v>7449</v>
      </c>
      <c r="F240" s="229"/>
      <c r="G240" s="227"/>
      <c r="H240" s="227"/>
      <c r="I240" s="227"/>
      <c r="J240" s="227"/>
      <c r="K240" s="227"/>
      <c r="L240" s="227"/>
      <c r="M240" s="227"/>
      <c r="N240" s="232">
        <v>0.421489007854134</v>
      </c>
      <c r="O240" s="230">
        <v>1.1196039270565</v>
      </c>
      <c r="P240" s="227"/>
      <c r="Q240" s="231">
        <v>0.2</v>
      </c>
      <c r="R240" s="269">
        <f>SUM(J240:Q240)</f>
        <v>1.74109293491063</v>
      </c>
      <c r="S240" s="233"/>
      <c r="T240" s="226"/>
    </row>
    <row r="243" spans="1:20">
      <c r="A243" s="195" t="s">
        <v>7474</v>
      </c>
      <c r="B243" s="195"/>
      <c r="C243" s="195"/>
      <c r="D243" s="195"/>
      <c r="E243" s="196"/>
      <c r="F243" s="196"/>
      <c r="G243" s="197"/>
      <c r="H243" s="198"/>
      <c r="I243" s="198"/>
      <c r="J243" s="199"/>
      <c r="K243" s="200"/>
      <c r="L243" s="200"/>
      <c r="M243" s="200"/>
      <c r="N243" s="201"/>
      <c r="O243" s="201"/>
      <c r="P243" s="197"/>
      <c r="Q243" s="202"/>
      <c r="R243" s="202"/>
      <c r="S243" s="203"/>
      <c r="T243" s="80"/>
    </row>
    <row r="244" spans="1:20">
      <c r="A244" s="224" t="s">
        <v>1</v>
      </c>
      <c r="B244" s="224" t="s">
        <v>2</v>
      </c>
      <c r="C244" s="224" t="s">
        <v>1493</v>
      </c>
      <c r="D244" s="206" t="s">
        <v>4</v>
      </c>
      <c r="E244" s="75" t="s">
        <v>5</v>
      </c>
      <c r="F244" s="75" t="s">
        <v>1933</v>
      </c>
      <c r="G244" s="75" t="s">
        <v>4102</v>
      </c>
      <c r="H244" s="75" t="s">
        <v>4541</v>
      </c>
      <c r="I244" s="75" t="s">
        <v>1497</v>
      </c>
      <c r="J244" s="75" t="s">
        <v>4102</v>
      </c>
      <c r="K244" s="75" t="s">
        <v>4103</v>
      </c>
      <c r="L244" s="75" t="s">
        <v>4104</v>
      </c>
      <c r="M244" s="75" t="s">
        <v>1497</v>
      </c>
      <c r="N244" s="75" t="s">
        <v>6</v>
      </c>
      <c r="O244" s="75" t="s">
        <v>7</v>
      </c>
      <c r="P244" s="75" t="s">
        <v>5211</v>
      </c>
      <c r="Q244" s="75" t="s">
        <v>8</v>
      </c>
      <c r="R244" s="75" t="s">
        <v>9</v>
      </c>
      <c r="S244" s="75" t="s">
        <v>4105</v>
      </c>
      <c r="T244" s="75" t="s">
        <v>10</v>
      </c>
    </row>
    <row r="245" s="177" customFormat="1" spans="1:20">
      <c r="A245" s="226" t="s">
        <v>817</v>
      </c>
      <c r="B245" s="226">
        <v>20241115</v>
      </c>
      <c r="C245" s="227">
        <v>7.2</v>
      </c>
      <c r="D245" s="226" t="s">
        <v>3749</v>
      </c>
      <c r="E245" s="228" t="s">
        <v>1629</v>
      </c>
      <c r="F245" s="229" t="s">
        <v>1933</v>
      </c>
      <c r="G245" s="227" t="s">
        <v>3542</v>
      </c>
      <c r="H245" s="227" t="s">
        <v>1913</v>
      </c>
      <c r="I245" s="227" t="s">
        <v>3750</v>
      </c>
      <c r="J245" s="227">
        <v>30</v>
      </c>
      <c r="K245" s="227" t="s">
        <v>1428</v>
      </c>
      <c r="L245" s="227" t="s">
        <v>1428</v>
      </c>
      <c r="M245" s="230">
        <v>1.8</v>
      </c>
      <c r="N245" s="232">
        <v>2.6252865629699</v>
      </c>
      <c r="O245" s="230">
        <v>11.3508116886922</v>
      </c>
      <c r="P245" s="227" t="s">
        <v>1428</v>
      </c>
      <c r="Q245" s="231">
        <v>2.67270194986072</v>
      </c>
      <c r="R245" s="269">
        <f>SUM(J245:Q245)</f>
        <v>48.4488002015228</v>
      </c>
      <c r="S245" s="233" t="s">
        <v>1526</v>
      </c>
      <c r="T245" s="228" t="s">
        <v>7501</v>
      </c>
    </row>
    <row r="246" s="177" customFormat="1" spans="1:20">
      <c r="A246" s="226"/>
      <c r="B246" s="226">
        <v>20241115</v>
      </c>
      <c r="C246" s="227">
        <v>7.2</v>
      </c>
      <c r="D246" s="226" t="s">
        <v>3752</v>
      </c>
      <c r="E246" s="228" t="s">
        <v>1645</v>
      </c>
      <c r="F246" s="229" t="s">
        <v>1933</v>
      </c>
      <c r="G246" s="227" t="s">
        <v>3553</v>
      </c>
      <c r="H246" s="227" t="s">
        <v>1913</v>
      </c>
      <c r="I246" s="227" t="s">
        <v>3750</v>
      </c>
      <c r="J246" s="227">
        <v>60</v>
      </c>
      <c r="K246" s="227" t="s">
        <v>1428</v>
      </c>
      <c r="L246" s="227" t="s">
        <v>1428</v>
      </c>
      <c r="M246" s="230">
        <v>1.8</v>
      </c>
      <c r="N246" s="232">
        <v>2.6252865629699</v>
      </c>
      <c r="O246" s="230">
        <v>11.3528848450344</v>
      </c>
      <c r="P246" s="227" t="s">
        <v>1428</v>
      </c>
      <c r="Q246" s="231">
        <v>2.67270194986072</v>
      </c>
      <c r="R246" s="269">
        <f>SUM(J246:Q246)</f>
        <v>78.450873357865</v>
      </c>
      <c r="S246" s="233" t="s">
        <v>1526</v>
      </c>
      <c r="T246" s="228" t="s">
        <v>7501</v>
      </c>
    </row>
    <row r="247" s="177" customFormat="1" spans="1:20">
      <c r="A247" s="226"/>
      <c r="B247" s="226">
        <v>20241022</v>
      </c>
      <c r="C247" s="227">
        <v>7.11</v>
      </c>
      <c r="D247" s="226" t="s">
        <v>818</v>
      </c>
      <c r="E247" s="228" t="s">
        <v>819</v>
      </c>
      <c r="F247" s="229"/>
      <c r="G247" s="227"/>
      <c r="H247" s="227"/>
      <c r="I247" s="227"/>
      <c r="J247" s="227"/>
      <c r="K247" s="227"/>
      <c r="L247" s="227"/>
      <c r="M247" s="227"/>
      <c r="N247" s="230">
        <v>0.338003933136676</v>
      </c>
      <c r="O247" s="230">
        <v>2.74647316447591</v>
      </c>
      <c r="P247" s="227" t="s">
        <v>1428</v>
      </c>
      <c r="Q247" s="231">
        <v>0.4</v>
      </c>
      <c r="R247" s="269">
        <f>SUM(J247:Q247)</f>
        <v>3.48447709761259</v>
      </c>
      <c r="S247" s="233"/>
      <c r="T247" s="228"/>
    </row>
    <row r="249" spans="1:20">
      <c r="A249" s="195" t="s">
        <v>7474</v>
      </c>
      <c r="B249" s="195"/>
      <c r="C249" s="195"/>
      <c r="D249" s="195"/>
      <c r="E249" s="196"/>
      <c r="F249" s="196"/>
      <c r="G249" s="197"/>
      <c r="H249" s="198"/>
      <c r="I249" s="198"/>
      <c r="J249" s="199"/>
      <c r="K249" s="296"/>
      <c r="L249" s="200"/>
      <c r="M249" s="200"/>
      <c r="N249" s="297"/>
      <c r="O249" s="201"/>
      <c r="P249" s="197"/>
      <c r="Q249" s="202"/>
      <c r="R249" s="202"/>
      <c r="S249" s="203"/>
      <c r="T249" s="80"/>
    </row>
    <row r="250" spans="1:20">
      <c r="A250" s="224" t="s">
        <v>1</v>
      </c>
      <c r="B250" s="224" t="s">
        <v>2</v>
      </c>
      <c r="C250" s="224" t="s">
        <v>1493</v>
      </c>
      <c r="D250" s="206" t="s">
        <v>4</v>
      </c>
      <c r="E250" s="75" t="s">
        <v>5</v>
      </c>
      <c r="F250" s="75" t="s">
        <v>1933</v>
      </c>
      <c r="G250" s="75" t="s">
        <v>4102</v>
      </c>
      <c r="H250" s="75" t="s">
        <v>4541</v>
      </c>
      <c r="I250" s="75" t="s">
        <v>1497</v>
      </c>
      <c r="J250" s="75" t="s">
        <v>4102</v>
      </c>
      <c r="K250" s="75" t="s">
        <v>4103</v>
      </c>
      <c r="L250" s="75" t="s">
        <v>4104</v>
      </c>
      <c r="M250" s="75" t="s">
        <v>1497</v>
      </c>
      <c r="N250" s="75" t="s">
        <v>6</v>
      </c>
      <c r="O250" s="75" t="s">
        <v>7</v>
      </c>
      <c r="P250" s="75" t="s">
        <v>5211</v>
      </c>
      <c r="Q250" s="75" t="s">
        <v>8</v>
      </c>
      <c r="R250" s="75" t="s">
        <v>9</v>
      </c>
      <c r="S250" s="75" t="s">
        <v>4105</v>
      </c>
      <c r="T250" s="75" t="s">
        <v>10</v>
      </c>
    </row>
    <row r="251" spans="1:20">
      <c r="A251" s="226" t="s">
        <v>7502</v>
      </c>
      <c r="B251" s="226">
        <v>20241115</v>
      </c>
      <c r="C251" s="226">
        <v>7.2</v>
      </c>
      <c r="D251" s="226" t="s">
        <v>7503</v>
      </c>
      <c r="E251" s="228" t="s">
        <v>1685</v>
      </c>
      <c r="F251" s="243" t="s">
        <v>2801</v>
      </c>
      <c r="G251" s="245" t="s">
        <v>2082</v>
      </c>
      <c r="H251" s="227" t="s">
        <v>1913</v>
      </c>
      <c r="I251" s="227" t="s">
        <v>1428</v>
      </c>
      <c r="J251" s="252">
        <v>105</v>
      </c>
      <c r="K251" s="227" t="s">
        <v>1428</v>
      </c>
      <c r="L251" s="227" t="s">
        <v>1428</v>
      </c>
      <c r="M251" s="227" t="s">
        <v>1428</v>
      </c>
      <c r="N251" s="231">
        <v>5.10685436192326</v>
      </c>
      <c r="O251" s="257">
        <v>13.8717435210914</v>
      </c>
      <c r="P251" s="231" t="s">
        <v>1428</v>
      </c>
      <c r="Q251" s="231">
        <v>3.16</v>
      </c>
      <c r="R251" s="269">
        <f>SUM(J251:Q251)</f>
        <v>127.138597883015</v>
      </c>
      <c r="S251" s="226" t="s">
        <v>1526</v>
      </c>
      <c r="T251" s="226" t="s">
        <v>7504</v>
      </c>
    </row>
    <row r="252" s="177" customFormat="1" spans="1:20">
      <c r="A252" s="192"/>
      <c r="B252" s="226">
        <v>20241115</v>
      </c>
      <c r="C252" s="226">
        <v>7.2</v>
      </c>
      <c r="D252" s="226" t="s">
        <v>68</v>
      </c>
      <c r="E252" s="323" t="s">
        <v>69</v>
      </c>
      <c r="F252" s="324"/>
      <c r="G252" s="245"/>
      <c r="H252" s="227"/>
      <c r="I252" s="227"/>
      <c r="J252" s="252"/>
      <c r="K252" s="227"/>
      <c r="L252" s="227"/>
      <c r="M252" s="227"/>
      <c r="N252" s="231">
        <v>0.430186823992134</v>
      </c>
      <c r="O252" s="231">
        <v>2.24281556442478</v>
      </c>
      <c r="P252" s="231"/>
      <c r="Q252" s="231">
        <v>0.2</v>
      </c>
      <c r="R252" s="231">
        <f>SUM(J252:Q252)</f>
        <v>2.87300238841691</v>
      </c>
      <c r="S252" s="226"/>
      <c r="T252" s="226" t="s">
        <v>70</v>
      </c>
    </row>
    <row r="255" spans="1:20">
      <c r="A255" s="195" t="s">
        <v>7474</v>
      </c>
      <c r="B255" s="195"/>
      <c r="C255" s="195"/>
      <c r="D255" s="195"/>
      <c r="E255" s="196"/>
      <c r="F255" s="196"/>
      <c r="G255" s="197"/>
      <c r="H255" s="198"/>
      <c r="I255" s="198"/>
      <c r="J255" s="199"/>
      <c r="K255" s="296"/>
      <c r="L255" s="200"/>
      <c r="M255" s="200"/>
      <c r="N255" s="297"/>
      <c r="O255" s="201"/>
      <c r="P255" s="197"/>
      <c r="Q255" s="202"/>
      <c r="R255" s="202"/>
      <c r="S255" s="203"/>
      <c r="T255" s="80"/>
    </row>
    <row r="256" spans="1:20">
      <c r="A256" s="224" t="s">
        <v>1</v>
      </c>
      <c r="B256" s="224" t="s">
        <v>2</v>
      </c>
      <c r="C256" s="224" t="s">
        <v>1493</v>
      </c>
      <c r="D256" s="206" t="s">
        <v>4</v>
      </c>
      <c r="E256" s="75" t="s">
        <v>5</v>
      </c>
      <c r="F256" s="75" t="s">
        <v>1933</v>
      </c>
      <c r="G256" s="75" t="s">
        <v>4102</v>
      </c>
      <c r="H256" s="75" t="s">
        <v>4541</v>
      </c>
      <c r="I256" s="75" t="s">
        <v>1497</v>
      </c>
      <c r="J256" s="75" t="s">
        <v>4102</v>
      </c>
      <c r="K256" s="75" t="s">
        <v>4103</v>
      </c>
      <c r="L256" s="75" t="s">
        <v>4104</v>
      </c>
      <c r="M256" s="75" t="s">
        <v>1497</v>
      </c>
      <c r="N256" s="75" t="s">
        <v>6</v>
      </c>
      <c r="O256" s="75" t="s">
        <v>7</v>
      </c>
      <c r="P256" s="75" t="s">
        <v>5211</v>
      </c>
      <c r="Q256" s="75" t="s">
        <v>8</v>
      </c>
      <c r="R256" s="75" t="s">
        <v>9</v>
      </c>
      <c r="S256" s="75" t="s">
        <v>4105</v>
      </c>
      <c r="T256" s="75" t="s">
        <v>10</v>
      </c>
    </row>
    <row r="257" spans="1:21">
      <c r="A257" s="226" t="s">
        <v>7407</v>
      </c>
      <c r="B257" s="272">
        <v>20241028</v>
      </c>
      <c r="C257" s="272">
        <v>7.11</v>
      </c>
      <c r="D257" s="272" t="s">
        <v>7432</v>
      </c>
      <c r="E257" s="311" t="s">
        <v>2364</v>
      </c>
      <c r="F257" s="302" t="s">
        <v>1933</v>
      </c>
      <c r="G257" s="309" t="s">
        <v>2326</v>
      </c>
      <c r="H257" s="309" t="s">
        <v>1913</v>
      </c>
      <c r="I257" s="309" t="s">
        <v>1428</v>
      </c>
      <c r="J257" s="325">
        <v>97.5</v>
      </c>
      <c r="K257" s="303" t="s">
        <v>1428</v>
      </c>
      <c r="L257" s="303" t="s">
        <v>1428</v>
      </c>
      <c r="M257" s="303" t="s">
        <v>1428</v>
      </c>
      <c r="N257" s="306">
        <v>3.81638723970974</v>
      </c>
      <c r="O257" s="306">
        <v>13.9036373471267</v>
      </c>
      <c r="P257" s="305" t="s">
        <v>1428</v>
      </c>
      <c r="Q257" s="307">
        <v>2.92479108635098</v>
      </c>
      <c r="R257" s="305">
        <f>SUM(J257:Q257)+1</f>
        <v>119.144815673187</v>
      </c>
      <c r="S257" s="302" t="s">
        <v>1526</v>
      </c>
      <c r="T257" s="272" t="s">
        <v>7433</v>
      </c>
    </row>
    <row r="258" spans="1:21">
      <c r="B258" s="272">
        <v>20241107</v>
      </c>
      <c r="C258" s="272">
        <v>7.11</v>
      </c>
      <c r="D258" s="272" t="s">
        <v>7505</v>
      </c>
      <c r="E258" s="311" t="s">
        <v>7506</v>
      </c>
      <c r="F258" s="311" t="s">
        <v>7507</v>
      </c>
      <c r="G258" s="326" t="s">
        <v>2338</v>
      </c>
      <c r="H258" s="309" t="s">
        <v>1913</v>
      </c>
      <c r="I258" s="309" t="s">
        <v>1428</v>
      </c>
      <c r="J258" s="325">
        <v>135</v>
      </c>
      <c r="K258" s="303" t="s">
        <v>1428</v>
      </c>
      <c r="L258" s="303" t="s">
        <v>1428</v>
      </c>
      <c r="M258" s="303" t="s">
        <v>1428</v>
      </c>
      <c r="N258" s="305">
        <v>3.6879379659709</v>
      </c>
      <c r="O258" s="305">
        <v>13.4427262534409</v>
      </c>
      <c r="P258" s="303"/>
      <c r="Q258" s="305">
        <v>2.92479108635098</v>
      </c>
      <c r="R258" s="305">
        <f>SUM(J258:Q258)+1</f>
        <v>156.055455305763</v>
      </c>
      <c r="S258" s="302" t="s">
        <v>1526</v>
      </c>
      <c r="T258" s="272" t="s">
        <v>7508</v>
      </c>
    </row>
    <row r="259" spans="1:21">
      <c r="B259" s="272">
        <v>20241113</v>
      </c>
      <c r="C259" s="272">
        <v>7.2</v>
      </c>
      <c r="D259" s="272" t="s">
        <v>1405</v>
      </c>
      <c r="E259" s="311" t="s">
        <v>21</v>
      </c>
      <c r="F259" s="302"/>
      <c r="G259" s="309"/>
      <c r="H259" s="309"/>
      <c r="I259" s="309"/>
      <c r="J259" s="325"/>
      <c r="K259" s="303"/>
      <c r="L259" s="303"/>
      <c r="M259" s="303"/>
      <c r="N259" s="305">
        <v>0.417895771878073</v>
      </c>
      <c r="O259" s="306">
        <v>2.4839641920354</v>
      </c>
      <c r="P259" s="305" t="s">
        <v>1428</v>
      </c>
      <c r="Q259" s="305">
        <v>0.4</v>
      </c>
      <c r="R259" s="305">
        <v>3.32250365303669</v>
      </c>
      <c r="S259" s="302"/>
      <c r="T259" s="272" t="s">
        <v>7478</v>
      </c>
    </row>
    <row r="261" spans="1:21">
      <c r="A261" s="195" t="s">
        <v>7474</v>
      </c>
      <c r="B261" s="195"/>
      <c r="C261" s="195"/>
      <c r="D261" s="195"/>
      <c r="E261" s="196"/>
      <c r="F261" s="196"/>
      <c r="G261" s="197"/>
      <c r="H261" s="198"/>
      <c r="I261" s="198"/>
      <c r="J261" s="199"/>
      <c r="K261" s="200"/>
      <c r="L261" s="200"/>
      <c r="M261" s="200"/>
      <c r="N261" s="201"/>
      <c r="O261" s="201"/>
      <c r="P261" s="197"/>
      <c r="Q261" s="202"/>
      <c r="R261" s="202"/>
      <c r="S261" s="203"/>
      <c r="T261" s="80"/>
      <c r="U261" s="81"/>
    </row>
    <row r="262" spans="1:21">
      <c r="A262" s="224" t="s">
        <v>1</v>
      </c>
      <c r="B262" s="224" t="s">
        <v>2</v>
      </c>
      <c r="C262" s="224" t="s">
        <v>1493</v>
      </c>
      <c r="D262" s="206" t="s">
        <v>4</v>
      </c>
      <c r="E262" s="75" t="s">
        <v>5</v>
      </c>
      <c r="F262" s="75" t="s">
        <v>1933</v>
      </c>
      <c r="G262" s="75" t="s">
        <v>4102</v>
      </c>
      <c r="H262" s="75" t="s">
        <v>4541</v>
      </c>
      <c r="I262" s="75" t="s">
        <v>1497</v>
      </c>
      <c r="J262" s="75" t="s">
        <v>4102</v>
      </c>
      <c r="K262" s="75" t="s">
        <v>4103</v>
      </c>
      <c r="L262" s="75" t="s">
        <v>4104</v>
      </c>
      <c r="M262" s="75" t="s">
        <v>1497</v>
      </c>
      <c r="N262" s="75" t="s">
        <v>6</v>
      </c>
      <c r="O262" s="75" t="s">
        <v>7</v>
      </c>
      <c r="P262" s="75" t="s">
        <v>5211</v>
      </c>
      <c r="Q262" s="75" t="s">
        <v>8</v>
      </c>
      <c r="R262" s="75" t="s">
        <v>9</v>
      </c>
      <c r="S262" s="75" t="s">
        <v>4105</v>
      </c>
      <c r="T262" s="75" t="s">
        <v>10</v>
      </c>
      <c r="U262" s="327"/>
    </row>
    <row r="263" spans="1:21">
      <c r="A263" s="225" t="s">
        <v>820</v>
      </c>
      <c r="B263" s="226">
        <v>20241118</v>
      </c>
      <c r="C263" s="226">
        <v>7.2</v>
      </c>
      <c r="D263" s="226" t="s">
        <v>7509</v>
      </c>
      <c r="E263" s="228" t="s">
        <v>1645</v>
      </c>
      <c r="F263" s="243" t="s">
        <v>1933</v>
      </c>
      <c r="G263" s="245" t="s">
        <v>3542</v>
      </c>
      <c r="H263" s="227" t="s">
        <v>1428</v>
      </c>
      <c r="I263" s="227" t="s">
        <v>1633</v>
      </c>
      <c r="J263" s="252">
        <v>30</v>
      </c>
      <c r="K263" s="227" t="s">
        <v>1428</v>
      </c>
      <c r="L263" s="227" t="s">
        <v>1428</v>
      </c>
      <c r="M263" s="227">
        <v>1.7</v>
      </c>
      <c r="N263" s="257">
        <v>2.45821042281219</v>
      </c>
      <c r="O263" s="257">
        <v>11.0792965173805</v>
      </c>
      <c r="P263" s="231" t="s">
        <v>1428</v>
      </c>
      <c r="Q263" s="231">
        <v>2.9625</v>
      </c>
      <c r="R263" s="269">
        <f>SUM(J263:Q263)</f>
        <v>48.2000069401927</v>
      </c>
      <c r="S263" s="226" t="s">
        <v>1526</v>
      </c>
      <c r="T263" s="226" t="s">
        <v>7510</v>
      </c>
    </row>
    <row r="264" spans="1:21">
      <c r="A264" s="275"/>
      <c r="B264" s="226">
        <v>20241118</v>
      </c>
      <c r="C264" s="226">
        <v>7.2</v>
      </c>
      <c r="D264" s="226" t="s">
        <v>7511</v>
      </c>
      <c r="E264" s="228" t="s">
        <v>1571</v>
      </c>
      <c r="F264" s="243" t="s">
        <v>3540</v>
      </c>
      <c r="G264" s="245" t="s">
        <v>7512</v>
      </c>
      <c r="H264" s="227" t="s">
        <v>1428</v>
      </c>
      <c r="I264" s="227" t="s">
        <v>1720</v>
      </c>
      <c r="J264" s="252" t="s">
        <v>1428</v>
      </c>
      <c r="K264" s="227" t="s">
        <v>1428</v>
      </c>
      <c r="L264" s="227" t="s">
        <v>1428</v>
      </c>
      <c r="M264" s="227">
        <v>2.3</v>
      </c>
      <c r="N264" s="257">
        <v>2.45821042281219</v>
      </c>
      <c r="O264" s="257">
        <v>10.7637703949813</v>
      </c>
      <c r="P264" s="231" t="s">
        <v>1428</v>
      </c>
      <c r="Q264" s="231">
        <v>2.9625</v>
      </c>
      <c r="R264" s="269">
        <f>SUM(J264:Q264)</f>
        <v>18.4844808177935</v>
      </c>
      <c r="S264" s="226" t="s">
        <v>1526</v>
      </c>
      <c r="T264" s="226" t="s">
        <v>7513</v>
      </c>
    </row>
    <row r="265" spans="1:21">
      <c r="A265" s="234"/>
      <c r="B265" s="226">
        <v>20241118</v>
      </c>
      <c r="C265" s="226">
        <v>7.2</v>
      </c>
      <c r="D265" s="226" t="s">
        <v>3753</v>
      </c>
      <c r="E265" s="228" t="s">
        <v>1685</v>
      </c>
      <c r="F265" s="243" t="s">
        <v>3767</v>
      </c>
      <c r="G265" s="245" t="s">
        <v>3542</v>
      </c>
      <c r="H265" s="227" t="s">
        <v>1428</v>
      </c>
      <c r="I265" s="227" t="s">
        <v>1635</v>
      </c>
      <c r="J265" s="252">
        <v>30</v>
      </c>
      <c r="K265" s="227" t="s">
        <v>1428</v>
      </c>
      <c r="L265" s="227" t="s">
        <v>1428</v>
      </c>
      <c r="M265" s="227">
        <v>3.3</v>
      </c>
      <c r="N265" s="257">
        <v>2.46435594886922</v>
      </c>
      <c r="O265" s="257">
        <v>10.823603405762</v>
      </c>
      <c r="P265" s="231" t="s">
        <v>1428</v>
      </c>
      <c r="Q265" s="231">
        <v>2.9625</v>
      </c>
      <c r="R265" s="269">
        <f>SUM(J265:Q265)</f>
        <v>49.5504593546312</v>
      </c>
      <c r="S265" s="226" t="s">
        <v>1526</v>
      </c>
      <c r="T265" s="226" t="s">
        <v>7514</v>
      </c>
    </row>
    <row r="269" spans="1:21">
      <c r="A269" s="195" t="s">
        <v>7474</v>
      </c>
      <c r="B269" s="195"/>
      <c r="C269" s="195"/>
      <c r="D269" s="195"/>
      <c r="E269" s="196"/>
      <c r="F269" s="196"/>
      <c r="G269" s="197"/>
      <c r="H269" s="198"/>
      <c r="I269" s="198"/>
      <c r="J269" s="199"/>
      <c r="K269" s="200"/>
      <c r="L269" s="200"/>
      <c r="M269" s="200"/>
      <c r="N269" s="201"/>
      <c r="O269" s="201"/>
      <c r="P269" s="197"/>
      <c r="Q269" s="202"/>
      <c r="R269" s="202"/>
      <c r="S269" s="203"/>
      <c r="T269" s="80"/>
      <c r="U269" s="81"/>
    </row>
    <row r="270" spans="1:21">
      <c r="A270" s="224" t="s">
        <v>1</v>
      </c>
      <c r="B270" s="224"/>
      <c r="C270" s="224"/>
      <c r="D270" s="224"/>
      <c r="E270" s="75" t="s">
        <v>5</v>
      </c>
      <c r="F270" s="75" t="s">
        <v>1933</v>
      </c>
      <c r="G270" s="75" t="s">
        <v>4102</v>
      </c>
      <c r="H270" s="75" t="s">
        <v>4541</v>
      </c>
      <c r="I270" s="75" t="s">
        <v>1497</v>
      </c>
      <c r="J270" s="75" t="s">
        <v>4102</v>
      </c>
      <c r="K270" s="298" t="s">
        <v>4103</v>
      </c>
      <c r="L270" s="75" t="s">
        <v>4104</v>
      </c>
      <c r="M270" s="75" t="s">
        <v>1497</v>
      </c>
      <c r="N270" s="298" t="s">
        <v>6</v>
      </c>
      <c r="O270" s="75" t="s">
        <v>7</v>
      </c>
      <c r="P270" s="75" t="s">
        <v>5211</v>
      </c>
      <c r="Q270" s="75" t="s">
        <v>8</v>
      </c>
      <c r="R270" s="75" t="s">
        <v>9</v>
      </c>
      <c r="S270" s="75" t="s">
        <v>4105</v>
      </c>
      <c r="T270" s="75" t="s">
        <v>10</v>
      </c>
    </row>
    <row r="271" spans="1:21">
      <c r="A271" s="225" t="s">
        <v>7515</v>
      </c>
      <c r="B271" s="226">
        <v>20240905</v>
      </c>
      <c r="C271" s="226">
        <v>7.11</v>
      </c>
      <c r="D271" s="226" t="s">
        <v>4125</v>
      </c>
      <c r="E271" s="228" t="s">
        <v>4126</v>
      </c>
      <c r="F271" s="243" t="s">
        <v>2801</v>
      </c>
      <c r="G271" s="245" t="s">
        <v>7516</v>
      </c>
      <c r="H271" s="227" t="s">
        <v>1913</v>
      </c>
      <c r="I271" s="227" t="s">
        <v>1428</v>
      </c>
      <c r="J271" s="252" t="s">
        <v>1428</v>
      </c>
      <c r="K271" s="227" t="s">
        <v>1428</v>
      </c>
      <c r="L271" s="227" t="s">
        <v>1428</v>
      </c>
      <c r="M271" s="227" t="s">
        <v>1428</v>
      </c>
      <c r="N271" s="257">
        <v>4.88903824850952</v>
      </c>
      <c r="O271" s="257">
        <v>26.2122284553097</v>
      </c>
      <c r="P271" s="231" t="s">
        <v>1428</v>
      </c>
      <c r="Q271" s="231">
        <v>4.3</v>
      </c>
      <c r="R271" s="269">
        <f>SUM(J271:Q271)</f>
        <v>35.4012667038192</v>
      </c>
      <c r="S271" s="226" t="s">
        <v>1526</v>
      </c>
      <c r="T271" s="226" t="s">
        <v>7517</v>
      </c>
    </row>
    <row r="272" spans="1:21">
      <c r="A272" s="225"/>
      <c r="B272" s="226">
        <v>20241118</v>
      </c>
      <c r="C272" s="226">
        <v>7.2</v>
      </c>
      <c r="D272" s="226" t="s">
        <v>737</v>
      </c>
      <c r="E272" s="228" t="s">
        <v>738</v>
      </c>
      <c r="F272" s="243"/>
      <c r="G272" s="245"/>
      <c r="H272" s="227"/>
      <c r="I272" s="227"/>
      <c r="J272" s="252"/>
      <c r="K272" s="227"/>
      <c r="L272" s="227"/>
      <c r="M272" s="227"/>
      <c r="N272" s="257">
        <v>0.355211406096362</v>
      </c>
      <c r="O272" s="257">
        <v>1.51979846955752</v>
      </c>
      <c r="P272" s="231" t="s">
        <v>1428</v>
      </c>
      <c r="Q272" s="231">
        <v>0.2</v>
      </c>
      <c r="R272" s="269">
        <f>SUM(J272:Q272)</f>
        <v>2.07500987565388</v>
      </c>
      <c r="S272" s="226"/>
      <c r="T272" s="226"/>
    </row>
    <row r="273" spans="1:20">
      <c r="A273" s="227"/>
      <c r="B273" s="226"/>
      <c r="C273" s="226"/>
      <c r="D273" s="226"/>
      <c r="E273" s="228" t="s">
        <v>7518</v>
      </c>
      <c r="F273" s="243"/>
      <c r="G273" s="245"/>
      <c r="H273" s="227" t="s">
        <v>7519</v>
      </c>
      <c r="I273" s="227"/>
      <c r="J273" s="252"/>
      <c r="K273" s="328">
        <v>32.5</v>
      </c>
      <c r="L273" s="227"/>
      <c r="M273" s="227"/>
      <c r="N273" s="257"/>
      <c r="O273" s="257"/>
      <c r="P273" s="231"/>
      <c r="Q273" s="231"/>
      <c r="R273" s="269">
        <f>SUM(J273:Q273)</f>
        <v>32.5</v>
      </c>
      <c r="S273" s="226" t="s">
        <v>7520</v>
      </c>
      <c r="T273" s="226"/>
    </row>
    <row r="274" spans="1:20">
      <c r="A274" s="227"/>
      <c r="B274" s="226"/>
      <c r="C274" s="226"/>
      <c r="D274" s="226"/>
      <c r="E274" s="228" t="s">
        <v>7521</v>
      </c>
      <c r="F274" s="243"/>
      <c r="G274" s="245"/>
      <c r="H274" s="227"/>
      <c r="I274" s="227" t="s">
        <v>7522</v>
      </c>
      <c r="J274" s="252"/>
      <c r="K274" s="227"/>
      <c r="L274" s="227"/>
      <c r="M274" s="227">
        <v>8</v>
      </c>
      <c r="N274" s="257"/>
      <c r="O274" s="257"/>
      <c r="P274" s="231"/>
      <c r="Q274" s="231"/>
      <c r="R274" s="269">
        <f>SUM(J274:Q274)</f>
        <v>8</v>
      </c>
      <c r="S274" s="226"/>
      <c r="T274" s="226"/>
    </row>
    <row r="276" spans="1:20">
      <c r="A276" s="221" t="s">
        <v>7474</v>
      </c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3"/>
    </row>
    <row r="277" spans="1:20">
      <c r="A277" s="224" t="s">
        <v>1</v>
      </c>
      <c r="B277" s="224"/>
      <c r="C277" s="224"/>
      <c r="D277" s="224"/>
      <c r="E277" s="75" t="s">
        <v>5</v>
      </c>
      <c r="F277" s="75" t="s">
        <v>1933</v>
      </c>
      <c r="G277" s="75" t="s">
        <v>4102</v>
      </c>
      <c r="H277" s="75" t="s">
        <v>4541</v>
      </c>
      <c r="I277" s="75" t="s">
        <v>1497</v>
      </c>
      <c r="J277" s="75" t="s">
        <v>4102</v>
      </c>
      <c r="K277" s="75" t="s">
        <v>4103</v>
      </c>
      <c r="L277" s="75" t="s">
        <v>4104</v>
      </c>
      <c r="M277" s="75" t="s">
        <v>1497</v>
      </c>
      <c r="N277" s="75" t="s">
        <v>6</v>
      </c>
      <c r="O277" s="75" t="s">
        <v>7</v>
      </c>
      <c r="P277" s="75" t="s">
        <v>5211</v>
      </c>
      <c r="Q277" s="75" t="s">
        <v>8</v>
      </c>
      <c r="R277" s="75" t="s">
        <v>9</v>
      </c>
      <c r="S277" s="75" t="s">
        <v>4105</v>
      </c>
      <c r="T277" s="75" t="s">
        <v>10</v>
      </c>
    </row>
    <row r="278" s="177" customFormat="1" ht="25" customHeight="1" spans="1:20">
      <c r="A278" s="227"/>
      <c r="B278" s="226">
        <v>20241023</v>
      </c>
      <c r="C278" s="226">
        <v>7.11</v>
      </c>
      <c r="D278" s="226" t="s">
        <v>187</v>
      </c>
      <c r="E278" s="226" t="s">
        <v>188</v>
      </c>
      <c r="F278" s="227" t="s">
        <v>1428</v>
      </c>
      <c r="G278" s="227" t="s">
        <v>1428</v>
      </c>
      <c r="H278" s="227" t="s">
        <v>1428</v>
      </c>
      <c r="I278" s="227" t="s">
        <v>1428</v>
      </c>
      <c r="J278" s="227" t="s">
        <v>1428</v>
      </c>
      <c r="K278" s="227" t="s">
        <v>1428</v>
      </c>
      <c r="L278" s="227" t="s">
        <v>1428</v>
      </c>
      <c r="M278" s="227" t="s">
        <v>1428</v>
      </c>
      <c r="N278" s="232">
        <f>0.431898236311813*7.11/7.2</f>
        <v>0.426499508357915</v>
      </c>
      <c r="O278" s="232">
        <f>1.46277730114634*7.11/7.2</f>
        <v>1.44449258488201</v>
      </c>
      <c r="P278" s="227" t="s">
        <v>1428</v>
      </c>
      <c r="Q278" s="231">
        <v>0.2</v>
      </c>
      <c r="R278" s="269">
        <f>SUM(J278:Q278)</f>
        <v>2.07099209323992</v>
      </c>
      <c r="S278" s="233"/>
      <c r="T278" s="226" t="s">
        <v>7421</v>
      </c>
    </row>
    <row r="281" ht="24" customHeight="1"/>
    <row r="282" spans="1:20">
      <c r="A282" s="195" t="s">
        <v>7523</v>
      </c>
      <c r="B282" s="195"/>
      <c r="C282" s="195"/>
      <c r="D282" s="195"/>
      <c r="E282" s="196"/>
      <c r="F282" s="196"/>
      <c r="G282" s="197"/>
      <c r="H282" s="198"/>
      <c r="I282" s="198"/>
      <c r="J282" s="199"/>
      <c r="K282" s="200"/>
      <c r="L282" s="200"/>
      <c r="M282" s="200"/>
      <c r="N282" s="201"/>
      <c r="O282" s="201"/>
      <c r="P282" s="197"/>
      <c r="Q282" s="202"/>
      <c r="R282" s="202"/>
      <c r="S282" s="203"/>
      <c r="T282" s="80"/>
    </row>
    <row r="283" spans="1:20">
      <c r="A283" s="224" t="s">
        <v>1</v>
      </c>
      <c r="B283" s="224" t="s">
        <v>2</v>
      </c>
      <c r="C283" s="224" t="s">
        <v>1493</v>
      </c>
      <c r="D283" s="75" t="s">
        <v>4</v>
      </c>
      <c r="E283" s="75" t="s">
        <v>5</v>
      </c>
      <c r="F283" s="75" t="s">
        <v>1933</v>
      </c>
      <c r="G283" s="75" t="s">
        <v>4102</v>
      </c>
      <c r="H283" s="75" t="s">
        <v>4541</v>
      </c>
      <c r="I283" s="75" t="s">
        <v>1497</v>
      </c>
      <c r="J283" s="75" t="s">
        <v>4102</v>
      </c>
      <c r="K283" s="75" t="s">
        <v>4103</v>
      </c>
      <c r="L283" s="75" t="s">
        <v>4104</v>
      </c>
      <c r="M283" s="75" t="s">
        <v>1497</v>
      </c>
      <c r="N283" s="75" t="s">
        <v>6</v>
      </c>
      <c r="O283" s="75" t="s">
        <v>7</v>
      </c>
      <c r="P283" s="75" t="s">
        <v>5211</v>
      </c>
      <c r="Q283" s="75" t="s">
        <v>8</v>
      </c>
      <c r="R283" s="75" t="s">
        <v>9</v>
      </c>
      <c r="S283" s="75" t="s">
        <v>4105</v>
      </c>
      <c r="T283" s="75" t="s">
        <v>10</v>
      </c>
    </row>
    <row r="284" spans="1:20">
      <c r="A284" s="227" t="s">
        <v>792</v>
      </c>
      <c r="B284" s="226">
        <v>20241118</v>
      </c>
      <c r="C284" s="226">
        <v>7.2</v>
      </c>
      <c r="D284" s="226" t="s">
        <v>3703</v>
      </c>
      <c r="E284" s="228" t="s">
        <v>1671</v>
      </c>
      <c r="F284" s="243" t="s">
        <v>3540</v>
      </c>
      <c r="G284" s="245" t="s">
        <v>3542</v>
      </c>
      <c r="H284" s="227" t="s">
        <v>3663</v>
      </c>
      <c r="I284" s="227" t="s">
        <v>1720</v>
      </c>
      <c r="J284" s="252">
        <v>30</v>
      </c>
      <c r="K284" s="227" t="s">
        <v>1428</v>
      </c>
      <c r="L284" s="247">
        <v>7</v>
      </c>
      <c r="M284" s="227">
        <v>2.3</v>
      </c>
      <c r="N284" s="257">
        <v>2.94417971409122</v>
      </c>
      <c r="O284" s="257">
        <v>9.2307528130297</v>
      </c>
      <c r="P284" s="231" t="s">
        <v>1428</v>
      </c>
      <c r="Q284" s="231">
        <v>3.04404278167323</v>
      </c>
      <c r="R284" s="269">
        <f>SUM(J284:Q284)</f>
        <v>54.5189753087941</v>
      </c>
      <c r="S284" s="226" t="s">
        <v>7524</v>
      </c>
      <c r="T284" s="226" t="s">
        <v>7525</v>
      </c>
    </row>
    <row r="285" spans="1:20">
      <c r="A285" s="227" t="s">
        <v>7403</v>
      </c>
      <c r="B285" s="226">
        <v>20241118</v>
      </c>
      <c r="C285" s="226">
        <v>7.2</v>
      </c>
      <c r="D285" s="226" t="s">
        <v>3735</v>
      </c>
      <c r="E285" s="228" t="s">
        <v>1685</v>
      </c>
      <c r="F285" s="243" t="s">
        <v>3540</v>
      </c>
      <c r="G285" s="245" t="s">
        <v>3542</v>
      </c>
      <c r="H285" s="227" t="s">
        <v>1913</v>
      </c>
      <c r="I285" s="227" t="s">
        <v>1720</v>
      </c>
      <c r="J285" s="252">
        <v>30</v>
      </c>
      <c r="K285" s="227" t="s">
        <v>1428</v>
      </c>
      <c r="L285" s="227" t="s">
        <v>1428</v>
      </c>
      <c r="M285" s="227">
        <v>2.3</v>
      </c>
      <c r="N285" s="257">
        <v>2.10409059966582</v>
      </c>
      <c r="O285" s="257">
        <v>9.43188265635005</v>
      </c>
      <c r="P285" s="231" t="s">
        <v>1428</v>
      </c>
      <c r="Q285" s="231">
        <v>2.42925</v>
      </c>
      <c r="R285" s="269">
        <f>SUM(J285:Q285)</f>
        <v>46.2652232560159</v>
      </c>
      <c r="S285" s="226" t="s">
        <v>1526</v>
      </c>
      <c r="T285" s="226" t="s">
        <v>3736</v>
      </c>
    </row>
    <row r="288" spans="1:20">
      <c r="A288" s="195" t="s">
        <v>7523</v>
      </c>
      <c r="B288" s="195"/>
      <c r="C288" s="195"/>
      <c r="D288" s="195"/>
      <c r="E288" s="196"/>
      <c r="F288" s="196"/>
      <c r="G288" s="197"/>
      <c r="H288" s="198"/>
      <c r="I288" s="198"/>
      <c r="J288" s="199"/>
      <c r="K288" s="200"/>
      <c r="L288" s="200"/>
      <c r="M288" s="200"/>
      <c r="N288" s="201"/>
      <c r="O288" s="201"/>
      <c r="P288" s="197"/>
      <c r="Q288" s="202"/>
      <c r="R288" s="202"/>
      <c r="S288" s="203"/>
      <c r="T288" s="80"/>
    </row>
    <row r="289" spans="1:20">
      <c r="A289" s="224" t="s">
        <v>1</v>
      </c>
      <c r="B289" s="224" t="s">
        <v>2</v>
      </c>
      <c r="C289" s="224" t="s">
        <v>1493</v>
      </c>
      <c r="D289" s="75" t="s">
        <v>4</v>
      </c>
      <c r="E289" s="75" t="s">
        <v>5</v>
      </c>
      <c r="F289" s="75" t="s">
        <v>1933</v>
      </c>
      <c r="G289" s="75" t="s">
        <v>4102</v>
      </c>
      <c r="H289" s="75" t="s">
        <v>4541</v>
      </c>
      <c r="I289" s="75" t="s">
        <v>1497</v>
      </c>
      <c r="J289" s="75" t="s">
        <v>4102</v>
      </c>
      <c r="K289" s="75" t="s">
        <v>4103</v>
      </c>
      <c r="L289" s="75" t="s">
        <v>4104</v>
      </c>
      <c r="M289" s="75" t="s">
        <v>1497</v>
      </c>
      <c r="N289" s="75" t="s">
        <v>6</v>
      </c>
      <c r="O289" s="75" t="s">
        <v>7</v>
      </c>
      <c r="P289" s="75" t="s">
        <v>5211</v>
      </c>
      <c r="Q289" s="75" t="s">
        <v>8</v>
      </c>
      <c r="R289" s="75" t="s">
        <v>9</v>
      </c>
      <c r="S289" s="75" t="s">
        <v>4105</v>
      </c>
      <c r="T289" s="75" t="s">
        <v>10</v>
      </c>
    </row>
    <row r="290" spans="1:20">
      <c r="A290" s="227" t="s">
        <v>7407</v>
      </c>
      <c r="B290" s="226">
        <v>20241009</v>
      </c>
      <c r="C290" s="226">
        <v>7.11</v>
      </c>
      <c r="D290" s="226" t="s">
        <v>7526</v>
      </c>
      <c r="E290" s="228" t="s">
        <v>7527</v>
      </c>
      <c r="F290" s="243" t="s">
        <v>4284</v>
      </c>
      <c r="G290" s="245" t="s">
        <v>2566</v>
      </c>
      <c r="H290" s="227" t="s">
        <v>1913</v>
      </c>
      <c r="I290" s="227"/>
      <c r="J290" s="252">
        <v>130</v>
      </c>
      <c r="K290" s="227" t="s">
        <v>1428</v>
      </c>
      <c r="L290" s="227" t="s">
        <v>1428</v>
      </c>
      <c r="M290" s="227" t="s">
        <v>1428</v>
      </c>
      <c r="N290" s="257">
        <f>3.68818689867194*7.11/7.2</f>
        <v>3.64208456243854</v>
      </c>
      <c r="O290" s="257">
        <f>12.6741304628244*7.11/7.2</f>
        <v>12.5157038320391</v>
      </c>
      <c r="P290" s="231" t="s">
        <v>1428</v>
      </c>
      <c r="Q290" s="231">
        <v>2.88823119777159</v>
      </c>
      <c r="R290" s="269">
        <f>SUM(J290:Q290)+1</f>
        <v>150.046019592249</v>
      </c>
      <c r="S290" s="226" t="s">
        <v>1526</v>
      </c>
      <c r="T290" s="226" t="s">
        <v>7528</v>
      </c>
    </row>
    <row r="291" spans="1:20">
      <c r="A291" s="227"/>
      <c r="B291" s="226">
        <v>20240930</v>
      </c>
      <c r="C291" s="226">
        <v>7.11</v>
      </c>
      <c r="D291" s="226" t="s">
        <v>591</v>
      </c>
      <c r="E291" s="228" t="s">
        <v>592</v>
      </c>
      <c r="F291" s="243"/>
      <c r="G291" s="245"/>
      <c r="H291" s="227"/>
      <c r="I291" s="227"/>
      <c r="J291" s="252"/>
      <c r="K291" s="227"/>
      <c r="L291" s="227"/>
      <c r="M291" s="227"/>
      <c r="N291" s="257">
        <f>0.387090350123844*7.11/7.2</f>
        <v>0.382251720747296</v>
      </c>
      <c r="O291" s="257">
        <f>2.17708287421928*7.11/7.2</f>
        <v>2.14986933829154</v>
      </c>
      <c r="P291" s="231" t="s">
        <v>1428</v>
      </c>
      <c r="Q291" s="231">
        <v>0.4</v>
      </c>
      <c r="R291" s="269">
        <f>SUM(J291:Q291)</f>
        <v>2.93212105903884</v>
      </c>
      <c r="S291" s="226"/>
      <c r="T291" s="226" t="s">
        <v>7439</v>
      </c>
    </row>
    <row r="295" spans="1:20">
      <c r="A295" s="195" t="s">
        <v>7523</v>
      </c>
      <c r="B295" s="195"/>
      <c r="C295" s="195"/>
      <c r="D295" s="195"/>
      <c r="E295" s="196"/>
      <c r="F295" s="196"/>
      <c r="G295" s="197"/>
      <c r="H295" s="198"/>
      <c r="I295" s="198"/>
      <c r="J295" s="199"/>
      <c r="K295" s="200"/>
      <c r="L295" s="200"/>
      <c r="M295" s="200"/>
      <c r="N295" s="201"/>
      <c r="O295" s="201"/>
      <c r="P295" s="197"/>
      <c r="Q295" s="202"/>
      <c r="R295" s="202"/>
      <c r="S295" s="203"/>
      <c r="T295" s="80"/>
    </row>
    <row r="296" spans="1:20">
      <c r="A296" s="224" t="s">
        <v>1</v>
      </c>
      <c r="B296" s="224"/>
      <c r="C296" s="224"/>
      <c r="D296" s="224"/>
      <c r="E296" s="75" t="s">
        <v>5</v>
      </c>
      <c r="F296" s="75" t="s">
        <v>1933</v>
      </c>
      <c r="G296" s="75" t="s">
        <v>4102</v>
      </c>
      <c r="H296" s="75" t="s">
        <v>4541</v>
      </c>
      <c r="I296" s="75" t="s">
        <v>1497</v>
      </c>
      <c r="J296" s="75" t="s">
        <v>4102</v>
      </c>
      <c r="K296" s="298" t="s">
        <v>4103</v>
      </c>
      <c r="L296" s="75" t="s">
        <v>4104</v>
      </c>
      <c r="M296" s="75" t="s">
        <v>1497</v>
      </c>
      <c r="N296" s="298" t="s">
        <v>6</v>
      </c>
      <c r="O296" s="75" t="s">
        <v>7</v>
      </c>
      <c r="P296" s="75" t="s">
        <v>5211</v>
      </c>
      <c r="Q296" s="75" t="s">
        <v>8</v>
      </c>
      <c r="R296" s="75" t="s">
        <v>9</v>
      </c>
      <c r="S296" s="75" t="s">
        <v>4105</v>
      </c>
      <c r="T296" s="75" t="s">
        <v>10</v>
      </c>
    </row>
    <row r="297" spans="1:20">
      <c r="A297" s="227" t="s">
        <v>7414</v>
      </c>
      <c r="B297" s="226">
        <v>20241106</v>
      </c>
      <c r="C297" s="226">
        <v>7.11</v>
      </c>
      <c r="D297" s="226" t="s">
        <v>7419</v>
      </c>
      <c r="E297" s="228" t="s">
        <v>1571</v>
      </c>
      <c r="F297" s="243" t="s">
        <v>2801</v>
      </c>
      <c r="G297" s="245" t="s">
        <v>2566</v>
      </c>
      <c r="H297" s="227" t="s">
        <v>3432</v>
      </c>
      <c r="I297" s="227" t="s">
        <v>1635</v>
      </c>
      <c r="J297" s="252">
        <v>130</v>
      </c>
      <c r="K297" s="227">
        <v>25</v>
      </c>
      <c r="L297" s="227" t="s">
        <v>1428</v>
      </c>
      <c r="M297" s="227">
        <v>3.3</v>
      </c>
      <c r="N297" s="257">
        <f>3.01830900016181*7.11/7.2</f>
        <v>2.98058013765979</v>
      </c>
      <c r="O297" s="257">
        <f>13.9548098319947*7.11/7.2</f>
        <v>13.7803747090948</v>
      </c>
      <c r="P297" s="231" t="s">
        <v>1428</v>
      </c>
      <c r="Q297" s="231">
        <f>2.99570646431659*7.11/7.2</f>
        <v>2.95826013351263</v>
      </c>
      <c r="R297" s="269">
        <f>SUM(J297:Q297)</f>
        <v>178.019214980267</v>
      </c>
      <c r="S297" s="226" t="s">
        <v>4001</v>
      </c>
      <c r="T297" s="226" t="s">
        <v>7420</v>
      </c>
    </row>
    <row r="298" spans="1:20">
      <c r="A298" s="227" t="s">
        <v>7414</v>
      </c>
      <c r="B298" s="226">
        <v>20241031</v>
      </c>
      <c r="C298" s="226">
        <v>7.11</v>
      </c>
      <c r="D298" s="226" t="s">
        <v>7444</v>
      </c>
      <c r="E298" s="228" t="s">
        <v>2311</v>
      </c>
      <c r="F298" s="243" t="s">
        <v>7445</v>
      </c>
      <c r="G298" s="245" t="s">
        <v>2558</v>
      </c>
      <c r="H298" s="227" t="s">
        <v>4248</v>
      </c>
      <c r="I298" s="227" t="s">
        <v>1635</v>
      </c>
      <c r="J298" s="252" t="s">
        <v>1428</v>
      </c>
      <c r="K298" s="227">
        <f>12.5*4</f>
        <v>50</v>
      </c>
      <c r="L298" s="227" t="s">
        <v>1428</v>
      </c>
      <c r="M298" s="227">
        <v>3.3</v>
      </c>
      <c r="N298" s="257">
        <v>3.01830900016181</v>
      </c>
      <c r="O298" s="257">
        <f>13.6448003722938*7.11/7.2</f>
        <v>13.4742403676401</v>
      </c>
      <c r="P298" s="231"/>
      <c r="Q298" s="231">
        <v>2.95826013351263</v>
      </c>
      <c r="R298" s="269">
        <f>SUM(J298:Q298)</f>
        <v>72.7508095013145</v>
      </c>
      <c r="S298" s="226" t="s">
        <v>4001</v>
      </c>
      <c r="T298" s="226" t="s">
        <v>7450</v>
      </c>
    </row>
    <row r="299" spans="1:20">
      <c r="A299" s="227" t="s">
        <v>41</v>
      </c>
      <c r="B299" s="226">
        <v>20241023</v>
      </c>
      <c r="C299" s="226">
        <v>7.11</v>
      </c>
      <c r="D299" s="226" t="s">
        <v>187</v>
      </c>
      <c r="E299" s="228" t="s">
        <v>188</v>
      </c>
      <c r="F299" s="243"/>
      <c r="G299" s="245"/>
      <c r="H299" s="227"/>
      <c r="I299" s="227"/>
      <c r="J299" s="252"/>
      <c r="K299" s="227"/>
      <c r="L299" s="227"/>
      <c r="M299" s="227"/>
      <c r="N299" s="257">
        <v>0.431898236311813</v>
      </c>
      <c r="O299" s="257">
        <v>1.44</v>
      </c>
      <c r="P299" s="231"/>
      <c r="Q299" s="231">
        <v>0.2</v>
      </c>
      <c r="R299" s="269">
        <f>SUM(J299:Q299)</f>
        <v>2.07189823631181</v>
      </c>
      <c r="S299" s="226"/>
      <c r="T299" s="226" t="s">
        <v>7421</v>
      </c>
    </row>
    <row r="303" spans="1:20">
      <c r="A303" s="195" t="s">
        <v>7523</v>
      </c>
      <c r="B303" s="195"/>
      <c r="C303" s="195"/>
      <c r="D303" s="195"/>
      <c r="E303" s="196"/>
      <c r="F303" s="196"/>
      <c r="G303" s="197"/>
      <c r="H303" s="198"/>
      <c r="I303" s="198"/>
      <c r="J303" s="199"/>
      <c r="K303" s="200"/>
      <c r="L303" s="200"/>
      <c r="M303" s="200"/>
      <c r="N303" s="201"/>
      <c r="O303" s="201"/>
      <c r="P303" s="197"/>
      <c r="Q303" s="202"/>
      <c r="R303" s="202"/>
      <c r="S303" s="203"/>
      <c r="T303" s="80"/>
    </row>
    <row r="304" spans="1:20">
      <c r="A304" s="224" t="s">
        <v>1</v>
      </c>
      <c r="B304" s="224" t="s">
        <v>2</v>
      </c>
      <c r="C304" s="224" t="s">
        <v>1493</v>
      </c>
      <c r="D304" s="75" t="s">
        <v>4</v>
      </c>
      <c r="E304" s="75" t="s">
        <v>5</v>
      </c>
      <c r="F304" s="75" t="s">
        <v>1933</v>
      </c>
      <c r="G304" s="75" t="s">
        <v>4102</v>
      </c>
      <c r="H304" s="75" t="s">
        <v>4541</v>
      </c>
      <c r="I304" s="75" t="s">
        <v>1497</v>
      </c>
      <c r="J304" s="75" t="s">
        <v>4102</v>
      </c>
      <c r="K304" s="75" t="s">
        <v>4103</v>
      </c>
      <c r="L304" s="75" t="s">
        <v>4104</v>
      </c>
      <c r="M304" s="75" t="s">
        <v>1497</v>
      </c>
      <c r="N304" s="75" t="s">
        <v>6</v>
      </c>
      <c r="O304" s="75" t="s">
        <v>7</v>
      </c>
      <c r="P304" s="75" t="s">
        <v>5211</v>
      </c>
      <c r="Q304" s="75" t="s">
        <v>8</v>
      </c>
      <c r="R304" s="75" t="s">
        <v>9</v>
      </c>
      <c r="S304" s="75" t="s">
        <v>4105</v>
      </c>
      <c r="T304" s="75" t="s">
        <v>10</v>
      </c>
    </row>
    <row r="305" spans="1:20">
      <c r="A305" s="227" t="s">
        <v>7529</v>
      </c>
      <c r="B305" s="226">
        <v>20241119</v>
      </c>
      <c r="C305" s="226">
        <v>7.2</v>
      </c>
      <c r="D305" s="226" t="s">
        <v>6804</v>
      </c>
      <c r="E305" s="228" t="s">
        <v>1591</v>
      </c>
      <c r="F305" s="243" t="s">
        <v>1933</v>
      </c>
      <c r="G305" s="245" t="s">
        <v>6159</v>
      </c>
      <c r="H305" s="227" t="s">
        <v>3349</v>
      </c>
      <c r="I305" s="227" t="s">
        <v>2955</v>
      </c>
      <c r="J305" s="252">
        <v>16</v>
      </c>
      <c r="K305" s="227" t="s">
        <v>1428</v>
      </c>
      <c r="L305" s="227">
        <v>7.2</v>
      </c>
      <c r="M305" s="227" t="s">
        <v>1428</v>
      </c>
      <c r="N305" s="257">
        <v>3.19567354965585</v>
      </c>
      <c r="O305" s="257">
        <v>9.65280806637168</v>
      </c>
      <c r="P305" s="231" t="s">
        <v>1428</v>
      </c>
      <c r="Q305" s="231">
        <v>2.71637806675407</v>
      </c>
      <c r="R305" s="269">
        <f>SUM(J305:Q305)</f>
        <v>38.7648596827816</v>
      </c>
      <c r="S305" s="226" t="s">
        <v>7530</v>
      </c>
      <c r="T305" s="226" t="s">
        <v>7531</v>
      </c>
    </row>
    <row r="306" spans="1:20">
      <c r="A306" s="227"/>
      <c r="B306" s="226">
        <v>20241010</v>
      </c>
      <c r="C306" s="226">
        <v>7.11</v>
      </c>
      <c r="D306" s="226" t="s">
        <v>1416</v>
      </c>
      <c r="E306" s="228" t="s">
        <v>1417</v>
      </c>
      <c r="F306" s="243"/>
      <c r="G306" s="245"/>
      <c r="H306" s="227"/>
      <c r="I306" s="227"/>
      <c r="J306" s="252"/>
      <c r="K306" s="227"/>
      <c r="L306" s="227"/>
      <c r="M306" s="227"/>
      <c r="N306" s="257">
        <v>0.423185591775264</v>
      </c>
      <c r="O306" s="257">
        <f>1.1511540502635*7.11/7.2</f>
        <v>1.13676462463521</v>
      </c>
      <c r="P306" s="231" t="s">
        <v>1428</v>
      </c>
      <c r="Q306" s="231">
        <v>0.2</v>
      </c>
      <c r="R306" s="269">
        <f>SUM(J306:Q306)</f>
        <v>1.75995021641047</v>
      </c>
      <c r="S306" s="226"/>
      <c r="T306" s="226" t="s">
        <v>7532</v>
      </c>
    </row>
    <row r="311" spans="1:20">
      <c r="A311" s="195" t="s">
        <v>7523</v>
      </c>
      <c r="B311" s="195"/>
      <c r="C311" s="195"/>
      <c r="D311" s="195"/>
      <c r="E311" s="196"/>
      <c r="F311" s="196"/>
      <c r="G311" s="197"/>
      <c r="H311" s="198"/>
      <c r="I311" s="198"/>
      <c r="J311" s="199"/>
      <c r="K311" s="200"/>
      <c r="L311" s="200"/>
      <c r="M311" s="200"/>
      <c r="N311" s="201"/>
      <c r="O311" s="201"/>
      <c r="P311" s="197"/>
      <c r="Q311" s="202"/>
      <c r="R311" s="202"/>
      <c r="S311" s="203"/>
      <c r="T311" s="80"/>
    </row>
    <row r="312" spans="1:20">
      <c r="A312" s="224" t="s">
        <v>1</v>
      </c>
      <c r="B312" s="224" t="s">
        <v>2</v>
      </c>
      <c r="C312" s="224" t="s">
        <v>1493</v>
      </c>
      <c r="D312" s="75" t="s">
        <v>4</v>
      </c>
      <c r="E312" s="75" t="s">
        <v>5</v>
      </c>
      <c r="F312" s="75" t="s">
        <v>1933</v>
      </c>
      <c r="G312" s="75" t="s">
        <v>4102</v>
      </c>
      <c r="H312" s="75" t="s">
        <v>4541</v>
      </c>
      <c r="I312" s="75" t="s">
        <v>1497</v>
      </c>
      <c r="J312" s="75" t="s">
        <v>4102</v>
      </c>
      <c r="K312" s="75" t="s">
        <v>4103</v>
      </c>
      <c r="L312" s="75" t="s">
        <v>4104</v>
      </c>
      <c r="M312" s="75" t="s">
        <v>1497</v>
      </c>
      <c r="N312" s="75" t="s">
        <v>6</v>
      </c>
      <c r="O312" s="75" t="s">
        <v>7</v>
      </c>
      <c r="P312" s="75" t="s">
        <v>5211</v>
      </c>
      <c r="Q312" s="75" t="s">
        <v>8</v>
      </c>
      <c r="R312" s="75" t="s">
        <v>9</v>
      </c>
      <c r="S312" s="75" t="s">
        <v>4105</v>
      </c>
      <c r="T312" s="75" t="s">
        <v>10</v>
      </c>
    </row>
    <row r="313" spans="1:20">
      <c r="A313" s="227" t="s">
        <v>7407</v>
      </c>
      <c r="B313" s="226">
        <v>20241022</v>
      </c>
      <c r="C313" s="226">
        <v>7.11</v>
      </c>
      <c r="D313" s="226" t="s">
        <v>7533</v>
      </c>
      <c r="E313" s="228" t="s">
        <v>6562</v>
      </c>
      <c r="F313" s="243" t="s">
        <v>1933</v>
      </c>
      <c r="G313" s="245" t="s">
        <v>4190</v>
      </c>
      <c r="H313" s="227" t="s">
        <v>1913</v>
      </c>
      <c r="I313" s="227" t="s">
        <v>1428</v>
      </c>
      <c r="J313" s="252">
        <v>180</v>
      </c>
      <c r="K313" s="227" t="s">
        <v>1428</v>
      </c>
      <c r="L313" s="227" t="s">
        <v>1428</v>
      </c>
      <c r="M313" s="227" t="s">
        <v>1428</v>
      </c>
      <c r="N313" s="257">
        <v>3.81638723970974</v>
      </c>
      <c r="O313" s="257">
        <v>13.1831856566745</v>
      </c>
      <c r="P313" s="231" t="s">
        <v>1428</v>
      </c>
      <c r="Q313" s="231">
        <v>2.88823119777159</v>
      </c>
      <c r="R313" s="269">
        <f>SUM(J313:Q313)+1</f>
        <v>200.887804094156</v>
      </c>
      <c r="S313" s="226" t="s">
        <v>1526</v>
      </c>
      <c r="T313" s="226" t="s">
        <v>7409</v>
      </c>
    </row>
    <row r="314" spans="1:20">
      <c r="A314" s="227"/>
      <c r="B314" s="226">
        <v>20241120</v>
      </c>
      <c r="C314" s="226">
        <v>7.2</v>
      </c>
      <c r="D314" s="226" t="s">
        <v>583</v>
      </c>
      <c r="E314" s="228" t="s">
        <v>584</v>
      </c>
      <c r="F314" s="243"/>
      <c r="G314" s="245"/>
      <c r="H314" s="227"/>
      <c r="I314" s="227"/>
      <c r="J314" s="252"/>
      <c r="K314" s="227"/>
      <c r="L314" s="227"/>
      <c r="M314" s="227"/>
      <c r="N314" s="257">
        <v>0.523598820058997</v>
      </c>
      <c r="O314" s="257">
        <v>2.2143995705998</v>
      </c>
      <c r="P314" s="231"/>
      <c r="Q314" s="231">
        <v>0.4</v>
      </c>
      <c r="R314" s="269">
        <f>SUM(J314:Q314)</f>
        <v>3.1379983906588</v>
      </c>
      <c r="S314" s="226"/>
      <c r="T314" s="226" t="s">
        <v>7534</v>
      </c>
    </row>
    <row r="315" spans="1:20">
      <c r="A315" s="227"/>
      <c r="B315" s="226"/>
      <c r="C315" s="226"/>
      <c r="D315" s="226"/>
      <c r="E315" s="228" t="s">
        <v>7535</v>
      </c>
      <c r="F315" s="243"/>
      <c r="G315" s="245"/>
      <c r="H315" s="227"/>
      <c r="I315" s="227"/>
      <c r="J315" s="252"/>
      <c r="K315" s="227"/>
      <c r="L315" s="227"/>
      <c r="M315" s="227"/>
      <c r="N315" s="257"/>
      <c r="O315" s="257"/>
      <c r="P315" s="231"/>
      <c r="Q315" s="231"/>
      <c r="R315" s="269">
        <v>20</v>
      </c>
      <c r="S315" s="226" t="s">
        <v>7536</v>
      </c>
      <c r="T315" s="289" t="s">
        <v>7537</v>
      </c>
    </row>
    <row r="316" spans="1:20">
      <c r="A316" s="227"/>
      <c r="B316" s="226"/>
      <c r="C316" s="226"/>
      <c r="D316" s="226"/>
      <c r="E316" s="228" t="s">
        <v>7538</v>
      </c>
      <c r="F316" s="243"/>
      <c r="G316" s="245"/>
      <c r="H316" s="227"/>
      <c r="I316" s="227"/>
      <c r="J316" s="252"/>
      <c r="K316" s="227"/>
      <c r="L316" s="227"/>
      <c r="M316" s="227"/>
      <c r="N316" s="257"/>
      <c r="O316" s="257"/>
      <c r="P316" s="231"/>
      <c r="Q316" s="231"/>
      <c r="R316" s="269">
        <v>67</v>
      </c>
      <c r="S316" s="226" t="s">
        <v>7536</v>
      </c>
      <c r="T316" s="226" t="s">
        <v>7539</v>
      </c>
    </row>
    <row r="318" spans="1:20">
      <c r="A318" s="195" t="s">
        <v>7523</v>
      </c>
      <c r="B318" s="195"/>
      <c r="C318" s="195"/>
      <c r="D318" s="195"/>
      <c r="E318" s="196"/>
      <c r="F318" s="196"/>
      <c r="G318" s="197"/>
      <c r="H318" s="198"/>
      <c r="I318" s="198"/>
      <c r="J318" s="199"/>
      <c r="K318" s="200"/>
      <c r="L318" s="200"/>
      <c r="M318" s="200"/>
      <c r="N318" s="201"/>
      <c r="O318" s="201"/>
      <c r="P318" s="197"/>
      <c r="Q318" s="202"/>
      <c r="R318" s="202"/>
      <c r="S318" s="203"/>
      <c r="T318" s="80"/>
    </row>
    <row r="319" spans="1:20">
      <c r="A319" s="224" t="s">
        <v>1</v>
      </c>
      <c r="B319" s="224" t="s">
        <v>2</v>
      </c>
      <c r="C319" s="224" t="s">
        <v>1493</v>
      </c>
      <c r="D319" s="75" t="s">
        <v>4</v>
      </c>
      <c r="E319" s="75" t="s">
        <v>5</v>
      </c>
      <c r="F319" s="75" t="s">
        <v>1933</v>
      </c>
      <c r="G319" s="75" t="s">
        <v>4102</v>
      </c>
      <c r="H319" s="75" t="s">
        <v>4541</v>
      </c>
      <c r="I319" s="75" t="s">
        <v>1497</v>
      </c>
      <c r="J319" s="75" t="s">
        <v>4102</v>
      </c>
      <c r="K319" s="75" t="s">
        <v>4103</v>
      </c>
      <c r="L319" s="75" t="s">
        <v>4104</v>
      </c>
      <c r="M319" s="75" t="s">
        <v>1497</v>
      </c>
      <c r="N319" s="75" t="s">
        <v>6</v>
      </c>
      <c r="O319" s="75" t="s">
        <v>7</v>
      </c>
      <c r="P319" s="75" t="s">
        <v>5211</v>
      </c>
      <c r="Q319" s="75" t="s">
        <v>8</v>
      </c>
      <c r="R319" s="75" t="s">
        <v>9</v>
      </c>
      <c r="S319" s="75" t="s">
        <v>4105</v>
      </c>
      <c r="T319" s="75" t="s">
        <v>10</v>
      </c>
    </row>
    <row r="320" spans="1:20">
      <c r="A320" s="227" t="s">
        <v>3547</v>
      </c>
      <c r="B320" s="226">
        <v>20241120</v>
      </c>
      <c r="C320" s="226">
        <v>7.2</v>
      </c>
      <c r="D320" s="226" t="s">
        <v>3560</v>
      </c>
      <c r="E320" s="228" t="s">
        <v>1723</v>
      </c>
      <c r="F320" s="243" t="s">
        <v>7540</v>
      </c>
      <c r="G320" s="245" t="s">
        <v>3542</v>
      </c>
      <c r="H320" s="227" t="s">
        <v>3349</v>
      </c>
      <c r="I320" s="227"/>
      <c r="J320" s="252">
        <v>30</v>
      </c>
      <c r="K320" s="227"/>
      <c r="L320" s="227">
        <v>7.2</v>
      </c>
      <c r="M320" s="227"/>
      <c r="N320" s="257">
        <v>3.16740412979351</v>
      </c>
      <c r="O320" s="257">
        <v>10.4045775276421</v>
      </c>
      <c r="P320" s="231"/>
      <c r="Q320" s="231">
        <v>2.57250415265903</v>
      </c>
      <c r="R320" s="269">
        <f>SUM(J320:Q320)</f>
        <v>53.3444858100946</v>
      </c>
      <c r="S320" s="226" t="s">
        <v>3384</v>
      </c>
      <c r="T320" s="226" t="s">
        <v>7541</v>
      </c>
    </row>
    <row r="321" spans="1:20">
      <c r="A321" s="227"/>
      <c r="B321" s="226"/>
      <c r="C321" s="226"/>
      <c r="D321" s="226"/>
      <c r="E321" s="228"/>
      <c r="F321" s="243"/>
      <c r="G321" s="245"/>
      <c r="H321" s="227"/>
      <c r="I321" s="227"/>
      <c r="J321" s="252"/>
      <c r="K321" s="227"/>
      <c r="L321" s="227"/>
      <c r="M321" s="227"/>
      <c r="N321" s="257"/>
      <c r="O321" s="257"/>
      <c r="P321" s="231"/>
      <c r="Q321" s="231"/>
      <c r="R321" s="269"/>
      <c r="S321" s="226"/>
      <c r="T321" s="226"/>
    </row>
    <row r="323" spans="1:20">
      <c r="A323" s="195" t="s">
        <v>7523</v>
      </c>
      <c r="B323" s="195"/>
      <c r="C323" s="195"/>
      <c r="D323" s="195"/>
      <c r="E323" s="196"/>
      <c r="F323" s="196"/>
      <c r="G323" s="197"/>
      <c r="H323" s="198"/>
      <c r="I323" s="198"/>
      <c r="J323" s="199"/>
      <c r="K323" s="200"/>
      <c r="L323" s="200"/>
      <c r="M323" s="200"/>
      <c r="N323" s="201"/>
      <c r="O323" s="201"/>
      <c r="P323" s="197"/>
      <c r="Q323" s="202"/>
      <c r="R323" s="202"/>
      <c r="S323" s="203"/>
      <c r="T323" s="80"/>
    </row>
    <row r="324" spans="1:20">
      <c r="A324" s="224" t="s">
        <v>1</v>
      </c>
      <c r="B324" s="224" t="s">
        <v>2</v>
      </c>
      <c r="C324" s="224" t="s">
        <v>1493</v>
      </c>
      <c r="D324" s="75" t="s">
        <v>4</v>
      </c>
      <c r="E324" s="75" t="s">
        <v>5</v>
      </c>
      <c r="F324" s="75" t="s">
        <v>1933</v>
      </c>
      <c r="G324" s="75" t="s">
        <v>4102</v>
      </c>
      <c r="H324" s="75" t="s">
        <v>4541</v>
      </c>
      <c r="I324" s="75" t="s">
        <v>1497</v>
      </c>
      <c r="J324" s="75" t="s">
        <v>4102</v>
      </c>
      <c r="K324" s="75" t="s">
        <v>4103</v>
      </c>
      <c r="L324" s="75" t="s">
        <v>4104</v>
      </c>
      <c r="M324" s="75" t="s">
        <v>1497</v>
      </c>
      <c r="N324" s="75" t="s">
        <v>6</v>
      </c>
      <c r="O324" s="75" t="s">
        <v>7</v>
      </c>
      <c r="P324" s="75" t="s">
        <v>5211</v>
      </c>
      <c r="Q324" s="75" t="s">
        <v>8</v>
      </c>
      <c r="R324" s="75" t="s">
        <v>9</v>
      </c>
      <c r="S324" s="75" t="s">
        <v>4105</v>
      </c>
      <c r="T324" s="75" t="s">
        <v>10</v>
      </c>
    </row>
    <row r="325" spans="1:20">
      <c r="A325" s="227" t="s">
        <v>1034</v>
      </c>
      <c r="B325" s="226">
        <v>20241121</v>
      </c>
      <c r="C325" s="226">
        <v>7.2</v>
      </c>
      <c r="D325" s="226" t="s">
        <v>1035</v>
      </c>
      <c r="E325" s="228" t="s">
        <v>1036</v>
      </c>
      <c r="F325" s="243"/>
      <c r="G325" s="245"/>
      <c r="H325" s="227"/>
      <c r="I325" s="227"/>
      <c r="J325" s="252"/>
      <c r="K325" s="227" t="s">
        <v>1428</v>
      </c>
      <c r="L325" s="227" t="s">
        <v>1428</v>
      </c>
      <c r="M325" s="227" t="s">
        <v>1428</v>
      </c>
      <c r="N325" s="257">
        <v>1.26597836774828</v>
      </c>
      <c r="O325" s="257">
        <v>3.89530697627532</v>
      </c>
      <c r="P325" s="231"/>
      <c r="Q325" s="231">
        <v>0.2</v>
      </c>
      <c r="R325" s="269">
        <f>SUM(J325:Q325)</f>
        <v>5.3612853440236</v>
      </c>
      <c r="S325" s="226"/>
      <c r="T325" s="226" t="s">
        <v>7542</v>
      </c>
    </row>
    <row r="328" spans="1:20">
      <c r="A328" s="195" t="s">
        <v>7523</v>
      </c>
      <c r="B328" s="195"/>
      <c r="C328" s="195"/>
      <c r="D328" s="195"/>
      <c r="E328" s="196"/>
      <c r="F328" s="196"/>
      <c r="G328" s="197"/>
      <c r="H328" s="198"/>
      <c r="I328" s="198"/>
      <c r="J328" s="199"/>
      <c r="K328" s="200"/>
      <c r="L328" s="200"/>
      <c r="M328" s="200"/>
      <c r="N328" s="201"/>
      <c r="O328" s="201"/>
      <c r="P328" s="197"/>
      <c r="Q328" s="202"/>
      <c r="R328" s="202"/>
      <c r="S328" s="203"/>
      <c r="T328" s="80"/>
    </row>
    <row r="329" spans="1:20">
      <c r="A329" s="224" t="s">
        <v>1</v>
      </c>
      <c r="B329" s="224" t="s">
        <v>2</v>
      </c>
      <c r="C329" s="224" t="s">
        <v>1493</v>
      </c>
      <c r="D329" s="75" t="s">
        <v>4</v>
      </c>
      <c r="E329" s="75" t="s">
        <v>5</v>
      </c>
      <c r="F329" s="75" t="s">
        <v>1933</v>
      </c>
      <c r="G329" s="75" t="s">
        <v>4102</v>
      </c>
      <c r="H329" s="75" t="s">
        <v>4541</v>
      </c>
      <c r="I329" s="75" t="s">
        <v>1497</v>
      </c>
      <c r="J329" s="75" t="s">
        <v>4102</v>
      </c>
      <c r="K329" s="75" t="s">
        <v>4103</v>
      </c>
      <c r="L329" s="75" t="s">
        <v>4104</v>
      </c>
      <c r="M329" s="75" t="s">
        <v>1497</v>
      </c>
      <c r="N329" s="75" t="s">
        <v>6</v>
      </c>
      <c r="O329" s="75" t="s">
        <v>7</v>
      </c>
      <c r="P329" s="75" t="s">
        <v>5211</v>
      </c>
      <c r="Q329" s="75" t="s">
        <v>8</v>
      </c>
      <c r="R329" s="75" t="s">
        <v>9</v>
      </c>
      <c r="S329" s="75" t="s">
        <v>4105</v>
      </c>
      <c r="T329" s="75" t="s">
        <v>10</v>
      </c>
    </row>
    <row r="330" hidden="1" spans="1:20">
      <c r="A330" s="227" t="s">
        <v>7543</v>
      </c>
      <c r="B330" s="226">
        <v>20241121</v>
      </c>
      <c r="C330" s="226">
        <v>7.2</v>
      </c>
      <c r="D330" s="226" t="s">
        <v>5731</v>
      </c>
      <c r="E330" s="228" t="s">
        <v>1685</v>
      </c>
      <c r="F330" s="243" t="s">
        <v>3540</v>
      </c>
      <c r="G330" s="245" t="s">
        <v>3855</v>
      </c>
      <c r="H330" s="227" t="s">
        <v>1913</v>
      </c>
      <c r="I330" s="227" t="s">
        <v>1428</v>
      </c>
      <c r="J330" s="252">
        <v>23.5</v>
      </c>
      <c r="K330" s="227" t="s">
        <v>1428</v>
      </c>
      <c r="L330" s="227" t="s">
        <v>1428</v>
      </c>
      <c r="M330" s="227" t="s">
        <v>1428</v>
      </c>
      <c r="N330" s="257">
        <v>3.45993117010816</v>
      </c>
      <c r="O330" s="257">
        <v>21.3017222389443</v>
      </c>
      <c r="P330" s="231" t="s">
        <v>1428</v>
      </c>
      <c r="Q330" s="231">
        <v>4</v>
      </c>
      <c r="R330" s="269">
        <f>SUM(J330:Q330)</f>
        <v>52.2616534090525</v>
      </c>
      <c r="S330" s="226" t="s">
        <v>1526</v>
      </c>
      <c r="T330" s="226" t="s">
        <v>7544</v>
      </c>
    </row>
    <row r="331" hidden="1" spans="1:20">
      <c r="A331" s="227"/>
      <c r="B331" s="226"/>
      <c r="C331" s="226"/>
      <c r="D331" s="226"/>
      <c r="E331" s="228" t="s">
        <v>7545</v>
      </c>
      <c r="F331" s="243" t="s">
        <v>7546</v>
      </c>
      <c r="G331" s="245"/>
      <c r="H331" s="227"/>
      <c r="I331" s="227"/>
      <c r="J331" s="252"/>
      <c r="K331" s="227"/>
      <c r="L331" s="227"/>
      <c r="M331" s="227"/>
      <c r="N331" s="257"/>
      <c r="O331" s="257"/>
      <c r="P331" s="231"/>
      <c r="Q331" s="231"/>
      <c r="R331" s="269"/>
      <c r="S331" s="226"/>
      <c r="T331" s="226" t="s">
        <v>7547</v>
      </c>
    </row>
    <row r="332" hidden="1" spans="1:20">
      <c r="A332" s="227"/>
      <c r="B332" s="226"/>
      <c r="C332" s="226"/>
      <c r="D332" s="226"/>
      <c r="E332" s="228" t="s">
        <v>7548</v>
      </c>
      <c r="F332" s="243" t="s">
        <v>7549</v>
      </c>
      <c r="G332" s="245"/>
      <c r="H332" s="227"/>
      <c r="I332" s="227"/>
      <c r="J332" s="252"/>
      <c r="K332" s="227"/>
      <c r="L332" s="227"/>
      <c r="M332" s="227"/>
      <c r="N332" s="257"/>
      <c r="O332" s="257"/>
      <c r="P332" s="231"/>
      <c r="Q332" s="231"/>
      <c r="R332" s="269">
        <v>8</v>
      </c>
      <c r="S332" s="226" t="s">
        <v>4609</v>
      </c>
      <c r="T332" s="226"/>
    </row>
    <row r="333" hidden="1" spans="1:20">
      <c r="A333" s="227"/>
      <c r="B333" s="226"/>
      <c r="C333" s="226"/>
      <c r="D333" s="226"/>
      <c r="E333" s="228" t="s">
        <v>7550</v>
      </c>
      <c r="F333" s="243" t="s">
        <v>7551</v>
      </c>
      <c r="G333" s="245"/>
      <c r="H333" s="227"/>
      <c r="I333" s="227"/>
      <c r="J333" s="252"/>
      <c r="K333" s="227"/>
      <c r="L333" s="227"/>
      <c r="M333" s="227"/>
      <c r="N333" s="257"/>
      <c r="O333" s="257"/>
      <c r="P333" s="231"/>
      <c r="Q333" s="231"/>
      <c r="R333" s="269">
        <v>3.5</v>
      </c>
      <c r="S333" s="226"/>
      <c r="T333" s="226"/>
    </row>
    <row r="334" spans="1:20">
      <c r="A334" s="227" t="s">
        <v>7543</v>
      </c>
      <c r="B334" s="226">
        <v>20241127</v>
      </c>
      <c r="C334" s="226">
        <v>7.25</v>
      </c>
      <c r="D334" s="226" t="s">
        <v>5729</v>
      </c>
      <c r="E334" s="228" t="s">
        <v>1571</v>
      </c>
      <c r="F334" s="243" t="s">
        <v>3540</v>
      </c>
      <c r="G334" s="245" t="s">
        <v>3855</v>
      </c>
      <c r="H334" s="227" t="s">
        <v>1913</v>
      </c>
      <c r="I334" s="227" t="s">
        <v>1428</v>
      </c>
      <c r="J334" s="252">
        <v>23.5</v>
      </c>
      <c r="K334" s="227" t="s">
        <v>1428</v>
      </c>
      <c r="L334" s="227" t="s">
        <v>1428</v>
      </c>
      <c r="M334" s="227" t="s">
        <v>1428</v>
      </c>
      <c r="N334" s="257">
        <v>3.45993117010816</v>
      </c>
      <c r="O334" s="257">
        <v>16.9639382422973</v>
      </c>
      <c r="P334" s="231" t="s">
        <v>1428</v>
      </c>
      <c r="Q334" s="231">
        <v>4</v>
      </c>
      <c r="R334" s="269">
        <f>SUM(J334:Q334)</f>
        <v>47.9238694124055</v>
      </c>
      <c r="S334" s="226" t="s">
        <v>1526</v>
      </c>
      <c r="T334" s="226" t="s">
        <v>7552</v>
      </c>
    </row>
    <row r="336" spans="1:20">
      <c r="A336" s="195" t="s">
        <v>7523</v>
      </c>
      <c r="B336" s="195"/>
      <c r="C336" s="195"/>
      <c r="D336" s="195"/>
      <c r="E336" s="196"/>
      <c r="F336" s="196"/>
      <c r="G336" s="197"/>
      <c r="H336" s="198"/>
      <c r="I336" s="198"/>
      <c r="J336" s="199"/>
      <c r="K336" s="200"/>
      <c r="L336" s="200"/>
      <c r="M336" s="200"/>
      <c r="N336" s="201"/>
      <c r="O336" s="201"/>
      <c r="P336" s="197"/>
      <c r="Q336" s="202"/>
      <c r="R336" s="202"/>
      <c r="S336" s="203"/>
      <c r="T336" s="80"/>
    </row>
    <row r="337" spans="1:20">
      <c r="A337" s="224" t="s">
        <v>1</v>
      </c>
      <c r="B337" s="224" t="s">
        <v>2</v>
      </c>
      <c r="C337" s="224" t="s">
        <v>1493</v>
      </c>
      <c r="D337" s="75" t="s">
        <v>4</v>
      </c>
      <c r="E337" s="75" t="s">
        <v>5</v>
      </c>
      <c r="F337" s="75" t="s">
        <v>1933</v>
      </c>
      <c r="G337" s="75" t="s">
        <v>4102</v>
      </c>
      <c r="H337" s="75" t="s">
        <v>4541</v>
      </c>
      <c r="I337" s="75" t="s">
        <v>1497</v>
      </c>
      <c r="J337" s="75" t="s">
        <v>4102</v>
      </c>
      <c r="K337" s="75" t="s">
        <v>4103</v>
      </c>
      <c r="L337" s="75" t="s">
        <v>4104</v>
      </c>
      <c r="M337" s="75" t="s">
        <v>1497</v>
      </c>
      <c r="N337" s="75" t="s">
        <v>6</v>
      </c>
      <c r="O337" s="75" t="s">
        <v>7</v>
      </c>
      <c r="P337" s="75" t="s">
        <v>5211</v>
      </c>
      <c r="Q337" s="75" t="s">
        <v>8</v>
      </c>
      <c r="R337" s="75" t="s">
        <v>9</v>
      </c>
      <c r="S337" s="75" t="s">
        <v>4105</v>
      </c>
      <c r="T337" s="75" t="s">
        <v>10</v>
      </c>
    </row>
    <row r="338" spans="1:20">
      <c r="A338" s="227" t="s">
        <v>7553</v>
      </c>
      <c r="B338" s="226">
        <v>20241121</v>
      </c>
      <c r="C338" s="226">
        <v>7.2</v>
      </c>
      <c r="D338" s="226" t="s">
        <v>5106</v>
      </c>
      <c r="E338" s="228" t="s">
        <v>2096</v>
      </c>
      <c r="F338" s="243" t="s">
        <v>7554</v>
      </c>
      <c r="G338" s="245" t="s">
        <v>7555</v>
      </c>
      <c r="H338" s="227" t="s">
        <v>1913</v>
      </c>
      <c r="I338" s="227" t="s">
        <v>1428</v>
      </c>
      <c r="J338" s="252">
        <v>70</v>
      </c>
      <c r="K338" s="227" t="s">
        <v>1428</v>
      </c>
      <c r="L338" s="227" t="s">
        <v>1428</v>
      </c>
      <c r="M338" s="227" t="s">
        <v>1428</v>
      </c>
      <c r="N338" s="257">
        <v>4.54768928220256</v>
      </c>
      <c r="O338" s="257">
        <v>14.775770667679</v>
      </c>
      <c r="P338" s="231"/>
      <c r="Q338" s="231">
        <v>3.22865080313333</v>
      </c>
      <c r="R338" s="269">
        <f>SUM(J338:Q338)</f>
        <v>92.5521107530149</v>
      </c>
      <c r="S338" s="226" t="s">
        <v>1526</v>
      </c>
      <c r="T338" s="226" t="s">
        <v>5109</v>
      </c>
    </row>
    <row r="339" spans="1:20">
      <c r="A339" s="227"/>
      <c r="B339" s="226">
        <v>20241113</v>
      </c>
      <c r="C339" s="226">
        <v>7.2</v>
      </c>
      <c r="D339" s="226" t="s">
        <v>1405</v>
      </c>
      <c r="E339" s="228" t="s">
        <v>21</v>
      </c>
      <c r="F339" s="243"/>
      <c r="G339" s="245"/>
      <c r="H339" s="227"/>
      <c r="I339" s="227"/>
      <c r="J339" s="252"/>
      <c r="K339" s="227"/>
      <c r="L339" s="227"/>
      <c r="M339" s="227"/>
      <c r="N339" s="257">
        <v>0.417895771878073</v>
      </c>
      <c r="O339" s="257">
        <v>2.4839641920354</v>
      </c>
      <c r="P339" s="231" t="s">
        <v>1428</v>
      </c>
      <c r="Q339" s="231">
        <v>0.4</v>
      </c>
      <c r="R339" s="269">
        <f>SUM(J339:Q339)</f>
        <v>3.30185996391347</v>
      </c>
      <c r="S339" s="226"/>
      <c r="T339" s="226" t="s">
        <v>7478</v>
      </c>
    </row>
    <row r="342" ht="14" customHeight="1"/>
    <row r="343" spans="1:20">
      <c r="A343" s="195" t="s">
        <v>7523</v>
      </c>
      <c r="B343" s="195"/>
      <c r="C343" s="195"/>
      <c r="D343" s="195"/>
      <c r="E343" s="196"/>
      <c r="F343" s="196"/>
      <c r="G343" s="197"/>
      <c r="H343" s="198"/>
      <c r="I343" s="198"/>
      <c r="J343" s="199"/>
      <c r="K343" s="200"/>
      <c r="L343" s="200"/>
      <c r="M343" s="200"/>
      <c r="N343" s="201"/>
      <c r="O343" s="201"/>
      <c r="P343" s="197"/>
      <c r="Q343" s="202"/>
      <c r="R343" s="202"/>
      <c r="S343" s="203"/>
      <c r="T343" s="80"/>
    </row>
    <row r="344" spans="1:20">
      <c r="A344" s="224" t="s">
        <v>1</v>
      </c>
      <c r="B344" s="224" t="s">
        <v>2</v>
      </c>
      <c r="C344" s="224" t="s">
        <v>1493</v>
      </c>
      <c r="D344" s="75" t="s">
        <v>4</v>
      </c>
      <c r="E344" s="75" t="s">
        <v>5</v>
      </c>
      <c r="F344" s="75" t="s">
        <v>1933</v>
      </c>
      <c r="G344" s="75" t="s">
        <v>4102</v>
      </c>
      <c r="H344" s="75" t="s">
        <v>4541</v>
      </c>
      <c r="I344" s="75" t="s">
        <v>1497</v>
      </c>
      <c r="J344" s="75" t="s">
        <v>4102</v>
      </c>
      <c r="K344" s="75" t="s">
        <v>4103</v>
      </c>
      <c r="L344" s="75" t="s">
        <v>4104</v>
      </c>
      <c r="M344" s="75" t="s">
        <v>1497</v>
      </c>
      <c r="N344" s="75" t="s">
        <v>6</v>
      </c>
      <c r="O344" s="75" t="s">
        <v>7</v>
      </c>
      <c r="P344" s="75" t="s">
        <v>5211</v>
      </c>
      <c r="Q344" s="75" t="s">
        <v>8</v>
      </c>
      <c r="R344" s="75" t="s">
        <v>9</v>
      </c>
      <c r="S344" s="75" t="s">
        <v>4105</v>
      </c>
      <c r="T344" s="75" t="s">
        <v>10</v>
      </c>
    </row>
    <row r="345" spans="1:20">
      <c r="A345" s="225" t="s">
        <v>3522</v>
      </c>
      <c r="B345" s="226">
        <v>20241121</v>
      </c>
      <c r="C345" s="226">
        <v>7.2</v>
      </c>
      <c r="D345" s="226" t="s">
        <v>7556</v>
      </c>
      <c r="E345" s="228" t="s">
        <v>1565</v>
      </c>
      <c r="F345" s="243" t="s">
        <v>7557</v>
      </c>
      <c r="G345" s="245" t="s">
        <v>3542</v>
      </c>
      <c r="H345" s="227" t="s">
        <v>4731</v>
      </c>
      <c r="I345" s="227" t="s">
        <v>1635</v>
      </c>
      <c r="J345" s="252">
        <v>30</v>
      </c>
      <c r="K345" s="227">
        <f t="shared" ref="K345:K347" si="1">7*2</f>
        <v>14</v>
      </c>
      <c r="L345" s="227">
        <v>7.2</v>
      </c>
      <c r="M345" s="227">
        <v>3.3</v>
      </c>
      <c r="N345" s="231">
        <v>3.13176007866273</v>
      </c>
      <c r="O345" s="231">
        <v>13.8064011545605</v>
      </c>
      <c r="P345" s="231" t="s">
        <v>1428</v>
      </c>
      <c r="Q345" s="231">
        <v>3</v>
      </c>
      <c r="R345" s="269">
        <f>SUBTOTAL(9,H345:Q345)</f>
        <v>74.4381612332232</v>
      </c>
      <c r="S345" s="226" t="s">
        <v>7558</v>
      </c>
      <c r="T345" s="226" t="s">
        <v>7559</v>
      </c>
    </row>
    <row r="346" spans="1:20">
      <c r="A346" s="275"/>
      <c r="B346" s="226">
        <v>20241121</v>
      </c>
      <c r="C346" s="226">
        <v>7.2</v>
      </c>
      <c r="D346" s="226" t="s">
        <v>7560</v>
      </c>
      <c r="E346" s="228" t="s">
        <v>1617</v>
      </c>
      <c r="F346" s="243" t="s">
        <v>4742</v>
      </c>
      <c r="G346" s="245" t="s">
        <v>4719</v>
      </c>
      <c r="H346" s="227" t="s">
        <v>3898</v>
      </c>
      <c r="I346" s="227" t="s">
        <v>1635</v>
      </c>
      <c r="J346" s="252">
        <v>60</v>
      </c>
      <c r="K346" s="227">
        <f t="shared" si="1"/>
        <v>14</v>
      </c>
      <c r="L346" s="227">
        <v>7.2</v>
      </c>
      <c r="M346" s="227">
        <v>3.3</v>
      </c>
      <c r="N346" s="231">
        <v>3.13176007866273</v>
      </c>
      <c r="O346" s="231">
        <v>14.7484345657896</v>
      </c>
      <c r="P346" s="231" t="s">
        <v>1428</v>
      </c>
      <c r="Q346" s="231">
        <v>3</v>
      </c>
      <c r="R346" s="269">
        <f>SUBTOTAL(9,H346:Q346)</f>
        <v>105.380194644452</v>
      </c>
      <c r="S346" s="226" t="s">
        <v>4749</v>
      </c>
      <c r="T346" s="226" t="s">
        <v>7561</v>
      </c>
    </row>
    <row r="347" spans="1:20">
      <c r="A347" s="234"/>
      <c r="B347" s="226">
        <v>20241121</v>
      </c>
      <c r="C347" s="226">
        <v>7.2</v>
      </c>
      <c r="D347" s="226" t="s">
        <v>7562</v>
      </c>
      <c r="E347" s="228" t="s">
        <v>1629</v>
      </c>
      <c r="F347" s="243" t="s">
        <v>4742</v>
      </c>
      <c r="G347" s="245" t="s">
        <v>3542</v>
      </c>
      <c r="H347" s="227" t="s">
        <v>3898</v>
      </c>
      <c r="I347" s="227" t="s">
        <v>1720</v>
      </c>
      <c r="J347" s="252">
        <v>30</v>
      </c>
      <c r="K347" s="227">
        <f t="shared" si="1"/>
        <v>14</v>
      </c>
      <c r="L347" s="227">
        <v>7.2</v>
      </c>
      <c r="M347" s="227">
        <v>2.3</v>
      </c>
      <c r="N347" s="231">
        <v>3.13176007866273</v>
      </c>
      <c r="O347" s="231">
        <v>14.4994422488928</v>
      </c>
      <c r="P347" s="231" t="s">
        <v>1428</v>
      </c>
      <c r="Q347" s="231">
        <v>3</v>
      </c>
      <c r="R347" s="269">
        <f>SUBTOTAL(9,H347:Q347)</f>
        <v>74.1312023275555</v>
      </c>
      <c r="S347" s="226" t="s">
        <v>7563</v>
      </c>
      <c r="T347" s="226" t="s">
        <v>7564</v>
      </c>
    </row>
    <row r="349" spans="1:20">
      <c r="A349" s="195" t="s">
        <v>7565</v>
      </c>
      <c r="B349" s="195"/>
      <c r="C349" s="195"/>
      <c r="D349" s="195"/>
      <c r="E349" s="196"/>
      <c r="F349" s="196"/>
      <c r="G349" s="197"/>
      <c r="H349" s="198"/>
      <c r="I349" s="198"/>
      <c r="J349" s="199"/>
      <c r="K349" s="200"/>
      <c r="L349" s="200"/>
      <c r="M349" s="200"/>
      <c r="N349" s="201"/>
      <c r="O349" s="201"/>
      <c r="P349" s="197"/>
      <c r="Q349" s="202"/>
      <c r="R349" s="202"/>
      <c r="S349" s="203"/>
      <c r="T349" s="80"/>
    </row>
    <row r="350" spans="1:20">
      <c r="A350" s="224" t="s">
        <v>1</v>
      </c>
      <c r="B350" s="224" t="s">
        <v>2</v>
      </c>
      <c r="C350" s="224" t="s">
        <v>1493</v>
      </c>
      <c r="D350" s="75" t="s">
        <v>4</v>
      </c>
      <c r="E350" s="75" t="s">
        <v>5</v>
      </c>
      <c r="F350" s="75" t="s">
        <v>1933</v>
      </c>
      <c r="G350" s="75" t="s">
        <v>4102</v>
      </c>
      <c r="H350" s="75" t="s">
        <v>4541</v>
      </c>
      <c r="I350" s="75" t="s">
        <v>1497</v>
      </c>
      <c r="J350" s="75" t="s">
        <v>4102</v>
      </c>
      <c r="K350" s="75" t="s">
        <v>4103</v>
      </c>
      <c r="L350" s="75" t="s">
        <v>4104</v>
      </c>
      <c r="M350" s="75" t="s">
        <v>1497</v>
      </c>
      <c r="N350" s="75" t="s">
        <v>6</v>
      </c>
      <c r="O350" s="75" t="s">
        <v>7</v>
      </c>
      <c r="P350" s="75" t="s">
        <v>5211</v>
      </c>
      <c r="Q350" s="75" t="s">
        <v>8</v>
      </c>
      <c r="R350" s="75" t="s">
        <v>9</v>
      </c>
      <c r="S350" s="75" t="s">
        <v>4105</v>
      </c>
      <c r="T350" s="75" t="s">
        <v>10</v>
      </c>
    </row>
    <row r="351" spans="1:20">
      <c r="A351" s="227" t="s">
        <v>7553</v>
      </c>
      <c r="B351" s="226">
        <v>20241125</v>
      </c>
      <c r="C351" s="226">
        <v>7.25</v>
      </c>
      <c r="D351" s="226" t="s">
        <v>5108</v>
      </c>
      <c r="E351" s="228" t="s">
        <v>2395</v>
      </c>
      <c r="F351" s="243" t="s">
        <v>5111</v>
      </c>
      <c r="G351" s="245" t="s">
        <v>4894</v>
      </c>
      <c r="H351" s="227" t="s">
        <v>1913</v>
      </c>
      <c r="I351" s="227" t="s">
        <v>1428</v>
      </c>
      <c r="J351" s="252">
        <v>70</v>
      </c>
      <c r="K351" s="227"/>
      <c r="L351" s="227"/>
      <c r="M351" s="227"/>
      <c r="N351" s="231">
        <v>4.54768928220256</v>
      </c>
      <c r="O351" s="231">
        <v>14.6104343609147</v>
      </c>
      <c r="P351" s="231"/>
      <c r="Q351" s="231">
        <v>3.22865080313333</v>
      </c>
      <c r="R351" s="269">
        <f>SUM(J351:Q351)</f>
        <v>92.3867744462506</v>
      </c>
      <c r="S351" s="226" t="s">
        <v>1526</v>
      </c>
      <c r="T351" s="226" t="s">
        <v>5109</v>
      </c>
    </row>
    <row r="352" spans="1:20">
      <c r="A352" s="227"/>
      <c r="B352" s="226">
        <v>20241010</v>
      </c>
      <c r="C352" s="226">
        <v>7.11</v>
      </c>
      <c r="D352" s="226" t="s">
        <v>1416</v>
      </c>
      <c r="E352" s="228" t="s">
        <v>1417</v>
      </c>
      <c r="F352" s="243"/>
      <c r="G352" s="245"/>
      <c r="H352" s="227"/>
      <c r="I352" s="227"/>
      <c r="J352" s="252"/>
      <c r="K352" s="227"/>
      <c r="L352" s="227"/>
      <c r="M352" s="227"/>
      <c r="N352" s="231">
        <v>0.423185591775264</v>
      </c>
      <c r="O352" s="231">
        <f>1.1511540502635*7.11/7.25</f>
        <v>1.12892486860324</v>
      </c>
      <c r="P352" s="231" t="s">
        <v>1428</v>
      </c>
      <c r="Q352" s="231">
        <v>0.2</v>
      </c>
      <c r="R352" s="269">
        <f>SUM(J352:Q352)</f>
        <v>1.7521104603785</v>
      </c>
      <c r="S352" s="226"/>
      <c r="T352" s="226" t="s">
        <v>7532</v>
      </c>
    </row>
    <row r="354" ht="28" customHeight="1"/>
    <row r="355" spans="1:20">
      <c r="B355" s="209"/>
      <c r="C355" s="212"/>
      <c r="D355" s="209"/>
      <c r="E355" s="329"/>
      <c r="F355" s="329"/>
      <c r="G355" s="330"/>
      <c r="H355" s="212"/>
      <c r="I355" s="212"/>
      <c r="J355" s="212"/>
      <c r="K355" s="212"/>
      <c r="L355" s="212"/>
      <c r="M355" s="212"/>
      <c r="N355" s="331"/>
      <c r="O355" s="213"/>
      <c r="P355" s="212"/>
      <c r="Q355" s="264"/>
      <c r="R355" s="213"/>
      <c r="S355" s="332"/>
      <c r="T355" s="210"/>
    </row>
    <row r="356" ht="17" customHeight="1" spans="1:20">
      <c r="A356" s="195" t="s">
        <v>7565</v>
      </c>
      <c r="B356" s="195"/>
      <c r="C356" s="195"/>
      <c r="D356" s="195"/>
      <c r="E356" s="196"/>
      <c r="F356" s="196"/>
      <c r="G356" s="197"/>
      <c r="H356" s="198"/>
      <c r="I356" s="198"/>
      <c r="J356" s="199"/>
      <c r="K356" s="200"/>
      <c r="L356" s="200"/>
      <c r="M356" s="200"/>
      <c r="N356" s="201"/>
      <c r="O356" s="201"/>
      <c r="P356" s="197"/>
      <c r="Q356" s="202"/>
      <c r="R356" s="202"/>
      <c r="S356" s="203"/>
      <c r="T356" s="80"/>
    </row>
    <row r="357" spans="1:20">
      <c r="A357" s="224" t="s">
        <v>1</v>
      </c>
      <c r="B357" s="224" t="s">
        <v>2</v>
      </c>
      <c r="C357" s="224" t="s">
        <v>1493</v>
      </c>
      <c r="D357" s="75" t="s">
        <v>4</v>
      </c>
      <c r="E357" s="75" t="s">
        <v>5</v>
      </c>
      <c r="F357" s="75" t="s">
        <v>1933</v>
      </c>
      <c r="G357" s="75" t="s">
        <v>4102</v>
      </c>
      <c r="H357" s="75" t="s">
        <v>4541</v>
      </c>
      <c r="I357" s="75" t="s">
        <v>1497</v>
      </c>
      <c r="J357" s="75" t="s">
        <v>4102</v>
      </c>
      <c r="K357" s="75" t="s">
        <v>4103</v>
      </c>
      <c r="L357" s="75" t="s">
        <v>4104</v>
      </c>
      <c r="M357" s="75" t="s">
        <v>1497</v>
      </c>
      <c r="N357" s="75" t="s">
        <v>6</v>
      </c>
      <c r="O357" s="75" t="s">
        <v>7</v>
      </c>
      <c r="P357" s="75" t="s">
        <v>5211</v>
      </c>
      <c r="Q357" s="75" t="s">
        <v>8</v>
      </c>
      <c r="R357" s="75" t="s">
        <v>9</v>
      </c>
      <c r="S357" s="75" t="s">
        <v>4105</v>
      </c>
      <c r="T357" s="75" t="s">
        <v>10</v>
      </c>
    </row>
    <row r="358" spans="1:20">
      <c r="A358" s="227" t="s">
        <v>3366</v>
      </c>
      <c r="B358" s="226">
        <v>20241127</v>
      </c>
      <c r="C358" s="226">
        <v>7.25</v>
      </c>
      <c r="D358" s="226" t="s">
        <v>3683</v>
      </c>
      <c r="E358" s="228" t="s">
        <v>2546</v>
      </c>
      <c r="F358" s="243" t="s">
        <v>7566</v>
      </c>
      <c r="G358" s="245" t="s">
        <v>3542</v>
      </c>
      <c r="H358" s="227" t="s">
        <v>1913</v>
      </c>
      <c r="I358" s="227" t="s">
        <v>1720</v>
      </c>
      <c r="J358" s="252">
        <v>30</v>
      </c>
      <c r="K358" s="227" t="s">
        <v>1428</v>
      </c>
      <c r="L358" s="227" t="s">
        <v>1428</v>
      </c>
      <c r="M358" s="227">
        <v>2.3</v>
      </c>
      <c r="N358" s="231">
        <v>2.86847726579188</v>
      </c>
      <c r="O358" s="231">
        <v>11.4465070884175</v>
      </c>
      <c r="P358" s="231" t="s">
        <v>1428</v>
      </c>
      <c r="Q358" s="231">
        <v>2.82425</v>
      </c>
      <c r="R358" s="269">
        <f>SUM(J358:Q358)</f>
        <v>49.4392343542094</v>
      </c>
      <c r="S358" s="226" t="s">
        <v>1526</v>
      </c>
      <c r="T358" s="226" t="s">
        <v>7567</v>
      </c>
    </row>
    <row r="359" spans="1:20">
      <c r="A359" s="227"/>
      <c r="B359" s="226">
        <v>20241127</v>
      </c>
      <c r="C359" s="226">
        <v>7.25</v>
      </c>
      <c r="D359" s="226" t="s">
        <v>875</v>
      </c>
      <c r="E359" s="228" t="s">
        <v>876</v>
      </c>
      <c r="F359" s="243"/>
      <c r="G359" s="245"/>
      <c r="H359" s="227"/>
      <c r="I359" s="227"/>
      <c r="J359" s="252"/>
      <c r="K359" s="227"/>
      <c r="L359" s="227"/>
      <c r="M359" s="227"/>
      <c r="N359" s="231">
        <v>0.0246505780560554</v>
      </c>
      <c r="O359" s="231">
        <v>0.0441184009765029</v>
      </c>
      <c r="P359" s="231" t="s">
        <v>1428</v>
      </c>
      <c r="Q359" s="231">
        <v>0.2</v>
      </c>
      <c r="R359" s="269">
        <f>SUM(J359:Q359)</f>
        <v>0.268768979032558</v>
      </c>
      <c r="S359" s="226"/>
      <c r="T359" s="226"/>
    </row>
    <row r="360" spans="1:20">
      <c r="A360" s="227"/>
      <c r="B360" s="226">
        <v>20241127</v>
      </c>
      <c r="C360" s="226">
        <v>7.25</v>
      </c>
      <c r="D360" s="226" t="s">
        <v>529</v>
      </c>
      <c r="E360" s="228" t="s">
        <v>530</v>
      </c>
      <c r="F360" s="243"/>
      <c r="G360" s="245"/>
      <c r="H360" s="227"/>
      <c r="I360" s="227"/>
      <c r="J360" s="252"/>
      <c r="K360" s="227"/>
      <c r="L360" s="227"/>
      <c r="M360" s="227"/>
      <c r="N360" s="231">
        <v>0.490397421057217</v>
      </c>
      <c r="O360" s="231">
        <v>0.797589058529143</v>
      </c>
      <c r="P360" s="231" t="s">
        <v>1428</v>
      </c>
      <c r="Q360" s="231">
        <v>0.2</v>
      </c>
      <c r="R360" s="269">
        <f>SUM(J360:Q360)</f>
        <v>1.48798647958636</v>
      </c>
      <c r="S360" s="226"/>
      <c r="T360" s="226" t="s">
        <v>7568</v>
      </c>
    </row>
    <row r="361" spans="1:20">
      <c r="A361" s="227"/>
      <c r="B361" s="226"/>
      <c r="C361" s="226"/>
      <c r="D361" s="226"/>
      <c r="E361" s="228" t="s">
        <v>7481</v>
      </c>
      <c r="F361" s="243" t="s">
        <v>7569</v>
      </c>
      <c r="G361" s="245"/>
      <c r="H361" s="227"/>
      <c r="I361" s="227"/>
      <c r="J361" s="252"/>
      <c r="K361" s="227"/>
      <c r="L361" s="227"/>
      <c r="M361" s="227"/>
      <c r="N361" s="231"/>
      <c r="O361" s="231"/>
      <c r="P361" s="231"/>
      <c r="Q361" s="231"/>
      <c r="R361" s="269">
        <v>8.95</v>
      </c>
      <c r="S361" s="226"/>
      <c r="T361" s="290" t="s">
        <v>7570</v>
      </c>
    </row>
    <row r="362" spans="1:20">
      <c r="A362" s="227"/>
      <c r="B362" s="226"/>
      <c r="C362" s="226"/>
      <c r="D362" s="226"/>
      <c r="E362" s="228" t="s">
        <v>7571</v>
      </c>
      <c r="F362" s="243" t="s">
        <v>7572</v>
      </c>
      <c r="G362" s="245"/>
      <c r="H362" s="227"/>
      <c r="I362" s="227"/>
      <c r="J362" s="252"/>
      <c r="K362" s="227"/>
      <c r="L362" s="227"/>
      <c r="M362" s="227"/>
      <c r="N362" s="231"/>
      <c r="O362" s="231"/>
      <c r="P362" s="231"/>
      <c r="Q362" s="231"/>
      <c r="R362" s="269">
        <v>12.8</v>
      </c>
      <c r="S362" s="226"/>
      <c r="T362" s="291"/>
    </row>
    <row r="363" spans="1:20">
      <c r="A363" s="227"/>
      <c r="B363" s="226"/>
      <c r="C363" s="226"/>
      <c r="D363" s="226"/>
      <c r="E363" s="228" t="s">
        <v>7573</v>
      </c>
      <c r="F363" s="243" t="s">
        <v>7574</v>
      </c>
      <c r="G363" s="245"/>
      <c r="H363" s="227"/>
      <c r="I363" s="227"/>
      <c r="J363" s="252"/>
      <c r="K363" s="227"/>
      <c r="L363" s="227"/>
      <c r="M363" s="227"/>
      <c r="N363" s="231"/>
      <c r="O363" s="231"/>
      <c r="P363" s="231"/>
      <c r="Q363" s="231"/>
      <c r="R363" s="269">
        <v>6</v>
      </c>
      <c r="S363" s="226"/>
      <c r="T363" s="291"/>
    </row>
    <row r="364" spans="1:20">
      <c r="A364" s="227"/>
      <c r="B364" s="226"/>
      <c r="C364" s="226"/>
      <c r="D364" s="226"/>
      <c r="E364" s="228" t="s">
        <v>7575</v>
      </c>
      <c r="F364" s="243" t="s">
        <v>7576</v>
      </c>
      <c r="G364" s="245"/>
      <c r="H364" s="227"/>
      <c r="I364" s="227"/>
      <c r="J364" s="252"/>
      <c r="K364" s="227"/>
      <c r="L364" s="227"/>
      <c r="M364" s="227"/>
      <c r="N364" s="231"/>
      <c r="O364" s="231"/>
      <c r="P364" s="231"/>
      <c r="Q364" s="231"/>
      <c r="R364" s="269">
        <v>8</v>
      </c>
      <c r="S364" s="226"/>
      <c r="T364" s="292"/>
    </row>
    <row r="366" spans="1:20">
      <c r="E366" s="228"/>
      <c r="F366" s="229"/>
      <c r="G366" s="227"/>
      <c r="H366" s="227"/>
      <c r="I366" s="227"/>
      <c r="J366" s="245"/>
      <c r="K366" s="247"/>
      <c r="L366" s="227"/>
      <c r="M366" s="227"/>
      <c r="N366" s="232"/>
      <c r="O366" s="232"/>
      <c r="P366" s="227"/>
      <c r="Q366" s="231"/>
      <c r="R366" s="232"/>
      <c r="S366" s="233"/>
      <c r="T366" s="226"/>
    </row>
    <row r="367" ht="17" customHeight="1" spans="1:20">
      <c r="A367" s="195" t="s">
        <v>7565</v>
      </c>
      <c r="B367" s="195"/>
      <c r="C367" s="195"/>
      <c r="D367" s="195"/>
      <c r="E367" s="196"/>
      <c r="F367" s="196"/>
      <c r="G367" s="197"/>
      <c r="H367" s="198"/>
      <c r="I367" s="198"/>
      <c r="J367" s="199"/>
      <c r="K367" s="200"/>
      <c r="L367" s="200"/>
      <c r="M367" s="200"/>
      <c r="N367" s="201"/>
      <c r="O367" s="201"/>
      <c r="P367" s="197"/>
      <c r="Q367" s="202"/>
      <c r="R367" s="202"/>
      <c r="S367" s="203"/>
      <c r="T367" s="80"/>
    </row>
    <row r="368" spans="1:20">
      <c r="A368" s="224" t="s">
        <v>1</v>
      </c>
      <c r="B368" s="224" t="s">
        <v>2</v>
      </c>
      <c r="C368" s="224" t="s">
        <v>1493</v>
      </c>
      <c r="D368" s="75" t="s">
        <v>4</v>
      </c>
      <c r="E368" s="75" t="s">
        <v>5</v>
      </c>
      <c r="F368" s="75" t="s">
        <v>1933</v>
      </c>
      <c r="G368" s="75" t="s">
        <v>4102</v>
      </c>
      <c r="H368" s="75" t="s">
        <v>4541</v>
      </c>
      <c r="I368" s="75" t="s">
        <v>1497</v>
      </c>
      <c r="J368" s="75" t="s">
        <v>4102</v>
      </c>
      <c r="K368" s="75" t="s">
        <v>4103</v>
      </c>
      <c r="L368" s="75" t="s">
        <v>4104</v>
      </c>
      <c r="M368" s="75" t="s">
        <v>1497</v>
      </c>
      <c r="N368" s="75" t="s">
        <v>6</v>
      </c>
      <c r="O368" s="75" t="s">
        <v>7</v>
      </c>
      <c r="P368" s="75" t="s">
        <v>5211</v>
      </c>
      <c r="Q368" s="75" t="s">
        <v>8</v>
      </c>
      <c r="R368" s="75" t="s">
        <v>9</v>
      </c>
      <c r="S368" s="75" t="s">
        <v>4105</v>
      </c>
      <c r="T368" s="75" t="s">
        <v>10</v>
      </c>
    </row>
    <row r="369" spans="1:20">
      <c r="A369" s="227" t="s">
        <v>7502</v>
      </c>
      <c r="B369" s="226">
        <v>20241127</v>
      </c>
      <c r="C369" s="226">
        <v>7.25</v>
      </c>
      <c r="D369" s="226" t="s">
        <v>7577</v>
      </c>
      <c r="E369" s="228" t="s">
        <v>1617</v>
      </c>
      <c r="F369" s="243" t="s">
        <v>2801</v>
      </c>
      <c r="G369" s="245" t="s">
        <v>2566</v>
      </c>
      <c r="H369" s="227" t="s">
        <v>1913</v>
      </c>
      <c r="I369" s="227" t="s">
        <v>1428</v>
      </c>
      <c r="J369" s="252">
        <v>130</v>
      </c>
      <c r="K369" s="227" t="s">
        <v>1428</v>
      </c>
      <c r="L369" s="227" t="s">
        <v>1428</v>
      </c>
      <c r="M369" s="227" t="s">
        <v>1428</v>
      </c>
      <c r="N369" s="231">
        <v>5.11089411046689</v>
      </c>
      <c r="O369" s="231">
        <v>19.8349033778303</v>
      </c>
      <c r="P369" s="231" t="s">
        <v>1428</v>
      </c>
      <c r="Q369" s="231">
        <v>3.1205</v>
      </c>
      <c r="R369" s="269">
        <f>SUM(J369:Q369)</f>
        <v>158.066297488297</v>
      </c>
      <c r="S369" s="226" t="s">
        <v>1526</v>
      </c>
      <c r="T369" s="226" t="s">
        <v>7578</v>
      </c>
    </row>
    <row r="370" spans="1:20">
      <c r="A370" s="227"/>
      <c r="B370" s="226">
        <v>20240617</v>
      </c>
      <c r="C370" s="226">
        <v>7.26</v>
      </c>
      <c r="D370" s="226" t="s">
        <v>7579</v>
      </c>
      <c r="E370" s="228" t="s">
        <v>1571</v>
      </c>
      <c r="F370" s="243" t="s">
        <v>2801</v>
      </c>
      <c r="G370" s="245" t="s">
        <v>2566</v>
      </c>
      <c r="H370" s="227" t="s">
        <v>1913</v>
      </c>
      <c r="I370" s="227" t="s">
        <v>1428</v>
      </c>
      <c r="J370" s="252">
        <v>130</v>
      </c>
      <c r="K370" s="227" t="s">
        <v>1428</v>
      </c>
      <c r="L370" s="227" t="s">
        <v>1428</v>
      </c>
      <c r="M370" s="227" t="s">
        <v>1428</v>
      </c>
      <c r="N370" s="231">
        <v>5.2108635947513</v>
      </c>
      <c r="O370" s="231">
        <v>15.6328261676686</v>
      </c>
      <c r="P370" s="231" t="s">
        <v>1428</v>
      </c>
      <c r="Q370" s="231">
        <v>3.1205</v>
      </c>
      <c r="R370" s="269">
        <f>SUM(J370:Q370)</f>
        <v>153.96418976242</v>
      </c>
      <c r="S370" s="226" t="s">
        <v>1526</v>
      </c>
      <c r="T370" s="226" t="s">
        <v>7580</v>
      </c>
    </row>
    <row r="371" spans="1:20">
      <c r="A371" s="227"/>
      <c r="B371" s="226">
        <v>20241129</v>
      </c>
      <c r="C371" s="226">
        <v>7.25</v>
      </c>
      <c r="D371" s="226" t="s">
        <v>242</v>
      </c>
      <c r="E371" s="228" t="s">
        <v>243</v>
      </c>
      <c r="F371" s="243"/>
      <c r="G371" s="245"/>
      <c r="H371" s="227"/>
      <c r="I371" s="227"/>
      <c r="J371" s="252"/>
      <c r="K371" s="227"/>
      <c r="L371" s="227"/>
      <c r="M371" s="227"/>
      <c r="N371" s="231">
        <v>0.396704302715899</v>
      </c>
      <c r="O371" s="231">
        <v>3.70758349187672</v>
      </c>
      <c r="P371" s="231"/>
      <c r="Q371" s="231">
        <v>0.2</v>
      </c>
      <c r="R371" s="269">
        <f>SUM(J371:Q371)</f>
        <v>4.30428779459262</v>
      </c>
      <c r="S371" s="226"/>
      <c r="T371" s="226" t="s">
        <v>244</v>
      </c>
    </row>
    <row r="373" ht="17" customHeight="1" spans="1:20">
      <c r="A373" s="195" t="s">
        <v>7565</v>
      </c>
      <c r="B373" s="195"/>
      <c r="C373" s="195"/>
      <c r="D373" s="195"/>
      <c r="E373" s="196"/>
      <c r="F373" s="196"/>
      <c r="G373" s="197"/>
      <c r="H373" s="198"/>
      <c r="I373" s="198"/>
      <c r="J373" s="199"/>
      <c r="K373" s="200"/>
      <c r="L373" s="200"/>
      <c r="M373" s="200"/>
      <c r="N373" s="201"/>
      <c r="O373" s="201"/>
      <c r="P373" s="197"/>
      <c r="Q373" s="202"/>
      <c r="R373" s="202"/>
      <c r="S373" s="203"/>
      <c r="T373" s="80"/>
    </row>
    <row r="374" spans="1:20">
      <c r="A374" s="224" t="s">
        <v>1</v>
      </c>
      <c r="B374" s="224" t="s">
        <v>2</v>
      </c>
      <c r="C374" s="224" t="s">
        <v>1493</v>
      </c>
      <c r="D374" s="75" t="s">
        <v>4</v>
      </c>
      <c r="E374" s="75" t="s">
        <v>5</v>
      </c>
      <c r="F374" s="75" t="s">
        <v>1933</v>
      </c>
      <c r="G374" s="75" t="s">
        <v>4102</v>
      </c>
      <c r="H374" s="75" t="s">
        <v>4541</v>
      </c>
      <c r="I374" s="75" t="s">
        <v>1497</v>
      </c>
      <c r="J374" s="75" t="s">
        <v>4102</v>
      </c>
      <c r="K374" s="75" t="s">
        <v>4103</v>
      </c>
      <c r="L374" s="75" t="s">
        <v>4104</v>
      </c>
      <c r="M374" s="75" t="s">
        <v>1497</v>
      </c>
      <c r="N374" s="75" t="s">
        <v>6</v>
      </c>
      <c r="O374" s="75" t="s">
        <v>7</v>
      </c>
      <c r="P374" s="75" t="s">
        <v>5211</v>
      </c>
      <c r="Q374" s="75" t="s">
        <v>8</v>
      </c>
      <c r="R374" s="75" t="s">
        <v>9</v>
      </c>
      <c r="S374" s="75" t="s">
        <v>4105</v>
      </c>
      <c r="T374" s="75" t="s">
        <v>10</v>
      </c>
    </row>
    <row r="375" spans="1:20">
      <c r="A375" s="227" t="s">
        <v>7581</v>
      </c>
      <c r="B375" s="226">
        <v>20241114</v>
      </c>
      <c r="C375" s="227">
        <v>7.2</v>
      </c>
      <c r="D375" s="228" t="s">
        <v>4559</v>
      </c>
      <c r="E375" s="228" t="s">
        <v>1565</v>
      </c>
      <c r="F375" s="229" t="s">
        <v>7582</v>
      </c>
      <c r="G375" s="227" t="s">
        <v>4561</v>
      </c>
      <c r="H375" s="227" t="s">
        <v>1913</v>
      </c>
      <c r="I375" s="227" t="s">
        <v>1428</v>
      </c>
      <c r="J375" s="227">
        <v>30</v>
      </c>
      <c r="K375" s="227" t="s">
        <v>1428</v>
      </c>
      <c r="L375" s="227" t="s">
        <v>1428</v>
      </c>
      <c r="M375" s="227" t="s">
        <v>1428</v>
      </c>
      <c r="N375" s="230">
        <v>2.23216356423558</v>
      </c>
      <c r="O375" s="230">
        <f>9.98694122797247*7.2/7.25</f>
        <v>9.91806577122783</v>
      </c>
      <c r="P375" s="227"/>
      <c r="Q375" s="231">
        <v>3</v>
      </c>
      <c r="R375" s="232">
        <f>SUM(J375:Q375)</f>
        <v>45.1502293354634</v>
      </c>
      <c r="S375" s="233" t="s">
        <v>1526</v>
      </c>
      <c r="T375" s="228" t="s">
        <v>4562</v>
      </c>
    </row>
    <row r="376" spans="1:20">
      <c r="A376" s="227"/>
      <c r="B376" s="226">
        <v>20241114</v>
      </c>
      <c r="C376" s="227">
        <v>7.2</v>
      </c>
      <c r="D376" s="226" t="s">
        <v>4563</v>
      </c>
      <c r="E376" s="228" t="s">
        <v>1617</v>
      </c>
      <c r="F376" s="229" t="s">
        <v>7582</v>
      </c>
      <c r="G376" s="227" t="s">
        <v>4564</v>
      </c>
      <c r="H376" s="227" t="s">
        <v>1913</v>
      </c>
      <c r="I376" s="227" t="s">
        <v>1428</v>
      </c>
      <c r="J376" s="227">
        <v>32</v>
      </c>
      <c r="K376" s="227" t="s">
        <v>1428</v>
      </c>
      <c r="L376" s="227" t="s">
        <v>1428</v>
      </c>
      <c r="M376" s="227" t="s">
        <v>1428</v>
      </c>
      <c r="N376" s="230">
        <f>1.73997050147493*7.2/7.25</f>
        <v>1.72797070491303</v>
      </c>
      <c r="O376" s="230">
        <f>12.006818727646*7.2/7.25</f>
        <v>11.9240130812484</v>
      </c>
      <c r="P376" s="227"/>
      <c r="Q376" s="231">
        <v>3</v>
      </c>
      <c r="R376" s="232">
        <f>SUM(J376:Q376)</f>
        <v>48.6519837861614</v>
      </c>
      <c r="S376" s="233" t="s">
        <v>1526</v>
      </c>
      <c r="T376" s="228" t="s">
        <v>4565</v>
      </c>
    </row>
    <row r="378" ht="17" customHeight="1" spans="1:20">
      <c r="A378" s="195" t="s">
        <v>7565</v>
      </c>
      <c r="B378" s="195"/>
      <c r="C378" s="195"/>
      <c r="D378" s="195"/>
      <c r="E378" s="196"/>
      <c r="F378" s="196"/>
      <c r="G378" s="197"/>
      <c r="H378" s="198"/>
      <c r="I378" s="198"/>
      <c r="J378" s="199"/>
      <c r="K378" s="200"/>
      <c r="L378" s="200"/>
      <c r="M378" s="200"/>
      <c r="N378" s="201"/>
      <c r="O378" s="201"/>
      <c r="P378" s="197"/>
      <c r="Q378" s="202"/>
      <c r="R378" s="202"/>
      <c r="S378" s="203"/>
      <c r="T378" s="80"/>
    </row>
    <row r="379" spans="1:20">
      <c r="A379" s="224" t="s">
        <v>1</v>
      </c>
      <c r="B379" s="224" t="s">
        <v>2</v>
      </c>
      <c r="C379" s="224" t="s">
        <v>1493</v>
      </c>
      <c r="D379" s="75" t="s">
        <v>4</v>
      </c>
      <c r="E379" s="75" t="s">
        <v>5</v>
      </c>
      <c r="F379" s="75" t="s">
        <v>1933</v>
      </c>
      <c r="G379" s="75" t="s">
        <v>4102</v>
      </c>
      <c r="H379" s="75" t="s">
        <v>4541</v>
      </c>
      <c r="I379" s="75" t="s">
        <v>1497</v>
      </c>
      <c r="J379" s="75" t="s">
        <v>4102</v>
      </c>
      <c r="K379" s="75" t="s">
        <v>4103</v>
      </c>
      <c r="L379" s="75" t="s">
        <v>4104</v>
      </c>
      <c r="M379" s="75" t="s">
        <v>1497</v>
      </c>
      <c r="N379" s="75" t="s">
        <v>6</v>
      </c>
      <c r="O379" s="75" t="s">
        <v>7</v>
      </c>
      <c r="P379" s="75" t="s">
        <v>5211</v>
      </c>
      <c r="Q379" s="75" t="s">
        <v>8</v>
      </c>
      <c r="R379" s="75" t="s">
        <v>9</v>
      </c>
      <c r="S379" s="75" t="s">
        <v>4105</v>
      </c>
      <c r="T379" s="75" t="s">
        <v>10</v>
      </c>
    </row>
    <row r="380" spans="1:20">
      <c r="A380" s="227" t="s">
        <v>7583</v>
      </c>
      <c r="B380" s="226">
        <v>20241128</v>
      </c>
      <c r="C380" s="227">
        <v>7.25</v>
      </c>
      <c r="D380" s="228" t="s">
        <v>5705</v>
      </c>
      <c r="E380" s="228" t="s">
        <v>1565</v>
      </c>
      <c r="F380" s="229" t="s">
        <v>3540</v>
      </c>
      <c r="G380" s="227" t="s">
        <v>3853</v>
      </c>
      <c r="H380" s="227" t="s">
        <v>1913</v>
      </c>
      <c r="I380" s="227" t="s">
        <v>1428</v>
      </c>
      <c r="J380" s="227">
        <v>29</v>
      </c>
      <c r="K380" s="227" t="s">
        <v>1428</v>
      </c>
      <c r="L380" s="227" t="s">
        <v>1428</v>
      </c>
      <c r="M380" s="227" t="s">
        <v>1428</v>
      </c>
      <c r="N380" s="230">
        <v>4.08910588953311</v>
      </c>
      <c r="O380" s="230">
        <v>15.3607990994911</v>
      </c>
      <c r="P380" s="227" t="s">
        <v>1428</v>
      </c>
      <c r="Q380" s="231">
        <v>4</v>
      </c>
      <c r="R380" s="232">
        <f>SUM(J380:Q380)</f>
        <v>52.4499049890242</v>
      </c>
      <c r="S380" s="233" t="s">
        <v>1526</v>
      </c>
      <c r="T380" s="228" t="s">
        <v>7584</v>
      </c>
    </row>
    <row r="384" spans="1:20">
      <c r="A384" s="195" t="s">
        <v>7565</v>
      </c>
      <c r="B384" s="195"/>
      <c r="C384" s="195"/>
      <c r="D384" s="195"/>
      <c r="E384" s="196"/>
      <c r="F384" s="196"/>
      <c r="G384" s="197"/>
      <c r="H384" s="198"/>
      <c r="I384" s="198"/>
      <c r="J384" s="199"/>
      <c r="K384" s="200"/>
      <c r="L384" s="200"/>
      <c r="M384" s="200"/>
      <c r="N384" s="201"/>
      <c r="O384" s="201"/>
      <c r="P384" s="197"/>
      <c r="Q384" s="202"/>
      <c r="R384" s="202"/>
      <c r="S384" s="203"/>
      <c r="T384" s="80"/>
    </row>
    <row r="385" spans="1:20">
      <c r="A385" s="224" t="s">
        <v>1</v>
      </c>
      <c r="B385" s="224" t="s">
        <v>2</v>
      </c>
      <c r="C385" s="224" t="s">
        <v>1493</v>
      </c>
      <c r="D385" s="75" t="s">
        <v>4</v>
      </c>
      <c r="E385" s="75" t="s">
        <v>5</v>
      </c>
      <c r="F385" s="274" t="s">
        <v>1933</v>
      </c>
      <c r="G385" s="75" t="s">
        <v>4102</v>
      </c>
      <c r="H385" s="75" t="s">
        <v>4541</v>
      </c>
      <c r="I385" s="75" t="s">
        <v>1497</v>
      </c>
      <c r="J385" s="75" t="s">
        <v>4102</v>
      </c>
      <c r="K385" s="75" t="s">
        <v>4103</v>
      </c>
      <c r="L385" s="75" t="s">
        <v>4104</v>
      </c>
      <c r="M385" s="75" t="s">
        <v>1497</v>
      </c>
      <c r="N385" s="75" t="s">
        <v>6</v>
      </c>
      <c r="O385" s="75" t="s">
        <v>7</v>
      </c>
      <c r="P385" s="75" t="s">
        <v>5211</v>
      </c>
      <c r="Q385" s="75" t="s">
        <v>8</v>
      </c>
      <c r="R385" s="75" t="s">
        <v>9</v>
      </c>
      <c r="S385" s="75" t="s">
        <v>4105</v>
      </c>
      <c r="T385" s="75" t="s">
        <v>10</v>
      </c>
    </row>
    <row r="386" spans="1:20">
      <c r="A386" s="225" t="s">
        <v>7585</v>
      </c>
      <c r="B386" s="226">
        <v>20241128</v>
      </c>
      <c r="C386" s="227">
        <v>7.25</v>
      </c>
      <c r="D386" s="228" t="s">
        <v>7274</v>
      </c>
      <c r="E386" s="228" t="s">
        <v>1671</v>
      </c>
      <c r="F386" s="229" t="s">
        <v>6570</v>
      </c>
      <c r="G386" s="227" t="s">
        <v>2082</v>
      </c>
      <c r="H386" s="227" t="s">
        <v>3432</v>
      </c>
      <c r="I386" s="227" t="s">
        <v>1742</v>
      </c>
      <c r="J386" s="227">
        <v>105</v>
      </c>
      <c r="K386" s="227">
        <v>38</v>
      </c>
      <c r="L386" s="227"/>
      <c r="M386" s="227">
        <v>6</v>
      </c>
      <c r="N386" s="230">
        <v>4.38327738785475</v>
      </c>
      <c r="O386" s="230">
        <v>16.0865529430729</v>
      </c>
      <c r="P386" s="227"/>
      <c r="Q386" s="231">
        <v>2.62435154104364</v>
      </c>
      <c r="R386" s="232">
        <f>SUM(J386:Q386)</f>
        <v>172.094181871971</v>
      </c>
      <c r="S386" s="233" t="s">
        <v>7278</v>
      </c>
      <c r="T386" s="228" t="s">
        <v>7586</v>
      </c>
    </row>
    <row r="387" spans="1:20">
      <c r="A387" s="234"/>
      <c r="B387" s="226">
        <v>20241128</v>
      </c>
      <c r="C387" s="227">
        <v>7.25</v>
      </c>
      <c r="D387" s="228" t="s">
        <v>7276</v>
      </c>
      <c r="E387" s="228" t="s">
        <v>1672</v>
      </c>
      <c r="F387" s="229" t="s">
        <v>6570</v>
      </c>
      <c r="G387" s="227" t="s">
        <v>7408</v>
      </c>
      <c r="H387" s="227" t="s">
        <v>3432</v>
      </c>
      <c r="I387" s="227" t="s">
        <v>1742</v>
      </c>
      <c r="J387" s="227">
        <v>180</v>
      </c>
      <c r="K387" s="227">
        <v>38</v>
      </c>
      <c r="L387" s="227"/>
      <c r="M387" s="227">
        <v>6</v>
      </c>
      <c r="N387" s="230">
        <v>4.38327738785475</v>
      </c>
      <c r="O387" s="230">
        <v>15.3174301677864</v>
      </c>
      <c r="P387" s="227"/>
      <c r="Q387" s="231">
        <v>2.62435154104364</v>
      </c>
      <c r="R387" s="232">
        <f>SUM(J387:Q387)</f>
        <v>246.325059096685</v>
      </c>
      <c r="S387" s="233" t="s">
        <v>7278</v>
      </c>
      <c r="T387" s="228" t="s">
        <v>7587</v>
      </c>
    </row>
    <row r="389" ht="17" customHeight="1"/>
    <row r="390" spans="1:20">
      <c r="A390" s="195" t="s">
        <v>7565</v>
      </c>
      <c r="B390" s="195"/>
      <c r="C390" s="195"/>
      <c r="D390" s="195"/>
      <c r="E390" s="196"/>
      <c r="F390" s="196"/>
      <c r="G390" s="197"/>
      <c r="H390" s="198"/>
      <c r="I390" s="198"/>
      <c r="J390" s="199"/>
      <c r="K390" s="200"/>
      <c r="L390" s="200"/>
      <c r="M390" s="200"/>
      <c r="N390" s="201"/>
      <c r="O390" s="201"/>
      <c r="P390" s="197"/>
      <c r="Q390" s="202"/>
      <c r="R390" s="202"/>
      <c r="S390" s="203"/>
      <c r="T390" s="80"/>
    </row>
    <row r="391" spans="1:20">
      <c r="A391" s="224" t="s">
        <v>1</v>
      </c>
      <c r="B391" s="224" t="s">
        <v>2</v>
      </c>
      <c r="C391" s="224" t="s">
        <v>1493</v>
      </c>
      <c r="D391" s="75" t="s">
        <v>4</v>
      </c>
      <c r="E391" s="75" t="s">
        <v>5</v>
      </c>
      <c r="F391" s="274" t="s">
        <v>1933</v>
      </c>
      <c r="G391" s="75" t="s">
        <v>4102</v>
      </c>
      <c r="H391" s="75" t="s">
        <v>4541</v>
      </c>
      <c r="I391" s="75" t="s">
        <v>1497</v>
      </c>
      <c r="J391" s="75" t="s">
        <v>4102</v>
      </c>
      <c r="K391" s="75" t="s">
        <v>4103</v>
      </c>
      <c r="L391" s="75" t="s">
        <v>4104</v>
      </c>
      <c r="M391" s="75" t="s">
        <v>1497</v>
      </c>
      <c r="N391" s="75" t="s">
        <v>6</v>
      </c>
      <c r="O391" s="75" t="s">
        <v>7</v>
      </c>
      <c r="P391" s="75" t="s">
        <v>5211</v>
      </c>
      <c r="Q391" s="75" t="s">
        <v>8</v>
      </c>
      <c r="R391" s="75" t="s">
        <v>9</v>
      </c>
      <c r="S391" s="75" t="s">
        <v>4105</v>
      </c>
      <c r="T391" s="75" t="s">
        <v>10</v>
      </c>
    </row>
    <row r="392" spans="1:20">
      <c r="A392" s="225" t="s">
        <v>7457</v>
      </c>
      <c r="B392" s="226">
        <v>20241128</v>
      </c>
      <c r="C392" s="227">
        <v>7.25</v>
      </c>
      <c r="D392" s="228" t="s">
        <v>7588</v>
      </c>
      <c r="E392" s="228" t="s">
        <v>1604</v>
      </c>
      <c r="F392" s="209" t="s">
        <v>2801</v>
      </c>
      <c r="G392" s="227" t="s">
        <v>2664</v>
      </c>
      <c r="H392" s="227" t="s">
        <v>1913</v>
      </c>
      <c r="I392" s="227" t="s">
        <v>1428</v>
      </c>
      <c r="J392" s="227">
        <v>195</v>
      </c>
      <c r="K392" s="227" t="s">
        <v>1428</v>
      </c>
      <c r="L392" s="227" t="s">
        <v>1428</v>
      </c>
      <c r="M392" s="227" t="s">
        <v>1428</v>
      </c>
      <c r="N392" s="230">
        <v>6.08849557522124</v>
      </c>
      <c r="O392" s="230">
        <v>26.0933571210879</v>
      </c>
      <c r="P392" s="227" t="s">
        <v>1428</v>
      </c>
      <c r="Q392" s="231">
        <f>3.58*7.24/7.25</f>
        <v>3.57506206896552</v>
      </c>
      <c r="R392" s="232">
        <f>SUM(J392:Q392)</f>
        <v>230.756914765275</v>
      </c>
      <c r="S392" s="233" t="s">
        <v>1526</v>
      </c>
      <c r="T392" s="228" t="s">
        <v>7589</v>
      </c>
    </row>
    <row r="393" spans="1:20">
      <c r="A393" s="225"/>
      <c r="B393" s="226">
        <v>20241128</v>
      </c>
      <c r="C393" s="227">
        <v>7.25</v>
      </c>
      <c r="D393" s="228" t="s">
        <v>4858</v>
      </c>
      <c r="E393" s="228" t="s">
        <v>4859</v>
      </c>
      <c r="F393" s="209"/>
      <c r="G393" s="227"/>
      <c r="H393" s="227"/>
      <c r="I393" s="227"/>
      <c r="J393" s="227"/>
      <c r="K393" s="227"/>
      <c r="L393" s="227"/>
      <c r="M393" s="227"/>
      <c r="N393" s="230">
        <v>0.427220018309429</v>
      </c>
      <c r="O393" s="230">
        <v>1.49158662869698</v>
      </c>
      <c r="P393" s="227"/>
      <c r="Q393" s="231">
        <v>0.2</v>
      </c>
      <c r="R393" s="232">
        <f>SUM(J393:Q393)</f>
        <v>2.11880664700641</v>
      </c>
      <c r="S393" s="233"/>
      <c r="T393" s="228" t="s">
        <v>4860</v>
      </c>
    </row>
    <row r="394" spans="1:20">
      <c r="A394" s="225"/>
      <c r="B394" s="226"/>
      <c r="C394" s="227"/>
      <c r="D394" s="228"/>
      <c r="E394" s="228" t="s">
        <v>7590</v>
      </c>
      <c r="F394" s="209" t="s">
        <v>7591</v>
      </c>
      <c r="G394" s="227"/>
      <c r="H394" s="227"/>
      <c r="I394" s="227"/>
      <c r="J394" s="227"/>
      <c r="K394" s="227"/>
      <c r="L394" s="227"/>
      <c r="M394" s="227"/>
      <c r="N394" s="230"/>
      <c r="O394" s="230"/>
      <c r="P394" s="227"/>
      <c r="Q394" s="231"/>
      <c r="R394" s="232">
        <v>20</v>
      </c>
      <c r="S394" s="233"/>
      <c r="T394" s="228"/>
    </row>
    <row r="395" spans="1:20">
      <c r="A395" s="225"/>
      <c r="B395" s="226"/>
      <c r="C395" s="227"/>
      <c r="D395" s="228"/>
      <c r="E395" s="228" t="s">
        <v>7592</v>
      </c>
      <c r="F395" s="209" t="s">
        <v>7593</v>
      </c>
      <c r="G395" s="227"/>
      <c r="H395" s="227"/>
      <c r="I395" s="227"/>
      <c r="J395" s="227"/>
      <c r="K395" s="227"/>
      <c r="L395" s="227"/>
      <c r="M395" s="227"/>
      <c r="N395" s="230"/>
      <c r="O395" s="230"/>
      <c r="P395" s="227"/>
      <c r="Q395" s="231"/>
      <c r="R395" s="232"/>
      <c r="S395" s="233"/>
      <c r="T395" s="228"/>
    </row>
    <row r="396" spans="1:20">
      <c r="A396" s="227"/>
      <c r="B396" s="226"/>
      <c r="C396" s="227"/>
      <c r="D396" s="228"/>
      <c r="E396" s="228" t="s">
        <v>7441</v>
      </c>
      <c r="F396" s="209" t="s">
        <v>5764</v>
      </c>
      <c r="G396" s="227"/>
      <c r="H396" s="227"/>
      <c r="I396" s="227"/>
      <c r="J396" s="227"/>
      <c r="K396" s="227"/>
      <c r="L396" s="227"/>
      <c r="M396" s="227"/>
      <c r="N396" s="230"/>
      <c r="O396" s="230"/>
      <c r="P396" s="227"/>
      <c r="Q396" s="231"/>
      <c r="R396" s="232">
        <v>3.3</v>
      </c>
      <c r="S396" s="233"/>
      <c r="T396" s="228"/>
    </row>
    <row r="398" spans="1:20">
      <c r="A398" s="195" t="s">
        <v>7565</v>
      </c>
      <c r="B398" s="195"/>
      <c r="C398" s="195"/>
      <c r="D398" s="195"/>
      <c r="E398" s="196"/>
      <c r="F398" s="196"/>
      <c r="G398" s="197"/>
      <c r="H398" s="198"/>
      <c r="I398" s="198"/>
      <c r="J398" s="199"/>
      <c r="K398" s="200"/>
      <c r="L398" s="200"/>
      <c r="M398" s="200"/>
      <c r="N398" s="201"/>
      <c r="O398" s="201"/>
      <c r="P398" s="197"/>
      <c r="Q398" s="202"/>
      <c r="R398" s="202"/>
      <c r="S398" s="203"/>
      <c r="T398" s="80"/>
    </row>
    <row r="399" spans="1:20">
      <c r="A399" s="224" t="s">
        <v>1</v>
      </c>
      <c r="B399" s="224" t="s">
        <v>2</v>
      </c>
      <c r="C399" s="224" t="s">
        <v>1493</v>
      </c>
      <c r="D399" s="75" t="s">
        <v>4</v>
      </c>
      <c r="E399" s="75" t="s">
        <v>5</v>
      </c>
      <c r="F399" s="274" t="s">
        <v>1933</v>
      </c>
      <c r="G399" s="75" t="s">
        <v>4102</v>
      </c>
      <c r="H399" s="75" t="s">
        <v>4541</v>
      </c>
      <c r="I399" s="75" t="s">
        <v>1497</v>
      </c>
      <c r="J399" s="75" t="s">
        <v>4102</v>
      </c>
      <c r="K399" s="75" t="s">
        <v>4103</v>
      </c>
      <c r="L399" s="75" t="s">
        <v>4104</v>
      </c>
      <c r="M399" s="75" t="s">
        <v>1497</v>
      </c>
      <c r="N399" s="75" t="s">
        <v>6</v>
      </c>
      <c r="O399" s="75" t="s">
        <v>7</v>
      </c>
      <c r="P399" s="75" t="s">
        <v>5211</v>
      </c>
      <c r="Q399" s="75" t="s">
        <v>8</v>
      </c>
      <c r="R399" s="75" t="s">
        <v>9</v>
      </c>
      <c r="S399" s="75" t="s">
        <v>4105</v>
      </c>
      <c r="T399" s="75" t="s">
        <v>10</v>
      </c>
    </row>
    <row r="400" spans="1:20">
      <c r="A400" s="227" t="s">
        <v>432</v>
      </c>
      <c r="B400" s="226">
        <v>20241128</v>
      </c>
      <c r="C400" s="227">
        <v>7.25</v>
      </c>
      <c r="D400" s="228" t="s">
        <v>2966</v>
      </c>
      <c r="E400" s="228" t="s">
        <v>2314</v>
      </c>
      <c r="F400" s="209" t="s">
        <v>4284</v>
      </c>
      <c r="G400" s="227" t="s">
        <v>2354</v>
      </c>
      <c r="H400" s="227" t="s">
        <v>1913</v>
      </c>
      <c r="I400" s="227" t="s">
        <v>1633</v>
      </c>
      <c r="J400" s="227">
        <v>130</v>
      </c>
      <c r="K400" s="227"/>
      <c r="L400" s="227"/>
      <c r="M400" s="227">
        <v>1.7</v>
      </c>
      <c r="N400" s="230">
        <v>2.70857491608178</v>
      </c>
      <c r="O400" s="230">
        <v>11.5248957233445</v>
      </c>
      <c r="P400" s="227" t="s">
        <v>1428</v>
      </c>
      <c r="Q400" s="231">
        <v>2.71212636920602</v>
      </c>
      <c r="R400" s="232">
        <f>SUM(J400:Q400)</f>
        <v>148.645597008632</v>
      </c>
      <c r="S400" s="233" t="s">
        <v>1526</v>
      </c>
      <c r="T400" s="228" t="s">
        <v>2588</v>
      </c>
    </row>
    <row r="403" ht="15" customHeight="1"/>
    <row r="404" spans="1:20">
      <c r="A404" s="195" t="s">
        <v>7565</v>
      </c>
      <c r="B404" s="195"/>
      <c r="C404" s="195"/>
      <c r="D404" s="195"/>
      <c r="E404" s="196"/>
      <c r="F404" s="196"/>
      <c r="G404" s="197"/>
      <c r="H404" s="198"/>
      <c r="I404" s="198"/>
      <c r="J404" s="199"/>
      <c r="K404" s="200"/>
      <c r="L404" s="200"/>
      <c r="M404" s="200"/>
      <c r="N404" s="201"/>
      <c r="O404" s="201"/>
      <c r="P404" s="197"/>
      <c r="Q404" s="202"/>
      <c r="R404" s="202"/>
      <c r="S404" s="203"/>
      <c r="T404" s="80"/>
    </row>
    <row r="405" spans="1:20">
      <c r="A405" s="205" t="s">
        <v>1</v>
      </c>
      <c r="B405" s="265" t="s">
        <v>2</v>
      </c>
      <c r="C405" s="265" t="s">
        <v>1493</v>
      </c>
      <c r="D405" s="265" t="s">
        <v>4</v>
      </c>
      <c r="E405" s="75" t="s">
        <v>5</v>
      </c>
      <c r="F405" s="75" t="s">
        <v>1933</v>
      </c>
      <c r="G405" s="75" t="s">
        <v>4102</v>
      </c>
      <c r="H405" s="75" t="s">
        <v>4541</v>
      </c>
      <c r="I405" s="75" t="s">
        <v>1497</v>
      </c>
      <c r="J405" s="75" t="s">
        <v>4102</v>
      </c>
      <c r="K405" s="75" t="s">
        <v>4103</v>
      </c>
      <c r="L405" s="75" t="s">
        <v>4104</v>
      </c>
      <c r="M405" s="75" t="s">
        <v>1497</v>
      </c>
      <c r="N405" s="75" t="s">
        <v>6</v>
      </c>
      <c r="O405" s="75" t="s">
        <v>7</v>
      </c>
      <c r="P405" s="75" t="s">
        <v>5211</v>
      </c>
      <c r="Q405" s="75" t="s">
        <v>8</v>
      </c>
      <c r="R405" s="75" t="s">
        <v>9</v>
      </c>
      <c r="S405" s="75" t="s">
        <v>4105</v>
      </c>
      <c r="T405" s="75" t="s">
        <v>10</v>
      </c>
    </row>
    <row r="406" spans="1:20">
      <c r="A406" s="225" t="s">
        <v>7594</v>
      </c>
      <c r="B406" s="226">
        <v>20240117</v>
      </c>
      <c r="C406" s="227">
        <v>7.18</v>
      </c>
      <c r="D406" s="228" t="s">
        <v>4546</v>
      </c>
      <c r="E406" s="228" t="s">
        <v>1565</v>
      </c>
      <c r="F406" s="229" t="s">
        <v>7595</v>
      </c>
      <c r="G406" s="227" t="s">
        <v>3541</v>
      </c>
      <c r="H406" s="227" t="s">
        <v>1428</v>
      </c>
      <c r="I406" s="227" t="s">
        <v>1428</v>
      </c>
      <c r="J406" s="227">
        <v>27</v>
      </c>
      <c r="K406" s="227" t="s">
        <v>1428</v>
      </c>
      <c r="L406" s="227" t="s">
        <v>1428</v>
      </c>
      <c r="M406" s="227" t="s">
        <v>1428</v>
      </c>
      <c r="N406" s="230">
        <v>2.5877326823314</v>
      </c>
      <c r="O406" s="230">
        <v>20.7569936081188</v>
      </c>
      <c r="P406" s="227" t="s">
        <v>1428</v>
      </c>
      <c r="Q406" s="231">
        <v>3</v>
      </c>
      <c r="R406" s="232">
        <f>SUM(J406:Q406)</f>
        <v>53.3447262904502</v>
      </c>
      <c r="S406" s="233" t="s">
        <v>1526</v>
      </c>
      <c r="T406" s="228" t="s">
        <v>7596</v>
      </c>
    </row>
    <row r="407" spans="1:20">
      <c r="A407" s="234"/>
      <c r="B407" s="226">
        <v>20240117</v>
      </c>
      <c r="C407" s="227">
        <v>7.18</v>
      </c>
      <c r="D407" s="228" t="s">
        <v>4549</v>
      </c>
      <c r="E407" s="228" t="s">
        <v>1617</v>
      </c>
      <c r="F407" s="229" t="s">
        <v>7595</v>
      </c>
      <c r="G407" s="227" t="s">
        <v>3542</v>
      </c>
      <c r="H407" s="227" t="s">
        <v>1428</v>
      </c>
      <c r="I407" s="227" t="s">
        <v>1428</v>
      </c>
      <c r="J407" s="227">
        <v>30</v>
      </c>
      <c r="K407" s="227" t="s">
        <v>1428</v>
      </c>
      <c r="L407" s="227" t="s">
        <v>1428</v>
      </c>
      <c r="M407" s="227" t="s">
        <v>1428</v>
      </c>
      <c r="N407" s="230">
        <v>2.5877326823314</v>
      </c>
      <c r="O407" s="230">
        <v>19.2077496384453</v>
      </c>
      <c r="P407" s="227" t="s">
        <v>1428</v>
      </c>
      <c r="Q407" s="231">
        <v>3</v>
      </c>
      <c r="R407" s="232">
        <f>SUM(J407:Q407)</f>
        <v>54.7954823207767</v>
      </c>
      <c r="S407" s="233" t="s">
        <v>1526</v>
      </c>
      <c r="T407" s="228" t="s">
        <v>4550</v>
      </c>
    </row>
    <row r="410" spans="1:20">
      <c r="A410" s="195" t="s">
        <v>7565</v>
      </c>
      <c r="B410" s="195"/>
      <c r="C410" s="195"/>
      <c r="D410" s="195"/>
      <c r="E410" s="196"/>
      <c r="F410" s="196"/>
      <c r="G410" s="197"/>
      <c r="H410" s="198"/>
      <c r="I410" s="198"/>
      <c r="J410" s="199"/>
      <c r="K410" s="200"/>
      <c r="L410" s="200"/>
      <c r="M410" s="200"/>
      <c r="N410" s="201"/>
      <c r="O410" s="201"/>
      <c r="P410" s="197"/>
      <c r="Q410" s="202"/>
      <c r="R410" s="202"/>
      <c r="S410" s="203"/>
      <c r="T410" s="80"/>
    </row>
    <row r="411" spans="1:20">
      <c r="A411" s="205" t="s">
        <v>1</v>
      </c>
      <c r="B411" s="265" t="s">
        <v>2</v>
      </c>
      <c r="C411" s="265" t="s">
        <v>1493</v>
      </c>
      <c r="D411" s="265" t="s">
        <v>4</v>
      </c>
      <c r="E411" s="75" t="s">
        <v>5</v>
      </c>
      <c r="F411" s="75" t="s">
        <v>1933</v>
      </c>
      <c r="G411" s="75" t="s">
        <v>4102</v>
      </c>
      <c r="H411" s="75" t="s">
        <v>4541</v>
      </c>
      <c r="I411" s="75" t="s">
        <v>1497</v>
      </c>
      <c r="J411" s="75" t="s">
        <v>4102</v>
      </c>
      <c r="K411" s="75" t="s">
        <v>4103</v>
      </c>
      <c r="L411" s="75" t="s">
        <v>4104</v>
      </c>
      <c r="M411" s="75" t="s">
        <v>1497</v>
      </c>
      <c r="N411" s="75" t="s">
        <v>6</v>
      </c>
      <c r="O411" s="75" t="s">
        <v>7</v>
      </c>
      <c r="P411" s="75" t="s">
        <v>5211</v>
      </c>
      <c r="Q411" s="75" t="s">
        <v>8</v>
      </c>
      <c r="R411" s="75" t="s">
        <v>9</v>
      </c>
      <c r="S411" s="75" t="s">
        <v>4105</v>
      </c>
      <c r="T411" s="75" t="s">
        <v>10</v>
      </c>
    </row>
    <row r="412" spans="1:20">
      <c r="A412" s="227" t="s">
        <v>7414</v>
      </c>
      <c r="B412" s="226">
        <v>20241101</v>
      </c>
      <c r="C412" s="227">
        <v>7.11</v>
      </c>
      <c r="D412" s="228" t="s">
        <v>7597</v>
      </c>
      <c r="E412" s="228" t="s">
        <v>2314</v>
      </c>
      <c r="F412" s="229" t="s">
        <v>7445</v>
      </c>
      <c r="G412" s="227" t="s">
        <v>2566</v>
      </c>
      <c r="H412" s="227" t="s">
        <v>4248</v>
      </c>
      <c r="I412" s="227" t="s">
        <v>1635</v>
      </c>
      <c r="J412" s="227">
        <v>130</v>
      </c>
      <c r="K412" s="227">
        <f>12.5*4</f>
        <v>50</v>
      </c>
      <c r="L412" s="227"/>
      <c r="M412" s="227">
        <v>3.3</v>
      </c>
      <c r="N412" s="230">
        <v>2.98058013765978</v>
      </c>
      <c r="O412" s="230">
        <f>13.6778517893432*7.11/7.25</f>
        <v>13.4137277547904</v>
      </c>
      <c r="P412" s="227"/>
      <c r="Q412" s="231">
        <v>2.95826013351263</v>
      </c>
      <c r="R412" s="232">
        <f>SUM(J412:Q412)</f>
        <v>202.652568025963</v>
      </c>
      <c r="S412" s="233" t="s">
        <v>4001</v>
      </c>
      <c r="T412" s="228" t="s">
        <v>7450</v>
      </c>
    </row>
    <row r="413" spans="1:20">
      <c r="A413" s="228"/>
      <c r="B413" s="226">
        <v>20241023</v>
      </c>
      <c r="C413" s="227">
        <v>7.11</v>
      </c>
      <c r="D413" s="228" t="s">
        <v>187</v>
      </c>
      <c r="E413" s="228" t="s">
        <v>188</v>
      </c>
      <c r="F413" s="229" t="s">
        <v>1428</v>
      </c>
      <c r="G413" s="227" t="s">
        <v>1428</v>
      </c>
      <c r="H413" s="227" t="s">
        <v>1428</v>
      </c>
      <c r="I413" s="227" t="s">
        <v>1428</v>
      </c>
      <c r="J413" s="227" t="s">
        <v>1428</v>
      </c>
      <c r="K413" s="227" t="s">
        <v>1428</v>
      </c>
      <c r="L413" s="227" t="s">
        <v>1428</v>
      </c>
      <c r="M413" s="227" t="s">
        <v>1428</v>
      </c>
      <c r="N413" s="230">
        <f>0.431898236311813*7.11/7.25</f>
        <v>0.423558132438206</v>
      </c>
      <c r="O413" s="230">
        <f>1.46277730114634*7.11/7.25</f>
        <v>1.43453056705524</v>
      </c>
      <c r="P413" s="227" t="s">
        <v>1428</v>
      </c>
      <c r="Q413" s="231">
        <v>0.2</v>
      </c>
      <c r="R413" s="232">
        <f>SUM(J413:Q413)</f>
        <v>2.05808869949345</v>
      </c>
      <c r="S413" s="233"/>
      <c r="T413" s="228" t="s">
        <v>7421</v>
      </c>
    </row>
    <row r="417" spans="1:20">
      <c r="A417" s="195" t="s">
        <v>7565</v>
      </c>
      <c r="B417" s="195"/>
      <c r="C417" s="195"/>
      <c r="D417" s="195"/>
      <c r="E417" s="196"/>
      <c r="F417" s="196"/>
      <c r="G417" s="197"/>
      <c r="H417" s="198"/>
      <c r="I417" s="198"/>
      <c r="J417" s="199"/>
      <c r="K417" s="200"/>
      <c r="L417" s="200"/>
      <c r="M417" s="200"/>
      <c r="N417" s="201"/>
      <c r="O417" s="201"/>
      <c r="P417" s="197"/>
      <c r="Q417" s="202"/>
      <c r="R417" s="202"/>
      <c r="S417" s="203"/>
      <c r="T417" s="80"/>
    </row>
    <row r="418" spans="1:20">
      <c r="A418" s="205" t="s">
        <v>1</v>
      </c>
      <c r="B418" s="265" t="s">
        <v>2</v>
      </c>
      <c r="C418" s="265" t="s">
        <v>1493</v>
      </c>
      <c r="D418" s="265" t="s">
        <v>4</v>
      </c>
      <c r="E418" s="75" t="s">
        <v>5</v>
      </c>
      <c r="F418" s="75" t="s">
        <v>1933</v>
      </c>
      <c r="G418" s="75" t="s">
        <v>4102</v>
      </c>
      <c r="H418" s="75" t="s">
        <v>4541</v>
      </c>
      <c r="I418" s="75" t="s">
        <v>1497</v>
      </c>
      <c r="J418" s="75" t="s">
        <v>4102</v>
      </c>
      <c r="K418" s="75" t="s">
        <v>4103</v>
      </c>
      <c r="L418" s="75" t="s">
        <v>4104</v>
      </c>
      <c r="M418" s="75" t="s">
        <v>1497</v>
      </c>
      <c r="N418" s="75" t="s">
        <v>6</v>
      </c>
      <c r="O418" s="75" t="s">
        <v>7</v>
      </c>
      <c r="P418" s="75" t="s">
        <v>5211</v>
      </c>
      <c r="Q418" s="75" t="s">
        <v>8</v>
      </c>
      <c r="R418" s="75" t="s">
        <v>9</v>
      </c>
      <c r="S418" s="75" t="s">
        <v>4105</v>
      </c>
      <c r="T418" s="75" t="s">
        <v>10</v>
      </c>
    </row>
    <row r="419" spans="1:20">
      <c r="A419" s="227" t="s">
        <v>7529</v>
      </c>
      <c r="B419" s="226">
        <v>20241202</v>
      </c>
      <c r="C419" s="227">
        <v>7.25</v>
      </c>
      <c r="D419" s="228" t="s">
        <v>6814</v>
      </c>
      <c r="E419" s="228" t="s">
        <v>2486</v>
      </c>
      <c r="F419" s="229" t="s">
        <v>6816</v>
      </c>
      <c r="G419" s="227" t="s">
        <v>6159</v>
      </c>
      <c r="H419" s="227" t="s">
        <v>1913</v>
      </c>
      <c r="I419" s="227" t="s">
        <v>1720</v>
      </c>
      <c r="J419" s="227">
        <v>16</v>
      </c>
      <c r="K419" s="227" t="s">
        <v>1428</v>
      </c>
      <c r="L419" s="227" t="s">
        <v>1428</v>
      </c>
      <c r="M419" s="227">
        <v>2.3</v>
      </c>
      <c r="N419" s="230">
        <v>3.19567354965585</v>
      </c>
      <c r="O419" s="230">
        <v>9.8766708838877</v>
      </c>
      <c r="P419" s="227" t="s">
        <v>1428</v>
      </c>
      <c r="Q419" s="231">
        <v>2.71637806675407</v>
      </c>
      <c r="R419" s="232">
        <f>SUM(J419:Q419)</f>
        <v>34.0887225002976</v>
      </c>
      <c r="S419" s="233" t="s">
        <v>1526</v>
      </c>
      <c r="T419" s="228" t="s">
        <v>7598</v>
      </c>
    </row>
    <row r="420" spans="1:20">
      <c r="A420" s="333"/>
      <c r="B420" s="226">
        <v>20241010</v>
      </c>
      <c r="C420" s="226">
        <v>7.11</v>
      </c>
      <c r="D420" s="226" t="s">
        <v>1416</v>
      </c>
      <c r="E420" s="254" t="s">
        <v>1417</v>
      </c>
      <c r="F420" s="226"/>
      <c r="G420" s="227"/>
      <c r="H420" s="227"/>
      <c r="I420" s="227"/>
      <c r="J420" s="245"/>
      <c r="K420" s="256"/>
      <c r="L420" s="256"/>
      <c r="M420" s="256"/>
      <c r="N420" s="334">
        <v>0.423185591775264</v>
      </c>
      <c r="O420" s="334">
        <f>1.1511540502635*7.11/7.25</f>
        <v>1.12892486860324</v>
      </c>
      <c r="P420" s="227" t="s">
        <v>1428</v>
      </c>
      <c r="Q420" s="231">
        <v>0.2</v>
      </c>
      <c r="R420" s="231">
        <f>SUM(J420:Q420)</f>
        <v>1.7521104603785</v>
      </c>
      <c r="S420" s="233"/>
      <c r="T420" s="260" t="s">
        <v>7532</v>
      </c>
    </row>
    <row r="423" s="182" customFormat="1" ht="32" customHeight="1" spans="1:20">
      <c r="A423" s="335" t="s">
        <v>7565</v>
      </c>
      <c r="B423" s="336"/>
      <c r="C423" s="336"/>
      <c r="D423" s="336"/>
      <c r="E423" s="336"/>
      <c r="F423" s="336"/>
      <c r="G423" s="336"/>
      <c r="H423" s="336"/>
      <c r="I423" s="336"/>
      <c r="J423" s="336"/>
      <c r="K423" s="336"/>
      <c r="L423" s="336"/>
      <c r="M423" s="336"/>
      <c r="N423" s="336"/>
      <c r="O423" s="336"/>
      <c r="P423" s="336"/>
      <c r="Q423" s="336"/>
      <c r="R423" s="336"/>
      <c r="S423" s="336"/>
      <c r="T423" s="337"/>
    </row>
    <row r="424" s="182" customFormat="1" ht="32" customHeight="1" spans="1:20">
      <c r="A424" s="338" t="s">
        <v>1</v>
      </c>
      <c r="B424" s="338" t="s">
        <v>2</v>
      </c>
      <c r="C424" s="338" t="s">
        <v>1493</v>
      </c>
      <c r="D424" s="338" t="s">
        <v>4</v>
      </c>
      <c r="E424" s="338" t="s">
        <v>5</v>
      </c>
      <c r="F424" s="338" t="s">
        <v>1933</v>
      </c>
      <c r="G424" s="338" t="s">
        <v>4102</v>
      </c>
      <c r="H424" s="338" t="s">
        <v>4541</v>
      </c>
      <c r="I424" s="338" t="s">
        <v>1497</v>
      </c>
      <c r="J424" s="338" t="s">
        <v>4102</v>
      </c>
      <c r="K424" s="338" t="s">
        <v>4103</v>
      </c>
      <c r="L424" s="338" t="s">
        <v>4104</v>
      </c>
      <c r="M424" s="338" t="s">
        <v>1497</v>
      </c>
      <c r="N424" s="338" t="s">
        <v>6</v>
      </c>
      <c r="O424" s="338" t="s">
        <v>7</v>
      </c>
      <c r="P424" s="338" t="s">
        <v>5211</v>
      </c>
      <c r="Q424" s="338" t="s">
        <v>8</v>
      </c>
      <c r="R424" s="338" t="s">
        <v>9</v>
      </c>
      <c r="S424" s="338" t="s">
        <v>4105</v>
      </c>
      <c r="T424" s="338" t="s">
        <v>10</v>
      </c>
    </row>
    <row r="425" s="182" customFormat="1" ht="50" customHeight="1" spans="1:20">
      <c r="A425" s="339" t="s">
        <v>7599</v>
      </c>
      <c r="B425" s="340"/>
      <c r="C425" s="340"/>
      <c r="D425" s="340"/>
      <c r="E425" s="341" t="s">
        <v>7600</v>
      </c>
      <c r="F425" s="342" t="s">
        <v>4021</v>
      </c>
      <c r="G425" s="343" t="s">
        <v>6159</v>
      </c>
      <c r="H425" s="343" t="s">
        <v>3711</v>
      </c>
      <c r="I425" s="343" t="s">
        <v>7601</v>
      </c>
      <c r="J425" s="344">
        <v>16</v>
      </c>
      <c r="K425" s="343">
        <v>3.52</v>
      </c>
      <c r="L425" s="343">
        <v>7</v>
      </c>
      <c r="M425" s="343">
        <v>1</v>
      </c>
      <c r="N425" s="343">
        <v>2.40966854610856</v>
      </c>
      <c r="O425" s="343">
        <v>6.52971111274336</v>
      </c>
      <c r="P425" s="231" t="s">
        <v>1428</v>
      </c>
      <c r="Q425" s="343">
        <v>2.43</v>
      </c>
      <c r="R425" s="345">
        <f t="shared" ref="R425:R438" si="2">SUM(J425:Q425)</f>
        <v>38.8893796588519</v>
      </c>
      <c r="S425" s="346" t="s">
        <v>7602</v>
      </c>
      <c r="T425" s="347" t="s">
        <v>7603</v>
      </c>
    </row>
    <row r="426" s="182" customFormat="1" ht="50" customHeight="1" spans="1:20">
      <c r="A426" s="348"/>
      <c r="B426" s="349"/>
      <c r="C426" s="349"/>
      <c r="D426" s="349"/>
      <c r="E426" s="350" t="s">
        <v>7604</v>
      </c>
      <c r="F426" s="351" t="s">
        <v>4021</v>
      </c>
      <c r="G426" s="351" t="s">
        <v>6159</v>
      </c>
      <c r="H426" s="351" t="s">
        <v>3624</v>
      </c>
      <c r="I426" s="351" t="s">
        <v>7601</v>
      </c>
      <c r="J426" s="352">
        <v>16</v>
      </c>
      <c r="K426" s="351">
        <v>5.77</v>
      </c>
      <c r="L426" s="351" t="s">
        <v>1428</v>
      </c>
      <c r="M426" s="351">
        <v>1</v>
      </c>
      <c r="N426" s="351">
        <v>2.40966854610856</v>
      </c>
      <c r="O426" s="351">
        <v>6.02616017517394</v>
      </c>
      <c r="P426" s="353" t="s">
        <v>1428</v>
      </c>
      <c r="Q426" s="351">
        <v>2.43</v>
      </c>
      <c r="R426" s="354">
        <f t="shared" si="2"/>
        <v>33.6358287212825</v>
      </c>
      <c r="S426" s="349" t="s">
        <v>7605</v>
      </c>
      <c r="T426" s="355" t="s">
        <v>7606</v>
      </c>
    </row>
    <row r="427" s="182" customFormat="1" ht="50" customHeight="1" spans="1:20">
      <c r="A427" s="356" t="s">
        <v>4019</v>
      </c>
      <c r="B427" s="292">
        <v>20241126</v>
      </c>
      <c r="C427" s="292">
        <v>7.25</v>
      </c>
      <c r="D427" s="292" t="s">
        <v>4020</v>
      </c>
      <c r="E427" s="357" t="s">
        <v>7607</v>
      </c>
      <c r="F427" s="234" t="s">
        <v>4021</v>
      </c>
      <c r="G427" s="234" t="s">
        <v>3542</v>
      </c>
      <c r="H427" s="234" t="s">
        <v>3711</v>
      </c>
      <c r="I427" s="234" t="s">
        <v>7608</v>
      </c>
      <c r="J427" s="358">
        <v>30</v>
      </c>
      <c r="K427" s="234">
        <v>3.6</v>
      </c>
      <c r="L427" s="234">
        <v>7</v>
      </c>
      <c r="M427" s="234">
        <v>1.7</v>
      </c>
      <c r="N427" s="270">
        <v>2.81465093411996</v>
      </c>
      <c r="O427" s="270">
        <v>8.01707913865218</v>
      </c>
      <c r="P427" s="231" t="s">
        <v>1428</v>
      </c>
      <c r="Q427" s="270">
        <f>23.83/7.25/1.13</f>
        <v>2.90875801037534</v>
      </c>
      <c r="R427" s="269">
        <f t="shared" si="2"/>
        <v>56.0404880831475</v>
      </c>
      <c r="S427" s="292" t="s">
        <v>3712</v>
      </c>
      <c r="T427" s="359" t="s">
        <v>7609</v>
      </c>
    </row>
    <row r="428" s="182" customFormat="1" ht="50" customHeight="1" spans="1:20">
      <c r="A428" s="360"/>
      <c r="B428" s="226">
        <v>20241126</v>
      </c>
      <c r="C428" s="226">
        <v>7.25</v>
      </c>
      <c r="D428" s="226" t="s">
        <v>4024</v>
      </c>
      <c r="E428" s="228" t="s">
        <v>7610</v>
      </c>
      <c r="F428" s="227" t="s">
        <v>4021</v>
      </c>
      <c r="G428" s="227" t="s">
        <v>3457</v>
      </c>
      <c r="H428" s="227" t="s">
        <v>3624</v>
      </c>
      <c r="I428" s="227" t="s">
        <v>7611</v>
      </c>
      <c r="J428" s="252">
        <v>32</v>
      </c>
      <c r="K428" s="227">
        <v>6.6</v>
      </c>
      <c r="L428" s="227" t="s">
        <v>1428</v>
      </c>
      <c r="M428" s="227">
        <v>2.2</v>
      </c>
      <c r="N428" s="231">
        <v>2.81465093411996</v>
      </c>
      <c r="O428" s="231">
        <v>8.01693207731559</v>
      </c>
      <c r="P428" s="231" t="s">
        <v>1428</v>
      </c>
      <c r="Q428" s="231">
        <f>23.83/7.25/1.13</f>
        <v>2.90875801037534</v>
      </c>
      <c r="R428" s="269">
        <f t="shared" si="2"/>
        <v>54.5403410218109</v>
      </c>
      <c r="S428" s="226" t="s">
        <v>7612</v>
      </c>
      <c r="T428" s="361" t="s">
        <v>7613</v>
      </c>
    </row>
    <row r="429" s="182" customFormat="1" ht="50" customHeight="1" spans="1:20">
      <c r="A429" s="362" t="s">
        <v>7614</v>
      </c>
      <c r="B429" s="363">
        <v>20241129</v>
      </c>
      <c r="C429" s="353">
        <v>7.25</v>
      </c>
      <c r="D429" s="363" t="s">
        <v>1133</v>
      </c>
      <c r="E429" s="364" t="s">
        <v>7004</v>
      </c>
      <c r="F429" s="365"/>
      <c r="G429" s="366"/>
      <c r="H429" s="353"/>
      <c r="I429" s="353"/>
      <c r="J429" s="353"/>
      <c r="K429" s="353"/>
      <c r="L429" s="353"/>
      <c r="M429" s="353"/>
      <c r="N429" s="367">
        <v>0.250228867866951</v>
      </c>
      <c r="O429" s="368">
        <v>0.523959382606042</v>
      </c>
      <c r="P429" s="353" t="s">
        <v>1428</v>
      </c>
      <c r="Q429" s="369">
        <v>0.2</v>
      </c>
      <c r="R429" s="368">
        <f t="shared" si="2"/>
        <v>0.974188250472993</v>
      </c>
      <c r="S429" s="370"/>
      <c r="T429" s="371" t="s">
        <v>484</v>
      </c>
    </row>
    <row r="430" s="182" customFormat="1" ht="50" customHeight="1" spans="1:20">
      <c r="A430" s="372" t="s">
        <v>7615</v>
      </c>
      <c r="B430" s="373">
        <v>20241127</v>
      </c>
      <c r="C430" s="340">
        <v>7.25</v>
      </c>
      <c r="D430" s="340" t="s">
        <v>3709</v>
      </c>
      <c r="E430" s="341" t="s">
        <v>1581</v>
      </c>
      <c r="F430" s="374" t="s">
        <v>3710</v>
      </c>
      <c r="G430" s="375" t="s">
        <v>3542</v>
      </c>
      <c r="H430" s="375" t="s">
        <v>3711</v>
      </c>
      <c r="I430" s="375" t="s">
        <v>7608</v>
      </c>
      <c r="J430" s="375">
        <v>30</v>
      </c>
      <c r="K430" s="375">
        <v>3.6</v>
      </c>
      <c r="L430" s="375">
        <v>7</v>
      </c>
      <c r="M430" s="375">
        <v>1.7</v>
      </c>
      <c r="N430" s="345">
        <v>2.8</v>
      </c>
      <c r="O430" s="345">
        <v>8.49781236775929</v>
      </c>
      <c r="P430" s="343" t="s">
        <v>1428</v>
      </c>
      <c r="Q430" s="343">
        <f>23.83/7.25/1.13</f>
        <v>2.90875801037534</v>
      </c>
      <c r="R430" s="345">
        <f t="shared" si="2"/>
        <v>56.5065703781346</v>
      </c>
      <c r="S430" s="376" t="s">
        <v>3712</v>
      </c>
      <c r="T430" s="377" t="s">
        <v>7616</v>
      </c>
    </row>
    <row r="431" s="182" customFormat="1" ht="50" customHeight="1" spans="1:20">
      <c r="A431" s="360"/>
      <c r="B431" s="254">
        <v>20241127</v>
      </c>
      <c r="C431" s="226">
        <v>7.25</v>
      </c>
      <c r="D431" s="226" t="s">
        <v>3714</v>
      </c>
      <c r="E431" s="228" t="s">
        <v>2427</v>
      </c>
      <c r="F431" s="244" t="s">
        <v>3710</v>
      </c>
      <c r="G431" s="227" t="s">
        <v>3457</v>
      </c>
      <c r="H431" s="227" t="s">
        <v>3711</v>
      </c>
      <c r="I431" s="227" t="s">
        <v>7608</v>
      </c>
      <c r="J431" s="227">
        <v>32</v>
      </c>
      <c r="K431" s="227">
        <v>3.6</v>
      </c>
      <c r="L431" s="227">
        <v>7</v>
      </c>
      <c r="M431" s="227">
        <v>1.7</v>
      </c>
      <c r="N431" s="232">
        <v>2.8</v>
      </c>
      <c r="O431" s="232">
        <v>8.5432640697062</v>
      </c>
      <c r="P431" s="231" t="s">
        <v>1428</v>
      </c>
      <c r="Q431" s="231">
        <f>23.83/7.25/1.13</f>
        <v>2.90875801037534</v>
      </c>
      <c r="R431" s="232">
        <f t="shared" si="2"/>
        <v>58.5520220800815</v>
      </c>
      <c r="S431" s="233" t="s">
        <v>3712</v>
      </c>
      <c r="T431" s="361" t="s">
        <v>7617</v>
      </c>
    </row>
    <row r="432" s="182" customFormat="1" ht="50" customHeight="1" spans="1:20">
      <c r="A432" s="360"/>
      <c r="B432" s="254">
        <v>20241127</v>
      </c>
      <c r="C432" s="226">
        <v>7.25</v>
      </c>
      <c r="D432" s="226" t="s">
        <v>3717</v>
      </c>
      <c r="E432" s="228" t="s">
        <v>2449</v>
      </c>
      <c r="F432" s="244" t="s">
        <v>7618</v>
      </c>
      <c r="G432" s="227" t="s">
        <v>3542</v>
      </c>
      <c r="H432" s="227" t="s">
        <v>3624</v>
      </c>
      <c r="I432" s="227" t="s">
        <v>7611</v>
      </c>
      <c r="J432" s="227">
        <v>30</v>
      </c>
      <c r="K432" s="227">
        <v>6.6</v>
      </c>
      <c r="L432" s="227" t="s">
        <v>1428</v>
      </c>
      <c r="M432" s="227">
        <v>2.2</v>
      </c>
      <c r="N432" s="232">
        <v>2.8</v>
      </c>
      <c r="O432" s="232">
        <v>9.645121260322</v>
      </c>
      <c r="P432" s="231" t="s">
        <v>1428</v>
      </c>
      <c r="Q432" s="231">
        <f>23.83/7.25/1.13</f>
        <v>2.90875801037534</v>
      </c>
      <c r="R432" s="232">
        <f t="shared" si="2"/>
        <v>54.1538792706973</v>
      </c>
      <c r="S432" s="233" t="s">
        <v>4236</v>
      </c>
      <c r="T432" s="361" t="s">
        <v>7619</v>
      </c>
    </row>
    <row r="433" s="182" customFormat="1" ht="50" customHeight="1" spans="1:20">
      <c r="A433" s="360"/>
      <c r="B433" s="254">
        <v>20241127</v>
      </c>
      <c r="C433" s="226">
        <v>7.25</v>
      </c>
      <c r="D433" s="226" t="s">
        <v>3721</v>
      </c>
      <c r="E433" s="228" t="s">
        <v>2546</v>
      </c>
      <c r="F433" s="244" t="s">
        <v>7618</v>
      </c>
      <c r="G433" s="227" t="s">
        <v>3541</v>
      </c>
      <c r="H433" s="227" t="s">
        <v>3624</v>
      </c>
      <c r="I433" s="227" t="s">
        <v>7611</v>
      </c>
      <c r="J433" s="227">
        <v>27</v>
      </c>
      <c r="K433" s="227">
        <v>6.6</v>
      </c>
      <c r="L433" s="227" t="s">
        <v>1428</v>
      </c>
      <c r="M433" s="227">
        <v>2.2</v>
      </c>
      <c r="N433" s="232">
        <v>2.8</v>
      </c>
      <c r="O433" s="232">
        <v>10.153563909633</v>
      </c>
      <c r="P433" s="231" t="s">
        <v>1428</v>
      </c>
      <c r="Q433" s="231">
        <f>23.83/7.25/1.13</f>
        <v>2.90875801037534</v>
      </c>
      <c r="R433" s="232">
        <f t="shared" si="2"/>
        <v>51.6623219200083</v>
      </c>
      <c r="S433" s="233" t="s">
        <v>4236</v>
      </c>
      <c r="T433" s="361" t="s">
        <v>7620</v>
      </c>
    </row>
    <row r="434" s="182" customFormat="1" ht="50" customHeight="1" spans="1:20">
      <c r="A434" s="378" t="s">
        <v>7614</v>
      </c>
      <c r="B434" s="254">
        <v>20241127</v>
      </c>
      <c r="C434" s="226">
        <v>7.25</v>
      </c>
      <c r="D434" s="226" t="s">
        <v>925</v>
      </c>
      <c r="E434" s="228" t="s">
        <v>926</v>
      </c>
      <c r="F434" s="231" t="s">
        <v>1428</v>
      </c>
      <c r="G434" s="231" t="s">
        <v>1428</v>
      </c>
      <c r="H434" s="231" t="s">
        <v>1428</v>
      </c>
      <c r="I434" s="231" t="s">
        <v>1428</v>
      </c>
      <c r="J434" s="231" t="s">
        <v>1428</v>
      </c>
      <c r="K434" s="231" t="s">
        <v>1428</v>
      </c>
      <c r="L434" s="231" t="s">
        <v>1428</v>
      </c>
      <c r="M434" s="231" t="s">
        <v>1428</v>
      </c>
      <c r="N434" s="231">
        <v>0.253890753738175</v>
      </c>
      <c r="O434" s="231">
        <v>0.897016915691181</v>
      </c>
      <c r="P434" s="231" t="s">
        <v>1428</v>
      </c>
      <c r="Q434" s="231">
        <v>0.2</v>
      </c>
      <c r="R434" s="269">
        <f t="shared" si="2"/>
        <v>1.35090766942936</v>
      </c>
      <c r="S434" s="226"/>
      <c r="T434" s="361"/>
    </row>
    <row r="435" s="182" customFormat="1" ht="50" customHeight="1" spans="1:20">
      <c r="A435" s="379"/>
      <c r="B435" s="380">
        <v>20241202</v>
      </c>
      <c r="C435" s="349">
        <v>7.25</v>
      </c>
      <c r="D435" s="349" t="s">
        <v>796</v>
      </c>
      <c r="E435" s="350" t="s">
        <v>797</v>
      </c>
      <c r="F435" s="351" t="s">
        <v>1428</v>
      </c>
      <c r="G435" s="351" t="s">
        <v>1428</v>
      </c>
      <c r="H435" s="351" t="s">
        <v>1428</v>
      </c>
      <c r="I435" s="351" t="s">
        <v>1428</v>
      </c>
      <c r="J435" s="351" t="s">
        <v>1428</v>
      </c>
      <c r="K435" s="351" t="s">
        <v>1428</v>
      </c>
      <c r="L435" s="351" t="s">
        <v>1428</v>
      </c>
      <c r="M435" s="351" t="s">
        <v>1428</v>
      </c>
      <c r="N435" s="351">
        <v>0.284406469331706</v>
      </c>
      <c r="O435" s="351">
        <v>0.633936629600244</v>
      </c>
      <c r="P435" s="351"/>
      <c r="Q435" s="351">
        <v>0.2</v>
      </c>
      <c r="R435" s="381">
        <f t="shared" si="2"/>
        <v>1.11834309893195</v>
      </c>
      <c r="S435" s="349"/>
      <c r="T435" s="382" t="s">
        <v>484</v>
      </c>
    </row>
    <row r="436" s="182" customFormat="1" ht="50" customHeight="1" spans="1:20">
      <c r="A436" s="383" t="s">
        <v>7621</v>
      </c>
      <c r="B436" s="384"/>
      <c r="C436" s="292"/>
      <c r="D436" s="385"/>
      <c r="E436" s="386" t="s">
        <v>7622</v>
      </c>
      <c r="F436" s="387" t="s">
        <v>4021</v>
      </c>
      <c r="G436" s="387" t="s">
        <v>6159</v>
      </c>
      <c r="H436" s="387" t="s">
        <v>3711</v>
      </c>
      <c r="I436" s="387" t="s">
        <v>7601</v>
      </c>
      <c r="J436" s="388">
        <v>16</v>
      </c>
      <c r="K436" s="387">
        <v>3.5</v>
      </c>
      <c r="L436" s="387">
        <v>7</v>
      </c>
      <c r="M436" s="387">
        <v>1</v>
      </c>
      <c r="N436" s="387">
        <v>2.01</v>
      </c>
      <c r="O436" s="387">
        <v>8.23849003563223</v>
      </c>
      <c r="P436" s="389" t="s">
        <v>1428</v>
      </c>
      <c r="Q436" s="387">
        <v>2.46715866232022</v>
      </c>
      <c r="R436" s="381">
        <f t="shared" si="2"/>
        <v>40.2156486979525</v>
      </c>
      <c r="S436" s="390" t="s">
        <v>7623</v>
      </c>
      <c r="T436" s="391" t="s">
        <v>7624</v>
      </c>
    </row>
    <row r="437" s="182" customFormat="1" ht="50" customHeight="1" spans="1:20">
      <c r="A437" s="392" t="s">
        <v>7625</v>
      </c>
      <c r="B437" s="393"/>
      <c r="C437" s="290"/>
      <c r="D437" s="290"/>
      <c r="E437" s="394" t="s">
        <v>7626</v>
      </c>
      <c r="F437" s="395" t="s">
        <v>4021</v>
      </c>
      <c r="G437" s="396" t="s">
        <v>6159</v>
      </c>
      <c r="H437" s="396" t="s">
        <v>3436</v>
      </c>
      <c r="I437" s="396" t="s">
        <v>7601</v>
      </c>
      <c r="J437" s="397">
        <v>16</v>
      </c>
      <c r="K437" s="398">
        <f>5*2</f>
        <v>10</v>
      </c>
      <c r="L437" s="396" t="s">
        <v>1428</v>
      </c>
      <c r="M437" s="396">
        <v>1</v>
      </c>
      <c r="N437" s="396">
        <v>2.01</v>
      </c>
      <c r="O437" s="396">
        <v>9.20011956803906</v>
      </c>
      <c r="P437" s="395" t="s">
        <v>1428</v>
      </c>
      <c r="Q437" s="396">
        <v>2.46715866232022</v>
      </c>
      <c r="R437" s="399">
        <f t="shared" si="2"/>
        <v>40.6772782303593</v>
      </c>
      <c r="S437" s="400" t="s">
        <v>7627</v>
      </c>
      <c r="T437" s="401" t="s">
        <v>7628</v>
      </c>
    </row>
    <row r="438" ht="50" customHeight="1" spans="1:20">
      <c r="A438" s="402" t="s">
        <v>7614</v>
      </c>
      <c r="B438" s="403"/>
      <c r="C438" s="404"/>
      <c r="D438" s="403" t="s">
        <v>805</v>
      </c>
      <c r="E438" s="405" t="s">
        <v>806</v>
      </c>
      <c r="F438" s="406" t="s">
        <v>1428</v>
      </c>
      <c r="G438" s="406" t="s">
        <v>1428</v>
      </c>
      <c r="H438" s="406" t="s">
        <v>1428</v>
      </c>
      <c r="I438" s="406" t="s">
        <v>1428</v>
      </c>
      <c r="J438" s="406" t="s">
        <v>1428</v>
      </c>
      <c r="K438" s="406" t="s">
        <v>1428</v>
      </c>
      <c r="L438" s="406" t="s">
        <v>1428</v>
      </c>
      <c r="M438" s="406" t="s">
        <v>1428</v>
      </c>
      <c r="N438" s="407">
        <v>0.280744583460482</v>
      </c>
      <c r="O438" s="407">
        <v>0.894516872969179</v>
      </c>
      <c r="P438" s="404" t="s">
        <v>1428</v>
      </c>
      <c r="Q438" s="407">
        <v>0.2</v>
      </c>
      <c r="R438" s="407">
        <f t="shared" si="2"/>
        <v>1.37526145642966</v>
      </c>
      <c r="S438" s="408"/>
      <c r="T438" s="409"/>
    </row>
    <row r="439" spans="1:20">
      <c r="A439" s="410"/>
      <c r="B439" s="410"/>
      <c r="C439" s="410"/>
      <c r="D439" s="410"/>
      <c r="E439" s="410"/>
      <c r="F439" s="410"/>
      <c r="G439" s="410"/>
      <c r="H439" s="410"/>
      <c r="I439" s="410"/>
      <c r="J439" s="410"/>
      <c r="K439" s="410"/>
      <c r="L439" s="410"/>
      <c r="M439" s="410"/>
      <c r="N439" s="410"/>
      <c r="O439" s="410"/>
      <c r="P439" s="410"/>
      <c r="Q439" s="410"/>
      <c r="R439" s="410"/>
      <c r="S439" s="410"/>
      <c r="T439" s="410"/>
    </row>
    <row r="442" s="182" customFormat="1" ht="20" customHeight="1" spans="1:20">
      <c r="A442" s="335" t="s">
        <v>7565</v>
      </c>
      <c r="B442" s="336"/>
      <c r="C442" s="336"/>
      <c r="D442" s="336"/>
      <c r="E442" s="336"/>
      <c r="F442" s="336"/>
      <c r="G442" s="336"/>
      <c r="H442" s="336"/>
      <c r="I442" s="336"/>
      <c r="J442" s="336"/>
      <c r="K442" s="336"/>
      <c r="L442" s="336"/>
      <c r="M442" s="336"/>
      <c r="N442" s="336"/>
      <c r="O442" s="336"/>
      <c r="P442" s="336"/>
      <c r="Q442" s="336"/>
      <c r="R442" s="336"/>
      <c r="S442" s="336"/>
      <c r="T442" s="337"/>
    </row>
    <row r="443" s="182" customFormat="1" ht="20" customHeight="1" spans="1:20">
      <c r="A443" s="338" t="s">
        <v>1</v>
      </c>
      <c r="B443" s="338" t="s">
        <v>2</v>
      </c>
      <c r="C443" s="338" t="s">
        <v>1493</v>
      </c>
      <c r="D443" s="338" t="s">
        <v>4</v>
      </c>
      <c r="E443" s="338" t="s">
        <v>5</v>
      </c>
      <c r="F443" s="338" t="s">
        <v>1933</v>
      </c>
      <c r="G443" s="338" t="s">
        <v>4102</v>
      </c>
      <c r="H443" s="338" t="s">
        <v>4541</v>
      </c>
      <c r="I443" s="338" t="s">
        <v>1497</v>
      </c>
      <c r="J443" s="338" t="s">
        <v>4102</v>
      </c>
      <c r="K443" s="338" t="s">
        <v>4103</v>
      </c>
      <c r="L443" s="338" t="s">
        <v>4104</v>
      </c>
      <c r="M443" s="338" t="s">
        <v>1497</v>
      </c>
      <c r="N443" s="338" t="s">
        <v>6</v>
      </c>
      <c r="O443" s="338" t="s">
        <v>7</v>
      </c>
      <c r="P443" s="338" t="s">
        <v>5211</v>
      </c>
      <c r="Q443" s="338" t="s">
        <v>8</v>
      </c>
      <c r="R443" s="338" t="s">
        <v>9</v>
      </c>
      <c r="S443" s="338" t="s">
        <v>4105</v>
      </c>
      <c r="T443" s="338" t="s">
        <v>10</v>
      </c>
    </row>
    <row r="444" spans="1:20">
      <c r="A444" s="225" t="s">
        <v>5770</v>
      </c>
      <c r="B444" s="226">
        <v>20241204</v>
      </c>
      <c r="C444" s="227">
        <v>7.25</v>
      </c>
      <c r="D444" s="228" t="s">
        <v>5773</v>
      </c>
      <c r="E444" s="228" t="s">
        <v>1571</v>
      </c>
      <c r="F444" s="229" t="s">
        <v>3540</v>
      </c>
      <c r="G444" s="227" t="s">
        <v>5771</v>
      </c>
      <c r="H444" s="227" t="s">
        <v>1913</v>
      </c>
      <c r="I444" s="227" t="s">
        <v>1428</v>
      </c>
      <c r="J444" s="227">
        <v>34</v>
      </c>
      <c r="K444" s="227" t="s">
        <v>1428</v>
      </c>
      <c r="L444" s="227" t="s">
        <v>1428</v>
      </c>
      <c r="M444" s="227" t="s">
        <v>1428</v>
      </c>
      <c r="N444" s="232">
        <v>4.47593227275052</v>
      </c>
      <c r="O444" s="230">
        <v>16.3478921310419</v>
      </c>
      <c r="P444" s="227" t="s">
        <v>1428</v>
      </c>
      <c r="Q444" s="231">
        <v>4</v>
      </c>
      <c r="R444" s="232">
        <f>SUM(J444:Q444)</f>
        <v>58.8238244037924</v>
      </c>
      <c r="S444" s="233" t="s">
        <v>1526</v>
      </c>
      <c r="T444" s="228"/>
    </row>
    <row r="445" spans="1:20">
      <c r="A445" s="234"/>
      <c r="B445" s="226">
        <v>20241204</v>
      </c>
      <c r="C445" s="227">
        <v>7.25</v>
      </c>
      <c r="D445" s="228"/>
      <c r="E445" s="228" t="s">
        <v>1671</v>
      </c>
      <c r="F445" s="229" t="s">
        <v>3540</v>
      </c>
      <c r="G445" s="227" t="s">
        <v>5771</v>
      </c>
      <c r="H445" s="227" t="s">
        <v>1913</v>
      </c>
      <c r="I445" s="227" t="s">
        <v>1428</v>
      </c>
      <c r="J445" s="227">
        <v>34</v>
      </c>
      <c r="K445" s="227" t="s">
        <v>1428</v>
      </c>
      <c r="L445" s="227" t="s">
        <v>1428</v>
      </c>
      <c r="M445" s="227" t="s">
        <v>1428</v>
      </c>
      <c r="N445" s="232">
        <v>4.47593227275052</v>
      </c>
      <c r="O445" s="230">
        <v>18.2700144789315</v>
      </c>
      <c r="P445" s="227" t="s">
        <v>1428</v>
      </c>
      <c r="Q445" s="231">
        <v>4</v>
      </c>
      <c r="R445" s="232">
        <f>SUM(J445:Q445)</f>
        <v>60.745946751682</v>
      </c>
      <c r="S445" s="233" t="s">
        <v>1526</v>
      </c>
      <c r="T445" s="228"/>
    </row>
    <row r="450" spans="1:20">
      <c r="A450" s="195" t="s">
        <v>7565</v>
      </c>
      <c r="B450" s="195"/>
      <c r="C450" s="195"/>
      <c r="D450" s="195"/>
      <c r="E450" s="196"/>
      <c r="F450" s="196"/>
      <c r="G450" s="197"/>
      <c r="H450" s="198"/>
      <c r="I450" s="198"/>
      <c r="J450" s="199"/>
      <c r="K450" s="200"/>
      <c r="L450" s="200"/>
      <c r="M450" s="200"/>
      <c r="N450" s="201"/>
      <c r="O450" s="201"/>
      <c r="P450" s="197"/>
      <c r="Q450" s="202"/>
      <c r="R450" s="202"/>
      <c r="S450" s="203"/>
      <c r="T450" s="80"/>
    </row>
    <row r="451" spans="1:20">
      <c r="A451" s="224" t="s">
        <v>1</v>
      </c>
      <c r="B451" s="224" t="s">
        <v>2</v>
      </c>
      <c r="C451" s="224" t="s">
        <v>1493</v>
      </c>
      <c r="D451" s="224" t="s">
        <v>4</v>
      </c>
      <c r="E451" s="75" t="s">
        <v>5</v>
      </c>
      <c r="F451" s="274" t="s">
        <v>1933</v>
      </c>
      <c r="G451" s="75" t="s">
        <v>4102</v>
      </c>
      <c r="H451" s="75" t="s">
        <v>4541</v>
      </c>
      <c r="I451" s="75" t="s">
        <v>1497</v>
      </c>
      <c r="J451" s="75" t="s">
        <v>4102</v>
      </c>
      <c r="K451" s="75" t="s">
        <v>4103</v>
      </c>
      <c r="L451" s="75" t="s">
        <v>4104</v>
      </c>
      <c r="M451" s="75" t="s">
        <v>1497</v>
      </c>
      <c r="N451" s="75" t="s">
        <v>6</v>
      </c>
      <c r="O451" s="75" t="s">
        <v>7</v>
      </c>
      <c r="P451" s="75" t="s">
        <v>5211</v>
      </c>
      <c r="Q451" s="75" t="s">
        <v>8</v>
      </c>
      <c r="R451" s="75" t="s">
        <v>9</v>
      </c>
      <c r="S451" s="75" t="s">
        <v>4105</v>
      </c>
      <c r="T451" s="75" t="s">
        <v>10</v>
      </c>
    </row>
    <row r="452" spans="1:20">
      <c r="A452" s="225" t="s">
        <v>350</v>
      </c>
      <c r="B452" s="226">
        <v>20241008</v>
      </c>
      <c r="C452" s="227">
        <v>7.11</v>
      </c>
      <c r="D452" s="228" t="s">
        <v>2874</v>
      </c>
      <c r="E452" s="228" t="s">
        <v>1998</v>
      </c>
      <c r="F452" s="229" t="s">
        <v>2801</v>
      </c>
      <c r="G452" s="227" t="s">
        <v>2692</v>
      </c>
      <c r="H452" s="227" t="s">
        <v>1913</v>
      </c>
      <c r="I452" s="227"/>
      <c r="J452" s="227">
        <v>240</v>
      </c>
      <c r="K452" s="227"/>
      <c r="L452" s="227"/>
      <c r="M452" s="227"/>
      <c r="N452" s="232">
        <v>4.50735819754973</v>
      </c>
      <c r="O452" s="230">
        <v>25.0836973264509</v>
      </c>
      <c r="P452" s="227"/>
      <c r="Q452" s="231">
        <v>3.81</v>
      </c>
      <c r="R452" s="232">
        <f>SUM(J452:Q452)</f>
        <v>273.401055524001</v>
      </c>
      <c r="S452" s="233" t="s">
        <v>1526</v>
      </c>
      <c r="T452" s="228" t="s">
        <v>7629</v>
      </c>
    </row>
    <row r="453" spans="1:20">
      <c r="A453" s="411" t="s">
        <v>2873</v>
      </c>
      <c r="B453" s="226">
        <v>202401009</v>
      </c>
      <c r="C453" s="227">
        <v>7.11</v>
      </c>
      <c r="D453" s="228" t="s">
        <v>354</v>
      </c>
      <c r="E453" s="228" t="s">
        <v>355</v>
      </c>
      <c r="F453" s="229"/>
      <c r="G453" s="227"/>
      <c r="H453" s="227"/>
      <c r="I453" s="227"/>
      <c r="J453" s="227"/>
      <c r="K453" s="227"/>
      <c r="L453" s="227"/>
      <c r="M453" s="227"/>
      <c r="N453" s="232">
        <v>0.921050993863809</v>
      </c>
      <c r="O453" s="230">
        <v>4.1260122062069</v>
      </c>
      <c r="P453" s="227"/>
      <c r="Q453" s="231">
        <v>0.4</v>
      </c>
      <c r="R453" s="232">
        <f>SUM(J453:Q453)</f>
        <v>5.44706320007071</v>
      </c>
      <c r="S453" s="233"/>
      <c r="T453" s="228" t="s">
        <v>7630</v>
      </c>
    </row>
    <row r="458" spans="1:20">
      <c r="A458" s="195" t="s">
        <v>7565</v>
      </c>
      <c r="B458" s="195"/>
      <c r="C458" s="195"/>
      <c r="D458" s="195"/>
      <c r="E458" s="196"/>
      <c r="F458" s="196"/>
      <c r="G458" s="197"/>
      <c r="H458" s="198"/>
      <c r="I458" s="198"/>
      <c r="J458" s="199"/>
      <c r="K458" s="200"/>
      <c r="L458" s="200"/>
      <c r="M458" s="200"/>
      <c r="N458" s="201"/>
      <c r="O458" s="201"/>
      <c r="P458" s="197"/>
      <c r="Q458" s="202"/>
      <c r="R458" s="202"/>
      <c r="S458" s="203"/>
      <c r="T458" s="80"/>
    </row>
    <row r="459" spans="1:20">
      <c r="A459" s="224" t="s">
        <v>1</v>
      </c>
      <c r="B459" s="224" t="s">
        <v>2</v>
      </c>
      <c r="C459" s="224" t="s">
        <v>1493</v>
      </c>
      <c r="D459" s="224" t="s">
        <v>4</v>
      </c>
      <c r="E459" s="75" t="s">
        <v>5</v>
      </c>
      <c r="F459" s="274" t="s">
        <v>1933</v>
      </c>
      <c r="G459" s="75" t="s">
        <v>4102</v>
      </c>
      <c r="H459" s="75" t="s">
        <v>4541</v>
      </c>
      <c r="I459" s="75" t="s">
        <v>1497</v>
      </c>
      <c r="J459" s="75" t="s">
        <v>4102</v>
      </c>
      <c r="K459" s="75" t="s">
        <v>4103</v>
      </c>
      <c r="L459" s="75" t="s">
        <v>4104</v>
      </c>
      <c r="M459" s="75" t="s">
        <v>1497</v>
      </c>
      <c r="N459" s="75" t="s">
        <v>6</v>
      </c>
      <c r="O459" s="75" t="s">
        <v>7</v>
      </c>
      <c r="P459" s="75" t="s">
        <v>5211</v>
      </c>
      <c r="Q459" s="75" t="s">
        <v>8</v>
      </c>
      <c r="R459" s="75" t="s">
        <v>9</v>
      </c>
      <c r="S459" s="75" t="s">
        <v>4105</v>
      </c>
      <c r="T459" s="75" t="s">
        <v>10</v>
      </c>
    </row>
    <row r="460" spans="1:20">
      <c r="A460" s="227" t="s">
        <v>7407</v>
      </c>
      <c r="B460" s="226">
        <v>20240911</v>
      </c>
      <c r="C460" s="227">
        <v>7.11</v>
      </c>
      <c r="D460" s="228" t="s">
        <v>7631</v>
      </c>
      <c r="E460" s="228" t="s">
        <v>7632</v>
      </c>
      <c r="F460" s="229" t="s">
        <v>4284</v>
      </c>
      <c r="G460" s="227" t="s">
        <v>2326</v>
      </c>
      <c r="H460" s="227" t="s">
        <v>1913</v>
      </c>
      <c r="I460" s="227" t="s">
        <v>1428</v>
      </c>
      <c r="J460" s="227">
        <v>97.5</v>
      </c>
      <c r="K460" s="227" t="s">
        <v>1428</v>
      </c>
      <c r="L460" s="227" t="s">
        <v>1428</v>
      </c>
      <c r="M460" s="227" t="s">
        <v>1428</v>
      </c>
      <c r="N460" s="232">
        <v>3.81638723970974</v>
      </c>
      <c r="O460" s="232">
        <v>13.0197538627908</v>
      </c>
      <c r="P460" s="227" t="s">
        <v>1428</v>
      </c>
      <c r="Q460" s="231">
        <v>2.88823119777159</v>
      </c>
      <c r="R460" s="232">
        <f>SUM(J460:Q460)+1</f>
        <v>118.224372300272</v>
      </c>
      <c r="S460" s="233" t="s">
        <v>1526</v>
      </c>
      <c r="T460" s="228" t="s">
        <v>2588</v>
      </c>
    </row>
    <row r="463" spans="1:20">
      <c r="A463" s="195" t="s">
        <v>7565</v>
      </c>
      <c r="B463" s="195"/>
      <c r="C463" s="195"/>
      <c r="D463" s="195"/>
      <c r="E463" s="196"/>
      <c r="F463" s="196"/>
      <c r="G463" s="197"/>
      <c r="H463" s="198"/>
      <c r="I463" s="198"/>
      <c r="J463" s="199"/>
      <c r="K463" s="200"/>
      <c r="L463" s="200"/>
      <c r="M463" s="200"/>
      <c r="N463" s="201"/>
      <c r="O463" s="201"/>
      <c r="P463" s="197"/>
      <c r="Q463" s="202"/>
      <c r="R463" s="202"/>
      <c r="S463" s="203"/>
      <c r="T463" s="80"/>
    </row>
    <row r="464" spans="1:20">
      <c r="A464" s="224" t="s">
        <v>1</v>
      </c>
      <c r="B464" s="224" t="s">
        <v>2</v>
      </c>
      <c r="C464" s="224" t="s">
        <v>1493</v>
      </c>
      <c r="D464" s="224" t="s">
        <v>4</v>
      </c>
      <c r="E464" s="75" t="s">
        <v>5</v>
      </c>
      <c r="F464" s="274" t="s">
        <v>1933</v>
      </c>
      <c r="G464" s="75" t="s">
        <v>4102</v>
      </c>
      <c r="H464" s="75" t="s">
        <v>4541</v>
      </c>
      <c r="I464" s="75" t="s">
        <v>1497</v>
      </c>
      <c r="J464" s="75" t="s">
        <v>4102</v>
      </c>
      <c r="K464" s="75" t="s">
        <v>4103</v>
      </c>
      <c r="L464" s="75" t="s">
        <v>4104</v>
      </c>
      <c r="M464" s="75" t="s">
        <v>1497</v>
      </c>
      <c r="N464" s="75" t="s">
        <v>6</v>
      </c>
      <c r="O464" s="75" t="s">
        <v>7</v>
      </c>
      <c r="P464" s="75" t="s">
        <v>5211</v>
      </c>
      <c r="Q464" s="75" t="s">
        <v>8</v>
      </c>
      <c r="R464" s="75" t="s">
        <v>9</v>
      </c>
      <c r="S464" s="75" t="s">
        <v>4105</v>
      </c>
      <c r="T464" s="75" t="s">
        <v>10</v>
      </c>
    </row>
    <row r="465" spans="1:20">
      <c r="A465" s="227" t="s">
        <v>7407</v>
      </c>
      <c r="B465" s="226">
        <v>20240911</v>
      </c>
      <c r="C465" s="227">
        <v>7.11</v>
      </c>
      <c r="D465" s="228" t="s">
        <v>7631</v>
      </c>
      <c r="E465" s="228" t="s">
        <v>7632</v>
      </c>
      <c r="F465" s="229" t="s">
        <v>4284</v>
      </c>
      <c r="G465" s="227" t="s">
        <v>2326</v>
      </c>
      <c r="H465" s="227" t="s">
        <v>1913</v>
      </c>
      <c r="I465" s="227" t="s">
        <v>1428</v>
      </c>
      <c r="J465" s="227">
        <v>97.5</v>
      </c>
      <c r="K465" s="227" t="s">
        <v>1428</v>
      </c>
      <c r="L465" s="227" t="s">
        <v>1428</v>
      </c>
      <c r="M465" s="227" t="s">
        <v>1428</v>
      </c>
      <c r="N465" s="232">
        <v>3.81638723970974</v>
      </c>
      <c r="O465" s="230">
        <v>12.6911322522245</v>
      </c>
      <c r="P465" s="227" t="s">
        <v>1428</v>
      </c>
      <c r="Q465" s="231">
        <v>2.88823119777159</v>
      </c>
      <c r="R465" s="232">
        <f>SUM(J465:Q465)+1</f>
        <v>117.895750689706</v>
      </c>
      <c r="S465" s="233" t="s">
        <v>1526</v>
      </c>
      <c r="T465" s="228" t="s">
        <v>7633</v>
      </c>
    </row>
    <row r="471" spans="1:20">
      <c r="A471" s="195" t="s">
        <v>7565</v>
      </c>
      <c r="B471" s="195"/>
      <c r="C471" s="195"/>
      <c r="D471" s="195"/>
      <c r="E471" s="196"/>
      <c r="F471" s="196"/>
      <c r="G471" s="197"/>
      <c r="H471" s="198"/>
      <c r="I471" s="198"/>
      <c r="J471" s="199"/>
      <c r="K471" s="200"/>
      <c r="L471" s="200"/>
      <c r="M471" s="200"/>
      <c r="N471" s="201"/>
      <c r="O471" s="201"/>
      <c r="P471" s="197"/>
      <c r="Q471" s="202"/>
      <c r="R471" s="202"/>
      <c r="S471" s="203"/>
      <c r="T471" s="80"/>
    </row>
    <row r="472" spans="1:20">
      <c r="A472" s="224" t="s">
        <v>1</v>
      </c>
      <c r="B472" s="224" t="s">
        <v>2</v>
      </c>
      <c r="C472" s="224" t="s">
        <v>1493</v>
      </c>
      <c r="D472" s="206" t="s">
        <v>4</v>
      </c>
      <c r="E472" s="75" t="s">
        <v>5</v>
      </c>
      <c r="F472" s="75" t="s">
        <v>1933</v>
      </c>
      <c r="G472" s="75" t="s">
        <v>4102</v>
      </c>
      <c r="H472" s="75" t="s">
        <v>4541</v>
      </c>
      <c r="I472" s="75" t="s">
        <v>1497</v>
      </c>
      <c r="J472" s="75" t="s">
        <v>4102</v>
      </c>
      <c r="K472" s="75" t="s">
        <v>4103</v>
      </c>
      <c r="L472" s="75" t="s">
        <v>4104</v>
      </c>
      <c r="M472" s="75" t="s">
        <v>1497</v>
      </c>
      <c r="N472" s="75" t="s">
        <v>6</v>
      </c>
      <c r="O472" s="75" t="s">
        <v>7</v>
      </c>
      <c r="P472" s="75" t="s">
        <v>5211</v>
      </c>
      <c r="Q472" s="75" t="s">
        <v>8</v>
      </c>
      <c r="R472" s="75" t="s">
        <v>9</v>
      </c>
      <c r="S472" s="75" t="s">
        <v>4105</v>
      </c>
      <c r="T472" s="75" t="s">
        <v>10</v>
      </c>
    </row>
    <row r="473" spans="1:20">
      <c r="A473" s="289"/>
      <c r="B473" s="254">
        <v>20241210</v>
      </c>
      <c r="C473" s="227">
        <v>7.3</v>
      </c>
      <c r="D473" s="289" t="s">
        <v>875</v>
      </c>
      <c r="E473" s="228" t="s">
        <v>876</v>
      </c>
      <c r="F473" s="228"/>
      <c r="G473" s="227"/>
      <c r="H473" s="227"/>
      <c r="I473" s="227"/>
      <c r="J473" s="227"/>
      <c r="K473" s="227"/>
      <c r="L473" s="227"/>
      <c r="M473" s="227"/>
      <c r="N473" s="232">
        <v>0.0246505780560554</v>
      </c>
      <c r="O473" s="232">
        <v>0.0352963995635835</v>
      </c>
      <c r="P473" s="227" t="s">
        <v>1428</v>
      </c>
      <c r="Q473" s="231">
        <v>0.2</v>
      </c>
      <c r="R473" s="232">
        <v>0.259946977619639</v>
      </c>
      <c r="S473" s="226"/>
      <c r="T473" s="226"/>
    </row>
    <row r="475" spans="1:20">
      <c r="A475" s="195" t="s">
        <v>7634</v>
      </c>
      <c r="B475" s="195"/>
      <c r="C475" s="195"/>
      <c r="D475" s="195"/>
      <c r="E475" s="196"/>
      <c r="F475" s="196"/>
      <c r="G475" s="197"/>
      <c r="H475" s="198"/>
      <c r="I475" s="198"/>
      <c r="J475" s="199"/>
      <c r="K475" s="200"/>
      <c r="L475" s="200"/>
      <c r="M475" s="200"/>
      <c r="N475" s="201"/>
      <c r="O475" s="201"/>
      <c r="P475" s="197"/>
      <c r="Q475" s="202"/>
      <c r="R475" s="202"/>
      <c r="S475" s="203"/>
      <c r="T475" s="80"/>
    </row>
    <row r="476" spans="1:20">
      <c r="A476" s="224" t="s">
        <v>1</v>
      </c>
      <c r="B476" s="224" t="s">
        <v>2</v>
      </c>
      <c r="C476" s="224" t="s">
        <v>1493</v>
      </c>
      <c r="D476" s="206" t="s">
        <v>4</v>
      </c>
      <c r="E476" s="75" t="s">
        <v>5</v>
      </c>
      <c r="F476" s="75" t="s">
        <v>1933</v>
      </c>
      <c r="G476" s="75" t="s">
        <v>4102</v>
      </c>
      <c r="H476" s="75" t="s">
        <v>4541</v>
      </c>
      <c r="I476" s="75" t="s">
        <v>1497</v>
      </c>
      <c r="J476" s="75" t="s">
        <v>4102</v>
      </c>
      <c r="K476" s="75" t="s">
        <v>4103</v>
      </c>
      <c r="L476" s="75" t="s">
        <v>4104</v>
      </c>
      <c r="M476" s="75" t="s">
        <v>1497</v>
      </c>
      <c r="N476" s="75" t="s">
        <v>6</v>
      </c>
      <c r="O476" s="75" t="s">
        <v>7</v>
      </c>
      <c r="P476" s="75" t="s">
        <v>5211</v>
      </c>
      <c r="Q476" s="75" t="s">
        <v>8</v>
      </c>
      <c r="R476" s="75" t="s">
        <v>9</v>
      </c>
      <c r="S476" s="75" t="s">
        <v>4105</v>
      </c>
      <c r="T476" s="75" t="s">
        <v>10</v>
      </c>
    </row>
    <row r="477" s="183" customFormat="1" ht="19" customHeight="1" spans="1:20">
      <c r="A477" s="412" t="s">
        <v>3547</v>
      </c>
      <c r="B477" s="209">
        <v>20240710</v>
      </c>
      <c r="C477" s="212">
        <v>7.27</v>
      </c>
      <c r="D477" s="209" t="s">
        <v>3582</v>
      </c>
      <c r="E477" s="210" t="s">
        <v>2322</v>
      </c>
      <c r="F477" s="211" t="s">
        <v>1933</v>
      </c>
      <c r="G477" s="212" t="s">
        <v>3541</v>
      </c>
      <c r="H477" s="212" t="s">
        <v>1913</v>
      </c>
      <c r="I477" s="212" t="s">
        <v>1428</v>
      </c>
      <c r="J477" s="212">
        <v>27</v>
      </c>
      <c r="K477" s="212" t="s">
        <v>1428</v>
      </c>
      <c r="L477" s="212" t="s">
        <v>1428</v>
      </c>
      <c r="M477" s="212" t="s">
        <v>1428</v>
      </c>
      <c r="N477" s="213">
        <v>3.20749785295545</v>
      </c>
      <c r="O477" s="213">
        <f>12.5440213149853-3</f>
        <v>9.5440213149853</v>
      </c>
      <c r="P477" s="212" t="s">
        <v>1428</v>
      </c>
      <c r="Q477" s="264">
        <v>2.57250415265903</v>
      </c>
      <c r="R477" s="213">
        <v>45.3240233205998</v>
      </c>
      <c r="S477" s="215" t="s">
        <v>7635</v>
      </c>
      <c r="T477" s="209" t="s">
        <v>7636</v>
      </c>
    </row>
    <row r="478" s="183" customFormat="1" ht="19" customHeight="1" spans="1:20">
      <c r="A478" s="413"/>
      <c r="B478" s="209">
        <v>20241010</v>
      </c>
      <c r="C478" s="209">
        <v>7.11</v>
      </c>
      <c r="D478" s="209" t="s">
        <v>1416</v>
      </c>
      <c r="E478" s="209" t="s">
        <v>1417</v>
      </c>
      <c r="F478" s="209"/>
      <c r="G478" s="212"/>
      <c r="H478" s="212"/>
      <c r="I478" s="212"/>
      <c r="J478" s="414"/>
      <c r="K478" s="415"/>
      <c r="L478" s="415"/>
      <c r="M478" s="415"/>
      <c r="N478" s="416">
        <v>0.423185591775264</v>
      </c>
      <c r="O478" s="416">
        <v>1.1511540502635</v>
      </c>
      <c r="P478" s="212" t="s">
        <v>1428</v>
      </c>
      <c r="Q478" s="264">
        <v>0.2</v>
      </c>
      <c r="R478" s="264">
        <f>SUM(J478:Q478)</f>
        <v>1.77433964203876</v>
      </c>
      <c r="S478" s="215"/>
      <c r="T478" s="417" t="s">
        <v>7532</v>
      </c>
    </row>
    <row r="479" ht="19" customHeight="1" spans="1:20">
      <c r="A479" s="413"/>
      <c r="B479" s="226">
        <v>20240809</v>
      </c>
      <c r="C479" s="227">
        <v>7.15</v>
      </c>
      <c r="D479" s="226" t="s">
        <v>3587</v>
      </c>
      <c r="E479" s="228" t="s">
        <v>1767</v>
      </c>
      <c r="F479" s="229" t="s">
        <v>7468</v>
      </c>
      <c r="G479" s="227" t="s">
        <v>3541</v>
      </c>
      <c r="H479" s="227" t="s">
        <v>1913</v>
      </c>
      <c r="I479" s="227" t="s">
        <v>1428</v>
      </c>
      <c r="J479" s="227">
        <v>27</v>
      </c>
      <c r="K479" s="227" t="s">
        <v>1428</v>
      </c>
      <c r="L479" s="227" t="s">
        <v>1428</v>
      </c>
      <c r="M479" s="227" t="s">
        <v>1428</v>
      </c>
      <c r="N479" s="232">
        <v>3.20749785295545</v>
      </c>
      <c r="O479" s="230">
        <v>10.184876282613</v>
      </c>
      <c r="P479" s="227" t="s">
        <v>1428</v>
      </c>
      <c r="Q479" s="231">
        <v>2.57250415265903</v>
      </c>
      <c r="R479" s="232">
        <f>SUM(J479:Q479)</f>
        <v>42.9648782882275</v>
      </c>
      <c r="S479" s="233" t="s">
        <v>1526</v>
      </c>
      <c r="T479" s="226" t="s">
        <v>7637</v>
      </c>
    </row>
    <row r="480" ht="19" customHeight="1" spans="1:20">
      <c r="A480" s="330"/>
      <c r="B480" s="226">
        <v>202412010</v>
      </c>
      <c r="C480" s="227">
        <v>7.3</v>
      </c>
      <c r="D480" s="226" t="s">
        <v>3573</v>
      </c>
      <c r="E480" s="228" t="s">
        <v>667</v>
      </c>
      <c r="F480" s="229" t="s">
        <v>1933</v>
      </c>
      <c r="G480" s="227" t="s">
        <v>3541</v>
      </c>
      <c r="H480" s="227" t="s">
        <v>1913</v>
      </c>
      <c r="I480" s="227" t="s">
        <v>1428</v>
      </c>
      <c r="J480" s="227">
        <v>27</v>
      </c>
      <c r="K480" s="227" t="s">
        <v>1428</v>
      </c>
      <c r="L480" s="227" t="s">
        <v>1428</v>
      </c>
      <c r="M480" s="227" t="s">
        <v>1428</v>
      </c>
      <c r="N480" s="230">
        <v>3.1155291550491</v>
      </c>
      <c r="O480" s="230">
        <v>11.5744354861467</v>
      </c>
      <c r="P480" s="227" t="s">
        <v>1428</v>
      </c>
      <c r="Q480" s="231">
        <v>2.57250415265903</v>
      </c>
      <c r="R480" s="232">
        <f>SUM(J480:Q480)</f>
        <v>44.2624687938548</v>
      </c>
      <c r="S480" s="233" t="s">
        <v>1526</v>
      </c>
      <c r="T480" s="226" t="s">
        <v>3574</v>
      </c>
    </row>
    <row r="486" spans="1:20">
      <c r="A486" s="195" t="s">
        <v>7634</v>
      </c>
      <c r="B486" s="195"/>
      <c r="C486" s="195"/>
      <c r="D486" s="195"/>
      <c r="E486" s="196"/>
      <c r="F486" s="196"/>
      <c r="G486" s="197"/>
      <c r="H486" s="198"/>
      <c r="I486" s="198"/>
      <c r="J486" s="199"/>
      <c r="K486" s="200"/>
      <c r="L486" s="200"/>
      <c r="M486" s="200"/>
      <c r="N486" s="201"/>
      <c r="O486" s="201"/>
      <c r="P486" s="197"/>
      <c r="Q486" s="202"/>
      <c r="R486" s="202"/>
      <c r="S486" s="203"/>
      <c r="T486" s="80"/>
    </row>
    <row r="487" spans="1:20">
      <c r="A487" s="224" t="s">
        <v>1</v>
      </c>
      <c r="B487" s="224" t="s">
        <v>2</v>
      </c>
      <c r="C487" s="224" t="s">
        <v>1493</v>
      </c>
      <c r="D487" s="206" t="s">
        <v>4</v>
      </c>
      <c r="E487" s="75" t="s">
        <v>5</v>
      </c>
      <c r="F487" s="75" t="s">
        <v>1933</v>
      </c>
      <c r="G487" s="75" t="s">
        <v>4102</v>
      </c>
      <c r="H487" s="75" t="s">
        <v>4541</v>
      </c>
      <c r="I487" s="75" t="s">
        <v>1497</v>
      </c>
      <c r="J487" s="75" t="s">
        <v>4102</v>
      </c>
      <c r="K487" s="75" t="s">
        <v>4103</v>
      </c>
      <c r="L487" s="75" t="s">
        <v>4104</v>
      </c>
      <c r="M487" s="75" t="s">
        <v>1497</v>
      </c>
      <c r="N487" s="75" t="s">
        <v>6</v>
      </c>
      <c r="O487" s="75" t="s">
        <v>7</v>
      </c>
      <c r="P487" s="75" t="s">
        <v>5211</v>
      </c>
      <c r="Q487" s="75" t="s">
        <v>8</v>
      </c>
      <c r="R487" s="75" t="s">
        <v>9</v>
      </c>
      <c r="S487" s="75" t="s">
        <v>4105</v>
      </c>
      <c r="T487" s="75" t="s">
        <v>10</v>
      </c>
    </row>
    <row r="488" spans="1:20">
      <c r="A488" s="182" t="s">
        <v>7407</v>
      </c>
      <c r="B488" s="418">
        <v>20231219</v>
      </c>
      <c r="C488" s="418">
        <v>7.13</v>
      </c>
      <c r="D488" s="418" t="s">
        <v>7638</v>
      </c>
      <c r="E488" s="419" t="s">
        <v>2483</v>
      </c>
      <c r="F488" s="420" t="s">
        <v>1933</v>
      </c>
      <c r="G488" s="421" t="s">
        <v>2323</v>
      </c>
      <c r="H488" s="422" t="s">
        <v>1913</v>
      </c>
      <c r="I488" s="422" t="s">
        <v>1428</v>
      </c>
      <c r="J488" s="421">
        <v>65</v>
      </c>
      <c r="K488" s="421" t="s">
        <v>1428</v>
      </c>
      <c r="L488" s="421" t="s">
        <v>1428</v>
      </c>
      <c r="M488" s="421" t="s">
        <v>1428</v>
      </c>
      <c r="N488" s="423">
        <v>3.81638723970974</v>
      </c>
      <c r="O488" s="423">
        <v>15.8726290006486</v>
      </c>
      <c r="P488" s="424" t="s">
        <v>1428</v>
      </c>
      <c r="Q488" s="425">
        <v>2.88823119777159</v>
      </c>
      <c r="R488" s="424">
        <f>SUM(J488:Q488)+1</f>
        <v>88.5772474381299</v>
      </c>
      <c r="S488" s="420" t="s">
        <v>1526</v>
      </c>
      <c r="T488" s="426" t="s">
        <v>7639</v>
      </c>
    </row>
    <row r="489" spans="1:20">
      <c r="A489" s="182" t="s">
        <v>451</v>
      </c>
      <c r="B489" s="226">
        <v>20241212</v>
      </c>
      <c r="C489" s="418">
        <v>7.3</v>
      </c>
      <c r="D489" s="418" t="s">
        <v>2541</v>
      </c>
      <c r="E489" s="427" t="s">
        <v>1581</v>
      </c>
      <c r="F489" s="419" t="s">
        <v>1933</v>
      </c>
      <c r="G489" s="421" t="s">
        <v>2542</v>
      </c>
      <c r="H489" s="421" t="s">
        <v>4174</v>
      </c>
      <c r="I489" s="421" t="s">
        <v>1428</v>
      </c>
      <c r="J489" s="421" t="s">
        <v>1428</v>
      </c>
      <c r="K489" s="428">
        <f>10.5*4</f>
        <v>42</v>
      </c>
      <c r="L489" s="421" t="s">
        <v>1428</v>
      </c>
      <c r="M489" s="421" t="s">
        <v>1428</v>
      </c>
      <c r="N489" s="424">
        <v>5.60098577349614</v>
      </c>
      <c r="O489" s="423">
        <v>25.4686508534125</v>
      </c>
      <c r="P489" s="424" t="s">
        <v>1428</v>
      </c>
      <c r="Q489" s="425">
        <v>4.24317172411152</v>
      </c>
      <c r="R489" s="424">
        <f>SUM(J489:Q489)</f>
        <v>77.3128083510202</v>
      </c>
      <c r="S489" s="429" t="s">
        <v>2579</v>
      </c>
      <c r="T489" s="426" t="s">
        <v>2543</v>
      </c>
    </row>
    <row r="490" spans="1:20">
      <c r="A490" s="182" t="s">
        <v>451</v>
      </c>
      <c r="B490" s="266">
        <v>20241212</v>
      </c>
      <c r="C490" s="266">
        <v>7.3</v>
      </c>
      <c r="D490" s="266" t="s">
        <v>2552</v>
      </c>
      <c r="E490" s="430" t="s">
        <v>667</v>
      </c>
      <c r="F490" s="321" t="s">
        <v>2801</v>
      </c>
      <c r="G490" s="219" t="s">
        <v>2444</v>
      </c>
      <c r="H490" s="219" t="s">
        <v>4248</v>
      </c>
      <c r="I490" s="219"/>
      <c r="J490" s="219">
        <v>130</v>
      </c>
      <c r="K490" s="431">
        <f>12.5*4</f>
        <v>50</v>
      </c>
      <c r="L490" s="219"/>
      <c r="M490" s="219"/>
      <c r="N490" s="320">
        <v>5.60098577349614</v>
      </c>
      <c r="O490" s="214">
        <v>23.3783697488786</v>
      </c>
      <c r="P490" s="320"/>
      <c r="Q490" s="432">
        <v>4.24317172411152</v>
      </c>
      <c r="R490" s="320">
        <f>SUM(J490:Q490)</f>
        <v>213.222527246486</v>
      </c>
      <c r="S490" s="433" t="s">
        <v>4001</v>
      </c>
      <c r="T490" s="315" t="s">
        <v>7640</v>
      </c>
    </row>
    <row r="491" spans="1:20">
      <c r="A491" s="182" t="s">
        <v>7641</v>
      </c>
      <c r="B491" s="418">
        <v>20240604</v>
      </c>
      <c r="C491" s="418">
        <v>7.24</v>
      </c>
      <c r="D491" s="418" t="s">
        <v>2663</v>
      </c>
      <c r="E491" s="427" t="s">
        <v>1645</v>
      </c>
      <c r="F491" s="420" t="s">
        <v>2801</v>
      </c>
      <c r="G491" s="421" t="s">
        <v>2664</v>
      </c>
      <c r="H491" s="421" t="s">
        <v>4174</v>
      </c>
      <c r="I491" s="434" t="s">
        <v>1428</v>
      </c>
      <c r="J491" s="421">
        <v>195</v>
      </c>
      <c r="K491" s="421">
        <f>11.3*4</f>
        <v>45.2</v>
      </c>
      <c r="L491" s="435" t="s">
        <v>1428</v>
      </c>
      <c r="M491" s="435" t="s">
        <v>1428</v>
      </c>
      <c r="N491" s="424">
        <v>6.42121902343701</v>
      </c>
      <c r="O491" s="424">
        <v>24.0687946693622</v>
      </c>
      <c r="P491" s="424" t="s">
        <v>1428</v>
      </c>
      <c r="Q491" s="425">
        <v>3.79953690807799</v>
      </c>
      <c r="R491" s="424">
        <f>SUM(J491:Q491)</f>
        <v>274.489550600877</v>
      </c>
      <c r="S491" s="418" t="s">
        <v>2045</v>
      </c>
      <c r="T491" s="426" t="s">
        <v>7642</v>
      </c>
    </row>
    <row r="495" spans="1:20">
      <c r="A495" s="195" t="s">
        <v>7634</v>
      </c>
      <c r="B495" s="195"/>
      <c r="C495" s="195"/>
      <c r="D495" s="195"/>
      <c r="E495" s="196"/>
      <c r="F495" s="196"/>
      <c r="G495" s="197"/>
      <c r="H495" s="198"/>
      <c r="I495" s="198"/>
      <c r="J495" s="199"/>
      <c r="K495" s="200"/>
      <c r="L495" s="200"/>
      <c r="M495" s="200"/>
      <c r="N495" s="201"/>
      <c r="O495" s="201"/>
      <c r="P495" s="197"/>
      <c r="Q495" s="202"/>
      <c r="R495" s="202"/>
      <c r="S495" s="203"/>
      <c r="T495" s="80"/>
    </row>
    <row r="496" spans="1:20">
      <c r="A496" s="224" t="s">
        <v>1</v>
      </c>
      <c r="B496" s="224" t="s">
        <v>2</v>
      </c>
      <c r="C496" s="224" t="s">
        <v>1493</v>
      </c>
      <c r="D496" s="224" t="s">
        <v>4</v>
      </c>
      <c r="E496" s="75" t="s">
        <v>5</v>
      </c>
      <c r="F496" s="274" t="s">
        <v>1933</v>
      </c>
      <c r="G496" s="75" t="s">
        <v>4102</v>
      </c>
      <c r="H496" s="75" t="s">
        <v>4541</v>
      </c>
      <c r="I496" s="75" t="s">
        <v>1497</v>
      </c>
      <c r="J496" s="75" t="s">
        <v>4102</v>
      </c>
      <c r="K496" s="75" t="s">
        <v>4103</v>
      </c>
      <c r="L496" s="75" t="s">
        <v>4104</v>
      </c>
      <c r="M496" s="75" t="s">
        <v>1497</v>
      </c>
      <c r="N496" s="75" t="s">
        <v>6</v>
      </c>
      <c r="O496" s="75" t="s">
        <v>7</v>
      </c>
      <c r="P496" s="75" t="s">
        <v>5211</v>
      </c>
      <c r="Q496" s="75" t="s">
        <v>8</v>
      </c>
      <c r="R496" s="75" t="s">
        <v>9</v>
      </c>
      <c r="S496" s="75" t="s">
        <v>4105</v>
      </c>
      <c r="T496" s="75" t="s">
        <v>10</v>
      </c>
    </row>
    <row r="497" spans="1:21">
      <c r="A497" s="212" t="s">
        <v>2183</v>
      </c>
      <c r="B497" s="329">
        <v>20240923</v>
      </c>
      <c r="C497" s="209">
        <v>7.11</v>
      </c>
      <c r="D497" s="209" t="s">
        <v>7643</v>
      </c>
      <c r="E497" s="209" t="s">
        <v>1565</v>
      </c>
      <c r="F497" s="209" t="s">
        <v>2801</v>
      </c>
      <c r="G497" s="212" t="s">
        <v>2664</v>
      </c>
      <c r="H497" s="212" t="s">
        <v>4474</v>
      </c>
      <c r="I497" s="212" t="s">
        <v>1633</v>
      </c>
      <c r="J497" s="212">
        <v>195</v>
      </c>
      <c r="K497" s="212">
        <v>28</v>
      </c>
      <c r="L497" s="212" t="s">
        <v>1428</v>
      </c>
      <c r="M497" s="212">
        <v>1.7</v>
      </c>
      <c r="N497" s="264">
        <v>3.39793136925432</v>
      </c>
      <c r="O497" s="264">
        <v>13.7075942905399</v>
      </c>
      <c r="P497" s="264" t="s">
        <v>1428</v>
      </c>
      <c r="Q497" s="264">
        <v>5</v>
      </c>
      <c r="R497" s="231">
        <f>SUM(J497:Q497)</f>
        <v>246.805525659794</v>
      </c>
      <c r="S497" s="215" t="s">
        <v>3995</v>
      </c>
      <c r="T497" s="329" t="s">
        <v>7644</v>
      </c>
    </row>
    <row r="498" spans="1:21">
      <c r="A498" s="212"/>
      <c r="B498" s="329">
        <v>20240923</v>
      </c>
      <c r="C498" s="209">
        <v>7.11</v>
      </c>
      <c r="D498" s="209" t="s">
        <v>7645</v>
      </c>
      <c r="E498" s="209" t="s">
        <v>1617</v>
      </c>
      <c r="F498" s="209" t="s">
        <v>2801</v>
      </c>
      <c r="G498" s="212" t="s">
        <v>2692</v>
      </c>
      <c r="H498" s="212" t="s">
        <v>4174</v>
      </c>
      <c r="I498" s="212" t="s">
        <v>1635</v>
      </c>
      <c r="J498" s="212">
        <v>240</v>
      </c>
      <c r="K498" s="212">
        <v>28</v>
      </c>
      <c r="L498" s="212" t="s">
        <v>1428</v>
      </c>
      <c r="M498" s="212">
        <v>3.3</v>
      </c>
      <c r="N498" s="264">
        <v>3.39793136925432</v>
      </c>
      <c r="O498" s="264">
        <v>15.270026280966</v>
      </c>
      <c r="P498" s="264" t="s">
        <v>1428</v>
      </c>
      <c r="Q498" s="264">
        <v>5</v>
      </c>
      <c r="R498" s="231">
        <f>SUM(J498:Q498)</f>
        <v>294.96795765022</v>
      </c>
      <c r="S498" s="215" t="s">
        <v>2579</v>
      </c>
      <c r="T498" s="329" t="s">
        <v>7646</v>
      </c>
    </row>
    <row r="499" spans="1:21">
      <c r="A499" s="212"/>
      <c r="B499" s="329">
        <v>20240923</v>
      </c>
      <c r="C499" s="209">
        <v>7.11</v>
      </c>
      <c r="D499" s="209" t="s">
        <v>7647</v>
      </c>
      <c r="E499" s="209" t="s">
        <v>1629</v>
      </c>
      <c r="F499" s="209" t="s">
        <v>2801</v>
      </c>
      <c r="G499" s="212" t="s">
        <v>2664</v>
      </c>
      <c r="H499" s="212" t="s">
        <v>4248</v>
      </c>
      <c r="I499" s="212" t="s">
        <v>4343</v>
      </c>
      <c r="J499" s="212">
        <v>195</v>
      </c>
      <c r="K499" s="212">
        <v>50</v>
      </c>
      <c r="L499" s="212" t="s">
        <v>1428</v>
      </c>
      <c r="M499" s="212">
        <v>3.68</v>
      </c>
      <c r="N499" s="264">
        <v>3.39793136925432</v>
      </c>
      <c r="O499" s="264">
        <v>19.4049756006198</v>
      </c>
      <c r="P499" s="264" t="s">
        <v>1428</v>
      </c>
      <c r="Q499" s="264">
        <v>5</v>
      </c>
      <c r="R499" s="231">
        <f>SUM(J499:Q499)</f>
        <v>276.482906969874</v>
      </c>
      <c r="S499" s="215" t="s">
        <v>4001</v>
      </c>
      <c r="T499" s="329" t="s">
        <v>7648</v>
      </c>
    </row>
    <row r="500" spans="1:21">
      <c r="A500" s="212"/>
      <c r="B500" s="254">
        <v>20240919</v>
      </c>
      <c r="C500" s="226">
        <v>7.11</v>
      </c>
      <c r="D500" s="226" t="s">
        <v>223</v>
      </c>
      <c r="E500" s="254" t="s">
        <v>224</v>
      </c>
      <c r="F500" s="226"/>
      <c r="G500" s="227"/>
      <c r="H500" s="227"/>
      <c r="I500" s="227"/>
      <c r="J500" s="256"/>
      <c r="K500" s="256"/>
      <c r="L500" s="256"/>
      <c r="M500" s="256"/>
      <c r="N500" s="232">
        <v>0.431898236311813</v>
      </c>
      <c r="O500" s="232">
        <v>1.50053956012198</v>
      </c>
      <c r="P500" s="227" t="s">
        <v>1428</v>
      </c>
      <c r="Q500" s="231">
        <v>0.2</v>
      </c>
      <c r="R500" s="231">
        <f>SUM(J500:Q500)</f>
        <v>2.13243779643379</v>
      </c>
      <c r="S500" s="233"/>
      <c r="T500" s="254" t="s">
        <v>7426</v>
      </c>
    </row>
    <row r="501" spans="1:21">
      <c r="A501" s="212"/>
      <c r="B501" s="300">
        <v>20241023</v>
      </c>
      <c r="C501" s="272">
        <v>7.11</v>
      </c>
      <c r="D501" s="272" t="s">
        <v>187</v>
      </c>
      <c r="E501" s="254" t="s">
        <v>188</v>
      </c>
      <c r="F501" s="226"/>
      <c r="G501" s="227"/>
      <c r="H501" s="227"/>
      <c r="I501" s="227"/>
      <c r="J501" s="256"/>
      <c r="K501" s="256"/>
      <c r="L501" s="256"/>
      <c r="M501" s="256"/>
      <c r="N501" s="232">
        <v>0.431898236311813</v>
      </c>
      <c r="O501" s="232">
        <v>1.46277730114634</v>
      </c>
      <c r="P501" s="227"/>
      <c r="Q501" s="231">
        <v>0.2</v>
      </c>
      <c r="R501" s="231">
        <f>SUM(J501:Q501)</f>
        <v>2.09467553745815</v>
      </c>
      <c r="S501" s="233"/>
      <c r="T501" s="254" t="s">
        <v>7421</v>
      </c>
    </row>
    <row r="502" spans="1:21">
      <c r="A502" s="212"/>
      <c r="B502" s="329"/>
      <c r="C502" s="209"/>
      <c r="D502" s="209"/>
      <c r="E502" s="209" t="s">
        <v>7649</v>
      </c>
      <c r="F502" s="209" t="s">
        <v>7650</v>
      </c>
      <c r="G502" s="212"/>
      <c r="H502" s="212"/>
      <c r="I502" s="212"/>
      <c r="J502" s="212"/>
      <c r="K502" s="212"/>
      <c r="L502" s="212"/>
      <c r="M502" s="212"/>
      <c r="N502" s="264"/>
      <c r="O502" s="264"/>
      <c r="P502" s="264"/>
      <c r="Q502" s="264"/>
      <c r="R502" s="264">
        <v>47.5</v>
      </c>
      <c r="S502" s="215"/>
      <c r="T502" s="329" t="s">
        <v>7651</v>
      </c>
    </row>
    <row r="503" spans="1:21">
      <c r="A503" s="212"/>
      <c r="B503" s="329"/>
      <c r="C503" s="209"/>
      <c r="D503" s="209"/>
      <c r="E503" s="209" t="s">
        <v>7652</v>
      </c>
      <c r="F503" s="209" t="s">
        <v>7653</v>
      </c>
      <c r="G503" s="212"/>
      <c r="H503" s="212"/>
      <c r="I503" s="212"/>
      <c r="J503" s="212"/>
      <c r="K503" s="212"/>
      <c r="L503" s="212"/>
      <c r="M503" s="212"/>
      <c r="N503" s="264"/>
      <c r="O503" s="264"/>
      <c r="P503" s="264"/>
      <c r="Q503" s="264"/>
      <c r="R503" s="264">
        <f>237/7.3/1.13</f>
        <v>28.7307552430598</v>
      </c>
      <c r="S503" s="215"/>
      <c r="T503" s="329" t="s">
        <v>7654</v>
      </c>
    </row>
    <row r="506" spans="1:21">
      <c r="A506" s="195" t="s">
        <v>7634</v>
      </c>
      <c r="B506" s="195"/>
      <c r="C506" s="195"/>
      <c r="D506" s="195"/>
      <c r="E506" s="196"/>
      <c r="F506" s="196"/>
      <c r="G506" s="197"/>
      <c r="H506" s="198"/>
      <c r="I506" s="198"/>
      <c r="J506" s="199"/>
      <c r="K506" s="200"/>
      <c r="L506" s="200"/>
      <c r="M506" s="200"/>
      <c r="N506" s="201"/>
      <c r="O506" s="201"/>
      <c r="P506" s="197"/>
      <c r="Q506" s="202"/>
      <c r="R506" s="202"/>
      <c r="S506" s="203"/>
      <c r="T506" s="80"/>
      <c r="U506" s="81"/>
    </row>
    <row r="507" spans="1:21">
      <c r="A507" s="224" t="s">
        <v>1</v>
      </c>
      <c r="B507" s="265" t="s">
        <v>2</v>
      </c>
      <c r="C507" s="265" t="s">
        <v>1493</v>
      </c>
      <c r="D507" s="265" t="s">
        <v>4</v>
      </c>
      <c r="E507" s="75" t="s">
        <v>5</v>
      </c>
      <c r="F507" s="75" t="s">
        <v>1933</v>
      </c>
      <c r="G507" s="75" t="s">
        <v>4102</v>
      </c>
      <c r="H507" s="75" t="s">
        <v>4541</v>
      </c>
      <c r="I507" s="75" t="s">
        <v>1497</v>
      </c>
      <c r="J507" s="75" t="s">
        <v>4102</v>
      </c>
      <c r="K507" s="75" t="s">
        <v>4103</v>
      </c>
      <c r="L507" s="75" t="s">
        <v>4104</v>
      </c>
      <c r="M507" s="75" t="s">
        <v>1497</v>
      </c>
      <c r="N507" s="75" t="s">
        <v>6</v>
      </c>
      <c r="O507" s="75" t="s">
        <v>7</v>
      </c>
      <c r="P507" s="75" t="s">
        <v>5211</v>
      </c>
      <c r="Q507" s="75" t="s">
        <v>8</v>
      </c>
      <c r="R507" s="75" t="s">
        <v>9</v>
      </c>
      <c r="S507" s="75" t="s">
        <v>4105</v>
      </c>
      <c r="T507" s="75" t="s">
        <v>10</v>
      </c>
      <c r="U507" s="436"/>
    </row>
    <row r="508" spans="1:21">
      <c r="A508" s="437" t="s">
        <v>7655</v>
      </c>
      <c r="B508" s="289">
        <v>20241212</v>
      </c>
      <c r="C508" s="289">
        <v>7.3</v>
      </c>
      <c r="D508" s="289" t="s">
        <v>7110</v>
      </c>
      <c r="E508" s="255" t="s">
        <v>1645</v>
      </c>
      <c r="F508" s="254" t="s">
        <v>7656</v>
      </c>
      <c r="G508" s="253" t="s">
        <v>6159</v>
      </c>
      <c r="H508" s="227" t="s">
        <v>1913</v>
      </c>
      <c r="I508" s="227" t="s">
        <v>1633</v>
      </c>
      <c r="J508" s="227">
        <v>16</v>
      </c>
      <c r="K508" s="227"/>
      <c r="L508" s="244"/>
      <c r="M508" s="232">
        <v>1.7</v>
      </c>
      <c r="N508" s="232">
        <v>3.52115305627124</v>
      </c>
      <c r="O508" s="230">
        <v>7.52686906001843</v>
      </c>
      <c r="P508" s="227" t="s">
        <v>1428</v>
      </c>
      <c r="Q508" s="438">
        <v>3</v>
      </c>
      <c r="R508" s="231">
        <f>SUM(J508:Q508)</f>
        <v>31.7480221162897</v>
      </c>
      <c r="S508" s="233" t="s">
        <v>1526</v>
      </c>
      <c r="T508" s="228" t="s">
        <v>7657</v>
      </c>
      <c r="U508" s="283"/>
    </row>
    <row r="509" spans="1:21">
      <c r="A509" s="333"/>
      <c r="B509" s="209">
        <v>20241010</v>
      </c>
      <c r="C509" s="209">
        <v>7.11</v>
      </c>
      <c r="D509" s="209" t="s">
        <v>1416</v>
      </c>
      <c r="E509" s="209" t="s">
        <v>1417</v>
      </c>
      <c r="F509" s="209"/>
      <c r="G509" s="212"/>
      <c r="H509" s="212"/>
      <c r="I509" s="212"/>
      <c r="J509" s="414"/>
      <c r="K509" s="415"/>
      <c r="L509" s="415"/>
      <c r="M509" s="415"/>
      <c r="N509" s="416">
        <v>0.423185591775264</v>
      </c>
      <c r="O509" s="416">
        <v>1.1511540502635</v>
      </c>
      <c r="P509" s="212" t="s">
        <v>1428</v>
      </c>
      <c r="Q509" s="264">
        <v>0.2</v>
      </c>
      <c r="R509" s="231">
        <f>SUM(J509:Q509)</f>
        <v>1.77433964203876</v>
      </c>
      <c r="S509" s="215"/>
      <c r="T509" s="417" t="s">
        <v>7532</v>
      </c>
    </row>
    <row r="514" spans="1:21">
      <c r="A514" s="195" t="s">
        <v>7658</v>
      </c>
      <c r="B514" s="195"/>
      <c r="C514" s="195"/>
      <c r="D514" s="195"/>
      <c r="E514" s="196"/>
      <c r="F514" s="196"/>
      <c r="G514" s="197"/>
      <c r="H514" s="198"/>
      <c r="I514" s="198"/>
      <c r="J514" s="199"/>
      <c r="K514" s="296"/>
      <c r="L514" s="200"/>
      <c r="M514" s="200"/>
      <c r="N514" s="297"/>
      <c r="O514" s="201"/>
      <c r="P514" s="197"/>
      <c r="Q514" s="202"/>
      <c r="R514" s="202"/>
      <c r="S514" s="203"/>
      <c r="T514" s="80"/>
    </row>
    <row r="515" spans="1:21">
      <c r="A515" s="224" t="s">
        <v>1</v>
      </c>
      <c r="B515" s="224"/>
      <c r="C515" s="224"/>
      <c r="D515" s="224"/>
      <c r="E515" s="75" t="s">
        <v>5</v>
      </c>
      <c r="F515" s="75" t="s">
        <v>1933</v>
      </c>
      <c r="G515" s="75" t="s">
        <v>4102</v>
      </c>
      <c r="H515" s="75" t="s">
        <v>4541</v>
      </c>
      <c r="I515" s="75" t="s">
        <v>1497</v>
      </c>
      <c r="J515" s="75" t="s">
        <v>4102</v>
      </c>
      <c r="K515" s="75" t="s">
        <v>4103</v>
      </c>
      <c r="L515" s="75" t="s">
        <v>4104</v>
      </c>
      <c r="M515" s="75" t="s">
        <v>1497</v>
      </c>
      <c r="N515" s="75" t="s">
        <v>6</v>
      </c>
      <c r="O515" s="75" t="s">
        <v>7</v>
      </c>
      <c r="P515" s="75" t="s">
        <v>5211</v>
      </c>
      <c r="Q515" s="75" t="s">
        <v>8</v>
      </c>
      <c r="R515" s="75" t="s">
        <v>9</v>
      </c>
      <c r="S515" s="75" t="s">
        <v>4105</v>
      </c>
      <c r="T515" s="75" t="s">
        <v>10</v>
      </c>
    </row>
    <row r="516" spans="1:21">
      <c r="A516" s="437" t="s">
        <v>2376</v>
      </c>
      <c r="B516" s="289">
        <v>20241213</v>
      </c>
      <c r="C516" s="289">
        <v>7.3</v>
      </c>
      <c r="D516" s="289" t="s">
        <v>2396</v>
      </c>
      <c r="E516" s="255" t="s">
        <v>2397</v>
      </c>
      <c r="F516" s="254" t="s">
        <v>4457</v>
      </c>
      <c r="G516" s="253" t="s">
        <v>1428</v>
      </c>
      <c r="H516" s="227" t="s">
        <v>1913</v>
      </c>
      <c r="I516" s="227"/>
      <c r="J516" s="227" t="s">
        <v>1428</v>
      </c>
      <c r="K516" s="227"/>
      <c r="L516" s="244"/>
      <c r="M516" s="232"/>
      <c r="N516" s="232">
        <v>4.73511940841314</v>
      </c>
      <c r="O516" s="230">
        <v>21.0189972456055</v>
      </c>
      <c r="P516" s="227"/>
      <c r="Q516" s="438">
        <v>3.39020748727307</v>
      </c>
      <c r="R516" s="231">
        <f>SUM(J516:Q516)</f>
        <v>29.1443241412917</v>
      </c>
      <c r="S516" s="233" t="s">
        <v>1526</v>
      </c>
      <c r="T516" s="228" t="s">
        <v>2398</v>
      </c>
      <c r="U516" s="283"/>
    </row>
    <row r="517" hidden="1" spans="1:21">
      <c r="A517" s="439" t="s">
        <v>2376</v>
      </c>
      <c r="B517" s="226"/>
      <c r="C517" s="226"/>
      <c r="D517" s="226"/>
      <c r="E517" s="255" t="s">
        <v>65</v>
      </c>
      <c r="F517" s="228"/>
      <c r="G517" s="227"/>
      <c r="H517" s="227" t="s">
        <v>1913</v>
      </c>
      <c r="I517" s="227" t="s">
        <v>1428</v>
      </c>
      <c r="J517" s="227"/>
      <c r="K517" s="227" t="s">
        <v>1428</v>
      </c>
      <c r="L517" s="227" t="s">
        <v>1428</v>
      </c>
      <c r="M517" s="227" t="s">
        <v>1428</v>
      </c>
      <c r="N517" s="231">
        <v>0.75</v>
      </c>
      <c r="O517" s="231">
        <v>4.09</v>
      </c>
      <c r="P517" s="231" t="s">
        <v>1428</v>
      </c>
      <c r="Q517" s="231">
        <v>0.4</v>
      </c>
      <c r="R517" s="231">
        <v>5.24</v>
      </c>
      <c r="S517" s="226"/>
      <c r="T517" s="254" t="s">
        <v>2375</v>
      </c>
    </row>
    <row r="518" spans="1:21">
      <c r="A518" s="226"/>
      <c r="B518" s="226">
        <v>20241114</v>
      </c>
      <c r="C518" s="226">
        <v>7.2</v>
      </c>
      <c r="D518" s="226" t="s">
        <v>314</v>
      </c>
      <c r="E518" s="228" t="s">
        <v>315</v>
      </c>
      <c r="F518" s="228"/>
      <c r="G518" s="245"/>
      <c r="H518" s="227"/>
      <c r="I518" s="227"/>
      <c r="J518" s="245"/>
      <c r="K518" s="227"/>
      <c r="L518" s="227"/>
      <c r="M518" s="227"/>
      <c r="N518" s="231">
        <v>0.553097345132743</v>
      </c>
      <c r="O518" s="257">
        <v>4.84681658582131</v>
      </c>
      <c r="P518" s="231" t="s">
        <v>1428</v>
      </c>
      <c r="Q518" s="231">
        <v>0.2</v>
      </c>
      <c r="R518" s="231">
        <f>SUM(J518:Q518)</f>
        <v>5.59991393095405</v>
      </c>
      <c r="S518" s="281"/>
      <c r="T518" s="226" t="s">
        <v>7487</v>
      </c>
    </row>
    <row r="521" spans="1:21">
      <c r="A521" s="440" t="s">
        <v>7634</v>
      </c>
      <c r="B521" s="440"/>
      <c r="C521" s="440"/>
      <c r="D521" s="440"/>
      <c r="E521" s="441"/>
      <c r="F521" s="441"/>
      <c r="G521" s="442"/>
      <c r="H521" s="443"/>
      <c r="I521" s="443"/>
      <c r="J521" s="199"/>
      <c r="K521" s="444"/>
      <c r="L521" s="199"/>
      <c r="M521" s="199"/>
      <c r="N521" s="445"/>
      <c r="O521" s="446"/>
      <c r="P521" s="442"/>
      <c r="Q521" s="447"/>
      <c r="R521" s="447"/>
      <c r="S521" s="448"/>
      <c r="T521" s="449"/>
    </row>
    <row r="522" spans="1:21">
      <c r="A522" s="75" t="s">
        <v>1</v>
      </c>
      <c r="B522" s="75"/>
      <c r="C522" s="75"/>
      <c r="D522" s="75"/>
      <c r="E522" s="75" t="s">
        <v>5</v>
      </c>
      <c r="F522" s="75" t="s">
        <v>1933</v>
      </c>
      <c r="G522" s="75" t="s">
        <v>4102</v>
      </c>
      <c r="H522" s="75" t="s">
        <v>4541</v>
      </c>
      <c r="I522" s="75" t="s">
        <v>1497</v>
      </c>
      <c r="J522" s="75" t="s">
        <v>4102</v>
      </c>
      <c r="K522" s="75" t="s">
        <v>4103</v>
      </c>
      <c r="L522" s="75" t="s">
        <v>4104</v>
      </c>
      <c r="M522" s="75" t="s">
        <v>1497</v>
      </c>
      <c r="N522" s="75" t="s">
        <v>6</v>
      </c>
      <c r="O522" s="75" t="s">
        <v>7</v>
      </c>
      <c r="P522" s="75" t="s">
        <v>5211</v>
      </c>
      <c r="Q522" s="75" t="s">
        <v>8</v>
      </c>
      <c r="R522" s="75" t="s">
        <v>9</v>
      </c>
      <c r="S522" s="75" t="s">
        <v>4105</v>
      </c>
      <c r="T522" s="75" t="s">
        <v>10</v>
      </c>
    </row>
    <row r="523" spans="1:21">
      <c r="A523" s="437" t="s">
        <v>7659</v>
      </c>
      <c r="B523" s="289">
        <v>20241213</v>
      </c>
      <c r="C523" s="289">
        <v>7.3</v>
      </c>
      <c r="D523" s="289" t="s">
        <v>2396</v>
      </c>
      <c r="E523" s="255" t="s">
        <v>2397</v>
      </c>
      <c r="F523" s="254" t="s">
        <v>4457</v>
      </c>
      <c r="G523" s="253" t="s">
        <v>1428</v>
      </c>
      <c r="H523" s="227" t="s">
        <v>1913</v>
      </c>
      <c r="I523" s="227"/>
      <c r="J523" s="227" t="s">
        <v>1428</v>
      </c>
      <c r="K523" s="227"/>
      <c r="L523" s="244"/>
      <c r="M523" s="232"/>
      <c r="N523" s="232">
        <v>4.70966177718511</v>
      </c>
      <c r="O523" s="230">
        <v>19.8439868023154</v>
      </c>
      <c r="P523" s="227"/>
      <c r="Q523" s="231">
        <v>3.39020748727307</v>
      </c>
      <c r="R523" s="231">
        <f>SUM(J523:Q523)</f>
        <v>27.9438560667736</v>
      </c>
      <c r="S523" s="233" t="s">
        <v>1526</v>
      </c>
      <c r="T523" s="228" t="s">
        <v>2398</v>
      </c>
      <c r="U523" s="283"/>
    </row>
    <row r="524" spans="1:21">
      <c r="A524" s="437"/>
      <c r="B524" s="289">
        <v>20241114</v>
      </c>
      <c r="C524" s="289">
        <v>7.2</v>
      </c>
      <c r="D524" s="289" t="s">
        <v>314</v>
      </c>
      <c r="E524" s="255" t="s">
        <v>315</v>
      </c>
      <c r="F524" s="254"/>
      <c r="G524" s="253"/>
      <c r="H524" s="227"/>
      <c r="I524" s="227"/>
      <c r="J524" s="227"/>
      <c r="K524" s="227"/>
      <c r="L524" s="244"/>
      <c r="M524" s="232"/>
      <c r="N524" s="232">
        <v>0.547702751848709</v>
      </c>
      <c r="O524" s="232">
        <v>4.67376232725421</v>
      </c>
      <c r="P524" s="227" t="s">
        <v>1428</v>
      </c>
      <c r="Q524" s="231">
        <v>0.2</v>
      </c>
      <c r="R524" s="231">
        <f>SUM(J524:Q524)</f>
        <v>5.42146507910292</v>
      </c>
      <c r="S524" s="233"/>
      <c r="T524" s="228" t="s">
        <v>7487</v>
      </c>
      <c r="U524" s="283"/>
    </row>
    <row r="533" spans="1:20">
      <c r="N533" s="182" t="s">
        <v>7660</v>
      </c>
      <c r="O533" s="182" t="s">
        <v>7411</v>
      </c>
      <c r="P533" s="450">
        <v>29.1443241412917</v>
      </c>
    </row>
    <row r="534" spans="1:20">
      <c r="O534" s="182" t="s">
        <v>7661</v>
      </c>
      <c r="P534" s="450">
        <f>R523</f>
        <v>27.9438560667736</v>
      </c>
      <c r="Q534" s="451"/>
      <c r="R534" s="182" t="s">
        <v>7662</v>
      </c>
    </row>
    <row r="535" spans="1:20">
      <c r="O535" s="182" t="s">
        <v>7663</v>
      </c>
      <c r="P535" s="450">
        <f>P533-P534</f>
        <v>1.20046807451812</v>
      </c>
      <c r="Q535" s="451">
        <f>P535/P533</f>
        <v>0.041190458515979</v>
      </c>
    </row>
    <row r="536" spans="1:20">
      <c r="P536" s="450"/>
      <c r="Q536" s="451"/>
    </row>
    <row r="537" spans="1:20">
      <c r="N537" s="182" t="s">
        <v>7664</v>
      </c>
      <c r="O537" s="182" t="s">
        <v>7411</v>
      </c>
      <c r="P537" s="450">
        <v>5.59991393095405</v>
      </c>
      <c r="Q537" s="451"/>
    </row>
    <row r="538" spans="1:20">
      <c r="O538" s="182" t="s">
        <v>7661</v>
      </c>
      <c r="P538" s="450">
        <v>5.42146507910292</v>
      </c>
      <c r="Q538" s="451"/>
    </row>
    <row r="539" spans="1:20">
      <c r="O539" s="182" t="s">
        <v>7663</v>
      </c>
      <c r="P539" s="450">
        <f>P537-P538</f>
        <v>0.17844885185113</v>
      </c>
      <c r="Q539" s="451">
        <f>P539/P538</f>
        <v>0.0329152450947184</v>
      </c>
    </row>
    <row r="540" spans="1:20">
      <c r="Q540" s="451"/>
    </row>
    <row r="542" spans="1:20">
      <c r="A542" s="195" t="s">
        <v>7634</v>
      </c>
      <c r="B542" s="195"/>
      <c r="C542" s="195"/>
      <c r="D542" s="195"/>
      <c r="E542" s="196"/>
      <c r="F542" s="196"/>
      <c r="G542" s="197"/>
      <c r="H542" s="198"/>
      <c r="I542" s="198"/>
      <c r="J542" s="199"/>
      <c r="K542" s="200"/>
      <c r="L542" s="200"/>
      <c r="M542" s="200"/>
      <c r="N542" s="201"/>
      <c r="O542" s="201"/>
      <c r="P542" s="197"/>
      <c r="Q542" s="202"/>
      <c r="R542" s="202"/>
      <c r="S542" s="203"/>
      <c r="T542" s="80"/>
    </row>
    <row r="543" spans="1:20">
      <c r="A543" s="224" t="s">
        <v>1</v>
      </c>
      <c r="B543" s="224" t="s">
        <v>2</v>
      </c>
      <c r="C543" s="224" t="s">
        <v>1493</v>
      </c>
      <c r="D543" s="206" t="s">
        <v>4</v>
      </c>
      <c r="E543" s="75" t="s">
        <v>5</v>
      </c>
      <c r="F543" s="75" t="s">
        <v>1933</v>
      </c>
      <c r="G543" s="75" t="s">
        <v>4102</v>
      </c>
      <c r="H543" s="75" t="s">
        <v>4541</v>
      </c>
      <c r="I543" s="75" t="s">
        <v>1497</v>
      </c>
      <c r="J543" s="75" t="s">
        <v>4102</v>
      </c>
      <c r="K543" s="75" t="s">
        <v>4103</v>
      </c>
      <c r="L543" s="75" t="s">
        <v>4104</v>
      </c>
      <c r="M543" s="75" t="s">
        <v>1497</v>
      </c>
      <c r="N543" s="75" t="s">
        <v>6</v>
      </c>
      <c r="O543" s="75" t="s">
        <v>7</v>
      </c>
      <c r="P543" s="75" t="s">
        <v>5211</v>
      </c>
      <c r="Q543" s="75" t="s">
        <v>8</v>
      </c>
      <c r="R543" s="75" t="s">
        <v>9</v>
      </c>
      <c r="S543" s="75" t="s">
        <v>4105</v>
      </c>
      <c r="T543" s="75" t="s">
        <v>10</v>
      </c>
    </row>
    <row r="544" spans="1:20">
      <c r="A544" s="452" t="s">
        <v>7665</v>
      </c>
      <c r="B544" s="254">
        <v>20241210</v>
      </c>
      <c r="C544" s="227">
        <v>7.3</v>
      </c>
      <c r="D544" s="289" t="s">
        <v>875</v>
      </c>
      <c r="E544" s="228" t="s">
        <v>876</v>
      </c>
      <c r="F544" s="227" t="s">
        <v>1428</v>
      </c>
      <c r="G544" s="227" t="s">
        <v>1428</v>
      </c>
      <c r="H544" s="227" t="s">
        <v>1428</v>
      </c>
      <c r="I544" s="227" t="s">
        <v>1428</v>
      </c>
      <c r="J544" s="227" t="s">
        <v>1428</v>
      </c>
      <c r="K544" s="227" t="s">
        <v>1428</v>
      </c>
      <c r="L544" s="227" t="s">
        <v>1428</v>
      </c>
      <c r="M544" s="227" t="s">
        <v>1428</v>
      </c>
      <c r="N544" s="232">
        <v>0.0246505780560554</v>
      </c>
      <c r="O544" s="232">
        <v>0.0352963995635835</v>
      </c>
      <c r="P544" s="227" t="s">
        <v>1428</v>
      </c>
      <c r="Q544" s="231">
        <v>0.2</v>
      </c>
      <c r="R544" s="232">
        <f>SUM(J544:Q544)</f>
        <v>0.259946977619639</v>
      </c>
      <c r="S544" s="226"/>
      <c r="T544" s="226" t="s">
        <v>7666</v>
      </c>
    </row>
    <row r="545" spans="1:20">
      <c r="A545" s="453"/>
      <c r="B545" s="254">
        <v>20240920</v>
      </c>
      <c r="C545" s="227">
        <v>7.11</v>
      </c>
      <c r="D545" s="289" t="s">
        <v>871</v>
      </c>
      <c r="E545" s="228" t="s">
        <v>872</v>
      </c>
      <c r="F545" s="227" t="s">
        <v>1428</v>
      </c>
      <c r="G545" s="227" t="s">
        <v>1428</v>
      </c>
      <c r="H545" s="227" t="s">
        <v>1428</v>
      </c>
      <c r="I545" s="227" t="s">
        <v>1428</v>
      </c>
      <c r="J545" s="227" t="s">
        <v>1428</v>
      </c>
      <c r="K545" s="227" t="s">
        <v>1428</v>
      </c>
      <c r="L545" s="227" t="s">
        <v>1428</v>
      </c>
      <c r="M545" s="227" t="s">
        <v>1428</v>
      </c>
      <c r="N545" s="232">
        <v>0.402524177588589</v>
      </c>
      <c r="O545" s="232">
        <v>0.658789038652926</v>
      </c>
      <c r="P545" s="227" t="s">
        <v>1428</v>
      </c>
      <c r="Q545" s="231">
        <v>0.2</v>
      </c>
      <c r="R545" s="232">
        <f>SUM(J545:Q545)</f>
        <v>1.26131321624152</v>
      </c>
      <c r="S545" s="226"/>
      <c r="T545" s="226" t="s">
        <v>7568</v>
      </c>
    </row>
    <row r="546" spans="1:20">
      <c r="A546" s="454"/>
      <c r="B546" s="254">
        <v>20241211</v>
      </c>
      <c r="C546" s="227">
        <v>7.3</v>
      </c>
      <c r="D546" s="289" t="s">
        <v>3832</v>
      </c>
      <c r="E546" s="228" t="s">
        <v>7667</v>
      </c>
      <c r="F546" s="228" t="s">
        <v>7668</v>
      </c>
      <c r="G546" s="227" t="s">
        <v>1428</v>
      </c>
      <c r="H546" s="227" t="s">
        <v>1428</v>
      </c>
      <c r="I546" s="227" t="s">
        <v>3834</v>
      </c>
      <c r="J546" s="227" t="s">
        <v>1428</v>
      </c>
      <c r="K546" s="227" t="s">
        <v>1428</v>
      </c>
      <c r="L546" s="227" t="s">
        <v>1428</v>
      </c>
      <c r="M546" s="227">
        <v>2.3</v>
      </c>
      <c r="N546" s="232">
        <v>2.74</v>
      </c>
      <c r="O546" s="232">
        <v>9.31251464419931</v>
      </c>
      <c r="P546" s="227" t="s">
        <v>1428</v>
      </c>
      <c r="Q546" s="231">
        <v>2.75809718382026</v>
      </c>
      <c r="R546" s="232">
        <f>SUM(J546:Q546)</f>
        <v>17.1106118280196</v>
      </c>
      <c r="S546" s="226"/>
      <c r="T546" s="226" t="s">
        <v>3835</v>
      </c>
    </row>
    <row r="547" s="177" customFormat="1"/>
    <row r="552" spans="1:20">
      <c r="A552" s="195" t="s">
        <v>7634</v>
      </c>
      <c r="B552" s="195"/>
      <c r="C552" s="195"/>
      <c r="D552" s="195"/>
      <c r="E552" s="196"/>
      <c r="F552" s="196"/>
      <c r="G552" s="197"/>
      <c r="H552" s="198"/>
      <c r="I552" s="198"/>
      <c r="J552" s="199"/>
      <c r="K552" s="200"/>
      <c r="L552" s="200"/>
      <c r="M552" s="200"/>
      <c r="N552" s="201"/>
      <c r="O552" s="201"/>
      <c r="P552" s="197"/>
      <c r="Q552" s="202"/>
      <c r="R552" s="202"/>
      <c r="S552" s="203"/>
      <c r="T552" s="80"/>
    </row>
    <row r="553" spans="1:20">
      <c r="A553" s="224" t="s">
        <v>1</v>
      </c>
      <c r="B553" s="224" t="s">
        <v>2</v>
      </c>
      <c r="C553" s="224" t="s">
        <v>1493</v>
      </c>
      <c r="D553" s="206" t="s">
        <v>4</v>
      </c>
      <c r="E553" s="75" t="s">
        <v>5</v>
      </c>
      <c r="F553" s="75" t="s">
        <v>1933</v>
      </c>
      <c r="G553" s="75" t="s">
        <v>4102</v>
      </c>
      <c r="H553" s="75" t="s">
        <v>4541</v>
      </c>
      <c r="I553" s="75" t="s">
        <v>1497</v>
      </c>
      <c r="J553" s="75" t="s">
        <v>4102</v>
      </c>
      <c r="K553" s="75" t="s">
        <v>4103</v>
      </c>
      <c r="L553" s="75" t="s">
        <v>4104</v>
      </c>
      <c r="M553" s="75" t="s">
        <v>1497</v>
      </c>
      <c r="N553" s="75" t="s">
        <v>6</v>
      </c>
      <c r="O553" s="75" t="s">
        <v>7</v>
      </c>
      <c r="P553" s="75" t="s">
        <v>5211</v>
      </c>
      <c r="Q553" s="75" t="s">
        <v>8</v>
      </c>
      <c r="R553" s="75" t="s">
        <v>9</v>
      </c>
      <c r="S553" s="75" t="s">
        <v>4105</v>
      </c>
      <c r="T553" s="75" t="s">
        <v>10</v>
      </c>
    </row>
    <row r="554" spans="1:20">
      <c r="A554" s="452" t="s">
        <v>7665</v>
      </c>
      <c r="B554" s="254">
        <v>20241210</v>
      </c>
      <c r="C554" s="227">
        <v>7.3</v>
      </c>
      <c r="D554" s="289" t="s">
        <v>875</v>
      </c>
      <c r="E554" s="228" t="s">
        <v>876</v>
      </c>
      <c r="F554" s="227" t="s">
        <v>1428</v>
      </c>
      <c r="G554" s="227" t="s">
        <v>1428</v>
      </c>
      <c r="H554" s="227" t="s">
        <v>1428</v>
      </c>
      <c r="I554" s="227" t="s">
        <v>1428</v>
      </c>
      <c r="J554" s="227" t="s">
        <v>1428</v>
      </c>
      <c r="K554" s="227" t="s">
        <v>1428</v>
      </c>
      <c r="L554" s="227" t="s">
        <v>1428</v>
      </c>
      <c r="M554" s="227" t="s">
        <v>1428</v>
      </c>
      <c r="N554" s="232">
        <v>0.0246505780560554</v>
      </c>
      <c r="O554" s="232">
        <v>0.0352963995635835</v>
      </c>
      <c r="P554" s="227" t="s">
        <v>1428</v>
      </c>
      <c r="Q554" s="231">
        <v>0.2</v>
      </c>
      <c r="R554" s="232">
        <f>SUM(J554:Q554)</f>
        <v>0.259946977619639</v>
      </c>
      <c r="S554" s="226"/>
      <c r="T554" s="226" t="s">
        <v>7666</v>
      </c>
    </row>
    <row r="555" spans="1:20">
      <c r="A555" s="453"/>
      <c r="B555" s="254">
        <v>20240920</v>
      </c>
      <c r="C555" s="227">
        <v>7.11</v>
      </c>
      <c r="D555" s="289" t="s">
        <v>871</v>
      </c>
      <c r="E555" s="228" t="s">
        <v>872</v>
      </c>
      <c r="F555" s="227" t="s">
        <v>1428</v>
      </c>
      <c r="G555" s="227" t="s">
        <v>1428</v>
      </c>
      <c r="H555" s="227" t="s">
        <v>1428</v>
      </c>
      <c r="I555" s="227" t="s">
        <v>1428</v>
      </c>
      <c r="J555" s="227" t="s">
        <v>1428</v>
      </c>
      <c r="K555" s="227" t="s">
        <v>1428</v>
      </c>
      <c r="L555" s="227" t="s">
        <v>1428</v>
      </c>
      <c r="M555" s="227" t="s">
        <v>1428</v>
      </c>
      <c r="N555" s="232">
        <v>0.402524177588589</v>
      </c>
      <c r="O555" s="232">
        <v>0.560619943944721</v>
      </c>
      <c r="P555" s="227" t="s">
        <v>1428</v>
      </c>
      <c r="Q555" s="231">
        <v>0.2</v>
      </c>
      <c r="R555" s="232">
        <f>SUM(J555:Q555)</f>
        <v>1.16314412153331</v>
      </c>
      <c r="S555" s="226"/>
      <c r="T555" s="226" t="s">
        <v>7568</v>
      </c>
    </row>
    <row r="556" spans="1:20">
      <c r="A556" s="454"/>
      <c r="B556" s="254">
        <v>20241211</v>
      </c>
      <c r="C556" s="227">
        <v>7.3</v>
      </c>
      <c r="D556" s="289" t="s">
        <v>3832</v>
      </c>
      <c r="E556" s="228" t="s">
        <v>7667</v>
      </c>
      <c r="F556" s="228" t="s">
        <v>7668</v>
      </c>
      <c r="G556" s="227" t="s">
        <v>1428</v>
      </c>
      <c r="H556" s="227" t="s">
        <v>1428</v>
      </c>
      <c r="I556" s="227" t="s">
        <v>3834</v>
      </c>
      <c r="J556" s="227" t="s">
        <v>1428</v>
      </c>
      <c r="K556" s="227" t="s">
        <v>1428</v>
      </c>
      <c r="L556" s="227" t="s">
        <v>1428</v>
      </c>
      <c r="M556" s="227">
        <v>2.3</v>
      </c>
      <c r="N556" s="232">
        <v>2.74</v>
      </c>
      <c r="O556" s="232">
        <v>8.89787208888191</v>
      </c>
      <c r="P556" s="227" t="s">
        <v>1428</v>
      </c>
      <c r="Q556" s="231">
        <v>2.75809718382026</v>
      </c>
      <c r="R556" s="232">
        <f>SUM(J556:Q556)</f>
        <v>16.6959692727022</v>
      </c>
      <c r="S556" s="226"/>
      <c r="T556" s="226" t="s">
        <v>3835</v>
      </c>
    </row>
    <row r="561" ht="16" customHeight="1" spans="1:21">
      <c r="O561" s="182" t="s">
        <v>7664</v>
      </c>
      <c r="P561" s="182" t="s">
        <v>7411</v>
      </c>
      <c r="Q561" s="450">
        <v>1.26131321624152</v>
      </c>
    </row>
    <row r="562" spans="1:21">
      <c r="P562" s="182" t="s">
        <v>7661</v>
      </c>
      <c r="Q562" s="450">
        <f>R555</f>
        <v>1.16314412153331</v>
      </c>
      <c r="R562" s="451"/>
    </row>
    <row r="563" spans="1:21">
      <c r="P563" s="182" t="s">
        <v>7663</v>
      </c>
      <c r="Q563" s="450">
        <f>Q561-Q562</f>
        <v>0.0981690947082099</v>
      </c>
      <c r="R563" s="451">
        <f>Q563/Q562</f>
        <v>0.0843997686020189</v>
      </c>
    </row>
    <row r="564" spans="1:21">
      <c r="Q564" s="450"/>
      <c r="R564" s="451"/>
    </row>
    <row r="565" spans="1:21">
      <c r="O565" s="182" t="s">
        <v>7660</v>
      </c>
      <c r="P565" s="182" t="s">
        <v>7411</v>
      </c>
      <c r="Q565" s="450">
        <f>R546</f>
        <v>17.1106118280196</v>
      </c>
      <c r="R565" s="451"/>
    </row>
    <row r="566" spans="1:21">
      <c r="P566" s="182" t="s">
        <v>7661</v>
      </c>
      <c r="Q566" s="450">
        <f>R556</f>
        <v>16.6959692727022</v>
      </c>
      <c r="R566" s="451"/>
    </row>
    <row r="567" spans="1:21">
      <c r="P567" s="182" t="s">
        <v>7663</v>
      </c>
      <c r="Q567" s="450">
        <f>Q565-Q566</f>
        <v>0.4146425553174</v>
      </c>
      <c r="R567" s="451">
        <f>Q567/Q565</f>
        <v>0.0242330642226597</v>
      </c>
    </row>
    <row r="568" spans="1:21">
      <c r="R568" s="451"/>
    </row>
    <row r="570" spans="1:21">
      <c r="A570" s="195" t="s">
        <v>7634</v>
      </c>
      <c r="B570" s="195"/>
      <c r="C570" s="195"/>
      <c r="D570" s="195"/>
      <c r="E570" s="196"/>
      <c r="F570" s="196"/>
      <c r="G570" s="197"/>
      <c r="H570" s="198"/>
      <c r="I570" s="198"/>
      <c r="J570" s="199"/>
      <c r="K570" s="200"/>
      <c r="L570" s="200"/>
      <c r="M570" s="200"/>
      <c r="N570" s="201"/>
      <c r="O570" s="201"/>
      <c r="P570" s="197"/>
      <c r="Q570" s="202"/>
      <c r="R570" s="202"/>
      <c r="S570" s="203"/>
      <c r="T570" s="80"/>
    </row>
    <row r="571" spans="1:21">
      <c r="A571" s="224" t="s">
        <v>1</v>
      </c>
      <c r="B571" s="224" t="s">
        <v>2</v>
      </c>
      <c r="C571" s="224" t="s">
        <v>1493</v>
      </c>
      <c r="D571" s="206" t="s">
        <v>4</v>
      </c>
      <c r="E571" s="75" t="s">
        <v>5</v>
      </c>
      <c r="F571" s="75" t="s">
        <v>1933</v>
      </c>
      <c r="G571" s="75" t="s">
        <v>4102</v>
      </c>
      <c r="H571" s="75" t="s">
        <v>4541</v>
      </c>
      <c r="I571" s="75" t="s">
        <v>1497</v>
      </c>
      <c r="J571" s="75" t="s">
        <v>4102</v>
      </c>
      <c r="K571" s="75" t="s">
        <v>4103</v>
      </c>
      <c r="L571" s="75" t="s">
        <v>4104</v>
      </c>
      <c r="M571" s="75" t="s">
        <v>1497</v>
      </c>
      <c r="N571" s="75" t="s">
        <v>6</v>
      </c>
      <c r="O571" s="75" t="s">
        <v>7</v>
      </c>
      <c r="P571" s="75" t="s">
        <v>5211</v>
      </c>
      <c r="Q571" s="75" t="s">
        <v>8</v>
      </c>
      <c r="R571" s="75" t="s">
        <v>9</v>
      </c>
      <c r="S571" s="75" t="s">
        <v>4105</v>
      </c>
      <c r="T571" s="75" t="s">
        <v>10</v>
      </c>
    </row>
    <row r="572" s="177" customFormat="1" spans="1:21">
      <c r="A572" s="455" t="s">
        <v>792</v>
      </c>
      <c r="B572" s="289">
        <v>20241127</v>
      </c>
      <c r="C572" s="289">
        <v>7.25</v>
      </c>
      <c r="D572" s="289" t="s">
        <v>3709</v>
      </c>
      <c r="E572" s="255" t="s">
        <v>1581</v>
      </c>
      <c r="F572" s="254" t="s">
        <v>3710</v>
      </c>
      <c r="G572" s="253" t="s">
        <v>3542</v>
      </c>
      <c r="H572" s="227" t="s">
        <v>3711</v>
      </c>
      <c r="I572" s="227" t="s">
        <v>1633</v>
      </c>
      <c r="J572" s="227">
        <v>30</v>
      </c>
      <c r="K572" s="227">
        <v>3.6</v>
      </c>
      <c r="L572" s="244">
        <v>7</v>
      </c>
      <c r="M572" s="232">
        <v>1.72</v>
      </c>
      <c r="N572" s="232">
        <v>2.8</v>
      </c>
      <c r="O572" s="230">
        <v>8.57091936612975</v>
      </c>
      <c r="P572" s="227"/>
      <c r="Q572" s="231">
        <v>2.90875801037534</v>
      </c>
      <c r="R572" s="231">
        <f>SUM(J572:Q572)</f>
        <v>56.5996773765051</v>
      </c>
      <c r="S572" s="233" t="s">
        <v>3712</v>
      </c>
      <c r="T572" s="228" t="s">
        <v>7616</v>
      </c>
      <c r="U572" s="283"/>
    </row>
    <row r="573" s="177" customFormat="1" spans="1:21">
      <c r="A573" s="456"/>
      <c r="B573" s="289">
        <v>20241127</v>
      </c>
      <c r="C573" s="289">
        <v>7.25</v>
      </c>
      <c r="D573" s="289" t="s">
        <v>3714</v>
      </c>
      <c r="E573" s="255" t="s">
        <v>2427</v>
      </c>
      <c r="F573" s="254" t="s">
        <v>3710</v>
      </c>
      <c r="G573" s="253" t="s">
        <v>3457</v>
      </c>
      <c r="H573" s="227" t="s">
        <v>3711</v>
      </c>
      <c r="I573" s="227" t="s">
        <v>1633</v>
      </c>
      <c r="J573" s="227">
        <v>32</v>
      </c>
      <c r="K573" s="227">
        <v>3.6</v>
      </c>
      <c r="L573" s="244">
        <v>7</v>
      </c>
      <c r="M573" s="232">
        <v>1.72</v>
      </c>
      <c r="N573" s="232">
        <v>2.8</v>
      </c>
      <c r="O573" s="230">
        <v>8.60590608409863</v>
      </c>
      <c r="P573" s="227"/>
      <c r="Q573" s="231">
        <v>2.90875801037534</v>
      </c>
      <c r="R573" s="231">
        <f>SUM(J573:Q573)</f>
        <v>58.634664094474</v>
      </c>
      <c r="S573" s="233" t="s">
        <v>3712</v>
      </c>
      <c r="T573" s="228" t="s">
        <v>7669</v>
      </c>
      <c r="U573" s="283"/>
    </row>
    <row r="574" s="177" customFormat="1" spans="1:21">
      <c r="A574" s="456"/>
      <c r="B574" s="289">
        <v>20241127</v>
      </c>
      <c r="C574" s="289">
        <v>7.25</v>
      </c>
      <c r="D574" s="289" t="s">
        <v>3717</v>
      </c>
      <c r="E574" s="255" t="s">
        <v>2449</v>
      </c>
      <c r="F574" s="254" t="s">
        <v>7618</v>
      </c>
      <c r="G574" s="253" t="s">
        <v>3542</v>
      </c>
      <c r="H574" s="227" t="s">
        <v>3624</v>
      </c>
      <c r="I574" s="227" t="s">
        <v>1784</v>
      </c>
      <c r="J574" s="227">
        <v>30</v>
      </c>
      <c r="K574" s="227">
        <v>6.6</v>
      </c>
      <c r="L574" s="244" t="s">
        <v>1428</v>
      </c>
      <c r="M574" s="232">
        <v>2.2</v>
      </c>
      <c r="N574" s="232">
        <v>2.8</v>
      </c>
      <c r="O574" s="230">
        <v>9.72647753354507</v>
      </c>
      <c r="P574" s="227"/>
      <c r="Q574" s="231">
        <v>2.90875801037534</v>
      </c>
      <c r="R574" s="231">
        <f>SUM(J574:Q574)</f>
        <v>54.2352355439204</v>
      </c>
      <c r="S574" s="233" t="s">
        <v>4236</v>
      </c>
      <c r="T574" s="228" t="s">
        <v>7619</v>
      </c>
      <c r="U574" s="283"/>
    </row>
    <row r="575" s="177" customFormat="1" spans="1:21">
      <c r="A575" s="457"/>
      <c r="B575" s="289">
        <v>20241127</v>
      </c>
      <c r="C575" s="289">
        <v>7.25</v>
      </c>
      <c r="D575" s="289" t="s">
        <v>3721</v>
      </c>
      <c r="E575" s="255" t="s">
        <v>2546</v>
      </c>
      <c r="F575" s="254" t="s">
        <v>7618</v>
      </c>
      <c r="G575" s="253" t="s">
        <v>3541</v>
      </c>
      <c r="H575" s="227" t="s">
        <v>3624</v>
      </c>
      <c r="I575" s="227" t="s">
        <v>1784</v>
      </c>
      <c r="J575" s="227">
        <v>27</v>
      </c>
      <c r="K575" s="227">
        <v>6.6</v>
      </c>
      <c r="L575" s="244" t="s">
        <v>1428</v>
      </c>
      <c r="M575" s="232">
        <v>2.2</v>
      </c>
      <c r="N575" s="232">
        <v>2.8</v>
      </c>
      <c r="O575" s="230">
        <v>10.2200715568725</v>
      </c>
      <c r="P575" s="227"/>
      <c r="Q575" s="231">
        <v>2.90875801037534</v>
      </c>
      <c r="R575" s="231">
        <f>SUM(J575:Q575)</f>
        <v>51.7288295672478</v>
      </c>
      <c r="S575" s="233" t="s">
        <v>4236</v>
      </c>
      <c r="T575" s="228" t="s">
        <v>7620</v>
      </c>
      <c r="U575" s="283"/>
    </row>
    <row r="578" s="182" customFormat="1" ht="32" customHeight="1" spans="1:20">
      <c r="A578" s="458" t="s">
        <v>7658</v>
      </c>
      <c r="B578" s="459"/>
      <c r="C578" s="459"/>
      <c r="D578" s="459"/>
      <c r="E578" s="459"/>
      <c r="F578" s="459"/>
      <c r="G578" s="459"/>
      <c r="H578" s="459"/>
      <c r="I578" s="459"/>
      <c r="J578" s="459"/>
      <c r="K578" s="459"/>
      <c r="L578" s="459"/>
      <c r="M578" s="459"/>
      <c r="N578" s="459"/>
      <c r="O578" s="459"/>
      <c r="P578" s="459"/>
      <c r="Q578" s="459"/>
      <c r="R578" s="459"/>
      <c r="S578" s="459"/>
      <c r="T578" s="460"/>
    </row>
    <row r="579" s="182" customFormat="1" ht="32" customHeight="1" spans="1:20">
      <c r="A579" s="461" t="s">
        <v>1</v>
      </c>
      <c r="B579" s="462" t="s">
        <v>2</v>
      </c>
      <c r="C579" s="462" t="s">
        <v>1493</v>
      </c>
      <c r="D579" s="462" t="s">
        <v>4</v>
      </c>
      <c r="E579" s="462" t="s">
        <v>5</v>
      </c>
      <c r="F579" s="462" t="s">
        <v>1933</v>
      </c>
      <c r="G579" s="462" t="s">
        <v>4102</v>
      </c>
      <c r="H579" s="462" t="s">
        <v>4541</v>
      </c>
      <c r="I579" s="462" t="s">
        <v>1497</v>
      </c>
      <c r="J579" s="462" t="s">
        <v>4102</v>
      </c>
      <c r="K579" s="462" t="s">
        <v>4103</v>
      </c>
      <c r="L579" s="462" t="s">
        <v>4104</v>
      </c>
      <c r="M579" s="462" t="s">
        <v>1497</v>
      </c>
      <c r="N579" s="462" t="s">
        <v>6</v>
      </c>
      <c r="O579" s="462" t="s">
        <v>7</v>
      </c>
      <c r="P579" s="462" t="s">
        <v>5211</v>
      </c>
      <c r="Q579" s="462" t="s">
        <v>8</v>
      </c>
      <c r="R579" s="462" t="s">
        <v>9</v>
      </c>
      <c r="S579" s="462" t="s">
        <v>4105</v>
      </c>
      <c r="T579" s="463" t="s">
        <v>10</v>
      </c>
    </row>
    <row r="580" s="182" customFormat="1" ht="50" customHeight="1" spans="1:20">
      <c r="A580" s="464" t="s">
        <v>7599</v>
      </c>
      <c r="B580" s="226"/>
      <c r="C580" s="226"/>
      <c r="D580" s="226"/>
      <c r="E580" s="228" t="s">
        <v>7600</v>
      </c>
      <c r="F580" s="465" t="s">
        <v>4021</v>
      </c>
      <c r="G580" s="231" t="s">
        <v>6159</v>
      </c>
      <c r="H580" s="231" t="s">
        <v>3711</v>
      </c>
      <c r="I580" s="231" t="s">
        <v>7601</v>
      </c>
      <c r="J580" s="466">
        <v>16</v>
      </c>
      <c r="K580" s="231">
        <v>3.52</v>
      </c>
      <c r="L580" s="231">
        <v>7</v>
      </c>
      <c r="M580" s="231">
        <v>1</v>
      </c>
      <c r="N580" s="231">
        <v>2.40966854610856</v>
      </c>
      <c r="O580" s="231">
        <v>6.52971111274336</v>
      </c>
      <c r="P580" s="231" t="s">
        <v>1428</v>
      </c>
      <c r="Q580" s="231">
        <v>2.43</v>
      </c>
      <c r="R580" s="232">
        <f t="shared" ref="R580:R593" si="3">SUM(J580:Q580)</f>
        <v>38.8893796588519</v>
      </c>
      <c r="S580" s="289" t="s">
        <v>7602</v>
      </c>
      <c r="T580" s="467" t="s">
        <v>7603</v>
      </c>
    </row>
    <row r="581" s="182" customFormat="1" ht="50" customHeight="1" spans="1:20">
      <c r="A581" s="464"/>
      <c r="B581" s="226"/>
      <c r="C581" s="226"/>
      <c r="D581" s="226"/>
      <c r="E581" s="228" t="s">
        <v>7604</v>
      </c>
      <c r="F581" s="231" t="s">
        <v>4021</v>
      </c>
      <c r="G581" s="231" t="s">
        <v>6159</v>
      </c>
      <c r="H581" s="231" t="s">
        <v>3624</v>
      </c>
      <c r="I581" s="231" t="s">
        <v>7601</v>
      </c>
      <c r="J581" s="466">
        <v>16</v>
      </c>
      <c r="K581" s="231">
        <v>5.77</v>
      </c>
      <c r="L581" s="231" t="s">
        <v>1428</v>
      </c>
      <c r="M581" s="231">
        <v>1</v>
      </c>
      <c r="N581" s="231">
        <v>2.40966854610856</v>
      </c>
      <c r="O581" s="231">
        <v>6.02616017517394</v>
      </c>
      <c r="P581" s="212" t="s">
        <v>1428</v>
      </c>
      <c r="Q581" s="231">
        <v>2.43</v>
      </c>
      <c r="R581" s="232">
        <f t="shared" si="3"/>
        <v>33.6358287212825</v>
      </c>
      <c r="S581" s="226" t="s">
        <v>7605</v>
      </c>
      <c r="T581" s="467" t="s">
        <v>7606</v>
      </c>
    </row>
    <row r="582" s="182" customFormat="1" ht="50" customHeight="1" spans="1:20">
      <c r="A582" s="360" t="s">
        <v>4019</v>
      </c>
      <c r="B582" s="226">
        <v>20241126</v>
      </c>
      <c r="C582" s="226">
        <v>7.25</v>
      </c>
      <c r="D582" s="226" t="s">
        <v>4020</v>
      </c>
      <c r="E582" s="228" t="s">
        <v>1617</v>
      </c>
      <c r="F582" s="227" t="s">
        <v>4021</v>
      </c>
      <c r="G582" s="227" t="s">
        <v>3542</v>
      </c>
      <c r="H582" s="227" t="s">
        <v>3711</v>
      </c>
      <c r="I582" s="227" t="s">
        <v>7608</v>
      </c>
      <c r="J582" s="252">
        <v>30</v>
      </c>
      <c r="K582" s="227">
        <v>3.6</v>
      </c>
      <c r="L582" s="468">
        <v>7</v>
      </c>
      <c r="M582" s="227">
        <v>1.7</v>
      </c>
      <c r="N582" s="231">
        <v>2.81465093411996</v>
      </c>
      <c r="O582" s="469">
        <v>7.57146693832627</v>
      </c>
      <c r="P582" s="231" t="s">
        <v>1428</v>
      </c>
      <c r="Q582" s="231">
        <f t="shared" ref="Q582:Q588" si="4">23.83/7.25/1.13</f>
        <v>2.90875801037534</v>
      </c>
      <c r="R582" s="232">
        <f t="shared" si="3"/>
        <v>55.5948758828216</v>
      </c>
      <c r="S582" s="226" t="s">
        <v>3712</v>
      </c>
      <c r="T582" s="361" t="s">
        <v>7609</v>
      </c>
    </row>
    <row r="583" s="182" customFormat="1" ht="50" customHeight="1" spans="1:20">
      <c r="A583" s="360"/>
      <c r="B583" s="226">
        <v>20241126</v>
      </c>
      <c r="C583" s="226">
        <v>7.25</v>
      </c>
      <c r="D583" s="226" t="s">
        <v>4024</v>
      </c>
      <c r="E583" s="228" t="s">
        <v>1629</v>
      </c>
      <c r="F583" s="227" t="s">
        <v>4021</v>
      </c>
      <c r="G583" s="227" t="s">
        <v>3457</v>
      </c>
      <c r="H583" s="227" t="s">
        <v>3624</v>
      </c>
      <c r="I583" s="227" t="s">
        <v>7611</v>
      </c>
      <c r="J583" s="252">
        <v>32</v>
      </c>
      <c r="K583" s="227">
        <v>6.6</v>
      </c>
      <c r="L583" s="227" t="s">
        <v>1428</v>
      </c>
      <c r="M583" s="227">
        <v>2.2</v>
      </c>
      <c r="N583" s="231">
        <v>2.81465093411996</v>
      </c>
      <c r="O583" s="469">
        <v>7.80570814489692</v>
      </c>
      <c r="P583" s="231" t="s">
        <v>1428</v>
      </c>
      <c r="Q583" s="231">
        <f t="shared" si="4"/>
        <v>2.90875801037534</v>
      </c>
      <c r="R583" s="232">
        <f t="shared" si="3"/>
        <v>54.3291170893922</v>
      </c>
      <c r="S583" s="226" t="s">
        <v>7612</v>
      </c>
      <c r="T583" s="361" t="s">
        <v>7613</v>
      </c>
    </row>
    <row r="584" s="182" customFormat="1" ht="50" customHeight="1" spans="1:20">
      <c r="A584" s="378" t="s">
        <v>7614</v>
      </c>
      <c r="B584" s="470">
        <v>20241129</v>
      </c>
      <c r="C584" s="412">
        <v>7.25</v>
      </c>
      <c r="D584" s="470" t="s">
        <v>1133</v>
      </c>
      <c r="E584" s="470" t="s">
        <v>7004</v>
      </c>
      <c r="F584" s="412"/>
      <c r="G584" s="412"/>
      <c r="H584" s="412"/>
      <c r="I584" s="412"/>
      <c r="J584" s="412"/>
      <c r="K584" s="412"/>
      <c r="L584" s="412"/>
      <c r="M584" s="412"/>
      <c r="N584" s="471">
        <v>0.250228867866951</v>
      </c>
      <c r="O584" s="471">
        <v>0.523959382606042</v>
      </c>
      <c r="P584" s="412" t="s">
        <v>1428</v>
      </c>
      <c r="Q584" s="472">
        <v>0.2</v>
      </c>
      <c r="R584" s="471">
        <f t="shared" si="3"/>
        <v>0.974188250472993</v>
      </c>
      <c r="S584" s="473"/>
      <c r="T584" s="474" t="s">
        <v>484</v>
      </c>
    </row>
    <row r="585" s="182" customFormat="1" ht="50" customHeight="1" spans="1:20">
      <c r="A585" s="372" t="s">
        <v>7615</v>
      </c>
      <c r="B585" s="340">
        <v>20241127</v>
      </c>
      <c r="C585" s="340">
        <v>7.25</v>
      </c>
      <c r="D585" s="340" t="s">
        <v>3709</v>
      </c>
      <c r="E585" s="341" t="s">
        <v>1581</v>
      </c>
      <c r="F585" s="374" t="s">
        <v>3710</v>
      </c>
      <c r="G585" s="375" t="s">
        <v>3542</v>
      </c>
      <c r="H585" s="375" t="s">
        <v>3711</v>
      </c>
      <c r="I585" s="375" t="s">
        <v>7608</v>
      </c>
      <c r="J585" s="375">
        <v>30</v>
      </c>
      <c r="K585" s="375">
        <v>3.6</v>
      </c>
      <c r="L585" s="375">
        <v>7</v>
      </c>
      <c r="M585" s="375">
        <v>1.7</v>
      </c>
      <c r="N585" s="345">
        <v>2.8</v>
      </c>
      <c r="O585" s="475">
        <v>8.57091936612975</v>
      </c>
      <c r="P585" s="343" t="s">
        <v>1428</v>
      </c>
      <c r="Q585" s="343">
        <f t="shared" si="4"/>
        <v>2.90875801037534</v>
      </c>
      <c r="R585" s="345">
        <f t="shared" si="3"/>
        <v>56.5796773765051</v>
      </c>
      <c r="S585" s="376" t="s">
        <v>3712</v>
      </c>
      <c r="T585" s="377" t="s">
        <v>7616</v>
      </c>
    </row>
    <row r="586" s="182" customFormat="1" ht="50" customHeight="1" spans="1:20">
      <c r="A586" s="360"/>
      <c r="B586" s="226">
        <v>20241127</v>
      </c>
      <c r="C586" s="226">
        <v>7.25</v>
      </c>
      <c r="D586" s="226" t="s">
        <v>3714</v>
      </c>
      <c r="E586" s="228" t="s">
        <v>2427</v>
      </c>
      <c r="F586" s="244" t="s">
        <v>3710</v>
      </c>
      <c r="G586" s="227" t="s">
        <v>3457</v>
      </c>
      <c r="H586" s="227" t="s">
        <v>3711</v>
      </c>
      <c r="I586" s="227" t="s">
        <v>7608</v>
      </c>
      <c r="J586" s="227">
        <v>32</v>
      </c>
      <c r="K586" s="227">
        <v>3.6</v>
      </c>
      <c r="L586" s="227">
        <v>7</v>
      </c>
      <c r="M586" s="227">
        <v>1.7</v>
      </c>
      <c r="N586" s="232">
        <v>2.8</v>
      </c>
      <c r="O586" s="469">
        <v>8.60590608409863</v>
      </c>
      <c r="P586" s="231" t="s">
        <v>1428</v>
      </c>
      <c r="Q586" s="231">
        <f t="shared" si="4"/>
        <v>2.90875801037534</v>
      </c>
      <c r="R586" s="232">
        <f t="shared" si="3"/>
        <v>58.614664094474</v>
      </c>
      <c r="S586" s="233" t="s">
        <v>3712</v>
      </c>
      <c r="T586" s="361" t="s">
        <v>7617</v>
      </c>
    </row>
    <row r="587" s="182" customFormat="1" ht="50" customHeight="1" spans="1:20">
      <c r="A587" s="360"/>
      <c r="B587" s="226">
        <v>20241127</v>
      </c>
      <c r="C587" s="226">
        <v>7.25</v>
      </c>
      <c r="D587" s="226" t="s">
        <v>3717</v>
      </c>
      <c r="E587" s="228" t="s">
        <v>2449</v>
      </c>
      <c r="F587" s="244" t="s">
        <v>7618</v>
      </c>
      <c r="G587" s="227" t="s">
        <v>3542</v>
      </c>
      <c r="H587" s="227" t="s">
        <v>3624</v>
      </c>
      <c r="I587" s="227" t="s">
        <v>7611</v>
      </c>
      <c r="J587" s="227">
        <v>30</v>
      </c>
      <c r="K587" s="227">
        <v>6.6</v>
      </c>
      <c r="L587" s="227" t="s">
        <v>1428</v>
      </c>
      <c r="M587" s="227">
        <v>2.2</v>
      </c>
      <c r="N587" s="232">
        <v>2.8</v>
      </c>
      <c r="O587" s="469">
        <v>9.72647753354507</v>
      </c>
      <c r="P587" s="231" t="s">
        <v>1428</v>
      </c>
      <c r="Q587" s="231">
        <f t="shared" si="4"/>
        <v>2.90875801037534</v>
      </c>
      <c r="R587" s="232">
        <f t="shared" si="3"/>
        <v>54.2352355439204</v>
      </c>
      <c r="S587" s="233" t="s">
        <v>4236</v>
      </c>
      <c r="T587" s="361" t="s">
        <v>7619</v>
      </c>
    </row>
    <row r="588" s="182" customFormat="1" ht="50" customHeight="1" spans="1:20">
      <c r="A588" s="360"/>
      <c r="B588" s="226">
        <v>20241127</v>
      </c>
      <c r="C588" s="226">
        <v>7.25</v>
      </c>
      <c r="D588" s="226" t="s">
        <v>3721</v>
      </c>
      <c r="E588" s="228" t="s">
        <v>2546</v>
      </c>
      <c r="F588" s="244" t="s">
        <v>7618</v>
      </c>
      <c r="G588" s="227" t="s">
        <v>3541</v>
      </c>
      <c r="H588" s="227" t="s">
        <v>3624</v>
      </c>
      <c r="I588" s="227" t="s">
        <v>7611</v>
      </c>
      <c r="J588" s="227">
        <v>27</v>
      </c>
      <c r="K588" s="227">
        <v>6.6</v>
      </c>
      <c r="L588" s="227" t="s">
        <v>1428</v>
      </c>
      <c r="M588" s="227">
        <v>2.2</v>
      </c>
      <c r="N588" s="232">
        <v>2.8</v>
      </c>
      <c r="O588" s="469">
        <v>10.2200715568725</v>
      </c>
      <c r="P588" s="231" t="s">
        <v>1428</v>
      </c>
      <c r="Q588" s="231">
        <f t="shared" si="4"/>
        <v>2.90875801037534</v>
      </c>
      <c r="R588" s="232">
        <f t="shared" si="3"/>
        <v>51.7288295672478</v>
      </c>
      <c r="S588" s="233" t="s">
        <v>4236</v>
      </c>
      <c r="T588" s="361" t="s">
        <v>7620</v>
      </c>
    </row>
    <row r="589" s="182" customFormat="1" ht="50" customHeight="1" spans="1:20">
      <c r="A589" s="476" t="s">
        <v>7614</v>
      </c>
      <c r="B589" s="226">
        <v>20241219</v>
      </c>
      <c r="C589" s="227">
        <v>7.25</v>
      </c>
      <c r="D589" s="226" t="s">
        <v>793</v>
      </c>
      <c r="E589" s="477" t="s">
        <v>794</v>
      </c>
      <c r="F589" s="229"/>
      <c r="G589" s="227"/>
      <c r="H589" s="227"/>
      <c r="I589" s="227"/>
      <c r="J589" s="245"/>
      <c r="K589" s="227"/>
      <c r="L589" s="227"/>
      <c r="M589" s="227"/>
      <c r="N589" s="232">
        <v>0.26853829722307</v>
      </c>
      <c r="O589" s="232">
        <v>0.534932419383582</v>
      </c>
      <c r="P589" s="227"/>
      <c r="Q589" s="231">
        <v>0.2</v>
      </c>
      <c r="R589" s="232">
        <f t="shared" si="3"/>
        <v>1.00347071660665</v>
      </c>
      <c r="S589" s="233"/>
      <c r="T589" s="361" t="s">
        <v>795</v>
      </c>
    </row>
    <row r="590" s="182" customFormat="1" ht="50" customHeight="1" spans="1:20">
      <c r="A590" s="478"/>
      <c r="B590" s="349">
        <v>20241202</v>
      </c>
      <c r="C590" s="479">
        <v>7.25</v>
      </c>
      <c r="D590" s="349" t="s">
        <v>796</v>
      </c>
      <c r="E590" s="480" t="s">
        <v>797</v>
      </c>
      <c r="F590" s="481"/>
      <c r="G590" s="479"/>
      <c r="H590" s="479"/>
      <c r="I590" s="479"/>
      <c r="J590" s="482"/>
      <c r="K590" s="479"/>
      <c r="L590" s="479"/>
      <c r="M590" s="479"/>
      <c r="N590" s="354">
        <v>0.284406469331706</v>
      </c>
      <c r="O590" s="354">
        <v>0.561011486359475</v>
      </c>
      <c r="P590" s="479"/>
      <c r="Q590" s="351">
        <v>0.2</v>
      </c>
      <c r="R590" s="354">
        <f t="shared" si="3"/>
        <v>1.04541795569118</v>
      </c>
      <c r="S590" s="483"/>
      <c r="T590" s="382" t="s">
        <v>484</v>
      </c>
    </row>
    <row r="591" s="182" customFormat="1" ht="50" hidden="1" customHeight="1" spans="1:20">
      <c r="A591" s="383" t="s">
        <v>7621</v>
      </c>
      <c r="B591" s="384"/>
      <c r="C591" s="292"/>
      <c r="D591" s="385"/>
      <c r="E591" s="386" t="s">
        <v>7622</v>
      </c>
      <c r="F591" s="387" t="s">
        <v>4021</v>
      </c>
      <c r="G591" s="387" t="s">
        <v>6159</v>
      </c>
      <c r="H591" s="387" t="s">
        <v>3711</v>
      </c>
      <c r="I591" s="387" t="s">
        <v>7601</v>
      </c>
      <c r="J591" s="388">
        <v>16</v>
      </c>
      <c r="K591" s="387">
        <v>3.5</v>
      </c>
      <c r="L591" s="387">
        <v>7</v>
      </c>
      <c r="M591" s="387">
        <v>1</v>
      </c>
      <c r="N591" s="387">
        <v>2.01</v>
      </c>
      <c r="O591" s="387">
        <v>8.23849003563223</v>
      </c>
      <c r="P591" s="389" t="s">
        <v>1428</v>
      </c>
      <c r="Q591" s="387">
        <v>2.46715866232022</v>
      </c>
      <c r="R591" s="381">
        <f t="shared" si="3"/>
        <v>40.2156486979525</v>
      </c>
      <c r="S591" s="390" t="s">
        <v>7623</v>
      </c>
      <c r="T591" s="391" t="s">
        <v>7624</v>
      </c>
    </row>
    <row r="592" s="182" customFormat="1" ht="50" hidden="1" customHeight="1" spans="1:20">
      <c r="A592" s="392" t="s">
        <v>7625</v>
      </c>
      <c r="B592" s="393"/>
      <c r="C592" s="290"/>
      <c r="D592" s="290"/>
      <c r="E592" s="394" t="s">
        <v>7626</v>
      </c>
      <c r="F592" s="395" t="s">
        <v>4021</v>
      </c>
      <c r="G592" s="396" t="s">
        <v>6159</v>
      </c>
      <c r="H592" s="396" t="s">
        <v>3436</v>
      </c>
      <c r="I592" s="396" t="s">
        <v>7601</v>
      </c>
      <c r="J592" s="397">
        <v>16</v>
      </c>
      <c r="K592" s="396">
        <f>5*2</f>
        <v>10</v>
      </c>
      <c r="L592" s="396" t="s">
        <v>1428</v>
      </c>
      <c r="M592" s="396">
        <v>1</v>
      </c>
      <c r="N592" s="396">
        <v>2.01</v>
      </c>
      <c r="O592" s="396">
        <v>9.20011956803906</v>
      </c>
      <c r="P592" s="395" t="s">
        <v>1428</v>
      </c>
      <c r="Q592" s="396">
        <v>2.46715866232022</v>
      </c>
      <c r="R592" s="399">
        <f t="shared" si="3"/>
        <v>40.6772782303593</v>
      </c>
      <c r="S592" s="400" t="s">
        <v>7627</v>
      </c>
      <c r="T592" s="401" t="s">
        <v>7628</v>
      </c>
    </row>
    <row r="593" ht="50" hidden="1" customHeight="1" spans="1:21">
      <c r="A593" s="402" t="s">
        <v>7614</v>
      </c>
      <c r="B593" s="403"/>
      <c r="C593" s="404"/>
      <c r="D593" s="403" t="s">
        <v>805</v>
      </c>
      <c r="E593" s="405" t="s">
        <v>806</v>
      </c>
      <c r="F593" s="406" t="s">
        <v>1428</v>
      </c>
      <c r="G593" s="406" t="s">
        <v>1428</v>
      </c>
      <c r="H593" s="406" t="s">
        <v>1428</v>
      </c>
      <c r="I593" s="406" t="s">
        <v>1428</v>
      </c>
      <c r="J593" s="406" t="s">
        <v>1428</v>
      </c>
      <c r="K593" s="406" t="s">
        <v>1428</v>
      </c>
      <c r="L593" s="406" t="s">
        <v>1428</v>
      </c>
      <c r="M593" s="406" t="s">
        <v>1428</v>
      </c>
      <c r="N593" s="407">
        <v>0.280744583460482</v>
      </c>
      <c r="O593" s="407">
        <v>0.894516872969179</v>
      </c>
      <c r="P593" s="404" t="s">
        <v>1428</v>
      </c>
      <c r="Q593" s="407">
        <v>0.2</v>
      </c>
      <c r="R593" s="407">
        <f t="shared" si="3"/>
        <v>1.37526145642966</v>
      </c>
      <c r="S593" s="408"/>
      <c r="T593" s="409"/>
    </row>
    <row r="598" spans="1:21">
      <c r="A598" s="195" t="s">
        <v>7634</v>
      </c>
      <c r="B598" s="195"/>
      <c r="C598" s="195"/>
      <c r="D598" s="195"/>
      <c r="E598" s="196"/>
      <c r="F598" s="196"/>
      <c r="G598" s="197"/>
      <c r="H598" s="198"/>
      <c r="I598" s="198"/>
      <c r="J598" s="199"/>
      <c r="K598" s="296"/>
      <c r="L598" s="200"/>
      <c r="M598" s="200"/>
      <c r="N598" s="297"/>
      <c r="O598" s="201"/>
      <c r="P598" s="197"/>
      <c r="Q598" s="202"/>
      <c r="R598" s="202"/>
      <c r="S598" s="203"/>
      <c r="T598" s="80"/>
    </row>
    <row r="599" spans="1:21">
      <c r="A599" s="224" t="s">
        <v>1</v>
      </c>
      <c r="B599" s="224"/>
      <c r="C599" s="224"/>
      <c r="D599" s="224"/>
      <c r="E599" s="75" t="s">
        <v>5</v>
      </c>
      <c r="F599" s="75" t="s">
        <v>1933</v>
      </c>
      <c r="G599" s="75" t="s">
        <v>4102</v>
      </c>
      <c r="H599" s="75" t="s">
        <v>4541</v>
      </c>
      <c r="I599" s="75" t="s">
        <v>1497</v>
      </c>
      <c r="J599" s="75" t="s">
        <v>4102</v>
      </c>
      <c r="K599" s="75" t="s">
        <v>4103</v>
      </c>
      <c r="L599" s="75" t="s">
        <v>4104</v>
      </c>
      <c r="M599" s="75" t="s">
        <v>1497</v>
      </c>
      <c r="N599" s="75" t="s">
        <v>6</v>
      </c>
      <c r="O599" s="75" t="s">
        <v>7</v>
      </c>
      <c r="P599" s="75" t="s">
        <v>5211</v>
      </c>
      <c r="Q599" s="75" t="s">
        <v>8</v>
      </c>
      <c r="R599" s="75" t="s">
        <v>9</v>
      </c>
      <c r="S599" s="75" t="s">
        <v>4105</v>
      </c>
      <c r="T599" s="75" t="s">
        <v>10</v>
      </c>
    </row>
    <row r="600" spans="1:21">
      <c r="A600" s="228" t="s">
        <v>7414</v>
      </c>
      <c r="B600" s="315">
        <v>20241205</v>
      </c>
      <c r="C600" s="266">
        <v>7.25</v>
      </c>
      <c r="D600" s="266" t="s">
        <v>7670</v>
      </c>
      <c r="E600" s="255" t="s">
        <v>2081</v>
      </c>
      <c r="F600" s="243" t="s">
        <v>7445</v>
      </c>
      <c r="G600" s="227" t="s">
        <v>7471</v>
      </c>
      <c r="H600" s="227" t="s">
        <v>4174</v>
      </c>
      <c r="I600" s="227" t="s">
        <v>1635</v>
      </c>
      <c r="J600" s="256">
        <v>96</v>
      </c>
      <c r="K600" s="227">
        <v>28</v>
      </c>
      <c r="L600" s="227"/>
      <c r="M600" s="227">
        <v>3.3</v>
      </c>
      <c r="N600" s="231">
        <v>2.98058013765978</v>
      </c>
      <c r="O600" s="231">
        <v>13.504520409292</v>
      </c>
      <c r="P600" s="231"/>
      <c r="Q600" s="246">
        <v>2.96002441257247</v>
      </c>
      <c r="R600" s="232">
        <f>SUM(J600:Q600)</f>
        <v>146.745124959524</v>
      </c>
      <c r="S600" s="226" t="s">
        <v>2579</v>
      </c>
      <c r="T600" s="254" t="s">
        <v>7671</v>
      </c>
    </row>
    <row r="602" spans="1:21">
      <c r="A602" s="195" t="s">
        <v>7634</v>
      </c>
      <c r="B602" s="195"/>
      <c r="C602" s="195"/>
      <c r="D602" s="195"/>
      <c r="E602" s="196"/>
      <c r="F602" s="196"/>
      <c r="G602" s="197"/>
      <c r="H602" s="198"/>
      <c r="I602" s="198"/>
      <c r="J602" s="199"/>
      <c r="K602" s="296"/>
      <c r="L602" s="200"/>
      <c r="M602" s="200"/>
      <c r="N602" s="297"/>
      <c r="O602" s="201"/>
      <c r="P602" s="197"/>
      <c r="Q602" s="202"/>
      <c r="R602" s="202"/>
      <c r="S602" s="203"/>
      <c r="T602" s="80"/>
    </row>
    <row r="603" spans="1:21">
      <c r="A603" s="224" t="s">
        <v>1</v>
      </c>
      <c r="B603" s="224" t="s">
        <v>2</v>
      </c>
      <c r="C603" s="224" t="s">
        <v>1493</v>
      </c>
      <c r="D603" s="224" t="s">
        <v>4</v>
      </c>
      <c r="E603" s="75" t="s">
        <v>5</v>
      </c>
      <c r="F603" s="274" t="s">
        <v>1933</v>
      </c>
      <c r="G603" s="75" t="s">
        <v>4102</v>
      </c>
      <c r="H603" s="75" t="s">
        <v>4541</v>
      </c>
      <c r="I603" s="75" t="s">
        <v>1497</v>
      </c>
      <c r="J603" s="75" t="s">
        <v>4102</v>
      </c>
      <c r="K603" s="75" t="s">
        <v>4103</v>
      </c>
      <c r="L603" s="75" t="s">
        <v>4104</v>
      </c>
      <c r="M603" s="75" t="s">
        <v>1497</v>
      </c>
      <c r="N603" s="75" t="s">
        <v>6</v>
      </c>
      <c r="O603" s="75" t="s">
        <v>7</v>
      </c>
      <c r="P603" s="75" t="s">
        <v>5211</v>
      </c>
      <c r="Q603" s="75" t="s">
        <v>8</v>
      </c>
      <c r="R603" s="75" t="s">
        <v>9</v>
      </c>
      <c r="S603" s="75" t="s">
        <v>4105</v>
      </c>
      <c r="T603" s="75" t="s">
        <v>10</v>
      </c>
    </row>
    <row r="604" s="177" customFormat="1" spans="1:21">
      <c r="A604" s="322"/>
      <c r="B604" s="289">
        <v>20241220</v>
      </c>
      <c r="C604" s="289">
        <v>7.3</v>
      </c>
      <c r="D604" s="289" t="s">
        <v>317</v>
      </c>
      <c r="E604" s="255" t="s">
        <v>318</v>
      </c>
      <c r="F604" s="254"/>
      <c r="G604" s="253"/>
      <c r="H604" s="227"/>
      <c r="I604" s="227" t="s">
        <v>1428</v>
      </c>
      <c r="J604" s="227" t="s">
        <v>1428</v>
      </c>
      <c r="K604" s="227" t="s">
        <v>1428</v>
      </c>
      <c r="L604" s="227" t="s">
        <v>1428</v>
      </c>
      <c r="M604" s="227" t="s">
        <v>1428</v>
      </c>
      <c r="N604" s="232">
        <v>0.545520669172021</v>
      </c>
      <c r="O604" s="230">
        <v>4.79918525939144</v>
      </c>
      <c r="P604" s="227" t="s">
        <v>1428</v>
      </c>
      <c r="Q604" s="231">
        <v>0.4</v>
      </c>
      <c r="R604" s="232">
        <f>SUM(J604:Q604)</f>
        <v>5.74470592856346</v>
      </c>
      <c r="S604" s="233"/>
      <c r="T604" s="228" t="s">
        <v>7672</v>
      </c>
      <c r="U604" s="283"/>
    </row>
    <row r="605" s="177" customFormat="1" spans="1:21">
      <c r="A605" s="322" t="s">
        <v>50</v>
      </c>
      <c r="B605" s="289">
        <v>20241220</v>
      </c>
      <c r="C605" s="289">
        <v>7.3</v>
      </c>
      <c r="D605" s="289" t="s">
        <v>2319</v>
      </c>
      <c r="E605" s="255" t="s">
        <v>2320</v>
      </c>
      <c r="F605" s="254" t="s">
        <v>4457</v>
      </c>
      <c r="G605" s="253" t="s">
        <v>2307</v>
      </c>
      <c r="H605" s="227" t="s">
        <v>1913</v>
      </c>
      <c r="I605" s="227" t="s">
        <v>1428</v>
      </c>
      <c r="J605" s="227">
        <v>289</v>
      </c>
      <c r="K605" s="227" t="s">
        <v>1428</v>
      </c>
      <c r="L605" s="227" t="s">
        <v>1428</v>
      </c>
      <c r="M605" s="227" t="s">
        <v>1428</v>
      </c>
      <c r="N605" s="232">
        <v>4.43722539611416</v>
      </c>
      <c r="O605" s="232">
        <v>21.748385271439</v>
      </c>
      <c r="P605" s="227" t="s">
        <v>1428</v>
      </c>
      <c r="Q605" s="231">
        <v>3.3066821886119</v>
      </c>
      <c r="R605" s="231">
        <f>SUM(J605:Q605)</f>
        <v>318.492292856165</v>
      </c>
      <c r="S605" s="233" t="s">
        <v>1526</v>
      </c>
      <c r="T605" s="228" t="s">
        <v>2321</v>
      </c>
      <c r="U605" s="283"/>
    </row>
    <row r="608" spans="1:21">
      <c r="A608" s="195" t="s">
        <v>7634</v>
      </c>
      <c r="B608" s="195"/>
      <c r="C608" s="195"/>
      <c r="D608" s="195"/>
      <c r="E608" s="196"/>
      <c r="F608" s="196"/>
      <c r="G608" s="197"/>
      <c r="H608" s="198"/>
      <c r="I608" s="198"/>
      <c r="J608" s="199"/>
      <c r="K608" s="296"/>
      <c r="L608" s="200"/>
      <c r="M608" s="200"/>
      <c r="N608" s="297"/>
      <c r="O608" s="201"/>
      <c r="P608" s="197"/>
      <c r="Q608" s="202"/>
      <c r="R608" s="202"/>
      <c r="S608" s="203"/>
      <c r="T608" s="80"/>
    </row>
    <row r="609" spans="1:21">
      <c r="A609" s="224" t="s">
        <v>1</v>
      </c>
      <c r="B609" s="224"/>
      <c r="C609" s="224"/>
      <c r="D609" s="224"/>
      <c r="E609" s="75" t="s">
        <v>5</v>
      </c>
      <c r="F609" s="75" t="s">
        <v>1933</v>
      </c>
      <c r="G609" s="75" t="s">
        <v>4102</v>
      </c>
      <c r="H609" s="75" t="s">
        <v>4541</v>
      </c>
      <c r="I609" s="75" t="s">
        <v>1497</v>
      </c>
      <c r="J609" s="75" t="s">
        <v>4102</v>
      </c>
      <c r="K609" s="75" t="s">
        <v>4103</v>
      </c>
      <c r="L609" s="75" t="s">
        <v>4104</v>
      </c>
      <c r="M609" s="75" t="s">
        <v>1497</v>
      </c>
      <c r="N609" s="75" t="s">
        <v>6</v>
      </c>
      <c r="O609" s="75" t="s">
        <v>7</v>
      </c>
      <c r="P609" s="75" t="s">
        <v>5211</v>
      </c>
      <c r="Q609" s="75" t="s">
        <v>8</v>
      </c>
      <c r="R609" s="75" t="s">
        <v>9</v>
      </c>
      <c r="S609" s="75" t="s">
        <v>4105</v>
      </c>
      <c r="T609" s="75" t="s">
        <v>10</v>
      </c>
    </row>
    <row r="610" s="177" customFormat="1" spans="1:21">
      <c r="A610" s="322" t="s">
        <v>451</v>
      </c>
      <c r="B610" s="289">
        <v>20241202</v>
      </c>
      <c r="C610" s="289">
        <v>7.2</v>
      </c>
      <c r="D610" s="289" t="s">
        <v>2557</v>
      </c>
      <c r="E610" s="255" t="s">
        <v>2488</v>
      </c>
      <c r="F610" s="254" t="s">
        <v>2801</v>
      </c>
      <c r="G610" s="253" t="s">
        <v>2365</v>
      </c>
      <c r="H610" s="227" t="s">
        <v>4248</v>
      </c>
      <c r="I610" s="227"/>
      <c r="J610" s="227">
        <v>140</v>
      </c>
      <c r="K610" s="227">
        <v>94</v>
      </c>
      <c r="L610" s="227"/>
      <c r="M610" s="227"/>
      <c r="N610" s="232">
        <v>5.60098577349614</v>
      </c>
      <c r="O610" s="232">
        <v>23.0549289771386</v>
      </c>
      <c r="P610" s="227"/>
      <c r="Q610" s="231">
        <v>4.24317172411152</v>
      </c>
      <c r="R610" s="232">
        <v>266.899086474746</v>
      </c>
      <c r="S610" s="233" t="s">
        <v>4001</v>
      </c>
      <c r="T610" s="228" t="s">
        <v>7673</v>
      </c>
      <c r="U610" s="283"/>
    </row>
    <row r="611" s="177" customFormat="1" spans="1:21">
      <c r="A611" s="322"/>
      <c r="B611" s="289">
        <v>20241220</v>
      </c>
      <c r="C611" s="289">
        <v>7.3</v>
      </c>
      <c r="D611" s="289" t="s">
        <v>2583</v>
      </c>
      <c r="E611" s="255" t="s">
        <v>1131</v>
      </c>
      <c r="F611" s="254"/>
      <c r="G611" s="253"/>
      <c r="H611" s="227"/>
      <c r="I611" s="227"/>
      <c r="J611" s="227"/>
      <c r="K611" s="227"/>
      <c r="L611" s="227"/>
      <c r="M611" s="227"/>
      <c r="N611" s="232">
        <v>0.421234082328805</v>
      </c>
      <c r="O611" s="232">
        <v>2.65409073049339</v>
      </c>
      <c r="P611" s="227" t="s">
        <v>1428</v>
      </c>
      <c r="Q611" s="231">
        <v>0.4</v>
      </c>
      <c r="R611" s="231">
        <v>3.4753248128222</v>
      </c>
      <c r="S611" s="233"/>
      <c r="T611" s="228" t="s">
        <v>2584</v>
      </c>
      <c r="U611" s="283"/>
    </row>
    <row r="614" spans="1:21">
      <c r="A614" s="195" t="s">
        <v>7634</v>
      </c>
      <c r="B614" s="195"/>
      <c r="C614" s="195"/>
      <c r="D614" s="195"/>
      <c r="E614" s="196"/>
      <c r="F614" s="196"/>
      <c r="G614" s="197"/>
      <c r="H614" s="198"/>
      <c r="I614" s="198"/>
      <c r="J614" s="199"/>
      <c r="K614" s="296"/>
      <c r="L614" s="200"/>
      <c r="M614" s="200"/>
      <c r="N614" s="297"/>
      <c r="O614" s="201"/>
      <c r="P614" s="197"/>
      <c r="Q614" s="202"/>
      <c r="R614" s="202"/>
      <c r="S614" s="203"/>
      <c r="T614" s="80"/>
    </row>
    <row r="615" spans="1:21">
      <c r="A615" s="224" t="s">
        <v>1</v>
      </c>
      <c r="B615" s="224"/>
      <c r="C615" s="224"/>
      <c r="D615" s="224"/>
      <c r="E615" s="75" t="s">
        <v>5</v>
      </c>
      <c r="F615" s="75" t="s">
        <v>1933</v>
      </c>
      <c r="G615" s="75" t="s">
        <v>4102</v>
      </c>
      <c r="H615" s="75" t="s">
        <v>4541</v>
      </c>
      <c r="I615" s="75" t="s">
        <v>1497</v>
      </c>
      <c r="J615" s="75" t="s">
        <v>4102</v>
      </c>
      <c r="K615" s="75" t="s">
        <v>4103</v>
      </c>
      <c r="L615" s="75" t="s">
        <v>4104</v>
      </c>
      <c r="M615" s="75" t="s">
        <v>1497</v>
      </c>
      <c r="N615" s="75" t="s">
        <v>6</v>
      </c>
      <c r="O615" s="75" t="s">
        <v>7</v>
      </c>
      <c r="P615" s="75" t="s">
        <v>5211</v>
      </c>
      <c r="Q615" s="75" t="s">
        <v>8</v>
      </c>
      <c r="R615" s="75" t="s">
        <v>9</v>
      </c>
      <c r="S615" s="75" t="s">
        <v>4105</v>
      </c>
      <c r="T615" s="75" t="s">
        <v>10</v>
      </c>
    </row>
    <row r="616" s="177" customFormat="1" spans="1:21">
      <c r="A616" s="228" t="s">
        <v>7674</v>
      </c>
      <c r="B616" s="260">
        <v>20240417</v>
      </c>
      <c r="C616" s="245">
        <v>7.24</v>
      </c>
      <c r="D616" s="226" t="s">
        <v>5742</v>
      </c>
      <c r="E616" s="228" t="s">
        <v>1685</v>
      </c>
      <c r="F616" s="226" t="s">
        <v>3540</v>
      </c>
      <c r="G616" s="253" t="s">
        <v>3794</v>
      </c>
      <c r="H616" s="227" t="s">
        <v>1913</v>
      </c>
      <c r="I616" s="227" t="s">
        <v>1428</v>
      </c>
      <c r="J616" s="227">
        <v>29</v>
      </c>
      <c r="K616" s="227" t="s">
        <v>1428</v>
      </c>
      <c r="L616" s="227" t="s">
        <v>1428</v>
      </c>
      <c r="M616" s="227" t="s">
        <v>1428</v>
      </c>
      <c r="N616" s="232">
        <v>1.83347186231849</v>
      </c>
      <c r="O616" s="232">
        <v>15.3334736510823</v>
      </c>
      <c r="P616" s="227" t="s">
        <v>1428</v>
      </c>
      <c r="Q616" s="231">
        <v>4</v>
      </c>
      <c r="R616" s="232">
        <f>SUM(J616:Q616)</f>
        <v>50.1669455134008</v>
      </c>
      <c r="S616" s="226" t="s">
        <v>1526</v>
      </c>
      <c r="T616" s="228" t="s">
        <v>7675</v>
      </c>
    </row>
    <row r="619" spans="1:21">
      <c r="A619" s="195" t="s">
        <v>7634</v>
      </c>
      <c r="B619" s="195"/>
      <c r="C619" s="195"/>
      <c r="D619" s="195"/>
      <c r="E619" s="196"/>
      <c r="F619" s="196"/>
      <c r="G619" s="197"/>
      <c r="H619" s="198"/>
      <c r="I619" s="198"/>
      <c r="J619" s="199"/>
      <c r="K619" s="296"/>
      <c r="L619" s="200"/>
      <c r="M619" s="200"/>
      <c r="N619" s="297"/>
      <c r="O619" s="201"/>
      <c r="P619" s="197"/>
      <c r="Q619" s="202"/>
      <c r="R619" s="202"/>
      <c r="S619" s="203"/>
      <c r="T619" s="80"/>
    </row>
    <row r="620" spans="1:21">
      <c r="A620" s="224" t="s">
        <v>1</v>
      </c>
      <c r="B620" s="224"/>
      <c r="C620" s="224"/>
      <c r="D620" s="224"/>
      <c r="E620" s="75" t="s">
        <v>5</v>
      </c>
      <c r="F620" s="75" t="s">
        <v>1933</v>
      </c>
      <c r="G620" s="75" t="s">
        <v>4102</v>
      </c>
      <c r="H620" s="75" t="s">
        <v>4541</v>
      </c>
      <c r="I620" s="75" t="s">
        <v>1497</v>
      </c>
      <c r="J620" s="75" t="s">
        <v>4102</v>
      </c>
      <c r="K620" s="75" t="s">
        <v>4103</v>
      </c>
      <c r="L620" s="75" t="s">
        <v>4104</v>
      </c>
      <c r="M620" s="75" t="s">
        <v>1497</v>
      </c>
      <c r="N620" s="75" t="s">
        <v>6</v>
      </c>
      <c r="O620" s="75" t="s">
        <v>7</v>
      </c>
      <c r="P620" s="75" t="s">
        <v>5211</v>
      </c>
      <c r="Q620" s="75" t="s">
        <v>8</v>
      </c>
      <c r="R620" s="75" t="s">
        <v>9</v>
      </c>
      <c r="S620" s="75" t="s">
        <v>4105</v>
      </c>
      <c r="T620" s="75" t="s">
        <v>10</v>
      </c>
    </row>
    <row r="621" s="177" customFormat="1" spans="1:21">
      <c r="A621" s="228" t="s">
        <v>350</v>
      </c>
      <c r="B621" s="260">
        <v>20241223</v>
      </c>
      <c r="C621" s="245">
        <v>7.3</v>
      </c>
      <c r="D621" s="226" t="s">
        <v>7676</v>
      </c>
      <c r="E621" s="228" t="s">
        <v>1571</v>
      </c>
      <c r="F621" s="226" t="s">
        <v>2801</v>
      </c>
      <c r="G621" s="253" t="s">
        <v>2779</v>
      </c>
      <c r="H621" s="227" t="s">
        <v>1913</v>
      </c>
      <c r="I621" s="227" t="s">
        <v>1428</v>
      </c>
      <c r="J621" s="227">
        <v>310</v>
      </c>
      <c r="K621" s="227" t="s">
        <v>1428</v>
      </c>
      <c r="L621" s="227" t="s">
        <v>1428</v>
      </c>
      <c r="M621" s="227" t="s">
        <v>1428</v>
      </c>
      <c r="N621" s="232">
        <v>6.02012365135168</v>
      </c>
      <c r="O621" s="232">
        <v>25.5376552163214</v>
      </c>
      <c r="P621" s="227" t="s">
        <v>1428</v>
      </c>
      <c r="Q621" s="231">
        <v>3.81</v>
      </c>
      <c r="R621" s="232">
        <f>SUM(J621:Q621)</f>
        <v>345.367778867673</v>
      </c>
      <c r="S621" s="226" t="s">
        <v>1526</v>
      </c>
      <c r="T621" s="228" t="s">
        <v>7500</v>
      </c>
    </row>
    <row r="626" spans="1:20">
      <c r="A626" s="195" t="s">
        <v>7634</v>
      </c>
      <c r="B626" s="195"/>
      <c r="C626" s="195"/>
      <c r="D626" s="195"/>
      <c r="E626" s="196"/>
      <c r="F626" s="196"/>
      <c r="G626" s="197"/>
      <c r="H626" s="198"/>
      <c r="I626" s="198"/>
      <c r="J626" s="199"/>
      <c r="K626" s="296"/>
      <c r="L626" s="200"/>
      <c r="M626" s="200"/>
      <c r="N626" s="297"/>
      <c r="O626" s="201"/>
      <c r="P626" s="197"/>
      <c r="Q626" s="202"/>
      <c r="R626" s="202"/>
      <c r="S626" s="203"/>
      <c r="T626" s="80"/>
    </row>
    <row r="627" spans="1:20">
      <c r="A627" s="224" t="s">
        <v>1</v>
      </c>
      <c r="B627" s="224"/>
      <c r="C627" s="224"/>
      <c r="D627" s="224"/>
      <c r="E627" s="75" t="s">
        <v>5</v>
      </c>
      <c r="F627" s="75" t="s">
        <v>1933</v>
      </c>
      <c r="G627" s="75" t="s">
        <v>4102</v>
      </c>
      <c r="H627" s="75" t="s">
        <v>4541</v>
      </c>
      <c r="I627" s="75" t="s">
        <v>1497</v>
      </c>
      <c r="J627" s="75" t="s">
        <v>4102</v>
      </c>
      <c r="K627" s="75" t="s">
        <v>4103</v>
      </c>
      <c r="L627" s="75" t="s">
        <v>4104</v>
      </c>
      <c r="M627" s="75" t="s">
        <v>1497</v>
      </c>
      <c r="N627" s="75" t="s">
        <v>6</v>
      </c>
      <c r="O627" s="75" t="s">
        <v>7</v>
      </c>
      <c r="P627" s="75" t="s">
        <v>5211</v>
      </c>
      <c r="Q627" s="75" t="s">
        <v>8</v>
      </c>
      <c r="R627" s="75" t="s">
        <v>9</v>
      </c>
      <c r="S627" s="75" t="s">
        <v>4105</v>
      </c>
      <c r="T627" s="75" t="s">
        <v>10</v>
      </c>
    </row>
    <row r="628" s="177" customFormat="1" spans="1:20">
      <c r="A628" s="228" t="s">
        <v>7460</v>
      </c>
      <c r="B628" s="260">
        <v>20240821</v>
      </c>
      <c r="C628" s="245">
        <v>7.15</v>
      </c>
      <c r="D628" s="226" t="s">
        <v>3729</v>
      </c>
      <c r="E628" s="228" t="s">
        <v>1672</v>
      </c>
      <c r="F628" s="226" t="s">
        <v>6816</v>
      </c>
      <c r="G628" s="253" t="s">
        <v>3542</v>
      </c>
      <c r="H628" s="227" t="s">
        <v>7677</v>
      </c>
      <c r="I628" s="227" t="s">
        <v>1428</v>
      </c>
      <c r="J628" s="227">
        <v>30</v>
      </c>
      <c r="K628" s="227"/>
      <c r="L628" s="227" t="s">
        <v>1428</v>
      </c>
      <c r="M628" s="227" t="s">
        <v>1428</v>
      </c>
      <c r="N628" s="232">
        <v>8.08160013940231</v>
      </c>
      <c r="O628" s="232">
        <v>10.4517956456812</v>
      </c>
      <c r="P628" s="227" t="s">
        <v>1428</v>
      </c>
      <c r="Q628" s="231">
        <v>2.9625</v>
      </c>
      <c r="R628" s="232">
        <f>SUM(J628:Q628)</f>
        <v>51.4958957850835</v>
      </c>
      <c r="S628" s="226" t="s">
        <v>7278</v>
      </c>
      <c r="T628" s="228" t="s">
        <v>7678</v>
      </c>
    </row>
    <row r="629" s="177" customFormat="1" spans="1:20">
      <c r="A629" s="228"/>
      <c r="B629" s="260">
        <v>20241113</v>
      </c>
      <c r="C629" s="245">
        <v>7.2</v>
      </c>
      <c r="D629" s="226" t="s">
        <v>1405</v>
      </c>
      <c r="E629" s="228" t="s">
        <v>21</v>
      </c>
      <c r="F629" s="226"/>
      <c r="G629" s="253"/>
      <c r="H629" s="227"/>
      <c r="I629" s="227"/>
      <c r="J629" s="227"/>
      <c r="K629" s="227"/>
      <c r="L629" s="227"/>
      <c r="M629" s="227"/>
      <c r="N629" s="232">
        <v>0.417895771878073</v>
      </c>
      <c r="O629" s="232">
        <v>2.4839641920354</v>
      </c>
      <c r="P629" s="227" t="s">
        <v>1428</v>
      </c>
      <c r="Q629" s="231">
        <v>0.4</v>
      </c>
      <c r="R629" s="232">
        <v>3.32250365303669</v>
      </c>
      <c r="S629" s="226"/>
      <c r="T629" s="228" t="s">
        <v>7478</v>
      </c>
    </row>
    <row r="632" spans="1:20">
      <c r="A632" s="195" t="s">
        <v>7634</v>
      </c>
      <c r="B632" s="195"/>
      <c r="C632" s="195"/>
      <c r="D632" s="195"/>
      <c r="E632" s="196"/>
      <c r="F632" s="196"/>
      <c r="G632" s="197"/>
      <c r="H632" s="198"/>
      <c r="I632" s="198"/>
      <c r="J632" s="199"/>
      <c r="K632" s="296"/>
      <c r="L632" s="200"/>
      <c r="M632" s="200"/>
      <c r="N632" s="297"/>
      <c r="O632" s="201"/>
      <c r="P632" s="197"/>
      <c r="Q632" s="202"/>
      <c r="R632" s="202"/>
      <c r="S632" s="203"/>
      <c r="T632" s="80"/>
    </row>
    <row r="633" spans="1:20">
      <c r="A633" s="224" t="s">
        <v>1</v>
      </c>
      <c r="B633" s="224"/>
      <c r="C633" s="224"/>
      <c r="D633" s="224"/>
      <c r="E633" s="75" t="s">
        <v>5</v>
      </c>
      <c r="F633" s="75" t="s">
        <v>1933</v>
      </c>
      <c r="G633" s="75" t="s">
        <v>4102</v>
      </c>
      <c r="H633" s="75" t="s">
        <v>4541</v>
      </c>
      <c r="I633" s="75" t="s">
        <v>1497</v>
      </c>
      <c r="J633" s="75" t="s">
        <v>4102</v>
      </c>
      <c r="K633" s="75" t="s">
        <v>4103</v>
      </c>
      <c r="L633" s="75" t="s">
        <v>4104</v>
      </c>
      <c r="M633" s="75" t="s">
        <v>1497</v>
      </c>
      <c r="N633" s="75" t="s">
        <v>6</v>
      </c>
      <c r="O633" s="75" t="s">
        <v>7</v>
      </c>
      <c r="P633" s="75" t="s">
        <v>5211</v>
      </c>
      <c r="Q633" s="75" t="s">
        <v>8</v>
      </c>
      <c r="R633" s="75" t="s">
        <v>9</v>
      </c>
      <c r="S633" s="75" t="s">
        <v>4105</v>
      </c>
      <c r="T633" s="75" t="s">
        <v>10</v>
      </c>
    </row>
    <row r="634" s="177" customFormat="1" spans="1:20">
      <c r="A634" s="228" t="s">
        <v>7488</v>
      </c>
      <c r="B634" s="260">
        <v>20241216</v>
      </c>
      <c r="C634" s="245">
        <v>7.3</v>
      </c>
      <c r="D634" s="226" t="s">
        <v>3836</v>
      </c>
      <c r="E634" s="228" t="s">
        <v>7679</v>
      </c>
      <c r="F634" s="226" t="s">
        <v>7489</v>
      </c>
      <c r="G634" s="253" t="s">
        <v>7680</v>
      </c>
      <c r="H634" s="227"/>
      <c r="I634" s="227" t="s">
        <v>1720</v>
      </c>
      <c r="J634" s="227"/>
      <c r="K634" s="227"/>
      <c r="L634" s="227">
        <v>7</v>
      </c>
      <c r="M634" s="227"/>
      <c r="N634" s="232">
        <v>2.72396654139896</v>
      </c>
      <c r="O634" s="232">
        <v>9.76734412018851</v>
      </c>
      <c r="P634" s="227"/>
      <c r="Q634" s="231">
        <v>2.73</v>
      </c>
      <c r="R634" s="232">
        <f>SUM(J634:Q634)</f>
        <v>22.2213106615875</v>
      </c>
      <c r="S634" s="226" t="s">
        <v>3452</v>
      </c>
      <c r="T634" s="228" t="s">
        <v>3838</v>
      </c>
    </row>
    <row r="639" spans="1:20">
      <c r="A639" s="195" t="s">
        <v>7634</v>
      </c>
      <c r="B639" s="195"/>
      <c r="C639" s="195"/>
      <c r="D639" s="195"/>
      <c r="E639" s="196"/>
      <c r="F639" s="196"/>
      <c r="G639" s="197"/>
      <c r="H639" s="198"/>
      <c r="I639" s="198"/>
      <c r="J639" s="199"/>
      <c r="K639" s="296"/>
      <c r="L639" s="200"/>
      <c r="M639" s="200"/>
      <c r="N639" s="297"/>
      <c r="O639" s="201"/>
      <c r="P639" s="197"/>
      <c r="Q639" s="202"/>
      <c r="R639" s="202"/>
      <c r="S639" s="203"/>
      <c r="T639" s="80"/>
    </row>
    <row r="640" spans="1:20">
      <c r="A640" s="224" t="s">
        <v>1</v>
      </c>
      <c r="B640" s="224"/>
      <c r="C640" s="224"/>
      <c r="D640" s="224"/>
      <c r="E640" s="75" t="s">
        <v>5</v>
      </c>
      <c r="F640" s="75" t="s">
        <v>1933</v>
      </c>
      <c r="G640" s="75" t="s">
        <v>4102</v>
      </c>
      <c r="H640" s="75" t="s">
        <v>4541</v>
      </c>
      <c r="I640" s="75" t="s">
        <v>1497</v>
      </c>
      <c r="J640" s="75" t="s">
        <v>4102</v>
      </c>
      <c r="K640" s="75" t="s">
        <v>4103</v>
      </c>
      <c r="L640" s="75" t="s">
        <v>4104</v>
      </c>
      <c r="M640" s="75" t="s">
        <v>1497</v>
      </c>
      <c r="N640" s="75" t="s">
        <v>6</v>
      </c>
      <c r="O640" s="75" t="s">
        <v>7</v>
      </c>
      <c r="P640" s="75" t="s">
        <v>5211</v>
      </c>
      <c r="Q640" s="75" t="s">
        <v>8</v>
      </c>
      <c r="R640" s="75" t="s">
        <v>9</v>
      </c>
      <c r="S640" s="75" t="s">
        <v>4105</v>
      </c>
      <c r="T640" s="75" t="s">
        <v>10</v>
      </c>
    </row>
    <row r="641" s="177" customFormat="1" spans="1:20">
      <c r="A641" s="228" t="s">
        <v>7407</v>
      </c>
      <c r="B641" s="260">
        <v>20241021</v>
      </c>
      <c r="C641" s="245">
        <v>7.11</v>
      </c>
      <c r="D641" s="226" t="s">
        <v>7681</v>
      </c>
      <c r="E641" s="228" t="s">
        <v>7682</v>
      </c>
      <c r="F641" s="226"/>
      <c r="G641" s="253" t="s">
        <v>7471</v>
      </c>
      <c r="H641" s="227" t="s">
        <v>1913</v>
      </c>
      <c r="I641" s="227" t="s">
        <v>1428</v>
      </c>
      <c r="J641" s="227">
        <v>96</v>
      </c>
      <c r="K641" s="227" t="s">
        <v>1428</v>
      </c>
      <c r="L641" s="227" t="s">
        <v>1428</v>
      </c>
      <c r="M641" s="227" t="s">
        <v>1428</v>
      </c>
      <c r="N641" s="232">
        <v>3.43678021578373</v>
      </c>
      <c r="O641" s="232">
        <v>11.4821678180264</v>
      </c>
      <c r="P641" s="227"/>
      <c r="Q641" s="231">
        <v>2.88823119777159</v>
      </c>
      <c r="R641" s="232">
        <f>SUM(J641:Q641)+1</f>
        <v>114.807179231582</v>
      </c>
      <c r="S641" s="226" t="s">
        <v>1526</v>
      </c>
      <c r="T641" s="228" t="s">
        <v>7508</v>
      </c>
    </row>
    <row r="647" spans="1:20">
      <c r="A647" s="195" t="s">
        <v>7634</v>
      </c>
      <c r="B647" s="195"/>
      <c r="C647" s="195"/>
      <c r="D647" s="195"/>
      <c r="E647" s="196"/>
      <c r="F647" s="196"/>
      <c r="G647" s="197"/>
      <c r="H647" s="198"/>
      <c r="I647" s="198"/>
      <c r="J647" s="199"/>
      <c r="K647" s="296"/>
      <c r="L647" s="200"/>
      <c r="M647" s="200"/>
      <c r="N647" s="297"/>
      <c r="O647" s="201"/>
      <c r="P647" s="197"/>
      <c r="Q647" s="202"/>
      <c r="R647" s="202"/>
      <c r="S647" s="203"/>
      <c r="T647" s="80"/>
    </row>
    <row r="648" spans="1:20">
      <c r="A648" s="224" t="s">
        <v>1</v>
      </c>
      <c r="B648" s="224"/>
      <c r="C648" s="224"/>
      <c r="D648" s="224"/>
      <c r="E648" s="75" t="s">
        <v>5</v>
      </c>
      <c r="F648" s="75" t="s">
        <v>1933</v>
      </c>
      <c r="G648" s="75" t="s">
        <v>4102</v>
      </c>
      <c r="H648" s="75" t="s">
        <v>4541</v>
      </c>
      <c r="I648" s="75" t="s">
        <v>1497</v>
      </c>
      <c r="J648" s="75" t="s">
        <v>4102</v>
      </c>
      <c r="K648" s="75" t="s">
        <v>4103</v>
      </c>
      <c r="L648" s="75" t="s">
        <v>4104</v>
      </c>
      <c r="M648" s="75" t="s">
        <v>1497</v>
      </c>
      <c r="N648" s="75" t="s">
        <v>6</v>
      </c>
      <c r="O648" s="75" t="s">
        <v>7</v>
      </c>
      <c r="P648" s="75" t="s">
        <v>5211</v>
      </c>
      <c r="Q648" s="75" t="s">
        <v>8</v>
      </c>
      <c r="R648" s="75" t="s">
        <v>9</v>
      </c>
      <c r="S648" s="75" t="s">
        <v>4105</v>
      </c>
      <c r="T648" s="75" t="s">
        <v>10</v>
      </c>
    </row>
    <row r="649" s="177" customFormat="1" spans="1:20">
      <c r="A649" s="228" t="s">
        <v>7683</v>
      </c>
      <c r="B649" s="260"/>
      <c r="C649" s="245"/>
      <c r="D649" s="226"/>
      <c r="E649" s="228" t="s">
        <v>7649</v>
      </c>
      <c r="F649" s="226" t="s">
        <v>7650</v>
      </c>
      <c r="G649" s="253"/>
      <c r="H649" s="227"/>
      <c r="I649" s="227"/>
      <c r="J649" s="227"/>
      <c r="K649" s="227"/>
      <c r="L649" s="227"/>
      <c r="M649" s="227"/>
      <c r="N649" s="232"/>
      <c r="O649" s="232"/>
      <c r="P649" s="227"/>
      <c r="Q649" s="231"/>
      <c r="R649" s="232">
        <v>47.5</v>
      </c>
      <c r="S649" s="226"/>
      <c r="T649" s="228"/>
    </row>
    <row r="650" s="177" customFormat="1" spans="1:20">
      <c r="A650" s="228" t="s">
        <v>7683</v>
      </c>
      <c r="B650" s="260"/>
      <c r="C650" s="245"/>
      <c r="D650" s="226"/>
      <c r="E650" s="228" t="s">
        <v>7518</v>
      </c>
      <c r="F650" s="226" t="s">
        <v>7684</v>
      </c>
      <c r="G650" s="253"/>
      <c r="H650" s="227"/>
      <c r="I650" s="227"/>
      <c r="J650" s="227"/>
      <c r="K650" s="227"/>
      <c r="L650" s="227"/>
      <c r="M650" s="227"/>
      <c r="N650" s="232"/>
      <c r="O650" s="232"/>
      <c r="P650" s="227"/>
      <c r="Q650" s="231"/>
      <c r="R650" s="232">
        <v>32</v>
      </c>
      <c r="S650" s="226"/>
      <c r="T650" s="228"/>
    </row>
    <row r="651" s="177" customFormat="1" spans="1:20">
      <c r="A651" s="228" t="s">
        <v>7683</v>
      </c>
      <c r="B651" s="260"/>
      <c r="C651" s="245"/>
      <c r="D651" s="226"/>
      <c r="E651" s="228" t="s">
        <v>7685</v>
      </c>
      <c r="F651" s="226" t="s">
        <v>7686</v>
      </c>
      <c r="G651" s="253"/>
      <c r="H651" s="227"/>
      <c r="I651" s="227"/>
      <c r="J651" s="227"/>
      <c r="K651" s="227"/>
      <c r="L651" s="227"/>
      <c r="M651" s="227"/>
      <c r="N651" s="232"/>
      <c r="O651" s="232"/>
      <c r="P651" s="227"/>
      <c r="Q651" s="231"/>
      <c r="R651" s="232">
        <v>23.9</v>
      </c>
      <c r="S651" s="226"/>
      <c r="T651" s="228"/>
    </row>
    <row r="652" s="177" customFormat="1" spans="1:20">
      <c r="A652" s="228" t="s">
        <v>7414</v>
      </c>
      <c r="B652" s="260">
        <v>20241031</v>
      </c>
      <c r="C652" s="245">
        <v>7.11</v>
      </c>
      <c r="D652" s="226" t="s">
        <v>7687</v>
      </c>
      <c r="E652" s="228" t="s">
        <v>1672</v>
      </c>
      <c r="F652" s="226" t="s">
        <v>2801</v>
      </c>
      <c r="G652" s="253" t="s">
        <v>2354</v>
      </c>
      <c r="H652" s="227" t="s">
        <v>4174</v>
      </c>
      <c r="I652" s="227" t="s">
        <v>1635</v>
      </c>
      <c r="J652" s="227">
        <v>130</v>
      </c>
      <c r="K652" s="227">
        <v>28</v>
      </c>
      <c r="L652" s="227"/>
      <c r="M652" s="227">
        <v>3.3</v>
      </c>
      <c r="N652" s="232">
        <v>2.98058013765978</v>
      </c>
      <c r="O652" s="232">
        <v>12.7648669776987</v>
      </c>
      <c r="P652" s="227"/>
      <c r="Q652" s="231">
        <v>2.95826013351263</v>
      </c>
      <c r="R652" s="232">
        <f>SUM(J652:Q652)</f>
        <v>180.003707248871</v>
      </c>
      <c r="S652" s="226" t="s">
        <v>2579</v>
      </c>
      <c r="T652" s="228" t="s">
        <v>7450</v>
      </c>
    </row>
    <row r="653" s="177" customFormat="1" spans="1:20">
      <c r="A653" s="228" t="s">
        <v>7414</v>
      </c>
      <c r="B653" s="260">
        <v>20241031</v>
      </c>
      <c r="C653" s="245">
        <v>7.11</v>
      </c>
      <c r="D653" s="226" t="s">
        <v>7688</v>
      </c>
      <c r="E653" s="228" t="s">
        <v>1998</v>
      </c>
      <c r="F653" s="226" t="s">
        <v>2801</v>
      </c>
      <c r="G653" s="253" t="s">
        <v>2323</v>
      </c>
      <c r="H653" s="227" t="s">
        <v>4474</v>
      </c>
      <c r="I653" s="227" t="s">
        <v>1633</v>
      </c>
      <c r="J653" s="227">
        <v>65</v>
      </c>
      <c r="K653" s="227">
        <v>28</v>
      </c>
      <c r="L653" s="227"/>
      <c r="M653" s="227">
        <v>1.72</v>
      </c>
      <c r="N653" s="232">
        <v>2.98058013765978</v>
      </c>
      <c r="O653" s="232">
        <v>10.4463486687334</v>
      </c>
      <c r="P653" s="227"/>
      <c r="Q653" s="231">
        <v>2.95826013351263</v>
      </c>
      <c r="R653" s="232">
        <f>SUM(J653:Q653)</f>
        <v>111.105188939906</v>
      </c>
      <c r="S653" s="226" t="s">
        <v>3995</v>
      </c>
      <c r="T653" s="228" t="s">
        <v>7689</v>
      </c>
    </row>
    <row r="654" s="177" customFormat="1" spans="1:20">
      <c r="A654" s="228" t="s">
        <v>7414</v>
      </c>
      <c r="B654" s="260">
        <v>20241031</v>
      </c>
      <c r="C654" s="245">
        <v>7.11</v>
      </c>
      <c r="D654" s="226" t="s">
        <v>7690</v>
      </c>
      <c r="E654" s="228" t="s">
        <v>1581</v>
      </c>
      <c r="F654" s="226" t="s">
        <v>2801</v>
      </c>
      <c r="G654" s="253" t="s">
        <v>2566</v>
      </c>
      <c r="H654" s="227" t="s">
        <v>4248</v>
      </c>
      <c r="I654" s="227" t="s">
        <v>4343</v>
      </c>
      <c r="J654" s="227">
        <v>130</v>
      </c>
      <c r="K654" s="227">
        <v>104</v>
      </c>
      <c r="L654" s="227"/>
      <c r="M654" s="227">
        <v>3.68</v>
      </c>
      <c r="N654" s="232">
        <v>2.98058013765978</v>
      </c>
      <c r="O654" s="232">
        <v>16.3100457173433</v>
      </c>
      <c r="P654" s="227"/>
      <c r="Q654" s="231">
        <v>2.95826013351263</v>
      </c>
      <c r="R654" s="232">
        <f>SUM(J654:Q654)</f>
        <v>259.928885988516</v>
      </c>
      <c r="S654" s="226" t="s">
        <v>4001</v>
      </c>
      <c r="T654" s="228" t="s">
        <v>7691</v>
      </c>
    </row>
    <row r="655" s="177" customFormat="1" spans="1:20">
      <c r="A655" s="228"/>
      <c r="B655" s="260">
        <v>20240925</v>
      </c>
      <c r="C655" s="245">
        <v>7.11</v>
      </c>
      <c r="D655" s="226" t="s">
        <v>202</v>
      </c>
      <c r="E655" s="228" t="s">
        <v>203</v>
      </c>
      <c r="F655" s="226"/>
      <c r="G655" s="253"/>
      <c r="H655" s="227"/>
      <c r="I655" s="227"/>
      <c r="J655" s="227"/>
      <c r="K655" s="227"/>
      <c r="L655" s="227"/>
      <c r="M655" s="227"/>
      <c r="N655" s="232">
        <v>0.364686407029859</v>
      </c>
      <c r="O655" s="232">
        <v>1.20534302937605</v>
      </c>
      <c r="P655" s="227" t="s">
        <v>1428</v>
      </c>
      <c r="Q655" s="231">
        <v>0.2</v>
      </c>
      <c r="R655" s="232">
        <f>SUM(J655:Q655)</f>
        <v>1.77002943640591</v>
      </c>
      <c r="S655" s="226"/>
      <c r="T655" s="228"/>
    </row>
    <row r="656" s="177" customFormat="1"/>
    <row r="659" s="182" customFormat="1" spans="1:20">
      <c r="A659" s="195" t="s">
        <v>7634</v>
      </c>
      <c r="B659" s="195"/>
      <c r="C659" s="195"/>
      <c r="D659" s="195"/>
      <c r="E659" s="196"/>
      <c r="F659" s="196"/>
      <c r="G659" s="197"/>
      <c r="H659" s="198"/>
      <c r="I659" s="198"/>
      <c r="J659" s="199"/>
      <c r="K659" s="200"/>
      <c r="L659" s="200"/>
      <c r="M659" s="200"/>
      <c r="N659" s="201"/>
      <c r="O659" s="201"/>
      <c r="P659" s="197"/>
      <c r="Q659" s="202"/>
      <c r="R659" s="202"/>
      <c r="S659" s="203"/>
      <c r="T659" s="80"/>
    </row>
    <row r="660" s="182" customFormat="1" ht="13.95" spans="1:20">
      <c r="A660" s="484" t="s">
        <v>1</v>
      </c>
      <c r="B660" s="484" t="s">
        <v>2</v>
      </c>
      <c r="C660" s="484" t="s">
        <v>1493</v>
      </c>
      <c r="D660" s="484" t="s">
        <v>4</v>
      </c>
      <c r="E660" s="338" t="s">
        <v>5</v>
      </c>
      <c r="F660" s="485" t="s">
        <v>1933</v>
      </c>
      <c r="G660" s="338" t="s">
        <v>4102</v>
      </c>
      <c r="H660" s="338" t="s">
        <v>4541</v>
      </c>
      <c r="I660" s="338" t="s">
        <v>1497</v>
      </c>
      <c r="J660" s="338" t="s">
        <v>4102</v>
      </c>
      <c r="K660" s="338" t="s">
        <v>4103</v>
      </c>
      <c r="L660" s="338" t="s">
        <v>4104</v>
      </c>
      <c r="M660" s="338" t="s">
        <v>1497</v>
      </c>
      <c r="N660" s="338" t="s">
        <v>6</v>
      </c>
      <c r="O660" s="338" t="s">
        <v>7</v>
      </c>
      <c r="P660" s="338" t="s">
        <v>5211</v>
      </c>
      <c r="Q660" s="338" t="s">
        <v>8</v>
      </c>
      <c r="R660" s="338" t="s">
        <v>9</v>
      </c>
      <c r="S660" s="338" t="s">
        <v>4105</v>
      </c>
      <c r="T660" s="338" t="s">
        <v>10</v>
      </c>
    </row>
    <row r="661" s="177" customFormat="1" spans="1:20">
      <c r="A661" s="486" t="s">
        <v>7692</v>
      </c>
      <c r="B661" s="487">
        <v>20241225</v>
      </c>
      <c r="C661" s="488">
        <v>7.3</v>
      </c>
      <c r="D661" s="340" t="s">
        <v>5688</v>
      </c>
      <c r="E661" s="341" t="s">
        <v>1645</v>
      </c>
      <c r="F661" s="340" t="s">
        <v>3540</v>
      </c>
      <c r="G661" s="489" t="s">
        <v>3566</v>
      </c>
      <c r="H661" s="375" t="s">
        <v>1913</v>
      </c>
      <c r="I661" s="375" t="s">
        <v>1428</v>
      </c>
      <c r="J661" s="375">
        <v>29</v>
      </c>
      <c r="K661" s="375" t="s">
        <v>1428</v>
      </c>
      <c r="L661" s="375" t="s">
        <v>1428</v>
      </c>
      <c r="M661" s="375" t="s">
        <v>1428</v>
      </c>
      <c r="N661" s="345">
        <v>2.31058310098194</v>
      </c>
      <c r="O661" s="345">
        <v>26.9995414608197</v>
      </c>
      <c r="P661" s="375" t="s">
        <v>1428</v>
      </c>
      <c r="Q661" s="343">
        <v>4</v>
      </c>
      <c r="R661" s="345">
        <f t="shared" ref="R661:R668" si="5">SUM(J661:Q661)</f>
        <v>62.3101245618016</v>
      </c>
      <c r="S661" s="340" t="s">
        <v>1526</v>
      </c>
      <c r="T661" s="490" t="s">
        <v>7693</v>
      </c>
    </row>
    <row r="662" s="177" customFormat="1" spans="1:20">
      <c r="A662" s="491"/>
      <c r="B662" s="260">
        <v>20241225</v>
      </c>
      <c r="C662" s="245">
        <v>7.3</v>
      </c>
      <c r="D662" s="226" t="s">
        <v>5690</v>
      </c>
      <c r="E662" s="228" t="s">
        <v>1604</v>
      </c>
      <c r="F662" s="226" t="s">
        <v>3540</v>
      </c>
      <c r="G662" s="253" t="s">
        <v>3566</v>
      </c>
      <c r="H662" s="227" t="s">
        <v>1913</v>
      </c>
      <c r="I662" s="227" t="s">
        <v>1428</v>
      </c>
      <c r="J662" s="227">
        <v>29</v>
      </c>
      <c r="K662" s="227" t="s">
        <v>1428</v>
      </c>
      <c r="L662" s="227" t="s">
        <v>1428</v>
      </c>
      <c r="M662" s="227" t="s">
        <v>1428</v>
      </c>
      <c r="N662" s="232">
        <v>2.31058310098194</v>
      </c>
      <c r="O662" s="232">
        <v>26.997730390387</v>
      </c>
      <c r="P662" s="227" t="s">
        <v>1428</v>
      </c>
      <c r="Q662" s="231">
        <v>4</v>
      </c>
      <c r="R662" s="232">
        <f t="shared" si="5"/>
        <v>62.3083134913689</v>
      </c>
      <c r="S662" s="226" t="s">
        <v>1526</v>
      </c>
      <c r="T662" s="492" t="s">
        <v>7693</v>
      </c>
    </row>
    <row r="663" s="177" customFormat="1" spans="1:20">
      <c r="A663" s="491"/>
      <c r="B663" s="260">
        <v>20241225</v>
      </c>
      <c r="C663" s="245">
        <v>7.3</v>
      </c>
      <c r="D663" s="226" t="s">
        <v>5691</v>
      </c>
      <c r="E663" s="228" t="s">
        <v>1571</v>
      </c>
      <c r="F663" s="226" t="s">
        <v>3540</v>
      </c>
      <c r="G663" s="253" t="s">
        <v>3549</v>
      </c>
      <c r="H663" s="227" t="s">
        <v>1913</v>
      </c>
      <c r="I663" s="227" t="s">
        <v>1428</v>
      </c>
      <c r="J663" s="227">
        <v>90</v>
      </c>
      <c r="K663" s="227" t="s">
        <v>1428</v>
      </c>
      <c r="L663" s="227" t="s">
        <v>1428</v>
      </c>
      <c r="M663" s="227" t="s">
        <v>1428</v>
      </c>
      <c r="N663" s="232">
        <v>2.31058310098194</v>
      </c>
      <c r="O663" s="232">
        <v>27</v>
      </c>
      <c r="P663" s="227" t="s">
        <v>1428</v>
      </c>
      <c r="Q663" s="231">
        <v>4</v>
      </c>
      <c r="R663" s="232">
        <f t="shared" si="5"/>
        <v>123.310583100982</v>
      </c>
      <c r="S663" s="226" t="s">
        <v>1526</v>
      </c>
      <c r="T663" s="492" t="s">
        <v>7694</v>
      </c>
    </row>
    <row r="664" s="177" customFormat="1" ht="13.95" spans="1:20">
      <c r="A664" s="493"/>
      <c r="B664" s="494">
        <v>20241225</v>
      </c>
      <c r="C664" s="482">
        <v>7.3</v>
      </c>
      <c r="D664" s="349" t="s">
        <v>5693</v>
      </c>
      <c r="E664" s="350" t="s">
        <v>1685</v>
      </c>
      <c r="F664" s="349" t="s">
        <v>3540</v>
      </c>
      <c r="G664" s="495" t="s">
        <v>3549</v>
      </c>
      <c r="H664" s="479" t="s">
        <v>1913</v>
      </c>
      <c r="I664" s="479" t="s">
        <v>1428</v>
      </c>
      <c r="J664" s="479">
        <v>90</v>
      </c>
      <c r="K664" s="479" t="s">
        <v>1428</v>
      </c>
      <c r="L664" s="479" t="s">
        <v>1428</v>
      </c>
      <c r="M664" s="479" t="s">
        <v>1428</v>
      </c>
      <c r="N664" s="354">
        <v>2.31058310098194</v>
      </c>
      <c r="O664" s="354">
        <v>27.0003729943351</v>
      </c>
      <c r="P664" s="479" t="s">
        <v>1428</v>
      </c>
      <c r="Q664" s="351">
        <v>4</v>
      </c>
      <c r="R664" s="354">
        <f t="shared" si="5"/>
        <v>123.310956095317</v>
      </c>
      <c r="S664" s="349" t="s">
        <v>1526</v>
      </c>
      <c r="T664" s="496" t="s">
        <v>7694</v>
      </c>
    </row>
    <row r="665" s="177" customFormat="1" spans="1:20">
      <c r="A665" s="497" t="s">
        <v>7695</v>
      </c>
      <c r="B665" s="487">
        <v>20241225</v>
      </c>
      <c r="C665" s="488">
        <v>7.3</v>
      </c>
      <c r="D665" s="340" t="s">
        <v>5698</v>
      </c>
      <c r="E665" s="341" t="s">
        <v>1645</v>
      </c>
      <c r="F665" s="340" t="s">
        <v>3540</v>
      </c>
      <c r="G665" s="489" t="s">
        <v>3566</v>
      </c>
      <c r="H665" s="375" t="s">
        <v>1913</v>
      </c>
      <c r="I665" s="375" t="s">
        <v>1428</v>
      </c>
      <c r="J665" s="375">
        <v>29</v>
      </c>
      <c r="K665" s="375" t="s">
        <v>1428</v>
      </c>
      <c r="L665" s="375" t="s">
        <v>1428</v>
      </c>
      <c r="M665" s="375" t="s">
        <v>1428</v>
      </c>
      <c r="N665" s="345">
        <v>3.59922414838162</v>
      </c>
      <c r="O665" s="345">
        <v>28.5202345379501</v>
      </c>
      <c r="P665" s="375" t="s">
        <v>1428</v>
      </c>
      <c r="Q665" s="343">
        <v>4</v>
      </c>
      <c r="R665" s="345">
        <f t="shared" si="5"/>
        <v>65.1194586863317</v>
      </c>
      <c r="S665" s="340" t="s">
        <v>1526</v>
      </c>
      <c r="T665" s="490" t="s">
        <v>7696</v>
      </c>
    </row>
    <row r="666" s="177" customFormat="1" spans="1:20">
      <c r="A666" s="498"/>
      <c r="B666" s="260">
        <v>20241225</v>
      </c>
      <c r="C666" s="245">
        <v>7.3</v>
      </c>
      <c r="D666" s="226" t="s">
        <v>5700</v>
      </c>
      <c r="E666" s="228" t="s">
        <v>1604</v>
      </c>
      <c r="F666" s="226" t="s">
        <v>3540</v>
      </c>
      <c r="G666" s="253" t="s">
        <v>3566</v>
      </c>
      <c r="H666" s="227" t="s">
        <v>1913</v>
      </c>
      <c r="I666" s="227" t="s">
        <v>1428</v>
      </c>
      <c r="J666" s="227">
        <v>29</v>
      </c>
      <c r="K666" s="227" t="s">
        <v>1428</v>
      </c>
      <c r="L666" s="227" t="s">
        <v>1428</v>
      </c>
      <c r="M666" s="227" t="s">
        <v>1428</v>
      </c>
      <c r="N666" s="232">
        <v>3.59922414838162</v>
      </c>
      <c r="O666" s="232">
        <v>28.4332049282703</v>
      </c>
      <c r="P666" s="227" t="s">
        <v>1428</v>
      </c>
      <c r="Q666" s="231">
        <v>4</v>
      </c>
      <c r="R666" s="232">
        <f t="shared" si="5"/>
        <v>65.0324290766519</v>
      </c>
      <c r="S666" s="226" t="s">
        <v>1526</v>
      </c>
      <c r="T666" s="492" t="s">
        <v>7696</v>
      </c>
    </row>
    <row r="667" s="177" customFormat="1" spans="1:20">
      <c r="A667" s="498"/>
      <c r="B667" s="260">
        <v>20241225</v>
      </c>
      <c r="C667" s="245">
        <v>7.3</v>
      </c>
      <c r="D667" s="226" t="s">
        <v>5701</v>
      </c>
      <c r="E667" s="228" t="s">
        <v>1571</v>
      </c>
      <c r="F667" s="226" t="s">
        <v>3540</v>
      </c>
      <c r="G667" s="253" t="s">
        <v>3549</v>
      </c>
      <c r="H667" s="227" t="s">
        <v>1913</v>
      </c>
      <c r="I667" s="227" t="s">
        <v>1428</v>
      </c>
      <c r="J667" s="227">
        <v>90</v>
      </c>
      <c r="K667" s="227" t="s">
        <v>1428</v>
      </c>
      <c r="L667" s="227" t="s">
        <v>1428</v>
      </c>
      <c r="M667" s="227" t="s">
        <v>1428</v>
      </c>
      <c r="N667" s="232">
        <v>3.59922414838162</v>
      </c>
      <c r="O667" s="232">
        <v>30.9692937045681</v>
      </c>
      <c r="P667" s="227" t="s">
        <v>1428</v>
      </c>
      <c r="Q667" s="231">
        <v>4</v>
      </c>
      <c r="R667" s="232">
        <f t="shared" si="5"/>
        <v>128.56851785295</v>
      </c>
      <c r="S667" s="226" t="s">
        <v>1526</v>
      </c>
      <c r="T667" s="492" t="s">
        <v>7696</v>
      </c>
    </row>
    <row r="668" s="177" customFormat="1" ht="13.95" spans="1:20">
      <c r="A668" s="386"/>
      <c r="B668" s="494">
        <v>20241225</v>
      </c>
      <c r="C668" s="482">
        <v>7.3</v>
      </c>
      <c r="D668" s="349" t="s">
        <v>7697</v>
      </c>
      <c r="E668" s="350" t="s">
        <v>1685</v>
      </c>
      <c r="F668" s="349" t="s">
        <v>3540</v>
      </c>
      <c r="G668" s="495" t="s">
        <v>3549</v>
      </c>
      <c r="H668" s="479" t="s">
        <v>1913</v>
      </c>
      <c r="I668" s="479" t="s">
        <v>1428</v>
      </c>
      <c r="J668" s="479">
        <v>90</v>
      </c>
      <c r="K668" s="479" t="s">
        <v>1428</v>
      </c>
      <c r="L668" s="479" t="s">
        <v>1428</v>
      </c>
      <c r="M668" s="479" t="s">
        <v>1428</v>
      </c>
      <c r="N668" s="354">
        <v>3.59922414838162</v>
      </c>
      <c r="O668" s="354">
        <v>28.515684953758</v>
      </c>
      <c r="P668" s="479" t="s">
        <v>1428</v>
      </c>
      <c r="Q668" s="351">
        <v>4</v>
      </c>
      <c r="R668" s="354">
        <f t="shared" si="5"/>
        <v>126.11490910214</v>
      </c>
      <c r="S668" s="349" t="s">
        <v>1526</v>
      </c>
      <c r="T668" s="496" t="s">
        <v>7696</v>
      </c>
    </row>
    <row r="669" s="177" customFormat="1" spans="1:20">
      <c r="A669" s="357"/>
      <c r="B669" s="499"/>
      <c r="C669" s="268"/>
      <c r="D669" s="292"/>
      <c r="E669" s="357"/>
      <c r="F669" s="292"/>
      <c r="G669" s="285"/>
      <c r="H669" s="234"/>
      <c r="I669" s="234"/>
      <c r="J669" s="234"/>
      <c r="K669" s="234"/>
      <c r="L669" s="234"/>
      <c r="M669" s="234"/>
      <c r="N669" s="269"/>
      <c r="O669" s="269"/>
      <c r="P669" s="234"/>
      <c r="Q669" s="270"/>
      <c r="R669" s="269"/>
      <c r="S669" s="292"/>
      <c r="T669" s="357"/>
    </row>
    <row r="672" spans="1:20">
      <c r="A672" s="195" t="s">
        <v>7634</v>
      </c>
      <c r="B672" s="195"/>
      <c r="C672" s="195"/>
      <c r="D672" s="195"/>
      <c r="E672" s="196"/>
      <c r="F672" s="196"/>
      <c r="G672" s="197"/>
      <c r="H672" s="198"/>
      <c r="I672" s="198"/>
      <c r="J672" s="199"/>
      <c r="K672" s="296"/>
      <c r="L672" s="200"/>
      <c r="M672" s="200"/>
      <c r="N672" s="297"/>
      <c r="O672" s="201"/>
      <c r="P672" s="197"/>
      <c r="Q672" s="202"/>
      <c r="R672" s="202"/>
      <c r="S672" s="203"/>
      <c r="T672" s="80"/>
    </row>
    <row r="673" spans="1:20">
      <c r="A673" s="224" t="s">
        <v>1</v>
      </c>
      <c r="B673" s="224"/>
      <c r="C673" s="224"/>
      <c r="D673" s="224"/>
      <c r="E673" s="75" t="s">
        <v>5</v>
      </c>
      <c r="F673" s="75" t="s">
        <v>1933</v>
      </c>
      <c r="G673" s="75" t="s">
        <v>4102</v>
      </c>
      <c r="H673" s="75" t="s">
        <v>4541</v>
      </c>
      <c r="I673" s="75" t="s">
        <v>1497</v>
      </c>
      <c r="J673" s="75" t="s">
        <v>4102</v>
      </c>
      <c r="K673" s="75" t="s">
        <v>4103</v>
      </c>
      <c r="L673" s="75" t="s">
        <v>4104</v>
      </c>
      <c r="M673" s="75" t="s">
        <v>1497</v>
      </c>
      <c r="N673" s="75" t="s">
        <v>6</v>
      </c>
      <c r="O673" s="75" t="s">
        <v>7</v>
      </c>
      <c r="P673" s="75" t="s">
        <v>5211</v>
      </c>
      <c r="Q673" s="75" t="s">
        <v>8</v>
      </c>
      <c r="R673" s="75" t="s">
        <v>9</v>
      </c>
      <c r="S673" s="75" t="s">
        <v>4105</v>
      </c>
      <c r="T673" s="75" t="s">
        <v>10</v>
      </c>
    </row>
    <row r="674" s="177" customFormat="1" spans="1:20">
      <c r="A674" s="227" t="s">
        <v>7698</v>
      </c>
      <c r="B674" s="260">
        <v>20241231</v>
      </c>
      <c r="C674" s="245">
        <v>7.3</v>
      </c>
      <c r="D674" s="226" t="s">
        <v>2986</v>
      </c>
      <c r="E674" s="228" t="s">
        <v>2987</v>
      </c>
      <c r="F674" s="226" t="s">
        <v>1933</v>
      </c>
      <c r="G674" s="253" t="s">
        <v>7473</v>
      </c>
      <c r="H674" s="227" t="s">
        <v>1913</v>
      </c>
      <c r="I674" s="227"/>
      <c r="J674" s="227">
        <v>140</v>
      </c>
      <c r="K674" s="227"/>
      <c r="L674" s="227"/>
      <c r="M674" s="227"/>
      <c r="N674" s="232">
        <v>5.12413962635202</v>
      </c>
      <c r="O674" s="232">
        <v>25.8453099099448</v>
      </c>
      <c r="P674" s="227" t="s">
        <v>1428</v>
      </c>
      <c r="Q674" s="231">
        <v>3.02963074512535</v>
      </c>
      <c r="R674" s="232">
        <f>SUM(J674:Q674)</f>
        <v>173.999080281422</v>
      </c>
      <c r="S674" s="226" t="s">
        <v>1526</v>
      </c>
      <c r="T674" s="492" t="s">
        <v>7699</v>
      </c>
    </row>
    <row r="675" s="177" customFormat="1" spans="1:20">
      <c r="A675" s="227"/>
      <c r="B675" s="260"/>
      <c r="C675" s="245"/>
      <c r="D675" s="226"/>
      <c r="E675" s="228" t="s">
        <v>7700</v>
      </c>
      <c r="F675" s="226">
        <v>96</v>
      </c>
      <c r="G675" s="253"/>
      <c r="H675" s="227"/>
      <c r="I675" s="227"/>
      <c r="J675" s="227"/>
      <c r="K675" s="227"/>
      <c r="L675" s="227"/>
      <c r="M675" s="227"/>
      <c r="N675" s="232"/>
      <c r="O675" s="232"/>
      <c r="P675" s="227"/>
      <c r="Q675" s="231"/>
      <c r="R675" s="232"/>
      <c r="S675" s="226"/>
      <c r="T675" s="492" t="s">
        <v>7701</v>
      </c>
    </row>
    <row r="676" s="177" customFormat="1" spans="1:20">
      <c r="A676" s="227"/>
      <c r="B676" s="260"/>
      <c r="C676" s="245"/>
      <c r="D676" s="226"/>
      <c r="E676" s="228" t="s">
        <v>7702</v>
      </c>
      <c r="F676" s="226" t="s">
        <v>7703</v>
      </c>
      <c r="G676" s="253"/>
      <c r="H676" s="227"/>
      <c r="I676" s="227"/>
      <c r="J676" s="227"/>
      <c r="K676" s="227"/>
      <c r="L676" s="227"/>
      <c r="M676" s="227"/>
      <c r="N676" s="232"/>
      <c r="O676" s="232"/>
      <c r="P676" s="227"/>
      <c r="Q676" s="231"/>
      <c r="R676" s="232">
        <v>30</v>
      </c>
      <c r="S676" s="226"/>
      <c r="T676" s="492"/>
    </row>
    <row r="677" s="177" customFormat="1" spans="1:20">
      <c r="A677" s="227"/>
      <c r="B677" s="260"/>
      <c r="C677" s="245"/>
      <c r="D677" s="226"/>
      <c r="E677" s="228" t="s">
        <v>7704</v>
      </c>
      <c r="F677" s="226" t="s">
        <v>7705</v>
      </c>
      <c r="G677" s="253"/>
      <c r="H677" s="227"/>
      <c r="I677" s="227"/>
      <c r="J677" s="227"/>
      <c r="K677" s="227"/>
      <c r="L677" s="227"/>
      <c r="M677" s="227"/>
      <c r="N677" s="232"/>
      <c r="O677" s="232"/>
      <c r="P677" s="227"/>
      <c r="Q677" s="231"/>
      <c r="R677" s="232" t="s">
        <v>7706</v>
      </c>
      <c r="S677" s="226"/>
      <c r="T677" s="492"/>
    </row>
    <row r="678" s="177" customFormat="1" spans="1:20">
      <c r="A678" s="227"/>
      <c r="B678" s="260"/>
      <c r="C678" s="245"/>
      <c r="D678" s="226"/>
      <c r="E678" s="228" t="s">
        <v>7707</v>
      </c>
      <c r="F678" s="226" t="s">
        <v>7708</v>
      </c>
      <c r="G678" s="253"/>
      <c r="H678" s="227"/>
      <c r="I678" s="227"/>
      <c r="J678" s="227"/>
      <c r="K678" s="227"/>
      <c r="L678" s="227"/>
      <c r="M678" s="227"/>
      <c r="N678" s="232"/>
      <c r="O678" s="232"/>
      <c r="P678" s="227"/>
      <c r="Q678" s="231"/>
      <c r="R678" s="232">
        <v>3.64357644186756</v>
      </c>
      <c r="S678" s="226"/>
      <c r="T678" s="492"/>
    </row>
    <row r="681" spans="1:20">
      <c r="A681" s="195" t="s">
        <v>7634</v>
      </c>
      <c r="B681" s="195"/>
      <c r="C681" s="195"/>
      <c r="D681" s="195"/>
      <c r="E681" s="196"/>
      <c r="F681" s="196"/>
      <c r="G681" s="197"/>
      <c r="H681" s="198"/>
      <c r="I681" s="198"/>
      <c r="J681" s="199"/>
      <c r="K681" s="296"/>
      <c r="L681" s="200"/>
      <c r="M681" s="200"/>
      <c r="N681" s="297"/>
      <c r="O681" s="201"/>
      <c r="P681" s="197"/>
      <c r="Q681" s="202"/>
      <c r="R681" s="202"/>
      <c r="S681" s="203"/>
      <c r="T681" s="80"/>
    </row>
    <row r="682" spans="1:20">
      <c r="A682" s="224" t="s">
        <v>1</v>
      </c>
      <c r="B682" s="224"/>
      <c r="C682" s="224"/>
      <c r="D682" s="224"/>
      <c r="E682" s="75" t="s">
        <v>5</v>
      </c>
      <c r="F682" s="75" t="s">
        <v>1933</v>
      </c>
      <c r="G682" s="75" t="s">
        <v>4102</v>
      </c>
      <c r="H682" s="75" t="s">
        <v>4541</v>
      </c>
      <c r="I682" s="75" t="s">
        <v>1497</v>
      </c>
      <c r="J682" s="75" t="s">
        <v>4102</v>
      </c>
      <c r="K682" s="75" t="s">
        <v>4103</v>
      </c>
      <c r="L682" s="75" t="s">
        <v>4104</v>
      </c>
      <c r="M682" s="75" t="s">
        <v>1497</v>
      </c>
      <c r="N682" s="75" t="s">
        <v>6</v>
      </c>
      <c r="O682" s="75" t="s">
        <v>7</v>
      </c>
      <c r="P682" s="75" t="s">
        <v>5211</v>
      </c>
      <c r="Q682" s="75" t="s">
        <v>8</v>
      </c>
      <c r="R682" s="75" t="s">
        <v>9</v>
      </c>
      <c r="S682" s="75" t="s">
        <v>4105</v>
      </c>
      <c r="T682" s="75" t="s">
        <v>10</v>
      </c>
    </row>
    <row r="683" s="177" customFormat="1" spans="1:20">
      <c r="A683" s="227" t="s">
        <v>537</v>
      </c>
      <c r="B683" s="260">
        <v>20250102</v>
      </c>
      <c r="C683" s="245">
        <v>7.3</v>
      </c>
      <c r="D683" s="226" t="s">
        <v>598</v>
      </c>
      <c r="E683" s="228" t="s">
        <v>599</v>
      </c>
      <c r="F683" s="226"/>
      <c r="G683" s="253"/>
      <c r="H683" s="227"/>
      <c r="I683" s="227"/>
      <c r="J683" s="227"/>
      <c r="K683" s="227"/>
      <c r="L683" s="227"/>
      <c r="M683" s="227"/>
      <c r="N683" s="232">
        <v>0.404897563341011</v>
      </c>
      <c r="O683" s="232">
        <v>2.10813508226452</v>
      </c>
      <c r="P683" s="227"/>
      <c r="Q683" s="231">
        <v>0.4</v>
      </c>
      <c r="R683" s="232">
        <f>SUM(J683:Q683)</f>
        <v>2.91303264560553</v>
      </c>
      <c r="S683" s="226"/>
      <c r="T683" s="492" t="s">
        <v>7709</v>
      </c>
    </row>
    <row r="685" spans="1:20">
      <c r="A685" s="195" t="s">
        <v>7634</v>
      </c>
      <c r="B685" s="195"/>
      <c r="C685" s="195"/>
      <c r="D685" s="195"/>
      <c r="E685" s="196"/>
      <c r="F685" s="196"/>
      <c r="G685" s="197"/>
      <c r="H685" s="198"/>
      <c r="I685" s="198"/>
      <c r="J685" s="199"/>
      <c r="K685" s="296"/>
      <c r="L685" s="200"/>
      <c r="M685" s="200"/>
      <c r="N685" s="297"/>
      <c r="O685" s="201"/>
      <c r="P685" s="197"/>
      <c r="Q685" s="202"/>
      <c r="R685" s="202"/>
      <c r="S685" s="203"/>
      <c r="T685" s="80"/>
    </row>
    <row r="686" spans="1:20">
      <c r="A686" s="224" t="s">
        <v>1</v>
      </c>
      <c r="B686" s="224"/>
      <c r="C686" s="224"/>
      <c r="D686" s="224"/>
      <c r="E686" s="75" t="s">
        <v>5</v>
      </c>
      <c r="F686" s="75" t="s">
        <v>1933</v>
      </c>
      <c r="G686" s="75" t="s">
        <v>4102</v>
      </c>
      <c r="H686" s="75" t="s">
        <v>4541</v>
      </c>
      <c r="I686" s="75" t="s">
        <v>1497</v>
      </c>
      <c r="J686" s="75" t="s">
        <v>4102</v>
      </c>
      <c r="K686" s="75" t="s">
        <v>4103</v>
      </c>
      <c r="L686" s="75" t="s">
        <v>4104</v>
      </c>
      <c r="M686" s="75" t="s">
        <v>1497</v>
      </c>
      <c r="N686" s="75" t="s">
        <v>6</v>
      </c>
      <c r="O686" s="75" t="s">
        <v>7</v>
      </c>
      <c r="P686" s="75" t="s">
        <v>5211</v>
      </c>
      <c r="Q686" s="75" t="s">
        <v>8</v>
      </c>
      <c r="R686" s="75" t="s">
        <v>9</v>
      </c>
      <c r="S686" s="75" t="s">
        <v>4105</v>
      </c>
      <c r="T686" s="75" t="s">
        <v>10</v>
      </c>
    </row>
    <row r="687" s="177" customFormat="1" spans="1:20">
      <c r="A687" s="227" t="s">
        <v>469</v>
      </c>
      <c r="B687" s="260">
        <v>20250102</v>
      </c>
      <c r="C687" s="245">
        <v>7.3</v>
      </c>
      <c r="D687" s="226" t="s">
        <v>6568</v>
      </c>
      <c r="E687" s="228" t="s">
        <v>6569</v>
      </c>
      <c r="F687" s="226" t="s">
        <v>6570</v>
      </c>
      <c r="G687" s="253" t="s">
        <v>6571</v>
      </c>
      <c r="H687" s="227" t="s">
        <v>1913</v>
      </c>
      <c r="I687" s="227" t="s">
        <v>1428</v>
      </c>
      <c r="J687" s="227">
        <v>130</v>
      </c>
      <c r="K687" s="227" t="s">
        <v>1428</v>
      </c>
      <c r="L687" s="227" t="s">
        <v>1428</v>
      </c>
      <c r="M687" s="227" t="s">
        <v>1428</v>
      </c>
      <c r="N687" s="232">
        <v>3.52026597565149</v>
      </c>
      <c r="O687" s="232">
        <v>16.9503230459189</v>
      </c>
      <c r="P687" s="227"/>
      <c r="Q687" s="231">
        <v>3.06630934310253</v>
      </c>
      <c r="R687" s="232">
        <f>SUM(J687:Q687)</f>
        <v>153.536898364673</v>
      </c>
      <c r="S687" s="226" t="s">
        <v>1526</v>
      </c>
      <c r="T687" s="492" t="s">
        <v>7710</v>
      </c>
    </row>
    <row r="691" spans="1:20">
      <c r="A691" s="195" t="s">
        <v>7711</v>
      </c>
      <c r="B691" s="195"/>
      <c r="C691" s="195"/>
      <c r="D691" s="195"/>
      <c r="E691" s="196"/>
      <c r="F691" s="196"/>
      <c r="G691" s="197"/>
      <c r="H691" s="198"/>
      <c r="I691" s="198"/>
      <c r="J691" s="199"/>
      <c r="K691" s="296"/>
      <c r="L691" s="200"/>
      <c r="M691" s="200"/>
      <c r="N691" s="297"/>
      <c r="O691" s="201"/>
      <c r="P691" s="197"/>
      <c r="Q691" s="202"/>
      <c r="R691" s="202"/>
      <c r="S691" s="203"/>
      <c r="T691" s="80"/>
    </row>
    <row r="692" spans="1:20">
      <c r="A692" s="224" t="s">
        <v>1</v>
      </c>
      <c r="B692" s="224"/>
      <c r="C692" s="224"/>
      <c r="D692" s="224"/>
      <c r="E692" s="75" t="s">
        <v>5</v>
      </c>
      <c r="F692" s="75" t="s">
        <v>1933</v>
      </c>
      <c r="G692" s="75" t="s">
        <v>4102</v>
      </c>
      <c r="H692" s="75" t="s">
        <v>4541</v>
      </c>
      <c r="I692" s="75" t="s">
        <v>1497</v>
      </c>
      <c r="J692" s="75" t="s">
        <v>4102</v>
      </c>
      <c r="K692" s="75" t="s">
        <v>4103</v>
      </c>
      <c r="L692" s="75" t="s">
        <v>4104</v>
      </c>
      <c r="M692" s="75" t="s">
        <v>1497</v>
      </c>
      <c r="N692" s="75" t="s">
        <v>6</v>
      </c>
      <c r="O692" s="75" t="s">
        <v>7</v>
      </c>
      <c r="P692" s="75" t="s">
        <v>5211</v>
      </c>
      <c r="Q692" s="75" t="s">
        <v>8</v>
      </c>
      <c r="R692" s="75" t="s">
        <v>9</v>
      </c>
      <c r="S692" s="75" t="s">
        <v>4105</v>
      </c>
      <c r="T692" s="75" t="s">
        <v>10</v>
      </c>
    </row>
    <row r="693" spans="1:20">
      <c r="A693" s="226"/>
      <c r="B693" s="226">
        <v>20241113</v>
      </c>
      <c r="C693" s="226">
        <v>7.2</v>
      </c>
      <c r="D693" s="226" t="s">
        <v>1405</v>
      </c>
      <c r="E693" s="228" t="s">
        <v>21</v>
      </c>
      <c r="F693" s="243"/>
      <c r="G693" s="245"/>
      <c r="H693" s="245"/>
      <c r="I693" s="245"/>
      <c r="J693" s="256"/>
      <c r="K693" s="227"/>
      <c r="L693" s="227"/>
      <c r="M693" s="227"/>
      <c r="N693" s="231">
        <v>0.417895771878073</v>
      </c>
      <c r="O693" s="257">
        <v>2.4839641920354</v>
      </c>
      <c r="P693" s="231" t="s">
        <v>1428</v>
      </c>
      <c r="Q693" s="231">
        <v>0.4</v>
      </c>
      <c r="R693" s="231">
        <v>3.32250365303669</v>
      </c>
      <c r="S693" s="243"/>
      <c r="T693" s="226" t="s">
        <v>7478</v>
      </c>
    </row>
    <row r="694" spans="1:20">
      <c r="A694" s="333"/>
      <c r="B694" s="226">
        <v>20241010</v>
      </c>
      <c r="C694" s="226">
        <v>7.11</v>
      </c>
      <c r="D694" s="226" t="s">
        <v>1416</v>
      </c>
      <c r="E694" s="254" t="s">
        <v>1417</v>
      </c>
      <c r="F694" s="226"/>
      <c r="G694" s="227"/>
      <c r="H694" s="227"/>
      <c r="I694" s="227"/>
      <c r="J694" s="245"/>
      <c r="K694" s="256"/>
      <c r="L694" s="256"/>
      <c r="M694" s="256"/>
      <c r="N694" s="334">
        <v>0.423185591775264</v>
      </c>
      <c r="O694" s="334">
        <v>1.1511540502635</v>
      </c>
      <c r="P694" s="227" t="s">
        <v>1428</v>
      </c>
      <c r="Q694" s="231">
        <v>0.2</v>
      </c>
      <c r="R694" s="231">
        <f>SUM(J694:Q694)</f>
        <v>1.77433964203876</v>
      </c>
      <c r="S694" s="233"/>
      <c r="T694" s="260" t="s">
        <v>7532</v>
      </c>
    </row>
    <row r="696" spans="1:20">
      <c r="A696" s="195" t="s">
        <v>7711</v>
      </c>
      <c r="B696" s="195"/>
      <c r="C696" s="195"/>
      <c r="D696" s="195"/>
      <c r="E696" s="196"/>
      <c r="F696" s="196"/>
      <c r="G696" s="197"/>
      <c r="H696" s="198"/>
      <c r="I696" s="198"/>
      <c r="J696" s="199"/>
      <c r="K696" s="296"/>
      <c r="L696" s="200"/>
      <c r="M696" s="200"/>
      <c r="N696" s="297"/>
      <c r="O696" s="201"/>
      <c r="P696" s="197"/>
      <c r="Q696" s="202"/>
      <c r="R696" s="202"/>
      <c r="S696" s="203"/>
      <c r="T696" s="80"/>
    </row>
    <row r="697" spans="1:20">
      <c r="A697" s="224" t="s">
        <v>1</v>
      </c>
      <c r="B697" s="224"/>
      <c r="C697" s="224"/>
      <c r="D697" s="224"/>
      <c r="E697" s="75" t="s">
        <v>5</v>
      </c>
      <c r="F697" s="75" t="s">
        <v>1933</v>
      </c>
      <c r="G697" s="75" t="s">
        <v>4102</v>
      </c>
      <c r="H697" s="75" t="s">
        <v>4541</v>
      </c>
      <c r="I697" s="75" t="s">
        <v>1497</v>
      </c>
      <c r="J697" s="75" t="s">
        <v>4102</v>
      </c>
      <c r="K697" s="75" t="s">
        <v>4103</v>
      </c>
      <c r="L697" s="75" t="s">
        <v>4104</v>
      </c>
      <c r="M697" s="75" t="s">
        <v>1497</v>
      </c>
      <c r="N697" s="75" t="s">
        <v>6</v>
      </c>
      <c r="O697" s="75" t="s">
        <v>7</v>
      </c>
      <c r="P697" s="75" t="s">
        <v>5211</v>
      </c>
      <c r="Q697" s="75" t="s">
        <v>8</v>
      </c>
      <c r="R697" s="75" t="s">
        <v>9</v>
      </c>
      <c r="S697" s="75" t="s">
        <v>4105</v>
      </c>
      <c r="T697" s="75" t="s">
        <v>10</v>
      </c>
    </row>
    <row r="698" spans="1:20">
      <c r="A698" s="226" t="s">
        <v>1007</v>
      </c>
      <c r="B698" s="226"/>
      <c r="C698" s="226"/>
      <c r="D698" s="226"/>
      <c r="E698" s="228" t="s">
        <v>7712</v>
      </c>
      <c r="F698" s="243" t="s">
        <v>3956</v>
      </c>
      <c r="G698" s="245" t="s">
        <v>4564</v>
      </c>
      <c r="H698" s="245" t="s">
        <v>3425</v>
      </c>
      <c r="I698" s="245" t="s">
        <v>1428</v>
      </c>
      <c r="J698" s="256">
        <v>32</v>
      </c>
      <c r="K698" s="227" t="s">
        <v>1428</v>
      </c>
      <c r="L698" s="227">
        <v>2.05</v>
      </c>
      <c r="M698" s="227" t="s">
        <v>1428</v>
      </c>
      <c r="N698" s="231">
        <v>2.75742514244151</v>
      </c>
      <c r="O698" s="257">
        <v>11.5950476129625</v>
      </c>
      <c r="P698" s="231"/>
      <c r="Q698" s="231">
        <v>3</v>
      </c>
      <c r="R698" s="231">
        <f>SUM(J698:Q698)</f>
        <v>51.402472755404</v>
      </c>
      <c r="S698" s="243" t="s">
        <v>7713</v>
      </c>
      <c r="T698" s="226" t="s">
        <v>7714</v>
      </c>
    </row>
    <row r="703" spans="1:20">
      <c r="A703" s="195" t="s">
        <v>7711</v>
      </c>
      <c r="B703" s="195"/>
      <c r="C703" s="195"/>
      <c r="D703" s="195"/>
      <c r="E703" s="196"/>
      <c r="F703" s="196"/>
      <c r="G703" s="197"/>
      <c r="H703" s="198"/>
      <c r="I703" s="198"/>
      <c r="J703" s="199"/>
      <c r="K703" s="200"/>
      <c r="L703" s="200"/>
      <c r="M703" s="200"/>
      <c r="N703" s="201"/>
      <c r="O703" s="201"/>
      <c r="P703" s="197"/>
      <c r="Q703" s="202"/>
      <c r="R703" s="202"/>
      <c r="S703" s="203"/>
      <c r="T703" s="80"/>
    </row>
    <row r="704" spans="1:20">
      <c r="A704" s="224" t="s">
        <v>1</v>
      </c>
      <c r="B704" s="224" t="s">
        <v>2</v>
      </c>
      <c r="C704" s="224" t="s">
        <v>1493</v>
      </c>
      <c r="D704" s="224" t="s">
        <v>4</v>
      </c>
      <c r="E704" s="75" t="s">
        <v>5</v>
      </c>
      <c r="F704" s="274" t="s">
        <v>1933</v>
      </c>
      <c r="G704" s="75" t="s">
        <v>4102</v>
      </c>
      <c r="H704" s="75" t="s">
        <v>4541</v>
      </c>
      <c r="I704" s="75" t="s">
        <v>1497</v>
      </c>
      <c r="J704" s="75" t="s">
        <v>4102</v>
      </c>
      <c r="K704" s="75" t="s">
        <v>4103</v>
      </c>
      <c r="L704" s="75" t="s">
        <v>4104</v>
      </c>
      <c r="M704" s="75" t="s">
        <v>1497</v>
      </c>
      <c r="N704" s="75" t="s">
        <v>6</v>
      </c>
      <c r="O704" s="75" t="s">
        <v>7</v>
      </c>
      <c r="P704" s="75" t="s">
        <v>5211</v>
      </c>
      <c r="Q704" s="75" t="s">
        <v>8</v>
      </c>
      <c r="R704" s="75" t="s">
        <v>9</v>
      </c>
      <c r="S704" s="75" t="s">
        <v>4105</v>
      </c>
      <c r="T704" s="75" t="s">
        <v>10</v>
      </c>
    </row>
    <row r="705" spans="1:20">
      <c r="A705" s="228" t="s">
        <v>7715</v>
      </c>
      <c r="B705" s="226">
        <v>20241017</v>
      </c>
      <c r="C705" s="226">
        <v>7.1</v>
      </c>
      <c r="D705" s="500" t="s">
        <v>7716</v>
      </c>
      <c r="E705" s="284" t="s">
        <v>7717</v>
      </c>
      <c r="F705" s="243" t="s">
        <v>4284</v>
      </c>
      <c r="G705" s="227" t="s">
        <v>2365</v>
      </c>
      <c r="H705" s="245" t="s">
        <v>1913</v>
      </c>
      <c r="I705" s="245" t="s">
        <v>1428</v>
      </c>
      <c r="J705" s="227">
        <v>140</v>
      </c>
      <c r="K705" s="245" t="s">
        <v>1428</v>
      </c>
      <c r="L705" s="245" t="s">
        <v>1428</v>
      </c>
      <c r="M705" s="245" t="s">
        <v>1428</v>
      </c>
      <c r="N705" s="231">
        <v>3.69313224479621</v>
      </c>
      <c r="O705" s="257">
        <f>14.6039806872859-1.4744</f>
        <v>13.1295806872859</v>
      </c>
      <c r="P705" s="500"/>
      <c r="Q705" s="231">
        <v>2.93706293706294</v>
      </c>
      <c r="R705" s="232">
        <f>SUM(J705:Q705)</f>
        <v>159.759775869145</v>
      </c>
      <c r="S705" s="243" t="s">
        <v>1526</v>
      </c>
      <c r="T705" s="501" t="s">
        <v>7718</v>
      </c>
    </row>
    <row r="709" ht="13.95" spans="1:20">
      <c r="A709" s="458" t="s">
        <v>7658</v>
      </c>
      <c r="B709" s="459"/>
      <c r="C709" s="459"/>
      <c r="D709" s="459"/>
      <c r="E709" s="459"/>
      <c r="F709" s="459"/>
      <c r="G709" s="459"/>
      <c r="H709" s="459"/>
      <c r="I709" s="459"/>
      <c r="J709" s="459"/>
      <c r="K709" s="459"/>
      <c r="L709" s="459"/>
      <c r="M709" s="459"/>
      <c r="N709" s="459"/>
      <c r="O709" s="459"/>
      <c r="P709" s="459"/>
      <c r="Q709" s="459"/>
      <c r="R709" s="459"/>
      <c r="S709" s="459"/>
      <c r="T709" s="460"/>
    </row>
    <row r="710" spans="1:20">
      <c r="A710" s="461" t="s">
        <v>1</v>
      </c>
      <c r="B710" s="462" t="s">
        <v>2</v>
      </c>
      <c r="C710" s="462" t="s">
        <v>1493</v>
      </c>
      <c r="D710" s="462" t="s">
        <v>4</v>
      </c>
      <c r="E710" s="462" t="s">
        <v>5</v>
      </c>
      <c r="F710" s="462" t="s">
        <v>1933</v>
      </c>
      <c r="G710" s="462" t="s">
        <v>4102</v>
      </c>
      <c r="H710" s="462" t="s">
        <v>4541</v>
      </c>
      <c r="I710" s="462" t="s">
        <v>1497</v>
      </c>
      <c r="J710" s="462" t="s">
        <v>4102</v>
      </c>
      <c r="K710" s="462" t="s">
        <v>4103</v>
      </c>
      <c r="L710" s="462" t="s">
        <v>4104</v>
      </c>
      <c r="M710" s="462" t="s">
        <v>1497</v>
      </c>
      <c r="N710" s="462" t="s">
        <v>6</v>
      </c>
      <c r="O710" s="462" t="s">
        <v>7</v>
      </c>
      <c r="P710" s="462" t="s">
        <v>5211</v>
      </c>
      <c r="Q710" s="462" t="s">
        <v>8</v>
      </c>
      <c r="R710" s="462" t="s">
        <v>9</v>
      </c>
      <c r="S710" s="462" t="s">
        <v>4105</v>
      </c>
      <c r="T710" s="463" t="s">
        <v>10</v>
      </c>
    </row>
    <row r="711" spans="1:20">
      <c r="A711" s="360" t="s">
        <v>4019</v>
      </c>
      <c r="B711" s="226">
        <v>20241126</v>
      </c>
      <c r="C711" s="226">
        <v>7.25</v>
      </c>
      <c r="D711" s="226" t="s">
        <v>4020</v>
      </c>
      <c r="E711" s="228" t="s">
        <v>1617</v>
      </c>
      <c r="F711" s="227" t="s">
        <v>4021</v>
      </c>
      <c r="G711" s="227" t="s">
        <v>3542</v>
      </c>
      <c r="H711" s="227" t="s">
        <v>3711</v>
      </c>
      <c r="I711" s="227" t="s">
        <v>7608</v>
      </c>
      <c r="J711" s="252">
        <v>30</v>
      </c>
      <c r="K711" s="227">
        <v>4</v>
      </c>
      <c r="L711" s="468">
        <v>7</v>
      </c>
      <c r="M711" s="227">
        <v>1.7</v>
      </c>
      <c r="N711" s="231">
        <v>2.81465093411996</v>
      </c>
      <c r="O711" s="469">
        <v>7.57146693832627</v>
      </c>
      <c r="P711" s="231" t="s">
        <v>1428</v>
      </c>
      <c r="Q711" s="231">
        <f>23.83/7.25/1.13</f>
        <v>2.90875801037534</v>
      </c>
      <c r="R711" s="232">
        <f>SUM(J711:Q711)</f>
        <v>55.9948758828216</v>
      </c>
      <c r="S711" s="226" t="s">
        <v>3712</v>
      </c>
      <c r="T711" s="361" t="s">
        <v>7609</v>
      </c>
    </row>
    <row r="712" spans="1:20">
      <c r="A712" s="360"/>
      <c r="B712" s="226">
        <v>20241126</v>
      </c>
      <c r="C712" s="226">
        <v>7.25</v>
      </c>
      <c r="D712" s="226" t="s">
        <v>4024</v>
      </c>
      <c r="E712" s="228" t="s">
        <v>1629</v>
      </c>
      <c r="F712" s="227" t="s">
        <v>4021</v>
      </c>
      <c r="G712" s="227" t="s">
        <v>3457</v>
      </c>
      <c r="H712" s="227" t="s">
        <v>3624</v>
      </c>
      <c r="I712" s="227" t="s">
        <v>7611</v>
      </c>
      <c r="J712" s="252">
        <v>32</v>
      </c>
      <c r="K712" s="227">
        <v>7.5</v>
      </c>
      <c r="L712" s="227" t="s">
        <v>1428</v>
      </c>
      <c r="M712" s="227">
        <v>2.2</v>
      </c>
      <c r="N712" s="231">
        <v>2.81465093411996</v>
      </c>
      <c r="O712" s="469">
        <v>7.80570814489692</v>
      </c>
      <c r="P712" s="231" t="s">
        <v>1428</v>
      </c>
      <c r="Q712" s="231">
        <f>23.83/7.25/1.13</f>
        <v>2.90875801037534</v>
      </c>
      <c r="R712" s="232">
        <f>SUM(J712:Q712)</f>
        <v>55.2291170893922</v>
      </c>
      <c r="S712" s="226" t="s">
        <v>7612</v>
      </c>
      <c r="T712" s="361" t="s">
        <v>7613</v>
      </c>
    </row>
    <row r="715" spans="1:20">
      <c r="A715" s="195" t="s">
        <v>7711</v>
      </c>
      <c r="B715" s="195"/>
      <c r="C715" s="195"/>
      <c r="D715" s="195"/>
      <c r="E715" s="196"/>
      <c r="F715" s="196"/>
      <c r="G715" s="197"/>
      <c r="H715" s="198"/>
      <c r="I715" s="198"/>
      <c r="J715" s="199"/>
      <c r="K715" s="296"/>
      <c r="L715" s="200"/>
      <c r="M715" s="200"/>
      <c r="N715" s="297"/>
      <c r="O715" s="201"/>
      <c r="P715" s="197"/>
      <c r="Q715" s="202"/>
      <c r="R715" s="202"/>
      <c r="S715" s="203"/>
      <c r="T715" s="80"/>
    </row>
    <row r="716" spans="1:20">
      <c r="A716" s="224" t="s">
        <v>1</v>
      </c>
      <c r="B716" s="224"/>
      <c r="C716" s="224"/>
      <c r="D716" s="224"/>
      <c r="E716" s="75" t="s">
        <v>5</v>
      </c>
      <c r="F716" s="75" t="s">
        <v>1933</v>
      </c>
      <c r="G716" s="75" t="s">
        <v>4102</v>
      </c>
      <c r="H716" s="75" t="s">
        <v>4541</v>
      </c>
      <c r="I716" s="75" t="s">
        <v>1497</v>
      </c>
      <c r="J716" s="75" t="s">
        <v>4102</v>
      </c>
      <c r="K716" s="75" t="s">
        <v>4103</v>
      </c>
      <c r="L716" s="75" t="s">
        <v>4104</v>
      </c>
      <c r="M716" s="75" t="s">
        <v>1497</v>
      </c>
      <c r="N716" s="75" t="s">
        <v>6</v>
      </c>
      <c r="O716" s="75" t="s">
        <v>7</v>
      </c>
      <c r="P716" s="75" t="s">
        <v>5211</v>
      </c>
      <c r="Q716" s="75" t="s">
        <v>8</v>
      </c>
      <c r="R716" s="75" t="s">
        <v>9</v>
      </c>
      <c r="S716" s="75" t="s">
        <v>4105</v>
      </c>
      <c r="T716" s="75" t="s">
        <v>10</v>
      </c>
    </row>
    <row r="717" spans="1:20">
      <c r="A717" s="226" t="s">
        <v>1007</v>
      </c>
      <c r="B717" s="226"/>
      <c r="C717" s="226"/>
      <c r="D717" s="226"/>
      <c r="E717" s="228" t="s">
        <v>7712</v>
      </c>
      <c r="F717" s="243" t="s">
        <v>3956</v>
      </c>
      <c r="G717" s="245" t="s">
        <v>4564</v>
      </c>
      <c r="H717" s="245" t="s">
        <v>3425</v>
      </c>
      <c r="I717" s="245" t="s">
        <v>1428</v>
      </c>
      <c r="J717" s="256">
        <v>32</v>
      </c>
      <c r="K717" s="227" t="s">
        <v>1428</v>
      </c>
      <c r="L717" s="227">
        <v>2</v>
      </c>
      <c r="M717" s="227" t="s">
        <v>1428</v>
      </c>
      <c r="N717" s="231">
        <v>2.75742514244151</v>
      </c>
      <c r="O717" s="257">
        <v>11.5950476129625</v>
      </c>
      <c r="P717" s="231"/>
      <c r="Q717" s="231">
        <v>3</v>
      </c>
      <c r="R717" s="231">
        <f>SUM(J717:Q717)</f>
        <v>51.352472755404</v>
      </c>
      <c r="S717" s="259" t="s">
        <v>6817</v>
      </c>
      <c r="T717" s="226" t="s">
        <v>7714</v>
      </c>
    </row>
    <row r="720" spans="1:20">
      <c r="A720" s="195" t="s">
        <v>7711</v>
      </c>
      <c r="B720" s="195"/>
      <c r="C720" s="195"/>
      <c r="D720" s="195"/>
      <c r="E720" s="196"/>
      <c r="F720" s="196"/>
      <c r="G720" s="197"/>
      <c r="H720" s="198"/>
      <c r="I720" s="198"/>
      <c r="J720" s="199"/>
      <c r="K720" s="296"/>
      <c r="L720" s="200"/>
      <c r="M720" s="200"/>
      <c r="N720" s="297"/>
      <c r="O720" s="201"/>
      <c r="P720" s="197"/>
      <c r="Q720" s="202"/>
      <c r="R720" s="202"/>
      <c r="S720" s="203"/>
      <c r="T720" s="80"/>
    </row>
    <row r="721" spans="1:20">
      <c r="A721" s="224" t="s">
        <v>1</v>
      </c>
      <c r="B721" s="224"/>
      <c r="C721" s="224"/>
      <c r="D721" s="224"/>
      <c r="E721" s="75" t="s">
        <v>5</v>
      </c>
      <c r="F721" s="75" t="s">
        <v>1933</v>
      </c>
      <c r="G721" s="75" t="s">
        <v>4102</v>
      </c>
      <c r="H721" s="75" t="s">
        <v>4541</v>
      </c>
      <c r="I721" s="75" t="s">
        <v>1497</v>
      </c>
      <c r="J721" s="75" t="s">
        <v>4102</v>
      </c>
      <c r="K721" s="75" t="s">
        <v>4103</v>
      </c>
      <c r="L721" s="75" t="s">
        <v>4104</v>
      </c>
      <c r="M721" s="75" t="s">
        <v>1497</v>
      </c>
      <c r="N721" s="75" t="s">
        <v>6</v>
      </c>
      <c r="O721" s="75" t="s">
        <v>7</v>
      </c>
      <c r="P721" s="75" t="s">
        <v>5211</v>
      </c>
      <c r="Q721" s="75" t="s">
        <v>8</v>
      </c>
      <c r="R721" s="75" t="s">
        <v>9</v>
      </c>
      <c r="S721" s="75" t="s">
        <v>4105</v>
      </c>
      <c r="T721" s="75" t="s">
        <v>10</v>
      </c>
    </row>
    <row r="722" s="184" customFormat="1" spans="1:20">
      <c r="A722" s="226" t="s">
        <v>451</v>
      </c>
      <c r="B722" s="226">
        <v>20241202</v>
      </c>
      <c r="C722" s="226">
        <v>7.2</v>
      </c>
      <c r="D722" s="226" t="s">
        <v>2557</v>
      </c>
      <c r="E722" s="228" t="s">
        <v>2488</v>
      </c>
      <c r="F722" s="243" t="s">
        <v>2801</v>
      </c>
      <c r="G722" s="227" t="s">
        <v>2558</v>
      </c>
      <c r="H722" s="245" t="s">
        <v>4248</v>
      </c>
      <c r="I722" s="256" t="s">
        <v>1428</v>
      </c>
      <c r="J722" s="256" t="s">
        <v>1428</v>
      </c>
      <c r="K722" s="227">
        <f>22.4*4</f>
        <v>89.6</v>
      </c>
      <c r="L722" s="256" t="s">
        <v>1428</v>
      </c>
      <c r="M722" s="256" t="s">
        <v>1428</v>
      </c>
      <c r="N722" s="231">
        <v>5.60098577349614</v>
      </c>
      <c r="O722" s="231">
        <v>23.0549289771386</v>
      </c>
      <c r="P722" s="256" t="s">
        <v>1428</v>
      </c>
      <c r="Q722" s="231">
        <v>4.24317172411152</v>
      </c>
      <c r="R722" s="231">
        <f>SUM(J722:Q722)</f>
        <v>122.499086474746</v>
      </c>
      <c r="S722" s="243" t="s">
        <v>4001</v>
      </c>
      <c r="T722" s="226" t="s">
        <v>7673</v>
      </c>
    </row>
    <row r="723" ht="9" customHeight="1"/>
    <row r="725" spans="1:20">
      <c r="A725" s="195" t="s">
        <v>7711</v>
      </c>
      <c r="B725" s="195"/>
      <c r="C725" s="195"/>
      <c r="D725" s="195"/>
      <c r="E725" s="196"/>
      <c r="F725" s="196"/>
      <c r="G725" s="197"/>
      <c r="H725" s="198"/>
      <c r="I725" s="198"/>
      <c r="J725" s="199"/>
      <c r="K725" s="296"/>
      <c r="L725" s="200"/>
      <c r="M725" s="200"/>
      <c r="N725" s="297"/>
      <c r="O725" s="201"/>
      <c r="P725" s="197"/>
      <c r="Q725" s="202"/>
      <c r="R725" s="202"/>
      <c r="S725" s="203"/>
      <c r="T725" s="80"/>
    </row>
    <row r="726" spans="1:20">
      <c r="A726" s="224" t="s">
        <v>1</v>
      </c>
      <c r="B726" s="224"/>
      <c r="C726" s="224"/>
      <c r="D726" s="224"/>
      <c r="E726" s="75" t="s">
        <v>5</v>
      </c>
      <c r="F726" s="75" t="s">
        <v>1933</v>
      </c>
      <c r="G726" s="75" t="s">
        <v>4102</v>
      </c>
      <c r="H726" s="75" t="s">
        <v>4541</v>
      </c>
      <c r="I726" s="75" t="s">
        <v>1497</v>
      </c>
      <c r="J726" s="75" t="s">
        <v>4102</v>
      </c>
      <c r="K726" s="75" t="s">
        <v>4103</v>
      </c>
      <c r="L726" s="75" t="s">
        <v>4104</v>
      </c>
      <c r="M726" s="75" t="s">
        <v>1497</v>
      </c>
      <c r="N726" s="75" t="s">
        <v>6</v>
      </c>
      <c r="O726" s="75" t="s">
        <v>7</v>
      </c>
      <c r="P726" s="75" t="s">
        <v>5211</v>
      </c>
      <c r="Q726" s="75" t="s">
        <v>8</v>
      </c>
      <c r="R726" s="75" t="s">
        <v>9</v>
      </c>
      <c r="S726" s="75" t="s">
        <v>4105</v>
      </c>
      <c r="T726" s="75" t="s">
        <v>10</v>
      </c>
    </row>
    <row r="727" s="184" customFormat="1" spans="1:20">
      <c r="A727" s="226" t="s">
        <v>7719</v>
      </c>
      <c r="B727" s="226">
        <v>20250110</v>
      </c>
      <c r="C727" s="226">
        <v>7.3</v>
      </c>
      <c r="D727" s="226"/>
      <c r="E727" s="228" t="s">
        <v>4233</v>
      </c>
      <c r="F727" s="243" t="s">
        <v>7720</v>
      </c>
      <c r="G727" s="227" t="s">
        <v>3794</v>
      </c>
      <c r="H727" s="245" t="s">
        <v>7721</v>
      </c>
      <c r="I727" s="256" t="s">
        <v>3696</v>
      </c>
      <c r="J727" s="256">
        <v>29</v>
      </c>
      <c r="K727" s="227">
        <f>2.5*4</f>
        <v>10</v>
      </c>
      <c r="L727" s="256">
        <v>6.8</v>
      </c>
      <c r="M727" s="256">
        <v>3.3</v>
      </c>
      <c r="N727" s="231">
        <v>2.41354345981331</v>
      </c>
      <c r="O727" s="231">
        <v>14.8872991269527</v>
      </c>
      <c r="P727" s="256"/>
      <c r="Q727" s="231">
        <v>3</v>
      </c>
      <c r="R727" s="231">
        <f>SUM(J727:Q727)</f>
        <v>69.400842586766</v>
      </c>
      <c r="S727" s="243" t="s">
        <v>7722</v>
      </c>
      <c r="T727" s="226" t="s">
        <v>7723</v>
      </c>
    </row>
    <row r="740" spans="1:20">
      <c r="A740" s="195" t="s">
        <v>7711</v>
      </c>
      <c r="B740" s="195"/>
      <c r="C740" s="195"/>
      <c r="D740" s="195"/>
      <c r="E740" s="196"/>
      <c r="F740" s="196"/>
      <c r="G740" s="197"/>
      <c r="H740" s="198"/>
      <c r="I740" s="198"/>
      <c r="J740" s="199"/>
      <c r="K740" s="200"/>
      <c r="L740" s="200"/>
      <c r="M740" s="200"/>
      <c r="N740" s="201"/>
      <c r="O740" s="201"/>
      <c r="P740" s="197"/>
      <c r="Q740" s="202"/>
      <c r="R740" s="202"/>
      <c r="S740" s="203"/>
      <c r="T740" s="80"/>
    </row>
    <row r="741" spans="1:20">
      <c r="A741" s="224" t="s">
        <v>1</v>
      </c>
      <c r="B741" s="224" t="s">
        <v>2</v>
      </c>
      <c r="C741" s="224" t="s">
        <v>1493</v>
      </c>
      <c r="D741" s="206" t="s">
        <v>4</v>
      </c>
      <c r="E741" s="75" t="s">
        <v>5</v>
      </c>
      <c r="F741" s="75" t="s">
        <v>1933</v>
      </c>
      <c r="G741" s="75" t="s">
        <v>4102</v>
      </c>
      <c r="H741" s="75" t="s">
        <v>4541</v>
      </c>
      <c r="I741" s="75" t="s">
        <v>1497</v>
      </c>
      <c r="J741" s="75" t="s">
        <v>4102</v>
      </c>
      <c r="K741" s="75" t="s">
        <v>4103</v>
      </c>
      <c r="L741" s="75" t="s">
        <v>4104</v>
      </c>
      <c r="M741" s="75" t="s">
        <v>1497</v>
      </c>
      <c r="N741" s="75" t="s">
        <v>6</v>
      </c>
      <c r="O741" s="75" t="s">
        <v>7</v>
      </c>
      <c r="P741" s="75" t="s">
        <v>5211</v>
      </c>
      <c r="Q741" s="75" t="s">
        <v>8</v>
      </c>
      <c r="R741" s="75" t="s">
        <v>9</v>
      </c>
      <c r="S741" s="75" t="s">
        <v>4105</v>
      </c>
      <c r="T741" s="75" t="s">
        <v>10</v>
      </c>
    </row>
    <row r="742" s="177" customFormat="1" spans="1:20">
      <c r="A742" s="225"/>
      <c r="B742" s="226">
        <v>20240112</v>
      </c>
      <c r="C742" s="227">
        <v>7.15</v>
      </c>
      <c r="D742" s="226" t="s">
        <v>3557</v>
      </c>
      <c r="E742" s="228" t="s">
        <v>2314</v>
      </c>
      <c r="F742" s="229" t="s">
        <v>1933</v>
      </c>
      <c r="G742" s="227" t="s">
        <v>3542</v>
      </c>
      <c r="H742" s="227" t="s">
        <v>1913</v>
      </c>
      <c r="I742" s="227" t="s">
        <v>1428</v>
      </c>
      <c r="J742" s="227">
        <v>30</v>
      </c>
      <c r="K742" s="227" t="s">
        <v>1428</v>
      </c>
      <c r="L742" s="227" t="s">
        <v>1428</v>
      </c>
      <c r="M742" s="227" t="s">
        <v>1428</v>
      </c>
      <c r="N742" s="232">
        <v>3.20749785295545</v>
      </c>
      <c r="O742" s="232">
        <v>11.9458149805278</v>
      </c>
      <c r="P742" s="227" t="s">
        <v>1428</v>
      </c>
      <c r="Q742" s="231">
        <v>2.57250415265903</v>
      </c>
      <c r="R742" s="232">
        <v>47.7258169861423</v>
      </c>
      <c r="S742" s="233" t="s">
        <v>1526</v>
      </c>
      <c r="T742" s="226" t="s">
        <v>7406</v>
      </c>
    </row>
    <row r="743" s="177" customFormat="1" spans="1:20">
      <c r="A743" s="275"/>
      <c r="B743" s="226">
        <v>20241120</v>
      </c>
      <c r="C743" s="227">
        <v>7.2</v>
      </c>
      <c r="D743" s="226" t="s">
        <v>3569</v>
      </c>
      <c r="E743" s="228" t="s">
        <v>2110</v>
      </c>
      <c r="F743" s="229" t="s">
        <v>1933</v>
      </c>
      <c r="G743" s="227" t="s">
        <v>3542</v>
      </c>
      <c r="H743" s="227" t="s">
        <v>3349</v>
      </c>
      <c r="I743" s="227" t="s">
        <v>1428</v>
      </c>
      <c r="J743" s="227">
        <v>30</v>
      </c>
      <c r="K743" s="227" t="s">
        <v>1428</v>
      </c>
      <c r="L743" s="247">
        <v>6.8</v>
      </c>
      <c r="M743" s="227" t="s">
        <v>1428</v>
      </c>
      <c r="N743" s="232">
        <v>3.20749785295545</v>
      </c>
      <c r="O743" s="232">
        <v>10.840617916354</v>
      </c>
      <c r="P743" s="227" t="s">
        <v>1428</v>
      </c>
      <c r="Q743" s="231">
        <v>2.57250415265903</v>
      </c>
      <c r="R743" s="232">
        <v>53.4206199219685</v>
      </c>
      <c r="S743" s="233" t="s">
        <v>3384</v>
      </c>
      <c r="T743" s="226" t="s">
        <v>7406</v>
      </c>
    </row>
    <row r="744" s="177" customFormat="1" spans="1:20">
      <c r="A744" s="275"/>
      <c r="B744" s="226">
        <v>20241210</v>
      </c>
      <c r="C744" s="227">
        <v>7.3</v>
      </c>
      <c r="D744" s="226" t="s">
        <v>3573</v>
      </c>
      <c r="E744" s="228" t="s">
        <v>667</v>
      </c>
      <c r="F744" s="229" t="s">
        <v>1933</v>
      </c>
      <c r="G744" s="227" t="s">
        <v>3541</v>
      </c>
      <c r="H744" s="227" t="s">
        <v>1913</v>
      </c>
      <c r="I744" s="227" t="s">
        <v>1428</v>
      </c>
      <c r="J744" s="227">
        <v>27</v>
      </c>
      <c r="K744" s="227" t="s">
        <v>1428</v>
      </c>
      <c r="L744" s="227" t="s">
        <v>1428</v>
      </c>
      <c r="M744" s="227" t="s">
        <v>1428</v>
      </c>
      <c r="N744" s="230">
        <v>3.1155291550491</v>
      </c>
      <c r="O744" s="232">
        <v>11.5744354861467</v>
      </c>
      <c r="P744" s="227" t="s">
        <v>1428</v>
      </c>
      <c r="Q744" s="231">
        <v>2.57250415265903</v>
      </c>
      <c r="R744" s="232">
        <v>44.2624687938548</v>
      </c>
      <c r="S744" s="233" t="s">
        <v>1526</v>
      </c>
      <c r="T744" s="226" t="s">
        <v>3574</v>
      </c>
    </row>
    <row r="745" s="177" customFormat="1" spans="1:20">
      <c r="A745" s="275"/>
      <c r="B745" s="226">
        <v>20240809</v>
      </c>
      <c r="C745" s="227">
        <v>7.15</v>
      </c>
      <c r="D745" s="226" t="s">
        <v>3597</v>
      </c>
      <c r="E745" s="228" t="s">
        <v>2234</v>
      </c>
      <c r="F745" s="229" t="s">
        <v>5111</v>
      </c>
      <c r="G745" s="227" t="s">
        <v>3542</v>
      </c>
      <c r="H745" s="227" t="s">
        <v>1913</v>
      </c>
      <c r="I745" s="227" t="s">
        <v>1428</v>
      </c>
      <c r="J745" s="227">
        <v>30</v>
      </c>
      <c r="K745" s="227" t="s">
        <v>1428</v>
      </c>
      <c r="L745" s="227" t="s">
        <v>1428</v>
      </c>
      <c r="M745" s="227" t="s">
        <v>1428</v>
      </c>
      <c r="N745" s="232">
        <v>3.20749785295545</v>
      </c>
      <c r="O745" s="232">
        <v>10.8797150469982</v>
      </c>
      <c r="P745" s="227" t="s">
        <v>1428</v>
      </c>
      <c r="Q745" s="231">
        <v>2.57250415265903</v>
      </c>
      <c r="R745" s="232">
        <v>46.6597170526127</v>
      </c>
      <c r="S745" s="233" t="s">
        <v>1526</v>
      </c>
      <c r="T745" s="226" t="s">
        <v>7598</v>
      </c>
    </row>
    <row r="746" s="177" customFormat="1" spans="1:20">
      <c r="A746" s="275"/>
      <c r="B746" s="226">
        <v>20241010</v>
      </c>
      <c r="C746" s="226">
        <v>7.11</v>
      </c>
      <c r="D746" s="226" t="s">
        <v>1416</v>
      </c>
      <c r="E746" s="254" t="s">
        <v>1417</v>
      </c>
      <c r="F746" s="226"/>
      <c r="G746" s="227"/>
      <c r="H746" s="227"/>
      <c r="I746" s="227"/>
      <c r="J746" s="245"/>
      <c r="K746" s="256"/>
      <c r="L746" s="256"/>
      <c r="M746" s="256"/>
      <c r="N746" s="334">
        <v>0.423185591775264</v>
      </c>
      <c r="O746" s="334">
        <v>1.1511540502635</v>
      </c>
      <c r="P746" s="227" t="s">
        <v>1428</v>
      </c>
      <c r="Q746" s="231">
        <v>0.2</v>
      </c>
      <c r="R746" s="231">
        <f>SUM(J746:Q746)</f>
        <v>1.77433964203876</v>
      </c>
      <c r="S746" s="233"/>
      <c r="T746" s="260" t="s">
        <v>7532</v>
      </c>
    </row>
    <row r="747" s="177" customFormat="1" spans="1:20">
      <c r="A747" s="234"/>
      <c r="B747" s="226">
        <v>20240112</v>
      </c>
      <c r="C747" s="227">
        <v>7.15</v>
      </c>
      <c r="D747" s="226" t="s">
        <v>20</v>
      </c>
      <c r="E747" s="228" t="s">
        <v>7724</v>
      </c>
      <c r="F747" s="229"/>
      <c r="G747" s="227"/>
      <c r="H747" s="227"/>
      <c r="I747" s="227"/>
      <c r="J747" s="227"/>
      <c r="K747" s="227"/>
      <c r="L747" s="227"/>
      <c r="M747" s="227"/>
      <c r="N747" s="232">
        <v>0.420818119933164</v>
      </c>
      <c r="O747" s="232">
        <v>2.70168553310353</v>
      </c>
      <c r="P747" s="227" t="s">
        <v>1428</v>
      </c>
      <c r="Q747" s="231">
        <v>0.2</v>
      </c>
      <c r="R747" s="232">
        <v>3.32250365303669</v>
      </c>
      <c r="S747" s="233"/>
      <c r="T747" s="226" t="s">
        <v>7478</v>
      </c>
    </row>
    <row r="750" spans="1:20">
      <c r="A750" s="195" t="s">
        <v>7711</v>
      </c>
      <c r="B750" s="195"/>
      <c r="C750" s="195"/>
      <c r="D750" s="195"/>
      <c r="E750" s="196"/>
      <c r="F750" s="196"/>
      <c r="G750" s="197"/>
      <c r="H750" s="198"/>
      <c r="I750" s="198"/>
      <c r="J750" s="199"/>
      <c r="K750" s="200"/>
      <c r="L750" s="200"/>
      <c r="M750" s="200"/>
      <c r="N750" s="201"/>
      <c r="O750" s="201"/>
      <c r="P750" s="197"/>
      <c r="Q750" s="202"/>
      <c r="R750" s="202"/>
      <c r="S750" s="203"/>
      <c r="T750" s="80"/>
    </row>
    <row r="751" spans="1:20">
      <c r="A751" s="224" t="s">
        <v>1</v>
      </c>
      <c r="B751" s="224" t="s">
        <v>2</v>
      </c>
      <c r="C751" s="224" t="s">
        <v>1493</v>
      </c>
      <c r="D751" s="206" t="s">
        <v>4</v>
      </c>
      <c r="E751" s="75" t="s">
        <v>5</v>
      </c>
      <c r="F751" s="75" t="s">
        <v>1933</v>
      </c>
      <c r="G751" s="75" t="s">
        <v>4102</v>
      </c>
      <c r="H751" s="75" t="s">
        <v>4541</v>
      </c>
      <c r="I751" s="75" t="s">
        <v>1497</v>
      </c>
      <c r="J751" s="75" t="s">
        <v>4102</v>
      </c>
      <c r="K751" s="75" t="s">
        <v>4103</v>
      </c>
      <c r="L751" s="75" t="s">
        <v>4104</v>
      </c>
      <c r="M751" s="75" t="s">
        <v>1497</v>
      </c>
      <c r="N751" s="75" t="s">
        <v>6</v>
      </c>
      <c r="O751" s="75" t="s">
        <v>7</v>
      </c>
      <c r="P751" s="75" t="s">
        <v>5211</v>
      </c>
      <c r="Q751" s="75" t="s">
        <v>8</v>
      </c>
      <c r="R751" s="75" t="s">
        <v>9</v>
      </c>
      <c r="S751" s="75" t="s">
        <v>4105</v>
      </c>
      <c r="T751" s="75" t="s">
        <v>10</v>
      </c>
    </row>
    <row r="752" s="184" customFormat="1" hidden="1" spans="1:20">
      <c r="A752" s="226" t="s">
        <v>50</v>
      </c>
      <c r="B752" s="226">
        <v>20250114</v>
      </c>
      <c r="C752" s="226">
        <v>7.3</v>
      </c>
      <c r="D752" s="226" t="s">
        <v>45</v>
      </c>
      <c r="E752" s="228" t="s">
        <v>46</v>
      </c>
      <c r="F752" s="243"/>
      <c r="G752" s="227"/>
      <c r="H752" s="245"/>
      <c r="I752" s="256"/>
      <c r="J752" s="256"/>
      <c r="K752" s="227"/>
      <c r="L752" s="256"/>
      <c r="M752" s="256"/>
      <c r="N752" s="231">
        <v>0.566129227785186</v>
      </c>
      <c r="O752" s="231">
        <v>3.51667886771245</v>
      </c>
      <c r="P752" s="256"/>
      <c r="Q752" s="231">
        <v>0.4</v>
      </c>
      <c r="R752" s="231">
        <f>SUM(J752:Q752)</f>
        <v>4.48280809549764</v>
      </c>
      <c r="S752" s="243"/>
      <c r="T752" s="226" t="s">
        <v>2371</v>
      </c>
    </row>
    <row r="753" s="184" customFormat="1" spans="1:20">
      <c r="A753" s="226" t="s">
        <v>7407</v>
      </c>
      <c r="B753" s="226">
        <v>20250113</v>
      </c>
      <c r="C753" s="226">
        <v>7.3</v>
      </c>
      <c r="D753" s="226" t="s">
        <v>12</v>
      </c>
      <c r="E753" s="228" t="s">
        <v>13</v>
      </c>
      <c r="F753" s="243"/>
      <c r="G753" s="227"/>
      <c r="H753" s="245"/>
      <c r="I753" s="256"/>
      <c r="J753" s="256"/>
      <c r="K753" s="227"/>
      <c r="L753" s="256"/>
      <c r="M753" s="256"/>
      <c r="N753" s="231">
        <v>0.69</v>
      </c>
      <c r="O753" s="231">
        <v>2.94614852119287</v>
      </c>
      <c r="P753" s="256"/>
      <c r="Q753" s="231">
        <v>0.4</v>
      </c>
      <c r="R753" s="231">
        <f>SUM(J753:Q753)</f>
        <v>4.03614852119287</v>
      </c>
      <c r="S753" s="243" t="s">
        <v>1526</v>
      </c>
      <c r="T753" s="226" t="s">
        <v>7725</v>
      </c>
    </row>
    <row r="755" spans="1:20">
      <c r="A755" s="195" t="s">
        <v>7711</v>
      </c>
      <c r="B755" s="195"/>
      <c r="C755" s="195"/>
      <c r="D755" s="195"/>
      <c r="E755" s="196"/>
      <c r="F755" s="196"/>
      <c r="G755" s="197"/>
      <c r="H755" s="198"/>
      <c r="I755" s="198"/>
      <c r="J755" s="199"/>
      <c r="K755" s="200"/>
      <c r="L755" s="200"/>
      <c r="M755" s="200"/>
      <c r="N755" s="201"/>
      <c r="O755" s="201"/>
      <c r="P755" s="197"/>
      <c r="Q755" s="202"/>
      <c r="R755" s="202"/>
      <c r="S755" s="203"/>
      <c r="T755" s="80"/>
    </row>
    <row r="756" spans="1:20">
      <c r="A756" s="224" t="s">
        <v>1</v>
      </c>
      <c r="B756" s="224" t="s">
        <v>2</v>
      </c>
      <c r="C756" s="224" t="s">
        <v>1493</v>
      </c>
      <c r="D756" s="206" t="s">
        <v>4</v>
      </c>
      <c r="E756" s="75" t="s">
        <v>5</v>
      </c>
      <c r="F756" s="75" t="s">
        <v>1933</v>
      </c>
      <c r="G756" s="75" t="s">
        <v>4102</v>
      </c>
      <c r="H756" s="75" t="s">
        <v>4541</v>
      </c>
      <c r="I756" s="75" t="s">
        <v>1497</v>
      </c>
      <c r="J756" s="75" t="s">
        <v>4102</v>
      </c>
      <c r="K756" s="75" t="s">
        <v>4103</v>
      </c>
      <c r="L756" s="75" t="s">
        <v>4104</v>
      </c>
      <c r="M756" s="75" t="s">
        <v>1497</v>
      </c>
      <c r="N756" s="75" t="s">
        <v>6</v>
      </c>
      <c r="O756" s="75" t="s">
        <v>7</v>
      </c>
      <c r="P756" s="75" t="s">
        <v>5211</v>
      </c>
      <c r="Q756" s="75" t="s">
        <v>8</v>
      </c>
      <c r="R756" s="75" t="s">
        <v>9</v>
      </c>
      <c r="S756" s="75" t="s">
        <v>4105</v>
      </c>
      <c r="T756" s="75" t="s">
        <v>10</v>
      </c>
    </row>
    <row r="757" s="184" customFormat="1" spans="1:20">
      <c r="A757" s="226" t="s">
        <v>804</v>
      </c>
      <c r="B757" s="226">
        <v>20250115</v>
      </c>
      <c r="C757" s="226">
        <v>7.3</v>
      </c>
      <c r="D757" s="226" t="s">
        <v>3912</v>
      </c>
      <c r="E757" s="228" t="s">
        <v>7726</v>
      </c>
      <c r="F757" s="243" t="s">
        <v>4284</v>
      </c>
      <c r="G757" s="227" t="s">
        <v>3855</v>
      </c>
      <c r="H757" s="245" t="s">
        <v>3432</v>
      </c>
      <c r="I757" s="256" t="s">
        <v>3537</v>
      </c>
      <c r="J757" s="256">
        <v>23.5</v>
      </c>
      <c r="K757" s="227">
        <f>7.5*2</f>
        <v>15</v>
      </c>
      <c r="L757" s="256" t="s">
        <v>1428</v>
      </c>
      <c r="M757" s="256" t="s">
        <v>1428</v>
      </c>
      <c r="N757" s="231">
        <v>3.10662788538895</v>
      </c>
      <c r="O757" s="231">
        <v>9.45850612565659</v>
      </c>
      <c r="P757" s="256" t="s">
        <v>1428</v>
      </c>
      <c r="Q757" s="231">
        <v>2.77648449837903</v>
      </c>
      <c r="R757" s="231">
        <f>SUM(J757:Q757)</f>
        <v>53.8416185094246</v>
      </c>
      <c r="S757" s="243" t="s">
        <v>7727</v>
      </c>
      <c r="T757" s="226" t="s">
        <v>7728</v>
      </c>
    </row>
    <row r="763" spans="1:20">
      <c r="A763" s="195" t="s">
        <v>7711</v>
      </c>
      <c r="B763" s="195"/>
      <c r="C763" s="195"/>
      <c r="D763" s="195"/>
      <c r="E763" s="196"/>
      <c r="F763" s="196"/>
      <c r="G763" s="197"/>
      <c r="H763" s="198"/>
      <c r="I763" s="198"/>
      <c r="J763" s="199"/>
      <c r="K763" s="296"/>
      <c r="L763" s="200"/>
      <c r="M763" s="200"/>
      <c r="N763" s="297"/>
      <c r="O763" s="201"/>
      <c r="P763" s="197"/>
      <c r="Q763" s="202"/>
      <c r="R763" s="202"/>
      <c r="S763" s="203"/>
      <c r="T763" s="80"/>
    </row>
    <row r="764" ht="24" customHeight="1" spans="1:20">
      <c r="A764" s="224" t="s">
        <v>1</v>
      </c>
      <c r="B764" s="224"/>
      <c r="C764" s="224"/>
      <c r="D764" s="224"/>
      <c r="E764" s="75" t="s">
        <v>5</v>
      </c>
      <c r="F764" s="75" t="s">
        <v>1933</v>
      </c>
      <c r="G764" s="75" t="s">
        <v>4102</v>
      </c>
      <c r="H764" s="75" t="s">
        <v>4541</v>
      </c>
      <c r="I764" s="75" t="s">
        <v>1497</v>
      </c>
      <c r="J764" s="75" t="s">
        <v>4102</v>
      </c>
      <c r="K764" s="75" t="s">
        <v>4103</v>
      </c>
      <c r="L764" s="75" t="s">
        <v>4104</v>
      </c>
      <c r="M764" s="75" t="s">
        <v>1497</v>
      </c>
      <c r="N764" s="75" t="s">
        <v>6</v>
      </c>
      <c r="O764" s="75" t="s">
        <v>7</v>
      </c>
      <c r="P764" s="75" t="s">
        <v>5211</v>
      </c>
      <c r="Q764" s="75" t="s">
        <v>8</v>
      </c>
      <c r="R764" s="75" t="s">
        <v>9</v>
      </c>
      <c r="S764" s="75" t="s">
        <v>4105</v>
      </c>
      <c r="T764" s="75" t="s">
        <v>10</v>
      </c>
    </row>
    <row r="765" s="184" customFormat="1" spans="1:20">
      <c r="A765" s="226" t="s">
        <v>7414</v>
      </c>
      <c r="B765" s="226">
        <v>20241224</v>
      </c>
      <c r="C765" s="226">
        <v>7.3</v>
      </c>
      <c r="D765" s="226" t="s">
        <v>7729</v>
      </c>
      <c r="E765" s="228" t="s">
        <v>2483</v>
      </c>
      <c r="F765" s="243" t="s">
        <v>7445</v>
      </c>
      <c r="G765" s="227" t="s">
        <v>2572</v>
      </c>
      <c r="H765" s="245" t="s">
        <v>3432</v>
      </c>
      <c r="I765" s="256" t="s">
        <v>1635</v>
      </c>
      <c r="J765" s="256" t="s">
        <v>1428</v>
      </c>
      <c r="K765" s="227">
        <v>25</v>
      </c>
      <c r="L765" s="256"/>
      <c r="M765" s="256">
        <v>3.3</v>
      </c>
      <c r="N765" s="231">
        <v>2.98058013765978</v>
      </c>
      <c r="O765" s="231">
        <v>13.2821275722936</v>
      </c>
      <c r="P765" s="256"/>
      <c r="Q765" s="231">
        <v>2.96002441257247</v>
      </c>
      <c r="R765" s="231">
        <v>47.5227321225259</v>
      </c>
      <c r="S765" s="243" t="s">
        <v>4001</v>
      </c>
      <c r="T765" s="226" t="s">
        <v>7730</v>
      </c>
    </row>
    <row r="766" s="184" customFormat="1" spans="1:20">
      <c r="A766" s="226" t="s">
        <v>41</v>
      </c>
      <c r="B766" s="226">
        <v>20241216</v>
      </c>
      <c r="C766" s="226">
        <v>7.3</v>
      </c>
      <c r="D766" s="226" t="s">
        <v>181</v>
      </c>
      <c r="E766" s="228" t="s">
        <v>182</v>
      </c>
      <c r="F766" s="243"/>
      <c r="G766" s="227"/>
      <c r="H766" s="245"/>
      <c r="I766" s="256"/>
      <c r="J766" s="256"/>
      <c r="K766" s="227"/>
      <c r="L766" s="256"/>
      <c r="M766" s="256"/>
      <c r="N766" s="231">
        <v>0.350345496423809</v>
      </c>
      <c r="O766" s="231">
        <v>1.34198711987392</v>
      </c>
      <c r="P766" s="256"/>
      <c r="Q766" s="231">
        <v>0.4</v>
      </c>
      <c r="R766" s="231">
        <v>2.09233261629773</v>
      </c>
      <c r="S766" s="243"/>
      <c r="T766" s="226" t="s">
        <v>7426</v>
      </c>
    </row>
    <row r="769" ht="15" customHeight="1" spans="1:20">
      <c r="A769" s="195" t="s">
        <v>7711</v>
      </c>
      <c r="B769" s="195"/>
      <c r="C769" s="195"/>
      <c r="D769" s="195"/>
      <c r="E769" s="196"/>
      <c r="F769" s="196"/>
      <c r="G769" s="197"/>
      <c r="H769" s="198"/>
      <c r="I769" s="198"/>
      <c r="J769" s="199"/>
      <c r="K769" s="296"/>
      <c r="L769" s="200"/>
      <c r="M769" s="200"/>
      <c r="N769" s="297"/>
      <c r="O769" s="201"/>
      <c r="P769" s="197"/>
      <c r="Q769" s="202"/>
      <c r="R769" s="202"/>
      <c r="S769" s="203"/>
      <c r="T769" s="80"/>
    </row>
    <row r="770" ht="15" customHeight="1" spans="1:20">
      <c r="A770" s="224" t="s">
        <v>1</v>
      </c>
      <c r="B770" s="224"/>
      <c r="C770" s="224"/>
      <c r="D770" s="224"/>
      <c r="E770" s="75" t="s">
        <v>5</v>
      </c>
      <c r="F770" s="75" t="s">
        <v>1933</v>
      </c>
      <c r="G770" s="75" t="s">
        <v>4102</v>
      </c>
      <c r="H770" s="75" t="s">
        <v>4541</v>
      </c>
      <c r="I770" s="75" t="s">
        <v>1497</v>
      </c>
      <c r="J770" s="75" t="s">
        <v>4102</v>
      </c>
      <c r="K770" s="75" t="s">
        <v>4103</v>
      </c>
      <c r="L770" s="75" t="s">
        <v>4104</v>
      </c>
      <c r="M770" s="75" t="s">
        <v>1497</v>
      </c>
      <c r="N770" s="75" t="s">
        <v>6</v>
      </c>
      <c r="O770" s="75" t="s">
        <v>7</v>
      </c>
      <c r="P770" s="75" t="s">
        <v>5211</v>
      </c>
      <c r="Q770" s="75" t="s">
        <v>8</v>
      </c>
      <c r="R770" s="75" t="s">
        <v>9</v>
      </c>
      <c r="S770" s="75" t="s">
        <v>4105</v>
      </c>
      <c r="T770" s="75" t="s">
        <v>10</v>
      </c>
    </row>
    <row r="771" s="184" customFormat="1" spans="1:20">
      <c r="A771" s="226" t="s">
        <v>7553</v>
      </c>
      <c r="B771" s="226">
        <v>20250121</v>
      </c>
      <c r="C771" s="226">
        <v>7.3</v>
      </c>
      <c r="D771" s="226" t="s">
        <v>5110</v>
      </c>
      <c r="E771" s="228" t="s">
        <v>1596</v>
      </c>
      <c r="F771" s="243" t="s">
        <v>5111</v>
      </c>
      <c r="G771" s="227" t="s">
        <v>5112</v>
      </c>
      <c r="H771" s="245" t="s">
        <v>1913</v>
      </c>
      <c r="I771" s="256" t="s">
        <v>1428</v>
      </c>
      <c r="J771" s="256" t="s">
        <v>1428</v>
      </c>
      <c r="K771" s="227" t="s">
        <v>1428</v>
      </c>
      <c r="L771" s="256" t="s">
        <v>1428</v>
      </c>
      <c r="M771" s="256" t="s">
        <v>1428</v>
      </c>
      <c r="N771" s="231">
        <v>4.54768928220256</v>
      </c>
      <c r="O771" s="231">
        <v>14.3529380743808</v>
      </c>
      <c r="P771" s="256"/>
      <c r="Q771" s="231">
        <v>3.22865080313333</v>
      </c>
      <c r="R771" s="231">
        <f>SUM(J771:Q771)</f>
        <v>22.1292781597167</v>
      </c>
      <c r="S771" s="243" t="s">
        <v>1526</v>
      </c>
      <c r="T771" s="226" t="s">
        <v>5113</v>
      </c>
    </row>
    <row r="772" s="184" customFormat="1" spans="1:20">
      <c r="A772" s="226"/>
      <c r="B772" s="226">
        <v>20241113</v>
      </c>
      <c r="C772" s="226">
        <v>7.2</v>
      </c>
      <c r="D772" s="226" t="s">
        <v>1405</v>
      </c>
      <c r="E772" s="228" t="s">
        <v>21</v>
      </c>
      <c r="F772" s="243"/>
      <c r="G772" s="227"/>
      <c r="H772" s="245"/>
      <c r="I772" s="256"/>
      <c r="J772" s="256"/>
      <c r="K772" s="227"/>
      <c r="L772" s="256"/>
      <c r="M772" s="256"/>
      <c r="N772" s="231">
        <v>0.417895771878073</v>
      </c>
      <c r="O772" s="231">
        <v>2.4839641920354</v>
      </c>
      <c r="P772" s="256" t="s">
        <v>1428</v>
      </c>
      <c r="Q772" s="231">
        <v>0.4</v>
      </c>
      <c r="R772" s="231">
        <f>SUM(J772:Q772)</f>
        <v>3.30185996391347</v>
      </c>
      <c r="S772" s="243"/>
      <c r="T772" s="226" t="s">
        <v>7478</v>
      </c>
    </row>
    <row r="775" s="177" customFormat="1" ht="15" customHeight="1" spans="1:20">
      <c r="A775" s="242" t="s">
        <v>7711</v>
      </c>
      <c r="B775" s="242"/>
      <c r="C775" s="242"/>
      <c r="D775" s="242"/>
      <c r="E775" s="502"/>
      <c r="F775" s="502"/>
      <c r="G775" s="503"/>
      <c r="H775" s="504"/>
      <c r="I775" s="504"/>
      <c r="J775" s="444"/>
      <c r="K775" s="296"/>
      <c r="L775" s="296"/>
      <c r="M775" s="296"/>
      <c r="N775" s="297"/>
      <c r="O775" s="297"/>
      <c r="P775" s="503"/>
      <c r="Q775" s="505"/>
      <c r="R775" s="505"/>
      <c r="S775" s="506"/>
      <c r="T775" s="71"/>
    </row>
    <row r="776" ht="15" customHeight="1" spans="1:20">
      <c r="A776" s="224" t="s">
        <v>1</v>
      </c>
      <c r="B776" s="224"/>
      <c r="C776" s="224"/>
      <c r="D776" s="224"/>
      <c r="E776" s="75" t="s">
        <v>5</v>
      </c>
      <c r="F776" s="75" t="s">
        <v>1933</v>
      </c>
      <c r="G776" s="75" t="s">
        <v>4102</v>
      </c>
      <c r="H776" s="75" t="s">
        <v>4541</v>
      </c>
      <c r="I776" s="75" t="s">
        <v>1497</v>
      </c>
      <c r="J776" s="75" t="s">
        <v>4102</v>
      </c>
      <c r="K776" s="75" t="s">
        <v>4103</v>
      </c>
      <c r="L776" s="75" t="s">
        <v>4104</v>
      </c>
      <c r="M776" s="75" t="s">
        <v>1497</v>
      </c>
      <c r="N776" s="75" t="s">
        <v>6</v>
      </c>
      <c r="O776" s="75" t="s">
        <v>7</v>
      </c>
      <c r="P776" s="75" t="s">
        <v>5211</v>
      </c>
      <c r="Q776" s="75" t="s">
        <v>8</v>
      </c>
      <c r="R776" s="75" t="s">
        <v>9</v>
      </c>
      <c r="S776" s="75" t="s">
        <v>4105</v>
      </c>
      <c r="T776" s="75" t="s">
        <v>10</v>
      </c>
    </row>
    <row r="777" s="184" customFormat="1" spans="1:20">
      <c r="A777" s="226" t="s">
        <v>2199</v>
      </c>
      <c r="B777" s="226">
        <v>20240122</v>
      </c>
      <c r="C777" s="226">
        <v>7.3</v>
      </c>
      <c r="D777" s="226" t="s">
        <v>2645</v>
      </c>
      <c r="E777" s="228" t="s">
        <v>1581</v>
      </c>
      <c r="F777" s="243" t="s">
        <v>2801</v>
      </c>
      <c r="G777" s="227" t="s">
        <v>2390</v>
      </c>
      <c r="H777" s="245" t="s">
        <v>7731</v>
      </c>
      <c r="I777" s="256" t="s">
        <v>1635</v>
      </c>
      <c r="J777" s="256">
        <v>92</v>
      </c>
      <c r="K777" s="227">
        <v>17.2</v>
      </c>
      <c r="L777" s="256" t="s">
        <v>1428</v>
      </c>
      <c r="M777" s="256">
        <v>3.3</v>
      </c>
      <c r="N777" s="231">
        <v>3.16542822647897</v>
      </c>
      <c r="O777" s="231">
        <v>13.19269320711</v>
      </c>
      <c r="P777" s="256"/>
      <c r="Q777" s="231">
        <v>2.55677228412257</v>
      </c>
      <c r="R777" s="231">
        <f>SUM(J777:Q777)</f>
        <v>131.414893717712</v>
      </c>
      <c r="S777" s="243" t="s">
        <v>7424</v>
      </c>
      <c r="T777" s="226" t="s">
        <v>7732</v>
      </c>
    </row>
    <row r="778" s="184" customFormat="1" spans="1:20">
      <c r="A778" s="226" t="s">
        <v>2199</v>
      </c>
      <c r="B778" s="226">
        <v>20240122</v>
      </c>
      <c r="C778" s="226">
        <v>7.3</v>
      </c>
      <c r="D778" s="226" t="s">
        <v>2648</v>
      </c>
      <c r="E778" s="228" t="s">
        <v>2427</v>
      </c>
      <c r="F778" s="243" t="s">
        <v>2801</v>
      </c>
      <c r="G778" s="227" t="s">
        <v>2342</v>
      </c>
      <c r="H778" s="245" t="s">
        <v>7731</v>
      </c>
      <c r="I778" s="256" t="s">
        <v>1635</v>
      </c>
      <c r="J778" s="256">
        <v>150</v>
      </c>
      <c r="K778" s="227">
        <v>17.2</v>
      </c>
      <c r="L778" s="256" t="s">
        <v>1428</v>
      </c>
      <c r="M778" s="256">
        <v>3.3</v>
      </c>
      <c r="N778" s="231">
        <v>3.16542822647897</v>
      </c>
      <c r="O778" s="231">
        <v>13.1924131731664</v>
      </c>
      <c r="P778" s="256"/>
      <c r="Q778" s="231">
        <v>2.55677228412257</v>
      </c>
      <c r="R778" s="231">
        <f>SUM(J778:Q778)</f>
        <v>189.414613683768</v>
      </c>
      <c r="S778" s="243" t="s">
        <v>7424</v>
      </c>
      <c r="T778" s="226" t="s">
        <v>7732</v>
      </c>
    </row>
    <row r="779" s="184" customFormat="1" spans="1:20">
      <c r="A779" s="226"/>
      <c r="B779" s="226">
        <v>20240910</v>
      </c>
      <c r="C779" s="226">
        <v>7.11</v>
      </c>
      <c r="D779" s="226" t="s">
        <v>783</v>
      </c>
      <c r="E779" s="228" t="s">
        <v>784</v>
      </c>
      <c r="F779" s="243"/>
      <c r="G779" s="227"/>
      <c r="H779" s="245"/>
      <c r="I779" s="256"/>
      <c r="J779" s="256"/>
      <c r="K779" s="227"/>
      <c r="L779" s="256"/>
      <c r="M779" s="256"/>
      <c r="N779" s="231">
        <v>0.20039082434064</v>
      </c>
      <c r="O779" s="231">
        <v>1.06563659657817</v>
      </c>
      <c r="P779" s="256" t="s">
        <v>1428</v>
      </c>
      <c r="Q779" s="231">
        <v>0.3</v>
      </c>
      <c r="R779" s="231">
        <f>SUM(J779:Q779)</f>
        <v>1.56602742091881</v>
      </c>
      <c r="S779" s="243"/>
      <c r="T779" s="226" t="s">
        <v>7426</v>
      </c>
    </row>
    <row r="780" s="184" customFormat="1" spans="1:20">
      <c r="A780" s="226"/>
      <c r="B780" s="226"/>
      <c r="C780" s="226"/>
      <c r="D780" s="226"/>
      <c r="E780" s="228"/>
      <c r="F780" s="243"/>
      <c r="G780" s="227"/>
      <c r="H780" s="245"/>
      <c r="I780" s="256"/>
      <c r="J780" s="256"/>
      <c r="K780" s="227"/>
      <c r="L780" s="256"/>
      <c r="M780" s="256"/>
      <c r="N780" s="231"/>
      <c r="O780" s="231"/>
      <c r="P780" s="256"/>
      <c r="Q780" s="231"/>
      <c r="R780" s="231"/>
      <c r="S780" s="243"/>
      <c r="T780" s="226"/>
    </row>
    <row r="783" s="177" customFormat="1" spans="1:20">
      <c r="A783" s="242" t="s">
        <v>7711</v>
      </c>
      <c r="B783" s="242"/>
      <c r="C783" s="242"/>
      <c r="D783" s="242"/>
      <c r="E783" s="502"/>
      <c r="F783" s="502"/>
      <c r="G783" s="503"/>
      <c r="H783" s="504"/>
      <c r="I783" s="504"/>
      <c r="J783" s="444"/>
      <c r="K783" s="296"/>
      <c r="L783" s="296"/>
      <c r="M783" s="296"/>
      <c r="N783" s="297"/>
      <c r="O783" s="297"/>
      <c r="P783" s="503"/>
      <c r="Q783" s="505"/>
      <c r="R783" s="505"/>
      <c r="S783" s="506"/>
      <c r="T783" s="71"/>
    </row>
    <row r="784" spans="1:20">
      <c r="A784" s="224" t="s">
        <v>1</v>
      </c>
      <c r="B784" s="224"/>
      <c r="C784" s="224"/>
      <c r="D784" s="224"/>
      <c r="E784" s="75" t="s">
        <v>5</v>
      </c>
      <c r="F784" s="75" t="s">
        <v>1933</v>
      </c>
      <c r="G784" s="75" t="s">
        <v>4102</v>
      </c>
      <c r="H784" s="75" t="s">
        <v>4541</v>
      </c>
      <c r="I784" s="75" t="s">
        <v>1497</v>
      </c>
      <c r="J784" s="75" t="s">
        <v>4102</v>
      </c>
      <c r="K784" s="75" t="s">
        <v>4103</v>
      </c>
      <c r="L784" s="75" t="s">
        <v>4104</v>
      </c>
      <c r="M784" s="75" t="s">
        <v>1497</v>
      </c>
      <c r="N784" s="75" t="s">
        <v>6</v>
      </c>
      <c r="O784" s="75" t="s">
        <v>7</v>
      </c>
      <c r="P784" s="75" t="s">
        <v>5211</v>
      </c>
      <c r="Q784" s="75" t="s">
        <v>8</v>
      </c>
      <c r="R784" s="75" t="s">
        <v>9</v>
      </c>
      <c r="S784" s="75" t="s">
        <v>4105</v>
      </c>
      <c r="T784" s="75" t="s">
        <v>10</v>
      </c>
    </row>
    <row r="785" s="184" customFormat="1" spans="1:20">
      <c r="A785" s="226" t="s">
        <v>7414</v>
      </c>
      <c r="B785" s="226">
        <v>20241031</v>
      </c>
      <c r="C785" s="226">
        <v>7.11</v>
      </c>
      <c r="D785" s="226" t="s">
        <v>7444</v>
      </c>
      <c r="E785" s="228" t="s">
        <v>2311</v>
      </c>
      <c r="F785" s="243" t="s">
        <v>7445</v>
      </c>
      <c r="G785" s="227" t="s">
        <v>2558</v>
      </c>
      <c r="H785" s="245" t="s">
        <v>4248</v>
      </c>
      <c r="I785" s="256" t="s">
        <v>1635</v>
      </c>
      <c r="J785" s="256" t="s">
        <v>1428</v>
      </c>
      <c r="K785" s="227">
        <v>50</v>
      </c>
      <c r="L785" s="256" t="s">
        <v>1428</v>
      </c>
      <c r="M785" s="256">
        <v>3.3</v>
      </c>
      <c r="N785" s="231">
        <v>2.98058013765978</v>
      </c>
      <c r="O785" s="231">
        <v>13.4742403676401</v>
      </c>
      <c r="P785" s="256"/>
      <c r="Q785" s="231">
        <v>2.95826013351263</v>
      </c>
      <c r="R785" s="231">
        <f>SUM(J785:Q785)</f>
        <v>72.7130806388125</v>
      </c>
      <c r="S785" s="243" t="s">
        <v>4001</v>
      </c>
      <c r="T785" s="226" t="s">
        <v>7450</v>
      </c>
    </row>
    <row r="786" s="184" customFormat="1" spans="1:20">
      <c r="A786" s="226"/>
      <c r="B786" s="226">
        <v>20241023</v>
      </c>
      <c r="C786" s="226">
        <v>7.11</v>
      </c>
      <c r="D786" s="226" t="s">
        <v>187</v>
      </c>
      <c r="E786" s="228" t="s">
        <v>188</v>
      </c>
      <c r="F786" s="243"/>
      <c r="G786" s="227"/>
      <c r="H786" s="245"/>
      <c r="I786" s="256"/>
      <c r="J786" s="256"/>
      <c r="K786" s="227"/>
      <c r="L786" s="256"/>
      <c r="M786" s="256"/>
      <c r="N786" s="231">
        <v>0.431898236311813</v>
      </c>
      <c r="O786" s="231">
        <v>1.46277730114634</v>
      </c>
      <c r="P786" s="256"/>
      <c r="Q786" s="231">
        <v>0.2</v>
      </c>
      <c r="R786" s="231">
        <f>SUM(J786:Q786)</f>
        <v>2.09467553745815</v>
      </c>
      <c r="S786" s="243"/>
      <c r="T786" s="226" t="s">
        <v>7421</v>
      </c>
    </row>
    <row r="791" s="177" customFormat="1" spans="1:20">
      <c r="A791" s="242" t="s">
        <v>7711</v>
      </c>
      <c r="B791" s="242"/>
      <c r="C791" s="242"/>
      <c r="D791" s="242"/>
      <c r="E791" s="502"/>
      <c r="F791" s="502"/>
      <c r="G791" s="503"/>
      <c r="H791" s="504"/>
      <c r="I791" s="504"/>
      <c r="J791" s="444"/>
      <c r="K791" s="296"/>
      <c r="L791" s="296"/>
      <c r="M791" s="296"/>
      <c r="N791" s="297"/>
      <c r="O791" s="297"/>
      <c r="P791" s="503"/>
      <c r="Q791" s="505"/>
      <c r="R791" s="505"/>
      <c r="S791" s="506"/>
      <c r="T791" s="71"/>
    </row>
    <row r="792" spans="1:20">
      <c r="A792" s="224" t="s">
        <v>1</v>
      </c>
      <c r="B792" s="224"/>
      <c r="C792" s="224"/>
      <c r="D792" s="224"/>
      <c r="E792" s="75" t="s">
        <v>5</v>
      </c>
      <c r="F792" s="75" t="s">
        <v>1933</v>
      </c>
      <c r="G792" s="75" t="s">
        <v>4102</v>
      </c>
      <c r="H792" s="75" t="s">
        <v>4541</v>
      </c>
      <c r="I792" s="75" t="s">
        <v>1497</v>
      </c>
      <c r="J792" s="75" t="s">
        <v>4102</v>
      </c>
      <c r="K792" s="75" t="s">
        <v>4103</v>
      </c>
      <c r="L792" s="75" t="s">
        <v>4104</v>
      </c>
      <c r="M792" s="75" t="s">
        <v>1497</v>
      </c>
      <c r="N792" s="75" t="s">
        <v>6</v>
      </c>
      <c r="O792" s="75" t="s">
        <v>7</v>
      </c>
      <c r="P792" s="75" t="s">
        <v>5211</v>
      </c>
      <c r="Q792" s="75" t="s">
        <v>8</v>
      </c>
      <c r="R792" s="75" t="s">
        <v>9</v>
      </c>
      <c r="S792" s="75" t="s">
        <v>4105</v>
      </c>
      <c r="T792" s="75" t="s">
        <v>10</v>
      </c>
    </row>
    <row r="793" s="184" customFormat="1" spans="1:20">
      <c r="A793" s="226" t="s">
        <v>7502</v>
      </c>
      <c r="B793" s="226">
        <v>20241216</v>
      </c>
      <c r="C793" s="226">
        <v>7.3</v>
      </c>
      <c r="D793" s="226" t="s">
        <v>7733</v>
      </c>
      <c r="E793" s="228" t="s">
        <v>1558</v>
      </c>
      <c r="F793" s="243" t="s">
        <v>2801</v>
      </c>
      <c r="G793" s="227" t="s">
        <v>2444</v>
      </c>
      <c r="H793" s="245" t="s">
        <v>1913</v>
      </c>
      <c r="I793" s="256"/>
      <c r="J793" s="256">
        <v>130</v>
      </c>
      <c r="K793" s="227"/>
      <c r="L793" s="256"/>
      <c r="M793" s="256"/>
      <c r="N793" s="231">
        <v>5.10685436192326</v>
      </c>
      <c r="O793" s="231">
        <v>15.3376545277488</v>
      </c>
      <c r="P793" s="256"/>
      <c r="Q793" s="231">
        <v>3.1205</v>
      </c>
      <c r="R793" s="231">
        <f>SUM(J793:Q793)</f>
        <v>153.565008889672</v>
      </c>
      <c r="S793" s="243" t="s">
        <v>1526</v>
      </c>
      <c r="T793" s="226" t="s">
        <v>2453</v>
      </c>
    </row>
    <row r="794" s="184" customFormat="1" spans="1:20">
      <c r="A794" s="226"/>
      <c r="B794" s="226">
        <v>20241203</v>
      </c>
      <c r="C794" s="226">
        <v>7.25</v>
      </c>
      <c r="D794" s="226" t="s">
        <v>255</v>
      </c>
      <c r="E794" s="228" t="s">
        <v>256</v>
      </c>
      <c r="F794" s="243"/>
      <c r="G794" s="227"/>
      <c r="H794" s="245"/>
      <c r="I794" s="256"/>
      <c r="J794" s="256"/>
      <c r="K794" s="227"/>
      <c r="L794" s="256"/>
      <c r="M794" s="256"/>
      <c r="N794" s="231">
        <v>0.462618248397925</v>
      </c>
      <c r="O794" s="231">
        <v>2.62291578985658</v>
      </c>
      <c r="P794" s="256"/>
      <c r="Q794" s="231">
        <v>0.2</v>
      </c>
      <c r="R794" s="231">
        <f>SUM(J794:Q794)</f>
        <v>3.2855340382545</v>
      </c>
      <c r="S794" s="243"/>
      <c r="T794" s="226" t="s">
        <v>257</v>
      </c>
    </row>
    <row r="799" s="177" customFormat="1" spans="1:20">
      <c r="A799" s="242" t="s">
        <v>7711</v>
      </c>
      <c r="B799" s="242"/>
      <c r="C799" s="242"/>
      <c r="D799" s="242"/>
      <c r="E799" s="502"/>
      <c r="F799" s="502"/>
      <c r="G799" s="503"/>
      <c r="H799" s="504"/>
      <c r="I799" s="504"/>
      <c r="J799" s="444"/>
      <c r="K799" s="296"/>
      <c r="L799" s="296"/>
      <c r="M799" s="296"/>
      <c r="N799" s="297"/>
      <c r="O799" s="297"/>
      <c r="P799" s="503"/>
      <c r="Q799" s="505"/>
      <c r="R799" s="505"/>
      <c r="S799" s="506"/>
      <c r="T799" s="71"/>
    </row>
    <row r="800" spans="1:20">
      <c r="A800" s="224" t="s">
        <v>1</v>
      </c>
      <c r="B800" s="224"/>
      <c r="C800" s="224"/>
      <c r="D800" s="224"/>
      <c r="E800" s="75" t="s">
        <v>5</v>
      </c>
      <c r="F800" s="75" t="s">
        <v>1933</v>
      </c>
      <c r="G800" s="75" t="s">
        <v>4102</v>
      </c>
      <c r="H800" s="75" t="s">
        <v>4541</v>
      </c>
      <c r="I800" s="75" t="s">
        <v>1497</v>
      </c>
      <c r="J800" s="75" t="s">
        <v>4102</v>
      </c>
      <c r="K800" s="75" t="s">
        <v>4103</v>
      </c>
      <c r="L800" s="75" t="s">
        <v>4104</v>
      </c>
      <c r="M800" s="75" t="s">
        <v>1497</v>
      </c>
      <c r="N800" s="75" t="s">
        <v>6</v>
      </c>
      <c r="O800" s="75" t="s">
        <v>7</v>
      </c>
      <c r="P800" s="75" t="s">
        <v>5211</v>
      </c>
      <c r="Q800" s="75" t="s">
        <v>8</v>
      </c>
      <c r="R800" s="75" t="s">
        <v>9</v>
      </c>
      <c r="S800" s="75" t="s">
        <v>4105</v>
      </c>
      <c r="T800" s="75" t="s">
        <v>10</v>
      </c>
    </row>
    <row r="801" s="184" customFormat="1" spans="1:20">
      <c r="A801" s="226" t="s">
        <v>455</v>
      </c>
      <c r="B801" s="226"/>
      <c r="C801" s="226"/>
      <c r="D801" s="226"/>
      <c r="E801" s="228" t="s">
        <v>459</v>
      </c>
      <c r="F801" s="243"/>
      <c r="G801" s="227"/>
      <c r="H801" s="245"/>
      <c r="I801" s="256"/>
      <c r="J801" s="256"/>
      <c r="K801" s="227"/>
      <c r="L801" s="256"/>
      <c r="M801" s="256"/>
      <c r="N801" s="231">
        <v>0.353494721958117</v>
      </c>
      <c r="O801" s="231">
        <v>2.21371073046442</v>
      </c>
      <c r="P801" s="256" t="s">
        <v>1428</v>
      </c>
      <c r="Q801" s="231">
        <v>0.4</v>
      </c>
      <c r="R801" s="231">
        <f>SUM(J801:Q801)</f>
        <v>2.96720545242254</v>
      </c>
      <c r="S801" s="243"/>
      <c r="T801" s="226" t="s">
        <v>2629</v>
      </c>
    </row>
    <row r="802" s="184" customFormat="1" spans="1:20">
      <c r="A802" s="226" t="s">
        <v>820</v>
      </c>
      <c r="B802" s="226">
        <v>20241118</v>
      </c>
      <c r="C802" s="226">
        <v>7.2</v>
      </c>
      <c r="D802" s="226" t="s">
        <v>7509</v>
      </c>
      <c r="E802" s="228" t="s">
        <v>1645</v>
      </c>
      <c r="F802" s="243" t="s">
        <v>1933</v>
      </c>
      <c r="G802" s="227" t="s">
        <v>3542</v>
      </c>
      <c r="H802" s="245" t="s">
        <v>1428</v>
      </c>
      <c r="I802" s="256" t="s">
        <v>1633</v>
      </c>
      <c r="J802" s="256">
        <v>30</v>
      </c>
      <c r="K802" s="227" t="s">
        <v>1428</v>
      </c>
      <c r="L802" s="256" t="s">
        <v>1428</v>
      </c>
      <c r="M802" s="256">
        <v>1.72</v>
      </c>
      <c r="N802" s="231">
        <v>2.45821042281219</v>
      </c>
      <c r="O802" s="231">
        <v>11.0792965173805</v>
      </c>
      <c r="P802" s="256" t="s">
        <v>1428</v>
      </c>
      <c r="Q802" s="231">
        <v>2.9625</v>
      </c>
      <c r="R802" s="231">
        <f>SUM(J802:Q802)</f>
        <v>48.2200069401927</v>
      </c>
      <c r="S802" s="243" t="s">
        <v>1526</v>
      </c>
      <c r="T802" s="226" t="s">
        <v>7510</v>
      </c>
    </row>
    <row r="805" s="177" customFormat="1" spans="1:20">
      <c r="A805" s="242" t="s">
        <v>7711</v>
      </c>
      <c r="B805" s="242"/>
      <c r="C805" s="242"/>
      <c r="D805" s="242"/>
      <c r="E805" s="502"/>
      <c r="F805" s="502"/>
      <c r="G805" s="503"/>
      <c r="H805" s="504"/>
      <c r="I805" s="504"/>
      <c r="J805" s="444"/>
      <c r="K805" s="296"/>
      <c r="L805" s="296"/>
      <c r="M805" s="296"/>
      <c r="N805" s="297"/>
      <c r="O805" s="297"/>
      <c r="P805" s="503"/>
      <c r="Q805" s="505"/>
      <c r="R805" s="505"/>
      <c r="S805" s="506"/>
      <c r="T805" s="71"/>
    </row>
    <row r="806" spans="1:20">
      <c r="A806" s="224" t="s">
        <v>1</v>
      </c>
      <c r="B806" s="224"/>
      <c r="C806" s="224"/>
      <c r="D806" s="224"/>
      <c r="E806" s="75" t="s">
        <v>5</v>
      </c>
      <c r="F806" s="75" t="s">
        <v>1933</v>
      </c>
      <c r="G806" s="75" t="s">
        <v>4102</v>
      </c>
      <c r="H806" s="75" t="s">
        <v>4541</v>
      </c>
      <c r="I806" s="75" t="s">
        <v>1497</v>
      </c>
      <c r="J806" s="75" t="s">
        <v>4102</v>
      </c>
      <c r="K806" s="75" t="s">
        <v>4103</v>
      </c>
      <c r="L806" s="75" t="s">
        <v>4104</v>
      </c>
      <c r="M806" s="75" t="s">
        <v>1497</v>
      </c>
      <c r="N806" s="75" t="s">
        <v>6</v>
      </c>
      <c r="O806" s="75" t="s">
        <v>7</v>
      </c>
      <c r="P806" s="75" t="s">
        <v>5211</v>
      </c>
      <c r="Q806" s="75" t="s">
        <v>8</v>
      </c>
      <c r="R806" s="75" t="s">
        <v>9</v>
      </c>
      <c r="S806" s="75" t="s">
        <v>4105</v>
      </c>
      <c r="T806" s="75" t="s">
        <v>10</v>
      </c>
    </row>
    <row r="807" s="184" customFormat="1" spans="1:20">
      <c r="A807" s="226" t="s">
        <v>7674</v>
      </c>
      <c r="B807" s="226">
        <v>20240417</v>
      </c>
      <c r="C807" s="226">
        <v>7.24</v>
      </c>
      <c r="D807" s="226" t="s">
        <v>5742</v>
      </c>
      <c r="E807" s="228" t="s">
        <v>1685</v>
      </c>
      <c r="F807" s="243" t="s">
        <v>3540</v>
      </c>
      <c r="G807" s="227" t="s">
        <v>3794</v>
      </c>
      <c r="H807" s="245" t="s">
        <v>1913</v>
      </c>
      <c r="I807" s="256" t="s">
        <v>1428</v>
      </c>
      <c r="J807" s="256">
        <v>29</v>
      </c>
      <c r="K807" s="227" t="s">
        <v>1428</v>
      </c>
      <c r="L807" s="256" t="s">
        <v>1428</v>
      </c>
      <c r="M807" s="256" t="s">
        <v>1428</v>
      </c>
      <c r="N807" s="231">
        <v>1.83347186231849</v>
      </c>
      <c r="O807" s="231">
        <v>15.3334736510823</v>
      </c>
      <c r="P807" s="256" t="s">
        <v>1428</v>
      </c>
      <c r="Q807" s="231">
        <v>4</v>
      </c>
      <c r="R807" s="231">
        <f>SUM(J807:Q807)</f>
        <v>50.1669455134008</v>
      </c>
      <c r="S807" s="243" t="s">
        <v>1526</v>
      </c>
      <c r="T807" s="226" t="s">
        <v>7675</v>
      </c>
    </row>
    <row r="810" spans="1:20">
      <c r="A810" s="195" t="s">
        <v>7734</v>
      </c>
      <c r="B810" s="195"/>
      <c r="C810" s="195"/>
      <c r="D810" s="195"/>
      <c r="E810" s="196"/>
      <c r="F810" s="196"/>
      <c r="G810" s="197"/>
      <c r="H810" s="198"/>
      <c r="I810" s="198"/>
      <c r="J810" s="199"/>
      <c r="K810" s="296"/>
      <c r="L810" s="200"/>
      <c r="M810" s="200"/>
      <c r="N810" s="297"/>
      <c r="O810" s="201"/>
      <c r="P810" s="197"/>
      <c r="Q810" s="202"/>
      <c r="R810" s="202"/>
      <c r="S810" s="203"/>
      <c r="T810" s="80"/>
    </row>
    <row r="811" spans="1:20">
      <c r="A811" s="224" t="s">
        <v>1</v>
      </c>
      <c r="B811" s="224"/>
      <c r="C811" s="224"/>
      <c r="D811" s="224"/>
      <c r="E811" s="75" t="s">
        <v>5</v>
      </c>
      <c r="F811" s="75" t="s">
        <v>1933</v>
      </c>
      <c r="G811" s="75" t="s">
        <v>4102</v>
      </c>
      <c r="H811" s="75" t="s">
        <v>4541</v>
      </c>
      <c r="I811" s="75" t="s">
        <v>1497</v>
      </c>
      <c r="J811" s="75" t="s">
        <v>4102</v>
      </c>
      <c r="K811" s="75" t="s">
        <v>4103</v>
      </c>
      <c r="L811" s="75" t="s">
        <v>4104</v>
      </c>
      <c r="M811" s="75" t="s">
        <v>1497</v>
      </c>
      <c r="N811" s="75" t="s">
        <v>6</v>
      </c>
      <c r="O811" s="75" t="s">
        <v>7</v>
      </c>
      <c r="P811" s="75" t="s">
        <v>5211</v>
      </c>
      <c r="Q811" s="75" t="s">
        <v>8</v>
      </c>
      <c r="R811" s="75" t="s">
        <v>9</v>
      </c>
      <c r="S811" s="75" t="s">
        <v>4105</v>
      </c>
      <c r="T811" s="75" t="s">
        <v>10</v>
      </c>
    </row>
    <row r="812" s="184" customFormat="1" spans="1:20">
      <c r="A812" s="226" t="s">
        <v>7735</v>
      </c>
      <c r="B812" s="226">
        <v>20240402</v>
      </c>
      <c r="C812" s="226">
        <v>7.23</v>
      </c>
      <c r="D812" s="226" t="s">
        <v>2992</v>
      </c>
      <c r="E812" s="228" t="s">
        <v>1571</v>
      </c>
      <c r="F812" s="243" t="s">
        <v>1933</v>
      </c>
      <c r="G812" s="227" t="s">
        <v>2390</v>
      </c>
      <c r="H812" s="245" t="s">
        <v>1913</v>
      </c>
      <c r="I812" s="256" t="s">
        <v>1428</v>
      </c>
      <c r="J812" s="256">
        <v>92</v>
      </c>
      <c r="K812" s="227" t="s">
        <v>1428</v>
      </c>
      <c r="L812" s="256" t="s">
        <v>1428</v>
      </c>
      <c r="M812" s="256" t="s">
        <v>1428</v>
      </c>
      <c r="N812" s="231">
        <v>3.47617473898089</v>
      </c>
      <c r="O812" s="257">
        <v>19.1476663201964</v>
      </c>
      <c r="P812" s="256" t="s">
        <v>1428</v>
      </c>
      <c r="Q812" s="231">
        <v>3.29049550235329</v>
      </c>
      <c r="R812" s="231">
        <v>117.914336561531</v>
      </c>
      <c r="S812" s="243" t="s">
        <v>1526</v>
      </c>
      <c r="T812" s="226" t="s">
        <v>7736</v>
      </c>
    </row>
    <row r="817" spans="1:20">
      <c r="A817" s="195" t="s">
        <v>7734</v>
      </c>
      <c r="B817" s="195"/>
      <c r="C817" s="195"/>
      <c r="D817" s="195"/>
      <c r="E817" s="196"/>
      <c r="F817" s="196"/>
      <c r="G817" s="197"/>
      <c r="H817" s="198"/>
      <c r="I817" s="198"/>
      <c r="J817" s="199"/>
      <c r="K817" s="200"/>
      <c r="L817" s="200"/>
      <c r="M817" s="200"/>
      <c r="N817" s="201"/>
      <c r="O817" s="201"/>
      <c r="P817" s="197"/>
      <c r="Q817" s="202"/>
      <c r="R817" s="202"/>
      <c r="S817" s="203"/>
      <c r="T817" s="333"/>
    </row>
    <row r="818" spans="1:20">
      <c r="A818" s="224" t="s">
        <v>1</v>
      </c>
      <c r="B818" s="224" t="s">
        <v>2</v>
      </c>
      <c r="C818" s="224" t="s">
        <v>1493</v>
      </c>
      <c r="D818" s="206" t="s">
        <v>4</v>
      </c>
      <c r="E818" s="75" t="s">
        <v>5</v>
      </c>
      <c r="F818" s="75" t="s">
        <v>1933</v>
      </c>
      <c r="G818" s="75" t="s">
        <v>4102</v>
      </c>
      <c r="H818" s="75" t="s">
        <v>4541</v>
      </c>
      <c r="I818" s="75" t="s">
        <v>1497</v>
      </c>
      <c r="J818" s="75" t="s">
        <v>4102</v>
      </c>
      <c r="K818" s="75" t="s">
        <v>4103</v>
      </c>
      <c r="L818" s="75" t="s">
        <v>4104</v>
      </c>
      <c r="M818" s="75" t="s">
        <v>1497</v>
      </c>
      <c r="N818" s="75" t="s">
        <v>6</v>
      </c>
      <c r="O818" s="75" t="s">
        <v>7</v>
      </c>
      <c r="P818" s="75" t="s">
        <v>5211</v>
      </c>
      <c r="Q818" s="75" t="s">
        <v>8</v>
      </c>
      <c r="R818" s="75" t="s">
        <v>9</v>
      </c>
      <c r="S818" s="75" t="s">
        <v>4105</v>
      </c>
      <c r="T818" s="75" t="s">
        <v>10</v>
      </c>
    </row>
    <row r="819" s="184" customFormat="1" spans="1:20">
      <c r="A819" s="226"/>
      <c r="B819" s="226">
        <v>20241105</v>
      </c>
      <c r="C819" s="226">
        <v>7.11</v>
      </c>
      <c r="D819" s="226" t="s">
        <v>7448</v>
      </c>
      <c r="E819" s="228" t="s">
        <v>7449</v>
      </c>
      <c r="F819" s="243"/>
      <c r="G819" s="227"/>
      <c r="H819" s="245"/>
      <c r="I819" s="256"/>
      <c r="J819" s="256"/>
      <c r="K819" s="227"/>
      <c r="L819" s="256"/>
      <c r="M819" s="256"/>
      <c r="N819" s="231">
        <v>0.421489007854134</v>
      </c>
      <c r="O819" s="257">
        <v>1.1196039270565</v>
      </c>
      <c r="P819" s="256"/>
      <c r="Q819" s="231">
        <v>0.2</v>
      </c>
      <c r="R819" s="231">
        <v>1.74109293491063</v>
      </c>
      <c r="S819" s="243"/>
      <c r="T819" s="226"/>
    </row>
    <row r="820" s="184" customFormat="1" spans="1:20">
      <c r="A820" s="226" t="s">
        <v>7407</v>
      </c>
      <c r="B820" s="226">
        <v>20241028</v>
      </c>
      <c r="C820" s="226">
        <v>7.11</v>
      </c>
      <c r="D820" s="226" t="s">
        <v>7432</v>
      </c>
      <c r="E820" s="228" t="s">
        <v>2364</v>
      </c>
      <c r="F820" s="243" t="s">
        <v>1933</v>
      </c>
      <c r="G820" s="227" t="s">
        <v>2326</v>
      </c>
      <c r="H820" s="245" t="s">
        <v>1913</v>
      </c>
      <c r="I820" s="256" t="s">
        <v>1428</v>
      </c>
      <c r="J820" s="507">
        <v>100</v>
      </c>
      <c r="K820" s="227" t="s">
        <v>1428</v>
      </c>
      <c r="L820" s="256" t="s">
        <v>1428</v>
      </c>
      <c r="M820" s="256" t="s">
        <v>1428</v>
      </c>
      <c r="N820" s="231">
        <v>3.81638723970974</v>
      </c>
      <c r="O820" s="257">
        <v>13.9036373471267</v>
      </c>
      <c r="P820" s="256" t="s">
        <v>1428</v>
      </c>
      <c r="Q820" s="231">
        <v>2.88823119777159</v>
      </c>
      <c r="R820" s="231">
        <f>SUM(J820:Q820)+1</f>
        <v>121.608255784608</v>
      </c>
      <c r="S820" s="243" t="s">
        <v>1526</v>
      </c>
      <c r="T820" s="226" t="s">
        <v>7433</v>
      </c>
    </row>
    <row r="822" spans="1:20">
      <c r="A822" s="195" t="s">
        <v>7734</v>
      </c>
      <c r="B822" s="195"/>
      <c r="C822" s="195"/>
      <c r="D822" s="195"/>
      <c r="E822" s="196"/>
      <c r="F822" s="196"/>
      <c r="G822" s="197"/>
      <c r="H822" s="198"/>
      <c r="I822" s="198"/>
      <c r="J822" s="199"/>
      <c r="K822" s="200"/>
      <c r="L822" s="200"/>
      <c r="M822" s="200"/>
      <c r="N822" s="201"/>
      <c r="O822" s="201"/>
      <c r="P822" s="197"/>
      <c r="Q822" s="202"/>
      <c r="R822" s="202"/>
      <c r="S822" s="203"/>
      <c r="T822" s="333"/>
    </row>
    <row r="823" spans="1:20">
      <c r="A823" s="224" t="s">
        <v>1</v>
      </c>
      <c r="B823" s="224" t="s">
        <v>2</v>
      </c>
      <c r="C823" s="224" t="s">
        <v>1493</v>
      </c>
      <c r="D823" s="75" t="s">
        <v>4</v>
      </c>
      <c r="E823" s="75" t="s">
        <v>5</v>
      </c>
      <c r="F823" s="75" t="s">
        <v>1933</v>
      </c>
      <c r="G823" s="75" t="s">
        <v>4102</v>
      </c>
      <c r="H823" s="75" t="s">
        <v>4541</v>
      </c>
      <c r="I823" s="75" t="s">
        <v>1497</v>
      </c>
      <c r="J823" s="75" t="s">
        <v>4102</v>
      </c>
      <c r="K823" s="75" t="s">
        <v>4103</v>
      </c>
      <c r="L823" s="75" t="s">
        <v>4104</v>
      </c>
      <c r="M823" s="75" t="s">
        <v>1497</v>
      </c>
      <c r="N823" s="75" t="s">
        <v>6</v>
      </c>
      <c r="O823" s="75" t="s">
        <v>7</v>
      </c>
      <c r="P823" s="75" t="s">
        <v>5211</v>
      </c>
      <c r="Q823" s="75" t="s">
        <v>8</v>
      </c>
      <c r="R823" s="75" t="s">
        <v>9</v>
      </c>
      <c r="S823" s="75" t="s">
        <v>4105</v>
      </c>
      <c r="T823" s="75" t="s">
        <v>10</v>
      </c>
    </row>
    <row r="824" s="184" customFormat="1" hidden="1" spans="1:20">
      <c r="A824" s="226" t="s">
        <v>7407</v>
      </c>
      <c r="B824" s="226">
        <v>20240808</v>
      </c>
      <c r="C824" s="226">
        <v>7.15</v>
      </c>
      <c r="D824" s="226" t="s">
        <v>7737</v>
      </c>
      <c r="E824" s="228" t="s">
        <v>7738</v>
      </c>
      <c r="F824" s="243" t="s">
        <v>4284</v>
      </c>
      <c r="G824" s="227" t="s">
        <v>2323</v>
      </c>
      <c r="H824" s="245" t="s">
        <v>1913</v>
      </c>
      <c r="I824" s="256" t="s">
        <v>1428</v>
      </c>
      <c r="J824" s="256">
        <v>65</v>
      </c>
      <c r="K824" s="227" t="s">
        <v>1428</v>
      </c>
      <c r="L824" s="256" t="s">
        <v>1428</v>
      </c>
      <c r="M824" s="256" t="s">
        <v>1428</v>
      </c>
      <c r="N824" s="231">
        <v>3.81638723970974</v>
      </c>
      <c r="O824" s="257">
        <v>11.7946734186583</v>
      </c>
      <c r="P824" s="256" t="s">
        <v>1428</v>
      </c>
      <c r="Q824" s="231">
        <v>2.88823119777159</v>
      </c>
      <c r="R824" s="231">
        <f>SUM(J824:Q824)+1</f>
        <v>84.4992918561396</v>
      </c>
      <c r="S824" s="243" t="s">
        <v>1526</v>
      </c>
      <c r="T824" s="226" t="s">
        <v>2588</v>
      </c>
    </row>
    <row r="825" s="184" customFormat="1" hidden="1" spans="1:20">
      <c r="A825" s="226" t="s">
        <v>7407</v>
      </c>
      <c r="B825" s="226">
        <v>20240808</v>
      </c>
      <c r="C825" s="226">
        <v>7.15</v>
      </c>
      <c r="D825" s="226" t="s">
        <v>7739</v>
      </c>
      <c r="E825" s="228" t="s">
        <v>7740</v>
      </c>
      <c r="F825" s="243" t="s">
        <v>4284</v>
      </c>
      <c r="G825" s="227" t="s">
        <v>2326</v>
      </c>
      <c r="H825" s="245" t="s">
        <v>1913</v>
      </c>
      <c r="I825" s="256" t="s">
        <v>1428</v>
      </c>
      <c r="J825" s="256">
        <v>100</v>
      </c>
      <c r="K825" s="227" t="s">
        <v>1428</v>
      </c>
      <c r="L825" s="256" t="s">
        <v>1428</v>
      </c>
      <c r="M825" s="256" t="s">
        <v>1428</v>
      </c>
      <c r="N825" s="231">
        <v>3.81638723970974</v>
      </c>
      <c r="O825" s="257">
        <v>11.7890895187883</v>
      </c>
      <c r="P825" s="256" t="s">
        <v>1428</v>
      </c>
      <c r="Q825" s="231">
        <v>2.88823119777159</v>
      </c>
      <c r="R825" s="231">
        <f>SUM(J825:Q825)+1</f>
        <v>119.49370795627</v>
      </c>
      <c r="S825" s="243" t="s">
        <v>1526</v>
      </c>
      <c r="T825" s="226" t="s">
        <v>2588</v>
      </c>
    </row>
    <row r="826" s="184" customFormat="1" hidden="1" spans="1:20">
      <c r="A826" s="226" t="s">
        <v>7407</v>
      </c>
      <c r="B826" s="226">
        <v>20240808</v>
      </c>
      <c r="C826" s="226">
        <v>7.15</v>
      </c>
      <c r="D826" s="226" t="s">
        <v>7741</v>
      </c>
      <c r="E826" s="228" t="s">
        <v>7742</v>
      </c>
      <c r="F826" s="243" t="s">
        <v>4284</v>
      </c>
      <c r="G826" s="227" t="s">
        <v>2338</v>
      </c>
      <c r="H826" s="245" t="s">
        <v>1913</v>
      </c>
      <c r="I826" s="256" t="s">
        <v>1428</v>
      </c>
      <c r="J826" s="256">
        <v>135</v>
      </c>
      <c r="K826" s="227" t="s">
        <v>1428</v>
      </c>
      <c r="L826" s="256" t="s">
        <v>1428</v>
      </c>
      <c r="M826" s="256" t="s">
        <v>1428</v>
      </c>
      <c r="N826" s="231">
        <v>3.81638723970974</v>
      </c>
      <c r="O826" s="257">
        <v>11.7945737690513</v>
      </c>
      <c r="P826" s="256" t="s">
        <v>1428</v>
      </c>
      <c r="Q826" s="231">
        <v>2.88823119777159</v>
      </c>
      <c r="R826" s="231">
        <f>SUM(J826:Q826)+1</f>
        <v>154.499192206533</v>
      </c>
      <c r="S826" s="243" t="s">
        <v>1526</v>
      </c>
      <c r="T826" s="226" t="s">
        <v>2588</v>
      </c>
    </row>
    <row r="827" spans="1:20">
      <c r="A827" s="333"/>
      <c r="B827" s="226">
        <v>20241010</v>
      </c>
      <c r="C827" s="226">
        <v>7.11</v>
      </c>
      <c r="D827" s="226" t="s">
        <v>1416</v>
      </c>
      <c r="E827" s="226" t="s">
        <v>1417</v>
      </c>
      <c r="F827" s="226"/>
      <c r="G827" s="227"/>
      <c r="H827" s="227"/>
      <c r="I827" s="227"/>
      <c r="J827" s="245"/>
      <c r="K827" s="256"/>
      <c r="L827" s="256"/>
      <c r="M827" s="256"/>
      <c r="N827" s="334">
        <v>0.423185591775264</v>
      </c>
      <c r="O827" s="334">
        <v>1.1511540502635</v>
      </c>
      <c r="P827" s="227" t="s">
        <v>1428</v>
      </c>
      <c r="Q827" s="231">
        <v>0.2</v>
      </c>
      <c r="R827" s="231">
        <f>SUM(J827:Q827)</f>
        <v>1.77433964203876</v>
      </c>
      <c r="S827" s="233"/>
      <c r="T827" s="260" t="s">
        <v>7532</v>
      </c>
    </row>
    <row r="829" spans="1:20">
      <c r="A829" s="195" t="s">
        <v>7734</v>
      </c>
      <c r="B829" s="195"/>
      <c r="C829" s="195"/>
      <c r="D829" s="195"/>
      <c r="E829" s="196"/>
      <c r="F829" s="196"/>
      <c r="G829" s="197"/>
      <c r="H829" s="198"/>
      <c r="I829" s="198"/>
      <c r="J829" s="199"/>
      <c r="K829" s="200"/>
      <c r="L829" s="200"/>
      <c r="M829" s="200"/>
      <c r="N829" s="201"/>
      <c r="O829" s="201"/>
      <c r="P829" s="197"/>
      <c r="Q829" s="202"/>
      <c r="R829" s="202"/>
      <c r="S829" s="203"/>
      <c r="T829" s="333"/>
    </row>
    <row r="830" spans="1:20">
      <c r="A830" s="224" t="s">
        <v>1</v>
      </c>
      <c r="B830" s="224" t="s">
        <v>2</v>
      </c>
      <c r="C830" s="224" t="s">
        <v>1493</v>
      </c>
      <c r="D830" s="75" t="s">
        <v>4</v>
      </c>
      <c r="E830" s="75" t="s">
        <v>5</v>
      </c>
      <c r="F830" s="75" t="s">
        <v>1933</v>
      </c>
      <c r="G830" s="75" t="s">
        <v>4102</v>
      </c>
      <c r="H830" s="75" t="s">
        <v>4541</v>
      </c>
      <c r="I830" s="75" t="s">
        <v>1497</v>
      </c>
      <c r="J830" s="75" t="s">
        <v>4102</v>
      </c>
      <c r="K830" s="75" t="s">
        <v>4103</v>
      </c>
      <c r="L830" s="75" t="s">
        <v>4104</v>
      </c>
      <c r="M830" s="75" t="s">
        <v>1497</v>
      </c>
      <c r="N830" s="75" t="s">
        <v>6</v>
      </c>
      <c r="O830" s="75" t="s">
        <v>7</v>
      </c>
      <c r="P830" s="75" t="s">
        <v>5211</v>
      </c>
      <c r="Q830" s="75" t="s">
        <v>8</v>
      </c>
      <c r="R830" s="75" t="s">
        <v>9</v>
      </c>
      <c r="S830" s="75" t="s">
        <v>4105</v>
      </c>
      <c r="T830" s="75" t="s">
        <v>10</v>
      </c>
    </row>
    <row r="831" s="184" customFormat="1" spans="1:20">
      <c r="A831" s="226"/>
      <c r="B831" s="226">
        <v>20241029</v>
      </c>
      <c r="C831" s="226">
        <v>7.11</v>
      </c>
      <c r="D831" s="226" t="s">
        <v>5137</v>
      </c>
      <c r="E831" s="228" t="s">
        <v>5138</v>
      </c>
      <c r="F831" s="243"/>
      <c r="G831" s="227"/>
      <c r="H831" s="245"/>
      <c r="I831" s="256"/>
      <c r="J831" s="256"/>
      <c r="K831" s="227"/>
      <c r="L831" s="256"/>
      <c r="M831" s="256"/>
      <c r="N831" s="231">
        <v>0.317389193831448</v>
      </c>
      <c r="O831" s="257">
        <v>1.29329262207298</v>
      </c>
      <c r="P831" s="256"/>
      <c r="Q831" s="231">
        <v>0.2</v>
      </c>
      <c r="R831" s="231">
        <f>SUM(J831:Q831)</f>
        <v>1.81068181590443</v>
      </c>
      <c r="S831" s="243"/>
      <c r="T831" s="226" t="s">
        <v>7743</v>
      </c>
    </row>
    <row r="832" s="184" customFormat="1" spans="1:20">
      <c r="A832" s="226"/>
      <c r="B832" s="226">
        <v>20250211</v>
      </c>
      <c r="C832" s="226">
        <v>7.3</v>
      </c>
      <c r="D832" s="226" t="s">
        <v>380</v>
      </c>
      <c r="E832" s="228" t="s">
        <v>381</v>
      </c>
      <c r="F832" s="243"/>
      <c r="G832" s="227"/>
      <c r="H832" s="245"/>
      <c r="I832" s="256"/>
      <c r="J832" s="256"/>
      <c r="K832" s="227"/>
      <c r="L832" s="256"/>
      <c r="M832" s="256"/>
      <c r="N832" s="231">
        <v>0.317389193831448</v>
      </c>
      <c r="O832" s="257">
        <v>1.0050273796048</v>
      </c>
      <c r="P832" s="256"/>
      <c r="Q832" s="231">
        <v>0.2</v>
      </c>
      <c r="R832" s="231">
        <f>SUM(J832:Q832)</f>
        <v>1.52241657343625</v>
      </c>
      <c r="S832" s="243"/>
      <c r="T832" s="226" t="s">
        <v>382</v>
      </c>
    </row>
    <row r="835" spans="1:20">
      <c r="A835" s="195" t="s">
        <v>7734</v>
      </c>
      <c r="B835" s="195"/>
      <c r="C835" s="195"/>
      <c r="D835" s="195"/>
      <c r="E835" s="196"/>
      <c r="F835" s="196"/>
      <c r="G835" s="197"/>
      <c r="H835" s="198"/>
      <c r="I835" s="198"/>
      <c r="J835" s="199"/>
      <c r="K835" s="200"/>
      <c r="L835" s="200"/>
      <c r="M835" s="200"/>
      <c r="N835" s="201"/>
      <c r="O835" s="201"/>
      <c r="P835" s="197"/>
      <c r="Q835" s="202"/>
      <c r="R835" s="202"/>
      <c r="S835" s="203"/>
      <c r="T835" s="333"/>
    </row>
    <row r="836" spans="1:20">
      <c r="A836" s="224" t="s">
        <v>1</v>
      </c>
      <c r="B836" s="224" t="s">
        <v>2</v>
      </c>
      <c r="C836" s="224" t="s">
        <v>1493</v>
      </c>
      <c r="D836" s="75" t="s">
        <v>4</v>
      </c>
      <c r="E836" s="75" t="s">
        <v>5</v>
      </c>
      <c r="F836" s="75" t="s">
        <v>1933</v>
      </c>
      <c r="G836" s="75" t="s">
        <v>4102</v>
      </c>
      <c r="H836" s="75" t="s">
        <v>4541</v>
      </c>
      <c r="I836" s="75" t="s">
        <v>1497</v>
      </c>
      <c r="J836" s="75" t="s">
        <v>4102</v>
      </c>
      <c r="K836" s="75" t="s">
        <v>4103</v>
      </c>
      <c r="L836" s="75" t="s">
        <v>4104</v>
      </c>
      <c r="M836" s="75" t="s">
        <v>1497</v>
      </c>
      <c r="N836" s="75" t="s">
        <v>6</v>
      </c>
      <c r="O836" s="75" t="s">
        <v>7</v>
      </c>
      <c r="P836" s="75" t="s">
        <v>5211</v>
      </c>
      <c r="Q836" s="75" t="s">
        <v>8</v>
      </c>
      <c r="R836" s="75" t="s">
        <v>9</v>
      </c>
      <c r="S836" s="75" t="s">
        <v>4105</v>
      </c>
      <c r="T836" s="75" t="s">
        <v>10</v>
      </c>
    </row>
    <row r="837" s="184" customFormat="1" spans="1:20">
      <c r="A837" s="226"/>
      <c r="B837" s="226">
        <v>20240105</v>
      </c>
      <c r="C837" s="226">
        <v>7.2</v>
      </c>
      <c r="D837" s="226" t="s">
        <v>23</v>
      </c>
      <c r="E837" s="228" t="s">
        <v>24</v>
      </c>
      <c r="F837" s="243"/>
      <c r="G837" s="227"/>
      <c r="H837" s="245"/>
      <c r="I837" s="256"/>
      <c r="J837" s="256"/>
      <c r="K837" s="227"/>
      <c r="L837" s="256"/>
      <c r="M837" s="256"/>
      <c r="N837" s="231">
        <v>0.699507389162562</v>
      </c>
      <c r="O837" s="257">
        <f>2.94581280788177*7.12/7.2</f>
        <v>2.91308155446086</v>
      </c>
      <c r="P837" s="256" t="s">
        <v>1428</v>
      </c>
      <c r="Q837" s="231">
        <v>0.4</v>
      </c>
      <c r="R837" s="231">
        <v>4.04532019704433</v>
      </c>
      <c r="S837" s="243"/>
      <c r="T837" s="226" t="s">
        <v>25</v>
      </c>
    </row>
    <row r="838" s="184" customFormat="1" spans="1:20">
      <c r="A838" s="226" t="s">
        <v>7744</v>
      </c>
      <c r="B838" s="226">
        <v>20231009</v>
      </c>
      <c r="C838" s="226">
        <v>7.2</v>
      </c>
      <c r="D838" s="226" t="s">
        <v>7745</v>
      </c>
      <c r="E838" s="228" t="s">
        <v>2320</v>
      </c>
      <c r="F838" s="243" t="s">
        <v>1933</v>
      </c>
      <c r="G838" s="227" t="s">
        <v>2326</v>
      </c>
      <c r="H838" s="245" t="s">
        <v>1913</v>
      </c>
      <c r="I838" s="256" t="s">
        <v>1428</v>
      </c>
      <c r="J838" s="256">
        <v>100</v>
      </c>
      <c r="K838" s="227" t="s">
        <v>1428</v>
      </c>
      <c r="L838" s="256" t="s">
        <v>1428</v>
      </c>
      <c r="M838" s="256" t="s">
        <v>1428</v>
      </c>
      <c r="N838" s="231">
        <v>3.81638723970974</v>
      </c>
      <c r="O838" s="257">
        <v>15.4213830040369</v>
      </c>
      <c r="P838" s="256" t="s">
        <v>1428</v>
      </c>
      <c r="Q838" s="231">
        <v>2.88823119777159</v>
      </c>
      <c r="R838" s="231">
        <f>SUM(J838:Q838)+1</f>
        <v>123.126001441518</v>
      </c>
      <c r="S838" s="243" t="s">
        <v>1526</v>
      </c>
      <c r="T838" s="226" t="s">
        <v>7433</v>
      </c>
    </row>
    <row r="842" spans="1:20">
      <c r="A842" s="195" t="s">
        <v>7734</v>
      </c>
      <c r="B842" s="195"/>
      <c r="C842" s="195"/>
      <c r="D842" s="195"/>
      <c r="E842" s="196"/>
      <c r="F842" s="196"/>
      <c r="G842" s="197"/>
      <c r="H842" s="198"/>
      <c r="I842" s="198"/>
      <c r="J842" s="199"/>
      <c r="K842" s="200"/>
      <c r="L842" s="200"/>
      <c r="M842" s="200"/>
      <c r="N842" s="201"/>
      <c r="O842" s="201"/>
      <c r="P842" s="197"/>
      <c r="Q842" s="202"/>
      <c r="R842" s="202"/>
      <c r="S842" s="203"/>
      <c r="T842" s="80"/>
    </row>
    <row r="843" spans="1:20">
      <c r="A843" s="224" t="s">
        <v>1</v>
      </c>
      <c r="B843" s="224" t="s">
        <v>2</v>
      </c>
      <c r="C843" s="224" t="s">
        <v>1493</v>
      </c>
      <c r="D843" s="224" t="s">
        <v>4</v>
      </c>
      <c r="E843" s="75" t="s">
        <v>5</v>
      </c>
      <c r="F843" s="274" t="s">
        <v>1933</v>
      </c>
      <c r="G843" s="75" t="s">
        <v>4102</v>
      </c>
      <c r="H843" s="75" t="s">
        <v>4541</v>
      </c>
      <c r="I843" s="75" t="s">
        <v>1497</v>
      </c>
      <c r="J843" s="75" t="s">
        <v>4102</v>
      </c>
      <c r="K843" s="75" t="s">
        <v>4103</v>
      </c>
      <c r="L843" s="75" t="s">
        <v>4104</v>
      </c>
      <c r="M843" s="75" t="s">
        <v>1497</v>
      </c>
      <c r="N843" s="75" t="s">
        <v>6</v>
      </c>
      <c r="O843" s="75" t="s">
        <v>7</v>
      </c>
      <c r="P843" s="75" t="s">
        <v>5211</v>
      </c>
      <c r="Q843" s="75" t="s">
        <v>8</v>
      </c>
      <c r="R843" s="75" t="s">
        <v>9</v>
      </c>
      <c r="S843" s="75" t="s">
        <v>4105</v>
      </c>
      <c r="T843" s="75" t="s">
        <v>10</v>
      </c>
    </row>
    <row r="844" spans="1:20">
      <c r="A844" s="226"/>
      <c r="B844" s="229">
        <v>202401009</v>
      </c>
      <c r="C844" s="229">
        <v>7.11</v>
      </c>
      <c r="D844" s="226" t="s">
        <v>354</v>
      </c>
      <c r="E844" s="226" t="s">
        <v>355</v>
      </c>
      <c r="F844" s="226"/>
      <c r="G844" s="227"/>
      <c r="H844" s="227"/>
      <c r="I844" s="227"/>
      <c r="J844" s="227"/>
      <c r="K844" s="227"/>
      <c r="L844" s="227"/>
      <c r="M844" s="227"/>
      <c r="N844" s="231">
        <v>0.921050993863809</v>
      </c>
      <c r="O844" s="257">
        <v>4.1260122062069</v>
      </c>
      <c r="P844" s="231"/>
      <c r="Q844" s="231">
        <v>0.4</v>
      </c>
      <c r="R844" s="231">
        <f>SUM(J844:Q844)</f>
        <v>5.44706320007071</v>
      </c>
      <c r="S844" s="233"/>
      <c r="T844" s="254" t="s">
        <v>7630</v>
      </c>
    </row>
    <row r="846" spans="1:20">
      <c r="A846" s="195" t="s">
        <v>7734</v>
      </c>
      <c r="B846" s="195"/>
      <c r="C846" s="195"/>
      <c r="D846" s="195"/>
      <c r="E846" s="196"/>
      <c r="F846" s="196"/>
      <c r="G846" s="197"/>
      <c r="H846" s="198"/>
      <c r="I846" s="198"/>
      <c r="J846" s="199"/>
      <c r="K846" s="200"/>
      <c r="L846" s="200"/>
      <c r="M846" s="200"/>
      <c r="N846" s="201"/>
      <c r="O846" s="201"/>
      <c r="P846" s="197"/>
      <c r="Q846" s="202"/>
      <c r="R846" s="202"/>
      <c r="S846" s="203"/>
      <c r="T846" s="80"/>
    </row>
    <row r="847" spans="1:20">
      <c r="A847" s="224" t="s">
        <v>1</v>
      </c>
      <c r="B847" s="224" t="s">
        <v>2</v>
      </c>
      <c r="C847" s="224" t="s">
        <v>1493</v>
      </c>
      <c r="D847" s="224" t="s">
        <v>4</v>
      </c>
      <c r="E847" s="75" t="s">
        <v>5</v>
      </c>
      <c r="F847" s="274" t="s">
        <v>1933</v>
      </c>
      <c r="G847" s="75" t="s">
        <v>4102</v>
      </c>
      <c r="H847" s="75" t="s">
        <v>4541</v>
      </c>
      <c r="I847" s="75" t="s">
        <v>1497</v>
      </c>
      <c r="J847" s="75" t="s">
        <v>4102</v>
      </c>
      <c r="K847" s="75" t="s">
        <v>4103</v>
      </c>
      <c r="L847" s="75" t="s">
        <v>4104</v>
      </c>
      <c r="M847" s="75" t="s">
        <v>1497</v>
      </c>
      <c r="N847" s="75" t="s">
        <v>6</v>
      </c>
      <c r="O847" s="75" t="s">
        <v>7</v>
      </c>
      <c r="P847" s="75" t="s">
        <v>5211</v>
      </c>
      <c r="Q847" s="75" t="s">
        <v>8</v>
      </c>
      <c r="R847" s="75" t="s">
        <v>9</v>
      </c>
      <c r="S847" s="75" t="s">
        <v>4105</v>
      </c>
      <c r="T847" s="75" t="s">
        <v>10</v>
      </c>
    </row>
    <row r="848" spans="1:20">
      <c r="A848" s="226" t="s">
        <v>3547</v>
      </c>
      <c r="B848" s="229">
        <v>20241120</v>
      </c>
      <c r="C848" s="229">
        <v>7.2</v>
      </c>
      <c r="D848" s="226" t="s">
        <v>3569</v>
      </c>
      <c r="E848" s="226" t="s">
        <v>2110</v>
      </c>
      <c r="F848" s="226" t="s">
        <v>1933</v>
      </c>
      <c r="G848" s="227" t="s">
        <v>3542</v>
      </c>
      <c r="H848" s="227" t="s">
        <v>3349</v>
      </c>
      <c r="I848" s="227" t="s">
        <v>1428</v>
      </c>
      <c r="J848" s="227">
        <v>30</v>
      </c>
      <c r="K848" s="227" t="s">
        <v>1428</v>
      </c>
      <c r="L848" s="227">
        <v>6.5</v>
      </c>
      <c r="M848" s="227" t="s">
        <v>1428</v>
      </c>
      <c r="N848" s="231">
        <v>3.20749785295545</v>
      </c>
      <c r="O848" s="257">
        <v>10.840617916354</v>
      </c>
      <c r="P848" s="231" t="s">
        <v>1428</v>
      </c>
      <c r="Q848" s="231">
        <v>3</v>
      </c>
      <c r="R848" s="231">
        <f>SUM(J848:Q848)</f>
        <v>53.5481157693094</v>
      </c>
      <c r="S848" s="233" t="s">
        <v>3384</v>
      </c>
      <c r="T848" s="254" t="s">
        <v>7406</v>
      </c>
    </row>
    <row r="849" spans="1:20">
      <c r="A849" s="226" t="s">
        <v>3547</v>
      </c>
      <c r="B849" s="229">
        <v>20241210</v>
      </c>
      <c r="C849" s="229">
        <v>7.3</v>
      </c>
      <c r="D849" s="226" t="s">
        <v>3573</v>
      </c>
      <c r="E849" s="226" t="s">
        <v>667</v>
      </c>
      <c r="F849" s="226" t="s">
        <v>1933</v>
      </c>
      <c r="G849" s="227" t="s">
        <v>3541</v>
      </c>
      <c r="H849" s="227" t="s">
        <v>1913</v>
      </c>
      <c r="I849" s="227" t="s">
        <v>1428</v>
      </c>
      <c r="J849" s="227">
        <v>27</v>
      </c>
      <c r="K849" s="227" t="s">
        <v>1428</v>
      </c>
      <c r="L849" s="227" t="s">
        <v>1428</v>
      </c>
      <c r="M849" s="227" t="s">
        <v>1428</v>
      </c>
      <c r="N849" s="231">
        <v>3.20749785295545</v>
      </c>
      <c r="O849" s="257">
        <v>11.5744354861467</v>
      </c>
      <c r="P849" s="231" t="s">
        <v>1428</v>
      </c>
      <c r="Q849" s="231">
        <v>3</v>
      </c>
      <c r="R849" s="231">
        <f>SUM(J849:Q849)</f>
        <v>44.7819333391021</v>
      </c>
      <c r="S849" s="233" t="s">
        <v>1526</v>
      </c>
      <c r="T849" s="254" t="s">
        <v>3574</v>
      </c>
    </row>
    <row r="853" spans="1:20">
      <c r="A853" s="195" t="s">
        <v>7734</v>
      </c>
      <c r="B853" s="195"/>
      <c r="C853" s="195"/>
      <c r="D853" s="195"/>
      <c r="E853" s="196"/>
      <c r="F853" s="196"/>
      <c r="G853" s="197"/>
      <c r="H853" s="198"/>
      <c r="I853" s="198"/>
      <c r="J853" s="199"/>
      <c r="K853" s="200"/>
      <c r="L853" s="200"/>
      <c r="M853" s="200"/>
      <c r="N853" s="201"/>
      <c r="O853" s="201"/>
      <c r="P853" s="197"/>
      <c r="Q853" s="202"/>
      <c r="R853" s="202"/>
      <c r="S853" s="203"/>
      <c r="T853" s="80"/>
    </row>
    <row r="854" spans="1:20">
      <c r="A854" s="224" t="s">
        <v>1</v>
      </c>
      <c r="B854" s="224" t="s">
        <v>2</v>
      </c>
      <c r="C854" s="224" t="s">
        <v>1493</v>
      </c>
      <c r="D854" s="224" t="s">
        <v>4</v>
      </c>
      <c r="E854" s="75" t="s">
        <v>5</v>
      </c>
      <c r="F854" s="274" t="s">
        <v>1933</v>
      </c>
      <c r="G854" s="75" t="s">
        <v>4102</v>
      </c>
      <c r="H854" s="75" t="s">
        <v>4541</v>
      </c>
      <c r="I854" s="75" t="s">
        <v>1497</v>
      </c>
      <c r="J854" s="75" t="s">
        <v>4102</v>
      </c>
      <c r="K854" s="75" t="s">
        <v>4103</v>
      </c>
      <c r="L854" s="75" t="s">
        <v>4104</v>
      </c>
      <c r="M854" s="75" t="s">
        <v>1497</v>
      </c>
      <c r="N854" s="75" t="s">
        <v>6</v>
      </c>
      <c r="O854" s="75" t="s">
        <v>7</v>
      </c>
      <c r="P854" s="75" t="s">
        <v>5211</v>
      </c>
      <c r="Q854" s="75" t="s">
        <v>8</v>
      </c>
      <c r="R854" s="75" t="s">
        <v>9</v>
      </c>
      <c r="S854" s="75" t="s">
        <v>4105</v>
      </c>
      <c r="T854" s="75" t="s">
        <v>10</v>
      </c>
    </row>
    <row r="855" s="177" customFormat="1" spans="1:20">
      <c r="A855" s="192"/>
      <c r="B855" s="226">
        <v>20250214</v>
      </c>
      <c r="C855" s="226">
        <v>7.3</v>
      </c>
      <c r="D855" s="175" t="s">
        <v>269</v>
      </c>
      <c r="E855" s="175" t="s">
        <v>7746</v>
      </c>
      <c r="F855" s="175"/>
      <c r="G855" s="175"/>
      <c r="H855" s="175"/>
      <c r="I855" s="175"/>
      <c r="J855" s="175"/>
      <c r="K855" s="175"/>
      <c r="L855" s="175"/>
      <c r="M855" s="175"/>
      <c r="N855" s="232">
        <v>0.462618248397925</v>
      </c>
      <c r="O855" s="232">
        <v>2.5730211152964</v>
      </c>
      <c r="P855" s="175"/>
      <c r="Q855" s="231">
        <v>0.2</v>
      </c>
      <c r="R855" s="231">
        <f>SUM(J855:Q855)</f>
        <v>3.23563936369433</v>
      </c>
      <c r="S855" s="175"/>
      <c r="T855" s="260" t="s">
        <v>7747</v>
      </c>
    </row>
    <row r="858" s="184" customFormat="1" spans="1:20">
      <c r="A858" s="440" t="s">
        <v>7734</v>
      </c>
      <c r="B858" s="440"/>
      <c r="C858" s="440"/>
      <c r="D858" s="440"/>
      <c r="E858" s="441"/>
      <c r="F858" s="441"/>
      <c r="G858" s="442"/>
      <c r="H858" s="443"/>
      <c r="I858" s="443"/>
      <c r="J858" s="199"/>
      <c r="K858" s="199"/>
      <c r="L858" s="199"/>
      <c r="M858" s="199"/>
      <c r="N858" s="446"/>
      <c r="O858" s="446"/>
      <c r="P858" s="442"/>
      <c r="Q858" s="447"/>
      <c r="R858" s="447"/>
      <c r="S858" s="448"/>
      <c r="T858" s="449"/>
    </row>
    <row r="859" s="184" customFormat="1" spans="1:20">
      <c r="A859" s="75" t="s">
        <v>1</v>
      </c>
      <c r="B859" s="75" t="s">
        <v>2</v>
      </c>
      <c r="C859" s="75" t="s">
        <v>1493</v>
      </c>
      <c r="D859" s="75" t="s">
        <v>4</v>
      </c>
      <c r="E859" s="75" t="s">
        <v>5</v>
      </c>
      <c r="F859" s="274" t="s">
        <v>1933</v>
      </c>
      <c r="G859" s="75" t="s">
        <v>4102</v>
      </c>
      <c r="H859" s="75" t="s">
        <v>4541</v>
      </c>
      <c r="I859" s="75" t="s">
        <v>1497</v>
      </c>
      <c r="J859" s="75" t="s">
        <v>4102</v>
      </c>
      <c r="K859" s="75" t="s">
        <v>4103</v>
      </c>
      <c r="L859" s="75" t="s">
        <v>4104</v>
      </c>
      <c r="M859" s="75" t="s">
        <v>1497</v>
      </c>
      <c r="N859" s="75" t="s">
        <v>6</v>
      </c>
      <c r="O859" s="75" t="s">
        <v>7</v>
      </c>
      <c r="P859" s="75" t="s">
        <v>5211</v>
      </c>
      <c r="Q859" s="75" t="s">
        <v>8</v>
      </c>
      <c r="R859" s="75" t="s">
        <v>9</v>
      </c>
      <c r="S859" s="75" t="s">
        <v>4105</v>
      </c>
      <c r="T859" s="75" t="s">
        <v>10</v>
      </c>
    </row>
    <row r="860" s="185" customFormat="1" spans="1:20">
      <c r="A860" s="508" t="s">
        <v>7748</v>
      </c>
      <c r="B860" s="226">
        <v>20241226</v>
      </c>
      <c r="C860" s="226">
        <v>7.3</v>
      </c>
      <c r="D860" s="260" t="s">
        <v>7749</v>
      </c>
      <c r="E860" s="260" t="s">
        <v>1671</v>
      </c>
      <c r="F860" s="260" t="s">
        <v>2801</v>
      </c>
      <c r="G860" s="260" t="s">
        <v>2695</v>
      </c>
      <c r="H860" s="260" t="s">
        <v>4174</v>
      </c>
      <c r="I860" s="260" t="s">
        <v>1635</v>
      </c>
      <c r="J860" s="260">
        <v>310</v>
      </c>
      <c r="K860" s="260">
        <f>10.5*4</f>
        <v>42</v>
      </c>
      <c r="L860" s="227" t="s">
        <v>1428</v>
      </c>
      <c r="M860" s="509">
        <v>6</v>
      </c>
      <c r="N860" s="232">
        <v>3.31706248250173</v>
      </c>
      <c r="O860" s="232">
        <v>20.9234162405019</v>
      </c>
      <c r="P860" s="227" t="s">
        <v>1428</v>
      </c>
      <c r="Q860" s="231">
        <v>3.8</v>
      </c>
      <c r="R860" s="231">
        <f>SUM(J860:Q860)</f>
        <v>386.040478723004</v>
      </c>
      <c r="S860" s="260" t="s">
        <v>2579</v>
      </c>
      <c r="T860" s="260" t="s">
        <v>7750</v>
      </c>
    </row>
    <row r="861" s="185" customFormat="1" spans="1:20">
      <c r="A861" s="508"/>
      <c r="B861" s="226">
        <v>20240411</v>
      </c>
      <c r="C861" s="226">
        <v>7.23</v>
      </c>
      <c r="D861" s="260" t="s">
        <v>34</v>
      </c>
      <c r="E861" s="260" t="s">
        <v>35</v>
      </c>
      <c r="F861" s="260"/>
      <c r="G861" s="260"/>
      <c r="H861" s="260"/>
      <c r="I861" s="260"/>
      <c r="J861" s="260"/>
      <c r="K861" s="260"/>
      <c r="L861" s="260"/>
      <c r="M861" s="260"/>
      <c r="N861" s="232">
        <v>0.318486150381278</v>
      </c>
      <c r="O861" s="232">
        <v>2.96956134360225</v>
      </c>
      <c r="P861" s="227" t="s">
        <v>1428</v>
      </c>
      <c r="Q861" s="231">
        <v>0.3</v>
      </c>
      <c r="R861" s="231">
        <f>SUM(J861:Q861)</f>
        <v>3.58804749398353</v>
      </c>
      <c r="S861" s="260"/>
      <c r="T861" s="260" t="s">
        <v>2656</v>
      </c>
    </row>
    <row r="862" s="185" customFormat="1" spans="1:20">
      <c r="A862" s="508"/>
      <c r="B862" s="226">
        <v>20240416</v>
      </c>
      <c r="C862" s="226">
        <v>7.24</v>
      </c>
      <c r="D862" s="260" t="s">
        <v>198</v>
      </c>
      <c r="E862" s="260" t="s">
        <v>199</v>
      </c>
      <c r="F862" s="260"/>
      <c r="G862" s="260"/>
      <c r="H862" s="260"/>
      <c r="I862" s="260"/>
      <c r="J862" s="260"/>
      <c r="K862" s="260"/>
      <c r="L862" s="260"/>
      <c r="M862" s="260"/>
      <c r="N862" s="232">
        <v>0.165012467608664</v>
      </c>
      <c r="O862" s="232">
        <v>1.26350281137108</v>
      </c>
      <c r="P862" s="227" t="s">
        <v>1428</v>
      </c>
      <c r="Q862" s="231">
        <v>0.2</v>
      </c>
      <c r="R862" s="231">
        <f>SUM(J862:Q862)</f>
        <v>1.62851527897974</v>
      </c>
      <c r="S862" s="260"/>
      <c r="T862" s="260" t="s">
        <v>7751</v>
      </c>
    </row>
    <row r="865" s="184" customFormat="1" spans="1:20">
      <c r="A865" s="440" t="s">
        <v>7734</v>
      </c>
      <c r="B865" s="440"/>
      <c r="C865" s="440"/>
      <c r="D865" s="440"/>
      <c r="E865" s="441"/>
      <c r="F865" s="441"/>
      <c r="G865" s="442"/>
      <c r="H865" s="443"/>
      <c r="I865" s="443"/>
      <c r="J865" s="199"/>
      <c r="K865" s="199"/>
      <c r="L865" s="199"/>
      <c r="M865" s="199"/>
      <c r="N865" s="446"/>
      <c r="O865" s="446"/>
      <c r="P865" s="442"/>
      <c r="Q865" s="447"/>
      <c r="R865" s="447"/>
      <c r="S865" s="448"/>
      <c r="T865" s="449"/>
    </row>
    <row r="866" s="184" customFormat="1" spans="1:20">
      <c r="A866" s="75" t="s">
        <v>1</v>
      </c>
      <c r="B866" s="75" t="s">
        <v>2</v>
      </c>
      <c r="C866" s="75" t="s">
        <v>1493</v>
      </c>
      <c r="D866" s="75" t="s">
        <v>4</v>
      </c>
      <c r="E866" s="75" t="s">
        <v>5</v>
      </c>
      <c r="F866" s="274" t="s">
        <v>1933</v>
      </c>
      <c r="G866" s="75" t="s">
        <v>4102</v>
      </c>
      <c r="H866" s="75" t="s">
        <v>4541</v>
      </c>
      <c r="I866" s="75" t="s">
        <v>1497</v>
      </c>
      <c r="J866" s="75" t="s">
        <v>4102</v>
      </c>
      <c r="K866" s="75" t="s">
        <v>4103</v>
      </c>
      <c r="L866" s="75" t="s">
        <v>4104</v>
      </c>
      <c r="M866" s="75" t="s">
        <v>1497</v>
      </c>
      <c r="N866" s="75" t="s">
        <v>6</v>
      </c>
      <c r="O866" s="75" t="s">
        <v>7</v>
      </c>
      <c r="P866" s="75" t="s">
        <v>5211</v>
      </c>
      <c r="Q866" s="75" t="s">
        <v>8</v>
      </c>
      <c r="R866" s="75" t="s">
        <v>9</v>
      </c>
      <c r="S866" s="75" t="s">
        <v>4105</v>
      </c>
      <c r="T866" s="75" t="s">
        <v>10</v>
      </c>
    </row>
    <row r="867" s="185" customFormat="1" spans="1:20">
      <c r="A867" s="508" t="s">
        <v>7748</v>
      </c>
      <c r="B867" s="226">
        <v>20241226</v>
      </c>
      <c r="C867" s="226">
        <v>7.3</v>
      </c>
      <c r="D867" s="260" t="s">
        <v>7749</v>
      </c>
      <c r="E867" s="260" t="s">
        <v>1671</v>
      </c>
      <c r="F867" s="260" t="s">
        <v>2801</v>
      </c>
      <c r="G867" s="260" t="s">
        <v>2695</v>
      </c>
      <c r="H867" s="260" t="s">
        <v>4174</v>
      </c>
      <c r="I867" s="510" t="s">
        <v>1742</v>
      </c>
      <c r="J867" s="260">
        <v>310</v>
      </c>
      <c r="K867" s="260">
        <f>10.5*4</f>
        <v>42</v>
      </c>
      <c r="L867" s="227" t="s">
        <v>1428</v>
      </c>
      <c r="M867" s="509">
        <v>6</v>
      </c>
      <c r="N867" s="232">
        <v>3.19268566958392</v>
      </c>
      <c r="O867" s="232">
        <v>20.9234162405019</v>
      </c>
      <c r="P867" s="227" t="s">
        <v>1428</v>
      </c>
      <c r="Q867" s="231">
        <v>3.11</v>
      </c>
      <c r="R867" s="231">
        <f>SUM(J867:Q867)</f>
        <v>385.226101910086</v>
      </c>
      <c r="S867" s="260" t="s">
        <v>2579</v>
      </c>
      <c r="T867" s="260" t="s">
        <v>7752</v>
      </c>
    </row>
    <row r="868" s="185" customFormat="1" spans="1:20">
      <c r="A868" s="508"/>
      <c r="B868" s="226">
        <v>20240411</v>
      </c>
      <c r="C868" s="226">
        <v>7.23</v>
      </c>
      <c r="D868" s="260" t="s">
        <v>34</v>
      </c>
      <c r="E868" s="260" t="s">
        <v>35</v>
      </c>
      <c r="F868" s="260"/>
      <c r="G868" s="260"/>
      <c r="H868" s="260"/>
      <c r="I868" s="260"/>
      <c r="J868" s="260"/>
      <c r="K868" s="260"/>
      <c r="L868" s="260"/>
      <c r="M868" s="260"/>
      <c r="N868" s="232">
        <v>0.318486150381278</v>
      </c>
      <c r="O868" s="232">
        <v>2.8544442797236</v>
      </c>
      <c r="P868" s="227" t="s">
        <v>1428</v>
      </c>
      <c r="Q868" s="231">
        <v>0.3</v>
      </c>
      <c r="R868" s="231">
        <f>SUM(J868:Q868)</f>
        <v>3.47293043010488</v>
      </c>
      <c r="S868" s="260"/>
      <c r="T868" s="260" t="s">
        <v>2656</v>
      </c>
    </row>
    <row r="869" s="185" customFormat="1" spans="1:20">
      <c r="A869" s="508"/>
      <c r="B869" s="226">
        <v>20240416</v>
      </c>
      <c r="C869" s="226">
        <v>7.24</v>
      </c>
      <c r="D869" s="260" t="s">
        <v>198</v>
      </c>
      <c r="E869" s="260" t="s">
        <v>199</v>
      </c>
      <c r="F869" s="260"/>
      <c r="G869" s="260"/>
      <c r="H869" s="260"/>
      <c r="I869" s="260"/>
      <c r="J869" s="260"/>
      <c r="K869" s="260"/>
      <c r="L869" s="260"/>
      <c r="M869" s="260"/>
      <c r="N869" s="232">
        <v>0.165012467608664</v>
      </c>
      <c r="O869" s="232">
        <v>1.26350281137108</v>
      </c>
      <c r="P869" s="227" t="s">
        <v>1428</v>
      </c>
      <c r="Q869" s="231">
        <v>0.2</v>
      </c>
      <c r="R869" s="231">
        <f>SUM(J869:Q869)</f>
        <v>1.62851527897974</v>
      </c>
      <c r="S869" s="260"/>
      <c r="T869" s="260" t="s">
        <v>7751</v>
      </c>
    </row>
    <row r="871" spans="1:20">
      <c r="O871" s="182" t="s">
        <v>7411</v>
      </c>
      <c r="P871" s="182">
        <v>386.040478723004</v>
      </c>
    </row>
    <row r="872" spans="1:20">
      <c r="O872" s="182" t="s">
        <v>7413</v>
      </c>
    </row>
    <row r="873" spans="1:20">
      <c r="O873" s="182" t="s">
        <v>7753</v>
      </c>
    </row>
    <row r="876" spans="1:20">
      <c r="A876" s="195" t="s">
        <v>7734</v>
      </c>
      <c r="B876" s="195"/>
      <c r="C876" s="195"/>
      <c r="D876" s="195"/>
      <c r="E876" s="196"/>
      <c r="F876" s="196"/>
      <c r="G876" s="197"/>
      <c r="H876" s="198"/>
      <c r="I876" s="198"/>
      <c r="J876" s="199"/>
      <c r="K876" s="200"/>
      <c r="L876" s="200"/>
      <c r="M876" s="200"/>
      <c r="N876" s="201"/>
      <c r="O876" s="201"/>
      <c r="P876" s="197"/>
      <c r="Q876" s="202"/>
      <c r="R876" s="202"/>
      <c r="S876" s="203"/>
      <c r="T876" s="80"/>
    </row>
    <row r="877" spans="1:20">
      <c r="A877" s="224" t="s">
        <v>1</v>
      </c>
      <c r="B877" s="224" t="s">
        <v>2</v>
      </c>
      <c r="C877" s="224" t="s">
        <v>1493</v>
      </c>
      <c r="D877" s="224" t="s">
        <v>4</v>
      </c>
      <c r="E877" s="75" t="s">
        <v>5</v>
      </c>
      <c r="F877" s="274" t="s">
        <v>1933</v>
      </c>
      <c r="G877" s="75" t="s">
        <v>4102</v>
      </c>
      <c r="H877" s="75" t="s">
        <v>4541</v>
      </c>
      <c r="I877" s="75" t="s">
        <v>1497</v>
      </c>
      <c r="J877" s="75" t="s">
        <v>4102</v>
      </c>
      <c r="K877" s="75" t="s">
        <v>4103</v>
      </c>
      <c r="L877" s="75" t="s">
        <v>4104</v>
      </c>
      <c r="M877" s="75" t="s">
        <v>1497</v>
      </c>
      <c r="N877" s="75" t="s">
        <v>6</v>
      </c>
      <c r="O877" s="75" t="s">
        <v>7</v>
      </c>
      <c r="P877" s="75" t="s">
        <v>5211</v>
      </c>
      <c r="Q877" s="75" t="s">
        <v>8</v>
      </c>
      <c r="R877" s="75" t="s">
        <v>9</v>
      </c>
      <c r="S877" s="75" t="s">
        <v>4105</v>
      </c>
      <c r="T877" s="75" t="s">
        <v>10</v>
      </c>
    </row>
    <row r="878" s="186" customFormat="1" ht="12" customHeight="1" spans="1:20">
      <c r="A878" s="511" t="s">
        <v>7754</v>
      </c>
      <c r="B878" s="227">
        <v>20250214</v>
      </c>
      <c r="C878" s="227">
        <v>7.3</v>
      </c>
      <c r="D878" s="512" t="s">
        <v>6769</v>
      </c>
      <c r="E878" s="512" t="s">
        <v>7755</v>
      </c>
      <c r="F878" s="512" t="s">
        <v>5111</v>
      </c>
      <c r="G878" s="512" t="s">
        <v>6159</v>
      </c>
      <c r="H878" s="512" t="s">
        <v>7756</v>
      </c>
      <c r="I878" s="512" t="s">
        <v>1720</v>
      </c>
      <c r="J878" s="512">
        <v>16</v>
      </c>
      <c r="K878" s="513">
        <f>3.5*2</f>
        <v>7</v>
      </c>
      <c r="L878" s="227">
        <v>6.5</v>
      </c>
      <c r="M878" s="512">
        <v>2.3</v>
      </c>
      <c r="N878" s="232">
        <v>2.01403722917302</v>
      </c>
      <c r="O878" s="232">
        <v>9.16629493189962</v>
      </c>
      <c r="P878" s="227"/>
      <c r="Q878" s="231">
        <v>2.43631917904122</v>
      </c>
      <c r="R878" s="231">
        <f>SUM(J878:Q878)</f>
        <v>45.4166513401139</v>
      </c>
      <c r="S878" s="259" t="s">
        <v>7757</v>
      </c>
      <c r="T878" s="514" t="s">
        <v>7758</v>
      </c>
    </row>
    <row r="879" s="186" customFormat="1" spans="1:20">
      <c r="A879" s="511" t="s">
        <v>7754</v>
      </c>
      <c r="B879" s="227">
        <v>20241203</v>
      </c>
      <c r="C879" s="227">
        <v>7.25</v>
      </c>
      <c r="D879" s="512" t="s">
        <v>6772</v>
      </c>
      <c r="E879" s="512" t="s">
        <v>7759</v>
      </c>
      <c r="F879" s="512" t="s">
        <v>5111</v>
      </c>
      <c r="G879" s="512" t="s">
        <v>6159</v>
      </c>
      <c r="H879" s="512" t="s">
        <v>7760</v>
      </c>
      <c r="I879" s="512" t="s">
        <v>1720</v>
      </c>
      <c r="J879" s="512">
        <v>16</v>
      </c>
      <c r="K879" s="512">
        <f>7*2</f>
        <v>14</v>
      </c>
      <c r="L879" s="227" t="s">
        <v>1428</v>
      </c>
      <c r="M879" s="512">
        <v>2.3</v>
      </c>
      <c r="N879" s="232">
        <v>2.01403722917302</v>
      </c>
      <c r="O879" s="232">
        <v>9.20011956803906</v>
      </c>
      <c r="P879" s="227" t="s">
        <v>1428</v>
      </c>
      <c r="Q879" s="231">
        <v>2.43631917904122</v>
      </c>
      <c r="R879" s="231">
        <f>SUM(J879:Q879)+12</f>
        <v>57.9504759762533</v>
      </c>
      <c r="S879" s="243" t="s">
        <v>7761</v>
      </c>
      <c r="T879" s="243" t="s">
        <v>7762</v>
      </c>
    </row>
    <row r="885" spans="1:20">
      <c r="A885" s="195" t="s">
        <v>7734</v>
      </c>
      <c r="B885" s="195"/>
      <c r="C885" s="195"/>
      <c r="D885" s="195"/>
      <c r="E885" s="196"/>
      <c r="F885" s="196"/>
      <c r="G885" s="197"/>
      <c r="H885" s="198"/>
      <c r="I885" s="198"/>
      <c r="J885" s="199"/>
      <c r="K885" s="296"/>
      <c r="L885" s="296"/>
      <c r="M885" s="200"/>
      <c r="N885" s="297"/>
      <c r="O885" s="201"/>
      <c r="P885" s="197"/>
      <c r="Q885" s="202"/>
      <c r="R885" s="202"/>
      <c r="S885" s="203"/>
      <c r="T885" s="80"/>
    </row>
    <row r="886" spans="1:20">
      <c r="A886" s="224" t="s">
        <v>1</v>
      </c>
      <c r="B886" s="224"/>
      <c r="C886" s="224"/>
      <c r="D886" s="224"/>
      <c r="E886" s="75" t="s">
        <v>5</v>
      </c>
      <c r="F886" s="75" t="s">
        <v>1933</v>
      </c>
      <c r="G886" s="75" t="s">
        <v>4102</v>
      </c>
      <c r="H886" s="75" t="s">
        <v>4541</v>
      </c>
      <c r="I886" s="75" t="s">
        <v>1497</v>
      </c>
      <c r="J886" s="75" t="s">
        <v>4102</v>
      </c>
      <c r="K886" s="75" t="s">
        <v>4103</v>
      </c>
      <c r="L886" s="75" t="s">
        <v>4104</v>
      </c>
      <c r="M886" s="75" t="s">
        <v>1497</v>
      </c>
      <c r="N886" s="75" t="s">
        <v>6</v>
      </c>
      <c r="O886" s="75" t="s">
        <v>7</v>
      </c>
      <c r="P886" s="75" t="s">
        <v>5211</v>
      </c>
      <c r="Q886" s="75" t="s">
        <v>8</v>
      </c>
      <c r="R886" s="75" t="s">
        <v>9</v>
      </c>
      <c r="S886" s="75" t="s">
        <v>4105</v>
      </c>
      <c r="T886" s="75" t="s">
        <v>10</v>
      </c>
    </row>
    <row r="887" s="186" customFormat="1" ht="12" customHeight="1" spans="1:20">
      <c r="A887" s="511" t="s">
        <v>7457</v>
      </c>
      <c r="B887" s="227">
        <v>20240326</v>
      </c>
      <c r="C887" s="227">
        <v>7.2</v>
      </c>
      <c r="D887" s="512" t="s">
        <v>7763</v>
      </c>
      <c r="E887" s="512" t="s">
        <v>1617</v>
      </c>
      <c r="F887" s="512" t="s">
        <v>1933</v>
      </c>
      <c r="G887" s="512" t="s">
        <v>2680</v>
      </c>
      <c r="H887" s="512" t="s">
        <v>1913</v>
      </c>
      <c r="I887" s="512" t="s">
        <v>1428</v>
      </c>
      <c r="J887" s="512">
        <v>280</v>
      </c>
      <c r="K887" s="509" t="s">
        <v>1428</v>
      </c>
      <c r="L887" s="227" t="s">
        <v>1428</v>
      </c>
      <c r="M887" s="512" t="s">
        <v>1428</v>
      </c>
      <c r="N887" s="232">
        <v>6.08849557522124</v>
      </c>
      <c r="O887" s="232">
        <v>25.9713120901364</v>
      </c>
      <c r="P887" s="227" t="s">
        <v>1428</v>
      </c>
      <c r="Q887" s="231">
        <v>3.58</v>
      </c>
      <c r="R887" s="231">
        <v>315.639807665358</v>
      </c>
      <c r="S887" s="259" t="s">
        <v>1526</v>
      </c>
      <c r="T887" s="514" t="s">
        <v>7764</v>
      </c>
    </row>
    <row r="892" spans="1:20">
      <c r="A892" s="195" t="s">
        <v>7734</v>
      </c>
      <c r="B892" s="195"/>
      <c r="C892" s="195"/>
      <c r="D892" s="195"/>
      <c r="E892" s="196"/>
      <c r="F892" s="196"/>
      <c r="G892" s="197"/>
      <c r="H892" s="198"/>
      <c r="I892" s="198"/>
      <c r="J892" s="199"/>
      <c r="K892" s="296"/>
      <c r="L892" s="296"/>
      <c r="M892" s="200"/>
      <c r="N892" s="297"/>
      <c r="O892" s="201"/>
      <c r="P892" s="197"/>
      <c r="Q892" s="202"/>
      <c r="R892" s="202"/>
      <c r="S892" s="203"/>
      <c r="T892" s="80"/>
    </row>
    <row r="893" spans="1:20">
      <c r="A893" s="224" t="s">
        <v>1</v>
      </c>
      <c r="B893" s="224"/>
      <c r="C893" s="224"/>
      <c r="D893" s="224"/>
      <c r="E893" s="75" t="s">
        <v>5</v>
      </c>
      <c r="F893" s="75" t="s">
        <v>1933</v>
      </c>
      <c r="G893" s="75" t="s">
        <v>4102</v>
      </c>
      <c r="H893" s="75" t="s">
        <v>4541</v>
      </c>
      <c r="I893" s="75" t="s">
        <v>1497</v>
      </c>
      <c r="J893" s="75" t="s">
        <v>4102</v>
      </c>
      <c r="K893" s="75" t="s">
        <v>4103</v>
      </c>
      <c r="L893" s="75" t="s">
        <v>4104</v>
      </c>
      <c r="M893" s="75" t="s">
        <v>1497</v>
      </c>
      <c r="N893" s="75" t="s">
        <v>6</v>
      </c>
      <c r="O893" s="75" t="s">
        <v>7</v>
      </c>
      <c r="P893" s="75" t="s">
        <v>5211</v>
      </c>
      <c r="Q893" s="75" t="s">
        <v>8</v>
      </c>
      <c r="R893" s="75" t="s">
        <v>9</v>
      </c>
      <c r="S893" s="75" t="s">
        <v>4105</v>
      </c>
      <c r="T893" s="75" t="s">
        <v>10</v>
      </c>
    </row>
    <row r="894" s="186" customFormat="1" ht="12" customHeight="1" spans="1:20">
      <c r="A894" s="511" t="s">
        <v>7414</v>
      </c>
      <c r="B894" s="227">
        <v>20250120</v>
      </c>
      <c r="C894" s="227">
        <v>7.3</v>
      </c>
      <c r="D894" s="512" t="s">
        <v>7765</v>
      </c>
      <c r="E894" s="512" t="s">
        <v>2488</v>
      </c>
      <c r="F894" s="512" t="s">
        <v>7445</v>
      </c>
      <c r="G894" s="512" t="s">
        <v>7766</v>
      </c>
      <c r="H894" s="512" t="s">
        <v>4248</v>
      </c>
      <c r="I894" s="512" t="s">
        <v>7767</v>
      </c>
      <c r="J894" s="512">
        <v>170</v>
      </c>
      <c r="K894" s="509">
        <f>12.5*4</f>
        <v>50</v>
      </c>
      <c r="L894" s="227" t="s">
        <v>1428</v>
      </c>
      <c r="M894" s="512">
        <v>5.5</v>
      </c>
      <c r="N894" s="232">
        <v>2.98058013765978</v>
      </c>
      <c r="O894" s="232">
        <v>12.9834841003576</v>
      </c>
      <c r="P894" s="227" t="s">
        <v>1428</v>
      </c>
      <c r="Q894" s="231">
        <v>2.96002441257247</v>
      </c>
      <c r="R894" s="231">
        <f>SUM(J894:Q894)</f>
        <v>244.42408865059</v>
      </c>
      <c r="S894" s="259" t="s">
        <v>4001</v>
      </c>
      <c r="T894" s="243" t="s">
        <v>7730</v>
      </c>
    </row>
    <row r="895" s="186" customFormat="1" spans="1:20">
      <c r="A895" s="511" t="s">
        <v>7414</v>
      </c>
      <c r="B895" s="227">
        <v>20250120</v>
      </c>
      <c r="C895" s="227">
        <v>7.3</v>
      </c>
      <c r="D895" s="512" t="s">
        <v>7768</v>
      </c>
      <c r="E895" s="512" t="s">
        <v>2383</v>
      </c>
      <c r="F895" s="512" t="s">
        <v>7445</v>
      </c>
      <c r="G895" s="512" t="s">
        <v>7769</v>
      </c>
      <c r="H895" s="512" t="s">
        <v>4248</v>
      </c>
      <c r="I895" s="512" t="s">
        <v>7767</v>
      </c>
      <c r="J895" s="512">
        <v>240</v>
      </c>
      <c r="K895" s="509">
        <f>12.5*4</f>
        <v>50</v>
      </c>
      <c r="L895" s="227" t="s">
        <v>1428</v>
      </c>
      <c r="M895" s="512">
        <v>5.5</v>
      </c>
      <c r="N895" s="232">
        <v>2.98058013765978</v>
      </c>
      <c r="O895" s="232">
        <v>12.9834560969633</v>
      </c>
      <c r="P895" s="227" t="s">
        <v>1428</v>
      </c>
      <c r="Q895" s="231">
        <v>2.96002441257247</v>
      </c>
      <c r="R895" s="231">
        <f>SUM(J895:Q895)</f>
        <v>314.424060647196</v>
      </c>
      <c r="S895" s="259" t="s">
        <v>4001</v>
      </c>
      <c r="T895" s="243" t="s">
        <v>7730</v>
      </c>
    </row>
    <row r="896" s="186" customFormat="1" spans="1:20">
      <c r="A896" s="511"/>
      <c r="B896" s="227">
        <v>20241023</v>
      </c>
      <c r="C896" s="227">
        <v>7.11</v>
      </c>
      <c r="D896" s="512" t="s">
        <v>187</v>
      </c>
      <c r="E896" s="512" t="s">
        <v>188</v>
      </c>
      <c r="F896" s="512"/>
      <c r="G896" s="512"/>
      <c r="H896" s="512"/>
      <c r="I896" s="512"/>
      <c r="J896" s="512"/>
      <c r="K896" s="509"/>
      <c r="L896" s="227"/>
      <c r="M896" s="512"/>
      <c r="N896" s="232">
        <v>0.431898236311813</v>
      </c>
      <c r="O896" s="232">
        <v>1.46277730114634</v>
      </c>
      <c r="P896" s="227"/>
      <c r="Q896" s="231">
        <v>0.2</v>
      </c>
      <c r="R896" s="231">
        <f>SUM(J896:Q896)</f>
        <v>2.09467553745815</v>
      </c>
      <c r="S896" s="259"/>
      <c r="T896" s="243" t="s">
        <v>7421</v>
      </c>
    </row>
    <row r="898" spans="1:20">
      <c r="A898" s="195" t="s">
        <v>7734</v>
      </c>
      <c r="B898" s="195"/>
      <c r="C898" s="195"/>
      <c r="D898" s="195"/>
      <c r="E898" s="196"/>
      <c r="F898" s="196"/>
      <c r="G898" s="197"/>
      <c r="H898" s="198"/>
      <c r="I898" s="198"/>
      <c r="J898" s="199"/>
      <c r="K898" s="296"/>
      <c r="L898" s="296"/>
      <c r="M898" s="200"/>
      <c r="N898" s="297"/>
      <c r="O898" s="201"/>
      <c r="P898" s="197"/>
      <c r="Q898" s="202"/>
      <c r="R898" s="202"/>
      <c r="S898" s="203"/>
      <c r="T898" s="80"/>
    </row>
    <row r="899" spans="1:20">
      <c r="A899" s="224" t="s">
        <v>1</v>
      </c>
      <c r="B899" s="224"/>
      <c r="C899" s="224"/>
      <c r="D899" s="224"/>
      <c r="E899" s="75" t="s">
        <v>5</v>
      </c>
      <c r="F899" s="75" t="s">
        <v>1933</v>
      </c>
      <c r="G899" s="75" t="s">
        <v>4102</v>
      </c>
      <c r="H899" s="75" t="s">
        <v>4541</v>
      </c>
      <c r="I899" s="75" t="s">
        <v>1497</v>
      </c>
      <c r="J899" s="75" t="s">
        <v>4102</v>
      </c>
      <c r="K899" s="75" t="s">
        <v>4103</v>
      </c>
      <c r="L899" s="75" t="s">
        <v>4104</v>
      </c>
      <c r="M899" s="75" t="s">
        <v>1497</v>
      </c>
      <c r="N899" s="75" t="s">
        <v>6</v>
      </c>
      <c r="O899" s="75" t="s">
        <v>7</v>
      </c>
      <c r="P899" s="75" t="s">
        <v>5211</v>
      </c>
      <c r="Q899" s="75" t="s">
        <v>8</v>
      </c>
      <c r="R899" s="75" t="s">
        <v>9</v>
      </c>
      <c r="S899" s="75" t="s">
        <v>4105</v>
      </c>
      <c r="T899" s="75" t="s">
        <v>10</v>
      </c>
    </row>
    <row r="900" s="186" customFormat="1" spans="1:20">
      <c r="A900" s="511" t="s">
        <v>7457</v>
      </c>
      <c r="B900" s="227">
        <v>20250214</v>
      </c>
      <c r="C900" s="227">
        <v>7.3</v>
      </c>
      <c r="D900" s="512" t="s">
        <v>7770</v>
      </c>
      <c r="E900" s="512" t="s">
        <v>1671</v>
      </c>
      <c r="F900" s="512" t="s">
        <v>2801</v>
      </c>
      <c r="G900" s="512" t="s">
        <v>2680</v>
      </c>
      <c r="H900" s="512" t="s">
        <v>1913</v>
      </c>
      <c r="I900" s="512" t="s">
        <v>1428</v>
      </c>
      <c r="J900" s="512">
        <v>280</v>
      </c>
      <c r="K900" s="509" t="s">
        <v>1428</v>
      </c>
      <c r="L900" s="227" t="s">
        <v>1428</v>
      </c>
      <c r="M900" s="512" t="s">
        <v>1428</v>
      </c>
      <c r="N900" s="232">
        <v>6.08849557522124</v>
      </c>
      <c r="O900" s="232">
        <v>18.5089156866026</v>
      </c>
      <c r="P900" s="227" t="s">
        <v>1428</v>
      </c>
      <c r="Q900" s="231">
        <v>3.58</v>
      </c>
      <c r="R900" s="231">
        <f>SUM(J900:Q900)</f>
        <v>308.177411261824</v>
      </c>
      <c r="S900" s="259" t="s">
        <v>1526</v>
      </c>
      <c r="T900" s="243" t="s">
        <v>7771</v>
      </c>
    </row>
    <row r="901" s="186" customFormat="1" spans="1:20">
      <c r="A901" s="511"/>
      <c r="B901" s="227">
        <v>20240829</v>
      </c>
      <c r="C901" s="227">
        <v>7.12</v>
      </c>
      <c r="D901" s="512" t="s">
        <v>80</v>
      </c>
      <c r="E901" s="512" t="s">
        <v>81</v>
      </c>
      <c r="F901" s="512"/>
      <c r="G901" s="512"/>
      <c r="H901" s="512"/>
      <c r="I901" s="512"/>
      <c r="J901" s="512"/>
      <c r="K901" s="509"/>
      <c r="L901" s="227"/>
      <c r="M901" s="512"/>
      <c r="N901" s="232">
        <v>0.469822014517252</v>
      </c>
      <c r="O901" s="232">
        <v>2.69011692015114</v>
      </c>
      <c r="P901" s="227" t="s">
        <v>1428</v>
      </c>
      <c r="Q901" s="231">
        <v>0.4</v>
      </c>
      <c r="R901" s="231">
        <f>SUM(J901:Q901)</f>
        <v>3.55993893466839</v>
      </c>
      <c r="S901" s="259"/>
      <c r="T901" s="243" t="s">
        <v>2629</v>
      </c>
    </row>
    <row r="904" spans="1:20">
      <c r="A904" s="195" t="s">
        <v>7734</v>
      </c>
      <c r="B904" s="195"/>
      <c r="C904" s="195"/>
      <c r="D904" s="195"/>
      <c r="E904" s="196"/>
      <c r="F904" s="196"/>
      <c r="G904" s="197"/>
      <c r="H904" s="198"/>
      <c r="I904" s="198"/>
      <c r="J904" s="199"/>
      <c r="K904" s="296"/>
      <c r="L904" s="296"/>
      <c r="M904" s="200"/>
      <c r="N904" s="297"/>
      <c r="O904" s="201"/>
      <c r="P904" s="197"/>
      <c r="Q904" s="202"/>
      <c r="R904" s="202"/>
      <c r="S904" s="203"/>
      <c r="T904" s="80"/>
    </row>
    <row r="905" spans="1:20">
      <c r="A905" s="224" t="s">
        <v>1</v>
      </c>
      <c r="B905" s="224"/>
      <c r="C905" s="224"/>
      <c r="D905" s="224"/>
      <c r="E905" s="75" t="s">
        <v>5</v>
      </c>
      <c r="F905" s="75" t="s">
        <v>1933</v>
      </c>
      <c r="G905" s="75" t="s">
        <v>4102</v>
      </c>
      <c r="H905" s="75" t="s">
        <v>4541</v>
      </c>
      <c r="I905" s="75" t="s">
        <v>1497</v>
      </c>
      <c r="J905" s="75" t="s">
        <v>4102</v>
      </c>
      <c r="K905" s="75" t="s">
        <v>4103</v>
      </c>
      <c r="L905" s="75" t="s">
        <v>4104</v>
      </c>
      <c r="M905" s="75" t="s">
        <v>1497</v>
      </c>
      <c r="N905" s="75" t="s">
        <v>6</v>
      </c>
      <c r="O905" s="75" t="s">
        <v>7</v>
      </c>
      <c r="P905" s="75" t="s">
        <v>5211</v>
      </c>
      <c r="Q905" s="75" t="s">
        <v>8</v>
      </c>
      <c r="R905" s="75" t="s">
        <v>9</v>
      </c>
      <c r="S905" s="75" t="s">
        <v>4105</v>
      </c>
      <c r="T905" s="75" t="s">
        <v>10</v>
      </c>
    </row>
    <row r="906" s="186" customFormat="1" spans="1:20">
      <c r="A906" s="511" t="s">
        <v>7407</v>
      </c>
      <c r="B906" s="227">
        <v>20241126</v>
      </c>
      <c r="C906" s="227">
        <v>7.25</v>
      </c>
      <c r="D906" s="512" t="s">
        <v>7772</v>
      </c>
      <c r="E906" s="512" t="s">
        <v>7773</v>
      </c>
      <c r="F906" s="245" t="s">
        <v>4284</v>
      </c>
      <c r="G906" s="512" t="s">
        <v>7774</v>
      </c>
      <c r="H906" s="512" t="s">
        <v>1913</v>
      </c>
      <c r="I906" s="512" t="s">
        <v>1428</v>
      </c>
      <c r="J906" s="512">
        <v>170</v>
      </c>
      <c r="K906" s="509" t="s">
        <v>1428</v>
      </c>
      <c r="L906" s="227" t="s">
        <v>1428</v>
      </c>
      <c r="M906" s="512" t="s">
        <v>1428</v>
      </c>
      <c r="N906" s="232">
        <v>3.74269148611535</v>
      </c>
      <c r="O906" s="232">
        <v>12.6449144648459</v>
      </c>
      <c r="P906" s="227"/>
      <c r="Q906" s="231">
        <v>2.88823119777159</v>
      </c>
      <c r="R906" s="231">
        <f>SUM(J906:Q906)+1</f>
        <v>190.275837148733</v>
      </c>
      <c r="S906" s="259" t="s">
        <v>1526</v>
      </c>
      <c r="T906" s="243" t="s">
        <v>7508</v>
      </c>
    </row>
    <row r="907" s="186" customFormat="1" spans="1:20">
      <c r="A907" s="511"/>
      <c r="B907" s="227">
        <v>20241113</v>
      </c>
      <c r="C907" s="227">
        <v>7.2</v>
      </c>
      <c r="D907" s="512" t="s">
        <v>1405</v>
      </c>
      <c r="E907" s="512" t="s">
        <v>21</v>
      </c>
      <c r="F907" s="512"/>
      <c r="G907" s="512"/>
      <c r="H907" s="512"/>
      <c r="I907" s="512"/>
      <c r="J907" s="512"/>
      <c r="K907" s="509"/>
      <c r="L907" s="227"/>
      <c r="M907" s="512"/>
      <c r="N907" s="232">
        <v>0.417895771878073</v>
      </c>
      <c r="O907" s="232">
        <v>2.4839641920354</v>
      </c>
      <c r="P907" s="227" t="s">
        <v>1428</v>
      </c>
      <c r="Q907" s="231">
        <v>0.4</v>
      </c>
      <c r="R907" s="231">
        <v>3.32250365303669</v>
      </c>
      <c r="S907" s="259"/>
      <c r="T907" s="243" t="s">
        <v>7478</v>
      </c>
    </row>
    <row r="911" spans="1:20">
      <c r="A911" s="195" t="s">
        <v>7734</v>
      </c>
      <c r="B911" s="195"/>
      <c r="C911" s="195"/>
      <c r="D911" s="195"/>
      <c r="E911" s="196"/>
      <c r="F911" s="196"/>
      <c r="G911" s="197"/>
      <c r="H911" s="198"/>
      <c r="I911" s="198"/>
      <c r="J911" s="199"/>
      <c r="K911" s="296"/>
      <c r="L911" s="296"/>
      <c r="M911" s="200"/>
      <c r="N911" s="297"/>
      <c r="O911" s="201"/>
      <c r="P911" s="197"/>
      <c r="Q911" s="202"/>
      <c r="R911" s="202"/>
      <c r="S911" s="203"/>
      <c r="T911" s="80"/>
    </row>
    <row r="912" spans="1:20">
      <c r="A912" s="224" t="s">
        <v>1</v>
      </c>
      <c r="B912" s="224"/>
      <c r="C912" s="224"/>
      <c r="D912" s="224"/>
      <c r="E912" s="75" t="s">
        <v>5</v>
      </c>
      <c r="F912" s="75" t="s">
        <v>1933</v>
      </c>
      <c r="G912" s="75" t="s">
        <v>4102</v>
      </c>
      <c r="H912" s="75" t="s">
        <v>4541</v>
      </c>
      <c r="I912" s="75" t="s">
        <v>1497</v>
      </c>
      <c r="J912" s="75" t="s">
        <v>4102</v>
      </c>
      <c r="K912" s="75" t="s">
        <v>4103</v>
      </c>
      <c r="L912" s="75" t="s">
        <v>4104</v>
      </c>
      <c r="M912" s="75" t="s">
        <v>1497</v>
      </c>
      <c r="N912" s="75" t="s">
        <v>6</v>
      </c>
      <c r="O912" s="75" t="s">
        <v>7</v>
      </c>
      <c r="P912" s="75" t="s">
        <v>5211</v>
      </c>
      <c r="Q912" s="75" t="s">
        <v>8</v>
      </c>
      <c r="R912" s="75" t="s">
        <v>9</v>
      </c>
      <c r="S912" s="75" t="s">
        <v>4105</v>
      </c>
      <c r="T912" s="75" t="s">
        <v>10</v>
      </c>
    </row>
    <row r="913" spans="1:20">
      <c r="A913" s="292"/>
      <c r="B913" s="292">
        <v>20241111</v>
      </c>
      <c r="C913" s="292">
        <v>7.2</v>
      </c>
      <c r="D913" s="292" t="s">
        <v>175</v>
      </c>
      <c r="E913" s="384" t="s">
        <v>176</v>
      </c>
      <c r="F913" s="292"/>
      <c r="G913" s="234"/>
      <c r="H913" s="234"/>
      <c r="I913" s="234"/>
      <c r="J913" s="515"/>
      <c r="K913" s="515"/>
      <c r="L913" s="515"/>
      <c r="M913" s="515"/>
      <c r="N913" s="269">
        <v>0.41599108855746</v>
      </c>
      <c r="O913" s="269">
        <v>2.13917109449361</v>
      </c>
      <c r="P913" s="234" t="s">
        <v>1428</v>
      </c>
      <c r="Q913" s="270">
        <v>0.4</v>
      </c>
      <c r="R913" s="231">
        <f>SUM(J913:Q913)</f>
        <v>2.95516218305107</v>
      </c>
      <c r="S913" s="271"/>
      <c r="T913" s="499" t="s">
        <v>7478</v>
      </c>
    </row>
    <row r="914" spans="1:20">
      <c r="A914" s="226" t="s">
        <v>7407</v>
      </c>
      <c r="B914" s="226">
        <v>20240426</v>
      </c>
      <c r="C914" s="226">
        <v>7.24</v>
      </c>
      <c r="D914" s="226" t="s">
        <v>7775</v>
      </c>
      <c r="E914" s="228" t="s">
        <v>7776</v>
      </c>
      <c r="F914" s="243" t="s">
        <v>1933</v>
      </c>
      <c r="G914" s="245" t="s">
        <v>2326</v>
      </c>
      <c r="H914" s="245" t="s">
        <v>1913</v>
      </c>
      <c r="I914" s="245" t="s">
        <v>1428</v>
      </c>
      <c r="J914" s="256">
        <v>100</v>
      </c>
      <c r="K914" s="227" t="s">
        <v>1428</v>
      </c>
      <c r="L914" s="227" t="s">
        <v>1428</v>
      </c>
      <c r="M914" s="227" t="s">
        <v>1428</v>
      </c>
      <c r="N914" s="257">
        <v>3.81638723970974</v>
      </c>
      <c r="O914" s="257">
        <v>12.7989809960359</v>
      </c>
      <c r="P914" s="231" t="s">
        <v>1428</v>
      </c>
      <c r="Q914" s="231">
        <v>2.88823119777159</v>
      </c>
      <c r="R914" s="231">
        <f>SUM(J914:Q914)+1</f>
        <v>120.503599433517</v>
      </c>
      <c r="S914" s="243" t="s">
        <v>1526</v>
      </c>
      <c r="T914" s="226" t="s">
        <v>7433</v>
      </c>
    </row>
    <row r="916" spans="1:20">
      <c r="A916" s="195" t="s">
        <v>7734</v>
      </c>
      <c r="B916" s="195"/>
      <c r="C916" s="195"/>
      <c r="D916" s="195"/>
      <c r="E916" s="196"/>
      <c r="F916" s="196"/>
      <c r="G916" s="197"/>
      <c r="H916" s="198"/>
      <c r="I916" s="198"/>
      <c r="J916" s="199"/>
      <c r="K916" s="296"/>
      <c r="L916" s="296"/>
      <c r="M916" s="200"/>
      <c r="N916" s="297"/>
      <c r="O916" s="201"/>
      <c r="P916" s="197"/>
      <c r="Q916" s="202"/>
      <c r="R916" s="202"/>
      <c r="S916" s="203"/>
      <c r="T916" s="80"/>
    </row>
    <row r="917" spans="1:20">
      <c r="A917" s="224" t="s">
        <v>1</v>
      </c>
      <c r="B917" s="224"/>
      <c r="C917" s="224"/>
      <c r="D917" s="224"/>
      <c r="E917" s="75" t="s">
        <v>5</v>
      </c>
      <c r="F917" s="75" t="s">
        <v>1933</v>
      </c>
      <c r="G917" s="75" t="s">
        <v>4102</v>
      </c>
      <c r="H917" s="75" t="s">
        <v>4541</v>
      </c>
      <c r="I917" s="75" t="s">
        <v>1497</v>
      </c>
      <c r="J917" s="75" t="s">
        <v>4102</v>
      </c>
      <c r="K917" s="75" t="s">
        <v>4103</v>
      </c>
      <c r="L917" s="75" t="s">
        <v>4104</v>
      </c>
      <c r="M917" s="75" t="s">
        <v>1497</v>
      </c>
      <c r="N917" s="75" t="s">
        <v>6</v>
      </c>
      <c r="O917" s="75" t="s">
        <v>7</v>
      </c>
      <c r="P917" s="75" t="s">
        <v>5211</v>
      </c>
      <c r="Q917" s="75" t="s">
        <v>8</v>
      </c>
      <c r="R917" s="75" t="s">
        <v>9</v>
      </c>
      <c r="S917" s="75" t="s">
        <v>4105</v>
      </c>
      <c r="T917" s="75" t="s">
        <v>10</v>
      </c>
    </row>
    <row r="918" spans="1:20">
      <c r="A918" s="292" t="s">
        <v>7488</v>
      </c>
      <c r="B918" s="292">
        <v>20250217</v>
      </c>
      <c r="C918" s="292">
        <v>7.3</v>
      </c>
      <c r="D918" s="292" t="s">
        <v>868</v>
      </c>
      <c r="E918" s="384" t="s">
        <v>7777</v>
      </c>
      <c r="F918" s="292"/>
      <c r="G918" s="234"/>
      <c r="H918" s="234"/>
      <c r="I918" s="234"/>
      <c r="J918" s="515"/>
      <c r="K918" s="515"/>
      <c r="L918" s="515"/>
      <c r="M918" s="515"/>
      <c r="N918" s="269">
        <v>0.392047520911626</v>
      </c>
      <c r="O918" s="269">
        <v>1.66874680192508</v>
      </c>
      <c r="P918" s="234"/>
      <c r="Q918" s="270">
        <v>0.2</v>
      </c>
      <c r="R918" s="231">
        <f>SUM(J918:Q918)</f>
        <v>2.26079432283671</v>
      </c>
      <c r="S918" s="271"/>
      <c r="T918" s="499" t="s">
        <v>870</v>
      </c>
    </row>
    <row r="921" spans="1:20">
      <c r="A921" s="195" t="s">
        <v>7734</v>
      </c>
      <c r="B921" s="195"/>
      <c r="C921" s="195"/>
      <c r="D921" s="195"/>
      <c r="E921" s="196"/>
      <c r="F921" s="196"/>
      <c r="G921" s="197"/>
      <c r="H921" s="198"/>
      <c r="I921" s="198"/>
      <c r="J921" s="199"/>
      <c r="K921" s="296"/>
      <c r="L921" s="296"/>
      <c r="M921" s="200"/>
      <c r="N921" s="297"/>
      <c r="O921" s="201"/>
      <c r="P921" s="197"/>
      <c r="Q921" s="202"/>
      <c r="R921" s="202"/>
      <c r="S921" s="203"/>
      <c r="T921" s="80"/>
    </row>
    <row r="922" spans="1:20">
      <c r="A922" s="224" t="s">
        <v>1</v>
      </c>
      <c r="B922" s="224"/>
      <c r="C922" s="224"/>
      <c r="D922" s="224"/>
      <c r="E922" s="75" t="s">
        <v>5</v>
      </c>
      <c r="F922" s="75" t="s">
        <v>1933</v>
      </c>
      <c r="G922" s="75" t="s">
        <v>4102</v>
      </c>
      <c r="H922" s="75" t="s">
        <v>4541</v>
      </c>
      <c r="I922" s="75" t="s">
        <v>1497</v>
      </c>
      <c r="J922" s="75" t="s">
        <v>4102</v>
      </c>
      <c r="K922" s="75" t="s">
        <v>4103</v>
      </c>
      <c r="L922" s="75" t="s">
        <v>4104</v>
      </c>
      <c r="M922" s="75" t="s">
        <v>1497</v>
      </c>
      <c r="N922" s="75" t="s">
        <v>6</v>
      </c>
      <c r="O922" s="75" t="s">
        <v>7</v>
      </c>
      <c r="P922" s="75" t="s">
        <v>5211</v>
      </c>
      <c r="Q922" s="75" t="s">
        <v>8</v>
      </c>
      <c r="R922" s="75" t="s">
        <v>9</v>
      </c>
      <c r="S922" s="75" t="s">
        <v>4105</v>
      </c>
      <c r="T922" s="75" t="s">
        <v>10</v>
      </c>
    </row>
    <row r="923" spans="1:20">
      <c r="A923" s="226" t="s">
        <v>7407</v>
      </c>
      <c r="B923" s="292">
        <v>20250217</v>
      </c>
      <c r="C923" s="292">
        <v>7.3</v>
      </c>
      <c r="D923" s="292" t="s">
        <v>7778</v>
      </c>
      <c r="E923" s="384" t="s">
        <v>1520</v>
      </c>
      <c r="F923" s="292" t="s">
        <v>1933</v>
      </c>
      <c r="G923" s="234" t="s">
        <v>2082</v>
      </c>
      <c r="H923" s="234" t="s">
        <v>1913</v>
      </c>
      <c r="I923" s="234" t="s">
        <v>1428</v>
      </c>
      <c r="J923" s="515">
        <v>105</v>
      </c>
      <c r="K923" s="515" t="s">
        <v>1428</v>
      </c>
      <c r="L923" s="515" t="s">
        <v>1428</v>
      </c>
      <c r="M923" s="515" t="s">
        <v>1428</v>
      </c>
      <c r="N923" s="269">
        <v>3.81638723970974</v>
      </c>
      <c r="O923" s="269">
        <v>11.9889842090072</v>
      </c>
      <c r="P923" s="234" t="s">
        <v>1428</v>
      </c>
      <c r="Q923" s="270">
        <v>2.88823119777159</v>
      </c>
      <c r="R923" s="231">
        <f>SUM(J923:Q923)+1</f>
        <v>124.693602646489</v>
      </c>
      <c r="S923" s="271" t="s">
        <v>1526</v>
      </c>
      <c r="T923" s="499" t="s">
        <v>7433</v>
      </c>
    </row>
    <row r="927" ht="13.95"/>
    <row r="928" spans="1:20">
      <c r="A928" s="516" t="s">
        <v>7779</v>
      </c>
      <c r="B928" s="517">
        <v>7.31</v>
      </c>
      <c r="C928" s="518"/>
      <c r="D928" s="519"/>
      <c r="E928" s="519"/>
      <c r="F928" s="520"/>
      <c r="G928" s="521"/>
      <c r="H928" s="522"/>
      <c r="I928" s="523" t="s">
        <v>7780</v>
      </c>
      <c r="J928" s="524"/>
      <c r="K928" s="524"/>
      <c r="L928" s="525"/>
      <c r="M928" s="522"/>
      <c r="N928" s="526"/>
      <c r="O928" s="526"/>
      <c r="P928" s="522"/>
      <c r="Q928" s="527"/>
      <c r="R928" s="528"/>
      <c r="S928" s="519"/>
      <c r="T928" s="529"/>
    </row>
    <row r="929" spans="1:20">
      <c r="A929" s="530"/>
      <c r="B929" s="518"/>
      <c r="C929" s="518"/>
      <c r="D929" s="531"/>
      <c r="E929" s="531"/>
      <c r="F929" s="532"/>
      <c r="G929" s="533"/>
      <c r="H929" s="534"/>
      <c r="I929" s="535" t="s">
        <v>7781</v>
      </c>
      <c r="J929" s="536"/>
      <c r="K929" s="537" t="s">
        <v>7782</v>
      </c>
      <c r="L929" s="538" t="s">
        <v>7782</v>
      </c>
      <c r="M929" s="534"/>
      <c r="N929" s="539"/>
      <c r="O929" s="539"/>
      <c r="P929" s="534"/>
      <c r="Q929" s="540"/>
      <c r="R929" s="541"/>
      <c r="S929" s="531"/>
      <c r="T929" s="542"/>
    </row>
    <row r="930" spans="1:20">
      <c r="A930" s="543" t="s">
        <v>1</v>
      </c>
      <c r="B930" s="543" t="s">
        <v>2</v>
      </c>
      <c r="C930" s="544" t="s">
        <v>5</v>
      </c>
      <c r="D930" s="545" t="s">
        <v>1933</v>
      </c>
      <c r="E930" s="545" t="s">
        <v>4102</v>
      </c>
      <c r="F930" s="546" t="s">
        <v>4541</v>
      </c>
      <c r="G930" s="547" t="s">
        <v>1497</v>
      </c>
      <c r="H930" s="548" t="s">
        <v>7783</v>
      </c>
      <c r="I930" s="549" t="s">
        <v>7784</v>
      </c>
      <c r="J930" s="75" t="s">
        <v>4104</v>
      </c>
      <c r="K930" s="75" t="s">
        <v>5214</v>
      </c>
      <c r="L930" s="550" t="s">
        <v>5210</v>
      </c>
      <c r="M930" s="551" t="s">
        <v>1497</v>
      </c>
      <c r="N930" s="552" t="s">
        <v>6</v>
      </c>
      <c r="O930" s="552" t="s">
        <v>7</v>
      </c>
      <c r="P930" s="553" t="s">
        <v>5211</v>
      </c>
      <c r="Q930" s="554" t="s">
        <v>8</v>
      </c>
      <c r="R930" s="555" t="s">
        <v>9</v>
      </c>
      <c r="S930" s="545" t="s">
        <v>5214</v>
      </c>
      <c r="T930" s="556" t="s">
        <v>10</v>
      </c>
    </row>
    <row r="931" spans="1:20">
      <c r="A931" s="557" t="s">
        <v>5265</v>
      </c>
      <c r="B931" s="558" t="s">
        <v>7785</v>
      </c>
      <c r="C931" s="559" t="s">
        <v>5277</v>
      </c>
      <c r="D931" s="560"/>
      <c r="E931" s="559" t="s">
        <v>7786</v>
      </c>
      <c r="F931" s="559" t="s">
        <v>4248</v>
      </c>
      <c r="G931" s="559" t="s">
        <v>5270</v>
      </c>
      <c r="H931" s="264">
        <v>326.16</v>
      </c>
      <c r="I931" s="264">
        <v>89.6</v>
      </c>
      <c r="J931" s="561" t="s">
        <v>1428</v>
      </c>
      <c r="K931" s="562" t="s">
        <v>1428</v>
      </c>
      <c r="L931" s="562" t="s">
        <v>1428</v>
      </c>
      <c r="M931" s="561">
        <v>12.9</v>
      </c>
      <c r="N931" s="561">
        <v>8.13529774947641</v>
      </c>
      <c r="O931" s="264">
        <v>23.8</v>
      </c>
      <c r="P931" s="562" t="s">
        <v>1428</v>
      </c>
      <c r="Q931" s="264">
        <v>4</v>
      </c>
      <c r="R931" s="213">
        <v>464.595297749476</v>
      </c>
      <c r="S931" s="559" t="s">
        <v>7787</v>
      </c>
      <c r="T931" s="210" t="s">
        <v>7788</v>
      </c>
    </row>
    <row r="932" spans="1:20">
      <c r="A932" s="333"/>
      <c r="B932" s="558" t="s">
        <v>7785</v>
      </c>
      <c r="C932" s="559" t="s">
        <v>5314</v>
      </c>
      <c r="D932" s="560"/>
      <c r="E932" s="561" t="s">
        <v>1428</v>
      </c>
      <c r="F932" s="562" t="s">
        <v>1428</v>
      </c>
      <c r="G932" s="562" t="s">
        <v>1428</v>
      </c>
      <c r="H932" s="561" t="s">
        <v>1428</v>
      </c>
      <c r="I932" s="562" t="s">
        <v>1428</v>
      </c>
      <c r="J932" s="562" t="s">
        <v>1428</v>
      </c>
      <c r="K932" s="562" t="s">
        <v>1428</v>
      </c>
      <c r="L932" s="562" t="s">
        <v>1428</v>
      </c>
      <c r="M932" s="562" t="s">
        <v>1428</v>
      </c>
      <c r="N932" s="561">
        <f>4.497/7.31/1.13</f>
        <v>0.54441121993148</v>
      </c>
      <c r="O932" s="264">
        <v>4.99</v>
      </c>
      <c r="P932" s="562" t="s">
        <v>1428</v>
      </c>
      <c r="Q932" s="264">
        <v>0.4</v>
      </c>
      <c r="R932" s="231">
        <f>SUM(J932:Q932)</f>
        <v>5.93441121993148</v>
      </c>
      <c r="S932" s="559"/>
      <c r="T932" s="210"/>
    </row>
    <row r="936" spans="1:20">
      <c r="A936" s="195" t="s">
        <v>7734</v>
      </c>
      <c r="B936" s="195"/>
      <c r="C936" s="195"/>
      <c r="D936" s="195"/>
      <c r="E936" s="196"/>
      <c r="F936" s="196"/>
      <c r="G936" s="197"/>
      <c r="H936" s="198"/>
      <c r="I936" s="198"/>
      <c r="J936" s="199"/>
      <c r="K936" s="296"/>
      <c r="L936" s="296"/>
      <c r="M936" s="200"/>
      <c r="N936" s="297"/>
      <c r="O936" s="201"/>
      <c r="P936" s="197"/>
      <c r="Q936" s="202"/>
      <c r="R936" s="202"/>
      <c r="S936" s="203"/>
      <c r="T936" s="80"/>
    </row>
    <row r="937" spans="1:20">
      <c r="A937" s="224" t="s">
        <v>1</v>
      </c>
      <c r="B937" s="224"/>
      <c r="C937" s="224"/>
      <c r="D937" s="224"/>
      <c r="E937" s="75" t="s">
        <v>5</v>
      </c>
      <c r="F937" s="75" t="s">
        <v>1933</v>
      </c>
      <c r="G937" s="75" t="s">
        <v>4102</v>
      </c>
      <c r="H937" s="75" t="s">
        <v>4541</v>
      </c>
      <c r="I937" s="75" t="s">
        <v>1497</v>
      </c>
      <c r="J937" s="75" t="s">
        <v>4102</v>
      </c>
      <c r="K937" s="75" t="s">
        <v>4103</v>
      </c>
      <c r="L937" s="75" t="s">
        <v>4104</v>
      </c>
      <c r="M937" s="75" t="s">
        <v>1497</v>
      </c>
      <c r="N937" s="75" t="s">
        <v>6</v>
      </c>
      <c r="O937" s="75" t="s">
        <v>7</v>
      </c>
      <c r="P937" s="75" t="s">
        <v>5211</v>
      </c>
      <c r="Q937" s="75" t="s">
        <v>8</v>
      </c>
      <c r="R937" s="75" t="s">
        <v>9</v>
      </c>
      <c r="S937" s="75" t="s">
        <v>4105</v>
      </c>
      <c r="T937" s="75" t="s">
        <v>10</v>
      </c>
    </row>
    <row r="938" spans="1:20">
      <c r="A938" s="226" t="s">
        <v>7789</v>
      </c>
      <c r="B938" s="292">
        <v>20250218</v>
      </c>
      <c r="C938" s="292">
        <v>7.3</v>
      </c>
      <c r="D938" s="292" t="s">
        <v>3008</v>
      </c>
      <c r="E938" s="384" t="s">
        <v>1685</v>
      </c>
      <c r="F938" s="292" t="s">
        <v>2801</v>
      </c>
      <c r="G938" s="234" t="s">
        <v>2315</v>
      </c>
      <c r="H938" s="234" t="s">
        <v>1913</v>
      </c>
      <c r="I938" s="234" t="s">
        <v>1428</v>
      </c>
      <c r="J938" s="515">
        <v>110</v>
      </c>
      <c r="K938" s="515"/>
      <c r="L938" s="515" t="s">
        <v>1428</v>
      </c>
      <c r="M938" s="515" t="s">
        <v>1428</v>
      </c>
      <c r="N938" s="269">
        <v>5.39810562214505</v>
      </c>
      <c r="O938" s="269">
        <v>20.2411582152867</v>
      </c>
      <c r="P938" s="234"/>
      <c r="Q938" s="270">
        <v>3.52363981863233</v>
      </c>
      <c r="R938" s="231">
        <f>SUM(J938:Q938)</f>
        <v>139.162903656064</v>
      </c>
      <c r="S938" s="271" t="s">
        <v>1526</v>
      </c>
      <c r="T938" s="499" t="s">
        <v>7790</v>
      </c>
    </row>
    <row r="939" spans="1:20">
      <c r="A939" s="226" t="s">
        <v>451</v>
      </c>
      <c r="B939" s="292">
        <v>20250218</v>
      </c>
      <c r="C939" s="292">
        <v>7.3</v>
      </c>
      <c r="D939" s="292" t="s">
        <v>74</v>
      </c>
      <c r="E939" s="384" t="s">
        <v>75</v>
      </c>
      <c r="F939" s="292"/>
      <c r="G939" s="234"/>
      <c r="H939" s="234"/>
      <c r="I939" s="234"/>
      <c r="J939" s="515"/>
      <c r="K939" s="515"/>
      <c r="L939" s="515"/>
      <c r="M939" s="515"/>
      <c r="N939" s="269">
        <f>2.79/7.3/1.13</f>
        <v>0.338222814886653</v>
      </c>
      <c r="O939" s="269">
        <v>1.62442721008607</v>
      </c>
      <c r="P939" s="234"/>
      <c r="Q939" s="270">
        <v>0.2</v>
      </c>
      <c r="R939" s="231">
        <f>SUM(J939:Q939)</f>
        <v>2.16265002497272</v>
      </c>
      <c r="S939" s="271"/>
      <c r="T939" s="499" t="s">
        <v>2582</v>
      </c>
    </row>
    <row r="945" spans="1:20">
      <c r="A945" s="195" t="s">
        <v>7734</v>
      </c>
      <c r="B945" s="195"/>
      <c r="C945" s="195"/>
      <c r="D945" s="195"/>
      <c r="E945" s="196"/>
      <c r="F945" s="196"/>
      <c r="G945" s="197"/>
      <c r="H945" s="198"/>
      <c r="I945" s="198"/>
      <c r="J945" s="199"/>
      <c r="K945" s="296"/>
      <c r="L945" s="296"/>
      <c r="M945" s="200"/>
      <c r="N945" s="297"/>
      <c r="O945" s="201"/>
      <c r="P945" s="197"/>
      <c r="Q945" s="202"/>
      <c r="R945" s="202"/>
      <c r="S945" s="203"/>
      <c r="T945" s="80"/>
    </row>
    <row r="946" spans="1:20">
      <c r="A946" s="224" t="s">
        <v>1</v>
      </c>
      <c r="B946" s="224"/>
      <c r="C946" s="224"/>
      <c r="D946" s="224"/>
      <c r="E946" s="75" t="s">
        <v>5</v>
      </c>
      <c r="F946" s="75" t="s">
        <v>1933</v>
      </c>
      <c r="G946" s="75" t="s">
        <v>4102</v>
      </c>
      <c r="H946" s="75" t="s">
        <v>4541</v>
      </c>
      <c r="I946" s="75" t="s">
        <v>1497</v>
      </c>
      <c r="J946" s="75" t="s">
        <v>4102</v>
      </c>
      <c r="K946" s="75" t="s">
        <v>4103</v>
      </c>
      <c r="L946" s="75" t="s">
        <v>4104</v>
      </c>
      <c r="M946" s="75" t="s">
        <v>1497</v>
      </c>
      <c r="N946" s="75" t="s">
        <v>6</v>
      </c>
      <c r="O946" s="75" t="s">
        <v>7</v>
      </c>
      <c r="P946" s="75" t="s">
        <v>5211</v>
      </c>
      <c r="Q946" s="75" t="s">
        <v>8</v>
      </c>
      <c r="R946" s="75" t="s">
        <v>9</v>
      </c>
      <c r="S946" s="75" t="s">
        <v>4105</v>
      </c>
      <c r="T946" s="75" t="s">
        <v>10</v>
      </c>
    </row>
    <row r="947" spans="1:20">
      <c r="A947" s="226"/>
      <c r="B947" s="292">
        <v>20241213</v>
      </c>
      <c r="C947" s="292">
        <v>7.3</v>
      </c>
      <c r="D947" s="292" t="s">
        <v>141</v>
      </c>
      <c r="E947" s="384" t="s">
        <v>142</v>
      </c>
      <c r="F947" s="292"/>
      <c r="G947" s="234"/>
      <c r="H947" s="234"/>
      <c r="I947" s="234"/>
      <c r="J947" s="515"/>
      <c r="K947" s="515"/>
      <c r="L947" s="515"/>
      <c r="M947" s="515"/>
      <c r="N947" s="269">
        <v>0.640077585161838</v>
      </c>
      <c r="O947" s="269">
        <v>3.02394847096909</v>
      </c>
      <c r="P947" s="234"/>
      <c r="Q947" s="270">
        <v>0.4</v>
      </c>
      <c r="R947" s="231">
        <v>4.06402605613093</v>
      </c>
      <c r="S947" s="271"/>
      <c r="T947" s="499" t="s">
        <v>143</v>
      </c>
    </row>
    <row r="948" spans="1:20">
      <c r="A948" s="226" t="s">
        <v>7475</v>
      </c>
      <c r="B948" s="292">
        <v>20241219</v>
      </c>
      <c r="C948" s="292">
        <v>7.3</v>
      </c>
      <c r="D948" s="292" t="s">
        <v>5075</v>
      </c>
      <c r="E948" s="384" t="s">
        <v>2427</v>
      </c>
      <c r="F948" s="292" t="s">
        <v>5111</v>
      </c>
      <c r="G948" s="234" t="s">
        <v>4838</v>
      </c>
      <c r="H948" s="234" t="s">
        <v>3436</v>
      </c>
      <c r="I948" s="234"/>
      <c r="J948" s="515" t="s">
        <v>6517</v>
      </c>
      <c r="K948" s="515">
        <f>7*2</f>
        <v>14</v>
      </c>
      <c r="L948" s="515"/>
      <c r="M948" s="515"/>
      <c r="N948" s="269">
        <v>3.93313667649951</v>
      </c>
      <c r="O948" s="269">
        <v>12.0523240816051</v>
      </c>
      <c r="P948" s="234"/>
      <c r="Q948" s="270">
        <v>4.06141256774168</v>
      </c>
      <c r="R948" s="231">
        <f>SUM(J948:Q948)</f>
        <v>34.0468733258463</v>
      </c>
      <c r="S948" s="271" t="s">
        <v>2579</v>
      </c>
      <c r="T948" s="499" t="s">
        <v>7791</v>
      </c>
    </row>
    <row r="949" spans="1:20">
      <c r="A949" s="226" t="s">
        <v>7407</v>
      </c>
      <c r="B949" s="292">
        <v>20241202</v>
      </c>
      <c r="C949" s="292">
        <v>7.2</v>
      </c>
      <c r="D949" s="292" t="s">
        <v>7792</v>
      </c>
      <c r="E949" s="384" t="s">
        <v>7793</v>
      </c>
      <c r="F949" s="292" t="s">
        <v>1933</v>
      </c>
      <c r="G949" s="234" t="s">
        <v>2323</v>
      </c>
      <c r="H949" s="234" t="s">
        <v>1913</v>
      </c>
      <c r="I949" s="234" t="s">
        <v>1428</v>
      </c>
      <c r="J949" s="515">
        <v>65</v>
      </c>
      <c r="K949" s="515" t="s">
        <v>1428</v>
      </c>
      <c r="L949" s="515" t="s">
        <v>1428</v>
      </c>
      <c r="M949" s="515" t="s">
        <v>1428</v>
      </c>
      <c r="N949" s="269">
        <v>3.82102521031356</v>
      </c>
      <c r="O949" s="269">
        <v>11.6925745143068</v>
      </c>
      <c r="P949" s="234" t="s">
        <v>1428</v>
      </c>
      <c r="Q949" s="270">
        <v>2.88823119777159</v>
      </c>
      <c r="R949" s="231">
        <f>SUM(J949:Q949)+1</f>
        <v>84.401830922392</v>
      </c>
      <c r="S949" s="271" t="s">
        <v>1526</v>
      </c>
      <c r="T949" s="499" t="s">
        <v>7433</v>
      </c>
    </row>
    <row r="954" spans="1:20">
      <c r="A954" s="195" t="s">
        <v>7734</v>
      </c>
      <c r="B954" s="195"/>
      <c r="C954" s="195"/>
      <c r="D954" s="195"/>
      <c r="E954" s="196"/>
      <c r="F954" s="196"/>
      <c r="G954" s="197"/>
      <c r="H954" s="198"/>
      <c r="I954" s="198"/>
      <c r="J954" s="199"/>
      <c r="K954" s="296"/>
      <c r="L954" s="296"/>
      <c r="M954" s="200"/>
      <c r="N954" s="297"/>
      <c r="O954" s="201"/>
      <c r="P954" s="197"/>
      <c r="Q954" s="202"/>
      <c r="R954" s="202"/>
      <c r="S954" s="203"/>
      <c r="T954" s="80"/>
    </row>
    <row r="955" spans="1:20">
      <c r="A955" s="224" t="s">
        <v>1</v>
      </c>
      <c r="B955" s="224"/>
      <c r="C955" s="224"/>
      <c r="D955" s="224"/>
      <c r="E955" s="75" t="s">
        <v>5</v>
      </c>
      <c r="F955" s="75" t="s">
        <v>1933</v>
      </c>
      <c r="G955" s="75" t="s">
        <v>4102</v>
      </c>
      <c r="H955" s="75" t="s">
        <v>4541</v>
      </c>
      <c r="I955" s="75" t="s">
        <v>1497</v>
      </c>
      <c r="J955" s="75" t="s">
        <v>4102</v>
      </c>
      <c r="K955" s="75" t="s">
        <v>4103</v>
      </c>
      <c r="L955" s="75" t="s">
        <v>4104</v>
      </c>
      <c r="M955" s="75" t="s">
        <v>1497</v>
      </c>
      <c r="N955" s="75" t="s">
        <v>6</v>
      </c>
      <c r="O955" s="75" t="s">
        <v>7</v>
      </c>
      <c r="P955" s="75" t="s">
        <v>5211</v>
      </c>
      <c r="Q955" s="75" t="s">
        <v>8</v>
      </c>
      <c r="R955" s="75" t="s">
        <v>9</v>
      </c>
      <c r="S955" s="75" t="s">
        <v>4105</v>
      </c>
      <c r="T955" s="75" t="s">
        <v>10</v>
      </c>
    </row>
    <row r="956" spans="1:20">
      <c r="A956" s="563" t="s">
        <v>7655</v>
      </c>
      <c r="B956" s="289">
        <v>20250219</v>
      </c>
      <c r="C956" s="289">
        <v>7.3</v>
      </c>
      <c r="D956" s="289" t="s">
        <v>7106</v>
      </c>
      <c r="E956" s="255" t="s">
        <v>1565</v>
      </c>
      <c r="F956" s="226" t="s">
        <v>7557</v>
      </c>
      <c r="G956" s="253" t="s">
        <v>6159</v>
      </c>
      <c r="H956" s="227" t="s">
        <v>1913</v>
      </c>
      <c r="I956" s="227" t="s">
        <v>3696</v>
      </c>
      <c r="J956" s="227">
        <v>16</v>
      </c>
      <c r="K956" s="227" t="s">
        <v>1428</v>
      </c>
      <c r="L956" s="227" t="s">
        <v>1428</v>
      </c>
      <c r="M956" s="227">
        <v>3.3</v>
      </c>
      <c r="N956" s="273">
        <f>29.58/7.25/1.13</f>
        <v>3.61061946902655</v>
      </c>
      <c r="O956" s="230">
        <v>9.33789740254257</v>
      </c>
      <c r="P956" s="227" t="s">
        <v>1428</v>
      </c>
      <c r="Q956" s="438">
        <v>3</v>
      </c>
      <c r="R956" s="232">
        <f>SUM(J956:Q956)</f>
        <v>35.2485168715691</v>
      </c>
      <c r="S956" s="233" t="s">
        <v>1526</v>
      </c>
      <c r="T956" s="228" t="s">
        <v>7794</v>
      </c>
    </row>
    <row r="957" spans="1:20">
      <c r="A957" s="564"/>
      <c r="B957" s="564"/>
      <c r="C957" s="564"/>
      <c r="D957" s="564"/>
      <c r="E957" s="236"/>
      <c r="F957" s="235"/>
      <c r="G957" s="181"/>
      <c r="H957" s="181"/>
      <c r="I957" s="181"/>
      <c r="J957" s="181"/>
      <c r="K957" s="181"/>
      <c r="L957" s="181"/>
      <c r="M957" s="181"/>
      <c r="N957" s="238"/>
      <c r="O957" s="238"/>
      <c r="P957" s="181"/>
      <c r="Q957" s="565"/>
      <c r="R957" s="240"/>
      <c r="S957" s="241"/>
      <c r="T957" s="236"/>
    </row>
    <row r="958" spans="1:20">
      <c r="A958" s="195" t="s">
        <v>7734</v>
      </c>
      <c r="B958" s="195"/>
      <c r="C958" s="195"/>
      <c r="D958" s="195"/>
      <c r="E958" s="196"/>
      <c r="F958" s="196"/>
      <c r="G958" s="197"/>
      <c r="H958" s="198"/>
      <c r="I958" s="198"/>
      <c r="J958" s="199"/>
      <c r="K958" s="296"/>
      <c r="L958" s="296"/>
      <c r="M958" s="200"/>
      <c r="N958" s="297"/>
      <c r="O958" s="201"/>
      <c r="P958" s="197"/>
      <c r="Q958" s="202"/>
      <c r="R958" s="202"/>
      <c r="S958" s="203"/>
      <c r="T958" s="80"/>
    </row>
    <row r="959" spans="1:20">
      <c r="A959" s="224" t="s">
        <v>1</v>
      </c>
      <c r="B959" s="224"/>
      <c r="C959" s="224"/>
      <c r="D959" s="224"/>
      <c r="E959" s="75" t="s">
        <v>5</v>
      </c>
      <c r="F959" s="75" t="s">
        <v>1933</v>
      </c>
      <c r="G959" s="75" t="s">
        <v>4102</v>
      </c>
      <c r="H959" s="75" t="s">
        <v>4541</v>
      </c>
      <c r="I959" s="75" t="s">
        <v>1497</v>
      </c>
      <c r="J959" s="75" t="s">
        <v>4102</v>
      </c>
      <c r="K959" s="75" t="s">
        <v>4103</v>
      </c>
      <c r="L959" s="75" t="s">
        <v>4104</v>
      </c>
      <c r="M959" s="75" t="s">
        <v>1497</v>
      </c>
      <c r="N959" s="75" t="s">
        <v>6</v>
      </c>
      <c r="O959" s="75" t="s">
        <v>7</v>
      </c>
      <c r="P959" s="75" t="s">
        <v>5211</v>
      </c>
      <c r="Q959" s="75" t="s">
        <v>8</v>
      </c>
      <c r="R959" s="75" t="s">
        <v>9</v>
      </c>
      <c r="S959" s="75" t="s">
        <v>4105</v>
      </c>
      <c r="T959" s="75" t="s">
        <v>10</v>
      </c>
    </row>
    <row r="960" spans="1:20">
      <c r="A960" s="563" t="s">
        <v>7529</v>
      </c>
      <c r="B960" s="289">
        <v>20250219</v>
      </c>
      <c r="C960" s="289">
        <v>7.3</v>
      </c>
      <c r="D960" s="289" t="s">
        <v>6809</v>
      </c>
      <c r="E960" s="255" t="s">
        <v>2110</v>
      </c>
      <c r="F960" s="226" t="s">
        <v>1933</v>
      </c>
      <c r="G960" s="253" t="s">
        <v>6159</v>
      </c>
      <c r="H960" s="227" t="s">
        <v>1913</v>
      </c>
      <c r="I960" s="227" t="s">
        <v>1720</v>
      </c>
      <c r="J960" s="227">
        <v>16</v>
      </c>
      <c r="K960" s="227" t="s">
        <v>1428</v>
      </c>
      <c r="L960" s="227" t="s">
        <v>1428</v>
      </c>
      <c r="M960" s="227">
        <v>2.3</v>
      </c>
      <c r="N960" s="269">
        <v>3.19567354965585</v>
      </c>
      <c r="O960" s="230">
        <v>10.0066652965269</v>
      </c>
      <c r="P960" s="227" t="s">
        <v>1428</v>
      </c>
      <c r="Q960" s="231">
        <v>2.71637806675407</v>
      </c>
      <c r="R960" s="232">
        <f>SUM(J960:Q960)</f>
        <v>34.2187169129368</v>
      </c>
      <c r="S960" s="233" t="s">
        <v>1526</v>
      </c>
      <c r="T960" s="228" t="s">
        <v>7795</v>
      </c>
    </row>
    <row r="961" spans="1:20">
      <c r="A961" s="563"/>
      <c r="B961" s="289">
        <v>20241105</v>
      </c>
      <c r="C961" s="289">
        <v>7.11</v>
      </c>
      <c r="D961" s="289" t="s">
        <v>7448</v>
      </c>
      <c r="E961" s="255" t="s">
        <v>7449</v>
      </c>
      <c r="F961" s="226"/>
      <c r="G961" s="253"/>
      <c r="H961" s="227"/>
      <c r="I961" s="227"/>
      <c r="J961" s="227"/>
      <c r="K961" s="227"/>
      <c r="L961" s="227"/>
      <c r="M961" s="227"/>
      <c r="N961" s="269">
        <v>0.421489007854134</v>
      </c>
      <c r="O961" s="230">
        <v>1.1196039270565</v>
      </c>
      <c r="P961" s="227"/>
      <c r="Q961" s="231">
        <v>0.2</v>
      </c>
      <c r="R961" s="232">
        <f>SUM(J961:Q961)</f>
        <v>1.74109293491063</v>
      </c>
      <c r="S961" s="233"/>
      <c r="T961" s="228"/>
    </row>
    <row r="963" spans="1:20">
      <c r="A963" s="195" t="s">
        <v>7796</v>
      </c>
      <c r="B963" s="195"/>
      <c r="C963" s="195"/>
      <c r="D963" s="195"/>
      <c r="E963" s="196"/>
      <c r="F963" s="196"/>
      <c r="G963" s="197"/>
      <c r="H963" s="198"/>
      <c r="I963" s="198"/>
      <c r="J963" s="199"/>
      <c r="K963" s="296"/>
      <c r="L963" s="296"/>
      <c r="M963" s="200"/>
      <c r="N963" s="297"/>
      <c r="O963" s="201"/>
      <c r="P963" s="197"/>
      <c r="Q963" s="202"/>
      <c r="R963" s="202"/>
      <c r="S963" s="203"/>
      <c r="T963" s="80"/>
    </row>
    <row r="964" spans="1:20">
      <c r="A964" s="224" t="s">
        <v>1</v>
      </c>
      <c r="B964" s="224"/>
      <c r="C964" s="224"/>
      <c r="D964" s="224"/>
      <c r="E964" s="75" t="s">
        <v>5</v>
      </c>
      <c r="F964" s="75" t="s">
        <v>1933</v>
      </c>
      <c r="G964" s="75" t="s">
        <v>4102</v>
      </c>
      <c r="H964" s="75" t="s">
        <v>4541</v>
      </c>
      <c r="I964" s="75" t="s">
        <v>1497</v>
      </c>
      <c r="J964" s="75" t="s">
        <v>4102</v>
      </c>
      <c r="K964" s="75" t="s">
        <v>4103</v>
      </c>
      <c r="L964" s="75" t="s">
        <v>4104</v>
      </c>
      <c r="M964" s="75" t="s">
        <v>1497</v>
      </c>
      <c r="N964" s="75" t="s">
        <v>6</v>
      </c>
      <c r="O964" s="75" t="s">
        <v>7</v>
      </c>
      <c r="P964" s="75" t="s">
        <v>5211</v>
      </c>
      <c r="Q964" s="75" t="s">
        <v>8</v>
      </c>
      <c r="R964" s="75" t="s">
        <v>9</v>
      </c>
      <c r="S964" s="75" t="s">
        <v>4105</v>
      </c>
      <c r="T964" s="75" t="s">
        <v>10</v>
      </c>
    </row>
    <row r="965" spans="1:20">
      <c r="A965" s="563" t="s">
        <v>3547</v>
      </c>
      <c r="B965" s="289">
        <v>20250219</v>
      </c>
      <c r="C965" s="289">
        <v>7.25</v>
      </c>
      <c r="D965" s="289" t="s">
        <v>3597</v>
      </c>
      <c r="E965" s="255" t="s">
        <v>2234</v>
      </c>
      <c r="F965" s="226" t="s">
        <v>5111</v>
      </c>
      <c r="G965" s="253" t="s">
        <v>3542</v>
      </c>
      <c r="H965" s="227" t="s">
        <v>3349</v>
      </c>
      <c r="I965" s="227" t="s">
        <v>1428</v>
      </c>
      <c r="J965" s="227">
        <v>30</v>
      </c>
      <c r="K965" s="227" t="s">
        <v>1428</v>
      </c>
      <c r="L965" s="227">
        <v>6.5</v>
      </c>
      <c r="M965" s="227" t="s">
        <v>1428</v>
      </c>
      <c r="N965" s="269">
        <v>3.20749785295545</v>
      </c>
      <c r="O965" s="230">
        <v>10.9557090043027</v>
      </c>
      <c r="P965" s="227" t="s">
        <v>1428</v>
      </c>
      <c r="Q965" s="231">
        <v>3</v>
      </c>
      <c r="R965" s="232">
        <f t="shared" ref="R965:R970" si="6">SUM(J965:Q965)</f>
        <v>53.6632068572581</v>
      </c>
      <c r="S965" s="233" t="s">
        <v>3384</v>
      </c>
      <c r="T965" s="228" t="s">
        <v>7598</v>
      </c>
    </row>
    <row r="966" spans="1:20">
      <c r="A966" s="563" t="s">
        <v>984</v>
      </c>
      <c r="B966" s="289">
        <v>20250219</v>
      </c>
      <c r="C966" s="289">
        <v>7.3</v>
      </c>
      <c r="D966" s="289" t="s">
        <v>3461</v>
      </c>
      <c r="E966" s="255" t="s">
        <v>1998</v>
      </c>
      <c r="F966" s="226" t="s">
        <v>2801</v>
      </c>
      <c r="G966" s="253" t="s">
        <v>3794</v>
      </c>
      <c r="H966" s="227" t="s">
        <v>3463</v>
      </c>
      <c r="I966" s="227" t="s">
        <v>1635</v>
      </c>
      <c r="J966" s="227">
        <v>29</v>
      </c>
      <c r="K966" s="227">
        <f>3.3*2</f>
        <v>6.6</v>
      </c>
      <c r="L966" s="227">
        <v>3.8</v>
      </c>
      <c r="M966" s="227">
        <v>3.3</v>
      </c>
      <c r="N966" s="269">
        <v>3.15613589949873</v>
      </c>
      <c r="O966" s="230">
        <v>24.5557949152049</v>
      </c>
      <c r="P966" s="227" t="s">
        <v>1428</v>
      </c>
      <c r="Q966" s="231">
        <v>3</v>
      </c>
      <c r="R966" s="232">
        <f t="shared" si="6"/>
        <v>73.4119308147036</v>
      </c>
      <c r="S966" s="233" t="s">
        <v>7797</v>
      </c>
      <c r="T966" s="228" t="s">
        <v>7798</v>
      </c>
    </row>
    <row r="967" spans="1:20">
      <c r="A967" s="563" t="s">
        <v>984</v>
      </c>
      <c r="B967" s="289">
        <v>20250219</v>
      </c>
      <c r="C967" s="289">
        <v>7.3</v>
      </c>
      <c r="D967" s="289" t="s">
        <v>987</v>
      </c>
      <c r="E967" s="255" t="s">
        <v>988</v>
      </c>
      <c r="F967" s="226"/>
      <c r="G967" s="253"/>
      <c r="H967" s="227"/>
      <c r="I967" s="227"/>
      <c r="J967" s="227"/>
      <c r="K967" s="227"/>
      <c r="L967" s="227"/>
      <c r="M967" s="227"/>
      <c r="N967" s="269">
        <v>0.356510745891277</v>
      </c>
      <c r="O967" s="230">
        <v>1.07404721172506</v>
      </c>
      <c r="P967" s="227" t="s">
        <v>1428</v>
      </c>
      <c r="Q967" s="231">
        <v>0.2</v>
      </c>
      <c r="R967" s="232">
        <f t="shared" si="6"/>
        <v>1.63055795761634</v>
      </c>
      <c r="S967" s="233"/>
      <c r="T967" s="228"/>
    </row>
    <row r="968" spans="1:20">
      <c r="A968" s="563" t="s">
        <v>984</v>
      </c>
      <c r="B968" s="289">
        <v>20250219</v>
      </c>
      <c r="C968" s="289">
        <v>7.3</v>
      </c>
      <c r="D968" s="289" t="s">
        <v>945</v>
      </c>
      <c r="E968" s="255" t="s">
        <v>946</v>
      </c>
      <c r="F968" s="226"/>
      <c r="G968" s="253"/>
      <c r="H968" s="227"/>
      <c r="I968" s="227"/>
      <c r="J968" s="227"/>
      <c r="K968" s="227"/>
      <c r="L968" s="227"/>
      <c r="M968" s="227"/>
      <c r="N968" s="269">
        <v>0.0610314311870613</v>
      </c>
      <c r="O968" s="230">
        <v>0.0591133004926108</v>
      </c>
      <c r="P968" s="227" t="s">
        <v>1428</v>
      </c>
      <c r="Q968" s="231">
        <v>0.2</v>
      </c>
      <c r="R968" s="232">
        <f t="shared" si="6"/>
        <v>0.320144731679672</v>
      </c>
      <c r="S968" s="233"/>
      <c r="T968" s="228"/>
    </row>
    <row r="969" spans="1:20">
      <c r="A969" s="563" t="s">
        <v>7414</v>
      </c>
      <c r="B969" s="289">
        <v>20250219</v>
      </c>
      <c r="C969" s="289">
        <v>7.3</v>
      </c>
      <c r="D969" s="289" t="s">
        <v>7417</v>
      </c>
      <c r="E969" s="255" t="s">
        <v>2427</v>
      </c>
      <c r="F969" s="226" t="s">
        <v>2801</v>
      </c>
      <c r="G969" s="253" t="s">
        <v>2558</v>
      </c>
      <c r="H969" s="227" t="s">
        <v>3432</v>
      </c>
      <c r="I969" s="227" t="s">
        <v>1635</v>
      </c>
      <c r="J969" s="227" t="s">
        <v>1428</v>
      </c>
      <c r="K969" s="227">
        <f>12.5*2</f>
        <v>25</v>
      </c>
      <c r="L969" s="227" t="s">
        <v>1428</v>
      </c>
      <c r="M969" s="227">
        <v>3.3</v>
      </c>
      <c r="N969" s="269">
        <v>2.98058013765978</v>
      </c>
      <c r="O969" s="230">
        <v>13.5374585875954</v>
      </c>
      <c r="P969" s="227" t="s">
        <v>1428</v>
      </c>
      <c r="Q969" s="231">
        <v>2.95826013351263</v>
      </c>
      <c r="R969" s="232">
        <f t="shared" si="6"/>
        <v>47.7762988587678</v>
      </c>
      <c r="S969" s="233" t="s">
        <v>4001</v>
      </c>
      <c r="T969" s="228" t="s">
        <v>7799</v>
      </c>
    </row>
    <row r="970" spans="1:20">
      <c r="A970" s="563" t="s">
        <v>7414</v>
      </c>
      <c r="B970" s="289">
        <v>20250219</v>
      </c>
      <c r="C970" s="289">
        <v>7.25</v>
      </c>
      <c r="D970" s="289" t="s">
        <v>7800</v>
      </c>
      <c r="E970" s="255" t="s">
        <v>1591</v>
      </c>
      <c r="F970" s="226" t="s">
        <v>2801</v>
      </c>
      <c r="G970" s="253" t="s">
        <v>2082</v>
      </c>
      <c r="H970" s="227" t="s">
        <v>4474</v>
      </c>
      <c r="I970" s="227" t="s">
        <v>1635</v>
      </c>
      <c r="J970" s="227">
        <v>105</v>
      </c>
      <c r="K970" s="227">
        <f>7*4</f>
        <v>28</v>
      </c>
      <c r="L970" s="227"/>
      <c r="M970" s="227">
        <v>3.3</v>
      </c>
      <c r="N970" s="269">
        <v>2.98058013765978</v>
      </c>
      <c r="O970" s="230">
        <v>10.2657857763351</v>
      </c>
      <c r="P970" s="227"/>
      <c r="Q970" s="231">
        <v>2.95826013351263</v>
      </c>
      <c r="R970" s="232">
        <f t="shared" si="6"/>
        <v>152.504626047508</v>
      </c>
      <c r="S970" s="233" t="s">
        <v>3995</v>
      </c>
      <c r="T970" s="228" t="s">
        <v>7801</v>
      </c>
    </row>
    <row r="971" spans="1:20">
      <c r="A971" s="563"/>
      <c r="B971" s="289"/>
      <c r="C971" s="289"/>
      <c r="D971" s="289"/>
      <c r="E971" s="255"/>
      <c r="F971" s="226"/>
      <c r="G971" s="253"/>
      <c r="H971" s="227"/>
      <c r="I971" s="227"/>
      <c r="J971" s="227"/>
      <c r="K971" s="227"/>
      <c r="L971" s="227"/>
      <c r="M971" s="227"/>
      <c r="N971" s="269"/>
      <c r="O971" s="230"/>
      <c r="P971" s="227"/>
      <c r="Q971" s="231"/>
      <c r="R971" s="232"/>
      <c r="S971" s="233"/>
      <c r="T971" s="228"/>
    </row>
    <row r="972" spans="1:20">
      <c r="A972" s="195" t="s">
        <v>7796</v>
      </c>
      <c r="B972" s="195"/>
      <c r="C972" s="195"/>
      <c r="D972" s="195"/>
      <c r="E972" s="196"/>
      <c r="F972" s="196"/>
      <c r="G972" s="197"/>
      <c r="H972" s="198"/>
      <c r="I972" s="198"/>
      <c r="J972" s="199"/>
      <c r="K972" s="296"/>
      <c r="L972" s="296"/>
      <c r="M972" s="200"/>
      <c r="N972" s="297"/>
      <c r="O972" s="201"/>
      <c r="P972" s="197"/>
      <c r="Q972" s="202"/>
      <c r="R972" s="202"/>
      <c r="S972" s="203"/>
      <c r="T972" s="80"/>
    </row>
    <row r="973" spans="1:20">
      <c r="A973" s="224" t="s">
        <v>1</v>
      </c>
      <c r="B973" s="224"/>
      <c r="C973" s="224"/>
      <c r="D973" s="224"/>
      <c r="E973" s="75" t="s">
        <v>5</v>
      </c>
      <c r="F973" s="75" t="s">
        <v>1933</v>
      </c>
      <c r="G973" s="75" t="s">
        <v>4102</v>
      </c>
      <c r="H973" s="75" t="s">
        <v>4541</v>
      </c>
      <c r="I973" s="75" t="s">
        <v>1497</v>
      </c>
      <c r="J973" s="75" t="s">
        <v>4102</v>
      </c>
      <c r="K973" s="75" t="s">
        <v>4103</v>
      </c>
      <c r="L973" s="75" t="s">
        <v>4104</v>
      </c>
      <c r="M973" s="75" t="s">
        <v>1497</v>
      </c>
      <c r="N973" s="75" t="s">
        <v>6</v>
      </c>
      <c r="O973" s="75" t="s">
        <v>7</v>
      </c>
      <c r="P973" s="75" t="s">
        <v>5211</v>
      </c>
      <c r="Q973" s="75" t="s">
        <v>8</v>
      </c>
      <c r="R973" s="75" t="s">
        <v>9</v>
      </c>
      <c r="S973" s="75" t="s">
        <v>4105</v>
      </c>
      <c r="T973" s="75" t="s">
        <v>10</v>
      </c>
    </row>
    <row r="974" spans="1:20">
      <c r="A974" s="563" t="s">
        <v>7407</v>
      </c>
      <c r="B974" s="289">
        <v>20241113</v>
      </c>
      <c r="C974" s="289">
        <v>7.2</v>
      </c>
      <c r="D974" s="289" t="s">
        <v>7483</v>
      </c>
      <c r="E974" s="255" t="s">
        <v>7484</v>
      </c>
      <c r="F974" s="226" t="s">
        <v>4284</v>
      </c>
      <c r="G974" s="253" t="s">
        <v>2323</v>
      </c>
      <c r="H974" s="227" t="s">
        <v>1913</v>
      </c>
      <c r="I974" s="227" t="s">
        <v>1428</v>
      </c>
      <c r="J974" s="227">
        <v>65</v>
      </c>
      <c r="K974" s="227" t="s">
        <v>1428</v>
      </c>
      <c r="L974" s="227" t="s">
        <v>1428</v>
      </c>
      <c r="M974" s="227" t="s">
        <v>1428</v>
      </c>
      <c r="N974" s="269">
        <v>3.82102521031356</v>
      </c>
      <c r="O974" s="230">
        <v>11.3834801110162</v>
      </c>
      <c r="P974" s="227" t="s">
        <v>1428</v>
      </c>
      <c r="Q974" s="231">
        <v>2.88823119777159</v>
      </c>
      <c r="R974" s="232">
        <f>SUM(J974:Q974)+1</f>
        <v>84.0927365191014</v>
      </c>
      <c r="S974" s="233" t="s">
        <v>1526</v>
      </c>
      <c r="T974" s="228" t="s">
        <v>2588</v>
      </c>
    </row>
    <row r="975" spans="1:20">
      <c r="A975" s="333"/>
      <c r="B975" s="226">
        <v>20241010</v>
      </c>
      <c r="C975" s="226">
        <v>7.11</v>
      </c>
      <c r="D975" s="226" t="s">
        <v>1416</v>
      </c>
      <c r="E975" s="226" t="s">
        <v>1417</v>
      </c>
      <c r="F975" s="226"/>
      <c r="G975" s="227"/>
      <c r="H975" s="227"/>
      <c r="I975" s="227"/>
      <c r="J975" s="245"/>
      <c r="K975" s="256"/>
      <c r="L975" s="256"/>
      <c r="M975" s="256"/>
      <c r="N975" s="334">
        <v>0.423185591775264</v>
      </c>
      <c r="O975" s="334">
        <f>1.1511540502635/7.11*7.25</f>
        <v>1.17382093732917</v>
      </c>
      <c r="P975" s="227" t="s">
        <v>1428</v>
      </c>
      <c r="Q975" s="231">
        <v>0.2</v>
      </c>
      <c r="R975" s="231">
        <f>SUM(J975:Q975)</f>
        <v>1.79700652910443</v>
      </c>
      <c r="S975" s="233"/>
      <c r="T975" s="260" t="s">
        <v>7532</v>
      </c>
    </row>
    <row r="979" spans="1:21">
      <c r="A979" s="195" t="s">
        <v>7734</v>
      </c>
      <c r="B979" s="195"/>
      <c r="C979" s="195"/>
      <c r="D979" s="195"/>
      <c r="E979" s="196"/>
      <c r="F979" s="196"/>
      <c r="G979" s="197"/>
      <c r="H979" s="198"/>
      <c r="I979" s="198"/>
      <c r="J979" s="199"/>
      <c r="K979" s="296"/>
      <c r="L979" s="296"/>
      <c r="M979" s="200"/>
      <c r="N979" s="297"/>
      <c r="O979" s="201"/>
      <c r="P979" s="197"/>
      <c r="Q979" s="202"/>
      <c r="R979" s="202"/>
      <c r="S979" s="203"/>
      <c r="T979" s="80"/>
    </row>
    <row r="980" ht="12" customHeight="1" spans="1:21">
      <c r="A980" s="224" t="s">
        <v>1</v>
      </c>
      <c r="B980" s="224"/>
      <c r="C980" s="224"/>
      <c r="D980" s="224"/>
      <c r="E980" s="75" t="s">
        <v>5</v>
      </c>
      <c r="F980" s="75" t="s">
        <v>1933</v>
      </c>
      <c r="G980" s="75" t="s">
        <v>4102</v>
      </c>
      <c r="H980" s="75" t="s">
        <v>4541</v>
      </c>
      <c r="I980" s="75" t="s">
        <v>1497</v>
      </c>
      <c r="J980" s="75" t="s">
        <v>4102</v>
      </c>
      <c r="K980" s="75" t="s">
        <v>4103</v>
      </c>
      <c r="L980" s="75" t="s">
        <v>4104</v>
      </c>
      <c r="M980" s="75" t="s">
        <v>1497</v>
      </c>
      <c r="N980" s="75" t="s">
        <v>6</v>
      </c>
      <c r="O980" s="75" t="s">
        <v>7</v>
      </c>
      <c r="P980" s="75" t="s">
        <v>5211</v>
      </c>
      <c r="Q980" s="75" t="s">
        <v>8</v>
      </c>
      <c r="R980" s="75" t="s">
        <v>9</v>
      </c>
      <c r="S980" s="75" t="s">
        <v>4105</v>
      </c>
      <c r="T980" s="75" t="s">
        <v>10</v>
      </c>
    </row>
    <row r="981" spans="1:21">
      <c r="A981" s="566" t="s">
        <v>7407</v>
      </c>
      <c r="B981" s="566">
        <v>20250220</v>
      </c>
      <c r="C981" s="566">
        <v>7.25</v>
      </c>
      <c r="D981" s="566" t="s">
        <v>7802</v>
      </c>
      <c r="E981" s="567" t="s">
        <v>7803</v>
      </c>
      <c r="F981" s="568" t="s">
        <v>2801</v>
      </c>
      <c r="G981" s="569" t="s">
        <v>2323</v>
      </c>
      <c r="H981" s="570" t="s">
        <v>1913</v>
      </c>
      <c r="I981" s="570" t="s">
        <v>1428</v>
      </c>
      <c r="J981" s="571">
        <v>65</v>
      </c>
      <c r="K981" s="571" t="s">
        <v>1428</v>
      </c>
      <c r="L981" s="571" t="s">
        <v>1428</v>
      </c>
      <c r="M981" s="571" t="s">
        <v>1428</v>
      </c>
      <c r="N981" s="572">
        <v>3.82102521031356</v>
      </c>
      <c r="O981" s="572">
        <v>12.1240133447513</v>
      </c>
      <c r="P981" s="573" t="s">
        <v>1428</v>
      </c>
      <c r="Q981" s="573">
        <v>2.88823119777159</v>
      </c>
      <c r="R981" s="573">
        <v>83.8332697528364</v>
      </c>
      <c r="S981" s="568" t="s">
        <v>1526</v>
      </c>
      <c r="T981" s="566" t="s">
        <v>7804</v>
      </c>
    </row>
    <row r="982" spans="1:21">
      <c r="A982" s="566"/>
      <c r="B982" s="566">
        <v>20241016</v>
      </c>
      <c r="C982" s="566">
        <v>7.1</v>
      </c>
      <c r="D982" s="566" t="s">
        <v>172</v>
      </c>
      <c r="E982" s="566" t="s">
        <v>173</v>
      </c>
      <c r="F982" s="566"/>
      <c r="G982" s="571"/>
      <c r="H982" s="571"/>
      <c r="I982" s="571"/>
      <c r="J982" s="574"/>
      <c r="K982" s="574"/>
      <c r="L982" s="574"/>
      <c r="M982" s="574"/>
      <c r="N982" s="575">
        <v>0.467406207154431</v>
      </c>
      <c r="O982" s="575">
        <v>3.91203992236919</v>
      </c>
      <c r="P982" s="571" t="s">
        <v>1428</v>
      </c>
      <c r="Q982" s="573">
        <v>0.4</v>
      </c>
      <c r="R982" s="573">
        <v>4.77944612952362</v>
      </c>
      <c r="S982" s="576"/>
      <c r="T982" s="577" t="s">
        <v>7805</v>
      </c>
    </row>
    <row r="983" spans="1:21">
      <c r="A983" s="566" t="s">
        <v>7569</v>
      </c>
      <c r="B983" s="566"/>
      <c r="C983" s="566"/>
      <c r="D983" s="566"/>
      <c r="E983" s="567" t="s">
        <v>7481</v>
      </c>
      <c r="F983" s="568" t="s">
        <v>7806</v>
      </c>
      <c r="G983" s="569"/>
      <c r="H983" s="570"/>
      <c r="I983" s="570"/>
      <c r="J983" s="571"/>
      <c r="K983" s="571"/>
      <c r="L983" s="571"/>
      <c r="M983" s="571"/>
      <c r="N983" s="572"/>
      <c r="O983" s="572"/>
      <c r="P983" s="573"/>
      <c r="Q983" s="573"/>
      <c r="R983" s="573">
        <v>8</v>
      </c>
      <c r="S983" s="568"/>
      <c r="T983" s="566"/>
    </row>
    <row r="984" spans="1:21">
      <c r="A984" s="566" t="s">
        <v>7807</v>
      </c>
      <c r="B984" s="566"/>
      <c r="C984" s="566"/>
      <c r="D984" s="566"/>
      <c r="E984" s="567" t="s">
        <v>7808</v>
      </c>
      <c r="F984" s="568" t="s">
        <v>7809</v>
      </c>
      <c r="G984" s="569"/>
      <c r="H984" s="570"/>
      <c r="I984" s="570"/>
      <c r="J984" s="571"/>
      <c r="K984" s="571"/>
      <c r="L984" s="571"/>
      <c r="M984" s="571"/>
      <c r="N984" s="572"/>
      <c r="O984" s="572"/>
      <c r="P984" s="573"/>
      <c r="Q984" s="573"/>
      <c r="R984" s="573">
        <v>13.8</v>
      </c>
      <c r="S984" s="568"/>
      <c r="T984" s="566"/>
    </row>
    <row r="985" spans="1:21">
      <c r="A985" s="566" t="s">
        <v>7810</v>
      </c>
      <c r="B985" s="566"/>
      <c r="C985" s="566"/>
      <c r="D985" s="566"/>
      <c r="E985" s="567" t="s">
        <v>7811</v>
      </c>
      <c r="F985" s="568" t="s">
        <v>7812</v>
      </c>
      <c r="G985" s="569"/>
      <c r="H985" s="570"/>
      <c r="I985" s="570"/>
      <c r="J985" s="571"/>
      <c r="K985" s="571"/>
      <c r="L985" s="571"/>
      <c r="M985" s="571"/>
      <c r="N985" s="572"/>
      <c r="O985" s="572"/>
      <c r="P985" s="573"/>
      <c r="Q985" s="573"/>
      <c r="R985" s="573">
        <v>9.5</v>
      </c>
      <c r="S985" s="568"/>
      <c r="T985" s="566"/>
    </row>
    <row r="986" spans="1:21">
      <c r="A986" s="566" t="s">
        <v>7475</v>
      </c>
      <c r="B986" s="566">
        <v>20241219</v>
      </c>
      <c r="C986" s="566">
        <v>7.3</v>
      </c>
      <c r="D986" s="566" t="s">
        <v>5075</v>
      </c>
      <c r="E986" s="567" t="s">
        <v>2427</v>
      </c>
      <c r="F986" s="568" t="s">
        <v>5111</v>
      </c>
      <c r="G986" s="569" t="s">
        <v>4838</v>
      </c>
      <c r="H986" s="570" t="s">
        <v>3436</v>
      </c>
      <c r="I986" s="570"/>
      <c r="J986" s="571" t="s">
        <v>6517</v>
      </c>
      <c r="K986" s="571">
        <f>7*2</f>
        <v>14</v>
      </c>
      <c r="L986" s="571"/>
      <c r="M986" s="571"/>
      <c r="N986" s="572">
        <v>3.93313667649951</v>
      </c>
      <c r="O986" s="572">
        <v>12.0523240816051</v>
      </c>
      <c r="P986" s="573"/>
      <c r="Q986" s="573">
        <v>4.06141256774168</v>
      </c>
      <c r="R986" s="573">
        <f>SUM(J986:Q986)</f>
        <v>34.0468733258463</v>
      </c>
      <c r="S986" s="568" t="s">
        <v>2579</v>
      </c>
      <c r="T986" s="566" t="s">
        <v>7813</v>
      </c>
    </row>
    <row r="987" spans="1:21">
      <c r="A987" s="566"/>
      <c r="B987" s="566"/>
      <c r="C987" s="566"/>
      <c r="D987" s="566"/>
      <c r="E987" s="567" t="s">
        <v>7441</v>
      </c>
      <c r="F987" s="568"/>
      <c r="G987" s="569"/>
      <c r="H987" s="570"/>
      <c r="I987" s="570"/>
      <c r="J987" s="571"/>
      <c r="K987" s="571"/>
      <c r="L987" s="571"/>
      <c r="M987" s="571"/>
      <c r="N987" s="572"/>
      <c r="O987" s="572"/>
      <c r="P987" s="573"/>
      <c r="Q987" s="573"/>
      <c r="R987" s="573">
        <v>3.3</v>
      </c>
      <c r="S987" s="568"/>
      <c r="T987" s="566"/>
    </row>
    <row r="989" spans="1:21">
      <c r="A989" s="195" t="s">
        <v>7734</v>
      </c>
      <c r="B989" s="195"/>
      <c r="C989" s="195"/>
      <c r="D989" s="195"/>
      <c r="E989" s="196"/>
      <c r="F989" s="196"/>
      <c r="G989" s="197"/>
      <c r="H989" s="198"/>
      <c r="I989" s="198"/>
      <c r="J989" s="199"/>
      <c r="K989" s="296"/>
      <c r="L989" s="296"/>
      <c r="M989" s="200"/>
      <c r="N989" s="297"/>
      <c r="O989" s="201"/>
      <c r="P989" s="197"/>
      <c r="Q989" s="202"/>
      <c r="R989" s="202"/>
      <c r="S989" s="203"/>
      <c r="T989" s="80"/>
    </row>
    <row r="990" ht="12" customHeight="1" spans="1:21">
      <c r="A990" s="224" t="s">
        <v>1</v>
      </c>
      <c r="B990" s="224"/>
      <c r="C990" s="224"/>
      <c r="D990" s="224"/>
      <c r="E990" s="75" t="s">
        <v>5</v>
      </c>
      <c r="F990" s="75" t="s">
        <v>1933</v>
      </c>
      <c r="G990" s="75" t="s">
        <v>4102</v>
      </c>
      <c r="H990" s="75" t="s">
        <v>4541</v>
      </c>
      <c r="I990" s="75" t="s">
        <v>1497</v>
      </c>
      <c r="J990" s="75" t="s">
        <v>4102</v>
      </c>
      <c r="K990" s="75" t="s">
        <v>4103</v>
      </c>
      <c r="L990" s="75" t="s">
        <v>4104</v>
      </c>
      <c r="M990" s="75" t="s">
        <v>1497</v>
      </c>
      <c r="N990" s="75" t="s">
        <v>6</v>
      </c>
      <c r="O990" s="75" t="s">
        <v>7</v>
      </c>
      <c r="P990" s="75" t="s">
        <v>5211</v>
      </c>
      <c r="Q990" s="75" t="s">
        <v>8</v>
      </c>
      <c r="R990" s="75" t="s">
        <v>9</v>
      </c>
      <c r="S990" s="75" t="s">
        <v>4105</v>
      </c>
      <c r="T990" s="75" t="s">
        <v>10</v>
      </c>
    </row>
    <row r="991" spans="1:21">
      <c r="A991" s="563" t="s">
        <v>7414</v>
      </c>
      <c r="B991" s="254">
        <v>20250220</v>
      </c>
      <c r="C991" s="226">
        <v>7.3</v>
      </c>
      <c r="D991" s="226" t="s">
        <v>7765</v>
      </c>
      <c r="E991" s="255" t="s">
        <v>2488</v>
      </c>
      <c r="F991" s="243" t="s">
        <v>7445</v>
      </c>
      <c r="G991" s="227" t="s">
        <v>7814</v>
      </c>
      <c r="H991" s="227" t="s">
        <v>4248</v>
      </c>
      <c r="I991" s="227" t="s">
        <v>1635</v>
      </c>
      <c r="J991" s="507" t="s">
        <v>1428</v>
      </c>
      <c r="K991" s="227">
        <f>12.5*4</f>
        <v>50</v>
      </c>
      <c r="L991" s="227"/>
      <c r="M991" s="247">
        <v>3.3</v>
      </c>
      <c r="N991" s="231">
        <v>2.98058013765978</v>
      </c>
      <c r="O991" s="231">
        <v>12.9834841003576</v>
      </c>
      <c r="P991" s="231"/>
      <c r="Q991" s="246">
        <v>2.96002441257247</v>
      </c>
      <c r="R991" s="231">
        <f>SUM(J991:Q991)</f>
        <v>72.2240886505898</v>
      </c>
      <c r="S991" s="226" t="s">
        <v>4001</v>
      </c>
      <c r="T991" s="254" t="s">
        <v>7730</v>
      </c>
      <c r="U991" s="578"/>
    </row>
    <row r="992" spans="1:21">
      <c r="A992" s="563" t="s">
        <v>7414</v>
      </c>
      <c r="B992" s="254">
        <v>20250220</v>
      </c>
      <c r="C992" s="226">
        <v>7.3</v>
      </c>
      <c r="D992" s="226" t="s">
        <v>7768</v>
      </c>
      <c r="E992" s="255" t="s">
        <v>2383</v>
      </c>
      <c r="F992" s="243" t="s">
        <v>7445</v>
      </c>
      <c r="G992" s="322" t="s">
        <v>7815</v>
      </c>
      <c r="H992" s="227" t="s">
        <v>4248</v>
      </c>
      <c r="I992" s="227" t="s">
        <v>1635</v>
      </c>
      <c r="J992" s="507" t="s">
        <v>1428</v>
      </c>
      <c r="K992" s="227">
        <f>12.5*4</f>
        <v>50</v>
      </c>
      <c r="L992" s="227"/>
      <c r="M992" s="247">
        <v>3.3</v>
      </c>
      <c r="N992" s="231">
        <v>2.98058013765978</v>
      </c>
      <c r="O992" s="231">
        <v>12.9834560969633</v>
      </c>
      <c r="P992" s="231"/>
      <c r="Q992" s="246">
        <v>2.96002441257247</v>
      </c>
      <c r="R992" s="231">
        <f>SUM(J992:Q992)</f>
        <v>72.2240606471955</v>
      </c>
      <c r="S992" s="226" t="s">
        <v>4001</v>
      </c>
      <c r="T992" s="254" t="s">
        <v>7730</v>
      </c>
      <c r="U992" s="578"/>
    </row>
    <row r="996" spans="1:21">
      <c r="A996" s="195" t="s">
        <v>7734</v>
      </c>
      <c r="B996" s="195"/>
      <c r="C996" s="195"/>
      <c r="D996" s="195"/>
      <c r="E996" s="196"/>
      <c r="F996" s="196"/>
      <c r="G996" s="197"/>
      <c r="H996" s="198"/>
      <c r="I996" s="198"/>
      <c r="J996" s="199"/>
      <c r="K996" s="296"/>
      <c r="L996" s="296"/>
      <c r="M996" s="200"/>
      <c r="N996" s="297"/>
      <c r="O996" s="201"/>
      <c r="P996" s="197"/>
      <c r="Q996" s="202"/>
      <c r="R996" s="202"/>
      <c r="S996" s="203"/>
      <c r="T996" s="80"/>
    </row>
    <row r="997" ht="12" customHeight="1" spans="1:21">
      <c r="A997" s="224" t="s">
        <v>1</v>
      </c>
      <c r="B997" s="224"/>
      <c r="C997" s="224"/>
      <c r="D997" s="224"/>
      <c r="E997" s="75" t="s">
        <v>5</v>
      </c>
      <c r="F997" s="75" t="s">
        <v>1933</v>
      </c>
      <c r="G997" s="75" t="s">
        <v>4102</v>
      </c>
      <c r="H997" s="75" t="s">
        <v>4541</v>
      </c>
      <c r="I997" s="75" t="s">
        <v>1497</v>
      </c>
      <c r="J997" s="75" t="s">
        <v>4102</v>
      </c>
      <c r="K997" s="75" t="s">
        <v>4103</v>
      </c>
      <c r="L997" s="75" t="s">
        <v>4104</v>
      </c>
      <c r="M997" s="75" t="s">
        <v>1497</v>
      </c>
      <c r="N997" s="75" t="s">
        <v>6</v>
      </c>
      <c r="O997" s="75" t="s">
        <v>7</v>
      </c>
      <c r="P997" s="75" t="s">
        <v>5211</v>
      </c>
      <c r="Q997" s="75" t="s">
        <v>8</v>
      </c>
      <c r="R997" s="75" t="s">
        <v>9</v>
      </c>
      <c r="S997" s="75" t="s">
        <v>4105</v>
      </c>
      <c r="T997" s="75" t="s">
        <v>10</v>
      </c>
    </row>
    <row r="998" spans="1:21">
      <c r="A998" s="563" t="s">
        <v>7414</v>
      </c>
      <c r="B998" s="254">
        <v>20241205</v>
      </c>
      <c r="C998" s="226">
        <v>7.25</v>
      </c>
      <c r="D998" s="226" t="s">
        <v>7670</v>
      </c>
      <c r="E998" s="255" t="s">
        <v>2081</v>
      </c>
      <c r="F998" s="243" t="s">
        <v>7445</v>
      </c>
      <c r="G998" s="227" t="s">
        <v>7471</v>
      </c>
      <c r="H998" s="227" t="s">
        <v>4174</v>
      </c>
      <c r="I998" s="227" t="s">
        <v>1635</v>
      </c>
      <c r="J998" s="507">
        <v>100</v>
      </c>
      <c r="K998" s="227">
        <f>7*4</f>
        <v>28</v>
      </c>
      <c r="L998" s="227"/>
      <c r="M998" s="247">
        <v>3.3</v>
      </c>
      <c r="N998" s="231">
        <v>2.98058013765978</v>
      </c>
      <c r="O998" s="231">
        <v>13.504520409292</v>
      </c>
      <c r="P998" s="231"/>
      <c r="Q998" s="246">
        <v>2.96002441257247</v>
      </c>
      <c r="R998" s="231">
        <f>SUM(J998:Q998)</f>
        <v>150.745124959524</v>
      </c>
      <c r="S998" s="226" t="s">
        <v>2579</v>
      </c>
      <c r="T998" s="254" t="s">
        <v>7671</v>
      </c>
      <c r="U998" s="578"/>
    </row>
    <row r="999" spans="1:21">
      <c r="A999" s="563"/>
      <c r="B999" s="254">
        <v>20250106</v>
      </c>
      <c r="C999" s="226">
        <v>7.3</v>
      </c>
      <c r="D999" s="226" t="s">
        <v>216</v>
      </c>
      <c r="E999" s="255" t="s">
        <v>217</v>
      </c>
      <c r="F999" s="243"/>
      <c r="G999" s="227"/>
      <c r="H999" s="227"/>
      <c r="I999" s="227"/>
      <c r="J999" s="507"/>
      <c r="K999" s="227"/>
      <c r="L999" s="227"/>
      <c r="M999" s="247"/>
      <c r="N999" s="231">
        <v>0.414595708570736</v>
      </c>
      <c r="O999" s="231">
        <v>1.36930896737059</v>
      </c>
      <c r="P999" s="231"/>
      <c r="Q999" s="246">
        <v>0.2</v>
      </c>
      <c r="R999" s="231">
        <f>SUM(J999:Q999)</f>
        <v>1.98390467594133</v>
      </c>
      <c r="S999" s="226"/>
      <c r="T999" s="254" t="s">
        <v>63</v>
      </c>
      <c r="U999" s="578"/>
    </row>
    <row r="1001" spans="1:21">
      <c r="A1001" s="195" t="s">
        <v>7734</v>
      </c>
      <c r="B1001" s="195"/>
      <c r="C1001" s="195"/>
      <c r="D1001" s="195"/>
      <c r="E1001" s="196"/>
      <c r="F1001" s="196"/>
      <c r="G1001" s="197"/>
      <c r="H1001" s="198"/>
      <c r="I1001" s="198"/>
      <c r="J1001" s="199"/>
      <c r="K1001" s="296"/>
      <c r="L1001" s="296"/>
      <c r="M1001" s="200"/>
      <c r="N1001" s="297"/>
      <c r="O1001" s="201"/>
      <c r="P1001" s="197"/>
      <c r="Q1001" s="202"/>
      <c r="R1001" s="202"/>
      <c r="S1001" s="203"/>
      <c r="T1001" s="80"/>
    </row>
    <row r="1002" ht="12" customHeight="1" spans="1:21">
      <c r="A1002" s="224" t="s">
        <v>1</v>
      </c>
      <c r="B1002" s="224"/>
      <c r="C1002" s="224"/>
      <c r="D1002" s="224"/>
      <c r="E1002" s="75" t="s">
        <v>5</v>
      </c>
      <c r="F1002" s="75" t="s">
        <v>1933</v>
      </c>
      <c r="G1002" s="75" t="s">
        <v>4102</v>
      </c>
      <c r="H1002" s="75" t="s">
        <v>4541</v>
      </c>
      <c r="I1002" s="75" t="s">
        <v>1497</v>
      </c>
      <c r="J1002" s="75" t="s">
        <v>4102</v>
      </c>
      <c r="K1002" s="75" t="s">
        <v>4103</v>
      </c>
      <c r="L1002" s="75" t="s">
        <v>4104</v>
      </c>
      <c r="M1002" s="75" t="s">
        <v>1497</v>
      </c>
      <c r="N1002" s="75" t="s">
        <v>6</v>
      </c>
      <c r="O1002" s="75" t="s">
        <v>7</v>
      </c>
      <c r="P1002" s="75" t="s">
        <v>5211</v>
      </c>
      <c r="Q1002" s="75" t="s">
        <v>8</v>
      </c>
      <c r="R1002" s="75" t="s">
        <v>9</v>
      </c>
      <c r="S1002" s="75" t="s">
        <v>4105</v>
      </c>
      <c r="T1002" s="75" t="s">
        <v>10</v>
      </c>
    </row>
    <row r="1003" spans="1:21">
      <c r="A1003" s="563" t="s">
        <v>7529</v>
      </c>
      <c r="B1003" s="254">
        <v>20250219</v>
      </c>
      <c r="C1003" s="226">
        <v>7.3</v>
      </c>
      <c r="D1003" s="226" t="s">
        <v>6809</v>
      </c>
      <c r="E1003" s="255" t="s">
        <v>2110</v>
      </c>
      <c r="F1003" s="243" t="s">
        <v>1933</v>
      </c>
      <c r="G1003" s="227" t="s">
        <v>6159</v>
      </c>
      <c r="H1003" s="227" t="s">
        <v>1913</v>
      </c>
      <c r="I1003" s="227" t="s">
        <v>1720</v>
      </c>
      <c r="J1003" s="256">
        <v>16</v>
      </c>
      <c r="K1003" s="227" t="s">
        <v>1428</v>
      </c>
      <c r="L1003" s="227" t="s">
        <v>1428</v>
      </c>
      <c r="M1003" s="227">
        <v>2.3</v>
      </c>
      <c r="N1003" s="231">
        <v>3.19567354965585</v>
      </c>
      <c r="O1003" s="257">
        <v>9.56827805496473</v>
      </c>
      <c r="P1003" s="231" t="s">
        <v>1428</v>
      </c>
      <c r="Q1003" s="246">
        <v>2.71637806675407</v>
      </c>
      <c r="R1003" s="231">
        <f>SUM(J1003:Q1003)</f>
        <v>33.7803296713747</v>
      </c>
      <c r="S1003" s="226" t="s">
        <v>1526</v>
      </c>
      <c r="T1003" s="254" t="s">
        <v>7795</v>
      </c>
      <c r="U1003" s="578"/>
    </row>
    <row r="1004" spans="1:21">
      <c r="A1004" s="563"/>
      <c r="B1004" s="254">
        <v>20250219</v>
      </c>
      <c r="C1004" s="226">
        <v>7.3</v>
      </c>
      <c r="D1004" s="226" t="s">
        <v>7448</v>
      </c>
      <c r="E1004" s="255" t="s">
        <v>7449</v>
      </c>
      <c r="F1004" s="243"/>
      <c r="G1004" s="227"/>
      <c r="H1004" s="227"/>
      <c r="I1004" s="227"/>
      <c r="J1004" s="507"/>
      <c r="K1004" s="227"/>
      <c r="L1004" s="227"/>
      <c r="M1004" s="247"/>
      <c r="N1004" s="231">
        <v>0.421489007854134</v>
      </c>
      <c r="O1004" s="257">
        <v>1.03715440591102</v>
      </c>
      <c r="P1004" s="231"/>
      <c r="Q1004" s="246">
        <v>0.2</v>
      </c>
      <c r="R1004" s="231">
        <f>SUM(J1004:Q1004)</f>
        <v>1.65864341376515</v>
      </c>
      <c r="S1004" s="226"/>
      <c r="T1004" s="254"/>
      <c r="U1004" s="578"/>
    </row>
    <row r="1008" spans="1:21">
      <c r="A1008" s="195" t="s">
        <v>7796</v>
      </c>
      <c r="B1008" s="195"/>
      <c r="C1008" s="195"/>
      <c r="D1008" s="195"/>
      <c r="E1008" s="196"/>
      <c r="F1008" s="196"/>
      <c r="G1008" s="197"/>
      <c r="H1008" s="198"/>
      <c r="I1008" s="198"/>
      <c r="J1008" s="199"/>
      <c r="K1008" s="200"/>
      <c r="L1008" s="296"/>
      <c r="M1008" s="200"/>
      <c r="N1008" s="201"/>
      <c r="O1008" s="201"/>
      <c r="P1008" s="197"/>
      <c r="Q1008" s="202"/>
      <c r="R1008" s="202"/>
      <c r="S1008" s="203"/>
      <c r="T1008" s="80"/>
      <c r="U1008" s="81"/>
    </row>
    <row r="1009" spans="1:21">
      <c r="A1009" s="224" t="s">
        <v>1</v>
      </c>
      <c r="B1009" s="265" t="s">
        <v>2</v>
      </c>
      <c r="C1009" s="265" t="s">
        <v>1493</v>
      </c>
      <c r="D1009" s="265" t="s">
        <v>4</v>
      </c>
      <c r="E1009" s="75" t="s">
        <v>5</v>
      </c>
      <c r="F1009" s="75" t="s">
        <v>1933</v>
      </c>
      <c r="G1009" s="75" t="s">
        <v>4102</v>
      </c>
      <c r="H1009" s="75" t="s">
        <v>4541</v>
      </c>
      <c r="I1009" s="75" t="s">
        <v>1497</v>
      </c>
      <c r="J1009" s="75" t="s">
        <v>4102</v>
      </c>
      <c r="K1009" s="75" t="s">
        <v>4103</v>
      </c>
      <c r="L1009" s="75" t="s">
        <v>4104</v>
      </c>
      <c r="M1009" s="75" t="s">
        <v>1497</v>
      </c>
      <c r="N1009" s="75" t="s">
        <v>6</v>
      </c>
      <c r="O1009" s="75" t="s">
        <v>7</v>
      </c>
      <c r="P1009" s="75" t="s">
        <v>5211</v>
      </c>
      <c r="Q1009" s="75" t="s">
        <v>8</v>
      </c>
      <c r="R1009" s="75" t="s">
        <v>9</v>
      </c>
      <c r="S1009" s="75" t="s">
        <v>4105</v>
      </c>
      <c r="T1009" s="75" t="s">
        <v>10</v>
      </c>
      <c r="U1009" s="436"/>
    </row>
    <row r="1010" spans="1:21">
      <c r="A1010" s="254"/>
      <c r="B1010" s="254">
        <v>20250221</v>
      </c>
      <c r="C1010" s="227">
        <v>7.3</v>
      </c>
      <c r="D1010" s="226" t="s">
        <v>1002</v>
      </c>
      <c r="E1010" s="228" t="s">
        <v>1003</v>
      </c>
      <c r="F1010" s="229"/>
      <c r="G1010" s="227"/>
      <c r="H1010" s="227"/>
      <c r="I1010" s="227"/>
      <c r="J1010" s="227"/>
      <c r="K1010" s="227"/>
      <c r="L1010" s="227"/>
      <c r="M1010" s="227"/>
      <c r="N1010" s="230">
        <v>0.61641745498932</v>
      </c>
      <c r="O1010" s="230">
        <v>1.79905035093073</v>
      </c>
      <c r="P1010" s="227" t="s">
        <v>1428</v>
      </c>
      <c r="Q1010" s="231">
        <v>0.2</v>
      </c>
      <c r="R1010" s="231">
        <f>SUM(J1010:Q1010)</f>
        <v>2.61546780592005</v>
      </c>
      <c r="S1010" s="229"/>
      <c r="T1010" s="226" t="s">
        <v>7816</v>
      </c>
      <c r="U1010" s="283"/>
    </row>
    <row r="1013" spans="1:21">
      <c r="A1013" s="195" t="s">
        <v>7734</v>
      </c>
      <c r="B1013" s="195"/>
      <c r="C1013" s="195"/>
      <c r="D1013" s="195"/>
      <c r="E1013" s="196"/>
      <c r="F1013" s="196"/>
      <c r="G1013" s="197"/>
      <c r="H1013" s="198"/>
      <c r="I1013" s="198"/>
      <c r="J1013" s="199"/>
      <c r="K1013" s="200"/>
      <c r="L1013" s="296"/>
      <c r="M1013" s="200"/>
      <c r="N1013" s="201"/>
      <c r="O1013" s="201"/>
      <c r="P1013" s="197"/>
      <c r="Q1013" s="202"/>
      <c r="R1013" s="202"/>
      <c r="S1013" s="203"/>
      <c r="T1013" s="80"/>
      <c r="U1013" s="81"/>
    </row>
    <row r="1014" spans="1:21">
      <c r="A1014" s="224" t="s">
        <v>1</v>
      </c>
      <c r="B1014" s="265" t="s">
        <v>2</v>
      </c>
      <c r="C1014" s="265" t="s">
        <v>1493</v>
      </c>
      <c r="D1014" s="265" t="s">
        <v>4</v>
      </c>
      <c r="E1014" s="75" t="s">
        <v>5</v>
      </c>
      <c r="F1014" s="75" t="s">
        <v>1933</v>
      </c>
      <c r="G1014" s="75" t="s">
        <v>4102</v>
      </c>
      <c r="H1014" s="75" t="s">
        <v>4541</v>
      </c>
      <c r="I1014" s="75" t="s">
        <v>1497</v>
      </c>
      <c r="J1014" s="75" t="s">
        <v>4102</v>
      </c>
      <c r="K1014" s="75" t="s">
        <v>4103</v>
      </c>
      <c r="L1014" s="75" t="s">
        <v>4104</v>
      </c>
      <c r="M1014" s="75" t="s">
        <v>1497</v>
      </c>
      <c r="N1014" s="75" t="s">
        <v>6</v>
      </c>
      <c r="O1014" s="75" t="s">
        <v>7</v>
      </c>
      <c r="P1014" s="75" t="s">
        <v>5211</v>
      </c>
      <c r="Q1014" s="75" t="s">
        <v>8</v>
      </c>
      <c r="R1014" s="75" t="s">
        <v>9</v>
      </c>
      <c r="S1014" s="75" t="s">
        <v>4105</v>
      </c>
      <c r="T1014" s="75" t="s">
        <v>10</v>
      </c>
      <c r="U1014" s="436"/>
    </row>
    <row r="1015" spans="1:21">
      <c r="A1015" s="254"/>
      <c r="B1015" s="254">
        <v>20250224</v>
      </c>
      <c r="C1015" s="227">
        <v>7.25</v>
      </c>
      <c r="D1015" s="226" t="s">
        <v>195</v>
      </c>
      <c r="E1015" s="228" t="s">
        <v>196</v>
      </c>
      <c r="F1015" s="229"/>
      <c r="G1015" s="227"/>
      <c r="H1015" s="227"/>
      <c r="I1015" s="227"/>
      <c r="J1015" s="227"/>
      <c r="K1015" s="227"/>
      <c r="L1015" s="227"/>
      <c r="M1015" s="227"/>
      <c r="N1015" s="230">
        <v>0.334452242905096</v>
      </c>
      <c r="O1015" s="230">
        <v>1.11116043108941</v>
      </c>
      <c r="P1015" s="227"/>
      <c r="Q1015" s="231">
        <v>0.2</v>
      </c>
      <c r="R1015" s="231">
        <f>SUM(J1015:Q1015)</f>
        <v>1.64561267399451</v>
      </c>
      <c r="S1015" s="229"/>
      <c r="T1015" s="226" t="s">
        <v>197</v>
      </c>
      <c r="U1015" s="283"/>
    </row>
    <row r="1016" spans="1:21">
      <c r="A1016" s="254" t="s">
        <v>7414</v>
      </c>
      <c r="B1016" s="254">
        <v>20241205</v>
      </c>
      <c r="C1016" s="227">
        <v>7.25</v>
      </c>
      <c r="D1016" s="226" t="s">
        <v>7817</v>
      </c>
      <c r="E1016" s="228" t="s">
        <v>2546</v>
      </c>
      <c r="F1016" s="229" t="s">
        <v>4457</v>
      </c>
      <c r="G1016" s="227" t="s">
        <v>2082</v>
      </c>
      <c r="H1016" s="227" t="s">
        <v>4174</v>
      </c>
      <c r="I1016" s="227" t="s">
        <v>1635</v>
      </c>
      <c r="J1016" s="227">
        <v>105</v>
      </c>
      <c r="K1016" s="227">
        <f>7*4</f>
        <v>28</v>
      </c>
      <c r="L1016" s="227"/>
      <c r="M1016" s="227">
        <v>3.3</v>
      </c>
      <c r="N1016" s="230">
        <v>2.98058013765978</v>
      </c>
      <c r="O1016" s="230">
        <v>11.01021899556</v>
      </c>
      <c r="P1016" s="227"/>
      <c r="Q1016" s="231">
        <v>2.96002441257247</v>
      </c>
      <c r="R1016" s="231">
        <f>SUM(J1016:Q1016)</f>
        <v>153.250823545792</v>
      </c>
      <c r="S1016" s="229" t="s">
        <v>2579</v>
      </c>
      <c r="T1016" s="226" t="s">
        <v>7818</v>
      </c>
      <c r="U1016" s="283"/>
    </row>
    <row r="1017" spans="1:21">
      <c r="A1017" s="254"/>
      <c r="B1017" s="254"/>
      <c r="C1017" s="227"/>
      <c r="D1017" s="226"/>
      <c r="E1017" s="228" t="s">
        <v>7518</v>
      </c>
      <c r="F1017" s="229" t="s">
        <v>7684</v>
      </c>
      <c r="G1017" s="227"/>
      <c r="H1017" s="227"/>
      <c r="I1017" s="227"/>
      <c r="J1017" s="227"/>
      <c r="K1017" s="227"/>
      <c r="L1017" s="227"/>
      <c r="M1017" s="227"/>
      <c r="N1017" s="230"/>
      <c r="O1017" s="230"/>
      <c r="P1017" s="227"/>
      <c r="Q1017" s="231"/>
      <c r="R1017" s="231">
        <v>30</v>
      </c>
      <c r="S1017" s="229"/>
      <c r="T1017" s="226"/>
      <c r="U1017" s="283"/>
    </row>
    <row r="1018" spans="1:21">
      <c r="A1018" s="254"/>
      <c r="B1018" s="254"/>
      <c r="C1018" s="227"/>
      <c r="D1018" s="226"/>
      <c r="E1018" s="228" t="s">
        <v>7685</v>
      </c>
      <c r="F1018" s="229" t="s">
        <v>7686</v>
      </c>
      <c r="G1018" s="227"/>
      <c r="H1018" s="227"/>
      <c r="I1018" s="227"/>
      <c r="J1018" s="227"/>
      <c r="K1018" s="227"/>
      <c r="L1018" s="227"/>
      <c r="M1018" s="227"/>
      <c r="N1018" s="230"/>
      <c r="O1018" s="230"/>
      <c r="P1018" s="227"/>
      <c r="Q1018" s="231"/>
      <c r="R1018" s="231">
        <v>22.5</v>
      </c>
      <c r="S1018" s="229"/>
      <c r="T1018" s="226"/>
      <c r="U1018" s="283"/>
    </row>
    <row r="1019" spans="1:21">
      <c r="A1019" s="254" t="s">
        <v>7414</v>
      </c>
      <c r="B1019" s="254">
        <v>20241205</v>
      </c>
      <c r="C1019" s="227">
        <v>7.25</v>
      </c>
      <c r="D1019" s="226" t="s">
        <v>7819</v>
      </c>
      <c r="E1019" s="228" t="s">
        <v>2431</v>
      </c>
      <c r="F1019" s="229" t="s">
        <v>2801</v>
      </c>
      <c r="G1019" s="227" t="s">
        <v>2323</v>
      </c>
      <c r="H1019" s="227" t="s">
        <v>4474</v>
      </c>
      <c r="I1019" s="227" t="s">
        <v>1633</v>
      </c>
      <c r="J1019" s="227">
        <v>65</v>
      </c>
      <c r="K1019" s="227">
        <f>7*4</f>
        <v>28</v>
      </c>
      <c r="L1019" s="227"/>
      <c r="M1019" s="227">
        <v>1.72</v>
      </c>
      <c r="N1019" s="230">
        <v>2.98058013765978</v>
      </c>
      <c r="O1019" s="230">
        <v>10.4182332779066</v>
      </c>
      <c r="P1019" s="227"/>
      <c r="Q1019" s="231">
        <v>2.96002441257247</v>
      </c>
      <c r="R1019" s="231">
        <f>SUM(J1019:Q1019)</f>
        <v>111.078837828139</v>
      </c>
      <c r="S1019" s="229" t="s">
        <v>3995</v>
      </c>
      <c r="T1019" s="226" t="s">
        <v>7820</v>
      </c>
      <c r="U1019" s="283"/>
    </row>
    <row r="1021" ht="16" customHeight="1" spans="1:21">
      <c r="A1021" s="195" t="s">
        <v>7734</v>
      </c>
      <c r="B1021" s="195"/>
      <c r="C1021" s="195"/>
      <c r="D1021" s="195"/>
      <c r="E1021" s="196"/>
      <c r="F1021" s="196"/>
      <c r="G1021" s="197"/>
      <c r="H1021" s="198"/>
      <c r="I1021" s="198"/>
      <c r="J1021" s="199"/>
      <c r="K1021" s="200"/>
      <c r="L1021" s="296"/>
      <c r="M1021" s="200"/>
      <c r="N1021" s="201"/>
      <c r="O1021" s="201"/>
      <c r="P1021" s="197"/>
      <c r="Q1021" s="202"/>
      <c r="R1021" s="202"/>
      <c r="S1021" s="203"/>
      <c r="T1021" s="80"/>
      <c r="U1021" s="81"/>
    </row>
    <row r="1022" spans="1:21">
      <c r="A1022" s="224" t="s">
        <v>1</v>
      </c>
      <c r="B1022" s="265" t="s">
        <v>2</v>
      </c>
      <c r="C1022" s="265" t="s">
        <v>1493</v>
      </c>
      <c r="D1022" s="265" t="s">
        <v>4</v>
      </c>
      <c r="E1022" s="75" t="s">
        <v>5</v>
      </c>
      <c r="F1022" s="75" t="s">
        <v>1933</v>
      </c>
      <c r="G1022" s="75" t="s">
        <v>4102</v>
      </c>
      <c r="H1022" s="75" t="s">
        <v>4541</v>
      </c>
      <c r="I1022" s="75" t="s">
        <v>1497</v>
      </c>
      <c r="J1022" s="75" t="s">
        <v>4102</v>
      </c>
      <c r="K1022" s="75" t="s">
        <v>4103</v>
      </c>
      <c r="L1022" s="75" t="s">
        <v>4104</v>
      </c>
      <c r="M1022" s="75" t="s">
        <v>1497</v>
      </c>
      <c r="N1022" s="75" t="s">
        <v>6</v>
      </c>
      <c r="O1022" s="75" t="s">
        <v>7</v>
      </c>
      <c r="P1022" s="75" t="s">
        <v>5211</v>
      </c>
      <c r="Q1022" s="75" t="s">
        <v>8</v>
      </c>
      <c r="R1022" s="75" t="s">
        <v>9</v>
      </c>
      <c r="S1022" s="75" t="s">
        <v>4105</v>
      </c>
      <c r="T1022" s="75" t="s">
        <v>10</v>
      </c>
      <c r="U1022" s="436"/>
    </row>
    <row r="1023" spans="1:21">
      <c r="A1023" s="182" t="s">
        <v>1333</v>
      </c>
      <c r="B1023" s="226">
        <v>20250226</v>
      </c>
      <c r="C1023" s="226">
        <v>7.25</v>
      </c>
      <c r="D1023" s="226" t="s">
        <v>2601</v>
      </c>
      <c r="E1023" s="579" t="s">
        <v>1581</v>
      </c>
      <c r="F1023" s="580" t="s">
        <v>1933</v>
      </c>
      <c r="G1023" s="581" t="s">
        <v>2562</v>
      </c>
      <c r="H1023" s="582" t="s">
        <v>1913</v>
      </c>
      <c r="I1023" s="582" t="s">
        <v>1428</v>
      </c>
      <c r="J1023" s="582">
        <v>105</v>
      </c>
      <c r="K1023" s="582" t="s">
        <v>1428</v>
      </c>
      <c r="L1023" s="582" t="s">
        <v>1428</v>
      </c>
      <c r="M1023" s="582" t="s">
        <v>1428</v>
      </c>
      <c r="N1023" s="583">
        <v>5.31346850379</v>
      </c>
      <c r="O1023" s="583">
        <v>19.9082935555135</v>
      </c>
      <c r="P1023" s="583" t="s">
        <v>1428</v>
      </c>
      <c r="Q1023" s="584">
        <v>3.10746169916435</v>
      </c>
      <c r="R1023" s="583">
        <f>SUM(J1023:Q1023)</f>
        <v>133.329223758468</v>
      </c>
      <c r="S1023" s="579" t="s">
        <v>1526</v>
      </c>
      <c r="T1023" s="585" t="s">
        <v>2602</v>
      </c>
    </row>
    <row r="1024" spans="1:21">
      <c r="B1024" s="586">
        <v>20250220</v>
      </c>
      <c r="C1024" s="586">
        <v>7.25</v>
      </c>
      <c r="D1024" s="587" t="s">
        <v>269</v>
      </c>
      <c r="E1024" s="587" t="s">
        <v>270</v>
      </c>
      <c r="F1024" s="587"/>
      <c r="G1024" s="587"/>
      <c r="H1024" s="587"/>
      <c r="I1024" s="587"/>
      <c r="J1024" s="587"/>
      <c r="K1024" s="587"/>
      <c r="L1024" s="587"/>
      <c r="M1024" s="587"/>
      <c r="N1024" s="588">
        <f>0.462618248397925/7.3*7.25</f>
        <v>0.459449630258213</v>
      </c>
      <c r="O1024" s="588">
        <f>2.5730211152964/7.3*7.25</f>
        <v>2.55539768299985</v>
      </c>
      <c r="P1024" s="587"/>
      <c r="Q1024" s="589">
        <v>0.4</v>
      </c>
      <c r="R1024" s="589">
        <f>SUM(J1024:Q1024)</f>
        <v>3.41484731325806</v>
      </c>
      <c r="S1024" s="587"/>
    </row>
    <row r="1027" ht="16" customHeight="1" spans="1:21">
      <c r="A1027" s="195" t="s">
        <v>7796</v>
      </c>
      <c r="B1027" s="195"/>
      <c r="C1027" s="195"/>
      <c r="D1027" s="195"/>
      <c r="E1027" s="196"/>
      <c r="F1027" s="196"/>
      <c r="G1027" s="197"/>
      <c r="H1027" s="198"/>
      <c r="I1027" s="198"/>
      <c r="J1027" s="199"/>
      <c r="K1027" s="200"/>
      <c r="L1027" s="296"/>
      <c r="M1027" s="200"/>
      <c r="N1027" s="201"/>
      <c r="O1027" s="201"/>
      <c r="P1027" s="197"/>
      <c r="Q1027" s="202"/>
      <c r="R1027" s="202"/>
      <c r="S1027" s="203"/>
      <c r="T1027" s="80"/>
      <c r="U1027" s="81"/>
    </row>
    <row r="1028" spans="1:21">
      <c r="A1028" s="224" t="s">
        <v>1</v>
      </c>
      <c r="B1028" s="265" t="s">
        <v>2</v>
      </c>
      <c r="C1028" s="265" t="s">
        <v>1493</v>
      </c>
      <c r="D1028" s="265" t="s">
        <v>4</v>
      </c>
      <c r="E1028" s="75" t="s">
        <v>5</v>
      </c>
      <c r="F1028" s="75" t="s">
        <v>1933</v>
      </c>
      <c r="G1028" s="75" t="s">
        <v>4102</v>
      </c>
      <c r="H1028" s="75" t="s">
        <v>4541</v>
      </c>
      <c r="I1028" s="75" t="s">
        <v>1497</v>
      </c>
      <c r="J1028" s="75" t="s">
        <v>4102</v>
      </c>
      <c r="K1028" s="75" t="s">
        <v>4103</v>
      </c>
      <c r="L1028" s="75" t="s">
        <v>4104</v>
      </c>
      <c r="M1028" s="75" t="s">
        <v>1497</v>
      </c>
      <c r="N1028" s="75" t="s">
        <v>6</v>
      </c>
      <c r="O1028" s="75" t="s">
        <v>7</v>
      </c>
      <c r="P1028" s="75" t="s">
        <v>5211</v>
      </c>
      <c r="Q1028" s="75" t="s">
        <v>8</v>
      </c>
      <c r="R1028" s="75" t="s">
        <v>9</v>
      </c>
      <c r="S1028" s="75" t="s">
        <v>4105</v>
      </c>
      <c r="T1028" s="75" t="s">
        <v>10</v>
      </c>
      <c r="U1028" s="436"/>
    </row>
    <row r="1029" spans="1:21">
      <c r="A1029" s="254" t="s">
        <v>1333</v>
      </c>
      <c r="B1029" s="254">
        <v>20250226</v>
      </c>
      <c r="C1029" s="227">
        <v>7.25</v>
      </c>
      <c r="D1029" s="226" t="s">
        <v>2601</v>
      </c>
      <c r="E1029" s="228" t="s">
        <v>1581</v>
      </c>
      <c r="F1029" s="229" t="s">
        <v>1933</v>
      </c>
      <c r="G1029" s="227" t="s">
        <v>2562</v>
      </c>
      <c r="H1029" s="227" t="s">
        <v>1913</v>
      </c>
      <c r="I1029" s="227" t="s">
        <v>1428</v>
      </c>
      <c r="J1029" s="227">
        <v>105</v>
      </c>
      <c r="K1029" s="227" t="s">
        <v>1428</v>
      </c>
      <c r="L1029" s="227" t="s">
        <v>1428</v>
      </c>
      <c r="M1029" s="227" t="s">
        <v>1428</v>
      </c>
      <c r="N1029" s="230">
        <v>5.00823924321025</v>
      </c>
      <c r="O1029" s="230">
        <v>18.6132506869179</v>
      </c>
      <c r="P1029" s="227" t="s">
        <v>1428</v>
      </c>
      <c r="Q1029" s="231">
        <v>3.10746169916435</v>
      </c>
      <c r="R1029" s="231">
        <f>SUM(J1029:Q1029)</f>
        <v>131.728951629293</v>
      </c>
      <c r="S1029" s="229" t="s">
        <v>1526</v>
      </c>
      <c r="T1029" s="226" t="s">
        <v>7821</v>
      </c>
      <c r="U1029" s="283"/>
    </row>
    <row r="1030" spans="1:21">
      <c r="A1030" s="254"/>
      <c r="B1030" s="254">
        <v>20250220</v>
      </c>
      <c r="C1030" s="227">
        <v>7.25</v>
      </c>
      <c r="D1030" s="226" t="s">
        <v>269</v>
      </c>
      <c r="E1030" s="228" t="s">
        <v>270</v>
      </c>
      <c r="F1030" s="229"/>
      <c r="G1030" s="227"/>
      <c r="H1030" s="227"/>
      <c r="I1030" s="227"/>
      <c r="J1030" s="227"/>
      <c r="K1030" s="227"/>
      <c r="L1030" s="227"/>
      <c r="M1030" s="227"/>
      <c r="N1030" s="230">
        <v>0.461397619774184</v>
      </c>
      <c r="O1030" s="230">
        <v>2.57780001276778</v>
      </c>
      <c r="P1030" s="227"/>
      <c r="Q1030" s="231">
        <v>0.4</v>
      </c>
      <c r="R1030" s="231">
        <f>SUM(J1030:Q1030)</f>
        <v>3.43919763254196</v>
      </c>
      <c r="S1030" s="229"/>
      <c r="T1030" s="226"/>
      <c r="U1030" s="283"/>
    </row>
    <row r="1031" s="177" customFormat="1" spans="1:21">
      <c r="B1031" s="182"/>
      <c r="C1031" s="182"/>
      <c r="D1031" s="182"/>
      <c r="E1031" s="182"/>
      <c r="F1031" s="182"/>
      <c r="G1031" s="182"/>
      <c r="H1031" s="182"/>
      <c r="I1031" s="182"/>
      <c r="J1031" s="182"/>
      <c r="K1031" s="182"/>
      <c r="L1031" s="182"/>
      <c r="M1031" s="182"/>
      <c r="N1031" s="182"/>
      <c r="O1031" s="182"/>
      <c r="P1031" s="182"/>
      <c r="Q1031" s="182"/>
      <c r="R1031" s="182"/>
      <c r="S1031" s="182"/>
    </row>
    <row r="1032" s="177" customFormat="1" spans="1:21">
      <c r="B1032" s="182"/>
      <c r="C1032" s="182"/>
      <c r="D1032" s="182"/>
      <c r="E1032" s="182"/>
      <c r="F1032" s="182"/>
      <c r="G1032" s="182"/>
      <c r="H1032" s="182"/>
      <c r="I1032" s="182"/>
      <c r="J1032" s="182"/>
      <c r="K1032" s="182"/>
      <c r="L1032" s="182"/>
      <c r="M1032" s="182"/>
      <c r="N1032" s="182"/>
      <c r="O1032" s="182"/>
      <c r="P1032" s="182"/>
      <c r="Q1032" s="182"/>
      <c r="R1032" s="182"/>
      <c r="S1032" s="182"/>
    </row>
    <row r="1033" s="177" customFormat="1" ht="19" customHeight="1" spans="1:21">
      <c r="B1033" s="182"/>
      <c r="C1033" s="182"/>
      <c r="D1033" s="182"/>
      <c r="E1033" s="182"/>
      <c r="F1033" s="182"/>
      <c r="G1033" s="182"/>
      <c r="H1033" s="182"/>
      <c r="I1033" s="182"/>
      <c r="J1033" s="182"/>
      <c r="K1033" s="182"/>
      <c r="L1033" s="182"/>
      <c r="M1033" s="182"/>
      <c r="N1033" s="75" t="s">
        <v>7822</v>
      </c>
      <c r="O1033" s="590">
        <f>N1023+O1023+Q1023+3.56</f>
        <v>31.8892237584678</v>
      </c>
      <c r="P1033" s="182"/>
      <c r="Q1033" s="182"/>
      <c r="R1033" s="182"/>
      <c r="S1033" s="182"/>
    </row>
    <row r="1034" s="177" customFormat="1" ht="19" customHeight="1" spans="1:21">
      <c r="B1034" s="182"/>
      <c r="C1034" s="182"/>
      <c r="D1034" s="182"/>
      <c r="E1034" s="182"/>
      <c r="F1034" s="182"/>
      <c r="G1034" s="182"/>
      <c r="H1034" s="182"/>
      <c r="I1034" s="182"/>
      <c r="J1034" s="182"/>
      <c r="K1034" s="182"/>
      <c r="L1034" s="182"/>
      <c r="M1034" s="182"/>
      <c r="N1034" s="75" t="s">
        <v>7823</v>
      </c>
      <c r="O1034" s="590">
        <f>N1029+O1029+Q1029+R1030</f>
        <v>30.1681492618345</v>
      </c>
      <c r="P1034" s="182"/>
      <c r="Q1034" s="182"/>
      <c r="R1034" s="182"/>
      <c r="S1034" s="182"/>
    </row>
    <row r="1035" s="177" customFormat="1" ht="19" customHeight="1" spans="1:21">
      <c r="B1035" s="182"/>
      <c r="C1035" s="182"/>
      <c r="D1035" s="182"/>
      <c r="E1035" s="182"/>
      <c r="F1035" s="182"/>
      <c r="G1035" s="182"/>
      <c r="H1035" s="182"/>
      <c r="I1035" s="182"/>
      <c r="J1035" s="182"/>
      <c r="K1035" s="182"/>
      <c r="L1035" s="182"/>
      <c r="M1035" s="182"/>
      <c r="N1035" s="75" t="s">
        <v>7824</v>
      </c>
      <c r="O1035" s="590">
        <f>O1033-O1034</f>
        <v>1.72107449663334</v>
      </c>
      <c r="P1035" s="591" t="s">
        <v>7825</v>
      </c>
      <c r="Q1035" s="591"/>
      <c r="R1035" s="591"/>
      <c r="S1035" s="591"/>
      <c r="T1035" s="591"/>
    </row>
    <row r="1036" s="177" customFormat="1" spans="1:21">
      <c r="B1036" s="182"/>
      <c r="C1036" s="182"/>
      <c r="D1036" s="182"/>
      <c r="E1036" s="182"/>
      <c r="F1036" s="182"/>
      <c r="G1036" s="182"/>
      <c r="H1036" s="182"/>
      <c r="I1036" s="182"/>
      <c r="J1036" s="182"/>
      <c r="K1036" s="182"/>
      <c r="L1036" s="182"/>
      <c r="M1036" s="182"/>
      <c r="N1036" s="182"/>
      <c r="O1036" s="182"/>
      <c r="P1036" s="182"/>
      <c r="Q1036" s="182"/>
      <c r="R1036" s="182"/>
      <c r="S1036" s="182"/>
    </row>
    <row r="1037" s="177" customFormat="1" spans="1:21">
      <c r="B1037" s="182"/>
      <c r="C1037" s="182"/>
      <c r="D1037" s="182"/>
      <c r="E1037" s="182"/>
      <c r="F1037" s="182"/>
      <c r="G1037" s="182"/>
      <c r="H1037" s="182"/>
      <c r="I1037" s="182"/>
      <c r="J1037" s="182"/>
      <c r="K1037" s="182"/>
      <c r="L1037" s="182"/>
      <c r="M1037" s="182"/>
      <c r="N1037" s="182"/>
      <c r="O1037" s="182"/>
      <c r="P1037" s="182"/>
      <c r="Q1037" s="182"/>
      <c r="R1037" s="182"/>
      <c r="S1037" s="182"/>
    </row>
    <row r="1038" ht="16" customHeight="1" spans="1:21">
      <c r="A1038" s="195" t="s">
        <v>7796</v>
      </c>
      <c r="B1038" s="195"/>
      <c r="C1038" s="195"/>
      <c r="D1038" s="195"/>
      <c r="E1038" s="196"/>
      <c r="F1038" s="196"/>
      <c r="G1038" s="197"/>
      <c r="H1038" s="198"/>
      <c r="I1038" s="198"/>
      <c r="J1038" s="199"/>
      <c r="K1038" s="200"/>
      <c r="L1038" s="296"/>
      <c r="M1038" s="200"/>
      <c r="N1038" s="201"/>
      <c r="O1038" s="201"/>
      <c r="P1038" s="197"/>
      <c r="Q1038" s="202"/>
      <c r="R1038" s="202"/>
      <c r="S1038" s="203"/>
      <c r="T1038" s="80"/>
      <c r="U1038" s="81"/>
    </row>
    <row r="1039" spans="1:21">
      <c r="A1039" s="224" t="s">
        <v>1</v>
      </c>
      <c r="B1039" s="265" t="s">
        <v>2</v>
      </c>
      <c r="C1039" s="265" t="s">
        <v>1493</v>
      </c>
      <c r="D1039" s="265" t="s">
        <v>4</v>
      </c>
      <c r="E1039" s="75" t="s">
        <v>5</v>
      </c>
      <c r="F1039" s="75" t="s">
        <v>1933</v>
      </c>
      <c r="G1039" s="75" t="s">
        <v>4102</v>
      </c>
      <c r="H1039" s="75" t="s">
        <v>4541</v>
      </c>
      <c r="I1039" s="75" t="s">
        <v>1497</v>
      </c>
      <c r="J1039" s="75" t="s">
        <v>4102</v>
      </c>
      <c r="K1039" s="75" t="s">
        <v>4103</v>
      </c>
      <c r="L1039" s="75" t="s">
        <v>4104</v>
      </c>
      <c r="M1039" s="75" t="s">
        <v>1497</v>
      </c>
      <c r="N1039" s="75" t="s">
        <v>6</v>
      </c>
      <c r="O1039" s="75" t="s">
        <v>7</v>
      </c>
      <c r="P1039" s="75" t="s">
        <v>5211</v>
      </c>
      <c r="Q1039" s="75" t="s">
        <v>8</v>
      </c>
      <c r="R1039" s="75" t="s">
        <v>9</v>
      </c>
      <c r="S1039" s="75" t="s">
        <v>4105</v>
      </c>
      <c r="T1039" s="75" t="s">
        <v>10</v>
      </c>
      <c r="U1039" s="436"/>
    </row>
    <row r="1040" spans="1:21">
      <c r="A1040" s="254" t="s">
        <v>7826</v>
      </c>
      <c r="B1040" s="254">
        <v>20250226</v>
      </c>
      <c r="C1040" s="227">
        <v>7.25</v>
      </c>
      <c r="D1040" s="226" t="s">
        <v>7827</v>
      </c>
      <c r="E1040" s="228" t="s">
        <v>1645</v>
      </c>
      <c r="F1040" s="229" t="s">
        <v>3767</v>
      </c>
      <c r="G1040" s="227" t="s">
        <v>3799</v>
      </c>
      <c r="H1040" s="227" t="s">
        <v>3670</v>
      </c>
      <c r="I1040" s="227"/>
      <c r="J1040" s="227">
        <v>26</v>
      </c>
      <c r="K1040" s="227"/>
      <c r="L1040" s="227">
        <v>3.6</v>
      </c>
      <c r="M1040" s="227"/>
      <c r="N1040" s="230">
        <v>4.70891974366799</v>
      </c>
      <c r="O1040" s="230">
        <v>9.58041036814294</v>
      </c>
      <c r="P1040" s="227"/>
      <c r="Q1040" s="231">
        <v>3</v>
      </c>
      <c r="R1040" s="231">
        <f t="shared" ref="R1040:R1045" si="7">SUM(J1040:Q1040)</f>
        <v>46.8893301118109</v>
      </c>
      <c r="S1040" s="229" t="s">
        <v>3452</v>
      </c>
      <c r="T1040" s="226" t="s">
        <v>7828</v>
      </c>
      <c r="U1040" s="283"/>
    </row>
    <row r="1041" spans="1:21">
      <c r="A1041" s="254"/>
      <c r="B1041" s="254">
        <v>20241010</v>
      </c>
      <c r="C1041" s="227">
        <v>7.11</v>
      </c>
      <c r="D1041" s="226" t="s">
        <v>1416</v>
      </c>
      <c r="E1041" s="228" t="s">
        <v>1417</v>
      </c>
      <c r="F1041" s="229"/>
      <c r="G1041" s="227"/>
      <c r="H1041" s="227"/>
      <c r="I1041" s="227"/>
      <c r="J1041" s="227"/>
      <c r="K1041" s="227"/>
      <c r="L1041" s="227"/>
      <c r="M1041" s="227"/>
      <c r="N1041" s="230">
        <f>0.423185591775264/7.11*7.25</f>
        <v>0.431518360108392</v>
      </c>
      <c r="O1041" s="230">
        <f>1.1511540502635/7.11*7.25</f>
        <v>1.17382093732917</v>
      </c>
      <c r="P1041" s="227" t="s">
        <v>1428</v>
      </c>
      <c r="Q1041" s="231">
        <v>0.2</v>
      </c>
      <c r="R1041" s="231">
        <f t="shared" si="7"/>
        <v>1.80533929743756</v>
      </c>
      <c r="S1041" s="229"/>
      <c r="T1041" s="226" t="s">
        <v>7532</v>
      </c>
      <c r="U1041" s="283"/>
    </row>
    <row r="1042" spans="1:21">
      <c r="A1042" s="254" t="s">
        <v>7829</v>
      </c>
      <c r="B1042" s="254">
        <v>20241127</v>
      </c>
      <c r="C1042" s="227">
        <v>7.25</v>
      </c>
      <c r="D1042" s="226" t="s">
        <v>3683</v>
      </c>
      <c r="E1042" s="228" t="s">
        <v>2546</v>
      </c>
      <c r="F1042" s="229" t="s">
        <v>7566</v>
      </c>
      <c r="G1042" s="227" t="s">
        <v>3542</v>
      </c>
      <c r="H1042" s="227" t="s">
        <v>1913</v>
      </c>
      <c r="I1042" s="227" t="s">
        <v>1720</v>
      </c>
      <c r="J1042" s="227">
        <v>30</v>
      </c>
      <c r="K1042" s="227" t="s">
        <v>1428</v>
      </c>
      <c r="L1042" s="227" t="s">
        <v>1428</v>
      </c>
      <c r="M1042" s="227">
        <v>2.3</v>
      </c>
      <c r="N1042" s="230">
        <v>2.86847726579188</v>
      </c>
      <c r="O1042" s="230">
        <v>11.4465070884175</v>
      </c>
      <c r="P1042" s="227" t="s">
        <v>1428</v>
      </c>
      <c r="Q1042" s="231">
        <v>2.82425</v>
      </c>
      <c r="R1042" s="231">
        <f t="shared" si="7"/>
        <v>49.4392343542094</v>
      </c>
      <c r="S1042" s="229" t="s">
        <v>1526</v>
      </c>
      <c r="T1042" s="226" t="s">
        <v>7567</v>
      </c>
      <c r="U1042" s="283"/>
    </row>
    <row r="1043" spans="1:21">
      <c r="A1043" s="254"/>
      <c r="B1043" s="254">
        <v>20240929</v>
      </c>
      <c r="C1043" s="227">
        <v>7.11</v>
      </c>
      <c r="D1043" s="226" t="s">
        <v>532</v>
      </c>
      <c r="E1043" s="228" t="s">
        <v>533</v>
      </c>
      <c r="F1043" s="229"/>
      <c r="G1043" s="227"/>
      <c r="H1043" s="227"/>
      <c r="I1043" s="227"/>
      <c r="J1043" s="227"/>
      <c r="K1043" s="227"/>
      <c r="L1043" s="227"/>
      <c r="M1043" s="227"/>
      <c r="N1043" s="230">
        <f>0.489152757551996/7.11*7.25</f>
        <v>0.498784457419405</v>
      </c>
      <c r="O1043" s="230">
        <f>2.04382516167582/7.11*7.25</f>
        <v>2.08406925768631</v>
      </c>
      <c r="P1043" s="227" t="s">
        <v>1428</v>
      </c>
      <c r="Q1043" s="231">
        <v>0.4</v>
      </c>
      <c r="R1043" s="231">
        <f t="shared" si="7"/>
        <v>2.98285371510571</v>
      </c>
      <c r="S1043" s="229"/>
      <c r="T1043" s="226" t="s">
        <v>7830</v>
      </c>
      <c r="U1043" s="283"/>
    </row>
    <row r="1044" spans="1:21">
      <c r="A1044" s="254"/>
      <c r="B1044" s="254">
        <v>20241210</v>
      </c>
      <c r="C1044" s="227">
        <v>7.25</v>
      </c>
      <c r="D1044" s="226" t="s">
        <v>875</v>
      </c>
      <c r="E1044" s="228" t="s">
        <v>876</v>
      </c>
      <c r="F1044" s="229"/>
      <c r="G1044" s="227"/>
      <c r="H1044" s="227"/>
      <c r="I1044" s="227"/>
      <c r="J1044" s="227"/>
      <c r="K1044" s="227"/>
      <c r="L1044" s="227"/>
      <c r="M1044" s="227"/>
      <c r="N1044" s="230">
        <v>0.0246505780560554</v>
      </c>
      <c r="O1044" s="230">
        <v>0.0355398230088496</v>
      </c>
      <c r="P1044" s="227" t="s">
        <v>1428</v>
      </c>
      <c r="Q1044" s="231">
        <v>0.2</v>
      </c>
      <c r="R1044" s="231">
        <f t="shared" si="7"/>
        <v>0.260190401064905</v>
      </c>
      <c r="S1044" s="229"/>
      <c r="T1044" s="226"/>
      <c r="U1044" s="283"/>
    </row>
    <row r="1045" spans="1:21">
      <c r="A1045" s="254"/>
      <c r="B1045" s="254">
        <v>20240829</v>
      </c>
      <c r="C1045" s="227">
        <v>7.12</v>
      </c>
      <c r="D1045" s="226" t="s">
        <v>523</v>
      </c>
      <c r="E1045" s="228" t="s">
        <v>524</v>
      </c>
      <c r="F1045" s="229"/>
      <c r="G1045" s="227"/>
      <c r="H1045" s="227"/>
      <c r="I1045" s="227"/>
      <c r="J1045" s="227"/>
      <c r="K1045" s="227"/>
      <c r="L1045" s="227"/>
      <c r="M1045" s="227"/>
      <c r="N1045" s="230">
        <f>0.0459878691458685/7.12*7.25</f>
        <v>0.0468275352960037</v>
      </c>
      <c r="O1045" s="230">
        <f>0.0411802724470518/7.12*7.25</f>
        <v>0.0419321594439783</v>
      </c>
      <c r="P1045" s="227" t="s">
        <v>1428</v>
      </c>
      <c r="Q1045" s="231">
        <v>0.2</v>
      </c>
      <c r="R1045" s="231">
        <f t="shared" si="7"/>
        <v>0.288759694739982</v>
      </c>
      <c r="S1045" s="229"/>
      <c r="T1045" s="226"/>
      <c r="U1045" s="283"/>
    </row>
    <row r="1046" spans="1:21">
      <c r="A1046" s="254"/>
      <c r="B1046" s="254"/>
      <c r="C1046" s="227"/>
      <c r="D1046" s="226"/>
      <c r="E1046" s="228"/>
      <c r="F1046" s="229"/>
      <c r="G1046" s="227"/>
      <c r="H1046" s="227"/>
      <c r="I1046" s="227"/>
      <c r="J1046" s="227"/>
      <c r="K1046" s="227"/>
      <c r="L1046" s="227"/>
      <c r="M1046" s="227"/>
      <c r="N1046" s="230"/>
      <c r="O1046" s="230"/>
      <c r="P1046" s="227"/>
      <c r="Q1046" s="231"/>
      <c r="R1046" s="231"/>
      <c r="S1046" s="229"/>
      <c r="T1046" s="226"/>
      <c r="U1046" s="283"/>
    </row>
    <row r="1052" ht="16" customHeight="1" spans="1:21">
      <c r="A1052" s="195" t="s">
        <v>7796</v>
      </c>
      <c r="B1052" s="195"/>
      <c r="C1052" s="195"/>
      <c r="D1052" s="195"/>
      <c r="E1052" s="196"/>
      <c r="F1052" s="196"/>
      <c r="G1052" s="197"/>
      <c r="H1052" s="198"/>
      <c r="I1052" s="198"/>
      <c r="J1052" s="199"/>
      <c r="K1052" s="200"/>
      <c r="L1052" s="296"/>
      <c r="M1052" s="200"/>
      <c r="N1052" s="201"/>
      <c r="O1052" s="201"/>
      <c r="P1052" s="197"/>
      <c r="Q1052" s="202"/>
      <c r="R1052" s="202"/>
      <c r="S1052" s="203"/>
      <c r="T1052" s="80"/>
      <c r="U1052" s="81"/>
    </row>
    <row r="1053" spans="1:21">
      <c r="A1053" s="224" t="s">
        <v>1</v>
      </c>
      <c r="B1053" s="265" t="s">
        <v>2</v>
      </c>
      <c r="C1053" s="265" t="s">
        <v>1493</v>
      </c>
      <c r="D1053" s="265" t="s">
        <v>4</v>
      </c>
      <c r="E1053" s="75" t="s">
        <v>5</v>
      </c>
      <c r="F1053" s="75" t="s">
        <v>1933</v>
      </c>
      <c r="G1053" s="75" t="s">
        <v>4102</v>
      </c>
      <c r="H1053" s="75" t="s">
        <v>4541</v>
      </c>
      <c r="I1053" s="75" t="s">
        <v>1497</v>
      </c>
      <c r="J1053" s="75" t="s">
        <v>4102</v>
      </c>
      <c r="K1053" s="75" t="s">
        <v>4103</v>
      </c>
      <c r="L1053" s="75" t="s">
        <v>4104</v>
      </c>
      <c r="M1053" s="75" t="s">
        <v>1497</v>
      </c>
      <c r="N1053" s="75" t="s">
        <v>6</v>
      </c>
      <c r="O1053" s="75" t="s">
        <v>7</v>
      </c>
      <c r="P1053" s="75" t="s">
        <v>5211</v>
      </c>
      <c r="Q1053" s="75" t="s">
        <v>8</v>
      </c>
      <c r="R1053" s="75" t="s">
        <v>9</v>
      </c>
      <c r="S1053" s="75" t="s">
        <v>4105</v>
      </c>
      <c r="T1053" s="75" t="s">
        <v>10</v>
      </c>
      <c r="U1053" s="436"/>
    </row>
    <row r="1054" spans="1:21">
      <c r="B1054" s="563">
        <v>20240521</v>
      </c>
      <c r="C1054" s="227">
        <v>7.24</v>
      </c>
      <c r="D1054" s="289" t="s">
        <v>3802</v>
      </c>
      <c r="E1054" s="255" t="s">
        <v>3803</v>
      </c>
      <c r="F1054" s="254" t="s">
        <v>1933</v>
      </c>
      <c r="G1054" s="245" t="s">
        <v>3794</v>
      </c>
      <c r="H1054" s="227" t="s">
        <v>3349</v>
      </c>
      <c r="I1054" s="245" t="s">
        <v>1635</v>
      </c>
      <c r="J1054" s="227">
        <v>29</v>
      </c>
      <c r="K1054" s="227" t="s">
        <v>1428</v>
      </c>
      <c r="L1054" s="247" t="s">
        <v>4671</v>
      </c>
      <c r="M1054" s="227">
        <v>3.3</v>
      </c>
      <c r="N1054" s="232">
        <v>2.84883016123166</v>
      </c>
      <c r="O1054" s="232">
        <v>12.5369706622381</v>
      </c>
      <c r="P1054" s="227" t="s">
        <v>1428</v>
      </c>
      <c r="Q1054" s="231">
        <v>2.75809718382026</v>
      </c>
      <c r="R1054" s="232">
        <f>SUBTOTAL(9,J1054:Q1054)</f>
        <v>50.44389800729</v>
      </c>
      <c r="S1054" s="226" t="s">
        <v>3671</v>
      </c>
      <c r="T1054" s="228" t="s">
        <v>7831</v>
      </c>
      <c r="U1054" s="283"/>
    </row>
    <row r="1057" ht="21" customHeight="1" spans="1:21">
      <c r="A1057" s="195" t="s">
        <v>7796</v>
      </c>
      <c r="B1057" s="195"/>
      <c r="C1057" s="195"/>
      <c r="D1057" s="195"/>
      <c r="E1057" s="196"/>
      <c r="F1057" s="196"/>
      <c r="G1057" s="197"/>
      <c r="H1057" s="198"/>
      <c r="I1057" s="198"/>
      <c r="J1057" s="199"/>
      <c r="K1057" s="200"/>
      <c r="L1057" s="296"/>
      <c r="M1057" s="200"/>
      <c r="N1057" s="201"/>
      <c r="O1057" s="201"/>
      <c r="P1057" s="197"/>
      <c r="Q1057" s="202"/>
      <c r="R1057" s="202"/>
      <c r="S1057" s="203"/>
      <c r="T1057" s="80"/>
      <c r="U1057" s="81"/>
    </row>
    <row r="1058" spans="1:21">
      <c r="A1058" s="224" t="s">
        <v>1</v>
      </c>
      <c r="B1058" s="265" t="s">
        <v>2</v>
      </c>
      <c r="C1058" s="265" t="s">
        <v>1493</v>
      </c>
      <c r="D1058" s="265" t="s">
        <v>4</v>
      </c>
      <c r="E1058" s="75" t="s">
        <v>5</v>
      </c>
      <c r="F1058" s="75" t="s">
        <v>1933</v>
      </c>
      <c r="G1058" s="75" t="s">
        <v>4102</v>
      </c>
      <c r="H1058" s="75" t="s">
        <v>4541</v>
      </c>
      <c r="I1058" s="75" t="s">
        <v>1497</v>
      </c>
      <c r="J1058" s="75" t="s">
        <v>4102</v>
      </c>
      <c r="K1058" s="75" t="s">
        <v>4103</v>
      </c>
      <c r="L1058" s="75" t="s">
        <v>4104</v>
      </c>
      <c r="M1058" s="75" t="s">
        <v>1497</v>
      </c>
      <c r="N1058" s="75" t="s">
        <v>6</v>
      </c>
      <c r="O1058" s="75" t="s">
        <v>7</v>
      </c>
      <c r="P1058" s="75" t="s">
        <v>5211</v>
      </c>
      <c r="Q1058" s="75" t="s">
        <v>8</v>
      </c>
      <c r="R1058" s="75" t="s">
        <v>9</v>
      </c>
      <c r="S1058" s="75" t="s">
        <v>4105</v>
      </c>
      <c r="T1058" s="75" t="s">
        <v>10</v>
      </c>
      <c r="U1058" s="436"/>
    </row>
    <row r="1059" spans="1:21">
      <c r="A1059" s="182" t="s">
        <v>7488</v>
      </c>
      <c r="B1059" s="563">
        <v>20240521</v>
      </c>
      <c r="C1059" s="227">
        <v>7.24</v>
      </c>
      <c r="D1059" s="289" t="s">
        <v>3802</v>
      </c>
      <c r="E1059" s="255" t="s">
        <v>3803</v>
      </c>
      <c r="F1059" s="254" t="s">
        <v>1933</v>
      </c>
      <c r="G1059" s="245" t="s">
        <v>3794</v>
      </c>
      <c r="H1059" s="227" t="s">
        <v>3349</v>
      </c>
      <c r="I1059" s="245" t="s">
        <v>1635</v>
      </c>
      <c r="J1059" s="227">
        <v>29</v>
      </c>
      <c r="K1059" s="227" t="s">
        <v>1428</v>
      </c>
      <c r="L1059" s="247" t="s">
        <v>4671</v>
      </c>
      <c r="M1059" s="227">
        <v>3.3</v>
      </c>
      <c r="N1059" s="230">
        <v>2.74275251754654</v>
      </c>
      <c r="O1059" s="230">
        <v>10.753649401117</v>
      </c>
      <c r="P1059" s="227" t="s">
        <v>1428</v>
      </c>
      <c r="Q1059" s="231">
        <v>2.75809718382026</v>
      </c>
      <c r="R1059" s="232">
        <f>SUBTOTAL(9,J1059:Q1059)</f>
        <v>48.5544991024838</v>
      </c>
      <c r="S1059" s="226" t="s">
        <v>3671</v>
      </c>
      <c r="T1059" s="228" t="s">
        <v>7831</v>
      </c>
      <c r="U1059" s="283"/>
    </row>
    <row r="1061" spans="1:21">
      <c r="N1061" s="182" t="s">
        <v>7832</v>
      </c>
      <c r="O1061" s="182">
        <f>N1054+O1054</f>
        <v>15.3858008234698</v>
      </c>
    </row>
    <row r="1062" ht="21" customHeight="1" spans="1:21">
      <c r="A1062" s="195" t="s">
        <v>7796</v>
      </c>
      <c r="B1062" s="195"/>
      <c r="C1062" s="195"/>
      <c r="D1062" s="195"/>
      <c r="E1062" s="196"/>
      <c r="F1062" s="196"/>
      <c r="G1062" s="197"/>
      <c r="H1062" s="198"/>
      <c r="I1062" s="198"/>
      <c r="J1062" s="199"/>
      <c r="K1062" s="200"/>
      <c r="L1062" s="296"/>
      <c r="M1062" s="200"/>
      <c r="N1062" s="201"/>
      <c r="O1062" s="201"/>
      <c r="P1062" s="197"/>
      <c r="Q1062" s="202"/>
      <c r="R1062" s="202"/>
      <c r="S1062" s="203"/>
      <c r="T1062" s="80"/>
      <c r="U1062" s="81"/>
    </row>
    <row r="1063" spans="1:21">
      <c r="A1063" s="224" t="s">
        <v>1</v>
      </c>
      <c r="B1063" s="265" t="s">
        <v>2</v>
      </c>
      <c r="C1063" s="265" t="s">
        <v>1493</v>
      </c>
      <c r="D1063" s="265" t="s">
        <v>4</v>
      </c>
      <c r="E1063" s="75" t="s">
        <v>5</v>
      </c>
      <c r="F1063" s="75" t="s">
        <v>1933</v>
      </c>
      <c r="G1063" s="75" t="s">
        <v>4102</v>
      </c>
      <c r="H1063" s="75" t="s">
        <v>4541</v>
      </c>
      <c r="I1063" s="75" t="s">
        <v>1497</v>
      </c>
      <c r="J1063" s="75" t="s">
        <v>4102</v>
      </c>
      <c r="K1063" s="75" t="s">
        <v>4103</v>
      </c>
      <c r="L1063" s="75" t="s">
        <v>4104</v>
      </c>
      <c r="M1063" s="75" t="s">
        <v>1497</v>
      </c>
      <c r="N1063" s="75" t="s">
        <v>6</v>
      </c>
      <c r="O1063" s="75" t="s">
        <v>7</v>
      </c>
      <c r="P1063" s="75" t="s">
        <v>5211</v>
      </c>
      <c r="Q1063" s="75" t="s">
        <v>8</v>
      </c>
      <c r="R1063" s="75" t="s">
        <v>9</v>
      </c>
      <c r="S1063" s="75" t="s">
        <v>4105</v>
      </c>
      <c r="T1063" s="75" t="s">
        <v>10</v>
      </c>
      <c r="U1063" s="436"/>
    </row>
    <row r="1064" spans="1:21">
      <c r="A1064" s="333" t="s">
        <v>350</v>
      </c>
      <c r="B1064" s="289">
        <v>20241008</v>
      </c>
      <c r="C1064" s="227">
        <v>7.25</v>
      </c>
      <c r="D1064" s="289" t="s">
        <v>2874</v>
      </c>
      <c r="E1064" s="228" t="s">
        <v>1998</v>
      </c>
      <c r="F1064" s="226" t="s">
        <v>2801</v>
      </c>
      <c r="G1064" s="245" t="s">
        <v>2692</v>
      </c>
      <c r="H1064" s="227" t="s">
        <v>1913</v>
      </c>
      <c r="I1064" s="245"/>
      <c r="J1064" s="227">
        <v>240</v>
      </c>
      <c r="K1064" s="227"/>
      <c r="L1064" s="247"/>
      <c r="M1064" s="227"/>
      <c r="N1064" s="232">
        <v>4.55814533217001</v>
      </c>
      <c r="O1064" s="232">
        <v>25.1694772270537</v>
      </c>
      <c r="P1064" s="227" t="s">
        <v>1428</v>
      </c>
      <c r="Q1064" s="231">
        <v>3.81</v>
      </c>
      <c r="R1064" s="232">
        <f>SUM(J1064:Q1064)</f>
        <v>273.537622559224</v>
      </c>
      <c r="S1064" s="226" t="s">
        <v>1526</v>
      </c>
      <c r="T1064" s="228" t="s">
        <v>7629</v>
      </c>
      <c r="U1064" s="283"/>
    </row>
    <row r="1065" spans="1:21">
      <c r="A1065" s="333"/>
      <c r="B1065" s="289" t="s">
        <v>60</v>
      </c>
      <c r="C1065" s="227">
        <v>7.25</v>
      </c>
      <c r="D1065" s="289" t="s">
        <v>61</v>
      </c>
      <c r="E1065" s="228" t="s">
        <v>62</v>
      </c>
      <c r="F1065" s="226"/>
      <c r="G1065" s="245"/>
      <c r="H1065" s="227"/>
      <c r="I1065" s="245"/>
      <c r="J1065" s="227"/>
      <c r="K1065" s="227"/>
      <c r="L1065" s="247"/>
      <c r="M1065" s="227"/>
      <c r="N1065" s="232">
        <v>0.372291730241074</v>
      </c>
      <c r="O1065" s="232">
        <v>2.86679192424779</v>
      </c>
      <c r="P1065" s="227"/>
      <c r="Q1065" s="231">
        <v>0.2</v>
      </c>
      <c r="R1065" s="232">
        <f>SUM(J1065:Q1065)</f>
        <v>3.43908365448886</v>
      </c>
      <c r="S1065" s="226"/>
      <c r="T1065" s="228" t="s">
        <v>63</v>
      </c>
      <c r="U1065" s="283"/>
    </row>
    <row r="1069" ht="21" customHeight="1" spans="1:21">
      <c r="A1069" s="195" t="s">
        <v>7796</v>
      </c>
      <c r="B1069" s="195"/>
      <c r="C1069" s="195"/>
      <c r="D1069" s="195"/>
      <c r="E1069" s="196"/>
      <c r="F1069" s="196"/>
      <c r="G1069" s="197"/>
      <c r="H1069" s="198"/>
      <c r="I1069" s="198"/>
      <c r="J1069" s="199"/>
      <c r="K1069" s="200"/>
      <c r="L1069" s="296"/>
      <c r="M1069" s="200"/>
      <c r="N1069" s="201"/>
      <c r="O1069" s="201"/>
      <c r="P1069" s="197"/>
      <c r="Q1069" s="202"/>
      <c r="R1069" s="202"/>
      <c r="S1069" s="203"/>
      <c r="T1069" s="80"/>
      <c r="U1069" s="81"/>
    </row>
    <row r="1070" spans="1:21">
      <c r="A1070" s="224" t="s">
        <v>1</v>
      </c>
      <c r="B1070" s="265" t="s">
        <v>2</v>
      </c>
      <c r="C1070" s="265" t="s">
        <v>1493</v>
      </c>
      <c r="D1070" s="265" t="s">
        <v>4</v>
      </c>
      <c r="E1070" s="75" t="s">
        <v>5</v>
      </c>
      <c r="F1070" s="75" t="s">
        <v>1933</v>
      </c>
      <c r="G1070" s="75" t="s">
        <v>4102</v>
      </c>
      <c r="H1070" s="75" t="s">
        <v>4541</v>
      </c>
      <c r="I1070" s="75" t="s">
        <v>1497</v>
      </c>
      <c r="J1070" s="75" t="s">
        <v>4102</v>
      </c>
      <c r="K1070" s="75" t="s">
        <v>4103</v>
      </c>
      <c r="L1070" s="75" t="s">
        <v>4104</v>
      </c>
      <c r="M1070" s="75" t="s">
        <v>1497</v>
      </c>
      <c r="N1070" s="75" t="s">
        <v>6</v>
      </c>
      <c r="O1070" s="75" t="s">
        <v>7</v>
      </c>
      <c r="P1070" s="75" t="s">
        <v>5211</v>
      </c>
      <c r="Q1070" s="75" t="s">
        <v>8</v>
      </c>
      <c r="R1070" s="75" t="s">
        <v>9</v>
      </c>
      <c r="S1070" s="75" t="s">
        <v>4105</v>
      </c>
      <c r="T1070" s="75" t="s">
        <v>10</v>
      </c>
      <c r="U1070" s="436"/>
    </row>
    <row r="1071" spans="1:21">
      <c r="A1071" s="333" t="s">
        <v>1969</v>
      </c>
      <c r="B1071" s="289">
        <v>20250226</v>
      </c>
      <c r="C1071" s="227">
        <v>7.25</v>
      </c>
      <c r="D1071" s="289" t="s">
        <v>7833</v>
      </c>
      <c r="E1071" s="228" t="s">
        <v>1672</v>
      </c>
      <c r="F1071" s="226" t="s">
        <v>2801</v>
      </c>
      <c r="G1071" s="245" t="s">
        <v>2369</v>
      </c>
      <c r="H1071" s="227" t="s">
        <v>1913</v>
      </c>
      <c r="I1071" s="245" t="s">
        <v>1720</v>
      </c>
      <c r="J1071" s="227">
        <v>235</v>
      </c>
      <c r="K1071" s="227"/>
      <c r="L1071" s="247"/>
      <c r="M1071" s="227">
        <v>2.3</v>
      </c>
      <c r="N1071" s="232">
        <v>5.19024681677309</v>
      </c>
      <c r="O1071" s="232">
        <v>15.7998077093226</v>
      </c>
      <c r="P1071" s="227"/>
      <c r="Q1071" s="231">
        <v>3.29504667178945</v>
      </c>
      <c r="R1071" s="232">
        <f>SUM(J1071:Q1071)</f>
        <v>261.585101197885</v>
      </c>
      <c r="S1071" s="226" t="s">
        <v>1526</v>
      </c>
      <c r="T1071" s="228" t="s">
        <v>7834</v>
      </c>
      <c r="U1071" s="283"/>
    </row>
    <row r="1072" spans="1:21">
      <c r="A1072" s="333"/>
      <c r="B1072" s="289">
        <v>20240801</v>
      </c>
      <c r="C1072" s="227">
        <v>7.26</v>
      </c>
      <c r="D1072" s="289" t="s">
        <v>718</v>
      </c>
      <c r="E1072" s="228" t="s">
        <v>719</v>
      </c>
      <c r="F1072" s="226"/>
      <c r="G1072" s="245"/>
      <c r="H1072" s="227"/>
      <c r="I1072" s="245"/>
      <c r="J1072" s="227"/>
      <c r="K1072" s="227"/>
      <c r="L1072" s="247"/>
      <c r="M1072" s="227"/>
      <c r="N1072" s="232">
        <v>0.366903142446183</v>
      </c>
      <c r="O1072" s="232">
        <v>3.11153388790463</v>
      </c>
      <c r="P1072" s="227" t="s">
        <v>1428</v>
      </c>
      <c r="Q1072" s="231">
        <v>0.4</v>
      </c>
      <c r="R1072" s="232">
        <f>SUM(J1072:Q1072)</f>
        <v>3.87843703035081</v>
      </c>
      <c r="S1072" s="226"/>
      <c r="T1072" s="228" t="s">
        <v>7835</v>
      </c>
      <c r="U1072" s="283"/>
    </row>
    <row r="1076" ht="21" customHeight="1" spans="1:21">
      <c r="A1076" s="195" t="s">
        <v>7796</v>
      </c>
      <c r="B1076" s="195"/>
      <c r="C1076" s="195"/>
      <c r="D1076" s="195"/>
      <c r="E1076" s="196"/>
      <c r="F1076" s="196"/>
      <c r="G1076" s="197"/>
      <c r="H1076" s="198"/>
      <c r="I1076" s="198"/>
      <c r="J1076" s="199"/>
      <c r="K1076" s="200"/>
      <c r="L1076" s="296"/>
      <c r="M1076" s="200"/>
      <c r="N1076" s="201"/>
      <c r="O1076" s="201"/>
      <c r="P1076" s="197"/>
      <c r="Q1076" s="202"/>
      <c r="R1076" s="202"/>
      <c r="S1076" s="203"/>
      <c r="T1076" s="80"/>
      <c r="U1076" s="81"/>
    </row>
    <row r="1077" spans="1:21">
      <c r="A1077" s="224" t="s">
        <v>1</v>
      </c>
      <c r="B1077" s="265" t="s">
        <v>2</v>
      </c>
      <c r="C1077" s="265" t="s">
        <v>1493</v>
      </c>
      <c r="D1077" s="265" t="s">
        <v>4</v>
      </c>
      <c r="E1077" s="75" t="s">
        <v>5</v>
      </c>
      <c r="F1077" s="75" t="s">
        <v>1933</v>
      </c>
      <c r="G1077" s="75" t="s">
        <v>4102</v>
      </c>
      <c r="H1077" s="75" t="s">
        <v>4541</v>
      </c>
      <c r="I1077" s="75" t="s">
        <v>1497</v>
      </c>
      <c r="J1077" s="75" t="s">
        <v>4102</v>
      </c>
      <c r="K1077" s="75" t="s">
        <v>4103</v>
      </c>
      <c r="L1077" s="75" t="s">
        <v>4104</v>
      </c>
      <c r="M1077" s="75" t="s">
        <v>1497</v>
      </c>
      <c r="N1077" s="75" t="s">
        <v>6</v>
      </c>
      <c r="O1077" s="75" t="s">
        <v>7</v>
      </c>
      <c r="P1077" s="75" t="s">
        <v>5211</v>
      </c>
      <c r="Q1077" s="75" t="s">
        <v>8</v>
      </c>
      <c r="R1077" s="75" t="s">
        <v>9</v>
      </c>
      <c r="S1077" s="75" t="s">
        <v>4105</v>
      </c>
      <c r="T1077" s="75" t="s">
        <v>10</v>
      </c>
      <c r="U1077" s="436"/>
    </row>
    <row r="1078" spans="1:21">
      <c r="A1078" s="254" t="s">
        <v>7836</v>
      </c>
      <c r="B1078" s="254">
        <v>20250224</v>
      </c>
      <c r="C1078" s="227">
        <v>7.25</v>
      </c>
      <c r="D1078" s="226" t="s">
        <v>7837</v>
      </c>
      <c r="E1078" s="228" t="s">
        <v>1685</v>
      </c>
      <c r="F1078" s="229" t="s">
        <v>4742</v>
      </c>
      <c r="G1078" s="227" t="s">
        <v>3542</v>
      </c>
      <c r="H1078" s="227" t="s">
        <v>3898</v>
      </c>
      <c r="I1078" s="227" t="s">
        <v>1635</v>
      </c>
      <c r="J1078" s="227">
        <v>30</v>
      </c>
      <c r="K1078" s="227">
        <f>7*2</f>
        <v>14</v>
      </c>
      <c r="L1078" s="227">
        <v>6.5</v>
      </c>
      <c r="M1078" s="227">
        <v>3.3</v>
      </c>
      <c r="N1078" s="232">
        <v>3.2419896246567</v>
      </c>
      <c r="O1078" s="232">
        <v>13.1974536020067</v>
      </c>
      <c r="P1078" s="227"/>
      <c r="Q1078" s="231">
        <v>3</v>
      </c>
      <c r="R1078" s="231">
        <f>SUBTOTAL(9,H1078:Q1078)</f>
        <v>73.2394432266634</v>
      </c>
      <c r="S1078" s="229" t="s">
        <v>4749</v>
      </c>
      <c r="T1078" s="226" t="s">
        <v>7838</v>
      </c>
      <c r="U1078" s="283"/>
    </row>
    <row r="1080" ht="23" customHeight="1" spans="1:21">
      <c r="A1080" s="195" t="s">
        <v>7796</v>
      </c>
      <c r="B1080" s="195"/>
      <c r="C1080" s="195"/>
      <c r="D1080" s="195"/>
      <c r="E1080" s="196"/>
      <c r="F1080" s="196"/>
      <c r="G1080" s="197"/>
      <c r="H1080" s="198"/>
      <c r="I1080" s="198"/>
      <c r="J1080" s="199"/>
      <c r="K1080" s="200"/>
      <c r="L1080" s="296"/>
      <c r="M1080" s="200"/>
      <c r="N1080" s="201"/>
      <c r="O1080" s="201"/>
      <c r="P1080" s="197"/>
      <c r="Q1080" s="202"/>
      <c r="R1080" s="202"/>
      <c r="S1080" s="203"/>
      <c r="T1080" s="80"/>
      <c r="U1080" s="81"/>
    </row>
    <row r="1081" spans="1:21">
      <c r="A1081" s="224" t="s">
        <v>1</v>
      </c>
      <c r="B1081" s="265" t="s">
        <v>2</v>
      </c>
      <c r="C1081" s="265" t="s">
        <v>1493</v>
      </c>
      <c r="D1081" s="265" t="s">
        <v>4</v>
      </c>
      <c r="E1081" s="75" t="s">
        <v>5</v>
      </c>
      <c r="F1081" s="75" t="s">
        <v>1933</v>
      </c>
      <c r="G1081" s="75" t="s">
        <v>4102</v>
      </c>
      <c r="H1081" s="75" t="s">
        <v>4541</v>
      </c>
      <c r="I1081" s="75" t="s">
        <v>1497</v>
      </c>
      <c r="J1081" s="75" t="s">
        <v>4102</v>
      </c>
      <c r="K1081" s="75" t="s">
        <v>4103</v>
      </c>
      <c r="L1081" s="75" t="s">
        <v>4104</v>
      </c>
      <c r="M1081" s="75" t="s">
        <v>1497</v>
      </c>
      <c r="N1081" s="75" t="s">
        <v>6</v>
      </c>
      <c r="O1081" s="75" t="s">
        <v>7</v>
      </c>
      <c r="P1081" s="75" t="s">
        <v>5211</v>
      </c>
      <c r="Q1081" s="75" t="s">
        <v>8</v>
      </c>
      <c r="R1081" s="75" t="s">
        <v>9</v>
      </c>
      <c r="S1081" s="75" t="s">
        <v>4105</v>
      </c>
      <c r="T1081" s="75" t="s">
        <v>10</v>
      </c>
      <c r="U1081" s="436"/>
    </row>
    <row r="1082" spans="1:21">
      <c r="A1082" s="254" t="s">
        <v>7839</v>
      </c>
      <c r="B1082" s="254">
        <v>20250227</v>
      </c>
      <c r="C1082" s="227">
        <v>7.25</v>
      </c>
      <c r="D1082" s="226" t="s">
        <v>4893</v>
      </c>
      <c r="E1082" s="228" t="s">
        <v>2381</v>
      </c>
      <c r="F1082" s="229" t="s">
        <v>5142</v>
      </c>
      <c r="G1082" s="227" t="s">
        <v>4894</v>
      </c>
      <c r="H1082" s="227" t="s">
        <v>1913</v>
      </c>
      <c r="I1082" s="227" t="s">
        <v>3939</v>
      </c>
      <c r="J1082" s="227">
        <v>70</v>
      </c>
      <c r="K1082" s="227"/>
      <c r="L1082" s="227"/>
      <c r="M1082" s="227">
        <v>3</v>
      </c>
      <c r="N1082" s="232">
        <v>5.29264571254196</v>
      </c>
      <c r="O1082" s="232">
        <v>18.2308508016557</v>
      </c>
      <c r="P1082" s="227"/>
      <c r="Q1082" s="231">
        <v>0.301222027972028</v>
      </c>
      <c r="R1082" s="231">
        <v>96.8247185421696</v>
      </c>
      <c r="S1082" s="229" t="s">
        <v>1526</v>
      </c>
      <c r="T1082" s="226" t="s">
        <v>7840</v>
      </c>
      <c r="U1082" s="283"/>
    </row>
    <row r="1083" spans="1:21">
      <c r="A1083" s="254"/>
      <c r="B1083" s="254">
        <v>20250227</v>
      </c>
      <c r="C1083" s="227">
        <v>7.25</v>
      </c>
      <c r="D1083" s="226" t="s">
        <v>1269</v>
      </c>
      <c r="E1083" s="228" t="s">
        <v>4895</v>
      </c>
      <c r="F1083" s="229"/>
      <c r="G1083" s="227"/>
      <c r="H1083" s="227"/>
      <c r="I1083" s="227"/>
      <c r="J1083" s="227"/>
      <c r="K1083" s="227"/>
      <c r="L1083" s="227"/>
      <c r="M1083" s="227"/>
      <c r="N1083" s="232">
        <v>0.886169683285383</v>
      </c>
      <c r="O1083" s="232">
        <v>7.78742193748473</v>
      </c>
      <c r="P1083" s="227" t="s">
        <v>1428</v>
      </c>
      <c r="Q1083" s="231">
        <v>0.2</v>
      </c>
      <c r="R1083" s="231">
        <v>8.87359162077011</v>
      </c>
      <c r="S1083" s="229"/>
      <c r="T1083" s="226" t="s">
        <v>7841</v>
      </c>
      <c r="U1083" s="283" t="s">
        <v>1406</v>
      </c>
    </row>
    <row r="1084" spans="1:21">
      <c r="A1084" s="254"/>
      <c r="B1084" s="254"/>
      <c r="C1084" s="227"/>
      <c r="D1084" s="226"/>
      <c r="E1084" s="228" t="s">
        <v>7842</v>
      </c>
      <c r="F1084" s="229"/>
      <c r="G1084" s="227"/>
      <c r="H1084" s="227"/>
      <c r="I1084" s="227"/>
      <c r="J1084" s="227"/>
      <c r="K1084" s="227"/>
      <c r="L1084" s="227"/>
      <c r="M1084" s="227"/>
      <c r="N1084" s="232">
        <v>1.03184141204462</v>
      </c>
      <c r="O1084" s="232">
        <v>6.18782347044418</v>
      </c>
      <c r="P1084" s="227" t="s">
        <v>1428</v>
      </c>
      <c r="Q1084" s="231">
        <v>0.4</v>
      </c>
      <c r="R1084" s="231">
        <v>7.6196648824888</v>
      </c>
      <c r="S1084" s="229"/>
      <c r="T1084" s="226"/>
      <c r="U1084" s="283" t="s">
        <v>1406</v>
      </c>
    </row>
    <row r="1086" ht="23" customHeight="1" spans="1:21">
      <c r="A1086" s="195" t="s">
        <v>7796</v>
      </c>
      <c r="B1086" s="195"/>
      <c r="C1086" s="195"/>
      <c r="D1086" s="195"/>
      <c r="E1086" s="196"/>
      <c r="F1086" s="196"/>
      <c r="G1086" s="197"/>
      <c r="H1086" s="198"/>
      <c r="I1086" s="198"/>
      <c r="J1086" s="199"/>
      <c r="K1086" s="200"/>
      <c r="L1086" s="296"/>
      <c r="M1086" s="200"/>
      <c r="N1086" s="201"/>
      <c r="O1086" s="201"/>
      <c r="P1086" s="197"/>
      <c r="Q1086" s="202"/>
      <c r="R1086" s="202"/>
      <c r="S1086" s="203"/>
      <c r="T1086" s="80"/>
      <c r="U1086" s="81"/>
    </row>
    <row r="1087" spans="1:21">
      <c r="A1087" s="224" t="s">
        <v>1</v>
      </c>
      <c r="B1087" s="265" t="s">
        <v>2</v>
      </c>
      <c r="C1087" s="265" t="s">
        <v>1493</v>
      </c>
      <c r="D1087" s="265" t="s">
        <v>4</v>
      </c>
      <c r="E1087" s="75" t="s">
        <v>5</v>
      </c>
      <c r="F1087" s="75" t="s">
        <v>1933</v>
      </c>
      <c r="G1087" s="75" t="s">
        <v>4102</v>
      </c>
      <c r="H1087" s="75" t="s">
        <v>4541</v>
      </c>
      <c r="I1087" s="75" t="s">
        <v>1497</v>
      </c>
      <c r="J1087" s="75" t="s">
        <v>4102</v>
      </c>
      <c r="K1087" s="75" t="s">
        <v>4103</v>
      </c>
      <c r="L1087" s="75" t="s">
        <v>4104</v>
      </c>
      <c r="M1087" s="75" t="s">
        <v>1497</v>
      </c>
      <c r="N1087" s="75" t="s">
        <v>6</v>
      </c>
      <c r="O1087" s="75" t="s">
        <v>7</v>
      </c>
      <c r="P1087" s="75" t="s">
        <v>5211</v>
      </c>
      <c r="Q1087" s="75" t="s">
        <v>8</v>
      </c>
      <c r="R1087" s="75" t="s">
        <v>9</v>
      </c>
      <c r="S1087" s="75" t="s">
        <v>4105</v>
      </c>
      <c r="T1087" s="75" t="s">
        <v>10</v>
      </c>
      <c r="U1087" s="436"/>
    </row>
    <row r="1088" spans="1:21">
      <c r="A1088" s="254" t="s">
        <v>7414</v>
      </c>
      <c r="B1088" s="254">
        <v>20241205</v>
      </c>
      <c r="C1088" s="227">
        <v>7.25</v>
      </c>
      <c r="D1088" s="226" t="s">
        <v>7843</v>
      </c>
      <c r="E1088" s="228" t="s">
        <v>2306</v>
      </c>
      <c r="F1088" s="229" t="s">
        <v>4457</v>
      </c>
      <c r="G1088" s="227" t="s">
        <v>7471</v>
      </c>
      <c r="H1088" s="227" t="s">
        <v>4174</v>
      </c>
      <c r="I1088" s="227" t="s">
        <v>1635</v>
      </c>
      <c r="J1088" s="227">
        <v>100</v>
      </c>
      <c r="K1088" s="227">
        <f>7*4</f>
        <v>28</v>
      </c>
      <c r="L1088" s="227"/>
      <c r="M1088" s="227">
        <v>3.3</v>
      </c>
      <c r="N1088" s="232">
        <v>2.98058013765978</v>
      </c>
      <c r="O1088" s="232">
        <v>13.1310079462008</v>
      </c>
      <c r="P1088" s="227"/>
      <c r="Q1088" s="231">
        <v>2.96002441257247</v>
      </c>
      <c r="R1088" s="231">
        <f>SUM(J1088:Q1088)</f>
        <v>150.371612496433</v>
      </c>
      <c r="S1088" s="229" t="s">
        <v>2579</v>
      </c>
      <c r="T1088" s="226" t="s">
        <v>7844</v>
      </c>
      <c r="U1088" s="283"/>
    </row>
    <row r="1089" spans="1:21">
      <c r="A1089" s="254"/>
      <c r="B1089" s="254">
        <v>20241216</v>
      </c>
      <c r="C1089" s="227">
        <v>7.3</v>
      </c>
      <c r="D1089" s="226" t="s">
        <v>181</v>
      </c>
      <c r="E1089" s="228" t="s">
        <v>182</v>
      </c>
      <c r="F1089" s="229"/>
      <c r="G1089" s="227"/>
      <c r="H1089" s="227"/>
      <c r="I1089" s="227"/>
      <c r="J1089" s="227"/>
      <c r="K1089" s="227"/>
      <c r="L1089" s="227"/>
      <c r="M1089" s="227"/>
      <c r="N1089" s="232">
        <f>0.350345496423809/7.3*7.25</f>
        <v>0.347945869735975</v>
      </c>
      <c r="O1089" s="232">
        <f>1.34198711987392/7.3*7.25</f>
        <v>1.33279542727204</v>
      </c>
      <c r="P1089" s="227"/>
      <c r="Q1089" s="231">
        <v>0.4</v>
      </c>
      <c r="R1089" s="231">
        <f>SUM(J1089:Q1089)</f>
        <v>2.08074129700801</v>
      </c>
      <c r="S1089" s="229"/>
      <c r="T1089" s="226" t="s">
        <v>7426</v>
      </c>
      <c r="U1089" s="283"/>
    </row>
    <row r="1093" ht="23" customHeight="1" spans="1:21">
      <c r="A1093" s="195" t="s">
        <v>7796</v>
      </c>
      <c r="B1093" s="195"/>
      <c r="C1093" s="195"/>
      <c r="D1093" s="195"/>
      <c r="E1093" s="196"/>
      <c r="F1093" s="196"/>
      <c r="G1093" s="197"/>
      <c r="H1093" s="198"/>
      <c r="I1093" s="198"/>
      <c r="J1093" s="199"/>
      <c r="K1093" s="200"/>
      <c r="L1093" s="296"/>
      <c r="M1093" s="200"/>
      <c r="N1093" s="201"/>
      <c r="O1093" s="201"/>
      <c r="P1093" s="197"/>
      <c r="Q1093" s="202"/>
      <c r="R1093" s="202"/>
      <c r="S1093" s="203"/>
      <c r="T1093" s="80"/>
      <c r="U1093" s="81"/>
    </row>
    <row r="1094" spans="1:21">
      <c r="A1094" s="224" t="s">
        <v>1</v>
      </c>
      <c r="B1094" s="265" t="s">
        <v>2</v>
      </c>
      <c r="C1094" s="265" t="s">
        <v>1493</v>
      </c>
      <c r="D1094" s="265" t="s">
        <v>4</v>
      </c>
      <c r="E1094" s="75" t="s">
        <v>5</v>
      </c>
      <c r="F1094" s="75" t="s">
        <v>1933</v>
      </c>
      <c r="G1094" s="75" t="s">
        <v>4102</v>
      </c>
      <c r="H1094" s="75" t="s">
        <v>4541</v>
      </c>
      <c r="I1094" s="75" t="s">
        <v>1497</v>
      </c>
      <c r="J1094" s="75" t="s">
        <v>4102</v>
      </c>
      <c r="K1094" s="75" t="s">
        <v>4103</v>
      </c>
      <c r="L1094" s="75" t="s">
        <v>4104</v>
      </c>
      <c r="M1094" s="75" t="s">
        <v>1497</v>
      </c>
      <c r="N1094" s="75" t="s">
        <v>6</v>
      </c>
      <c r="O1094" s="75" t="s">
        <v>7</v>
      </c>
      <c r="P1094" s="75" t="s">
        <v>5211</v>
      </c>
      <c r="Q1094" s="75" t="s">
        <v>8</v>
      </c>
      <c r="R1094" s="75" t="s">
        <v>9</v>
      </c>
      <c r="S1094" s="75" t="s">
        <v>4105</v>
      </c>
      <c r="T1094" s="75" t="s">
        <v>10</v>
      </c>
      <c r="U1094" s="436"/>
    </row>
    <row r="1095" spans="1:21">
      <c r="A1095" s="254"/>
      <c r="B1095" s="254">
        <v>20250227</v>
      </c>
      <c r="C1095" s="227">
        <v>7.25</v>
      </c>
      <c r="D1095" s="226" t="s">
        <v>153</v>
      </c>
      <c r="E1095" s="228" t="s">
        <v>154</v>
      </c>
      <c r="F1095" s="229"/>
      <c r="G1095" s="227"/>
      <c r="H1095" s="227"/>
      <c r="I1095" s="227"/>
      <c r="J1095" s="227"/>
      <c r="K1095" s="227"/>
      <c r="L1095" s="227"/>
      <c r="M1095" s="227"/>
      <c r="N1095" s="232">
        <v>0.595666768385719</v>
      </c>
      <c r="O1095" s="232">
        <v>3.41497810933415</v>
      </c>
      <c r="P1095" s="227"/>
      <c r="Q1095" s="231">
        <v>0.4</v>
      </c>
      <c r="R1095" s="231">
        <f>SUM(J1095:Q1095)</f>
        <v>4.41064487771987</v>
      </c>
      <c r="S1095" s="229"/>
      <c r="T1095" s="226" t="s">
        <v>155</v>
      </c>
      <c r="U1095" s="283"/>
    </row>
    <row r="1096" spans="1:21">
      <c r="A1096" s="254"/>
      <c r="B1096" s="254">
        <v>20240511</v>
      </c>
      <c r="C1096" s="227">
        <v>7.22</v>
      </c>
      <c r="D1096" s="226" t="s">
        <v>161</v>
      </c>
      <c r="E1096" s="228" t="s">
        <v>162</v>
      </c>
      <c r="F1096" s="229"/>
      <c r="G1096" s="227"/>
      <c r="H1096" s="227"/>
      <c r="I1096" s="227"/>
      <c r="J1096" s="227"/>
      <c r="K1096" s="227"/>
      <c r="L1096" s="227"/>
      <c r="M1096" s="227"/>
      <c r="N1096" s="232">
        <v>0.0367710146348638</v>
      </c>
      <c r="O1096" s="232">
        <v>0.0389477512425749</v>
      </c>
      <c r="P1096" s="227" t="s">
        <v>1428</v>
      </c>
      <c r="Q1096" s="231">
        <v>0.2</v>
      </c>
      <c r="R1096" s="231">
        <f>SUM(J1096:Q1096)</f>
        <v>0.275718765877439</v>
      </c>
      <c r="S1096" s="229"/>
      <c r="T1096" s="226"/>
      <c r="U1096" s="283"/>
    </row>
    <row r="1097" spans="1:21">
      <c r="A1097" s="254"/>
      <c r="B1097" s="254"/>
      <c r="C1097" s="227"/>
      <c r="D1097" s="226"/>
      <c r="E1097" s="228" t="s">
        <v>7481</v>
      </c>
      <c r="F1097" s="229" t="s">
        <v>7845</v>
      </c>
      <c r="G1097" s="227"/>
      <c r="H1097" s="227"/>
      <c r="I1097" s="227"/>
      <c r="J1097" s="227"/>
      <c r="K1097" s="227" t="s">
        <v>7846</v>
      </c>
      <c r="L1097" s="227"/>
      <c r="M1097" s="227"/>
      <c r="N1097" s="232"/>
      <c r="O1097" s="232"/>
      <c r="P1097" s="227"/>
      <c r="Q1097" s="231"/>
      <c r="R1097" s="231">
        <f>8*2</f>
        <v>16</v>
      </c>
      <c r="S1097" s="229" t="s">
        <v>7847</v>
      </c>
      <c r="T1097" s="226"/>
      <c r="U1097" s="283"/>
    </row>
    <row r="1098" spans="1:21">
      <c r="A1098" s="254"/>
      <c r="B1098" s="254"/>
      <c r="C1098" s="227"/>
      <c r="D1098" s="226"/>
      <c r="E1098" s="228" t="s">
        <v>7848</v>
      </c>
      <c r="F1098" s="229" t="s">
        <v>7849</v>
      </c>
      <c r="G1098" s="227"/>
      <c r="H1098" s="227"/>
      <c r="I1098" s="227"/>
      <c r="J1098" s="227"/>
      <c r="K1098" s="227"/>
      <c r="L1098" s="227"/>
      <c r="M1098" s="227"/>
      <c r="N1098" s="232"/>
      <c r="O1098" s="232"/>
      <c r="P1098" s="227"/>
      <c r="Q1098" s="231"/>
      <c r="R1098" s="231">
        <v>23.5</v>
      </c>
      <c r="S1098" s="229" t="s">
        <v>7850</v>
      </c>
      <c r="T1098" s="226"/>
      <c r="U1098" s="283"/>
    </row>
    <row r="1099" spans="1:21">
      <c r="A1099" s="254"/>
      <c r="B1099" s="254"/>
      <c r="C1099" s="227"/>
      <c r="D1099" s="226"/>
      <c r="E1099" s="228" t="s">
        <v>7485</v>
      </c>
      <c r="F1099" s="229" t="s">
        <v>2513</v>
      </c>
      <c r="G1099" s="227"/>
      <c r="H1099" s="227"/>
      <c r="I1099" s="227"/>
      <c r="J1099" s="227"/>
      <c r="K1099" s="227"/>
      <c r="L1099" s="227"/>
      <c r="M1099" s="227"/>
      <c r="N1099" s="232"/>
      <c r="O1099" s="232"/>
      <c r="P1099" s="227"/>
      <c r="Q1099" s="231"/>
      <c r="R1099" s="231">
        <v>6</v>
      </c>
      <c r="S1099" s="229"/>
      <c r="T1099" s="226"/>
      <c r="U1099" s="283"/>
    </row>
    <row r="1102" spans="1:21">
      <c r="A1102" s="195" t="s">
        <v>7796</v>
      </c>
      <c r="B1102" s="195"/>
      <c r="C1102" s="195"/>
      <c r="D1102" s="195"/>
      <c r="E1102" s="196"/>
      <c r="F1102" s="196"/>
      <c r="G1102" s="197"/>
      <c r="H1102" s="198"/>
      <c r="I1102" s="198"/>
      <c r="J1102" s="199"/>
      <c r="K1102" s="296"/>
      <c r="L1102" s="296"/>
      <c r="M1102" s="200"/>
      <c r="N1102" s="297"/>
      <c r="O1102" s="201"/>
      <c r="P1102" s="197"/>
      <c r="Q1102" s="202"/>
      <c r="R1102" s="202"/>
      <c r="S1102" s="203"/>
      <c r="T1102" s="80"/>
    </row>
    <row r="1103" spans="1:21">
      <c r="A1103" s="224" t="s">
        <v>1</v>
      </c>
      <c r="B1103" s="224"/>
      <c r="C1103" s="224"/>
      <c r="D1103" s="224"/>
      <c r="E1103" s="75" t="s">
        <v>5</v>
      </c>
      <c r="F1103" s="75" t="s">
        <v>1933</v>
      </c>
      <c r="G1103" s="75" t="s">
        <v>4102</v>
      </c>
      <c r="H1103" s="75" t="s">
        <v>4541</v>
      </c>
      <c r="I1103" s="75" t="s">
        <v>1497</v>
      </c>
      <c r="J1103" s="75" t="s">
        <v>4102</v>
      </c>
      <c r="K1103" s="75" t="s">
        <v>4103</v>
      </c>
      <c r="L1103" s="75" t="s">
        <v>4104</v>
      </c>
      <c r="M1103" s="75" t="s">
        <v>1497</v>
      </c>
      <c r="N1103" s="75" t="s">
        <v>6</v>
      </c>
      <c r="O1103" s="75" t="s">
        <v>7</v>
      </c>
      <c r="P1103" s="75" t="s">
        <v>5211</v>
      </c>
      <c r="Q1103" s="75" t="s">
        <v>8</v>
      </c>
      <c r="R1103" s="75" t="s">
        <v>9</v>
      </c>
      <c r="S1103" s="75" t="s">
        <v>4105</v>
      </c>
      <c r="T1103" s="75" t="s">
        <v>10</v>
      </c>
    </row>
    <row r="1104" spans="1:21">
      <c r="A1104" s="563" t="s">
        <v>7414</v>
      </c>
      <c r="B1104" s="289">
        <v>20250219</v>
      </c>
      <c r="C1104" s="289">
        <v>7.3</v>
      </c>
      <c r="D1104" s="289" t="s">
        <v>7417</v>
      </c>
      <c r="E1104" s="255" t="s">
        <v>2427</v>
      </c>
      <c r="F1104" s="226" t="s">
        <v>2801</v>
      </c>
      <c r="G1104" s="253" t="s">
        <v>7851</v>
      </c>
      <c r="H1104" s="227" t="s">
        <v>3436</v>
      </c>
      <c r="I1104" s="227" t="s">
        <v>1635</v>
      </c>
      <c r="J1104" s="252">
        <v>65</v>
      </c>
      <c r="K1104" s="227">
        <v>14</v>
      </c>
      <c r="L1104" s="227" t="s">
        <v>1428</v>
      </c>
      <c r="M1104" s="227">
        <v>3.3</v>
      </c>
      <c r="N1104" s="231">
        <v>3.01830900016181</v>
      </c>
      <c r="O1104" s="231">
        <v>13.929168021</v>
      </c>
      <c r="P1104" s="231" t="s">
        <v>1428</v>
      </c>
      <c r="Q1104" s="246">
        <v>2.99570646431659</v>
      </c>
      <c r="R1104" s="231">
        <f>SUM(J1104:Q1104)</f>
        <v>102.243183485478</v>
      </c>
      <c r="S1104" s="226" t="s">
        <v>2579</v>
      </c>
      <c r="T1104" s="254" t="s">
        <v>7450</v>
      </c>
    </row>
    <row r="1105" spans="1:21">
      <c r="B1105" s="254">
        <v>20241031</v>
      </c>
      <c r="C1105" s="226">
        <v>7.25</v>
      </c>
      <c r="D1105" s="226" t="s">
        <v>7690</v>
      </c>
      <c r="E1105" s="255" t="s">
        <v>1581</v>
      </c>
      <c r="F1105" s="243" t="s">
        <v>2801</v>
      </c>
      <c r="G1105" s="227" t="s">
        <v>2566</v>
      </c>
      <c r="H1105" s="227" t="s">
        <v>4248</v>
      </c>
      <c r="I1105" s="227" t="s">
        <v>4343</v>
      </c>
      <c r="J1105" s="509" t="s">
        <v>1428</v>
      </c>
      <c r="K1105" s="247">
        <f>23*4</f>
        <v>92</v>
      </c>
      <c r="L1105" s="227"/>
      <c r="M1105" s="227">
        <v>3.68</v>
      </c>
      <c r="N1105" s="231">
        <v>2.98058013765978</v>
      </c>
      <c r="O1105" s="231">
        <v>16.1975626434306</v>
      </c>
      <c r="P1105" s="231"/>
      <c r="Q1105" s="246">
        <v>2.95826013351263</v>
      </c>
      <c r="R1105" s="231">
        <f>SUM(J1105:Q1105)</f>
        <v>117.816402914603</v>
      </c>
      <c r="S1105" s="226" t="s">
        <v>4001</v>
      </c>
      <c r="T1105" s="254" t="s">
        <v>7852</v>
      </c>
    </row>
    <row r="1106" spans="1:21">
      <c r="B1106" s="254">
        <v>20241031</v>
      </c>
      <c r="C1106" s="226">
        <v>7.11</v>
      </c>
      <c r="D1106" s="226" t="s">
        <v>7687</v>
      </c>
      <c r="E1106" s="255" t="s">
        <v>1672</v>
      </c>
      <c r="F1106" s="243" t="s">
        <v>2801</v>
      </c>
      <c r="G1106" s="227" t="s">
        <v>2354</v>
      </c>
      <c r="H1106" s="227" t="s">
        <v>4174</v>
      </c>
      <c r="I1106" s="227" t="s">
        <v>1635</v>
      </c>
      <c r="J1106" s="507">
        <v>125</v>
      </c>
      <c r="K1106" s="227">
        <f>7*4</f>
        <v>28</v>
      </c>
      <c r="L1106" s="227"/>
      <c r="M1106" s="227">
        <v>3.3</v>
      </c>
      <c r="N1106" s="232">
        <v>3.03926947932959</v>
      </c>
      <c r="O1106" s="232">
        <v>13.0162145693833</v>
      </c>
      <c r="P1106" s="231"/>
      <c r="Q1106" s="246">
        <v>2.95826013351263</v>
      </c>
      <c r="R1106" s="231">
        <f>SUM(J1106:Q1106)</f>
        <v>175.313744182226</v>
      </c>
      <c r="S1106" s="226" t="s">
        <v>2579</v>
      </c>
      <c r="T1106" s="254" t="s">
        <v>7450</v>
      </c>
    </row>
    <row r="1107" spans="1:21">
      <c r="B1107" s="254"/>
      <c r="C1107" s="226"/>
      <c r="D1107" s="226"/>
      <c r="E1107" s="255"/>
      <c r="F1107" s="243"/>
      <c r="G1107" s="227"/>
      <c r="H1107" s="227"/>
      <c r="I1107" s="227"/>
      <c r="J1107" s="507"/>
      <c r="K1107" s="227"/>
      <c r="L1107" s="227"/>
      <c r="M1107" s="227"/>
      <c r="N1107" s="232"/>
      <c r="O1107" s="232"/>
      <c r="P1107" s="231"/>
      <c r="Q1107" s="246"/>
      <c r="R1107" s="231"/>
      <c r="S1107" s="226"/>
      <c r="T1107" s="254"/>
    </row>
    <row r="1108" spans="1:21">
      <c r="B1108" s="254"/>
      <c r="C1108" s="226"/>
      <c r="D1108" s="226"/>
      <c r="E1108" s="255"/>
      <c r="F1108" s="243"/>
      <c r="G1108" s="227"/>
      <c r="H1108" s="227"/>
      <c r="I1108" s="227"/>
      <c r="J1108" s="507"/>
      <c r="K1108" s="227"/>
      <c r="L1108" s="227"/>
      <c r="M1108" s="227"/>
      <c r="N1108" s="232"/>
      <c r="O1108" s="232"/>
      <c r="P1108" s="231"/>
      <c r="Q1108" s="246"/>
      <c r="R1108" s="231"/>
      <c r="S1108" s="226"/>
      <c r="T1108" s="254"/>
    </row>
    <row r="1109" spans="1:21">
      <c r="A1109" s="195" t="s">
        <v>7796</v>
      </c>
      <c r="B1109" s="195"/>
      <c r="C1109" s="195"/>
      <c r="D1109" s="195"/>
      <c r="E1109" s="196"/>
      <c r="F1109" s="196"/>
      <c r="G1109" s="197"/>
      <c r="H1109" s="198"/>
      <c r="I1109" s="198"/>
      <c r="J1109" s="199"/>
      <c r="K1109" s="296"/>
      <c r="L1109" s="296"/>
      <c r="M1109" s="200"/>
      <c r="N1109" s="297"/>
      <c r="O1109" s="201"/>
      <c r="P1109" s="197"/>
      <c r="Q1109" s="202"/>
      <c r="R1109" s="202"/>
      <c r="S1109" s="203"/>
      <c r="T1109" s="80"/>
    </row>
    <row r="1110" spans="1:21">
      <c r="A1110" s="224" t="s">
        <v>1</v>
      </c>
      <c r="B1110" s="224"/>
      <c r="C1110" s="224"/>
      <c r="D1110" s="224"/>
      <c r="E1110" s="75" t="s">
        <v>5</v>
      </c>
      <c r="F1110" s="75" t="s">
        <v>1933</v>
      </c>
      <c r="G1110" s="75" t="s">
        <v>4102</v>
      </c>
      <c r="H1110" s="75" t="s">
        <v>4541</v>
      </c>
      <c r="I1110" s="75" t="s">
        <v>1497</v>
      </c>
      <c r="J1110" s="75" t="s">
        <v>4102</v>
      </c>
      <c r="K1110" s="75" t="s">
        <v>4103</v>
      </c>
      <c r="L1110" s="75" t="s">
        <v>4104</v>
      </c>
      <c r="M1110" s="75" t="s">
        <v>1497</v>
      </c>
      <c r="N1110" s="75" t="s">
        <v>6</v>
      </c>
      <c r="O1110" s="75" t="s">
        <v>7</v>
      </c>
      <c r="P1110" s="75" t="s">
        <v>5211</v>
      </c>
      <c r="Q1110" s="75" t="s">
        <v>8</v>
      </c>
      <c r="R1110" s="75" t="s">
        <v>9</v>
      </c>
      <c r="S1110" s="75" t="s">
        <v>4105</v>
      </c>
      <c r="T1110" s="75" t="s">
        <v>10</v>
      </c>
    </row>
    <row r="1111" spans="1:21">
      <c r="A1111" s="254"/>
      <c r="B1111" s="254">
        <v>20241031</v>
      </c>
      <c r="C1111" s="227">
        <v>7.11</v>
      </c>
      <c r="D1111" s="226" t="s">
        <v>7688</v>
      </c>
      <c r="E1111" s="228" t="s">
        <v>1998</v>
      </c>
      <c r="F1111" s="229" t="s">
        <v>2801</v>
      </c>
      <c r="G1111" s="227" t="s">
        <v>2323</v>
      </c>
      <c r="H1111" s="227" t="s">
        <v>4474</v>
      </c>
      <c r="I1111" s="227" t="s">
        <v>1633</v>
      </c>
      <c r="J1111" s="227">
        <v>65</v>
      </c>
      <c r="K1111" s="227">
        <f>7*4</f>
        <v>28</v>
      </c>
      <c r="L1111" s="227"/>
      <c r="M1111" s="227">
        <v>1.72</v>
      </c>
      <c r="N1111" s="232">
        <v>3.03926947932959</v>
      </c>
      <c r="O1111" s="232">
        <v>10.6520432979349</v>
      </c>
      <c r="P1111" s="227"/>
      <c r="Q1111" s="231">
        <v>2.95826013351263</v>
      </c>
      <c r="R1111" s="231">
        <f>SUM(J1111:Q1111)</f>
        <v>111.369572910777</v>
      </c>
      <c r="S1111" s="229" t="s">
        <v>3995</v>
      </c>
      <c r="T1111" s="226" t="s">
        <v>7689</v>
      </c>
      <c r="U1111" s="283"/>
    </row>
    <row r="1112" spans="1:21">
      <c r="A1112" s="254"/>
      <c r="B1112" s="254">
        <v>20240925</v>
      </c>
      <c r="C1112" s="227">
        <v>7.11</v>
      </c>
      <c r="D1112" s="226" t="s">
        <v>202</v>
      </c>
      <c r="E1112" s="228" t="s">
        <v>203</v>
      </c>
      <c r="F1112" s="229"/>
      <c r="G1112" s="227"/>
      <c r="H1112" s="227"/>
      <c r="I1112" s="227"/>
      <c r="J1112" s="227"/>
      <c r="K1112" s="227"/>
      <c r="L1112" s="227"/>
      <c r="M1112" s="227"/>
      <c r="N1112" s="232">
        <v>0.371867292681642</v>
      </c>
      <c r="O1112" s="232">
        <v>1.22907692868866</v>
      </c>
      <c r="P1112" s="227" t="s">
        <v>1428</v>
      </c>
      <c r="Q1112" s="231">
        <v>0.2</v>
      </c>
      <c r="R1112" s="231">
        <f>SUM(J1112:Q1112)</f>
        <v>1.8009442213703</v>
      </c>
      <c r="S1112" s="229"/>
      <c r="T1112" s="226"/>
      <c r="U1112" s="283"/>
    </row>
    <row r="1113" spans="1:21">
      <c r="A1113" s="254"/>
      <c r="B1113" s="254"/>
      <c r="C1113" s="227"/>
      <c r="D1113" s="226"/>
      <c r="E1113" s="228" t="s">
        <v>7518</v>
      </c>
      <c r="F1113" s="229" t="s">
        <v>7684</v>
      </c>
      <c r="G1113" s="227"/>
      <c r="H1113" s="227"/>
      <c r="I1113" s="227"/>
      <c r="J1113" s="227"/>
      <c r="K1113" s="227"/>
      <c r="L1113" s="227"/>
      <c r="M1113" s="227"/>
      <c r="N1113" s="232"/>
      <c r="O1113" s="232"/>
      <c r="P1113" s="227"/>
      <c r="Q1113" s="231"/>
      <c r="R1113" s="231">
        <v>30</v>
      </c>
      <c r="S1113" s="229"/>
      <c r="T1113" s="226"/>
      <c r="U1113" s="283"/>
    </row>
    <row r="1117" spans="1:21">
      <c r="A1117" s="195" t="s">
        <v>7853</v>
      </c>
      <c r="B1117" s="195"/>
      <c r="C1117" s="195"/>
      <c r="D1117" s="195"/>
      <c r="E1117" s="196"/>
      <c r="F1117" s="196"/>
      <c r="G1117" s="197"/>
      <c r="H1117" s="198"/>
      <c r="I1117" s="198"/>
      <c r="J1117" s="199"/>
      <c r="K1117" s="296"/>
      <c r="L1117" s="296"/>
      <c r="M1117" s="200"/>
      <c r="N1117" s="297"/>
      <c r="O1117" s="201"/>
      <c r="P1117" s="197"/>
      <c r="Q1117" s="202"/>
      <c r="R1117" s="202"/>
      <c r="S1117" s="203"/>
      <c r="T1117" s="80"/>
    </row>
    <row r="1118" spans="1:21">
      <c r="A1118" s="224" t="s">
        <v>1</v>
      </c>
      <c r="B1118" s="224"/>
      <c r="C1118" s="224"/>
      <c r="D1118" s="224"/>
      <c r="E1118" s="75" t="s">
        <v>5</v>
      </c>
      <c r="F1118" s="75" t="s">
        <v>1933</v>
      </c>
      <c r="G1118" s="75" t="s">
        <v>4102</v>
      </c>
      <c r="H1118" s="75" t="s">
        <v>4541</v>
      </c>
      <c r="I1118" s="75" t="s">
        <v>1497</v>
      </c>
      <c r="J1118" s="75" t="s">
        <v>4102</v>
      </c>
      <c r="K1118" s="75" t="s">
        <v>4103</v>
      </c>
      <c r="L1118" s="75" t="s">
        <v>4104</v>
      </c>
      <c r="M1118" s="75" t="s">
        <v>1497</v>
      </c>
      <c r="N1118" s="75" t="s">
        <v>6</v>
      </c>
      <c r="O1118" s="75" t="s">
        <v>7</v>
      </c>
      <c r="P1118" s="75" t="s">
        <v>5211</v>
      </c>
      <c r="Q1118" s="75" t="s">
        <v>8</v>
      </c>
      <c r="R1118" s="75" t="s">
        <v>9</v>
      </c>
      <c r="S1118" s="75" t="s">
        <v>4105</v>
      </c>
      <c r="T1118" s="75" t="s">
        <v>10</v>
      </c>
    </row>
    <row r="1119" spans="1:21">
      <c r="A1119" s="254" t="s">
        <v>973</v>
      </c>
      <c r="B1119" s="254">
        <v>20250303</v>
      </c>
      <c r="C1119" s="227">
        <v>7.25</v>
      </c>
      <c r="D1119" s="226" t="s">
        <v>3994</v>
      </c>
      <c r="E1119" s="228" t="s">
        <v>1998</v>
      </c>
      <c r="F1119" s="229" t="s">
        <v>7557</v>
      </c>
      <c r="G1119" s="227" t="s">
        <v>3457</v>
      </c>
      <c r="H1119" s="227" t="s">
        <v>3909</v>
      </c>
      <c r="I1119" s="227" t="s">
        <v>1635</v>
      </c>
      <c r="J1119" s="227">
        <v>32</v>
      </c>
      <c r="K1119" s="227">
        <f>9*2</f>
        <v>18</v>
      </c>
      <c r="L1119" s="227"/>
      <c r="M1119" s="227">
        <v>3.3</v>
      </c>
      <c r="N1119" s="232">
        <v>2.63987702654546</v>
      </c>
      <c r="O1119" s="232">
        <v>13.5905748802185</v>
      </c>
      <c r="P1119" s="227"/>
      <c r="Q1119" s="231">
        <v>3</v>
      </c>
      <c r="R1119" s="231">
        <f>SUM(J1119:Q1119)</f>
        <v>72.530451906764</v>
      </c>
      <c r="S1119" s="229" t="s">
        <v>3995</v>
      </c>
      <c r="T1119" s="226" t="s">
        <v>7854</v>
      </c>
      <c r="U1119" s="283"/>
    </row>
    <row r="1121" spans="1:21">
      <c r="A1121" s="195" t="s">
        <v>7853</v>
      </c>
      <c r="B1121" s="195"/>
      <c r="C1121" s="195"/>
      <c r="D1121" s="195"/>
      <c r="E1121" s="196"/>
      <c r="F1121" s="196"/>
      <c r="G1121" s="197"/>
      <c r="H1121" s="198"/>
      <c r="I1121" s="198"/>
      <c r="J1121" s="199"/>
      <c r="K1121" s="296"/>
      <c r="L1121" s="296"/>
      <c r="M1121" s="200"/>
      <c r="N1121" s="297"/>
      <c r="O1121" s="201"/>
      <c r="P1121" s="197"/>
      <c r="Q1121" s="202"/>
      <c r="R1121" s="202"/>
      <c r="S1121" s="203"/>
      <c r="T1121" s="80"/>
    </row>
    <row r="1122" spans="1:21">
      <c r="A1122" s="224" t="s">
        <v>1</v>
      </c>
      <c r="B1122" s="224"/>
      <c r="C1122" s="224"/>
      <c r="D1122" s="224"/>
      <c r="E1122" s="75" t="s">
        <v>5</v>
      </c>
      <c r="F1122" s="75" t="s">
        <v>1933</v>
      </c>
      <c r="G1122" s="75" t="s">
        <v>4102</v>
      </c>
      <c r="H1122" s="75" t="s">
        <v>4541</v>
      </c>
      <c r="I1122" s="75" t="s">
        <v>1497</v>
      </c>
      <c r="J1122" s="75" t="s">
        <v>4102</v>
      </c>
      <c r="K1122" s="75" t="s">
        <v>4103</v>
      </c>
      <c r="L1122" s="75" t="s">
        <v>4104</v>
      </c>
      <c r="M1122" s="75" t="s">
        <v>1497</v>
      </c>
      <c r="N1122" s="75" t="s">
        <v>6</v>
      </c>
      <c r="O1122" s="75" t="s">
        <v>7</v>
      </c>
      <c r="P1122" s="75" t="s">
        <v>5211</v>
      </c>
      <c r="Q1122" s="75" t="s">
        <v>8</v>
      </c>
      <c r="R1122" s="75" t="s">
        <v>9</v>
      </c>
      <c r="S1122" s="75" t="s">
        <v>4105</v>
      </c>
      <c r="T1122" s="75" t="s">
        <v>10</v>
      </c>
    </row>
    <row r="1123" spans="1:21">
      <c r="A1123" s="254" t="s">
        <v>432</v>
      </c>
      <c r="B1123" s="254">
        <v>202503034</v>
      </c>
      <c r="C1123" s="227">
        <v>7.25</v>
      </c>
      <c r="D1123" s="226" t="s">
        <v>439</v>
      </c>
      <c r="E1123" s="228" t="s">
        <v>440</v>
      </c>
      <c r="F1123" s="229"/>
      <c r="G1123" s="227"/>
      <c r="H1123" s="227"/>
      <c r="I1123" s="227"/>
      <c r="J1123" s="227"/>
      <c r="K1123" s="227"/>
      <c r="L1123" s="227"/>
      <c r="M1123" s="227"/>
      <c r="N1123" s="232">
        <v>0.284406469331706</v>
      </c>
      <c r="O1123" s="232">
        <v>0.563901241623436</v>
      </c>
      <c r="P1123" s="227"/>
      <c r="Q1123" s="231">
        <v>0.2</v>
      </c>
      <c r="R1123" s="231">
        <f>SUM(J1123:Q1123)</f>
        <v>1.04830771095514</v>
      </c>
      <c r="S1123" s="229"/>
      <c r="T1123" s="226" t="s">
        <v>435</v>
      </c>
      <c r="U1123" s="283"/>
    </row>
    <row r="1128" spans="1:21">
      <c r="A1128" s="195" t="s">
        <v>7853</v>
      </c>
      <c r="B1128" s="195"/>
      <c r="C1128" s="195"/>
      <c r="D1128" s="195"/>
      <c r="E1128" s="196"/>
      <c r="F1128" s="196"/>
      <c r="G1128" s="197"/>
      <c r="H1128" s="198"/>
      <c r="I1128" s="198"/>
      <c r="J1128" s="199"/>
      <c r="K1128" s="296"/>
      <c r="L1128" s="296"/>
      <c r="M1128" s="200"/>
      <c r="N1128" s="297"/>
      <c r="O1128" s="201"/>
      <c r="P1128" s="197"/>
      <c r="Q1128" s="202"/>
      <c r="R1128" s="202"/>
      <c r="S1128" s="203"/>
      <c r="T1128" s="80"/>
    </row>
    <row r="1129" spans="1:21">
      <c r="A1129" s="224" t="s">
        <v>1</v>
      </c>
      <c r="B1129" s="224"/>
      <c r="C1129" s="224"/>
      <c r="D1129" s="224"/>
      <c r="E1129" s="75" t="s">
        <v>5</v>
      </c>
      <c r="F1129" s="75" t="s">
        <v>1933</v>
      </c>
      <c r="G1129" s="75" t="s">
        <v>4102</v>
      </c>
      <c r="H1129" s="75" t="s">
        <v>4541</v>
      </c>
      <c r="I1129" s="75" t="s">
        <v>1497</v>
      </c>
      <c r="J1129" s="75" t="s">
        <v>4102</v>
      </c>
      <c r="K1129" s="75" t="s">
        <v>4103</v>
      </c>
      <c r="L1129" s="75" t="s">
        <v>4104</v>
      </c>
      <c r="M1129" s="75" t="s">
        <v>1497</v>
      </c>
      <c r="N1129" s="75" t="s">
        <v>6</v>
      </c>
      <c r="O1129" s="75" t="s">
        <v>7</v>
      </c>
      <c r="P1129" s="75" t="s">
        <v>5211</v>
      </c>
      <c r="Q1129" s="75" t="s">
        <v>8</v>
      </c>
      <c r="R1129" s="75" t="s">
        <v>9</v>
      </c>
      <c r="S1129" s="75" t="s">
        <v>4105</v>
      </c>
      <c r="T1129" s="75" t="s">
        <v>10</v>
      </c>
    </row>
    <row r="1130" spans="1:21">
      <c r="A1130" s="254" t="s">
        <v>1181</v>
      </c>
      <c r="B1130" s="254">
        <v>20250305</v>
      </c>
      <c r="C1130" s="227">
        <v>7.25</v>
      </c>
      <c r="D1130" s="226" t="s">
        <v>7855</v>
      </c>
      <c r="E1130" s="228" t="s">
        <v>1604</v>
      </c>
      <c r="F1130" s="229" t="s">
        <v>4457</v>
      </c>
      <c r="G1130" s="227" t="s">
        <v>4331</v>
      </c>
      <c r="H1130" s="227" t="s">
        <v>4174</v>
      </c>
      <c r="I1130" s="227" t="s">
        <v>1635</v>
      </c>
      <c r="J1130" s="227">
        <v>190</v>
      </c>
      <c r="K1130" s="227">
        <f>6*4</f>
        <v>24</v>
      </c>
      <c r="L1130" s="227"/>
      <c r="M1130" s="227">
        <v>3.3</v>
      </c>
      <c r="N1130" s="232">
        <v>3.4648385973409</v>
      </c>
      <c r="O1130" s="232">
        <v>14.7741376261977</v>
      </c>
      <c r="P1130" s="227"/>
      <c r="Q1130" s="231">
        <v>5</v>
      </c>
      <c r="R1130" s="231">
        <f>SUM(J1130:Q1130)</f>
        <v>240.538976223539</v>
      </c>
      <c r="S1130" s="229" t="s">
        <v>2579</v>
      </c>
      <c r="T1130" s="226" t="s">
        <v>7856</v>
      </c>
      <c r="U1130" s="283"/>
    </row>
    <row r="1131" spans="1:21">
      <c r="A1131" s="254" t="s">
        <v>41</v>
      </c>
      <c r="B1131" s="254">
        <v>20241216</v>
      </c>
      <c r="C1131" s="227">
        <v>7.25</v>
      </c>
      <c r="D1131" s="226" t="s">
        <v>181</v>
      </c>
      <c r="E1131" s="228" t="s">
        <v>182</v>
      </c>
      <c r="F1131" s="229"/>
      <c r="G1131" s="227"/>
      <c r="H1131" s="227"/>
      <c r="I1131" s="227"/>
      <c r="J1131" s="227"/>
      <c r="K1131" s="227"/>
      <c r="L1131" s="227"/>
      <c r="M1131" s="227"/>
      <c r="N1131" s="232">
        <v>0.347945869735975</v>
      </c>
      <c r="O1131" s="232">
        <v>1.33279542727204</v>
      </c>
      <c r="P1131" s="227"/>
      <c r="Q1131" s="231">
        <v>0.4</v>
      </c>
      <c r="R1131" s="231">
        <f>SUM(J1131:Q1131)</f>
        <v>2.08074129700801</v>
      </c>
      <c r="S1131" s="229"/>
      <c r="T1131" s="226" t="s">
        <v>7426</v>
      </c>
      <c r="U1131" s="283"/>
    </row>
    <row r="1134" spans="1:21">
      <c r="A1134" s="195" t="s">
        <v>7853</v>
      </c>
      <c r="B1134" s="195"/>
      <c r="C1134" s="195"/>
      <c r="D1134" s="195"/>
      <c r="E1134" s="196"/>
      <c r="F1134" s="196"/>
      <c r="G1134" s="197"/>
      <c r="H1134" s="198"/>
      <c r="I1134" s="198"/>
      <c r="J1134" s="199"/>
      <c r="K1134" s="296"/>
      <c r="L1134" s="296"/>
      <c r="M1134" s="200"/>
      <c r="N1134" s="297"/>
      <c r="O1134" s="201"/>
      <c r="P1134" s="197"/>
      <c r="Q1134" s="202"/>
      <c r="R1134" s="202"/>
      <c r="S1134" s="203"/>
      <c r="T1134" s="80"/>
    </row>
    <row r="1135" spans="1:21">
      <c r="A1135" s="224" t="s">
        <v>1</v>
      </c>
      <c r="B1135" s="224"/>
      <c r="C1135" s="224"/>
      <c r="D1135" s="224"/>
      <c r="E1135" s="75" t="s">
        <v>5</v>
      </c>
      <c r="F1135" s="75" t="s">
        <v>1933</v>
      </c>
      <c r="G1135" s="75" t="s">
        <v>4102</v>
      </c>
      <c r="H1135" s="75" t="s">
        <v>4541</v>
      </c>
      <c r="I1135" s="75" t="s">
        <v>1497</v>
      </c>
      <c r="J1135" s="75" t="s">
        <v>4102</v>
      </c>
      <c r="K1135" s="75" t="s">
        <v>4103</v>
      </c>
      <c r="L1135" s="75" t="s">
        <v>4104</v>
      </c>
      <c r="M1135" s="75" t="s">
        <v>1497</v>
      </c>
      <c r="N1135" s="75" t="s">
        <v>6</v>
      </c>
      <c r="O1135" s="75" t="s">
        <v>7</v>
      </c>
      <c r="P1135" s="75" t="s">
        <v>5211</v>
      </c>
      <c r="Q1135" s="75" t="s">
        <v>8</v>
      </c>
      <c r="R1135" s="75" t="s">
        <v>9</v>
      </c>
      <c r="S1135" s="75" t="s">
        <v>4105</v>
      </c>
      <c r="T1135" s="75" t="s">
        <v>10</v>
      </c>
    </row>
    <row r="1136" spans="1:21">
      <c r="A1136" s="254" t="s">
        <v>7414</v>
      </c>
      <c r="B1136" s="254">
        <v>20250220</v>
      </c>
      <c r="C1136" s="227">
        <v>7.3</v>
      </c>
      <c r="D1136" s="226" t="s">
        <v>7765</v>
      </c>
      <c r="E1136" s="228" t="s">
        <v>2488</v>
      </c>
      <c r="F1136" s="229" t="s">
        <v>7445</v>
      </c>
      <c r="G1136" s="227" t="s">
        <v>7814</v>
      </c>
      <c r="H1136" s="227" t="s">
        <v>4248</v>
      </c>
      <c r="I1136" s="227" t="s">
        <v>1635</v>
      </c>
      <c r="J1136" s="227" t="s">
        <v>1428</v>
      </c>
      <c r="K1136" s="227">
        <f>12.5*4</f>
        <v>50</v>
      </c>
      <c r="L1136" s="227"/>
      <c r="M1136" s="227">
        <v>3.3</v>
      </c>
      <c r="N1136" s="232">
        <v>2.96016520521006</v>
      </c>
      <c r="O1136" s="232">
        <f>12.9834841003576</f>
        <v>12.9834841003576</v>
      </c>
      <c r="P1136" s="227"/>
      <c r="Q1136" s="231">
        <v>2.96002441257247</v>
      </c>
      <c r="R1136" s="231">
        <f>SUM(J1136:Q1136)</f>
        <v>72.2036737181401</v>
      </c>
      <c r="S1136" s="229" t="s">
        <v>4001</v>
      </c>
      <c r="T1136" s="226" t="s">
        <v>7730</v>
      </c>
      <c r="U1136" s="283"/>
    </row>
    <row r="1137" spans="1:21">
      <c r="A1137" s="254" t="s">
        <v>7414</v>
      </c>
      <c r="B1137" s="254">
        <v>20250220</v>
      </c>
      <c r="C1137" s="227">
        <v>7.3</v>
      </c>
      <c r="D1137" s="226" t="s">
        <v>7768</v>
      </c>
      <c r="E1137" s="228" t="s">
        <v>2383</v>
      </c>
      <c r="F1137" s="229" t="s">
        <v>7445</v>
      </c>
      <c r="G1137" s="227" t="s">
        <v>7815</v>
      </c>
      <c r="H1137" s="227" t="s">
        <v>4248</v>
      </c>
      <c r="I1137" s="227" t="s">
        <v>1635</v>
      </c>
      <c r="J1137" s="227" t="s">
        <v>1428</v>
      </c>
      <c r="K1137" s="227">
        <f>12.5*4</f>
        <v>50</v>
      </c>
      <c r="L1137" s="227"/>
      <c r="M1137" s="227">
        <v>3.3</v>
      </c>
      <c r="N1137" s="232">
        <v>2.96016520521006</v>
      </c>
      <c r="O1137" s="232">
        <f>12.9834841003576</f>
        <v>12.9834841003576</v>
      </c>
      <c r="P1137" s="227"/>
      <c r="Q1137" s="231">
        <v>2.96002441257247</v>
      </c>
      <c r="R1137" s="231">
        <f>SUM(J1137:Q1137)</f>
        <v>72.2036737181401</v>
      </c>
      <c r="S1137" s="229" t="s">
        <v>4001</v>
      </c>
      <c r="T1137" s="226" t="s">
        <v>7730</v>
      </c>
      <c r="U1137" s="283"/>
    </row>
    <row r="1138" spans="1:21">
      <c r="A1138" s="254" t="s">
        <v>41</v>
      </c>
      <c r="B1138" s="254">
        <v>20241023</v>
      </c>
      <c r="C1138" s="227">
        <v>7.11</v>
      </c>
      <c r="D1138" s="226" t="s">
        <v>187</v>
      </c>
      <c r="E1138" s="228" t="s">
        <v>188</v>
      </c>
      <c r="F1138" s="229"/>
      <c r="G1138" s="227"/>
      <c r="H1138" s="227"/>
      <c r="I1138" s="227"/>
      <c r="J1138" s="227"/>
      <c r="K1138" s="227"/>
      <c r="L1138" s="227"/>
      <c r="M1138" s="227"/>
      <c r="N1138" s="232">
        <v>0.440402561640034</v>
      </c>
      <c r="O1138" s="232">
        <v>1.49158022972025</v>
      </c>
      <c r="P1138" s="227"/>
      <c r="Q1138" s="231">
        <v>0.2</v>
      </c>
      <c r="R1138" s="231">
        <f>SUM(J1138:Q1138)</f>
        <v>2.13198279136028</v>
      </c>
      <c r="S1138" s="229"/>
      <c r="T1138" s="226" t="s">
        <v>7421</v>
      </c>
      <c r="U1138" s="283"/>
    </row>
    <row r="1143" spans="1:21">
      <c r="A1143" s="195" t="s">
        <v>7853</v>
      </c>
      <c r="B1143" s="195"/>
      <c r="C1143" s="195"/>
      <c r="D1143" s="195"/>
      <c r="E1143" s="196"/>
      <c r="F1143" s="196"/>
      <c r="G1143" s="197"/>
      <c r="H1143" s="198"/>
      <c r="I1143" s="198"/>
      <c r="J1143" s="199"/>
      <c r="K1143" s="296"/>
      <c r="L1143" s="296"/>
      <c r="M1143" s="200"/>
      <c r="N1143" s="297"/>
      <c r="O1143" s="201"/>
      <c r="P1143" s="197"/>
      <c r="Q1143" s="202"/>
      <c r="R1143" s="202"/>
      <c r="S1143" s="203"/>
      <c r="T1143" s="80"/>
    </row>
    <row r="1144" spans="1:21">
      <c r="A1144" s="224" t="s">
        <v>1</v>
      </c>
      <c r="B1144" s="224"/>
      <c r="C1144" s="224"/>
      <c r="D1144" s="224"/>
      <c r="E1144" s="75" t="s">
        <v>5</v>
      </c>
      <c r="F1144" s="75" t="s">
        <v>1933</v>
      </c>
      <c r="G1144" s="75" t="s">
        <v>4102</v>
      </c>
      <c r="H1144" s="75" t="s">
        <v>4541</v>
      </c>
      <c r="I1144" s="75" t="s">
        <v>1497</v>
      </c>
      <c r="J1144" s="75" t="s">
        <v>4102</v>
      </c>
      <c r="K1144" s="75" t="s">
        <v>4103</v>
      </c>
      <c r="L1144" s="75" t="s">
        <v>4104</v>
      </c>
      <c r="M1144" s="75" t="s">
        <v>1497</v>
      </c>
      <c r="N1144" s="75" t="s">
        <v>6</v>
      </c>
      <c r="O1144" s="75" t="s">
        <v>7</v>
      </c>
      <c r="P1144" s="75" t="s">
        <v>5211</v>
      </c>
      <c r="Q1144" s="75" t="s">
        <v>8</v>
      </c>
      <c r="R1144" s="75" t="s">
        <v>9</v>
      </c>
      <c r="S1144" s="75" t="s">
        <v>4105</v>
      </c>
      <c r="T1144" s="75" t="s">
        <v>10</v>
      </c>
    </row>
    <row r="1145" spans="1:21">
      <c r="A1145" s="592" t="s">
        <v>989</v>
      </c>
      <c r="B1145" s="254">
        <v>20250305</v>
      </c>
      <c r="C1145" s="227">
        <v>7.25</v>
      </c>
      <c r="D1145" s="226" t="s">
        <v>1017</v>
      </c>
      <c r="E1145" s="228" t="s">
        <v>1018</v>
      </c>
      <c r="F1145" s="229"/>
      <c r="G1145" s="227"/>
      <c r="H1145" s="227"/>
      <c r="I1145" s="227"/>
      <c r="J1145" s="227"/>
      <c r="K1145" s="227" t="s">
        <v>1428</v>
      </c>
      <c r="L1145" s="227"/>
      <c r="M1145" s="227"/>
      <c r="N1145" s="232">
        <v>1.70888007323772</v>
      </c>
      <c r="O1145" s="232">
        <v>2.63619455843759</v>
      </c>
      <c r="P1145" s="227"/>
      <c r="Q1145" s="231">
        <v>0.4</v>
      </c>
      <c r="R1145" s="231">
        <f>SUM(J1145:Q1145)</f>
        <v>4.74507463167531</v>
      </c>
      <c r="S1145" s="229"/>
      <c r="T1145" s="226" t="s">
        <v>7857</v>
      </c>
      <c r="U1145" s="283"/>
    </row>
    <row r="1146" spans="1:21">
      <c r="A1146" s="593"/>
      <c r="B1146" s="254">
        <v>20250305</v>
      </c>
      <c r="C1146" s="227">
        <v>7.25</v>
      </c>
      <c r="D1146" s="226" t="s">
        <v>4649</v>
      </c>
      <c r="E1146" s="228" t="s">
        <v>1565</v>
      </c>
      <c r="F1146" s="229" t="s">
        <v>4074</v>
      </c>
      <c r="G1146" s="227" t="s">
        <v>3542</v>
      </c>
      <c r="H1146" s="227" t="s">
        <v>3425</v>
      </c>
      <c r="I1146" s="227" t="s">
        <v>1784</v>
      </c>
      <c r="J1146" s="227">
        <v>30</v>
      </c>
      <c r="K1146" s="227" t="s">
        <v>1428</v>
      </c>
      <c r="L1146" s="227">
        <v>2.5</v>
      </c>
      <c r="M1146" s="227">
        <v>2.2</v>
      </c>
      <c r="N1146" s="232">
        <v>3.12236801953006</v>
      </c>
      <c r="O1146" s="232">
        <v>10.7667269125517</v>
      </c>
      <c r="P1146" s="227"/>
      <c r="Q1146" s="231">
        <v>3</v>
      </c>
      <c r="R1146" s="231">
        <f>SUM(J1146:Q1146)</f>
        <v>51.5890949320818</v>
      </c>
      <c r="S1146" s="229" t="s">
        <v>3452</v>
      </c>
      <c r="T1146" s="226" t="s">
        <v>4650</v>
      </c>
      <c r="U1146" s="283"/>
    </row>
    <row r="1147" spans="1:21">
      <c r="A1147" s="285"/>
      <c r="B1147" s="254">
        <v>20250305</v>
      </c>
      <c r="C1147" s="227">
        <v>7.25</v>
      </c>
      <c r="D1147" s="226" t="s">
        <v>4651</v>
      </c>
      <c r="E1147" s="228" t="s">
        <v>1617</v>
      </c>
      <c r="F1147" s="229" t="s">
        <v>4074</v>
      </c>
      <c r="G1147" s="227" t="s">
        <v>3457</v>
      </c>
      <c r="H1147" s="227" t="s">
        <v>3670</v>
      </c>
      <c r="I1147" s="227" t="s">
        <v>1784</v>
      </c>
      <c r="J1147" s="227">
        <v>32</v>
      </c>
      <c r="K1147" s="227" t="s">
        <v>1428</v>
      </c>
      <c r="L1147" s="227">
        <v>3.8</v>
      </c>
      <c r="M1147" s="227">
        <v>2.2</v>
      </c>
      <c r="N1147" s="232">
        <v>3.12236801953006</v>
      </c>
      <c r="O1147" s="232">
        <v>11.7146225438853</v>
      </c>
      <c r="P1147" s="227"/>
      <c r="Q1147" s="231">
        <v>3</v>
      </c>
      <c r="R1147" s="231">
        <f>SUM(J1147:Q1147)</f>
        <v>55.8369905634154</v>
      </c>
      <c r="S1147" s="229" t="s">
        <v>3452</v>
      </c>
      <c r="T1147" s="226" t="s">
        <v>7858</v>
      </c>
      <c r="U1147" s="283"/>
    </row>
    <row r="1153" spans="1:21">
      <c r="A1153" s="195" t="s">
        <v>7853</v>
      </c>
      <c r="B1153" s="195"/>
      <c r="C1153" s="195"/>
      <c r="D1153" s="195"/>
      <c r="E1153" s="196"/>
      <c r="F1153" s="196"/>
      <c r="G1153" s="197"/>
      <c r="H1153" s="198"/>
      <c r="I1153" s="198"/>
      <c r="J1153" s="199"/>
      <c r="K1153" s="200"/>
      <c r="L1153" s="200"/>
      <c r="M1153" s="200"/>
      <c r="N1153" s="201"/>
      <c r="O1153" s="201"/>
      <c r="P1153" s="197"/>
      <c r="Q1153" s="202"/>
      <c r="R1153" s="202"/>
      <c r="S1153" s="203"/>
      <c r="T1153" s="80"/>
      <c r="U1153" s="81"/>
    </row>
    <row r="1154" spans="1:21">
      <c r="A1154" s="224" t="s">
        <v>1</v>
      </c>
      <c r="B1154" s="224" t="s">
        <v>2</v>
      </c>
      <c r="C1154" s="224" t="s">
        <v>1493</v>
      </c>
      <c r="D1154" s="206" t="s">
        <v>4</v>
      </c>
      <c r="E1154" s="75" t="s">
        <v>5</v>
      </c>
      <c r="F1154" s="75" t="s">
        <v>1933</v>
      </c>
      <c r="G1154" s="75" t="s">
        <v>4102</v>
      </c>
      <c r="H1154" s="75" t="s">
        <v>4541</v>
      </c>
      <c r="I1154" s="75" t="s">
        <v>1497</v>
      </c>
      <c r="J1154" s="75" t="s">
        <v>4102</v>
      </c>
      <c r="K1154" s="75" t="s">
        <v>4103</v>
      </c>
      <c r="L1154" s="75" t="s">
        <v>4104</v>
      </c>
      <c r="M1154" s="75" t="s">
        <v>1497</v>
      </c>
      <c r="N1154" s="75" t="s">
        <v>6</v>
      </c>
      <c r="O1154" s="75" t="s">
        <v>7</v>
      </c>
      <c r="P1154" s="75" t="s">
        <v>5211</v>
      </c>
      <c r="Q1154" s="75" t="s">
        <v>8</v>
      </c>
      <c r="R1154" s="75" t="s">
        <v>9</v>
      </c>
      <c r="S1154" s="75" t="s">
        <v>4105</v>
      </c>
      <c r="T1154" s="75" t="s">
        <v>10</v>
      </c>
      <c r="U1154" s="327"/>
    </row>
    <row r="1155" spans="1:21">
      <c r="A1155" s="285" t="s">
        <v>7859</v>
      </c>
      <c r="B1155" s="254">
        <v>20241118</v>
      </c>
      <c r="C1155" s="227">
        <v>7.2</v>
      </c>
      <c r="D1155" s="226" t="s">
        <v>3952</v>
      </c>
      <c r="E1155" s="228" t="s">
        <v>1571</v>
      </c>
      <c r="F1155" s="229" t="s">
        <v>3956</v>
      </c>
      <c r="G1155" s="227" t="s">
        <v>3799</v>
      </c>
      <c r="H1155" s="227" t="s">
        <v>1428</v>
      </c>
      <c r="I1155" s="227" t="s">
        <v>1428</v>
      </c>
      <c r="J1155" s="227">
        <v>26</v>
      </c>
      <c r="K1155" s="227" t="s">
        <v>1428</v>
      </c>
      <c r="L1155" s="227" t="s">
        <v>1428</v>
      </c>
      <c r="M1155" s="227" t="s">
        <v>1428</v>
      </c>
      <c r="N1155" s="232">
        <v>2.27378700030516</v>
      </c>
      <c r="O1155" s="232">
        <v>10.3212726580018</v>
      </c>
      <c r="P1155" s="227"/>
      <c r="Q1155" s="231">
        <v>3.03760445682451</v>
      </c>
      <c r="R1155" s="231">
        <v>42.2054506426314</v>
      </c>
      <c r="S1155" s="229" t="s">
        <v>1526</v>
      </c>
      <c r="T1155" s="226" t="s">
        <v>7860</v>
      </c>
      <c r="U1155" s="283"/>
    </row>
    <row r="1156" hidden="1" spans="1:21">
      <c r="A1156" s="285" t="s">
        <v>7859</v>
      </c>
      <c r="B1156" s="254">
        <v>20250102</v>
      </c>
      <c r="C1156" s="227">
        <v>7.3</v>
      </c>
      <c r="D1156" s="226" t="s">
        <v>3955</v>
      </c>
      <c r="E1156" s="228" t="s">
        <v>1685</v>
      </c>
      <c r="F1156" s="229" t="s">
        <v>3956</v>
      </c>
      <c r="G1156" s="227" t="s">
        <v>3794</v>
      </c>
      <c r="H1156" s="227" t="s">
        <v>1428</v>
      </c>
      <c r="I1156" s="227" t="s">
        <v>1428</v>
      </c>
      <c r="J1156" s="227">
        <v>29</v>
      </c>
      <c r="K1156" s="227" t="s">
        <v>1428</v>
      </c>
      <c r="L1156" s="227" t="s">
        <v>1428</v>
      </c>
      <c r="M1156" s="227" t="s">
        <v>1428</v>
      </c>
      <c r="N1156" s="232">
        <v>2.27378700030516</v>
      </c>
      <c r="O1156" s="232">
        <v>11.6488939673651</v>
      </c>
      <c r="P1156" s="227"/>
      <c r="Q1156" s="231">
        <v>3.03760445682451</v>
      </c>
      <c r="R1156" s="231">
        <v>45.944711540931</v>
      </c>
      <c r="S1156" s="229" t="s">
        <v>1526</v>
      </c>
      <c r="T1156" s="226" t="s">
        <v>3957</v>
      </c>
      <c r="U1156" s="283"/>
    </row>
    <row r="1157" spans="1:21">
      <c r="A1157" s="285" t="s">
        <v>7859</v>
      </c>
      <c r="B1157" s="254">
        <v>20250306</v>
      </c>
      <c r="C1157" s="227">
        <v>7.28</v>
      </c>
      <c r="D1157" s="226" t="s">
        <v>3467</v>
      </c>
      <c r="E1157" s="228" t="s">
        <v>1669</v>
      </c>
      <c r="F1157" s="229" t="s">
        <v>3956</v>
      </c>
      <c r="G1157" s="227" t="s">
        <v>3799</v>
      </c>
      <c r="H1157" s="227"/>
      <c r="I1157" s="227"/>
      <c r="J1157" s="227">
        <v>26</v>
      </c>
      <c r="K1157" s="227"/>
      <c r="L1157" s="227"/>
      <c r="M1157" s="227"/>
      <c r="N1157" s="232">
        <v>2.27378700030516</v>
      </c>
      <c r="O1157" s="232">
        <v>10.3069130691426</v>
      </c>
      <c r="P1157" s="227"/>
      <c r="Q1157" s="231">
        <v>3.03760445682451</v>
      </c>
      <c r="R1157" s="231">
        <f>SUM(J1157:Q1157)</f>
        <v>41.6183045262723</v>
      </c>
      <c r="S1157" s="229" t="s">
        <v>1526</v>
      </c>
      <c r="T1157" s="226" t="s">
        <v>3958</v>
      </c>
      <c r="U1157" s="283"/>
    </row>
    <row r="1158" spans="1:21">
      <c r="A1158" s="285" t="s">
        <v>7859</v>
      </c>
      <c r="B1158" s="254"/>
      <c r="C1158" s="227"/>
      <c r="D1158" s="226"/>
      <c r="E1158" s="228" t="s">
        <v>937</v>
      </c>
      <c r="F1158" s="229"/>
      <c r="G1158" s="227"/>
      <c r="H1158" s="227"/>
      <c r="I1158" s="227"/>
      <c r="J1158" s="227"/>
      <c r="K1158" s="227"/>
      <c r="L1158" s="227"/>
      <c r="M1158" s="227"/>
      <c r="N1158" s="232">
        <v>0.321025328043943</v>
      </c>
      <c r="O1158" s="232">
        <v>0.847081800732377</v>
      </c>
      <c r="P1158" s="227" t="s">
        <v>1428</v>
      </c>
      <c r="Q1158" s="231">
        <v>0.2</v>
      </c>
      <c r="R1158" s="231">
        <f>SUM(J1158:Q1158)</f>
        <v>1.36810712877632</v>
      </c>
      <c r="S1158" s="229"/>
      <c r="T1158" s="226"/>
      <c r="U1158" s="283"/>
    </row>
    <row r="1159" spans="1:21">
      <c r="A1159" s="182" t="s">
        <v>7411</v>
      </c>
    </row>
    <row r="1160" spans="1:21">
      <c r="A1160" s="195" t="s">
        <v>7853</v>
      </c>
      <c r="B1160" s="195"/>
      <c r="C1160" s="195"/>
      <c r="D1160" s="195"/>
      <c r="E1160" s="196"/>
      <c r="F1160" s="196"/>
      <c r="G1160" s="197"/>
      <c r="H1160" s="198"/>
      <c r="I1160" s="198"/>
      <c r="J1160" s="199"/>
      <c r="K1160" s="200"/>
      <c r="L1160" s="200"/>
      <c r="M1160" s="200"/>
      <c r="N1160" s="201"/>
      <c r="O1160" s="201"/>
      <c r="P1160" s="197"/>
      <c r="Q1160" s="202"/>
      <c r="R1160" s="202"/>
      <c r="S1160" s="203"/>
      <c r="T1160" s="80"/>
      <c r="U1160" s="81"/>
    </row>
    <row r="1161" spans="1:21">
      <c r="A1161" s="224" t="s">
        <v>1</v>
      </c>
      <c r="B1161" s="224" t="s">
        <v>2</v>
      </c>
      <c r="C1161" s="224" t="s">
        <v>1493</v>
      </c>
      <c r="D1161" s="206" t="s">
        <v>4</v>
      </c>
      <c r="E1161" s="75" t="s">
        <v>5</v>
      </c>
      <c r="F1161" s="75" t="s">
        <v>1933</v>
      </c>
      <c r="G1161" s="75" t="s">
        <v>4102</v>
      </c>
      <c r="H1161" s="75" t="s">
        <v>4541</v>
      </c>
      <c r="I1161" s="75" t="s">
        <v>1497</v>
      </c>
      <c r="J1161" s="75" t="s">
        <v>4102</v>
      </c>
      <c r="K1161" s="75" t="s">
        <v>4103</v>
      </c>
      <c r="L1161" s="75" t="s">
        <v>4104</v>
      </c>
      <c r="M1161" s="75" t="s">
        <v>1497</v>
      </c>
      <c r="N1161" s="75" t="s">
        <v>6</v>
      </c>
      <c r="O1161" s="75" t="s">
        <v>7</v>
      </c>
      <c r="P1161" s="75" t="s">
        <v>5211</v>
      </c>
      <c r="Q1161" s="75" t="s">
        <v>8</v>
      </c>
      <c r="R1161" s="75" t="s">
        <v>9</v>
      </c>
      <c r="S1161" s="75" t="s">
        <v>4105</v>
      </c>
      <c r="T1161" s="75" t="s">
        <v>10</v>
      </c>
      <c r="U1161" s="327"/>
    </row>
    <row r="1162" spans="1:21">
      <c r="A1162" s="285" t="s">
        <v>7859</v>
      </c>
      <c r="B1162" s="254">
        <v>20241118</v>
      </c>
      <c r="C1162" s="227">
        <v>7.2</v>
      </c>
      <c r="D1162" s="226" t="s">
        <v>3952</v>
      </c>
      <c r="E1162" s="228" t="s">
        <v>1571</v>
      </c>
      <c r="F1162" s="229" t="s">
        <v>3956</v>
      </c>
      <c r="G1162" s="227" t="s">
        <v>3799</v>
      </c>
      <c r="H1162" s="227" t="s">
        <v>1428</v>
      </c>
      <c r="I1162" s="227" t="s">
        <v>1428</v>
      </c>
      <c r="J1162" s="227">
        <v>26</v>
      </c>
      <c r="K1162" s="227" t="s">
        <v>1428</v>
      </c>
      <c r="L1162" s="227" t="s">
        <v>1428</v>
      </c>
      <c r="M1162" s="227" t="s">
        <v>1428</v>
      </c>
      <c r="N1162" s="232">
        <v>2.27378700030516</v>
      </c>
      <c r="O1162" s="230">
        <v>10.0138082258591</v>
      </c>
      <c r="P1162" s="227" t="s">
        <v>1428</v>
      </c>
      <c r="Q1162" s="257">
        <v>2.49</v>
      </c>
      <c r="R1162" s="231">
        <f>SUM(J1162:Q1162)</f>
        <v>40.7775952261643</v>
      </c>
      <c r="S1162" s="229" t="s">
        <v>1526</v>
      </c>
      <c r="T1162" s="226" t="s">
        <v>7860</v>
      </c>
      <c r="U1162" s="283"/>
    </row>
    <row r="1163" spans="1:21">
      <c r="A1163" s="227" t="s">
        <v>7859</v>
      </c>
      <c r="B1163" s="254">
        <v>20250306</v>
      </c>
      <c r="C1163" s="227">
        <v>7.28</v>
      </c>
      <c r="D1163" s="226" t="s">
        <v>3467</v>
      </c>
      <c r="E1163" s="228" t="s">
        <v>1669</v>
      </c>
      <c r="F1163" s="229" t="s">
        <v>3956</v>
      </c>
      <c r="G1163" s="227" t="s">
        <v>3799</v>
      </c>
      <c r="H1163" s="227" t="s">
        <v>1428</v>
      </c>
      <c r="I1163" s="227" t="s">
        <v>1428</v>
      </c>
      <c r="J1163" s="227">
        <v>26</v>
      </c>
      <c r="K1163" s="227" t="s">
        <v>1428</v>
      </c>
      <c r="L1163" s="227" t="s">
        <v>1428</v>
      </c>
      <c r="M1163" s="227" t="s">
        <v>1428</v>
      </c>
      <c r="N1163" s="232">
        <v>2.27378700030516</v>
      </c>
      <c r="O1163" s="230">
        <v>10.0852181042357</v>
      </c>
      <c r="P1163" s="227" t="s">
        <v>1428</v>
      </c>
      <c r="Q1163" s="257">
        <v>2.49</v>
      </c>
      <c r="R1163" s="231">
        <f>SUM(J1163:Q1163)</f>
        <v>40.8490051045409</v>
      </c>
      <c r="S1163" s="229" t="s">
        <v>1526</v>
      </c>
      <c r="T1163" s="226" t="s">
        <v>3958</v>
      </c>
      <c r="U1163" s="283"/>
    </row>
    <row r="1164" spans="1:21">
      <c r="A1164" s="227" t="s">
        <v>7859</v>
      </c>
      <c r="B1164" s="254"/>
      <c r="C1164" s="227"/>
      <c r="D1164" s="226"/>
      <c r="E1164" s="228" t="s">
        <v>937</v>
      </c>
      <c r="F1164" s="229"/>
      <c r="G1164" s="227"/>
      <c r="H1164" s="227"/>
      <c r="I1164" s="227"/>
      <c r="J1164" s="227"/>
      <c r="K1164" s="227"/>
      <c r="L1164" s="227"/>
      <c r="M1164" s="227"/>
      <c r="N1164" s="230">
        <v>0.325907842538908</v>
      </c>
      <c r="O1164" s="230">
        <v>0.771641786084834</v>
      </c>
      <c r="P1164" s="227"/>
      <c r="Q1164" s="231">
        <v>0.2</v>
      </c>
      <c r="R1164" s="231">
        <f>SUM(J1164:Q1164)</f>
        <v>1.29754962862374</v>
      </c>
      <c r="S1164" s="229"/>
      <c r="T1164" s="226"/>
      <c r="U1164" s="283"/>
    </row>
    <row r="1165" spans="1:21">
      <c r="A1165" s="182" t="s">
        <v>7413</v>
      </c>
    </row>
    <row r="1166" spans="1:21">
      <c r="K1166" s="594" t="s">
        <v>7861</v>
      </c>
      <c r="L1166" s="595" t="s">
        <v>7862</v>
      </c>
      <c r="N1166" s="594" t="s">
        <v>1571</v>
      </c>
      <c r="O1166" s="595" t="s">
        <v>7862</v>
      </c>
      <c r="Q1166" s="594" t="s">
        <v>1669</v>
      </c>
      <c r="R1166" s="595" t="s">
        <v>7862</v>
      </c>
    </row>
    <row r="1167" spans="1:21">
      <c r="K1167" s="594" t="s">
        <v>7822</v>
      </c>
      <c r="L1167" s="590">
        <f>N1158+O1158+Q1158</f>
        <v>1.36810712877632</v>
      </c>
      <c r="N1167" s="594" t="s">
        <v>7822</v>
      </c>
      <c r="O1167" s="590">
        <f>N1155+O1155+Q1155</f>
        <v>15.6326641151315</v>
      </c>
      <c r="Q1167" s="594" t="s">
        <v>7822</v>
      </c>
      <c r="R1167" s="590">
        <f>N1157+O1157+Q1157</f>
        <v>15.6183045262723</v>
      </c>
    </row>
    <row r="1168" spans="1:21">
      <c r="K1168" s="594" t="s">
        <v>7823</v>
      </c>
      <c r="L1168" s="590">
        <f>N1164+O1164+Q1164</f>
        <v>1.29754962862374</v>
      </c>
      <c r="N1168" s="594" t="s">
        <v>7823</v>
      </c>
      <c r="O1168" s="590">
        <f>N1162+O1162+Q1162</f>
        <v>14.7775952261643</v>
      </c>
      <c r="Q1168" s="594" t="s">
        <v>7823</v>
      </c>
      <c r="R1168" s="590">
        <f>+N1163+O1163+Q1163</f>
        <v>14.8490051045409</v>
      </c>
    </row>
    <row r="1169" spans="1:21">
      <c r="K1169" s="594" t="s">
        <v>7863</v>
      </c>
      <c r="L1169" s="590">
        <f>L1167-L1168</f>
        <v>0.0705575001525787</v>
      </c>
      <c r="N1169" s="594" t="s">
        <v>7863</v>
      </c>
      <c r="O1169" s="590">
        <f>O1167-O1168</f>
        <v>0.855068888967169</v>
      </c>
      <c r="Q1169" s="594" t="s">
        <v>7863</v>
      </c>
      <c r="R1169" s="590">
        <f>R1167-R1168</f>
        <v>0.769299421731413</v>
      </c>
    </row>
    <row r="1170" spans="1:21">
      <c r="N1170" s="596"/>
      <c r="O1170" s="596"/>
    </row>
    <row r="1177" spans="1:21">
      <c r="A1177" s="195" t="s">
        <v>7853</v>
      </c>
      <c r="B1177" s="195"/>
      <c r="C1177" s="195"/>
      <c r="D1177" s="195"/>
      <c r="E1177" s="75" t="s">
        <v>5</v>
      </c>
      <c r="F1177" s="196"/>
      <c r="G1177" s="197"/>
      <c r="H1177" s="198"/>
      <c r="I1177" s="198"/>
      <c r="J1177" s="199"/>
      <c r="K1177" s="200"/>
      <c r="L1177" s="296"/>
      <c r="M1177" s="200"/>
      <c r="N1177" s="201"/>
      <c r="O1177" s="201"/>
      <c r="P1177" s="197"/>
      <c r="Q1177" s="202"/>
      <c r="R1177" s="202"/>
      <c r="S1177" s="203"/>
      <c r="T1177" s="80"/>
    </row>
    <row r="1178" spans="1:21">
      <c r="A1178" s="50" t="s">
        <v>1</v>
      </c>
      <c r="B1178" s="265" t="s">
        <v>2</v>
      </c>
      <c r="C1178" s="265" t="s">
        <v>1493</v>
      </c>
      <c r="D1178" s="265" t="s">
        <v>4</v>
      </c>
      <c r="F1178" s="75" t="s">
        <v>1933</v>
      </c>
      <c r="G1178" s="75" t="s">
        <v>4102</v>
      </c>
      <c r="H1178" s="75" t="s">
        <v>4541</v>
      </c>
      <c r="I1178" s="75" t="s">
        <v>1497</v>
      </c>
      <c r="J1178" s="75" t="s">
        <v>4102</v>
      </c>
      <c r="K1178" s="75" t="s">
        <v>4103</v>
      </c>
      <c r="L1178" s="75" t="s">
        <v>4104</v>
      </c>
      <c r="M1178" s="75" t="s">
        <v>1497</v>
      </c>
      <c r="N1178" s="75" t="s">
        <v>6</v>
      </c>
      <c r="O1178" s="75" t="s">
        <v>7</v>
      </c>
      <c r="P1178" s="75" t="s">
        <v>5211</v>
      </c>
      <c r="Q1178" s="75" t="s">
        <v>8</v>
      </c>
      <c r="R1178" s="75" t="s">
        <v>9</v>
      </c>
      <c r="S1178" s="75" t="s">
        <v>4105</v>
      </c>
      <c r="T1178" s="75" t="s">
        <v>10</v>
      </c>
    </row>
    <row r="1179" spans="1:21">
      <c r="A1179" s="227" t="s">
        <v>973</v>
      </c>
      <c r="B1179" s="226"/>
      <c r="C1179" s="227"/>
      <c r="D1179" s="226" t="s">
        <v>977</v>
      </c>
      <c r="E1179" s="228" t="s">
        <v>978</v>
      </c>
      <c r="F1179" s="229"/>
      <c r="G1179" s="227"/>
      <c r="H1179" s="227"/>
      <c r="I1179" s="227"/>
      <c r="J1179" s="227"/>
      <c r="K1179" s="227"/>
      <c r="L1179" s="227"/>
      <c r="M1179" s="227"/>
      <c r="N1179" s="232">
        <v>0.0277817023517474</v>
      </c>
      <c r="O1179" s="232">
        <v>0.194130113077679</v>
      </c>
      <c r="P1179" s="227" t="s">
        <v>1428</v>
      </c>
      <c r="Q1179" s="231">
        <v>0.2</v>
      </c>
      <c r="R1179" s="231">
        <v>0.421911815429426</v>
      </c>
      <c r="S1179" s="229"/>
      <c r="T1179" s="226"/>
      <c r="U1179" s="283"/>
    </row>
    <row r="1180" spans="1:21">
      <c r="A1180" s="227" t="s">
        <v>632</v>
      </c>
      <c r="B1180" s="226"/>
      <c r="C1180" s="227"/>
      <c r="D1180" s="226"/>
      <c r="E1180" s="228" t="s">
        <v>633</v>
      </c>
      <c r="F1180" s="229"/>
      <c r="G1180" s="227"/>
      <c r="H1180" s="227"/>
      <c r="I1180" s="227"/>
      <c r="J1180" s="227"/>
      <c r="K1180" s="227"/>
      <c r="L1180" s="227"/>
      <c r="M1180" s="227"/>
      <c r="N1180" s="232">
        <v>0.0983284169124877</v>
      </c>
      <c r="O1180" s="232">
        <v>0.626250921828909</v>
      </c>
      <c r="P1180" s="227" t="s">
        <v>1428</v>
      </c>
      <c r="Q1180" s="231">
        <v>0.2</v>
      </c>
      <c r="R1180" s="231">
        <f>SUM(J1180:Q1180)</f>
        <v>0.924579338741397</v>
      </c>
      <c r="S1180" s="229"/>
      <c r="T1180" s="226"/>
      <c r="U1180" s="283"/>
    </row>
    <row r="1184" spans="1:21">
      <c r="A1184" s="195" t="s">
        <v>7796</v>
      </c>
      <c r="B1184" s="195"/>
      <c r="C1184" s="195"/>
      <c r="D1184" s="195"/>
      <c r="E1184" s="196"/>
      <c r="F1184" s="196"/>
      <c r="G1184" s="197"/>
      <c r="H1184" s="198"/>
      <c r="I1184" s="198"/>
      <c r="J1184" s="199"/>
      <c r="K1184" s="200"/>
      <c r="L1184" s="200"/>
      <c r="M1184" s="200"/>
      <c r="N1184" s="201"/>
      <c r="O1184" s="201"/>
      <c r="P1184" s="197"/>
      <c r="Q1184" s="202"/>
      <c r="R1184" s="202"/>
      <c r="S1184" s="203"/>
      <c r="T1184" s="80"/>
    </row>
    <row r="1185" spans="1:21">
      <c r="A1185" s="224" t="s">
        <v>1</v>
      </c>
      <c r="B1185" s="224" t="s">
        <v>2</v>
      </c>
      <c r="C1185" s="224" t="s">
        <v>1493</v>
      </c>
      <c r="D1185" s="224" t="s">
        <v>4</v>
      </c>
      <c r="E1185" s="75" t="s">
        <v>5</v>
      </c>
      <c r="F1185" s="274" t="s">
        <v>1933</v>
      </c>
      <c r="G1185" s="75" t="s">
        <v>4102</v>
      </c>
      <c r="H1185" s="75" t="s">
        <v>4541</v>
      </c>
      <c r="I1185" s="75" t="s">
        <v>1497</v>
      </c>
      <c r="J1185" s="75" t="s">
        <v>4102</v>
      </c>
      <c r="K1185" s="75" t="s">
        <v>4103</v>
      </c>
      <c r="L1185" s="75" t="s">
        <v>4104</v>
      </c>
      <c r="M1185" s="75" t="s">
        <v>1497</v>
      </c>
      <c r="N1185" s="75" t="s">
        <v>6</v>
      </c>
      <c r="O1185" s="75" t="s">
        <v>7</v>
      </c>
      <c r="P1185" s="75" t="s">
        <v>5211</v>
      </c>
      <c r="Q1185" s="75" t="s">
        <v>8</v>
      </c>
      <c r="R1185" s="75" t="s">
        <v>9</v>
      </c>
      <c r="S1185" s="75" t="s">
        <v>4105</v>
      </c>
      <c r="T1185" s="75" t="s">
        <v>10</v>
      </c>
    </row>
    <row r="1186" spans="1:21">
      <c r="A1186" s="227" t="s">
        <v>350</v>
      </c>
      <c r="B1186" s="226">
        <v>20241024</v>
      </c>
      <c r="C1186" s="227">
        <v>7.11</v>
      </c>
      <c r="D1186" s="226" t="s">
        <v>2885</v>
      </c>
      <c r="E1186" s="228" t="s">
        <v>2306</v>
      </c>
      <c r="F1186" s="229" t="s">
        <v>2801</v>
      </c>
      <c r="G1186" s="227" t="s">
        <v>2886</v>
      </c>
      <c r="H1186" s="227" t="s">
        <v>1913</v>
      </c>
      <c r="I1186" s="227"/>
      <c r="J1186" s="227" t="s">
        <v>1428</v>
      </c>
      <c r="K1186" s="227"/>
      <c r="L1186" s="227"/>
      <c r="M1186" s="227"/>
      <c r="N1186" s="232">
        <v>4.64136071445996</v>
      </c>
      <c r="O1186" s="232">
        <v>27.6128933406032</v>
      </c>
      <c r="P1186" s="227" t="s">
        <v>1428</v>
      </c>
      <c r="Q1186" s="231">
        <v>3.81</v>
      </c>
      <c r="R1186" s="231">
        <v>36.0642540550632</v>
      </c>
      <c r="S1186" s="229" t="s">
        <v>1526</v>
      </c>
      <c r="T1186" s="226" t="s">
        <v>7864</v>
      </c>
      <c r="U1186" s="283"/>
    </row>
    <row r="1193" spans="1:21">
      <c r="A1193" s="195" t="s">
        <v>7853</v>
      </c>
      <c r="B1193" s="195"/>
      <c r="C1193" s="195"/>
      <c r="D1193" s="195"/>
      <c r="E1193" s="196"/>
      <c r="F1193" s="196"/>
      <c r="G1193" s="197"/>
      <c r="H1193" s="198"/>
      <c r="I1193" s="198"/>
      <c r="J1193" s="199"/>
      <c r="K1193" s="200"/>
      <c r="L1193" s="296"/>
      <c r="M1193" s="200"/>
      <c r="N1193" s="201"/>
      <c r="O1193" s="201"/>
      <c r="P1193" s="197"/>
      <c r="Q1193" s="202"/>
      <c r="R1193" s="202"/>
      <c r="S1193" s="203"/>
      <c r="T1193" s="80"/>
      <c r="U1193" s="81"/>
    </row>
    <row r="1194" spans="1:21">
      <c r="A1194" s="50" t="s">
        <v>1</v>
      </c>
      <c r="B1194" s="265" t="s">
        <v>2</v>
      </c>
      <c r="C1194" s="265" t="s">
        <v>1493</v>
      </c>
      <c r="D1194" s="265" t="s">
        <v>4</v>
      </c>
      <c r="E1194" s="75" t="s">
        <v>5</v>
      </c>
      <c r="F1194" s="75" t="s">
        <v>1933</v>
      </c>
      <c r="G1194" s="75" t="s">
        <v>4102</v>
      </c>
      <c r="H1194" s="75" t="s">
        <v>4541</v>
      </c>
      <c r="I1194" s="75" t="s">
        <v>1497</v>
      </c>
      <c r="J1194" s="75" t="s">
        <v>4102</v>
      </c>
      <c r="K1194" s="75" t="s">
        <v>4103</v>
      </c>
      <c r="L1194" s="75" t="s">
        <v>4104</v>
      </c>
      <c r="M1194" s="75" t="s">
        <v>1497</v>
      </c>
      <c r="N1194" s="75" t="s">
        <v>6</v>
      </c>
      <c r="O1194" s="75" t="s">
        <v>7</v>
      </c>
      <c r="P1194" s="75" t="s">
        <v>5211</v>
      </c>
      <c r="Q1194" s="75" t="s">
        <v>8</v>
      </c>
      <c r="R1194" s="75" t="s">
        <v>9</v>
      </c>
      <c r="S1194" s="75" t="s">
        <v>4105</v>
      </c>
      <c r="T1194" s="75" t="s">
        <v>10</v>
      </c>
      <c r="U1194" s="436"/>
    </row>
    <row r="1195" spans="1:21">
      <c r="A1195" s="227" t="s">
        <v>3386</v>
      </c>
      <c r="B1195" s="226">
        <v>20241220</v>
      </c>
      <c r="C1195" s="227">
        <v>7.3</v>
      </c>
      <c r="D1195" s="226" t="s">
        <v>7865</v>
      </c>
      <c r="E1195" s="228" t="s">
        <v>1629</v>
      </c>
      <c r="F1195" s="229" t="s">
        <v>4074</v>
      </c>
      <c r="G1195" s="227" t="s">
        <v>3542</v>
      </c>
      <c r="H1195" s="227" t="s">
        <v>1428</v>
      </c>
      <c r="I1195" s="227" t="s">
        <v>1428</v>
      </c>
      <c r="J1195" s="227">
        <v>30</v>
      </c>
      <c r="K1195" s="227" t="s">
        <v>1428</v>
      </c>
      <c r="L1195" s="227" t="s">
        <v>1428</v>
      </c>
      <c r="M1195" s="227" t="s">
        <v>1428</v>
      </c>
      <c r="N1195" s="232">
        <v>3</v>
      </c>
      <c r="O1195" s="232">
        <v>10.3181831609045</v>
      </c>
      <c r="P1195" s="227"/>
      <c r="Q1195" s="231">
        <v>3</v>
      </c>
      <c r="R1195" s="231">
        <v>45.1006061087226</v>
      </c>
      <c r="S1195" s="229" t="s">
        <v>1526</v>
      </c>
      <c r="T1195" s="226" t="s">
        <v>7866</v>
      </c>
      <c r="U1195" s="283"/>
    </row>
    <row r="1196" spans="1:21">
      <c r="A1196" s="227" t="s">
        <v>3386</v>
      </c>
      <c r="B1196" s="226">
        <v>20250306</v>
      </c>
      <c r="C1196" s="227">
        <v>7.25</v>
      </c>
      <c r="D1196" s="226" t="s">
        <v>4037</v>
      </c>
      <c r="E1196" s="228" t="s">
        <v>1685</v>
      </c>
      <c r="F1196" s="229" t="s">
        <v>4074</v>
      </c>
      <c r="G1196" s="227" t="s">
        <v>3542</v>
      </c>
      <c r="H1196" s="227" t="s">
        <v>1428</v>
      </c>
      <c r="I1196" s="227" t="s">
        <v>1428</v>
      </c>
      <c r="J1196" s="227">
        <v>30</v>
      </c>
      <c r="K1196" s="227" t="s">
        <v>1428</v>
      </c>
      <c r="L1196" s="227" t="s">
        <v>1428</v>
      </c>
      <c r="M1196" s="227" t="s">
        <v>1428</v>
      </c>
      <c r="N1196" s="232">
        <v>3</v>
      </c>
      <c r="O1196" s="232">
        <v>10.4302214694672</v>
      </c>
      <c r="P1196" s="227"/>
      <c r="Q1196" s="231">
        <v>3</v>
      </c>
      <c r="R1196" s="231">
        <f>SUM(J1196:Q1196)</f>
        <v>46.4302214694672</v>
      </c>
      <c r="S1196" s="229" t="s">
        <v>1526</v>
      </c>
      <c r="T1196" s="226" t="s">
        <v>4038</v>
      </c>
      <c r="U1196" s="283"/>
    </row>
    <row r="1200" spans="1:21">
      <c r="A1200" s="195" t="s">
        <v>7853</v>
      </c>
      <c r="B1200" s="195"/>
      <c r="C1200" s="195"/>
      <c r="D1200" s="195"/>
      <c r="E1200" s="196"/>
      <c r="F1200" s="196"/>
      <c r="G1200" s="197"/>
      <c r="H1200" s="198"/>
      <c r="I1200" s="198"/>
      <c r="J1200" s="199"/>
      <c r="K1200" s="200"/>
      <c r="L1200" s="296"/>
      <c r="M1200" s="200"/>
      <c r="N1200" s="201"/>
      <c r="O1200" s="201"/>
      <c r="P1200" s="197"/>
      <c r="Q1200" s="202"/>
      <c r="R1200" s="202"/>
      <c r="S1200" s="203"/>
      <c r="T1200" s="80"/>
      <c r="U1200" s="81"/>
    </row>
    <row r="1201" spans="1:21">
      <c r="A1201" s="50" t="s">
        <v>1</v>
      </c>
      <c r="B1201" s="265" t="s">
        <v>2</v>
      </c>
      <c r="C1201" s="265" t="s">
        <v>1493</v>
      </c>
      <c r="D1201" s="265" t="s">
        <v>4</v>
      </c>
      <c r="E1201" s="75" t="s">
        <v>5</v>
      </c>
      <c r="F1201" s="75" t="s">
        <v>1933</v>
      </c>
      <c r="G1201" s="75" t="s">
        <v>4102</v>
      </c>
      <c r="H1201" s="75" t="s">
        <v>4541</v>
      </c>
      <c r="I1201" s="75" t="s">
        <v>1497</v>
      </c>
      <c r="J1201" s="75" t="s">
        <v>4102</v>
      </c>
      <c r="K1201" s="75" t="s">
        <v>4103</v>
      </c>
      <c r="L1201" s="75" t="s">
        <v>4104</v>
      </c>
      <c r="M1201" s="75" t="s">
        <v>1497</v>
      </c>
      <c r="N1201" s="75" t="s">
        <v>6</v>
      </c>
      <c r="O1201" s="75" t="s">
        <v>7</v>
      </c>
      <c r="P1201" s="75" t="s">
        <v>5211</v>
      </c>
      <c r="Q1201" s="75" t="s">
        <v>8</v>
      </c>
      <c r="R1201" s="75" t="s">
        <v>9</v>
      </c>
      <c r="S1201" s="75" t="s">
        <v>4105</v>
      </c>
      <c r="T1201" s="75" t="s">
        <v>10</v>
      </c>
      <c r="U1201" s="436"/>
    </row>
    <row r="1202" spans="1:21">
      <c r="A1202" s="227" t="s">
        <v>3386</v>
      </c>
      <c r="B1202" s="226">
        <v>20241220</v>
      </c>
      <c r="C1202" s="227">
        <v>7.3</v>
      </c>
      <c r="D1202" s="226" t="s">
        <v>7865</v>
      </c>
      <c r="E1202" s="228" t="s">
        <v>1629</v>
      </c>
      <c r="F1202" s="229" t="s">
        <v>4074</v>
      </c>
      <c r="G1202" s="227" t="s">
        <v>3542</v>
      </c>
      <c r="H1202" s="227" t="s">
        <v>1428</v>
      </c>
      <c r="I1202" s="227" t="s">
        <v>1428</v>
      </c>
      <c r="J1202" s="227">
        <v>30</v>
      </c>
      <c r="K1202" s="227" t="s">
        <v>1428</v>
      </c>
      <c r="L1202" s="227" t="s">
        <v>1428</v>
      </c>
      <c r="M1202" s="227" t="s">
        <v>1428</v>
      </c>
      <c r="N1202" s="230">
        <v>2.51205370765944</v>
      </c>
      <c r="O1202" s="232">
        <v>10.3181831609045</v>
      </c>
      <c r="P1202" s="227"/>
      <c r="Q1202" s="257">
        <v>2.27036924015868</v>
      </c>
      <c r="R1202" s="231">
        <v>45.1006061087226</v>
      </c>
      <c r="S1202" s="229" t="s">
        <v>1526</v>
      </c>
      <c r="T1202" s="226" t="s">
        <v>7866</v>
      </c>
      <c r="U1202" s="283"/>
    </row>
    <row r="1203" spans="1:21">
      <c r="A1203" s="227" t="s">
        <v>3386</v>
      </c>
      <c r="B1203" s="226">
        <v>20250306</v>
      </c>
      <c r="C1203" s="227">
        <v>7.25</v>
      </c>
      <c r="D1203" s="226" t="s">
        <v>4037</v>
      </c>
      <c r="E1203" s="284" t="s">
        <v>1685</v>
      </c>
      <c r="F1203" s="229" t="s">
        <v>4074</v>
      </c>
      <c r="G1203" s="227" t="s">
        <v>3542</v>
      </c>
      <c r="H1203" s="227" t="s">
        <v>1428</v>
      </c>
      <c r="I1203" s="227" t="s">
        <v>1428</v>
      </c>
      <c r="J1203" s="227">
        <v>30</v>
      </c>
      <c r="K1203" s="227" t="s">
        <v>1428</v>
      </c>
      <c r="L1203" s="227" t="s">
        <v>1428</v>
      </c>
      <c r="M1203" s="227" t="s">
        <v>1428</v>
      </c>
      <c r="N1203" s="230">
        <v>2.51205370765944</v>
      </c>
      <c r="O1203" s="232">
        <v>10.4302214694672</v>
      </c>
      <c r="P1203" s="227"/>
      <c r="Q1203" s="257">
        <f>18.6/7.25/1.13</f>
        <v>2.27036924015868</v>
      </c>
      <c r="R1203" s="231">
        <f>SUM(J1203:Q1203)</f>
        <v>45.2126444172853</v>
      </c>
      <c r="S1203" s="229" t="s">
        <v>1526</v>
      </c>
      <c r="T1203" s="226" t="s">
        <v>4038</v>
      </c>
      <c r="U1203" s="283"/>
    </row>
    <row r="1209" spans="1:21">
      <c r="L1209" s="594" t="s">
        <v>1629</v>
      </c>
      <c r="M1209" s="595" t="s">
        <v>7862</v>
      </c>
      <c r="O1209" s="594" t="s">
        <v>1685</v>
      </c>
      <c r="P1209" s="595" t="s">
        <v>7862</v>
      </c>
    </row>
    <row r="1210" spans="1:21">
      <c r="L1210" s="594" t="s">
        <v>7822</v>
      </c>
      <c r="M1210" s="590">
        <f>N1195+O1195+Q1195</f>
        <v>16.3181831609045</v>
      </c>
      <c r="O1210" s="594" t="s">
        <v>7822</v>
      </c>
      <c r="P1210" s="590">
        <f>N1196+O1196+Q1196</f>
        <v>16.4302214694672</v>
      </c>
    </row>
    <row r="1211" spans="1:21">
      <c r="L1211" s="594" t="s">
        <v>7823</v>
      </c>
      <c r="M1211" s="590">
        <f>N1202+O1202+Q1202</f>
        <v>15.1006061087226</v>
      </c>
      <c r="O1211" s="594" t="s">
        <v>7823</v>
      </c>
      <c r="P1211" s="590">
        <f>N1203+O1203+Q1203</f>
        <v>15.2126444172853</v>
      </c>
    </row>
    <row r="1212" spans="1:21">
      <c r="L1212" s="594" t="s">
        <v>7863</v>
      </c>
      <c r="M1212" s="590">
        <f>M1210-M1211</f>
        <v>1.21757705218188</v>
      </c>
      <c r="O1212" s="594" t="s">
        <v>7863</v>
      </c>
      <c r="P1212" s="590">
        <f>P1210-P1211</f>
        <v>1.21757705218187</v>
      </c>
    </row>
    <row r="1213" spans="1:21">
      <c r="A1213" s="195" t="s">
        <v>7853</v>
      </c>
      <c r="B1213" s="195"/>
      <c r="C1213" s="195"/>
      <c r="D1213" s="195"/>
      <c r="E1213" s="196"/>
      <c r="F1213" s="196"/>
      <c r="G1213" s="197"/>
      <c r="H1213" s="198"/>
      <c r="I1213" s="198"/>
      <c r="J1213" s="199"/>
      <c r="K1213" s="200"/>
      <c r="L1213" s="296"/>
      <c r="M1213" s="200"/>
      <c r="N1213" s="201"/>
      <c r="O1213" s="201"/>
      <c r="P1213" s="197"/>
      <c r="Q1213" s="202"/>
      <c r="R1213" s="202"/>
      <c r="S1213" s="203"/>
      <c r="T1213" s="80"/>
    </row>
    <row r="1214" spans="1:21">
      <c r="A1214" s="50" t="s">
        <v>1</v>
      </c>
      <c r="B1214" s="265" t="s">
        <v>2</v>
      </c>
      <c r="C1214" s="265" t="s">
        <v>1493</v>
      </c>
      <c r="D1214" s="265" t="s">
        <v>4</v>
      </c>
      <c r="E1214" s="75" t="s">
        <v>5</v>
      </c>
      <c r="F1214" s="75" t="s">
        <v>1933</v>
      </c>
      <c r="G1214" s="75" t="s">
        <v>4102</v>
      </c>
      <c r="H1214" s="75" t="s">
        <v>4541</v>
      </c>
      <c r="I1214" s="75" t="s">
        <v>1497</v>
      </c>
      <c r="J1214" s="75" t="s">
        <v>4102</v>
      </c>
      <c r="K1214" s="75" t="s">
        <v>4103</v>
      </c>
      <c r="L1214" s="75" t="s">
        <v>4104</v>
      </c>
      <c r="M1214" s="75" t="s">
        <v>1497</v>
      </c>
      <c r="N1214" s="75" t="s">
        <v>6</v>
      </c>
      <c r="O1214" s="75" t="s">
        <v>7</v>
      </c>
      <c r="P1214" s="75" t="s">
        <v>5211</v>
      </c>
      <c r="Q1214" s="75" t="s">
        <v>8</v>
      </c>
      <c r="R1214" s="75" t="s">
        <v>9</v>
      </c>
      <c r="S1214" s="75" t="s">
        <v>4105</v>
      </c>
      <c r="T1214" s="75" t="s">
        <v>10</v>
      </c>
    </row>
    <row r="1215" s="184" customFormat="1" spans="1:21">
      <c r="A1215" s="227"/>
      <c r="B1215" s="226">
        <v>20250306</v>
      </c>
      <c r="C1215" s="227">
        <v>7.25</v>
      </c>
      <c r="D1215" s="226" t="s">
        <v>1077</v>
      </c>
      <c r="E1215" s="228" t="s">
        <v>1078</v>
      </c>
      <c r="F1215" s="229"/>
      <c r="G1215" s="227"/>
      <c r="H1215" s="227"/>
      <c r="I1215" s="227"/>
      <c r="J1215" s="227"/>
      <c r="K1215" s="227"/>
      <c r="L1215" s="227"/>
      <c r="M1215" s="227"/>
      <c r="N1215" s="232">
        <v>0.235581324382057</v>
      </c>
      <c r="O1215" s="232">
        <v>0.292427791272505</v>
      </c>
      <c r="P1215" s="227"/>
      <c r="Q1215" s="231">
        <v>0.2</v>
      </c>
      <c r="R1215" s="231">
        <v>0.728009115654562</v>
      </c>
      <c r="S1215" s="229"/>
      <c r="T1215" s="226"/>
      <c r="U1215" s="236"/>
    </row>
    <row r="1216" s="184" customFormat="1" spans="1:21">
      <c r="A1216" s="227"/>
      <c r="B1216" s="226">
        <v>20250306</v>
      </c>
      <c r="C1216" s="227">
        <v>7.25</v>
      </c>
      <c r="D1216" s="226" t="s">
        <v>1079</v>
      </c>
      <c r="E1216" s="228" t="s">
        <v>1080</v>
      </c>
      <c r="F1216" s="229"/>
      <c r="G1216" s="227"/>
      <c r="H1216" s="227"/>
      <c r="I1216" s="227"/>
      <c r="J1216" s="227"/>
      <c r="K1216" s="227"/>
      <c r="L1216" s="227"/>
      <c r="M1216" s="227"/>
      <c r="N1216" s="232">
        <v>0.196521208422338</v>
      </c>
      <c r="O1216" s="232">
        <v>0.429909307293256</v>
      </c>
      <c r="P1216" s="227"/>
      <c r="Q1216" s="231">
        <v>0.2</v>
      </c>
      <c r="R1216" s="231">
        <v>0.826430515715594</v>
      </c>
      <c r="S1216" s="229"/>
      <c r="T1216" s="226"/>
      <c r="U1216" s="236"/>
    </row>
    <row r="1221" spans="1:21">
      <c r="A1221" s="195" t="s">
        <v>7853</v>
      </c>
      <c r="B1221" s="195"/>
      <c r="C1221" s="195"/>
      <c r="D1221" s="195"/>
      <c r="E1221" s="196"/>
      <c r="F1221" s="196"/>
      <c r="G1221" s="197"/>
      <c r="H1221" s="198"/>
      <c r="I1221" s="198"/>
      <c r="J1221" s="199"/>
      <c r="K1221" s="296"/>
      <c r="L1221" s="296"/>
      <c r="M1221" s="200"/>
      <c r="N1221" s="297"/>
      <c r="O1221" s="201"/>
      <c r="P1221" s="197"/>
      <c r="Q1221" s="202"/>
      <c r="R1221" s="202"/>
      <c r="S1221" s="203"/>
      <c r="T1221" s="80"/>
      <c r="U1221" s="81"/>
    </row>
    <row r="1222" spans="1:21">
      <c r="A1222" s="224" t="s">
        <v>1</v>
      </c>
      <c r="B1222" s="224"/>
      <c r="C1222" s="224"/>
      <c r="D1222" s="224"/>
      <c r="E1222" s="75" t="s">
        <v>5</v>
      </c>
      <c r="F1222" s="75" t="s">
        <v>1933</v>
      </c>
      <c r="G1222" s="75" t="s">
        <v>4102</v>
      </c>
      <c r="H1222" s="75" t="s">
        <v>4541</v>
      </c>
      <c r="I1222" s="75" t="s">
        <v>1497</v>
      </c>
      <c r="J1222" s="75" t="s">
        <v>4102</v>
      </c>
      <c r="K1222" s="75" t="s">
        <v>4103</v>
      </c>
      <c r="L1222" s="75" t="s">
        <v>4104</v>
      </c>
      <c r="M1222" s="75" t="s">
        <v>1497</v>
      </c>
      <c r="N1222" s="75" t="s">
        <v>6</v>
      </c>
      <c r="O1222" s="75" t="s">
        <v>7</v>
      </c>
      <c r="P1222" s="75" t="s">
        <v>5211</v>
      </c>
      <c r="Q1222" s="75" t="s">
        <v>8</v>
      </c>
      <c r="R1222" s="75" t="s">
        <v>9</v>
      </c>
      <c r="S1222" s="75" t="s">
        <v>4105</v>
      </c>
      <c r="T1222" s="75" t="s">
        <v>10</v>
      </c>
      <c r="U1222" s="81"/>
    </row>
    <row r="1223" s="184" customFormat="1" spans="1:21">
      <c r="A1223" s="227"/>
      <c r="B1223" s="226">
        <v>20241111</v>
      </c>
      <c r="C1223" s="227">
        <v>7.2</v>
      </c>
      <c r="D1223" s="226" t="s">
        <v>175</v>
      </c>
      <c r="E1223" s="228" t="s">
        <v>176</v>
      </c>
      <c r="F1223" s="229"/>
      <c r="G1223" s="227"/>
      <c r="H1223" s="227"/>
      <c r="I1223" s="227"/>
      <c r="J1223" s="227"/>
      <c r="K1223" s="227"/>
      <c r="L1223" s="227"/>
      <c r="M1223" s="227"/>
      <c r="N1223" s="232">
        <v>0.418879915561331</v>
      </c>
      <c r="O1223" s="232">
        <v>2.15402644931648</v>
      </c>
      <c r="P1223" s="227" t="s">
        <v>1428</v>
      </c>
      <c r="Q1223" s="231">
        <v>0.4</v>
      </c>
      <c r="R1223" s="231">
        <v>2.97290636487781</v>
      </c>
      <c r="S1223" s="229"/>
      <c r="T1223" s="226" t="s">
        <v>7478</v>
      </c>
      <c r="U1223" s="236"/>
    </row>
    <row r="1224" s="184" customFormat="1" spans="1:21">
      <c r="A1224" s="227" t="s">
        <v>3547</v>
      </c>
      <c r="B1224" s="226">
        <v>20240809</v>
      </c>
      <c r="C1224" s="227">
        <v>7.15</v>
      </c>
      <c r="D1224" s="226" t="s">
        <v>3595</v>
      </c>
      <c r="E1224" s="228" t="s">
        <v>2394</v>
      </c>
      <c r="F1224" s="229" t="s">
        <v>5111</v>
      </c>
      <c r="G1224" s="227" t="s">
        <v>3596</v>
      </c>
      <c r="H1224" s="227" t="s">
        <v>1913</v>
      </c>
      <c r="I1224" s="227" t="s">
        <v>1428</v>
      </c>
      <c r="J1224" s="227">
        <v>32</v>
      </c>
      <c r="K1224" s="227" t="s">
        <v>1428</v>
      </c>
      <c r="L1224" s="227" t="s">
        <v>1428</v>
      </c>
      <c r="M1224" s="227" t="s">
        <v>1428</v>
      </c>
      <c r="N1224" s="232">
        <v>3.25235796278699</v>
      </c>
      <c r="O1224" s="232">
        <v>10.2025787810916</v>
      </c>
      <c r="P1224" s="227" t="s">
        <v>1428</v>
      </c>
      <c r="Q1224" s="231">
        <v>3</v>
      </c>
      <c r="R1224" s="231">
        <f>SUM(J1224:Q1224)</f>
        <v>48.4549367438786</v>
      </c>
      <c r="S1224" s="229" t="s">
        <v>1526</v>
      </c>
      <c r="T1224" s="226" t="s">
        <v>7598</v>
      </c>
      <c r="U1224" s="236"/>
    </row>
    <row r="1228" spans="1:21">
      <c r="A1228" s="195" t="s">
        <v>7853</v>
      </c>
      <c r="B1228" s="195"/>
      <c r="C1228" s="195"/>
      <c r="D1228" s="195"/>
      <c r="E1228" s="196"/>
      <c r="F1228" s="196"/>
      <c r="G1228" s="197"/>
      <c r="H1228" s="198"/>
      <c r="I1228" s="198"/>
      <c r="J1228" s="199"/>
      <c r="K1228" s="296"/>
      <c r="L1228" s="296"/>
      <c r="M1228" s="200"/>
      <c r="N1228" s="297"/>
      <c r="O1228" s="201"/>
      <c r="P1228" s="197"/>
      <c r="Q1228" s="202"/>
      <c r="R1228" s="202"/>
      <c r="S1228" s="203"/>
      <c r="T1228" s="80"/>
      <c r="U1228" s="81"/>
    </row>
    <row r="1229" spans="1:21">
      <c r="A1229" s="224" t="s">
        <v>1</v>
      </c>
      <c r="B1229" s="224"/>
      <c r="C1229" s="224"/>
      <c r="D1229" s="224"/>
      <c r="E1229" s="75" t="s">
        <v>5</v>
      </c>
      <c r="F1229" s="75" t="s">
        <v>1933</v>
      </c>
      <c r="G1229" s="75" t="s">
        <v>4102</v>
      </c>
      <c r="H1229" s="75" t="s">
        <v>4541</v>
      </c>
      <c r="I1229" s="75" t="s">
        <v>1497</v>
      </c>
      <c r="J1229" s="75" t="s">
        <v>4102</v>
      </c>
      <c r="K1229" s="75" t="s">
        <v>4103</v>
      </c>
      <c r="L1229" s="75" t="s">
        <v>4104</v>
      </c>
      <c r="M1229" s="75" t="s">
        <v>1497</v>
      </c>
      <c r="N1229" s="75" t="s">
        <v>6</v>
      </c>
      <c r="O1229" s="75" t="s">
        <v>7</v>
      </c>
      <c r="P1229" s="75" t="s">
        <v>5211</v>
      </c>
      <c r="Q1229" s="75" t="s">
        <v>8</v>
      </c>
      <c r="R1229" s="75" t="s">
        <v>9</v>
      </c>
      <c r="S1229" s="75" t="s">
        <v>4105</v>
      </c>
      <c r="T1229" s="75" t="s">
        <v>10</v>
      </c>
      <c r="U1229" s="81"/>
    </row>
    <row r="1230" s="184" customFormat="1" spans="1:21">
      <c r="A1230" s="227" t="s">
        <v>432</v>
      </c>
      <c r="B1230" s="226">
        <v>20241213</v>
      </c>
      <c r="C1230" s="227">
        <v>7.3</v>
      </c>
      <c r="D1230" s="226" t="s">
        <v>1719</v>
      </c>
      <c r="E1230" s="228" t="s">
        <v>1591</v>
      </c>
      <c r="F1230" s="229" t="s">
        <v>4284</v>
      </c>
      <c r="G1230" s="227" t="s">
        <v>2323</v>
      </c>
      <c r="H1230" s="227" t="s">
        <v>1913</v>
      </c>
      <c r="I1230" s="227" t="s">
        <v>1720</v>
      </c>
      <c r="J1230" s="227">
        <v>65</v>
      </c>
      <c r="K1230" s="227"/>
      <c r="L1230" s="227"/>
      <c r="M1230" s="227">
        <v>2.3</v>
      </c>
      <c r="N1230" s="232">
        <v>3.16</v>
      </c>
      <c r="O1230" s="232">
        <v>11.4768022528549</v>
      </c>
      <c r="P1230" s="227"/>
      <c r="Q1230" s="231">
        <v>2.54302833070916</v>
      </c>
      <c r="R1230" s="231">
        <f>SUM(J1230:Q1230)</f>
        <v>84.4798305835641</v>
      </c>
      <c r="S1230" s="229" t="s">
        <v>1526</v>
      </c>
      <c r="T1230" s="226" t="s">
        <v>7867</v>
      </c>
      <c r="U1230" s="236"/>
    </row>
    <row r="1231" s="184" customFormat="1" spans="1:21">
      <c r="A1231" s="227"/>
      <c r="B1231" s="226">
        <v>20241213</v>
      </c>
      <c r="C1231" s="227">
        <v>7.3</v>
      </c>
      <c r="D1231" s="226" t="s">
        <v>1113</v>
      </c>
      <c r="E1231" s="228" t="s">
        <v>1114</v>
      </c>
      <c r="F1231" s="229"/>
      <c r="G1231" s="227"/>
      <c r="H1231" s="227"/>
      <c r="I1231" s="227"/>
      <c r="J1231" s="227"/>
      <c r="K1231" s="227"/>
      <c r="L1231" s="227"/>
      <c r="M1231" s="227"/>
      <c r="N1231" s="232">
        <v>0.459914609824022</v>
      </c>
      <c r="O1231" s="232">
        <v>0.818292471348769</v>
      </c>
      <c r="P1231" s="227"/>
      <c r="Q1231" s="231">
        <v>0.2</v>
      </c>
      <c r="R1231" s="231">
        <f>SUM(J1231:Q1231)</f>
        <v>1.47820708117279</v>
      </c>
      <c r="S1231" s="229"/>
      <c r="T1231" s="226" t="s">
        <v>1115</v>
      </c>
      <c r="U1231" s="236"/>
    </row>
    <row r="1232" s="184" customFormat="1" spans="1:21">
      <c r="A1232" s="227"/>
      <c r="B1232" s="226">
        <v>20241213</v>
      </c>
      <c r="C1232" s="227">
        <v>7.3</v>
      </c>
      <c r="D1232" s="226" t="s">
        <v>1116</v>
      </c>
      <c r="E1232" s="228" t="s">
        <v>1117</v>
      </c>
      <c r="F1232" s="229"/>
      <c r="G1232" s="227"/>
      <c r="H1232" s="227"/>
      <c r="I1232" s="227"/>
      <c r="J1232" s="227"/>
      <c r="K1232" s="227"/>
      <c r="L1232" s="227"/>
      <c r="M1232" s="227"/>
      <c r="N1232" s="232">
        <v>0.459914609824022</v>
      </c>
      <c r="O1232" s="232">
        <v>0.438675191560674</v>
      </c>
      <c r="P1232" s="227"/>
      <c r="Q1232" s="231">
        <v>0.2</v>
      </c>
      <c r="R1232" s="231">
        <f>SUM(J1232:Q1232)</f>
        <v>1.0985898013847</v>
      </c>
      <c r="S1232" s="229"/>
      <c r="T1232" s="226" t="s">
        <v>1118</v>
      </c>
      <c r="U1232" s="236"/>
    </row>
    <row r="1233" spans="1:21">
      <c r="A1233" s="195" t="s">
        <v>7853</v>
      </c>
      <c r="B1233" s="195"/>
      <c r="C1233" s="195"/>
      <c r="D1233" s="195"/>
      <c r="E1233" s="196"/>
      <c r="F1233" s="196"/>
      <c r="G1233" s="197"/>
      <c r="H1233" s="198"/>
      <c r="I1233" s="198"/>
      <c r="J1233" s="199"/>
      <c r="K1233" s="296"/>
      <c r="L1233" s="296"/>
      <c r="M1233" s="200"/>
      <c r="N1233" s="297"/>
      <c r="O1233" s="201"/>
      <c r="P1233" s="197"/>
      <c r="Q1233" s="202"/>
      <c r="R1233" s="202"/>
      <c r="S1233" s="203"/>
      <c r="T1233" s="80"/>
      <c r="U1233" s="81"/>
    </row>
    <row r="1234" spans="1:21">
      <c r="A1234" s="224" t="s">
        <v>1</v>
      </c>
      <c r="B1234" s="224"/>
      <c r="C1234" s="224"/>
      <c r="D1234" s="224"/>
      <c r="E1234" s="75" t="s">
        <v>5</v>
      </c>
      <c r="F1234" s="75" t="s">
        <v>1933</v>
      </c>
      <c r="G1234" s="75" t="s">
        <v>4102</v>
      </c>
      <c r="H1234" s="75" t="s">
        <v>4541</v>
      </c>
      <c r="I1234" s="75" t="s">
        <v>1497</v>
      </c>
      <c r="J1234" s="75" t="s">
        <v>4102</v>
      </c>
      <c r="K1234" s="75" t="s">
        <v>4103</v>
      </c>
      <c r="L1234" s="75" t="s">
        <v>4104</v>
      </c>
      <c r="M1234" s="75" t="s">
        <v>1497</v>
      </c>
      <c r="N1234" s="75" t="s">
        <v>6</v>
      </c>
      <c r="O1234" s="75" t="s">
        <v>7</v>
      </c>
      <c r="P1234" s="75" t="s">
        <v>5211</v>
      </c>
      <c r="Q1234" s="75" t="s">
        <v>8</v>
      </c>
      <c r="R1234" s="75" t="s">
        <v>9</v>
      </c>
      <c r="S1234" s="75" t="s">
        <v>4105</v>
      </c>
      <c r="T1234" s="75" t="s">
        <v>10</v>
      </c>
      <c r="U1234" s="81"/>
    </row>
    <row r="1235" s="184" customFormat="1" spans="1:21">
      <c r="A1235" s="227" t="s">
        <v>432</v>
      </c>
      <c r="B1235" s="226">
        <v>20241213</v>
      </c>
      <c r="C1235" s="227">
        <v>7.25</v>
      </c>
      <c r="D1235" s="226" t="s">
        <v>1719</v>
      </c>
      <c r="E1235" s="228" t="s">
        <v>7868</v>
      </c>
      <c r="F1235" s="229" t="s">
        <v>4284</v>
      </c>
      <c r="G1235" s="227" t="s">
        <v>2323</v>
      </c>
      <c r="H1235" s="227" t="s">
        <v>1913</v>
      </c>
      <c r="I1235" s="227" t="s">
        <v>7869</v>
      </c>
      <c r="J1235" s="227">
        <v>65</v>
      </c>
      <c r="K1235" s="227"/>
      <c r="L1235" s="227"/>
      <c r="M1235" s="597">
        <v>1.7</v>
      </c>
      <c r="N1235" s="230">
        <v>2.59627708269759</v>
      </c>
      <c r="O1235" s="230">
        <v>11.3084815831858</v>
      </c>
      <c r="P1235" s="227"/>
      <c r="Q1235" s="231">
        <v>2.54302833070916</v>
      </c>
      <c r="R1235" s="231">
        <f>SUM(J1235:Q1235)</f>
        <v>83.1477869965926</v>
      </c>
      <c r="S1235" s="229" t="s">
        <v>1526</v>
      </c>
      <c r="T1235" s="501" t="s">
        <v>7870</v>
      </c>
      <c r="U1235" s="236"/>
    </row>
    <row r="1236" s="184" customFormat="1" spans="1:21">
      <c r="A1236" s="227"/>
      <c r="B1236" s="226">
        <v>20241213</v>
      </c>
      <c r="C1236" s="227">
        <v>7.3</v>
      </c>
      <c r="D1236" s="226" t="s">
        <v>1113</v>
      </c>
      <c r="E1236" s="228" t="s">
        <v>1114</v>
      </c>
      <c r="F1236" s="229"/>
      <c r="G1236" s="227"/>
      <c r="H1236" s="227"/>
      <c r="I1236" s="227"/>
      <c r="J1236" s="227"/>
      <c r="K1236" s="227"/>
      <c r="L1236" s="227"/>
      <c r="M1236" s="227"/>
      <c r="N1236" s="230">
        <v>0.091547146780592</v>
      </c>
      <c r="O1236" s="230">
        <v>0.428030357292646</v>
      </c>
      <c r="P1236" s="227"/>
      <c r="Q1236" s="231">
        <v>0.2</v>
      </c>
      <c r="R1236" s="231">
        <f>SUM(J1236:Q1236)</f>
        <v>0.719577504073238</v>
      </c>
      <c r="S1236" s="229"/>
      <c r="T1236" s="226" t="s">
        <v>1118</v>
      </c>
      <c r="U1236" s="236"/>
    </row>
    <row r="1237" s="184" customFormat="1" spans="1:21">
      <c r="A1237" s="227"/>
      <c r="B1237" s="226">
        <v>20241213</v>
      </c>
      <c r="C1237" s="227">
        <v>7.3</v>
      </c>
      <c r="D1237" s="226" t="s">
        <v>1116</v>
      </c>
      <c r="E1237" s="228" t="s">
        <v>1117</v>
      </c>
      <c r="F1237" s="229"/>
      <c r="G1237" s="227"/>
      <c r="H1237" s="227"/>
      <c r="I1237" s="227"/>
      <c r="J1237" s="227"/>
      <c r="K1237" s="227"/>
      <c r="L1237" s="227"/>
      <c r="M1237" s="227"/>
      <c r="N1237" s="230">
        <v>0.367409215746109</v>
      </c>
      <c r="O1237" s="230">
        <v>0.818292471348769</v>
      </c>
      <c r="P1237" s="227"/>
      <c r="Q1237" s="231">
        <v>0.2</v>
      </c>
      <c r="R1237" s="231">
        <f>SUM(J1237:Q1237)</f>
        <v>1.38570168709488</v>
      </c>
      <c r="S1237" s="229"/>
      <c r="T1237" s="226" t="s">
        <v>7871</v>
      </c>
      <c r="U1237" s="236"/>
    </row>
    <row r="1243" spans="1:21">
      <c r="K1243" s="594" t="s">
        <v>7872</v>
      </c>
      <c r="L1243" s="595" t="s">
        <v>7862</v>
      </c>
      <c r="N1243" s="594" t="s">
        <v>7873</v>
      </c>
      <c r="O1243" s="595" t="s">
        <v>7862</v>
      </c>
      <c r="Q1243" s="594" t="s">
        <v>1591</v>
      </c>
      <c r="R1243" s="595" t="s">
        <v>7862</v>
      </c>
    </row>
    <row r="1244" spans="1:21">
      <c r="K1244" s="594" t="s">
        <v>7822</v>
      </c>
      <c r="L1244" s="590">
        <f>N1231+O1231+Q1231</f>
        <v>1.47820708117279</v>
      </c>
      <c r="N1244" s="594" t="s">
        <v>7822</v>
      </c>
      <c r="O1244" s="590">
        <f>N1232+O1232+Q1232</f>
        <v>1.0985898013847</v>
      </c>
      <c r="Q1244" s="594" t="s">
        <v>7822</v>
      </c>
      <c r="R1244" s="590">
        <f>N1230+O1230+Q1230+M1230</f>
        <v>19.4798305835641</v>
      </c>
    </row>
    <row r="1245" spans="1:21">
      <c r="K1245" s="594" t="s">
        <v>7823</v>
      </c>
      <c r="L1245" s="590">
        <f>N1236+O1236+Q1236</f>
        <v>0.719577504073238</v>
      </c>
      <c r="N1245" s="594" t="s">
        <v>7823</v>
      </c>
      <c r="O1245" s="590">
        <f>N1237+O1237+Q1237</f>
        <v>1.38570168709488</v>
      </c>
      <c r="Q1245" s="594" t="s">
        <v>7823</v>
      </c>
      <c r="R1245" s="590">
        <f>N1235+O1235+Q1235+M1235</f>
        <v>18.1477869965926</v>
      </c>
    </row>
    <row r="1246" spans="1:21">
      <c r="K1246" s="594" t="s">
        <v>7863</v>
      </c>
      <c r="L1246" s="590">
        <f>L1244-L1245</f>
        <v>0.758629577099553</v>
      </c>
      <c r="N1246" s="594" t="s">
        <v>7863</v>
      </c>
      <c r="O1246" s="590">
        <f>O1244-O1245</f>
        <v>-0.287111885710182</v>
      </c>
      <c r="Q1246" s="594" t="s">
        <v>7863</v>
      </c>
      <c r="R1246" s="590">
        <f>R1244-R1245</f>
        <v>1.33204358697151</v>
      </c>
    </row>
    <row r="1255" spans="1:21">
      <c r="A1255" s="195" t="s">
        <v>7853</v>
      </c>
      <c r="B1255" s="195"/>
      <c r="C1255" s="195"/>
      <c r="D1255" s="195"/>
      <c r="E1255" s="196"/>
      <c r="F1255" s="196"/>
      <c r="G1255" s="197"/>
      <c r="H1255" s="198"/>
      <c r="I1255" s="198"/>
      <c r="J1255" s="199"/>
      <c r="K1255" s="296"/>
      <c r="L1255" s="296"/>
      <c r="M1255" s="200"/>
      <c r="N1255" s="297"/>
      <c r="O1255" s="201"/>
      <c r="P1255" s="197"/>
      <c r="Q1255" s="202"/>
      <c r="R1255" s="202"/>
      <c r="S1255" s="203"/>
      <c r="T1255" s="80"/>
      <c r="U1255" s="81"/>
    </row>
    <row r="1256" spans="1:21">
      <c r="A1256" s="224" t="s">
        <v>1</v>
      </c>
      <c r="B1256" s="224"/>
      <c r="C1256" s="224"/>
      <c r="D1256" s="224"/>
      <c r="E1256" s="75" t="s">
        <v>5</v>
      </c>
      <c r="F1256" s="75" t="s">
        <v>1933</v>
      </c>
      <c r="G1256" s="75" t="s">
        <v>4102</v>
      </c>
      <c r="H1256" s="75" t="s">
        <v>4541</v>
      </c>
      <c r="I1256" s="75" t="s">
        <v>1497</v>
      </c>
      <c r="J1256" s="75" t="s">
        <v>4102</v>
      </c>
      <c r="K1256" s="75" t="s">
        <v>4103</v>
      </c>
      <c r="L1256" s="75" t="s">
        <v>4104</v>
      </c>
      <c r="M1256" s="75" t="s">
        <v>1497</v>
      </c>
      <c r="N1256" s="75" t="s">
        <v>6</v>
      </c>
      <c r="O1256" s="75" t="s">
        <v>7</v>
      </c>
      <c r="P1256" s="75" t="s">
        <v>5211</v>
      </c>
      <c r="Q1256" s="75" t="s">
        <v>8</v>
      </c>
      <c r="R1256" s="75" t="s">
        <v>9</v>
      </c>
      <c r="S1256" s="75" t="s">
        <v>4105</v>
      </c>
      <c r="T1256" s="75" t="s">
        <v>10</v>
      </c>
      <c r="U1256" s="81"/>
    </row>
    <row r="1257" s="184" customFormat="1" spans="1:21">
      <c r="A1257" s="227" t="s">
        <v>7615</v>
      </c>
      <c r="B1257" s="226">
        <v>20241127</v>
      </c>
      <c r="C1257" s="227">
        <v>7.25</v>
      </c>
      <c r="D1257" s="226" t="s">
        <v>3709</v>
      </c>
      <c r="E1257" s="228" t="s">
        <v>1581</v>
      </c>
      <c r="F1257" s="229" t="s">
        <v>3710</v>
      </c>
      <c r="G1257" s="227" t="s">
        <v>3542</v>
      </c>
      <c r="H1257" s="227" t="s">
        <v>3711</v>
      </c>
      <c r="I1257" s="227" t="s">
        <v>1633</v>
      </c>
      <c r="J1257" s="227">
        <v>30</v>
      </c>
      <c r="K1257" s="227">
        <v>3.6</v>
      </c>
      <c r="L1257" s="247">
        <v>6.5</v>
      </c>
      <c r="M1257" s="598">
        <v>1.72</v>
      </c>
      <c r="N1257" s="232">
        <v>2.8</v>
      </c>
      <c r="O1257" s="232">
        <v>8.57091936612975</v>
      </c>
      <c r="P1257" s="227"/>
      <c r="Q1257" s="231">
        <f>23.83/7.25/1.13</f>
        <v>2.90875801037534</v>
      </c>
      <c r="R1257" s="231">
        <f>SUM(J1257:Q1257)</f>
        <v>56.0996773765051</v>
      </c>
      <c r="S1257" s="229" t="s">
        <v>3712</v>
      </c>
      <c r="T1257" s="226" t="s">
        <v>7874</v>
      </c>
      <c r="U1257" s="236"/>
    </row>
    <row r="1258" spans="1:21">
      <c r="A1258" s="476" t="s">
        <v>7614</v>
      </c>
      <c r="B1258" s="226">
        <v>20241219</v>
      </c>
      <c r="C1258" s="227">
        <v>7.25</v>
      </c>
      <c r="D1258" s="226" t="s">
        <v>793</v>
      </c>
      <c r="E1258" s="477" t="s">
        <v>794</v>
      </c>
      <c r="F1258" s="229"/>
      <c r="G1258" s="227"/>
      <c r="H1258" s="227"/>
      <c r="I1258" s="227"/>
      <c r="J1258" s="245"/>
      <c r="K1258" s="227"/>
      <c r="L1258" s="227"/>
      <c r="M1258" s="227"/>
      <c r="N1258" s="232">
        <v>0.26853829722307</v>
      </c>
      <c r="O1258" s="232">
        <v>0.534932419383582</v>
      </c>
      <c r="P1258" s="227"/>
      <c r="Q1258" s="231">
        <v>0.2</v>
      </c>
      <c r="R1258" s="232">
        <f>SUM(J1258:Q1258)</f>
        <v>1.00347071660665</v>
      </c>
      <c r="S1258" s="233"/>
    </row>
    <row r="1259" ht="13.95" spans="1:21">
      <c r="A1259" s="478"/>
      <c r="B1259" s="349">
        <v>20241202</v>
      </c>
      <c r="C1259" s="479">
        <v>7.25</v>
      </c>
      <c r="D1259" s="349" t="s">
        <v>796</v>
      </c>
      <c r="E1259" s="480" t="s">
        <v>797</v>
      </c>
      <c r="F1259" s="481"/>
      <c r="G1259" s="479"/>
      <c r="H1259" s="479"/>
      <c r="I1259" s="479"/>
      <c r="J1259" s="482"/>
      <c r="K1259" s="479"/>
      <c r="L1259" s="479"/>
      <c r="M1259" s="479"/>
      <c r="N1259" s="354">
        <v>0.284406469331706</v>
      </c>
      <c r="O1259" s="354">
        <v>0.561011486359475</v>
      </c>
      <c r="P1259" s="479"/>
      <c r="Q1259" s="351">
        <v>0.2</v>
      </c>
      <c r="R1259" s="354">
        <f>SUM(J1259:Q1259)</f>
        <v>1.04541795569118</v>
      </c>
      <c r="S1259" s="483"/>
    </row>
    <row r="1266" spans="1:21">
      <c r="A1266" s="195" t="s">
        <v>7853</v>
      </c>
      <c r="B1266" s="195"/>
      <c r="C1266" s="195"/>
      <c r="D1266" s="195"/>
      <c r="E1266" s="196"/>
      <c r="F1266" s="196"/>
      <c r="G1266" s="197"/>
      <c r="H1266" s="198"/>
      <c r="I1266" s="198"/>
      <c r="J1266" s="199"/>
      <c r="K1266" s="296"/>
      <c r="L1266" s="296"/>
      <c r="M1266" s="200"/>
      <c r="N1266" s="297"/>
      <c r="O1266" s="201"/>
      <c r="P1266" s="197"/>
      <c r="Q1266" s="202"/>
      <c r="R1266" s="202"/>
      <c r="S1266" s="203"/>
      <c r="T1266" s="80"/>
      <c r="U1266" s="81"/>
    </row>
    <row r="1267" spans="1:21">
      <c r="A1267" s="224" t="s">
        <v>1</v>
      </c>
      <c r="B1267" s="224"/>
      <c r="C1267" s="224"/>
      <c r="D1267" s="224"/>
      <c r="E1267" s="75" t="s">
        <v>5</v>
      </c>
      <c r="F1267" s="75" t="s">
        <v>1933</v>
      </c>
      <c r="G1267" s="75" t="s">
        <v>4102</v>
      </c>
      <c r="H1267" s="75" t="s">
        <v>4541</v>
      </c>
      <c r="I1267" s="75" t="s">
        <v>1497</v>
      </c>
      <c r="J1267" s="75" t="s">
        <v>4102</v>
      </c>
      <c r="K1267" s="75" t="s">
        <v>4103</v>
      </c>
      <c r="L1267" s="75" t="s">
        <v>4104</v>
      </c>
      <c r="M1267" s="75" t="s">
        <v>1497</v>
      </c>
      <c r="N1267" s="75" t="s">
        <v>6</v>
      </c>
      <c r="O1267" s="75" t="s">
        <v>7</v>
      </c>
      <c r="P1267" s="75" t="s">
        <v>5211</v>
      </c>
      <c r="Q1267" s="75" t="s">
        <v>8</v>
      </c>
      <c r="R1267" s="75" t="s">
        <v>9</v>
      </c>
      <c r="S1267" s="75" t="s">
        <v>4105</v>
      </c>
      <c r="T1267" s="75" t="s">
        <v>10</v>
      </c>
      <c r="U1267" s="81"/>
    </row>
    <row r="1268" spans="1:21">
      <c r="A1268" s="599" t="s">
        <v>7407</v>
      </c>
      <c r="B1268" s="418">
        <v>20240129</v>
      </c>
      <c r="C1268" s="418">
        <v>7.2</v>
      </c>
      <c r="D1268" s="418" t="s">
        <v>7875</v>
      </c>
      <c r="E1268" s="419" t="s">
        <v>6550</v>
      </c>
      <c r="F1268" s="420" t="s">
        <v>1933</v>
      </c>
      <c r="G1268" s="422" t="s">
        <v>2323</v>
      </c>
      <c r="H1268" s="422" t="s">
        <v>1913</v>
      </c>
      <c r="I1268" s="422" t="s">
        <v>1428</v>
      </c>
      <c r="J1268" s="421">
        <v>65</v>
      </c>
      <c r="K1268" s="421" t="s">
        <v>1428</v>
      </c>
      <c r="L1268" s="421" t="s">
        <v>1428</v>
      </c>
      <c r="M1268" s="421" t="s">
        <v>1428</v>
      </c>
      <c r="N1268" s="434">
        <v>3.8475601076074</v>
      </c>
      <c r="O1268" s="434">
        <v>16.0100520401575</v>
      </c>
      <c r="P1268" s="424" t="s">
        <v>1428</v>
      </c>
      <c r="Q1268" s="424">
        <v>2.88823119777159</v>
      </c>
      <c r="R1268" s="424">
        <v>87.3155760863677</v>
      </c>
      <c r="S1268" s="420" t="s">
        <v>1526</v>
      </c>
      <c r="T1268" s="418" t="s">
        <v>7433</v>
      </c>
      <c r="U1268" s="600" t="s">
        <v>1406</v>
      </c>
    </row>
    <row r="1269" spans="1:21">
      <c r="A1269" s="601"/>
      <c r="B1269" s="418">
        <v>20240129</v>
      </c>
      <c r="C1269" s="418">
        <v>7.2</v>
      </c>
      <c r="D1269" s="418" t="s">
        <v>7876</v>
      </c>
      <c r="E1269" s="419" t="s">
        <v>2329</v>
      </c>
      <c r="F1269" s="420" t="s">
        <v>1933</v>
      </c>
      <c r="G1269" s="422" t="s">
        <v>2323</v>
      </c>
      <c r="H1269" s="422" t="s">
        <v>1913</v>
      </c>
      <c r="I1269" s="422" t="s">
        <v>1428</v>
      </c>
      <c r="J1269" s="421">
        <v>65</v>
      </c>
      <c r="K1269" s="421" t="s">
        <v>1428</v>
      </c>
      <c r="L1269" s="421" t="s">
        <v>1428</v>
      </c>
      <c r="M1269" s="421" t="s">
        <v>1428</v>
      </c>
      <c r="N1269" s="434">
        <v>3.8475601076074</v>
      </c>
      <c r="O1269" s="434">
        <v>16.0513141332488</v>
      </c>
      <c r="P1269" s="424" t="s">
        <v>1428</v>
      </c>
      <c r="Q1269" s="424">
        <v>2.88823119777159</v>
      </c>
      <c r="R1269" s="424">
        <v>87.2938980881986</v>
      </c>
      <c r="S1269" s="420" t="s">
        <v>1526</v>
      </c>
      <c r="T1269" s="418" t="s">
        <v>7433</v>
      </c>
      <c r="U1269" s="600" t="s">
        <v>1406</v>
      </c>
    </row>
    <row r="1270" spans="1:21">
      <c r="A1270" s="601"/>
      <c r="B1270" s="418">
        <v>20240129</v>
      </c>
      <c r="C1270" s="418">
        <v>7.2</v>
      </c>
      <c r="D1270" s="418" t="s">
        <v>7877</v>
      </c>
      <c r="E1270" s="419" t="s">
        <v>3620</v>
      </c>
      <c r="F1270" s="420" t="s">
        <v>1933</v>
      </c>
      <c r="G1270" s="422" t="s">
        <v>2082</v>
      </c>
      <c r="H1270" s="422" t="s">
        <v>1913</v>
      </c>
      <c r="I1270" s="422" t="s">
        <v>1428</v>
      </c>
      <c r="J1270" s="602">
        <v>105</v>
      </c>
      <c r="K1270" s="421" t="s">
        <v>1428</v>
      </c>
      <c r="L1270" s="421" t="s">
        <v>1428</v>
      </c>
      <c r="M1270" s="421" t="s">
        <v>1428</v>
      </c>
      <c r="N1270" s="434">
        <v>3.8475601076074</v>
      </c>
      <c r="O1270" s="434">
        <v>16.0502745150908</v>
      </c>
      <c r="P1270" s="424" t="s">
        <v>1428</v>
      </c>
      <c r="Q1270" s="424">
        <v>2.88823119777159</v>
      </c>
      <c r="R1270" s="424">
        <v>127.318331655486</v>
      </c>
      <c r="S1270" s="420" t="s">
        <v>1526</v>
      </c>
      <c r="T1270" s="418" t="s">
        <v>7433</v>
      </c>
      <c r="U1270" s="600" t="s">
        <v>1406</v>
      </c>
    </row>
    <row r="1271" spans="1:21">
      <c r="A1271" s="603"/>
      <c r="B1271" s="418">
        <v>20240516</v>
      </c>
      <c r="C1271" s="418">
        <v>7.24</v>
      </c>
      <c r="D1271" s="418" t="s">
        <v>7878</v>
      </c>
      <c r="E1271" s="419" t="s">
        <v>7879</v>
      </c>
      <c r="F1271" s="420" t="s">
        <v>1933</v>
      </c>
      <c r="G1271" s="604" t="s">
        <v>2342</v>
      </c>
      <c r="H1271" s="422" t="s">
        <v>1913</v>
      </c>
      <c r="I1271" s="422" t="s">
        <v>1428</v>
      </c>
      <c r="J1271" s="428">
        <v>145</v>
      </c>
      <c r="K1271" s="421" t="s">
        <v>1428</v>
      </c>
      <c r="L1271" s="421" t="s">
        <v>1428</v>
      </c>
      <c r="M1271" s="421" t="s">
        <v>1428</v>
      </c>
      <c r="N1271" s="434">
        <v>3.82630286944383</v>
      </c>
      <c r="O1271" s="434">
        <v>16.0153232218165</v>
      </c>
      <c r="P1271" s="424" t="s">
        <v>1428</v>
      </c>
      <c r="Q1271" s="424">
        <v>2.88823119777159</v>
      </c>
      <c r="R1271" s="424">
        <v>168.729857289032</v>
      </c>
      <c r="S1271" s="420" t="s">
        <v>1526</v>
      </c>
      <c r="T1271" s="418" t="s">
        <v>7433</v>
      </c>
      <c r="U1271" s="600"/>
    </row>
    <row r="1274" spans="1:21">
      <c r="A1274" s="195" t="s">
        <v>7853</v>
      </c>
      <c r="B1274" s="195"/>
      <c r="C1274" s="195"/>
      <c r="D1274" s="195"/>
      <c r="E1274" s="196"/>
      <c r="F1274" s="196"/>
      <c r="G1274" s="197"/>
      <c r="H1274" s="198"/>
      <c r="I1274" s="198"/>
      <c r="J1274" s="199"/>
      <c r="K1274" s="296"/>
      <c r="L1274" s="296"/>
      <c r="M1274" s="200"/>
      <c r="N1274" s="297"/>
      <c r="O1274" s="201"/>
      <c r="P1274" s="197"/>
      <c r="Q1274" s="202"/>
      <c r="R1274" s="202"/>
      <c r="S1274" s="203"/>
      <c r="T1274" s="80"/>
      <c r="U1274" s="81"/>
    </row>
    <row r="1275" spans="1:21">
      <c r="A1275" s="224" t="s">
        <v>1</v>
      </c>
      <c r="B1275" s="224"/>
      <c r="C1275" s="224"/>
      <c r="D1275" s="224"/>
      <c r="E1275" s="75" t="s">
        <v>5</v>
      </c>
      <c r="F1275" s="75" t="s">
        <v>1933</v>
      </c>
      <c r="G1275" s="75" t="s">
        <v>4102</v>
      </c>
      <c r="H1275" s="75" t="s">
        <v>4541</v>
      </c>
      <c r="I1275" s="75" t="s">
        <v>1497</v>
      </c>
      <c r="J1275" s="75" t="s">
        <v>4102</v>
      </c>
      <c r="K1275" s="75" t="s">
        <v>4103</v>
      </c>
      <c r="L1275" s="75" t="s">
        <v>4104</v>
      </c>
      <c r="M1275" s="75" t="s">
        <v>1497</v>
      </c>
      <c r="N1275" s="75" t="s">
        <v>6</v>
      </c>
      <c r="O1275" s="75" t="s">
        <v>7</v>
      </c>
      <c r="P1275" s="75" t="s">
        <v>5211</v>
      </c>
      <c r="Q1275" s="75" t="s">
        <v>8</v>
      </c>
      <c r="R1275" s="75" t="s">
        <v>9</v>
      </c>
      <c r="S1275" s="75" t="s">
        <v>4105</v>
      </c>
      <c r="T1275" s="75" t="s">
        <v>10</v>
      </c>
      <c r="U1275" s="81"/>
    </row>
    <row r="1276" spans="1:21">
      <c r="A1276" s="599" t="s">
        <v>7407</v>
      </c>
      <c r="B1276" s="418">
        <v>20240129</v>
      </c>
      <c r="C1276" s="418">
        <v>7.2</v>
      </c>
      <c r="D1276" s="418" t="s">
        <v>7875</v>
      </c>
      <c r="E1276" s="419" t="s">
        <v>6550</v>
      </c>
      <c r="F1276" s="420" t="s">
        <v>1933</v>
      </c>
      <c r="G1276" s="422" t="s">
        <v>2323</v>
      </c>
      <c r="H1276" s="422" t="s">
        <v>1913</v>
      </c>
      <c r="I1276" s="422" t="s">
        <v>1428</v>
      </c>
      <c r="J1276" s="421">
        <v>65</v>
      </c>
      <c r="K1276" s="421" t="s">
        <v>1428</v>
      </c>
      <c r="L1276" s="421" t="s">
        <v>1428</v>
      </c>
      <c r="M1276" s="421" t="s">
        <v>1428</v>
      </c>
      <c r="N1276" s="605">
        <v>3.82102521031356</v>
      </c>
      <c r="O1276" s="605">
        <v>14.5797847809887</v>
      </c>
      <c r="P1276" s="424" t="s">
        <v>1428</v>
      </c>
      <c r="Q1276" s="424">
        <v>2.88823119777159</v>
      </c>
      <c r="R1276" s="424">
        <v>87.3155760863677</v>
      </c>
      <c r="S1276" s="420" t="s">
        <v>1526</v>
      </c>
      <c r="T1276" s="418" t="s">
        <v>7433</v>
      </c>
      <c r="U1276" s="600" t="s">
        <v>1406</v>
      </c>
    </row>
    <row r="1277" spans="1:21">
      <c r="A1277" s="601"/>
      <c r="B1277" s="418">
        <v>20240129</v>
      </c>
      <c r="C1277" s="418">
        <v>7.2</v>
      </c>
      <c r="D1277" s="418" t="s">
        <v>7876</v>
      </c>
      <c r="E1277" s="419" t="s">
        <v>2329</v>
      </c>
      <c r="F1277" s="420" t="s">
        <v>1933</v>
      </c>
      <c r="G1277" s="422" t="s">
        <v>2323</v>
      </c>
      <c r="H1277" s="422" t="s">
        <v>1913</v>
      </c>
      <c r="I1277" s="422" t="s">
        <v>1428</v>
      </c>
      <c r="J1277" s="421">
        <v>65</v>
      </c>
      <c r="K1277" s="421" t="s">
        <v>1428</v>
      </c>
      <c r="L1277" s="421" t="s">
        <v>1428</v>
      </c>
      <c r="M1277" s="421" t="s">
        <v>1428</v>
      </c>
      <c r="N1277" s="605">
        <v>3.82102521031356</v>
      </c>
      <c r="O1277" s="605">
        <v>14.5581067828197</v>
      </c>
      <c r="P1277" s="424" t="s">
        <v>1428</v>
      </c>
      <c r="Q1277" s="424">
        <v>2.88823119777159</v>
      </c>
      <c r="R1277" s="424">
        <v>87.2938980881986</v>
      </c>
      <c r="S1277" s="420" t="s">
        <v>1526</v>
      </c>
      <c r="T1277" s="418" t="s">
        <v>7433</v>
      </c>
      <c r="U1277" s="600" t="s">
        <v>1406</v>
      </c>
    </row>
    <row r="1278" spans="1:21">
      <c r="A1278" s="601"/>
      <c r="B1278" s="418">
        <v>20240129</v>
      </c>
      <c r="C1278" s="418">
        <v>7.2</v>
      </c>
      <c r="D1278" s="418" t="s">
        <v>7877</v>
      </c>
      <c r="E1278" s="419" t="s">
        <v>3620</v>
      </c>
      <c r="F1278" s="420" t="s">
        <v>1933</v>
      </c>
      <c r="G1278" s="422" t="s">
        <v>2082</v>
      </c>
      <c r="H1278" s="422" t="s">
        <v>1913</v>
      </c>
      <c r="I1278" s="422" t="s">
        <v>1428</v>
      </c>
      <c r="J1278" s="602">
        <v>105</v>
      </c>
      <c r="K1278" s="421" t="s">
        <v>1428</v>
      </c>
      <c r="L1278" s="421" t="s">
        <v>1428</v>
      </c>
      <c r="M1278" s="421" t="s">
        <v>1428</v>
      </c>
      <c r="N1278" s="605">
        <v>3.82102521031356</v>
      </c>
      <c r="O1278" s="605">
        <v>14.5825403501068</v>
      </c>
      <c r="P1278" s="424" t="s">
        <v>1428</v>
      </c>
      <c r="Q1278" s="424">
        <v>2.88823119777159</v>
      </c>
      <c r="R1278" s="424">
        <v>127.318331655486</v>
      </c>
      <c r="S1278" s="420" t="s">
        <v>1526</v>
      </c>
      <c r="T1278" s="418" t="s">
        <v>7433</v>
      </c>
      <c r="U1278" s="600" t="s">
        <v>1406</v>
      </c>
    </row>
    <row r="1279" spans="1:21">
      <c r="A1279" s="603"/>
      <c r="B1279" s="418">
        <v>20240516</v>
      </c>
      <c r="C1279" s="418">
        <v>7.24</v>
      </c>
      <c r="D1279" s="418" t="s">
        <v>7878</v>
      </c>
      <c r="E1279" s="419" t="s">
        <v>7879</v>
      </c>
      <c r="F1279" s="420" t="s">
        <v>1933</v>
      </c>
      <c r="G1279" s="604" t="s">
        <v>2342</v>
      </c>
      <c r="H1279" s="422" t="s">
        <v>1913</v>
      </c>
      <c r="I1279" s="422" t="s">
        <v>1428</v>
      </c>
      <c r="J1279" s="428">
        <v>145</v>
      </c>
      <c r="K1279" s="421" t="s">
        <v>1428</v>
      </c>
      <c r="L1279" s="421" t="s">
        <v>1428</v>
      </c>
      <c r="M1279" s="421" t="s">
        <v>1428</v>
      </c>
      <c r="N1279" s="605">
        <v>3.82102521031356</v>
      </c>
      <c r="O1279" s="605">
        <v>14.8227437587122</v>
      </c>
      <c r="P1279" s="424" t="s">
        <v>1428</v>
      </c>
      <c r="Q1279" s="424">
        <v>2.88823119777159</v>
      </c>
      <c r="R1279" s="424">
        <v>168.729857289032</v>
      </c>
      <c r="S1279" s="420" t="s">
        <v>1526</v>
      </c>
      <c r="T1279" s="418" t="s">
        <v>7433</v>
      </c>
      <c r="U1279" s="600"/>
    </row>
    <row r="1281" spans="1:21">
      <c r="A1281" s="195" t="s">
        <v>7853</v>
      </c>
      <c r="B1281" s="195"/>
      <c r="C1281" s="195"/>
      <c r="D1281" s="195"/>
      <c r="E1281" s="196"/>
      <c r="F1281" s="196"/>
      <c r="G1281" s="197"/>
      <c r="H1281" s="198"/>
      <c r="I1281" s="198"/>
      <c r="J1281" s="199"/>
      <c r="K1281" s="296"/>
      <c r="L1281" s="296"/>
      <c r="M1281" s="200"/>
      <c r="N1281" s="297"/>
      <c r="O1281" s="201"/>
      <c r="P1281" s="197"/>
      <c r="Q1281" s="202"/>
      <c r="R1281" s="202"/>
      <c r="S1281" s="203"/>
      <c r="T1281" s="80"/>
      <c r="U1281" s="81"/>
    </row>
    <row r="1282" spans="1:21">
      <c r="A1282" s="224" t="s">
        <v>1</v>
      </c>
      <c r="B1282" s="224"/>
      <c r="C1282" s="224"/>
      <c r="D1282" s="224"/>
      <c r="E1282" s="75" t="s">
        <v>5</v>
      </c>
      <c r="F1282" s="75" t="s">
        <v>1933</v>
      </c>
      <c r="G1282" s="75" t="s">
        <v>4102</v>
      </c>
      <c r="H1282" s="75" t="s">
        <v>4541</v>
      </c>
      <c r="I1282" s="75" t="s">
        <v>1497</v>
      </c>
      <c r="J1282" s="75" t="s">
        <v>4102</v>
      </c>
      <c r="K1282" s="75" t="s">
        <v>4103</v>
      </c>
      <c r="L1282" s="75" t="s">
        <v>4104</v>
      </c>
      <c r="M1282" s="75" t="s">
        <v>1497</v>
      </c>
      <c r="N1282" s="75" t="s">
        <v>6</v>
      </c>
      <c r="O1282" s="75" t="s">
        <v>7</v>
      </c>
      <c r="P1282" s="75" t="s">
        <v>5211</v>
      </c>
      <c r="Q1282" s="75" t="s">
        <v>8</v>
      </c>
      <c r="R1282" s="75" t="s">
        <v>9</v>
      </c>
      <c r="S1282" s="75" t="s">
        <v>4105</v>
      </c>
      <c r="T1282" s="75" t="s">
        <v>10</v>
      </c>
      <c r="U1282" s="81"/>
    </row>
    <row r="1283" s="184" customFormat="1" spans="1:21">
      <c r="A1283" s="227" t="s">
        <v>979</v>
      </c>
      <c r="B1283" s="226">
        <v>20250310</v>
      </c>
      <c r="C1283" s="227">
        <v>7.25</v>
      </c>
      <c r="D1283" s="226" t="s">
        <v>7880</v>
      </c>
      <c r="E1283" s="228" t="s">
        <v>1685</v>
      </c>
      <c r="F1283" s="229" t="s">
        <v>7557</v>
      </c>
      <c r="G1283" s="227" t="s">
        <v>3542</v>
      </c>
      <c r="H1283" s="227" t="s">
        <v>3624</v>
      </c>
      <c r="I1283" s="227" t="s">
        <v>1742</v>
      </c>
      <c r="J1283" s="227">
        <v>30</v>
      </c>
      <c r="K1283" s="227" t="s">
        <v>1428</v>
      </c>
      <c r="L1283" s="247" t="s">
        <v>1428</v>
      </c>
      <c r="M1283" s="598">
        <v>6</v>
      </c>
      <c r="N1283" s="232">
        <v>2.70216446983558</v>
      </c>
      <c r="O1283" s="232">
        <v>13.6634382386787</v>
      </c>
      <c r="P1283" s="227"/>
      <c r="Q1283" s="231">
        <v>3</v>
      </c>
      <c r="R1283" s="231">
        <f>SUM(J1283:Q1283)</f>
        <v>55.3656027085143</v>
      </c>
      <c r="S1283" s="229" t="s">
        <v>7278</v>
      </c>
      <c r="T1283" s="226" t="s">
        <v>7881</v>
      </c>
      <c r="U1283" s="236"/>
    </row>
    <row r="1288" spans="1:21">
      <c r="A1288" s="195" t="s">
        <v>7853</v>
      </c>
      <c r="B1288" s="195"/>
      <c r="C1288" s="195"/>
      <c r="D1288" s="195"/>
      <c r="E1288" s="196"/>
      <c r="F1288" s="196"/>
      <c r="G1288" s="197"/>
      <c r="H1288" s="198"/>
      <c r="I1288" s="198"/>
      <c r="J1288" s="199"/>
      <c r="K1288" s="296"/>
      <c r="L1288" s="296"/>
      <c r="M1288" s="200"/>
      <c r="N1288" s="297"/>
      <c r="O1288" s="201"/>
      <c r="P1288" s="197"/>
      <c r="Q1288" s="202"/>
      <c r="R1288" s="202"/>
      <c r="S1288" s="203"/>
      <c r="T1288" s="80"/>
    </row>
    <row r="1289" spans="1:21">
      <c r="A1289" s="224" t="s">
        <v>1</v>
      </c>
      <c r="B1289" s="224"/>
      <c r="C1289" s="224"/>
      <c r="D1289" s="224"/>
      <c r="E1289" s="75" t="s">
        <v>5</v>
      </c>
      <c r="F1289" s="75" t="s">
        <v>1933</v>
      </c>
      <c r="G1289" s="75" t="s">
        <v>4102</v>
      </c>
      <c r="H1289" s="75" t="s">
        <v>4541</v>
      </c>
      <c r="I1289" s="75" t="s">
        <v>1497</v>
      </c>
      <c r="J1289" s="75" t="s">
        <v>4102</v>
      </c>
      <c r="K1289" s="75" t="s">
        <v>4103</v>
      </c>
      <c r="L1289" s="75" t="s">
        <v>4104</v>
      </c>
      <c r="M1289" s="75" t="s">
        <v>1497</v>
      </c>
      <c r="N1289" s="75" t="s">
        <v>6</v>
      </c>
      <c r="O1289" s="75" t="s">
        <v>7</v>
      </c>
      <c r="P1289" s="75" t="s">
        <v>5211</v>
      </c>
      <c r="Q1289" s="75" t="s">
        <v>8</v>
      </c>
      <c r="R1289" s="75" t="s">
        <v>9</v>
      </c>
      <c r="S1289" s="75" t="s">
        <v>4105</v>
      </c>
      <c r="T1289" s="75" t="s">
        <v>10</v>
      </c>
    </row>
    <row r="1290" s="184" customFormat="1" spans="1:21">
      <c r="A1290" s="227" t="s">
        <v>7407</v>
      </c>
      <c r="B1290" s="226">
        <v>20250116</v>
      </c>
      <c r="C1290" s="227">
        <v>7.3</v>
      </c>
      <c r="D1290" s="226" t="s">
        <v>7882</v>
      </c>
      <c r="E1290" s="228" t="s">
        <v>7883</v>
      </c>
      <c r="F1290" s="229" t="s">
        <v>2801</v>
      </c>
      <c r="G1290" s="227" t="s">
        <v>2354</v>
      </c>
      <c r="H1290" s="227" t="s">
        <v>1913</v>
      </c>
      <c r="I1290" s="227" t="s">
        <v>1428</v>
      </c>
      <c r="J1290" s="227">
        <v>125</v>
      </c>
      <c r="K1290" s="227" t="s">
        <v>1428</v>
      </c>
      <c r="L1290" s="247" t="s">
        <v>1428</v>
      </c>
      <c r="M1290" s="598" t="s">
        <v>1428</v>
      </c>
      <c r="N1290" s="232">
        <v>3.82102521031356</v>
      </c>
      <c r="O1290" s="232">
        <v>11.7990205396533</v>
      </c>
      <c r="P1290" s="227"/>
      <c r="Q1290" s="231">
        <v>2.88823119777159</v>
      </c>
      <c r="R1290" s="231">
        <f>SUM(J1290:Q1290)</f>
        <v>143.508276947738</v>
      </c>
      <c r="S1290" s="229" t="s">
        <v>1526</v>
      </c>
      <c r="T1290" s="226" t="s">
        <v>7884</v>
      </c>
      <c r="U1290" s="236"/>
    </row>
    <row r="1291" s="184" customFormat="1" spans="1:21">
      <c r="A1291" s="227"/>
      <c r="B1291" s="226">
        <v>20241016</v>
      </c>
      <c r="C1291" s="227">
        <v>7.1</v>
      </c>
      <c r="D1291" s="226" t="s">
        <v>172</v>
      </c>
      <c r="E1291" s="228" t="s">
        <v>173</v>
      </c>
      <c r="F1291" s="229"/>
      <c r="G1291" s="227"/>
      <c r="H1291" s="227"/>
      <c r="I1291" s="227"/>
      <c r="J1291" s="227"/>
      <c r="K1291" s="227"/>
      <c r="L1291" s="247"/>
      <c r="M1291" s="598"/>
      <c r="N1291" s="232">
        <v>0.47728098617882</v>
      </c>
      <c r="O1291" s="232">
        <v>3.99468865312347</v>
      </c>
      <c r="P1291" s="227" t="s">
        <v>1428</v>
      </c>
      <c r="Q1291" s="231">
        <v>0.4</v>
      </c>
      <c r="R1291" s="231">
        <f>SUM(J1291:Q1291)</f>
        <v>4.87196963930229</v>
      </c>
      <c r="S1291" s="229"/>
      <c r="T1291" s="226" t="s">
        <v>7805</v>
      </c>
      <c r="U1291" s="236"/>
    </row>
    <row r="1292" s="184" customFormat="1" spans="1:21">
      <c r="A1292" s="227"/>
      <c r="B1292" s="226"/>
      <c r="C1292" s="227"/>
      <c r="D1292" s="226"/>
      <c r="E1292" s="228" t="s">
        <v>7481</v>
      </c>
      <c r="F1292" s="229" t="s">
        <v>7806</v>
      </c>
      <c r="G1292" s="227"/>
      <c r="H1292" s="227"/>
      <c r="I1292" s="227"/>
      <c r="J1292" s="227"/>
      <c r="K1292" s="227"/>
      <c r="L1292" s="247"/>
      <c r="M1292" s="598"/>
      <c r="N1292" s="232"/>
      <c r="O1292" s="232"/>
      <c r="P1292" s="227"/>
      <c r="Q1292" s="231"/>
      <c r="R1292" s="231">
        <v>8</v>
      </c>
      <c r="S1292" s="229" t="s">
        <v>7569</v>
      </c>
      <c r="T1292" s="226" t="s">
        <v>7885</v>
      </c>
      <c r="U1292" s="236"/>
    </row>
    <row r="1293" s="184" customFormat="1" spans="1:21">
      <c r="A1293" s="227"/>
      <c r="B1293" s="226"/>
      <c r="C1293" s="227"/>
      <c r="D1293" s="226"/>
      <c r="E1293" s="228" t="s">
        <v>7482</v>
      </c>
      <c r="F1293" s="229" t="s">
        <v>7886</v>
      </c>
      <c r="G1293" s="227"/>
      <c r="H1293" s="227"/>
      <c r="I1293" s="227"/>
      <c r="J1293" s="227"/>
      <c r="K1293" s="227"/>
      <c r="L1293" s="247"/>
      <c r="M1293" s="598"/>
      <c r="N1293" s="232"/>
      <c r="O1293" s="232"/>
      <c r="P1293" s="227"/>
      <c r="Q1293" s="231"/>
      <c r="R1293" s="231">
        <v>26.8</v>
      </c>
      <c r="S1293" s="229" t="s">
        <v>7887</v>
      </c>
      <c r="T1293" s="226" t="s">
        <v>7888</v>
      </c>
      <c r="U1293" s="236"/>
    </row>
    <row r="1294" s="184" customFormat="1" spans="1:21">
      <c r="A1294" s="227"/>
      <c r="B1294" s="226"/>
      <c r="C1294" s="227"/>
      <c r="D1294" s="226"/>
      <c r="E1294" s="228" t="s">
        <v>7441</v>
      </c>
      <c r="F1294" s="229" t="s">
        <v>7889</v>
      </c>
      <c r="G1294" s="227"/>
      <c r="H1294" s="227"/>
      <c r="I1294" s="227"/>
      <c r="J1294" s="227"/>
      <c r="K1294" s="227"/>
      <c r="L1294" s="247"/>
      <c r="M1294" s="598"/>
      <c r="N1294" s="232"/>
      <c r="O1294" s="232"/>
      <c r="P1294" s="227"/>
      <c r="Q1294" s="231"/>
      <c r="R1294" s="231">
        <v>3.3</v>
      </c>
      <c r="S1294" s="229" t="s">
        <v>7890</v>
      </c>
      <c r="T1294" s="226" t="s">
        <v>7891</v>
      </c>
      <c r="U1294" s="236"/>
    </row>
    <row r="1302" spans="1:21">
      <c r="A1302" s="195" t="s">
        <v>7853</v>
      </c>
      <c r="B1302" s="195"/>
      <c r="C1302" s="195"/>
      <c r="D1302" s="195"/>
      <c r="E1302" s="196"/>
      <c r="F1302" s="196"/>
      <c r="G1302" s="197"/>
      <c r="H1302" s="198"/>
      <c r="I1302" s="198"/>
      <c r="J1302" s="199"/>
      <c r="K1302" s="296"/>
      <c r="L1302" s="296"/>
      <c r="M1302" s="200"/>
      <c r="N1302" s="297"/>
      <c r="O1302" s="201"/>
      <c r="P1302" s="197"/>
      <c r="Q1302" s="202"/>
      <c r="R1302" s="202"/>
      <c r="S1302" s="203"/>
      <c r="T1302" s="80"/>
    </row>
    <row r="1303" spans="1:21">
      <c r="A1303" s="224" t="s">
        <v>1</v>
      </c>
      <c r="B1303" s="224"/>
      <c r="C1303" s="224"/>
      <c r="D1303" s="224"/>
      <c r="E1303" s="75" t="s">
        <v>5</v>
      </c>
      <c r="F1303" s="75" t="s">
        <v>1933</v>
      </c>
      <c r="G1303" s="75" t="s">
        <v>4102</v>
      </c>
      <c r="H1303" s="75" t="s">
        <v>4541</v>
      </c>
      <c r="I1303" s="75" t="s">
        <v>1497</v>
      </c>
      <c r="J1303" s="75" t="s">
        <v>4102</v>
      </c>
      <c r="K1303" s="75" t="s">
        <v>4103</v>
      </c>
      <c r="L1303" s="75" t="s">
        <v>4104</v>
      </c>
      <c r="M1303" s="75" t="s">
        <v>1497</v>
      </c>
      <c r="N1303" s="75" t="s">
        <v>6</v>
      </c>
      <c r="O1303" s="75" t="s">
        <v>7</v>
      </c>
      <c r="P1303" s="75" t="s">
        <v>5211</v>
      </c>
      <c r="Q1303" s="75" t="s">
        <v>8</v>
      </c>
      <c r="R1303" s="75" t="s">
        <v>9</v>
      </c>
      <c r="S1303" s="75" t="s">
        <v>4105</v>
      </c>
      <c r="T1303" s="75" t="s">
        <v>10</v>
      </c>
    </row>
    <row r="1304" s="184" customFormat="1" spans="1:21">
      <c r="A1304" s="227" t="s">
        <v>236</v>
      </c>
      <c r="B1304" s="226">
        <v>20241203</v>
      </c>
      <c r="C1304" s="227">
        <v>7.25</v>
      </c>
      <c r="D1304" s="226" t="s">
        <v>291</v>
      </c>
      <c r="E1304" s="228" t="s">
        <v>292</v>
      </c>
      <c r="F1304" s="229"/>
      <c r="G1304" s="227"/>
      <c r="H1304" s="227"/>
      <c r="I1304" s="227"/>
      <c r="J1304" s="227"/>
      <c r="K1304" s="227"/>
      <c r="L1304" s="247"/>
      <c r="M1304" s="598"/>
      <c r="N1304" s="232">
        <v>0.462618248397925</v>
      </c>
      <c r="O1304" s="232">
        <v>2.02302296811718</v>
      </c>
      <c r="P1304" s="227"/>
      <c r="Q1304" s="231">
        <v>0.2</v>
      </c>
      <c r="R1304" s="231">
        <f>SUM(J1304:Q1304)</f>
        <v>2.6856412165151</v>
      </c>
      <c r="S1304" s="229"/>
      <c r="T1304" s="226" t="s">
        <v>257</v>
      </c>
      <c r="U1304" s="236"/>
    </row>
    <row r="1305" s="184" customFormat="1" spans="1:21">
      <c r="A1305" s="227" t="s">
        <v>350</v>
      </c>
      <c r="B1305" s="226">
        <v>20241024</v>
      </c>
      <c r="C1305" s="227">
        <v>7.11</v>
      </c>
      <c r="D1305" s="226" t="s">
        <v>2885</v>
      </c>
      <c r="E1305" s="228" t="s">
        <v>2306</v>
      </c>
      <c r="F1305" s="229" t="s">
        <v>2801</v>
      </c>
      <c r="G1305" s="227" t="s">
        <v>2886</v>
      </c>
      <c r="H1305" s="227" t="s">
        <v>1913</v>
      </c>
      <c r="I1305" s="227"/>
      <c r="J1305" s="227" t="s">
        <v>1428</v>
      </c>
      <c r="K1305" s="227"/>
      <c r="L1305" s="247"/>
      <c r="M1305" s="598"/>
      <c r="N1305" s="232">
        <v>4.64136071445996</v>
      </c>
      <c r="O1305" s="232">
        <v>27.6128933406032</v>
      </c>
      <c r="P1305" s="227" t="s">
        <v>1428</v>
      </c>
      <c r="Q1305" s="231">
        <v>3.81</v>
      </c>
      <c r="R1305" s="231">
        <f>SUM(I1305:Q1305)</f>
        <v>36.0642540550632</v>
      </c>
      <c r="S1305" s="229" t="s">
        <v>1526</v>
      </c>
      <c r="T1305" s="226" t="s">
        <v>7864</v>
      </c>
      <c r="U1305" s="236"/>
    </row>
    <row r="1309" spans="1:21">
      <c r="A1309" s="195" t="s">
        <v>7853</v>
      </c>
      <c r="B1309" s="195"/>
      <c r="C1309" s="195"/>
      <c r="D1309" s="195"/>
      <c r="E1309" s="196"/>
      <c r="F1309" s="196"/>
      <c r="G1309" s="197"/>
      <c r="H1309" s="198"/>
      <c r="I1309" s="198"/>
      <c r="J1309" s="199"/>
      <c r="K1309" s="296"/>
      <c r="L1309" s="296"/>
      <c r="M1309" s="200"/>
      <c r="N1309" s="297"/>
      <c r="O1309" s="201"/>
      <c r="P1309" s="197"/>
      <c r="Q1309" s="202"/>
      <c r="R1309" s="202"/>
      <c r="S1309" s="203"/>
      <c r="T1309" s="80"/>
    </row>
    <row r="1310" spans="1:21">
      <c r="A1310" s="224" t="s">
        <v>1</v>
      </c>
      <c r="B1310" s="224"/>
      <c r="C1310" s="224"/>
      <c r="D1310" s="224"/>
      <c r="E1310" s="75" t="s">
        <v>5</v>
      </c>
      <c r="F1310" s="75" t="s">
        <v>1933</v>
      </c>
      <c r="G1310" s="75" t="s">
        <v>4102</v>
      </c>
      <c r="H1310" s="75" t="s">
        <v>4541</v>
      </c>
      <c r="I1310" s="75" t="s">
        <v>1497</v>
      </c>
      <c r="J1310" s="75" t="s">
        <v>4102</v>
      </c>
      <c r="K1310" s="75" t="s">
        <v>4103</v>
      </c>
      <c r="L1310" s="75" t="s">
        <v>4104</v>
      </c>
      <c r="M1310" s="75" t="s">
        <v>1497</v>
      </c>
      <c r="N1310" s="75" t="s">
        <v>6</v>
      </c>
      <c r="O1310" s="75" t="s">
        <v>7</v>
      </c>
      <c r="P1310" s="75" t="s">
        <v>5211</v>
      </c>
      <c r="Q1310" s="75" t="s">
        <v>8</v>
      </c>
      <c r="R1310" s="75" t="s">
        <v>9</v>
      </c>
      <c r="S1310" s="75" t="s">
        <v>4105</v>
      </c>
      <c r="T1310" s="75" t="s">
        <v>10</v>
      </c>
    </row>
    <row r="1311" s="184" customFormat="1" spans="1:21">
      <c r="A1311" s="227" t="s">
        <v>7407</v>
      </c>
      <c r="B1311" s="226">
        <v>20241113</v>
      </c>
      <c r="C1311" s="227">
        <v>7.2</v>
      </c>
      <c r="D1311" s="226" t="s">
        <v>1405</v>
      </c>
      <c r="E1311" s="228" t="s">
        <v>21</v>
      </c>
      <c r="F1311" s="229"/>
      <c r="G1311" s="227"/>
      <c r="H1311" s="227"/>
      <c r="I1311" s="227"/>
      <c r="J1311" s="227"/>
      <c r="K1311" s="227"/>
      <c r="L1311" s="247"/>
      <c r="M1311" s="598"/>
      <c r="N1311" s="232">
        <v>0.420797825849448</v>
      </c>
      <c r="O1311" s="232">
        <v>2.50121394336898</v>
      </c>
      <c r="P1311" s="227" t="s">
        <v>1428</v>
      </c>
      <c r="Q1311" s="231">
        <v>0.4</v>
      </c>
      <c r="R1311" s="231">
        <v>3.32250365303669</v>
      </c>
      <c r="S1311" s="229"/>
      <c r="T1311" s="226" t="s">
        <v>7478</v>
      </c>
      <c r="U1311" s="236"/>
    </row>
    <row r="1312" s="184" customFormat="1" spans="1:21">
      <c r="A1312" s="227" t="s">
        <v>1333</v>
      </c>
      <c r="B1312" s="226"/>
      <c r="C1312" s="227"/>
      <c r="D1312" s="226" t="s">
        <v>7892</v>
      </c>
      <c r="E1312" s="228" t="s">
        <v>1672</v>
      </c>
      <c r="F1312" s="229" t="s">
        <v>1933</v>
      </c>
      <c r="G1312" s="227" t="s">
        <v>2342</v>
      </c>
      <c r="H1312" s="227" t="s">
        <v>1913</v>
      </c>
      <c r="I1312" s="227" t="s">
        <v>1428</v>
      </c>
      <c r="J1312" s="227">
        <v>145</v>
      </c>
      <c r="K1312" s="227" t="s">
        <v>1428</v>
      </c>
      <c r="L1312" s="247" t="s">
        <v>1428</v>
      </c>
      <c r="M1312" s="598" t="s">
        <v>1428</v>
      </c>
      <c r="N1312" s="232">
        <v>5.21806092015841</v>
      </c>
      <c r="O1312" s="232">
        <v>19.9896746415181</v>
      </c>
      <c r="P1312" s="227" t="s">
        <v>1428</v>
      </c>
      <c r="Q1312" s="231">
        <v>3.10746169916435</v>
      </c>
      <c r="R1312" s="231">
        <v>173.315197260841</v>
      </c>
      <c r="S1312" s="229" t="s">
        <v>1526</v>
      </c>
      <c r="T1312" s="226" t="s">
        <v>7893</v>
      </c>
      <c r="U1312" s="236"/>
    </row>
    <row r="1313" s="184" customFormat="1" spans="1:21">
      <c r="A1313" s="227" t="s">
        <v>1333</v>
      </c>
      <c r="B1313" s="226">
        <v>20240829</v>
      </c>
      <c r="C1313" s="227">
        <v>7.12</v>
      </c>
      <c r="D1313" s="226" t="s">
        <v>80</v>
      </c>
      <c r="E1313" s="228" t="s">
        <v>81</v>
      </c>
      <c r="F1313" s="229"/>
      <c r="G1313" s="227"/>
      <c r="H1313" s="227"/>
      <c r="I1313" s="227"/>
      <c r="J1313" s="227"/>
      <c r="K1313" s="227"/>
      <c r="L1313" s="247"/>
      <c r="M1313" s="598"/>
      <c r="N1313" s="232">
        <v>0.478400225456471</v>
      </c>
      <c r="O1313" s="232">
        <v>2.73923422346851</v>
      </c>
      <c r="P1313" s="227" t="s">
        <v>1428</v>
      </c>
      <c r="Q1313" s="231">
        <v>0.4</v>
      </c>
      <c r="R1313" s="231">
        <v>3.61763444892498</v>
      </c>
      <c r="S1313" s="229"/>
      <c r="T1313" s="226" t="s">
        <v>2629</v>
      </c>
      <c r="U1313" s="236"/>
    </row>
    <row r="1314" s="184" customFormat="1" spans="1:21">
      <c r="A1314" s="227" t="s">
        <v>3547</v>
      </c>
      <c r="B1314" s="226">
        <v>20241210</v>
      </c>
      <c r="C1314" s="227">
        <v>7.3</v>
      </c>
      <c r="D1314" s="226" t="s">
        <v>3573</v>
      </c>
      <c r="E1314" s="228" t="s">
        <v>667</v>
      </c>
      <c r="F1314" s="229" t="s">
        <v>1933</v>
      </c>
      <c r="G1314" s="227" t="s">
        <v>3541</v>
      </c>
      <c r="H1314" s="227" t="s">
        <v>1913</v>
      </c>
      <c r="I1314" s="227" t="s">
        <v>1428</v>
      </c>
      <c r="J1314" s="227">
        <v>27</v>
      </c>
      <c r="K1314" s="227" t="s">
        <v>1428</v>
      </c>
      <c r="L1314" s="247" t="s">
        <v>1428</v>
      </c>
      <c r="M1314" s="598" t="s">
        <v>1428</v>
      </c>
      <c r="N1314" s="232">
        <v>3.20749785295545</v>
      </c>
      <c r="O1314" s="232">
        <v>11.5744354861467</v>
      </c>
      <c r="P1314" s="227" t="s">
        <v>1428</v>
      </c>
      <c r="Q1314" s="231">
        <v>3</v>
      </c>
      <c r="R1314" s="231">
        <f>SUM(J1314:Q1314)</f>
        <v>44.7819333391021</v>
      </c>
      <c r="S1314" s="229" t="s">
        <v>1526</v>
      </c>
      <c r="T1314" s="226" t="s">
        <v>3574</v>
      </c>
      <c r="U1314" s="236"/>
    </row>
    <row r="1318" spans="1:21">
      <c r="A1318" s="195" t="s">
        <v>7853</v>
      </c>
      <c r="B1318" s="195"/>
      <c r="C1318" s="195"/>
      <c r="D1318" s="195"/>
      <c r="E1318" s="196"/>
      <c r="F1318" s="196"/>
      <c r="G1318" s="197"/>
      <c r="H1318" s="198"/>
      <c r="I1318" s="198"/>
      <c r="J1318" s="199"/>
      <c r="K1318" s="296"/>
      <c r="L1318" s="296"/>
      <c r="M1318" s="200"/>
      <c r="N1318" s="297"/>
      <c r="O1318" s="201"/>
      <c r="P1318" s="197"/>
      <c r="Q1318" s="202"/>
      <c r="R1318" s="202"/>
      <c r="S1318" s="203"/>
      <c r="T1318" s="80"/>
    </row>
    <row r="1319" spans="1:21">
      <c r="A1319" s="224" t="s">
        <v>1</v>
      </c>
      <c r="B1319" s="224"/>
      <c r="C1319" s="224"/>
      <c r="D1319" s="224"/>
      <c r="E1319" s="75" t="s">
        <v>5</v>
      </c>
      <c r="F1319" s="75" t="s">
        <v>1933</v>
      </c>
      <c r="G1319" s="75" t="s">
        <v>4102</v>
      </c>
      <c r="H1319" s="75" t="s">
        <v>4541</v>
      </c>
      <c r="I1319" s="75" t="s">
        <v>1497</v>
      </c>
      <c r="J1319" s="75" t="s">
        <v>4102</v>
      </c>
      <c r="K1319" s="75" t="s">
        <v>4103</v>
      </c>
      <c r="L1319" s="75" t="s">
        <v>4104</v>
      </c>
      <c r="M1319" s="75" t="s">
        <v>1497</v>
      </c>
      <c r="N1319" s="75" t="s">
        <v>6</v>
      </c>
      <c r="O1319" s="75" t="s">
        <v>7</v>
      </c>
      <c r="P1319" s="75" t="s">
        <v>5211</v>
      </c>
      <c r="Q1319" s="75" t="s">
        <v>8</v>
      </c>
      <c r="R1319" s="75" t="s">
        <v>9</v>
      </c>
      <c r="S1319" s="75" t="s">
        <v>4105</v>
      </c>
      <c r="T1319" s="75" t="s">
        <v>10</v>
      </c>
    </row>
    <row r="1320" s="184" customFormat="1" spans="1:21">
      <c r="A1320" s="227" t="s">
        <v>7414</v>
      </c>
      <c r="B1320" s="226">
        <v>20241113</v>
      </c>
      <c r="C1320" s="227">
        <v>7.2</v>
      </c>
      <c r="D1320" s="226" t="s">
        <v>184</v>
      </c>
      <c r="E1320" s="228" t="s">
        <v>185</v>
      </c>
      <c r="F1320" s="229"/>
      <c r="G1320" s="227"/>
      <c r="H1320" s="227"/>
      <c r="I1320" s="227"/>
      <c r="J1320" s="227"/>
      <c r="K1320" s="227"/>
      <c r="L1320" s="247"/>
      <c r="M1320" s="598"/>
      <c r="N1320" s="232">
        <v>0.42946131049929</v>
      </c>
      <c r="O1320" s="232">
        <v>1.39643861380421</v>
      </c>
      <c r="P1320" s="227"/>
      <c r="Q1320" s="231">
        <v>0.2</v>
      </c>
      <c r="R1320" s="231">
        <f t="shared" ref="R1320:R1325" si="8">SUM(J1320:Q1320)</f>
        <v>2.0258999243035</v>
      </c>
      <c r="S1320" s="229"/>
      <c r="T1320" s="226" t="s">
        <v>186</v>
      </c>
      <c r="U1320" s="236"/>
    </row>
    <row r="1321" s="184" customFormat="1" spans="1:21">
      <c r="A1321" s="227" t="s">
        <v>7414</v>
      </c>
      <c r="B1321" s="226">
        <v>20241122</v>
      </c>
      <c r="C1321" s="227">
        <v>7.2</v>
      </c>
      <c r="D1321" s="226" t="s">
        <v>7894</v>
      </c>
      <c r="E1321" s="228" t="s">
        <v>1593</v>
      </c>
      <c r="F1321" s="229" t="s">
        <v>2801</v>
      </c>
      <c r="G1321" s="227" t="s">
        <v>2323</v>
      </c>
      <c r="H1321" s="227" t="s">
        <v>4474</v>
      </c>
      <c r="I1321" s="227" t="s">
        <v>1635</v>
      </c>
      <c r="J1321" s="227">
        <v>65</v>
      </c>
      <c r="K1321" s="227">
        <f>7*4</f>
        <v>28</v>
      </c>
      <c r="L1321" s="247"/>
      <c r="M1321" s="598">
        <v>3.3</v>
      </c>
      <c r="N1321" s="232">
        <v>3.00127861083797</v>
      </c>
      <c r="O1321" s="232">
        <v>13.6834404193656</v>
      </c>
      <c r="P1321" s="227"/>
      <c r="Q1321" s="231">
        <v>2.95826013351263</v>
      </c>
      <c r="R1321" s="231">
        <f t="shared" si="8"/>
        <v>115.942979163716</v>
      </c>
      <c r="S1321" s="229" t="s">
        <v>3995</v>
      </c>
      <c r="T1321" s="226" t="s">
        <v>7895</v>
      </c>
      <c r="U1321" s="236"/>
    </row>
    <row r="1322" s="184" customFormat="1" spans="1:21">
      <c r="A1322" s="227" t="s">
        <v>7414</v>
      </c>
      <c r="B1322" s="226">
        <v>20250314</v>
      </c>
      <c r="C1322" s="227">
        <v>7.25</v>
      </c>
      <c r="D1322" s="226" t="s">
        <v>7896</v>
      </c>
      <c r="E1322" s="228" t="s">
        <v>2320</v>
      </c>
      <c r="F1322" s="229" t="s">
        <v>2801</v>
      </c>
      <c r="G1322" s="227" t="s">
        <v>2354</v>
      </c>
      <c r="H1322" s="227" t="s">
        <v>4174</v>
      </c>
      <c r="I1322" s="227" t="s">
        <v>1635</v>
      </c>
      <c r="J1322" s="227">
        <v>125</v>
      </c>
      <c r="K1322" s="227">
        <f>6*4</f>
        <v>24</v>
      </c>
      <c r="L1322" s="247"/>
      <c r="M1322" s="598">
        <v>3.3</v>
      </c>
      <c r="N1322" s="232">
        <v>2.96016520521006</v>
      </c>
      <c r="O1322" s="232">
        <v>10.661683303494</v>
      </c>
      <c r="P1322" s="227"/>
      <c r="Q1322" s="231">
        <v>2.96002441257247</v>
      </c>
      <c r="R1322" s="231">
        <f t="shared" si="8"/>
        <v>168.881872921277</v>
      </c>
      <c r="S1322" s="229" t="s">
        <v>2579</v>
      </c>
      <c r="T1322" s="226" t="s">
        <v>7897</v>
      </c>
      <c r="U1322" s="236"/>
    </row>
    <row r="1323" s="184" customFormat="1" spans="1:21">
      <c r="A1323" s="227" t="s">
        <v>1333</v>
      </c>
      <c r="B1323" s="226"/>
      <c r="C1323" s="227"/>
      <c r="D1323" s="226" t="s">
        <v>7898</v>
      </c>
      <c r="E1323" s="228" t="s">
        <v>1669</v>
      </c>
      <c r="F1323" s="229" t="s">
        <v>1933</v>
      </c>
      <c r="G1323" s="227" t="s">
        <v>2566</v>
      </c>
      <c r="H1323" s="227" t="s">
        <v>1913</v>
      </c>
      <c r="I1323" s="227" t="s">
        <v>1428</v>
      </c>
      <c r="J1323" s="227" t="s">
        <v>1428</v>
      </c>
      <c r="K1323" s="227" t="s">
        <v>1428</v>
      </c>
      <c r="L1323" s="247" t="s">
        <v>1428</v>
      </c>
      <c r="M1323" s="598" t="s">
        <v>1428</v>
      </c>
      <c r="N1323" s="232">
        <v>5.21806092015841</v>
      </c>
      <c r="O1323" s="232">
        <v>22.0701512989278</v>
      </c>
      <c r="P1323" s="227" t="s">
        <v>1428</v>
      </c>
      <c r="Q1323" s="231">
        <v>3.10746169916435</v>
      </c>
      <c r="R1323" s="231">
        <f t="shared" si="8"/>
        <v>30.3956739182506</v>
      </c>
      <c r="S1323" s="229" t="s">
        <v>1526</v>
      </c>
      <c r="T1323" s="226" t="s">
        <v>7899</v>
      </c>
      <c r="U1323" s="236"/>
    </row>
    <row r="1324" s="184" customFormat="1" spans="1:21">
      <c r="A1324" s="227"/>
      <c r="B1324" s="226"/>
      <c r="C1324" s="227"/>
      <c r="D1324" s="226"/>
      <c r="E1324" s="228" t="s">
        <v>81</v>
      </c>
      <c r="F1324" s="229"/>
      <c r="G1324" s="227"/>
      <c r="H1324" s="227"/>
      <c r="I1324" s="227"/>
      <c r="J1324" s="227"/>
      <c r="K1324" s="227"/>
      <c r="L1324" s="247"/>
      <c r="M1324" s="598"/>
      <c r="N1324" s="232">
        <v>0.478400225456471</v>
      </c>
      <c r="O1324" s="232">
        <v>2.73923422346851</v>
      </c>
      <c r="P1324" s="227" t="s">
        <v>1428</v>
      </c>
      <c r="Q1324" s="231">
        <v>0.4</v>
      </c>
      <c r="R1324" s="231">
        <f t="shared" si="8"/>
        <v>3.61763444892498</v>
      </c>
      <c r="S1324" s="229"/>
      <c r="T1324" s="226" t="s">
        <v>2629</v>
      </c>
      <c r="U1324" s="236"/>
    </row>
    <row r="1325" s="184" customFormat="1" spans="1:21">
      <c r="A1325" s="227"/>
      <c r="B1325" s="226"/>
      <c r="C1325" s="227"/>
      <c r="D1325" s="226"/>
      <c r="E1325" s="228" t="s">
        <v>84</v>
      </c>
      <c r="F1325" s="229"/>
      <c r="G1325" s="227"/>
      <c r="H1325" s="227"/>
      <c r="I1325" s="227"/>
      <c r="J1325" s="227"/>
      <c r="K1325" s="227"/>
      <c r="L1325" s="247"/>
      <c r="M1325" s="598"/>
      <c r="N1325" s="232">
        <v>0.430186823992134</v>
      </c>
      <c r="O1325" s="232">
        <v>3.16456055927237</v>
      </c>
      <c r="P1325" s="227" t="s">
        <v>1428</v>
      </c>
      <c r="Q1325" s="231">
        <v>0.4</v>
      </c>
      <c r="R1325" s="231">
        <f t="shared" si="8"/>
        <v>3.9947473832645</v>
      </c>
      <c r="S1325" s="229"/>
      <c r="T1325" s="226" t="s">
        <v>2628</v>
      </c>
      <c r="U1325" s="236"/>
    </row>
    <row r="1331" spans="1:21">
      <c r="A1331" s="195" t="s">
        <v>7853</v>
      </c>
      <c r="B1331" s="195"/>
      <c r="C1331" s="195"/>
      <c r="D1331" s="195"/>
      <c r="E1331" s="196"/>
      <c r="F1331" s="196"/>
      <c r="G1331" s="197"/>
      <c r="H1331" s="198"/>
      <c r="I1331" s="198"/>
      <c r="J1331" s="199"/>
      <c r="K1331" s="200"/>
      <c r="L1331" s="296"/>
      <c r="M1331" s="200"/>
      <c r="N1331" s="201"/>
      <c r="O1331" s="201"/>
      <c r="P1331" s="197"/>
      <c r="Q1331" s="202"/>
      <c r="R1331" s="202"/>
      <c r="S1331" s="203"/>
      <c r="T1331" s="80"/>
    </row>
    <row r="1332" spans="1:21">
      <c r="A1332" s="50" t="s">
        <v>1</v>
      </c>
      <c r="B1332" s="265" t="s">
        <v>2</v>
      </c>
      <c r="C1332" s="265" t="s">
        <v>1493</v>
      </c>
      <c r="D1332" s="265" t="s">
        <v>4</v>
      </c>
      <c r="E1332" s="75" t="s">
        <v>5</v>
      </c>
      <c r="F1332" s="75" t="s">
        <v>1933</v>
      </c>
      <c r="G1332" s="75" t="s">
        <v>4102</v>
      </c>
      <c r="H1332" s="75" t="s">
        <v>4541</v>
      </c>
      <c r="I1332" s="75" t="s">
        <v>1497</v>
      </c>
      <c r="J1332" s="75" t="s">
        <v>4102</v>
      </c>
      <c r="K1332" s="75" t="s">
        <v>4103</v>
      </c>
      <c r="L1332" s="75" t="s">
        <v>4104</v>
      </c>
      <c r="M1332" s="75" t="s">
        <v>1497</v>
      </c>
      <c r="N1332" s="75" t="s">
        <v>6</v>
      </c>
      <c r="O1332" s="75" t="s">
        <v>7</v>
      </c>
      <c r="P1332" s="75" t="s">
        <v>5211</v>
      </c>
      <c r="Q1332" s="75" t="s">
        <v>8</v>
      </c>
      <c r="R1332" s="75" t="s">
        <v>9</v>
      </c>
      <c r="S1332" s="75" t="s">
        <v>4105</v>
      </c>
      <c r="T1332" s="75" t="s">
        <v>10</v>
      </c>
    </row>
    <row r="1333" s="184" customFormat="1" spans="1:21">
      <c r="A1333" s="227" t="s">
        <v>7826</v>
      </c>
      <c r="B1333" s="226">
        <v>20250114</v>
      </c>
      <c r="C1333" s="227">
        <v>7.3</v>
      </c>
      <c r="D1333" s="226" t="s">
        <v>7900</v>
      </c>
      <c r="E1333" s="228" t="s">
        <v>1565</v>
      </c>
      <c r="F1333" s="229" t="s">
        <v>7557</v>
      </c>
      <c r="G1333" s="227" t="s">
        <v>3855</v>
      </c>
      <c r="H1333" s="227" t="s">
        <v>1913</v>
      </c>
      <c r="I1333" s="227" t="s">
        <v>1428</v>
      </c>
      <c r="J1333" s="227">
        <v>24</v>
      </c>
      <c r="K1333" s="227" t="s">
        <v>1428</v>
      </c>
      <c r="L1333" s="247" t="s">
        <v>1428</v>
      </c>
      <c r="M1333" s="598" t="s">
        <v>1428</v>
      </c>
      <c r="N1333" s="232">
        <v>4.70891974366799</v>
      </c>
      <c r="O1333" s="232">
        <v>10.5291662169475</v>
      </c>
      <c r="P1333" s="227" t="s">
        <v>1428</v>
      </c>
      <c r="Q1333" s="231">
        <v>3</v>
      </c>
      <c r="R1333" s="231">
        <v>42.2380859606155</v>
      </c>
      <c r="S1333" s="229" t="s">
        <v>1526</v>
      </c>
      <c r="T1333" s="226" t="s">
        <v>7901</v>
      </c>
      <c r="U1333" s="236"/>
    </row>
    <row r="1338" spans="1:21">
      <c r="A1338" s="195" t="s">
        <v>7853</v>
      </c>
      <c r="B1338" s="195"/>
      <c r="C1338" s="195"/>
      <c r="D1338" s="195"/>
      <c r="E1338" s="196"/>
      <c r="F1338" s="196"/>
      <c r="G1338" s="197"/>
      <c r="H1338" s="198"/>
      <c r="I1338" s="198"/>
      <c r="J1338" s="199"/>
      <c r="K1338" s="200"/>
      <c r="L1338" s="200"/>
      <c r="M1338" s="200"/>
      <c r="N1338" s="201"/>
      <c r="O1338" s="201"/>
      <c r="P1338" s="197"/>
      <c r="Q1338" s="202"/>
      <c r="R1338" s="202"/>
      <c r="S1338" s="203"/>
      <c r="T1338" s="80"/>
      <c r="U1338" s="81"/>
    </row>
    <row r="1339" spans="1:21">
      <c r="A1339" s="224" t="s">
        <v>1</v>
      </c>
      <c r="B1339" s="224" t="s">
        <v>2</v>
      </c>
      <c r="C1339" s="224" t="s">
        <v>1493</v>
      </c>
      <c r="D1339" s="206" t="s">
        <v>4</v>
      </c>
      <c r="E1339" s="75" t="s">
        <v>5</v>
      </c>
      <c r="F1339" s="75" t="s">
        <v>1933</v>
      </c>
      <c r="G1339" s="75" t="s">
        <v>4102</v>
      </c>
      <c r="H1339" s="75" t="s">
        <v>4541</v>
      </c>
      <c r="I1339" s="75" t="s">
        <v>1497</v>
      </c>
      <c r="J1339" s="75" t="s">
        <v>4102</v>
      </c>
      <c r="K1339" s="75" t="s">
        <v>4103</v>
      </c>
      <c r="L1339" s="75" t="s">
        <v>4104</v>
      </c>
      <c r="M1339" s="75" t="s">
        <v>1497</v>
      </c>
      <c r="N1339" s="75" t="s">
        <v>6</v>
      </c>
      <c r="O1339" s="75" t="s">
        <v>7</v>
      </c>
      <c r="P1339" s="75" t="s">
        <v>5211</v>
      </c>
      <c r="Q1339" s="75" t="s">
        <v>8</v>
      </c>
      <c r="R1339" s="75" t="s">
        <v>9</v>
      </c>
      <c r="S1339" s="75" t="s">
        <v>4105</v>
      </c>
      <c r="T1339" s="75" t="s">
        <v>10</v>
      </c>
      <c r="U1339" s="327"/>
    </row>
    <row r="1340" spans="1:21">
      <c r="A1340" s="606" t="s">
        <v>3362</v>
      </c>
      <c r="B1340" s="607">
        <v>20241114</v>
      </c>
      <c r="C1340" s="608">
        <v>7.2</v>
      </c>
      <c r="D1340" s="607" t="s">
        <v>3742</v>
      </c>
      <c r="E1340" s="609" t="s">
        <v>1581</v>
      </c>
      <c r="F1340" s="610" t="s">
        <v>4189</v>
      </c>
      <c r="G1340" s="608" t="s">
        <v>3541</v>
      </c>
      <c r="H1340" s="608" t="s">
        <v>1913</v>
      </c>
      <c r="I1340" s="608" t="s">
        <v>1633</v>
      </c>
      <c r="J1340" s="608">
        <v>27</v>
      </c>
      <c r="K1340" s="608" t="s">
        <v>1428</v>
      </c>
      <c r="L1340" s="608" t="s">
        <v>1428</v>
      </c>
      <c r="M1340" s="608">
        <v>1.72</v>
      </c>
      <c r="N1340" s="611">
        <v>2.11870233994128</v>
      </c>
      <c r="O1340" s="611">
        <v>9.19574214865935</v>
      </c>
      <c r="P1340" s="608" t="s">
        <v>1428</v>
      </c>
      <c r="Q1340" s="612">
        <v>2.42925</v>
      </c>
      <c r="R1340" s="611">
        <v>42.4636944886006</v>
      </c>
      <c r="S1340" s="613" t="s">
        <v>1526</v>
      </c>
      <c r="T1340" s="609" t="s">
        <v>7404</v>
      </c>
      <c r="U1340" s="614"/>
    </row>
    <row r="1343" spans="1:21">
      <c r="A1343" s="195" t="s">
        <v>7853</v>
      </c>
      <c r="B1343" s="195"/>
      <c r="C1343" s="195"/>
      <c r="D1343" s="195"/>
      <c r="E1343" s="196"/>
      <c r="F1343" s="196"/>
      <c r="G1343" s="197"/>
      <c r="H1343" s="198"/>
      <c r="I1343" s="198"/>
      <c r="J1343" s="199"/>
      <c r="K1343" s="200"/>
      <c r="L1343" s="200"/>
      <c r="M1343" s="200"/>
      <c r="N1343" s="201"/>
      <c r="O1343" s="201"/>
      <c r="P1343" s="197"/>
      <c r="Q1343" s="202"/>
      <c r="R1343" s="202"/>
      <c r="S1343" s="203"/>
      <c r="T1343" s="80"/>
      <c r="U1343" s="81"/>
    </row>
    <row r="1344" spans="1:21">
      <c r="A1344" s="224" t="s">
        <v>1</v>
      </c>
      <c r="B1344" s="224" t="s">
        <v>2</v>
      </c>
      <c r="C1344" s="224" t="s">
        <v>1493</v>
      </c>
      <c r="D1344" s="206" t="s">
        <v>4</v>
      </c>
      <c r="E1344" s="75" t="s">
        <v>5</v>
      </c>
      <c r="F1344" s="75" t="s">
        <v>1933</v>
      </c>
      <c r="G1344" s="75" t="s">
        <v>4102</v>
      </c>
      <c r="H1344" s="75" t="s">
        <v>4541</v>
      </c>
      <c r="I1344" s="75" t="s">
        <v>1497</v>
      </c>
      <c r="J1344" s="75" t="s">
        <v>4102</v>
      </c>
      <c r="K1344" s="75" t="s">
        <v>4103</v>
      </c>
      <c r="L1344" s="75" t="s">
        <v>4104</v>
      </c>
      <c r="M1344" s="75" t="s">
        <v>1497</v>
      </c>
      <c r="N1344" s="75" t="s">
        <v>6</v>
      </c>
      <c r="O1344" s="75" t="s">
        <v>7</v>
      </c>
      <c r="P1344" s="75" t="s">
        <v>5211</v>
      </c>
      <c r="Q1344" s="75" t="s">
        <v>8</v>
      </c>
      <c r="R1344" s="75" t="s">
        <v>9</v>
      </c>
      <c r="S1344" s="75" t="s">
        <v>4105</v>
      </c>
      <c r="T1344" s="75" t="s">
        <v>10</v>
      </c>
      <c r="U1344" s="327"/>
    </row>
    <row r="1345" s="184" customFormat="1" spans="1:21">
      <c r="A1345" s="227" t="s">
        <v>3362</v>
      </c>
      <c r="B1345" s="226">
        <v>20241114</v>
      </c>
      <c r="C1345" s="227">
        <v>7.2</v>
      </c>
      <c r="D1345" s="226" t="s">
        <v>3742</v>
      </c>
      <c r="E1345" s="228" t="s">
        <v>1581</v>
      </c>
      <c r="F1345" s="229" t="s">
        <v>4189</v>
      </c>
      <c r="G1345" s="227" t="s">
        <v>3541</v>
      </c>
      <c r="H1345" s="227" t="s">
        <v>1913</v>
      </c>
      <c r="I1345" s="227" t="s">
        <v>1633</v>
      </c>
      <c r="J1345" s="227">
        <v>27</v>
      </c>
      <c r="K1345" s="227" t="s">
        <v>1428</v>
      </c>
      <c r="L1345" s="247" t="s">
        <v>1428</v>
      </c>
      <c r="M1345" s="598">
        <v>1.72</v>
      </c>
      <c r="N1345" s="230">
        <v>2.07506866036009</v>
      </c>
      <c r="O1345" s="230">
        <v>8.93762022110345</v>
      </c>
      <c r="P1345" s="227" t="s">
        <v>1428</v>
      </c>
      <c r="Q1345" s="257">
        <f>19.77/7.25/1.13</f>
        <v>2.41318278913641</v>
      </c>
      <c r="R1345" s="231">
        <v>42.4636944886006</v>
      </c>
      <c r="S1345" s="229" t="s">
        <v>1526</v>
      </c>
      <c r="T1345" s="226" t="s">
        <v>7404</v>
      </c>
      <c r="U1345" s="236"/>
    </row>
    <row r="1349" spans="1:21">
      <c r="N1349" s="594" t="s">
        <v>7902</v>
      </c>
      <c r="O1349" s="595" t="s">
        <v>7862</v>
      </c>
    </row>
    <row r="1350" spans="1:21">
      <c r="N1350" s="594" t="s">
        <v>7822</v>
      </c>
      <c r="O1350" s="590">
        <f>N1340+O1340+Q1340</f>
        <v>13.7436944886006</v>
      </c>
    </row>
    <row r="1351" spans="1:21">
      <c r="N1351" s="594" t="s">
        <v>7823</v>
      </c>
      <c r="O1351" s="590">
        <f>N1345+O1345+Q1345</f>
        <v>13.4258716705999</v>
      </c>
    </row>
    <row r="1352" spans="1:21">
      <c r="N1352" s="594" t="s">
        <v>7863</v>
      </c>
      <c r="O1352" s="590">
        <f>O1350-O1351</f>
        <v>0.317822818000693</v>
      </c>
    </row>
    <row r="1356" spans="1:21">
      <c r="A1356" s="195" t="s">
        <v>7853</v>
      </c>
      <c r="B1356" s="195"/>
      <c r="C1356" s="195"/>
      <c r="D1356" s="195"/>
      <c r="E1356" s="196"/>
      <c r="F1356" s="196"/>
      <c r="G1356" s="197"/>
      <c r="H1356" s="198"/>
      <c r="I1356" s="198"/>
      <c r="J1356" s="199"/>
      <c r="K1356" s="296"/>
      <c r="L1356" s="296"/>
      <c r="M1356" s="200"/>
      <c r="N1356" s="297"/>
      <c r="O1356" s="201"/>
      <c r="P1356" s="197"/>
      <c r="Q1356" s="202"/>
      <c r="R1356" s="202"/>
      <c r="S1356" s="203"/>
      <c r="T1356" s="80"/>
    </row>
    <row r="1357" spans="1:21">
      <c r="A1357" s="224" t="s">
        <v>1</v>
      </c>
      <c r="B1357" s="224"/>
      <c r="C1357" s="224"/>
      <c r="D1357" s="224"/>
      <c r="E1357" s="75" t="s">
        <v>5</v>
      </c>
      <c r="F1357" s="75" t="s">
        <v>1933</v>
      </c>
      <c r="G1357" s="75" t="s">
        <v>4102</v>
      </c>
      <c r="H1357" s="75" t="s">
        <v>4541</v>
      </c>
      <c r="I1357" s="75" t="s">
        <v>1497</v>
      </c>
      <c r="J1357" s="75" t="s">
        <v>4102</v>
      </c>
      <c r="K1357" s="75" t="s">
        <v>4103</v>
      </c>
      <c r="L1357" s="75" t="s">
        <v>4104</v>
      </c>
      <c r="M1357" s="75" t="s">
        <v>1497</v>
      </c>
      <c r="N1357" s="75" t="s">
        <v>6</v>
      </c>
      <c r="O1357" s="75" t="s">
        <v>7</v>
      </c>
      <c r="P1357" s="75" t="s">
        <v>5211</v>
      </c>
      <c r="Q1357" s="75" t="s">
        <v>8</v>
      </c>
      <c r="R1357" s="75" t="s">
        <v>9</v>
      </c>
      <c r="S1357" s="75" t="s">
        <v>4105</v>
      </c>
      <c r="T1357" s="75" t="s">
        <v>10</v>
      </c>
    </row>
    <row r="1358" spans="1:21">
      <c r="A1358" s="385"/>
      <c r="B1358" s="226">
        <v>20250318</v>
      </c>
      <c r="C1358" s="226">
        <v>7.25</v>
      </c>
      <c r="D1358" s="226" t="s">
        <v>504</v>
      </c>
      <c r="E1358" s="255" t="s">
        <v>505</v>
      </c>
      <c r="F1358" s="228"/>
      <c r="G1358" s="228"/>
      <c r="H1358" s="228"/>
      <c r="I1358" s="228"/>
      <c r="J1358" s="278"/>
      <c r="K1358" s="278"/>
      <c r="L1358" s="278"/>
      <c r="M1358" s="278"/>
      <c r="N1358" s="232">
        <v>0.368731563421829</v>
      </c>
      <c r="O1358" s="232">
        <v>0.815763532448378</v>
      </c>
      <c r="P1358" s="227" t="s">
        <v>1428</v>
      </c>
      <c r="Q1358" s="231">
        <v>0.2</v>
      </c>
      <c r="R1358" s="231">
        <v>1.38449509587021</v>
      </c>
      <c r="S1358" s="228"/>
      <c r="T1358" s="228"/>
    </row>
    <row r="1362" spans="1:20">
      <c r="A1362" s="195" t="s">
        <v>7853</v>
      </c>
      <c r="B1362" s="195"/>
      <c r="C1362" s="195"/>
      <c r="D1362" s="195"/>
      <c r="E1362" s="196"/>
      <c r="F1362" s="196"/>
      <c r="G1362" s="197"/>
      <c r="H1362" s="198"/>
      <c r="I1362" s="198"/>
      <c r="J1362" s="199"/>
      <c r="K1362" s="296"/>
      <c r="L1362" s="296"/>
      <c r="M1362" s="200"/>
      <c r="N1362" s="297"/>
      <c r="O1362" s="201"/>
      <c r="P1362" s="197"/>
      <c r="Q1362" s="202"/>
      <c r="R1362" s="202"/>
      <c r="S1362" s="203"/>
      <c r="T1362" s="80"/>
    </row>
    <row r="1363" spans="1:20">
      <c r="A1363" s="224" t="s">
        <v>1</v>
      </c>
      <c r="B1363" s="224"/>
      <c r="C1363" s="224"/>
      <c r="D1363" s="224"/>
      <c r="E1363" s="75" t="s">
        <v>5</v>
      </c>
      <c r="F1363" s="75" t="s">
        <v>1933</v>
      </c>
      <c r="G1363" s="75" t="s">
        <v>4102</v>
      </c>
      <c r="H1363" s="75" t="s">
        <v>4541</v>
      </c>
      <c r="I1363" s="75" t="s">
        <v>1497</v>
      </c>
      <c r="J1363" s="75" t="s">
        <v>4102</v>
      </c>
      <c r="K1363" s="75" t="s">
        <v>4103</v>
      </c>
      <c r="L1363" s="75" t="s">
        <v>4104</v>
      </c>
      <c r="M1363" s="75" t="s">
        <v>1497</v>
      </c>
      <c r="N1363" s="75" t="s">
        <v>6</v>
      </c>
      <c r="O1363" s="75" t="s">
        <v>7</v>
      </c>
      <c r="P1363" s="75" t="s">
        <v>5211</v>
      </c>
      <c r="Q1363" s="75" t="s">
        <v>8</v>
      </c>
      <c r="R1363" s="75" t="s">
        <v>9</v>
      </c>
      <c r="S1363" s="75" t="s">
        <v>4105</v>
      </c>
      <c r="T1363" s="75" t="s">
        <v>10</v>
      </c>
    </row>
    <row r="1364" spans="1:20">
      <c r="A1364" s="385"/>
      <c r="B1364" s="226">
        <v>20250318</v>
      </c>
      <c r="C1364" s="226">
        <v>7.25</v>
      </c>
      <c r="D1364" s="226" t="s">
        <v>504</v>
      </c>
      <c r="E1364" s="255" t="s">
        <v>505</v>
      </c>
      <c r="F1364" s="228"/>
      <c r="G1364" s="228"/>
      <c r="H1364" s="228"/>
      <c r="I1364" s="228"/>
      <c r="J1364" s="278"/>
      <c r="K1364" s="278"/>
      <c r="L1364" s="278"/>
      <c r="M1364" s="278"/>
      <c r="N1364" s="230">
        <v>0.532194079951175</v>
      </c>
      <c r="O1364" s="230">
        <v>0.569565554104364</v>
      </c>
      <c r="P1364" s="227" t="s">
        <v>1428</v>
      </c>
      <c r="Q1364" s="231">
        <v>0.2</v>
      </c>
      <c r="R1364" s="231">
        <v>1.38449509587021</v>
      </c>
      <c r="S1364" s="228"/>
      <c r="T1364" s="228"/>
    </row>
    <row r="1365" spans="1:20">
      <c r="A1365" s="235"/>
      <c r="B1365" s="235"/>
      <c r="C1365" s="235"/>
      <c r="D1365" s="235"/>
      <c r="E1365" s="236"/>
      <c r="F1365" s="236"/>
      <c r="G1365" s="236"/>
      <c r="H1365" s="236"/>
      <c r="I1365" s="236"/>
      <c r="J1365" s="615"/>
      <c r="K1365" s="615"/>
      <c r="L1365" s="615"/>
      <c r="M1365" s="615"/>
      <c r="N1365" s="238"/>
      <c r="O1365" s="238"/>
      <c r="P1365" s="181"/>
      <c r="Q1365" s="239"/>
      <c r="R1365" s="239"/>
      <c r="S1365" s="236"/>
      <c r="T1365" s="236"/>
    </row>
    <row r="1366" spans="1:20">
      <c r="A1366" s="235"/>
      <c r="B1366" s="235"/>
      <c r="C1366" s="235"/>
      <c r="D1366" s="235"/>
      <c r="E1366" s="236"/>
      <c r="F1366" s="236"/>
      <c r="G1366" s="236"/>
      <c r="H1366" s="236"/>
      <c r="I1366" s="236"/>
      <c r="J1366" s="615"/>
      <c r="K1366" s="615"/>
      <c r="L1366" s="615"/>
      <c r="M1366" s="615"/>
      <c r="N1366" s="594" t="s">
        <v>7903</v>
      </c>
      <c r="O1366" s="595" t="s">
        <v>7862</v>
      </c>
      <c r="P1366" s="181"/>
      <c r="Q1366" s="239"/>
      <c r="R1366" s="239"/>
      <c r="S1366" s="236"/>
      <c r="T1366" s="236"/>
    </row>
    <row r="1367" spans="1:20">
      <c r="A1367" s="235"/>
      <c r="B1367" s="235"/>
      <c r="C1367" s="235"/>
      <c r="D1367" s="235"/>
      <c r="E1367" s="236"/>
      <c r="F1367" s="236"/>
      <c r="G1367" s="236"/>
      <c r="H1367" s="236"/>
      <c r="I1367" s="236"/>
      <c r="J1367" s="615"/>
      <c r="K1367" s="615"/>
      <c r="L1367" s="615"/>
      <c r="M1367" s="615"/>
      <c r="N1367" s="594" t="s">
        <v>7822</v>
      </c>
      <c r="O1367" s="590">
        <f>N1358+O1358+Q1358</f>
        <v>1.38449509587021</v>
      </c>
      <c r="P1367" s="181"/>
      <c r="Q1367" s="239"/>
      <c r="R1367" s="239"/>
      <c r="S1367" s="236"/>
      <c r="T1367" s="236"/>
    </row>
    <row r="1368" spans="1:20">
      <c r="N1368" s="594" t="s">
        <v>7823</v>
      </c>
      <c r="O1368" s="590">
        <f>N1364+O1364+Q1364</f>
        <v>1.30175963405554</v>
      </c>
    </row>
    <row r="1369" spans="1:20">
      <c r="N1369" s="594" t="s">
        <v>7863</v>
      </c>
      <c r="O1369" s="590">
        <f>O1367-O1368</f>
        <v>0.0827354618146683</v>
      </c>
    </row>
    <row r="1370" spans="1:20">
      <c r="A1370" s="195" t="s">
        <v>7853</v>
      </c>
      <c r="B1370" s="195"/>
      <c r="C1370" s="195"/>
      <c r="D1370" s="195"/>
      <c r="E1370" s="196"/>
      <c r="F1370" s="196"/>
      <c r="G1370" s="197"/>
      <c r="H1370" s="198"/>
      <c r="I1370" s="198"/>
      <c r="J1370" s="199"/>
      <c r="K1370" s="296"/>
      <c r="L1370" s="296"/>
      <c r="M1370" s="200"/>
      <c r="N1370" s="297"/>
      <c r="O1370" s="201"/>
      <c r="P1370" s="197"/>
      <c r="Q1370" s="202"/>
      <c r="R1370" s="202"/>
      <c r="S1370" s="203"/>
      <c r="T1370" s="80"/>
    </row>
    <row r="1371" spans="1:20">
      <c r="A1371" s="224" t="s">
        <v>1</v>
      </c>
      <c r="B1371" s="224"/>
      <c r="C1371" s="224"/>
      <c r="D1371" s="224"/>
      <c r="E1371" s="75" t="s">
        <v>5</v>
      </c>
      <c r="F1371" s="75" t="s">
        <v>1933</v>
      </c>
      <c r="G1371" s="75" t="s">
        <v>4102</v>
      </c>
      <c r="H1371" s="75" t="s">
        <v>4541</v>
      </c>
      <c r="I1371" s="75" t="s">
        <v>1497</v>
      </c>
      <c r="J1371" s="75" t="s">
        <v>4102</v>
      </c>
      <c r="K1371" s="75" t="s">
        <v>4103</v>
      </c>
      <c r="L1371" s="75" t="s">
        <v>4104</v>
      </c>
      <c r="M1371" s="75" t="s">
        <v>1497</v>
      </c>
      <c r="N1371" s="75" t="s">
        <v>6</v>
      </c>
      <c r="O1371" s="75" t="s">
        <v>7</v>
      </c>
      <c r="P1371" s="75" t="s">
        <v>5211</v>
      </c>
      <c r="Q1371" s="75" t="s">
        <v>8</v>
      </c>
      <c r="R1371" s="75" t="s">
        <v>9</v>
      </c>
      <c r="S1371" s="75" t="s">
        <v>4105</v>
      </c>
      <c r="T1371" s="75" t="s">
        <v>10</v>
      </c>
    </row>
    <row r="1372" spans="1:20">
      <c r="A1372" s="385" t="s">
        <v>506</v>
      </c>
      <c r="B1372" s="226">
        <v>20240906</v>
      </c>
      <c r="C1372" s="226">
        <v>7.11</v>
      </c>
      <c r="D1372" s="226" t="s">
        <v>7904</v>
      </c>
      <c r="E1372" s="255" t="s">
        <v>7905</v>
      </c>
      <c r="F1372" s="228"/>
      <c r="G1372" s="228"/>
      <c r="H1372" s="228"/>
      <c r="I1372" s="228"/>
      <c r="J1372" s="278"/>
      <c r="K1372" s="278"/>
      <c r="L1372" s="278"/>
      <c r="M1372" s="278"/>
      <c r="N1372" s="232">
        <v>0.053990561879444</v>
      </c>
      <c r="O1372" s="232">
        <v>0.0369532016850468</v>
      </c>
      <c r="P1372" s="227" t="s">
        <v>1428</v>
      </c>
      <c r="Q1372" s="231">
        <v>0.2</v>
      </c>
      <c r="R1372" s="231">
        <f>SUM(J1372:Q1372)</f>
        <v>0.290943763564491</v>
      </c>
      <c r="S1372" s="228"/>
      <c r="T1372" s="228"/>
    </row>
    <row r="1373" spans="1:20">
      <c r="A1373" s="385" t="s">
        <v>506</v>
      </c>
      <c r="B1373" s="226">
        <v>20241127</v>
      </c>
      <c r="C1373" s="226">
        <v>7.25</v>
      </c>
      <c r="D1373" s="226" t="s">
        <v>529</v>
      </c>
      <c r="E1373" s="255" t="s">
        <v>530</v>
      </c>
      <c r="F1373" s="228"/>
      <c r="G1373" s="228"/>
      <c r="H1373" s="228"/>
      <c r="I1373" s="228"/>
      <c r="J1373" s="278"/>
      <c r="K1373" s="278"/>
      <c r="L1373" s="278"/>
      <c r="M1373" s="278"/>
      <c r="N1373" s="232">
        <v>0.490397421057217</v>
      </c>
      <c r="O1373" s="232">
        <v>0.809328317628169</v>
      </c>
      <c r="P1373" s="227" t="s">
        <v>1428</v>
      </c>
      <c r="Q1373" s="231">
        <v>0.2</v>
      </c>
      <c r="R1373" s="231">
        <f>SUM(J1373:Q1373)</f>
        <v>1.49972573868539</v>
      </c>
      <c r="S1373" s="228"/>
      <c r="T1373" s="228"/>
    </row>
    <row r="1374" spans="1:20">
      <c r="A1374" s="385"/>
      <c r="B1374" s="226">
        <v>20250318</v>
      </c>
      <c r="C1374" s="226">
        <v>7.25</v>
      </c>
      <c r="D1374" s="226" t="s">
        <v>3368</v>
      </c>
      <c r="E1374" s="255" t="s">
        <v>2306</v>
      </c>
      <c r="F1374" s="228" t="s">
        <v>3685</v>
      </c>
      <c r="G1374" s="228" t="s">
        <v>3542</v>
      </c>
      <c r="H1374" s="228" t="s">
        <v>1913</v>
      </c>
      <c r="I1374" s="228" t="s">
        <v>1635</v>
      </c>
      <c r="J1374" s="278">
        <v>30</v>
      </c>
      <c r="K1374" s="278" t="s">
        <v>1428</v>
      </c>
      <c r="L1374" s="278" t="s">
        <v>1428</v>
      </c>
      <c r="M1374" s="278">
        <v>3.3</v>
      </c>
      <c r="N1374" s="232">
        <v>2.86847726579188</v>
      </c>
      <c r="O1374" s="232">
        <v>12.2813175628471</v>
      </c>
      <c r="P1374" s="227" t="s">
        <v>1428</v>
      </c>
      <c r="Q1374" s="231">
        <v>2.82425</v>
      </c>
      <c r="R1374" s="231">
        <f>SUM(J1374:Q1374)</f>
        <v>51.274044828639</v>
      </c>
      <c r="S1374" s="228" t="s">
        <v>1526</v>
      </c>
      <c r="T1374" s="228" t="s">
        <v>7906</v>
      </c>
    </row>
    <row r="1381" spans="1:23">
      <c r="N1381" s="594" t="s">
        <v>7907</v>
      </c>
      <c r="O1381" s="595" t="s">
        <v>7908</v>
      </c>
    </row>
    <row r="1382" spans="1:23">
      <c r="N1382" s="594" t="s">
        <v>7</v>
      </c>
      <c r="O1382" s="595">
        <v>22.8035540180501</v>
      </c>
    </row>
    <row r="1383" spans="1:23">
      <c r="N1383" s="594" t="s">
        <v>7909</v>
      </c>
      <c r="O1383" s="595">
        <v>5</v>
      </c>
    </row>
    <row r="1384" spans="1:23">
      <c r="N1384" s="594" t="s">
        <v>7910</v>
      </c>
      <c r="O1384" s="595">
        <v>4.79</v>
      </c>
    </row>
    <row r="1385" spans="1:23">
      <c r="N1385" s="594" t="s">
        <v>7911</v>
      </c>
      <c r="O1385" s="595">
        <f>SUM(O1382:O1384)</f>
        <v>32.5935540180501</v>
      </c>
    </row>
    <row r="1386" spans="1:23">
      <c r="N1386" s="594"/>
      <c r="O1386" s="595"/>
    </row>
    <row r="1387" spans="1:23">
      <c r="A1387" s="195" t="s">
        <v>7853</v>
      </c>
      <c r="B1387" s="195"/>
      <c r="C1387" s="195"/>
      <c r="D1387" s="195"/>
      <c r="E1387" s="196"/>
      <c r="F1387" s="196"/>
      <c r="G1387" s="197"/>
      <c r="H1387" s="198"/>
      <c r="I1387" s="198"/>
      <c r="J1387" s="199"/>
      <c r="K1387" s="296"/>
      <c r="L1387" s="296"/>
      <c r="M1387" s="200"/>
      <c r="N1387" s="297"/>
      <c r="O1387" s="201"/>
      <c r="P1387" s="197"/>
      <c r="Q1387" s="202"/>
      <c r="R1387" s="202"/>
      <c r="S1387" s="203"/>
      <c r="T1387" s="80"/>
      <c r="U1387" s="81"/>
      <c r="V1387" s="81"/>
      <c r="W1387" s="81"/>
    </row>
    <row r="1388" spans="1:23">
      <c r="A1388" s="224" t="s">
        <v>1</v>
      </c>
      <c r="B1388" s="224"/>
      <c r="C1388" s="224"/>
      <c r="D1388" s="224"/>
      <c r="E1388" s="75" t="s">
        <v>5</v>
      </c>
      <c r="F1388" s="75" t="s">
        <v>1933</v>
      </c>
      <c r="G1388" s="75" t="s">
        <v>4102</v>
      </c>
      <c r="H1388" s="75" t="s">
        <v>4541</v>
      </c>
      <c r="I1388" s="75" t="s">
        <v>1497</v>
      </c>
      <c r="J1388" s="75" t="s">
        <v>4102</v>
      </c>
      <c r="K1388" s="75" t="s">
        <v>4103</v>
      </c>
      <c r="L1388" s="75" t="s">
        <v>4104</v>
      </c>
      <c r="M1388" s="75" t="s">
        <v>1497</v>
      </c>
      <c r="N1388" s="75" t="s">
        <v>6</v>
      </c>
      <c r="O1388" s="75" t="s">
        <v>7</v>
      </c>
      <c r="P1388" s="75" t="s">
        <v>5211</v>
      </c>
      <c r="Q1388" s="75" t="s">
        <v>8</v>
      </c>
      <c r="R1388" s="75" t="s">
        <v>9</v>
      </c>
      <c r="S1388" s="75" t="s">
        <v>4105</v>
      </c>
      <c r="T1388" s="75" t="s">
        <v>10</v>
      </c>
      <c r="U1388" s="81"/>
      <c r="V1388" s="81"/>
      <c r="W1388" s="81"/>
    </row>
    <row r="1389" spans="1:23">
      <c r="A1389" s="616" t="s">
        <v>2199</v>
      </c>
      <c r="B1389" s="617"/>
      <c r="C1389" s="617"/>
      <c r="D1389" s="617"/>
      <c r="E1389" s="384" t="s">
        <v>1672</v>
      </c>
      <c r="F1389" s="243" t="s">
        <v>2801</v>
      </c>
      <c r="G1389" s="227" t="s">
        <v>2643</v>
      </c>
      <c r="H1389" s="227" t="s">
        <v>4295</v>
      </c>
      <c r="I1389" s="227" t="s">
        <v>1720</v>
      </c>
      <c r="J1389" s="247">
        <v>145</v>
      </c>
      <c r="K1389" s="247" t="s">
        <v>1428</v>
      </c>
      <c r="L1389" s="227" t="s">
        <v>1428</v>
      </c>
      <c r="M1389" s="618">
        <v>2.3</v>
      </c>
      <c r="N1389" s="231">
        <v>3.29578228609461</v>
      </c>
      <c r="O1389" s="231">
        <v>13.5872706208248</v>
      </c>
      <c r="P1389" s="231" t="s">
        <v>1428</v>
      </c>
      <c r="Q1389" s="246">
        <v>2.55677228412257</v>
      </c>
      <c r="R1389" s="231">
        <v>166.739825191042</v>
      </c>
      <c r="S1389" s="226" t="s">
        <v>7424</v>
      </c>
      <c r="T1389" s="226" t="s">
        <v>2644</v>
      </c>
      <c r="U1389" s="179"/>
      <c r="V1389" s="179"/>
      <c r="W1389" s="179"/>
    </row>
    <row r="1390" spans="1:23">
      <c r="A1390" s="333"/>
      <c r="B1390" s="619">
        <v>20240910</v>
      </c>
      <c r="C1390" s="259">
        <v>7.11</v>
      </c>
      <c r="D1390" s="259" t="s">
        <v>783</v>
      </c>
      <c r="E1390" s="279" t="s">
        <v>784</v>
      </c>
      <c r="F1390" s="260"/>
      <c r="G1390" s="227"/>
      <c r="H1390" s="227"/>
      <c r="I1390" s="227"/>
      <c r="J1390" s="261"/>
      <c r="K1390" s="261"/>
      <c r="L1390" s="261"/>
      <c r="M1390" s="261"/>
      <c r="N1390" s="232">
        <v>0.204336635227797</v>
      </c>
      <c r="O1390" s="232">
        <v>1.08661959566691</v>
      </c>
      <c r="P1390" s="227" t="s">
        <v>1428</v>
      </c>
      <c r="Q1390" s="231">
        <v>0.3</v>
      </c>
      <c r="R1390" s="231">
        <f>SUM(J1390:Q1390)</f>
        <v>1.59095623089471</v>
      </c>
      <c r="S1390" s="226"/>
      <c r="T1390" s="260" t="s">
        <v>7426</v>
      </c>
    </row>
    <row r="1391" spans="1:23">
      <c r="E1391" s="260" t="s">
        <v>7912</v>
      </c>
    </row>
    <row r="1397" spans="1:23">
      <c r="N1397" s="594"/>
      <c r="O1397" s="595"/>
    </row>
    <row r="1398" spans="1:23">
      <c r="A1398" s="195" t="s">
        <v>7853</v>
      </c>
      <c r="B1398" s="195"/>
      <c r="C1398" s="195"/>
      <c r="D1398" s="195"/>
      <c r="E1398" s="196"/>
      <c r="F1398" s="196"/>
      <c r="G1398" s="197"/>
      <c r="H1398" s="198"/>
      <c r="I1398" s="198"/>
      <c r="J1398" s="199"/>
      <c r="K1398" s="296"/>
      <c r="L1398" s="296"/>
      <c r="M1398" s="200"/>
      <c r="N1398" s="297"/>
      <c r="O1398" s="201"/>
      <c r="P1398" s="197"/>
      <c r="Q1398" s="202"/>
      <c r="R1398" s="202"/>
      <c r="S1398" s="203"/>
      <c r="T1398" s="80"/>
      <c r="U1398" s="81"/>
      <c r="V1398" s="81"/>
      <c r="W1398" s="81"/>
    </row>
    <row r="1399" spans="1:23">
      <c r="A1399" s="224" t="s">
        <v>1</v>
      </c>
      <c r="B1399" s="224"/>
      <c r="C1399" s="224"/>
      <c r="D1399" s="224"/>
      <c r="E1399" s="75" t="s">
        <v>5</v>
      </c>
      <c r="F1399" s="75" t="s">
        <v>1933</v>
      </c>
      <c r="G1399" s="75" t="s">
        <v>4102</v>
      </c>
      <c r="H1399" s="75" t="s">
        <v>4541</v>
      </c>
      <c r="I1399" s="75" t="s">
        <v>1497</v>
      </c>
      <c r="J1399" s="75" t="s">
        <v>4102</v>
      </c>
      <c r="K1399" s="75" t="s">
        <v>4103</v>
      </c>
      <c r="L1399" s="75" t="s">
        <v>4104</v>
      </c>
      <c r="M1399" s="75" t="s">
        <v>1497</v>
      </c>
      <c r="N1399" s="75" t="s">
        <v>6</v>
      </c>
      <c r="O1399" s="75" t="s">
        <v>7</v>
      </c>
      <c r="P1399" s="75" t="s">
        <v>5211</v>
      </c>
      <c r="Q1399" s="75" t="s">
        <v>8</v>
      </c>
      <c r="R1399" s="75" t="s">
        <v>9</v>
      </c>
      <c r="S1399" s="75" t="s">
        <v>4105</v>
      </c>
      <c r="T1399" s="75" t="s">
        <v>10</v>
      </c>
      <c r="U1399" s="81"/>
      <c r="V1399" s="81"/>
      <c r="W1399" s="81"/>
    </row>
    <row r="1400" spans="1:23">
      <c r="B1400" s="620">
        <v>20240620</v>
      </c>
      <c r="C1400" s="621">
        <v>7.26</v>
      </c>
      <c r="D1400" s="622" t="s">
        <v>3811</v>
      </c>
      <c r="E1400" s="623" t="s">
        <v>7913</v>
      </c>
      <c r="F1400" s="624" t="s">
        <v>3540</v>
      </c>
      <c r="G1400" s="625" t="s">
        <v>3794</v>
      </c>
      <c r="H1400" s="621" t="s">
        <v>3349</v>
      </c>
      <c r="I1400" s="625" t="s">
        <v>1635</v>
      </c>
      <c r="J1400" s="621">
        <v>29</v>
      </c>
      <c r="K1400" s="621" t="s">
        <v>1428</v>
      </c>
      <c r="L1400" s="626">
        <v>6.5</v>
      </c>
      <c r="M1400" s="621">
        <v>3.3</v>
      </c>
      <c r="N1400" s="627">
        <v>2.86861370401799</v>
      </c>
      <c r="O1400" s="627">
        <v>9.91835627625923</v>
      </c>
      <c r="P1400" s="621" t="s">
        <v>1428</v>
      </c>
      <c r="Q1400" s="628">
        <v>2.75809718382026</v>
      </c>
      <c r="R1400" s="627">
        <f>SUBTOTAL(9,J1400:Q1400)</f>
        <v>54.3450671640975</v>
      </c>
      <c r="S1400" s="629" t="s">
        <v>3384</v>
      </c>
      <c r="T1400" s="630"/>
    </row>
    <row r="1401" spans="1:23">
      <c r="B1401" s="620">
        <v>20240620</v>
      </c>
      <c r="C1401" s="621">
        <v>7.26</v>
      </c>
      <c r="D1401" s="622" t="s">
        <v>3815</v>
      </c>
      <c r="E1401" s="623" t="s">
        <v>7914</v>
      </c>
      <c r="F1401" s="624" t="s">
        <v>3540</v>
      </c>
      <c r="G1401" s="625" t="s">
        <v>3794</v>
      </c>
      <c r="H1401" s="621" t="s">
        <v>3349</v>
      </c>
      <c r="I1401" s="625" t="s">
        <v>1635</v>
      </c>
      <c r="J1401" s="621">
        <v>29</v>
      </c>
      <c r="K1401" s="621" t="s">
        <v>1428</v>
      </c>
      <c r="L1401" s="626">
        <v>6.5</v>
      </c>
      <c r="M1401" s="621">
        <v>3.3</v>
      </c>
      <c r="N1401" s="627">
        <v>2.86861370401799</v>
      </c>
      <c r="O1401" s="627">
        <v>10.0652150490231</v>
      </c>
      <c r="P1401" s="621" t="s">
        <v>1428</v>
      </c>
      <c r="Q1401" s="628">
        <v>2.75809718382026</v>
      </c>
      <c r="R1401" s="627">
        <f>SUBTOTAL(9,J1401:Q1401)</f>
        <v>54.4919259368613</v>
      </c>
      <c r="S1401" s="629" t="s">
        <v>3384</v>
      </c>
      <c r="T1401" s="630"/>
    </row>
    <row r="1402" spans="1:23">
      <c r="B1402" s="254">
        <v>20240920</v>
      </c>
      <c r="C1402" s="227">
        <v>7.11</v>
      </c>
      <c r="D1402" s="289" t="s">
        <v>871</v>
      </c>
      <c r="E1402" s="255" t="s">
        <v>872</v>
      </c>
      <c r="F1402" s="254"/>
      <c r="G1402" s="245"/>
      <c r="H1402" s="227"/>
      <c r="I1402" s="245"/>
      <c r="J1402" s="227"/>
      <c r="K1402" s="227"/>
      <c r="L1402" s="227"/>
      <c r="M1402" s="227"/>
      <c r="N1402" s="232">
        <v>0.410450110761923</v>
      </c>
      <c r="O1402" s="232">
        <v>0.671760974716415</v>
      </c>
      <c r="P1402" s="227" t="s">
        <v>1428</v>
      </c>
      <c r="Q1402" s="231">
        <v>0.2</v>
      </c>
      <c r="R1402" s="232">
        <f>SUM(J1402:Q1402)</f>
        <v>1.28221108547834</v>
      </c>
      <c r="S1402" s="226"/>
      <c r="T1402" s="228" t="s">
        <v>7568</v>
      </c>
    </row>
    <row r="1403" spans="1:23">
      <c r="B1403" s="254">
        <v>20240130</v>
      </c>
      <c r="C1403" s="227">
        <v>7.18</v>
      </c>
      <c r="D1403" s="289" t="s">
        <v>873</v>
      </c>
      <c r="E1403" s="228" t="s">
        <v>874</v>
      </c>
      <c r="F1403" s="228"/>
      <c r="G1403" s="227"/>
      <c r="H1403" s="227"/>
      <c r="I1403" s="227"/>
      <c r="J1403" s="227"/>
      <c r="K1403" s="227"/>
      <c r="L1403" s="227"/>
      <c r="M1403" s="227"/>
      <c r="N1403" s="232">
        <v>0.402485918099793</v>
      </c>
      <c r="O1403" s="232">
        <v>1.85087385037604</v>
      </c>
      <c r="P1403" s="227" t="s">
        <v>1428</v>
      </c>
      <c r="Q1403" s="231">
        <v>0.4</v>
      </c>
      <c r="R1403" s="232">
        <f>SUM(J1403:Q1403)</f>
        <v>2.65335976847583</v>
      </c>
      <c r="S1403" s="226"/>
      <c r="T1403" s="226" t="s">
        <v>7478</v>
      </c>
    </row>
    <row r="1407" spans="1:23">
      <c r="A1407" s="195" t="s">
        <v>7853</v>
      </c>
      <c r="B1407" s="195"/>
      <c r="C1407" s="195"/>
      <c r="D1407" s="195"/>
      <c r="E1407" s="196"/>
      <c r="F1407" s="196"/>
      <c r="G1407" s="197"/>
      <c r="H1407" s="198"/>
      <c r="I1407" s="198"/>
      <c r="J1407" s="199"/>
      <c r="K1407" s="296"/>
      <c r="L1407" s="296"/>
      <c r="M1407" s="200"/>
      <c r="N1407" s="297"/>
      <c r="O1407" s="201"/>
      <c r="P1407" s="197"/>
      <c r="Q1407" s="202"/>
      <c r="R1407" s="202"/>
      <c r="S1407" s="203"/>
      <c r="T1407" s="80"/>
      <c r="U1407" s="81"/>
      <c r="V1407" s="81"/>
      <c r="W1407" s="81"/>
    </row>
    <row r="1408" spans="1:23">
      <c r="A1408" s="224" t="s">
        <v>1</v>
      </c>
      <c r="B1408" s="224"/>
      <c r="C1408" s="224"/>
      <c r="D1408" s="224"/>
      <c r="E1408" s="75" t="s">
        <v>5</v>
      </c>
      <c r="F1408" s="75" t="s">
        <v>1933</v>
      </c>
      <c r="G1408" s="75" t="s">
        <v>4102</v>
      </c>
      <c r="H1408" s="75" t="s">
        <v>4541</v>
      </c>
      <c r="I1408" s="75" t="s">
        <v>1497</v>
      </c>
      <c r="J1408" s="75" t="s">
        <v>4102</v>
      </c>
      <c r="K1408" s="75" t="s">
        <v>4103</v>
      </c>
      <c r="L1408" s="75" t="s">
        <v>4104</v>
      </c>
      <c r="M1408" s="75" t="s">
        <v>1497</v>
      </c>
      <c r="N1408" s="75" t="s">
        <v>6</v>
      </c>
      <c r="O1408" s="75" t="s">
        <v>7</v>
      </c>
      <c r="P1408" s="75" t="s">
        <v>5211</v>
      </c>
      <c r="Q1408" s="75" t="s">
        <v>7492</v>
      </c>
      <c r="R1408" s="75" t="s">
        <v>9</v>
      </c>
      <c r="S1408" s="75" t="s">
        <v>4105</v>
      </c>
      <c r="T1408" s="75" t="s">
        <v>10</v>
      </c>
      <c r="U1408" s="81"/>
      <c r="V1408" s="81"/>
      <c r="W1408" s="81"/>
    </row>
    <row r="1409" spans="1:20">
      <c r="A1409" s="333" t="s">
        <v>7915</v>
      </c>
      <c r="B1409" s="619">
        <v>20250318</v>
      </c>
      <c r="C1409" s="259">
        <v>7.25</v>
      </c>
      <c r="D1409" s="259" t="s">
        <v>3811</v>
      </c>
      <c r="E1409" s="279" t="s">
        <v>7913</v>
      </c>
      <c r="F1409" s="260" t="s">
        <v>3540</v>
      </c>
      <c r="G1409" s="227" t="s">
        <v>3794</v>
      </c>
      <c r="H1409" s="631" t="s">
        <v>3670</v>
      </c>
      <c r="I1409" s="227" t="s">
        <v>1635</v>
      </c>
      <c r="J1409" s="261">
        <v>29</v>
      </c>
      <c r="K1409" s="261" t="s">
        <v>1428</v>
      </c>
      <c r="L1409" s="632">
        <v>3.6</v>
      </c>
      <c r="M1409" s="261">
        <v>3.3</v>
      </c>
      <c r="N1409" s="633">
        <v>2.74275251754654</v>
      </c>
      <c r="O1409" s="633">
        <v>9.01909543419603</v>
      </c>
      <c r="P1409" s="227" t="s">
        <v>1428</v>
      </c>
      <c r="Q1409" s="231">
        <v>0.3</v>
      </c>
      <c r="R1409" s="231">
        <f>SUBTOTAL(9,J1409:Q1409)</f>
        <v>47.9618479517426</v>
      </c>
      <c r="S1409" s="226" t="s">
        <v>3384</v>
      </c>
      <c r="T1409" s="260"/>
    </row>
    <row r="1410" spans="1:20">
      <c r="A1410" s="333" t="s">
        <v>7915</v>
      </c>
      <c r="B1410" s="619">
        <v>20240620</v>
      </c>
      <c r="C1410" s="259">
        <v>7.26</v>
      </c>
      <c r="D1410" s="259" t="s">
        <v>3815</v>
      </c>
      <c r="E1410" s="279" t="s">
        <v>7914</v>
      </c>
      <c r="F1410" s="260" t="s">
        <v>3540</v>
      </c>
      <c r="G1410" s="227" t="s">
        <v>3794</v>
      </c>
      <c r="H1410" s="631" t="s">
        <v>3670</v>
      </c>
      <c r="I1410" s="227" t="s">
        <v>1635</v>
      </c>
      <c r="J1410" s="261">
        <v>29</v>
      </c>
      <c r="K1410" s="261" t="s">
        <v>1428</v>
      </c>
      <c r="L1410" s="632">
        <v>3.6</v>
      </c>
      <c r="M1410" s="261">
        <v>3.3</v>
      </c>
      <c r="N1410" s="633">
        <v>2.74275251754654</v>
      </c>
      <c r="O1410" s="633">
        <v>9.16615677078438</v>
      </c>
      <c r="P1410" s="227" t="s">
        <v>1428</v>
      </c>
      <c r="Q1410" s="231">
        <v>0.3</v>
      </c>
      <c r="R1410" s="231">
        <f>SUBTOTAL(9,J1410:Q1410)</f>
        <v>48.1089092883309</v>
      </c>
      <c r="S1410" s="226" t="s">
        <v>3384</v>
      </c>
      <c r="T1410" s="260"/>
    </row>
    <row r="1411" spans="1:20">
      <c r="A1411" s="333"/>
      <c r="B1411" s="619">
        <v>20240920</v>
      </c>
      <c r="C1411" s="259">
        <v>7.11</v>
      </c>
      <c r="D1411" s="259" t="s">
        <v>871</v>
      </c>
      <c r="E1411" s="279" t="s">
        <v>872</v>
      </c>
      <c r="F1411" s="260"/>
      <c r="G1411" s="227"/>
      <c r="H1411" s="227"/>
      <c r="I1411" s="227"/>
      <c r="J1411" s="261"/>
      <c r="K1411" s="261"/>
      <c r="L1411" s="261"/>
      <c r="M1411" s="261"/>
      <c r="N1411" s="633">
        <v>0.394751296917913</v>
      </c>
      <c r="O1411" s="633">
        <v>0.593270900982606</v>
      </c>
      <c r="P1411" s="227" t="s">
        <v>1428</v>
      </c>
      <c r="Q1411" s="231">
        <v>0.2</v>
      </c>
      <c r="R1411" s="231">
        <f>SUM(J1411:Q1411)</f>
        <v>1.18802219790052</v>
      </c>
      <c r="S1411" s="226"/>
      <c r="T1411" s="260" t="s">
        <v>7568</v>
      </c>
    </row>
    <row r="1412" spans="1:20">
      <c r="A1412" s="333"/>
      <c r="B1412" s="619">
        <v>20240130</v>
      </c>
      <c r="C1412" s="259">
        <v>7.18</v>
      </c>
      <c r="D1412" s="259" t="s">
        <v>873</v>
      </c>
      <c r="E1412" s="279" t="s">
        <v>874</v>
      </c>
      <c r="F1412" s="260"/>
      <c r="G1412" s="227"/>
      <c r="H1412" s="227"/>
      <c r="I1412" s="227"/>
      <c r="J1412" s="261"/>
      <c r="K1412" s="261"/>
      <c r="L1412" s="261"/>
      <c r="M1412" s="261"/>
      <c r="N1412" s="633">
        <v>0.394751296917913</v>
      </c>
      <c r="O1412" s="633">
        <v>1.71050478451022</v>
      </c>
      <c r="P1412" s="227" t="s">
        <v>1428</v>
      </c>
      <c r="Q1412" s="231">
        <v>0.4</v>
      </c>
      <c r="R1412" s="231">
        <f>SUM(J1412:Q1412)</f>
        <v>2.50525608142813</v>
      </c>
      <c r="S1412" s="226"/>
      <c r="T1412" s="260" t="s">
        <v>7478</v>
      </c>
    </row>
    <row r="1417" spans="1:20">
      <c r="H1417" s="594" t="s">
        <v>7664</v>
      </c>
      <c r="I1417" s="595" t="s">
        <v>7916</v>
      </c>
      <c r="K1417" s="594" t="s">
        <v>7917</v>
      </c>
      <c r="L1417" s="595" t="s">
        <v>7916</v>
      </c>
      <c r="N1417" s="594" t="s">
        <v>7918</v>
      </c>
      <c r="O1417" s="595" t="s">
        <v>7916</v>
      </c>
      <c r="Q1417" s="594" t="s">
        <v>7919</v>
      </c>
      <c r="R1417" s="595" t="s">
        <v>7916</v>
      </c>
    </row>
    <row r="1418" spans="1:20">
      <c r="H1418" s="594" t="s">
        <v>7822</v>
      </c>
      <c r="I1418" s="590">
        <f>N1402+O1402</f>
        <v>1.08221108547834</v>
      </c>
      <c r="K1418" s="594" t="s">
        <v>7822</v>
      </c>
      <c r="L1418" s="590">
        <f>N1403+O1403</f>
        <v>2.25335976847583</v>
      </c>
      <c r="N1418" s="594" t="s">
        <v>7822</v>
      </c>
      <c r="O1418" s="590">
        <f>N1400+O1400</f>
        <v>12.7869699802772</v>
      </c>
      <c r="Q1418" s="594" t="s">
        <v>7822</v>
      </c>
      <c r="R1418" s="590">
        <f>N1401+O1401</f>
        <v>12.9338287530411</v>
      </c>
    </row>
    <row r="1419" spans="1:20">
      <c r="H1419" s="594" t="s">
        <v>7823</v>
      </c>
      <c r="I1419" s="590">
        <f>N1411+O1411</f>
        <v>0.988022197900519</v>
      </c>
      <c r="K1419" s="594" t="s">
        <v>7823</v>
      </c>
      <c r="L1419" s="590">
        <f>N1412+O1412</f>
        <v>2.10525608142814</v>
      </c>
      <c r="N1419" s="594" t="s">
        <v>7823</v>
      </c>
      <c r="O1419" s="590">
        <f>N1409+O1409</f>
        <v>11.7618479517426</v>
      </c>
      <c r="Q1419" s="594" t="s">
        <v>7823</v>
      </c>
      <c r="R1419" s="590">
        <f>N1410+O1410</f>
        <v>11.9089092883309</v>
      </c>
    </row>
    <row r="1420" spans="1:20">
      <c r="H1420" s="594" t="s">
        <v>7863</v>
      </c>
      <c r="I1420" s="634">
        <f>I1418-I1419</f>
        <v>0.0941888875778192</v>
      </c>
      <c r="K1420" s="594" t="s">
        <v>7863</v>
      </c>
      <c r="L1420" s="634">
        <f>L1418-L1419</f>
        <v>0.148103687047698</v>
      </c>
      <c r="N1420" s="594" t="s">
        <v>7863</v>
      </c>
      <c r="O1420" s="634">
        <f>O1418-O1419</f>
        <v>1.02512202853465</v>
      </c>
      <c r="Q1420" s="594" t="s">
        <v>7863</v>
      </c>
      <c r="R1420" s="634">
        <f>R1418-R1419</f>
        <v>1.02491946471017</v>
      </c>
    </row>
    <row r="1427" spans="1:20">
      <c r="A1427" s="195" t="s">
        <v>7853</v>
      </c>
      <c r="B1427" s="195"/>
      <c r="C1427" s="195"/>
      <c r="D1427" s="195"/>
      <c r="E1427" s="196"/>
      <c r="F1427" s="196"/>
      <c r="G1427" s="197"/>
      <c r="H1427" s="198"/>
      <c r="I1427" s="198"/>
      <c r="J1427" s="199"/>
      <c r="K1427" s="296"/>
      <c r="L1427" s="296"/>
      <c r="M1427" s="200"/>
      <c r="N1427" s="297"/>
      <c r="O1427" s="201"/>
      <c r="P1427" s="197"/>
      <c r="Q1427" s="202"/>
      <c r="R1427" s="202"/>
      <c r="S1427" s="203"/>
      <c r="T1427" s="80"/>
    </row>
    <row r="1428" spans="1:20">
      <c r="A1428" s="224" t="s">
        <v>1</v>
      </c>
      <c r="B1428" s="224"/>
      <c r="C1428" s="224"/>
      <c r="D1428" s="224"/>
      <c r="E1428" s="75" t="s">
        <v>5</v>
      </c>
      <c r="F1428" s="75" t="s">
        <v>1933</v>
      </c>
      <c r="G1428" s="75" t="s">
        <v>4102</v>
      </c>
      <c r="H1428" s="75" t="s">
        <v>4541</v>
      </c>
      <c r="I1428" s="75" t="s">
        <v>1497</v>
      </c>
      <c r="J1428" s="75" t="s">
        <v>4102</v>
      </c>
      <c r="K1428" s="75" t="s">
        <v>4103</v>
      </c>
      <c r="L1428" s="75" t="s">
        <v>4104</v>
      </c>
      <c r="M1428" s="75" t="s">
        <v>1497</v>
      </c>
      <c r="N1428" s="75" t="s">
        <v>6</v>
      </c>
      <c r="O1428" s="75" t="s">
        <v>7</v>
      </c>
      <c r="P1428" s="75" t="s">
        <v>5211</v>
      </c>
      <c r="Q1428" s="75" t="s">
        <v>8</v>
      </c>
      <c r="R1428" s="75" t="s">
        <v>9</v>
      </c>
      <c r="S1428" s="75" t="s">
        <v>4105</v>
      </c>
      <c r="T1428" s="75" t="s">
        <v>10</v>
      </c>
    </row>
    <row r="1429" spans="1:20">
      <c r="A1429" s="333" t="s">
        <v>7414</v>
      </c>
      <c r="B1429" s="619">
        <v>20250220</v>
      </c>
      <c r="C1429" s="259">
        <v>7.3</v>
      </c>
      <c r="D1429" s="259" t="s">
        <v>7765</v>
      </c>
      <c r="E1429" s="279" t="s">
        <v>2488</v>
      </c>
      <c r="F1429" s="260" t="s">
        <v>7445</v>
      </c>
      <c r="G1429" s="227" t="s">
        <v>7814</v>
      </c>
      <c r="H1429" s="227" t="s">
        <v>4248</v>
      </c>
      <c r="I1429" s="227" t="s">
        <v>1635</v>
      </c>
      <c r="J1429" s="261" t="s">
        <v>1428</v>
      </c>
      <c r="K1429" s="261">
        <v>48</v>
      </c>
      <c r="L1429" s="261"/>
      <c r="M1429" s="261">
        <v>3.3</v>
      </c>
      <c r="N1429" s="232">
        <v>2.96016520521006</v>
      </c>
      <c r="O1429" s="232">
        <v>12.9834841003576</v>
      </c>
      <c r="P1429" s="227"/>
      <c r="Q1429" s="231">
        <v>2.96002441257247</v>
      </c>
      <c r="R1429" s="231">
        <v>70.2036737181401</v>
      </c>
      <c r="S1429" s="226" t="s">
        <v>4001</v>
      </c>
      <c r="T1429" s="260" t="s">
        <v>7730</v>
      </c>
    </row>
    <row r="1430" spans="1:20">
      <c r="A1430" s="333" t="s">
        <v>41</v>
      </c>
      <c r="B1430" s="619">
        <v>20241023</v>
      </c>
      <c r="C1430" s="259">
        <v>7.11</v>
      </c>
      <c r="D1430" s="259" t="s">
        <v>187</v>
      </c>
      <c r="E1430" s="279" t="s">
        <v>188</v>
      </c>
      <c r="F1430" s="260"/>
      <c r="G1430" s="227"/>
      <c r="H1430" s="227"/>
      <c r="I1430" s="227"/>
      <c r="J1430" s="261"/>
      <c r="K1430" s="261"/>
      <c r="L1430" s="261"/>
      <c r="M1430" s="261"/>
      <c r="N1430" s="232">
        <v>0.440402561640034</v>
      </c>
      <c r="O1430" s="232">
        <v>1.49158022972025</v>
      </c>
      <c r="P1430" s="227"/>
      <c r="Q1430" s="231">
        <v>0.2</v>
      </c>
      <c r="R1430" s="231">
        <v>2.13198279136028</v>
      </c>
      <c r="S1430" s="226"/>
      <c r="T1430" s="260" t="s">
        <v>7421</v>
      </c>
    </row>
    <row r="1431" spans="1:20">
      <c r="A1431" s="635"/>
      <c r="B1431" s="635"/>
      <c r="C1431" s="635"/>
      <c r="D1431" s="635"/>
      <c r="E1431" s="178"/>
      <c r="F1431" s="178"/>
      <c r="G1431" s="186"/>
      <c r="H1431" s="186"/>
      <c r="I1431" s="186"/>
      <c r="J1431" s="636"/>
      <c r="K1431" s="637"/>
      <c r="L1431" s="637"/>
      <c r="M1431" s="637"/>
      <c r="N1431" s="638"/>
      <c r="O1431" s="639"/>
      <c r="P1431" s="186"/>
      <c r="Q1431" s="277"/>
      <c r="R1431" s="277"/>
      <c r="S1431" s="276"/>
      <c r="T1431" s="178"/>
    </row>
    <row r="1439" spans="1:20">
      <c r="A1439" s="195" t="s">
        <v>7853</v>
      </c>
      <c r="B1439" s="195"/>
      <c r="C1439" s="195"/>
      <c r="D1439" s="195"/>
      <c r="E1439" s="196"/>
      <c r="F1439" s="196"/>
      <c r="G1439" s="197"/>
      <c r="H1439" s="198"/>
      <c r="I1439" s="198"/>
      <c r="J1439" s="199"/>
      <c r="K1439" s="296"/>
      <c r="L1439" s="296"/>
      <c r="M1439" s="200"/>
      <c r="N1439" s="297"/>
      <c r="O1439" s="201"/>
      <c r="P1439" s="197"/>
      <c r="Q1439" s="202"/>
      <c r="R1439" s="202"/>
      <c r="S1439" s="203"/>
      <c r="T1439" s="80"/>
    </row>
    <row r="1440" spans="1:20">
      <c r="A1440" s="224" t="s">
        <v>1</v>
      </c>
      <c r="B1440" s="224"/>
      <c r="C1440" s="224"/>
      <c r="D1440" s="224"/>
      <c r="E1440" s="75" t="s">
        <v>5</v>
      </c>
      <c r="F1440" s="75" t="s">
        <v>1933</v>
      </c>
      <c r="G1440" s="75" t="s">
        <v>4102</v>
      </c>
      <c r="H1440" s="75" t="s">
        <v>4541</v>
      </c>
      <c r="I1440" s="75" t="s">
        <v>1497</v>
      </c>
      <c r="J1440" s="75" t="s">
        <v>4102</v>
      </c>
      <c r="K1440" s="75" t="s">
        <v>4103</v>
      </c>
      <c r="L1440" s="75" t="s">
        <v>4104</v>
      </c>
      <c r="M1440" s="75" t="s">
        <v>1497</v>
      </c>
      <c r="N1440" s="75" t="s">
        <v>6</v>
      </c>
      <c r="O1440" s="75" t="s">
        <v>7</v>
      </c>
      <c r="P1440" s="75" t="s">
        <v>5211</v>
      </c>
      <c r="Q1440" s="75" t="s">
        <v>8</v>
      </c>
      <c r="R1440" s="75" t="s">
        <v>9</v>
      </c>
      <c r="S1440" s="75" t="s">
        <v>4105</v>
      </c>
      <c r="T1440" s="75" t="s">
        <v>10</v>
      </c>
    </row>
    <row r="1441" spans="1:20">
      <c r="A1441" s="225" t="s">
        <v>1181</v>
      </c>
      <c r="B1441" s="266">
        <v>20250319</v>
      </c>
      <c r="C1441" s="266">
        <v>7.25</v>
      </c>
      <c r="D1441" s="266" t="s">
        <v>7920</v>
      </c>
      <c r="E1441" s="266" t="s">
        <v>7921</v>
      </c>
      <c r="F1441" s="266" t="s">
        <v>2801</v>
      </c>
      <c r="G1441" s="219" t="s">
        <v>2692</v>
      </c>
      <c r="H1441" s="219" t="s">
        <v>4174</v>
      </c>
      <c r="I1441" s="219" t="s">
        <v>1635</v>
      </c>
      <c r="J1441" s="219">
        <v>240</v>
      </c>
      <c r="K1441" s="219">
        <f>7*4</f>
        <v>28</v>
      </c>
      <c r="L1441" s="219"/>
      <c r="M1441" s="219">
        <v>1.7</v>
      </c>
      <c r="N1441" s="320">
        <v>3.18828196521208</v>
      </c>
      <c r="O1441" s="320">
        <v>12.8869048459262</v>
      </c>
      <c r="P1441" s="320"/>
      <c r="Q1441" s="320">
        <v>5</v>
      </c>
      <c r="R1441" s="320">
        <f t="shared" ref="R1441:R1449" si="9">SUM(J1441:Q1441)</f>
        <v>290.775186811138</v>
      </c>
      <c r="S1441" s="640" t="s">
        <v>2579</v>
      </c>
      <c r="T1441" s="315" t="s">
        <v>7922</v>
      </c>
    </row>
    <row r="1442" spans="1:20">
      <c r="A1442" s="275"/>
      <c r="B1442" s="266">
        <v>20250319</v>
      </c>
      <c r="C1442" s="266">
        <v>7.25</v>
      </c>
      <c r="D1442" s="266" t="s">
        <v>7923</v>
      </c>
      <c r="E1442" s="266" t="s">
        <v>7924</v>
      </c>
      <c r="F1442" s="266" t="s">
        <v>4457</v>
      </c>
      <c r="G1442" s="219" t="s">
        <v>2664</v>
      </c>
      <c r="H1442" s="219" t="s">
        <v>4474</v>
      </c>
      <c r="I1442" s="219" t="s">
        <v>1633</v>
      </c>
      <c r="J1442" s="219">
        <v>175</v>
      </c>
      <c r="K1442" s="219">
        <v>24</v>
      </c>
      <c r="L1442" s="219"/>
      <c r="M1442" s="219">
        <v>3.3</v>
      </c>
      <c r="N1442" s="320">
        <v>3.18828196521208</v>
      </c>
      <c r="O1442" s="320">
        <v>15.5808704595362</v>
      </c>
      <c r="P1442" s="320"/>
      <c r="Q1442" s="320">
        <v>5</v>
      </c>
      <c r="R1442" s="320">
        <f t="shared" si="9"/>
        <v>226.069152424748</v>
      </c>
      <c r="S1442" s="640" t="s">
        <v>3995</v>
      </c>
      <c r="T1442" s="315" t="s">
        <v>7925</v>
      </c>
    </row>
    <row r="1443" spans="1:20">
      <c r="A1443" s="275"/>
      <c r="B1443" s="266">
        <v>20250319</v>
      </c>
      <c r="C1443" s="266">
        <v>7.25</v>
      </c>
      <c r="D1443" s="266" t="s">
        <v>7926</v>
      </c>
      <c r="E1443" s="266" t="s">
        <v>7927</v>
      </c>
      <c r="F1443" s="266" t="s">
        <v>4457</v>
      </c>
      <c r="G1443" s="219" t="s">
        <v>7928</v>
      </c>
      <c r="H1443" s="219" t="s">
        <v>4248</v>
      </c>
      <c r="I1443" s="219" t="s">
        <v>1567</v>
      </c>
      <c r="J1443" s="219">
        <v>320</v>
      </c>
      <c r="K1443" s="219">
        <f>12*4</f>
        <v>48</v>
      </c>
      <c r="L1443" s="219"/>
      <c r="M1443" s="219">
        <v>8</v>
      </c>
      <c r="N1443" s="320">
        <v>3.18828196521208</v>
      </c>
      <c r="O1443" s="320">
        <v>18.5050537907843</v>
      </c>
      <c r="P1443" s="320"/>
      <c r="Q1443" s="320">
        <v>5</v>
      </c>
      <c r="R1443" s="320">
        <f t="shared" si="9"/>
        <v>402.693335755996</v>
      </c>
      <c r="S1443" s="640" t="s">
        <v>4001</v>
      </c>
      <c r="T1443" s="315" t="s">
        <v>7929</v>
      </c>
    </row>
    <row r="1444" spans="1:20">
      <c r="A1444" s="225" t="s">
        <v>7748</v>
      </c>
      <c r="B1444" s="266">
        <v>20250319</v>
      </c>
      <c r="C1444" s="266">
        <v>7.25</v>
      </c>
      <c r="D1444" s="641" t="s">
        <v>7930</v>
      </c>
      <c r="E1444" s="266" t="s">
        <v>7931</v>
      </c>
      <c r="F1444" s="266" t="s">
        <v>4284</v>
      </c>
      <c r="G1444" s="219" t="s">
        <v>2228</v>
      </c>
      <c r="H1444" s="219" t="s">
        <v>4174</v>
      </c>
      <c r="I1444" s="219" t="s">
        <v>1635</v>
      </c>
      <c r="J1444" s="431" t="s">
        <v>1428</v>
      </c>
      <c r="K1444" s="219">
        <f>6*4</f>
        <v>24</v>
      </c>
      <c r="L1444" s="219"/>
      <c r="M1444" s="318">
        <v>3.3</v>
      </c>
      <c r="N1444" s="320">
        <v>3.18828196521208</v>
      </c>
      <c r="O1444" s="320">
        <v>14.0417279723528</v>
      </c>
      <c r="P1444" s="320"/>
      <c r="Q1444" s="320">
        <v>3.8</v>
      </c>
      <c r="R1444" s="320">
        <f t="shared" si="9"/>
        <v>48.3300099375649</v>
      </c>
      <c r="S1444" s="640" t="s">
        <v>2579</v>
      </c>
      <c r="T1444" s="315" t="s">
        <v>7932</v>
      </c>
    </row>
    <row r="1445" spans="1:20">
      <c r="A1445" s="275"/>
      <c r="B1445" s="266">
        <v>20250319</v>
      </c>
      <c r="C1445" s="266">
        <v>7.25</v>
      </c>
      <c r="D1445" s="641" t="s">
        <v>7933</v>
      </c>
      <c r="E1445" s="266" t="s">
        <v>7934</v>
      </c>
      <c r="F1445" s="266" t="s">
        <v>4284</v>
      </c>
      <c r="G1445" s="219" t="s">
        <v>2680</v>
      </c>
      <c r="H1445" s="219"/>
      <c r="I1445" s="219" t="s">
        <v>1731</v>
      </c>
      <c r="J1445" s="431">
        <v>280</v>
      </c>
      <c r="K1445" s="219">
        <f>11.8*4</f>
        <v>47.2</v>
      </c>
      <c r="L1445" s="219"/>
      <c r="M1445" s="318">
        <v>13</v>
      </c>
      <c r="N1445" s="320">
        <v>3.18828196521208</v>
      </c>
      <c r="O1445" s="320">
        <v>25.3564915321941</v>
      </c>
      <c r="P1445" s="320"/>
      <c r="Q1445" s="320">
        <v>3.8</v>
      </c>
      <c r="R1445" s="320">
        <f t="shared" si="9"/>
        <v>372.544773497406</v>
      </c>
      <c r="S1445" s="640" t="s">
        <v>2579</v>
      </c>
      <c r="T1445" s="315" t="s">
        <v>7935</v>
      </c>
    </row>
    <row r="1446" spans="1:20">
      <c r="A1446" s="596" t="s">
        <v>7936</v>
      </c>
      <c r="B1446" s="226">
        <v>20250108</v>
      </c>
      <c r="C1446" s="226">
        <v>7.25</v>
      </c>
      <c r="D1446" s="226" t="s">
        <v>1658</v>
      </c>
      <c r="E1446" s="255" t="s">
        <v>7937</v>
      </c>
      <c r="F1446" s="243" t="s">
        <v>2801</v>
      </c>
      <c r="G1446" s="227" t="s">
        <v>2692</v>
      </c>
      <c r="H1446" s="227" t="s">
        <v>1913</v>
      </c>
      <c r="I1446" s="227" t="s">
        <v>1428</v>
      </c>
      <c r="J1446" s="227">
        <v>240</v>
      </c>
      <c r="K1446" s="227"/>
      <c r="L1446" s="232"/>
      <c r="M1446" s="232"/>
      <c r="N1446" s="257">
        <v>3.86939273725969</v>
      </c>
      <c r="O1446" s="231">
        <v>26.3285303562292</v>
      </c>
      <c r="P1446" s="231"/>
      <c r="Q1446" s="246">
        <v>5</v>
      </c>
      <c r="R1446" s="232">
        <f t="shared" si="9"/>
        <v>275.197923093489</v>
      </c>
      <c r="S1446" s="226"/>
      <c r="T1446" s="254" t="s">
        <v>7938</v>
      </c>
    </row>
    <row r="1447" spans="1:20">
      <c r="A1447" s="596"/>
      <c r="B1447" s="226">
        <v>20250108</v>
      </c>
      <c r="C1447" s="226">
        <v>7.25</v>
      </c>
      <c r="D1447" s="226" t="s">
        <v>4408</v>
      </c>
      <c r="E1447" s="255" t="s">
        <v>7939</v>
      </c>
      <c r="F1447" s="243" t="s">
        <v>2801</v>
      </c>
      <c r="G1447" s="227" t="s">
        <v>7928</v>
      </c>
      <c r="H1447" s="227" t="s">
        <v>1913</v>
      </c>
      <c r="I1447" s="232"/>
      <c r="J1447" s="227">
        <v>320</v>
      </c>
      <c r="K1447" s="227"/>
      <c r="L1447" s="232"/>
      <c r="M1447" s="232"/>
      <c r="N1447" s="257">
        <v>3.86939273725969</v>
      </c>
      <c r="O1447" s="231">
        <v>27.9282626613571</v>
      </c>
      <c r="P1447" s="231"/>
      <c r="Q1447" s="246">
        <v>5</v>
      </c>
      <c r="R1447" s="232">
        <f t="shared" si="9"/>
        <v>356.797655398617</v>
      </c>
      <c r="S1447" s="226"/>
      <c r="T1447" s="254" t="s">
        <v>7940</v>
      </c>
    </row>
    <row r="1448" spans="1:20">
      <c r="A1448" s="596" t="s">
        <v>7941</v>
      </c>
      <c r="B1448" s="418">
        <v>20241224</v>
      </c>
      <c r="C1448" s="418">
        <v>7.3</v>
      </c>
      <c r="D1448" s="418" t="s">
        <v>2701</v>
      </c>
      <c r="E1448" s="426" t="s">
        <v>7942</v>
      </c>
      <c r="F1448" s="419" t="s">
        <v>4284</v>
      </c>
      <c r="G1448" s="421" t="s">
        <v>2692</v>
      </c>
      <c r="H1448" s="421" t="s">
        <v>1913</v>
      </c>
      <c r="I1448" s="421" t="s">
        <v>1428</v>
      </c>
      <c r="J1448" s="428">
        <v>240</v>
      </c>
      <c r="K1448" s="421" t="s">
        <v>1428</v>
      </c>
      <c r="L1448" s="421" t="s">
        <v>1428</v>
      </c>
      <c r="M1448" s="421" t="s">
        <v>1428</v>
      </c>
      <c r="N1448" s="257">
        <v>3.71437290204455</v>
      </c>
      <c r="O1448" s="434">
        <v>19.236454006011</v>
      </c>
      <c r="P1448" s="421" t="s">
        <v>1428</v>
      </c>
      <c r="Q1448" s="425">
        <v>2.90325</v>
      </c>
      <c r="R1448" s="424">
        <f t="shared" si="9"/>
        <v>265.854076908056</v>
      </c>
      <c r="S1448" s="642" t="s">
        <v>1526</v>
      </c>
      <c r="T1448" s="426" t="s">
        <v>2702</v>
      </c>
    </row>
    <row r="1449" spans="1:20">
      <c r="A1449" s="596"/>
      <c r="B1449" s="418">
        <v>20241224</v>
      </c>
      <c r="C1449" s="418">
        <v>7.3</v>
      </c>
      <c r="D1449" s="418" t="s">
        <v>1666</v>
      </c>
      <c r="E1449" s="426" t="s">
        <v>7943</v>
      </c>
      <c r="F1449" s="419" t="s">
        <v>4284</v>
      </c>
      <c r="G1449" s="421" t="s">
        <v>2680</v>
      </c>
      <c r="H1449" s="421" t="s">
        <v>1913</v>
      </c>
      <c r="I1449" s="421" t="s">
        <v>1428</v>
      </c>
      <c r="J1449" s="643">
        <v>280</v>
      </c>
      <c r="K1449" s="421" t="s">
        <v>1428</v>
      </c>
      <c r="L1449" s="421" t="s">
        <v>1428</v>
      </c>
      <c r="M1449" s="421" t="s">
        <v>1428</v>
      </c>
      <c r="N1449" s="257">
        <v>3.71437290204455</v>
      </c>
      <c r="O1449" s="434">
        <v>20.7442817166426</v>
      </c>
      <c r="P1449" s="421" t="s">
        <v>1428</v>
      </c>
      <c r="Q1449" s="425">
        <v>2.90325</v>
      </c>
      <c r="R1449" s="424">
        <f t="shared" si="9"/>
        <v>307.361904618687</v>
      </c>
      <c r="S1449" s="642" t="s">
        <v>1526</v>
      </c>
      <c r="T1449" s="426" t="s">
        <v>2703</v>
      </c>
    </row>
    <row r="1462" spans="1:20">
      <c r="A1462" s="195" t="s">
        <v>7853</v>
      </c>
      <c r="B1462" s="195"/>
      <c r="C1462" s="195"/>
      <c r="D1462" s="195"/>
      <c r="E1462" s="196"/>
      <c r="F1462" s="196"/>
      <c r="G1462" s="197"/>
      <c r="H1462" s="198"/>
      <c r="I1462" s="198"/>
      <c r="J1462" s="199"/>
      <c r="K1462" s="200"/>
      <c r="L1462" s="200"/>
      <c r="M1462" s="200"/>
      <c r="N1462" s="201"/>
      <c r="O1462" s="201"/>
      <c r="P1462" s="197"/>
      <c r="Q1462" s="202"/>
      <c r="R1462" s="202"/>
      <c r="S1462" s="203"/>
      <c r="T1462" s="80"/>
    </row>
    <row r="1463" spans="1:20">
      <c r="A1463" s="224" t="s">
        <v>1</v>
      </c>
      <c r="B1463" s="224" t="s">
        <v>2</v>
      </c>
      <c r="C1463" s="224" t="s">
        <v>1493</v>
      </c>
      <c r="D1463" s="206" t="s">
        <v>4</v>
      </c>
      <c r="E1463" s="75" t="s">
        <v>5</v>
      </c>
      <c r="F1463" s="75" t="s">
        <v>1933</v>
      </c>
      <c r="G1463" s="75" t="s">
        <v>4102</v>
      </c>
      <c r="H1463" s="75" t="s">
        <v>4541</v>
      </c>
      <c r="I1463" s="75" t="s">
        <v>1497</v>
      </c>
      <c r="J1463" s="75" t="s">
        <v>4102</v>
      </c>
      <c r="K1463" s="75" t="s">
        <v>4103</v>
      </c>
      <c r="L1463" s="75" t="s">
        <v>4104</v>
      </c>
      <c r="M1463" s="75" t="s">
        <v>1497</v>
      </c>
      <c r="N1463" s="75" t="s">
        <v>6</v>
      </c>
      <c r="O1463" s="75" t="s">
        <v>7</v>
      </c>
      <c r="P1463" s="75" t="s">
        <v>5211</v>
      </c>
      <c r="Q1463" s="75" t="s">
        <v>8</v>
      </c>
      <c r="R1463" s="75" t="s">
        <v>9</v>
      </c>
      <c r="S1463" s="75" t="s">
        <v>4105</v>
      </c>
      <c r="T1463" s="75" t="s">
        <v>10</v>
      </c>
    </row>
    <row r="1464" spans="1:20">
      <c r="A1464" s="333" t="s">
        <v>7944</v>
      </c>
      <c r="B1464" s="619">
        <v>20250318</v>
      </c>
      <c r="C1464" s="259">
        <v>7.25</v>
      </c>
      <c r="D1464" s="259" t="s">
        <v>3368</v>
      </c>
      <c r="E1464" s="279" t="s">
        <v>2306</v>
      </c>
      <c r="F1464" s="260" t="s">
        <v>3685</v>
      </c>
      <c r="G1464" s="227" t="s">
        <v>3542</v>
      </c>
      <c r="H1464" s="227" t="s">
        <v>1913</v>
      </c>
      <c r="I1464" s="227" t="s">
        <v>1635</v>
      </c>
      <c r="J1464" s="261">
        <v>30</v>
      </c>
      <c r="K1464" s="261" t="s">
        <v>1428</v>
      </c>
      <c r="L1464" s="261" t="s">
        <v>1428</v>
      </c>
      <c r="M1464" s="261">
        <v>3.3</v>
      </c>
      <c r="N1464" s="232">
        <v>2.86847726579188</v>
      </c>
      <c r="O1464" s="232">
        <v>12.2813175628471</v>
      </c>
      <c r="P1464" s="227" t="s">
        <v>1428</v>
      </c>
      <c r="Q1464" s="231">
        <v>2.82425</v>
      </c>
      <c r="R1464" s="627">
        <f>SUBTOTAL(9,J1464:Q1464)</f>
        <v>51.274044828639</v>
      </c>
      <c r="S1464" s="226" t="s">
        <v>1526</v>
      </c>
      <c r="T1464" s="260" t="s">
        <v>7906</v>
      </c>
    </row>
    <row r="1465" spans="1:20">
      <c r="A1465" s="333" t="s">
        <v>7945</v>
      </c>
      <c r="B1465" s="619">
        <v>20250217</v>
      </c>
      <c r="C1465" s="259">
        <v>7.3</v>
      </c>
      <c r="D1465" s="259" t="s">
        <v>868</v>
      </c>
      <c r="E1465" s="279" t="s">
        <v>7946</v>
      </c>
      <c r="F1465" s="260"/>
      <c r="G1465" s="227"/>
      <c r="H1465" s="227"/>
      <c r="I1465" s="227"/>
      <c r="J1465" s="261"/>
      <c r="K1465" s="261"/>
      <c r="L1465" s="261"/>
      <c r="M1465" s="261"/>
      <c r="N1465" s="232">
        <v>0.392047520911626</v>
      </c>
      <c r="O1465" s="232">
        <v>1.66874680192508</v>
      </c>
      <c r="P1465" s="227"/>
      <c r="Q1465" s="231">
        <v>0.2</v>
      </c>
      <c r="R1465" s="627">
        <f>SUBTOTAL(9,J1465:Q1465)</f>
        <v>2.26079432283671</v>
      </c>
      <c r="S1465" s="226"/>
      <c r="T1465" s="260" t="s">
        <v>870</v>
      </c>
    </row>
    <row r="1466" spans="1:20">
      <c r="A1466" s="333" t="s">
        <v>7945</v>
      </c>
      <c r="B1466" s="619">
        <v>20250320</v>
      </c>
      <c r="C1466" s="259">
        <v>7.25</v>
      </c>
      <c r="D1466" s="259" t="s">
        <v>881</v>
      </c>
      <c r="E1466" s="279" t="s">
        <v>882</v>
      </c>
      <c r="F1466" s="260"/>
      <c r="G1466" s="227"/>
      <c r="H1466" s="227"/>
      <c r="I1466" s="227"/>
      <c r="J1466" s="261"/>
      <c r="K1466" s="261"/>
      <c r="L1466" s="261"/>
      <c r="M1466" s="261"/>
      <c r="N1466" s="232">
        <v>0.0256881205286615</v>
      </c>
      <c r="O1466" s="232">
        <v>0.0406206249919725</v>
      </c>
      <c r="P1466" s="227" t="s">
        <v>1428</v>
      </c>
      <c r="Q1466" s="231">
        <v>0.2</v>
      </c>
      <c r="R1466" s="627">
        <f>SUBTOTAL(9,J1466:Q1466)</f>
        <v>0.266308745520634</v>
      </c>
      <c r="S1466" s="226"/>
      <c r="T1466" s="260"/>
    </row>
    <row r="1467" spans="1:20">
      <c r="A1467" s="333"/>
      <c r="B1467" s="619"/>
      <c r="C1467" s="259"/>
      <c r="D1467" s="259"/>
      <c r="E1467" s="279" t="s">
        <v>7947</v>
      </c>
      <c r="F1467" s="260" t="s">
        <v>7948</v>
      </c>
      <c r="G1467" s="227"/>
      <c r="H1467" s="227"/>
      <c r="I1467" s="227"/>
      <c r="J1467" s="261"/>
      <c r="K1467" s="261"/>
      <c r="L1467" s="261"/>
      <c r="M1467" s="261"/>
      <c r="N1467" s="232"/>
      <c r="O1467" s="232"/>
      <c r="P1467" s="227"/>
      <c r="Q1467" s="231"/>
      <c r="R1467" s="231">
        <v>19</v>
      </c>
      <c r="S1467" s="226" t="s">
        <v>7949</v>
      </c>
      <c r="T1467" s="260"/>
    </row>
    <row r="1468" spans="1:20">
      <c r="A1468" s="333"/>
      <c r="B1468" s="619"/>
      <c r="C1468" s="259"/>
      <c r="D1468" s="259"/>
      <c r="E1468" s="279" t="s">
        <v>7950</v>
      </c>
      <c r="F1468" s="260" t="s">
        <v>7951</v>
      </c>
      <c r="G1468" s="227"/>
      <c r="H1468" s="227"/>
      <c r="I1468" s="227"/>
      <c r="J1468" s="261"/>
      <c r="K1468" s="261"/>
      <c r="L1468" s="261"/>
      <c r="M1468" s="261"/>
      <c r="N1468" s="232"/>
      <c r="O1468" s="232"/>
      <c r="P1468" s="227"/>
      <c r="Q1468" s="231"/>
      <c r="R1468" s="231">
        <v>12.9</v>
      </c>
      <c r="S1468" s="226" t="s">
        <v>7952</v>
      </c>
      <c r="T1468" s="260"/>
    </row>
    <row r="1477" spans="1:20">
      <c r="A1477" s="195" t="s">
        <v>7853</v>
      </c>
      <c r="B1477" s="195"/>
      <c r="C1477" s="195"/>
      <c r="D1477" s="195"/>
      <c r="E1477" s="196"/>
      <c r="F1477" s="196"/>
      <c r="G1477" s="197"/>
      <c r="H1477" s="198"/>
      <c r="I1477" s="198"/>
      <c r="J1477" s="199"/>
      <c r="K1477" s="200"/>
      <c r="L1477" s="296"/>
      <c r="M1477" s="200"/>
      <c r="N1477" s="201"/>
      <c r="O1477" s="201"/>
      <c r="P1477" s="197"/>
      <c r="Q1477" s="202"/>
      <c r="R1477" s="202"/>
      <c r="S1477" s="203"/>
      <c r="T1477" s="80"/>
    </row>
    <row r="1478" spans="1:20">
      <c r="A1478" s="50" t="s">
        <v>1</v>
      </c>
      <c r="B1478" s="265" t="s">
        <v>2</v>
      </c>
      <c r="C1478" s="265" t="s">
        <v>1493</v>
      </c>
      <c r="D1478" s="265" t="s">
        <v>4</v>
      </c>
      <c r="E1478" s="75" t="s">
        <v>5</v>
      </c>
      <c r="F1478" s="75" t="s">
        <v>1933</v>
      </c>
      <c r="G1478" s="75" t="s">
        <v>4102</v>
      </c>
      <c r="H1478" s="75" t="s">
        <v>4541</v>
      </c>
      <c r="I1478" s="75" t="s">
        <v>1497</v>
      </c>
      <c r="J1478" s="75" t="s">
        <v>4102</v>
      </c>
      <c r="K1478" s="75" t="s">
        <v>4103</v>
      </c>
      <c r="L1478" s="75" t="s">
        <v>4104</v>
      </c>
      <c r="M1478" s="75" t="s">
        <v>1497</v>
      </c>
      <c r="N1478" s="75" t="s">
        <v>6</v>
      </c>
      <c r="O1478" s="75" t="s">
        <v>7</v>
      </c>
      <c r="P1478" s="75" t="s">
        <v>5211</v>
      </c>
      <c r="Q1478" s="75" t="s">
        <v>8</v>
      </c>
      <c r="R1478" s="75" t="s">
        <v>9</v>
      </c>
      <c r="S1478" s="75" t="s">
        <v>4105</v>
      </c>
      <c r="T1478" s="75" t="s">
        <v>10</v>
      </c>
    </row>
    <row r="1479" spans="1:20">
      <c r="A1479" s="333" t="s">
        <v>7953</v>
      </c>
      <c r="B1479" s="619">
        <v>20240827</v>
      </c>
      <c r="C1479" s="259">
        <v>7.15</v>
      </c>
      <c r="D1479" s="259" t="s">
        <v>4605</v>
      </c>
      <c r="E1479" s="279" t="s">
        <v>2449</v>
      </c>
      <c r="F1479" s="260" t="s">
        <v>7557</v>
      </c>
      <c r="G1479" s="227" t="s">
        <v>3566</v>
      </c>
      <c r="H1479" s="227" t="s">
        <v>3624</v>
      </c>
      <c r="I1479" s="227" t="s">
        <v>1720</v>
      </c>
      <c r="J1479" s="261">
        <v>29</v>
      </c>
      <c r="K1479" s="261" t="s">
        <v>1428</v>
      </c>
      <c r="L1479" s="261" t="s">
        <v>1428</v>
      </c>
      <c r="M1479" s="261">
        <v>2.3</v>
      </c>
      <c r="N1479" s="232">
        <v>3.34609335181076</v>
      </c>
      <c r="O1479" s="232">
        <v>11.3206588956545</v>
      </c>
      <c r="P1479" s="227" t="s">
        <v>1428</v>
      </c>
      <c r="Q1479" s="231">
        <v>3</v>
      </c>
      <c r="R1479" s="232">
        <f>SUBTOTAL(9,J1479:Q1479)</f>
        <v>48.9667522474653</v>
      </c>
      <c r="S1479" s="226" t="s">
        <v>4236</v>
      </c>
      <c r="T1479" s="260" t="s">
        <v>7954</v>
      </c>
    </row>
    <row r="1480" spans="1:20">
      <c r="A1480" s="333"/>
      <c r="B1480" s="229">
        <v>20240827</v>
      </c>
      <c r="C1480" s="227">
        <v>7.15</v>
      </c>
      <c r="D1480" s="644" t="s">
        <v>4599</v>
      </c>
      <c r="E1480" s="229" t="s">
        <v>1998</v>
      </c>
      <c r="F1480" s="229" t="s">
        <v>7557</v>
      </c>
      <c r="G1480" s="253" t="s">
        <v>3542</v>
      </c>
      <c r="H1480" s="244" t="s">
        <v>4592</v>
      </c>
      <c r="I1480" s="244" t="s">
        <v>1635</v>
      </c>
      <c r="J1480" s="227">
        <v>30</v>
      </c>
      <c r="K1480" s="244" t="s">
        <v>1428</v>
      </c>
      <c r="L1480" s="645">
        <v>6.5</v>
      </c>
      <c r="M1480" s="244">
        <v>3.3</v>
      </c>
      <c r="N1480" s="646">
        <v>3.34609335181076</v>
      </c>
      <c r="O1480" s="232">
        <f>10.4528690916379+0.000147061336588343</f>
        <v>10.4530161529745</v>
      </c>
      <c r="P1480" s="227" t="s">
        <v>1428</v>
      </c>
      <c r="Q1480" s="231">
        <v>3</v>
      </c>
      <c r="R1480" s="232">
        <f>SUBTOTAL(9,J1480:Q1480)</f>
        <v>56.5991095047853</v>
      </c>
      <c r="S1480" s="263" t="s">
        <v>7955</v>
      </c>
      <c r="T1480" s="229" t="s">
        <v>7956</v>
      </c>
    </row>
    <row r="1481" spans="1:20">
      <c r="A1481" s="333"/>
      <c r="B1481" s="619" t="s">
        <v>7957</v>
      </c>
      <c r="C1481" s="259">
        <v>7.25</v>
      </c>
      <c r="D1481" s="259" t="s">
        <v>5594</v>
      </c>
      <c r="E1481" s="279"/>
      <c r="F1481" s="260"/>
      <c r="G1481" s="227"/>
      <c r="H1481" s="227"/>
      <c r="I1481" s="227"/>
      <c r="J1481" s="261"/>
      <c r="K1481" s="261"/>
      <c r="L1481" s="261"/>
      <c r="M1481" s="261"/>
      <c r="N1481" s="232">
        <v>0.3</v>
      </c>
      <c r="O1481" s="232">
        <v>1.64</v>
      </c>
      <c r="P1481" s="227"/>
      <c r="Q1481" s="231">
        <v>0.2</v>
      </c>
      <c r="R1481" s="232">
        <f>SUBTOTAL(9,J1481:Q1481)</f>
        <v>2.14</v>
      </c>
      <c r="S1481" s="226"/>
      <c r="T1481" s="260"/>
    </row>
    <row r="1482" spans="1:20">
      <c r="R1482" s="177"/>
    </row>
    <row r="1486" spans="1:20">
      <c r="A1486" s="195" t="s">
        <v>7853</v>
      </c>
      <c r="B1486" s="195"/>
      <c r="C1486" s="195"/>
      <c r="D1486" s="195"/>
      <c r="E1486" s="196"/>
      <c r="F1486" s="196"/>
      <c r="G1486" s="197"/>
      <c r="H1486" s="198"/>
      <c r="I1486" s="198"/>
      <c r="J1486" s="199"/>
      <c r="K1486" s="200"/>
      <c r="L1486" s="200"/>
      <c r="M1486" s="200"/>
      <c r="N1486" s="201"/>
      <c r="O1486" s="201"/>
      <c r="P1486" s="197"/>
      <c r="Q1486" s="202"/>
      <c r="R1486" s="202"/>
      <c r="S1486" s="203"/>
      <c r="T1486" s="80"/>
    </row>
    <row r="1487" spans="1:20">
      <c r="A1487" s="224" t="s">
        <v>1</v>
      </c>
      <c r="B1487" s="224" t="s">
        <v>2</v>
      </c>
      <c r="C1487" s="224" t="s">
        <v>1493</v>
      </c>
      <c r="D1487" s="206" t="s">
        <v>4</v>
      </c>
      <c r="E1487" s="75" t="s">
        <v>5</v>
      </c>
      <c r="F1487" s="75" t="s">
        <v>1933</v>
      </c>
      <c r="G1487" s="75" t="s">
        <v>4102</v>
      </c>
      <c r="H1487" s="75" t="s">
        <v>4541</v>
      </c>
      <c r="I1487" s="75" t="s">
        <v>1497</v>
      </c>
      <c r="J1487" s="75" t="s">
        <v>4102</v>
      </c>
      <c r="K1487" s="75" t="s">
        <v>4103</v>
      </c>
      <c r="L1487" s="75" t="s">
        <v>4104</v>
      </c>
      <c r="M1487" s="75" t="s">
        <v>1497</v>
      </c>
      <c r="N1487" s="75" t="s">
        <v>6</v>
      </c>
      <c r="O1487" s="75" t="s">
        <v>7</v>
      </c>
      <c r="P1487" s="75" t="s">
        <v>5211</v>
      </c>
      <c r="Q1487" s="75" t="s">
        <v>8</v>
      </c>
      <c r="R1487" s="75" t="s">
        <v>9</v>
      </c>
      <c r="S1487" s="75" t="s">
        <v>4105</v>
      </c>
      <c r="T1487" s="75" t="s">
        <v>10</v>
      </c>
    </row>
    <row r="1488" spans="1:20">
      <c r="A1488" s="226" t="s">
        <v>3547</v>
      </c>
      <c r="B1488" s="226">
        <v>20240809</v>
      </c>
      <c r="C1488" s="227">
        <v>7.15</v>
      </c>
      <c r="D1488" s="226" t="s">
        <v>3595</v>
      </c>
      <c r="E1488" s="228" t="s">
        <v>2394</v>
      </c>
      <c r="F1488" s="229" t="s">
        <v>5111</v>
      </c>
      <c r="G1488" s="227" t="s">
        <v>3596</v>
      </c>
      <c r="H1488" s="227" t="s">
        <v>1913</v>
      </c>
      <c r="I1488" s="227" t="s">
        <v>1428</v>
      </c>
      <c r="J1488" s="227">
        <v>32</v>
      </c>
      <c r="K1488" s="227" t="s">
        <v>1428</v>
      </c>
      <c r="L1488" s="227" t="s">
        <v>1428</v>
      </c>
      <c r="M1488" s="227" t="s">
        <v>1428</v>
      </c>
      <c r="N1488" s="232">
        <v>3.25235796278699</v>
      </c>
      <c r="O1488" s="232">
        <v>10.2025787810916</v>
      </c>
      <c r="P1488" s="227" t="s">
        <v>1428</v>
      </c>
      <c r="Q1488" s="231">
        <v>3</v>
      </c>
      <c r="R1488" s="232">
        <f>SUBTOTAL(9,J1488:Q1488)</f>
        <v>48.4549367438786</v>
      </c>
      <c r="S1488" s="233" t="s">
        <v>1526</v>
      </c>
      <c r="T1488" s="226" t="s">
        <v>7598</v>
      </c>
    </row>
    <row r="1489" spans="1:20">
      <c r="A1489" s="333"/>
      <c r="B1489" s="226">
        <v>20241010</v>
      </c>
      <c r="C1489" s="226">
        <v>7.25</v>
      </c>
      <c r="D1489" s="226" t="s">
        <v>1416</v>
      </c>
      <c r="E1489" s="254" t="s">
        <v>1417</v>
      </c>
      <c r="F1489" s="226"/>
      <c r="G1489" s="227"/>
      <c r="H1489" s="227"/>
      <c r="I1489" s="227"/>
      <c r="J1489" s="245"/>
      <c r="K1489" s="256"/>
      <c r="L1489" s="256"/>
      <c r="M1489" s="256"/>
      <c r="N1489" s="232">
        <v>0.423185591775264</v>
      </c>
      <c r="O1489" s="232">
        <v>1.17382093732917</v>
      </c>
      <c r="P1489" s="227" t="s">
        <v>1428</v>
      </c>
      <c r="Q1489" s="231">
        <v>0.2</v>
      </c>
      <c r="R1489" s="231">
        <f>SUM(J1489:Q1489)</f>
        <v>1.79700652910443</v>
      </c>
      <c r="S1489" s="233"/>
      <c r="T1489" s="260" t="s">
        <v>7532</v>
      </c>
    </row>
    <row r="1497" spans="1:20">
      <c r="A1497" s="195" t="s">
        <v>7853</v>
      </c>
      <c r="B1497" s="195"/>
      <c r="C1497" s="195"/>
      <c r="D1497" s="195"/>
      <c r="E1497" s="196"/>
      <c r="F1497" s="196"/>
      <c r="G1497" s="197"/>
      <c r="H1497" s="198"/>
      <c r="I1497" s="198"/>
      <c r="J1497" s="199"/>
      <c r="K1497" s="200"/>
      <c r="L1497" s="200"/>
      <c r="M1497" s="200"/>
      <c r="N1497" s="201"/>
      <c r="O1497" s="201"/>
      <c r="P1497" s="197"/>
      <c r="Q1497" s="202"/>
      <c r="R1497" s="202"/>
      <c r="S1497" s="203"/>
      <c r="T1497" s="80"/>
    </row>
    <row r="1498" spans="1:20">
      <c r="A1498" s="224" t="s">
        <v>1</v>
      </c>
      <c r="B1498" s="224" t="s">
        <v>2</v>
      </c>
      <c r="C1498" s="224" t="s">
        <v>1493</v>
      </c>
      <c r="D1498" s="224" t="s">
        <v>4</v>
      </c>
      <c r="E1498" s="75" t="s">
        <v>5</v>
      </c>
      <c r="F1498" s="274" t="s">
        <v>1933</v>
      </c>
      <c r="G1498" s="75" t="s">
        <v>4102</v>
      </c>
      <c r="H1498" s="75" t="s">
        <v>4541</v>
      </c>
      <c r="I1498" s="75" t="s">
        <v>1497</v>
      </c>
      <c r="J1498" s="75" t="s">
        <v>4102</v>
      </c>
      <c r="K1498" s="75" t="s">
        <v>4103</v>
      </c>
      <c r="L1498" s="75" t="s">
        <v>4104</v>
      </c>
      <c r="M1498" s="75" t="s">
        <v>1497</v>
      </c>
      <c r="N1498" s="75" t="s">
        <v>6</v>
      </c>
      <c r="O1498" s="75" t="s">
        <v>7</v>
      </c>
      <c r="P1498" s="75" t="s">
        <v>5211</v>
      </c>
      <c r="Q1498" s="75" t="s">
        <v>8</v>
      </c>
      <c r="R1498" s="75" t="s">
        <v>9</v>
      </c>
      <c r="S1498" s="75" t="s">
        <v>4105</v>
      </c>
      <c r="T1498" s="75" t="s">
        <v>10</v>
      </c>
    </row>
    <row r="1499" spans="1:20">
      <c r="A1499" s="227" t="s">
        <v>7958</v>
      </c>
      <c r="B1499" s="266">
        <v>20250212</v>
      </c>
      <c r="C1499" s="266">
        <v>7.3</v>
      </c>
      <c r="D1499" s="315" t="s">
        <v>7959</v>
      </c>
      <c r="E1499" s="254" t="s">
        <v>1565</v>
      </c>
      <c r="F1499" s="226" t="s">
        <v>7960</v>
      </c>
      <c r="G1499" s="500" t="s">
        <v>2664</v>
      </c>
      <c r="H1499" s="227" t="s">
        <v>1913</v>
      </c>
      <c r="I1499" s="227" t="s">
        <v>1428</v>
      </c>
      <c r="J1499" s="247">
        <v>175</v>
      </c>
      <c r="K1499" s="227" t="s">
        <v>1428</v>
      </c>
      <c r="L1499" s="227" t="s">
        <v>1428</v>
      </c>
      <c r="M1499" s="227" t="s">
        <v>1428</v>
      </c>
      <c r="N1499" s="232">
        <v>5.05</v>
      </c>
      <c r="O1499" s="231">
        <v>26.9241426129816</v>
      </c>
      <c r="P1499" s="500"/>
      <c r="Q1499" s="288">
        <v>4</v>
      </c>
      <c r="R1499" s="232">
        <f>SUBTOTAL(9,J1499:Q1499)</f>
        <v>210.974142612982</v>
      </c>
      <c r="S1499" s="233" t="s">
        <v>1526</v>
      </c>
      <c r="T1499" s="254" t="s">
        <v>7961</v>
      </c>
    </row>
    <row r="1500" spans="1:20">
      <c r="A1500" s="227" t="s">
        <v>1333</v>
      </c>
      <c r="B1500" s="266">
        <v>20250321</v>
      </c>
      <c r="C1500" s="266">
        <v>7.25</v>
      </c>
      <c r="D1500" s="315" t="s">
        <v>2616</v>
      </c>
      <c r="E1500" s="254" t="s">
        <v>7962</v>
      </c>
      <c r="F1500" s="226" t="s">
        <v>2801</v>
      </c>
      <c r="G1500" s="500" t="s">
        <v>7963</v>
      </c>
      <c r="H1500" s="227" t="s">
        <v>1913</v>
      </c>
      <c r="I1500" s="227"/>
      <c r="J1500" s="247" t="s">
        <v>4244</v>
      </c>
      <c r="K1500" s="227"/>
      <c r="L1500" s="227"/>
      <c r="M1500" s="227"/>
      <c r="N1500" s="232">
        <v>5</v>
      </c>
      <c r="O1500" s="231">
        <v>18.6451241520842</v>
      </c>
      <c r="P1500" s="500"/>
      <c r="Q1500" s="288">
        <v>3.10746169916435</v>
      </c>
      <c r="R1500" s="232">
        <f>SUBTOTAL(9,J1500:Q1500)</f>
        <v>26.7525858512486</v>
      </c>
      <c r="S1500" s="233" t="s">
        <v>1526</v>
      </c>
      <c r="T1500" s="254" t="s">
        <v>2617</v>
      </c>
    </row>
    <row r="1501" spans="1:20">
      <c r="A1501" s="227" t="s">
        <v>1333</v>
      </c>
      <c r="B1501" s="266">
        <v>20250321</v>
      </c>
      <c r="C1501" s="266">
        <v>7.25</v>
      </c>
      <c r="D1501" s="315" t="s">
        <v>2618</v>
      </c>
      <c r="E1501" s="254" t="s">
        <v>7964</v>
      </c>
      <c r="F1501" s="226" t="s">
        <v>2801</v>
      </c>
      <c r="G1501" s="500" t="s">
        <v>7965</v>
      </c>
      <c r="H1501" s="227" t="s">
        <v>1913</v>
      </c>
      <c r="I1501" s="227"/>
      <c r="J1501" s="247">
        <v>170</v>
      </c>
      <c r="K1501" s="227"/>
      <c r="L1501" s="227"/>
      <c r="M1501" s="227"/>
      <c r="N1501" s="232">
        <v>5</v>
      </c>
      <c r="O1501" s="231">
        <v>18.7206780123222</v>
      </c>
      <c r="P1501" s="500"/>
      <c r="Q1501" s="288">
        <v>3.10746169916435</v>
      </c>
      <c r="R1501" s="232">
        <f>SUBTOTAL(9,J1501:Q1501)</f>
        <v>196.828139711487</v>
      </c>
      <c r="S1501" s="233" t="s">
        <v>1526</v>
      </c>
      <c r="T1501" s="254" t="s">
        <v>2617</v>
      </c>
    </row>
    <row r="1506" spans="1:27">
      <c r="A1506" s="195" t="s">
        <v>7853</v>
      </c>
      <c r="B1506" s="195"/>
      <c r="C1506" s="195"/>
      <c r="D1506" s="195"/>
      <c r="E1506" s="196"/>
      <c r="F1506" s="196"/>
      <c r="G1506" s="197"/>
      <c r="H1506" s="198"/>
      <c r="I1506" s="198"/>
      <c r="J1506" s="199"/>
      <c r="K1506" s="200"/>
      <c r="L1506" s="200"/>
      <c r="M1506" s="200"/>
      <c r="N1506" s="201"/>
      <c r="O1506" s="201"/>
      <c r="P1506" s="197"/>
      <c r="Q1506" s="202"/>
      <c r="R1506" s="202"/>
      <c r="S1506" s="203"/>
      <c r="T1506" s="80"/>
    </row>
    <row r="1507" spans="1:27">
      <c r="A1507" s="224" t="s">
        <v>1</v>
      </c>
      <c r="B1507" s="224" t="s">
        <v>2</v>
      </c>
      <c r="C1507" s="224" t="s">
        <v>1493</v>
      </c>
      <c r="D1507" s="224" t="s">
        <v>4</v>
      </c>
      <c r="E1507" s="75" t="s">
        <v>5</v>
      </c>
      <c r="F1507" s="274" t="s">
        <v>1933</v>
      </c>
      <c r="G1507" s="75" t="s">
        <v>4102</v>
      </c>
      <c r="H1507" s="75" t="s">
        <v>4541</v>
      </c>
      <c r="I1507" s="75" t="s">
        <v>1497</v>
      </c>
      <c r="J1507" s="75" t="s">
        <v>4102</v>
      </c>
      <c r="K1507" s="75" t="s">
        <v>4103</v>
      </c>
      <c r="L1507" s="75" t="s">
        <v>4104</v>
      </c>
      <c r="M1507" s="75" t="s">
        <v>1497</v>
      </c>
      <c r="N1507" s="75" t="s">
        <v>6</v>
      </c>
      <c r="O1507" s="75" t="s">
        <v>7</v>
      </c>
      <c r="P1507" s="75" t="s">
        <v>5211</v>
      </c>
      <c r="Q1507" s="75" t="s">
        <v>8</v>
      </c>
      <c r="R1507" s="75" t="s">
        <v>9</v>
      </c>
      <c r="S1507" s="75" t="s">
        <v>4105</v>
      </c>
      <c r="T1507" s="75" t="s">
        <v>10</v>
      </c>
    </row>
    <row r="1508" spans="1:27">
      <c r="A1508" s="227" t="s">
        <v>7958</v>
      </c>
      <c r="B1508" s="266">
        <v>20250212</v>
      </c>
      <c r="C1508" s="266">
        <v>7.3</v>
      </c>
      <c r="D1508" s="315" t="s">
        <v>7959</v>
      </c>
      <c r="E1508" s="254" t="s">
        <v>1565</v>
      </c>
      <c r="F1508" s="226" t="s">
        <v>7960</v>
      </c>
      <c r="G1508" s="500" t="s">
        <v>2664</v>
      </c>
      <c r="H1508" s="227" t="s">
        <v>1913</v>
      </c>
      <c r="I1508" s="227" t="s">
        <v>1428</v>
      </c>
      <c r="J1508" s="247">
        <v>175</v>
      </c>
      <c r="K1508" s="227" t="s">
        <v>1428</v>
      </c>
      <c r="L1508" s="227" t="s">
        <v>1428</v>
      </c>
      <c r="M1508" s="227" t="s">
        <v>1428</v>
      </c>
      <c r="N1508" s="230">
        <v>4.81</v>
      </c>
      <c r="O1508" s="231">
        <v>26.9241426129816</v>
      </c>
      <c r="P1508" s="500"/>
      <c r="Q1508" s="647">
        <v>3.5</v>
      </c>
      <c r="R1508" s="232">
        <f>SUBTOTAL(9,J1508:Q1508)</f>
        <v>210.234142612982</v>
      </c>
      <c r="S1508" s="233" t="s">
        <v>1526</v>
      </c>
      <c r="T1508" s="648" t="s">
        <v>7966</v>
      </c>
    </row>
    <row r="1509" spans="1:27">
      <c r="A1509" s="227" t="s">
        <v>1333</v>
      </c>
      <c r="B1509" s="266">
        <v>20250321</v>
      </c>
      <c r="C1509" s="266">
        <v>7.25</v>
      </c>
      <c r="D1509" s="315" t="s">
        <v>2616</v>
      </c>
      <c r="E1509" s="254" t="s">
        <v>7962</v>
      </c>
      <c r="F1509" s="226" t="s">
        <v>2801</v>
      </c>
      <c r="G1509" s="500" t="s">
        <v>7963</v>
      </c>
      <c r="H1509" s="227" t="s">
        <v>1913</v>
      </c>
      <c r="I1509" s="227"/>
      <c r="J1509" s="247" t="s">
        <v>4244</v>
      </c>
      <c r="K1509" s="227"/>
      <c r="L1509" s="227"/>
      <c r="M1509" s="227"/>
      <c r="N1509" s="230">
        <v>4.81</v>
      </c>
      <c r="O1509" s="231">
        <v>18.6451241520842</v>
      </c>
      <c r="P1509" s="500"/>
      <c r="Q1509" s="288">
        <v>3.10746169916435</v>
      </c>
      <c r="R1509" s="232">
        <f>SUBTOTAL(9,J1509:Q1509)</f>
        <v>26.5625858512485</v>
      </c>
      <c r="S1509" s="233" t="s">
        <v>1526</v>
      </c>
      <c r="T1509" s="648" t="s">
        <v>7967</v>
      </c>
    </row>
    <row r="1510" spans="1:27">
      <c r="A1510" s="227" t="s">
        <v>1333</v>
      </c>
      <c r="B1510" s="266">
        <v>20250321</v>
      </c>
      <c r="C1510" s="266">
        <v>7.25</v>
      </c>
      <c r="D1510" s="315" t="s">
        <v>2618</v>
      </c>
      <c r="E1510" s="254" t="s">
        <v>7964</v>
      </c>
      <c r="F1510" s="226" t="s">
        <v>2801</v>
      </c>
      <c r="G1510" s="500" t="s">
        <v>7965</v>
      </c>
      <c r="H1510" s="227" t="s">
        <v>1913</v>
      </c>
      <c r="I1510" s="227"/>
      <c r="J1510" s="247">
        <v>170</v>
      </c>
      <c r="K1510" s="227"/>
      <c r="L1510" s="227"/>
      <c r="M1510" s="227"/>
      <c r="N1510" s="230">
        <v>4.81</v>
      </c>
      <c r="O1510" s="231">
        <v>18.7206780123222</v>
      </c>
      <c r="P1510" s="500"/>
      <c r="Q1510" s="288">
        <v>3.10746169916435</v>
      </c>
      <c r="R1510" s="232">
        <f>SUBTOTAL(9,J1510:Q1510)</f>
        <v>196.638139711487</v>
      </c>
      <c r="S1510" s="233" t="s">
        <v>1526</v>
      </c>
      <c r="T1510" s="648" t="s">
        <v>7968</v>
      </c>
    </row>
    <row r="1513" spans="1:27">
      <c r="J1513" s="594" t="s">
        <v>7969</v>
      </c>
      <c r="K1513" s="595" t="s">
        <v>7862</v>
      </c>
      <c r="M1513" s="594" t="s">
        <v>7970</v>
      </c>
      <c r="N1513" s="595" t="s">
        <v>7862</v>
      </c>
      <c r="P1513" s="594" t="s">
        <v>7971</v>
      </c>
      <c r="Q1513" s="595" t="s">
        <v>7862</v>
      </c>
    </row>
    <row r="1514" spans="1:27">
      <c r="J1514" s="594" t="s">
        <v>7822</v>
      </c>
      <c r="K1514" s="590">
        <f>N1499+O1499+Q1499</f>
        <v>35.9741426129816</v>
      </c>
      <c r="M1514" s="594" t="s">
        <v>7822</v>
      </c>
      <c r="N1514" s="590">
        <f>N1500+Q1500+O1500</f>
        <v>26.7525858512486</v>
      </c>
      <c r="P1514" s="594" t="s">
        <v>7822</v>
      </c>
      <c r="Q1514" s="590">
        <f>N1501+O1501+Q1501</f>
        <v>26.8281397114866</v>
      </c>
    </row>
    <row r="1515" spans="1:27">
      <c r="J1515" s="594" t="s">
        <v>7823</v>
      </c>
      <c r="K1515" s="590">
        <f>N1508+O1508+Q1508</f>
        <v>35.2341426129816</v>
      </c>
      <c r="M1515" s="594" t="s">
        <v>7823</v>
      </c>
      <c r="N1515" s="590">
        <f>N1509+O1509+Q1509</f>
        <v>26.5625858512486</v>
      </c>
      <c r="P1515" s="594" t="s">
        <v>7823</v>
      </c>
      <c r="Q1515" s="590">
        <f>N1510+O1510+Q1510</f>
        <v>26.6381397114866</v>
      </c>
    </row>
    <row r="1516" spans="1:27">
      <c r="J1516" s="594" t="s">
        <v>7863</v>
      </c>
      <c r="K1516" s="634">
        <f>K1514-K1515</f>
        <v>0.740000000000002</v>
      </c>
      <c r="M1516" s="594" t="s">
        <v>7863</v>
      </c>
      <c r="N1516" s="634">
        <f>N1514-N1515</f>
        <v>0.190000000000001</v>
      </c>
      <c r="P1516" s="594" t="s">
        <v>7863</v>
      </c>
      <c r="Q1516" s="634">
        <f>Q1514-Q1515</f>
        <v>0.190000000000001</v>
      </c>
    </row>
    <row r="1520" spans="1:27">
      <c r="A1520" s="195" t="s">
        <v>7853</v>
      </c>
      <c r="B1520" s="195"/>
      <c r="C1520" s="195"/>
      <c r="D1520" s="195"/>
      <c r="E1520" s="196"/>
      <c r="F1520" s="196"/>
      <c r="G1520" s="197"/>
      <c r="H1520" s="198"/>
      <c r="I1520" s="198"/>
      <c r="J1520" s="199"/>
      <c r="K1520" s="296"/>
      <c r="L1520" s="296"/>
      <c r="M1520" s="200"/>
      <c r="N1520" s="297"/>
      <c r="O1520" s="201"/>
      <c r="P1520" s="197"/>
      <c r="Q1520" s="202"/>
      <c r="R1520" s="202"/>
      <c r="S1520" s="203"/>
      <c r="T1520" s="80"/>
      <c r="U1520" s="81"/>
      <c r="V1520" s="81"/>
      <c r="W1520" s="81"/>
      <c r="X1520" s="81"/>
      <c r="Y1520" s="81"/>
      <c r="Z1520" s="81"/>
      <c r="AA1520" s="81"/>
    </row>
    <row r="1521" spans="1:27">
      <c r="A1521" s="224" t="s">
        <v>1</v>
      </c>
      <c r="B1521" s="224"/>
      <c r="C1521" s="224"/>
      <c r="D1521" s="224"/>
      <c r="E1521" s="75" t="s">
        <v>5</v>
      </c>
      <c r="F1521" s="75" t="s">
        <v>1933</v>
      </c>
      <c r="G1521" s="75" t="s">
        <v>4102</v>
      </c>
      <c r="H1521" s="75" t="s">
        <v>4541</v>
      </c>
      <c r="I1521" s="75" t="s">
        <v>1497</v>
      </c>
      <c r="J1521" s="75" t="s">
        <v>4102</v>
      </c>
      <c r="K1521" s="75" t="s">
        <v>4103</v>
      </c>
      <c r="L1521" s="75" t="s">
        <v>4104</v>
      </c>
      <c r="M1521" s="75" t="s">
        <v>1497</v>
      </c>
      <c r="N1521" s="75" t="s">
        <v>6</v>
      </c>
      <c r="O1521" s="75" t="s">
        <v>7</v>
      </c>
      <c r="P1521" s="75" t="s">
        <v>5211</v>
      </c>
      <c r="Q1521" s="75" t="s">
        <v>8</v>
      </c>
      <c r="R1521" s="75" t="s">
        <v>9</v>
      </c>
      <c r="S1521" s="75" t="s">
        <v>4105</v>
      </c>
      <c r="T1521" s="75" t="s">
        <v>10</v>
      </c>
      <c r="U1521" s="81"/>
      <c r="V1521" s="81"/>
      <c r="W1521" s="81"/>
      <c r="X1521" s="81"/>
      <c r="Y1521" s="81"/>
      <c r="Z1521" s="81"/>
      <c r="AA1521" s="81"/>
    </row>
    <row r="1522" spans="1:27">
      <c r="A1522" s="226" t="s">
        <v>455</v>
      </c>
      <c r="B1522" s="226">
        <v>20241108</v>
      </c>
      <c r="C1522" s="227">
        <v>7.11</v>
      </c>
      <c r="D1522" s="226" t="s">
        <v>3058</v>
      </c>
      <c r="E1522" s="228" t="s">
        <v>1671</v>
      </c>
      <c r="F1522" s="229" t="s">
        <v>4284</v>
      </c>
      <c r="G1522" s="227" t="s">
        <v>2641</v>
      </c>
      <c r="H1522" s="227" t="s">
        <v>1913</v>
      </c>
      <c r="I1522" s="227" t="s">
        <v>1428</v>
      </c>
      <c r="J1522" s="227">
        <v>105</v>
      </c>
      <c r="K1522" s="227" t="s">
        <v>1428</v>
      </c>
      <c r="L1522" s="227" t="s">
        <v>1428</v>
      </c>
      <c r="M1522" s="227" t="s">
        <v>1428</v>
      </c>
      <c r="N1522" s="232">
        <v>5.03</v>
      </c>
      <c r="O1522" s="232">
        <v>12.4312190987318</v>
      </c>
      <c r="P1522" s="227" t="s">
        <v>1428</v>
      </c>
      <c r="Q1522" s="231">
        <v>3.14679665738162</v>
      </c>
      <c r="R1522" s="232">
        <v>125.213963269083</v>
      </c>
      <c r="S1522" s="233" t="s">
        <v>1526</v>
      </c>
      <c r="T1522" s="226" t="s">
        <v>7972</v>
      </c>
    </row>
    <row r="1527" spans="1:27">
      <c r="A1527" s="195" t="s">
        <v>7853</v>
      </c>
      <c r="B1527" s="195"/>
      <c r="C1527" s="195"/>
      <c r="D1527" s="195"/>
      <c r="E1527" s="196"/>
      <c r="F1527" s="196"/>
      <c r="G1527" s="197"/>
      <c r="H1527" s="198"/>
      <c r="I1527" s="198"/>
      <c r="J1527" s="199"/>
      <c r="K1527" s="296"/>
      <c r="L1527" s="296"/>
      <c r="M1527" s="200"/>
      <c r="N1527" s="297"/>
      <c r="O1527" s="201"/>
      <c r="P1527" s="197"/>
      <c r="Q1527" s="202"/>
      <c r="R1527" s="202"/>
      <c r="S1527" s="203"/>
      <c r="T1527" s="80"/>
      <c r="U1527" s="81"/>
      <c r="V1527" s="81"/>
      <c r="W1527" s="81"/>
      <c r="X1527" s="81"/>
      <c r="Y1527" s="81"/>
      <c r="Z1527" s="81"/>
      <c r="AA1527" s="81"/>
    </row>
    <row r="1528" spans="1:27">
      <c r="A1528" s="224" t="s">
        <v>1</v>
      </c>
      <c r="B1528" s="224"/>
      <c r="C1528" s="224"/>
      <c r="D1528" s="224"/>
      <c r="E1528" s="75" t="s">
        <v>5</v>
      </c>
      <c r="F1528" s="75" t="s">
        <v>1933</v>
      </c>
      <c r="G1528" s="75" t="s">
        <v>4102</v>
      </c>
      <c r="H1528" s="75" t="s">
        <v>4541</v>
      </c>
      <c r="I1528" s="75" t="s">
        <v>1497</v>
      </c>
      <c r="J1528" s="75" t="s">
        <v>4102</v>
      </c>
      <c r="K1528" s="75" t="s">
        <v>4103</v>
      </c>
      <c r="L1528" s="75" t="s">
        <v>4104</v>
      </c>
      <c r="M1528" s="75" t="s">
        <v>1497</v>
      </c>
      <c r="N1528" s="75" t="s">
        <v>6</v>
      </c>
      <c r="O1528" s="75" t="s">
        <v>7</v>
      </c>
      <c r="P1528" s="75" t="s">
        <v>5211</v>
      </c>
      <c r="Q1528" s="75" t="s">
        <v>8</v>
      </c>
      <c r="R1528" s="75" t="s">
        <v>9</v>
      </c>
      <c r="S1528" s="75" t="s">
        <v>4105</v>
      </c>
      <c r="T1528" s="75" t="s">
        <v>10</v>
      </c>
      <c r="U1528" s="81"/>
      <c r="V1528" s="81"/>
      <c r="W1528" s="81"/>
      <c r="X1528" s="81"/>
      <c r="Y1528" s="81"/>
      <c r="Z1528" s="81"/>
      <c r="AA1528" s="81"/>
    </row>
    <row r="1529" spans="1:27">
      <c r="A1529" s="226" t="s">
        <v>455</v>
      </c>
      <c r="B1529" s="226">
        <v>20241108</v>
      </c>
      <c r="C1529" s="227">
        <v>7.11</v>
      </c>
      <c r="D1529" s="226" t="s">
        <v>3058</v>
      </c>
      <c r="E1529" s="228" t="s">
        <v>1671</v>
      </c>
      <c r="F1529" s="229" t="s">
        <v>4284</v>
      </c>
      <c r="G1529" s="227" t="s">
        <v>2641</v>
      </c>
      <c r="H1529" s="227" t="s">
        <v>1913</v>
      </c>
      <c r="I1529" s="227" t="s">
        <v>1428</v>
      </c>
      <c r="J1529" s="227">
        <v>105</v>
      </c>
      <c r="K1529" s="227" t="s">
        <v>1428</v>
      </c>
      <c r="L1529" s="227" t="s">
        <v>1428</v>
      </c>
      <c r="M1529" s="227" t="s">
        <v>1428</v>
      </c>
      <c r="N1529" s="230">
        <v>4.63594751296918</v>
      </c>
      <c r="O1529" s="230">
        <v>11.9217668891974</v>
      </c>
      <c r="P1529" s="227" t="s">
        <v>1428</v>
      </c>
      <c r="Q1529" s="257">
        <v>2.75</v>
      </c>
      <c r="R1529" s="232">
        <v>125.213963269083</v>
      </c>
      <c r="S1529" s="233" t="s">
        <v>1526</v>
      </c>
      <c r="T1529" s="226" t="s">
        <v>7972</v>
      </c>
    </row>
    <row r="1532" spans="1:27">
      <c r="Q1532" s="594" t="s">
        <v>7973</v>
      </c>
      <c r="R1532" s="595" t="s">
        <v>7862</v>
      </c>
      <c r="S1532" s="333" t="s">
        <v>10</v>
      </c>
    </row>
    <row r="1533" spans="1:27">
      <c r="Q1533" s="594" t="s">
        <v>7822</v>
      </c>
      <c r="R1533" s="590">
        <f>N1522+O1522+Q1522</f>
        <v>20.6080157561134</v>
      </c>
      <c r="S1533" s="333"/>
    </row>
    <row r="1534" spans="1:27">
      <c r="Q1534" s="594" t="s">
        <v>7823</v>
      </c>
      <c r="R1534" s="590">
        <f>N1529+O1529+Q1529</f>
        <v>19.3077144021666</v>
      </c>
      <c r="S1534" s="333"/>
    </row>
    <row r="1535" spans="1:27">
      <c r="Q1535" s="594" t="s">
        <v>7863</v>
      </c>
      <c r="R1535" s="634">
        <f>R1533-R1534</f>
        <v>1.30030135394684</v>
      </c>
      <c r="S1535" s="333" t="s">
        <v>7974</v>
      </c>
    </row>
    <row r="1537" spans="1:27">
      <c r="A1537" s="195" t="s">
        <v>7853</v>
      </c>
      <c r="B1537" s="195"/>
      <c r="C1537" s="195"/>
      <c r="D1537" s="195"/>
      <c r="E1537" s="196"/>
      <c r="F1537" s="196"/>
      <c r="G1537" s="197"/>
      <c r="H1537" s="198"/>
      <c r="I1537" s="198"/>
      <c r="J1537" s="199"/>
      <c r="K1537" s="296"/>
      <c r="L1537" s="296"/>
      <c r="M1537" s="200"/>
      <c r="N1537" s="297"/>
      <c r="O1537" s="201"/>
      <c r="P1537" s="197"/>
      <c r="Q1537" s="202"/>
      <c r="R1537" s="202"/>
      <c r="S1537" s="203"/>
      <c r="T1537" s="80"/>
      <c r="U1537" s="81"/>
      <c r="V1537" s="81"/>
      <c r="W1537" s="81"/>
      <c r="X1537" s="81"/>
      <c r="Y1537" s="81"/>
      <c r="Z1537" s="81"/>
      <c r="AA1537" s="81"/>
    </row>
    <row r="1538" spans="1:27">
      <c r="A1538" s="224" t="s">
        <v>1</v>
      </c>
      <c r="B1538" s="224"/>
      <c r="C1538" s="224"/>
      <c r="D1538" s="224"/>
      <c r="E1538" s="75" t="s">
        <v>5</v>
      </c>
      <c r="F1538" s="75" t="s">
        <v>1933</v>
      </c>
      <c r="G1538" s="75" t="s">
        <v>4102</v>
      </c>
      <c r="H1538" s="75" t="s">
        <v>4541</v>
      </c>
      <c r="I1538" s="75" t="s">
        <v>1497</v>
      </c>
      <c r="J1538" s="75" t="s">
        <v>4102</v>
      </c>
      <c r="K1538" s="75" t="s">
        <v>4103</v>
      </c>
      <c r="L1538" s="75" t="s">
        <v>4104</v>
      </c>
      <c r="M1538" s="75" t="s">
        <v>1497</v>
      </c>
      <c r="N1538" s="75" t="s">
        <v>6</v>
      </c>
      <c r="O1538" s="75" t="s">
        <v>7</v>
      </c>
      <c r="P1538" s="75" t="s">
        <v>5211</v>
      </c>
      <c r="Q1538" s="75" t="s">
        <v>8</v>
      </c>
      <c r="R1538" s="75" t="s">
        <v>9</v>
      </c>
      <c r="S1538" s="75" t="s">
        <v>4105</v>
      </c>
      <c r="T1538" s="75" t="s">
        <v>10</v>
      </c>
      <c r="U1538" s="81"/>
      <c r="V1538" s="81"/>
      <c r="W1538" s="81"/>
      <c r="X1538" s="81"/>
      <c r="Y1538" s="81"/>
      <c r="Z1538" s="81"/>
      <c r="AA1538" s="81"/>
    </row>
    <row r="1539" s="179" customFormat="1" ht="16" customHeight="1" spans="1:27">
      <c r="A1539" s="649" t="s">
        <v>7975</v>
      </c>
      <c r="B1539" s="226"/>
      <c r="C1539" s="226">
        <v>20250319</v>
      </c>
      <c r="D1539" s="226">
        <v>7.25</v>
      </c>
      <c r="E1539" s="650" t="s">
        <v>7930</v>
      </c>
      <c r="F1539" s="226" t="s">
        <v>7931</v>
      </c>
      <c r="G1539" s="226" t="s">
        <v>4284</v>
      </c>
      <c r="H1539" s="227" t="s">
        <v>2228</v>
      </c>
      <c r="I1539" s="227" t="s">
        <v>4174</v>
      </c>
      <c r="J1539" s="227" t="s">
        <v>1635</v>
      </c>
      <c r="K1539" s="247" t="s">
        <v>1428</v>
      </c>
      <c r="L1539" s="227">
        <f>6*4</f>
        <v>24</v>
      </c>
      <c r="M1539" s="227"/>
      <c r="N1539" s="286">
        <v>3.3</v>
      </c>
      <c r="O1539" s="231">
        <v>3.18828196521208</v>
      </c>
      <c r="P1539" s="231">
        <v>14.0417279723528</v>
      </c>
      <c r="Q1539" s="231"/>
      <c r="R1539" s="231">
        <v>3.8</v>
      </c>
      <c r="S1539" s="231">
        <f>SUM(K1539:R1539)</f>
        <v>48.3300099375649</v>
      </c>
      <c r="T1539" s="233" t="s">
        <v>2579</v>
      </c>
      <c r="U1539" s="254" t="s">
        <v>7932</v>
      </c>
      <c r="V1539" s="283"/>
    </row>
    <row r="1540" s="179" customFormat="1" ht="16" customHeight="1" spans="1:27">
      <c r="A1540" s="649" t="s">
        <v>7975</v>
      </c>
      <c r="B1540" s="226"/>
      <c r="C1540" s="226">
        <v>20250319</v>
      </c>
      <c r="D1540" s="226">
        <v>7.25</v>
      </c>
      <c r="E1540" s="650" t="s">
        <v>7933</v>
      </c>
      <c r="F1540" s="226" t="s">
        <v>7934</v>
      </c>
      <c r="G1540" s="226" t="s">
        <v>4284</v>
      </c>
      <c r="H1540" s="227" t="s">
        <v>2680</v>
      </c>
      <c r="I1540" s="227" t="s">
        <v>4174</v>
      </c>
      <c r="J1540" s="227" t="s">
        <v>1731</v>
      </c>
      <c r="K1540" s="247">
        <v>280</v>
      </c>
      <c r="L1540" s="227">
        <f>11.8*4</f>
        <v>47.2</v>
      </c>
      <c r="M1540" s="227"/>
      <c r="N1540" s="286">
        <v>13</v>
      </c>
      <c r="O1540" s="231">
        <v>3.18828196521208</v>
      </c>
      <c r="P1540" s="231">
        <v>25.3564915321941</v>
      </c>
      <c r="Q1540" s="231"/>
      <c r="R1540" s="231">
        <v>3.8</v>
      </c>
      <c r="S1540" s="231">
        <f>SUM(K1540:R1540)</f>
        <v>372.544773497406</v>
      </c>
      <c r="T1540" s="233" t="s">
        <v>2579</v>
      </c>
      <c r="U1540" s="254" t="s">
        <v>7935</v>
      </c>
      <c r="V1540" s="283" t="s">
        <v>1406</v>
      </c>
    </row>
    <row r="1541" s="179" customFormat="1" ht="16" customHeight="1" spans="1:27">
      <c r="A1541" s="649" t="s">
        <v>2183</v>
      </c>
      <c r="B1541" s="226"/>
      <c r="C1541" s="226">
        <v>20250319</v>
      </c>
      <c r="D1541" s="226">
        <v>7.25</v>
      </c>
      <c r="E1541" s="650" t="s">
        <v>7920</v>
      </c>
      <c r="F1541" s="226" t="s">
        <v>7921</v>
      </c>
      <c r="G1541" s="226" t="s">
        <v>2801</v>
      </c>
      <c r="H1541" s="227" t="s">
        <v>2692</v>
      </c>
      <c r="I1541" s="227" t="s">
        <v>4174</v>
      </c>
      <c r="J1541" s="227" t="s">
        <v>1635</v>
      </c>
      <c r="K1541" s="247">
        <v>240</v>
      </c>
      <c r="L1541" s="227">
        <f>7*4</f>
        <v>28</v>
      </c>
      <c r="M1541" s="227"/>
      <c r="N1541" s="286">
        <v>1.7</v>
      </c>
      <c r="O1541" s="231">
        <v>3.18828196521208</v>
      </c>
      <c r="P1541" s="231">
        <v>12.8869048459262</v>
      </c>
      <c r="Q1541" s="231"/>
      <c r="R1541" s="231">
        <v>5</v>
      </c>
      <c r="S1541" s="231">
        <f>SUM(K1541:R1541)</f>
        <v>290.775186811138</v>
      </c>
      <c r="T1541" s="233" t="s">
        <v>2579</v>
      </c>
      <c r="U1541" s="254" t="s">
        <v>7922</v>
      </c>
      <c r="V1541" s="283"/>
    </row>
    <row r="1542" s="179" customFormat="1" ht="16" customHeight="1" spans="1:27">
      <c r="A1542" s="649" t="s">
        <v>2183</v>
      </c>
      <c r="B1542" s="226"/>
      <c r="C1542" s="226">
        <v>20250319</v>
      </c>
      <c r="D1542" s="226">
        <v>7.25</v>
      </c>
      <c r="E1542" s="650" t="s">
        <v>7923</v>
      </c>
      <c r="F1542" s="226" t="s">
        <v>7976</v>
      </c>
      <c r="G1542" s="226" t="s">
        <v>4457</v>
      </c>
      <c r="H1542" s="227" t="s">
        <v>2664</v>
      </c>
      <c r="I1542" s="227" t="s">
        <v>4474</v>
      </c>
      <c r="J1542" s="227" t="s">
        <v>1633</v>
      </c>
      <c r="K1542" s="247">
        <v>175</v>
      </c>
      <c r="L1542" s="227">
        <v>24</v>
      </c>
      <c r="M1542" s="227"/>
      <c r="N1542" s="286">
        <v>3.3</v>
      </c>
      <c r="O1542" s="231">
        <v>3.18828196521208</v>
      </c>
      <c r="P1542" s="231">
        <v>15.5808704595362</v>
      </c>
      <c r="Q1542" s="231"/>
      <c r="R1542" s="231">
        <v>5</v>
      </c>
      <c r="S1542" s="231">
        <f>SUM(K1542:R1542)</f>
        <v>226.069152424748</v>
      </c>
      <c r="T1542" s="233" t="s">
        <v>3995</v>
      </c>
      <c r="U1542" s="254" t="s">
        <v>7925</v>
      </c>
      <c r="V1542" s="283"/>
    </row>
    <row r="1543" s="179" customFormat="1" ht="16" customHeight="1" spans="1:27">
      <c r="A1543" s="649" t="s">
        <v>2183</v>
      </c>
      <c r="B1543" s="226"/>
      <c r="C1543" s="226">
        <v>20250319</v>
      </c>
      <c r="D1543" s="226">
        <v>7.25</v>
      </c>
      <c r="E1543" s="650" t="s">
        <v>7926</v>
      </c>
      <c r="F1543" s="226" t="s">
        <v>7977</v>
      </c>
      <c r="G1543" s="226" t="s">
        <v>4457</v>
      </c>
      <c r="H1543" s="227" t="s">
        <v>7928</v>
      </c>
      <c r="I1543" s="227" t="s">
        <v>4248</v>
      </c>
      <c r="J1543" s="227" t="s">
        <v>1567</v>
      </c>
      <c r="K1543" s="247">
        <v>320</v>
      </c>
      <c r="L1543" s="227">
        <f>12*4</f>
        <v>48</v>
      </c>
      <c r="M1543" s="227"/>
      <c r="N1543" s="286">
        <v>8</v>
      </c>
      <c r="O1543" s="231">
        <v>3.18828196521208</v>
      </c>
      <c r="P1543" s="231">
        <v>18.5050537907843</v>
      </c>
      <c r="Q1543" s="231"/>
      <c r="R1543" s="231">
        <v>5</v>
      </c>
      <c r="S1543" s="231">
        <f>SUM(K1543:R1543)</f>
        <v>402.693335755996</v>
      </c>
      <c r="T1543" s="233" t="s">
        <v>4001</v>
      </c>
      <c r="U1543" s="254" t="s">
        <v>7929</v>
      </c>
      <c r="V1543" s="283"/>
    </row>
    <row r="1544" s="179" customFormat="1" ht="16" customHeight="1" spans="1:27">
      <c r="A1544" s="649"/>
      <c r="B1544" s="226"/>
      <c r="C1544" s="226"/>
      <c r="D1544" s="226"/>
      <c r="E1544" s="650"/>
      <c r="F1544" s="226"/>
      <c r="G1544" s="226"/>
      <c r="H1544" s="227"/>
      <c r="I1544" s="227"/>
      <c r="J1544" s="227"/>
      <c r="K1544" s="247"/>
      <c r="L1544" s="227"/>
      <c r="M1544" s="227"/>
      <c r="N1544" s="286"/>
      <c r="O1544" s="231"/>
      <c r="P1544" s="231"/>
      <c r="Q1544" s="231"/>
      <c r="R1544" s="231"/>
      <c r="S1544" s="231"/>
      <c r="T1544" s="233"/>
      <c r="U1544" s="254"/>
      <c r="V1544" s="283"/>
    </row>
    <row r="1547" spans="1:27">
      <c r="A1547" s="195" t="s">
        <v>7853</v>
      </c>
      <c r="B1547" s="195"/>
      <c r="C1547" s="195"/>
      <c r="D1547" s="195"/>
      <c r="E1547" s="196"/>
      <c r="F1547" s="196"/>
      <c r="G1547" s="197"/>
      <c r="H1547" s="198"/>
      <c r="I1547" s="198"/>
      <c r="J1547" s="199"/>
      <c r="K1547" s="296"/>
      <c r="L1547" s="296"/>
      <c r="M1547" s="200"/>
      <c r="N1547" s="297"/>
      <c r="O1547" s="201"/>
      <c r="P1547" s="197"/>
      <c r="Q1547" s="202"/>
      <c r="R1547" s="202"/>
      <c r="S1547" s="203"/>
      <c r="T1547" s="80"/>
      <c r="U1547" s="81"/>
      <c r="V1547" s="81"/>
      <c r="W1547" s="81"/>
      <c r="X1547" s="81"/>
      <c r="Y1547" s="81"/>
      <c r="Z1547" s="81"/>
      <c r="AA1547" s="81"/>
    </row>
    <row r="1548" spans="1:27">
      <c r="A1548" s="224" t="s">
        <v>1</v>
      </c>
      <c r="B1548" s="224"/>
      <c r="C1548" s="224"/>
      <c r="D1548" s="224"/>
      <c r="E1548" s="75" t="s">
        <v>5</v>
      </c>
      <c r="F1548" s="75" t="s">
        <v>1933</v>
      </c>
      <c r="G1548" s="75" t="s">
        <v>4102</v>
      </c>
      <c r="H1548" s="75" t="s">
        <v>4541</v>
      </c>
      <c r="I1548" s="75" t="s">
        <v>1497</v>
      </c>
      <c r="J1548" s="75" t="s">
        <v>4102</v>
      </c>
      <c r="K1548" s="75" t="s">
        <v>4103</v>
      </c>
      <c r="L1548" s="75" t="s">
        <v>4104</v>
      </c>
      <c r="M1548" s="75" t="s">
        <v>1497</v>
      </c>
      <c r="N1548" s="75" t="s">
        <v>6</v>
      </c>
      <c r="O1548" s="75" t="s">
        <v>7</v>
      </c>
      <c r="P1548" s="75" t="s">
        <v>5211</v>
      </c>
      <c r="Q1548" s="75" t="s">
        <v>8</v>
      </c>
      <c r="R1548" s="75" t="s">
        <v>9</v>
      </c>
      <c r="S1548" s="75" t="s">
        <v>4105</v>
      </c>
      <c r="T1548" s="75" t="s">
        <v>10</v>
      </c>
      <c r="U1548" s="81"/>
      <c r="V1548" s="81"/>
      <c r="W1548" s="81"/>
      <c r="X1548" s="81"/>
      <c r="Y1548" s="81"/>
      <c r="Z1548" s="81"/>
      <c r="AA1548" s="81"/>
    </row>
    <row r="1549" spans="1:27">
      <c r="A1549" s="226" t="s">
        <v>7407</v>
      </c>
      <c r="B1549" s="226">
        <v>20250321</v>
      </c>
      <c r="C1549" s="227">
        <v>7.25</v>
      </c>
      <c r="D1549" s="226" t="s">
        <v>7978</v>
      </c>
      <c r="E1549" s="228" t="s">
        <v>7979</v>
      </c>
      <c r="F1549" s="229" t="s">
        <v>2801</v>
      </c>
      <c r="G1549" s="227" t="s">
        <v>2611</v>
      </c>
      <c r="H1549" s="227"/>
      <c r="I1549" s="227"/>
      <c r="J1549" s="227">
        <v>220</v>
      </c>
      <c r="K1549" s="227"/>
      <c r="L1549" s="227"/>
      <c r="M1549" s="227"/>
      <c r="N1549" s="232">
        <v>3.82102521031356</v>
      </c>
      <c r="O1549" s="232">
        <v>13.8919005238938</v>
      </c>
      <c r="P1549" s="227"/>
      <c r="Q1549" s="231">
        <v>2.88823119777159</v>
      </c>
      <c r="R1549" s="232">
        <f>SUM(J1549:Q1549)+1</f>
        <v>241.601156931979</v>
      </c>
      <c r="S1549" s="233" t="s">
        <v>1526</v>
      </c>
      <c r="T1549" s="226" t="s">
        <v>7980</v>
      </c>
    </row>
    <row r="1550" spans="1:27">
      <c r="N1550" s="184"/>
      <c r="O1550" s="184"/>
      <c r="P1550" s="184"/>
      <c r="Q1550" s="184"/>
    </row>
    <row r="1555" spans="1:20">
      <c r="A1555" s="195" t="s">
        <v>7853</v>
      </c>
      <c r="B1555" s="195"/>
      <c r="C1555" s="195"/>
      <c r="D1555" s="195"/>
      <c r="E1555" s="196"/>
      <c r="F1555" s="196"/>
      <c r="G1555" s="197"/>
      <c r="H1555" s="198"/>
      <c r="I1555" s="198"/>
      <c r="J1555" s="199"/>
      <c r="K1555" s="296"/>
      <c r="L1555" s="296"/>
      <c r="M1555" s="200"/>
      <c r="N1555" s="297"/>
      <c r="O1555" s="201"/>
      <c r="P1555" s="197"/>
      <c r="Q1555" s="202"/>
      <c r="R1555" s="202"/>
      <c r="S1555" s="203"/>
      <c r="T1555" s="80"/>
    </row>
    <row r="1556" spans="1:20">
      <c r="A1556" s="224" t="s">
        <v>1</v>
      </c>
      <c r="B1556" s="224"/>
      <c r="C1556" s="224"/>
      <c r="D1556" s="224"/>
      <c r="E1556" s="75" t="s">
        <v>5</v>
      </c>
      <c r="F1556" s="75" t="s">
        <v>1933</v>
      </c>
      <c r="G1556" s="75" t="s">
        <v>4102</v>
      </c>
      <c r="H1556" s="75" t="s">
        <v>4541</v>
      </c>
      <c r="I1556" s="75" t="s">
        <v>1497</v>
      </c>
      <c r="J1556" s="75" t="s">
        <v>4102</v>
      </c>
      <c r="K1556" s="75" t="s">
        <v>4103</v>
      </c>
      <c r="L1556" s="75" t="s">
        <v>4104</v>
      </c>
      <c r="M1556" s="75" t="s">
        <v>1497</v>
      </c>
      <c r="N1556" s="75" t="s">
        <v>6</v>
      </c>
      <c r="O1556" s="75" t="s">
        <v>7</v>
      </c>
      <c r="P1556" s="75" t="s">
        <v>5211</v>
      </c>
      <c r="Q1556" s="75" t="s">
        <v>8</v>
      </c>
      <c r="R1556" s="75" t="s">
        <v>9</v>
      </c>
      <c r="S1556" s="75" t="s">
        <v>4105</v>
      </c>
      <c r="T1556" s="75" t="s">
        <v>10</v>
      </c>
    </row>
    <row r="1557" spans="1:20">
      <c r="A1557" s="226" t="s">
        <v>7407</v>
      </c>
      <c r="B1557" s="226">
        <v>20240808</v>
      </c>
      <c r="C1557" s="227">
        <v>7.15</v>
      </c>
      <c r="D1557" s="226" t="s">
        <v>7981</v>
      </c>
      <c r="E1557" s="228" t="s">
        <v>2154</v>
      </c>
      <c r="F1557" s="229" t="s">
        <v>7982</v>
      </c>
      <c r="G1557" s="227" t="s">
        <v>2323</v>
      </c>
      <c r="H1557" s="227" t="s">
        <v>1913</v>
      </c>
      <c r="I1557" s="227" t="s">
        <v>1428</v>
      </c>
      <c r="J1557" s="227">
        <v>65</v>
      </c>
      <c r="K1557" s="227" t="s">
        <v>1428</v>
      </c>
      <c r="L1557" s="227" t="s">
        <v>1428</v>
      </c>
      <c r="M1557" s="227" t="s">
        <v>1428</v>
      </c>
      <c r="N1557" s="232">
        <v>3.82102521031356</v>
      </c>
      <c r="O1557" s="232">
        <v>11.3955560021898</v>
      </c>
      <c r="P1557" s="227" t="s">
        <v>1428</v>
      </c>
      <c r="Q1557" s="231">
        <v>2.88823119777159</v>
      </c>
      <c r="R1557" s="612">
        <f>SUM(J1557:Q1557)+1</f>
        <v>84.104812410275</v>
      </c>
      <c r="S1557" s="233" t="s">
        <v>1526</v>
      </c>
      <c r="T1557" s="226" t="s">
        <v>2588</v>
      </c>
    </row>
    <row r="1558" spans="1:20">
      <c r="A1558" s="226" t="s">
        <v>19</v>
      </c>
      <c r="B1558" s="226">
        <v>20241016</v>
      </c>
      <c r="C1558" s="227">
        <v>7.1</v>
      </c>
      <c r="D1558" s="226" t="s">
        <v>172</v>
      </c>
      <c r="E1558" s="228" t="s">
        <v>173</v>
      </c>
      <c r="F1558" s="229"/>
      <c r="G1558" s="227"/>
      <c r="H1558" s="227"/>
      <c r="I1558" s="227"/>
      <c r="J1558" s="227"/>
      <c r="K1558" s="227"/>
      <c r="L1558" s="227"/>
      <c r="M1558" s="227"/>
      <c r="N1558" s="232">
        <v>0.47728098617882</v>
      </c>
      <c r="O1558" s="232">
        <v>3.99468865312347</v>
      </c>
      <c r="P1558" s="227" t="s">
        <v>1428</v>
      </c>
      <c r="Q1558" s="231">
        <v>0.4</v>
      </c>
      <c r="R1558" s="232">
        <v>4.87196963930229</v>
      </c>
      <c r="S1558" s="233"/>
      <c r="T1558" s="226" t="s">
        <v>7805</v>
      </c>
    </row>
    <row r="1559" spans="1:20">
      <c r="A1559" s="226"/>
      <c r="B1559" s="226"/>
      <c r="C1559" s="227"/>
      <c r="D1559" s="226"/>
      <c r="E1559" s="228" t="s">
        <v>7983</v>
      </c>
      <c r="F1559" s="229" t="s">
        <v>7984</v>
      </c>
      <c r="G1559" s="232" t="s">
        <v>7985</v>
      </c>
      <c r="H1559" s="227"/>
      <c r="I1559" s="227"/>
      <c r="J1559" s="227"/>
      <c r="K1559" s="227"/>
      <c r="L1559" s="227"/>
      <c r="M1559" s="227"/>
      <c r="N1559" s="232"/>
      <c r="O1559" s="232"/>
      <c r="P1559" s="227"/>
      <c r="Q1559" s="231"/>
      <c r="R1559" s="232" t="s">
        <v>7985</v>
      </c>
      <c r="S1559" s="233"/>
      <c r="T1559" s="226"/>
    </row>
    <row r="1560" spans="1:20">
      <c r="A1560" s="226"/>
      <c r="B1560" s="226"/>
      <c r="C1560" s="227"/>
      <c r="D1560" s="226"/>
      <c r="E1560" s="228" t="s">
        <v>7986</v>
      </c>
      <c r="F1560" s="229" t="s">
        <v>7808</v>
      </c>
      <c r="G1560" s="232" t="s">
        <v>7985</v>
      </c>
      <c r="H1560" s="227"/>
      <c r="I1560" s="227"/>
      <c r="J1560" s="227"/>
      <c r="K1560" s="227"/>
      <c r="L1560" s="227"/>
      <c r="M1560" s="227"/>
      <c r="N1560" s="232"/>
      <c r="O1560" s="232"/>
      <c r="P1560" s="227"/>
      <c r="Q1560" s="231"/>
      <c r="R1560" s="232" t="s">
        <v>7985</v>
      </c>
      <c r="S1560" s="233"/>
      <c r="T1560" s="226"/>
    </row>
    <row r="1561" spans="1:20">
      <c r="A1561" s="226"/>
      <c r="B1561" s="226"/>
      <c r="C1561" s="227"/>
      <c r="D1561" s="226"/>
      <c r="E1561" s="228" t="s">
        <v>7987</v>
      </c>
      <c r="F1561" s="229"/>
      <c r="G1561" s="227"/>
      <c r="H1561" s="227"/>
      <c r="I1561" s="227"/>
      <c r="J1561" s="227"/>
      <c r="K1561" s="227"/>
      <c r="L1561" s="227"/>
      <c r="M1561" s="227"/>
      <c r="N1561" s="232"/>
      <c r="O1561" s="232"/>
      <c r="P1561" s="227"/>
      <c r="Q1561" s="231"/>
      <c r="R1561" s="232">
        <v>1.7</v>
      </c>
      <c r="S1561" s="233"/>
      <c r="T1561" s="226"/>
    </row>
    <row r="1562" spans="1:20">
      <c r="A1562" s="226"/>
      <c r="B1562" s="226"/>
      <c r="C1562" s="227"/>
      <c r="D1562" s="226"/>
      <c r="E1562" s="228"/>
      <c r="F1562" s="229"/>
      <c r="G1562" s="227"/>
      <c r="H1562" s="227"/>
      <c r="I1562" s="227"/>
      <c r="J1562" s="227"/>
      <c r="K1562" s="227"/>
      <c r="L1562" s="227"/>
      <c r="M1562" s="227"/>
      <c r="N1562" s="232"/>
      <c r="O1562" s="232"/>
      <c r="P1562" s="227"/>
      <c r="Q1562" s="231"/>
      <c r="R1562" s="232"/>
      <c r="S1562" s="233"/>
      <c r="T1562" s="226"/>
    </row>
    <row r="1565" spans="1:20">
      <c r="A1565" s="195" t="s">
        <v>7853</v>
      </c>
      <c r="B1565" s="195"/>
      <c r="C1565" s="195"/>
      <c r="D1565" s="195"/>
      <c r="E1565" s="196"/>
      <c r="F1565" s="196"/>
      <c r="G1565" s="197"/>
      <c r="H1565" s="198"/>
      <c r="I1565" s="198"/>
      <c r="J1565" s="199"/>
      <c r="K1565" s="296"/>
      <c r="L1565" s="296"/>
      <c r="M1565" s="200"/>
      <c r="N1565" s="297"/>
      <c r="O1565" s="201"/>
      <c r="P1565" s="197"/>
      <c r="Q1565" s="202"/>
      <c r="R1565" s="202"/>
      <c r="S1565" s="203"/>
      <c r="T1565" s="80"/>
    </row>
    <row r="1566" spans="1:20">
      <c r="A1566" s="224" t="s">
        <v>1</v>
      </c>
      <c r="B1566" s="224"/>
      <c r="C1566" s="224"/>
      <c r="D1566" s="224"/>
      <c r="E1566" s="75" t="s">
        <v>5</v>
      </c>
      <c r="F1566" s="75" t="s">
        <v>1933</v>
      </c>
      <c r="G1566" s="75" t="s">
        <v>4102</v>
      </c>
      <c r="H1566" s="75" t="s">
        <v>4541</v>
      </c>
      <c r="I1566" s="75" t="s">
        <v>1497</v>
      </c>
      <c r="J1566" s="75" t="s">
        <v>4102</v>
      </c>
      <c r="K1566" s="75" t="s">
        <v>4103</v>
      </c>
      <c r="L1566" s="75" t="s">
        <v>4104</v>
      </c>
      <c r="M1566" s="75" t="s">
        <v>1497</v>
      </c>
      <c r="N1566" s="75" t="s">
        <v>6</v>
      </c>
      <c r="O1566" s="75" t="s">
        <v>7</v>
      </c>
      <c r="P1566" s="75" t="s">
        <v>5211</v>
      </c>
      <c r="Q1566" s="75" t="s">
        <v>8</v>
      </c>
      <c r="R1566" s="75" t="s">
        <v>9</v>
      </c>
      <c r="S1566" s="75" t="s">
        <v>4105</v>
      </c>
      <c r="T1566" s="75" t="s">
        <v>10</v>
      </c>
    </row>
    <row r="1567" spans="1:20">
      <c r="A1567" s="226" t="s">
        <v>7407</v>
      </c>
      <c r="B1567" s="226">
        <v>20241205</v>
      </c>
      <c r="C1567" s="227">
        <v>7.25</v>
      </c>
      <c r="D1567" s="226" t="s">
        <v>7988</v>
      </c>
      <c r="E1567" s="228" t="s">
        <v>7989</v>
      </c>
      <c r="F1567" s="229" t="s">
        <v>4284</v>
      </c>
      <c r="G1567" s="227" t="s">
        <v>7990</v>
      </c>
      <c r="H1567" s="227" t="s">
        <v>1913</v>
      </c>
      <c r="I1567" s="227" t="s">
        <v>1428</v>
      </c>
      <c r="J1567" s="227">
        <v>85</v>
      </c>
      <c r="K1567" s="227" t="s">
        <v>1428</v>
      </c>
      <c r="L1567" s="227" t="s">
        <v>1428</v>
      </c>
      <c r="M1567" s="227" t="s">
        <v>1428</v>
      </c>
      <c r="N1567" s="232">
        <v>3.82102521031356</v>
      </c>
      <c r="O1567" s="232">
        <v>11.7441369543702</v>
      </c>
      <c r="P1567" s="227"/>
      <c r="Q1567" s="231">
        <v>2.88823119777159</v>
      </c>
      <c r="R1567" s="231">
        <f>SUM(J1567:Q1567)+1</f>
        <v>104.453393362455</v>
      </c>
      <c r="S1567" s="233" t="s">
        <v>1526</v>
      </c>
      <c r="T1567" s="226" t="s">
        <v>7991</v>
      </c>
    </row>
    <row r="1568" spans="1:20">
      <c r="A1568" s="226"/>
      <c r="B1568" s="226">
        <v>20241111</v>
      </c>
      <c r="C1568" s="227">
        <v>7.2</v>
      </c>
      <c r="D1568" s="226" t="s">
        <v>175</v>
      </c>
      <c r="E1568" s="228" t="s">
        <v>176</v>
      </c>
      <c r="F1568" s="229"/>
      <c r="G1568" s="227"/>
      <c r="H1568" s="227"/>
      <c r="I1568" s="227"/>
      <c r="J1568" s="227"/>
      <c r="K1568" s="227"/>
      <c r="L1568" s="227"/>
      <c r="M1568" s="227"/>
      <c r="N1568" s="232">
        <v>0.418879915561331</v>
      </c>
      <c r="O1568" s="232">
        <v>2.15402644931648</v>
      </c>
      <c r="P1568" s="227" t="s">
        <v>1428</v>
      </c>
      <c r="Q1568" s="231">
        <v>0.4</v>
      </c>
      <c r="R1568" s="231">
        <v>2.97290636487781</v>
      </c>
      <c r="S1568" s="233"/>
      <c r="T1568" s="226" t="s">
        <v>7478</v>
      </c>
    </row>
    <row r="1569" spans="1:20">
      <c r="A1569" s="226"/>
      <c r="B1569" s="226"/>
      <c r="C1569" s="227"/>
      <c r="D1569" s="226"/>
      <c r="E1569" s="228" t="s">
        <v>7441</v>
      </c>
      <c r="F1569" s="229" t="s">
        <v>5764</v>
      </c>
      <c r="G1569" s="227"/>
      <c r="H1569" s="227"/>
      <c r="I1569" s="227"/>
      <c r="J1569" s="227"/>
      <c r="K1569" s="227"/>
      <c r="L1569" s="227"/>
      <c r="M1569" s="227"/>
      <c r="N1569" s="232"/>
      <c r="O1569" s="232"/>
      <c r="P1569" s="227"/>
      <c r="Q1569" s="231"/>
      <c r="R1569" s="231">
        <v>3.3</v>
      </c>
      <c r="S1569" s="233"/>
      <c r="T1569" s="226"/>
    </row>
    <row r="1570" spans="1:20">
      <c r="A1570" s="226" t="s">
        <v>7407</v>
      </c>
      <c r="B1570" s="226">
        <v>20241202</v>
      </c>
      <c r="C1570" s="227">
        <v>7.2</v>
      </c>
      <c r="D1570" s="226" t="s">
        <v>7792</v>
      </c>
      <c r="E1570" s="228" t="s">
        <v>7793</v>
      </c>
      <c r="F1570" s="229" t="s">
        <v>1933</v>
      </c>
      <c r="G1570" s="227" t="s">
        <v>2323</v>
      </c>
      <c r="H1570" s="227" t="s">
        <v>1913</v>
      </c>
      <c r="I1570" s="227" t="s">
        <v>1428</v>
      </c>
      <c r="J1570" s="227">
        <v>65</v>
      </c>
      <c r="K1570" s="227" t="s">
        <v>1428</v>
      </c>
      <c r="L1570" s="227" t="s">
        <v>1428</v>
      </c>
      <c r="M1570" s="227" t="s">
        <v>1428</v>
      </c>
      <c r="N1570" s="232">
        <v>3.82102521031356</v>
      </c>
      <c r="O1570" s="232">
        <v>11.7737729484339</v>
      </c>
      <c r="P1570" s="227" t="s">
        <v>1428</v>
      </c>
      <c r="Q1570" s="231">
        <v>2.88823119777159</v>
      </c>
      <c r="R1570" s="231">
        <f>SUM(J1570:Q1570)+1</f>
        <v>84.4830293565191</v>
      </c>
      <c r="S1570" s="233" t="s">
        <v>1526</v>
      </c>
      <c r="T1570" s="226" t="s">
        <v>7433</v>
      </c>
    </row>
    <row r="1571" spans="1:20">
      <c r="A1571" s="226"/>
      <c r="B1571" s="226">
        <v>20241213</v>
      </c>
      <c r="C1571" s="227">
        <v>7.3</v>
      </c>
      <c r="D1571" s="226" t="s">
        <v>141</v>
      </c>
      <c r="E1571" s="228" t="s">
        <v>142</v>
      </c>
      <c r="F1571" s="229"/>
      <c r="G1571" s="227"/>
      <c r="H1571" s="227"/>
      <c r="I1571" s="227"/>
      <c r="J1571" s="227"/>
      <c r="K1571" s="227"/>
      <c r="L1571" s="227"/>
      <c r="M1571" s="227"/>
      <c r="N1571" s="232">
        <v>0.635693492112784</v>
      </c>
      <c r="O1571" s="232">
        <v>3.02394847096909</v>
      </c>
      <c r="P1571" s="227"/>
      <c r="Q1571" s="231">
        <v>0.4</v>
      </c>
      <c r="R1571" s="231">
        <f>SUM(J1571:Q1571)</f>
        <v>4.05964196308187</v>
      </c>
      <c r="S1571" s="233"/>
      <c r="T1571" s="226" t="s">
        <v>143</v>
      </c>
    </row>
    <row r="1572" spans="1:20">
      <c r="A1572" s="226"/>
      <c r="B1572" s="226"/>
      <c r="C1572" s="227"/>
      <c r="D1572" s="226"/>
      <c r="E1572" s="228" t="s">
        <v>7992</v>
      </c>
      <c r="F1572" s="229" t="s">
        <v>7993</v>
      </c>
      <c r="G1572" s="227"/>
      <c r="H1572" s="227"/>
      <c r="I1572" s="227"/>
      <c r="J1572" s="227"/>
      <c r="K1572" s="227"/>
      <c r="L1572" s="227"/>
      <c r="M1572" s="227"/>
      <c r="N1572" s="232"/>
      <c r="O1572" s="232"/>
      <c r="P1572" s="227"/>
      <c r="Q1572" s="231"/>
      <c r="R1572" s="231" t="s">
        <v>7994</v>
      </c>
      <c r="S1572" s="233"/>
      <c r="T1572" s="226"/>
    </row>
    <row r="1579" spans="1:20">
      <c r="A1579" s="195" t="s">
        <v>7853</v>
      </c>
      <c r="B1579" s="195"/>
      <c r="C1579" s="195"/>
      <c r="D1579" s="195"/>
      <c r="E1579" s="196"/>
      <c r="F1579" s="196"/>
      <c r="G1579" s="197"/>
      <c r="H1579" s="198"/>
      <c r="I1579" s="198"/>
      <c r="J1579" s="199"/>
      <c r="K1579" s="296"/>
      <c r="L1579" s="296"/>
      <c r="M1579" s="200"/>
      <c r="N1579" s="297"/>
      <c r="O1579" s="201"/>
      <c r="P1579" s="197"/>
      <c r="Q1579" s="202"/>
      <c r="R1579" s="202"/>
      <c r="S1579" s="203"/>
      <c r="T1579" s="80"/>
    </row>
    <row r="1580" spans="1:20">
      <c r="A1580" s="224" t="s">
        <v>1</v>
      </c>
      <c r="B1580" s="224"/>
      <c r="C1580" s="224"/>
      <c r="D1580" s="224"/>
      <c r="E1580" s="75" t="s">
        <v>5</v>
      </c>
      <c r="F1580" s="75" t="s">
        <v>1933</v>
      </c>
      <c r="G1580" s="75" t="s">
        <v>4102</v>
      </c>
      <c r="H1580" s="75" t="s">
        <v>4541</v>
      </c>
      <c r="I1580" s="75" t="s">
        <v>1497</v>
      </c>
      <c r="J1580" s="75" t="s">
        <v>4102</v>
      </c>
      <c r="K1580" s="75" t="s">
        <v>4103</v>
      </c>
      <c r="L1580" s="75" t="s">
        <v>4104</v>
      </c>
      <c r="M1580" s="75" t="s">
        <v>1497</v>
      </c>
      <c r="N1580" s="75" t="s">
        <v>6</v>
      </c>
      <c r="O1580" s="75" t="s">
        <v>7</v>
      </c>
      <c r="P1580" s="75" t="s">
        <v>5211</v>
      </c>
      <c r="Q1580" s="75" t="s">
        <v>8</v>
      </c>
      <c r="R1580" s="75" t="s">
        <v>9</v>
      </c>
      <c r="S1580" s="75" t="s">
        <v>4105</v>
      </c>
      <c r="T1580" s="75" t="s">
        <v>10</v>
      </c>
    </row>
    <row r="1581" spans="1:20">
      <c r="A1581" s="226" t="s">
        <v>7414</v>
      </c>
      <c r="B1581" s="226">
        <v>20250220</v>
      </c>
      <c r="C1581" s="226">
        <v>7.3</v>
      </c>
      <c r="D1581" s="651" t="s">
        <v>7765</v>
      </c>
      <c r="E1581" s="255" t="s">
        <v>2488</v>
      </c>
      <c r="F1581" s="243" t="s">
        <v>7445</v>
      </c>
      <c r="G1581" s="227" t="s">
        <v>7814</v>
      </c>
      <c r="H1581" s="227" t="s">
        <v>4248</v>
      </c>
      <c r="I1581" s="227" t="s">
        <v>1635</v>
      </c>
      <c r="J1581" s="507" t="s">
        <v>1428</v>
      </c>
      <c r="K1581" s="247">
        <f>12*4</f>
        <v>48</v>
      </c>
      <c r="L1581" s="227"/>
      <c r="M1581" s="247">
        <v>3.3</v>
      </c>
      <c r="N1581" s="232">
        <v>2.96016520521006</v>
      </c>
      <c r="O1581" s="232">
        <v>12.9834841003576</v>
      </c>
      <c r="P1581" s="231"/>
      <c r="Q1581" s="246">
        <v>2.96002441257247</v>
      </c>
      <c r="R1581" s="231">
        <v>70.2036737181401</v>
      </c>
      <c r="S1581" s="226" t="s">
        <v>4001</v>
      </c>
      <c r="T1581" s="254" t="s">
        <v>7730</v>
      </c>
    </row>
    <row r="1582" spans="1:20">
      <c r="A1582" s="226" t="s">
        <v>7414</v>
      </c>
      <c r="B1582" s="226">
        <v>20250220</v>
      </c>
      <c r="C1582" s="226">
        <v>7.3</v>
      </c>
      <c r="D1582" s="651" t="s">
        <v>7768</v>
      </c>
      <c r="E1582" s="255" t="s">
        <v>2383</v>
      </c>
      <c r="F1582" s="243" t="s">
        <v>7445</v>
      </c>
      <c r="G1582" s="322" t="s">
        <v>7815</v>
      </c>
      <c r="H1582" s="227" t="s">
        <v>4248</v>
      </c>
      <c r="I1582" s="227" t="s">
        <v>1635</v>
      </c>
      <c r="J1582" s="507" t="s">
        <v>1428</v>
      </c>
      <c r="K1582" s="247">
        <f>12*4</f>
        <v>48</v>
      </c>
      <c r="L1582" s="227"/>
      <c r="M1582" s="247">
        <v>3.3</v>
      </c>
      <c r="N1582" s="232">
        <v>2.96016520521006</v>
      </c>
      <c r="O1582" s="232">
        <v>12.9834560969633</v>
      </c>
      <c r="P1582" s="231"/>
      <c r="Q1582" s="246">
        <v>2.96002441257247</v>
      </c>
      <c r="R1582" s="231">
        <v>70.2036457147458</v>
      </c>
      <c r="S1582" s="226" t="s">
        <v>4001</v>
      </c>
      <c r="T1582" s="254" t="s">
        <v>7730</v>
      </c>
    </row>
    <row r="1583" spans="1:20">
      <c r="A1583" s="226"/>
      <c r="B1583" s="226">
        <v>20241023</v>
      </c>
      <c r="C1583" s="226">
        <v>7.11</v>
      </c>
      <c r="D1583" s="651" t="s">
        <v>187</v>
      </c>
      <c r="E1583" s="254" t="s">
        <v>188</v>
      </c>
      <c r="F1583" s="226"/>
      <c r="G1583" s="227"/>
      <c r="H1583" s="227"/>
      <c r="I1583" s="227"/>
      <c r="J1583" s="256"/>
      <c r="K1583" s="256"/>
      <c r="L1583" s="256"/>
      <c r="M1583" s="256"/>
      <c r="N1583" s="232">
        <v>0.440402561640034</v>
      </c>
      <c r="O1583" s="232">
        <v>1.49158022972025</v>
      </c>
      <c r="P1583" s="227"/>
      <c r="Q1583" s="231">
        <v>0.2</v>
      </c>
      <c r="R1583" s="231">
        <v>2.13198279136028</v>
      </c>
      <c r="S1583" s="233"/>
      <c r="T1583" s="254" t="s">
        <v>7421</v>
      </c>
    </row>
    <row r="1590" spans="1:20">
      <c r="A1590" s="195" t="s">
        <v>7853</v>
      </c>
      <c r="B1590" s="195"/>
      <c r="C1590" s="195"/>
      <c r="D1590" s="195"/>
      <c r="E1590" s="196"/>
      <c r="F1590" s="196"/>
      <c r="G1590" s="197"/>
      <c r="H1590" s="198"/>
      <c r="I1590" s="198"/>
      <c r="J1590" s="199"/>
      <c r="K1590" s="296"/>
      <c r="L1590" s="296"/>
      <c r="M1590" s="200"/>
      <c r="N1590" s="297"/>
      <c r="O1590" s="201"/>
      <c r="P1590" s="197"/>
      <c r="Q1590" s="202"/>
      <c r="R1590" s="202"/>
      <c r="S1590" s="203"/>
      <c r="T1590" s="80"/>
    </row>
    <row r="1591" spans="1:20">
      <c r="A1591" s="224" t="s">
        <v>1</v>
      </c>
      <c r="B1591" s="224"/>
      <c r="C1591" s="224"/>
      <c r="D1591" s="224"/>
      <c r="E1591" s="75" t="s">
        <v>5</v>
      </c>
      <c r="F1591" s="75" t="s">
        <v>1933</v>
      </c>
      <c r="G1591" s="75" t="s">
        <v>4102</v>
      </c>
      <c r="H1591" s="75" t="s">
        <v>4541</v>
      </c>
      <c r="I1591" s="75" t="s">
        <v>1497</v>
      </c>
      <c r="J1591" s="75" t="s">
        <v>4102</v>
      </c>
      <c r="K1591" s="75" t="s">
        <v>4103</v>
      </c>
      <c r="L1591" s="75" t="s">
        <v>4104</v>
      </c>
      <c r="M1591" s="75" t="s">
        <v>1497</v>
      </c>
      <c r="N1591" s="75" t="s">
        <v>6</v>
      </c>
      <c r="O1591" s="75" t="s">
        <v>7</v>
      </c>
      <c r="P1591" s="75" t="s">
        <v>5211</v>
      </c>
      <c r="Q1591" s="75" t="s">
        <v>8</v>
      </c>
      <c r="R1591" s="75" t="s">
        <v>9</v>
      </c>
      <c r="S1591" s="75" t="s">
        <v>4105</v>
      </c>
      <c r="T1591" s="75" t="s">
        <v>10</v>
      </c>
    </row>
    <row r="1592" spans="1:20">
      <c r="A1592" s="652" t="s">
        <v>7502</v>
      </c>
      <c r="B1592" s="653">
        <v>20240617</v>
      </c>
      <c r="C1592" s="653">
        <v>7.26</v>
      </c>
      <c r="D1592" s="653" t="s">
        <v>7579</v>
      </c>
      <c r="E1592" s="228" t="s">
        <v>1571</v>
      </c>
      <c r="F1592" s="243" t="s">
        <v>2801</v>
      </c>
      <c r="G1592" s="245" t="s">
        <v>2566</v>
      </c>
      <c r="H1592" s="227" t="s">
        <v>1913</v>
      </c>
      <c r="I1592" s="227" t="s">
        <v>1428</v>
      </c>
      <c r="J1592" s="509" t="s">
        <v>1428</v>
      </c>
      <c r="K1592" s="227" t="s">
        <v>1428</v>
      </c>
      <c r="L1592" s="227" t="s">
        <v>1428</v>
      </c>
      <c r="M1592" s="227" t="s">
        <v>1428</v>
      </c>
      <c r="N1592" s="232">
        <v>5.0881904180653</v>
      </c>
      <c r="O1592" s="232">
        <v>15.6328261676686</v>
      </c>
      <c r="P1592" s="231" t="s">
        <v>1428</v>
      </c>
      <c r="Q1592" s="246">
        <v>3.1205</v>
      </c>
      <c r="R1592" s="232">
        <f>SUM(J1592:Q1592)</f>
        <v>23.8415165857339</v>
      </c>
      <c r="S1592" s="226" t="s">
        <v>1526</v>
      </c>
      <c r="T1592" s="226" t="s">
        <v>7995</v>
      </c>
    </row>
    <row r="1593" spans="1:20">
      <c r="B1593" s="226">
        <v>20240711</v>
      </c>
      <c r="C1593" s="226">
        <v>7.27</v>
      </c>
      <c r="D1593" s="226" t="s">
        <v>240</v>
      </c>
      <c r="E1593" s="279" t="s">
        <v>241</v>
      </c>
      <c r="F1593" s="260"/>
      <c r="G1593" s="227"/>
      <c r="H1593" s="227"/>
      <c r="I1593" s="227"/>
      <c r="J1593" s="261"/>
      <c r="K1593" s="261"/>
      <c r="L1593" s="261"/>
      <c r="M1593" s="261"/>
      <c r="N1593" s="232">
        <v>0.345967737438977</v>
      </c>
      <c r="O1593" s="232">
        <v>1.42473879268323</v>
      </c>
      <c r="P1593" s="227" t="s">
        <v>1428</v>
      </c>
      <c r="Q1593" s="231">
        <v>0.2</v>
      </c>
      <c r="R1593" s="232">
        <f>SUM(J1593:Q1593)</f>
        <v>1.97070653012221</v>
      </c>
      <c r="S1593" s="226"/>
      <c r="T1593" s="260" t="s">
        <v>7996</v>
      </c>
    </row>
    <row r="1597" spans="1:20">
      <c r="A1597" s="195" t="s">
        <v>7853</v>
      </c>
      <c r="B1597" s="195"/>
      <c r="C1597" s="195"/>
      <c r="D1597" s="195"/>
      <c r="E1597" s="196"/>
      <c r="F1597" s="196"/>
      <c r="G1597" s="197"/>
      <c r="H1597" s="198"/>
      <c r="I1597" s="198"/>
      <c r="J1597" s="199"/>
      <c r="K1597" s="296"/>
      <c r="L1597" s="296"/>
      <c r="M1597" s="200"/>
      <c r="N1597" s="297"/>
      <c r="O1597" s="201"/>
      <c r="P1597" s="197"/>
      <c r="Q1597" s="202"/>
      <c r="R1597" s="202"/>
      <c r="S1597" s="203"/>
      <c r="T1597" s="80"/>
    </row>
    <row r="1598" spans="1:20">
      <c r="A1598" s="224" t="s">
        <v>1</v>
      </c>
      <c r="B1598" s="224"/>
      <c r="C1598" s="224"/>
      <c r="D1598" s="224"/>
      <c r="E1598" s="75" t="s">
        <v>5</v>
      </c>
      <c r="F1598" s="75" t="s">
        <v>1933</v>
      </c>
      <c r="G1598" s="75" t="s">
        <v>4102</v>
      </c>
      <c r="H1598" s="75" t="s">
        <v>4541</v>
      </c>
      <c r="I1598" s="75" t="s">
        <v>1497</v>
      </c>
      <c r="J1598" s="75" t="s">
        <v>4102</v>
      </c>
      <c r="K1598" s="75" t="s">
        <v>4103</v>
      </c>
      <c r="L1598" s="75" t="s">
        <v>4104</v>
      </c>
      <c r="M1598" s="75" t="s">
        <v>1497</v>
      </c>
      <c r="N1598" s="75" t="s">
        <v>6</v>
      </c>
      <c r="O1598" s="75" t="s">
        <v>7</v>
      </c>
      <c r="P1598" s="75" t="s">
        <v>5211</v>
      </c>
      <c r="Q1598" s="75" t="s">
        <v>8</v>
      </c>
      <c r="R1598" s="75" t="s">
        <v>9</v>
      </c>
      <c r="S1598" s="75" t="s">
        <v>4105</v>
      </c>
      <c r="T1598" s="75" t="s">
        <v>10</v>
      </c>
    </row>
    <row r="1599" spans="1:20">
      <c r="A1599" s="652" t="s">
        <v>7502</v>
      </c>
      <c r="B1599" s="653">
        <v>20250326</v>
      </c>
      <c r="C1599" s="653">
        <v>7.25</v>
      </c>
      <c r="D1599" s="653" t="s">
        <v>7579</v>
      </c>
      <c r="E1599" s="228" t="s">
        <v>1571</v>
      </c>
      <c r="F1599" s="243" t="s">
        <v>2801</v>
      </c>
      <c r="G1599" s="245" t="s">
        <v>2566</v>
      </c>
      <c r="H1599" s="227" t="s">
        <v>1913</v>
      </c>
      <c r="I1599" s="227" t="s">
        <v>1428</v>
      </c>
      <c r="J1599" s="509" t="s">
        <v>1428</v>
      </c>
      <c r="K1599" s="227" t="s">
        <v>1428</v>
      </c>
      <c r="L1599" s="227" t="s">
        <v>1428</v>
      </c>
      <c r="M1599" s="227" t="s">
        <v>1428</v>
      </c>
      <c r="N1599" s="654">
        <v>4.88</v>
      </c>
      <c r="O1599" s="654">
        <v>15.2759254722917</v>
      </c>
      <c r="P1599" s="231" t="s">
        <v>1428</v>
      </c>
      <c r="Q1599" s="246">
        <v>3.1205</v>
      </c>
      <c r="R1599" s="232">
        <f>SUM(J1599:Q1599)</f>
        <v>23.2764254722917</v>
      </c>
      <c r="S1599" s="226" t="s">
        <v>1526</v>
      </c>
      <c r="T1599" s="226" t="s">
        <v>7997</v>
      </c>
    </row>
    <row r="1600" spans="1:20">
      <c r="A1600" s="333"/>
      <c r="B1600" s="226">
        <v>20240711</v>
      </c>
      <c r="C1600" s="226">
        <v>7.27</v>
      </c>
      <c r="D1600" s="226" t="s">
        <v>240</v>
      </c>
      <c r="E1600" s="279" t="s">
        <v>241</v>
      </c>
      <c r="F1600" s="260"/>
      <c r="G1600" s="227"/>
      <c r="H1600" s="227"/>
      <c r="I1600" s="227"/>
      <c r="J1600" s="261"/>
      <c r="K1600" s="261"/>
      <c r="L1600" s="261"/>
      <c r="M1600" s="261"/>
      <c r="N1600" s="232">
        <v>0.34787915776625</v>
      </c>
      <c r="O1600" s="654">
        <v>1.39180674958804</v>
      </c>
      <c r="P1600" s="227" t="s">
        <v>1428</v>
      </c>
      <c r="Q1600" s="231">
        <v>0.2</v>
      </c>
      <c r="R1600" s="232">
        <f>SUM(J1600:Q1600)</f>
        <v>1.93968590735429</v>
      </c>
      <c r="S1600" s="226"/>
      <c r="T1600" s="260" t="s">
        <v>7996</v>
      </c>
    </row>
    <row r="1603" spans="1:20">
      <c r="N1603" s="594" t="s">
        <v>7998</v>
      </c>
      <c r="O1603" s="595" t="s">
        <v>7862</v>
      </c>
      <c r="Q1603" s="594" t="s">
        <v>7999</v>
      </c>
      <c r="R1603" s="595" t="s">
        <v>7862</v>
      </c>
    </row>
    <row r="1604" spans="1:20">
      <c r="N1604" s="594" t="s">
        <v>7822</v>
      </c>
      <c r="O1604" s="590">
        <f>N1592+O1592+Q1592</f>
        <v>23.8415165857339</v>
      </c>
      <c r="Q1604" s="594" t="s">
        <v>7822</v>
      </c>
      <c r="R1604" s="590">
        <f>N1593+O1593+Q1593</f>
        <v>1.97070653012221</v>
      </c>
    </row>
    <row r="1605" spans="1:20">
      <c r="N1605" s="594" t="s">
        <v>7823</v>
      </c>
      <c r="O1605" s="590">
        <f>N1599+O1599+Q1599</f>
        <v>23.2764254722917</v>
      </c>
      <c r="Q1605" s="594" t="s">
        <v>7823</v>
      </c>
      <c r="R1605" s="590">
        <f>N1600+O1600+Q1600</f>
        <v>1.93968590735429</v>
      </c>
    </row>
    <row r="1606" spans="1:20">
      <c r="N1606" s="594" t="s">
        <v>7863</v>
      </c>
      <c r="O1606" s="634">
        <f>O1604-O1605</f>
        <v>0.565091113442168</v>
      </c>
      <c r="Q1606" s="594" t="s">
        <v>7863</v>
      </c>
      <c r="R1606" s="634">
        <f>R1604-R1605</f>
        <v>0.0310206227679171</v>
      </c>
    </row>
    <row r="1609" spans="1:20">
      <c r="A1609" s="195" t="s">
        <v>7853</v>
      </c>
      <c r="B1609" s="195"/>
      <c r="C1609" s="195"/>
      <c r="D1609" s="195"/>
      <c r="E1609" s="196"/>
      <c r="F1609" s="196"/>
      <c r="G1609" s="197"/>
      <c r="H1609" s="198"/>
      <c r="I1609" s="198"/>
      <c r="J1609" s="199"/>
      <c r="K1609" s="200"/>
      <c r="L1609" s="200"/>
      <c r="M1609" s="200"/>
      <c r="N1609" s="201"/>
      <c r="O1609" s="201"/>
      <c r="P1609" s="197"/>
      <c r="Q1609" s="202"/>
      <c r="R1609" s="202"/>
      <c r="S1609" s="203"/>
      <c r="T1609" s="80"/>
    </row>
    <row r="1610" spans="1:20">
      <c r="A1610" s="224" t="s">
        <v>1</v>
      </c>
      <c r="B1610" s="224" t="s">
        <v>2</v>
      </c>
      <c r="C1610" s="224" t="s">
        <v>1493</v>
      </c>
      <c r="D1610" s="206" t="s">
        <v>4</v>
      </c>
      <c r="E1610" s="75" t="s">
        <v>5</v>
      </c>
      <c r="F1610" s="75" t="s">
        <v>1933</v>
      </c>
      <c r="G1610" s="75" t="s">
        <v>4102</v>
      </c>
      <c r="H1610" s="75" t="s">
        <v>4541</v>
      </c>
      <c r="I1610" s="75" t="s">
        <v>1497</v>
      </c>
      <c r="J1610" s="75" t="s">
        <v>4102</v>
      </c>
      <c r="K1610" s="75" t="s">
        <v>4103</v>
      </c>
      <c r="L1610" s="75" t="s">
        <v>4104</v>
      </c>
      <c r="M1610" s="75" t="s">
        <v>1497</v>
      </c>
      <c r="N1610" s="75" t="s">
        <v>6</v>
      </c>
      <c r="O1610" s="75" t="s">
        <v>7</v>
      </c>
      <c r="P1610" s="75" t="s">
        <v>5211</v>
      </c>
      <c r="Q1610" s="75" t="s">
        <v>8</v>
      </c>
      <c r="R1610" s="75" t="s">
        <v>9</v>
      </c>
      <c r="S1610" s="75" t="s">
        <v>4105</v>
      </c>
      <c r="T1610" s="75" t="s">
        <v>10</v>
      </c>
    </row>
    <row r="1611" spans="1:20">
      <c r="A1611" s="228" t="s">
        <v>3547</v>
      </c>
      <c r="B1611" s="226">
        <v>20241210</v>
      </c>
      <c r="C1611" s="227">
        <v>7.3</v>
      </c>
      <c r="D1611" s="266" t="s">
        <v>3573</v>
      </c>
      <c r="E1611" s="228" t="s">
        <v>667</v>
      </c>
      <c r="F1611" s="229" t="s">
        <v>1933</v>
      </c>
      <c r="G1611" s="227" t="s">
        <v>3541</v>
      </c>
      <c r="H1611" s="227" t="s">
        <v>1913</v>
      </c>
      <c r="I1611" s="227" t="s">
        <v>1428</v>
      </c>
      <c r="J1611" s="227">
        <v>27</v>
      </c>
      <c r="K1611" s="227" t="s">
        <v>1428</v>
      </c>
      <c r="L1611" s="227" t="s">
        <v>1428</v>
      </c>
      <c r="M1611" s="227" t="s">
        <v>1428</v>
      </c>
      <c r="N1611" s="231">
        <v>3.20749785295545</v>
      </c>
      <c r="O1611" s="232">
        <v>11.5744354861467</v>
      </c>
      <c r="P1611" s="227" t="s">
        <v>1428</v>
      </c>
      <c r="Q1611" s="231">
        <v>3</v>
      </c>
      <c r="R1611" s="232">
        <f>SUM(J1611:Q1611)</f>
        <v>44.7819333391021</v>
      </c>
      <c r="S1611" s="233" t="s">
        <v>1526</v>
      </c>
      <c r="T1611" s="226" t="s">
        <v>3574</v>
      </c>
    </row>
    <row r="1612" spans="1:20">
      <c r="A1612" s="333"/>
      <c r="B1612" s="226">
        <v>20241010</v>
      </c>
      <c r="C1612" s="226">
        <v>7.25</v>
      </c>
      <c r="D1612" s="226" t="s">
        <v>1416</v>
      </c>
      <c r="E1612" s="254" t="s">
        <v>1417</v>
      </c>
      <c r="F1612" s="226"/>
      <c r="G1612" s="227"/>
      <c r="H1612" s="227"/>
      <c r="I1612" s="227"/>
      <c r="J1612" s="245"/>
      <c r="K1612" s="256"/>
      <c r="L1612" s="256"/>
      <c r="M1612" s="256"/>
      <c r="N1612" s="232">
        <v>0.423185591775264</v>
      </c>
      <c r="O1612" s="232">
        <v>1.17382093732917</v>
      </c>
      <c r="P1612" s="227" t="s">
        <v>1428</v>
      </c>
      <c r="Q1612" s="231">
        <v>0.2</v>
      </c>
      <c r="R1612" s="232">
        <f>SUM(J1612:Q1612)</f>
        <v>1.79700652910443</v>
      </c>
      <c r="S1612" s="233"/>
      <c r="T1612" s="260" t="s">
        <v>7532</v>
      </c>
    </row>
    <row r="1613" spans="1:20">
      <c r="A1613" s="655" t="s">
        <v>7832</v>
      </c>
    </row>
    <row r="1616" spans="1:20">
      <c r="A1616" s="195" t="s">
        <v>7853</v>
      </c>
      <c r="B1616" s="195"/>
      <c r="C1616" s="195"/>
      <c r="D1616" s="195"/>
      <c r="E1616" s="196"/>
      <c r="F1616" s="196"/>
      <c r="G1616" s="197"/>
      <c r="H1616" s="198"/>
      <c r="I1616" s="198"/>
      <c r="J1616" s="199"/>
      <c r="K1616" s="200"/>
      <c r="L1616" s="200"/>
      <c r="M1616" s="200"/>
      <c r="N1616" s="201"/>
      <c r="O1616" s="201"/>
      <c r="P1616" s="197"/>
      <c r="Q1616" s="202"/>
      <c r="R1616" s="202"/>
      <c r="S1616" s="203"/>
      <c r="T1616" s="80"/>
    </row>
    <row r="1617" spans="1:20">
      <c r="A1617" s="224" t="s">
        <v>1</v>
      </c>
      <c r="B1617" s="224" t="s">
        <v>2</v>
      </c>
      <c r="C1617" s="224" t="s">
        <v>1493</v>
      </c>
      <c r="D1617" s="206" t="s">
        <v>4</v>
      </c>
      <c r="E1617" s="75" t="s">
        <v>5</v>
      </c>
      <c r="F1617" s="75" t="s">
        <v>1933</v>
      </c>
      <c r="G1617" s="75" t="s">
        <v>4102</v>
      </c>
      <c r="H1617" s="75" t="s">
        <v>4541</v>
      </c>
      <c r="I1617" s="75" t="s">
        <v>1497</v>
      </c>
      <c r="J1617" s="75" t="s">
        <v>4102</v>
      </c>
      <c r="K1617" s="75" t="s">
        <v>4103</v>
      </c>
      <c r="L1617" s="75" t="s">
        <v>4104</v>
      </c>
      <c r="M1617" s="75" t="s">
        <v>1497</v>
      </c>
      <c r="N1617" s="75" t="s">
        <v>6</v>
      </c>
      <c r="O1617" s="75" t="s">
        <v>7</v>
      </c>
      <c r="P1617" s="75" t="s">
        <v>5211</v>
      </c>
      <c r="Q1617" s="75" t="s">
        <v>8</v>
      </c>
      <c r="R1617" s="75" t="s">
        <v>9</v>
      </c>
      <c r="S1617" s="75" t="s">
        <v>4105</v>
      </c>
      <c r="T1617" s="75" t="s">
        <v>10</v>
      </c>
    </row>
    <row r="1618" spans="1:20">
      <c r="A1618" s="228" t="s">
        <v>3547</v>
      </c>
      <c r="B1618" s="226">
        <v>20241210</v>
      </c>
      <c r="C1618" s="227">
        <v>7.3</v>
      </c>
      <c r="D1618" s="266" t="s">
        <v>3573</v>
      </c>
      <c r="E1618" s="228" t="s">
        <v>667</v>
      </c>
      <c r="F1618" s="229" t="s">
        <v>1933</v>
      </c>
      <c r="G1618" s="227" t="s">
        <v>3541</v>
      </c>
      <c r="H1618" s="227" t="s">
        <v>1913</v>
      </c>
      <c r="I1618" s="227" t="s">
        <v>1428</v>
      </c>
      <c r="J1618" s="227">
        <v>27</v>
      </c>
      <c r="K1618" s="227" t="s">
        <v>1428</v>
      </c>
      <c r="L1618" s="227" t="s">
        <v>1428</v>
      </c>
      <c r="M1618" s="227" t="s">
        <v>1428</v>
      </c>
      <c r="N1618" s="214">
        <v>3.13701556301495</v>
      </c>
      <c r="O1618" s="654">
        <v>11.3921443506158</v>
      </c>
      <c r="P1618" s="227" t="s">
        <v>1428</v>
      </c>
      <c r="Q1618" s="214">
        <v>2.7</v>
      </c>
      <c r="R1618" s="232">
        <f>SUM(J1618:Q1618)</f>
        <v>44.2291599136308</v>
      </c>
      <c r="S1618" s="233" t="s">
        <v>1526</v>
      </c>
      <c r="T1618" s="226" t="s">
        <v>3574</v>
      </c>
    </row>
    <row r="1619" spans="1:20">
      <c r="A1619" s="228"/>
      <c r="B1619" s="226">
        <v>20241010</v>
      </c>
      <c r="C1619" s="227">
        <v>7.25</v>
      </c>
      <c r="D1619" s="266" t="s">
        <v>1416</v>
      </c>
      <c r="E1619" s="228" t="s">
        <v>1417</v>
      </c>
      <c r="F1619" s="229"/>
      <c r="G1619" s="227"/>
      <c r="H1619" s="227"/>
      <c r="I1619" s="227"/>
      <c r="J1619" s="227"/>
      <c r="K1619" s="227"/>
      <c r="L1619" s="227"/>
      <c r="M1619" s="227"/>
      <c r="N1619" s="214">
        <v>0.415013732072017</v>
      </c>
      <c r="O1619" s="654">
        <v>1.12934286496186</v>
      </c>
      <c r="P1619" s="227" t="s">
        <v>1428</v>
      </c>
      <c r="Q1619" s="214">
        <v>0.2</v>
      </c>
      <c r="R1619" s="232">
        <f>SUM(J1619:Q1619)</f>
        <v>1.74435659703388</v>
      </c>
      <c r="S1619" s="233"/>
      <c r="T1619" s="226" t="s">
        <v>7532</v>
      </c>
    </row>
    <row r="1620" spans="1:20">
      <c r="A1620" s="228"/>
      <c r="B1620" s="226"/>
      <c r="C1620" s="227"/>
      <c r="D1620" s="266"/>
      <c r="E1620" s="228" t="s">
        <v>8000</v>
      </c>
      <c r="F1620" s="229"/>
      <c r="G1620" s="227"/>
      <c r="H1620" s="227"/>
      <c r="I1620" s="227"/>
      <c r="J1620" s="227"/>
      <c r="K1620" s="227"/>
      <c r="L1620" s="227"/>
      <c r="M1620" s="227"/>
      <c r="N1620" s="257"/>
      <c r="O1620" s="230"/>
      <c r="P1620" s="227"/>
      <c r="Q1620" s="214"/>
      <c r="R1620" s="230">
        <v>16</v>
      </c>
      <c r="S1620" s="233"/>
      <c r="T1620" s="290" t="s">
        <v>8001</v>
      </c>
    </row>
    <row r="1621" spans="1:20">
      <c r="A1621" s="228"/>
      <c r="B1621" s="226"/>
      <c r="C1621" s="227"/>
      <c r="D1621" s="266"/>
      <c r="E1621" s="228" t="s">
        <v>8002</v>
      </c>
      <c r="F1621" s="229"/>
      <c r="G1621" s="227"/>
      <c r="H1621" s="227"/>
      <c r="I1621" s="227"/>
      <c r="J1621" s="227"/>
      <c r="K1621" s="227"/>
      <c r="L1621" s="227"/>
      <c r="M1621" s="227"/>
      <c r="N1621" s="257"/>
      <c r="O1621" s="230"/>
      <c r="P1621" s="227"/>
      <c r="Q1621" s="214"/>
      <c r="R1621" s="230">
        <v>26.5</v>
      </c>
      <c r="S1621" s="233"/>
      <c r="T1621" s="291"/>
    </row>
    <row r="1622" spans="1:20">
      <c r="A1622" s="228"/>
      <c r="B1622" s="226"/>
      <c r="C1622" s="227"/>
      <c r="D1622" s="266"/>
      <c r="E1622" s="228" t="s">
        <v>8003</v>
      </c>
      <c r="F1622" s="229"/>
      <c r="G1622" s="227"/>
      <c r="H1622" s="227"/>
      <c r="I1622" s="227"/>
      <c r="J1622" s="227"/>
      <c r="K1622" s="227"/>
      <c r="L1622" s="227"/>
      <c r="M1622" s="227"/>
      <c r="N1622" s="257"/>
      <c r="O1622" s="230"/>
      <c r="P1622" s="227"/>
      <c r="Q1622" s="214"/>
      <c r="R1622" s="230">
        <v>42</v>
      </c>
      <c r="S1622" s="233"/>
      <c r="T1622" s="292"/>
    </row>
    <row r="1623" spans="1:20">
      <c r="A1623" s="655" t="s">
        <v>8004</v>
      </c>
      <c r="Q1623" s="656"/>
      <c r="R1623" s="657"/>
    </row>
    <row r="1625" spans="1:20">
      <c r="N1625" s="594" t="s">
        <v>8005</v>
      </c>
      <c r="O1625" s="595" t="s">
        <v>7862</v>
      </c>
      <c r="Q1625" s="594" t="s">
        <v>8006</v>
      </c>
      <c r="R1625" s="595" t="s">
        <v>7862</v>
      </c>
    </row>
    <row r="1626" spans="1:20">
      <c r="N1626" s="594" t="s">
        <v>7822</v>
      </c>
      <c r="O1626" s="590">
        <f>N1611+O1611+Q1611</f>
        <v>17.7819333391021</v>
      </c>
      <c r="Q1626" s="594" t="s">
        <v>7822</v>
      </c>
      <c r="R1626" s="590">
        <f>N1612+O1612+Q1612</f>
        <v>1.79700652910443</v>
      </c>
    </row>
    <row r="1627" spans="1:20">
      <c r="N1627" s="594" t="s">
        <v>7823</v>
      </c>
      <c r="O1627" s="590">
        <f>N1618+O1618+Q1618</f>
        <v>17.2291599136308</v>
      </c>
      <c r="Q1627" s="594" t="s">
        <v>7823</v>
      </c>
      <c r="R1627" s="590">
        <f>N1619+O1619+Q1619</f>
        <v>1.74435659703388</v>
      </c>
    </row>
    <row r="1628" spans="1:20">
      <c r="N1628" s="594" t="s">
        <v>7863</v>
      </c>
      <c r="O1628" s="634">
        <f>O1626-O1627</f>
        <v>0.55277342547139</v>
      </c>
      <c r="Q1628" s="594" t="s">
        <v>7863</v>
      </c>
      <c r="R1628" s="634">
        <f>R1626-R1627</f>
        <v>0.0526499320705569</v>
      </c>
    </row>
    <row r="1631" spans="1:20">
      <c r="A1631" s="195" t="s">
        <v>7853</v>
      </c>
      <c r="B1631" s="195"/>
      <c r="C1631" s="195"/>
      <c r="D1631" s="195"/>
      <c r="E1631" s="196"/>
      <c r="F1631" s="196"/>
      <c r="G1631" s="197"/>
      <c r="H1631" s="198"/>
      <c r="I1631" s="198"/>
      <c r="J1631" s="199"/>
      <c r="K1631" s="296"/>
      <c r="L1631" s="296"/>
      <c r="M1631" s="200"/>
      <c r="N1631" s="297"/>
      <c r="O1631" s="201"/>
      <c r="P1631" s="197"/>
      <c r="Q1631" s="202"/>
      <c r="R1631" s="202"/>
      <c r="S1631" s="203"/>
      <c r="T1631" s="80"/>
    </row>
    <row r="1632" spans="1:20">
      <c r="A1632" s="224" t="s">
        <v>1</v>
      </c>
      <c r="B1632" s="224"/>
      <c r="C1632" s="224"/>
      <c r="D1632" s="224"/>
      <c r="E1632" s="75" t="s">
        <v>5</v>
      </c>
      <c r="F1632" s="75" t="s">
        <v>1933</v>
      </c>
      <c r="G1632" s="75" t="s">
        <v>4102</v>
      </c>
      <c r="H1632" s="75" t="s">
        <v>4541</v>
      </c>
      <c r="I1632" s="75" t="s">
        <v>1497</v>
      </c>
      <c r="J1632" s="75" t="s">
        <v>4102</v>
      </c>
      <c r="K1632" s="75" t="s">
        <v>4103</v>
      </c>
      <c r="L1632" s="75" t="s">
        <v>4104</v>
      </c>
      <c r="M1632" s="75" t="s">
        <v>1497</v>
      </c>
      <c r="N1632" s="75" t="s">
        <v>6</v>
      </c>
      <c r="O1632" s="75" t="s">
        <v>7</v>
      </c>
      <c r="P1632" s="75" t="s">
        <v>5211</v>
      </c>
      <c r="Q1632" s="75" t="s">
        <v>8</v>
      </c>
      <c r="R1632" s="75" t="s">
        <v>9</v>
      </c>
      <c r="S1632" s="75" t="s">
        <v>4105</v>
      </c>
      <c r="T1632" s="75" t="s">
        <v>10</v>
      </c>
    </row>
    <row r="1633" spans="1:20">
      <c r="A1633" s="658" t="s">
        <v>1333</v>
      </c>
      <c r="B1633" s="658">
        <v>20240524</v>
      </c>
      <c r="C1633" s="658">
        <v>7.24</v>
      </c>
      <c r="D1633" s="658" t="s">
        <v>7898</v>
      </c>
      <c r="E1633" s="659" t="s">
        <v>1669</v>
      </c>
      <c r="F1633" s="659" t="s">
        <v>1933</v>
      </c>
      <c r="G1633" s="660" t="s">
        <v>2566</v>
      </c>
      <c r="H1633" s="661" t="s">
        <v>1913</v>
      </c>
      <c r="I1633" s="661" t="s">
        <v>1428</v>
      </c>
      <c r="J1633" s="662" t="s">
        <v>1428</v>
      </c>
      <c r="K1633" s="661" t="s">
        <v>1428</v>
      </c>
      <c r="L1633" s="661" t="s">
        <v>1428</v>
      </c>
      <c r="M1633" s="661" t="s">
        <v>1428</v>
      </c>
      <c r="N1633" s="663">
        <v>5.32</v>
      </c>
      <c r="O1633" s="663">
        <v>22.0701512989278</v>
      </c>
      <c r="P1633" s="663" t="s">
        <v>1428</v>
      </c>
      <c r="Q1633" s="664">
        <v>3.10746169916435</v>
      </c>
      <c r="R1633" s="663">
        <v>30.4976129980922</v>
      </c>
      <c r="S1633" s="658" t="s">
        <v>1526</v>
      </c>
      <c r="T1633" s="665" t="s">
        <v>7899</v>
      </c>
    </row>
    <row r="1634" spans="1:20">
      <c r="A1634" s="658"/>
      <c r="B1634" s="658"/>
      <c r="C1634" s="658"/>
      <c r="D1634" s="658"/>
      <c r="E1634" s="659" t="s">
        <v>84</v>
      </c>
      <c r="F1634" s="659"/>
      <c r="G1634" s="660"/>
      <c r="H1634" s="661"/>
      <c r="I1634" s="661"/>
      <c r="J1634" s="660"/>
      <c r="K1634" s="661"/>
      <c r="L1634" s="661"/>
      <c r="M1634" s="661"/>
      <c r="N1634" s="663">
        <v>0.430186823992134</v>
      </c>
      <c r="O1634" s="663">
        <v>3.16456055927237</v>
      </c>
      <c r="P1634" s="663" t="s">
        <v>1428</v>
      </c>
      <c r="Q1634" s="663">
        <v>0.4</v>
      </c>
      <c r="R1634" s="663">
        <v>3.9947473832645</v>
      </c>
      <c r="S1634" s="658"/>
      <c r="T1634" s="658" t="s">
        <v>2628</v>
      </c>
    </row>
    <row r="1637" spans="1:20">
      <c r="A1637" s="195" t="s">
        <v>7853</v>
      </c>
      <c r="B1637" s="195"/>
      <c r="C1637" s="195"/>
      <c r="D1637" s="195"/>
      <c r="E1637" s="196"/>
      <c r="F1637" s="196"/>
      <c r="G1637" s="197"/>
      <c r="H1637" s="198"/>
      <c r="I1637" s="198"/>
      <c r="J1637" s="199"/>
      <c r="K1637" s="296"/>
      <c r="L1637" s="296"/>
      <c r="M1637" s="200"/>
      <c r="N1637" s="297"/>
      <c r="O1637" s="201"/>
      <c r="P1637" s="197"/>
      <c r="Q1637" s="202"/>
      <c r="R1637" s="202"/>
      <c r="S1637" s="203"/>
      <c r="T1637" s="80"/>
    </row>
    <row r="1638" spans="1:20">
      <c r="A1638" s="224" t="s">
        <v>1</v>
      </c>
      <c r="B1638" s="224"/>
      <c r="C1638" s="224"/>
      <c r="D1638" s="224"/>
      <c r="E1638" s="75" t="s">
        <v>5</v>
      </c>
      <c r="F1638" s="75" t="s">
        <v>1933</v>
      </c>
      <c r="G1638" s="75" t="s">
        <v>4102</v>
      </c>
      <c r="H1638" s="75" t="s">
        <v>4541</v>
      </c>
      <c r="I1638" s="75" t="s">
        <v>1497</v>
      </c>
      <c r="J1638" s="75" t="s">
        <v>4102</v>
      </c>
      <c r="K1638" s="75" t="s">
        <v>4103</v>
      </c>
      <c r="L1638" s="75" t="s">
        <v>4104</v>
      </c>
      <c r="M1638" s="75" t="s">
        <v>1497</v>
      </c>
      <c r="N1638" s="75" t="s">
        <v>6</v>
      </c>
      <c r="O1638" s="75" t="s">
        <v>7</v>
      </c>
      <c r="P1638" s="75" t="s">
        <v>5211</v>
      </c>
      <c r="Q1638" s="75" t="s">
        <v>8</v>
      </c>
      <c r="R1638" s="75" t="s">
        <v>9</v>
      </c>
      <c r="S1638" s="75" t="s">
        <v>4105</v>
      </c>
      <c r="T1638" s="75" t="s">
        <v>10</v>
      </c>
    </row>
    <row r="1639" spans="1:20">
      <c r="A1639" s="666" t="s">
        <v>8007</v>
      </c>
      <c r="B1639" s="266">
        <v>20250327</v>
      </c>
      <c r="C1639" s="266">
        <v>7.25</v>
      </c>
      <c r="D1639" s="266" t="s">
        <v>8008</v>
      </c>
      <c r="E1639" s="266" t="s">
        <v>8009</v>
      </c>
      <c r="F1639" s="266"/>
      <c r="G1639" s="219" t="s">
        <v>8010</v>
      </c>
      <c r="H1639" s="319"/>
      <c r="I1639" s="219"/>
      <c r="J1639" s="667">
        <v>110</v>
      </c>
      <c r="K1639" s="219"/>
      <c r="L1639" s="219"/>
      <c r="M1639" s="219"/>
      <c r="N1639" s="320">
        <v>4.08</v>
      </c>
      <c r="O1639" s="320">
        <v>24.7379173728502</v>
      </c>
      <c r="P1639" s="320"/>
      <c r="Q1639" s="432">
        <v>3.02963074512535</v>
      </c>
      <c r="R1639" s="320">
        <f>SUM(J1639:Q1639)</f>
        <v>141.847548117976</v>
      </c>
      <c r="S1639" s="433" t="s">
        <v>1526</v>
      </c>
      <c r="T1639" s="254" t="s">
        <v>8011</v>
      </c>
    </row>
    <row r="1641" ht="10" customHeight="1"/>
    <row r="1642" spans="1:20">
      <c r="A1642" s="195" t="s">
        <v>7853</v>
      </c>
      <c r="B1642" s="195"/>
      <c r="C1642" s="195"/>
      <c r="D1642" s="195"/>
      <c r="E1642" s="196"/>
      <c r="F1642" s="196"/>
      <c r="G1642" s="197"/>
      <c r="H1642" s="198"/>
      <c r="I1642" s="198"/>
      <c r="J1642" s="199"/>
      <c r="K1642" s="296"/>
      <c r="L1642" s="296"/>
      <c r="M1642" s="200"/>
      <c r="N1642" s="297"/>
      <c r="O1642" s="201"/>
      <c r="P1642" s="197"/>
      <c r="Q1642" s="202"/>
      <c r="R1642" s="202"/>
      <c r="S1642" s="203"/>
      <c r="T1642" s="80"/>
    </row>
    <row r="1643" spans="1:20">
      <c r="A1643" s="224" t="s">
        <v>1</v>
      </c>
      <c r="B1643" s="224"/>
      <c r="C1643" s="224"/>
      <c r="D1643" s="224"/>
      <c r="E1643" s="75" t="s">
        <v>5</v>
      </c>
      <c r="F1643" s="75" t="s">
        <v>1933</v>
      </c>
      <c r="G1643" s="75" t="s">
        <v>4102</v>
      </c>
      <c r="H1643" s="75" t="s">
        <v>4541</v>
      </c>
      <c r="I1643" s="75" t="s">
        <v>1497</v>
      </c>
      <c r="J1643" s="75" t="s">
        <v>4102</v>
      </c>
      <c r="K1643" s="75" t="s">
        <v>4103</v>
      </c>
      <c r="L1643" s="75" t="s">
        <v>4104</v>
      </c>
      <c r="M1643" s="75" t="s">
        <v>1497</v>
      </c>
      <c r="N1643" s="75" t="s">
        <v>6</v>
      </c>
      <c r="O1643" s="75" t="s">
        <v>7</v>
      </c>
      <c r="P1643" s="75" t="s">
        <v>5211</v>
      </c>
      <c r="Q1643" s="75" t="s">
        <v>8</v>
      </c>
      <c r="R1643" s="75" t="s">
        <v>9</v>
      </c>
      <c r="S1643" s="75" t="s">
        <v>4105</v>
      </c>
      <c r="T1643" s="75" t="s">
        <v>10</v>
      </c>
    </row>
    <row r="1644" hidden="1" spans="1:20">
      <c r="A1644" s="228" t="s">
        <v>7407</v>
      </c>
      <c r="B1644" s="226">
        <v>20250327</v>
      </c>
      <c r="C1644" s="227">
        <v>7.25</v>
      </c>
      <c r="D1644" s="266" t="s">
        <v>8012</v>
      </c>
      <c r="E1644" s="228" t="s">
        <v>2234</v>
      </c>
      <c r="F1644" s="229" t="s">
        <v>2801</v>
      </c>
      <c r="G1644" s="227" t="s">
        <v>8013</v>
      </c>
      <c r="H1644" s="227"/>
      <c r="I1644" s="227"/>
      <c r="J1644" s="227">
        <v>102</v>
      </c>
      <c r="K1644" s="227" t="s">
        <v>1428</v>
      </c>
      <c r="L1644" s="227" t="s">
        <v>1428</v>
      </c>
      <c r="M1644" s="227" t="s">
        <v>1428</v>
      </c>
      <c r="N1644" s="231">
        <v>3.82102521031356</v>
      </c>
      <c r="O1644" s="654">
        <v>14.6135193552945</v>
      </c>
      <c r="P1644" s="227" t="s">
        <v>1428</v>
      </c>
      <c r="Q1644" s="231">
        <v>2.88823119777159</v>
      </c>
      <c r="R1644" s="232">
        <v>124.32277576338</v>
      </c>
      <c r="S1644" s="233" t="s">
        <v>1526</v>
      </c>
      <c r="T1644" s="226" t="s">
        <v>8014</v>
      </c>
    </row>
    <row r="1645" hidden="1" spans="1:20">
      <c r="A1645" s="228"/>
      <c r="B1645" s="226">
        <v>20250327</v>
      </c>
      <c r="C1645" s="227">
        <v>7.25</v>
      </c>
      <c r="D1645" s="266" t="s">
        <v>8015</v>
      </c>
      <c r="E1645" s="228" t="s">
        <v>5128</v>
      </c>
      <c r="F1645" s="229" t="s">
        <v>2801</v>
      </c>
      <c r="G1645" s="227" t="s">
        <v>2323</v>
      </c>
      <c r="H1645" s="227" t="s">
        <v>1913</v>
      </c>
      <c r="I1645" s="227" t="s">
        <v>1428</v>
      </c>
      <c r="J1645" s="227" t="s">
        <v>4244</v>
      </c>
      <c r="K1645" s="227"/>
      <c r="L1645" s="227"/>
      <c r="M1645" s="227"/>
      <c r="N1645" s="231">
        <v>3.82102521031356</v>
      </c>
      <c r="O1645" s="654">
        <v>14.618921552426</v>
      </c>
      <c r="P1645" s="227"/>
      <c r="Q1645" s="231">
        <v>2.88823119777159</v>
      </c>
      <c r="R1645" s="232">
        <v>22.3281779605111</v>
      </c>
      <c r="S1645" s="233" t="s">
        <v>1526</v>
      </c>
      <c r="T1645" s="226" t="s">
        <v>8014</v>
      </c>
    </row>
    <row r="1646" hidden="1" spans="1:20">
      <c r="A1646" s="228"/>
      <c r="B1646" s="226">
        <v>20250327</v>
      </c>
      <c r="C1646" s="227">
        <v>7.25</v>
      </c>
      <c r="D1646" s="266" t="s">
        <v>8016</v>
      </c>
      <c r="E1646" s="228" t="s">
        <v>8017</v>
      </c>
      <c r="F1646" s="229" t="s">
        <v>2801</v>
      </c>
      <c r="G1646" s="227" t="s">
        <v>8013</v>
      </c>
      <c r="H1646" s="227" t="s">
        <v>1913</v>
      </c>
      <c r="I1646" s="227"/>
      <c r="J1646" s="227">
        <v>102</v>
      </c>
      <c r="K1646" s="227"/>
      <c r="L1646" s="227"/>
      <c r="M1646" s="227"/>
      <c r="N1646" s="231">
        <v>3.82102521031356</v>
      </c>
      <c r="O1646" s="654">
        <v>14.5994426304242</v>
      </c>
      <c r="P1646" s="227"/>
      <c r="Q1646" s="231">
        <v>2.88823119777159</v>
      </c>
      <c r="R1646" s="232">
        <v>124.308699038509</v>
      </c>
      <c r="S1646" s="233" t="s">
        <v>1526</v>
      </c>
      <c r="T1646" s="226" t="s">
        <v>8014</v>
      </c>
    </row>
    <row r="1647" hidden="1"/>
    <row r="1648" spans="1:20">
      <c r="A1648" s="228" t="s">
        <v>7407</v>
      </c>
      <c r="B1648" s="226">
        <v>20241107</v>
      </c>
      <c r="C1648" s="227">
        <v>7.11</v>
      </c>
      <c r="D1648" s="226" t="s">
        <v>8018</v>
      </c>
      <c r="E1648" s="260" t="s">
        <v>8019</v>
      </c>
      <c r="F1648" s="226" t="s">
        <v>4284</v>
      </c>
      <c r="G1648" s="245" t="s">
        <v>2641</v>
      </c>
      <c r="H1648" s="227" t="s">
        <v>1913</v>
      </c>
      <c r="I1648" s="245" t="s">
        <v>1428</v>
      </c>
      <c r="J1648" s="227">
        <v>102</v>
      </c>
      <c r="K1648" s="245" t="s">
        <v>1428</v>
      </c>
      <c r="L1648" s="247" t="s">
        <v>1428</v>
      </c>
      <c r="M1648" s="245" t="s">
        <v>1428</v>
      </c>
      <c r="N1648" s="668">
        <v>3.82102521031356</v>
      </c>
      <c r="O1648" s="668">
        <v>11.7607664115062</v>
      </c>
      <c r="P1648" s="227"/>
      <c r="Q1648" s="231">
        <v>2.88823119777159</v>
      </c>
      <c r="R1648" s="232">
        <f>SUM(J1648:Q1648)+1</f>
        <v>121.470022819591</v>
      </c>
      <c r="S1648" s="226" t="s">
        <v>1526</v>
      </c>
      <c r="T1648" s="228" t="s">
        <v>8020</v>
      </c>
    </row>
    <row r="1649" spans="1:20">
      <c r="A1649" s="228"/>
      <c r="B1649" s="226">
        <v>20241010</v>
      </c>
      <c r="C1649" s="227">
        <v>7.25</v>
      </c>
      <c r="D1649" s="226" t="s">
        <v>1416</v>
      </c>
      <c r="E1649" s="260" t="s">
        <v>1417</v>
      </c>
      <c r="F1649" s="226"/>
      <c r="G1649" s="245"/>
      <c r="H1649" s="227"/>
      <c r="I1649" s="245"/>
      <c r="J1649" s="227"/>
      <c r="K1649" s="245"/>
      <c r="L1649" s="247"/>
      <c r="M1649" s="245"/>
      <c r="N1649" s="668">
        <v>0.415013732072017</v>
      </c>
      <c r="O1649" s="668">
        <v>1.12934286496186</v>
      </c>
      <c r="P1649" s="227" t="s">
        <v>1428</v>
      </c>
      <c r="Q1649" s="231">
        <v>0.2</v>
      </c>
      <c r="R1649" s="232">
        <f>SUM(J1649:Q1649)</f>
        <v>1.74435659703388</v>
      </c>
      <c r="S1649" s="226"/>
      <c r="T1649" s="228" t="s">
        <v>7532</v>
      </c>
    </row>
    <row r="1650" spans="1:20">
      <c r="E1650" s="669" t="s">
        <v>8021</v>
      </c>
      <c r="F1650" s="669" t="s">
        <v>8022</v>
      </c>
      <c r="G1650" s="670" t="s">
        <v>8023</v>
      </c>
      <c r="H1650" s="671">
        <v>26.5</v>
      </c>
      <c r="I1650" s="182" t="s">
        <v>8024</v>
      </c>
    </row>
    <row r="1651" spans="1:20">
      <c r="E1651" s="669" t="s">
        <v>8025</v>
      </c>
      <c r="F1651" s="669" t="s">
        <v>8026</v>
      </c>
      <c r="G1651" s="669" t="s">
        <v>8023</v>
      </c>
      <c r="H1651" s="672">
        <v>16</v>
      </c>
      <c r="I1651" s="182" t="s">
        <v>8024</v>
      </c>
    </row>
    <row r="1652" spans="1:20">
      <c r="E1652" s="669" t="s">
        <v>8027</v>
      </c>
      <c r="F1652" s="669" t="s">
        <v>8028</v>
      </c>
      <c r="G1652" s="669" t="s">
        <v>8023</v>
      </c>
      <c r="H1652" s="673" t="s">
        <v>8029</v>
      </c>
      <c r="I1652" s="182" t="s">
        <v>8024</v>
      </c>
    </row>
    <row r="1657" spans="1:20">
      <c r="A1657" s="195" t="s">
        <v>7853</v>
      </c>
      <c r="B1657" s="195"/>
      <c r="C1657" s="195"/>
      <c r="D1657" s="195"/>
      <c r="E1657" s="196"/>
      <c r="F1657" s="196"/>
      <c r="G1657" s="197"/>
      <c r="H1657" s="198"/>
      <c r="I1657" s="198"/>
      <c r="J1657" s="199"/>
      <c r="K1657" s="200"/>
      <c r="L1657" s="296"/>
      <c r="M1657" s="200"/>
      <c r="N1657" s="201"/>
      <c r="O1657" s="201"/>
      <c r="P1657" s="197"/>
      <c r="Q1657" s="202"/>
      <c r="R1657" s="202"/>
      <c r="S1657" s="203"/>
      <c r="T1657" s="80"/>
    </row>
    <row r="1658" spans="1:20">
      <c r="A1658" s="50" t="s">
        <v>1</v>
      </c>
      <c r="B1658" s="265" t="s">
        <v>2</v>
      </c>
      <c r="C1658" s="265" t="s">
        <v>1493</v>
      </c>
      <c r="D1658" s="265" t="s">
        <v>4</v>
      </c>
      <c r="E1658" s="75" t="s">
        <v>5</v>
      </c>
      <c r="F1658" s="75" t="s">
        <v>1933</v>
      </c>
      <c r="G1658" s="75" t="s">
        <v>4102</v>
      </c>
      <c r="H1658" s="75" t="s">
        <v>4541</v>
      </c>
      <c r="I1658" s="75" t="s">
        <v>1497</v>
      </c>
      <c r="J1658" s="75" t="s">
        <v>4102</v>
      </c>
      <c r="K1658" s="75" t="s">
        <v>4103</v>
      </c>
      <c r="L1658" s="75" t="s">
        <v>4104</v>
      </c>
      <c r="M1658" s="75" t="s">
        <v>1497</v>
      </c>
      <c r="N1658" s="75" t="s">
        <v>6</v>
      </c>
      <c r="O1658" s="75" t="s">
        <v>7</v>
      </c>
      <c r="P1658" s="75" t="s">
        <v>5211</v>
      </c>
      <c r="Q1658" s="75" t="s">
        <v>8</v>
      </c>
      <c r="R1658" s="75" t="s">
        <v>9</v>
      </c>
      <c r="S1658" s="75" t="s">
        <v>4105</v>
      </c>
      <c r="T1658" s="75" t="s">
        <v>10</v>
      </c>
    </row>
    <row r="1659" hidden="1" spans="1:20">
      <c r="A1659" s="228" t="s">
        <v>7826</v>
      </c>
      <c r="B1659" s="226">
        <v>20250226</v>
      </c>
      <c r="C1659" s="227">
        <v>7.25</v>
      </c>
      <c r="D1659" s="226" t="s">
        <v>7827</v>
      </c>
      <c r="E1659" s="260" t="s">
        <v>1645</v>
      </c>
      <c r="F1659" s="226" t="s">
        <v>3767</v>
      </c>
      <c r="G1659" s="245" t="s">
        <v>3799</v>
      </c>
      <c r="H1659" s="227" t="s">
        <v>3670</v>
      </c>
      <c r="I1659" s="245"/>
      <c r="J1659" s="227">
        <v>26</v>
      </c>
      <c r="K1659" s="245"/>
      <c r="L1659" s="247">
        <v>4.1</v>
      </c>
      <c r="M1659" s="245"/>
      <c r="N1659" s="668">
        <v>4.70891974366799</v>
      </c>
      <c r="O1659" s="674">
        <v>9.58041036814294</v>
      </c>
      <c r="P1659" s="227"/>
      <c r="Q1659" s="231">
        <v>3</v>
      </c>
      <c r="R1659" s="232">
        <f>SUM(I1659:Q1659)</f>
        <v>47.3893301118109</v>
      </c>
      <c r="S1659" s="226" t="s">
        <v>3452</v>
      </c>
      <c r="T1659" s="228" t="s">
        <v>7828</v>
      </c>
    </row>
    <row r="1660" hidden="1" spans="1:20">
      <c r="A1660" s="228"/>
      <c r="B1660" s="226">
        <v>20241010</v>
      </c>
      <c r="C1660" s="227">
        <v>7.25</v>
      </c>
      <c r="D1660" s="226" t="s">
        <v>1416</v>
      </c>
      <c r="E1660" s="260" t="s">
        <v>1417</v>
      </c>
      <c r="F1660" s="226"/>
      <c r="G1660" s="245"/>
      <c r="H1660" s="227"/>
      <c r="I1660" s="245"/>
      <c r="J1660" s="227"/>
      <c r="K1660" s="245"/>
      <c r="L1660" s="247"/>
      <c r="M1660" s="245"/>
      <c r="N1660" s="668">
        <v>0.415013732072017</v>
      </c>
      <c r="O1660" s="674">
        <v>1.12934286496186</v>
      </c>
      <c r="P1660" s="227" t="s">
        <v>1428</v>
      </c>
      <c r="Q1660" s="231">
        <v>0.2</v>
      </c>
      <c r="R1660" s="232">
        <f>SUM(I1660:Q1660)</f>
        <v>1.74435659703388</v>
      </c>
      <c r="S1660" s="226"/>
      <c r="T1660" s="228" t="s">
        <v>7532</v>
      </c>
    </row>
    <row r="1661" hidden="1" spans="1:20">
      <c r="A1661" s="228"/>
      <c r="B1661" s="226"/>
      <c r="C1661" s="227"/>
      <c r="D1661" s="226"/>
      <c r="E1661" s="260" t="s">
        <v>7441</v>
      </c>
      <c r="F1661" s="226" t="s">
        <v>7890</v>
      </c>
      <c r="G1661" s="245"/>
      <c r="H1661" s="227"/>
      <c r="I1661" s="245"/>
      <c r="J1661" s="227"/>
      <c r="K1661" s="245"/>
      <c r="L1661" s="247"/>
      <c r="M1661" s="245"/>
      <c r="N1661" s="668"/>
      <c r="O1661" s="674"/>
      <c r="P1661" s="227"/>
      <c r="Q1661" s="231"/>
      <c r="R1661" s="232">
        <v>3.3</v>
      </c>
      <c r="S1661" s="226"/>
      <c r="T1661" s="228"/>
    </row>
    <row r="1662" spans="1:20">
      <c r="A1662" s="228" t="s">
        <v>7826</v>
      </c>
      <c r="B1662" s="226">
        <v>20250226</v>
      </c>
      <c r="C1662" s="227">
        <v>7.25</v>
      </c>
      <c r="D1662" s="226" t="s">
        <v>8030</v>
      </c>
      <c r="E1662" s="260" t="s">
        <v>1629</v>
      </c>
      <c r="F1662" s="226" t="s">
        <v>3767</v>
      </c>
      <c r="G1662" s="245" t="s">
        <v>3799</v>
      </c>
      <c r="H1662" s="227" t="s">
        <v>1913</v>
      </c>
      <c r="I1662" s="245"/>
      <c r="J1662" s="227">
        <v>26</v>
      </c>
      <c r="K1662" s="245"/>
      <c r="L1662" s="245"/>
      <c r="M1662" s="245"/>
      <c r="N1662" s="668">
        <v>4.70891974366799</v>
      </c>
      <c r="O1662" s="674">
        <v>9.61885449353933</v>
      </c>
      <c r="P1662" s="227"/>
      <c r="Q1662" s="231">
        <v>3</v>
      </c>
      <c r="R1662" s="232">
        <f>SUM(J1662:Q1662)</f>
        <v>43.3277742372073</v>
      </c>
      <c r="S1662" s="226" t="s">
        <v>1526</v>
      </c>
      <c r="T1662" s="228" t="s">
        <v>7828</v>
      </c>
    </row>
    <row r="1663" spans="1:20">
      <c r="A1663" s="228" t="s">
        <v>7826</v>
      </c>
      <c r="B1663" s="226">
        <v>20250226</v>
      </c>
      <c r="C1663" s="227">
        <v>7.25</v>
      </c>
      <c r="D1663" s="226" t="s">
        <v>8030</v>
      </c>
      <c r="E1663" s="260" t="s">
        <v>1629</v>
      </c>
      <c r="F1663" s="226" t="s">
        <v>3767</v>
      </c>
      <c r="G1663" s="245"/>
      <c r="H1663" s="227" t="s">
        <v>1913</v>
      </c>
      <c r="I1663" s="245"/>
      <c r="J1663" s="227" t="s">
        <v>1428</v>
      </c>
      <c r="K1663" s="245"/>
      <c r="L1663" s="245"/>
      <c r="M1663" s="245"/>
      <c r="N1663" s="668">
        <v>4.70891974366799</v>
      </c>
      <c r="O1663" s="674">
        <v>9.61885449353933</v>
      </c>
      <c r="P1663" s="227"/>
      <c r="Q1663" s="231">
        <v>3</v>
      </c>
      <c r="R1663" s="232">
        <v>17.3277742372073</v>
      </c>
      <c r="S1663" s="226" t="s">
        <v>1526</v>
      </c>
      <c r="T1663" s="228" t="s">
        <v>8031</v>
      </c>
    </row>
    <row r="1669" spans="1:20">
      <c r="A1669" s="195" t="s">
        <v>7853</v>
      </c>
      <c r="B1669" s="195"/>
      <c r="C1669" s="195"/>
      <c r="D1669" s="195"/>
      <c r="E1669" s="196"/>
      <c r="F1669" s="196"/>
      <c r="G1669" s="197"/>
      <c r="H1669" s="198"/>
      <c r="I1669" s="198"/>
      <c r="J1669" s="199"/>
      <c r="K1669" s="296"/>
      <c r="L1669" s="296"/>
      <c r="M1669" s="200"/>
      <c r="N1669" s="297"/>
      <c r="O1669" s="201"/>
      <c r="P1669" s="197"/>
      <c r="Q1669" s="202"/>
      <c r="R1669" s="202"/>
      <c r="S1669" s="203"/>
      <c r="T1669" s="80"/>
    </row>
    <row r="1670" spans="1:20">
      <c r="A1670" s="224" t="s">
        <v>1</v>
      </c>
      <c r="B1670" s="224"/>
      <c r="C1670" s="224"/>
      <c r="D1670" s="224"/>
      <c r="E1670" s="75" t="s">
        <v>5</v>
      </c>
      <c r="F1670" s="75" t="s">
        <v>1933</v>
      </c>
      <c r="G1670" s="75" t="s">
        <v>4102</v>
      </c>
      <c r="H1670" s="75" t="s">
        <v>4541</v>
      </c>
      <c r="I1670" s="75" t="s">
        <v>1497</v>
      </c>
      <c r="J1670" s="75" t="s">
        <v>4102</v>
      </c>
      <c r="K1670" s="75" t="s">
        <v>4103</v>
      </c>
      <c r="L1670" s="75" t="s">
        <v>4104</v>
      </c>
      <c r="M1670" s="75" t="s">
        <v>1497</v>
      </c>
      <c r="N1670" s="75" t="s">
        <v>6</v>
      </c>
      <c r="O1670" s="75" t="s">
        <v>7</v>
      </c>
      <c r="P1670" s="75" t="s">
        <v>5211</v>
      </c>
      <c r="Q1670" s="75" t="s">
        <v>8</v>
      </c>
      <c r="R1670" s="75" t="s">
        <v>9</v>
      </c>
      <c r="S1670" s="75" t="s">
        <v>4105</v>
      </c>
      <c r="T1670" s="75" t="s">
        <v>10</v>
      </c>
    </row>
    <row r="1671" spans="1:20">
      <c r="A1671" s="652" t="s">
        <v>8032</v>
      </c>
      <c r="B1671" s="289">
        <v>20250325</v>
      </c>
      <c r="C1671" s="226">
        <v>7.25</v>
      </c>
      <c r="D1671" s="289" t="s">
        <v>8033</v>
      </c>
      <c r="E1671" s="675" t="s">
        <v>1571</v>
      </c>
      <c r="F1671" s="228" t="s">
        <v>1933</v>
      </c>
      <c r="G1671" s="245" t="s">
        <v>7408</v>
      </c>
      <c r="H1671" s="227" t="s">
        <v>1913</v>
      </c>
      <c r="I1671" s="227" t="s">
        <v>3696</v>
      </c>
      <c r="J1671" s="247" t="s">
        <v>4244</v>
      </c>
      <c r="K1671" s="227" t="s">
        <v>1428</v>
      </c>
      <c r="L1671" s="227" t="s">
        <v>1428</v>
      </c>
      <c r="M1671" s="227">
        <v>3.3</v>
      </c>
      <c r="N1671" s="257">
        <v>2.70857491608178</v>
      </c>
      <c r="O1671" s="257">
        <v>14.4950506262435</v>
      </c>
      <c r="P1671" s="231" t="s">
        <v>1428</v>
      </c>
      <c r="Q1671" s="231">
        <v>2.71212636920602</v>
      </c>
      <c r="R1671" s="232">
        <f>SUM(I1671:Q1671)</f>
        <v>23.2157519115313</v>
      </c>
      <c r="S1671" s="226" t="s">
        <v>1526</v>
      </c>
      <c r="T1671" s="226" t="s">
        <v>8034</v>
      </c>
    </row>
    <row r="1672" spans="1:20">
      <c r="A1672" s="652" t="s">
        <v>8032</v>
      </c>
      <c r="B1672" s="226">
        <v>20241213</v>
      </c>
      <c r="C1672" s="226">
        <v>7.3</v>
      </c>
      <c r="D1672" s="226" t="s">
        <v>1719</v>
      </c>
      <c r="E1672" s="676" t="s">
        <v>1591</v>
      </c>
      <c r="F1672" s="228" t="s">
        <v>4284</v>
      </c>
      <c r="G1672" s="227" t="s">
        <v>2323</v>
      </c>
      <c r="H1672" s="227" t="s">
        <v>1913</v>
      </c>
      <c r="I1672" s="227" t="s">
        <v>1720</v>
      </c>
      <c r="J1672" s="247" t="s">
        <v>4244</v>
      </c>
      <c r="K1672" s="256"/>
      <c r="L1672" s="256"/>
      <c r="M1672" s="256">
        <v>2.3</v>
      </c>
      <c r="N1672" s="257">
        <v>2.70857491608178</v>
      </c>
      <c r="O1672" s="230">
        <v>11.4768022528549</v>
      </c>
      <c r="P1672" s="231"/>
      <c r="Q1672" s="231">
        <v>2.54302833070916</v>
      </c>
      <c r="R1672" s="232">
        <f>SUM(I1672:Q1672)</f>
        <v>19.0284054996458</v>
      </c>
      <c r="S1672" s="226" t="s">
        <v>1526</v>
      </c>
      <c r="T1672" s="226" t="s">
        <v>7867</v>
      </c>
    </row>
    <row r="1676" spans="1:20">
      <c r="A1676" s="195" t="s">
        <v>7853</v>
      </c>
      <c r="B1676" s="195"/>
      <c r="C1676" s="195"/>
      <c r="D1676" s="195"/>
      <c r="E1676" s="196"/>
      <c r="F1676" s="196"/>
      <c r="G1676" s="197"/>
      <c r="H1676" s="198"/>
      <c r="I1676" s="198"/>
      <c r="J1676" s="199"/>
      <c r="K1676" s="296"/>
      <c r="L1676" s="296"/>
      <c r="M1676" s="200"/>
      <c r="N1676" s="297"/>
      <c r="O1676" s="201"/>
      <c r="P1676" s="197"/>
      <c r="Q1676" s="202"/>
      <c r="R1676" s="202"/>
      <c r="S1676" s="203"/>
      <c r="T1676" s="80"/>
    </row>
    <row r="1677" spans="1:20">
      <c r="A1677" s="224" t="s">
        <v>1</v>
      </c>
      <c r="B1677" s="224"/>
      <c r="C1677" s="224"/>
      <c r="D1677" s="224"/>
      <c r="E1677" s="75" t="s">
        <v>5</v>
      </c>
      <c r="F1677" s="75" t="s">
        <v>1933</v>
      </c>
      <c r="G1677" s="75" t="s">
        <v>4102</v>
      </c>
      <c r="H1677" s="75" t="s">
        <v>4541</v>
      </c>
      <c r="I1677" s="75" t="s">
        <v>1497</v>
      </c>
      <c r="J1677" s="75" t="s">
        <v>4102</v>
      </c>
      <c r="K1677" s="75" t="s">
        <v>4103</v>
      </c>
      <c r="L1677" s="75" t="s">
        <v>4104</v>
      </c>
      <c r="M1677" s="75" t="s">
        <v>1497</v>
      </c>
      <c r="N1677" s="75" t="s">
        <v>6</v>
      </c>
      <c r="O1677" s="75" t="s">
        <v>7</v>
      </c>
      <c r="P1677" s="75" t="s">
        <v>5211</v>
      </c>
      <c r="Q1677" s="75" t="s">
        <v>8</v>
      </c>
      <c r="R1677" s="75" t="s">
        <v>9</v>
      </c>
      <c r="S1677" s="75" t="s">
        <v>4105</v>
      </c>
      <c r="T1677" s="75" t="s">
        <v>10</v>
      </c>
    </row>
    <row r="1678" spans="1:20">
      <c r="A1678" s="228" t="s">
        <v>7488</v>
      </c>
      <c r="B1678" s="226">
        <v>20240521</v>
      </c>
      <c r="C1678" s="227">
        <v>7.24</v>
      </c>
      <c r="D1678" s="226" t="s">
        <v>3805</v>
      </c>
      <c r="E1678" s="260" t="s">
        <v>3806</v>
      </c>
      <c r="F1678" s="226" t="s">
        <v>1933</v>
      </c>
      <c r="G1678" s="245" t="s">
        <v>3794</v>
      </c>
      <c r="H1678" s="227" t="s">
        <v>3349</v>
      </c>
      <c r="I1678" s="245" t="s">
        <v>1635</v>
      </c>
      <c r="J1678" s="227">
        <v>29</v>
      </c>
      <c r="K1678" s="245" t="s">
        <v>1428</v>
      </c>
      <c r="L1678" s="245" t="s">
        <v>4671</v>
      </c>
      <c r="M1678" s="245">
        <v>3.3</v>
      </c>
      <c r="N1678" s="668">
        <v>2.86861370401799</v>
      </c>
      <c r="O1678" s="668">
        <v>11.7066539271684</v>
      </c>
      <c r="P1678" s="227" t="s">
        <v>1428</v>
      </c>
      <c r="Q1678" s="231">
        <v>2.75809718382026</v>
      </c>
      <c r="R1678" s="232">
        <f>SUBTOTAL(9,J1678:Q1678)</f>
        <v>49.6333648150067</v>
      </c>
      <c r="S1678" s="226" t="s">
        <v>3671</v>
      </c>
      <c r="T1678" s="228" t="s">
        <v>7831</v>
      </c>
    </row>
    <row r="1679" spans="1:20">
      <c r="A1679" s="228"/>
      <c r="B1679" s="226">
        <v>20241127</v>
      </c>
      <c r="C1679" s="227">
        <v>7.25</v>
      </c>
      <c r="D1679" s="226" t="s">
        <v>529</v>
      </c>
      <c r="E1679" s="260" t="s">
        <v>530</v>
      </c>
      <c r="F1679" s="226"/>
      <c r="G1679" s="245"/>
      <c r="H1679" s="227"/>
      <c r="I1679" s="245"/>
      <c r="J1679" s="227"/>
      <c r="K1679" s="245"/>
      <c r="L1679" s="245"/>
      <c r="M1679" s="245"/>
      <c r="N1679" s="668">
        <v>0.490397421057217</v>
      </c>
      <c r="O1679" s="668">
        <v>0.809328317628169</v>
      </c>
      <c r="P1679" s="227" t="s">
        <v>1428</v>
      </c>
      <c r="Q1679" s="231">
        <v>0.2</v>
      </c>
      <c r="R1679" s="232">
        <f>SUM(J1679:Q1679)</f>
        <v>1.49972573868539</v>
      </c>
      <c r="S1679" s="226"/>
      <c r="T1679" s="228" t="s">
        <v>7568</v>
      </c>
    </row>
    <row r="1680" spans="1:20">
      <c r="A1680" s="228"/>
      <c r="B1680" s="226">
        <v>20240906</v>
      </c>
      <c r="C1680" s="227">
        <v>7.11</v>
      </c>
      <c r="D1680" s="226" t="s">
        <v>7904</v>
      </c>
      <c r="E1680" s="260" t="s">
        <v>7905</v>
      </c>
      <c r="F1680" s="226"/>
      <c r="G1680" s="245"/>
      <c r="H1680" s="227"/>
      <c r="I1680" s="245"/>
      <c r="J1680" s="227"/>
      <c r="K1680" s="245"/>
      <c r="L1680" s="245"/>
      <c r="M1680" s="245"/>
      <c r="N1680" s="668">
        <v>0.053990561879444</v>
      </c>
      <c r="O1680" s="668">
        <v>0.0369532016850468</v>
      </c>
      <c r="P1680" s="227" t="s">
        <v>1428</v>
      </c>
      <c r="Q1680" s="231">
        <v>0.2</v>
      </c>
      <c r="R1680" s="232">
        <f>SUM(J1680:Q1680)</f>
        <v>0.290943763564491</v>
      </c>
      <c r="S1680" s="226"/>
      <c r="T1680" s="228"/>
    </row>
    <row r="1682" spans="1:20">
      <c r="A1682" s="195" t="s">
        <v>7853</v>
      </c>
      <c r="B1682" s="195"/>
      <c r="C1682" s="195"/>
      <c r="D1682" s="195"/>
      <c r="E1682" s="196"/>
      <c r="F1682" s="196"/>
      <c r="G1682" s="197"/>
      <c r="H1682" s="198"/>
      <c r="I1682" s="198"/>
      <c r="J1682" s="199"/>
      <c r="K1682" s="296"/>
      <c r="L1682" s="296"/>
      <c r="M1682" s="200"/>
      <c r="N1682" s="297"/>
      <c r="O1682" s="201"/>
      <c r="P1682" s="197"/>
      <c r="Q1682" s="202"/>
      <c r="R1682" s="202"/>
      <c r="S1682" s="203"/>
      <c r="T1682" s="80"/>
    </row>
    <row r="1683" spans="1:20">
      <c r="A1683" s="224" t="s">
        <v>1</v>
      </c>
      <c r="B1683" s="224"/>
      <c r="C1683" s="224"/>
      <c r="D1683" s="224"/>
      <c r="E1683" s="75" t="s">
        <v>5</v>
      </c>
      <c r="F1683" s="75" t="s">
        <v>1933</v>
      </c>
      <c r="G1683" s="75" t="s">
        <v>4102</v>
      </c>
      <c r="H1683" s="75" t="s">
        <v>4541</v>
      </c>
      <c r="I1683" s="75" t="s">
        <v>1497</v>
      </c>
      <c r="J1683" s="75" t="s">
        <v>4102</v>
      </c>
      <c r="K1683" s="75" t="s">
        <v>4103</v>
      </c>
      <c r="L1683" s="75" t="s">
        <v>4104</v>
      </c>
      <c r="M1683" s="75" t="s">
        <v>1497</v>
      </c>
      <c r="N1683" s="75" t="s">
        <v>6</v>
      </c>
      <c r="O1683" s="75" t="s">
        <v>7</v>
      </c>
      <c r="P1683" s="75" t="s">
        <v>5211</v>
      </c>
      <c r="Q1683" s="75" t="s">
        <v>8</v>
      </c>
      <c r="R1683" s="75" t="s">
        <v>9</v>
      </c>
      <c r="S1683" s="75" t="s">
        <v>4105</v>
      </c>
      <c r="T1683" s="75" t="s">
        <v>10</v>
      </c>
    </row>
    <row r="1684" spans="1:20">
      <c r="A1684" s="333" t="s">
        <v>432</v>
      </c>
      <c r="B1684" s="226">
        <v>20241213</v>
      </c>
      <c r="C1684" s="226">
        <v>7.3</v>
      </c>
      <c r="D1684" s="226" t="s">
        <v>1719</v>
      </c>
      <c r="E1684" s="226" t="s">
        <v>8035</v>
      </c>
      <c r="F1684" s="228" t="s">
        <v>4284</v>
      </c>
      <c r="G1684" s="227" t="s">
        <v>8036</v>
      </c>
      <c r="H1684" s="227" t="s">
        <v>1913</v>
      </c>
      <c r="I1684" s="227" t="s">
        <v>1720</v>
      </c>
      <c r="J1684" s="256">
        <v>102</v>
      </c>
      <c r="K1684" s="256"/>
      <c r="L1684" s="256"/>
      <c r="M1684" s="256">
        <v>2.3</v>
      </c>
      <c r="N1684" s="231">
        <v>2.70857491608178</v>
      </c>
      <c r="O1684" s="232">
        <v>11.4768022528549</v>
      </c>
      <c r="P1684" s="231"/>
      <c r="Q1684" s="231">
        <v>2.54302833070916</v>
      </c>
      <c r="R1684" s="231">
        <f>SUM(J1684:Q1684)</f>
        <v>121.028405499646</v>
      </c>
      <c r="S1684" s="226" t="s">
        <v>1526</v>
      </c>
      <c r="T1684" s="226" t="s">
        <v>8037</v>
      </c>
    </row>
    <row r="1685" spans="1:20">
      <c r="A1685" s="333"/>
      <c r="B1685" s="226">
        <v>20250304</v>
      </c>
      <c r="C1685" s="226">
        <v>7.25</v>
      </c>
      <c r="D1685" s="226" t="s">
        <v>439</v>
      </c>
      <c r="E1685" s="226" t="s">
        <v>440</v>
      </c>
      <c r="F1685" s="228"/>
      <c r="G1685" s="227"/>
      <c r="H1685" s="227"/>
      <c r="I1685" s="227"/>
      <c r="J1685" s="256"/>
      <c r="K1685" s="256"/>
      <c r="L1685" s="256"/>
      <c r="M1685" s="256"/>
      <c r="N1685" s="232">
        <v>0.284406469331706</v>
      </c>
      <c r="O1685" s="232">
        <v>0.563901241623436</v>
      </c>
      <c r="P1685" s="231"/>
      <c r="Q1685" s="231">
        <v>0.2</v>
      </c>
      <c r="R1685" s="231">
        <f>SUM(J1685:Q1685)</f>
        <v>1.04830771095514</v>
      </c>
      <c r="S1685" s="226"/>
      <c r="T1685" s="226" t="s">
        <v>435</v>
      </c>
    </row>
    <row r="1690" spans="1:20">
      <c r="A1690" s="195" t="s">
        <v>7853</v>
      </c>
      <c r="B1690" s="195"/>
      <c r="C1690" s="195"/>
      <c r="D1690" s="195"/>
      <c r="E1690" s="196"/>
      <c r="F1690" s="196"/>
      <c r="G1690" s="197"/>
      <c r="H1690" s="198"/>
      <c r="I1690" s="198"/>
      <c r="J1690" s="199"/>
      <c r="K1690" s="200"/>
      <c r="L1690" s="296"/>
      <c r="M1690" s="200"/>
      <c r="N1690" s="201"/>
      <c r="O1690" s="201"/>
      <c r="P1690" s="197"/>
      <c r="Q1690" s="202"/>
      <c r="R1690" s="202"/>
      <c r="S1690" s="203"/>
      <c r="T1690" s="80"/>
    </row>
    <row r="1691" spans="1:20">
      <c r="A1691" s="50" t="s">
        <v>1</v>
      </c>
      <c r="B1691" s="265" t="s">
        <v>2</v>
      </c>
      <c r="C1691" s="265" t="s">
        <v>1493</v>
      </c>
      <c r="D1691" s="265" t="s">
        <v>4</v>
      </c>
      <c r="E1691" s="75" t="s">
        <v>5</v>
      </c>
      <c r="F1691" s="75" t="s">
        <v>1933</v>
      </c>
      <c r="G1691" s="75" t="s">
        <v>4102</v>
      </c>
      <c r="H1691" s="75" t="s">
        <v>4541</v>
      </c>
      <c r="I1691" s="75" t="s">
        <v>1497</v>
      </c>
      <c r="J1691" s="75" t="s">
        <v>4102</v>
      </c>
      <c r="K1691" s="75" t="s">
        <v>4103</v>
      </c>
      <c r="L1691" s="75" t="s">
        <v>4104</v>
      </c>
      <c r="M1691" s="75" t="s">
        <v>1497</v>
      </c>
      <c r="N1691" s="75" t="s">
        <v>6</v>
      </c>
      <c r="O1691" s="75" t="s">
        <v>7</v>
      </c>
      <c r="P1691" s="75" t="s">
        <v>5211</v>
      </c>
      <c r="Q1691" s="75" t="s">
        <v>8</v>
      </c>
      <c r="R1691" s="75" t="s">
        <v>9</v>
      </c>
      <c r="S1691" s="75" t="s">
        <v>4105</v>
      </c>
      <c r="T1691" s="75" t="s">
        <v>10</v>
      </c>
    </row>
    <row r="1692" spans="1:20">
      <c r="A1692" s="652" t="s">
        <v>4715</v>
      </c>
      <c r="B1692" s="289">
        <v>20250115</v>
      </c>
      <c r="C1692" s="289">
        <v>7.3</v>
      </c>
      <c r="D1692" s="289" t="s">
        <v>3381</v>
      </c>
      <c r="E1692" s="255" t="s">
        <v>1571</v>
      </c>
      <c r="F1692" s="254" t="s">
        <v>4722</v>
      </c>
      <c r="G1692" s="227"/>
      <c r="H1692" s="227"/>
      <c r="I1692" s="227"/>
      <c r="J1692" s="227"/>
      <c r="K1692" s="227"/>
      <c r="L1692" s="227"/>
      <c r="M1692" s="227"/>
      <c r="N1692" s="232">
        <v>2.85525808097781</v>
      </c>
      <c r="O1692" s="232">
        <v>12.4674433913056</v>
      </c>
      <c r="P1692" s="227"/>
      <c r="Q1692" s="231">
        <v>2.60506749636358</v>
      </c>
      <c r="R1692" s="232">
        <v>17.927768968647</v>
      </c>
      <c r="S1692" s="226"/>
      <c r="T1692" s="228" t="s">
        <v>4728</v>
      </c>
    </row>
    <row r="1693" spans="1:20">
      <c r="A1693" s="333"/>
      <c r="B1693" s="226">
        <v>20241011</v>
      </c>
      <c r="C1693" s="226">
        <v>7.11</v>
      </c>
      <c r="D1693" s="226" t="s">
        <v>137</v>
      </c>
      <c r="E1693" s="226" t="s">
        <v>138</v>
      </c>
      <c r="F1693" s="243"/>
      <c r="G1693" s="245"/>
      <c r="H1693" s="245"/>
      <c r="I1693" s="245"/>
      <c r="J1693" s="245"/>
      <c r="K1693" s="245"/>
      <c r="L1693" s="245"/>
      <c r="M1693" s="245"/>
      <c r="N1693" s="232">
        <v>0.431518360108392</v>
      </c>
      <c r="O1693" s="232">
        <v>2.54031178048799</v>
      </c>
      <c r="P1693" s="231"/>
      <c r="Q1693" s="231">
        <v>0.4</v>
      </c>
      <c r="R1693" s="231">
        <f>SUM(J1693:Q1693)</f>
        <v>3.37183014059638</v>
      </c>
      <c r="S1693" s="243"/>
      <c r="T1693" s="260" t="s">
        <v>2629</v>
      </c>
    </row>
    <row r="1698" spans="1:20">
      <c r="A1698" s="195" t="s">
        <v>7853</v>
      </c>
      <c r="B1698" s="195"/>
      <c r="C1698" s="195"/>
      <c r="D1698" s="195"/>
      <c r="E1698" s="196"/>
      <c r="F1698" s="196"/>
      <c r="G1698" s="197"/>
      <c r="H1698" s="198"/>
      <c r="I1698" s="198"/>
      <c r="J1698" s="199"/>
      <c r="K1698" s="200"/>
      <c r="L1698" s="296"/>
      <c r="M1698" s="200"/>
      <c r="N1698" s="201"/>
      <c r="O1698" s="201"/>
      <c r="P1698" s="197"/>
      <c r="Q1698" s="202"/>
      <c r="R1698" s="202"/>
      <c r="S1698" s="203"/>
      <c r="T1698" s="80"/>
    </row>
    <row r="1699" spans="1:20">
      <c r="A1699" s="50" t="s">
        <v>1</v>
      </c>
      <c r="B1699" s="265" t="s">
        <v>2</v>
      </c>
      <c r="C1699" s="265" t="s">
        <v>1493</v>
      </c>
      <c r="D1699" s="265" t="s">
        <v>4</v>
      </c>
      <c r="E1699" s="75" t="s">
        <v>5</v>
      </c>
      <c r="F1699" s="75" t="s">
        <v>1933</v>
      </c>
      <c r="G1699" s="75" t="s">
        <v>4102</v>
      </c>
      <c r="H1699" s="75" t="s">
        <v>4541</v>
      </c>
      <c r="I1699" s="75" t="s">
        <v>1497</v>
      </c>
      <c r="J1699" s="75" t="s">
        <v>4102</v>
      </c>
      <c r="K1699" s="75" t="s">
        <v>4103</v>
      </c>
      <c r="L1699" s="75" t="s">
        <v>4104</v>
      </c>
      <c r="M1699" s="75" t="s">
        <v>1497</v>
      </c>
      <c r="N1699" s="75" t="s">
        <v>6</v>
      </c>
      <c r="O1699" s="75" t="s">
        <v>7</v>
      </c>
      <c r="P1699" s="75" t="s">
        <v>5211</v>
      </c>
      <c r="Q1699" s="75" t="s">
        <v>8</v>
      </c>
      <c r="R1699" s="75" t="s">
        <v>9</v>
      </c>
      <c r="S1699" s="75" t="s">
        <v>4105</v>
      </c>
      <c r="T1699" s="75" t="s">
        <v>10</v>
      </c>
    </row>
    <row r="1700" spans="1:20">
      <c r="A1700" s="652" t="s">
        <v>7836</v>
      </c>
      <c r="B1700" s="226">
        <v>20250224</v>
      </c>
      <c r="C1700" s="227">
        <v>7.25</v>
      </c>
      <c r="D1700" s="677" t="s">
        <v>7837</v>
      </c>
      <c r="E1700" s="228" t="s">
        <v>1685</v>
      </c>
      <c r="F1700" s="226" t="s">
        <v>4742</v>
      </c>
      <c r="G1700" s="227" t="s">
        <v>3542</v>
      </c>
      <c r="H1700" s="227" t="s">
        <v>3898</v>
      </c>
      <c r="I1700" s="227" t="s">
        <v>1635</v>
      </c>
      <c r="J1700" s="245">
        <v>30</v>
      </c>
      <c r="K1700" s="227">
        <f>6.3*2</f>
        <v>12.6</v>
      </c>
      <c r="L1700" s="645">
        <v>7</v>
      </c>
      <c r="M1700" s="227">
        <v>3.3</v>
      </c>
      <c r="N1700" s="257">
        <v>3.2419896246567</v>
      </c>
      <c r="O1700" s="231">
        <v>13.1974536020067</v>
      </c>
      <c r="P1700" s="231"/>
      <c r="Q1700" s="231">
        <v>3</v>
      </c>
      <c r="R1700" s="232">
        <f>SUBTOTAL(9,H1700:Q1700)</f>
        <v>72.3394432266634</v>
      </c>
      <c r="S1700" s="226" t="s">
        <v>4749</v>
      </c>
      <c r="T1700" s="226" t="s">
        <v>4750</v>
      </c>
    </row>
    <row r="1704" spans="1:20">
      <c r="A1704" s="195" t="s">
        <v>7853</v>
      </c>
      <c r="B1704" s="195"/>
      <c r="C1704" s="195"/>
      <c r="D1704" s="195"/>
      <c r="E1704" s="196"/>
      <c r="F1704" s="196"/>
      <c r="G1704" s="197"/>
      <c r="H1704" s="198"/>
      <c r="I1704" s="198"/>
      <c r="J1704" s="199"/>
      <c r="K1704" s="200"/>
      <c r="L1704" s="296"/>
      <c r="M1704" s="200"/>
      <c r="N1704" s="201"/>
      <c r="O1704" s="201"/>
      <c r="P1704" s="197"/>
      <c r="Q1704" s="202"/>
      <c r="R1704" s="202"/>
      <c r="S1704" s="203"/>
      <c r="T1704" s="80"/>
    </row>
    <row r="1705" spans="1:20">
      <c r="A1705" s="50" t="s">
        <v>1</v>
      </c>
      <c r="B1705" s="265" t="s">
        <v>2</v>
      </c>
      <c r="C1705" s="265" t="s">
        <v>1493</v>
      </c>
      <c r="D1705" s="265" t="s">
        <v>4</v>
      </c>
      <c r="E1705" s="75" t="s">
        <v>5</v>
      </c>
      <c r="F1705" s="75" t="s">
        <v>1933</v>
      </c>
      <c r="G1705" s="75" t="s">
        <v>4102</v>
      </c>
      <c r="H1705" s="75" t="s">
        <v>4541</v>
      </c>
      <c r="I1705" s="75" t="s">
        <v>1497</v>
      </c>
      <c r="J1705" s="75" t="s">
        <v>4102</v>
      </c>
      <c r="K1705" s="75" t="s">
        <v>4103</v>
      </c>
      <c r="L1705" s="75" t="s">
        <v>4104</v>
      </c>
      <c r="M1705" s="75" t="s">
        <v>1497</v>
      </c>
      <c r="N1705" s="75" t="s">
        <v>6</v>
      </c>
      <c r="O1705" s="75" t="s">
        <v>7</v>
      </c>
      <c r="P1705" s="75" t="s">
        <v>5211</v>
      </c>
      <c r="Q1705" s="75" t="s">
        <v>8</v>
      </c>
      <c r="R1705" s="75" t="s">
        <v>9</v>
      </c>
      <c r="S1705" s="75" t="s">
        <v>4105</v>
      </c>
      <c r="T1705" s="75" t="s">
        <v>10</v>
      </c>
    </row>
    <row r="1706" spans="1:20">
      <c r="A1706" s="652" t="s">
        <v>7488</v>
      </c>
      <c r="B1706" s="226">
        <v>20240521</v>
      </c>
      <c r="C1706" s="227">
        <v>7.24</v>
      </c>
      <c r="D1706" s="677" t="s">
        <v>3809</v>
      </c>
      <c r="E1706" s="228" t="s">
        <v>3810</v>
      </c>
      <c r="F1706" s="226" t="s">
        <v>1933</v>
      </c>
      <c r="G1706" s="227" t="s">
        <v>8038</v>
      </c>
      <c r="H1706" s="227" t="s">
        <v>1913</v>
      </c>
      <c r="I1706" s="227" t="s">
        <v>1635</v>
      </c>
      <c r="J1706" s="245">
        <v>26</v>
      </c>
      <c r="K1706" s="227" t="s">
        <v>1428</v>
      </c>
      <c r="L1706" s="645" t="s">
        <v>1428</v>
      </c>
      <c r="M1706" s="227">
        <v>3.3</v>
      </c>
      <c r="N1706" s="257">
        <v>2.86861370401799</v>
      </c>
      <c r="O1706" s="231">
        <v>11.7071191612432</v>
      </c>
      <c r="P1706" s="231" t="s">
        <v>1428</v>
      </c>
      <c r="Q1706" s="231">
        <v>2.75809718382026</v>
      </c>
      <c r="R1706" s="232">
        <f>SUBTOTAL(9,J1706:Q1706)</f>
        <v>46.6338300490815</v>
      </c>
      <c r="S1706" s="226" t="s">
        <v>1526</v>
      </c>
      <c r="T1706" s="226" t="s">
        <v>7406</v>
      </c>
    </row>
    <row r="1707" spans="1:20">
      <c r="A1707" s="652"/>
      <c r="B1707" s="226">
        <v>20241127</v>
      </c>
      <c r="C1707" s="227">
        <v>7.25</v>
      </c>
      <c r="D1707" s="677" t="s">
        <v>529</v>
      </c>
      <c r="E1707" s="228" t="s">
        <v>530</v>
      </c>
      <c r="F1707" s="226"/>
      <c r="G1707" s="227"/>
      <c r="H1707" s="227"/>
      <c r="I1707" s="227"/>
      <c r="J1707" s="245"/>
      <c r="K1707" s="227"/>
      <c r="L1707" s="645"/>
      <c r="M1707" s="227"/>
      <c r="N1707" s="257">
        <v>0.490397421057217</v>
      </c>
      <c r="O1707" s="231">
        <v>0.809328317628169</v>
      </c>
      <c r="P1707" s="231" t="s">
        <v>1428</v>
      </c>
      <c r="Q1707" s="231">
        <v>0.2</v>
      </c>
      <c r="R1707" s="232">
        <f>SUM(J1707:Q1707)</f>
        <v>1.49972573868539</v>
      </c>
      <c r="S1707" s="226"/>
      <c r="T1707" s="226" t="s">
        <v>7568</v>
      </c>
    </row>
    <row r="1708" spans="1:20">
      <c r="A1708" s="652"/>
      <c r="B1708" s="226">
        <v>20240906</v>
      </c>
      <c r="C1708" s="227">
        <v>7.11</v>
      </c>
      <c r="D1708" s="677" t="s">
        <v>7904</v>
      </c>
      <c r="E1708" s="228" t="s">
        <v>7905</v>
      </c>
      <c r="F1708" s="226"/>
      <c r="G1708" s="227"/>
      <c r="H1708" s="227"/>
      <c r="I1708" s="227"/>
      <c r="J1708" s="245"/>
      <c r="K1708" s="227"/>
      <c r="L1708" s="645"/>
      <c r="M1708" s="227"/>
      <c r="N1708" s="257">
        <v>0.053990561879444</v>
      </c>
      <c r="O1708" s="231">
        <v>0.0369532016850468</v>
      </c>
      <c r="P1708" s="231" t="s">
        <v>1428</v>
      </c>
      <c r="Q1708" s="231">
        <v>0.2</v>
      </c>
      <c r="R1708" s="232">
        <f>SUM(J1708:Q1708)</f>
        <v>0.290943763564491</v>
      </c>
      <c r="S1708" s="226"/>
      <c r="T1708" s="226"/>
    </row>
    <row r="1712" spans="1:20">
      <c r="A1712" s="195" t="s">
        <v>8039</v>
      </c>
      <c r="B1712" s="195"/>
      <c r="C1712" s="195"/>
      <c r="D1712" s="195"/>
      <c r="E1712" s="196"/>
      <c r="F1712" s="196"/>
      <c r="G1712" s="197"/>
      <c r="H1712" s="198"/>
      <c r="I1712" s="198"/>
      <c r="J1712" s="199"/>
      <c r="K1712" s="200"/>
      <c r="L1712" s="296"/>
      <c r="M1712" s="200"/>
      <c r="N1712" s="201"/>
      <c r="O1712" s="201"/>
      <c r="P1712" s="197"/>
      <c r="Q1712" s="202"/>
      <c r="R1712" s="202"/>
      <c r="S1712" s="203"/>
      <c r="T1712" s="80"/>
    </row>
    <row r="1713" spans="1:20">
      <c r="A1713" s="50" t="s">
        <v>1</v>
      </c>
      <c r="B1713" s="265" t="s">
        <v>2</v>
      </c>
      <c r="C1713" s="265" t="s">
        <v>1493</v>
      </c>
      <c r="D1713" s="265" t="s">
        <v>4</v>
      </c>
      <c r="E1713" s="75" t="s">
        <v>5</v>
      </c>
      <c r="F1713" s="75" t="s">
        <v>1933</v>
      </c>
      <c r="G1713" s="75" t="s">
        <v>4102</v>
      </c>
      <c r="H1713" s="75" t="s">
        <v>4541</v>
      </c>
      <c r="I1713" s="75" t="s">
        <v>1497</v>
      </c>
      <c r="J1713" s="75" t="s">
        <v>4102</v>
      </c>
      <c r="K1713" s="75" t="s">
        <v>4103</v>
      </c>
      <c r="L1713" s="75" t="s">
        <v>4104</v>
      </c>
      <c r="M1713" s="75" t="s">
        <v>1497</v>
      </c>
      <c r="N1713" s="75" t="s">
        <v>6</v>
      </c>
      <c r="O1713" s="75" t="s">
        <v>7</v>
      </c>
      <c r="P1713" s="75" t="s">
        <v>5211</v>
      </c>
      <c r="Q1713" s="75" t="s">
        <v>8</v>
      </c>
      <c r="R1713" s="75" t="s">
        <v>9</v>
      </c>
      <c r="S1713" s="75" t="s">
        <v>4105</v>
      </c>
      <c r="T1713" s="75" t="s">
        <v>10</v>
      </c>
    </row>
    <row r="1714" spans="1:20">
      <c r="A1714" s="333"/>
      <c r="B1714" s="333"/>
      <c r="C1714" s="333"/>
      <c r="D1714" s="333"/>
      <c r="E1714" s="228" t="s">
        <v>21</v>
      </c>
      <c r="F1714" s="243"/>
      <c r="G1714" s="245"/>
      <c r="H1714" s="245"/>
      <c r="I1714" s="245"/>
      <c r="J1714" s="256"/>
      <c r="K1714" s="227"/>
      <c r="L1714" s="227"/>
      <c r="M1714" s="227"/>
      <c r="N1714" s="232">
        <v>0.420797825849448</v>
      </c>
      <c r="O1714" s="232">
        <v>2.50121394336898</v>
      </c>
      <c r="P1714" s="231" t="s">
        <v>1428</v>
      </c>
      <c r="Q1714" s="231">
        <v>0.4</v>
      </c>
      <c r="R1714" s="231">
        <v>3.32250365303669</v>
      </c>
      <c r="S1714" s="243"/>
      <c r="T1714" s="226" t="s">
        <v>7478</v>
      </c>
    </row>
    <row r="1717" spans="1:20">
      <c r="A1717" s="195" t="s">
        <v>7853</v>
      </c>
      <c r="B1717" s="195"/>
      <c r="C1717" s="195"/>
      <c r="D1717" s="195"/>
      <c r="E1717" s="196"/>
      <c r="F1717" s="196"/>
      <c r="G1717" s="197"/>
      <c r="H1717" s="198"/>
      <c r="I1717" s="198"/>
      <c r="J1717" s="199"/>
      <c r="K1717" s="296"/>
      <c r="L1717" s="296"/>
      <c r="M1717" s="200"/>
      <c r="N1717" s="297"/>
      <c r="O1717" s="201"/>
      <c r="P1717" s="197"/>
      <c r="Q1717" s="202"/>
      <c r="R1717" s="202"/>
      <c r="S1717" s="203"/>
      <c r="T1717" s="80"/>
    </row>
    <row r="1718" spans="1:20">
      <c r="A1718" s="224" t="s">
        <v>1</v>
      </c>
      <c r="B1718" s="224"/>
      <c r="C1718" s="224"/>
      <c r="D1718" s="224"/>
      <c r="E1718" s="75" t="s">
        <v>5</v>
      </c>
      <c r="F1718" s="75" t="s">
        <v>1933</v>
      </c>
      <c r="G1718" s="75" t="s">
        <v>4102</v>
      </c>
      <c r="H1718" s="75" t="s">
        <v>4541</v>
      </c>
      <c r="I1718" s="75" t="s">
        <v>1497</v>
      </c>
      <c r="J1718" s="75" t="s">
        <v>4102</v>
      </c>
      <c r="K1718" s="75" t="s">
        <v>4103</v>
      </c>
      <c r="L1718" s="75" t="s">
        <v>4104</v>
      </c>
      <c r="M1718" s="75" t="s">
        <v>1497</v>
      </c>
      <c r="N1718" s="75" t="s">
        <v>6</v>
      </c>
      <c r="O1718" s="75" t="s">
        <v>7</v>
      </c>
      <c r="P1718" s="75" t="s">
        <v>5211</v>
      </c>
      <c r="Q1718" s="75" t="s">
        <v>8</v>
      </c>
      <c r="R1718" s="75" t="s">
        <v>9</v>
      </c>
      <c r="S1718" s="75" t="s">
        <v>4105</v>
      </c>
      <c r="T1718" s="75" t="s">
        <v>10</v>
      </c>
    </row>
    <row r="1719" spans="1:20">
      <c r="A1719" s="652" t="s">
        <v>7945</v>
      </c>
      <c r="B1719" s="226">
        <v>20240906</v>
      </c>
      <c r="C1719" s="227">
        <v>7.11</v>
      </c>
      <c r="D1719" s="677" t="s">
        <v>527</v>
      </c>
      <c r="E1719" s="228" t="s">
        <v>528</v>
      </c>
      <c r="F1719" s="226"/>
      <c r="G1719" s="227"/>
      <c r="H1719" s="227"/>
      <c r="I1719" s="227"/>
      <c r="J1719" s="245"/>
      <c r="K1719" s="227"/>
      <c r="L1719" s="645"/>
      <c r="M1719" s="227"/>
      <c r="N1719" s="257">
        <v>0.449540597501153</v>
      </c>
      <c r="O1719" s="231">
        <v>1.85205578983142</v>
      </c>
      <c r="P1719" s="231" t="s">
        <v>1428</v>
      </c>
      <c r="Q1719" s="231">
        <v>0.4</v>
      </c>
      <c r="R1719" s="232">
        <v>2.70159638733257</v>
      </c>
      <c r="S1719" s="226"/>
      <c r="T1719" s="226" t="s">
        <v>7439</v>
      </c>
    </row>
    <row r="1720" spans="1:20">
      <c r="A1720" s="652" t="s">
        <v>7945</v>
      </c>
      <c r="B1720" s="226">
        <v>20240906</v>
      </c>
      <c r="C1720" s="227">
        <v>7.25</v>
      </c>
      <c r="D1720" s="677" t="s">
        <v>525</v>
      </c>
      <c r="E1720" s="228" t="s">
        <v>526</v>
      </c>
      <c r="F1720" s="226"/>
      <c r="G1720" s="227"/>
      <c r="H1720" s="227"/>
      <c r="I1720" s="227"/>
      <c r="J1720" s="245"/>
      <c r="K1720" s="227"/>
      <c r="L1720" s="645"/>
      <c r="M1720" s="227"/>
      <c r="N1720" s="231">
        <v>0.0244125724748245</v>
      </c>
      <c r="O1720" s="231">
        <v>0.0355398230088496</v>
      </c>
      <c r="P1720" s="231"/>
      <c r="Q1720" s="231">
        <v>0.2</v>
      </c>
      <c r="R1720" s="232">
        <f>SUM(J1720:Q1720)</f>
        <v>0.259952395483674</v>
      </c>
      <c r="S1720" s="226"/>
      <c r="T1720" s="226"/>
    </row>
    <row r="1723" spans="1:20">
      <c r="A1723" s="195" t="s">
        <v>7853</v>
      </c>
      <c r="B1723" s="195"/>
      <c r="C1723" s="195"/>
      <c r="D1723" s="195"/>
      <c r="E1723" s="196"/>
      <c r="F1723" s="196"/>
      <c r="G1723" s="197"/>
      <c r="H1723" s="198"/>
      <c r="I1723" s="198"/>
      <c r="J1723" s="199"/>
      <c r="K1723" s="200"/>
      <c r="L1723" s="296"/>
      <c r="M1723" s="200"/>
      <c r="N1723" s="201"/>
      <c r="O1723" s="201"/>
      <c r="P1723" s="197"/>
      <c r="Q1723" s="202"/>
      <c r="R1723" s="202"/>
      <c r="S1723" s="203"/>
      <c r="T1723" s="80"/>
    </row>
    <row r="1724" spans="1:20">
      <c r="A1724" s="50" t="s">
        <v>1</v>
      </c>
      <c r="B1724" s="265" t="s">
        <v>2</v>
      </c>
      <c r="C1724" s="265" t="s">
        <v>1493</v>
      </c>
      <c r="D1724" s="265" t="s">
        <v>4</v>
      </c>
      <c r="E1724" s="75" t="s">
        <v>5</v>
      </c>
      <c r="F1724" s="75" t="s">
        <v>1933</v>
      </c>
      <c r="G1724" s="75" t="s">
        <v>4102</v>
      </c>
      <c r="H1724" s="75" t="s">
        <v>4541</v>
      </c>
      <c r="I1724" s="75" t="s">
        <v>1497</v>
      </c>
      <c r="J1724" s="75" t="s">
        <v>4102</v>
      </c>
      <c r="K1724" s="75" t="s">
        <v>4103</v>
      </c>
      <c r="L1724" s="75" t="s">
        <v>4104</v>
      </c>
      <c r="M1724" s="75" t="s">
        <v>1497</v>
      </c>
      <c r="N1724" s="75" t="s">
        <v>6</v>
      </c>
      <c r="O1724" s="75" t="s">
        <v>7</v>
      </c>
      <c r="P1724" s="75" t="s">
        <v>5211</v>
      </c>
      <c r="Q1724" s="75" t="s">
        <v>8</v>
      </c>
      <c r="R1724" s="75" t="s">
        <v>9</v>
      </c>
      <c r="S1724" s="75" t="s">
        <v>4105</v>
      </c>
      <c r="T1724" s="75" t="s">
        <v>10</v>
      </c>
    </row>
    <row r="1725" spans="1:20">
      <c r="A1725" s="226" t="s">
        <v>7826</v>
      </c>
      <c r="B1725" s="226">
        <v>20250226</v>
      </c>
      <c r="C1725" s="227">
        <v>7.25</v>
      </c>
      <c r="D1725" s="226" t="s">
        <v>8040</v>
      </c>
      <c r="E1725" s="260" t="s">
        <v>1604</v>
      </c>
      <c r="F1725" s="226" t="s">
        <v>3767</v>
      </c>
      <c r="G1725" s="245" t="s">
        <v>3799</v>
      </c>
      <c r="H1725" s="227" t="s">
        <v>1913</v>
      </c>
      <c r="I1725" s="245"/>
      <c r="J1725" s="227">
        <v>26</v>
      </c>
      <c r="K1725" s="245"/>
      <c r="L1725" s="245"/>
      <c r="M1725" s="245"/>
      <c r="N1725" s="668">
        <v>4.70891974366799</v>
      </c>
      <c r="O1725" s="674">
        <v>9.65352420364004</v>
      </c>
      <c r="P1725" s="227"/>
      <c r="Q1725" s="231">
        <v>3</v>
      </c>
      <c r="R1725" s="232">
        <v>43.362443947308</v>
      </c>
      <c r="S1725" s="226" t="s">
        <v>1526</v>
      </c>
      <c r="T1725" s="228" t="s">
        <v>7828</v>
      </c>
    </row>
    <row r="1728" spans="1:20">
      <c r="A1728" s="195" t="s">
        <v>8039</v>
      </c>
      <c r="B1728" s="195"/>
      <c r="C1728" s="195"/>
      <c r="D1728" s="195"/>
      <c r="E1728" s="196"/>
      <c r="F1728" s="196"/>
      <c r="G1728" s="197"/>
      <c r="H1728" s="198"/>
      <c r="I1728" s="198"/>
      <c r="J1728" s="199"/>
      <c r="K1728" s="200"/>
      <c r="L1728" s="296"/>
      <c r="M1728" s="200"/>
      <c r="N1728" s="201"/>
      <c r="O1728" s="201"/>
      <c r="P1728" s="197"/>
      <c r="Q1728" s="202"/>
      <c r="R1728" s="202"/>
      <c r="S1728" s="203"/>
      <c r="T1728" s="80"/>
    </row>
    <row r="1729" spans="1:20">
      <c r="A1729" s="50" t="s">
        <v>1</v>
      </c>
      <c r="B1729" s="265" t="s">
        <v>2</v>
      </c>
      <c r="C1729" s="265" t="s">
        <v>1493</v>
      </c>
      <c r="D1729" s="265" t="s">
        <v>4</v>
      </c>
      <c r="E1729" s="75" t="s">
        <v>5</v>
      </c>
      <c r="F1729" s="75" t="s">
        <v>1933</v>
      </c>
      <c r="G1729" s="75" t="s">
        <v>4102</v>
      </c>
      <c r="H1729" s="75" t="s">
        <v>4541</v>
      </c>
      <c r="I1729" s="75" t="s">
        <v>1497</v>
      </c>
      <c r="J1729" s="75" t="s">
        <v>4102</v>
      </c>
      <c r="K1729" s="75" t="s">
        <v>4103</v>
      </c>
      <c r="L1729" s="75" t="s">
        <v>4104</v>
      </c>
      <c r="M1729" s="75" t="s">
        <v>1497</v>
      </c>
      <c r="N1729" s="75" t="s">
        <v>6</v>
      </c>
      <c r="O1729" s="75" t="s">
        <v>7</v>
      </c>
      <c r="P1729" s="75" t="s">
        <v>5211</v>
      </c>
      <c r="Q1729" s="75" t="s">
        <v>8</v>
      </c>
      <c r="R1729" s="75" t="s">
        <v>9</v>
      </c>
      <c r="S1729" s="75" t="s">
        <v>4105</v>
      </c>
      <c r="T1729" s="75" t="s">
        <v>10</v>
      </c>
    </row>
    <row r="1730" spans="1:20">
      <c r="A1730" s="226" t="s">
        <v>7407</v>
      </c>
      <c r="B1730" s="226">
        <v>20250321</v>
      </c>
      <c r="C1730" s="227">
        <v>7.25</v>
      </c>
      <c r="D1730" s="226" t="s">
        <v>8041</v>
      </c>
      <c r="E1730" s="260" t="s">
        <v>8042</v>
      </c>
      <c r="F1730" s="226" t="s">
        <v>2801</v>
      </c>
      <c r="G1730" s="245" t="s">
        <v>2392</v>
      </c>
      <c r="H1730" s="227" t="s">
        <v>1913</v>
      </c>
      <c r="I1730" s="245"/>
      <c r="J1730" s="227">
        <v>85</v>
      </c>
      <c r="K1730" s="245"/>
      <c r="L1730" s="245"/>
      <c r="M1730" s="245"/>
      <c r="N1730" s="668">
        <v>3.82102521031356</v>
      </c>
      <c r="O1730" s="674">
        <v>12.6442864648764</v>
      </c>
      <c r="P1730" s="227"/>
      <c r="Q1730" s="231">
        <v>2.88823119777159</v>
      </c>
      <c r="R1730" s="232">
        <f>SUM(J1730:Q1730)+1</f>
        <v>105.353542872962</v>
      </c>
      <c r="S1730" s="226" t="s">
        <v>1526</v>
      </c>
      <c r="T1730" s="228" t="s">
        <v>8043</v>
      </c>
    </row>
    <row r="1731" spans="1:20">
      <c r="A1731" s="226"/>
      <c r="B1731" s="226">
        <v>20241105</v>
      </c>
      <c r="C1731" s="227">
        <v>7.11</v>
      </c>
      <c r="D1731" s="226" t="s">
        <v>789</v>
      </c>
      <c r="E1731" s="260" t="s">
        <v>7449</v>
      </c>
      <c r="F1731" s="226"/>
      <c r="G1731" s="245"/>
      <c r="H1731" s="227"/>
      <c r="I1731" s="245"/>
      <c r="J1731" s="227"/>
      <c r="K1731" s="245"/>
      <c r="L1731" s="245"/>
      <c r="M1731" s="245"/>
      <c r="N1731" s="668">
        <v>0.429788369471515</v>
      </c>
      <c r="O1731" s="674">
        <v>1.14164957400276</v>
      </c>
      <c r="P1731" s="227"/>
      <c r="Q1731" s="231">
        <v>0.2</v>
      </c>
      <c r="R1731" s="232">
        <f>SUM(J1731:Q1731)</f>
        <v>1.77143794347427</v>
      </c>
      <c r="S1731" s="226"/>
      <c r="T1731" s="228"/>
    </row>
    <row r="1735" spans="1:20">
      <c r="A1735" s="195" t="s">
        <v>8039</v>
      </c>
      <c r="B1735" s="195"/>
      <c r="C1735" s="195"/>
      <c r="D1735" s="195"/>
      <c r="E1735" s="196"/>
      <c r="F1735" s="196"/>
      <c r="G1735" s="197"/>
      <c r="H1735" s="198"/>
      <c r="I1735" s="198"/>
      <c r="J1735" s="199"/>
      <c r="K1735" s="200"/>
      <c r="L1735" s="296"/>
      <c r="M1735" s="200"/>
      <c r="N1735" s="201"/>
      <c r="O1735" s="201"/>
      <c r="P1735" s="197"/>
      <c r="Q1735" s="202"/>
      <c r="R1735" s="202"/>
      <c r="S1735" s="203"/>
      <c r="T1735" s="80"/>
    </row>
    <row r="1736" spans="1:20">
      <c r="A1736" s="50" t="s">
        <v>1</v>
      </c>
      <c r="B1736" s="265" t="s">
        <v>2</v>
      </c>
      <c r="C1736" s="265" t="s">
        <v>1493</v>
      </c>
      <c r="D1736" s="265" t="s">
        <v>4</v>
      </c>
      <c r="E1736" s="75" t="s">
        <v>5</v>
      </c>
      <c r="F1736" s="75" t="s">
        <v>1933</v>
      </c>
      <c r="G1736" s="75" t="s">
        <v>4102</v>
      </c>
      <c r="H1736" s="75" t="s">
        <v>4541</v>
      </c>
      <c r="I1736" s="75" t="s">
        <v>1497</v>
      </c>
      <c r="J1736" s="75" t="s">
        <v>4102</v>
      </c>
      <c r="K1736" s="75" t="s">
        <v>4103</v>
      </c>
      <c r="L1736" s="75" t="s">
        <v>4104</v>
      </c>
      <c r="M1736" s="75" t="s">
        <v>1497</v>
      </c>
      <c r="N1736" s="75" t="s">
        <v>6</v>
      </c>
      <c r="O1736" s="75" t="s">
        <v>7</v>
      </c>
      <c r="P1736" s="75" t="s">
        <v>5211</v>
      </c>
      <c r="Q1736" s="75" t="s">
        <v>8</v>
      </c>
      <c r="R1736" s="75" t="s">
        <v>9</v>
      </c>
      <c r="S1736" s="75" t="s">
        <v>4105</v>
      </c>
      <c r="T1736" s="75" t="s">
        <v>10</v>
      </c>
    </row>
    <row r="1737" spans="1:20">
      <c r="A1737" s="226" t="s">
        <v>7502</v>
      </c>
      <c r="B1737" s="226">
        <v>20250403</v>
      </c>
      <c r="C1737" s="227">
        <v>7.25</v>
      </c>
      <c r="D1737" s="226" t="s">
        <v>2443</v>
      </c>
      <c r="E1737" s="260" t="s">
        <v>1581</v>
      </c>
      <c r="F1737" s="226" t="s">
        <v>2801</v>
      </c>
      <c r="G1737" s="245" t="s">
        <v>2444</v>
      </c>
      <c r="H1737" s="227" t="s">
        <v>1913</v>
      </c>
      <c r="I1737" s="245" t="s">
        <v>1428</v>
      </c>
      <c r="J1737" s="227" t="s">
        <v>1428</v>
      </c>
      <c r="K1737" s="245" t="s">
        <v>1428</v>
      </c>
      <c r="L1737" s="245" t="s">
        <v>1428</v>
      </c>
      <c r="M1737" s="245" t="s">
        <v>1428</v>
      </c>
      <c r="N1737" s="668">
        <v>5.09</v>
      </c>
      <c r="O1737" s="674">
        <v>14.6030550319042</v>
      </c>
      <c r="P1737" s="227"/>
      <c r="Q1737" s="231">
        <v>3.1205</v>
      </c>
      <c r="R1737" s="232">
        <f>SUM(J1737:Q1737)</f>
        <v>22.8135550319042</v>
      </c>
      <c r="S1737" s="226" t="s">
        <v>1526</v>
      </c>
      <c r="T1737" s="228" t="s">
        <v>8044</v>
      </c>
    </row>
    <row r="1738" spans="1:20">
      <c r="A1738" s="226"/>
      <c r="B1738" s="226">
        <v>20241118</v>
      </c>
      <c r="C1738" s="227">
        <v>7.2</v>
      </c>
      <c r="D1738" s="226" t="s">
        <v>737</v>
      </c>
      <c r="E1738" s="260" t="s">
        <v>738</v>
      </c>
      <c r="F1738" s="226"/>
      <c r="G1738" s="245"/>
      <c r="H1738" s="227"/>
      <c r="I1738" s="245"/>
      <c r="J1738" s="227"/>
      <c r="K1738" s="245"/>
      <c r="L1738" s="245"/>
      <c r="M1738" s="245"/>
      <c r="N1738" s="668">
        <v>0.357678151972031</v>
      </c>
      <c r="O1738" s="674">
        <v>1.53035262559611</v>
      </c>
      <c r="P1738" s="227" t="s">
        <v>1428</v>
      </c>
      <c r="Q1738" s="231">
        <v>0.2</v>
      </c>
      <c r="R1738" s="232">
        <f>SUM(J1738:Q1738)</f>
        <v>2.08803077756814</v>
      </c>
      <c r="S1738" s="226"/>
      <c r="T1738" s="228"/>
    </row>
    <row r="1741" s="182" customFormat="1" ht="32" customHeight="1" spans="1:20">
      <c r="A1741" s="335" t="s">
        <v>8045</v>
      </c>
      <c r="B1741" s="336"/>
      <c r="C1741" s="336"/>
      <c r="D1741" s="336"/>
      <c r="E1741" s="336"/>
      <c r="F1741" s="336"/>
      <c r="G1741" s="336"/>
      <c r="H1741" s="336"/>
      <c r="I1741" s="336"/>
      <c r="J1741" s="336"/>
      <c r="K1741" s="336"/>
      <c r="L1741" s="336"/>
      <c r="M1741" s="336"/>
      <c r="N1741" s="336"/>
      <c r="O1741" s="336"/>
      <c r="P1741" s="336"/>
      <c r="Q1741" s="336"/>
      <c r="R1741" s="336"/>
      <c r="S1741" s="336"/>
      <c r="T1741" s="337"/>
    </row>
    <row r="1742" s="182" customFormat="1" ht="32" customHeight="1" spans="1:20">
      <c r="A1742" s="338" t="s">
        <v>1</v>
      </c>
      <c r="B1742" s="338" t="s">
        <v>2</v>
      </c>
      <c r="C1742" s="338" t="s">
        <v>1493</v>
      </c>
      <c r="D1742" s="338" t="s">
        <v>4</v>
      </c>
      <c r="E1742" s="338" t="s">
        <v>5</v>
      </c>
      <c r="F1742" s="338" t="s">
        <v>1933</v>
      </c>
      <c r="G1742" s="338" t="s">
        <v>4102</v>
      </c>
      <c r="H1742" s="338" t="s">
        <v>4541</v>
      </c>
      <c r="I1742" s="338" t="s">
        <v>1497</v>
      </c>
      <c r="J1742" s="338" t="s">
        <v>4102</v>
      </c>
      <c r="K1742" s="338" t="s">
        <v>4103</v>
      </c>
      <c r="L1742" s="338" t="s">
        <v>4104</v>
      </c>
      <c r="M1742" s="338" t="s">
        <v>1497</v>
      </c>
      <c r="N1742" s="338" t="s">
        <v>6</v>
      </c>
      <c r="O1742" s="338" t="s">
        <v>7</v>
      </c>
      <c r="P1742" s="338" t="s">
        <v>5211</v>
      </c>
      <c r="Q1742" s="338" t="s">
        <v>8</v>
      </c>
      <c r="R1742" s="338" t="s">
        <v>9</v>
      </c>
      <c r="S1742" s="338" t="s">
        <v>4105</v>
      </c>
      <c r="T1742" s="338" t="s">
        <v>10</v>
      </c>
    </row>
    <row r="1743" s="182" customFormat="1" ht="50" customHeight="1" spans="1:20">
      <c r="A1743" s="339" t="s">
        <v>7599</v>
      </c>
      <c r="B1743" s="340"/>
      <c r="C1743" s="340"/>
      <c r="D1743" s="340"/>
      <c r="E1743" s="341" t="s">
        <v>7600</v>
      </c>
      <c r="F1743" s="342" t="s">
        <v>4021</v>
      </c>
      <c r="G1743" s="343" t="s">
        <v>6159</v>
      </c>
      <c r="H1743" s="343" t="s">
        <v>3711</v>
      </c>
      <c r="I1743" s="343" t="s">
        <v>7601</v>
      </c>
      <c r="J1743" s="344">
        <v>16</v>
      </c>
      <c r="K1743" s="678">
        <v>4</v>
      </c>
      <c r="L1743" s="343">
        <v>7</v>
      </c>
      <c r="M1743" s="343">
        <v>1</v>
      </c>
      <c r="N1743" s="343">
        <v>2.40966854610856</v>
      </c>
      <c r="O1743" s="343">
        <v>6.52971111274336</v>
      </c>
      <c r="P1743" s="231" t="s">
        <v>1428</v>
      </c>
      <c r="Q1743" s="343">
        <v>2.43</v>
      </c>
      <c r="R1743" s="345">
        <f>SUM(J1743:Q1743)</f>
        <v>39.3693796588519</v>
      </c>
      <c r="S1743" s="346" t="s">
        <v>7602</v>
      </c>
      <c r="T1743" s="347" t="s">
        <v>8046</v>
      </c>
    </row>
    <row r="1744" s="182" customFormat="1" ht="50" customHeight="1" spans="1:20">
      <c r="A1744" s="348"/>
      <c r="B1744" s="349"/>
      <c r="C1744" s="349"/>
      <c r="D1744" s="349"/>
      <c r="E1744" s="350" t="s">
        <v>7604</v>
      </c>
      <c r="F1744" s="351" t="s">
        <v>4021</v>
      </c>
      <c r="G1744" s="351" t="s">
        <v>6159</v>
      </c>
      <c r="H1744" s="351" t="s">
        <v>3624</v>
      </c>
      <c r="I1744" s="351" t="s">
        <v>7601</v>
      </c>
      <c r="J1744" s="352">
        <v>16</v>
      </c>
      <c r="K1744" s="351">
        <v>5.77</v>
      </c>
      <c r="L1744" s="351" t="s">
        <v>1428</v>
      </c>
      <c r="M1744" s="351">
        <v>1</v>
      </c>
      <c r="N1744" s="351">
        <v>2.40966854610856</v>
      </c>
      <c r="O1744" s="351">
        <v>6.02616017517394</v>
      </c>
      <c r="P1744" s="353" t="s">
        <v>1428</v>
      </c>
      <c r="Q1744" s="351">
        <v>2.43</v>
      </c>
      <c r="R1744" s="354">
        <f>SUM(J1744:Q1744)</f>
        <v>33.6358287212825</v>
      </c>
      <c r="S1744" s="349" t="s">
        <v>7605</v>
      </c>
      <c r="T1744" s="355" t="s">
        <v>8047</v>
      </c>
    </row>
    <row r="1745" s="182" customFormat="1" ht="50" customHeight="1" spans="1:20">
      <c r="A1745" s="679" t="s">
        <v>4019</v>
      </c>
      <c r="B1745" s="292">
        <v>20241126</v>
      </c>
      <c r="C1745" s="292">
        <v>7.25</v>
      </c>
      <c r="D1745" s="292" t="s">
        <v>4020</v>
      </c>
      <c r="E1745" s="357" t="s">
        <v>7607</v>
      </c>
      <c r="F1745" s="234" t="s">
        <v>4021</v>
      </c>
      <c r="G1745" s="234" t="s">
        <v>3542</v>
      </c>
      <c r="H1745" s="234" t="s">
        <v>3711</v>
      </c>
      <c r="I1745" s="234" t="s">
        <v>7608</v>
      </c>
      <c r="J1745" s="358">
        <v>30</v>
      </c>
      <c r="K1745" s="680">
        <v>4</v>
      </c>
      <c r="L1745" s="234">
        <v>7</v>
      </c>
      <c r="M1745" s="234">
        <v>1.7</v>
      </c>
      <c r="N1745" s="270">
        <v>2.81465093411996</v>
      </c>
      <c r="O1745" s="270">
        <v>8.01707913865218</v>
      </c>
      <c r="P1745" s="231" t="s">
        <v>1428</v>
      </c>
      <c r="Q1745" s="270">
        <f>23.83/7.25/1.13</f>
        <v>2.90875801037534</v>
      </c>
      <c r="R1745" s="269">
        <f>SUM(J1745:Q1745)</f>
        <v>56.4404880831475</v>
      </c>
      <c r="S1745" s="292" t="s">
        <v>3712</v>
      </c>
      <c r="T1745" s="359" t="s">
        <v>7609</v>
      </c>
    </row>
    <row r="1746" s="182" customFormat="1" ht="50" customHeight="1" spans="1:20">
      <c r="A1746" s="476"/>
      <c r="B1746" s="226">
        <v>20241126</v>
      </c>
      <c r="C1746" s="226">
        <v>7.25</v>
      </c>
      <c r="D1746" s="226" t="s">
        <v>4024</v>
      </c>
      <c r="E1746" s="228" t="s">
        <v>7610</v>
      </c>
      <c r="F1746" s="227" t="s">
        <v>4021</v>
      </c>
      <c r="G1746" s="227" t="s">
        <v>3457</v>
      </c>
      <c r="H1746" s="227" t="s">
        <v>3624</v>
      </c>
      <c r="I1746" s="227" t="s">
        <v>7611</v>
      </c>
      <c r="J1746" s="252">
        <v>32</v>
      </c>
      <c r="K1746" s="247">
        <v>7.5</v>
      </c>
      <c r="L1746" s="227" t="s">
        <v>1428</v>
      </c>
      <c r="M1746" s="227">
        <v>2.2</v>
      </c>
      <c r="N1746" s="231">
        <v>2.81465093411996</v>
      </c>
      <c r="O1746" s="231">
        <v>8.01693207731559</v>
      </c>
      <c r="P1746" s="231" t="s">
        <v>1428</v>
      </c>
      <c r="Q1746" s="231">
        <f>23.83/7.25/1.13</f>
        <v>2.90875801037534</v>
      </c>
      <c r="R1746" s="269">
        <f>SUM(J1746:Q1746)</f>
        <v>55.4403410218109</v>
      </c>
      <c r="S1746" s="226" t="s">
        <v>7612</v>
      </c>
      <c r="T1746" s="361" t="s">
        <v>7613</v>
      </c>
    </row>
    <row r="1747" s="182" customFormat="1" ht="50" customHeight="1" spans="1:20">
      <c r="A1747" s="362" t="s">
        <v>7614</v>
      </c>
      <c r="B1747" s="363">
        <v>20241129</v>
      </c>
      <c r="C1747" s="353">
        <v>7.25</v>
      </c>
      <c r="D1747" s="363" t="s">
        <v>1133</v>
      </c>
      <c r="E1747" s="364" t="s">
        <v>7004</v>
      </c>
      <c r="F1747" s="365"/>
      <c r="G1747" s="366"/>
      <c r="H1747" s="353"/>
      <c r="I1747" s="353"/>
      <c r="J1747" s="353"/>
      <c r="K1747" s="353"/>
      <c r="L1747" s="353"/>
      <c r="M1747" s="353"/>
      <c r="N1747" s="367">
        <v>0.250228867866951</v>
      </c>
      <c r="O1747" s="368">
        <v>0.523959382606042</v>
      </c>
      <c r="P1747" s="353" t="s">
        <v>1428</v>
      </c>
      <c r="Q1747" s="369">
        <v>0.2</v>
      </c>
      <c r="R1747" s="368">
        <f>SUM(J1747:Q1747)</f>
        <v>0.974188250472993</v>
      </c>
      <c r="S1747" s="370"/>
      <c r="T1747" s="371" t="s">
        <v>484</v>
      </c>
    </row>
    <row r="1748" spans="1:20">
      <c r="A1748" s="681"/>
      <c r="B1748" s="681"/>
      <c r="C1748" s="681"/>
      <c r="D1748" s="681"/>
      <c r="E1748" s="681"/>
      <c r="F1748" s="681"/>
      <c r="G1748" s="681"/>
      <c r="H1748" s="681"/>
      <c r="I1748" s="681"/>
      <c r="J1748" s="681"/>
      <c r="K1748" s="681"/>
      <c r="L1748" s="681"/>
      <c r="M1748" s="681"/>
      <c r="N1748" s="681"/>
      <c r="O1748" s="681"/>
    </row>
    <row r="1749" spans="1:20">
      <c r="A1749" s="681"/>
      <c r="B1749" s="681"/>
      <c r="C1749" s="681"/>
      <c r="D1749" s="681"/>
      <c r="E1749" s="681"/>
      <c r="F1749" s="681"/>
      <c r="G1749" s="681"/>
      <c r="H1749" s="681"/>
      <c r="I1749" s="681"/>
      <c r="J1749" s="681"/>
      <c r="K1749" s="681"/>
      <c r="L1749" s="681"/>
      <c r="M1749" s="681"/>
      <c r="N1749" s="681"/>
      <c r="O1749" s="681"/>
    </row>
    <row r="1750" spans="1:20">
      <c r="A1750" s="681"/>
      <c r="B1750" s="681"/>
      <c r="C1750" s="681"/>
      <c r="D1750" s="681"/>
      <c r="E1750" s="681"/>
      <c r="F1750" s="681"/>
      <c r="G1750" s="681"/>
      <c r="H1750" s="681"/>
      <c r="I1750" s="681"/>
      <c r="J1750" s="681"/>
      <c r="K1750" s="681"/>
      <c r="L1750" s="681"/>
      <c r="M1750" s="681"/>
      <c r="N1750" s="681"/>
      <c r="O1750" s="681"/>
    </row>
    <row r="1751" spans="1:20">
      <c r="A1751" s="681"/>
      <c r="B1751" s="681"/>
      <c r="C1751" s="681"/>
      <c r="D1751" s="681"/>
      <c r="E1751" s="681"/>
      <c r="F1751" s="681"/>
      <c r="G1751" s="681"/>
      <c r="H1751" s="681"/>
      <c r="I1751" s="681"/>
      <c r="J1751" s="681"/>
      <c r="K1751" s="681"/>
      <c r="L1751" s="681"/>
      <c r="M1751" s="681"/>
      <c r="N1751" s="681"/>
      <c r="O1751" s="681"/>
    </row>
    <row r="1752" s="182" customFormat="1" ht="32" customHeight="1" spans="1:20">
      <c r="A1752" s="335" t="s">
        <v>8045</v>
      </c>
      <c r="B1752" s="336"/>
      <c r="C1752" s="336"/>
      <c r="D1752" s="336"/>
      <c r="E1752" s="336"/>
      <c r="F1752" s="336"/>
      <c r="G1752" s="336"/>
      <c r="H1752" s="336"/>
      <c r="I1752" s="336"/>
      <c r="J1752" s="336"/>
      <c r="K1752" s="336"/>
      <c r="L1752" s="336"/>
      <c r="M1752" s="336"/>
      <c r="N1752" s="336"/>
      <c r="O1752" s="336"/>
      <c r="P1752" s="336"/>
      <c r="Q1752" s="336"/>
      <c r="R1752" s="336"/>
      <c r="S1752" s="336"/>
      <c r="T1752" s="337"/>
    </row>
    <row r="1753" s="182" customFormat="1" ht="32" customHeight="1" spans="1:20">
      <c r="A1753" s="75" t="s">
        <v>1</v>
      </c>
      <c r="B1753" s="75" t="s">
        <v>2</v>
      </c>
      <c r="C1753" s="75" t="s">
        <v>1493</v>
      </c>
      <c r="D1753" s="75" t="s">
        <v>4</v>
      </c>
      <c r="E1753" s="75" t="s">
        <v>5</v>
      </c>
      <c r="F1753" s="75" t="s">
        <v>1933</v>
      </c>
      <c r="G1753" s="75" t="s">
        <v>4102</v>
      </c>
      <c r="H1753" s="75" t="s">
        <v>4541</v>
      </c>
      <c r="I1753" s="75" t="s">
        <v>1497</v>
      </c>
      <c r="J1753" s="75" t="s">
        <v>4102</v>
      </c>
      <c r="K1753" s="75" t="s">
        <v>4103</v>
      </c>
      <c r="L1753" s="75" t="s">
        <v>4104</v>
      </c>
      <c r="M1753" s="75" t="s">
        <v>1497</v>
      </c>
      <c r="N1753" s="75" t="s">
        <v>6</v>
      </c>
      <c r="O1753" s="75" t="s">
        <v>7</v>
      </c>
      <c r="P1753" s="75" t="s">
        <v>5211</v>
      </c>
      <c r="Q1753" s="75" t="s">
        <v>8</v>
      </c>
      <c r="R1753" s="75" t="s">
        <v>9</v>
      </c>
      <c r="S1753" s="75" t="s">
        <v>4105</v>
      </c>
      <c r="T1753" s="75" t="s">
        <v>10</v>
      </c>
    </row>
    <row r="1754" s="182" customFormat="1" ht="50" customHeight="1" spans="1:20">
      <c r="A1754" s="682" t="s">
        <v>4674</v>
      </c>
      <c r="B1754" s="209">
        <v>20250403</v>
      </c>
      <c r="C1754" s="212">
        <v>7.25</v>
      </c>
      <c r="D1754" s="209" t="s">
        <v>4676</v>
      </c>
      <c r="E1754" s="209" t="s">
        <v>1629</v>
      </c>
      <c r="F1754" s="212" t="s">
        <v>3540</v>
      </c>
      <c r="G1754" s="212" t="s">
        <v>3799</v>
      </c>
      <c r="H1754" s="212" t="s">
        <v>4677</v>
      </c>
      <c r="I1754" s="212" t="s">
        <v>4670</v>
      </c>
      <c r="J1754" s="212">
        <v>26</v>
      </c>
      <c r="K1754" s="212">
        <v>4</v>
      </c>
      <c r="L1754" s="212">
        <v>3.6</v>
      </c>
      <c r="M1754" s="212">
        <v>1.3</v>
      </c>
      <c r="N1754" s="343">
        <v>2.40966854610856</v>
      </c>
      <c r="O1754" s="683">
        <v>7.2339460842318</v>
      </c>
      <c r="P1754" s="212" t="s">
        <v>1428</v>
      </c>
      <c r="Q1754" s="264">
        <v>3</v>
      </c>
      <c r="R1754" s="213">
        <f>SUM(J1754:Q1754)</f>
        <v>47.5436146303404</v>
      </c>
      <c r="S1754" s="215" t="s">
        <v>8048</v>
      </c>
      <c r="T1754" s="210" t="s">
        <v>8049</v>
      </c>
    </row>
    <row r="1764" spans="1:21">
      <c r="A1764" s="195" t="s">
        <v>8039</v>
      </c>
      <c r="B1764" s="195"/>
      <c r="C1764" s="195"/>
      <c r="D1764" s="195"/>
      <c r="E1764" s="196"/>
      <c r="F1764" s="196"/>
      <c r="G1764" s="197"/>
      <c r="H1764" s="198"/>
      <c r="I1764" s="198"/>
      <c r="J1764" s="199"/>
      <c r="K1764" s="296"/>
      <c r="L1764" s="296"/>
      <c r="M1764" s="200"/>
      <c r="N1764" s="297"/>
      <c r="O1764" s="201"/>
      <c r="P1764" s="197"/>
      <c r="Q1764" s="202"/>
      <c r="R1764" s="202"/>
      <c r="S1764" s="203"/>
    </row>
    <row r="1765" spans="1:21">
      <c r="A1765" s="224" t="s">
        <v>1</v>
      </c>
      <c r="B1765" s="224"/>
      <c r="C1765" s="224"/>
      <c r="D1765" s="224"/>
      <c r="E1765" s="75" t="s">
        <v>5</v>
      </c>
      <c r="F1765" s="75" t="s">
        <v>1933</v>
      </c>
      <c r="G1765" s="75" t="s">
        <v>4102</v>
      </c>
      <c r="H1765" s="75" t="s">
        <v>4541</v>
      </c>
      <c r="I1765" s="75" t="s">
        <v>1497</v>
      </c>
      <c r="J1765" s="75" t="s">
        <v>4102</v>
      </c>
      <c r="K1765" s="75" t="s">
        <v>4103</v>
      </c>
      <c r="L1765" s="75" t="s">
        <v>4104</v>
      </c>
      <c r="M1765" s="75" t="s">
        <v>1497</v>
      </c>
      <c r="N1765" s="75" t="s">
        <v>6</v>
      </c>
      <c r="O1765" s="75" t="s">
        <v>7</v>
      </c>
      <c r="P1765" s="75" t="s">
        <v>5211</v>
      </c>
      <c r="Q1765" s="75" t="s">
        <v>8</v>
      </c>
      <c r="R1765" s="75" t="s">
        <v>9</v>
      </c>
      <c r="S1765" s="75" t="s">
        <v>4105</v>
      </c>
      <c r="T1765" s="75" t="s">
        <v>10</v>
      </c>
    </row>
    <row r="1766" hidden="1" spans="1:21">
      <c r="A1766" s="226" t="s">
        <v>537</v>
      </c>
      <c r="B1766" s="226">
        <v>20240930</v>
      </c>
      <c r="C1766" s="226">
        <v>7.25</v>
      </c>
      <c r="D1766" s="226" t="s">
        <v>591</v>
      </c>
      <c r="E1766" s="254" t="s">
        <v>592</v>
      </c>
      <c r="F1766" s="226"/>
      <c r="G1766" s="227"/>
      <c r="H1766" s="227"/>
      <c r="I1766" s="227"/>
      <c r="J1766" s="256"/>
      <c r="K1766" s="256"/>
      <c r="L1766" s="256"/>
      <c r="M1766" s="256"/>
      <c r="N1766" s="232">
        <v>0.387090350123844</v>
      </c>
      <c r="O1766" s="232">
        <v>2.13504265319987</v>
      </c>
      <c r="P1766" s="227" t="s">
        <v>1428</v>
      </c>
      <c r="Q1766" s="231">
        <v>0.4</v>
      </c>
      <c r="R1766" s="231">
        <v>2.92213300332371</v>
      </c>
      <c r="S1766" s="233"/>
    </row>
    <row r="1767" spans="1:21">
      <c r="A1767" s="226" t="s">
        <v>7715</v>
      </c>
      <c r="B1767" s="266">
        <v>20250208</v>
      </c>
      <c r="C1767" s="266">
        <v>7.3</v>
      </c>
      <c r="D1767" s="266" t="s">
        <v>8050</v>
      </c>
      <c r="E1767" s="321" t="s">
        <v>1998</v>
      </c>
      <c r="F1767" s="243" t="s">
        <v>4284</v>
      </c>
      <c r="G1767" s="227" t="s">
        <v>2365</v>
      </c>
      <c r="H1767" s="245" t="s">
        <v>1913</v>
      </c>
      <c r="I1767" s="245" t="s">
        <v>1428</v>
      </c>
      <c r="J1767" s="227" t="s">
        <v>1428</v>
      </c>
      <c r="K1767" s="245" t="s">
        <v>1428</v>
      </c>
      <c r="L1767" s="245" t="s">
        <v>1428</v>
      </c>
      <c r="M1767" s="245" t="s">
        <v>1428</v>
      </c>
      <c r="N1767" s="231">
        <v>3.69313224479621</v>
      </c>
      <c r="O1767" s="231">
        <v>11.5253764753303</v>
      </c>
      <c r="P1767" s="245" t="s">
        <v>1428</v>
      </c>
      <c r="Q1767" s="231">
        <v>2.93706293706294</v>
      </c>
      <c r="R1767" s="231">
        <v>18.1555716571894</v>
      </c>
      <c r="S1767" s="243" t="s">
        <v>1526</v>
      </c>
      <c r="T1767" s="226" t="s">
        <v>8051</v>
      </c>
    </row>
    <row r="1768" spans="1:21">
      <c r="U1768" s="182">
        <f>28.314/7.25/1.13</f>
        <v>3.45608788526091</v>
      </c>
    </row>
    <row r="1769" spans="1:21">
      <c r="A1769" s="195" t="s">
        <v>8039</v>
      </c>
      <c r="B1769" s="195"/>
      <c r="C1769" s="195"/>
      <c r="D1769" s="195"/>
      <c r="E1769" s="196"/>
      <c r="F1769" s="196"/>
      <c r="G1769" s="197"/>
      <c r="H1769" s="198"/>
      <c r="I1769" s="198"/>
      <c r="J1769" s="199"/>
      <c r="K1769" s="296"/>
      <c r="L1769" s="296"/>
      <c r="M1769" s="200"/>
      <c r="N1769" s="297"/>
      <c r="O1769" s="201"/>
      <c r="P1769" s="197"/>
      <c r="Q1769" s="202"/>
      <c r="R1769" s="202"/>
      <c r="S1769" s="203"/>
    </row>
    <row r="1770" spans="1:21">
      <c r="A1770" s="224" t="s">
        <v>1</v>
      </c>
      <c r="B1770" s="224"/>
      <c r="C1770" s="224"/>
      <c r="D1770" s="224"/>
      <c r="E1770" s="75" t="s">
        <v>5</v>
      </c>
      <c r="F1770" s="75" t="s">
        <v>1933</v>
      </c>
      <c r="G1770" s="75" t="s">
        <v>4102</v>
      </c>
      <c r="H1770" s="75" t="s">
        <v>4541</v>
      </c>
      <c r="I1770" s="75" t="s">
        <v>1497</v>
      </c>
      <c r="J1770" s="75" t="s">
        <v>4102</v>
      </c>
      <c r="K1770" s="75" t="s">
        <v>4103</v>
      </c>
      <c r="L1770" s="75" t="s">
        <v>4104</v>
      </c>
      <c r="M1770" s="75" t="s">
        <v>1497</v>
      </c>
      <c r="N1770" s="75" t="s">
        <v>6</v>
      </c>
      <c r="O1770" s="75" t="s">
        <v>7</v>
      </c>
      <c r="P1770" s="75" t="s">
        <v>5211</v>
      </c>
      <c r="Q1770" s="75" t="s">
        <v>8</v>
      </c>
      <c r="R1770" s="75" t="s">
        <v>9</v>
      </c>
      <c r="S1770" s="75" t="s">
        <v>4105</v>
      </c>
      <c r="T1770" s="75" t="s">
        <v>10</v>
      </c>
    </row>
    <row r="1771" spans="1:21">
      <c r="A1771" s="226" t="s">
        <v>537</v>
      </c>
      <c r="B1771" s="226">
        <v>20240930</v>
      </c>
      <c r="C1771" s="226">
        <v>7.25</v>
      </c>
      <c r="D1771" s="226" t="s">
        <v>591</v>
      </c>
      <c r="E1771" s="254" t="s">
        <v>592</v>
      </c>
      <c r="F1771" s="226"/>
      <c r="G1771" s="227"/>
      <c r="H1771" s="227"/>
      <c r="I1771" s="227"/>
      <c r="J1771" s="256"/>
      <c r="K1771" s="256"/>
      <c r="L1771" s="256"/>
      <c r="M1771" s="256"/>
      <c r="N1771" s="232">
        <v>0.387090350123844</v>
      </c>
      <c r="O1771" s="232">
        <v>2.13504265319987</v>
      </c>
      <c r="P1771" s="227" t="s">
        <v>1428</v>
      </c>
      <c r="Q1771" s="231">
        <v>0.4</v>
      </c>
      <c r="R1771" s="231">
        <v>2.92213300332371</v>
      </c>
      <c r="S1771" s="233"/>
    </row>
    <row r="1772" spans="1:21">
      <c r="A1772" s="226" t="s">
        <v>7715</v>
      </c>
      <c r="B1772" s="266">
        <v>20250208</v>
      </c>
      <c r="C1772" s="266">
        <v>7.3</v>
      </c>
      <c r="D1772" s="266" t="s">
        <v>8050</v>
      </c>
      <c r="E1772" s="321" t="s">
        <v>1998</v>
      </c>
      <c r="F1772" s="243" t="s">
        <v>4284</v>
      </c>
      <c r="G1772" s="227" t="s">
        <v>2365</v>
      </c>
      <c r="H1772" s="245" t="s">
        <v>1913</v>
      </c>
      <c r="I1772" s="245" t="s">
        <v>1428</v>
      </c>
      <c r="J1772" s="227" t="s">
        <v>1428</v>
      </c>
      <c r="K1772" s="245" t="s">
        <v>1428</v>
      </c>
      <c r="L1772" s="245" t="s">
        <v>1428</v>
      </c>
      <c r="M1772" s="245" t="s">
        <v>1428</v>
      </c>
      <c r="N1772" s="257">
        <v>3.45608788526091</v>
      </c>
      <c r="O1772" s="231">
        <v>11.5253764753303</v>
      </c>
      <c r="P1772" s="245" t="s">
        <v>1428</v>
      </c>
      <c r="Q1772" s="257">
        <f>23.73/7.25/1.13</f>
        <v>2.89655172413793</v>
      </c>
      <c r="R1772" s="231">
        <v>18.1555716571894</v>
      </c>
      <c r="S1772" s="243" t="s">
        <v>1526</v>
      </c>
      <c r="T1772" s="226" t="s">
        <v>8051</v>
      </c>
    </row>
    <row r="1774" spans="1:21">
      <c r="P1774" s="594" t="s">
        <v>7715</v>
      </c>
      <c r="Q1774" s="595" t="s">
        <v>7862</v>
      </c>
    </row>
    <row r="1775" spans="1:21">
      <c r="P1775" s="594" t="s">
        <v>7822</v>
      </c>
      <c r="Q1775" s="590">
        <f>Q1767+N1767</f>
        <v>6.63019518185915</v>
      </c>
    </row>
    <row r="1776" spans="1:21">
      <c r="P1776" s="594" t="s">
        <v>7823</v>
      </c>
      <c r="Q1776" s="590">
        <f>N1772+Q1772</f>
        <v>6.35263960939884</v>
      </c>
    </row>
    <row r="1777" spans="1:20">
      <c r="P1777" s="594" t="s">
        <v>7863</v>
      </c>
      <c r="Q1777" s="634">
        <f>Q1775-Q1776</f>
        <v>0.27755557246031</v>
      </c>
    </row>
    <row r="1780" spans="1:20">
      <c r="A1780" s="195" t="s">
        <v>8052</v>
      </c>
      <c r="B1780" s="195"/>
      <c r="C1780" s="195"/>
      <c r="D1780" s="195"/>
      <c r="E1780" s="196"/>
      <c r="F1780" s="196"/>
      <c r="G1780" s="197"/>
      <c r="H1780" s="198"/>
      <c r="I1780" s="198"/>
      <c r="J1780" s="199"/>
      <c r="K1780" s="296"/>
      <c r="L1780" s="296"/>
      <c r="M1780" s="200"/>
      <c r="N1780" s="297"/>
      <c r="O1780" s="201"/>
      <c r="P1780" s="197"/>
      <c r="Q1780" s="202"/>
      <c r="R1780" s="202"/>
      <c r="S1780" s="203"/>
      <c r="T1780" s="333"/>
    </row>
    <row r="1781" ht="24" customHeight="1" spans="1:20">
      <c r="A1781" s="224" t="s">
        <v>1</v>
      </c>
      <c r="B1781" s="224"/>
      <c r="C1781" s="224"/>
      <c r="D1781" s="224"/>
      <c r="E1781" s="75" t="s">
        <v>5</v>
      </c>
      <c r="F1781" s="75" t="s">
        <v>1933</v>
      </c>
      <c r="G1781" s="75" t="s">
        <v>4102</v>
      </c>
      <c r="H1781" s="75" t="s">
        <v>4541</v>
      </c>
      <c r="I1781" s="75" t="s">
        <v>1497</v>
      </c>
      <c r="J1781" s="75" t="s">
        <v>4102</v>
      </c>
      <c r="K1781" s="75" t="s">
        <v>4103</v>
      </c>
      <c r="L1781" s="75" t="s">
        <v>4104</v>
      </c>
      <c r="M1781" s="75" t="s">
        <v>1497</v>
      </c>
      <c r="N1781" s="75" t="s">
        <v>6</v>
      </c>
      <c r="O1781" s="75" t="s">
        <v>7</v>
      </c>
      <c r="P1781" s="75" t="s">
        <v>5211</v>
      </c>
      <c r="Q1781" s="75" t="s">
        <v>8</v>
      </c>
      <c r="R1781" s="75" t="s">
        <v>9</v>
      </c>
      <c r="S1781" s="75" t="s">
        <v>4105</v>
      </c>
      <c r="T1781" s="75" t="s">
        <v>10</v>
      </c>
    </row>
    <row r="1782" hidden="1" spans="1:20">
      <c r="A1782" s="226" t="s">
        <v>8053</v>
      </c>
      <c r="B1782" s="226">
        <v>20250409</v>
      </c>
      <c r="C1782" s="226">
        <v>7.31</v>
      </c>
      <c r="D1782" s="226"/>
      <c r="E1782" s="254" t="s">
        <v>8054</v>
      </c>
      <c r="F1782" s="226" t="s">
        <v>3540</v>
      </c>
      <c r="G1782" s="227" t="s">
        <v>3457</v>
      </c>
      <c r="H1782" s="227" t="s">
        <v>8055</v>
      </c>
      <c r="I1782" s="227"/>
      <c r="J1782" s="256"/>
      <c r="K1782" s="256"/>
      <c r="L1782" s="256" t="s">
        <v>1428</v>
      </c>
      <c r="M1782" s="256"/>
      <c r="N1782" s="232">
        <v>3.59430044913623</v>
      </c>
      <c r="O1782" s="232">
        <v>42.3791811751236</v>
      </c>
      <c r="P1782" s="333"/>
      <c r="Q1782" s="231">
        <v>5</v>
      </c>
      <c r="R1782" s="213">
        <f>SUM(J1782:Q1782)</f>
        <v>50.9734816242598</v>
      </c>
      <c r="S1782" s="233" t="s">
        <v>8056</v>
      </c>
      <c r="T1782" s="333" t="s">
        <v>8057</v>
      </c>
    </row>
    <row r="1783" hidden="1" spans="1:20">
      <c r="A1783" s="226" t="s">
        <v>8053</v>
      </c>
      <c r="B1783" s="226">
        <v>20250409</v>
      </c>
      <c r="C1783" s="226">
        <v>7.31</v>
      </c>
      <c r="D1783" s="226"/>
      <c r="E1783" s="254" t="s">
        <v>8058</v>
      </c>
      <c r="F1783" s="226"/>
      <c r="G1783" s="227"/>
      <c r="H1783" s="227"/>
      <c r="I1783" s="227"/>
      <c r="J1783" s="256"/>
      <c r="K1783" s="256"/>
      <c r="L1783" s="256"/>
      <c r="M1783" s="256"/>
      <c r="N1783" s="232">
        <v>2.3195283464281</v>
      </c>
      <c r="O1783" s="232">
        <v>13.5098717842887</v>
      </c>
      <c r="P1783" s="333"/>
      <c r="Q1783" s="231">
        <v>4</v>
      </c>
      <c r="R1783" s="213">
        <f>SUM(J1783:Q1783)</f>
        <v>19.8294001307168</v>
      </c>
      <c r="S1783" s="233"/>
      <c r="T1783" s="333" t="s">
        <v>8059</v>
      </c>
    </row>
    <row r="1784" ht="10" hidden="1" customHeight="1" spans="1:20">
      <c r="B1784" s="226">
        <v>20250410</v>
      </c>
      <c r="C1784" s="226">
        <v>7.31</v>
      </c>
    </row>
    <row r="1785" hidden="1" spans="1:20">
      <c r="A1785" s="226" t="s">
        <v>8053</v>
      </c>
      <c r="B1785" s="226">
        <v>20250410</v>
      </c>
      <c r="C1785" s="226">
        <v>7.31</v>
      </c>
      <c r="D1785" s="226"/>
      <c r="E1785" s="254" t="s">
        <v>8060</v>
      </c>
      <c r="F1785" s="226"/>
      <c r="G1785" s="227"/>
      <c r="H1785" s="227"/>
      <c r="I1785" s="227"/>
      <c r="J1785" s="256"/>
      <c r="K1785" s="256"/>
      <c r="L1785" s="256"/>
      <c r="M1785" s="256"/>
      <c r="N1785" s="232">
        <v>2.3195283464281</v>
      </c>
      <c r="O1785" s="232">
        <v>1.78594368533831</v>
      </c>
      <c r="P1785" s="333"/>
      <c r="Q1785" s="231">
        <v>4</v>
      </c>
      <c r="R1785" s="213">
        <f>SUM(J1785:Q1785)</f>
        <v>8.10547203176641</v>
      </c>
      <c r="S1785" s="233"/>
      <c r="T1785" s="333"/>
    </row>
    <row r="1786" hidden="1" spans="1:20">
      <c r="A1786" s="226" t="s">
        <v>8053</v>
      </c>
      <c r="B1786" s="226">
        <v>20250410</v>
      </c>
      <c r="C1786" s="226">
        <v>7.31</v>
      </c>
      <c r="D1786" s="226"/>
      <c r="E1786" s="254" t="s">
        <v>8061</v>
      </c>
      <c r="F1786" s="226"/>
      <c r="G1786" s="227"/>
      <c r="H1786" s="227"/>
      <c r="I1786" s="227"/>
      <c r="J1786" s="256"/>
      <c r="K1786" s="256"/>
      <c r="L1786" s="256"/>
      <c r="M1786" s="256"/>
      <c r="N1786" s="232">
        <v>2.3195283464281</v>
      </c>
      <c r="O1786" s="232">
        <v>6.53590666489111</v>
      </c>
      <c r="P1786" s="333"/>
      <c r="Q1786" s="231">
        <v>4</v>
      </c>
      <c r="R1786" s="213">
        <f>SUM(J1786:Q1786)</f>
        <v>12.8554350113192</v>
      </c>
      <c r="S1786" s="233"/>
      <c r="T1786" s="333" t="s">
        <v>8062</v>
      </c>
    </row>
    <row r="1787" hidden="1" spans="1:20">
      <c r="A1787" s="226" t="s">
        <v>8053</v>
      </c>
      <c r="B1787" s="226">
        <v>20250410</v>
      </c>
      <c r="C1787" s="226">
        <v>7.31</v>
      </c>
      <c r="D1787" s="226"/>
      <c r="E1787" s="254" t="s">
        <v>8063</v>
      </c>
      <c r="F1787" s="226" t="s">
        <v>3540</v>
      </c>
      <c r="G1787" s="227" t="s">
        <v>3457</v>
      </c>
      <c r="H1787" s="227" t="s">
        <v>8055</v>
      </c>
      <c r="I1787" s="227"/>
      <c r="J1787" s="256"/>
      <c r="K1787" s="256"/>
      <c r="L1787" s="256"/>
      <c r="M1787" s="256"/>
      <c r="N1787" s="232">
        <v>3.59430044913623</v>
      </c>
      <c r="O1787" s="232">
        <v>46.9772369358103</v>
      </c>
      <c r="P1787" s="333"/>
      <c r="Q1787" s="231">
        <v>5</v>
      </c>
      <c r="R1787" s="213">
        <f>SUM(J1787:Q1787)</f>
        <v>55.5715373849465</v>
      </c>
      <c r="S1787" s="233" t="s">
        <v>8056</v>
      </c>
      <c r="T1787" s="333" t="s">
        <v>8064</v>
      </c>
    </row>
    <row r="1788" hidden="1" spans="1:20">
      <c r="A1788" s="226" t="s">
        <v>8053</v>
      </c>
      <c r="B1788" s="226">
        <v>20250410</v>
      </c>
      <c r="C1788" s="226">
        <v>7.31</v>
      </c>
      <c r="D1788" s="226"/>
      <c r="E1788" s="254" t="s">
        <v>8065</v>
      </c>
      <c r="F1788" s="226"/>
      <c r="G1788" s="227"/>
      <c r="H1788" s="227"/>
      <c r="I1788" s="227"/>
      <c r="J1788" s="256"/>
      <c r="K1788" s="256"/>
      <c r="L1788" s="256"/>
      <c r="M1788" s="256"/>
      <c r="N1788" s="232">
        <v>2.3195283464281</v>
      </c>
      <c r="O1788" s="232">
        <v>6.86359258428871</v>
      </c>
      <c r="P1788" s="333"/>
      <c r="Q1788" s="231">
        <v>4</v>
      </c>
      <c r="R1788" s="213">
        <f>SUM(J1788:Q1788)</f>
        <v>13.1831209307168</v>
      </c>
      <c r="S1788" s="233"/>
      <c r="T1788" s="333" t="s">
        <v>8066</v>
      </c>
    </row>
    <row r="1789" spans="1:20">
      <c r="A1789" s="226" t="s">
        <v>8053</v>
      </c>
      <c r="B1789" s="266">
        <v>20250423</v>
      </c>
      <c r="C1789" s="266">
        <v>7.31</v>
      </c>
      <c r="D1789" s="266"/>
      <c r="E1789" s="254" t="s">
        <v>8067</v>
      </c>
      <c r="F1789" s="226"/>
      <c r="G1789" s="227"/>
      <c r="H1789" s="227"/>
      <c r="I1789" s="227"/>
      <c r="J1789" s="256"/>
      <c r="K1789" s="256"/>
      <c r="L1789" s="256"/>
      <c r="M1789" s="256"/>
      <c r="N1789" s="232">
        <v>2.3195283464281</v>
      </c>
      <c r="O1789" s="232">
        <v>23.8019067849932</v>
      </c>
      <c r="P1789" s="333"/>
      <c r="Q1789" s="231">
        <v>4</v>
      </c>
      <c r="R1789" s="213">
        <f>SUM(J1789:Q1789)</f>
        <v>30.1214351314213</v>
      </c>
      <c r="S1789" s="233"/>
      <c r="T1789" s="333" t="s">
        <v>8068</v>
      </c>
    </row>
    <row r="1792" ht="13" customHeight="1"/>
    <row r="1795" spans="1:20">
      <c r="A1795" s="195" t="s">
        <v>8052</v>
      </c>
      <c r="B1795" s="195"/>
      <c r="C1795" s="195"/>
      <c r="D1795" s="195"/>
      <c r="E1795" s="196"/>
      <c r="F1795" s="196"/>
      <c r="G1795" s="197"/>
      <c r="H1795" s="198"/>
      <c r="I1795" s="198"/>
      <c r="J1795" s="199"/>
      <c r="K1795" s="296"/>
      <c r="L1795" s="296"/>
      <c r="M1795" s="200"/>
      <c r="N1795" s="297"/>
      <c r="O1795" s="201"/>
      <c r="P1795" s="197"/>
      <c r="Q1795" s="202"/>
      <c r="R1795" s="202"/>
      <c r="S1795" s="203"/>
      <c r="T1795" s="80"/>
    </row>
    <row r="1796" spans="1:20">
      <c r="A1796" s="224" t="s">
        <v>1</v>
      </c>
      <c r="B1796" s="224"/>
      <c r="C1796" s="224"/>
      <c r="D1796" s="224"/>
      <c r="E1796" s="75" t="s">
        <v>5</v>
      </c>
      <c r="F1796" s="75" t="s">
        <v>1933</v>
      </c>
      <c r="G1796" s="75" t="s">
        <v>4102</v>
      </c>
      <c r="H1796" s="75" t="s">
        <v>4541</v>
      </c>
      <c r="I1796" s="75" t="s">
        <v>1497</v>
      </c>
      <c r="J1796" s="75" t="s">
        <v>4102</v>
      </c>
      <c r="K1796" s="75" t="s">
        <v>4103</v>
      </c>
      <c r="L1796" s="75" t="s">
        <v>4104</v>
      </c>
      <c r="M1796" s="75" t="s">
        <v>1497</v>
      </c>
      <c r="N1796" s="75" t="s">
        <v>6</v>
      </c>
      <c r="O1796" s="75" t="s">
        <v>7</v>
      </c>
      <c r="P1796" s="75" t="s">
        <v>5211</v>
      </c>
      <c r="Q1796" s="75" t="s">
        <v>8</v>
      </c>
      <c r="R1796" s="75" t="s">
        <v>9</v>
      </c>
      <c r="S1796" s="75" t="s">
        <v>4105</v>
      </c>
      <c r="T1796" s="75" t="s">
        <v>10</v>
      </c>
    </row>
    <row r="1797" spans="1:20">
      <c r="A1797" s="258"/>
      <c r="B1797" s="619">
        <v>20250102</v>
      </c>
      <c r="C1797" s="259">
        <v>7.3</v>
      </c>
      <c r="D1797" s="259" t="s">
        <v>775</v>
      </c>
      <c r="E1797" s="259" t="s">
        <v>776</v>
      </c>
      <c r="F1797" s="260"/>
      <c r="G1797" s="227"/>
      <c r="H1797" s="227"/>
      <c r="I1797" s="227"/>
      <c r="J1797" s="261"/>
      <c r="K1797" s="261"/>
      <c r="L1797" s="261"/>
      <c r="M1797" s="261"/>
      <c r="N1797" s="232">
        <v>0.12762028440143</v>
      </c>
      <c r="O1797" s="232">
        <f>0.23875378833798/7.3*7.31</f>
        <v>0.239080848322005</v>
      </c>
      <c r="P1797" s="227"/>
      <c r="Q1797" s="231">
        <v>0.2</v>
      </c>
      <c r="R1797" s="231">
        <v>0.56637407273941</v>
      </c>
      <c r="S1797" s="226"/>
      <c r="T1797" s="260"/>
    </row>
    <row r="1798" spans="1:20">
      <c r="A1798" s="333"/>
      <c r="B1798" s="619">
        <v>20240910</v>
      </c>
      <c r="C1798" s="259">
        <v>7.11</v>
      </c>
      <c r="D1798" s="259" t="s">
        <v>783</v>
      </c>
      <c r="E1798" s="279" t="s">
        <v>784</v>
      </c>
      <c r="F1798" s="260"/>
      <c r="G1798" s="227"/>
      <c r="H1798" s="227"/>
      <c r="I1798" s="227"/>
      <c r="J1798" s="261"/>
      <c r="K1798" s="261"/>
      <c r="L1798" s="261"/>
      <c r="M1798" s="261"/>
      <c r="N1798" s="232">
        <f>0.204336635227797/7.25*7.31</f>
        <v>0.206027697036579</v>
      </c>
      <c r="O1798" s="232">
        <f>1.08661959566691/7.25*7.31</f>
        <v>1.09561230956208</v>
      </c>
      <c r="P1798" s="227" t="s">
        <v>1428</v>
      </c>
      <c r="Q1798" s="231">
        <v>0.3</v>
      </c>
      <c r="R1798" s="231">
        <f>SUM(J1798:Q1798)</f>
        <v>1.60164000659866</v>
      </c>
      <c r="S1798" s="226"/>
      <c r="T1798" s="260" t="s">
        <v>7426</v>
      </c>
    </row>
    <row r="1803" spans="1:20">
      <c r="A1803" s="195" t="s">
        <v>8052</v>
      </c>
      <c r="B1803" s="195"/>
      <c r="C1803" s="195"/>
      <c r="D1803" s="195"/>
      <c r="E1803" s="196"/>
      <c r="F1803" s="196"/>
      <c r="G1803" s="197"/>
      <c r="H1803" s="198"/>
      <c r="I1803" s="198"/>
      <c r="J1803" s="199"/>
      <c r="K1803" s="200"/>
      <c r="L1803" s="200"/>
      <c r="M1803" s="200"/>
      <c r="N1803" s="201"/>
      <c r="O1803" s="201"/>
      <c r="P1803" s="197"/>
      <c r="Q1803" s="202"/>
      <c r="R1803" s="202"/>
      <c r="S1803" s="203"/>
      <c r="T1803" s="80"/>
    </row>
    <row r="1804" spans="1:20">
      <c r="A1804" s="224" t="s">
        <v>1</v>
      </c>
      <c r="B1804" s="224" t="s">
        <v>2</v>
      </c>
      <c r="C1804" s="224" t="s">
        <v>1493</v>
      </c>
      <c r="D1804" s="224" t="s">
        <v>4</v>
      </c>
      <c r="E1804" s="75" t="s">
        <v>5</v>
      </c>
      <c r="F1804" s="274" t="s">
        <v>1933</v>
      </c>
      <c r="G1804" s="75" t="s">
        <v>4102</v>
      </c>
      <c r="H1804" s="75" t="s">
        <v>4541</v>
      </c>
      <c r="I1804" s="75" t="s">
        <v>1497</v>
      </c>
      <c r="J1804" s="75" t="s">
        <v>4102</v>
      </c>
      <c r="K1804" s="75" t="s">
        <v>4103</v>
      </c>
      <c r="L1804" s="75" t="s">
        <v>4104</v>
      </c>
      <c r="M1804" s="75" t="s">
        <v>1497</v>
      </c>
      <c r="N1804" s="75" t="s">
        <v>6</v>
      </c>
      <c r="O1804" s="75" t="s">
        <v>7</v>
      </c>
      <c r="P1804" s="75" t="s">
        <v>5211</v>
      </c>
      <c r="Q1804" s="75" t="s">
        <v>8</v>
      </c>
      <c r="R1804" s="75" t="s">
        <v>9</v>
      </c>
      <c r="S1804" s="75" t="s">
        <v>4105</v>
      </c>
      <c r="T1804" s="75" t="s">
        <v>10</v>
      </c>
    </row>
    <row r="1805" spans="1:20">
      <c r="A1805" s="511"/>
      <c r="B1805" s="259">
        <v>20250206</v>
      </c>
      <c r="C1805" s="259">
        <v>7.3</v>
      </c>
      <c r="D1805" s="259" t="s">
        <v>4435</v>
      </c>
      <c r="E1805" s="259" t="s">
        <v>4436</v>
      </c>
      <c r="F1805" s="260"/>
      <c r="G1805" s="227"/>
      <c r="H1805" s="227"/>
      <c r="I1805" s="227"/>
      <c r="J1805" s="261"/>
      <c r="K1805" s="261"/>
      <c r="L1805" s="261"/>
      <c r="M1805" s="261"/>
      <c r="N1805" s="232">
        <f>2.32270578251909/7.3*7.31</f>
        <v>2.32588757126227</v>
      </c>
      <c r="O1805" s="232">
        <f>10.7955137122075/7.3*7.31</f>
        <v>10.8103020871557</v>
      </c>
      <c r="P1805" s="227"/>
      <c r="Q1805" s="231">
        <v>3</v>
      </c>
      <c r="R1805" s="231">
        <v>16.1182194947266</v>
      </c>
      <c r="S1805" s="226"/>
      <c r="T1805" s="260" t="s">
        <v>4437</v>
      </c>
    </row>
    <row r="1808" spans="1:20">
      <c r="A1808" s="195" t="s">
        <v>8052</v>
      </c>
      <c r="B1808" s="195"/>
      <c r="C1808" s="195"/>
      <c r="D1808" s="195"/>
      <c r="E1808" s="196"/>
      <c r="F1808" s="196"/>
      <c r="G1808" s="197"/>
      <c r="H1808" s="198"/>
      <c r="I1808" s="198"/>
      <c r="J1808" s="199"/>
      <c r="K1808" s="200"/>
      <c r="L1808" s="200"/>
      <c r="M1808" s="200"/>
      <c r="N1808" s="201"/>
      <c r="O1808" s="201"/>
      <c r="P1808" s="197"/>
      <c r="Q1808" s="202"/>
      <c r="R1808" s="202"/>
      <c r="S1808" s="203"/>
      <c r="T1808" s="80"/>
    </row>
    <row r="1809" spans="1:20">
      <c r="A1809" s="224" t="s">
        <v>1</v>
      </c>
      <c r="B1809" s="224" t="s">
        <v>2</v>
      </c>
      <c r="C1809" s="224" t="s">
        <v>1493</v>
      </c>
      <c r="D1809" s="224" t="s">
        <v>4</v>
      </c>
      <c r="E1809" s="75" t="s">
        <v>5</v>
      </c>
      <c r="F1809" s="274" t="s">
        <v>1933</v>
      </c>
      <c r="G1809" s="75" t="s">
        <v>4102</v>
      </c>
      <c r="H1809" s="75" t="s">
        <v>4541</v>
      </c>
      <c r="I1809" s="75" t="s">
        <v>1497</v>
      </c>
      <c r="J1809" s="75" t="s">
        <v>4102</v>
      </c>
      <c r="K1809" s="75" t="s">
        <v>4103</v>
      </c>
      <c r="L1809" s="75" t="s">
        <v>4104</v>
      </c>
      <c r="M1809" s="75" t="s">
        <v>1497</v>
      </c>
      <c r="N1809" s="75" t="s">
        <v>6</v>
      </c>
      <c r="O1809" s="75" t="s">
        <v>7</v>
      </c>
      <c r="P1809" s="75" t="s">
        <v>5211</v>
      </c>
      <c r="Q1809" s="75" t="s">
        <v>8</v>
      </c>
      <c r="R1809" s="75" t="s">
        <v>9</v>
      </c>
      <c r="S1809" s="75" t="s">
        <v>4105</v>
      </c>
      <c r="T1809" s="75" t="s">
        <v>10</v>
      </c>
    </row>
    <row r="1810" spans="1:20">
      <c r="A1810" s="333" t="s">
        <v>1333</v>
      </c>
      <c r="B1810" s="226">
        <v>20241220</v>
      </c>
      <c r="C1810" s="226">
        <v>7.3</v>
      </c>
      <c r="D1810" s="226" t="s">
        <v>2583</v>
      </c>
      <c r="E1810" s="255" t="s">
        <v>1131</v>
      </c>
      <c r="F1810" s="228"/>
      <c r="G1810" s="227"/>
      <c r="H1810" s="227"/>
      <c r="I1810" s="227"/>
      <c r="J1810" s="227"/>
      <c r="K1810" s="227"/>
      <c r="L1810" s="227"/>
      <c r="M1810" s="227"/>
      <c r="N1810" s="232">
        <f>0.418348917381347/7.3*7.31</f>
        <v>0.418921998090089</v>
      </c>
      <c r="O1810" s="232">
        <f>2.65409073049339/7.3*7.31</f>
        <v>2.65772647122009</v>
      </c>
      <c r="P1810" s="231" t="s">
        <v>1428</v>
      </c>
      <c r="Q1810" s="288">
        <v>0.4</v>
      </c>
      <c r="R1810" s="231">
        <f>SUM(J1810:Q1810)</f>
        <v>3.47664846931018</v>
      </c>
      <c r="S1810" s="281"/>
      <c r="T1810" s="226" t="s">
        <v>2584</v>
      </c>
    </row>
    <row r="1811" spans="1:20">
      <c r="A1811" s="333" t="s">
        <v>1333</v>
      </c>
      <c r="B1811" s="226">
        <v>20240703</v>
      </c>
      <c r="C1811" s="226">
        <v>7.27</v>
      </c>
      <c r="D1811" s="226" t="s">
        <v>2603</v>
      </c>
      <c r="E1811" s="226" t="s">
        <v>2427</v>
      </c>
      <c r="F1811" s="228" t="s">
        <v>1933</v>
      </c>
      <c r="G1811" s="245" t="s">
        <v>2566</v>
      </c>
      <c r="H1811" s="227" t="s">
        <v>1913</v>
      </c>
      <c r="I1811" s="227" t="s">
        <v>1428</v>
      </c>
      <c r="J1811" s="509" t="s">
        <v>1428</v>
      </c>
      <c r="K1811" s="227" t="s">
        <v>1428</v>
      </c>
      <c r="L1811" s="227" t="s">
        <v>1428</v>
      </c>
      <c r="M1811" s="227" t="s">
        <v>1428</v>
      </c>
      <c r="N1811" s="231">
        <v>5.32</v>
      </c>
      <c r="O1811" s="231">
        <f>24.6792347842143/7.27*7.31</f>
        <v>24.8150214955442</v>
      </c>
      <c r="P1811" s="231" t="s">
        <v>1428</v>
      </c>
      <c r="Q1811" s="246">
        <f>3.10746169916435/7.27*7.31</f>
        <v>3.12455915005384</v>
      </c>
      <c r="R1811" s="231">
        <f>SUM(J1811:Q1811)</f>
        <v>33.259580645598</v>
      </c>
      <c r="S1811" s="226" t="s">
        <v>1526</v>
      </c>
      <c r="T1811" s="226" t="s">
        <v>8069</v>
      </c>
    </row>
    <row r="1815" spans="1:20">
      <c r="A1815" s="195" t="s">
        <v>8052</v>
      </c>
      <c r="B1815" s="195"/>
      <c r="C1815" s="195"/>
      <c r="D1815" s="195"/>
      <c r="E1815" s="196"/>
      <c r="F1815" s="196"/>
      <c r="G1815" s="197"/>
      <c r="H1815" s="198"/>
      <c r="I1815" s="198"/>
      <c r="J1815" s="199"/>
      <c r="K1815" s="200"/>
      <c r="L1815" s="200"/>
      <c r="M1815" s="200"/>
      <c r="N1815" s="201"/>
      <c r="O1815" s="201"/>
      <c r="P1815" s="197"/>
      <c r="Q1815" s="202"/>
      <c r="R1815" s="202"/>
      <c r="S1815" s="203"/>
      <c r="T1815" s="80"/>
    </row>
    <row r="1816" spans="1:20">
      <c r="A1816" s="224" t="s">
        <v>1</v>
      </c>
      <c r="B1816" s="224" t="s">
        <v>2</v>
      </c>
      <c r="C1816" s="224" t="s">
        <v>1493</v>
      </c>
      <c r="D1816" s="224" t="s">
        <v>4</v>
      </c>
      <c r="E1816" s="75" t="s">
        <v>5</v>
      </c>
      <c r="F1816" s="274" t="s">
        <v>1933</v>
      </c>
      <c r="G1816" s="75" t="s">
        <v>4102</v>
      </c>
      <c r="H1816" s="75" t="s">
        <v>4541</v>
      </c>
      <c r="I1816" s="75" t="s">
        <v>1497</v>
      </c>
      <c r="J1816" s="75" t="s">
        <v>4102</v>
      </c>
      <c r="K1816" s="75" t="s">
        <v>4103</v>
      </c>
      <c r="L1816" s="75" t="s">
        <v>4104</v>
      </c>
      <c r="M1816" s="75" t="s">
        <v>1497</v>
      </c>
      <c r="N1816" s="75" t="s">
        <v>6</v>
      </c>
      <c r="O1816" s="75" t="s">
        <v>7</v>
      </c>
      <c r="P1816" s="75" t="s">
        <v>5211</v>
      </c>
      <c r="Q1816" s="75" t="s">
        <v>8</v>
      </c>
      <c r="R1816" s="75" t="s">
        <v>9</v>
      </c>
      <c r="S1816" s="75" t="s">
        <v>4105</v>
      </c>
      <c r="T1816" s="75" t="s">
        <v>10</v>
      </c>
    </row>
    <row r="1817" spans="1:20">
      <c r="A1817" s="333" t="s">
        <v>2199</v>
      </c>
      <c r="B1817" s="226">
        <v>20240122</v>
      </c>
      <c r="C1817" s="226">
        <v>7.3</v>
      </c>
      <c r="D1817" s="226" t="s">
        <v>2645</v>
      </c>
      <c r="E1817" s="255" t="s">
        <v>1581</v>
      </c>
      <c r="F1817" s="228" t="s">
        <v>2801</v>
      </c>
      <c r="G1817" s="227" t="s">
        <v>2390</v>
      </c>
      <c r="H1817" s="227" t="s">
        <v>7731</v>
      </c>
      <c r="I1817" s="227" t="s">
        <v>1635</v>
      </c>
      <c r="J1817" s="227">
        <v>85</v>
      </c>
      <c r="K1817" s="227" t="s">
        <v>1428</v>
      </c>
      <c r="L1817" s="227" t="s">
        <v>1428</v>
      </c>
      <c r="M1817" s="227">
        <v>3.3</v>
      </c>
      <c r="N1817" s="232">
        <v>3.3</v>
      </c>
      <c r="O1817" s="232">
        <v>13.19269320711</v>
      </c>
      <c r="P1817" s="231"/>
      <c r="Q1817" s="288">
        <v>2.55677228412257</v>
      </c>
      <c r="R1817" s="231">
        <f>SUM(J1817:Q1817)</f>
        <v>107.349465491233</v>
      </c>
      <c r="S1817" s="281" t="s">
        <v>7424</v>
      </c>
      <c r="T1817" s="226" t="s">
        <v>8070</v>
      </c>
    </row>
    <row r="1818" spans="1:20">
      <c r="A1818" s="333" t="s">
        <v>2199</v>
      </c>
      <c r="B1818" s="226">
        <v>20250409</v>
      </c>
      <c r="C1818" s="226">
        <v>7.31</v>
      </c>
      <c r="D1818" s="226" t="s">
        <v>2652</v>
      </c>
      <c r="E1818" s="255" t="s">
        <v>2546</v>
      </c>
      <c r="F1818" s="228" t="s">
        <v>2801</v>
      </c>
      <c r="G1818" s="227" t="s">
        <v>2643</v>
      </c>
      <c r="H1818" s="227" t="s">
        <v>4174</v>
      </c>
      <c r="I1818" s="227" t="s">
        <v>1567</v>
      </c>
      <c r="J1818" s="227">
        <v>145</v>
      </c>
      <c r="K1818" s="227" t="s">
        <v>1428</v>
      </c>
      <c r="L1818" s="227"/>
      <c r="M1818" s="227">
        <v>8</v>
      </c>
      <c r="N1818" s="232">
        <v>3.3</v>
      </c>
      <c r="O1818" s="232">
        <v>13.0082767559489</v>
      </c>
      <c r="P1818" s="231"/>
      <c r="Q1818" s="288">
        <v>2.55677228412257</v>
      </c>
      <c r="R1818" s="231">
        <f>SUM(J1818:Q1818)</f>
        <v>171.865049040071</v>
      </c>
      <c r="S1818" s="281" t="s">
        <v>8071</v>
      </c>
      <c r="T1818" s="226" t="s">
        <v>8072</v>
      </c>
    </row>
    <row r="1820" spans="1:20">
      <c r="A1820" s="195" t="s">
        <v>8052</v>
      </c>
      <c r="B1820" s="195"/>
      <c r="C1820" s="195"/>
      <c r="D1820" s="195"/>
      <c r="E1820" s="196"/>
      <c r="F1820" s="196"/>
      <c r="G1820" s="197"/>
      <c r="H1820" s="198"/>
      <c r="I1820" s="198"/>
      <c r="J1820" s="199"/>
      <c r="K1820" s="200"/>
      <c r="L1820" s="200"/>
      <c r="M1820" s="200"/>
      <c r="N1820" s="201"/>
      <c r="O1820" s="201"/>
      <c r="P1820" s="197"/>
      <c r="Q1820" s="202"/>
      <c r="R1820" s="202"/>
      <c r="S1820" s="203"/>
      <c r="T1820" s="80"/>
    </row>
    <row r="1821" spans="1:20">
      <c r="A1821" s="224" t="s">
        <v>1</v>
      </c>
      <c r="B1821" s="224" t="s">
        <v>2</v>
      </c>
      <c r="C1821" s="224" t="s">
        <v>1493</v>
      </c>
      <c r="D1821" s="224" t="s">
        <v>4</v>
      </c>
      <c r="E1821" s="75" t="s">
        <v>5</v>
      </c>
      <c r="F1821" s="274" t="s">
        <v>1933</v>
      </c>
      <c r="G1821" s="75" t="s">
        <v>4102</v>
      </c>
      <c r="H1821" s="75" t="s">
        <v>4541</v>
      </c>
      <c r="I1821" s="75" t="s">
        <v>1497</v>
      </c>
      <c r="J1821" s="75" t="s">
        <v>4102</v>
      </c>
      <c r="K1821" s="75" t="s">
        <v>4103</v>
      </c>
      <c r="L1821" s="75" t="s">
        <v>4104</v>
      </c>
      <c r="M1821" s="75" t="s">
        <v>1497</v>
      </c>
      <c r="N1821" s="75" t="s">
        <v>6</v>
      </c>
      <c r="O1821" s="75" t="s">
        <v>7</v>
      </c>
      <c r="P1821" s="75" t="s">
        <v>5211</v>
      </c>
      <c r="Q1821" s="75" t="s">
        <v>8</v>
      </c>
      <c r="R1821" s="75" t="s">
        <v>9</v>
      </c>
      <c r="S1821" s="75" t="s">
        <v>4105</v>
      </c>
      <c r="T1821" s="75" t="s">
        <v>10</v>
      </c>
    </row>
    <row r="1822" spans="1:20">
      <c r="A1822" s="333" t="s">
        <v>236</v>
      </c>
      <c r="B1822" s="226">
        <v>20250410</v>
      </c>
      <c r="C1822" s="226">
        <v>7.31</v>
      </c>
      <c r="D1822" s="226" t="s">
        <v>267</v>
      </c>
      <c r="E1822" s="255" t="s">
        <v>268</v>
      </c>
      <c r="F1822" s="228"/>
      <c r="G1822" s="227"/>
      <c r="H1822" s="227"/>
      <c r="I1822" s="227"/>
      <c r="J1822" s="227"/>
      <c r="K1822" s="227"/>
      <c r="L1822" s="227"/>
      <c r="M1822" s="227"/>
      <c r="N1822" s="232">
        <v>0.345023788482259</v>
      </c>
      <c r="O1822" s="232">
        <v>1.37259224538297</v>
      </c>
      <c r="P1822" s="231"/>
      <c r="Q1822" s="288">
        <v>0.2</v>
      </c>
      <c r="R1822" s="231">
        <f>SUM(J1822:Q1822)</f>
        <v>1.91761603386523</v>
      </c>
      <c r="S1822" s="281"/>
      <c r="T1822" s="226" t="s">
        <v>197</v>
      </c>
    </row>
    <row r="1823" spans="1:20">
      <c r="A1823" s="333" t="s">
        <v>8073</v>
      </c>
      <c r="B1823" s="226">
        <v>20250410</v>
      </c>
      <c r="C1823" s="226">
        <v>7.31</v>
      </c>
      <c r="D1823" s="226" t="s">
        <v>2490</v>
      </c>
      <c r="E1823" s="255" t="s">
        <v>2383</v>
      </c>
      <c r="F1823" s="228" t="s">
        <v>2801</v>
      </c>
      <c r="G1823" s="227" t="s">
        <v>8074</v>
      </c>
      <c r="H1823" s="227" t="s">
        <v>1913</v>
      </c>
      <c r="I1823" s="227"/>
      <c r="J1823" s="227" t="s">
        <v>1428</v>
      </c>
      <c r="K1823" s="227"/>
      <c r="L1823" s="227"/>
      <c r="M1823" s="227"/>
      <c r="N1823" s="232">
        <v>4.88</v>
      </c>
      <c r="O1823" s="232">
        <v>15.3266989871245</v>
      </c>
      <c r="P1823" s="231"/>
      <c r="Q1823" s="288">
        <v>3.1205</v>
      </c>
      <c r="R1823" s="231">
        <f>SUM(J1823:Q1823)</f>
        <v>23.3271989871245</v>
      </c>
      <c r="S1823" s="281" t="s">
        <v>1526</v>
      </c>
      <c r="T1823" s="226" t="s">
        <v>8075</v>
      </c>
    </row>
    <row r="1827" ht="15.6" spans="1:20">
      <c r="A1827" s="684" t="s">
        <v>8076</v>
      </c>
      <c r="B1827" s="11"/>
      <c r="C1827" s="11"/>
      <c r="D1827" s="11"/>
      <c r="E1827" s="127"/>
      <c r="F1827" s="127"/>
      <c r="G1827" s="13"/>
      <c r="H1827" s="14"/>
      <c r="I1827" s="14"/>
      <c r="J1827" s="128"/>
      <c r="K1827" s="685"/>
      <c r="L1827" s="685"/>
      <c r="M1827" s="129"/>
      <c r="N1827" s="686"/>
      <c r="O1827" s="15"/>
      <c r="P1827" s="13"/>
      <c r="Q1827" s="130"/>
      <c r="R1827" s="130"/>
      <c r="S1827" s="12"/>
      <c r="T1827" s="131"/>
    </row>
    <row r="1828" ht="15.6" spans="1:20">
      <c r="A1828" s="17" t="s">
        <v>1490</v>
      </c>
      <c r="B1828" s="17"/>
      <c r="C1828" s="17"/>
      <c r="D1828" s="17"/>
      <c r="E1828" s="18" t="s">
        <v>5</v>
      </c>
      <c r="F1828" s="18" t="s">
        <v>1933</v>
      </c>
      <c r="G1828" s="18" t="s">
        <v>4102</v>
      </c>
      <c r="H1828" s="141" t="s">
        <v>4541</v>
      </c>
      <c r="I1828" s="18" t="s">
        <v>1497</v>
      </c>
      <c r="J1828" s="18" t="s">
        <v>4102</v>
      </c>
      <c r="K1828" s="18" t="s">
        <v>4103</v>
      </c>
      <c r="L1828" s="18" t="s">
        <v>4104</v>
      </c>
      <c r="M1828" s="18" t="s">
        <v>1497</v>
      </c>
      <c r="N1828" s="18" t="s">
        <v>6</v>
      </c>
      <c r="O1828" s="18" t="s">
        <v>7</v>
      </c>
      <c r="P1828" s="18" t="s">
        <v>5672</v>
      </c>
      <c r="Q1828" s="18" t="s">
        <v>8</v>
      </c>
      <c r="R1828" s="18" t="s">
        <v>9</v>
      </c>
      <c r="S1828" s="18" t="s">
        <v>4105</v>
      </c>
      <c r="T1828" s="18" t="s">
        <v>4106</v>
      </c>
    </row>
    <row r="1829" ht="15" spans="1:20">
      <c r="A1829" s="333" t="s">
        <v>7407</v>
      </c>
      <c r="B1829" s="687">
        <v>20241202</v>
      </c>
      <c r="C1829" s="687">
        <v>7.2</v>
      </c>
      <c r="D1829" s="687" t="s">
        <v>7792</v>
      </c>
      <c r="E1829" s="149" t="s">
        <v>8077</v>
      </c>
      <c r="F1829" s="688" t="s">
        <v>1933</v>
      </c>
      <c r="G1829" s="689" t="s">
        <v>8078</v>
      </c>
      <c r="H1829" s="690" t="s">
        <v>1913</v>
      </c>
      <c r="I1829" s="690" t="s">
        <v>1428</v>
      </c>
      <c r="J1829" s="691">
        <v>145</v>
      </c>
      <c r="K1829" s="21" t="s">
        <v>1428</v>
      </c>
      <c r="L1829" s="21" t="s">
        <v>1428</v>
      </c>
      <c r="M1829" s="21" t="s">
        <v>1428</v>
      </c>
      <c r="N1829" s="692">
        <f>3.82102521031356/7.25*7.31</f>
        <v>3.85264748791615</v>
      </c>
      <c r="O1829" s="22">
        <f>11.7737729484339/7.25*7.31</f>
        <v>11.8712110693865</v>
      </c>
      <c r="P1829" s="37" t="s">
        <v>1428</v>
      </c>
      <c r="Q1829" s="37">
        <f>2.88823119777159/7.25*7.31</f>
        <v>2.91213380078763</v>
      </c>
      <c r="R1829" s="37">
        <f>SUM(J1829:Q1829)+1</f>
        <v>164.63599235809</v>
      </c>
      <c r="S1829" s="693" t="s">
        <v>1526</v>
      </c>
      <c r="T1829" s="167" t="s">
        <v>8079</v>
      </c>
    </row>
    <row r="1830" ht="15" spans="1:20">
      <c r="A1830" s="333" t="s">
        <v>7407</v>
      </c>
      <c r="B1830" s="23">
        <v>20241113</v>
      </c>
      <c r="C1830" s="23">
        <v>7.2</v>
      </c>
      <c r="D1830" s="23" t="s">
        <v>1405</v>
      </c>
      <c r="E1830" s="20" t="s">
        <v>21</v>
      </c>
      <c r="F1830" s="688"/>
      <c r="G1830" s="690"/>
      <c r="H1830" s="690"/>
      <c r="I1830" s="690"/>
      <c r="J1830" s="36"/>
      <c r="K1830" s="21"/>
      <c r="L1830" s="21"/>
      <c r="M1830" s="21"/>
      <c r="N1830" s="22">
        <f>0.420797825849448/7.25*7.31</f>
        <v>0.424280290615099</v>
      </c>
      <c r="O1830" s="22">
        <f>2.50121394336898/7.25*7.31</f>
        <v>2.52191364496928</v>
      </c>
      <c r="P1830" s="37" t="s">
        <v>1428</v>
      </c>
      <c r="Q1830" s="37">
        <v>0.4</v>
      </c>
      <c r="R1830" s="37">
        <v>3.32250365303669</v>
      </c>
      <c r="S1830" s="688"/>
      <c r="T1830" s="167" t="s">
        <v>2844</v>
      </c>
    </row>
    <row r="1832" ht="15.6" spans="1:20">
      <c r="A1832" s="684" t="s">
        <v>8076</v>
      </c>
      <c r="B1832" s="11"/>
      <c r="C1832" s="11"/>
      <c r="D1832" s="11"/>
      <c r="E1832" s="127"/>
      <c r="F1832" s="127"/>
      <c r="G1832" s="13"/>
      <c r="H1832" s="14"/>
      <c r="I1832" s="14"/>
      <c r="J1832" s="128"/>
      <c r="K1832" s="685"/>
      <c r="L1832" s="685"/>
      <c r="M1832" s="129"/>
      <c r="N1832" s="686"/>
      <c r="O1832" s="15"/>
      <c r="P1832" s="13"/>
      <c r="Q1832" s="130"/>
      <c r="R1832" s="130"/>
      <c r="S1832" s="12"/>
      <c r="T1832" s="131"/>
    </row>
    <row r="1833" ht="15.6" spans="1:20">
      <c r="A1833" s="17" t="s">
        <v>1490</v>
      </c>
      <c r="B1833" s="17"/>
      <c r="C1833" s="165" t="s">
        <v>3</v>
      </c>
      <c r="D1833" s="17"/>
      <c r="E1833" s="18" t="s">
        <v>5</v>
      </c>
      <c r="F1833" s="18" t="s">
        <v>1933</v>
      </c>
      <c r="G1833" s="18" t="s">
        <v>4102</v>
      </c>
      <c r="H1833" s="141" t="s">
        <v>4541</v>
      </c>
      <c r="I1833" s="18" t="s">
        <v>1497</v>
      </c>
      <c r="J1833" s="18" t="s">
        <v>4102</v>
      </c>
      <c r="K1833" s="18" t="s">
        <v>4103</v>
      </c>
      <c r="L1833" s="18" t="s">
        <v>4104</v>
      </c>
      <c r="M1833" s="18" t="s">
        <v>1497</v>
      </c>
      <c r="N1833" s="18" t="s">
        <v>6</v>
      </c>
      <c r="O1833" s="18" t="s">
        <v>7</v>
      </c>
      <c r="P1833" s="18" t="s">
        <v>5672</v>
      </c>
      <c r="Q1833" s="18" t="s">
        <v>8</v>
      </c>
      <c r="R1833" s="18" t="s">
        <v>9</v>
      </c>
      <c r="S1833" s="18" t="s">
        <v>4105</v>
      </c>
      <c r="T1833" s="18" t="s">
        <v>4106</v>
      </c>
    </row>
    <row r="1834" ht="15" spans="1:20">
      <c r="A1834" s="23" t="s">
        <v>7414</v>
      </c>
      <c r="B1834" s="35">
        <v>20250320</v>
      </c>
      <c r="C1834" s="23">
        <v>7.25</v>
      </c>
      <c r="D1834" s="694" t="s">
        <v>8080</v>
      </c>
      <c r="E1834" s="695" t="s">
        <v>2096</v>
      </c>
      <c r="F1834" s="696" t="s">
        <v>7445</v>
      </c>
      <c r="G1834" s="697" t="s">
        <v>7814</v>
      </c>
      <c r="H1834" s="21" t="s">
        <v>3432</v>
      </c>
      <c r="I1834" s="21" t="s">
        <v>1635</v>
      </c>
      <c r="J1834" s="698" t="s">
        <v>1428</v>
      </c>
      <c r="K1834" s="699">
        <f>12.5*2</f>
        <v>25</v>
      </c>
      <c r="L1834" s="21"/>
      <c r="M1834" s="700">
        <v>3.1</v>
      </c>
      <c r="N1834" s="22">
        <v>3.07774124489073</v>
      </c>
      <c r="O1834" s="22">
        <v>13.1908121198626</v>
      </c>
      <c r="P1834" s="37"/>
      <c r="Q1834" s="37">
        <v>2.98452116633169</v>
      </c>
      <c r="R1834" s="231">
        <f>SUM(J1834:Q1834)</f>
        <v>47.353074531085</v>
      </c>
      <c r="S1834" s="167" t="s">
        <v>4001</v>
      </c>
      <c r="T1834" s="35" t="s">
        <v>8081</v>
      </c>
    </row>
    <row r="1835" ht="15" spans="1:20">
      <c r="A1835" s="23" t="s">
        <v>7414</v>
      </c>
      <c r="B1835" s="35">
        <v>20250320</v>
      </c>
      <c r="C1835" s="23">
        <v>7.25</v>
      </c>
      <c r="D1835" s="694" t="s">
        <v>8082</v>
      </c>
      <c r="E1835" s="695" t="s">
        <v>2394</v>
      </c>
      <c r="F1835" s="696" t="s">
        <v>7445</v>
      </c>
      <c r="G1835" s="697" t="s">
        <v>7815</v>
      </c>
      <c r="H1835" s="21" t="s">
        <v>3432</v>
      </c>
      <c r="I1835" s="21" t="s">
        <v>1635</v>
      </c>
      <c r="J1835" s="698" t="s">
        <v>1428</v>
      </c>
      <c r="K1835" s="699">
        <f>12.5*2</f>
        <v>25</v>
      </c>
      <c r="L1835" s="21"/>
      <c r="M1835" s="700">
        <v>3.1</v>
      </c>
      <c r="N1835" s="22">
        <v>3.07774124489073</v>
      </c>
      <c r="O1835" s="22">
        <v>13.2078700428999</v>
      </c>
      <c r="P1835" s="37"/>
      <c r="Q1835" s="37">
        <v>2.98452116633169</v>
      </c>
      <c r="R1835" s="231">
        <f>SUM(J1835:Q1835)</f>
        <v>47.3701324541223</v>
      </c>
      <c r="S1835" s="167" t="s">
        <v>4001</v>
      </c>
      <c r="T1835" s="35" t="s">
        <v>8081</v>
      </c>
    </row>
    <row r="1838" ht="15.6" spans="1:20">
      <c r="A1838" s="684" t="s">
        <v>8076</v>
      </c>
      <c r="B1838" s="11"/>
      <c r="C1838" s="11"/>
      <c r="D1838" s="127"/>
      <c r="E1838" s="127"/>
      <c r="F1838" s="13"/>
      <c r="G1838" s="14"/>
      <c r="H1838" s="14"/>
      <c r="I1838" s="128"/>
      <c r="J1838" s="685"/>
      <c r="K1838" s="685"/>
      <c r="L1838" s="129"/>
      <c r="M1838" s="686"/>
      <c r="N1838" s="15"/>
      <c r="O1838" s="13"/>
      <c r="P1838" s="130"/>
      <c r="Q1838" s="130"/>
      <c r="R1838" s="12"/>
      <c r="S1838" s="131"/>
      <c r="T1838" s="333"/>
    </row>
    <row r="1839" ht="15.6" spans="1:20">
      <c r="A1839" s="17" t="s">
        <v>1490</v>
      </c>
      <c r="B1839" s="17"/>
      <c r="C1839" s="165" t="s">
        <v>3</v>
      </c>
      <c r="D1839" s="165"/>
      <c r="E1839" s="18" t="s">
        <v>5</v>
      </c>
      <c r="F1839" s="18" t="s">
        <v>1933</v>
      </c>
      <c r="G1839" s="18" t="s">
        <v>4102</v>
      </c>
      <c r="H1839" s="141" t="s">
        <v>4541</v>
      </c>
      <c r="I1839" s="18" t="s">
        <v>1497</v>
      </c>
      <c r="J1839" s="18" t="s">
        <v>4102</v>
      </c>
      <c r="K1839" s="18" t="s">
        <v>4103</v>
      </c>
      <c r="L1839" s="18" t="s">
        <v>4104</v>
      </c>
      <c r="M1839" s="18" t="s">
        <v>1497</v>
      </c>
      <c r="N1839" s="18" t="s">
        <v>6</v>
      </c>
      <c r="O1839" s="18" t="s">
        <v>7</v>
      </c>
      <c r="P1839" s="18" t="s">
        <v>5672</v>
      </c>
      <c r="Q1839" s="18" t="s">
        <v>8</v>
      </c>
      <c r="R1839" s="18" t="s">
        <v>9</v>
      </c>
      <c r="S1839" s="18" t="s">
        <v>4105</v>
      </c>
      <c r="T1839" s="18" t="s">
        <v>4106</v>
      </c>
    </row>
    <row r="1840" ht="15" hidden="1" spans="1:20">
      <c r="A1840" s="701" t="s">
        <v>4337</v>
      </c>
      <c r="B1840" s="35">
        <v>20250414</v>
      </c>
      <c r="C1840" s="23">
        <v>7.31</v>
      </c>
      <c r="D1840" s="694" t="s">
        <v>4338</v>
      </c>
      <c r="E1840" s="695" t="s">
        <v>1565</v>
      </c>
      <c r="F1840" s="696" t="s">
        <v>4122</v>
      </c>
      <c r="G1840" s="697" t="s">
        <v>2692</v>
      </c>
      <c r="H1840" s="21" t="s">
        <v>1913</v>
      </c>
      <c r="I1840" s="21" t="s">
        <v>1633</v>
      </c>
      <c r="J1840" s="698">
        <v>190</v>
      </c>
      <c r="K1840" s="21"/>
      <c r="L1840" s="21"/>
      <c r="M1840" s="700">
        <v>1.7</v>
      </c>
      <c r="N1840" s="22">
        <v>4.35764418675618</v>
      </c>
      <c r="O1840" s="22">
        <v>16.6437054319425</v>
      </c>
      <c r="P1840" s="37"/>
      <c r="Q1840" s="37">
        <v>4</v>
      </c>
      <c r="R1840" s="231">
        <f>SUM(J1840:Q1840)</f>
        <v>216.701349618699</v>
      </c>
      <c r="S1840" s="167" t="s">
        <v>1526</v>
      </c>
      <c r="T1840" s="35" t="s">
        <v>8083</v>
      </c>
    </row>
    <row r="1841" ht="15" hidden="1" spans="1:20">
      <c r="A1841" s="702"/>
      <c r="B1841" s="35">
        <v>20250414</v>
      </c>
      <c r="C1841" s="23">
        <v>7.31</v>
      </c>
      <c r="D1841" s="694" t="s">
        <v>4340</v>
      </c>
      <c r="E1841" s="695" t="s">
        <v>1617</v>
      </c>
      <c r="F1841" s="696" t="s">
        <v>4239</v>
      </c>
      <c r="G1841" s="697" t="s">
        <v>2664</v>
      </c>
      <c r="H1841" s="21" t="s">
        <v>1913</v>
      </c>
      <c r="I1841" s="21" t="s">
        <v>1635</v>
      </c>
      <c r="J1841" s="698">
        <v>170</v>
      </c>
      <c r="K1841" s="21"/>
      <c r="L1841" s="21"/>
      <c r="M1841" s="700">
        <v>3.3</v>
      </c>
      <c r="N1841" s="22">
        <v>4.35764418675618</v>
      </c>
      <c r="O1841" s="22">
        <v>18.4538914454717</v>
      </c>
      <c r="P1841" s="37"/>
      <c r="Q1841" s="37">
        <v>4</v>
      </c>
      <c r="R1841" s="231">
        <f>SUM(J1841:Q1841)</f>
        <v>200.111535632228</v>
      </c>
      <c r="S1841" s="167" t="s">
        <v>1526</v>
      </c>
      <c r="T1841" s="35" t="s">
        <v>8084</v>
      </c>
    </row>
    <row r="1842" ht="15" hidden="1" spans="1:20">
      <c r="A1842" s="703"/>
      <c r="B1842" s="35">
        <v>20250414</v>
      </c>
      <c r="C1842" s="23">
        <v>7.31</v>
      </c>
      <c r="D1842" s="694" t="s">
        <v>4342</v>
      </c>
      <c r="E1842" s="695" t="s">
        <v>1629</v>
      </c>
      <c r="F1842" s="696" t="s">
        <v>4239</v>
      </c>
      <c r="G1842" s="697" t="s">
        <v>2664</v>
      </c>
      <c r="H1842" s="21" t="s">
        <v>1913</v>
      </c>
      <c r="I1842" s="21" t="s">
        <v>4343</v>
      </c>
      <c r="J1842" s="698">
        <v>190</v>
      </c>
      <c r="K1842" s="21"/>
      <c r="L1842" s="21"/>
      <c r="M1842" s="700">
        <v>3.68</v>
      </c>
      <c r="N1842" s="22">
        <v>4.35764418675618</v>
      </c>
      <c r="O1842" s="704">
        <v>21.6777188233653</v>
      </c>
      <c r="P1842" s="37"/>
      <c r="Q1842" s="37">
        <v>4</v>
      </c>
      <c r="R1842" s="231">
        <f>SUM(J1842:Q1842)</f>
        <v>223.715363010121</v>
      </c>
      <c r="S1842" s="167" t="s">
        <v>1526</v>
      </c>
      <c r="T1842" s="35" t="s">
        <v>8085</v>
      </c>
    </row>
    <row r="1843" ht="15" spans="1:20">
      <c r="A1843" s="21" t="s">
        <v>1324</v>
      </c>
      <c r="B1843" s="35">
        <v>20250414</v>
      </c>
      <c r="C1843" s="23">
        <v>7.31</v>
      </c>
      <c r="D1843" s="694" t="s">
        <v>116</v>
      </c>
      <c r="E1843" s="695" t="s">
        <v>8086</v>
      </c>
      <c r="F1843" s="696"/>
      <c r="G1843" s="697"/>
      <c r="H1843" s="21"/>
      <c r="I1843" s="21"/>
      <c r="J1843" s="698"/>
      <c r="K1843" s="21"/>
      <c r="L1843" s="21"/>
      <c r="M1843" s="700"/>
      <c r="N1843" s="22">
        <v>0.388605740711596</v>
      </c>
      <c r="O1843" s="22">
        <v>2.8367571475036</v>
      </c>
      <c r="P1843" s="37"/>
      <c r="Q1843" s="37">
        <v>0.2</v>
      </c>
      <c r="R1843" s="231">
        <f>SUM(J1843:Q1843)</f>
        <v>3.4253628882152</v>
      </c>
      <c r="S1843" s="167"/>
      <c r="T1843" s="35" t="s">
        <v>118</v>
      </c>
    </row>
    <row r="1846" ht="15.6" spans="1:20">
      <c r="A1846" s="684" t="s">
        <v>8076</v>
      </c>
      <c r="B1846" s="11"/>
      <c r="C1846" s="11"/>
      <c r="D1846" s="11"/>
      <c r="E1846" s="127"/>
      <c r="F1846" s="127"/>
      <c r="G1846" s="13"/>
      <c r="H1846" s="14"/>
      <c r="I1846" s="14"/>
      <c r="J1846" s="128"/>
      <c r="K1846" s="685"/>
      <c r="L1846" s="685"/>
      <c r="M1846" s="129"/>
      <c r="N1846" s="686"/>
      <c r="O1846" s="15"/>
      <c r="P1846" s="13"/>
      <c r="Q1846" s="130"/>
      <c r="R1846" s="130"/>
      <c r="S1846" s="12"/>
      <c r="T1846" s="131"/>
    </row>
    <row r="1847" ht="15.6" spans="1:20">
      <c r="A1847" s="17" t="s">
        <v>1490</v>
      </c>
      <c r="B1847" s="17"/>
      <c r="C1847" s="165" t="s">
        <v>3</v>
      </c>
      <c r="D1847" s="17"/>
      <c r="E1847" s="18" t="s">
        <v>5</v>
      </c>
      <c r="F1847" s="18" t="s">
        <v>1933</v>
      </c>
      <c r="G1847" s="18" t="s">
        <v>4102</v>
      </c>
      <c r="H1847" s="141" t="s">
        <v>4541</v>
      </c>
      <c r="I1847" s="18" t="s">
        <v>1497</v>
      </c>
      <c r="J1847" s="18" t="s">
        <v>4102</v>
      </c>
      <c r="K1847" s="18" t="s">
        <v>4103</v>
      </c>
      <c r="L1847" s="18" t="s">
        <v>4104</v>
      </c>
      <c r="M1847" s="18" t="s">
        <v>1497</v>
      </c>
      <c r="N1847" s="18" t="s">
        <v>6</v>
      </c>
      <c r="O1847" s="18" t="s">
        <v>7</v>
      </c>
      <c r="P1847" s="18" t="s">
        <v>5672</v>
      </c>
      <c r="Q1847" s="18" t="s">
        <v>8</v>
      </c>
      <c r="R1847" s="18" t="s">
        <v>9</v>
      </c>
      <c r="S1847" s="18" t="s">
        <v>4105</v>
      </c>
      <c r="T1847" s="18" t="s">
        <v>4106</v>
      </c>
    </row>
    <row r="1848" ht="15" spans="1:20">
      <c r="A1848" s="705" t="s">
        <v>7826</v>
      </c>
      <c r="B1848" s="35">
        <v>20250326</v>
      </c>
      <c r="C1848" s="23">
        <v>7.25</v>
      </c>
      <c r="D1848" s="694" t="s">
        <v>1416</v>
      </c>
      <c r="E1848" s="695" t="s">
        <v>1417</v>
      </c>
      <c r="F1848" s="696"/>
      <c r="G1848" s="697"/>
      <c r="H1848" s="21"/>
      <c r="I1848" s="21"/>
      <c r="J1848" s="698"/>
      <c r="K1848" s="21"/>
      <c r="L1848" s="21"/>
      <c r="M1848" s="700"/>
      <c r="N1848" s="22">
        <v>0.418448328475372</v>
      </c>
      <c r="O1848" s="22">
        <v>1.13868915074085</v>
      </c>
      <c r="P1848" s="37" t="s">
        <v>1428</v>
      </c>
      <c r="Q1848" s="37">
        <v>0.2</v>
      </c>
      <c r="R1848" s="231">
        <f>SUM(J1848:Q1848)</f>
        <v>1.75713747921622</v>
      </c>
      <c r="S1848" s="167"/>
      <c r="T1848" s="35" t="s">
        <v>2839</v>
      </c>
    </row>
    <row r="1849" ht="15" spans="1:20">
      <c r="A1849" s="706"/>
      <c r="B1849" s="35">
        <v>20250226</v>
      </c>
      <c r="C1849" s="23">
        <v>7.25</v>
      </c>
      <c r="D1849" s="694" t="s">
        <v>7827</v>
      </c>
      <c r="E1849" s="695" t="s">
        <v>1645</v>
      </c>
      <c r="F1849" s="696" t="s">
        <v>8087</v>
      </c>
      <c r="G1849" s="697" t="s">
        <v>3799</v>
      </c>
      <c r="H1849" s="21" t="s">
        <v>3670</v>
      </c>
      <c r="I1849" s="21"/>
      <c r="J1849" s="698">
        <v>26</v>
      </c>
      <c r="K1849" s="21"/>
      <c r="L1849" s="21">
        <v>4.1</v>
      </c>
      <c r="M1849" s="700"/>
      <c r="N1849" s="22">
        <v>4.74789011396041</v>
      </c>
      <c r="O1849" s="22">
        <v>9.65969652291378</v>
      </c>
      <c r="P1849" s="37"/>
      <c r="Q1849" s="37">
        <v>3</v>
      </c>
      <c r="R1849" s="231">
        <f>SUM(J1849:Q1849)</f>
        <v>47.5075866368742</v>
      </c>
      <c r="S1849" s="167" t="s">
        <v>3452</v>
      </c>
      <c r="T1849" s="35" t="s">
        <v>7828</v>
      </c>
    </row>
    <row r="1850" ht="15" spans="1:20">
      <c r="A1850" s="706"/>
      <c r="B1850" s="35">
        <v>20250226</v>
      </c>
      <c r="C1850" s="23">
        <v>7.25</v>
      </c>
      <c r="D1850" s="694" t="s">
        <v>8030</v>
      </c>
      <c r="E1850" s="695" t="s">
        <v>1629</v>
      </c>
      <c r="F1850" s="696" t="s">
        <v>8087</v>
      </c>
      <c r="G1850" s="697" t="s">
        <v>3799</v>
      </c>
      <c r="H1850" s="21" t="s">
        <v>1913</v>
      </c>
      <c r="I1850" s="21"/>
      <c r="J1850" s="698">
        <v>26</v>
      </c>
      <c r="K1850" s="21"/>
      <c r="L1850" s="21"/>
      <c r="M1850" s="700"/>
      <c r="N1850" s="22">
        <v>4.74789011396041</v>
      </c>
      <c r="O1850" s="22">
        <v>9.69845880658931</v>
      </c>
      <c r="P1850" s="37"/>
      <c r="Q1850" s="37">
        <v>3</v>
      </c>
      <c r="R1850" s="231">
        <f>SUM(J1850:Q1850)</f>
        <v>43.4463489205497</v>
      </c>
      <c r="S1850" s="167" t="s">
        <v>1526</v>
      </c>
      <c r="T1850" s="35" t="s">
        <v>7828</v>
      </c>
    </row>
    <row r="1851" ht="15" spans="1:20">
      <c r="A1851" s="706"/>
      <c r="B1851" s="35">
        <v>20250226</v>
      </c>
      <c r="C1851" s="23">
        <v>7.25</v>
      </c>
      <c r="D1851" s="694" t="s">
        <v>8040</v>
      </c>
      <c r="E1851" s="695" t="s">
        <v>1604</v>
      </c>
      <c r="F1851" s="696" t="s">
        <v>8087</v>
      </c>
      <c r="G1851" s="697" t="s">
        <v>3799</v>
      </c>
      <c r="H1851" s="21" t="s">
        <v>1913</v>
      </c>
      <c r="I1851" s="21"/>
      <c r="J1851" s="698">
        <v>26</v>
      </c>
      <c r="K1851" s="21"/>
      <c r="L1851" s="21"/>
      <c r="M1851" s="700"/>
      <c r="N1851" s="22">
        <v>4.74789011396041</v>
      </c>
      <c r="O1851" s="22">
        <v>9.73341543842879</v>
      </c>
      <c r="P1851" s="37"/>
      <c r="Q1851" s="37">
        <v>3</v>
      </c>
      <c r="R1851" s="231">
        <f>SUM(J1851:Q1851)</f>
        <v>43.4813055523892</v>
      </c>
      <c r="S1851" s="167" t="s">
        <v>1526</v>
      </c>
      <c r="T1851" s="35" t="s">
        <v>7828</v>
      </c>
    </row>
    <row r="1852" ht="15" spans="1:20">
      <c r="A1852" s="707"/>
      <c r="B1852" s="35">
        <v>20250226</v>
      </c>
      <c r="C1852" s="23">
        <v>7.25</v>
      </c>
      <c r="D1852" s="694" t="s">
        <v>8088</v>
      </c>
      <c r="E1852" s="695" t="s">
        <v>1571</v>
      </c>
      <c r="F1852" s="696" t="s">
        <v>8087</v>
      </c>
      <c r="G1852" s="697" t="s">
        <v>3799</v>
      </c>
      <c r="H1852" s="21" t="s">
        <v>3670</v>
      </c>
      <c r="I1852" s="21"/>
      <c r="J1852" s="698">
        <v>26</v>
      </c>
      <c r="K1852" s="21"/>
      <c r="L1852" s="21">
        <v>4.1</v>
      </c>
      <c r="M1852" s="700"/>
      <c r="N1852" s="22">
        <v>4.74789011396041</v>
      </c>
      <c r="O1852" s="22">
        <v>9.65792212477585</v>
      </c>
      <c r="P1852" s="37"/>
      <c r="Q1852" s="37">
        <v>3</v>
      </c>
      <c r="R1852" s="231">
        <f>SUM(J1852:Q1852)</f>
        <v>47.5058122387363</v>
      </c>
      <c r="S1852" s="167" t="s">
        <v>3452</v>
      </c>
      <c r="T1852" s="35" t="s">
        <v>7828</v>
      </c>
    </row>
    <row r="1853" ht="15" spans="1:20">
      <c r="A1853" s="701" t="s">
        <v>8089</v>
      </c>
      <c r="B1853" s="35"/>
      <c r="C1853" s="23"/>
      <c r="D1853" s="694" t="s">
        <v>8090</v>
      </c>
      <c r="E1853" s="695" t="s">
        <v>7845</v>
      </c>
      <c r="F1853" s="696" t="s">
        <v>7481</v>
      </c>
      <c r="G1853" s="697"/>
      <c r="H1853" s="21"/>
      <c r="I1853" s="21"/>
      <c r="J1853" s="698"/>
      <c r="K1853" s="21"/>
      <c r="L1853" s="21"/>
      <c r="M1853" s="700"/>
      <c r="N1853" s="22"/>
      <c r="O1853" s="22"/>
      <c r="P1853" s="37"/>
      <c r="Q1853" s="37"/>
      <c r="R1853" s="231">
        <v>8.8</v>
      </c>
      <c r="S1853" s="167"/>
      <c r="T1853" s="35"/>
    </row>
    <row r="1854" ht="15" spans="1:20">
      <c r="A1854" s="702"/>
      <c r="B1854" s="35"/>
      <c r="C1854" s="23"/>
      <c r="D1854" s="694" t="s">
        <v>8090</v>
      </c>
      <c r="E1854" s="695" t="s">
        <v>7574</v>
      </c>
      <c r="F1854" s="696" t="s">
        <v>7573</v>
      </c>
      <c r="G1854" s="697"/>
      <c r="H1854" s="21"/>
      <c r="I1854" s="21"/>
      <c r="J1854" s="698"/>
      <c r="K1854" s="21"/>
      <c r="L1854" s="21"/>
      <c r="M1854" s="700"/>
      <c r="N1854" s="22"/>
      <c r="O1854" s="22"/>
      <c r="P1854" s="37"/>
      <c r="Q1854" s="37"/>
      <c r="R1854" s="231">
        <v>5.8</v>
      </c>
      <c r="S1854" s="167"/>
      <c r="T1854" s="35"/>
    </row>
    <row r="1855" ht="15" spans="1:20">
      <c r="A1855" s="703"/>
      <c r="B1855" s="35"/>
      <c r="C1855" s="23" t="s">
        <v>8091</v>
      </c>
      <c r="D1855" s="694" t="s">
        <v>8092</v>
      </c>
      <c r="E1855" s="695" t="s">
        <v>7810</v>
      </c>
      <c r="F1855" s="696" t="s">
        <v>7811</v>
      </c>
      <c r="G1855" s="697"/>
      <c r="H1855" s="21"/>
      <c r="I1855" s="21"/>
      <c r="J1855" s="698"/>
      <c r="K1855" s="21"/>
      <c r="L1855" s="21"/>
      <c r="M1855" s="700"/>
      <c r="N1855" s="22"/>
      <c r="O1855" s="22"/>
      <c r="P1855" s="37"/>
      <c r="Q1855" s="37"/>
      <c r="R1855" s="231">
        <v>10.5</v>
      </c>
      <c r="S1855" s="167"/>
      <c r="T1855" s="35"/>
    </row>
    <row r="1856" s="182" customFormat="1" ht="15" spans="1:20">
      <c r="A1856" s="21"/>
      <c r="B1856" s="694"/>
      <c r="C1856" s="695"/>
      <c r="D1856" s="694" t="s">
        <v>7708</v>
      </c>
      <c r="E1856" s="695" t="s">
        <v>7890</v>
      </c>
      <c r="F1856" s="696" t="s">
        <v>7441</v>
      </c>
      <c r="G1856" s="21"/>
      <c r="H1856" s="698"/>
      <c r="I1856" s="21"/>
      <c r="J1856" s="21"/>
      <c r="K1856" s="700"/>
      <c r="L1856" s="22"/>
      <c r="M1856" s="22"/>
      <c r="N1856" s="37"/>
      <c r="O1856" s="37"/>
      <c r="P1856" s="231"/>
      <c r="Q1856" s="167"/>
      <c r="R1856" s="231">
        <v>3.3</v>
      </c>
      <c r="S1856" s="333"/>
      <c r="T1856" s="333"/>
    </row>
    <row r="1857" s="182" customFormat="1" ht="15" spans="1:20">
      <c r="A1857" s="21"/>
      <c r="B1857" s="694"/>
      <c r="C1857" s="695"/>
      <c r="D1857" s="696"/>
      <c r="E1857" s="697"/>
      <c r="F1857" s="21"/>
      <c r="G1857" s="21"/>
      <c r="H1857" s="698"/>
      <c r="I1857" s="21"/>
      <c r="J1857" s="21"/>
      <c r="K1857" s="700"/>
      <c r="L1857" s="22"/>
      <c r="M1857" s="22"/>
      <c r="N1857" s="37"/>
      <c r="O1857" s="37"/>
      <c r="P1857" s="231"/>
      <c r="Q1857" s="167"/>
      <c r="R1857" s="35"/>
    </row>
    <row r="1861" ht="15.6" spans="1:20">
      <c r="A1861" s="684" t="s">
        <v>8076</v>
      </c>
      <c r="B1861" s="11"/>
      <c r="C1861" s="11"/>
      <c r="D1861" s="11"/>
      <c r="E1861" s="127"/>
      <c r="F1861" s="127"/>
      <c r="G1861" s="13"/>
      <c r="H1861" s="14"/>
      <c r="I1861" s="14"/>
      <c r="J1861" s="128"/>
      <c r="K1861" s="685"/>
      <c r="L1861" s="685"/>
      <c r="M1861" s="129"/>
      <c r="N1861" s="686"/>
      <c r="O1861" s="15"/>
      <c r="P1861" s="13"/>
      <c r="Q1861" s="130"/>
      <c r="R1861" s="130"/>
      <c r="S1861" s="12"/>
      <c r="T1861" s="131"/>
    </row>
    <row r="1862" ht="15.6" spans="1:20">
      <c r="A1862" s="17" t="s">
        <v>1490</v>
      </c>
      <c r="B1862" s="17"/>
      <c r="C1862" s="165" t="s">
        <v>3</v>
      </c>
      <c r="D1862" s="17"/>
      <c r="E1862" s="18" t="s">
        <v>5</v>
      </c>
      <c r="F1862" s="18" t="s">
        <v>1933</v>
      </c>
      <c r="G1862" s="18" t="s">
        <v>4102</v>
      </c>
      <c r="H1862" s="141" t="s">
        <v>4541</v>
      </c>
      <c r="I1862" s="18" t="s">
        <v>1497</v>
      </c>
      <c r="J1862" s="18" t="s">
        <v>4102</v>
      </c>
      <c r="K1862" s="18" t="s">
        <v>4103</v>
      </c>
      <c r="L1862" s="18" t="s">
        <v>4104</v>
      </c>
      <c r="M1862" s="18" t="s">
        <v>1497</v>
      </c>
      <c r="N1862" s="18" t="s">
        <v>6</v>
      </c>
      <c r="O1862" s="18" t="s">
        <v>7</v>
      </c>
      <c r="P1862" s="18" t="s">
        <v>5672</v>
      </c>
      <c r="Q1862" s="18" t="s">
        <v>8</v>
      </c>
      <c r="R1862" s="18" t="s">
        <v>9</v>
      </c>
      <c r="S1862" s="18" t="s">
        <v>4105</v>
      </c>
      <c r="T1862" s="18" t="s">
        <v>4106</v>
      </c>
    </row>
    <row r="1863" ht="15" spans="1:20">
      <c r="A1863" s="23" t="s">
        <v>7407</v>
      </c>
      <c r="B1863" s="23">
        <v>20240626</v>
      </c>
      <c r="C1863" s="23">
        <v>7.26</v>
      </c>
      <c r="D1863" s="708" t="s">
        <v>8093</v>
      </c>
      <c r="E1863" s="20" t="s">
        <v>8094</v>
      </c>
      <c r="F1863" s="688" t="s">
        <v>1933</v>
      </c>
      <c r="G1863" s="689" t="s">
        <v>2962</v>
      </c>
      <c r="H1863" s="690" t="s">
        <v>1913</v>
      </c>
      <c r="I1863" s="690" t="s">
        <v>1428</v>
      </c>
      <c r="J1863" s="700">
        <v>145</v>
      </c>
      <c r="K1863" s="690" t="s">
        <v>1428</v>
      </c>
      <c r="L1863" s="690" t="s">
        <v>1428</v>
      </c>
      <c r="M1863" s="690" t="s">
        <v>1428</v>
      </c>
      <c r="N1863" s="709">
        <v>3.85264748791615</v>
      </c>
      <c r="O1863" s="22">
        <v>13.0914838427968</v>
      </c>
      <c r="P1863" s="37" t="s">
        <v>1428</v>
      </c>
      <c r="Q1863" s="37">
        <v>2.90812259720528</v>
      </c>
      <c r="R1863" s="231">
        <f>SUM(J1863:Q1863)+1</f>
        <v>165.852253927918</v>
      </c>
      <c r="S1863" s="693" t="s">
        <v>1526</v>
      </c>
      <c r="T1863" s="167" t="s">
        <v>8095</v>
      </c>
    </row>
    <row r="1864" spans="1:20">
      <c r="A1864" s="23"/>
      <c r="B1864" s="23">
        <v>20241010</v>
      </c>
      <c r="C1864" s="23">
        <v>7.11</v>
      </c>
      <c r="D1864" s="708" t="s">
        <v>131</v>
      </c>
      <c r="E1864" s="35" t="s">
        <v>132</v>
      </c>
      <c r="F1864" s="23"/>
      <c r="G1864" s="21"/>
      <c r="H1864" s="21"/>
      <c r="I1864" s="21"/>
      <c r="J1864" s="36"/>
      <c r="K1864" s="36"/>
      <c r="L1864" s="36"/>
      <c r="M1864" s="36"/>
      <c r="N1864" s="22">
        <v>0.48013411135481</v>
      </c>
      <c r="O1864" s="22">
        <v>4.46502663908407</v>
      </c>
      <c r="P1864" s="21" t="s">
        <v>1428</v>
      </c>
      <c r="Q1864" s="37">
        <v>0.4</v>
      </c>
      <c r="R1864" s="37">
        <v>5.34516075043888</v>
      </c>
      <c r="S1864" s="38"/>
      <c r="T1864" s="710" t="s">
        <v>8096</v>
      </c>
    </row>
    <row r="1870" ht="15.6" spans="1:20">
      <c r="A1870" s="684" t="s">
        <v>8076</v>
      </c>
      <c r="B1870" s="11"/>
      <c r="C1870" s="11"/>
      <c r="D1870" s="11"/>
      <c r="E1870" s="127"/>
      <c r="F1870" s="127"/>
      <c r="G1870" s="13"/>
      <c r="H1870" s="14"/>
      <c r="I1870" s="14"/>
      <c r="J1870" s="128"/>
      <c r="K1870" s="685"/>
      <c r="L1870" s="685"/>
      <c r="M1870" s="129"/>
      <c r="N1870" s="686"/>
      <c r="O1870" s="15"/>
      <c r="P1870" s="13"/>
      <c r="Q1870" s="130"/>
      <c r="R1870" s="130"/>
      <c r="S1870" s="12"/>
      <c r="T1870" s="131"/>
    </row>
    <row r="1871" ht="15.6" spans="1:20">
      <c r="A1871" s="17" t="s">
        <v>1490</v>
      </c>
      <c r="B1871" s="17"/>
      <c r="C1871" s="165" t="s">
        <v>1404</v>
      </c>
      <c r="D1871" s="17"/>
      <c r="E1871" s="18" t="s">
        <v>5</v>
      </c>
      <c r="F1871" s="18" t="s">
        <v>1933</v>
      </c>
      <c r="G1871" s="18" t="s">
        <v>4102</v>
      </c>
      <c r="H1871" s="141" t="s">
        <v>4541</v>
      </c>
      <c r="I1871" s="18" t="s">
        <v>1497</v>
      </c>
      <c r="J1871" s="18" t="s">
        <v>4102</v>
      </c>
      <c r="K1871" s="18" t="s">
        <v>4103</v>
      </c>
      <c r="L1871" s="18" t="s">
        <v>4104</v>
      </c>
      <c r="M1871" s="18" t="s">
        <v>1497</v>
      </c>
      <c r="N1871" s="18" t="s">
        <v>6</v>
      </c>
      <c r="O1871" s="18" t="s">
        <v>7</v>
      </c>
      <c r="P1871" s="18" t="s">
        <v>5672</v>
      </c>
      <c r="Q1871" s="18" t="s">
        <v>8</v>
      </c>
      <c r="R1871" s="18" t="s">
        <v>9</v>
      </c>
      <c r="S1871" s="18" t="s">
        <v>4105</v>
      </c>
      <c r="T1871" s="18" t="s">
        <v>4106</v>
      </c>
    </row>
    <row r="1872" ht="15" spans="1:20">
      <c r="A1872" s="23" t="s">
        <v>7407</v>
      </c>
      <c r="B1872" s="23">
        <v>20241202</v>
      </c>
      <c r="C1872" s="23">
        <v>7.31</v>
      </c>
      <c r="D1872" s="23" t="s">
        <v>7792</v>
      </c>
      <c r="E1872" s="711" t="s">
        <v>7793</v>
      </c>
      <c r="F1872" s="688" t="s">
        <v>1933</v>
      </c>
      <c r="G1872" s="689" t="s">
        <v>2972</v>
      </c>
      <c r="H1872" s="690" t="s">
        <v>1913</v>
      </c>
      <c r="I1872" s="690" t="s">
        <v>1428</v>
      </c>
      <c r="J1872" s="691">
        <v>65</v>
      </c>
      <c r="K1872" s="21" t="s">
        <v>1428</v>
      </c>
      <c r="L1872" s="21" t="s">
        <v>1428</v>
      </c>
      <c r="M1872" s="21" t="s">
        <v>1428</v>
      </c>
      <c r="N1872" s="709">
        <v>3.85264748791615</v>
      </c>
      <c r="O1872" s="22">
        <v>11.8712110693865</v>
      </c>
      <c r="P1872" s="37" t="s">
        <v>1428</v>
      </c>
      <c r="Q1872" s="37">
        <v>2.91213380078763</v>
      </c>
      <c r="R1872" s="37">
        <v>83.6359923580903</v>
      </c>
      <c r="S1872" s="693" t="s">
        <v>1526</v>
      </c>
      <c r="T1872" s="167" t="s">
        <v>8095</v>
      </c>
    </row>
    <row r="1873" spans="1:20">
      <c r="A1873" s="23"/>
      <c r="B1873" s="707">
        <v>20241111</v>
      </c>
      <c r="C1873" s="23">
        <v>7.31</v>
      </c>
      <c r="D1873" s="707" t="s">
        <v>175</v>
      </c>
      <c r="E1873" s="712" t="s">
        <v>176</v>
      </c>
      <c r="F1873" s="707"/>
      <c r="G1873" s="703"/>
      <c r="H1873" s="703"/>
      <c r="I1873" s="703"/>
      <c r="J1873" s="713"/>
      <c r="K1873" s="713"/>
      <c r="L1873" s="713"/>
      <c r="M1873" s="713"/>
      <c r="N1873" s="22">
        <v>0.422346507965976</v>
      </c>
      <c r="O1873" s="22">
        <v>2.17185287510393</v>
      </c>
      <c r="P1873" s="703" t="s">
        <v>1428</v>
      </c>
      <c r="Q1873" s="714">
        <v>0.4</v>
      </c>
      <c r="R1873" s="714">
        <v>2.9941993830699</v>
      </c>
      <c r="S1873" s="715"/>
      <c r="T1873" s="716" t="s">
        <v>8097</v>
      </c>
    </row>
    <row r="1874" ht="15" spans="1:20">
      <c r="A1874" s="23" t="s">
        <v>7407</v>
      </c>
      <c r="B1874" s="23">
        <v>20241205</v>
      </c>
      <c r="C1874" s="23">
        <v>7.31</v>
      </c>
      <c r="D1874" s="23" t="s">
        <v>7988</v>
      </c>
      <c r="E1874" s="711" t="s">
        <v>7989</v>
      </c>
      <c r="F1874" s="20" t="s">
        <v>3916</v>
      </c>
      <c r="G1874" s="689" t="s">
        <v>8098</v>
      </c>
      <c r="H1874" s="690" t="s">
        <v>1913</v>
      </c>
      <c r="I1874" s="690" t="s">
        <v>1428</v>
      </c>
      <c r="J1874" s="698">
        <v>85</v>
      </c>
      <c r="K1874" s="21" t="s">
        <v>1428</v>
      </c>
      <c r="L1874" s="21" t="s">
        <v>1428</v>
      </c>
      <c r="M1874" s="21" t="s">
        <v>1428</v>
      </c>
      <c r="N1874" s="709">
        <v>3.85264748791615</v>
      </c>
      <c r="O1874" s="22">
        <v>11.8413298119236</v>
      </c>
      <c r="P1874" s="21"/>
      <c r="Q1874" s="37">
        <v>2.91213380078763</v>
      </c>
      <c r="R1874" s="37">
        <v>104.606111100627</v>
      </c>
      <c r="S1874" s="693" t="s">
        <v>1526</v>
      </c>
      <c r="T1874" s="167" t="s">
        <v>7991</v>
      </c>
    </row>
    <row r="1875" spans="1:20">
      <c r="A1875" s="23"/>
      <c r="B1875" s="23">
        <v>20241213</v>
      </c>
      <c r="C1875" s="23">
        <v>7.31</v>
      </c>
      <c r="D1875" s="23" t="s">
        <v>141</v>
      </c>
      <c r="E1875" s="717" t="s">
        <v>142</v>
      </c>
      <c r="F1875" s="23"/>
      <c r="G1875" s="21"/>
      <c r="H1875" s="21"/>
      <c r="I1875" s="21"/>
      <c r="J1875" s="36"/>
      <c r="K1875" s="36"/>
      <c r="L1875" s="36"/>
      <c r="M1875" s="36"/>
      <c r="N1875" s="22">
        <v>0.636564305115678</v>
      </c>
      <c r="O1875" s="22">
        <v>3.0280908661348</v>
      </c>
      <c r="P1875" s="21"/>
      <c r="Q1875" s="37">
        <v>0.4</v>
      </c>
      <c r="R1875" s="37">
        <v>4.06465517125048</v>
      </c>
      <c r="S1875" s="38"/>
      <c r="T1875" s="39" t="s">
        <v>143</v>
      </c>
    </row>
    <row r="1879" spans="1:20">
      <c r="A1879" s="195" t="s">
        <v>8052</v>
      </c>
      <c r="B1879" s="718"/>
      <c r="C1879" s="718"/>
      <c r="D1879" s="718"/>
      <c r="E1879" s="196"/>
      <c r="F1879" s="196"/>
      <c r="G1879" s="197"/>
      <c r="H1879" s="198"/>
      <c r="I1879" s="198"/>
      <c r="J1879" s="199"/>
      <c r="K1879" s="296"/>
      <c r="L1879" s="296"/>
      <c r="M1879" s="200"/>
      <c r="N1879" s="297"/>
      <c r="O1879" s="201"/>
      <c r="P1879" s="197"/>
      <c r="Q1879" s="202"/>
      <c r="R1879" s="202"/>
      <c r="S1879" s="203"/>
      <c r="T1879" s="80"/>
    </row>
    <row r="1880" spans="1:20">
      <c r="A1880" s="224" t="s">
        <v>1</v>
      </c>
      <c r="B1880" s="719"/>
      <c r="C1880" s="720" t="s">
        <v>1404</v>
      </c>
      <c r="D1880" s="719"/>
      <c r="E1880" s="75" t="s">
        <v>5</v>
      </c>
      <c r="F1880" s="75" t="s">
        <v>1933</v>
      </c>
      <c r="G1880" s="75" t="s">
        <v>4102</v>
      </c>
      <c r="H1880" s="75" t="s">
        <v>4541</v>
      </c>
      <c r="I1880" s="75" t="s">
        <v>1497</v>
      </c>
      <c r="J1880" s="75" t="s">
        <v>4102</v>
      </c>
      <c r="K1880" s="75" t="s">
        <v>4103</v>
      </c>
      <c r="L1880" s="75" t="s">
        <v>4104</v>
      </c>
      <c r="M1880" s="75" t="s">
        <v>1497</v>
      </c>
      <c r="N1880" s="75" t="s">
        <v>6</v>
      </c>
      <c r="O1880" s="75" t="s">
        <v>7</v>
      </c>
      <c r="P1880" s="75" t="s">
        <v>5211</v>
      </c>
      <c r="Q1880" s="75" t="s">
        <v>8</v>
      </c>
      <c r="R1880" s="75" t="s">
        <v>9</v>
      </c>
      <c r="S1880" s="75" t="s">
        <v>4105</v>
      </c>
      <c r="T1880" s="75" t="s">
        <v>10</v>
      </c>
    </row>
    <row r="1881" hidden="1" spans="1:20">
      <c r="A1881" s="226" t="s">
        <v>7414</v>
      </c>
      <c r="B1881" s="35">
        <v>20250317</v>
      </c>
      <c r="C1881" s="23">
        <v>7.31</v>
      </c>
      <c r="D1881" s="23" t="s">
        <v>8099</v>
      </c>
      <c r="E1881" s="228" t="s">
        <v>2501</v>
      </c>
      <c r="F1881" s="243" t="s">
        <v>2801</v>
      </c>
      <c r="G1881" s="322" t="s">
        <v>2392</v>
      </c>
      <c r="H1881" s="227" t="s">
        <v>3436</v>
      </c>
      <c r="I1881" s="227" t="s">
        <v>1633</v>
      </c>
      <c r="J1881" s="507">
        <v>85</v>
      </c>
      <c r="K1881" s="247">
        <f>7*2</f>
        <v>14</v>
      </c>
      <c r="L1881" s="227"/>
      <c r="M1881" s="247">
        <v>1.7</v>
      </c>
      <c r="N1881" s="232">
        <v>3.07774124489073</v>
      </c>
      <c r="O1881" s="232">
        <v>10.5514546301432</v>
      </c>
      <c r="P1881" s="231"/>
      <c r="Q1881" s="231">
        <v>2.98452116633169</v>
      </c>
      <c r="R1881" s="231">
        <v>115.313717041366</v>
      </c>
      <c r="S1881" s="226" t="s">
        <v>2579</v>
      </c>
      <c r="T1881" s="226" t="s">
        <v>8100</v>
      </c>
    </row>
    <row r="1882" hidden="1" spans="1:20">
      <c r="A1882" s="226"/>
      <c r="B1882" s="35">
        <v>20250317</v>
      </c>
      <c r="C1882" s="23">
        <v>7.31</v>
      </c>
      <c r="D1882" s="23" t="s">
        <v>8101</v>
      </c>
      <c r="E1882" s="228" t="s">
        <v>2389</v>
      </c>
      <c r="F1882" s="243" t="s">
        <v>7445</v>
      </c>
      <c r="G1882" s="322" t="s">
        <v>2354</v>
      </c>
      <c r="H1882" s="227" t="s">
        <v>4174</v>
      </c>
      <c r="I1882" s="227" t="s">
        <v>1742</v>
      </c>
      <c r="J1882" s="507" t="s">
        <v>4244</v>
      </c>
      <c r="K1882" s="247">
        <f>7*4</f>
        <v>28</v>
      </c>
      <c r="L1882" s="227"/>
      <c r="M1882" s="247">
        <v>6</v>
      </c>
      <c r="N1882" s="232">
        <v>3.07774124489073</v>
      </c>
      <c r="O1882" s="232">
        <v>11.2643556807394</v>
      </c>
      <c r="P1882" s="231"/>
      <c r="Q1882" s="231">
        <v>2.98452116633169</v>
      </c>
      <c r="R1882" s="231">
        <v>47.3266180919618</v>
      </c>
      <c r="S1882" s="226" t="s">
        <v>2579</v>
      </c>
      <c r="T1882" s="226" t="s">
        <v>8102</v>
      </c>
    </row>
    <row r="1883" hidden="1" spans="1:20">
      <c r="A1883" s="226"/>
      <c r="B1883" s="35">
        <v>20250317</v>
      </c>
      <c r="C1883" s="23">
        <v>7.31</v>
      </c>
      <c r="D1883" s="23" t="s">
        <v>8103</v>
      </c>
      <c r="E1883" s="228" t="s">
        <v>1767</v>
      </c>
      <c r="F1883" s="243" t="s">
        <v>7445</v>
      </c>
      <c r="G1883" s="322" t="s">
        <v>7766</v>
      </c>
      <c r="H1883" s="227" t="s">
        <v>4248</v>
      </c>
      <c r="I1883" s="227" t="s">
        <v>1567</v>
      </c>
      <c r="J1883" s="507">
        <v>150</v>
      </c>
      <c r="K1883" s="247">
        <f>14*4</f>
        <v>56</v>
      </c>
      <c r="L1883" s="227"/>
      <c r="M1883" s="247">
        <v>8</v>
      </c>
      <c r="N1883" s="232">
        <v>3.07774124489073</v>
      </c>
      <c r="O1883" s="232">
        <v>16.294429149998</v>
      </c>
      <c r="P1883" s="231"/>
      <c r="Q1883" s="231">
        <v>2.98452116633169</v>
      </c>
      <c r="R1883" s="231">
        <v>228.35669156122</v>
      </c>
      <c r="S1883" s="226" t="s">
        <v>4001</v>
      </c>
      <c r="T1883" s="226" t="s">
        <v>8104</v>
      </c>
    </row>
    <row r="1884" hidden="1" spans="1:20">
      <c r="A1884" s="226"/>
      <c r="B1884" s="721">
        <v>20250401</v>
      </c>
      <c r="C1884" s="23">
        <v>7.31</v>
      </c>
      <c r="D1884" s="687" t="s">
        <v>204</v>
      </c>
      <c r="E1884" s="226" t="s">
        <v>205</v>
      </c>
      <c r="F1884" s="226"/>
      <c r="G1884" s="227"/>
      <c r="H1884" s="227"/>
      <c r="I1884" s="227"/>
      <c r="J1884" s="256"/>
      <c r="K1884" s="256"/>
      <c r="L1884" s="256"/>
      <c r="M1884" s="256"/>
      <c r="N1884" s="232">
        <v>0.413525406963897</v>
      </c>
      <c r="O1884" s="232">
        <v>1.38429160404235</v>
      </c>
      <c r="P1884" s="227"/>
      <c r="Q1884" s="231">
        <v>0.2</v>
      </c>
      <c r="R1884" s="231">
        <v>1.99781701100625</v>
      </c>
      <c r="S1884" s="233"/>
      <c r="T1884" s="226" t="s">
        <v>63</v>
      </c>
    </row>
    <row r="1885" hidden="1" spans="1:20">
      <c r="A1885" s="333"/>
      <c r="E1885" s="722" t="s">
        <v>8105</v>
      </c>
      <c r="F1885" s="722" t="s">
        <v>8106</v>
      </c>
      <c r="G1885" s="333"/>
      <c r="H1885" s="333"/>
      <c r="I1885" s="333"/>
      <c r="J1885" s="333"/>
      <c r="K1885" s="333"/>
      <c r="L1885" s="333"/>
      <c r="M1885" s="333"/>
      <c r="N1885" s="333"/>
      <c r="O1885" s="333"/>
      <c r="P1885" s="333"/>
      <c r="Q1885" s="333"/>
      <c r="R1885" s="723">
        <v>51.5</v>
      </c>
      <c r="S1885" s="333"/>
      <c r="T1885" s="333"/>
    </row>
    <row r="1886" hidden="1" spans="1:20">
      <c r="A1886" s="333"/>
      <c r="E1886" s="724" t="s">
        <v>8107</v>
      </c>
      <c r="F1886" s="722" t="s">
        <v>8108</v>
      </c>
      <c r="G1886" s="333"/>
      <c r="H1886" s="333"/>
      <c r="I1886" s="333"/>
      <c r="J1886" s="333"/>
      <c r="K1886" s="333"/>
      <c r="L1886" s="333"/>
      <c r="M1886" s="333"/>
      <c r="N1886" s="333"/>
      <c r="O1886" s="333"/>
      <c r="P1886" s="333"/>
      <c r="Q1886" s="333"/>
      <c r="R1886" s="598">
        <v>24.8</v>
      </c>
      <c r="S1886" s="333"/>
      <c r="T1886" s="333"/>
    </row>
    <row r="1887" hidden="1" spans="1:20">
      <c r="A1887" s="333"/>
      <c r="E1887" s="722" t="s">
        <v>8109</v>
      </c>
      <c r="F1887" s="722" t="s">
        <v>8110</v>
      </c>
      <c r="G1887" s="333"/>
      <c r="H1887" s="333"/>
      <c r="I1887" s="333"/>
      <c r="J1887" s="333"/>
      <c r="K1887" s="333"/>
      <c r="L1887" s="333"/>
      <c r="M1887" s="333"/>
      <c r="N1887" s="333"/>
      <c r="O1887" s="333"/>
      <c r="P1887" s="333"/>
      <c r="Q1887" s="333"/>
      <c r="R1887" s="723">
        <v>30.5</v>
      </c>
      <c r="S1887" s="333"/>
      <c r="T1887" s="333"/>
    </row>
    <row r="1888" spans="1:20">
      <c r="A1888" s="226" t="s">
        <v>1181</v>
      </c>
      <c r="B1888" s="721">
        <v>20250331</v>
      </c>
      <c r="C1888" s="23">
        <v>7.31</v>
      </c>
      <c r="D1888" s="687" t="s">
        <v>7920</v>
      </c>
      <c r="E1888" s="226" t="s">
        <v>1685</v>
      </c>
      <c r="F1888" s="226" t="s">
        <v>2801</v>
      </c>
      <c r="G1888" s="227" t="s">
        <v>2692</v>
      </c>
      <c r="H1888" s="227" t="s">
        <v>4474</v>
      </c>
      <c r="I1888" s="227" t="s">
        <v>1633</v>
      </c>
      <c r="J1888" s="247">
        <v>190</v>
      </c>
      <c r="K1888" s="227">
        <f>6.5*4</f>
        <v>26</v>
      </c>
      <c r="L1888" s="227"/>
      <c r="M1888" s="227">
        <v>1.7</v>
      </c>
      <c r="N1888" s="231">
        <v>3.18828196521208</v>
      </c>
      <c r="O1888" s="231">
        <v>13.1916224329126</v>
      </c>
      <c r="P1888" s="231"/>
      <c r="Q1888" s="231">
        <v>5</v>
      </c>
      <c r="R1888" s="231">
        <f>SUM(J1888:Q1888)</f>
        <v>239.079904398125</v>
      </c>
      <c r="S1888" s="233" t="s">
        <v>3995</v>
      </c>
      <c r="T1888" s="226" t="s">
        <v>8111</v>
      </c>
    </row>
    <row r="1889" spans="1:20">
      <c r="A1889" s="226"/>
      <c r="B1889" s="721">
        <v>20250331</v>
      </c>
      <c r="C1889" s="23">
        <v>7.31</v>
      </c>
      <c r="D1889" s="687" t="s">
        <v>7923</v>
      </c>
      <c r="E1889" s="226" t="s">
        <v>1669</v>
      </c>
      <c r="F1889" s="226" t="s">
        <v>4457</v>
      </c>
      <c r="G1889" s="227" t="s">
        <v>2664</v>
      </c>
      <c r="H1889" s="227" t="s">
        <v>4248</v>
      </c>
      <c r="I1889" s="227" t="s">
        <v>1635</v>
      </c>
      <c r="J1889" s="247">
        <v>190</v>
      </c>
      <c r="K1889" s="227" t="s">
        <v>1428</v>
      </c>
      <c r="L1889" s="227"/>
      <c r="M1889" s="227">
        <v>3.3</v>
      </c>
      <c r="N1889" s="231">
        <v>3.18828196521208</v>
      </c>
      <c r="O1889" s="231">
        <v>14.9317018778594</v>
      </c>
      <c r="P1889" s="231"/>
      <c r="Q1889" s="231">
        <v>5</v>
      </c>
      <c r="R1889" s="231">
        <f>SUM(J1889:Q1889)</f>
        <v>216.419983843071</v>
      </c>
      <c r="S1889" s="233" t="s">
        <v>4001</v>
      </c>
      <c r="T1889" s="226" t="s">
        <v>8112</v>
      </c>
    </row>
    <row r="1890" spans="1:20">
      <c r="A1890" s="226"/>
      <c r="B1890" s="721">
        <v>20250331</v>
      </c>
      <c r="C1890" s="23">
        <v>7.31</v>
      </c>
      <c r="D1890" s="687" t="s">
        <v>7926</v>
      </c>
      <c r="E1890" s="226" t="s">
        <v>1671</v>
      </c>
      <c r="F1890" s="226" t="s">
        <v>4457</v>
      </c>
      <c r="G1890" s="227" t="s">
        <v>7928</v>
      </c>
      <c r="H1890" s="227" t="s">
        <v>4248</v>
      </c>
      <c r="I1890" s="227" t="s">
        <v>1567</v>
      </c>
      <c r="J1890" s="247">
        <v>300</v>
      </c>
      <c r="K1890" s="247">
        <f>14*4</f>
        <v>56</v>
      </c>
      <c r="L1890" s="227"/>
      <c r="M1890" s="227">
        <v>8</v>
      </c>
      <c r="N1890" s="231">
        <v>3.18828196521208</v>
      </c>
      <c r="O1890" s="231">
        <v>18.6194439793017</v>
      </c>
      <c r="P1890" s="231"/>
      <c r="Q1890" s="231">
        <v>5</v>
      </c>
      <c r="R1890" s="231">
        <f>SUM(J1890:Q1890)</f>
        <v>390.807725944514</v>
      </c>
      <c r="S1890" s="233" t="s">
        <v>4001</v>
      </c>
      <c r="T1890" s="226" t="s">
        <v>8113</v>
      </c>
    </row>
    <row r="1891" spans="1:20">
      <c r="A1891" s="226"/>
      <c r="B1891" s="721">
        <v>20250401</v>
      </c>
      <c r="C1891" s="23">
        <v>7.31</v>
      </c>
      <c r="D1891" s="687" t="s">
        <v>204</v>
      </c>
      <c r="E1891" s="226" t="s">
        <v>205</v>
      </c>
      <c r="F1891" s="226"/>
      <c r="G1891" s="227"/>
      <c r="H1891" s="227"/>
      <c r="I1891" s="227"/>
      <c r="J1891" s="256"/>
      <c r="K1891" s="256"/>
      <c r="L1891" s="256"/>
      <c r="M1891" s="256"/>
      <c r="N1891" s="232">
        <v>0.413525406963897</v>
      </c>
      <c r="O1891" s="232">
        <v>1.38429160404235</v>
      </c>
      <c r="P1891" s="227"/>
      <c r="Q1891" s="231">
        <v>0.2</v>
      </c>
      <c r="R1891" s="231">
        <v>1.99781701100625</v>
      </c>
      <c r="S1891" s="233"/>
      <c r="T1891" s="226" t="s">
        <v>63</v>
      </c>
    </row>
    <row r="1892" spans="1:20">
      <c r="A1892" s="333"/>
      <c r="E1892" s="722" t="s">
        <v>8105</v>
      </c>
      <c r="F1892" s="722" t="s">
        <v>8106</v>
      </c>
      <c r="G1892" s="333"/>
      <c r="H1892" s="333"/>
      <c r="I1892" s="333"/>
      <c r="J1892" s="333"/>
      <c r="K1892" s="333"/>
      <c r="L1892" s="333"/>
      <c r="M1892" s="333"/>
      <c r="N1892" s="333"/>
      <c r="O1892" s="333"/>
      <c r="P1892" s="333"/>
      <c r="Q1892" s="333"/>
      <c r="R1892" s="723">
        <v>51.5</v>
      </c>
      <c r="S1892" s="333"/>
      <c r="T1892" s="333"/>
    </row>
    <row r="1893" spans="1:20">
      <c r="A1893" s="333"/>
      <c r="E1893" s="724" t="s">
        <v>8107</v>
      </c>
      <c r="F1893" s="722" t="s">
        <v>8108</v>
      </c>
      <c r="G1893" s="333"/>
      <c r="H1893" s="333"/>
      <c r="I1893" s="333"/>
      <c r="J1893" s="333"/>
      <c r="K1893" s="333"/>
      <c r="L1893" s="333"/>
      <c r="M1893" s="333"/>
      <c r="N1893" s="333"/>
      <c r="O1893" s="333"/>
      <c r="P1893" s="333"/>
      <c r="Q1893" s="333"/>
      <c r="R1893" s="598">
        <v>24.8</v>
      </c>
      <c r="S1893" s="333"/>
      <c r="T1893" s="333"/>
    </row>
    <row r="1894" spans="1:20">
      <c r="A1894" s="333"/>
      <c r="E1894" s="722" t="s">
        <v>8109</v>
      </c>
      <c r="F1894" s="722" t="s">
        <v>8110</v>
      </c>
      <c r="G1894" s="333"/>
      <c r="H1894" s="333"/>
      <c r="I1894" s="333"/>
      <c r="J1894" s="333"/>
      <c r="K1894" s="333"/>
      <c r="L1894" s="333"/>
      <c r="M1894" s="333"/>
      <c r="N1894" s="333"/>
      <c r="O1894" s="333"/>
      <c r="P1894" s="333"/>
      <c r="Q1894" s="333"/>
      <c r="R1894" s="723">
        <v>30.5</v>
      </c>
      <c r="S1894" s="333"/>
      <c r="T1894" s="333"/>
    </row>
    <row r="1895" spans="1:20">
      <c r="E1895" s="177"/>
    </row>
    <row r="1896" spans="1:20">
      <c r="A1896" s="195" t="s">
        <v>8052</v>
      </c>
      <c r="B1896" s="718"/>
      <c r="C1896" s="718"/>
      <c r="D1896" s="718"/>
      <c r="E1896" s="196"/>
      <c r="F1896" s="196"/>
      <c r="G1896" s="197"/>
      <c r="H1896" s="198"/>
      <c r="I1896" s="198"/>
      <c r="J1896" s="199"/>
      <c r="K1896" s="296"/>
      <c r="L1896" s="296"/>
      <c r="M1896" s="200"/>
      <c r="N1896" s="297"/>
      <c r="O1896" s="201"/>
      <c r="P1896" s="197"/>
      <c r="Q1896" s="202"/>
      <c r="R1896" s="202"/>
      <c r="S1896" s="203"/>
      <c r="T1896" s="80"/>
    </row>
    <row r="1897" spans="1:20">
      <c r="A1897" s="224" t="s">
        <v>1</v>
      </c>
      <c r="B1897" s="719"/>
      <c r="C1897" s="720" t="s">
        <v>1404</v>
      </c>
      <c r="D1897" s="719"/>
      <c r="E1897" s="75" t="s">
        <v>5</v>
      </c>
      <c r="F1897" s="75" t="s">
        <v>1933</v>
      </c>
      <c r="G1897" s="75" t="s">
        <v>4102</v>
      </c>
      <c r="H1897" s="75" t="s">
        <v>4541</v>
      </c>
      <c r="I1897" s="75" t="s">
        <v>1497</v>
      </c>
      <c r="J1897" s="75" t="s">
        <v>4102</v>
      </c>
      <c r="K1897" s="75" t="s">
        <v>4103</v>
      </c>
      <c r="L1897" s="75" t="s">
        <v>4104</v>
      </c>
      <c r="M1897" s="75" t="s">
        <v>1497</v>
      </c>
      <c r="N1897" s="75" t="s">
        <v>6</v>
      </c>
      <c r="O1897" s="75" t="s">
        <v>7</v>
      </c>
      <c r="P1897" s="75" t="s">
        <v>5211</v>
      </c>
      <c r="Q1897" s="75" t="s">
        <v>8</v>
      </c>
      <c r="R1897" s="75" t="s">
        <v>9</v>
      </c>
      <c r="S1897" s="75" t="s">
        <v>4105</v>
      </c>
      <c r="T1897" s="75" t="s">
        <v>10</v>
      </c>
    </row>
    <row r="1898" ht="15" spans="1:20">
      <c r="A1898" s="333" t="s">
        <v>804</v>
      </c>
      <c r="B1898" s="725">
        <v>20250422</v>
      </c>
      <c r="C1898" s="153">
        <v>7.31</v>
      </c>
      <c r="D1898" s="725" t="s">
        <v>3941</v>
      </c>
      <c r="E1898" s="149" t="s">
        <v>8114</v>
      </c>
      <c r="F1898" s="149" t="s">
        <v>3932</v>
      </c>
      <c r="G1898" s="726" t="s">
        <v>8115</v>
      </c>
      <c r="H1898" s="153" t="s">
        <v>3413</v>
      </c>
      <c r="I1898" s="153" t="s">
        <v>2955</v>
      </c>
      <c r="J1898" s="726">
        <v>22</v>
      </c>
      <c r="K1898" s="153">
        <v>20</v>
      </c>
      <c r="L1898" s="153"/>
      <c r="M1898" s="153"/>
      <c r="N1898" s="154">
        <v>3.13233790926803</v>
      </c>
      <c r="O1898" s="727">
        <v>8.19009302003749</v>
      </c>
      <c r="P1898" s="153"/>
      <c r="Q1898" s="154">
        <v>2.77648449837903</v>
      </c>
      <c r="R1898" s="727">
        <f>SUM(J1898:Q1898)</f>
        <v>56.0989154276846</v>
      </c>
      <c r="S1898" s="728" t="s">
        <v>3942</v>
      </c>
      <c r="T1898" s="149" t="s">
        <v>8116</v>
      </c>
    </row>
    <row r="1899" spans="1:20">
      <c r="A1899" s="333"/>
      <c r="B1899" s="23">
        <v>20250328</v>
      </c>
      <c r="C1899" s="21">
        <v>7.31</v>
      </c>
      <c r="D1899" s="23" t="s">
        <v>798</v>
      </c>
      <c r="E1899" s="20" t="s">
        <v>799</v>
      </c>
      <c r="F1899" s="729"/>
      <c r="G1899" s="21"/>
      <c r="H1899" s="730"/>
      <c r="I1899" s="21"/>
      <c r="J1899" s="690"/>
      <c r="K1899" s="700"/>
      <c r="L1899" s="21"/>
      <c r="M1899" s="21"/>
      <c r="N1899" s="37">
        <v>0.287990908421285</v>
      </c>
      <c r="O1899" s="22">
        <v>0.812435819104242</v>
      </c>
      <c r="P1899" s="21"/>
      <c r="Q1899" s="37">
        <v>0.2</v>
      </c>
      <c r="R1899" s="22">
        <f>SUM(J1899:Q1899)</f>
        <v>1.30042672752553</v>
      </c>
      <c r="S1899" s="38"/>
      <c r="T1899" s="23" t="s">
        <v>800</v>
      </c>
    </row>
    <row r="1901" spans="1:20">
      <c r="A1901" s="195" t="s">
        <v>8052</v>
      </c>
      <c r="B1901" s="718"/>
      <c r="C1901" s="718"/>
      <c r="D1901" s="718"/>
      <c r="E1901" s="196"/>
      <c r="F1901" s="196"/>
      <c r="G1901" s="197"/>
      <c r="H1901" s="198"/>
      <c r="I1901" s="198"/>
      <c r="J1901" s="199"/>
      <c r="K1901" s="296"/>
      <c r="L1901" s="296"/>
      <c r="M1901" s="200"/>
      <c r="N1901" s="297"/>
      <c r="O1901" s="201"/>
      <c r="P1901" s="197"/>
      <c r="Q1901" s="202"/>
      <c r="R1901" s="202"/>
      <c r="S1901" s="203"/>
      <c r="T1901" s="80"/>
    </row>
    <row r="1902" spans="1:20">
      <c r="A1902" s="224" t="s">
        <v>1</v>
      </c>
      <c r="B1902" s="719"/>
      <c r="C1902" s="720" t="s">
        <v>1404</v>
      </c>
      <c r="D1902" s="719"/>
      <c r="E1902" s="75" t="s">
        <v>5</v>
      </c>
      <c r="F1902" s="75" t="s">
        <v>1933</v>
      </c>
      <c r="G1902" s="75" t="s">
        <v>4102</v>
      </c>
      <c r="H1902" s="75" t="s">
        <v>4541</v>
      </c>
      <c r="I1902" s="75" t="s">
        <v>1497</v>
      </c>
      <c r="J1902" s="75" t="s">
        <v>4102</v>
      </c>
      <c r="K1902" s="75" t="s">
        <v>4103</v>
      </c>
      <c r="L1902" s="75" t="s">
        <v>4104</v>
      </c>
      <c r="M1902" s="75" t="s">
        <v>1497</v>
      </c>
      <c r="N1902" s="75" t="s">
        <v>6</v>
      </c>
      <c r="O1902" s="75" t="s">
        <v>7</v>
      </c>
      <c r="P1902" s="75" t="s">
        <v>5211</v>
      </c>
      <c r="Q1902" s="75" t="s">
        <v>8</v>
      </c>
      <c r="R1902" s="75" t="s">
        <v>9</v>
      </c>
      <c r="S1902" s="75" t="s">
        <v>4105</v>
      </c>
      <c r="T1902" s="75" t="s">
        <v>10</v>
      </c>
    </row>
    <row r="1903" ht="15" spans="1:20">
      <c r="A1903" s="333" t="s">
        <v>7414</v>
      </c>
      <c r="B1903" s="23">
        <v>20241031</v>
      </c>
      <c r="C1903" s="23">
        <v>7.31</v>
      </c>
      <c r="D1903" s="23" t="s">
        <v>7690</v>
      </c>
      <c r="E1903" s="20" t="s">
        <v>1581</v>
      </c>
      <c r="F1903" s="688" t="s">
        <v>4122</v>
      </c>
      <c r="G1903" s="21" t="s">
        <v>2566</v>
      </c>
      <c r="H1903" s="21" t="s">
        <v>4248</v>
      </c>
      <c r="I1903" s="21" t="s">
        <v>4343</v>
      </c>
      <c r="J1903" s="731" t="s">
        <v>1428</v>
      </c>
      <c r="K1903" s="138" t="s">
        <v>8117</v>
      </c>
      <c r="L1903" s="21"/>
      <c r="M1903" s="21">
        <v>3.68</v>
      </c>
      <c r="N1903" s="22">
        <v>3.07774124489073</v>
      </c>
      <c r="O1903" s="22">
        <v>16.3316114377211</v>
      </c>
      <c r="P1903" s="37"/>
      <c r="Q1903" s="37">
        <v>2.9827422863417</v>
      </c>
      <c r="R1903" s="37">
        <f>SUM(J1903:Q1903)</f>
        <v>26.0720949689535</v>
      </c>
      <c r="S1903" s="167" t="s">
        <v>4001</v>
      </c>
      <c r="T1903" s="23" t="s">
        <v>8118</v>
      </c>
    </row>
    <row r="1904" spans="1:20">
      <c r="A1904" s="333"/>
      <c r="B1904" s="732">
        <v>20240925</v>
      </c>
      <c r="C1904" s="23">
        <v>7.31</v>
      </c>
      <c r="D1904" s="732" t="s">
        <v>202</v>
      </c>
      <c r="E1904" s="20" t="s">
        <v>203</v>
      </c>
      <c r="F1904" s="23"/>
      <c r="G1904" s="21"/>
      <c r="H1904" s="21"/>
      <c r="I1904" s="21"/>
      <c r="J1904" s="36"/>
      <c r="K1904" s="36"/>
      <c r="L1904" s="36"/>
      <c r="M1904" s="36"/>
      <c r="N1904" s="22">
        <v>0.374944815103835</v>
      </c>
      <c r="O1904" s="22">
        <v>1.23924859982264</v>
      </c>
      <c r="P1904" s="21" t="s">
        <v>1428</v>
      </c>
      <c r="Q1904" s="37">
        <v>0.2</v>
      </c>
      <c r="R1904" s="37">
        <f>SUM(J1904:Q1904)</f>
        <v>1.81419341492647</v>
      </c>
      <c r="S1904" s="38"/>
      <c r="T1904" s="23"/>
    </row>
    <row r="1905" spans="1:20">
      <c r="A1905" s="333"/>
      <c r="D1905" s="733" t="s">
        <v>7520</v>
      </c>
      <c r="E1905" s="20" t="s">
        <v>7650</v>
      </c>
      <c r="F1905" s="734" t="s">
        <v>8119</v>
      </c>
      <c r="G1905" s="333"/>
      <c r="H1905" s="333"/>
      <c r="I1905" s="333"/>
      <c r="J1905" s="333"/>
      <c r="K1905" s="333"/>
      <c r="L1905" s="333"/>
      <c r="M1905" s="333"/>
      <c r="N1905" s="333"/>
      <c r="O1905" s="333"/>
      <c r="P1905" s="333"/>
      <c r="Q1905" s="333"/>
      <c r="R1905" s="735">
        <v>51.5</v>
      </c>
      <c r="S1905" s="333"/>
      <c r="T1905" s="333"/>
    </row>
    <row r="1908" ht="15.6" spans="1:20">
      <c r="A1908" s="684" t="s">
        <v>8076</v>
      </c>
      <c r="B1908" s="11"/>
      <c r="C1908" s="11"/>
      <c r="D1908" s="11"/>
      <c r="E1908" s="127"/>
      <c r="F1908" s="127"/>
      <c r="G1908" s="13"/>
      <c r="H1908" s="14"/>
      <c r="I1908" s="14"/>
      <c r="J1908" s="128"/>
      <c r="K1908" s="129"/>
      <c r="L1908" s="129"/>
      <c r="M1908" s="129"/>
      <c r="N1908" s="15"/>
      <c r="O1908" s="15"/>
      <c r="P1908" s="13"/>
      <c r="Q1908" s="130"/>
      <c r="R1908" s="130"/>
      <c r="S1908" s="12"/>
      <c r="T1908" s="131"/>
    </row>
    <row r="1909" spans="1:20">
      <c r="A1909" s="224" t="s">
        <v>1</v>
      </c>
      <c r="B1909" s="719"/>
      <c r="C1909" s="720" t="s">
        <v>1404</v>
      </c>
      <c r="D1909" s="719"/>
      <c r="E1909" s="75" t="s">
        <v>5</v>
      </c>
      <c r="F1909" s="75" t="s">
        <v>1933</v>
      </c>
      <c r="G1909" s="75" t="s">
        <v>4102</v>
      </c>
      <c r="H1909" s="75" t="s">
        <v>4541</v>
      </c>
      <c r="I1909" s="75" t="s">
        <v>1497</v>
      </c>
      <c r="J1909" s="75" t="s">
        <v>4102</v>
      </c>
      <c r="K1909" s="75" t="s">
        <v>4103</v>
      </c>
      <c r="L1909" s="75" t="s">
        <v>4104</v>
      </c>
      <c r="M1909" s="75" t="s">
        <v>1497</v>
      </c>
      <c r="N1909" s="75" t="s">
        <v>6</v>
      </c>
      <c r="O1909" s="75" t="s">
        <v>7</v>
      </c>
      <c r="P1909" s="75" t="s">
        <v>5211</v>
      </c>
      <c r="Q1909" s="75" t="s">
        <v>8</v>
      </c>
      <c r="R1909" s="75" t="s">
        <v>9</v>
      </c>
      <c r="S1909" s="75" t="s">
        <v>4105</v>
      </c>
      <c r="T1909" s="75" t="s">
        <v>10</v>
      </c>
    </row>
    <row r="1910" ht="15" spans="1:20">
      <c r="A1910" s="736" t="s">
        <v>3547</v>
      </c>
      <c r="B1910" s="737">
        <v>202401016</v>
      </c>
      <c r="C1910" s="738">
        <v>7.31</v>
      </c>
      <c r="D1910" s="737" t="s">
        <v>3598</v>
      </c>
      <c r="E1910" s="739" t="s">
        <v>2395</v>
      </c>
      <c r="F1910" s="740" t="s">
        <v>3599</v>
      </c>
      <c r="G1910" s="738" t="s">
        <v>3542</v>
      </c>
      <c r="H1910" s="738" t="s">
        <v>1913</v>
      </c>
      <c r="I1910" s="738" t="s">
        <v>1428</v>
      </c>
      <c r="J1910" s="741">
        <v>30</v>
      </c>
      <c r="K1910" s="738" t="s">
        <v>1428</v>
      </c>
      <c r="L1910" s="738" t="s">
        <v>1428</v>
      </c>
      <c r="M1910" s="738" t="s">
        <v>1428</v>
      </c>
      <c r="N1910" s="742">
        <v>3.30236750776118</v>
      </c>
      <c r="O1910" s="743">
        <v>11.2192437944631</v>
      </c>
      <c r="P1910" s="738" t="s">
        <v>1428</v>
      </c>
      <c r="Q1910" s="742">
        <v>3</v>
      </c>
      <c r="R1910" s="743">
        <v>47.5216113022243</v>
      </c>
      <c r="S1910" s="744" t="s">
        <v>2854</v>
      </c>
      <c r="T1910" s="745" t="s">
        <v>8120</v>
      </c>
    </row>
    <row r="1911" ht="15" spans="1:20">
      <c r="A1911" s="746"/>
      <c r="B1911" s="737">
        <v>20241105</v>
      </c>
      <c r="C1911" s="738">
        <v>7.31</v>
      </c>
      <c r="D1911" s="737" t="s">
        <v>789</v>
      </c>
      <c r="E1911" s="739" t="s">
        <v>3621</v>
      </c>
      <c r="F1911" s="740"/>
      <c r="G1911" s="738"/>
      <c r="H1911" s="738"/>
      <c r="I1911" s="738"/>
      <c r="J1911" s="738"/>
      <c r="K1911" s="738"/>
      <c r="L1911" s="738"/>
      <c r="M1911" s="738"/>
      <c r="N1911" s="742">
        <v>0.433345238736107</v>
      </c>
      <c r="O1911" s="743">
        <v>1.14321347752879</v>
      </c>
      <c r="P1911" s="738"/>
      <c r="Q1911" s="742">
        <v>0.2</v>
      </c>
      <c r="R1911" s="743">
        <v>1.7765587162649</v>
      </c>
      <c r="S1911" s="744"/>
      <c r="T1911" s="737"/>
    </row>
    <row r="1914" ht="15.6" spans="1:20">
      <c r="A1914" s="684" t="s">
        <v>8076</v>
      </c>
      <c r="B1914" s="11"/>
      <c r="C1914" s="11"/>
      <c r="D1914" s="11"/>
      <c r="E1914" s="127"/>
      <c r="F1914" s="127"/>
      <c r="G1914" s="13"/>
      <c r="H1914" s="14"/>
      <c r="I1914" s="14"/>
      <c r="J1914" s="128"/>
      <c r="K1914" s="129"/>
      <c r="L1914" s="129"/>
      <c r="M1914" s="129"/>
      <c r="N1914" s="15"/>
      <c r="O1914" s="15"/>
      <c r="P1914" s="13"/>
      <c r="Q1914" s="130"/>
      <c r="R1914" s="130"/>
      <c r="S1914" s="12"/>
      <c r="T1914" s="131"/>
    </row>
    <row r="1915" spans="1:20">
      <c r="A1915" s="224" t="s">
        <v>1</v>
      </c>
      <c r="B1915" s="719"/>
      <c r="C1915" s="720" t="s">
        <v>1404</v>
      </c>
      <c r="D1915" s="719"/>
      <c r="E1915" s="75" t="s">
        <v>5</v>
      </c>
      <c r="F1915" s="75" t="s">
        <v>1933</v>
      </c>
      <c r="G1915" s="75" t="s">
        <v>4102</v>
      </c>
      <c r="H1915" s="75" t="s">
        <v>4541</v>
      </c>
      <c r="I1915" s="75" t="s">
        <v>1497</v>
      </c>
      <c r="J1915" s="75" t="s">
        <v>4102</v>
      </c>
      <c r="K1915" s="75" t="s">
        <v>4103</v>
      </c>
      <c r="L1915" s="75" t="s">
        <v>4104</v>
      </c>
      <c r="M1915" s="75" t="s">
        <v>1497</v>
      </c>
      <c r="N1915" s="75" t="s">
        <v>6</v>
      </c>
      <c r="O1915" s="75" t="s">
        <v>7</v>
      </c>
      <c r="P1915" s="75" t="s">
        <v>5211</v>
      </c>
      <c r="Q1915" s="75" t="s">
        <v>8</v>
      </c>
      <c r="R1915" s="75" t="s">
        <v>9</v>
      </c>
      <c r="S1915" s="75" t="s">
        <v>4105</v>
      </c>
      <c r="T1915" s="75" t="s">
        <v>10</v>
      </c>
    </row>
    <row r="1916" ht="15" spans="1:20">
      <c r="A1916" s="736" t="s">
        <v>3547</v>
      </c>
      <c r="B1916" s="737">
        <v>202401016</v>
      </c>
      <c r="C1916" s="738">
        <v>7.31</v>
      </c>
      <c r="D1916" s="737" t="s">
        <v>3598</v>
      </c>
      <c r="E1916" s="739" t="s">
        <v>2395</v>
      </c>
      <c r="F1916" s="740" t="s">
        <v>3599</v>
      </c>
      <c r="G1916" s="738" t="s">
        <v>3542</v>
      </c>
      <c r="H1916" s="738" t="s">
        <v>1913</v>
      </c>
      <c r="I1916" s="738" t="s">
        <v>1428</v>
      </c>
      <c r="J1916" s="741">
        <v>32</v>
      </c>
      <c r="K1916" s="738" t="s">
        <v>1428</v>
      </c>
      <c r="L1916" s="738" t="s">
        <v>1428</v>
      </c>
      <c r="M1916" s="738" t="s">
        <v>1428</v>
      </c>
      <c r="N1916" s="742">
        <v>3.30236750776118</v>
      </c>
      <c r="O1916" s="743">
        <v>11.2192437944631</v>
      </c>
      <c r="P1916" s="738" t="s">
        <v>1428</v>
      </c>
      <c r="Q1916" s="742">
        <v>3</v>
      </c>
      <c r="R1916" s="743">
        <v>47.5216113022243</v>
      </c>
      <c r="S1916" s="744" t="s">
        <v>2854</v>
      </c>
      <c r="T1916" s="745" t="s">
        <v>8120</v>
      </c>
    </row>
    <row r="1917" ht="15" spans="1:20">
      <c r="A1917" s="746"/>
      <c r="B1917" s="737">
        <v>20241105</v>
      </c>
      <c r="C1917" s="738">
        <v>7.31</v>
      </c>
      <c r="D1917" s="737" t="s">
        <v>789</v>
      </c>
      <c r="E1917" s="739" t="s">
        <v>3621</v>
      </c>
      <c r="F1917" s="740"/>
      <c r="G1917" s="738"/>
      <c r="H1917" s="738"/>
      <c r="I1917" s="738"/>
      <c r="J1917" s="738"/>
      <c r="K1917" s="738"/>
      <c r="L1917" s="738"/>
      <c r="M1917" s="738"/>
      <c r="N1917" s="742">
        <v>0.433345238736107</v>
      </c>
      <c r="O1917" s="743">
        <v>1.14321347752879</v>
      </c>
      <c r="P1917" s="738"/>
      <c r="Q1917" s="742">
        <v>0.2</v>
      </c>
      <c r="R1917" s="743">
        <v>1.7765587162649</v>
      </c>
      <c r="S1917" s="744"/>
      <c r="T1917" s="737"/>
    </row>
    <row r="1918" spans="1:20">
      <c r="A1918" s="182" t="s">
        <v>7411</v>
      </c>
    </row>
    <row r="1920" ht="15.6" spans="1:20">
      <c r="A1920" s="684" t="s">
        <v>8076</v>
      </c>
      <c r="B1920" s="11"/>
      <c r="C1920" s="11"/>
      <c r="D1920" s="11"/>
      <c r="E1920" s="127"/>
      <c r="F1920" s="127"/>
      <c r="G1920" s="13"/>
      <c r="H1920" s="14"/>
      <c r="I1920" s="14"/>
      <c r="J1920" s="128"/>
      <c r="K1920" s="129"/>
      <c r="L1920" s="129"/>
      <c r="M1920" s="129"/>
      <c r="N1920" s="15"/>
      <c r="O1920" s="15"/>
      <c r="P1920" s="13"/>
      <c r="Q1920" s="130"/>
      <c r="R1920" s="130"/>
      <c r="S1920" s="12"/>
      <c r="T1920" s="131"/>
    </row>
    <row r="1921" spans="1:20">
      <c r="A1921" s="224" t="s">
        <v>1</v>
      </c>
      <c r="B1921" s="719"/>
      <c r="C1921" s="720" t="s">
        <v>1404</v>
      </c>
      <c r="D1921" s="719"/>
      <c r="E1921" s="75" t="s">
        <v>5</v>
      </c>
      <c r="F1921" s="75" t="s">
        <v>1933</v>
      </c>
      <c r="G1921" s="75" t="s">
        <v>4102</v>
      </c>
      <c r="H1921" s="75" t="s">
        <v>4541</v>
      </c>
      <c r="I1921" s="75" t="s">
        <v>1497</v>
      </c>
      <c r="J1921" s="75" t="s">
        <v>4102</v>
      </c>
      <c r="K1921" s="75" t="s">
        <v>4103</v>
      </c>
      <c r="L1921" s="75" t="s">
        <v>4104</v>
      </c>
      <c r="M1921" s="75" t="s">
        <v>1497</v>
      </c>
      <c r="N1921" s="75" t="s">
        <v>6</v>
      </c>
      <c r="O1921" s="75" t="s">
        <v>7</v>
      </c>
      <c r="P1921" s="75" t="s">
        <v>5211</v>
      </c>
      <c r="Q1921" s="75" t="s">
        <v>8</v>
      </c>
      <c r="R1921" s="75" t="s">
        <v>9</v>
      </c>
      <c r="S1921" s="75" t="s">
        <v>4105</v>
      </c>
      <c r="T1921" s="75" t="s">
        <v>10</v>
      </c>
    </row>
    <row r="1922" ht="15" spans="1:20">
      <c r="A1922" s="736" t="s">
        <v>3547</v>
      </c>
      <c r="B1922" s="737">
        <v>202401016</v>
      </c>
      <c r="C1922" s="738">
        <v>7.31</v>
      </c>
      <c r="D1922" s="737" t="s">
        <v>3598</v>
      </c>
      <c r="E1922" s="739" t="s">
        <v>2395</v>
      </c>
      <c r="F1922" s="740" t="s">
        <v>3599</v>
      </c>
      <c r="G1922" s="738" t="s">
        <v>3542</v>
      </c>
      <c r="H1922" s="738" t="s">
        <v>1913</v>
      </c>
      <c r="I1922" s="738" t="s">
        <v>1428</v>
      </c>
      <c r="J1922" s="741">
        <v>32</v>
      </c>
      <c r="K1922" s="738" t="s">
        <v>1428</v>
      </c>
      <c r="L1922" s="738" t="s">
        <v>1428</v>
      </c>
      <c r="M1922" s="738" t="s">
        <v>1428</v>
      </c>
      <c r="N1922" s="747">
        <v>3.14</v>
      </c>
      <c r="O1922" s="748">
        <v>10.3307458102789</v>
      </c>
      <c r="P1922" s="738" t="s">
        <v>1428</v>
      </c>
      <c r="Q1922" s="742">
        <v>3</v>
      </c>
      <c r="R1922" s="743">
        <v>47.5216113022243</v>
      </c>
      <c r="S1922" s="744" t="s">
        <v>2854</v>
      </c>
      <c r="T1922" s="745" t="s">
        <v>8120</v>
      </c>
    </row>
    <row r="1923" ht="15" spans="1:20">
      <c r="A1923" s="746"/>
      <c r="B1923" s="737">
        <v>20241105</v>
      </c>
      <c r="C1923" s="738">
        <v>7.31</v>
      </c>
      <c r="D1923" s="737" t="s">
        <v>789</v>
      </c>
      <c r="E1923" s="739" t="s">
        <v>3621</v>
      </c>
      <c r="F1923" s="740"/>
      <c r="G1923" s="738"/>
      <c r="H1923" s="738"/>
      <c r="I1923" s="738"/>
      <c r="J1923" s="738"/>
      <c r="K1923" s="738"/>
      <c r="L1923" s="738"/>
      <c r="M1923" s="738"/>
      <c r="N1923" s="742">
        <v>0.433345238736107</v>
      </c>
      <c r="O1923" s="748">
        <v>1.03122224315001</v>
      </c>
      <c r="P1923" s="738"/>
      <c r="Q1923" s="742">
        <v>0.2</v>
      </c>
      <c r="R1923" s="743">
        <v>1.7765587162649</v>
      </c>
      <c r="S1923" s="744"/>
      <c r="T1923" s="737"/>
    </row>
    <row r="1924" spans="1:20">
      <c r="A1924" s="182" t="s">
        <v>7413</v>
      </c>
    </row>
    <row r="1927" spans="1:20">
      <c r="N1927" s="594" t="s">
        <v>8121</v>
      </c>
      <c r="O1927" s="595" t="s">
        <v>7862</v>
      </c>
      <c r="Q1927" s="594" t="s">
        <v>8122</v>
      </c>
      <c r="R1927" s="595" t="s">
        <v>7862</v>
      </c>
    </row>
    <row r="1928" spans="1:20">
      <c r="N1928" s="594" t="s">
        <v>7822</v>
      </c>
      <c r="O1928" s="590">
        <f>N1916+O1916+Q1916</f>
        <v>17.5216113022243</v>
      </c>
      <c r="Q1928" s="594" t="s">
        <v>7822</v>
      </c>
      <c r="R1928" s="590">
        <f>N1917+O1917+Q1917</f>
        <v>1.7765587162649</v>
      </c>
    </row>
    <row r="1929" spans="1:20">
      <c r="N1929" s="594" t="s">
        <v>7823</v>
      </c>
      <c r="O1929" s="590">
        <f>N1922+O1922+Q1922</f>
        <v>16.4707458102789</v>
      </c>
      <c r="Q1929" s="594" t="s">
        <v>7823</v>
      </c>
      <c r="R1929" s="590">
        <f>N1923+O1923+Q1923</f>
        <v>1.66456748188612</v>
      </c>
    </row>
    <row r="1930" spans="1:20">
      <c r="N1930" s="594" t="s">
        <v>7863</v>
      </c>
      <c r="O1930" s="634">
        <f>O1928-O1929</f>
        <v>1.05086549194538</v>
      </c>
      <c r="Q1930" s="594" t="s">
        <v>7863</v>
      </c>
      <c r="R1930" s="634">
        <f>R1928-R1929</f>
        <v>0.11199123437878</v>
      </c>
    </row>
    <row r="1932" ht="15.6" spans="1:20">
      <c r="A1932" s="684" t="s">
        <v>8076</v>
      </c>
      <c r="B1932" s="11"/>
      <c r="C1932" s="11"/>
      <c r="D1932" s="11"/>
      <c r="E1932" s="127"/>
      <c r="F1932" s="127"/>
      <c r="G1932" s="13"/>
      <c r="H1932" s="14"/>
      <c r="I1932" s="14"/>
      <c r="J1932" s="128"/>
      <c r="K1932" s="129"/>
      <c r="L1932" s="129"/>
      <c r="M1932" s="129"/>
      <c r="N1932" s="15"/>
      <c r="O1932" s="15"/>
      <c r="P1932" s="13"/>
      <c r="Q1932" s="130"/>
      <c r="R1932" s="130"/>
      <c r="S1932" s="12"/>
      <c r="T1932" s="131"/>
    </row>
    <row r="1933" spans="1:20">
      <c r="A1933" s="224" t="s">
        <v>1</v>
      </c>
      <c r="B1933" s="719"/>
      <c r="C1933" s="720" t="s">
        <v>1404</v>
      </c>
      <c r="D1933" s="719"/>
      <c r="E1933" s="75" t="s">
        <v>5</v>
      </c>
      <c r="F1933" s="75" t="s">
        <v>1933</v>
      </c>
      <c r="G1933" s="75" t="s">
        <v>4102</v>
      </c>
      <c r="H1933" s="75" t="s">
        <v>4541</v>
      </c>
      <c r="I1933" s="75" t="s">
        <v>1497</v>
      </c>
      <c r="J1933" s="75" t="s">
        <v>4102</v>
      </c>
      <c r="K1933" s="75" t="s">
        <v>4103</v>
      </c>
      <c r="L1933" s="75" t="s">
        <v>4104</v>
      </c>
      <c r="M1933" s="75" t="s">
        <v>1497</v>
      </c>
      <c r="N1933" s="75" t="s">
        <v>6</v>
      </c>
      <c r="O1933" s="75" t="s">
        <v>7</v>
      </c>
      <c r="P1933" s="75" t="s">
        <v>5211</v>
      </c>
      <c r="Q1933" s="75" t="s">
        <v>8</v>
      </c>
      <c r="R1933" s="75" t="s">
        <v>9</v>
      </c>
      <c r="S1933" s="75" t="s">
        <v>4105</v>
      </c>
      <c r="T1933" s="75" t="s">
        <v>10</v>
      </c>
    </row>
    <row r="1934" ht="15" hidden="1" spans="1:20">
      <c r="A1934" s="749" t="s">
        <v>1181</v>
      </c>
      <c r="B1934" s="35">
        <v>20250305</v>
      </c>
      <c r="C1934" s="23">
        <v>7.31</v>
      </c>
      <c r="D1934" s="23" t="s">
        <v>8123</v>
      </c>
      <c r="E1934" s="23" t="s">
        <v>1571</v>
      </c>
      <c r="F1934" s="750" t="s">
        <v>4239</v>
      </c>
      <c r="G1934" s="21" t="s">
        <v>8124</v>
      </c>
      <c r="H1934" s="21" t="s">
        <v>4474</v>
      </c>
      <c r="I1934" s="21" t="s">
        <v>1635</v>
      </c>
      <c r="J1934" s="21" t="s">
        <v>1428</v>
      </c>
      <c r="K1934" s="21">
        <f>7*4</f>
        <v>28</v>
      </c>
      <c r="L1934" s="21"/>
      <c r="M1934" s="21">
        <v>3.3</v>
      </c>
      <c r="N1934" s="37">
        <v>3.18828196521208</v>
      </c>
      <c r="O1934" s="37">
        <v>15.3746141690325</v>
      </c>
      <c r="P1934" s="37"/>
      <c r="Q1934" s="37">
        <v>5</v>
      </c>
      <c r="R1934" s="37">
        <f>SUM(J1934:Q1934)</f>
        <v>54.8628961342446</v>
      </c>
      <c r="S1934" s="38" t="s">
        <v>3977</v>
      </c>
      <c r="T1934" s="35" t="s">
        <v>8125</v>
      </c>
    </row>
    <row r="1935" ht="15" spans="1:20">
      <c r="A1935" s="594"/>
      <c r="B1935" s="35">
        <v>20241023</v>
      </c>
      <c r="C1935" s="23">
        <v>7.31</v>
      </c>
      <c r="D1935" s="708" t="s">
        <v>187</v>
      </c>
      <c r="E1935" s="35" t="s">
        <v>188</v>
      </c>
      <c r="F1935" s="23"/>
      <c r="G1935" s="21"/>
      <c r="H1935" s="21"/>
      <c r="I1935" s="21"/>
      <c r="J1935" s="36"/>
      <c r="K1935" s="36"/>
      <c r="L1935" s="36"/>
      <c r="M1935" s="36"/>
      <c r="N1935" s="22">
        <v>0.444047272494986</v>
      </c>
      <c r="O1935" s="22">
        <v>1.50392434196621</v>
      </c>
      <c r="P1935" s="21"/>
      <c r="Q1935" s="37">
        <v>0.2</v>
      </c>
      <c r="R1935" s="37">
        <f>SUM(J1935:Q1935)</f>
        <v>2.1479716144612</v>
      </c>
      <c r="S1935" s="38"/>
      <c r="T1935" s="751" t="s">
        <v>7421</v>
      </c>
    </row>
    <row r="1936" spans="1:20">
      <c r="A1936" s="594"/>
      <c r="B1936" s="35">
        <v>20250305</v>
      </c>
      <c r="C1936" s="23">
        <v>7.31</v>
      </c>
      <c r="D1936" s="23" t="s">
        <v>7855</v>
      </c>
      <c r="E1936" s="23" t="s">
        <v>1604</v>
      </c>
      <c r="F1936" s="750" t="s">
        <v>4239</v>
      </c>
      <c r="G1936" s="21" t="s">
        <v>4331</v>
      </c>
      <c r="H1936" s="21" t="s">
        <v>4174</v>
      </c>
      <c r="I1936" s="21" t="s">
        <v>1635</v>
      </c>
      <c r="J1936" s="700">
        <v>170</v>
      </c>
      <c r="K1936" s="700">
        <f>7*4</f>
        <v>28</v>
      </c>
      <c r="L1936" s="21"/>
      <c r="M1936" s="21">
        <v>3.3</v>
      </c>
      <c r="N1936" s="37">
        <v>3.18828196521208</v>
      </c>
      <c r="O1936" s="37">
        <v>14.89640635138</v>
      </c>
      <c r="P1936" s="37"/>
      <c r="Q1936" s="37">
        <v>5</v>
      </c>
      <c r="R1936" s="37">
        <f>SUM(J1936:Q1936)</f>
        <v>224.384688316592</v>
      </c>
      <c r="S1936" s="38" t="s">
        <v>4976</v>
      </c>
      <c r="T1936" s="35" t="s">
        <v>8126</v>
      </c>
    </row>
    <row r="1937" spans="1:20">
      <c r="A1937" s="191"/>
    </row>
    <row r="1938" spans="1:20">
      <c r="A1938" s="191"/>
    </row>
    <row r="1941" ht="15.6" spans="1:20">
      <c r="A1941" s="11" t="s">
        <v>8127</v>
      </c>
      <c r="B1941" s="11"/>
      <c r="C1941" s="11"/>
      <c r="D1941" s="11"/>
      <c r="E1941" s="127"/>
      <c r="F1941" s="127"/>
      <c r="G1941" s="13"/>
      <c r="H1941" s="14"/>
      <c r="I1941" s="14"/>
      <c r="J1941" s="128"/>
      <c r="K1941" s="129"/>
      <c r="L1941" s="685"/>
      <c r="M1941" s="129"/>
      <c r="N1941" s="15"/>
      <c r="O1941" s="15"/>
      <c r="P1941" s="13"/>
      <c r="Q1941" s="130"/>
      <c r="R1941" s="130"/>
      <c r="S1941" s="12"/>
      <c r="T1941" s="131"/>
    </row>
    <row r="1942" ht="15.6" spans="1:20">
      <c r="A1942" s="752" t="s">
        <v>1</v>
      </c>
      <c r="B1942" s="753" t="s">
        <v>2</v>
      </c>
      <c r="C1942" s="754" t="s">
        <v>1404</v>
      </c>
      <c r="D1942" s="753" t="s">
        <v>4</v>
      </c>
      <c r="E1942" s="18" t="s">
        <v>5</v>
      </c>
      <c r="F1942" s="18" t="s">
        <v>1933</v>
      </c>
      <c r="G1942" s="18" t="s">
        <v>4102</v>
      </c>
      <c r="H1942" s="141" t="s">
        <v>4541</v>
      </c>
      <c r="I1942" s="18" t="s">
        <v>1497</v>
      </c>
      <c r="J1942" s="18" t="s">
        <v>4102</v>
      </c>
      <c r="K1942" s="18" t="s">
        <v>4103</v>
      </c>
      <c r="L1942" s="18" t="s">
        <v>4104</v>
      </c>
      <c r="M1942" s="18" t="s">
        <v>1497</v>
      </c>
      <c r="N1942" s="18" t="s">
        <v>6</v>
      </c>
      <c r="O1942" s="18" t="s">
        <v>7</v>
      </c>
      <c r="P1942" s="141" t="s">
        <v>5211</v>
      </c>
      <c r="Q1942" s="18" t="s">
        <v>8</v>
      </c>
      <c r="R1942" s="18" t="s">
        <v>9</v>
      </c>
      <c r="S1942" s="18" t="s">
        <v>4105</v>
      </c>
      <c r="T1942" s="141" t="s">
        <v>10</v>
      </c>
    </row>
    <row r="1943" ht="15" spans="1:20">
      <c r="A1943" s="23" t="s">
        <v>8128</v>
      </c>
      <c r="B1943" s="687">
        <v>20241218</v>
      </c>
      <c r="C1943" s="21">
        <v>7.31</v>
      </c>
      <c r="D1943" s="687" t="s">
        <v>4020</v>
      </c>
      <c r="E1943" s="755" t="s">
        <v>1617</v>
      </c>
      <c r="F1943" s="729" t="s">
        <v>4021</v>
      </c>
      <c r="G1943" s="21" t="s">
        <v>3542</v>
      </c>
      <c r="H1943" s="21" t="s">
        <v>3711</v>
      </c>
      <c r="I1943" s="21" t="s">
        <v>1633</v>
      </c>
      <c r="J1943" s="700">
        <v>32</v>
      </c>
      <c r="K1943" s="21">
        <v>4</v>
      </c>
      <c r="L1943" s="138">
        <v>6.6</v>
      </c>
      <c r="M1943" s="21">
        <v>1.7</v>
      </c>
      <c r="N1943" s="22">
        <v>2.83794459702302</v>
      </c>
      <c r="O1943" s="22">
        <v>7.63412735436759</v>
      </c>
      <c r="P1943" s="21"/>
      <c r="Q1943" s="37">
        <v>2.90875801037534</v>
      </c>
      <c r="R1943" s="37">
        <f>SUM(J1943:Q1943)</f>
        <v>57.680829961766</v>
      </c>
      <c r="S1943" s="756" t="s">
        <v>4022</v>
      </c>
      <c r="T1943" s="23" t="s">
        <v>8129</v>
      </c>
    </row>
    <row r="1944" spans="1:20">
      <c r="A1944" s="333"/>
      <c r="B1944" s="23">
        <v>20241129</v>
      </c>
      <c r="C1944" s="21">
        <v>7.31</v>
      </c>
      <c r="D1944" s="23" t="s">
        <v>1133</v>
      </c>
      <c r="E1944" s="35" t="s">
        <v>7004</v>
      </c>
      <c r="F1944" s="35"/>
      <c r="G1944" s="703"/>
      <c r="H1944" s="21"/>
      <c r="I1944" s="21"/>
      <c r="J1944" s="21"/>
      <c r="K1944" s="21"/>
      <c r="L1944" s="21"/>
      <c r="M1944" s="21"/>
      <c r="N1944" s="37">
        <v>0.252299727463091</v>
      </c>
      <c r="O1944" s="22">
        <v>0.524677135184954</v>
      </c>
      <c r="P1944" s="21" t="s">
        <v>1428</v>
      </c>
      <c r="Q1944" s="37">
        <v>0.2</v>
      </c>
      <c r="R1944" s="22">
        <f>SUM(J1944:Q1944)</f>
        <v>0.976976862648045</v>
      </c>
      <c r="S1944" s="756"/>
      <c r="T1944" s="20" t="s">
        <v>484</v>
      </c>
    </row>
    <row r="1947" ht="15.6" spans="1:20">
      <c r="A1947" s="11" t="s">
        <v>8127</v>
      </c>
      <c r="B1947" s="11"/>
      <c r="C1947" s="11"/>
      <c r="D1947" s="11"/>
      <c r="E1947" s="127"/>
      <c r="F1947" s="127"/>
      <c r="G1947" s="13"/>
      <c r="H1947" s="14"/>
      <c r="I1947" s="14"/>
      <c r="J1947" s="128"/>
      <c r="K1947" s="129"/>
      <c r="L1947" s="685"/>
      <c r="M1947" s="129"/>
      <c r="N1947" s="15"/>
      <c r="O1947" s="15"/>
      <c r="P1947" s="13"/>
      <c r="Q1947" s="130"/>
      <c r="R1947" s="130"/>
      <c r="S1947" s="12"/>
      <c r="T1947" s="131"/>
    </row>
    <row r="1948" ht="15.6" spans="1:20">
      <c r="A1948" s="752" t="s">
        <v>1</v>
      </c>
      <c r="B1948" s="753" t="s">
        <v>2</v>
      </c>
      <c r="C1948" s="754" t="s">
        <v>1404</v>
      </c>
      <c r="D1948" s="753" t="s">
        <v>4</v>
      </c>
      <c r="E1948" s="18" t="s">
        <v>5</v>
      </c>
      <c r="F1948" s="18" t="s">
        <v>1933</v>
      </c>
      <c r="G1948" s="18" t="s">
        <v>4102</v>
      </c>
      <c r="H1948" s="141" t="s">
        <v>4541</v>
      </c>
      <c r="I1948" s="18" t="s">
        <v>1497</v>
      </c>
      <c r="J1948" s="18" t="s">
        <v>4102</v>
      </c>
      <c r="K1948" s="18" t="s">
        <v>4103</v>
      </c>
      <c r="L1948" s="18" t="s">
        <v>4104</v>
      </c>
      <c r="M1948" s="18" t="s">
        <v>1497</v>
      </c>
      <c r="N1948" s="18" t="s">
        <v>6</v>
      </c>
      <c r="O1948" s="18" t="s">
        <v>7</v>
      </c>
      <c r="P1948" s="141" t="s">
        <v>5211</v>
      </c>
      <c r="Q1948" s="18" t="s">
        <v>8</v>
      </c>
      <c r="R1948" s="18" t="s">
        <v>9</v>
      </c>
      <c r="S1948" s="18" t="s">
        <v>4105</v>
      </c>
      <c r="T1948" s="141" t="s">
        <v>10</v>
      </c>
    </row>
    <row r="1949" ht="15" spans="1:20">
      <c r="A1949" s="594" t="s">
        <v>984</v>
      </c>
      <c r="B1949" s="23">
        <v>20250219</v>
      </c>
      <c r="C1949" s="21">
        <v>7.31</v>
      </c>
      <c r="D1949" s="23" t="s">
        <v>3461</v>
      </c>
      <c r="E1949" s="695" t="s">
        <v>1998</v>
      </c>
      <c r="F1949" s="35" t="s">
        <v>4065</v>
      </c>
      <c r="G1949" s="757" t="s">
        <v>3794</v>
      </c>
      <c r="H1949" s="21" t="s">
        <v>3463</v>
      </c>
      <c r="I1949" s="21" t="s">
        <v>1635</v>
      </c>
      <c r="J1949" s="700">
        <v>27</v>
      </c>
      <c r="K1949" s="21">
        <v>6.6</v>
      </c>
      <c r="L1949" s="700">
        <v>3.6</v>
      </c>
      <c r="M1949" s="689">
        <v>3.3</v>
      </c>
      <c r="N1949" s="22">
        <v>3.16045937333366</v>
      </c>
      <c r="O1949" s="22">
        <v>24.5894329904312</v>
      </c>
      <c r="P1949" s="21" t="s">
        <v>1428</v>
      </c>
      <c r="Q1949" s="37">
        <v>3</v>
      </c>
      <c r="R1949" s="22">
        <v>71.2498923637649</v>
      </c>
      <c r="S1949" s="758" t="s">
        <v>4066</v>
      </c>
      <c r="T1949" s="759" t="s">
        <v>4067</v>
      </c>
    </row>
    <row r="1952" ht="15.6" spans="1:20">
      <c r="A1952" s="11" t="s">
        <v>8127</v>
      </c>
      <c r="B1952" s="11"/>
      <c r="C1952" s="11"/>
      <c r="D1952" s="11"/>
      <c r="E1952" s="127"/>
      <c r="F1952" s="127"/>
      <c r="G1952" s="13"/>
      <c r="H1952" s="14"/>
      <c r="I1952" s="14"/>
      <c r="J1952" s="128"/>
      <c r="K1952" s="129"/>
      <c r="L1952" s="685"/>
      <c r="M1952" s="129"/>
      <c r="N1952" s="15"/>
      <c r="O1952" s="15"/>
      <c r="P1952" s="13"/>
      <c r="Q1952" s="130"/>
      <c r="R1952" s="130"/>
      <c r="S1952" s="12"/>
      <c r="T1952" s="131"/>
    </row>
    <row r="1953" ht="15.6" spans="1:20">
      <c r="A1953" s="752" t="s">
        <v>1</v>
      </c>
      <c r="B1953" s="753" t="s">
        <v>2</v>
      </c>
      <c r="C1953" s="754" t="s">
        <v>1404</v>
      </c>
      <c r="D1953" s="753" t="s">
        <v>4</v>
      </c>
      <c r="E1953" s="18" t="s">
        <v>5</v>
      </c>
      <c r="F1953" s="18" t="s">
        <v>1933</v>
      </c>
      <c r="G1953" s="18" t="s">
        <v>4102</v>
      </c>
      <c r="H1953" s="141" t="s">
        <v>4541</v>
      </c>
      <c r="I1953" s="18" t="s">
        <v>1497</v>
      </c>
      <c r="J1953" s="18" t="s">
        <v>4102</v>
      </c>
      <c r="K1953" s="18" t="s">
        <v>4103</v>
      </c>
      <c r="L1953" s="18" t="s">
        <v>4104</v>
      </c>
      <c r="M1953" s="18" t="s">
        <v>1497</v>
      </c>
      <c r="N1953" s="18" t="s">
        <v>6</v>
      </c>
      <c r="O1953" s="18" t="s">
        <v>7</v>
      </c>
      <c r="P1953" s="141" t="s">
        <v>5211</v>
      </c>
      <c r="Q1953" s="18" t="s">
        <v>8</v>
      </c>
      <c r="R1953" s="18" t="s">
        <v>9</v>
      </c>
      <c r="S1953" s="18" t="s">
        <v>4105</v>
      </c>
      <c r="T1953" s="141" t="s">
        <v>10</v>
      </c>
    </row>
    <row r="1954" ht="15" spans="1:20">
      <c r="A1954" s="594" t="s">
        <v>984</v>
      </c>
      <c r="B1954" s="23">
        <v>20250423</v>
      </c>
      <c r="C1954" s="23">
        <v>7.31</v>
      </c>
      <c r="D1954" s="23"/>
      <c r="E1954" s="23" t="s">
        <v>4068</v>
      </c>
      <c r="F1954" s="750" t="s">
        <v>4069</v>
      </c>
      <c r="G1954" s="21" t="s">
        <v>3794</v>
      </c>
      <c r="H1954" s="21" t="s">
        <v>3463</v>
      </c>
      <c r="I1954" s="21" t="s">
        <v>1635</v>
      </c>
      <c r="J1954" s="21">
        <v>27</v>
      </c>
      <c r="K1954" s="21">
        <f>4.1*2</f>
        <v>8.2</v>
      </c>
      <c r="L1954" s="21">
        <v>4.1</v>
      </c>
      <c r="M1954" s="21">
        <v>3.1</v>
      </c>
      <c r="N1954" s="37">
        <v>3.16045937333366</v>
      </c>
      <c r="O1954" s="37">
        <v>22.4322177034464</v>
      </c>
      <c r="P1954" s="37"/>
      <c r="Q1954" s="37">
        <v>2.37</v>
      </c>
      <c r="R1954" s="37">
        <f>SUM(J1954:Q1954)</f>
        <v>70.3626770767801</v>
      </c>
      <c r="S1954" s="38" t="s">
        <v>4066</v>
      </c>
      <c r="T1954" s="760" t="s">
        <v>8130</v>
      </c>
    </row>
    <row r="1957" spans="1:20">
      <c r="O1957" s="594" t="s">
        <v>8131</v>
      </c>
      <c r="P1957" s="595" t="s">
        <v>7862</v>
      </c>
    </row>
    <row r="1958" spans="1:20">
      <c r="O1958" s="594" t="s">
        <v>7822</v>
      </c>
      <c r="P1958" s="590">
        <f>N1949+O1949+Q1949</f>
        <v>30.7498923637649</v>
      </c>
    </row>
    <row r="1959" spans="1:20">
      <c r="O1959" s="594" t="s">
        <v>7823</v>
      </c>
      <c r="P1959" s="590">
        <f>N1954+O1954+Q1954</f>
        <v>27.96267707678</v>
      </c>
    </row>
    <row r="1960" spans="1:20">
      <c r="O1960" s="594" t="s">
        <v>7863</v>
      </c>
      <c r="P1960" s="634">
        <f>P1958-P1959</f>
        <v>2.78721528698482</v>
      </c>
    </row>
    <row r="1962" ht="15.6" spans="1:20">
      <c r="A1962" s="11" t="s">
        <v>8127</v>
      </c>
      <c r="B1962" s="11"/>
      <c r="C1962" s="11"/>
      <c r="D1962" s="11"/>
      <c r="E1962" s="127"/>
      <c r="F1962" s="127"/>
      <c r="G1962" s="13"/>
      <c r="H1962" s="14"/>
      <c r="I1962" s="14"/>
      <c r="J1962" s="128"/>
      <c r="K1962" s="129"/>
      <c r="L1962" s="685"/>
      <c r="M1962" s="129"/>
      <c r="N1962" s="15"/>
      <c r="O1962" s="15"/>
      <c r="P1962" s="13"/>
      <c r="Q1962" s="130"/>
      <c r="R1962" s="130"/>
      <c r="S1962" s="12"/>
      <c r="T1962" s="131"/>
    </row>
    <row r="1963" ht="15.6" spans="1:20">
      <c r="A1963" s="752" t="s">
        <v>1</v>
      </c>
      <c r="B1963" s="753" t="s">
        <v>2</v>
      </c>
      <c r="C1963" s="754" t="s">
        <v>1404</v>
      </c>
      <c r="D1963" s="753" t="s">
        <v>4</v>
      </c>
      <c r="E1963" s="18" t="s">
        <v>5</v>
      </c>
      <c r="F1963" s="18" t="s">
        <v>1933</v>
      </c>
      <c r="G1963" s="18" t="s">
        <v>4102</v>
      </c>
      <c r="H1963" s="141" t="s">
        <v>4541</v>
      </c>
      <c r="I1963" s="18" t="s">
        <v>1497</v>
      </c>
      <c r="J1963" s="18" t="s">
        <v>4102</v>
      </c>
      <c r="K1963" s="18" t="s">
        <v>4103</v>
      </c>
      <c r="L1963" s="18" t="s">
        <v>4104</v>
      </c>
      <c r="M1963" s="18" t="s">
        <v>1497</v>
      </c>
      <c r="N1963" s="18" t="s">
        <v>6</v>
      </c>
      <c r="O1963" s="18" t="s">
        <v>7</v>
      </c>
      <c r="P1963" s="141" t="s">
        <v>5211</v>
      </c>
      <c r="Q1963" s="18" t="s">
        <v>8</v>
      </c>
      <c r="R1963" s="18" t="s">
        <v>9</v>
      </c>
      <c r="S1963" s="18" t="s">
        <v>4105</v>
      </c>
      <c r="T1963" s="141" t="s">
        <v>10</v>
      </c>
    </row>
    <row r="1964" spans="1:20">
      <c r="A1964" s="594" t="s">
        <v>7502</v>
      </c>
      <c r="B1964" s="23">
        <v>20240617</v>
      </c>
      <c r="C1964" s="23">
        <v>7.31</v>
      </c>
      <c r="D1964" s="23" t="s">
        <v>7579</v>
      </c>
      <c r="E1964" s="23" t="s">
        <v>8132</v>
      </c>
      <c r="F1964" s="750" t="s">
        <v>4122</v>
      </c>
      <c r="G1964" s="21" t="s">
        <v>8133</v>
      </c>
      <c r="H1964" s="21" t="s">
        <v>1913</v>
      </c>
      <c r="I1964" s="21" t="s">
        <v>1428</v>
      </c>
      <c r="J1964" s="21">
        <v>85</v>
      </c>
      <c r="K1964" s="21" t="s">
        <v>1428</v>
      </c>
      <c r="L1964" s="21" t="s">
        <v>1428</v>
      </c>
      <c r="M1964" s="21" t="s">
        <v>1428</v>
      </c>
      <c r="N1964" s="37">
        <v>5.13029958014584</v>
      </c>
      <c r="O1964" s="37">
        <v>15.3811315705857</v>
      </c>
      <c r="P1964" s="37" t="s">
        <v>1428</v>
      </c>
      <c r="Q1964" s="37">
        <v>3.14632482758621</v>
      </c>
      <c r="R1964" s="37">
        <f>SUM(J1964:Q1964)</f>
        <v>108.657755978318</v>
      </c>
      <c r="S1964" s="38" t="s">
        <v>1526</v>
      </c>
      <c r="T1964" s="760" t="s">
        <v>8134</v>
      </c>
    </row>
    <row r="1965" spans="1:20">
      <c r="A1965" s="594"/>
      <c r="B1965" s="23">
        <v>20241220</v>
      </c>
      <c r="C1965" s="23">
        <v>7.31</v>
      </c>
      <c r="D1965" s="23" t="s">
        <v>2583</v>
      </c>
      <c r="E1965" s="23" t="s">
        <v>1131</v>
      </c>
      <c r="F1965" s="750"/>
      <c r="G1965" s="21"/>
      <c r="H1965" s="21"/>
      <c r="I1965" s="21"/>
      <c r="J1965" s="21"/>
      <c r="K1965" s="21"/>
      <c r="L1965" s="21"/>
      <c r="M1965" s="21"/>
      <c r="N1965" s="37">
        <v>0.418921998090089</v>
      </c>
      <c r="O1965" s="37">
        <v>2.65772647122009</v>
      </c>
      <c r="P1965" s="37" t="s">
        <v>1428</v>
      </c>
      <c r="Q1965" s="37">
        <v>0.4</v>
      </c>
      <c r="R1965" s="37">
        <f>SUM(J1965:Q1965)</f>
        <v>3.47664846931018</v>
      </c>
      <c r="S1965" s="38"/>
      <c r="T1965" s="760" t="s">
        <v>2584</v>
      </c>
    </row>
    <row r="1966" spans="1:20">
      <c r="A1966" s="594"/>
      <c r="B1966" s="23"/>
      <c r="C1966" s="23"/>
      <c r="D1966" s="23" t="s">
        <v>7520</v>
      </c>
      <c r="E1966" s="23" t="s">
        <v>7650</v>
      </c>
      <c r="F1966" s="750" t="s">
        <v>8135</v>
      </c>
      <c r="G1966" s="21"/>
      <c r="H1966" s="21"/>
      <c r="I1966" s="21"/>
      <c r="J1966" s="21"/>
      <c r="K1966" s="21"/>
      <c r="L1966" s="21"/>
      <c r="M1966" s="21"/>
      <c r="N1966" s="37"/>
      <c r="O1966" s="37"/>
      <c r="P1966" s="37"/>
      <c r="Q1966" s="37"/>
      <c r="R1966" s="37">
        <v>51.5</v>
      </c>
      <c r="S1966" s="38"/>
      <c r="T1966" s="760"/>
    </row>
    <row r="1967" spans="1:20">
      <c r="A1967" s="594"/>
      <c r="B1967" s="23"/>
      <c r="C1967" s="23"/>
      <c r="D1967" s="23" t="s">
        <v>8136</v>
      </c>
      <c r="E1967" s="23" t="s">
        <v>7948</v>
      </c>
      <c r="F1967" s="750" t="s">
        <v>7947</v>
      </c>
      <c r="G1967" s="21"/>
      <c r="H1967" s="21"/>
      <c r="I1967" s="21"/>
      <c r="J1967" s="21"/>
      <c r="K1967" s="21"/>
      <c r="L1967" s="21"/>
      <c r="M1967" s="21"/>
      <c r="N1967" s="37"/>
      <c r="O1967" s="37"/>
      <c r="P1967" s="37"/>
      <c r="Q1967" s="37"/>
      <c r="R1967" s="37">
        <v>21.8</v>
      </c>
      <c r="S1967" s="38" t="s">
        <v>8137</v>
      </c>
      <c r="T1967" s="760"/>
    </row>
    <row r="1974" ht="15.6" spans="1:21">
      <c r="A1974" s="684" t="s">
        <v>8076</v>
      </c>
      <c r="B1974" s="11"/>
      <c r="C1974" s="11"/>
      <c r="D1974" s="11"/>
      <c r="E1974" s="11"/>
      <c r="F1974" s="127"/>
      <c r="G1974" s="127"/>
      <c r="H1974" s="13"/>
      <c r="I1974" s="14"/>
      <c r="J1974" s="14"/>
      <c r="K1974" s="128"/>
      <c r="L1974" s="129"/>
      <c r="M1974" s="129"/>
      <c r="N1974" s="129"/>
      <c r="O1974" s="15"/>
      <c r="P1974" s="15"/>
      <c r="Q1974" s="13"/>
      <c r="R1974" s="130"/>
      <c r="S1974" s="130"/>
      <c r="T1974" s="12"/>
      <c r="U1974" s="131"/>
    </row>
    <row r="1975" ht="15.6" spans="1:21">
      <c r="A1975" s="752" t="s">
        <v>1</v>
      </c>
      <c r="B1975" s="753" t="s">
        <v>2</v>
      </c>
      <c r="C1975" s="754" t="s">
        <v>1404</v>
      </c>
      <c r="D1975" s="753" t="s">
        <v>4</v>
      </c>
      <c r="E1975" s="18" t="s">
        <v>5</v>
      </c>
      <c r="F1975" s="18" t="s">
        <v>1933</v>
      </c>
      <c r="G1975" s="18" t="s">
        <v>4102</v>
      </c>
      <c r="H1975" s="141" t="s">
        <v>4541</v>
      </c>
      <c r="I1975" s="18" t="s">
        <v>1497</v>
      </c>
      <c r="J1975" s="18" t="s">
        <v>4102</v>
      </c>
      <c r="K1975" s="18" t="s">
        <v>4103</v>
      </c>
      <c r="L1975" s="18" t="s">
        <v>4104</v>
      </c>
      <c r="M1975" s="18" t="s">
        <v>1497</v>
      </c>
      <c r="N1975" s="18" t="s">
        <v>6</v>
      </c>
      <c r="O1975" s="18" t="s">
        <v>7</v>
      </c>
      <c r="P1975" s="141" t="s">
        <v>5211</v>
      </c>
      <c r="Q1975" s="18" t="s">
        <v>8</v>
      </c>
      <c r="R1975" s="18" t="s">
        <v>9</v>
      </c>
      <c r="S1975" s="18" t="s">
        <v>4105</v>
      </c>
      <c r="T1975" s="141" t="s">
        <v>10</v>
      </c>
    </row>
    <row r="1976" ht="15" hidden="1" spans="1:21">
      <c r="A1976" s="23" t="s">
        <v>8138</v>
      </c>
      <c r="B1976" s="35">
        <v>20250423</v>
      </c>
      <c r="C1976" s="21">
        <v>7.31</v>
      </c>
      <c r="D1976" s="761" t="s">
        <v>3648</v>
      </c>
      <c r="E1976" s="20" t="s">
        <v>8139</v>
      </c>
      <c r="F1976" s="729" t="s">
        <v>3649</v>
      </c>
      <c r="G1976" s="21" t="s">
        <v>3457</v>
      </c>
      <c r="H1976" s="21" t="s">
        <v>3624</v>
      </c>
      <c r="I1976" s="21" t="s">
        <v>1567</v>
      </c>
      <c r="J1976" s="21">
        <v>32</v>
      </c>
      <c r="K1976" s="700" t="s">
        <v>1428</v>
      </c>
      <c r="L1976" s="21" t="s">
        <v>1428</v>
      </c>
      <c r="M1976" s="762">
        <v>8</v>
      </c>
      <c r="N1976" s="37">
        <v>2.96964611450627</v>
      </c>
      <c r="O1976" s="704">
        <v>10.0199472513128</v>
      </c>
      <c r="P1976" s="21" t="s">
        <v>1428</v>
      </c>
      <c r="Q1976" s="37">
        <v>2.85965146239554</v>
      </c>
      <c r="R1976" s="37">
        <f>SUM(J1976:Q1976)</f>
        <v>55.8492448282146</v>
      </c>
      <c r="S1976" s="23" t="s">
        <v>3625</v>
      </c>
      <c r="T1976" s="23" t="s">
        <v>8140</v>
      </c>
    </row>
    <row r="1977" ht="15" spans="1:21">
      <c r="A1977" s="23" t="s">
        <v>8138</v>
      </c>
      <c r="B1977" s="35">
        <v>20250423</v>
      </c>
      <c r="C1977" s="21">
        <v>7.31</v>
      </c>
      <c r="D1977" s="761" t="s">
        <v>3651</v>
      </c>
      <c r="E1977" s="20" t="s">
        <v>1672</v>
      </c>
      <c r="F1977" s="729" t="s">
        <v>3652</v>
      </c>
      <c r="G1977" s="21" t="s">
        <v>3553</v>
      </c>
      <c r="H1977" s="21" t="s">
        <v>3624</v>
      </c>
      <c r="I1977" s="21" t="s">
        <v>1567</v>
      </c>
      <c r="J1977" s="21">
        <v>60</v>
      </c>
      <c r="K1977" s="700" t="s">
        <v>1428</v>
      </c>
      <c r="L1977" s="21" t="s">
        <v>1428</v>
      </c>
      <c r="M1977" s="762">
        <v>8</v>
      </c>
      <c r="N1977" s="37">
        <v>2.96964611450627</v>
      </c>
      <c r="O1977" s="704">
        <v>9.96601763616561</v>
      </c>
      <c r="P1977" s="21" t="s">
        <v>1428</v>
      </c>
      <c r="Q1977" s="37">
        <v>2.85965146239554</v>
      </c>
      <c r="R1977" s="22">
        <v>83.7953152130674</v>
      </c>
      <c r="S1977" s="23" t="s">
        <v>3625</v>
      </c>
      <c r="T1977" s="23" t="s">
        <v>3653</v>
      </c>
    </row>
    <row r="1978" hidden="1" spans="1:21">
      <c r="A1978" s="23" t="s">
        <v>8138</v>
      </c>
      <c r="B1978" s="35">
        <v>20250423</v>
      </c>
      <c r="C1978" s="21">
        <v>7.31</v>
      </c>
      <c r="D1978" s="761" t="s">
        <v>3651</v>
      </c>
      <c r="E1978" s="20" t="s">
        <v>8141</v>
      </c>
      <c r="F1978" s="729" t="s">
        <v>3649</v>
      </c>
      <c r="G1978" s="21" t="s">
        <v>3457</v>
      </c>
      <c r="H1978" s="21" t="s">
        <v>3624</v>
      </c>
      <c r="I1978" s="21" t="s">
        <v>1567</v>
      </c>
      <c r="J1978" s="21">
        <v>32</v>
      </c>
      <c r="K1978" s="700" t="s">
        <v>1428</v>
      </c>
      <c r="L1978" s="21" t="s">
        <v>1428</v>
      </c>
      <c r="M1978" s="762">
        <v>8</v>
      </c>
      <c r="N1978" s="37">
        <v>2.96964611450627</v>
      </c>
      <c r="O1978" s="704">
        <v>9.96601763616561</v>
      </c>
      <c r="P1978" s="21" t="s">
        <v>1428</v>
      </c>
      <c r="Q1978" s="37">
        <v>2.85965146239554</v>
      </c>
      <c r="R1978" s="37">
        <f>SUM(J1978:Q1978)</f>
        <v>55.7953152130674</v>
      </c>
      <c r="S1978" s="23" t="s">
        <v>7278</v>
      </c>
      <c r="T1978" s="23" t="s">
        <v>8142</v>
      </c>
    </row>
    <row r="1979" ht="15" spans="1:21">
      <c r="A1979" s="19"/>
      <c r="B1979" s="763">
        <v>20250318</v>
      </c>
      <c r="C1979" s="21">
        <v>7.31</v>
      </c>
      <c r="D1979" s="764" t="s">
        <v>873</v>
      </c>
      <c r="E1979" s="20" t="s">
        <v>874</v>
      </c>
      <c r="F1979" s="20"/>
      <c r="G1979" s="21"/>
      <c r="H1979" s="21"/>
      <c r="I1979" s="21"/>
      <c r="J1979" s="21"/>
      <c r="K1979" s="21"/>
      <c r="L1979" s="21"/>
      <c r="M1979" s="21"/>
      <c r="N1979" s="37">
        <v>0.405816836042688</v>
      </c>
      <c r="O1979" s="22">
        <v>1.85340929400669</v>
      </c>
      <c r="P1979" s="21" t="s">
        <v>1428</v>
      </c>
      <c r="Q1979" s="37">
        <v>0.4</v>
      </c>
      <c r="R1979" s="37">
        <f>SUM(J1979:Q1979)</f>
        <v>2.65922613004938</v>
      </c>
      <c r="S1979" s="23"/>
      <c r="T1979" s="23" t="s">
        <v>2844</v>
      </c>
    </row>
    <row r="1980" spans="1:21">
      <c r="A1980" s="19"/>
      <c r="B1980" s="765">
        <v>20250320</v>
      </c>
      <c r="C1980" s="21">
        <v>7.31</v>
      </c>
      <c r="D1980" s="764" t="s">
        <v>881</v>
      </c>
      <c r="E1980" s="20" t="s">
        <v>882</v>
      </c>
      <c r="F1980" s="23"/>
      <c r="G1980" s="690"/>
      <c r="H1980" s="21"/>
      <c r="I1980" s="690"/>
      <c r="J1980" s="21"/>
      <c r="K1980" s="21"/>
      <c r="L1980" s="21"/>
      <c r="M1980" s="21"/>
      <c r="N1980" s="37">
        <v>0.0259007118709677</v>
      </c>
      <c r="O1980" s="22">
        <v>0.0406762696837423</v>
      </c>
      <c r="P1980" s="21" t="s">
        <v>1428</v>
      </c>
      <c r="Q1980" s="37">
        <v>0.2</v>
      </c>
      <c r="R1980" s="37">
        <f>SUM(J1980:Q1980)</f>
        <v>0.26657698155471</v>
      </c>
      <c r="S1980" s="23"/>
      <c r="T1980" s="20"/>
    </row>
    <row r="1988" ht="15.6" spans="1:20">
      <c r="A1988" s="684" t="s">
        <v>8076</v>
      </c>
      <c r="B1988" s="718"/>
      <c r="C1988" s="718"/>
      <c r="D1988" s="718"/>
      <c r="E1988" s="127"/>
      <c r="F1988" s="127"/>
      <c r="G1988" s="13"/>
      <c r="H1988" s="14"/>
      <c r="I1988" s="14"/>
      <c r="J1988" s="128"/>
      <c r="K1988" s="685"/>
      <c r="L1988" s="685"/>
      <c r="M1988" s="129"/>
      <c r="N1988" s="686"/>
      <c r="O1988" s="15"/>
      <c r="P1988" s="13"/>
      <c r="Q1988" s="130"/>
      <c r="R1988" s="130"/>
      <c r="S1988" s="12"/>
      <c r="T1988" s="131"/>
    </row>
    <row r="1989" ht="15.6" spans="1:20">
      <c r="A1989" s="17" t="s">
        <v>1490</v>
      </c>
      <c r="B1989" s="719"/>
      <c r="C1989" s="720" t="s">
        <v>3</v>
      </c>
      <c r="D1989" s="719"/>
      <c r="E1989" s="18" t="s">
        <v>5</v>
      </c>
      <c r="F1989" s="18" t="s">
        <v>1933</v>
      </c>
      <c r="G1989" s="18" t="s">
        <v>4102</v>
      </c>
      <c r="H1989" s="141" t="s">
        <v>4541</v>
      </c>
      <c r="I1989" s="18" t="s">
        <v>1497</v>
      </c>
      <c r="J1989" s="18" t="s">
        <v>4102</v>
      </c>
      <c r="K1989" s="18" t="s">
        <v>4103</v>
      </c>
      <c r="L1989" s="18" t="s">
        <v>4104</v>
      </c>
      <c r="M1989" s="18" t="s">
        <v>1497</v>
      </c>
      <c r="N1989" s="18" t="s">
        <v>6</v>
      </c>
      <c r="O1989" s="18" t="s">
        <v>7</v>
      </c>
      <c r="P1989" s="18" t="s">
        <v>5672</v>
      </c>
      <c r="Q1989" s="18" t="s">
        <v>8</v>
      </c>
      <c r="R1989" s="18" t="s">
        <v>9</v>
      </c>
      <c r="S1989" s="18" t="s">
        <v>4105</v>
      </c>
      <c r="T1989" s="18" t="s">
        <v>4106</v>
      </c>
    </row>
    <row r="1990" spans="1:20">
      <c r="A1990" s="766" t="s">
        <v>2199</v>
      </c>
      <c r="B1990" s="729">
        <v>20250409</v>
      </c>
      <c r="C1990" s="729">
        <v>7.31</v>
      </c>
      <c r="D1990" s="729" t="s">
        <v>2652</v>
      </c>
      <c r="E1990" s="767" t="s">
        <v>2546</v>
      </c>
      <c r="F1990" s="768" t="s">
        <v>4122</v>
      </c>
      <c r="G1990" s="21" t="s">
        <v>2643</v>
      </c>
      <c r="H1990" s="21" t="s">
        <v>4174</v>
      </c>
      <c r="I1990" s="21" t="s">
        <v>1567</v>
      </c>
      <c r="J1990" s="769">
        <v>147</v>
      </c>
      <c r="K1990" s="700" t="s">
        <v>1428</v>
      </c>
      <c r="L1990" s="700" t="s">
        <v>1428</v>
      </c>
      <c r="M1990" s="700">
        <v>8</v>
      </c>
      <c r="N1990" s="22">
        <v>3.3</v>
      </c>
      <c r="O1990" s="22">
        <v>13.0082767559489</v>
      </c>
      <c r="P1990" s="37"/>
      <c r="Q1990" s="770">
        <v>2.55677228412257</v>
      </c>
      <c r="R1990" s="37">
        <v>171.865049040071</v>
      </c>
      <c r="S1990" s="23" t="s">
        <v>8071</v>
      </c>
      <c r="T1990" s="23" t="s">
        <v>8143</v>
      </c>
    </row>
    <row r="1996" ht="15.6" spans="1:20">
      <c r="A1996" s="684" t="s">
        <v>8076</v>
      </c>
      <c r="B1996" s="718"/>
      <c r="C1996" s="718"/>
      <c r="D1996" s="718"/>
      <c r="E1996" s="127"/>
      <c r="F1996" s="127"/>
      <c r="G1996" s="13"/>
      <c r="H1996" s="14"/>
      <c r="I1996" s="14"/>
      <c r="J1996" s="128"/>
      <c r="K1996" s="685"/>
      <c r="L1996" s="685"/>
      <c r="M1996" s="129"/>
      <c r="N1996" s="686"/>
      <c r="O1996" s="15"/>
      <c r="P1996" s="13"/>
      <c r="Q1996" s="130"/>
      <c r="R1996" s="130"/>
      <c r="S1996" s="12"/>
      <c r="T1996" s="131"/>
    </row>
    <row r="1997" ht="15.6" spans="1:20">
      <c r="A1997" s="17" t="s">
        <v>1490</v>
      </c>
      <c r="B1997" s="719"/>
      <c r="C1997" s="720" t="s">
        <v>1404</v>
      </c>
      <c r="D1997" s="719"/>
      <c r="E1997" s="18" t="s">
        <v>5</v>
      </c>
      <c r="F1997" s="18" t="s">
        <v>1933</v>
      </c>
      <c r="G1997" s="18" t="s">
        <v>4102</v>
      </c>
      <c r="H1997" s="141" t="s">
        <v>4541</v>
      </c>
      <c r="I1997" s="18" t="s">
        <v>1497</v>
      </c>
      <c r="J1997" s="18" t="s">
        <v>4102</v>
      </c>
      <c r="K1997" s="18" t="s">
        <v>4103</v>
      </c>
      <c r="L1997" s="18" t="s">
        <v>4104</v>
      </c>
      <c r="M1997" s="18" t="s">
        <v>1497</v>
      </c>
      <c r="N1997" s="18" t="s">
        <v>6</v>
      </c>
      <c r="O1997" s="18" t="s">
        <v>7</v>
      </c>
      <c r="P1997" s="18" t="s">
        <v>5672</v>
      </c>
      <c r="Q1997" s="18" t="s">
        <v>8</v>
      </c>
      <c r="R1997" s="18" t="s">
        <v>9</v>
      </c>
      <c r="S1997" s="18" t="s">
        <v>4105</v>
      </c>
      <c r="T1997" s="18" t="s">
        <v>4106</v>
      </c>
    </row>
    <row r="1998" ht="15" spans="1:20">
      <c r="A1998" s="23" t="s">
        <v>3547</v>
      </c>
      <c r="B1998" s="23">
        <v>20241113</v>
      </c>
      <c r="C1998" s="23">
        <v>7.31</v>
      </c>
      <c r="D1998" s="23" t="s">
        <v>1405</v>
      </c>
      <c r="E1998" s="20" t="s">
        <v>21</v>
      </c>
      <c r="F1998" s="688"/>
      <c r="G1998" s="690"/>
      <c r="H1998" s="690"/>
      <c r="I1998" s="690"/>
      <c r="J1998" s="36"/>
      <c r="K1998" s="21"/>
      <c r="L1998" s="21"/>
      <c r="M1998" s="21"/>
      <c r="N1998" s="22">
        <v>0.424280290615099</v>
      </c>
      <c r="O1998" s="22">
        <v>2.52191364496928</v>
      </c>
      <c r="P1998" s="37" t="s">
        <v>1428</v>
      </c>
      <c r="Q1998" s="37">
        <v>0.4</v>
      </c>
      <c r="R1998" s="37">
        <v>3.32250365303669</v>
      </c>
      <c r="S1998" s="688"/>
      <c r="T1998" s="167" t="s">
        <v>2844</v>
      </c>
    </row>
    <row r="1999" ht="15" spans="1:20">
      <c r="A1999" s="23" t="s">
        <v>3547</v>
      </c>
      <c r="B1999" s="23">
        <v>20240710</v>
      </c>
      <c r="C1999" s="21">
        <v>7.31</v>
      </c>
      <c r="D1999" s="771" t="s">
        <v>3581</v>
      </c>
      <c r="E1999" s="20" t="s">
        <v>2106</v>
      </c>
      <c r="F1999" s="729" t="s">
        <v>1933</v>
      </c>
      <c r="G1999" s="21" t="s">
        <v>3542</v>
      </c>
      <c r="H1999" s="21" t="s">
        <v>1913</v>
      </c>
      <c r="I1999" s="21" t="s">
        <v>1428</v>
      </c>
      <c r="J1999" s="700">
        <v>32</v>
      </c>
      <c r="K1999" s="21" t="s">
        <v>1428</v>
      </c>
      <c r="L1999" s="21" t="s">
        <v>1428</v>
      </c>
      <c r="M1999" s="21" t="s">
        <v>1428</v>
      </c>
      <c r="N1999" s="709">
        <v>3.14</v>
      </c>
      <c r="O1999" s="22">
        <v>10.6461786643971</v>
      </c>
      <c r="P1999" s="21" t="s">
        <v>1428</v>
      </c>
      <c r="Q1999" s="37">
        <v>3</v>
      </c>
      <c r="R1999" s="22">
        <f>SUM(J1999:Q1999)</f>
        <v>48.7861786643971</v>
      </c>
      <c r="S1999" s="38" t="s">
        <v>2854</v>
      </c>
      <c r="T1999" s="23" t="s">
        <v>3550</v>
      </c>
    </row>
    <row r="2002" ht="15.6" spans="1:20">
      <c r="A2002" s="684" t="s">
        <v>8076</v>
      </c>
      <c r="B2002" s="718"/>
      <c r="C2002" s="718"/>
      <c r="D2002" s="718"/>
      <c r="E2002" s="127"/>
      <c r="F2002" s="127"/>
      <c r="G2002" s="13"/>
      <c r="H2002" s="14"/>
      <c r="I2002" s="14"/>
      <c r="J2002" s="128"/>
      <c r="K2002" s="685"/>
      <c r="L2002" s="685"/>
      <c r="M2002" s="129"/>
      <c r="N2002" s="686"/>
      <c r="O2002" s="15"/>
      <c r="P2002" s="13"/>
      <c r="Q2002" s="130"/>
      <c r="R2002" s="130"/>
      <c r="S2002" s="12"/>
      <c r="T2002" s="131"/>
    </row>
    <row r="2003" ht="15.6" spans="1:20">
      <c r="A2003" s="17" t="s">
        <v>1490</v>
      </c>
      <c r="B2003" s="719"/>
      <c r="C2003" s="720" t="s">
        <v>1404</v>
      </c>
      <c r="D2003" s="719"/>
      <c r="E2003" s="18" t="s">
        <v>5</v>
      </c>
      <c r="F2003" s="18" t="s">
        <v>1933</v>
      </c>
      <c r="G2003" s="18" t="s">
        <v>4102</v>
      </c>
      <c r="H2003" s="141" t="s">
        <v>4541</v>
      </c>
      <c r="I2003" s="18" t="s">
        <v>1497</v>
      </c>
      <c r="J2003" s="18" t="s">
        <v>4102</v>
      </c>
      <c r="K2003" s="18" t="s">
        <v>4103</v>
      </c>
      <c r="L2003" s="18" t="s">
        <v>4104</v>
      </c>
      <c r="M2003" s="18" t="s">
        <v>1497</v>
      </c>
      <c r="N2003" s="18" t="s">
        <v>6</v>
      </c>
      <c r="O2003" s="18" t="s">
        <v>7</v>
      </c>
      <c r="P2003" s="18" t="s">
        <v>5672</v>
      </c>
      <c r="Q2003" s="18" t="s">
        <v>8</v>
      </c>
      <c r="R2003" s="18" t="s">
        <v>9</v>
      </c>
      <c r="S2003" s="18" t="s">
        <v>4105</v>
      </c>
      <c r="T2003" s="18" t="s">
        <v>4106</v>
      </c>
    </row>
    <row r="2004" ht="15" spans="1:20">
      <c r="A2004" s="23" t="s">
        <v>7502</v>
      </c>
      <c r="B2004" s="23">
        <v>20241216</v>
      </c>
      <c r="C2004" s="23">
        <v>7.31</v>
      </c>
      <c r="D2004" s="23" t="s">
        <v>2454</v>
      </c>
      <c r="E2004" s="20" t="s">
        <v>2311</v>
      </c>
      <c r="F2004" s="688" t="s">
        <v>2801</v>
      </c>
      <c r="G2004" s="690" t="s">
        <v>2365</v>
      </c>
      <c r="H2004" s="690" t="s">
        <v>1913</v>
      </c>
      <c r="I2004" s="690"/>
      <c r="J2004" s="36" t="s">
        <v>1428</v>
      </c>
      <c r="K2004" s="21"/>
      <c r="L2004" s="21"/>
      <c r="M2004" s="21"/>
      <c r="N2004" s="22">
        <v>5.13029958014584</v>
      </c>
      <c r="O2004" s="22">
        <v>15.8433724502799</v>
      </c>
      <c r="P2004" s="37"/>
      <c r="Q2004" s="37">
        <v>3.14632482758621</v>
      </c>
      <c r="R2004" s="37">
        <f>SUM(J2004:Q2004)</f>
        <v>24.1199968580119</v>
      </c>
      <c r="S2004" s="688" t="s">
        <v>1526</v>
      </c>
      <c r="T2004" s="167" t="s">
        <v>8144</v>
      </c>
    </row>
    <row r="2005" ht="15" spans="1:20">
      <c r="A2005" s="23"/>
      <c r="B2005" s="23">
        <v>20240829</v>
      </c>
      <c r="C2005" s="23">
        <v>7.31</v>
      </c>
      <c r="D2005" s="23" t="s">
        <v>80</v>
      </c>
      <c r="E2005" s="20" t="s">
        <v>81</v>
      </c>
      <c r="F2005" s="688"/>
      <c r="G2005" s="690"/>
      <c r="H2005" s="690"/>
      <c r="I2005" s="690"/>
      <c r="J2005" s="36"/>
      <c r="K2005" s="21"/>
      <c r="L2005" s="21"/>
      <c r="M2005" s="21"/>
      <c r="N2005" s="22">
        <v>0.482359399736111</v>
      </c>
      <c r="O2005" s="22">
        <v>2.76190374807653</v>
      </c>
      <c r="P2005" s="37" t="s">
        <v>1428</v>
      </c>
      <c r="Q2005" s="37">
        <v>0.4</v>
      </c>
      <c r="R2005" s="37">
        <f>SUM(J2005:Q2005)</f>
        <v>3.64426314781264</v>
      </c>
      <c r="S2005" s="688"/>
      <c r="T2005" s="167" t="s">
        <v>2842</v>
      </c>
    </row>
    <row r="2007" ht="15.6" spans="1:20">
      <c r="A2007" s="684" t="s">
        <v>8076</v>
      </c>
      <c r="B2007" s="718"/>
      <c r="C2007" s="718"/>
      <c r="D2007" s="718"/>
      <c r="E2007" s="127"/>
      <c r="F2007" s="127"/>
      <c r="G2007" s="13"/>
      <c r="H2007" s="14"/>
      <c r="I2007" s="14"/>
      <c r="J2007" s="128"/>
      <c r="K2007" s="685"/>
      <c r="L2007" s="685"/>
      <c r="M2007" s="129"/>
      <c r="N2007" s="686"/>
      <c r="O2007" s="15"/>
      <c r="P2007" s="13"/>
      <c r="Q2007" s="130"/>
      <c r="R2007" s="130"/>
      <c r="S2007" s="12"/>
      <c r="T2007" s="131"/>
    </row>
    <row r="2008" ht="15.6" spans="1:20">
      <c r="A2008" s="17" t="s">
        <v>1490</v>
      </c>
      <c r="B2008" s="719"/>
      <c r="C2008" s="720" t="s">
        <v>1404</v>
      </c>
      <c r="D2008" s="719"/>
      <c r="E2008" s="18" t="s">
        <v>5</v>
      </c>
      <c r="F2008" s="18" t="s">
        <v>1933</v>
      </c>
      <c r="G2008" s="18" t="s">
        <v>4102</v>
      </c>
      <c r="H2008" s="141" t="s">
        <v>4541</v>
      </c>
      <c r="I2008" s="18" t="s">
        <v>1497</v>
      </c>
      <c r="J2008" s="18" t="s">
        <v>4102</v>
      </c>
      <c r="K2008" s="18" t="s">
        <v>4103</v>
      </c>
      <c r="L2008" s="18" t="s">
        <v>4104</v>
      </c>
      <c r="M2008" s="18" t="s">
        <v>1497</v>
      </c>
      <c r="N2008" s="18" t="s">
        <v>6</v>
      </c>
      <c r="O2008" s="18" t="s">
        <v>7</v>
      </c>
      <c r="P2008" s="18" t="s">
        <v>5672</v>
      </c>
      <c r="Q2008" s="18" t="s">
        <v>8</v>
      </c>
      <c r="R2008" s="18" t="s">
        <v>9</v>
      </c>
      <c r="S2008" s="18" t="s">
        <v>4105</v>
      </c>
      <c r="T2008" s="18" t="s">
        <v>4106</v>
      </c>
    </row>
    <row r="2009" ht="15" spans="1:20">
      <c r="A2009" s="333" t="s">
        <v>792</v>
      </c>
      <c r="B2009" s="23">
        <v>20241127</v>
      </c>
      <c r="C2009" s="21">
        <v>7.31</v>
      </c>
      <c r="D2009" s="23" t="s">
        <v>3721</v>
      </c>
      <c r="E2009" s="20" t="s">
        <v>2546</v>
      </c>
      <c r="F2009" s="729" t="s">
        <v>3718</v>
      </c>
      <c r="G2009" s="21" t="s">
        <v>3541</v>
      </c>
      <c r="H2009" s="730" t="s">
        <v>3624</v>
      </c>
      <c r="I2009" s="21" t="s">
        <v>1784</v>
      </c>
      <c r="J2009" s="700">
        <v>26</v>
      </c>
      <c r="K2009" s="700">
        <v>7.5</v>
      </c>
      <c r="L2009" s="21" t="s">
        <v>1428</v>
      </c>
      <c r="M2009" s="21">
        <v>2.2</v>
      </c>
      <c r="N2009" s="37">
        <v>2.8231724137931</v>
      </c>
      <c r="O2009" s="22">
        <v>10.2340716548956</v>
      </c>
      <c r="P2009" s="21"/>
      <c r="Q2009" s="37">
        <v>2.90875801037534</v>
      </c>
      <c r="R2009" s="22">
        <f>SUM(J2009:Q2009)</f>
        <v>51.666002079064</v>
      </c>
      <c r="S2009" s="38" t="s">
        <v>3719</v>
      </c>
      <c r="T2009" s="23" t="s">
        <v>8145</v>
      </c>
    </row>
    <row r="2014" ht="15.6" spans="1:20">
      <c r="A2014" s="684" t="s">
        <v>8076</v>
      </c>
      <c r="B2014" s="11"/>
      <c r="C2014" s="11"/>
      <c r="D2014" s="11"/>
      <c r="E2014" s="127"/>
      <c r="F2014" s="127"/>
      <c r="G2014" s="13"/>
      <c r="H2014" s="14"/>
      <c r="I2014" s="14"/>
      <c r="J2014" s="128"/>
      <c r="K2014" s="129"/>
      <c r="L2014" s="129"/>
      <c r="M2014" s="129"/>
      <c r="N2014" s="15"/>
      <c r="O2014" s="15"/>
      <c r="P2014" s="13"/>
      <c r="Q2014" s="130"/>
      <c r="R2014" s="130"/>
      <c r="S2014" s="12"/>
      <c r="T2014" s="131"/>
    </row>
    <row r="2015" ht="15.6" spans="1:20">
      <c r="A2015" s="17" t="s">
        <v>1490</v>
      </c>
      <c r="B2015" s="719"/>
      <c r="C2015" s="720" t="s">
        <v>1404</v>
      </c>
      <c r="D2015" s="719"/>
      <c r="E2015" s="18" t="s">
        <v>5</v>
      </c>
      <c r="F2015" s="18" t="s">
        <v>1933</v>
      </c>
      <c r="G2015" s="18" t="s">
        <v>4102</v>
      </c>
      <c r="H2015" s="141" t="s">
        <v>4541</v>
      </c>
      <c r="I2015" s="18" t="s">
        <v>1497</v>
      </c>
      <c r="J2015" s="18" t="s">
        <v>4102</v>
      </c>
      <c r="K2015" s="18" t="s">
        <v>4103</v>
      </c>
      <c r="L2015" s="18" t="s">
        <v>4104</v>
      </c>
      <c r="M2015" s="18" t="s">
        <v>1497</v>
      </c>
      <c r="N2015" s="18" t="s">
        <v>6</v>
      </c>
      <c r="O2015" s="18" t="s">
        <v>7</v>
      </c>
      <c r="P2015" s="18" t="s">
        <v>5672</v>
      </c>
      <c r="Q2015" s="18" t="s">
        <v>8</v>
      </c>
      <c r="R2015" s="18" t="s">
        <v>9</v>
      </c>
      <c r="S2015" s="18" t="s">
        <v>4105</v>
      </c>
      <c r="T2015" s="18" t="s">
        <v>4106</v>
      </c>
    </row>
    <row r="2016" ht="15" spans="1:20">
      <c r="A2016" s="20" t="s">
        <v>7403</v>
      </c>
      <c r="B2016" s="23">
        <v>20241223</v>
      </c>
      <c r="C2016" s="21">
        <v>7.31</v>
      </c>
      <c r="D2016" s="23" t="s">
        <v>3746</v>
      </c>
      <c r="E2016" s="20" t="s">
        <v>2449</v>
      </c>
      <c r="F2016" s="729" t="s">
        <v>3540</v>
      </c>
      <c r="G2016" s="21" t="s">
        <v>3541</v>
      </c>
      <c r="H2016" s="21" t="s">
        <v>1913</v>
      </c>
      <c r="I2016" s="21" t="s">
        <v>2769</v>
      </c>
      <c r="J2016" s="700">
        <v>26</v>
      </c>
      <c r="K2016" s="21"/>
      <c r="L2016" s="21"/>
      <c r="M2016" s="22">
        <v>2.2063280397624</v>
      </c>
      <c r="N2016" s="37">
        <v>2.12150376324926</v>
      </c>
      <c r="O2016" s="22">
        <v>8.92711785876122</v>
      </c>
      <c r="P2016" s="21"/>
      <c r="Q2016" s="37">
        <v>2.42925</v>
      </c>
      <c r="R2016" s="22">
        <f>SUM(J2016:Q2016)</f>
        <v>41.6841996617729</v>
      </c>
      <c r="S2016" s="38" t="s">
        <v>2854</v>
      </c>
      <c r="T2016" s="759" t="s">
        <v>3747</v>
      </c>
    </row>
    <row r="2017" spans="1:20">
      <c r="A2017" s="333"/>
      <c r="B2017" s="23">
        <v>20240510</v>
      </c>
      <c r="C2017" s="23">
        <v>7.31</v>
      </c>
      <c r="D2017" s="23" t="s">
        <v>485</v>
      </c>
      <c r="E2017" s="695" t="s">
        <v>486</v>
      </c>
      <c r="F2017" s="20"/>
      <c r="G2017" s="20"/>
      <c r="H2017" s="20"/>
      <c r="I2017" s="20"/>
      <c r="J2017" s="772"/>
      <c r="K2017" s="772"/>
      <c r="L2017" s="772"/>
      <c r="M2017" s="772"/>
      <c r="N2017" s="22">
        <v>0.42193296294317</v>
      </c>
      <c r="O2017" s="22">
        <v>0.679788385079484</v>
      </c>
      <c r="P2017" s="21" t="s">
        <v>1428</v>
      </c>
      <c r="Q2017" s="37">
        <v>0.2</v>
      </c>
      <c r="R2017" s="37">
        <f>SUM(J2017:Q2017)</f>
        <v>1.30172134802265</v>
      </c>
      <c r="S2017" s="20"/>
      <c r="T2017" s="39"/>
    </row>
    <row r="2022" ht="15.6" spans="1:20">
      <c r="A2022" s="11" t="s">
        <v>8127</v>
      </c>
      <c r="B2022" s="11"/>
      <c r="C2022" s="11"/>
      <c r="D2022" s="11"/>
      <c r="E2022" s="127"/>
      <c r="F2022" s="127"/>
      <c r="G2022" s="13"/>
      <c r="H2022" s="14"/>
      <c r="I2022" s="14"/>
      <c r="J2022" s="128"/>
      <c r="K2022" s="129"/>
      <c r="L2022" s="129"/>
      <c r="M2022" s="129"/>
      <c r="N2022" s="15"/>
      <c r="O2022" s="15"/>
      <c r="P2022" s="13"/>
      <c r="Q2022" s="130"/>
      <c r="R2022" s="130"/>
      <c r="S2022" s="12"/>
      <c r="T2022" s="131"/>
    </row>
    <row r="2023" ht="15.6" spans="1:20">
      <c r="A2023" s="17" t="s">
        <v>1490</v>
      </c>
      <c r="B2023" s="17" t="s">
        <v>1492</v>
      </c>
      <c r="C2023" s="773" t="s">
        <v>3</v>
      </c>
      <c r="D2023" s="17" t="s">
        <v>4100</v>
      </c>
      <c r="E2023" s="18" t="s">
        <v>5</v>
      </c>
      <c r="F2023" s="121" t="s">
        <v>1933</v>
      </c>
      <c r="G2023" s="18" t="s">
        <v>4102</v>
      </c>
      <c r="H2023" s="18" t="s">
        <v>1910</v>
      </c>
      <c r="I2023" s="18" t="s">
        <v>1497</v>
      </c>
      <c r="J2023" s="18" t="s">
        <v>4102</v>
      </c>
      <c r="K2023" s="18" t="s">
        <v>4103</v>
      </c>
      <c r="L2023" s="18" t="s">
        <v>4104</v>
      </c>
      <c r="M2023" s="18" t="s">
        <v>1497</v>
      </c>
      <c r="N2023" s="18" t="s">
        <v>6</v>
      </c>
      <c r="O2023" s="18" t="s">
        <v>7</v>
      </c>
      <c r="P2023" s="18" t="s">
        <v>5672</v>
      </c>
      <c r="Q2023" s="18" t="s">
        <v>8</v>
      </c>
      <c r="R2023" s="18" t="s">
        <v>9</v>
      </c>
      <c r="S2023" s="18" t="s">
        <v>4105</v>
      </c>
      <c r="T2023" s="18" t="s">
        <v>4106</v>
      </c>
    </row>
    <row r="2024" ht="15" spans="1:20">
      <c r="A2024" s="23" t="s">
        <v>8146</v>
      </c>
      <c r="B2024" s="687">
        <v>20250424</v>
      </c>
      <c r="C2024" s="687">
        <v>7.31</v>
      </c>
      <c r="D2024" s="687"/>
      <c r="E2024" s="139" t="s">
        <v>4233</v>
      </c>
      <c r="F2024" s="688" t="s">
        <v>3916</v>
      </c>
      <c r="G2024" s="21" t="s">
        <v>2082</v>
      </c>
      <c r="H2024" s="21" t="s">
        <v>1913</v>
      </c>
      <c r="I2024" s="21"/>
      <c r="J2024" s="700">
        <v>105</v>
      </c>
      <c r="K2024" s="21"/>
      <c r="L2024" s="21"/>
      <c r="M2024" s="21"/>
      <c r="N2024" s="37">
        <v>4.19605477380709</v>
      </c>
      <c r="O2024" s="37">
        <v>15.0551151663335</v>
      </c>
      <c r="P2024" s="37"/>
      <c r="Q2024" s="774">
        <v>5</v>
      </c>
      <c r="R2024" s="22">
        <f>SUM(J2024:Q2024)</f>
        <v>129.251169940141</v>
      </c>
      <c r="S2024" s="167" t="s">
        <v>1526</v>
      </c>
      <c r="T2024" s="750" t="s">
        <v>4234</v>
      </c>
    </row>
    <row r="2028" ht="15.6" spans="1:20">
      <c r="A2028" s="11" t="s">
        <v>8127</v>
      </c>
      <c r="B2028" s="11"/>
      <c r="C2028" s="11"/>
      <c r="D2028" s="11"/>
      <c r="E2028" s="127"/>
      <c r="F2028" s="127"/>
      <c r="G2028" s="13"/>
      <c r="H2028" s="14"/>
      <c r="I2028" s="14"/>
      <c r="J2028" s="128"/>
      <c r="K2028" s="129"/>
      <c r="L2028" s="129"/>
      <c r="M2028" s="129"/>
      <c r="N2028" s="15"/>
      <c r="O2028" s="15"/>
      <c r="P2028" s="13"/>
      <c r="Q2028" s="130"/>
      <c r="R2028" s="130"/>
      <c r="S2028" s="12"/>
      <c r="T2028" s="131"/>
    </row>
    <row r="2029" ht="15.6" spans="1:20">
      <c r="A2029" s="17" t="s">
        <v>1490</v>
      </c>
      <c r="B2029" s="17" t="s">
        <v>1492</v>
      </c>
      <c r="C2029" s="773" t="s">
        <v>3</v>
      </c>
      <c r="D2029" s="17" t="s">
        <v>4100</v>
      </c>
      <c r="E2029" s="18" t="s">
        <v>5</v>
      </c>
      <c r="F2029" s="121" t="s">
        <v>1933</v>
      </c>
      <c r="G2029" s="18" t="s">
        <v>4102</v>
      </c>
      <c r="H2029" s="18" t="s">
        <v>1910</v>
      </c>
      <c r="I2029" s="18" t="s">
        <v>1497</v>
      </c>
      <c r="J2029" s="18" t="s">
        <v>4102</v>
      </c>
      <c r="K2029" s="18" t="s">
        <v>4103</v>
      </c>
      <c r="L2029" s="18" t="s">
        <v>4104</v>
      </c>
      <c r="M2029" s="18" t="s">
        <v>1497</v>
      </c>
      <c r="N2029" s="18" t="s">
        <v>6</v>
      </c>
      <c r="O2029" s="18" t="s">
        <v>7</v>
      </c>
      <c r="P2029" s="18" t="s">
        <v>5672</v>
      </c>
      <c r="Q2029" s="18" t="s">
        <v>8</v>
      </c>
      <c r="R2029" s="18" t="s">
        <v>9</v>
      </c>
      <c r="S2029" s="18" t="s">
        <v>4105</v>
      </c>
      <c r="T2029" s="18" t="s">
        <v>4106</v>
      </c>
    </row>
    <row r="2030" ht="15" spans="1:20">
      <c r="A2030" s="192" t="s">
        <v>7502</v>
      </c>
      <c r="B2030" s="729">
        <v>20250417</v>
      </c>
      <c r="C2030" s="21">
        <v>7.31</v>
      </c>
      <c r="D2030" s="23" t="s">
        <v>2485</v>
      </c>
      <c r="E2030" s="775" t="s">
        <v>2486</v>
      </c>
      <c r="F2030" s="768" t="s">
        <v>2801</v>
      </c>
      <c r="G2030" s="690" t="s">
        <v>2477</v>
      </c>
      <c r="H2030" s="21" t="s">
        <v>1913</v>
      </c>
      <c r="I2030" s="21"/>
      <c r="J2030" s="731">
        <v>150</v>
      </c>
      <c r="K2030" s="21"/>
      <c r="L2030" s="21"/>
      <c r="M2030" s="21"/>
      <c r="N2030" s="22">
        <v>5.13029958014584</v>
      </c>
      <c r="O2030" s="22">
        <v>14.672527860519</v>
      </c>
      <c r="P2030" s="37"/>
      <c r="Q2030" s="37">
        <v>3.14632482758621</v>
      </c>
      <c r="R2030" s="37">
        <f>SUM(J2030:Q2030)</f>
        <v>172.949152268251</v>
      </c>
      <c r="S2030" s="167" t="s">
        <v>1526</v>
      </c>
      <c r="T2030" s="167" t="s">
        <v>8147</v>
      </c>
    </row>
    <row r="2035" ht="15.6" spans="1:20">
      <c r="A2035" s="684" t="s">
        <v>8076</v>
      </c>
      <c r="B2035" s="718"/>
      <c r="C2035" s="718"/>
      <c r="D2035" s="718"/>
      <c r="E2035" s="127"/>
      <c r="F2035" s="127"/>
      <c r="G2035" s="13"/>
      <c r="H2035" s="14"/>
      <c r="I2035" s="14"/>
      <c r="J2035" s="128"/>
      <c r="K2035" s="685"/>
      <c r="L2035" s="685"/>
      <c r="M2035" s="129"/>
      <c r="N2035" s="686"/>
      <c r="O2035" s="15"/>
      <c r="P2035" s="13"/>
      <c r="Q2035" s="130"/>
      <c r="R2035" s="130"/>
      <c r="S2035" s="12"/>
      <c r="T2035" s="131"/>
    </row>
    <row r="2036" ht="15.6" spans="1:20">
      <c r="A2036" s="17" t="s">
        <v>1490</v>
      </c>
      <c r="B2036" s="719"/>
      <c r="C2036" s="720" t="s">
        <v>1404</v>
      </c>
      <c r="D2036" s="719"/>
      <c r="E2036" s="18" t="s">
        <v>5</v>
      </c>
      <c r="F2036" s="18" t="s">
        <v>1933</v>
      </c>
      <c r="G2036" s="18" t="s">
        <v>4102</v>
      </c>
      <c r="H2036" s="141" t="s">
        <v>4541</v>
      </c>
      <c r="I2036" s="18" t="s">
        <v>1497</v>
      </c>
      <c r="J2036" s="18" t="s">
        <v>4102</v>
      </c>
      <c r="K2036" s="18" t="s">
        <v>4103</v>
      </c>
      <c r="L2036" s="18" t="s">
        <v>4104</v>
      </c>
      <c r="M2036" s="18" t="s">
        <v>1497</v>
      </c>
      <c r="N2036" s="18" t="s">
        <v>6</v>
      </c>
      <c r="O2036" s="18" t="s">
        <v>7</v>
      </c>
      <c r="P2036" s="18" t="s">
        <v>5672</v>
      </c>
      <c r="Q2036" s="18" t="s">
        <v>8</v>
      </c>
      <c r="R2036" s="18" t="s">
        <v>9</v>
      </c>
      <c r="S2036" s="18" t="s">
        <v>4105</v>
      </c>
      <c r="T2036" s="18" t="s">
        <v>4106</v>
      </c>
    </row>
    <row r="2037" ht="15" spans="1:20">
      <c r="A2037" s="766" t="s">
        <v>2199</v>
      </c>
      <c r="B2037" s="729">
        <v>20240814</v>
      </c>
      <c r="C2037" s="729"/>
      <c r="D2037" s="729"/>
      <c r="E2037" s="767" t="s">
        <v>1998</v>
      </c>
      <c r="F2037" s="688" t="s">
        <v>4122</v>
      </c>
      <c r="G2037" s="21" t="s">
        <v>2369</v>
      </c>
      <c r="H2037" s="21" t="s">
        <v>4174</v>
      </c>
      <c r="I2037" s="21" t="s">
        <v>1635</v>
      </c>
      <c r="J2037" s="700">
        <v>190</v>
      </c>
      <c r="K2037" s="700" t="s">
        <v>1428</v>
      </c>
      <c r="L2037" s="21" t="s">
        <v>1428</v>
      </c>
      <c r="M2037" s="21">
        <v>3.1</v>
      </c>
      <c r="N2037" s="37">
        <v>3.30452054794521</v>
      </c>
      <c r="O2037" s="37">
        <v>14.4574106115796</v>
      </c>
      <c r="P2037" s="37" t="s">
        <v>1428</v>
      </c>
      <c r="Q2037" s="770">
        <v>2.55677228412257</v>
      </c>
      <c r="R2037" s="37">
        <f>SUM(J2037:Q2037)</f>
        <v>213.418703443647</v>
      </c>
      <c r="S2037" s="23" t="s">
        <v>4175</v>
      </c>
      <c r="T2037" s="23" t="s">
        <v>8148</v>
      </c>
    </row>
    <row r="2038" spans="1:20">
      <c r="A2038" s="776" t="s">
        <v>782</v>
      </c>
      <c r="B2038" s="763">
        <v>20240910</v>
      </c>
      <c r="C2038" s="23">
        <v>7.31</v>
      </c>
      <c r="D2038" s="777" t="s">
        <v>783</v>
      </c>
      <c r="E2038" s="778" t="s">
        <v>784</v>
      </c>
      <c r="F2038" s="39"/>
      <c r="G2038" s="21"/>
      <c r="H2038" s="21"/>
      <c r="I2038" s="21"/>
      <c r="J2038" s="779"/>
      <c r="K2038" s="779"/>
      <c r="L2038" s="779"/>
      <c r="M2038" s="779"/>
      <c r="N2038" s="22">
        <v>0.206027697036579</v>
      </c>
      <c r="O2038" s="22">
        <v>1.09561230956208</v>
      </c>
      <c r="P2038" s="21" t="s">
        <v>1428</v>
      </c>
      <c r="Q2038" s="37">
        <v>0.3</v>
      </c>
      <c r="R2038" s="37">
        <f>SUM(J2038:Q2038)</f>
        <v>1.60164000659866</v>
      </c>
      <c r="S2038" s="23"/>
      <c r="T2038" s="710" t="s">
        <v>8149</v>
      </c>
    </row>
    <row r="2041" ht="15.6" spans="1:20">
      <c r="A2041" s="684" t="s">
        <v>8076</v>
      </c>
      <c r="B2041" s="718"/>
      <c r="C2041" s="718"/>
      <c r="D2041" s="718"/>
      <c r="E2041" s="127"/>
      <c r="F2041" s="127"/>
      <c r="G2041" s="13"/>
      <c r="H2041" s="14"/>
      <c r="I2041" s="14"/>
      <c r="J2041" s="128"/>
      <c r="K2041" s="685"/>
      <c r="L2041" s="685"/>
      <c r="M2041" s="129"/>
      <c r="N2041" s="686"/>
      <c r="O2041" s="15"/>
      <c r="P2041" s="13"/>
      <c r="Q2041" s="130"/>
      <c r="R2041" s="130"/>
      <c r="S2041" s="12"/>
      <c r="T2041" s="131"/>
    </row>
    <row r="2042" ht="15.6" spans="1:20">
      <c r="A2042" s="17" t="s">
        <v>1490</v>
      </c>
      <c r="B2042" s="719"/>
      <c r="C2042" s="720" t="s">
        <v>1404</v>
      </c>
      <c r="D2042" s="719"/>
      <c r="E2042" s="18" t="s">
        <v>5</v>
      </c>
      <c r="F2042" s="18" t="s">
        <v>1933</v>
      </c>
      <c r="G2042" s="18" t="s">
        <v>4102</v>
      </c>
      <c r="H2042" s="141" t="s">
        <v>4541</v>
      </c>
      <c r="I2042" s="18" t="s">
        <v>1497</v>
      </c>
      <c r="J2042" s="18" t="s">
        <v>4102</v>
      </c>
      <c r="K2042" s="18" t="s">
        <v>4103</v>
      </c>
      <c r="L2042" s="18" t="s">
        <v>4104</v>
      </c>
      <c r="M2042" s="18" t="s">
        <v>1497</v>
      </c>
      <c r="N2042" s="18" t="s">
        <v>6</v>
      </c>
      <c r="O2042" s="18" t="s">
        <v>7</v>
      </c>
      <c r="P2042" s="18" t="s">
        <v>5672</v>
      </c>
      <c r="Q2042" s="18" t="s">
        <v>8</v>
      </c>
      <c r="R2042" s="18" t="s">
        <v>9</v>
      </c>
      <c r="S2042" s="18" t="s">
        <v>4105</v>
      </c>
      <c r="T2042" s="18" t="s">
        <v>4106</v>
      </c>
    </row>
    <row r="2043" ht="15" spans="1:20">
      <c r="A2043" s="333" t="s">
        <v>7836</v>
      </c>
      <c r="B2043" s="23">
        <v>20250224</v>
      </c>
      <c r="C2043" s="21">
        <v>7.31</v>
      </c>
      <c r="D2043" s="780" t="s">
        <v>8150</v>
      </c>
      <c r="E2043" s="20" t="s">
        <v>1571</v>
      </c>
      <c r="F2043" s="750" t="s">
        <v>4742</v>
      </c>
      <c r="G2043" s="21" t="s">
        <v>3457</v>
      </c>
      <c r="H2043" s="21" t="s">
        <v>3436</v>
      </c>
      <c r="I2043" s="21" t="s">
        <v>1635</v>
      </c>
      <c r="J2043" s="690">
        <v>32</v>
      </c>
      <c r="K2043" s="21">
        <f>6.2*2</f>
        <v>12.4</v>
      </c>
      <c r="L2043" s="781"/>
      <c r="M2043" s="21">
        <v>3.3</v>
      </c>
      <c r="N2043" s="22">
        <v>3.26881988361938</v>
      </c>
      <c r="O2043" s="22">
        <v>13.1193931193262</v>
      </c>
      <c r="P2043" s="37"/>
      <c r="Q2043" s="37">
        <v>3</v>
      </c>
      <c r="R2043" s="22">
        <f>SUBTOTAL(9,H2043:Q2043)</f>
        <v>67.0882130029456</v>
      </c>
      <c r="S2043" s="167" t="s">
        <v>2579</v>
      </c>
      <c r="T2043" s="167" t="s">
        <v>4747</v>
      </c>
    </row>
    <row r="2044" spans="1:20">
      <c r="A2044" s="333"/>
      <c r="B2044" s="777">
        <v>20250312</v>
      </c>
      <c r="C2044" s="23">
        <v>7.31</v>
      </c>
      <c r="D2044" s="777" t="s">
        <v>778</v>
      </c>
      <c r="E2044" s="777" t="s">
        <v>779</v>
      </c>
      <c r="F2044" s="39"/>
      <c r="G2044" s="21"/>
      <c r="H2044" s="21"/>
      <c r="I2044" s="21"/>
      <c r="J2044" s="779"/>
      <c r="K2044" s="779"/>
      <c r="L2044" s="779"/>
      <c r="M2044" s="779"/>
      <c r="N2044" s="22">
        <v>0.120611577031136</v>
      </c>
      <c r="O2044" s="22">
        <v>0.259766450515506</v>
      </c>
      <c r="P2044" s="21"/>
      <c r="Q2044" s="37">
        <v>0.2</v>
      </c>
      <c r="R2044" s="37">
        <f>SUM(J2044:Q2044)</f>
        <v>0.580378027546642</v>
      </c>
      <c r="S2044" s="23"/>
      <c r="T2044" s="39"/>
    </row>
    <row r="2049" ht="15.6" spans="1:20">
      <c r="A2049" s="684" t="s">
        <v>8076</v>
      </c>
      <c r="B2049" s="11"/>
      <c r="C2049" s="11"/>
      <c r="D2049" s="11"/>
      <c r="E2049" s="127"/>
      <c r="F2049" s="127"/>
      <c r="G2049" s="13"/>
      <c r="H2049" s="14"/>
      <c r="I2049" s="14"/>
      <c r="J2049" s="128"/>
      <c r="K2049" s="129"/>
      <c r="L2049" s="129"/>
      <c r="M2049" s="129"/>
      <c r="N2049" s="15"/>
      <c r="O2049" s="15"/>
      <c r="P2049" s="13"/>
      <c r="Q2049" s="130"/>
      <c r="R2049" s="130"/>
      <c r="S2049" s="12"/>
      <c r="T2049" s="131"/>
    </row>
    <row r="2050" ht="15.6" spans="1:20">
      <c r="A2050" s="17" t="s">
        <v>1490</v>
      </c>
      <c r="B2050" s="17" t="s">
        <v>1492</v>
      </c>
      <c r="C2050" s="754" t="s">
        <v>1404</v>
      </c>
      <c r="D2050" s="164" t="s">
        <v>1494</v>
      </c>
      <c r="E2050" s="18" t="s">
        <v>5</v>
      </c>
      <c r="F2050" s="18" t="s">
        <v>1933</v>
      </c>
      <c r="G2050" s="18" t="s">
        <v>4102</v>
      </c>
      <c r="H2050" s="18" t="s">
        <v>1910</v>
      </c>
      <c r="I2050" s="18" t="s">
        <v>1497</v>
      </c>
      <c r="J2050" s="18" t="s">
        <v>4102</v>
      </c>
      <c r="K2050" s="18" t="s">
        <v>4103</v>
      </c>
      <c r="L2050" s="18" t="s">
        <v>4104</v>
      </c>
      <c r="M2050" s="18" t="s">
        <v>1497</v>
      </c>
      <c r="N2050" s="18" t="s">
        <v>6</v>
      </c>
      <c r="O2050" s="18" t="s">
        <v>7</v>
      </c>
      <c r="P2050" s="18" t="s">
        <v>5672</v>
      </c>
      <c r="Q2050" s="18" t="s">
        <v>8</v>
      </c>
      <c r="R2050" s="18" t="s">
        <v>9</v>
      </c>
      <c r="S2050" s="18" t="s">
        <v>4105</v>
      </c>
      <c r="T2050" s="18" t="s">
        <v>4106</v>
      </c>
    </row>
    <row r="2051" s="177" customFormat="1" ht="15" spans="1:20">
      <c r="A2051" s="23" t="s">
        <v>3547</v>
      </c>
      <c r="B2051" s="782">
        <v>20250219</v>
      </c>
      <c r="C2051" s="783">
        <v>7.31</v>
      </c>
      <c r="D2051" s="23" t="s">
        <v>3597</v>
      </c>
      <c r="E2051" s="20" t="s">
        <v>2234</v>
      </c>
      <c r="F2051" s="729" t="s">
        <v>3592</v>
      </c>
      <c r="G2051" s="21" t="s">
        <v>3542</v>
      </c>
      <c r="H2051" s="21" t="s">
        <v>3349</v>
      </c>
      <c r="I2051" s="21" t="s">
        <v>1428</v>
      </c>
      <c r="J2051" s="700">
        <v>30</v>
      </c>
      <c r="K2051" s="21" t="s">
        <v>1428</v>
      </c>
      <c r="L2051" s="700">
        <v>7.5</v>
      </c>
      <c r="M2051" s="21" t="s">
        <v>1428</v>
      </c>
      <c r="N2051" s="709">
        <v>3.14</v>
      </c>
      <c r="O2051" s="22">
        <v>10.9707168248565</v>
      </c>
      <c r="P2051" s="21" t="s">
        <v>1428</v>
      </c>
      <c r="Q2051" s="37">
        <v>3</v>
      </c>
      <c r="R2051" s="22">
        <f>SUBTOTAL(9,H2051:Q2051)</f>
        <v>54.6107168248565</v>
      </c>
      <c r="S2051" s="166" t="s">
        <v>3562</v>
      </c>
      <c r="T2051" s="167" t="s">
        <v>3584</v>
      </c>
    </row>
    <row r="2052" spans="1:20">
      <c r="A2052" s="182" t="s">
        <v>7411</v>
      </c>
    </row>
    <row r="2054" ht="15.6" spans="1:20">
      <c r="A2054" s="684" t="s">
        <v>8076</v>
      </c>
      <c r="B2054" s="11"/>
      <c r="C2054" s="11"/>
      <c r="D2054" s="11"/>
      <c r="E2054" s="127"/>
      <c r="F2054" s="127"/>
      <c r="G2054" s="13"/>
      <c r="H2054" s="14"/>
      <c r="I2054" s="14"/>
      <c r="J2054" s="128"/>
      <c r="K2054" s="129"/>
      <c r="L2054" s="129"/>
      <c r="M2054" s="129"/>
      <c r="N2054" s="15"/>
      <c r="O2054" s="15"/>
      <c r="P2054" s="13"/>
      <c r="Q2054" s="130"/>
      <c r="R2054" s="130"/>
      <c r="S2054" s="12"/>
      <c r="T2054" s="131"/>
    </row>
    <row r="2055" ht="15.6" spans="1:20">
      <c r="A2055" s="17" t="s">
        <v>1490</v>
      </c>
      <c r="B2055" s="17" t="s">
        <v>1492</v>
      </c>
      <c r="C2055" s="754" t="s">
        <v>1404</v>
      </c>
      <c r="D2055" s="164" t="s">
        <v>1494</v>
      </c>
      <c r="E2055" s="18" t="s">
        <v>5</v>
      </c>
      <c r="F2055" s="18" t="s">
        <v>1933</v>
      </c>
      <c r="G2055" s="18" t="s">
        <v>4102</v>
      </c>
      <c r="H2055" s="18" t="s">
        <v>1910</v>
      </c>
      <c r="I2055" s="18" t="s">
        <v>1497</v>
      </c>
      <c r="J2055" s="18" t="s">
        <v>4102</v>
      </c>
      <c r="K2055" s="18" t="s">
        <v>4103</v>
      </c>
      <c r="L2055" s="18" t="s">
        <v>4104</v>
      </c>
      <c r="M2055" s="18" t="s">
        <v>1497</v>
      </c>
      <c r="N2055" s="18" t="s">
        <v>6</v>
      </c>
      <c r="O2055" s="18" t="s">
        <v>7</v>
      </c>
      <c r="P2055" s="18" t="s">
        <v>5672</v>
      </c>
      <c r="Q2055" s="18" t="s">
        <v>8</v>
      </c>
      <c r="R2055" s="18" t="s">
        <v>9</v>
      </c>
      <c r="S2055" s="18" t="s">
        <v>4105</v>
      </c>
      <c r="T2055" s="18" t="s">
        <v>4106</v>
      </c>
    </row>
    <row r="2056" s="177" customFormat="1" ht="15" spans="1:20">
      <c r="A2056" s="23" t="s">
        <v>3547</v>
      </c>
      <c r="B2056" s="782">
        <v>20250219</v>
      </c>
      <c r="C2056" s="783">
        <v>7.31</v>
      </c>
      <c r="D2056" s="23" t="s">
        <v>3597</v>
      </c>
      <c r="E2056" s="20" t="s">
        <v>2234</v>
      </c>
      <c r="F2056" s="729" t="s">
        <v>3592</v>
      </c>
      <c r="G2056" s="21" t="s">
        <v>3542</v>
      </c>
      <c r="H2056" s="21" t="s">
        <v>3349</v>
      </c>
      <c r="I2056" s="21" t="s">
        <v>1428</v>
      </c>
      <c r="J2056" s="700">
        <v>30</v>
      </c>
      <c r="K2056" s="21" t="s">
        <v>1428</v>
      </c>
      <c r="L2056" s="700">
        <v>7.5</v>
      </c>
      <c r="M2056" s="21" t="s">
        <v>1428</v>
      </c>
      <c r="N2056" s="709">
        <v>2.9</v>
      </c>
      <c r="O2056" s="22">
        <v>10.3700781121528</v>
      </c>
      <c r="P2056" s="21" t="s">
        <v>1428</v>
      </c>
      <c r="Q2056" s="37">
        <f>21.1/7.31/1.13</f>
        <v>2.55438664455286</v>
      </c>
      <c r="R2056" s="22">
        <f>SUBTOTAL(9,H2056:Q2056)</f>
        <v>53.3244647567057</v>
      </c>
      <c r="S2056" s="166" t="s">
        <v>3562</v>
      </c>
      <c r="T2056" s="167" t="s">
        <v>8151</v>
      </c>
    </row>
    <row r="2057" spans="1:20">
      <c r="A2057" s="182" t="s">
        <v>7413</v>
      </c>
    </row>
    <row r="2060" spans="1:20">
      <c r="O2060" s="594" t="s">
        <v>8152</v>
      </c>
      <c r="P2060" s="595" t="s">
        <v>7862</v>
      </c>
    </row>
    <row r="2061" spans="1:20">
      <c r="O2061" s="594" t="s">
        <v>7822</v>
      </c>
      <c r="P2061" s="590">
        <f>N2051+O2051+Q2051</f>
        <v>17.1107168248565</v>
      </c>
    </row>
    <row r="2062" spans="1:20">
      <c r="O2062" s="594" t="s">
        <v>7823</v>
      </c>
      <c r="P2062" s="590">
        <f>N2056+O2056+Q2056</f>
        <v>15.8244647567056</v>
      </c>
    </row>
    <row r="2063" spans="1:20">
      <c r="O2063" s="594" t="s">
        <v>7863</v>
      </c>
      <c r="P2063" s="634">
        <f>P2061-P2062</f>
        <v>1.28625206815089</v>
      </c>
      <c r="Q2063" s="182" t="s">
        <v>8153</v>
      </c>
    </row>
    <row r="2065" ht="15.6" spans="1:21">
      <c r="A2065" s="11" t="s">
        <v>8127</v>
      </c>
      <c r="B2065" s="11"/>
      <c r="C2065" s="11"/>
      <c r="D2065" s="11"/>
      <c r="E2065" s="11"/>
      <c r="F2065" s="127"/>
      <c r="G2065" s="127"/>
      <c r="H2065" s="13"/>
      <c r="I2065" s="14"/>
      <c r="J2065" s="14"/>
      <c r="K2065" s="128"/>
      <c r="L2065" s="129"/>
      <c r="M2065" s="129"/>
      <c r="N2065" s="129"/>
      <c r="O2065" s="15"/>
      <c r="P2065" s="15"/>
      <c r="Q2065" s="13"/>
      <c r="R2065" s="130"/>
      <c r="S2065" s="130"/>
      <c r="T2065" s="12"/>
      <c r="U2065" s="131"/>
    </row>
    <row r="2066" ht="15.6" spans="1:21">
      <c r="A2066" s="17" t="s">
        <v>1490</v>
      </c>
      <c r="B2066" s="17" t="s">
        <v>1492</v>
      </c>
      <c r="C2066" s="754" t="s">
        <v>1404</v>
      </c>
      <c r="D2066" s="17" t="s">
        <v>4100</v>
      </c>
      <c r="E2066" s="18" t="s">
        <v>5</v>
      </c>
      <c r="F2066" s="121" t="s">
        <v>1933</v>
      </c>
      <c r="G2066" s="18" t="s">
        <v>4102</v>
      </c>
      <c r="H2066" s="18" t="s">
        <v>1910</v>
      </c>
      <c r="I2066" s="18" t="s">
        <v>1497</v>
      </c>
      <c r="J2066" s="18" t="s">
        <v>4102</v>
      </c>
      <c r="K2066" s="18" t="s">
        <v>4103</v>
      </c>
      <c r="L2066" s="18" t="s">
        <v>4104</v>
      </c>
      <c r="M2066" s="18" t="s">
        <v>1497</v>
      </c>
      <c r="N2066" s="18" t="s">
        <v>6</v>
      </c>
      <c r="O2066" s="18" t="s">
        <v>7</v>
      </c>
      <c r="P2066" s="18" t="s">
        <v>5672</v>
      </c>
      <c r="Q2066" s="18" t="s">
        <v>8</v>
      </c>
      <c r="R2066" s="18" t="s">
        <v>9</v>
      </c>
      <c r="S2066" s="18" t="s">
        <v>4105</v>
      </c>
      <c r="T2066" s="18" t="s">
        <v>4106</v>
      </c>
    </row>
    <row r="2067" ht="15" spans="1:21">
      <c r="A2067" s="784" t="s">
        <v>350</v>
      </c>
      <c r="B2067" s="785">
        <v>20241008</v>
      </c>
      <c r="C2067" s="784">
        <v>7.31</v>
      </c>
      <c r="D2067" s="784" t="s">
        <v>2876</v>
      </c>
      <c r="E2067" s="784" t="s">
        <v>1581</v>
      </c>
      <c r="F2067" s="784" t="s">
        <v>4122</v>
      </c>
      <c r="G2067" s="786" t="s">
        <v>2877</v>
      </c>
      <c r="H2067" s="786" t="s">
        <v>1913</v>
      </c>
      <c r="I2067" s="786"/>
      <c r="J2067" s="786">
        <v>320</v>
      </c>
      <c r="K2067" s="786"/>
      <c r="L2067" s="786"/>
      <c r="M2067" s="786"/>
      <c r="N2067" s="787">
        <v>4.6478978422268</v>
      </c>
      <c r="O2067" s="787">
        <v>29.4217582687085</v>
      </c>
      <c r="P2067" s="787" t="s">
        <v>1428</v>
      </c>
      <c r="Q2067" s="787">
        <v>3.81</v>
      </c>
      <c r="R2067" s="787">
        <v>357.879656110935</v>
      </c>
      <c r="S2067" s="788" t="s">
        <v>1526</v>
      </c>
      <c r="T2067" s="789" t="s">
        <v>8154</v>
      </c>
    </row>
    <row r="2068" ht="15" spans="1:21">
      <c r="A2068" s="784"/>
      <c r="B2068" s="785">
        <v>202401009</v>
      </c>
      <c r="C2068" s="784">
        <v>7.31</v>
      </c>
      <c r="D2068" s="784" t="s">
        <v>357</v>
      </c>
      <c r="E2068" s="784" t="s">
        <v>358</v>
      </c>
      <c r="F2068" s="784"/>
      <c r="G2068" s="786"/>
      <c r="H2068" s="786"/>
      <c r="I2068" s="786"/>
      <c r="J2068" s="786"/>
      <c r="K2068" s="786"/>
      <c r="L2068" s="786"/>
      <c r="M2068" s="786"/>
      <c r="N2068" s="787">
        <v>0.93918701905944</v>
      </c>
      <c r="O2068" s="787">
        <v>4.812650289867</v>
      </c>
      <c r="P2068" s="787"/>
      <c r="Q2068" s="787">
        <v>0.4</v>
      </c>
      <c r="R2068" s="787">
        <v>6.15183730892644</v>
      </c>
      <c r="S2068" s="788"/>
      <c r="T2068" s="789" t="s">
        <v>8155</v>
      </c>
    </row>
    <row r="2069" ht="15" spans="1:21">
      <c r="A2069" s="784"/>
      <c r="B2069" s="784">
        <v>20250206</v>
      </c>
      <c r="C2069" s="784">
        <v>7.31</v>
      </c>
      <c r="D2069" s="784" t="s">
        <v>1426</v>
      </c>
      <c r="E2069" s="784" t="s">
        <v>1427</v>
      </c>
      <c r="F2069" s="784"/>
      <c r="G2069" s="786"/>
      <c r="H2069" s="786"/>
      <c r="I2069" s="786"/>
      <c r="J2069" s="786"/>
      <c r="K2069" s="786"/>
      <c r="L2069" s="786"/>
      <c r="M2069" s="786"/>
      <c r="N2069" s="787" t="s">
        <v>1428</v>
      </c>
      <c r="O2069" s="787">
        <v>0.670331480611183</v>
      </c>
      <c r="P2069" s="787" t="s">
        <v>1428</v>
      </c>
      <c r="Q2069" s="787">
        <v>0.2</v>
      </c>
      <c r="R2069" s="787">
        <v>0.870331480611183</v>
      </c>
      <c r="S2069" s="788"/>
      <c r="T2069" s="789" t="s">
        <v>8156</v>
      </c>
    </row>
    <row r="2071" ht="15.6" spans="1:21">
      <c r="A2071" s="11" t="s">
        <v>8127</v>
      </c>
      <c r="B2071" s="11"/>
      <c r="C2071" s="11"/>
      <c r="D2071" s="11"/>
      <c r="E2071" s="11"/>
      <c r="F2071" s="127"/>
      <c r="G2071" s="127"/>
      <c r="H2071" s="13"/>
      <c r="I2071" s="14"/>
      <c r="J2071" s="14"/>
      <c r="K2071" s="128"/>
      <c r="L2071" s="129"/>
      <c r="M2071" s="129"/>
      <c r="N2071" s="129"/>
      <c r="O2071" s="15"/>
      <c r="P2071" s="15"/>
      <c r="Q2071" s="13"/>
      <c r="R2071" s="130"/>
      <c r="S2071" s="130"/>
      <c r="T2071" s="12"/>
      <c r="U2071" s="131"/>
    </row>
    <row r="2072" ht="15.6" spans="1:21">
      <c r="A2072" s="17" t="s">
        <v>1490</v>
      </c>
      <c r="B2072" s="17" t="s">
        <v>1492</v>
      </c>
      <c r="C2072" s="754" t="s">
        <v>1404</v>
      </c>
      <c r="D2072" s="17" t="s">
        <v>4100</v>
      </c>
      <c r="E2072" s="18" t="s">
        <v>5</v>
      </c>
      <c r="F2072" s="121" t="s">
        <v>1933</v>
      </c>
      <c r="G2072" s="18" t="s">
        <v>4102</v>
      </c>
      <c r="H2072" s="18" t="s">
        <v>1910</v>
      </c>
      <c r="I2072" s="18" t="s">
        <v>1497</v>
      </c>
      <c r="J2072" s="18" t="s">
        <v>4102</v>
      </c>
      <c r="K2072" s="18" t="s">
        <v>4103</v>
      </c>
      <c r="L2072" s="18" t="s">
        <v>4104</v>
      </c>
      <c r="M2072" s="18" t="s">
        <v>1497</v>
      </c>
      <c r="N2072" s="18" t="s">
        <v>6</v>
      </c>
      <c r="O2072" s="18" t="s">
        <v>7</v>
      </c>
      <c r="P2072" s="18" t="s">
        <v>5672</v>
      </c>
      <c r="Q2072" s="18" t="s">
        <v>8</v>
      </c>
      <c r="R2072" s="18" t="s">
        <v>9</v>
      </c>
      <c r="S2072" s="18" t="s">
        <v>4105</v>
      </c>
      <c r="T2072" s="18" t="s">
        <v>4106</v>
      </c>
    </row>
    <row r="2073" s="177" customFormat="1" ht="15" spans="1:21">
      <c r="A2073" s="23" t="s">
        <v>350</v>
      </c>
      <c r="B2073" s="782">
        <v>20241008</v>
      </c>
      <c r="C2073" s="783">
        <v>7.31</v>
      </c>
      <c r="D2073" s="23" t="s">
        <v>2876</v>
      </c>
      <c r="E2073" s="20" t="s">
        <v>1581</v>
      </c>
      <c r="F2073" s="729" t="s">
        <v>4122</v>
      </c>
      <c r="G2073" s="21" t="s">
        <v>2877</v>
      </c>
      <c r="H2073" s="21" t="s">
        <v>1913</v>
      </c>
      <c r="I2073" s="21"/>
      <c r="J2073" s="700">
        <v>320</v>
      </c>
      <c r="K2073" s="21"/>
      <c r="L2073" s="700"/>
      <c r="M2073" s="21"/>
      <c r="N2073" s="709">
        <v>4.42719998063024</v>
      </c>
      <c r="O2073" s="704">
        <v>27.7776827275692</v>
      </c>
      <c r="P2073" s="21" t="s">
        <v>1428</v>
      </c>
      <c r="Q2073" s="37">
        <v>3.81</v>
      </c>
      <c r="R2073" s="22">
        <f>SUBTOTAL(9,H2073:Q2073)</f>
        <v>356.014882708199</v>
      </c>
      <c r="S2073" s="166" t="s">
        <v>1526</v>
      </c>
      <c r="T2073" s="167" t="s">
        <v>8154</v>
      </c>
    </row>
    <row r="2074" s="177" customFormat="1" ht="15" spans="1:21">
      <c r="A2074" s="23"/>
      <c r="B2074" s="782">
        <v>202401009</v>
      </c>
      <c r="C2074" s="783">
        <v>7.31</v>
      </c>
      <c r="D2074" s="23" t="s">
        <v>357</v>
      </c>
      <c r="E2074" s="20" t="s">
        <v>358</v>
      </c>
      <c r="F2074" s="729"/>
      <c r="G2074" s="21"/>
      <c r="H2074" s="21"/>
      <c r="I2074" s="21"/>
      <c r="J2074" s="700"/>
      <c r="K2074" s="21"/>
      <c r="L2074" s="700"/>
      <c r="M2074" s="21"/>
      <c r="N2074" s="709">
        <v>0.895851240269724</v>
      </c>
      <c r="O2074" s="704">
        <v>4.97549242621358</v>
      </c>
      <c r="P2074" s="21"/>
      <c r="Q2074" s="37">
        <v>0.4</v>
      </c>
      <c r="R2074" s="22">
        <f>SUBTOTAL(9,H2074:Q2074)</f>
        <v>6.2713436664833</v>
      </c>
      <c r="S2074" s="166"/>
      <c r="T2074" s="167" t="s">
        <v>8155</v>
      </c>
    </row>
    <row r="2075" s="177" customFormat="1" ht="15" spans="1:21">
      <c r="A2075" s="23"/>
      <c r="B2075" s="782">
        <v>20250206</v>
      </c>
      <c r="C2075" s="783">
        <v>7.31</v>
      </c>
      <c r="D2075" s="23" t="s">
        <v>1426</v>
      </c>
      <c r="E2075" s="20" t="s">
        <v>1427</v>
      </c>
      <c r="F2075" s="729"/>
      <c r="G2075" s="21"/>
      <c r="H2075" s="21"/>
      <c r="I2075" s="21"/>
      <c r="J2075" s="700"/>
      <c r="K2075" s="21"/>
      <c r="L2075" s="700"/>
      <c r="M2075" s="21"/>
      <c r="N2075" s="709" t="s">
        <v>1428</v>
      </c>
      <c r="O2075" s="22">
        <v>0.670331480611183</v>
      </c>
      <c r="P2075" s="21" t="s">
        <v>1428</v>
      </c>
      <c r="Q2075" s="37">
        <v>0.2</v>
      </c>
      <c r="R2075" s="22">
        <f>SUBTOTAL(9,H2075:Q2075)</f>
        <v>0.870331480611183</v>
      </c>
      <c r="S2075" s="166"/>
      <c r="T2075" s="167" t="s">
        <v>8156</v>
      </c>
    </row>
    <row r="2080" spans="1:21">
      <c r="O2080" s="594" t="s">
        <v>8152</v>
      </c>
      <c r="P2080" s="595" t="s">
        <v>7862</v>
      </c>
    </row>
    <row r="2081" spans="1:21">
      <c r="O2081" s="594" t="s">
        <v>7822</v>
      </c>
      <c r="P2081" s="590">
        <f>N2067+O2067+Q2067</f>
        <v>37.8796561109353</v>
      </c>
    </row>
    <row r="2082" spans="1:21">
      <c r="O2082" s="594" t="s">
        <v>7823</v>
      </c>
      <c r="P2082" s="590">
        <f>N2073+O2073+Q2073</f>
        <v>36.0148827081994</v>
      </c>
    </row>
    <row r="2083" spans="1:21">
      <c r="O2083" s="594" t="s">
        <v>7863</v>
      </c>
      <c r="P2083" s="634">
        <f>P2081-P2082</f>
        <v>1.8647734027359</v>
      </c>
    </row>
    <row r="2085" ht="15.6" spans="1:21">
      <c r="A2085" s="11" t="s">
        <v>8127</v>
      </c>
      <c r="B2085" s="11"/>
      <c r="C2085" s="11"/>
      <c r="D2085" s="11"/>
      <c r="E2085" s="11"/>
      <c r="F2085" s="127"/>
      <c r="G2085" s="127"/>
      <c r="H2085" s="13"/>
      <c r="I2085" s="14"/>
      <c r="J2085" s="14"/>
      <c r="K2085" s="128"/>
      <c r="L2085" s="129"/>
      <c r="M2085" s="129"/>
      <c r="N2085" s="129"/>
      <c r="O2085" s="15"/>
      <c r="P2085" s="15"/>
      <c r="Q2085" s="13"/>
      <c r="R2085" s="130"/>
      <c r="S2085" s="130"/>
      <c r="T2085" s="12"/>
      <c r="U2085" s="131"/>
    </row>
    <row r="2086" ht="15.6" spans="1:21">
      <c r="A2086" s="17" t="s">
        <v>1490</v>
      </c>
      <c r="B2086" s="17" t="s">
        <v>1492</v>
      </c>
      <c r="C2086" s="754" t="s">
        <v>1404</v>
      </c>
      <c r="D2086" s="17" t="s">
        <v>4100</v>
      </c>
      <c r="E2086" s="18" t="s">
        <v>5</v>
      </c>
      <c r="F2086" s="121" t="s">
        <v>1933</v>
      </c>
      <c r="G2086" s="18" t="s">
        <v>4102</v>
      </c>
      <c r="H2086" s="18" t="s">
        <v>1910</v>
      </c>
      <c r="I2086" s="18" t="s">
        <v>1497</v>
      </c>
      <c r="J2086" s="18" t="s">
        <v>4102</v>
      </c>
      <c r="K2086" s="18" t="s">
        <v>4103</v>
      </c>
      <c r="L2086" s="18" t="s">
        <v>4104</v>
      </c>
      <c r="M2086" s="18" t="s">
        <v>1497</v>
      </c>
      <c r="N2086" s="18" t="s">
        <v>6</v>
      </c>
      <c r="O2086" s="18" t="s">
        <v>7</v>
      </c>
      <c r="P2086" s="18" t="s">
        <v>5672</v>
      </c>
      <c r="Q2086" s="18" t="s">
        <v>8</v>
      </c>
      <c r="R2086" s="18" t="s">
        <v>9</v>
      </c>
      <c r="S2086" s="18" t="s">
        <v>4105</v>
      </c>
      <c r="T2086" s="18" t="s">
        <v>4106</v>
      </c>
    </row>
    <row r="2087" s="177" customFormat="1" ht="15" spans="1:21">
      <c r="A2087" s="23" t="s">
        <v>7407</v>
      </c>
      <c r="B2087" s="782">
        <v>20241021</v>
      </c>
      <c r="C2087" s="783">
        <v>7.31</v>
      </c>
      <c r="D2087" s="23" t="s">
        <v>8157</v>
      </c>
      <c r="E2087" s="20" t="s">
        <v>8158</v>
      </c>
      <c r="F2087" s="729" t="s">
        <v>4122</v>
      </c>
      <c r="G2087" s="21" t="s">
        <v>4222</v>
      </c>
      <c r="H2087" s="21" t="s">
        <v>1913</v>
      </c>
      <c r="I2087" s="21" t="s">
        <v>1428</v>
      </c>
      <c r="J2087" s="700">
        <v>85</v>
      </c>
      <c r="K2087" s="21" t="s">
        <v>1428</v>
      </c>
      <c r="L2087" s="700" t="s">
        <v>1428</v>
      </c>
      <c r="M2087" s="21" t="s">
        <v>1428</v>
      </c>
      <c r="N2087" s="37">
        <v>3.85264748791615</v>
      </c>
      <c r="O2087" s="22">
        <v>12.4318296316685</v>
      </c>
      <c r="P2087" s="21"/>
      <c r="Q2087" s="37">
        <v>2.91213380078763</v>
      </c>
      <c r="R2087" s="22">
        <f>SUM(J2087:Q2087)+1</f>
        <v>105.196610920372</v>
      </c>
      <c r="S2087" s="166" t="s">
        <v>1526</v>
      </c>
      <c r="T2087" s="167" t="s">
        <v>8159</v>
      </c>
    </row>
    <row r="2088" s="177" customFormat="1" ht="15" spans="1:21">
      <c r="A2088" s="23"/>
      <c r="B2088" s="782">
        <v>20250227</v>
      </c>
      <c r="C2088" s="783">
        <v>7.31</v>
      </c>
      <c r="D2088" s="23" t="s">
        <v>153</v>
      </c>
      <c r="E2088" s="20" t="s">
        <v>154</v>
      </c>
      <c r="F2088" s="729"/>
      <c r="G2088" s="21"/>
      <c r="H2088" s="21"/>
      <c r="I2088" s="21"/>
      <c r="J2088" s="700"/>
      <c r="K2088" s="21"/>
      <c r="L2088" s="700"/>
      <c r="M2088" s="21"/>
      <c r="N2088" s="37">
        <v>0.600596424399946</v>
      </c>
      <c r="O2088" s="22">
        <v>3.44323999713554</v>
      </c>
      <c r="P2088" s="21"/>
      <c r="Q2088" s="37">
        <v>0.4</v>
      </c>
      <c r="R2088" s="22">
        <f>SUM(J2088:Q2088)</f>
        <v>4.44383642153549</v>
      </c>
      <c r="S2088" s="166"/>
      <c r="T2088" s="167" t="s">
        <v>155</v>
      </c>
    </row>
    <row r="2089" s="177" customFormat="1" ht="15" spans="1:21">
      <c r="A2089" s="23"/>
      <c r="B2089" s="782">
        <v>20240511</v>
      </c>
      <c r="C2089" s="783">
        <v>7.31</v>
      </c>
      <c r="D2089" s="23" t="s">
        <v>161</v>
      </c>
      <c r="E2089" s="20" t="s">
        <v>162</v>
      </c>
      <c r="F2089" s="729"/>
      <c r="G2089" s="21"/>
      <c r="H2089" s="21"/>
      <c r="I2089" s="21"/>
      <c r="J2089" s="700"/>
      <c r="K2089" s="21"/>
      <c r="L2089" s="700"/>
      <c r="M2089" s="21"/>
      <c r="N2089" s="37">
        <v>0.0372293790832208</v>
      </c>
      <c r="O2089" s="22">
        <v>0.0394332495267621</v>
      </c>
      <c r="P2089" s="21" t="s">
        <v>1428</v>
      </c>
      <c r="Q2089" s="37">
        <v>0.2</v>
      </c>
      <c r="R2089" s="22">
        <f>SUM(J2089:Q2089)</f>
        <v>0.276662628609983</v>
      </c>
      <c r="S2089" s="166"/>
      <c r="T2089" s="167"/>
    </row>
    <row r="2093" ht="15.6" spans="1:21">
      <c r="A2093" s="684" t="s">
        <v>8076</v>
      </c>
      <c r="B2093" s="718"/>
      <c r="C2093" s="718"/>
      <c r="D2093" s="718"/>
      <c r="E2093" s="127"/>
      <c r="F2093" s="127"/>
      <c r="G2093" s="13"/>
      <c r="H2093" s="14"/>
      <c r="I2093" s="14"/>
      <c r="J2093" s="128"/>
      <c r="K2093" s="685"/>
      <c r="L2093" s="685"/>
      <c r="M2093" s="129"/>
      <c r="N2093" s="686"/>
      <c r="O2093" s="15"/>
      <c r="P2093" s="13"/>
      <c r="Q2093" s="130"/>
      <c r="R2093" s="130"/>
      <c r="S2093" s="12"/>
      <c r="T2093" s="131"/>
    </row>
    <row r="2094" ht="15.6" spans="1:21">
      <c r="A2094" s="17" t="s">
        <v>1490</v>
      </c>
      <c r="B2094" s="719"/>
      <c r="C2094" s="720"/>
      <c r="D2094" s="719"/>
      <c r="E2094" s="18" t="s">
        <v>5</v>
      </c>
      <c r="F2094" s="18" t="s">
        <v>1933</v>
      </c>
      <c r="G2094" s="18" t="s">
        <v>4102</v>
      </c>
      <c r="H2094" s="141" t="s">
        <v>4541</v>
      </c>
      <c r="I2094" s="18" t="s">
        <v>1497</v>
      </c>
      <c r="J2094" s="18" t="s">
        <v>4102</v>
      </c>
      <c r="K2094" s="18" t="s">
        <v>4103</v>
      </c>
      <c r="L2094" s="18" t="s">
        <v>4104</v>
      </c>
      <c r="M2094" s="18" t="s">
        <v>1497</v>
      </c>
      <c r="N2094" s="18" t="s">
        <v>6</v>
      </c>
      <c r="O2094" s="18" t="s">
        <v>7</v>
      </c>
      <c r="P2094" s="18" t="s">
        <v>5672</v>
      </c>
      <c r="Q2094" s="18" t="s">
        <v>8</v>
      </c>
      <c r="R2094" s="18" t="s">
        <v>9</v>
      </c>
      <c r="S2094" s="18" t="s">
        <v>4105</v>
      </c>
      <c r="T2094" s="18" t="s">
        <v>4106</v>
      </c>
    </row>
    <row r="2095" s="177" customFormat="1" spans="1:21">
      <c r="A2095" s="23" t="s">
        <v>8160</v>
      </c>
      <c r="B2095" s="23">
        <v>20250428</v>
      </c>
      <c r="C2095" s="20"/>
      <c r="D2095" s="729" t="s">
        <v>3004</v>
      </c>
      <c r="E2095" s="21" t="s">
        <v>2306</v>
      </c>
      <c r="F2095" s="21" t="s">
        <v>8161</v>
      </c>
      <c r="G2095" s="21" t="s">
        <v>2082</v>
      </c>
      <c r="H2095" s="700"/>
      <c r="I2095" s="21"/>
      <c r="J2095" s="700"/>
      <c r="K2095" s="21"/>
      <c r="L2095" s="37"/>
      <c r="M2095" s="22"/>
      <c r="N2095" s="37">
        <v>3.4381317869811</v>
      </c>
      <c r="O2095" s="37">
        <v>17.4028811129814</v>
      </c>
      <c r="P2095" s="22"/>
      <c r="Q2095" s="37">
        <v>3.29049550235329</v>
      </c>
      <c r="R2095" s="22">
        <f>SUBTOTAL(9,H2095:Q2095)</f>
        <v>24.1315084023158</v>
      </c>
      <c r="S2095" s="192" t="s">
        <v>1526</v>
      </c>
      <c r="T2095" s="192" t="s">
        <v>8162</v>
      </c>
    </row>
    <row r="2097" ht="15.6" spans="1:20">
      <c r="A2097" s="684" t="s">
        <v>8076</v>
      </c>
      <c r="B2097" s="718"/>
      <c r="C2097" s="718"/>
      <c r="D2097" s="718"/>
      <c r="E2097" s="127"/>
      <c r="F2097" s="127"/>
      <c r="G2097" s="13"/>
      <c r="H2097" s="14"/>
      <c r="I2097" s="14"/>
      <c r="J2097" s="128"/>
      <c r="K2097" s="685"/>
      <c r="L2097" s="685"/>
      <c r="M2097" s="129"/>
      <c r="N2097" s="686"/>
      <c r="O2097" s="15"/>
      <c r="P2097" s="13"/>
      <c r="Q2097" s="130"/>
      <c r="R2097" s="130"/>
      <c r="S2097" s="12"/>
      <c r="T2097" s="131"/>
    </row>
    <row r="2098" ht="15.6" spans="1:20">
      <c r="A2098" s="17" t="s">
        <v>1490</v>
      </c>
      <c r="B2098" s="719"/>
      <c r="C2098" s="720"/>
      <c r="D2098" s="719"/>
      <c r="E2098" s="18" t="s">
        <v>5</v>
      </c>
      <c r="F2098" s="18" t="s">
        <v>1933</v>
      </c>
      <c r="G2098" s="18" t="s">
        <v>4102</v>
      </c>
      <c r="H2098" s="141" t="s">
        <v>4541</v>
      </c>
      <c r="I2098" s="18" t="s">
        <v>1497</v>
      </c>
      <c r="J2098" s="18" t="s">
        <v>4102</v>
      </c>
      <c r="K2098" s="18" t="s">
        <v>4103</v>
      </c>
      <c r="L2098" s="18" t="s">
        <v>4104</v>
      </c>
      <c r="M2098" s="18" t="s">
        <v>1497</v>
      </c>
      <c r="N2098" s="18" t="s">
        <v>6</v>
      </c>
      <c r="O2098" s="18" t="s">
        <v>7</v>
      </c>
      <c r="P2098" s="18" t="s">
        <v>5672</v>
      </c>
      <c r="Q2098" s="18" t="s">
        <v>8</v>
      </c>
      <c r="R2098" s="18" t="s">
        <v>9</v>
      </c>
      <c r="S2098" s="18" t="s">
        <v>4105</v>
      </c>
      <c r="T2098" s="18" t="s">
        <v>4106</v>
      </c>
    </row>
    <row r="2099" ht="15" spans="1:20">
      <c r="A2099" s="333" t="s">
        <v>7407</v>
      </c>
      <c r="B2099" s="23">
        <v>20240821</v>
      </c>
      <c r="C2099" s="23">
        <v>7.31</v>
      </c>
      <c r="D2099" s="23" t="s">
        <v>8163</v>
      </c>
      <c r="E2099" s="20" t="s">
        <v>8164</v>
      </c>
      <c r="F2099" s="688" t="s">
        <v>4122</v>
      </c>
      <c r="G2099" s="689" t="s">
        <v>4222</v>
      </c>
      <c r="H2099" s="690" t="s">
        <v>1913</v>
      </c>
      <c r="I2099" s="690" t="s">
        <v>1428</v>
      </c>
      <c r="J2099" s="698">
        <v>85</v>
      </c>
      <c r="K2099" s="21" t="s">
        <v>1428</v>
      </c>
      <c r="L2099" s="21" t="s">
        <v>1428</v>
      </c>
      <c r="M2099" s="21" t="s">
        <v>1428</v>
      </c>
      <c r="N2099" s="709">
        <v>3.85264748791615</v>
      </c>
      <c r="O2099" s="22">
        <v>12.5892772508759</v>
      </c>
      <c r="P2099" s="37" t="s">
        <v>1428</v>
      </c>
      <c r="Q2099" s="37">
        <v>2.91213380078763</v>
      </c>
      <c r="R2099" s="37">
        <f>SUM(J2099:Q2099)+1</f>
        <v>105.35405853958</v>
      </c>
      <c r="S2099" s="693" t="s">
        <v>1526</v>
      </c>
      <c r="T2099" s="167" t="s">
        <v>7804</v>
      </c>
    </row>
    <row r="2100" ht="15" spans="1:20">
      <c r="A2100" s="333"/>
      <c r="B2100" s="23">
        <v>20241113</v>
      </c>
      <c r="C2100" s="23">
        <v>7.31</v>
      </c>
      <c r="D2100" s="23" t="s">
        <v>1405</v>
      </c>
      <c r="E2100" s="20" t="s">
        <v>21</v>
      </c>
      <c r="F2100" s="688"/>
      <c r="G2100" s="690"/>
      <c r="H2100" s="690"/>
      <c r="I2100" s="690"/>
      <c r="J2100" s="36"/>
      <c r="K2100" s="21"/>
      <c r="L2100" s="21"/>
      <c r="M2100" s="21"/>
      <c r="N2100" s="22">
        <v>0.424280290615099</v>
      </c>
      <c r="O2100" s="22">
        <v>2.52191364496928</v>
      </c>
      <c r="P2100" s="37" t="s">
        <v>1428</v>
      </c>
      <c r="Q2100" s="37">
        <v>0.4</v>
      </c>
      <c r="R2100" s="37">
        <v>3.32250365303669</v>
      </c>
      <c r="S2100" s="688"/>
      <c r="T2100" s="167" t="s">
        <v>2844</v>
      </c>
    </row>
    <row r="2106" ht="15.6" spans="1:20">
      <c r="A2106" s="684" t="s">
        <v>8076</v>
      </c>
      <c r="B2106" s="127"/>
      <c r="C2106" s="127"/>
      <c r="D2106" s="13"/>
      <c r="E2106" s="14"/>
      <c r="F2106" s="14"/>
      <c r="G2106" s="128"/>
      <c r="H2106" s="685"/>
      <c r="I2106" s="685"/>
      <c r="J2106" s="129"/>
      <c r="K2106" s="686"/>
      <c r="L2106" s="15"/>
      <c r="M2106" s="13"/>
      <c r="N2106" s="130"/>
      <c r="O2106" s="130"/>
      <c r="P2106" s="12"/>
      <c r="Q2106" s="131"/>
      <c r="R2106" s="333"/>
      <c r="S2106" s="333"/>
      <c r="T2106" s="333"/>
    </row>
    <row r="2107" ht="15.6" spans="1:20">
      <c r="A2107" s="17" t="s">
        <v>1490</v>
      </c>
      <c r="B2107" s="17"/>
      <c r="C2107" s="17"/>
      <c r="D2107" s="17"/>
      <c r="E2107" s="18" t="s">
        <v>5</v>
      </c>
      <c r="F2107" s="18" t="s">
        <v>1933</v>
      </c>
      <c r="G2107" s="18" t="s">
        <v>4102</v>
      </c>
      <c r="H2107" s="141" t="s">
        <v>4541</v>
      </c>
      <c r="I2107" s="18" t="s">
        <v>1497</v>
      </c>
      <c r="J2107" s="18" t="s">
        <v>4102</v>
      </c>
      <c r="K2107" s="18" t="s">
        <v>4103</v>
      </c>
      <c r="L2107" s="18" t="s">
        <v>4104</v>
      </c>
      <c r="M2107" s="18" t="s">
        <v>1497</v>
      </c>
      <c r="N2107" s="18" t="s">
        <v>6</v>
      </c>
      <c r="O2107" s="18" t="s">
        <v>7</v>
      </c>
      <c r="P2107" s="18" t="s">
        <v>5672</v>
      </c>
      <c r="Q2107" s="18" t="s">
        <v>8</v>
      </c>
      <c r="R2107" s="18" t="s">
        <v>9</v>
      </c>
      <c r="S2107" s="18" t="s">
        <v>4105</v>
      </c>
      <c r="T2107" s="18" t="s">
        <v>4106</v>
      </c>
    </row>
    <row r="2108" ht="15" spans="1:20">
      <c r="A2108" s="19" t="s">
        <v>8165</v>
      </c>
      <c r="B2108" s="790"/>
      <c r="C2108" s="790"/>
      <c r="D2108" s="790"/>
      <c r="E2108" s="775" t="s">
        <v>2459</v>
      </c>
      <c r="F2108" s="768" t="s">
        <v>2801</v>
      </c>
      <c r="G2108" s="690" t="s">
        <v>2444</v>
      </c>
      <c r="H2108" s="21" t="s">
        <v>1913</v>
      </c>
      <c r="I2108" s="21"/>
      <c r="J2108" s="731" t="s">
        <v>1428</v>
      </c>
      <c r="K2108" s="21"/>
      <c r="L2108" s="21"/>
      <c r="M2108" s="21"/>
      <c r="N2108" s="22">
        <f>41.05/7.31/1.13</f>
        <v>4.96955316392867</v>
      </c>
      <c r="O2108" s="22">
        <v>15.3444360341318</v>
      </c>
      <c r="P2108" s="37"/>
      <c r="Q2108" s="37">
        <v>3.14632482758621</v>
      </c>
      <c r="R2108" s="22">
        <f>SUBTOTAL(9,H2108:Q2108)</f>
        <v>23.4603140256467</v>
      </c>
      <c r="S2108" s="167" t="s">
        <v>1526</v>
      </c>
      <c r="T2108" s="167" t="s">
        <v>8166</v>
      </c>
    </row>
    <row r="2114" ht="15.6" spans="1:21">
      <c r="A2114" s="11" t="s">
        <v>8127</v>
      </c>
      <c r="B2114" s="11"/>
      <c r="C2114" s="11"/>
      <c r="D2114" s="11"/>
      <c r="E2114" s="127"/>
      <c r="F2114" s="127"/>
      <c r="G2114" s="13"/>
      <c r="H2114" s="14"/>
      <c r="I2114" s="14"/>
      <c r="J2114" s="128"/>
      <c r="K2114" s="129"/>
      <c r="L2114" s="685"/>
      <c r="M2114" s="129"/>
      <c r="N2114" s="15"/>
      <c r="O2114" s="15"/>
      <c r="P2114" s="13"/>
      <c r="Q2114" s="130"/>
      <c r="R2114" s="130"/>
      <c r="S2114" s="12"/>
      <c r="T2114" s="131"/>
    </row>
    <row r="2115" ht="15.6" spans="1:21">
      <c r="A2115" s="752" t="s">
        <v>1</v>
      </c>
      <c r="B2115" s="753" t="s">
        <v>2</v>
      </c>
      <c r="C2115" s="754" t="s">
        <v>1404</v>
      </c>
      <c r="D2115" s="753" t="s">
        <v>4</v>
      </c>
      <c r="E2115" s="18" t="s">
        <v>5</v>
      </c>
      <c r="F2115" s="18" t="s">
        <v>1933</v>
      </c>
      <c r="G2115" s="18" t="s">
        <v>4102</v>
      </c>
      <c r="H2115" s="141" t="s">
        <v>4541</v>
      </c>
      <c r="I2115" s="18" t="s">
        <v>1497</v>
      </c>
      <c r="J2115" s="18" t="s">
        <v>4102</v>
      </c>
      <c r="K2115" s="18" t="s">
        <v>4103</v>
      </c>
      <c r="L2115" s="18" t="s">
        <v>4104</v>
      </c>
      <c r="M2115" s="18" t="s">
        <v>1497</v>
      </c>
      <c r="N2115" s="18" t="s">
        <v>6</v>
      </c>
      <c r="O2115" s="18" t="s">
        <v>7</v>
      </c>
      <c r="P2115" s="141" t="s">
        <v>5211</v>
      </c>
      <c r="Q2115" s="18" t="s">
        <v>8</v>
      </c>
      <c r="R2115" s="18" t="s">
        <v>9</v>
      </c>
      <c r="S2115" s="18" t="s">
        <v>4105</v>
      </c>
      <c r="T2115" s="141" t="s">
        <v>10</v>
      </c>
    </row>
    <row r="2116" ht="15" spans="1:21">
      <c r="A2116" s="23" t="s">
        <v>7826</v>
      </c>
      <c r="B2116" s="23">
        <v>20250226</v>
      </c>
      <c r="C2116" s="21">
        <v>7.31</v>
      </c>
      <c r="D2116" s="23" t="s">
        <v>8030</v>
      </c>
      <c r="E2116" s="39" t="s">
        <v>1629</v>
      </c>
      <c r="F2116" s="23" t="s">
        <v>8087</v>
      </c>
      <c r="G2116" s="690" t="s">
        <v>3799</v>
      </c>
      <c r="H2116" s="21" t="s">
        <v>1913</v>
      </c>
      <c r="I2116" s="690"/>
      <c r="J2116" s="21">
        <v>26</v>
      </c>
      <c r="K2116" s="690"/>
      <c r="L2116" s="690"/>
      <c r="M2116" s="690"/>
      <c r="N2116" s="22">
        <f>30.41/7.31/1.13</f>
        <v>3.68146435359491</v>
      </c>
      <c r="O2116" s="22">
        <v>9.69845880658931</v>
      </c>
      <c r="P2116" s="21"/>
      <c r="Q2116" s="37">
        <v>3</v>
      </c>
      <c r="R2116" s="22">
        <f>SUM(J2116:Q2116)</f>
        <v>42.3799231601842</v>
      </c>
      <c r="S2116" s="167" t="s">
        <v>1526</v>
      </c>
      <c r="T2116" s="759" t="s">
        <v>7828</v>
      </c>
    </row>
    <row r="2117" ht="15" spans="1:21">
      <c r="A2117" s="23"/>
      <c r="B2117" s="23">
        <v>20250227</v>
      </c>
      <c r="C2117" s="21">
        <v>7.31</v>
      </c>
      <c r="D2117" s="23" t="s">
        <v>153</v>
      </c>
      <c r="E2117" s="39" t="s">
        <v>154</v>
      </c>
      <c r="F2117" s="23"/>
      <c r="G2117" s="690"/>
      <c r="H2117" s="21"/>
      <c r="I2117" s="690"/>
      <c r="J2117" s="21"/>
      <c r="K2117" s="690"/>
      <c r="L2117" s="690"/>
      <c r="M2117" s="690"/>
      <c r="N2117" s="22">
        <v>0.600596424399946</v>
      </c>
      <c r="O2117" s="22">
        <v>3.44323999713554</v>
      </c>
      <c r="P2117" s="21"/>
      <c r="Q2117" s="37">
        <v>0.4</v>
      </c>
      <c r="R2117" s="22">
        <f>SUM(J2117:Q2117)</f>
        <v>4.44383642153549</v>
      </c>
      <c r="S2117" s="167"/>
      <c r="T2117" s="759" t="s">
        <v>155</v>
      </c>
    </row>
    <row r="2118" ht="15" spans="1:21">
      <c r="A2118" s="23"/>
      <c r="B2118" s="23">
        <v>20240511</v>
      </c>
      <c r="C2118" s="21">
        <v>7.31</v>
      </c>
      <c r="D2118" s="23" t="s">
        <v>161</v>
      </c>
      <c r="E2118" s="39" t="s">
        <v>162</v>
      </c>
      <c r="F2118" s="23"/>
      <c r="G2118" s="690"/>
      <c r="H2118" s="21"/>
      <c r="I2118" s="690"/>
      <c r="J2118" s="21"/>
      <c r="K2118" s="690"/>
      <c r="L2118" s="690"/>
      <c r="M2118" s="690"/>
      <c r="N2118" s="22">
        <v>0.0372293790832208</v>
      </c>
      <c r="O2118" s="22">
        <v>0.0394332495267621</v>
      </c>
      <c r="P2118" s="21" t="s">
        <v>1428</v>
      </c>
      <c r="Q2118" s="37">
        <v>0.2</v>
      </c>
      <c r="R2118" s="22">
        <f>SUM(J2118:Q2118)</f>
        <v>0.276662628609983</v>
      </c>
      <c r="S2118" s="167"/>
      <c r="T2118" s="759"/>
    </row>
    <row r="2120" ht="15.6" spans="1:21">
      <c r="A2120" s="11" t="s">
        <v>8167</v>
      </c>
      <c r="B2120" s="11"/>
      <c r="C2120" s="11"/>
      <c r="D2120" s="11"/>
      <c r="E2120" s="127"/>
      <c r="F2120" s="127"/>
      <c r="G2120" s="13"/>
      <c r="H2120" s="14"/>
      <c r="I2120" s="14"/>
      <c r="J2120" s="128"/>
      <c r="K2120" s="129"/>
      <c r="L2120" s="685"/>
      <c r="M2120" s="129"/>
      <c r="N2120" s="15"/>
      <c r="O2120" s="15"/>
      <c r="P2120" s="13"/>
      <c r="Q2120" s="130"/>
      <c r="R2120" s="130"/>
      <c r="S2120" s="12"/>
      <c r="T2120" s="131"/>
    </row>
    <row r="2121" ht="15.6" spans="1:21">
      <c r="A2121" s="752" t="s">
        <v>1</v>
      </c>
      <c r="B2121" s="753" t="s">
        <v>2</v>
      </c>
      <c r="C2121" s="754" t="s">
        <v>1404</v>
      </c>
      <c r="D2121" s="753" t="s">
        <v>4</v>
      </c>
      <c r="E2121" s="18" t="s">
        <v>5</v>
      </c>
      <c r="F2121" s="18" t="s">
        <v>1933</v>
      </c>
      <c r="G2121" s="18" t="s">
        <v>4102</v>
      </c>
      <c r="H2121" s="141" t="s">
        <v>4541</v>
      </c>
      <c r="I2121" s="18" t="s">
        <v>1497</v>
      </c>
      <c r="J2121" s="18" t="s">
        <v>4102</v>
      </c>
      <c r="K2121" s="18" t="s">
        <v>4103</v>
      </c>
      <c r="L2121" s="18" t="s">
        <v>4104</v>
      </c>
      <c r="M2121" s="18" t="s">
        <v>1497</v>
      </c>
      <c r="N2121" s="18" t="s">
        <v>6</v>
      </c>
      <c r="O2121" s="18" t="s">
        <v>7</v>
      </c>
      <c r="P2121" s="141" t="s">
        <v>5211</v>
      </c>
      <c r="Q2121" s="18" t="s">
        <v>8</v>
      </c>
      <c r="R2121" s="18" t="s">
        <v>9</v>
      </c>
      <c r="S2121" s="18" t="s">
        <v>4105</v>
      </c>
      <c r="T2121" s="141" t="s">
        <v>10</v>
      </c>
    </row>
    <row r="2122" ht="15" spans="1:21">
      <c r="A2122" s="701" t="s">
        <v>8168</v>
      </c>
      <c r="B2122" s="23">
        <v>20250509</v>
      </c>
      <c r="C2122" s="21">
        <v>7.24</v>
      </c>
      <c r="D2122" s="23" t="s">
        <v>4955</v>
      </c>
      <c r="E2122" s="39" t="s">
        <v>1565</v>
      </c>
      <c r="F2122" s="23" t="s">
        <v>4958</v>
      </c>
      <c r="G2122" s="690" t="s">
        <v>4818</v>
      </c>
      <c r="H2122" s="21" t="s">
        <v>4174</v>
      </c>
      <c r="I2122" s="690"/>
      <c r="J2122" s="21">
        <v>70</v>
      </c>
      <c r="K2122" s="690" t="s">
        <v>6517</v>
      </c>
      <c r="L2122" s="690"/>
      <c r="M2122" s="690"/>
      <c r="N2122" s="22">
        <v>5.92578105901335</v>
      </c>
      <c r="O2122" s="22">
        <v>21.1020435803793</v>
      </c>
      <c r="P2122" s="21"/>
      <c r="Q2122" s="37">
        <f t="shared" ref="Q2122:Q2124" si="10">25/7.24</f>
        <v>3.45303867403315</v>
      </c>
      <c r="R2122" s="22">
        <f>SUM(J2122:Q2122)</f>
        <v>100.480863313426</v>
      </c>
      <c r="S2122" s="167" t="s">
        <v>8169</v>
      </c>
      <c r="T2122" s="759" t="s">
        <v>8170</v>
      </c>
    </row>
    <row r="2123" ht="15" spans="1:21">
      <c r="A2123" s="702"/>
      <c r="B2123" s="23">
        <v>20250509</v>
      </c>
      <c r="C2123" s="21">
        <v>7.24</v>
      </c>
      <c r="D2123" s="23" t="s">
        <v>4957</v>
      </c>
      <c r="E2123" s="39" t="s">
        <v>1617</v>
      </c>
      <c r="F2123" s="23" t="s">
        <v>4958</v>
      </c>
      <c r="G2123" s="690" t="s">
        <v>4818</v>
      </c>
      <c r="H2123" s="21" t="s">
        <v>4174</v>
      </c>
      <c r="I2123" s="690"/>
      <c r="J2123" s="21">
        <v>70</v>
      </c>
      <c r="K2123" s="690">
        <f>12.5*4</f>
        <v>50</v>
      </c>
      <c r="L2123" s="690"/>
      <c r="M2123" s="690"/>
      <c r="N2123" s="22">
        <v>5.92578105901335</v>
      </c>
      <c r="O2123" s="22">
        <v>18.1772650825153</v>
      </c>
      <c r="P2123" s="21"/>
      <c r="Q2123" s="37">
        <f t="shared" si="10"/>
        <v>3.45303867403315</v>
      </c>
      <c r="R2123" s="22">
        <f>SUM(J2123:Q2123)</f>
        <v>147.556084815562</v>
      </c>
      <c r="S2123" s="167" t="s">
        <v>4250</v>
      </c>
      <c r="T2123" s="759" t="s">
        <v>8171</v>
      </c>
    </row>
    <row r="2124" ht="15" spans="1:21">
      <c r="A2124" s="703"/>
      <c r="B2124" s="23">
        <v>20250509</v>
      </c>
      <c r="C2124" s="21">
        <v>7.24</v>
      </c>
      <c r="D2124" s="23" t="s">
        <v>4961</v>
      </c>
      <c r="E2124" s="39" t="s">
        <v>1629</v>
      </c>
      <c r="F2124" s="23" t="s">
        <v>4958</v>
      </c>
      <c r="G2124" s="690" t="s">
        <v>4818</v>
      </c>
      <c r="H2124" s="21" t="s">
        <v>4248</v>
      </c>
      <c r="I2124" s="690"/>
      <c r="J2124" s="21">
        <v>70</v>
      </c>
      <c r="K2124" s="690">
        <f>12.5*4</f>
        <v>50</v>
      </c>
      <c r="L2124" s="690"/>
      <c r="M2124" s="690"/>
      <c r="N2124" s="22">
        <v>5.92578105901335</v>
      </c>
      <c r="O2124" s="22">
        <v>18.428413643737</v>
      </c>
      <c r="P2124" s="21"/>
      <c r="Q2124" s="37">
        <f t="shared" si="10"/>
        <v>3.45303867403315</v>
      </c>
      <c r="R2124" s="22">
        <f>SUM(J2124:Q2124)</f>
        <v>147.807233376783</v>
      </c>
      <c r="S2124" s="167" t="s">
        <v>8172</v>
      </c>
      <c r="T2124" s="759" t="s">
        <v>8173</v>
      </c>
    </row>
    <row r="2127" ht="15.6" spans="1:21">
      <c r="A2127" s="11" t="s">
        <v>8167</v>
      </c>
      <c r="B2127" s="11"/>
      <c r="C2127" s="11"/>
      <c r="D2127" s="11"/>
      <c r="E2127" s="11"/>
      <c r="F2127" s="127"/>
      <c r="G2127" s="127"/>
      <c r="H2127" s="13"/>
      <c r="I2127" s="14"/>
      <c r="J2127" s="14"/>
      <c r="K2127" s="128"/>
      <c r="L2127" s="129"/>
      <c r="M2127" s="129"/>
      <c r="N2127" s="129"/>
      <c r="O2127" s="15"/>
      <c r="P2127" s="15"/>
      <c r="Q2127" s="13"/>
      <c r="R2127" s="130"/>
      <c r="S2127" s="130"/>
      <c r="T2127" s="12"/>
      <c r="U2127" s="131"/>
    </row>
    <row r="2128" ht="15.6" spans="1:21">
      <c r="A2128" s="17" t="s">
        <v>1490</v>
      </c>
      <c r="B2128" s="17" t="s">
        <v>1492</v>
      </c>
      <c r="C2128" s="773" t="s">
        <v>3</v>
      </c>
      <c r="D2128" s="17" t="s">
        <v>4100</v>
      </c>
      <c r="E2128" s="18" t="s">
        <v>5</v>
      </c>
      <c r="F2128" s="121" t="s">
        <v>1933</v>
      </c>
      <c r="G2128" s="18" t="s">
        <v>4102</v>
      </c>
      <c r="H2128" s="18" t="s">
        <v>1910</v>
      </c>
      <c r="I2128" s="18" t="s">
        <v>1497</v>
      </c>
      <c r="J2128" s="18" t="s">
        <v>4102</v>
      </c>
      <c r="K2128" s="18" t="s">
        <v>4103</v>
      </c>
      <c r="L2128" s="18" t="s">
        <v>4104</v>
      </c>
      <c r="M2128" s="18" t="s">
        <v>1497</v>
      </c>
      <c r="N2128" s="18" t="s">
        <v>6</v>
      </c>
      <c r="O2128" s="18" t="s">
        <v>7</v>
      </c>
      <c r="P2128" s="18" t="s">
        <v>5672</v>
      </c>
      <c r="Q2128" s="18" t="s">
        <v>8</v>
      </c>
      <c r="R2128" s="18" t="s">
        <v>9</v>
      </c>
      <c r="S2128" s="18" t="s">
        <v>4105</v>
      </c>
      <c r="T2128" s="18" t="s">
        <v>4106</v>
      </c>
    </row>
    <row r="2129" s="177" customFormat="1" ht="15" spans="1:21">
      <c r="A2129" s="23" t="s">
        <v>8174</v>
      </c>
      <c r="B2129" s="791">
        <v>20250512</v>
      </c>
      <c r="C2129" s="687">
        <v>7.24</v>
      </c>
      <c r="D2129" s="791" t="s">
        <v>4140</v>
      </c>
      <c r="E2129" s="23" t="s">
        <v>1617</v>
      </c>
      <c r="F2129" s="23" t="s">
        <v>2801</v>
      </c>
      <c r="G2129" s="21" t="s">
        <v>8175</v>
      </c>
      <c r="H2129" s="690" t="s">
        <v>1913</v>
      </c>
      <c r="I2129" s="690" t="s">
        <v>1731</v>
      </c>
      <c r="J2129" s="21">
        <v>420</v>
      </c>
      <c r="K2129" s="21"/>
      <c r="L2129" s="21"/>
      <c r="M2129" s="792">
        <v>13</v>
      </c>
      <c r="N2129" s="37">
        <v>6.26448442771232</v>
      </c>
      <c r="O2129" s="37">
        <v>39.6068415451474</v>
      </c>
      <c r="P2129" s="37"/>
      <c r="Q2129" s="774">
        <v>4.3</v>
      </c>
      <c r="R2129" s="22">
        <f>SUM(J2129:Q2129)</f>
        <v>483.17132597286</v>
      </c>
      <c r="S2129" s="793" t="s">
        <v>1526</v>
      </c>
      <c r="T2129" s="750" t="s">
        <v>4142</v>
      </c>
    </row>
    <row r="2130" s="177" customFormat="1" ht="15" spans="1:21">
      <c r="A2130" s="23"/>
      <c r="B2130" s="791">
        <v>20250512</v>
      </c>
      <c r="C2130" s="687">
        <v>7.24</v>
      </c>
      <c r="D2130" s="791" t="s">
        <v>4143</v>
      </c>
      <c r="E2130" s="23" t="s">
        <v>1629</v>
      </c>
      <c r="F2130" s="23" t="s">
        <v>2801</v>
      </c>
      <c r="G2130" s="21" t="s">
        <v>8176</v>
      </c>
      <c r="H2130" s="690" t="s">
        <v>1913</v>
      </c>
      <c r="I2130" s="690" t="s">
        <v>1731</v>
      </c>
      <c r="J2130" s="21">
        <v>295</v>
      </c>
      <c r="K2130" s="21"/>
      <c r="L2130" s="21"/>
      <c r="M2130" s="792">
        <v>13</v>
      </c>
      <c r="N2130" s="37">
        <v>6.26448442771232</v>
      </c>
      <c r="O2130" s="37">
        <v>38.4277648524789</v>
      </c>
      <c r="P2130" s="37"/>
      <c r="Q2130" s="774">
        <v>4.3</v>
      </c>
      <c r="R2130" s="22">
        <f>SUM(J2130:Q2130)</f>
        <v>356.992249280191</v>
      </c>
      <c r="S2130" s="793" t="s">
        <v>1526</v>
      </c>
      <c r="T2130" s="750" t="s">
        <v>4145</v>
      </c>
    </row>
    <row r="2131" spans="1:21">
      <c r="A2131" s="182" t="s">
        <v>8177</v>
      </c>
    </row>
    <row r="2133" ht="15.6" spans="1:21">
      <c r="A2133" s="11" t="s">
        <v>8167</v>
      </c>
      <c r="B2133" s="11"/>
      <c r="C2133" s="11"/>
      <c r="D2133" s="11"/>
      <c r="E2133" s="11" t="s">
        <v>8178</v>
      </c>
      <c r="F2133" s="127"/>
      <c r="G2133" s="127"/>
      <c r="H2133" s="13"/>
      <c r="I2133" s="14"/>
      <c r="J2133" s="14"/>
      <c r="K2133" s="128"/>
      <c r="L2133" s="129"/>
      <c r="M2133" s="129"/>
      <c r="N2133" s="129"/>
      <c r="O2133" s="15"/>
      <c r="P2133" s="15"/>
      <c r="Q2133" s="13"/>
      <c r="R2133" s="130"/>
      <c r="S2133" s="130"/>
      <c r="T2133" s="12"/>
      <c r="U2133" s="131"/>
    </row>
    <row r="2134" ht="15.6" spans="1:21">
      <c r="A2134" s="17" t="s">
        <v>1490</v>
      </c>
      <c r="B2134" s="17" t="s">
        <v>1492</v>
      </c>
      <c r="C2134" s="773" t="s">
        <v>3</v>
      </c>
      <c r="D2134" s="17" t="s">
        <v>4100</v>
      </c>
      <c r="E2134" s="18" t="s">
        <v>5</v>
      </c>
      <c r="F2134" s="121" t="s">
        <v>1933</v>
      </c>
      <c r="G2134" s="18" t="s">
        <v>4102</v>
      </c>
      <c r="H2134" s="18" t="s">
        <v>1910</v>
      </c>
      <c r="I2134" s="18" t="s">
        <v>1497</v>
      </c>
      <c r="J2134" s="18" t="s">
        <v>4102</v>
      </c>
      <c r="K2134" s="18" t="s">
        <v>4103</v>
      </c>
      <c r="L2134" s="18" t="s">
        <v>4104</v>
      </c>
      <c r="M2134" s="18" t="s">
        <v>1497</v>
      </c>
      <c r="N2134" s="18" t="s">
        <v>6</v>
      </c>
      <c r="O2134" s="18" t="s">
        <v>7</v>
      </c>
      <c r="P2134" s="18" t="s">
        <v>5672</v>
      </c>
      <c r="Q2134" s="18" t="s">
        <v>8</v>
      </c>
      <c r="R2134" s="18" t="s">
        <v>9</v>
      </c>
      <c r="S2134" s="18" t="s">
        <v>4105</v>
      </c>
      <c r="T2134" s="18" t="s">
        <v>4106</v>
      </c>
    </row>
    <row r="2135" s="177" customFormat="1" ht="15" spans="1:21">
      <c r="A2135" s="23" t="s">
        <v>8174</v>
      </c>
      <c r="B2135" s="791">
        <v>20250512</v>
      </c>
      <c r="C2135" s="687">
        <v>7.24</v>
      </c>
      <c r="D2135" s="791" t="s">
        <v>4140</v>
      </c>
      <c r="E2135" s="23" t="s">
        <v>1617</v>
      </c>
      <c r="F2135" s="23" t="s">
        <v>2801</v>
      </c>
      <c r="G2135" s="21" t="s">
        <v>8175</v>
      </c>
      <c r="H2135" s="690" t="s">
        <v>1913</v>
      </c>
      <c r="I2135" s="690" t="s">
        <v>1731</v>
      </c>
      <c r="J2135" s="21">
        <v>420</v>
      </c>
      <c r="K2135" s="21"/>
      <c r="L2135" s="21"/>
      <c r="M2135" s="792">
        <v>13</v>
      </c>
      <c r="N2135" s="37">
        <f>49.96/7.24/1.13</f>
        <v>6.10668361609544</v>
      </c>
      <c r="O2135" s="709">
        <v>38.1970333441989</v>
      </c>
      <c r="P2135" s="37"/>
      <c r="Q2135" s="794">
        <v>3.87</v>
      </c>
      <c r="R2135" s="22">
        <f>SUM(J2135:Q2135)</f>
        <v>481.173716960294</v>
      </c>
      <c r="S2135" s="793" t="s">
        <v>1526</v>
      </c>
      <c r="T2135" s="750" t="s">
        <v>4142</v>
      </c>
    </row>
    <row r="2136" s="177" customFormat="1" ht="15" spans="1:21">
      <c r="A2136" s="23"/>
      <c r="B2136" s="791">
        <v>20250512</v>
      </c>
      <c r="C2136" s="687">
        <v>7.24</v>
      </c>
      <c r="D2136" s="791" t="s">
        <v>4143</v>
      </c>
      <c r="E2136" s="23" t="s">
        <v>1629</v>
      </c>
      <c r="F2136" s="23" t="s">
        <v>2801</v>
      </c>
      <c r="G2136" s="21" t="s">
        <v>8176</v>
      </c>
      <c r="H2136" s="690" t="s">
        <v>1913</v>
      </c>
      <c r="I2136" s="690" t="s">
        <v>1731</v>
      </c>
      <c r="J2136" s="21">
        <v>295</v>
      </c>
      <c r="K2136" s="21"/>
      <c r="L2136" s="21"/>
      <c r="M2136" s="792">
        <v>13</v>
      </c>
      <c r="N2136" s="37">
        <f>49.96/7.24/1.13</f>
        <v>6.10668361609544</v>
      </c>
      <c r="O2136" s="709">
        <v>37.1411259730969</v>
      </c>
      <c r="P2136" s="37"/>
      <c r="Q2136" s="794">
        <v>3.87</v>
      </c>
      <c r="R2136" s="22">
        <f>SUM(J2136:Q2136)</f>
        <v>355.117809589192</v>
      </c>
      <c r="S2136" s="793" t="s">
        <v>1526</v>
      </c>
      <c r="T2136" s="750" t="s">
        <v>4145</v>
      </c>
    </row>
    <row r="2137" spans="1:21">
      <c r="A2137" s="182" t="s">
        <v>8179</v>
      </c>
    </row>
    <row r="2138" spans="1:21">
      <c r="Q2138" s="182">
        <f>Q2136*7.24*1.13</f>
        <v>31.661244</v>
      </c>
      <c r="R2138" s="182">
        <f>Q2138/7.18/1.13</f>
        <v>3.90233983286908</v>
      </c>
    </row>
    <row r="2140" spans="1:21">
      <c r="O2140" s="594" t="s">
        <v>8180</v>
      </c>
      <c r="P2140" s="595" t="s">
        <v>7862</v>
      </c>
      <c r="R2140" s="594" t="s">
        <v>8181</v>
      </c>
      <c r="S2140" s="595" t="s">
        <v>7862</v>
      </c>
    </row>
    <row r="2141" spans="1:21">
      <c r="O2141" s="594" t="s">
        <v>7822</v>
      </c>
      <c r="P2141" s="590">
        <f>M2129+N2129+O2129+Q2129</f>
        <v>63.1713259728597</v>
      </c>
      <c r="R2141" s="594" t="s">
        <v>7822</v>
      </c>
      <c r="S2141" s="590">
        <f>M2130+N2130+O2130+Q2130</f>
        <v>61.9922492801912</v>
      </c>
    </row>
    <row r="2142" spans="1:21">
      <c r="O2142" s="594" t="s">
        <v>7823</v>
      </c>
      <c r="P2142" s="590">
        <f>M2135+N2135+O2135+Q2135</f>
        <v>61.1737169602943</v>
      </c>
      <c r="R2142" s="594" t="s">
        <v>7823</v>
      </c>
      <c r="S2142" s="590">
        <f>M2136+N2136+O2136+Q2136</f>
        <v>60.1178095891923</v>
      </c>
    </row>
    <row r="2143" spans="1:21">
      <c r="O2143" s="594" t="s">
        <v>7863</v>
      </c>
      <c r="P2143" s="634">
        <f>P2141-P2142</f>
        <v>1.99760901256538</v>
      </c>
      <c r="R2143" s="594" t="s">
        <v>7863</v>
      </c>
      <c r="S2143" s="634">
        <f>S2141-S2142</f>
        <v>1.87443969099893</v>
      </c>
      <c r="T2143" s="185"/>
    </row>
    <row r="2146" s="182" customFormat="1" ht="15.6" spans="1:21">
      <c r="A2146" s="11" t="s">
        <v>8182</v>
      </c>
      <c r="B2146" s="11"/>
      <c r="C2146" s="11"/>
      <c r="D2146" s="11"/>
      <c r="E2146" s="11"/>
      <c r="F2146" s="127"/>
      <c r="G2146" s="127"/>
      <c r="H2146" s="13"/>
      <c r="I2146" s="14"/>
      <c r="J2146" s="14"/>
      <c r="K2146" s="128"/>
      <c r="L2146" s="129"/>
      <c r="M2146" s="129"/>
      <c r="N2146" s="129"/>
      <c r="O2146" s="15"/>
      <c r="P2146" s="15"/>
      <c r="Q2146" s="13"/>
      <c r="R2146" s="130"/>
      <c r="S2146" s="130"/>
      <c r="T2146" s="12"/>
    </row>
    <row r="2147" s="182" customFormat="1" ht="15.6" spans="1:21">
      <c r="A2147" s="17" t="s">
        <v>1490</v>
      </c>
      <c r="B2147" s="17" t="s">
        <v>1492</v>
      </c>
      <c r="C2147" s="773" t="s">
        <v>3</v>
      </c>
      <c r="D2147" s="17" t="s">
        <v>4100</v>
      </c>
      <c r="E2147" s="18" t="s">
        <v>5</v>
      </c>
      <c r="F2147" s="121" t="s">
        <v>1933</v>
      </c>
      <c r="G2147" s="18" t="s">
        <v>4102</v>
      </c>
      <c r="H2147" s="18" t="s">
        <v>1910</v>
      </c>
      <c r="I2147" s="18" t="s">
        <v>1497</v>
      </c>
      <c r="J2147" s="18" t="s">
        <v>4102</v>
      </c>
      <c r="K2147" s="18" t="s">
        <v>4103</v>
      </c>
      <c r="L2147" s="18" t="s">
        <v>4104</v>
      </c>
      <c r="M2147" s="18" t="s">
        <v>1497</v>
      </c>
      <c r="N2147" s="18" t="s">
        <v>6</v>
      </c>
      <c r="O2147" s="18" t="s">
        <v>7</v>
      </c>
      <c r="P2147" s="18" t="s">
        <v>5672</v>
      </c>
      <c r="Q2147" s="18" t="s">
        <v>8</v>
      </c>
      <c r="R2147" s="18" t="s">
        <v>9</v>
      </c>
      <c r="S2147" s="18" t="s">
        <v>4105</v>
      </c>
      <c r="T2147" s="18" t="s">
        <v>4106</v>
      </c>
    </row>
    <row r="2148" s="182" customFormat="1" spans="1:21">
      <c r="A2148" s="23" t="s">
        <v>8174</v>
      </c>
      <c r="B2148" s="23">
        <v>20250820</v>
      </c>
      <c r="C2148" s="23">
        <v>7.17</v>
      </c>
      <c r="D2148" s="23" t="s">
        <v>4152</v>
      </c>
      <c r="E2148" s="695" t="s">
        <v>4153</v>
      </c>
      <c r="F2148" s="688" t="s">
        <v>2801</v>
      </c>
      <c r="G2148" s="21" t="s">
        <v>4147</v>
      </c>
      <c r="H2148" s="21" t="s">
        <v>1913</v>
      </c>
      <c r="I2148" s="22" t="s">
        <v>1731</v>
      </c>
      <c r="J2148" s="700" t="s">
        <v>1428</v>
      </c>
      <c r="K2148" s="21"/>
      <c r="L2148" s="22"/>
      <c r="M2148" s="792">
        <v>13</v>
      </c>
      <c r="N2148" s="795">
        <f>49.255/C2148/1.13</f>
        <v>6.07928808580492</v>
      </c>
      <c r="O2148" s="795">
        <v>37.7034212008221</v>
      </c>
      <c r="P2148" s="37"/>
      <c r="Q2148" s="796">
        <f>24.05/C2148</f>
        <v>3.35425383542538</v>
      </c>
      <c r="R2148" s="22">
        <f>SUM(J2148:Q2148)</f>
        <v>60.1369631220524</v>
      </c>
      <c r="S2148" s="23" t="s">
        <v>1526</v>
      </c>
      <c r="T2148" s="760" t="s">
        <v>8183</v>
      </c>
      <c r="U2148" s="120"/>
    </row>
    <row r="2149" s="182" customFormat="1" spans="1:21">
      <c r="A2149" s="23" t="s">
        <v>8174</v>
      </c>
      <c r="B2149" s="23">
        <v>20250820</v>
      </c>
      <c r="C2149" s="23">
        <v>7.17</v>
      </c>
      <c r="D2149" s="23" t="s">
        <v>1728</v>
      </c>
      <c r="E2149" s="695" t="s">
        <v>4155</v>
      </c>
      <c r="F2149" s="688" t="s">
        <v>2801</v>
      </c>
      <c r="G2149" s="21" t="s">
        <v>4150</v>
      </c>
      <c r="H2149" s="21" t="s">
        <v>1913</v>
      </c>
      <c r="I2149" s="22" t="s">
        <v>1731</v>
      </c>
      <c r="J2149" s="700" t="s">
        <v>1428</v>
      </c>
      <c r="K2149" s="21"/>
      <c r="L2149" s="22"/>
      <c r="M2149" s="792">
        <v>13</v>
      </c>
      <c r="N2149" s="795">
        <f>49.255/C2149/1.13</f>
        <v>6.07928808580492</v>
      </c>
      <c r="O2149" s="795">
        <v>37.7034212008221</v>
      </c>
      <c r="P2149" s="37"/>
      <c r="Q2149" s="796">
        <f>24.05/C2149</f>
        <v>3.35425383542538</v>
      </c>
      <c r="R2149" s="22">
        <f>SUM(J2149:Q2149)</f>
        <v>60.1369631220524</v>
      </c>
      <c r="S2149" s="23" t="s">
        <v>1526</v>
      </c>
      <c r="T2149" s="760" t="s">
        <v>8183</v>
      </c>
      <c r="U2149" s="120"/>
    </row>
    <row r="2154" ht="15.6" spans="1:21">
      <c r="A2154" s="11" t="s">
        <v>8167</v>
      </c>
      <c r="B2154" s="11"/>
      <c r="C2154" s="11"/>
      <c r="D2154" s="11"/>
      <c r="E2154" s="127"/>
      <c r="F2154" s="127"/>
      <c r="G2154" s="13"/>
      <c r="H2154" s="14"/>
      <c r="I2154" s="14"/>
      <c r="J2154" s="128"/>
      <c r="K2154" s="129"/>
      <c r="L2154" s="129"/>
      <c r="M2154" s="129"/>
      <c r="N2154" s="15"/>
      <c r="O2154" s="15"/>
      <c r="P2154" s="13"/>
      <c r="Q2154" s="130"/>
      <c r="R2154" s="130"/>
      <c r="S2154" s="12"/>
      <c r="T2154" s="131"/>
    </row>
    <row r="2155" ht="15.6" spans="1:21">
      <c r="A2155" s="17" t="s">
        <v>1490</v>
      </c>
      <c r="B2155" s="17" t="s">
        <v>1492</v>
      </c>
      <c r="C2155" s="754" t="s">
        <v>1404</v>
      </c>
      <c r="D2155" s="17" t="s">
        <v>4100</v>
      </c>
      <c r="E2155" s="18" t="s">
        <v>5</v>
      </c>
      <c r="F2155" s="121" t="s">
        <v>1933</v>
      </c>
      <c r="G2155" s="18" t="s">
        <v>4102</v>
      </c>
      <c r="H2155" s="18" t="s">
        <v>1910</v>
      </c>
      <c r="I2155" s="18" t="s">
        <v>1497</v>
      </c>
      <c r="J2155" s="18" t="s">
        <v>4102</v>
      </c>
      <c r="K2155" s="18" t="s">
        <v>4103</v>
      </c>
      <c r="L2155" s="18" t="s">
        <v>4104</v>
      </c>
      <c r="M2155" s="18" t="s">
        <v>1497</v>
      </c>
      <c r="N2155" s="18" t="s">
        <v>6</v>
      </c>
      <c r="O2155" s="18" t="s">
        <v>7</v>
      </c>
      <c r="P2155" s="18" t="s">
        <v>5672</v>
      </c>
      <c r="Q2155" s="18" t="s">
        <v>8</v>
      </c>
      <c r="R2155" s="18" t="s">
        <v>9</v>
      </c>
      <c r="S2155" s="18" t="s">
        <v>4105</v>
      </c>
      <c r="T2155" s="18" t="s">
        <v>4106</v>
      </c>
    </row>
    <row r="2156" ht="15" spans="1:21">
      <c r="A2156" s="23" t="s">
        <v>1181</v>
      </c>
      <c r="B2156" s="23">
        <v>20250305</v>
      </c>
      <c r="C2156" s="23">
        <v>7.24</v>
      </c>
      <c r="D2156" s="797" t="s">
        <v>8123</v>
      </c>
      <c r="E2156" s="23" t="s">
        <v>1571</v>
      </c>
      <c r="F2156" s="750" t="s">
        <v>4239</v>
      </c>
      <c r="G2156" s="21" t="s">
        <v>8124</v>
      </c>
      <c r="H2156" s="21" t="s">
        <v>4474</v>
      </c>
      <c r="I2156" s="21" t="s">
        <v>1635</v>
      </c>
      <c r="J2156" s="21" t="s">
        <v>1428</v>
      </c>
      <c r="K2156" s="700">
        <v>26</v>
      </c>
      <c r="L2156" s="21"/>
      <c r="M2156" s="700">
        <v>3.1</v>
      </c>
      <c r="N2156" s="37">
        <v>3.18828196521208</v>
      </c>
      <c r="O2156" s="37">
        <v>15.2273880415589</v>
      </c>
      <c r="P2156" s="37"/>
      <c r="Q2156" s="37">
        <v>5</v>
      </c>
      <c r="R2156" s="22">
        <f>SUM(J2156:Q2156)</f>
        <v>52.515670006771</v>
      </c>
      <c r="S2156" s="38" t="s">
        <v>3977</v>
      </c>
      <c r="T2156" s="35" t="s">
        <v>8184</v>
      </c>
    </row>
    <row r="2157" s="187" customFormat="1" ht="15" spans="1:21">
      <c r="A2157" s="798"/>
      <c r="B2157" s="23">
        <v>20241023</v>
      </c>
      <c r="C2157" s="23">
        <v>7.24</v>
      </c>
      <c r="D2157" s="708" t="s">
        <v>187</v>
      </c>
      <c r="E2157" s="35" t="s">
        <v>188</v>
      </c>
      <c r="F2157" s="23"/>
      <c r="G2157" s="21"/>
      <c r="H2157" s="21"/>
      <c r="I2157" s="21"/>
      <c r="J2157" s="36"/>
      <c r="K2157" s="36"/>
      <c r="L2157" s="36"/>
      <c r="M2157" s="36"/>
      <c r="N2157" s="22">
        <v>0.444047272494986</v>
      </c>
      <c r="O2157" s="22">
        <v>1.48952287767926</v>
      </c>
      <c r="P2157" s="21"/>
      <c r="Q2157" s="37">
        <v>0.2</v>
      </c>
      <c r="R2157" s="37">
        <v>2.13357015017425</v>
      </c>
      <c r="S2157" s="38"/>
      <c r="T2157" s="751" t="s">
        <v>7421</v>
      </c>
      <c r="U2157" s="120"/>
    </row>
    <row r="2162" ht="15.6" spans="1:21">
      <c r="A2162" s="11" t="s">
        <v>8167</v>
      </c>
      <c r="B2162" s="11"/>
      <c r="C2162" s="11"/>
      <c r="D2162" s="11"/>
      <c r="E2162" s="127"/>
      <c r="F2162" s="127"/>
      <c r="G2162" s="13"/>
      <c r="H2162" s="14"/>
      <c r="I2162" s="14"/>
      <c r="J2162" s="128"/>
      <c r="K2162" s="129"/>
      <c r="L2162" s="129"/>
      <c r="M2162" s="129"/>
      <c r="N2162" s="15"/>
      <c r="O2162" s="15"/>
      <c r="P2162" s="13"/>
      <c r="Q2162" s="130"/>
      <c r="R2162" s="130"/>
      <c r="S2162" s="12"/>
      <c r="T2162" s="131"/>
      <c r="U2162" s="188"/>
    </row>
    <row r="2163" ht="15.6" spans="1:21">
      <c r="A2163" s="132" t="s">
        <v>1490</v>
      </c>
      <c r="B2163" s="17" t="s">
        <v>1492</v>
      </c>
      <c r="C2163" s="754" t="s">
        <v>1404</v>
      </c>
      <c r="D2163" s="17" t="s">
        <v>4100</v>
      </c>
      <c r="E2163" s="18" t="s">
        <v>5</v>
      </c>
      <c r="F2163" s="121" t="s">
        <v>1933</v>
      </c>
      <c r="G2163" s="18" t="s">
        <v>4102</v>
      </c>
      <c r="H2163" s="18" t="s">
        <v>1910</v>
      </c>
      <c r="I2163" s="18" t="s">
        <v>1497</v>
      </c>
      <c r="J2163" s="18" t="s">
        <v>4102</v>
      </c>
      <c r="K2163" s="18" t="s">
        <v>4103</v>
      </c>
      <c r="L2163" s="18" t="s">
        <v>4104</v>
      </c>
      <c r="M2163" s="18" t="s">
        <v>1497</v>
      </c>
      <c r="N2163" s="18" t="s">
        <v>6</v>
      </c>
      <c r="O2163" s="18" t="s">
        <v>7</v>
      </c>
      <c r="P2163" s="18" t="s">
        <v>5672</v>
      </c>
      <c r="Q2163" s="18" t="s">
        <v>8</v>
      </c>
      <c r="R2163" s="18" t="s">
        <v>9</v>
      </c>
      <c r="S2163" s="18" t="s">
        <v>4105</v>
      </c>
      <c r="T2163" s="18" t="s">
        <v>4106</v>
      </c>
      <c r="U2163" s="799"/>
    </row>
    <row r="2164" spans="1:21">
      <c r="A2164" s="23" t="s">
        <v>7936</v>
      </c>
      <c r="B2164" s="23">
        <v>20250108</v>
      </c>
      <c r="C2164" s="23">
        <v>7.24</v>
      </c>
      <c r="D2164" s="23" t="s">
        <v>4411</v>
      </c>
      <c r="E2164" s="695" t="s">
        <v>1629</v>
      </c>
      <c r="F2164" s="688" t="s">
        <v>4122</v>
      </c>
      <c r="G2164" s="21" t="s">
        <v>2664</v>
      </c>
      <c r="H2164" s="21" t="s">
        <v>1913</v>
      </c>
      <c r="I2164" s="22"/>
      <c r="J2164" s="700">
        <v>170</v>
      </c>
      <c r="K2164" s="21"/>
      <c r="L2164" s="22"/>
      <c r="M2164" s="22"/>
      <c r="N2164" s="37">
        <v>3.90141529784391</v>
      </c>
      <c r="O2164" s="37">
        <v>21.3383592537947</v>
      </c>
      <c r="P2164" s="37"/>
      <c r="Q2164" s="770">
        <v>5</v>
      </c>
      <c r="R2164" s="22">
        <f>SUM(J2164:Q2164)</f>
        <v>200.239774551639</v>
      </c>
      <c r="S2164" s="23"/>
      <c r="T2164" s="760" t="s">
        <v>4412</v>
      </c>
      <c r="U2164" s="120"/>
    </row>
    <row r="2165" spans="1:21">
      <c r="A2165" s="182" t="s">
        <v>8185</v>
      </c>
    </row>
    <row r="2168" ht="15.6" spans="1:21">
      <c r="A2168" s="11" t="s">
        <v>8167</v>
      </c>
      <c r="B2168" s="11"/>
      <c r="C2168" s="11"/>
      <c r="D2168" s="11"/>
      <c r="E2168" s="127"/>
      <c r="F2168" s="127"/>
      <c r="G2168" s="13"/>
      <c r="H2168" s="14"/>
      <c r="I2168" s="14"/>
      <c r="J2168" s="128"/>
      <c r="K2168" s="129"/>
      <c r="L2168" s="129"/>
      <c r="M2168" s="129"/>
      <c r="N2168" s="15"/>
      <c r="O2168" s="15"/>
      <c r="P2168" s="13"/>
      <c r="Q2168" s="130"/>
      <c r="R2168" s="130"/>
      <c r="S2168" s="12"/>
      <c r="T2168" s="131"/>
      <c r="U2168" s="188"/>
    </row>
    <row r="2169" ht="15.6" spans="1:21">
      <c r="A2169" s="132" t="s">
        <v>1490</v>
      </c>
      <c r="B2169" s="17" t="s">
        <v>1492</v>
      </c>
      <c r="C2169" s="754" t="s">
        <v>1404</v>
      </c>
      <c r="D2169" s="17" t="s">
        <v>4100</v>
      </c>
      <c r="E2169" s="18" t="s">
        <v>5</v>
      </c>
      <c r="F2169" s="121" t="s">
        <v>1933</v>
      </c>
      <c r="G2169" s="18" t="s">
        <v>4102</v>
      </c>
      <c r="H2169" s="18" t="s">
        <v>1910</v>
      </c>
      <c r="I2169" s="18" t="s">
        <v>1497</v>
      </c>
      <c r="J2169" s="18" t="s">
        <v>4102</v>
      </c>
      <c r="K2169" s="18" t="s">
        <v>4103</v>
      </c>
      <c r="L2169" s="18" t="s">
        <v>4104</v>
      </c>
      <c r="M2169" s="18" t="s">
        <v>1497</v>
      </c>
      <c r="N2169" s="18" t="s">
        <v>6</v>
      </c>
      <c r="O2169" s="18" t="s">
        <v>7</v>
      </c>
      <c r="P2169" s="18" t="s">
        <v>5672</v>
      </c>
      <c r="Q2169" s="18" t="s">
        <v>8</v>
      </c>
      <c r="R2169" s="18" t="s">
        <v>9</v>
      </c>
      <c r="S2169" s="18" t="s">
        <v>4105</v>
      </c>
      <c r="T2169" s="18" t="s">
        <v>4106</v>
      </c>
      <c r="U2169" s="799"/>
    </row>
    <row r="2170" spans="1:21">
      <c r="A2170" s="23" t="s">
        <v>7936</v>
      </c>
      <c r="B2170" s="23">
        <v>20250108</v>
      </c>
      <c r="C2170" s="23">
        <v>7.24</v>
      </c>
      <c r="D2170" s="23" t="s">
        <v>4411</v>
      </c>
      <c r="E2170" s="695" t="s">
        <v>1629</v>
      </c>
      <c r="F2170" s="688" t="s">
        <v>4122</v>
      </c>
      <c r="G2170" s="21" t="s">
        <v>2664</v>
      </c>
      <c r="H2170" s="21" t="s">
        <v>1913</v>
      </c>
      <c r="I2170" s="22"/>
      <c r="J2170" s="700">
        <v>170</v>
      </c>
      <c r="K2170" s="21"/>
      <c r="L2170" s="22"/>
      <c r="M2170" s="22"/>
      <c r="N2170" s="709">
        <f>30.6418/7.24/1.13</f>
        <v>3.74539187405271</v>
      </c>
      <c r="O2170" s="709">
        <v>20.8906621373512</v>
      </c>
      <c r="P2170" s="37"/>
      <c r="Q2170" s="800">
        <f>22.19/7.24</f>
        <v>3.06491712707182</v>
      </c>
      <c r="R2170" s="22">
        <f>SUM(J2170:Q2170)</f>
        <v>197.700971138476</v>
      </c>
      <c r="S2170" s="23"/>
      <c r="T2170" s="760" t="s">
        <v>4412</v>
      </c>
      <c r="U2170" s="120"/>
    </row>
    <row r="2171" spans="1:21">
      <c r="A2171" s="182" t="s">
        <v>8186</v>
      </c>
    </row>
    <row r="2174" spans="1:21">
      <c r="O2174" s="594" t="s">
        <v>8187</v>
      </c>
      <c r="P2174" s="595" t="s">
        <v>7862</v>
      </c>
    </row>
    <row r="2175" spans="1:21">
      <c r="O2175" s="594" t="s">
        <v>7822</v>
      </c>
      <c r="P2175" s="590">
        <f>N2164+O2164+Q2164</f>
        <v>30.2397745516386</v>
      </c>
    </row>
    <row r="2176" spans="1:21">
      <c r="O2176" s="594" t="s">
        <v>7823</v>
      </c>
      <c r="P2176" s="590">
        <f>N2170+O2170+Q2170</f>
        <v>27.7009711384758</v>
      </c>
    </row>
    <row r="2177" spans="1:21">
      <c r="O2177" s="594" t="s">
        <v>7863</v>
      </c>
      <c r="P2177" s="634">
        <f>P2175-P2176</f>
        <v>2.53880341316285</v>
      </c>
    </row>
    <row r="2178" ht="15.6" spans="1:21">
      <c r="A2178" s="801" t="s">
        <v>8188</v>
      </c>
      <c r="B2178" s="718"/>
      <c r="C2178" s="718"/>
      <c r="D2178" s="718"/>
      <c r="E2178" s="127"/>
      <c r="F2178" s="127"/>
      <c r="G2178" s="13"/>
      <c r="H2178" s="14"/>
      <c r="I2178" s="14"/>
      <c r="J2178" s="128"/>
      <c r="K2178" s="685"/>
      <c r="L2178" s="685"/>
      <c r="M2178" s="129"/>
      <c r="N2178" s="686"/>
      <c r="O2178" s="15"/>
      <c r="P2178" s="13"/>
      <c r="Q2178" s="130"/>
      <c r="R2178" s="130"/>
      <c r="S2178" s="12"/>
      <c r="T2178" s="131"/>
      <c r="U2178" s="188"/>
    </row>
    <row r="2179" ht="15.6" spans="1:21">
      <c r="A2179" s="802" t="s">
        <v>1490</v>
      </c>
      <c r="B2179" s="719"/>
      <c r="C2179" s="720" t="s">
        <v>1404</v>
      </c>
      <c r="D2179" s="719"/>
      <c r="E2179" s="18" t="s">
        <v>5</v>
      </c>
      <c r="F2179" s="18" t="s">
        <v>1933</v>
      </c>
      <c r="G2179" s="18" t="s">
        <v>4102</v>
      </c>
      <c r="H2179" s="141" t="s">
        <v>4541</v>
      </c>
      <c r="I2179" s="18" t="s">
        <v>1497</v>
      </c>
      <c r="J2179" s="18" t="s">
        <v>4102</v>
      </c>
      <c r="K2179" s="18" t="s">
        <v>4103</v>
      </c>
      <c r="L2179" s="18" t="s">
        <v>4104</v>
      </c>
      <c r="M2179" s="18" t="s">
        <v>1497</v>
      </c>
      <c r="N2179" s="18" t="s">
        <v>6</v>
      </c>
      <c r="O2179" s="18" t="s">
        <v>7</v>
      </c>
      <c r="P2179" s="18" t="s">
        <v>5672</v>
      </c>
      <c r="Q2179" s="18" t="s">
        <v>8</v>
      </c>
      <c r="R2179" s="18" t="s">
        <v>9</v>
      </c>
      <c r="S2179" s="18" t="s">
        <v>4105</v>
      </c>
      <c r="T2179" s="18" t="s">
        <v>4106</v>
      </c>
      <c r="U2179" s="188"/>
    </row>
    <row r="2180" spans="1:21">
      <c r="A2180" s="23" t="s">
        <v>7502</v>
      </c>
      <c r="B2180" s="23">
        <v>20241216</v>
      </c>
      <c r="C2180" s="23">
        <v>7.24</v>
      </c>
      <c r="D2180" s="23" t="s">
        <v>2458</v>
      </c>
      <c r="E2180" s="695" t="s">
        <v>2459</v>
      </c>
      <c r="F2180" s="688" t="s">
        <v>2801</v>
      </c>
      <c r="G2180" s="21" t="s">
        <v>2444</v>
      </c>
      <c r="H2180" s="21" t="s">
        <v>1913</v>
      </c>
      <c r="I2180" s="22"/>
      <c r="J2180" s="700">
        <v>125</v>
      </c>
      <c r="K2180" s="21"/>
      <c r="L2180" s="22"/>
      <c r="M2180" s="22"/>
      <c r="N2180" s="709">
        <v>5.85</v>
      </c>
      <c r="O2180" s="709">
        <v>16.1573748880506</v>
      </c>
      <c r="P2180" s="37"/>
      <c r="Q2180" s="800">
        <v>3.14632482758621</v>
      </c>
      <c r="R2180" s="22">
        <f>SUM(J2180:Q2180)</f>
        <v>150.153699715637</v>
      </c>
      <c r="S2180" s="23" t="s">
        <v>1526</v>
      </c>
      <c r="T2180" s="760" t="s">
        <v>8189</v>
      </c>
      <c r="U2180" s="120"/>
    </row>
    <row r="2181" spans="1:21">
      <c r="A2181" s="23"/>
      <c r="B2181" s="23">
        <v>20250515</v>
      </c>
      <c r="C2181" s="23"/>
      <c r="D2181" s="23" t="s">
        <v>2505</v>
      </c>
      <c r="E2181" s="695" t="s">
        <v>2506</v>
      </c>
      <c r="F2181" s="688" t="s">
        <v>2801</v>
      </c>
      <c r="G2181" s="21" t="s">
        <v>2444</v>
      </c>
      <c r="H2181" s="21" t="s">
        <v>1913</v>
      </c>
      <c r="I2181" s="22"/>
      <c r="J2181" s="700">
        <v>125</v>
      </c>
      <c r="K2181" s="21"/>
      <c r="L2181" s="22"/>
      <c r="M2181" s="22"/>
      <c r="N2181" s="709">
        <v>5.85</v>
      </c>
      <c r="O2181" s="709">
        <v>15.0939024535007</v>
      </c>
      <c r="P2181" s="37"/>
      <c r="Q2181" s="800">
        <v>3.14632482758621</v>
      </c>
      <c r="R2181" s="22">
        <f>SUM(J2181:Q2181)</f>
        <v>149.090227281087</v>
      </c>
      <c r="S2181" s="23" t="s">
        <v>1526</v>
      </c>
      <c r="T2181" s="760" t="s">
        <v>2507</v>
      </c>
      <c r="U2181" s="120"/>
    </row>
    <row r="2185" ht="15.6" spans="1:21">
      <c r="A2185" s="801" t="s">
        <v>8188</v>
      </c>
      <c r="B2185" s="718"/>
      <c r="C2185" s="718"/>
      <c r="D2185" s="718"/>
      <c r="E2185" s="127"/>
      <c r="F2185" s="127"/>
      <c r="G2185" s="13"/>
      <c r="H2185" s="14"/>
      <c r="I2185" s="14"/>
      <c r="J2185" s="128"/>
      <c r="K2185" s="685"/>
      <c r="L2185" s="685"/>
      <c r="M2185" s="129"/>
      <c r="N2185" s="686"/>
      <c r="O2185" s="15"/>
      <c r="P2185" s="13"/>
      <c r="Q2185" s="130"/>
      <c r="R2185" s="130"/>
      <c r="S2185" s="12"/>
      <c r="T2185" s="131"/>
    </row>
    <row r="2186" ht="15.6" spans="1:21">
      <c r="A2186" s="802" t="s">
        <v>1490</v>
      </c>
      <c r="B2186" s="719"/>
      <c r="C2186" s="720" t="s">
        <v>3</v>
      </c>
      <c r="D2186" s="720" t="s">
        <v>1404</v>
      </c>
      <c r="E2186" s="18" t="s">
        <v>5</v>
      </c>
      <c r="F2186" s="18" t="s">
        <v>1933</v>
      </c>
      <c r="G2186" s="18" t="s">
        <v>4102</v>
      </c>
      <c r="H2186" s="141" t="s">
        <v>4541</v>
      </c>
      <c r="I2186" s="18" t="s">
        <v>1497</v>
      </c>
      <c r="J2186" s="18" t="s">
        <v>4102</v>
      </c>
      <c r="K2186" s="18" t="s">
        <v>4103</v>
      </c>
      <c r="L2186" s="18" t="s">
        <v>4104</v>
      </c>
      <c r="M2186" s="18" t="s">
        <v>1497</v>
      </c>
      <c r="N2186" s="18" t="s">
        <v>6</v>
      </c>
      <c r="O2186" s="18" t="s">
        <v>7</v>
      </c>
      <c r="P2186" s="18" t="s">
        <v>5672</v>
      </c>
      <c r="Q2186" s="18" t="s">
        <v>8</v>
      </c>
      <c r="R2186" s="18" t="s">
        <v>9</v>
      </c>
      <c r="S2186" s="18" t="s">
        <v>4105</v>
      </c>
      <c r="T2186" s="18" t="s">
        <v>4106</v>
      </c>
    </row>
    <row r="2187" s="182" customFormat="1" ht="15" spans="1:21">
      <c r="A2187" s="23"/>
      <c r="B2187" s="695"/>
      <c r="C2187" s="688"/>
      <c r="D2187" s="21"/>
      <c r="E2187" s="21" t="s">
        <v>84</v>
      </c>
      <c r="F2187" s="22"/>
      <c r="G2187" s="700"/>
      <c r="H2187" s="21"/>
      <c r="I2187" s="22"/>
      <c r="J2187" s="22"/>
      <c r="K2187" s="709"/>
      <c r="L2187" s="709"/>
      <c r="M2187" s="37"/>
      <c r="N2187" s="770">
        <v>0.430186823992134</v>
      </c>
      <c r="O2187" s="22">
        <v>3.16456055927237</v>
      </c>
      <c r="P2187" s="23" t="s">
        <v>1428</v>
      </c>
      <c r="Q2187" s="770">
        <v>0.4</v>
      </c>
      <c r="R2187" s="22">
        <f>SUM(J2187:Q2187)</f>
        <v>3.9947473832645</v>
      </c>
      <c r="S2187" s="333"/>
      <c r="T2187" s="333" t="s">
        <v>8190</v>
      </c>
    </row>
    <row r="2191" ht="15.6" spans="1:21">
      <c r="A2191" s="801" t="s">
        <v>8188</v>
      </c>
      <c r="B2191" s="718"/>
      <c r="C2191" s="718"/>
      <c r="D2191" s="718"/>
      <c r="E2191" s="127"/>
      <c r="F2191" s="127"/>
      <c r="G2191" s="13"/>
      <c r="H2191" s="14"/>
      <c r="I2191" s="14"/>
      <c r="J2191" s="128"/>
      <c r="K2191" s="685"/>
      <c r="L2191" s="685"/>
      <c r="M2191" s="129"/>
      <c r="N2191" s="686"/>
      <c r="O2191" s="15"/>
      <c r="P2191" s="13"/>
      <c r="Q2191" s="130"/>
      <c r="R2191" s="130"/>
      <c r="S2191" s="12"/>
      <c r="T2191" s="131"/>
    </row>
    <row r="2192" ht="15.6" spans="1:21">
      <c r="A2192" s="802" t="s">
        <v>1490</v>
      </c>
      <c r="B2192" s="719"/>
      <c r="C2192" s="720" t="s">
        <v>3</v>
      </c>
      <c r="D2192" s="720" t="s">
        <v>1404</v>
      </c>
      <c r="E2192" s="18" t="s">
        <v>5</v>
      </c>
      <c r="F2192" s="18" t="s">
        <v>1933</v>
      </c>
      <c r="G2192" s="18" t="s">
        <v>4102</v>
      </c>
      <c r="H2192" s="141" t="s">
        <v>4541</v>
      </c>
      <c r="I2192" s="18" t="s">
        <v>1497</v>
      </c>
      <c r="J2192" s="18" t="s">
        <v>4102</v>
      </c>
      <c r="K2192" s="18" t="s">
        <v>4103</v>
      </c>
      <c r="L2192" s="18" t="s">
        <v>4104</v>
      </c>
      <c r="M2192" s="18" t="s">
        <v>1497</v>
      </c>
      <c r="N2192" s="18" t="s">
        <v>6</v>
      </c>
      <c r="O2192" s="18" t="s">
        <v>7</v>
      </c>
      <c r="P2192" s="18" t="s">
        <v>5672</v>
      </c>
      <c r="Q2192" s="18" t="s">
        <v>8</v>
      </c>
      <c r="R2192" s="18" t="s">
        <v>9</v>
      </c>
      <c r="S2192" s="18" t="s">
        <v>4105</v>
      </c>
      <c r="T2192" s="18" t="s">
        <v>4106</v>
      </c>
    </row>
    <row r="2193" ht="15" spans="1:20">
      <c r="A2193" s="20" t="s">
        <v>8191</v>
      </c>
      <c r="B2193" s="23">
        <v>20241017</v>
      </c>
      <c r="C2193" s="23">
        <v>7.24</v>
      </c>
      <c r="D2193" s="23" t="s">
        <v>8192</v>
      </c>
      <c r="E2193" s="20" t="s">
        <v>1645</v>
      </c>
      <c r="F2193" s="688" t="s">
        <v>3916</v>
      </c>
      <c r="G2193" s="21" t="s">
        <v>2354</v>
      </c>
      <c r="H2193" s="690" t="s">
        <v>1913</v>
      </c>
      <c r="I2193" s="690" t="s">
        <v>1428</v>
      </c>
      <c r="J2193" s="691">
        <v>125</v>
      </c>
      <c r="K2193" s="690" t="s">
        <v>1428</v>
      </c>
      <c r="L2193" s="690" t="s">
        <v>1428</v>
      </c>
      <c r="M2193" s="690" t="s">
        <v>1428</v>
      </c>
      <c r="N2193" s="37">
        <f>3.72369609785659/7.31*7.24</f>
        <v>3.68803826928614</v>
      </c>
      <c r="O2193" s="22">
        <v>12.157765705483</v>
      </c>
      <c r="P2193" s="37" t="s">
        <v>1428</v>
      </c>
      <c r="Q2193" s="37">
        <v>2.9</v>
      </c>
      <c r="R2193" s="22">
        <f>SUM(J2193:Q2193)</f>
        <v>143.745803974769</v>
      </c>
      <c r="S2193" s="693" t="s">
        <v>1526</v>
      </c>
      <c r="T2193" s="750" t="s">
        <v>8193</v>
      </c>
    </row>
    <row r="2194" spans="1:20">
      <c r="A2194" s="333"/>
      <c r="B2194" s="19">
        <v>20240724</v>
      </c>
      <c r="C2194" s="23">
        <v>7.24</v>
      </c>
      <c r="D2194" s="19" t="s">
        <v>442</v>
      </c>
      <c r="E2194" s="20" t="s">
        <v>2974</v>
      </c>
      <c r="F2194" s="20"/>
      <c r="G2194" s="21"/>
      <c r="H2194" s="21"/>
      <c r="I2194" s="21"/>
      <c r="J2194" s="36"/>
      <c r="K2194" s="21"/>
      <c r="L2194" s="21"/>
      <c r="M2194" s="21"/>
      <c r="N2194" s="22">
        <v>0.41500432666369</v>
      </c>
      <c r="O2194" s="22">
        <v>2.47300121687732</v>
      </c>
      <c r="P2194" s="21" t="s">
        <v>1428</v>
      </c>
      <c r="Q2194" s="37">
        <v>0.2</v>
      </c>
      <c r="R2194" s="37">
        <v>3.08800554354101</v>
      </c>
      <c r="S2194" s="23"/>
      <c r="T2194" s="750" t="s">
        <v>8194</v>
      </c>
    </row>
    <row r="2196" ht="15.6" spans="1:20">
      <c r="A2196" s="801" t="s">
        <v>8188</v>
      </c>
      <c r="B2196" s="718"/>
      <c r="C2196" s="718"/>
      <c r="D2196" s="718"/>
      <c r="E2196" s="127"/>
      <c r="F2196" s="127"/>
      <c r="G2196" s="13"/>
      <c r="H2196" s="14"/>
      <c r="I2196" s="14"/>
      <c r="J2196" s="128"/>
      <c r="K2196" s="685"/>
      <c r="L2196" s="685"/>
      <c r="M2196" s="129"/>
      <c r="N2196" s="686"/>
      <c r="O2196" s="15"/>
      <c r="P2196" s="13"/>
      <c r="Q2196" s="130"/>
      <c r="R2196" s="130"/>
      <c r="S2196" s="12"/>
      <c r="T2196" s="131"/>
    </row>
    <row r="2197" ht="15.6" spans="1:20">
      <c r="A2197" s="802" t="s">
        <v>1490</v>
      </c>
      <c r="B2197" s="719"/>
      <c r="C2197" s="720" t="s">
        <v>3</v>
      </c>
      <c r="D2197" s="720" t="s">
        <v>1404</v>
      </c>
      <c r="E2197" s="18" t="s">
        <v>5</v>
      </c>
      <c r="F2197" s="18" t="s">
        <v>1933</v>
      </c>
      <c r="G2197" s="18" t="s">
        <v>4102</v>
      </c>
      <c r="H2197" s="141" t="s">
        <v>4541</v>
      </c>
      <c r="I2197" s="18" t="s">
        <v>1497</v>
      </c>
      <c r="J2197" s="18" t="s">
        <v>4102</v>
      </c>
      <c r="K2197" s="18" t="s">
        <v>4103</v>
      </c>
      <c r="L2197" s="18" t="s">
        <v>4104</v>
      </c>
      <c r="M2197" s="18" t="s">
        <v>1497</v>
      </c>
      <c r="N2197" s="18" t="s">
        <v>6</v>
      </c>
      <c r="O2197" s="18" t="s">
        <v>7</v>
      </c>
      <c r="P2197" s="18" t="s">
        <v>5672</v>
      </c>
      <c r="Q2197" s="18" t="s">
        <v>8</v>
      </c>
      <c r="R2197" s="18" t="s">
        <v>9</v>
      </c>
      <c r="S2197" s="18" t="s">
        <v>4105</v>
      </c>
      <c r="T2197" s="18" t="s">
        <v>4106</v>
      </c>
    </row>
    <row r="2198" ht="15" spans="1:20">
      <c r="A2198" s="20" t="s">
        <v>7715</v>
      </c>
      <c r="B2198" s="23">
        <v>20241017</v>
      </c>
      <c r="C2198" s="23">
        <v>7.24</v>
      </c>
      <c r="D2198" s="23" t="s">
        <v>8192</v>
      </c>
      <c r="E2198" s="20" t="s">
        <v>8195</v>
      </c>
      <c r="F2198" s="688" t="s">
        <v>3916</v>
      </c>
      <c r="G2198" s="21" t="s">
        <v>8196</v>
      </c>
      <c r="H2198" s="690" t="s">
        <v>1913</v>
      </c>
      <c r="I2198" s="690" t="s">
        <v>1428</v>
      </c>
      <c r="J2198" s="691">
        <v>85</v>
      </c>
      <c r="K2198" s="690" t="s">
        <v>1428</v>
      </c>
      <c r="L2198" s="690" t="s">
        <v>1428</v>
      </c>
      <c r="M2198" s="690" t="s">
        <v>1428</v>
      </c>
      <c r="N2198" s="37">
        <f>3.72369609785659/7.31*7.24</f>
        <v>3.68803826928614</v>
      </c>
      <c r="O2198" s="704">
        <v>10.5942387382997</v>
      </c>
      <c r="P2198" s="37" t="s">
        <v>1428</v>
      </c>
      <c r="Q2198" s="37">
        <v>2.9</v>
      </c>
      <c r="R2198" s="22">
        <f>SUM(J2198:Q2198)</f>
        <v>102.182277007586</v>
      </c>
      <c r="S2198" s="693" t="s">
        <v>1526</v>
      </c>
      <c r="T2198" s="750" t="s">
        <v>8193</v>
      </c>
    </row>
    <row r="2199" spans="1:20">
      <c r="A2199" s="333"/>
      <c r="B2199" s="19">
        <v>20240724</v>
      </c>
      <c r="C2199" s="23">
        <v>7.24</v>
      </c>
      <c r="D2199" s="19" t="s">
        <v>442</v>
      </c>
      <c r="E2199" s="20" t="s">
        <v>2974</v>
      </c>
      <c r="F2199" s="20"/>
      <c r="G2199" s="21"/>
      <c r="H2199" s="21"/>
      <c r="I2199" s="21"/>
      <c r="J2199" s="36"/>
      <c r="K2199" s="21"/>
      <c r="L2199" s="21"/>
      <c r="M2199" s="21"/>
      <c r="N2199" s="22">
        <v>0.41500432666369</v>
      </c>
      <c r="O2199" s="22">
        <v>2.47300121687732</v>
      </c>
      <c r="P2199" s="21" t="s">
        <v>1428</v>
      </c>
      <c r="Q2199" s="37">
        <v>0.2</v>
      </c>
      <c r="R2199" s="37">
        <v>3.08800554354101</v>
      </c>
      <c r="S2199" s="23"/>
      <c r="T2199" s="750" t="s">
        <v>8194</v>
      </c>
    </row>
    <row r="2201" spans="1:20">
      <c r="A2201" s="182" t="s">
        <v>8197</v>
      </c>
    </row>
    <row r="2202" ht="15.6" spans="1:20">
      <c r="A2202" s="801" t="s">
        <v>8188</v>
      </c>
      <c r="B2202" s="718"/>
      <c r="C2202" s="718"/>
      <c r="D2202" s="718"/>
      <c r="E2202" s="127"/>
      <c r="F2202" s="127"/>
      <c r="G2202" s="13"/>
      <c r="H2202" s="14"/>
      <c r="I2202" s="14"/>
      <c r="J2202" s="128"/>
      <c r="K2202" s="685"/>
      <c r="L2202" s="685"/>
      <c r="M2202" s="129"/>
      <c r="N2202" s="686"/>
      <c r="O2202" s="15"/>
      <c r="P2202" s="13"/>
      <c r="Q2202" s="130"/>
      <c r="R2202" s="130"/>
      <c r="S2202" s="12"/>
      <c r="T2202" s="131"/>
    </row>
    <row r="2203" ht="15.6" spans="1:20">
      <c r="A2203" s="802" t="s">
        <v>1490</v>
      </c>
      <c r="B2203" s="719"/>
      <c r="C2203" s="720" t="s">
        <v>3</v>
      </c>
      <c r="D2203" s="720" t="s">
        <v>1404</v>
      </c>
      <c r="E2203" s="18" t="s">
        <v>5</v>
      </c>
      <c r="F2203" s="18" t="s">
        <v>1933</v>
      </c>
      <c r="G2203" s="18" t="s">
        <v>4102</v>
      </c>
      <c r="H2203" s="141" t="s">
        <v>4541</v>
      </c>
      <c r="I2203" s="18" t="s">
        <v>1497</v>
      </c>
      <c r="J2203" s="18" t="s">
        <v>4102</v>
      </c>
      <c r="K2203" s="18" t="s">
        <v>4103</v>
      </c>
      <c r="L2203" s="18" t="s">
        <v>4104</v>
      </c>
      <c r="M2203" s="18" t="s">
        <v>1497</v>
      </c>
      <c r="N2203" s="18" t="s">
        <v>6</v>
      </c>
      <c r="O2203" s="18" t="s">
        <v>7</v>
      </c>
      <c r="P2203" s="18" t="s">
        <v>5672</v>
      </c>
      <c r="Q2203" s="18" t="s">
        <v>8</v>
      </c>
      <c r="R2203" s="18" t="s">
        <v>9</v>
      </c>
      <c r="S2203" s="18" t="s">
        <v>4105</v>
      </c>
      <c r="T2203" s="18" t="s">
        <v>4106</v>
      </c>
    </row>
    <row r="2204" ht="15" spans="1:20">
      <c r="A2204" s="20" t="s">
        <v>7715</v>
      </c>
      <c r="B2204" s="23">
        <v>20241017</v>
      </c>
      <c r="C2204" s="23">
        <v>7.18</v>
      </c>
      <c r="D2204" s="23" t="s">
        <v>8192</v>
      </c>
      <c r="E2204" s="20" t="s">
        <v>8195</v>
      </c>
      <c r="F2204" s="688" t="s">
        <v>3916</v>
      </c>
      <c r="G2204" s="21" t="s">
        <v>8196</v>
      </c>
      <c r="H2204" s="690" t="s">
        <v>1913</v>
      </c>
      <c r="I2204" s="690" t="s">
        <v>1428</v>
      </c>
      <c r="J2204" s="691">
        <v>85</v>
      </c>
      <c r="K2204" s="690" t="s">
        <v>1428</v>
      </c>
      <c r="L2204" s="690" t="s">
        <v>1428</v>
      </c>
      <c r="M2204" s="690" t="s">
        <v>1428</v>
      </c>
      <c r="N2204" s="37">
        <f>29.7/7.18/1.13</f>
        <v>3.66061084132423</v>
      </c>
      <c r="O2204" s="704">
        <v>10.3334791505868</v>
      </c>
      <c r="P2204" s="37" t="s">
        <v>1428</v>
      </c>
      <c r="Q2204" s="37">
        <v>2.92479108635098</v>
      </c>
      <c r="R2204" s="22">
        <f>SUM(J2204:Q2204)</f>
        <v>101.918881078262</v>
      </c>
      <c r="S2204" s="693" t="s">
        <v>1526</v>
      </c>
      <c r="T2204" s="750" t="s">
        <v>8193</v>
      </c>
    </row>
    <row r="2205" spans="1:20">
      <c r="A2205" s="333"/>
      <c r="B2205" s="19">
        <v>20240724</v>
      </c>
      <c r="C2205" s="23">
        <v>7.24</v>
      </c>
      <c r="D2205" s="19" t="s">
        <v>442</v>
      </c>
      <c r="E2205" s="20" t="s">
        <v>2974</v>
      </c>
      <c r="F2205" s="20"/>
      <c r="G2205" s="21"/>
      <c r="H2205" s="21"/>
      <c r="I2205" s="21"/>
      <c r="J2205" s="36"/>
      <c r="K2205" s="21"/>
      <c r="L2205" s="21"/>
      <c r="M2205" s="21"/>
      <c r="N2205" s="22">
        <v>0.41500432666369</v>
      </c>
      <c r="O2205" s="22">
        <v>2.47300121687732</v>
      </c>
      <c r="P2205" s="21" t="s">
        <v>1428</v>
      </c>
      <c r="Q2205" s="37">
        <v>0.2</v>
      </c>
      <c r="R2205" s="37">
        <v>3.08800554354101</v>
      </c>
      <c r="S2205" s="23"/>
      <c r="T2205" s="750" t="s">
        <v>8194</v>
      </c>
    </row>
    <row r="2206" spans="1:20">
      <c r="B2206" s="803"/>
      <c r="C2206" s="804"/>
      <c r="D2206" s="803"/>
      <c r="E2206" s="805"/>
      <c r="F2206" s="805"/>
      <c r="G2206" s="806"/>
      <c r="H2206" s="806"/>
      <c r="I2206" s="806"/>
      <c r="J2206" s="807"/>
      <c r="K2206" s="806"/>
      <c r="L2206" s="806"/>
      <c r="M2206" s="806"/>
      <c r="N2206" s="808"/>
      <c r="O2206" s="22"/>
      <c r="P2206" s="21"/>
      <c r="Q2206" s="809"/>
      <c r="R2206" s="809"/>
      <c r="S2206" s="804"/>
      <c r="T2206" s="810"/>
    </row>
    <row r="2207" spans="1:20">
      <c r="O2207" s="594" t="s">
        <v>8198</v>
      </c>
      <c r="P2207" s="595" t="s">
        <v>7862</v>
      </c>
    </row>
    <row r="2208" spans="1:20">
      <c r="O2208" s="594" t="s">
        <v>7822</v>
      </c>
      <c r="P2208" s="590">
        <f>N2193+O2193+Q2193</f>
        <v>18.7458039747691</v>
      </c>
      <c r="R2208" s="182">
        <f>R2198-R2204</f>
        <v>0.263395929323835</v>
      </c>
    </row>
    <row r="2209" spans="1:20">
      <c r="O2209" s="594" t="s">
        <v>7823</v>
      </c>
      <c r="P2209" s="590">
        <f>N2198+O2198+Q2198</f>
        <v>17.1822770075859</v>
      </c>
    </row>
    <row r="2210" spans="1:20">
      <c r="O2210" s="594" t="s">
        <v>7863</v>
      </c>
      <c r="P2210" s="634">
        <f>P2208-P2209</f>
        <v>1.56352696718325</v>
      </c>
    </row>
    <row r="2213" ht="15.6" spans="1:20">
      <c r="A2213" s="11" t="s">
        <v>8199</v>
      </c>
      <c r="B2213" s="11"/>
      <c r="C2213" s="11"/>
      <c r="D2213" s="11"/>
      <c r="E2213" s="127"/>
      <c r="F2213" s="127"/>
      <c r="G2213" s="13"/>
      <c r="H2213" s="14"/>
      <c r="I2213" s="14"/>
      <c r="J2213" s="128"/>
      <c r="K2213" s="129"/>
      <c r="L2213" s="129"/>
      <c r="M2213" s="129"/>
      <c r="N2213" s="15"/>
      <c r="O2213" s="15"/>
      <c r="P2213" s="13"/>
      <c r="Q2213" s="130"/>
      <c r="R2213" s="130"/>
      <c r="S2213" s="12"/>
      <c r="T2213" s="131"/>
    </row>
    <row r="2214" ht="15.6" spans="1:20">
      <c r="A2214" s="17" t="s">
        <v>1490</v>
      </c>
      <c r="B2214" s="17" t="s">
        <v>1492</v>
      </c>
      <c r="C2214" s="754" t="s">
        <v>1404</v>
      </c>
      <c r="D2214" s="17" t="s">
        <v>4100</v>
      </c>
      <c r="E2214" s="18" t="s">
        <v>5</v>
      </c>
      <c r="F2214" s="121" t="s">
        <v>1933</v>
      </c>
      <c r="G2214" s="18" t="s">
        <v>4102</v>
      </c>
      <c r="H2214" s="18" t="s">
        <v>1910</v>
      </c>
      <c r="I2214" s="18" t="s">
        <v>1497</v>
      </c>
      <c r="J2214" s="18" t="s">
        <v>4102</v>
      </c>
      <c r="K2214" s="18" t="s">
        <v>4103</v>
      </c>
      <c r="L2214" s="18" t="s">
        <v>4104</v>
      </c>
      <c r="M2214" s="18" t="s">
        <v>1497</v>
      </c>
      <c r="N2214" s="18" t="s">
        <v>6</v>
      </c>
      <c r="O2214" s="18" t="s">
        <v>7</v>
      </c>
      <c r="P2214" s="18" t="s">
        <v>5672</v>
      </c>
      <c r="Q2214" s="18" t="s">
        <v>8</v>
      </c>
      <c r="R2214" s="18" t="s">
        <v>9</v>
      </c>
      <c r="S2214" s="18" t="s">
        <v>4105</v>
      </c>
      <c r="T2214" s="18" t="s">
        <v>4106</v>
      </c>
    </row>
    <row r="2215" ht="15" spans="1:20">
      <c r="A2215" s="333" t="s">
        <v>4473</v>
      </c>
      <c r="B2215" s="19">
        <v>20250519</v>
      </c>
      <c r="C2215" s="23">
        <v>7.21</v>
      </c>
      <c r="D2215" s="19" t="s">
        <v>4467</v>
      </c>
      <c r="E2215" s="20" t="s">
        <v>4233</v>
      </c>
      <c r="F2215" s="139" t="s">
        <v>4239</v>
      </c>
      <c r="G2215" s="21" t="s">
        <v>8200</v>
      </c>
      <c r="H2215" s="21" t="s">
        <v>4474</v>
      </c>
      <c r="I2215" s="21" t="s">
        <v>1635</v>
      </c>
      <c r="J2215" s="36">
        <v>190</v>
      </c>
      <c r="K2215" s="21">
        <f>6.5*4</f>
        <v>26</v>
      </c>
      <c r="L2215" s="21"/>
      <c r="M2215" s="21">
        <v>3.1</v>
      </c>
      <c r="N2215" s="22">
        <v>4.61912677846771</v>
      </c>
      <c r="O2215" s="22">
        <v>23.9149361070539</v>
      </c>
      <c r="P2215" s="21"/>
      <c r="Q2215" s="37">
        <v>4</v>
      </c>
      <c r="R2215" s="37">
        <f>SUM(J2215:Q2215)</f>
        <v>251.634062885522</v>
      </c>
      <c r="S2215" s="23" t="s">
        <v>3977</v>
      </c>
      <c r="T2215" s="750" t="s">
        <v>4475</v>
      </c>
    </row>
    <row r="2220" ht="15.6" spans="1:20">
      <c r="A2220" s="801" t="s">
        <v>8188</v>
      </c>
      <c r="B2220" s="718"/>
      <c r="C2220" s="718"/>
      <c r="D2220" s="718"/>
      <c r="E2220" s="127"/>
      <c r="F2220" s="127"/>
      <c r="G2220" s="13"/>
      <c r="H2220" s="14"/>
      <c r="I2220" s="14"/>
      <c r="J2220" s="128"/>
      <c r="K2220" s="685"/>
      <c r="L2220" s="685"/>
      <c r="M2220" s="129"/>
      <c r="N2220" s="686"/>
      <c r="O2220" s="15"/>
      <c r="P2220" s="13"/>
      <c r="Q2220" s="130"/>
      <c r="R2220" s="130"/>
      <c r="S2220" s="12"/>
      <c r="T2220" s="131"/>
    </row>
    <row r="2221" ht="15.6" spans="1:20">
      <c r="A2221" s="802" t="s">
        <v>1490</v>
      </c>
      <c r="B2221" s="719"/>
      <c r="C2221" s="720" t="s">
        <v>1404</v>
      </c>
      <c r="D2221" s="719"/>
      <c r="E2221" s="18" t="s">
        <v>5</v>
      </c>
      <c r="F2221" s="18" t="s">
        <v>1933</v>
      </c>
      <c r="G2221" s="18" t="s">
        <v>4102</v>
      </c>
      <c r="H2221" s="141" t="s">
        <v>4541</v>
      </c>
      <c r="I2221" s="18" t="s">
        <v>1497</v>
      </c>
      <c r="J2221" s="18" t="s">
        <v>4102</v>
      </c>
      <c r="K2221" s="18" t="s">
        <v>4103</v>
      </c>
      <c r="L2221" s="18" t="s">
        <v>4104</v>
      </c>
      <c r="M2221" s="18" t="s">
        <v>1497</v>
      </c>
      <c r="N2221" s="18" t="s">
        <v>6</v>
      </c>
      <c r="O2221" s="18" t="s">
        <v>7</v>
      </c>
      <c r="P2221" s="18" t="s">
        <v>5672</v>
      </c>
      <c r="Q2221" s="18" t="s">
        <v>8</v>
      </c>
      <c r="R2221" s="18" t="s">
        <v>9</v>
      </c>
      <c r="S2221" s="18" t="s">
        <v>4105</v>
      </c>
      <c r="T2221" s="18" t="s">
        <v>4106</v>
      </c>
    </row>
    <row r="2222" ht="15" spans="1:20">
      <c r="A2222" s="811"/>
      <c r="B2222" s="23">
        <v>20241216</v>
      </c>
      <c r="C2222" s="23">
        <v>7.24</v>
      </c>
      <c r="D2222" s="23" t="s">
        <v>2450</v>
      </c>
      <c r="E2222" s="775" t="s">
        <v>1667</v>
      </c>
      <c r="F2222" s="768" t="s">
        <v>2801</v>
      </c>
      <c r="G2222" s="690" t="s">
        <v>2354</v>
      </c>
      <c r="H2222" s="21" t="s">
        <v>1913</v>
      </c>
      <c r="I2222" s="21"/>
      <c r="J2222" s="691">
        <v>125</v>
      </c>
      <c r="K2222" s="21"/>
      <c r="L2222" s="21"/>
      <c r="M2222" s="21"/>
      <c r="N2222" s="22">
        <v>5.85</v>
      </c>
      <c r="O2222" s="22">
        <v>13.6397331240573</v>
      </c>
      <c r="P2222" s="37"/>
      <c r="Q2222" s="37">
        <v>3.14632482758621</v>
      </c>
      <c r="R2222" s="22">
        <f>SUM(J2222:Q2222)</f>
        <v>147.636057951643</v>
      </c>
      <c r="S2222" s="167" t="s">
        <v>1526</v>
      </c>
      <c r="T2222" s="167" t="s">
        <v>2451</v>
      </c>
    </row>
    <row r="2225" ht="15.6" spans="1:20">
      <c r="A2225" s="801" t="s">
        <v>8188</v>
      </c>
      <c r="B2225" s="718"/>
      <c r="C2225" s="718"/>
      <c r="D2225" s="718"/>
      <c r="E2225" s="127"/>
      <c r="F2225" s="127"/>
      <c r="G2225" s="13"/>
      <c r="H2225" s="14"/>
      <c r="I2225" s="14"/>
      <c r="J2225" s="128"/>
      <c r="K2225" s="685"/>
      <c r="L2225" s="685"/>
      <c r="M2225" s="129"/>
      <c r="N2225" s="686"/>
      <c r="O2225" s="15"/>
      <c r="P2225" s="13"/>
      <c r="Q2225" s="130"/>
      <c r="R2225" s="130"/>
      <c r="S2225" s="12"/>
      <c r="T2225" s="131"/>
    </row>
    <row r="2226" ht="15.6" spans="1:20">
      <c r="A2226" s="802" t="s">
        <v>1490</v>
      </c>
      <c r="B2226" s="719"/>
      <c r="C2226" s="720" t="s">
        <v>1404</v>
      </c>
      <c r="D2226" s="719"/>
      <c r="E2226" s="18" t="s">
        <v>5</v>
      </c>
      <c r="F2226" s="18" t="s">
        <v>1933</v>
      </c>
      <c r="G2226" s="18" t="s">
        <v>4102</v>
      </c>
      <c r="H2226" s="141" t="s">
        <v>4541</v>
      </c>
      <c r="I2226" s="18" t="s">
        <v>1497</v>
      </c>
      <c r="J2226" s="18" t="s">
        <v>4102</v>
      </c>
      <c r="K2226" s="18" t="s">
        <v>4103</v>
      </c>
      <c r="L2226" s="18" t="s">
        <v>4104</v>
      </c>
      <c r="M2226" s="18" t="s">
        <v>1497</v>
      </c>
      <c r="N2226" s="18" t="s">
        <v>6</v>
      </c>
      <c r="O2226" s="18" t="s">
        <v>7</v>
      </c>
      <c r="P2226" s="18" t="s">
        <v>5672</v>
      </c>
      <c r="Q2226" s="18" t="s">
        <v>8</v>
      </c>
      <c r="R2226" s="18" t="s">
        <v>9</v>
      </c>
      <c r="S2226" s="18" t="s">
        <v>4105</v>
      </c>
      <c r="T2226" s="18" t="s">
        <v>4106</v>
      </c>
    </row>
    <row r="2227" ht="15" spans="1:20">
      <c r="A2227" s="812" t="s">
        <v>7502</v>
      </c>
      <c r="B2227" s="23">
        <v>20241216</v>
      </c>
      <c r="C2227" s="23">
        <v>7.24</v>
      </c>
      <c r="D2227" s="23" t="s">
        <v>2450</v>
      </c>
      <c r="E2227" s="775" t="s">
        <v>8201</v>
      </c>
      <c r="F2227" s="768" t="s">
        <v>2801</v>
      </c>
      <c r="G2227" s="731" t="s">
        <v>2392</v>
      </c>
      <c r="H2227" s="21" t="s">
        <v>1913</v>
      </c>
      <c r="I2227" s="700" t="s">
        <v>8202</v>
      </c>
      <c r="J2227" s="22">
        <v>85</v>
      </c>
      <c r="K2227" s="21"/>
      <c r="L2227" s="21"/>
      <c r="M2227" s="700">
        <v>6</v>
      </c>
      <c r="N2227" s="22">
        <v>5.01</v>
      </c>
      <c r="O2227" s="22">
        <v>13.2118664504983</v>
      </c>
      <c r="P2227" s="37"/>
      <c r="Q2227" s="37">
        <v>3.14632482758621</v>
      </c>
      <c r="R2227" s="22">
        <f>SUM(J2227:Q2227)</f>
        <v>112.368191278085</v>
      </c>
      <c r="S2227" s="167" t="s">
        <v>1526</v>
      </c>
      <c r="T2227" s="167" t="s">
        <v>8203</v>
      </c>
    </row>
    <row r="2228" spans="1:20">
      <c r="A2228" s="333"/>
      <c r="B2228" s="23">
        <v>20250521</v>
      </c>
      <c r="C2228" s="23">
        <v>7.21</v>
      </c>
      <c r="D2228" s="23" t="s">
        <v>2583</v>
      </c>
      <c r="E2228" s="695" t="s">
        <v>1131</v>
      </c>
      <c r="F2228" s="20"/>
      <c r="G2228" s="21"/>
      <c r="H2228" s="21"/>
      <c r="I2228" s="21"/>
      <c r="J2228" s="21"/>
      <c r="K2228" s="21"/>
      <c r="L2228" s="21"/>
      <c r="M2228" s="21"/>
      <c r="N2228" s="22">
        <v>0.418921998090089</v>
      </c>
      <c r="O2228" s="22">
        <v>2.66903705934089</v>
      </c>
      <c r="P2228" s="37" t="s">
        <v>1428</v>
      </c>
      <c r="Q2228" s="774">
        <v>0.4</v>
      </c>
      <c r="R2228" s="22">
        <f>SUM(J2228:Q2228)</f>
        <v>3.48795905743098</v>
      </c>
      <c r="S2228" s="813"/>
      <c r="T2228" s="35" t="s">
        <v>2584</v>
      </c>
    </row>
    <row r="2234" ht="15.6" spans="1:20">
      <c r="A2234" s="801" t="s">
        <v>8188</v>
      </c>
      <c r="B2234" s="718"/>
      <c r="C2234" s="718"/>
      <c r="D2234" s="718"/>
      <c r="E2234" s="127"/>
      <c r="F2234" s="127"/>
      <c r="G2234" s="13"/>
      <c r="H2234" s="14"/>
      <c r="I2234" s="14"/>
      <c r="J2234" s="128"/>
      <c r="K2234" s="685"/>
      <c r="L2234" s="685"/>
      <c r="M2234" s="129"/>
      <c r="N2234" s="686"/>
      <c r="O2234" s="15"/>
      <c r="P2234" s="13"/>
      <c r="Q2234" s="130"/>
      <c r="R2234" s="130"/>
      <c r="S2234" s="12"/>
      <c r="T2234" s="131"/>
    </row>
    <row r="2235" ht="15.6" spans="1:20">
      <c r="A2235" s="802" t="s">
        <v>1490</v>
      </c>
      <c r="B2235" s="719"/>
      <c r="C2235" s="720" t="s">
        <v>1404</v>
      </c>
      <c r="D2235" s="719"/>
      <c r="E2235" s="18" t="s">
        <v>5</v>
      </c>
      <c r="F2235" s="18" t="s">
        <v>1933</v>
      </c>
      <c r="G2235" s="18" t="s">
        <v>4102</v>
      </c>
      <c r="H2235" s="141" t="s">
        <v>4541</v>
      </c>
      <c r="I2235" s="18" t="s">
        <v>1497</v>
      </c>
      <c r="J2235" s="18" t="s">
        <v>4102</v>
      </c>
      <c r="K2235" s="18" t="s">
        <v>4103</v>
      </c>
      <c r="L2235" s="18" t="s">
        <v>4104</v>
      </c>
      <c r="M2235" s="18" t="s">
        <v>1497</v>
      </c>
      <c r="N2235" s="18" t="s">
        <v>6</v>
      </c>
      <c r="O2235" s="18" t="s">
        <v>7</v>
      </c>
      <c r="P2235" s="18" t="s">
        <v>5672</v>
      </c>
      <c r="Q2235" s="18" t="s">
        <v>8</v>
      </c>
      <c r="R2235" s="18" t="s">
        <v>9</v>
      </c>
      <c r="S2235" s="18" t="s">
        <v>4105</v>
      </c>
      <c r="T2235" s="18" t="s">
        <v>4106</v>
      </c>
    </row>
    <row r="2236" spans="1:20">
      <c r="A2236" s="23"/>
      <c r="B2236" s="814">
        <v>20250522</v>
      </c>
      <c r="C2236" s="23">
        <v>7.21</v>
      </c>
      <c r="D2236" s="23" t="s">
        <v>6664</v>
      </c>
      <c r="E2236" s="20" t="s">
        <v>6665</v>
      </c>
      <c r="F2236" s="20"/>
      <c r="G2236" s="21"/>
      <c r="H2236" s="21"/>
      <c r="I2236" s="21"/>
      <c r="J2236" s="21"/>
      <c r="K2236" s="21"/>
      <c r="L2236" s="21"/>
      <c r="M2236" s="21"/>
      <c r="N2236" s="37">
        <v>0.328663071660722</v>
      </c>
      <c r="O2236" s="37">
        <v>0.856342898058467</v>
      </c>
      <c r="P2236" s="37" t="s">
        <v>1428</v>
      </c>
      <c r="Q2236" s="37">
        <v>0.2</v>
      </c>
      <c r="R2236" s="37">
        <f>SUM(J2236:Q2236)</f>
        <v>1.38500596971919</v>
      </c>
      <c r="S2236" s="23"/>
      <c r="T2236" s="35"/>
    </row>
    <row r="2237" ht="15" spans="1:20">
      <c r="A2237" s="23"/>
      <c r="B2237" s="814">
        <v>20241104</v>
      </c>
      <c r="C2237" s="23">
        <v>7.24</v>
      </c>
      <c r="D2237" s="23" t="s">
        <v>3761</v>
      </c>
      <c r="E2237" s="20" t="s">
        <v>1672</v>
      </c>
      <c r="F2237" s="729" t="s">
        <v>3754</v>
      </c>
      <c r="G2237" s="21" t="s">
        <v>3542</v>
      </c>
      <c r="H2237" s="21" t="s">
        <v>1428</v>
      </c>
      <c r="I2237" s="21" t="s">
        <v>1635</v>
      </c>
      <c r="J2237" s="21">
        <v>32</v>
      </c>
      <c r="K2237" s="21"/>
      <c r="L2237" s="21"/>
      <c r="M2237" s="21">
        <v>3.3</v>
      </c>
      <c r="N2237" s="37">
        <v>2.46093797945332</v>
      </c>
      <c r="O2237" s="37">
        <v>11.569656279582</v>
      </c>
      <c r="P2237" s="37"/>
      <c r="Q2237" s="37">
        <v>2.52</v>
      </c>
      <c r="R2237" s="22">
        <f>SUM(J2237:Q2237)</f>
        <v>51.8505942590353</v>
      </c>
      <c r="S2237" s="35" t="s">
        <v>1526</v>
      </c>
      <c r="T2237" s="182" t="s">
        <v>8204</v>
      </c>
    </row>
    <row r="2240" ht="15.6" spans="1:20">
      <c r="A2240" s="801" t="s">
        <v>8205</v>
      </c>
      <c r="B2240" s="718"/>
      <c r="C2240" s="718"/>
      <c r="D2240" s="718"/>
      <c r="E2240" s="127"/>
      <c r="F2240" s="127"/>
      <c r="G2240" s="13"/>
      <c r="H2240" s="14"/>
      <c r="I2240" s="14"/>
      <c r="J2240" s="128"/>
      <c r="K2240" s="685"/>
      <c r="L2240" s="685"/>
      <c r="M2240" s="129"/>
      <c r="N2240" s="686"/>
      <c r="O2240" s="15"/>
      <c r="P2240" s="13"/>
      <c r="Q2240" s="130"/>
      <c r="R2240" s="130"/>
      <c r="S2240" s="12"/>
      <c r="T2240" s="131"/>
    </row>
    <row r="2241" ht="15.6" spans="1:20">
      <c r="A2241" s="802" t="s">
        <v>1490</v>
      </c>
      <c r="B2241" s="719"/>
      <c r="C2241" s="720" t="s">
        <v>1404</v>
      </c>
      <c r="D2241" s="719"/>
      <c r="E2241" s="18" t="s">
        <v>5</v>
      </c>
      <c r="F2241" s="18" t="s">
        <v>1933</v>
      </c>
      <c r="G2241" s="18" t="s">
        <v>4102</v>
      </c>
      <c r="H2241" s="141" t="s">
        <v>4541</v>
      </c>
      <c r="I2241" s="18" t="s">
        <v>1497</v>
      </c>
      <c r="J2241" s="18" t="s">
        <v>4102</v>
      </c>
      <c r="K2241" s="18" t="s">
        <v>4103</v>
      </c>
      <c r="L2241" s="18" t="s">
        <v>4104</v>
      </c>
      <c r="M2241" s="18" t="s">
        <v>1497</v>
      </c>
      <c r="N2241" s="18" t="s">
        <v>6</v>
      </c>
      <c r="O2241" s="18" t="s">
        <v>7</v>
      </c>
      <c r="P2241" s="18" t="s">
        <v>5672</v>
      </c>
      <c r="Q2241" s="18" t="s">
        <v>8</v>
      </c>
      <c r="R2241" s="18" t="s">
        <v>9</v>
      </c>
      <c r="S2241" s="18" t="s">
        <v>4105</v>
      </c>
      <c r="T2241" s="18" t="s">
        <v>4106</v>
      </c>
    </row>
    <row r="2242" spans="1:20">
      <c r="A2242" s="23" t="s">
        <v>820</v>
      </c>
      <c r="B2242" s="814">
        <v>20250522</v>
      </c>
      <c r="C2242" s="23">
        <v>7.21</v>
      </c>
      <c r="D2242" s="23" t="s">
        <v>6664</v>
      </c>
      <c r="E2242" s="20" t="s">
        <v>6665</v>
      </c>
      <c r="F2242" s="20"/>
      <c r="G2242" s="21"/>
      <c r="H2242" s="21"/>
      <c r="I2242" s="21"/>
      <c r="J2242" s="21"/>
      <c r="K2242" s="21"/>
      <c r="L2242" s="21"/>
      <c r="M2242" s="21"/>
      <c r="N2242" s="37">
        <v>0.328663071660722</v>
      </c>
      <c r="O2242" s="37">
        <v>0.843140202707646</v>
      </c>
      <c r="P2242" s="37" t="s">
        <v>1428</v>
      </c>
      <c r="Q2242" s="37">
        <v>0.2</v>
      </c>
      <c r="R2242" s="37">
        <f>SUM(J2242:Q2242)</f>
        <v>1.37180327436837</v>
      </c>
      <c r="S2242" s="23"/>
      <c r="T2242" s="23"/>
    </row>
    <row r="2243" ht="15" spans="1:20">
      <c r="A2243" s="23"/>
      <c r="B2243" s="814">
        <v>20241104</v>
      </c>
      <c r="C2243" s="23">
        <v>7.24</v>
      </c>
      <c r="D2243" s="23" t="s">
        <v>3761</v>
      </c>
      <c r="E2243" s="20" t="s">
        <v>1672</v>
      </c>
      <c r="F2243" s="729" t="s">
        <v>3754</v>
      </c>
      <c r="G2243" s="21" t="s">
        <v>3542</v>
      </c>
      <c r="H2243" s="21" t="s">
        <v>1428</v>
      </c>
      <c r="I2243" s="21" t="s">
        <v>1635</v>
      </c>
      <c r="J2243" s="700">
        <v>33</v>
      </c>
      <c r="K2243" s="21"/>
      <c r="L2243" s="21"/>
      <c r="M2243" s="815">
        <v>3.1</v>
      </c>
      <c r="N2243" s="37">
        <v>2.46093797945332</v>
      </c>
      <c r="O2243" s="709">
        <v>10.6800594743574</v>
      </c>
      <c r="P2243" s="37"/>
      <c r="Q2243" s="37">
        <v>2.52967240680962</v>
      </c>
      <c r="R2243" s="22">
        <f>SUM(J2243:Q2243)</f>
        <v>51.7706698606203</v>
      </c>
      <c r="S2243" s="23" t="s">
        <v>1526</v>
      </c>
      <c r="T2243" s="333" t="s">
        <v>8204</v>
      </c>
    </row>
    <row r="2247" spans="1:20">
      <c r="O2247" s="594" t="s">
        <v>8206</v>
      </c>
      <c r="P2247" s="595" t="s">
        <v>7862</v>
      </c>
    </row>
    <row r="2248" spans="1:20">
      <c r="O2248" s="594" t="s">
        <v>7822</v>
      </c>
      <c r="P2248" s="590">
        <f>N2237+O2237+Q2237</f>
        <v>16.5505942590353</v>
      </c>
    </row>
    <row r="2249" spans="1:20">
      <c r="O2249" s="594" t="s">
        <v>7823</v>
      </c>
      <c r="P2249" s="590">
        <f>N2243+O2243+Q2243</f>
        <v>15.6706698606203</v>
      </c>
    </row>
    <row r="2250" spans="1:20">
      <c r="O2250" s="594" t="s">
        <v>7863</v>
      </c>
      <c r="P2250" s="634">
        <f>P2248-P2249</f>
        <v>0.879924398415026</v>
      </c>
    </row>
    <row r="2252" ht="15.6" spans="1:20">
      <c r="A2252" s="801" t="s">
        <v>8205</v>
      </c>
      <c r="B2252" s="718"/>
      <c r="C2252" s="718"/>
      <c r="D2252" s="718"/>
      <c r="E2252" s="127"/>
      <c r="F2252" s="127"/>
      <c r="G2252" s="13"/>
      <c r="H2252" s="14"/>
      <c r="I2252" s="14"/>
      <c r="J2252" s="128"/>
      <c r="K2252" s="685"/>
      <c r="L2252" s="685"/>
      <c r="M2252" s="129"/>
      <c r="N2252" s="686"/>
      <c r="O2252" s="15"/>
      <c r="P2252" s="13"/>
      <c r="Q2252" s="130"/>
      <c r="R2252" s="130"/>
      <c r="S2252" s="12"/>
      <c r="T2252" s="131"/>
    </row>
    <row r="2253" ht="15.6" spans="1:20">
      <c r="A2253" s="802" t="s">
        <v>1490</v>
      </c>
      <c r="B2253" s="719"/>
      <c r="C2253" s="720" t="s">
        <v>1404</v>
      </c>
      <c r="D2253" s="719"/>
      <c r="E2253" s="18" t="s">
        <v>5</v>
      </c>
      <c r="F2253" s="18" t="s">
        <v>1933</v>
      </c>
      <c r="G2253" s="18" t="s">
        <v>4102</v>
      </c>
      <c r="H2253" s="141" t="s">
        <v>4541</v>
      </c>
      <c r="I2253" s="18" t="s">
        <v>1497</v>
      </c>
      <c r="J2253" s="18" t="s">
        <v>4102</v>
      </c>
      <c r="K2253" s="18" t="s">
        <v>4103</v>
      </c>
      <c r="L2253" s="18" t="s">
        <v>4104</v>
      </c>
      <c r="M2253" s="18" t="s">
        <v>1497</v>
      </c>
      <c r="N2253" s="18" t="s">
        <v>6</v>
      </c>
      <c r="O2253" s="18" t="s">
        <v>7</v>
      </c>
      <c r="P2253" s="18" t="s">
        <v>5672</v>
      </c>
      <c r="Q2253" s="18" t="s">
        <v>8</v>
      </c>
      <c r="R2253" s="18" t="s">
        <v>9</v>
      </c>
      <c r="S2253" s="18" t="s">
        <v>4105</v>
      </c>
      <c r="T2253" s="18" t="s">
        <v>4106</v>
      </c>
    </row>
    <row r="2254" ht="15" spans="1:20">
      <c r="A2254" s="23"/>
      <c r="B2254" s="814">
        <v>20250418</v>
      </c>
      <c r="C2254" s="23">
        <v>7.21</v>
      </c>
      <c r="D2254" s="20" t="s">
        <v>458</v>
      </c>
      <c r="E2254" s="20" t="s">
        <v>459</v>
      </c>
      <c r="F2254" s="21"/>
      <c r="G2254" s="21"/>
      <c r="H2254" s="21"/>
      <c r="I2254" s="21"/>
      <c r="J2254" s="21"/>
      <c r="K2254" s="21"/>
      <c r="L2254" s="21"/>
      <c r="M2254" s="37"/>
      <c r="N2254" s="37">
        <v>0.353494721958117</v>
      </c>
      <c r="O2254" s="37">
        <v>2.21371073046442</v>
      </c>
      <c r="P2254" s="37" t="s">
        <v>1428</v>
      </c>
      <c r="Q2254" s="37">
        <v>0.4</v>
      </c>
      <c r="R2254" s="22">
        <f>SUM(J2254:Q2254)</f>
        <v>2.96720545242254</v>
      </c>
      <c r="S2254" s="23"/>
      <c r="T2254" s="333" t="s">
        <v>2842</v>
      </c>
    </row>
    <row r="2255" ht="15" spans="1:20">
      <c r="A2255" s="23" t="s">
        <v>820</v>
      </c>
      <c r="B2255" s="814">
        <v>20250522</v>
      </c>
      <c r="C2255" s="23">
        <v>7.21</v>
      </c>
      <c r="D2255" s="23" t="s">
        <v>3763</v>
      </c>
      <c r="E2255" s="20" t="s">
        <v>1581</v>
      </c>
      <c r="F2255" s="20" t="s">
        <v>3754</v>
      </c>
      <c r="G2255" s="21" t="s">
        <v>3542</v>
      </c>
      <c r="H2255" s="21" t="s">
        <v>1428</v>
      </c>
      <c r="I2255" s="21" t="s">
        <v>3458</v>
      </c>
      <c r="J2255" s="21">
        <v>33</v>
      </c>
      <c r="K2255" s="21"/>
      <c r="L2255" s="21"/>
      <c r="M2255" s="21">
        <v>1.62</v>
      </c>
      <c r="N2255" s="37">
        <v>2.46093797945332</v>
      </c>
      <c r="O2255" s="37">
        <v>10.9659008309079</v>
      </c>
      <c r="P2255" s="37"/>
      <c r="Q2255" s="37">
        <v>2.52967240680962</v>
      </c>
      <c r="R2255" s="22">
        <f>SUM(J2255:Q2255)</f>
        <v>50.5765112171708</v>
      </c>
      <c r="S2255" s="23" t="s">
        <v>1526</v>
      </c>
      <c r="T2255" s="333" t="s">
        <v>3764</v>
      </c>
    </row>
    <row r="2260" ht="15.6" spans="1:21">
      <c r="A2260" s="182" t="s">
        <v>8205</v>
      </c>
    </row>
    <row r="2261" ht="15.6" spans="1:21">
      <c r="A2261" s="816" t="s">
        <v>1490</v>
      </c>
      <c r="B2261" s="17" t="s">
        <v>1492</v>
      </c>
      <c r="C2261" s="754" t="s">
        <v>1404</v>
      </c>
      <c r="D2261" s="164" t="s">
        <v>1494</v>
      </c>
      <c r="E2261" s="18" t="s">
        <v>5</v>
      </c>
      <c r="F2261" s="18" t="s">
        <v>1933</v>
      </c>
      <c r="G2261" s="18" t="s">
        <v>4102</v>
      </c>
      <c r="H2261" s="18" t="s">
        <v>1910</v>
      </c>
      <c r="I2261" s="18" t="s">
        <v>1497</v>
      </c>
      <c r="J2261" s="18" t="s">
        <v>4102</v>
      </c>
      <c r="K2261" s="18" t="s">
        <v>4103</v>
      </c>
      <c r="L2261" s="18" t="s">
        <v>4104</v>
      </c>
      <c r="M2261" s="18" t="s">
        <v>1497</v>
      </c>
      <c r="N2261" s="18" t="s">
        <v>6</v>
      </c>
      <c r="O2261" s="18" t="s">
        <v>7</v>
      </c>
      <c r="P2261" s="18" t="s">
        <v>5672</v>
      </c>
      <c r="Q2261" s="18" t="s">
        <v>8</v>
      </c>
      <c r="R2261" s="18" t="s">
        <v>9</v>
      </c>
      <c r="S2261" s="18" t="s">
        <v>4105</v>
      </c>
      <c r="T2261" s="18" t="s">
        <v>4106</v>
      </c>
    </row>
    <row r="2262" ht="15" spans="1:21">
      <c r="A2262" s="23" t="s">
        <v>804</v>
      </c>
      <c r="B2262" s="814">
        <v>20240118</v>
      </c>
      <c r="C2262" s="23">
        <v>7.17</v>
      </c>
      <c r="D2262" s="20" t="s">
        <v>3938</v>
      </c>
      <c r="E2262" s="20" t="s">
        <v>2495</v>
      </c>
      <c r="F2262" s="21" t="s">
        <v>3932</v>
      </c>
      <c r="G2262" s="21" t="s">
        <v>3855</v>
      </c>
      <c r="H2262" s="21" t="s">
        <v>3432</v>
      </c>
      <c r="I2262" s="21" t="s">
        <v>3939</v>
      </c>
      <c r="J2262" s="21">
        <v>24</v>
      </c>
      <c r="K2262" s="21" t="s">
        <v>1428</v>
      </c>
      <c r="L2262" s="21" t="s">
        <v>1428</v>
      </c>
      <c r="M2262" s="37">
        <v>3</v>
      </c>
      <c r="N2262" s="37">
        <v>3.13233790926803</v>
      </c>
      <c r="O2262" s="37">
        <v>8.54841205684994</v>
      </c>
      <c r="P2262" s="37" t="s">
        <v>1428</v>
      </c>
      <c r="Q2262" s="37">
        <v>2.87055981462765</v>
      </c>
      <c r="R2262" s="22">
        <v>41.5513097807456</v>
      </c>
      <c r="S2262" s="23" t="s">
        <v>3719</v>
      </c>
      <c r="T2262" s="333" t="s">
        <v>8207</v>
      </c>
    </row>
    <row r="2263" spans="1:21">
      <c r="A2263" s="23"/>
      <c r="B2263" s="814">
        <v>20241202</v>
      </c>
      <c r="C2263" s="23">
        <v>7.21</v>
      </c>
      <c r="D2263" s="20" t="s">
        <v>796</v>
      </c>
      <c r="E2263" s="20" t="s">
        <v>797</v>
      </c>
      <c r="F2263" s="21"/>
      <c r="G2263" s="21"/>
      <c r="H2263" s="21"/>
      <c r="I2263" s="21"/>
      <c r="J2263" s="21"/>
      <c r="K2263" s="21"/>
      <c r="L2263" s="21"/>
      <c r="M2263" s="37"/>
      <c r="N2263" s="37">
        <v>0.286760178043417</v>
      </c>
      <c r="O2263" s="37">
        <v>0.570495589045283</v>
      </c>
      <c r="P2263" s="37"/>
      <c r="Q2263" s="37">
        <v>0.2</v>
      </c>
      <c r="R2263" s="22"/>
      <c r="S2263" s="23">
        <f>SUM(J2263:Q2263)</f>
        <v>1.0572557670887</v>
      </c>
      <c r="T2263" s="333"/>
      <c r="U2263" s="182" t="s">
        <v>484</v>
      </c>
    </row>
    <row r="2266" ht="15.6" spans="1:21">
      <c r="A2266" s="684" t="s">
        <v>8208</v>
      </c>
      <c r="B2266" s="11"/>
      <c r="C2266" s="11"/>
      <c r="D2266" s="11"/>
      <c r="E2266" s="127"/>
      <c r="F2266" s="127"/>
      <c r="G2266" s="13"/>
      <c r="H2266" s="14"/>
      <c r="I2266" s="14"/>
      <c r="J2266" s="128"/>
      <c r="K2266" s="129"/>
      <c r="L2266" s="129"/>
      <c r="M2266" s="129"/>
      <c r="N2266" s="15"/>
      <c r="O2266" s="15"/>
      <c r="P2266" s="13"/>
      <c r="Q2266" s="130"/>
      <c r="R2266" s="130"/>
      <c r="S2266" s="12"/>
      <c r="T2266" s="131"/>
    </row>
    <row r="2267" ht="15.6" spans="1:21">
      <c r="A2267" s="132" t="s">
        <v>1490</v>
      </c>
      <c r="B2267" s="17" t="s">
        <v>1492</v>
      </c>
      <c r="C2267" s="754" t="s">
        <v>1404</v>
      </c>
      <c r="D2267" s="164" t="s">
        <v>1494</v>
      </c>
      <c r="E2267" s="18" t="s">
        <v>5</v>
      </c>
      <c r="F2267" s="18" t="s">
        <v>1933</v>
      </c>
      <c r="G2267" s="18" t="s">
        <v>4102</v>
      </c>
      <c r="H2267" s="18" t="s">
        <v>1910</v>
      </c>
      <c r="I2267" s="18" t="s">
        <v>1497</v>
      </c>
      <c r="J2267" s="18" t="s">
        <v>4102</v>
      </c>
      <c r="K2267" s="18" t="s">
        <v>4103</v>
      </c>
      <c r="L2267" s="18" t="s">
        <v>7683</v>
      </c>
      <c r="M2267" s="18" t="s">
        <v>1497</v>
      </c>
      <c r="N2267" s="18" t="s">
        <v>6</v>
      </c>
      <c r="O2267" s="18" t="s">
        <v>7</v>
      </c>
      <c r="P2267" s="18" t="s">
        <v>5672</v>
      </c>
      <c r="Q2267" s="18" t="s">
        <v>8</v>
      </c>
      <c r="R2267" s="18" t="s">
        <v>9</v>
      </c>
      <c r="S2267" s="18" t="s">
        <v>4105</v>
      </c>
      <c r="T2267" s="18" t="s">
        <v>4106</v>
      </c>
    </row>
    <row r="2268" ht="15" spans="1:21">
      <c r="A2268" s="23" t="s">
        <v>804</v>
      </c>
      <c r="B2268" s="814">
        <v>20250526</v>
      </c>
      <c r="C2268" s="23">
        <v>7.17</v>
      </c>
      <c r="D2268" s="20" t="s">
        <v>3934</v>
      </c>
      <c r="E2268" s="20" t="s">
        <v>8209</v>
      </c>
      <c r="F2268" s="21" t="s">
        <v>3932</v>
      </c>
      <c r="G2268" s="21" t="s">
        <v>3799</v>
      </c>
      <c r="H2268" s="21" t="s">
        <v>8210</v>
      </c>
      <c r="I2268" s="21" t="s">
        <v>7869</v>
      </c>
      <c r="J2268" s="21">
        <v>26</v>
      </c>
      <c r="K2268" s="699" t="s">
        <v>8211</v>
      </c>
      <c r="L2268" s="21">
        <v>9</v>
      </c>
      <c r="M2268" s="37">
        <f>13.4/7.17/1.13</f>
        <v>1.65389220078745</v>
      </c>
      <c r="N2268" s="709">
        <v>3.09796225669888</v>
      </c>
      <c r="O2268" s="709">
        <v>7.47718117790094</v>
      </c>
      <c r="P2268" s="37" t="s">
        <v>1428</v>
      </c>
      <c r="Q2268" s="709">
        <v>2.28335863541551</v>
      </c>
      <c r="R2268" s="22">
        <f>SUM(J2268:Q2268)</f>
        <v>49.5123942708028</v>
      </c>
      <c r="S2268" s="23" t="s">
        <v>8212</v>
      </c>
      <c r="T2268" s="333" t="s">
        <v>8213</v>
      </c>
    </row>
    <row r="2269" spans="1:21">
      <c r="A2269" s="23"/>
      <c r="B2269" s="814">
        <v>20241202</v>
      </c>
      <c r="C2269" s="23">
        <v>7.21</v>
      </c>
      <c r="D2269" s="20" t="s">
        <v>796</v>
      </c>
      <c r="E2269" s="20" t="s">
        <v>797</v>
      </c>
      <c r="F2269" s="21"/>
      <c r="G2269" s="21"/>
      <c r="H2269" s="21"/>
      <c r="I2269" s="21"/>
      <c r="J2269" s="21"/>
      <c r="K2269" s="21"/>
      <c r="L2269" s="21"/>
      <c r="M2269" s="37"/>
      <c r="N2269" s="37">
        <v>0.286760178043417</v>
      </c>
      <c r="O2269" s="37">
        <v>0.570495589045283</v>
      </c>
      <c r="P2269" s="37"/>
      <c r="Q2269" s="37">
        <v>0.2</v>
      </c>
      <c r="R2269" s="22">
        <f>SUM(J2269:Q2269)</f>
        <v>1.0572557670887</v>
      </c>
      <c r="S2269" s="23">
        <f>SUM(J2269:Q2269)</f>
        <v>1.0572557670887</v>
      </c>
      <c r="T2269" s="333"/>
      <c r="U2269" s="182" t="s">
        <v>484</v>
      </c>
    </row>
    <row r="2275" spans="1:20">
      <c r="Q2275" s="594" t="s">
        <v>8214</v>
      </c>
      <c r="R2275" s="595" t="s">
        <v>7862</v>
      </c>
    </row>
    <row r="2276" spans="1:20">
      <c r="Q2276" s="594" t="s">
        <v>7822</v>
      </c>
      <c r="R2276" s="590">
        <f>N2262+O2262+Q2262</f>
        <v>14.5513097807456</v>
      </c>
    </row>
    <row r="2277" spans="1:20">
      <c r="Q2277" s="594" t="s">
        <v>7823</v>
      </c>
      <c r="R2277" s="590">
        <f>N2268+O2268+Q2268</f>
        <v>12.8585020700153</v>
      </c>
    </row>
    <row r="2278" spans="1:20">
      <c r="Q2278" s="594" t="s">
        <v>7863</v>
      </c>
      <c r="R2278" s="634">
        <f>R2276-R2277</f>
        <v>1.69280771073029</v>
      </c>
    </row>
    <row r="2280" ht="15.6" spans="1:20">
      <c r="A2280" s="801" t="s">
        <v>8208</v>
      </c>
      <c r="B2280" s="718"/>
      <c r="C2280" s="718"/>
      <c r="D2280" s="718"/>
      <c r="E2280" s="127"/>
      <c r="F2280" s="127"/>
      <c r="G2280" s="13"/>
      <c r="H2280" s="14"/>
      <c r="I2280" s="14"/>
      <c r="J2280" s="128"/>
      <c r="K2280" s="685"/>
      <c r="L2280" s="685"/>
      <c r="M2280" s="129"/>
      <c r="N2280" s="686"/>
      <c r="O2280" s="15"/>
      <c r="P2280" s="13"/>
      <c r="Q2280" s="130"/>
      <c r="R2280" s="130"/>
      <c r="S2280" s="12"/>
      <c r="T2280" s="131"/>
    </row>
    <row r="2281" ht="15.6" spans="1:20">
      <c r="A2281" s="802" t="s">
        <v>1490</v>
      </c>
      <c r="B2281" s="719"/>
      <c r="C2281" s="720" t="s">
        <v>3</v>
      </c>
      <c r="D2281" s="165" t="s">
        <v>4</v>
      </c>
      <c r="E2281" s="18" t="s">
        <v>5</v>
      </c>
      <c r="F2281" s="18" t="s">
        <v>1933</v>
      </c>
      <c r="G2281" s="18" t="s">
        <v>4102</v>
      </c>
      <c r="H2281" s="141" t="s">
        <v>4541</v>
      </c>
      <c r="I2281" s="18" t="s">
        <v>1497</v>
      </c>
      <c r="J2281" s="18" t="s">
        <v>4102</v>
      </c>
      <c r="K2281" s="18" t="s">
        <v>4103</v>
      </c>
      <c r="L2281" s="18" t="s">
        <v>4104</v>
      </c>
      <c r="M2281" s="18" t="s">
        <v>1497</v>
      </c>
      <c r="N2281" s="18" t="s">
        <v>6</v>
      </c>
      <c r="O2281" s="18" t="s">
        <v>7</v>
      </c>
      <c r="P2281" s="18" t="s">
        <v>5672</v>
      </c>
      <c r="Q2281" s="18" t="s">
        <v>8</v>
      </c>
      <c r="R2281" s="18" t="s">
        <v>9</v>
      </c>
      <c r="S2281" s="18" t="s">
        <v>4105</v>
      </c>
      <c r="T2281" s="18" t="s">
        <v>4106</v>
      </c>
    </row>
    <row r="2282" ht="15" spans="1:20">
      <c r="A2282" s="20" t="s">
        <v>7659</v>
      </c>
      <c r="B2282" s="23">
        <v>20250307</v>
      </c>
      <c r="C2282" s="23">
        <v>7.17</v>
      </c>
      <c r="D2282" s="23" t="s">
        <v>2399</v>
      </c>
      <c r="E2282" s="20" t="s">
        <v>2325</v>
      </c>
      <c r="F2282" s="20" t="s">
        <v>4457</v>
      </c>
      <c r="G2282" s="21" t="s">
        <v>2400</v>
      </c>
      <c r="H2282" s="21" t="s">
        <v>1913</v>
      </c>
      <c r="I2282" s="21" t="s">
        <v>1428</v>
      </c>
      <c r="J2282" s="36">
        <v>150</v>
      </c>
      <c r="K2282" s="21" t="s">
        <v>1428</v>
      </c>
      <c r="L2282" s="21" t="s">
        <v>1428</v>
      </c>
      <c r="M2282" s="21" t="s">
        <v>1428</v>
      </c>
      <c r="N2282" s="22">
        <v>4.56671727083102</v>
      </c>
      <c r="O2282" s="22">
        <v>20.0308408288259</v>
      </c>
      <c r="P2282" s="21" t="s">
        <v>1428</v>
      </c>
      <c r="Q2282" s="37">
        <v>3.36122733612273</v>
      </c>
      <c r="R2282" s="37">
        <v>177.95878543578</v>
      </c>
      <c r="S2282" s="167" t="s">
        <v>1526</v>
      </c>
      <c r="T2282" s="167" t="s">
        <v>2401</v>
      </c>
    </row>
    <row r="2283" ht="15.6" spans="1:20">
      <c r="A2283" s="20" t="s">
        <v>350</v>
      </c>
      <c r="B2283" s="23">
        <v>20250307</v>
      </c>
      <c r="C2283" s="23">
        <v>7.17</v>
      </c>
      <c r="D2283" s="23" t="s">
        <v>2894</v>
      </c>
      <c r="E2283" s="817" t="s">
        <v>2314</v>
      </c>
      <c r="F2283" s="23" t="s">
        <v>2801</v>
      </c>
      <c r="G2283" s="21" t="s">
        <v>8215</v>
      </c>
      <c r="H2283" s="21" t="s">
        <v>1913</v>
      </c>
      <c r="I2283" s="21" t="s">
        <v>1428</v>
      </c>
      <c r="J2283" s="36">
        <v>105</v>
      </c>
      <c r="K2283" s="21" t="s">
        <v>1428</v>
      </c>
      <c r="L2283" s="21" t="s">
        <v>1428</v>
      </c>
      <c r="M2283" s="21" t="s">
        <v>1428</v>
      </c>
      <c r="N2283" s="22">
        <v>4.5136446106565</v>
      </c>
      <c r="O2283" s="37">
        <v>25.1221677755584</v>
      </c>
      <c r="P2283" s="21" t="s">
        <v>1428</v>
      </c>
      <c r="Q2283" s="37">
        <v>3.81</v>
      </c>
      <c r="R2283" s="37">
        <v>138.445812386215</v>
      </c>
      <c r="S2283" s="166" t="s">
        <v>1526</v>
      </c>
      <c r="T2283" s="167" t="s">
        <v>8216</v>
      </c>
    </row>
    <row r="2284" ht="15" spans="1:20">
      <c r="A2284" s="20"/>
      <c r="B2284" s="818">
        <v>20241009</v>
      </c>
      <c r="C2284" s="729">
        <v>7.11</v>
      </c>
      <c r="D2284" s="819" t="s">
        <v>357</v>
      </c>
      <c r="E2284" s="23" t="s">
        <v>358</v>
      </c>
      <c r="F2284" s="23"/>
      <c r="G2284" s="21"/>
      <c r="H2284" s="21"/>
      <c r="I2284" s="21" t="s">
        <v>1428</v>
      </c>
      <c r="J2284" s="21"/>
      <c r="K2284" s="21" t="s">
        <v>1428</v>
      </c>
      <c r="L2284" s="21" t="s">
        <v>1428</v>
      </c>
      <c r="M2284" s="21" t="s">
        <v>1428</v>
      </c>
      <c r="N2284" s="37">
        <v>0.913343454166204</v>
      </c>
      <c r="O2284" s="37">
        <v>5.00244700669752</v>
      </c>
      <c r="P2284" s="21" t="s">
        <v>1428</v>
      </c>
      <c r="Q2284" s="37">
        <v>0.4</v>
      </c>
      <c r="R2284" s="37">
        <v>6.31579046086373</v>
      </c>
      <c r="S2284" s="166"/>
      <c r="T2284" s="167" t="s">
        <v>8155</v>
      </c>
    </row>
    <row r="2285" ht="14.4" spans="1:20">
      <c r="A2285" s="333"/>
      <c r="D2285" s="333"/>
      <c r="E2285" s="819" t="s">
        <v>8217</v>
      </c>
      <c r="F2285" s="820"/>
      <c r="G2285" s="820"/>
      <c r="H2285" s="820"/>
      <c r="I2285" s="820"/>
      <c r="J2285" s="820"/>
      <c r="K2285" s="820"/>
      <c r="L2285" s="820"/>
      <c r="M2285" s="820"/>
      <c r="N2285" s="820"/>
      <c r="O2285" s="820"/>
      <c r="P2285" s="820"/>
      <c r="Q2285" s="820"/>
      <c r="R2285" s="820"/>
      <c r="S2285" s="35"/>
      <c r="T2285" s="821"/>
    </row>
    <row r="2289" s="182" customFormat="1" ht="15.6" spans="1:21">
      <c r="A2289" s="801" t="s">
        <v>8208</v>
      </c>
      <c r="B2289" s="718"/>
      <c r="C2289" s="718"/>
      <c r="D2289" s="718"/>
      <c r="E2289" s="127"/>
      <c r="F2289" s="127"/>
      <c r="G2289" s="13"/>
      <c r="H2289" s="14"/>
      <c r="I2289" s="14"/>
      <c r="J2289" s="128"/>
      <c r="K2289" s="685"/>
      <c r="L2289" s="685"/>
      <c r="M2289" s="129"/>
      <c r="N2289" s="686"/>
      <c r="O2289" s="15"/>
      <c r="P2289" s="130"/>
      <c r="Q2289" s="130"/>
      <c r="R2289" s="12"/>
      <c r="S2289" s="131"/>
    </row>
    <row r="2290" s="182" customFormat="1" ht="15.6" spans="1:21">
      <c r="A2290" s="802" t="s">
        <v>1490</v>
      </c>
      <c r="B2290" s="719"/>
      <c r="C2290" s="719"/>
      <c r="D2290" s="165" t="s">
        <v>4</v>
      </c>
      <c r="E2290" s="18" t="s">
        <v>5</v>
      </c>
      <c r="F2290" s="18" t="s">
        <v>1933</v>
      </c>
      <c r="G2290" s="18" t="s">
        <v>4102</v>
      </c>
      <c r="H2290" s="141" t="s">
        <v>4541</v>
      </c>
      <c r="I2290" s="18" t="s">
        <v>1497</v>
      </c>
      <c r="J2290" s="18" t="s">
        <v>4102</v>
      </c>
      <c r="K2290" s="18" t="s">
        <v>4103</v>
      </c>
      <c r="L2290" s="18" t="s">
        <v>4104</v>
      </c>
      <c r="M2290" s="18" t="s">
        <v>1497</v>
      </c>
      <c r="N2290" s="18" t="s">
        <v>6</v>
      </c>
      <c r="O2290" s="18" t="s">
        <v>7</v>
      </c>
      <c r="P2290" s="18" t="s">
        <v>8</v>
      </c>
      <c r="Q2290" s="18" t="s">
        <v>9</v>
      </c>
      <c r="R2290" s="18" t="s">
        <v>4105</v>
      </c>
      <c r="S2290" s="18" t="s">
        <v>4106</v>
      </c>
    </row>
    <row r="2291" ht="15" spans="1:21">
      <c r="B2291" s="23">
        <v>20250528</v>
      </c>
      <c r="C2291" s="23">
        <v>7.17</v>
      </c>
      <c r="D2291" s="23" t="s">
        <v>3742</v>
      </c>
      <c r="E2291" s="20" t="s">
        <v>1581</v>
      </c>
      <c r="F2291" s="729" t="s">
        <v>3743</v>
      </c>
      <c r="G2291" s="21" t="s">
        <v>3541</v>
      </c>
      <c r="H2291" s="21" t="s">
        <v>1913</v>
      </c>
      <c r="I2291" s="21" t="s">
        <v>1633</v>
      </c>
      <c r="J2291" s="700">
        <v>26</v>
      </c>
      <c r="K2291" s="21" t="s">
        <v>1428</v>
      </c>
      <c r="L2291" s="21" t="s">
        <v>1428</v>
      </c>
      <c r="M2291" s="704">
        <v>1.63790153033785</v>
      </c>
      <c r="N2291" s="709">
        <f>17/C2291/1.13</f>
        <v>2.0982214487602</v>
      </c>
      <c r="O2291" s="704">
        <v>8.85650678211165</v>
      </c>
      <c r="P2291" s="21" t="s">
        <v>1428</v>
      </c>
      <c r="Q2291" s="709">
        <f>R2291/C2291/1.13</f>
        <v>2.44010812011701</v>
      </c>
      <c r="R2291" s="154">
        <v>19.77</v>
      </c>
      <c r="S2291" s="22">
        <f>SUM(J2291:Q2291)</f>
        <v>41.0327378813267</v>
      </c>
      <c r="T2291" s="38" t="s">
        <v>2854</v>
      </c>
      <c r="U2291" s="20" t="s">
        <v>3744</v>
      </c>
    </row>
    <row r="2292" spans="1:21">
      <c r="B2292" s="23">
        <v>20250318</v>
      </c>
      <c r="C2292" s="23">
        <v>7.17</v>
      </c>
      <c r="D2292" s="23" t="s">
        <v>504</v>
      </c>
      <c r="E2292" s="695" t="s">
        <v>505</v>
      </c>
      <c r="F2292" s="20"/>
      <c r="G2292" s="20"/>
      <c r="H2292" s="20"/>
      <c r="I2292" s="20"/>
      <c r="J2292" s="772"/>
      <c r="K2292" s="772"/>
      <c r="L2292" s="772"/>
      <c r="M2292" s="772"/>
      <c r="N2292" s="22">
        <v>0.538132089211439</v>
      </c>
      <c r="O2292" s="22">
        <v>0.573113260147369</v>
      </c>
      <c r="P2292" s="21" t="s">
        <v>1428</v>
      </c>
      <c r="Q2292" s="37">
        <v>0.2</v>
      </c>
      <c r="R2292" s="154"/>
      <c r="S2292" s="37">
        <f>SUM(J2292:Q2292)</f>
        <v>1.31124534935881</v>
      </c>
      <c r="T2292" s="20"/>
      <c r="U2292" s="20"/>
    </row>
    <row r="2295" ht="15.6" spans="1:21">
      <c r="A2295" s="11" t="s">
        <v>8218</v>
      </c>
      <c r="B2295" s="11"/>
      <c r="C2295" s="11"/>
      <c r="D2295" s="11"/>
      <c r="E2295" s="127"/>
      <c r="F2295" s="127"/>
      <c r="G2295" s="13"/>
      <c r="H2295" s="14"/>
      <c r="I2295" s="14"/>
      <c r="J2295" s="128"/>
      <c r="K2295" s="129"/>
      <c r="L2295" s="129"/>
      <c r="M2295" s="129"/>
      <c r="N2295" s="15"/>
      <c r="O2295" s="15"/>
      <c r="P2295" s="13"/>
      <c r="Q2295" s="130"/>
      <c r="R2295" s="130"/>
      <c r="S2295" s="12"/>
      <c r="T2295" s="131"/>
    </row>
    <row r="2296" ht="15.6" spans="1:21">
      <c r="A2296" s="132" t="s">
        <v>1490</v>
      </c>
      <c r="B2296" s="17" t="s">
        <v>1492</v>
      </c>
      <c r="C2296" s="165" t="s">
        <v>1404</v>
      </c>
      <c r="D2296" s="17" t="s">
        <v>4100</v>
      </c>
      <c r="E2296" s="121" t="s">
        <v>5</v>
      </c>
      <c r="F2296" s="121" t="s">
        <v>1933</v>
      </c>
      <c r="G2296" s="18" t="s">
        <v>4102</v>
      </c>
      <c r="H2296" s="133" t="s">
        <v>1910</v>
      </c>
      <c r="I2296" s="133" t="s">
        <v>1497</v>
      </c>
      <c r="J2296" s="18" t="s">
        <v>4102</v>
      </c>
      <c r="K2296" s="18" t="s">
        <v>4103</v>
      </c>
      <c r="L2296" s="18" t="s">
        <v>4104</v>
      </c>
      <c r="M2296" s="18" t="s">
        <v>1497</v>
      </c>
      <c r="N2296" s="134" t="s">
        <v>6</v>
      </c>
      <c r="O2296" s="134" t="s">
        <v>7</v>
      </c>
      <c r="P2296" s="135" t="s">
        <v>5672</v>
      </c>
      <c r="Q2296" s="134" t="s">
        <v>8</v>
      </c>
      <c r="R2296" s="134" t="s">
        <v>9</v>
      </c>
      <c r="S2296" s="121" t="s">
        <v>4105</v>
      </c>
      <c r="T2296" s="136" t="s">
        <v>4106</v>
      </c>
    </row>
    <row r="2297" s="177" customFormat="1" ht="15" spans="1:21">
      <c r="A2297" s="23" t="s">
        <v>7839</v>
      </c>
      <c r="B2297" s="23">
        <v>20250529</v>
      </c>
      <c r="C2297" s="23">
        <v>7.17</v>
      </c>
      <c r="D2297" s="23" t="s">
        <v>4889</v>
      </c>
      <c r="E2297" s="23" t="s">
        <v>4890</v>
      </c>
      <c r="F2297" s="23" t="s">
        <v>5142</v>
      </c>
      <c r="G2297" s="21" t="s">
        <v>4882</v>
      </c>
      <c r="H2297" s="21" t="s">
        <v>1913</v>
      </c>
      <c r="I2297" s="21" t="s">
        <v>3939</v>
      </c>
      <c r="J2297" s="21">
        <v>65</v>
      </c>
      <c r="K2297" s="21"/>
      <c r="L2297" s="21"/>
      <c r="M2297" s="822">
        <v>3</v>
      </c>
      <c r="N2297" s="704">
        <v>5.35169894224954</v>
      </c>
      <c r="O2297" s="823">
        <v>18.1741634076665</v>
      </c>
      <c r="P2297" s="22"/>
      <c r="Q2297" s="37">
        <v>0.301222027972028</v>
      </c>
      <c r="R2297" s="22">
        <f>SUBTOTAL(9,J2297:Q2297)</f>
        <v>91.8270843778881</v>
      </c>
      <c r="S2297" s="824" t="s">
        <v>1526</v>
      </c>
      <c r="T2297" s="23" t="s">
        <v>8219</v>
      </c>
    </row>
    <row r="2298" s="177" customFormat="1" ht="15" spans="1:21">
      <c r="A2298" s="23"/>
      <c r="B2298" s="23">
        <v>20250227</v>
      </c>
      <c r="C2298" s="729">
        <v>7.24</v>
      </c>
      <c r="D2298" s="23" t="s">
        <v>1269</v>
      </c>
      <c r="E2298" s="23" t="s">
        <v>4895</v>
      </c>
      <c r="F2298" s="23"/>
      <c r="G2298" s="21"/>
      <c r="H2298" s="21"/>
      <c r="I2298" s="21"/>
      <c r="J2298" s="21"/>
      <c r="K2298" s="21"/>
      <c r="L2298" s="21"/>
      <c r="M2298" s="689"/>
      <c r="N2298" s="704">
        <v>0.90100097505585</v>
      </c>
      <c r="O2298" s="823">
        <v>7.27577663557695</v>
      </c>
      <c r="P2298" s="22" t="s">
        <v>1428</v>
      </c>
      <c r="Q2298" s="37">
        <v>0.301222027972028</v>
      </c>
      <c r="R2298" s="22">
        <f>SUBTOTAL(9,J2298:Q2298)</f>
        <v>8.47799963860483</v>
      </c>
      <c r="S2298" s="729"/>
      <c r="T2298" s="23" t="s">
        <v>4896</v>
      </c>
    </row>
    <row r="2299" s="177" customFormat="1" spans="1:21">
      <c r="A2299" s="23"/>
      <c r="B2299" s="23"/>
      <c r="C2299" s="23"/>
      <c r="D2299" s="23"/>
      <c r="E2299" s="23" t="s">
        <v>7842</v>
      </c>
      <c r="F2299" s="23"/>
      <c r="G2299" s="21"/>
      <c r="H2299" s="21"/>
      <c r="I2299" s="21"/>
      <c r="J2299" s="21"/>
      <c r="K2299" s="21"/>
      <c r="L2299" s="21"/>
      <c r="M2299" s="689"/>
      <c r="N2299" s="704">
        <v>0.0486239424292522</v>
      </c>
      <c r="O2299" s="709">
        <v>0.270026986288048</v>
      </c>
      <c r="P2299" s="22" t="s">
        <v>1428</v>
      </c>
      <c r="Q2299" s="22">
        <v>0.2</v>
      </c>
      <c r="R2299" s="22">
        <f>SUBTOTAL(9,J2299:Q2299)</f>
        <v>0.5186509287173</v>
      </c>
      <c r="S2299" s="729"/>
      <c r="T2299" s="23"/>
    </row>
    <row r="2304" ht="15.6" spans="1:21">
      <c r="A2304" s="11" t="s">
        <v>8218</v>
      </c>
      <c r="B2304" s="11"/>
      <c r="C2304" s="11"/>
      <c r="D2304" s="11"/>
      <c r="E2304" s="127"/>
      <c r="F2304" s="127"/>
      <c r="G2304" s="13"/>
      <c r="H2304" s="14"/>
      <c r="I2304" s="14"/>
      <c r="J2304" s="128"/>
      <c r="K2304" s="129"/>
      <c r="L2304" s="129"/>
      <c r="M2304" s="129"/>
      <c r="N2304" s="15"/>
      <c r="O2304" s="15"/>
      <c r="P2304" s="13"/>
      <c r="Q2304" s="130"/>
      <c r="R2304" s="130"/>
      <c r="S2304" s="12"/>
      <c r="T2304" s="131"/>
    </row>
    <row r="2305" ht="15.6" spans="1:21">
      <c r="A2305" s="132" t="s">
        <v>1490</v>
      </c>
      <c r="B2305" s="17" t="s">
        <v>1492</v>
      </c>
      <c r="C2305" s="754" t="s">
        <v>1404</v>
      </c>
      <c r="D2305" s="17" t="s">
        <v>4100</v>
      </c>
      <c r="E2305" s="18" t="s">
        <v>5</v>
      </c>
      <c r="F2305" s="121" t="s">
        <v>1933</v>
      </c>
      <c r="G2305" s="18" t="s">
        <v>4102</v>
      </c>
      <c r="H2305" s="18" t="s">
        <v>1910</v>
      </c>
      <c r="I2305" s="18" t="s">
        <v>1497</v>
      </c>
      <c r="J2305" s="18" t="s">
        <v>4102</v>
      </c>
      <c r="K2305" s="18" t="s">
        <v>4103</v>
      </c>
      <c r="L2305" s="18" t="s">
        <v>4104</v>
      </c>
      <c r="M2305" s="18" t="s">
        <v>1497</v>
      </c>
      <c r="N2305" s="18" t="s">
        <v>6</v>
      </c>
      <c r="O2305" s="18" t="s">
        <v>7</v>
      </c>
      <c r="P2305" s="18" t="s">
        <v>5672</v>
      </c>
      <c r="Q2305" s="18" t="s">
        <v>8</v>
      </c>
      <c r="R2305" s="18" t="s">
        <v>9</v>
      </c>
      <c r="S2305" s="18" t="s">
        <v>4105</v>
      </c>
      <c r="T2305" s="18" t="s">
        <v>4106</v>
      </c>
    </row>
    <row r="2306" spans="1:21">
      <c r="A2306" s="20" t="s">
        <v>8220</v>
      </c>
      <c r="B2306" s="23">
        <v>20250305</v>
      </c>
      <c r="C2306" s="23">
        <v>7.24</v>
      </c>
      <c r="D2306" s="708" t="s">
        <v>7855</v>
      </c>
      <c r="E2306" s="23" t="s">
        <v>1604</v>
      </c>
      <c r="F2306" s="750" t="s">
        <v>4239</v>
      </c>
      <c r="G2306" s="21" t="s">
        <v>4331</v>
      </c>
      <c r="H2306" s="21" t="s">
        <v>4174</v>
      </c>
      <c r="I2306" s="21" t="s">
        <v>1635</v>
      </c>
      <c r="J2306" s="700">
        <v>170</v>
      </c>
      <c r="K2306" s="700">
        <f>6.2*4</f>
        <v>24.8</v>
      </c>
      <c r="L2306" s="21"/>
      <c r="M2306" s="21">
        <v>3.1</v>
      </c>
      <c r="N2306" s="37">
        <v>3.22385554362449</v>
      </c>
      <c r="O2306" s="709">
        <v>14.4947125405469</v>
      </c>
      <c r="P2306" s="37"/>
      <c r="Q2306" s="37">
        <v>5</v>
      </c>
      <c r="R2306" s="22">
        <f>SUBTOTAL(9,J2306:Q2306)</f>
        <v>220.618568084171</v>
      </c>
      <c r="S2306" s="38" t="s">
        <v>4976</v>
      </c>
      <c r="T2306" s="35" t="s">
        <v>8221</v>
      </c>
    </row>
    <row r="2307" ht="15" spans="1:21">
      <c r="A2307" s="20" t="s">
        <v>8220</v>
      </c>
      <c r="B2307" s="23">
        <v>20250305</v>
      </c>
      <c r="C2307" s="23">
        <v>7.24</v>
      </c>
      <c r="D2307" s="708" t="s">
        <v>8123</v>
      </c>
      <c r="E2307" s="23" t="s">
        <v>1571</v>
      </c>
      <c r="F2307" s="750" t="s">
        <v>4239</v>
      </c>
      <c r="G2307" s="21" t="s">
        <v>8124</v>
      </c>
      <c r="H2307" s="21" t="s">
        <v>4474</v>
      </c>
      <c r="I2307" s="21" t="s">
        <v>1635</v>
      </c>
      <c r="J2307" s="21" t="s">
        <v>1428</v>
      </c>
      <c r="K2307" s="700">
        <v>26</v>
      </c>
      <c r="L2307" s="21"/>
      <c r="M2307" s="21">
        <v>3.1</v>
      </c>
      <c r="N2307" s="37">
        <v>3.22385554362449</v>
      </c>
      <c r="O2307" s="709">
        <v>14.753759505334</v>
      </c>
      <c r="P2307" s="37"/>
      <c r="Q2307" s="37">
        <v>5</v>
      </c>
      <c r="R2307" s="22">
        <f>SUBTOTAL(9,J2307:Q2307)</f>
        <v>52.0776150489585</v>
      </c>
      <c r="S2307" s="38" t="s">
        <v>3977</v>
      </c>
      <c r="T2307" s="35" t="s">
        <v>8184</v>
      </c>
    </row>
    <row r="2311" ht="15.6" spans="1:21">
      <c r="A2311" s="11" t="s">
        <v>8218</v>
      </c>
      <c r="B2311" s="11"/>
      <c r="C2311" s="11"/>
      <c r="D2311" s="11"/>
      <c r="E2311" s="127"/>
      <c r="F2311" s="127"/>
      <c r="G2311" s="13"/>
      <c r="H2311" s="14"/>
      <c r="I2311" s="14"/>
      <c r="J2311" s="128"/>
      <c r="K2311" s="129"/>
      <c r="L2311" s="129"/>
      <c r="M2311" s="129"/>
      <c r="N2311" s="15"/>
      <c r="O2311" s="15"/>
      <c r="P2311" s="13"/>
      <c r="Q2311" s="130"/>
      <c r="R2311" s="130"/>
      <c r="S2311" s="12"/>
      <c r="T2311" s="131"/>
    </row>
    <row r="2312" ht="15.6" spans="1:21">
      <c r="A2312" s="132" t="s">
        <v>1490</v>
      </c>
      <c r="B2312" s="17" t="s">
        <v>1492</v>
      </c>
      <c r="C2312" s="754" t="s">
        <v>1404</v>
      </c>
      <c r="D2312" s="17" t="s">
        <v>4100</v>
      </c>
      <c r="E2312" s="18" t="s">
        <v>5</v>
      </c>
      <c r="F2312" s="121" t="s">
        <v>1933</v>
      </c>
      <c r="G2312" s="18" t="s">
        <v>4102</v>
      </c>
      <c r="H2312" s="18" t="s">
        <v>1910</v>
      </c>
      <c r="I2312" s="18" t="s">
        <v>1497</v>
      </c>
      <c r="J2312" s="18" t="s">
        <v>4102</v>
      </c>
      <c r="K2312" s="18" t="s">
        <v>4103</v>
      </c>
      <c r="L2312" s="18" t="s">
        <v>4104</v>
      </c>
      <c r="M2312" s="18" t="s">
        <v>1497</v>
      </c>
      <c r="N2312" s="18" t="s">
        <v>6</v>
      </c>
      <c r="O2312" s="18" t="s">
        <v>7</v>
      </c>
      <c r="P2312" s="18" t="s">
        <v>5672</v>
      </c>
      <c r="Q2312" s="18" t="s">
        <v>8</v>
      </c>
      <c r="R2312" s="18" t="s">
        <v>9</v>
      </c>
      <c r="S2312" s="18" t="s">
        <v>4105</v>
      </c>
      <c r="T2312" s="18" t="s">
        <v>4106</v>
      </c>
    </row>
    <row r="2313" ht="15" spans="1:21">
      <c r="A2313" s="182" t="s">
        <v>804</v>
      </c>
      <c r="B2313" s="725">
        <v>20250529</v>
      </c>
      <c r="C2313" s="825">
        <v>7.17</v>
      </c>
      <c r="D2313" s="725" t="s">
        <v>3930</v>
      </c>
      <c r="E2313" s="826" t="s">
        <v>2488</v>
      </c>
      <c r="F2313" s="826" t="s">
        <v>1933</v>
      </c>
      <c r="G2313" s="827" t="s">
        <v>3853</v>
      </c>
      <c r="H2313" s="827" t="s">
        <v>3628</v>
      </c>
      <c r="I2313" s="827" t="s">
        <v>3696</v>
      </c>
      <c r="J2313" s="828">
        <v>27</v>
      </c>
      <c r="K2313" s="827" t="s">
        <v>1428</v>
      </c>
      <c r="L2313" s="827" t="s">
        <v>1428</v>
      </c>
      <c r="M2313" s="827">
        <v>3.3</v>
      </c>
      <c r="N2313" s="709">
        <v>3.09796225669888</v>
      </c>
      <c r="O2313" s="829">
        <v>10.2456496126112</v>
      </c>
      <c r="P2313" s="827" t="s">
        <v>1428</v>
      </c>
      <c r="Q2313" s="830">
        <f>R2313/C2313/1.13</f>
        <v>2.87456338480147</v>
      </c>
      <c r="R2313" s="831">
        <v>23.29</v>
      </c>
      <c r="S2313" s="829">
        <f>SUM(J2313:Q2313)</f>
        <v>46.5181752541115</v>
      </c>
      <c r="T2313" s="832" t="s">
        <v>3698</v>
      </c>
      <c r="U2313" s="826" t="s">
        <v>8222</v>
      </c>
    </row>
    <row r="2316" ht="15.6" spans="1:21">
      <c r="A2316" s="11" t="s">
        <v>8218</v>
      </c>
      <c r="B2316" s="11"/>
      <c r="C2316" s="11"/>
      <c r="D2316" s="11"/>
      <c r="E2316" s="127"/>
      <c r="F2316" s="127"/>
      <c r="G2316" s="13"/>
      <c r="H2316" s="14"/>
      <c r="I2316" s="14"/>
      <c r="J2316" s="128"/>
      <c r="K2316" s="129"/>
      <c r="L2316" s="129"/>
      <c r="M2316" s="129"/>
      <c r="N2316" s="15"/>
      <c r="O2316" s="15"/>
      <c r="P2316" s="13"/>
      <c r="Q2316" s="130"/>
      <c r="R2316" s="130"/>
      <c r="S2316" s="12"/>
      <c r="T2316" s="131"/>
    </row>
    <row r="2317" ht="12" customHeight="1" spans="1:21">
      <c r="A2317" s="132" t="s">
        <v>1490</v>
      </c>
      <c r="B2317" s="17" t="s">
        <v>1492</v>
      </c>
      <c r="C2317" s="165" t="s">
        <v>1404</v>
      </c>
      <c r="D2317" s="17" t="s">
        <v>4100</v>
      </c>
      <c r="E2317" s="18" t="s">
        <v>5</v>
      </c>
      <c r="F2317" s="121" t="s">
        <v>1933</v>
      </c>
      <c r="G2317" s="18" t="s">
        <v>4102</v>
      </c>
      <c r="H2317" s="18" t="s">
        <v>1910</v>
      </c>
      <c r="I2317" s="18" t="s">
        <v>1497</v>
      </c>
      <c r="J2317" s="18" t="s">
        <v>4102</v>
      </c>
      <c r="K2317" s="18" t="s">
        <v>4103</v>
      </c>
      <c r="L2317" s="18" t="s">
        <v>4104</v>
      </c>
      <c r="M2317" s="18" t="s">
        <v>1497</v>
      </c>
      <c r="N2317" s="18" t="s">
        <v>6</v>
      </c>
      <c r="O2317" s="18" t="s">
        <v>7</v>
      </c>
      <c r="P2317" s="18" t="s">
        <v>5672</v>
      </c>
      <c r="Q2317" s="18" t="s">
        <v>8</v>
      </c>
      <c r="R2317" s="18" t="s">
        <v>9</v>
      </c>
      <c r="S2317" s="18" t="s">
        <v>4105</v>
      </c>
      <c r="T2317" s="18" t="s">
        <v>4106</v>
      </c>
    </row>
    <row r="2318" s="177" customFormat="1" ht="15" spans="1:21">
      <c r="A2318" s="192" t="s">
        <v>804</v>
      </c>
      <c r="B2318" s="19">
        <v>20250529</v>
      </c>
      <c r="C2318" s="798">
        <v>7.17</v>
      </c>
      <c r="D2318" s="19" t="s">
        <v>3930</v>
      </c>
      <c r="E2318" s="20" t="s">
        <v>8223</v>
      </c>
      <c r="F2318" s="750" t="s">
        <v>8224</v>
      </c>
      <c r="G2318" s="21" t="s">
        <v>3855</v>
      </c>
      <c r="H2318" s="21" t="s">
        <v>1979</v>
      </c>
      <c r="I2318" s="21" t="s">
        <v>7869</v>
      </c>
      <c r="J2318" s="700" t="s">
        <v>1979</v>
      </c>
      <c r="K2318" s="699" t="s">
        <v>1979</v>
      </c>
      <c r="L2318" s="21" t="s">
        <v>1428</v>
      </c>
      <c r="M2318" s="37">
        <f>13.4/7.17/1.13</f>
        <v>1.65389220078745</v>
      </c>
      <c r="N2318" s="709">
        <v>3.09796225669888</v>
      </c>
      <c r="O2318" s="22">
        <v>8.32652819684387</v>
      </c>
      <c r="P2318" s="21" t="s">
        <v>1428</v>
      </c>
      <c r="Q2318" s="709">
        <v>2.87456338480147</v>
      </c>
      <c r="R2318" s="22">
        <f>SUM(J2318:Q2318)</f>
        <v>15.9529460391317</v>
      </c>
      <c r="S2318" s="38" t="s">
        <v>3698</v>
      </c>
      <c r="T2318" s="139" t="s">
        <v>8225</v>
      </c>
    </row>
    <row r="2322" spans="1:21">
      <c r="P2322" s="594" t="s">
        <v>8214</v>
      </c>
      <c r="Q2322" s="595" t="s">
        <v>7862</v>
      </c>
    </row>
    <row r="2323" spans="1:21">
      <c r="P2323" s="594" t="s">
        <v>7822</v>
      </c>
      <c r="Q2323" s="590">
        <f>N2313+O2313+Q2313</f>
        <v>16.2181752541116</v>
      </c>
    </row>
    <row r="2324" spans="1:21">
      <c r="P2324" s="594" t="s">
        <v>7823</v>
      </c>
      <c r="Q2324" s="590">
        <f>N2318+O2318+Q2318</f>
        <v>14.2990538383442</v>
      </c>
    </row>
    <row r="2325" spans="1:21">
      <c r="P2325" s="594" t="s">
        <v>7863</v>
      </c>
      <c r="Q2325" s="634">
        <f>Q2323-Q2324</f>
        <v>1.91912141576735</v>
      </c>
    </row>
    <row r="2328" s="188" customFormat="1" ht="12" customHeight="1" spans="1:21">
      <c r="A2328" s="684" t="s">
        <v>8208</v>
      </c>
      <c r="B2328" s="11"/>
      <c r="C2328" s="11"/>
      <c r="D2328" s="11"/>
      <c r="E2328" s="11"/>
      <c r="F2328" s="127"/>
      <c r="G2328" s="127"/>
      <c r="H2328" s="13"/>
      <c r="I2328" s="14"/>
      <c r="J2328" s="14"/>
      <c r="K2328" s="128"/>
      <c r="L2328" s="129"/>
      <c r="M2328" s="685"/>
      <c r="N2328" s="129"/>
      <c r="O2328" s="15"/>
      <c r="P2328" s="15"/>
      <c r="Q2328" s="13"/>
      <c r="R2328" s="130"/>
      <c r="S2328" s="130"/>
      <c r="T2328" s="12"/>
      <c r="U2328" s="131"/>
    </row>
    <row r="2329" s="189" customFormat="1" ht="12" customHeight="1" spans="1:21">
      <c r="A2329" s="752" t="s">
        <v>1</v>
      </c>
      <c r="B2329" s="753" t="s">
        <v>2</v>
      </c>
      <c r="C2329" s="754" t="s">
        <v>1404</v>
      </c>
      <c r="D2329" s="753" t="s">
        <v>4</v>
      </c>
      <c r="E2329" s="18" t="s">
        <v>5</v>
      </c>
      <c r="F2329" s="18" t="s">
        <v>1933</v>
      </c>
      <c r="G2329" s="18" t="s">
        <v>4102</v>
      </c>
      <c r="H2329" s="141" t="s">
        <v>4541</v>
      </c>
      <c r="I2329" s="18" t="s">
        <v>1497</v>
      </c>
      <c r="J2329" s="18" t="s">
        <v>4102</v>
      </c>
      <c r="K2329" s="18" t="s">
        <v>4103</v>
      </c>
      <c r="L2329" s="18" t="s">
        <v>4104</v>
      </c>
      <c r="M2329" s="18" t="s">
        <v>1497</v>
      </c>
      <c r="N2329" s="18" t="s">
        <v>6</v>
      </c>
      <c r="O2329" s="18" t="s">
        <v>7</v>
      </c>
      <c r="P2329" s="141" t="s">
        <v>5211</v>
      </c>
      <c r="Q2329" s="18" t="s">
        <v>8</v>
      </c>
      <c r="R2329" s="18" t="s">
        <v>9</v>
      </c>
      <c r="S2329" s="18" t="s">
        <v>4105</v>
      </c>
      <c r="T2329" s="141" t="s">
        <v>10</v>
      </c>
    </row>
    <row r="2330" ht="15" spans="1:21">
      <c r="A2330" s="333" t="s">
        <v>7403</v>
      </c>
      <c r="B2330" s="23">
        <v>20250528</v>
      </c>
      <c r="C2330" s="153">
        <v>7.17</v>
      </c>
      <c r="D2330" s="23" t="s">
        <v>3742</v>
      </c>
      <c r="E2330" s="20" t="s">
        <v>1581</v>
      </c>
      <c r="F2330" s="729" t="s">
        <v>3743</v>
      </c>
      <c r="G2330" s="21" t="s">
        <v>3541</v>
      </c>
      <c r="H2330" s="21" t="s">
        <v>1913</v>
      </c>
      <c r="I2330" s="21" t="s">
        <v>1633</v>
      </c>
      <c r="J2330" s="700">
        <v>27</v>
      </c>
      <c r="K2330" s="21" t="s">
        <v>1428</v>
      </c>
      <c r="L2330" s="21" t="s">
        <v>1428</v>
      </c>
      <c r="M2330" s="704">
        <v>1.65</v>
      </c>
      <c r="N2330" s="709">
        <f>17/C2330/1.13</f>
        <v>2.0982214487602</v>
      </c>
      <c r="O2330" s="704">
        <v>8.54787604788571</v>
      </c>
      <c r="P2330" s="21" t="s">
        <v>1428</v>
      </c>
      <c r="Q2330" s="709">
        <v>2.44010812011701</v>
      </c>
      <c r="R2330" s="22">
        <f>SUM(J2330:Q2330)</f>
        <v>41.7362056167629</v>
      </c>
      <c r="S2330" s="38" t="s">
        <v>2854</v>
      </c>
      <c r="T2330" s="759" t="s">
        <v>8226</v>
      </c>
    </row>
    <row r="2331" spans="1:21">
      <c r="A2331" s="333"/>
      <c r="B2331" s="23">
        <v>20250528</v>
      </c>
      <c r="C2331" s="153">
        <v>7.17</v>
      </c>
      <c r="D2331" s="23" t="s">
        <v>504</v>
      </c>
      <c r="E2331" s="695" t="s">
        <v>505</v>
      </c>
      <c r="F2331" s="20"/>
      <c r="G2331" s="20"/>
      <c r="H2331" s="20"/>
      <c r="I2331" s="20"/>
      <c r="J2331" s="772"/>
      <c r="K2331" s="772"/>
      <c r="L2331" s="772"/>
      <c r="M2331" s="772"/>
      <c r="N2331" s="22">
        <v>0.536598444750771</v>
      </c>
      <c r="O2331" s="22">
        <v>0.536497824642994</v>
      </c>
      <c r="P2331" s="21" t="s">
        <v>1428</v>
      </c>
      <c r="Q2331" s="37">
        <v>0.2</v>
      </c>
      <c r="R2331" s="37">
        <f>SUM(J2331:Q2331)</f>
        <v>1.27309626939377</v>
      </c>
      <c r="S2331" s="20"/>
      <c r="T2331" s="20"/>
    </row>
    <row r="2334" spans="1:21">
      <c r="L2334" s="182" t="s">
        <v>8227</v>
      </c>
      <c r="M2334" s="704">
        <f>M2330*7.17*1.13</f>
        <v>13.368465</v>
      </c>
      <c r="N2334" s="709">
        <f>N2330*7.17*1.13</f>
        <v>17</v>
      </c>
      <c r="O2334" s="704">
        <f>O2330*7.17*1.13</f>
        <v>69.2557465275748</v>
      </c>
      <c r="P2334" s="21"/>
      <c r="Q2334" s="709">
        <f>Q2330*7.17*1.13</f>
        <v>19.77</v>
      </c>
      <c r="R2334" s="22">
        <f>R2330*7.17*1.13</f>
        <v>338.150911527575</v>
      </c>
    </row>
    <row r="2335" spans="1:21">
      <c r="L2335" s="182" t="s">
        <v>8227</v>
      </c>
      <c r="M2335" s="704">
        <f>M2331*7.17*1.13</f>
        <v>0</v>
      </c>
      <c r="N2335" s="709">
        <f>N2331*7.17*1.13</f>
        <v>4.34757425921522</v>
      </c>
      <c r="O2335" s="704">
        <f>O2331*7.17*1.13</f>
        <v>4.34675902504</v>
      </c>
      <c r="P2335" s="21"/>
      <c r="Q2335" s="709">
        <f>Q2331*7.17*1.13</f>
        <v>1.62042</v>
      </c>
      <c r="R2335" s="22">
        <f>R2331*7.17*1.13</f>
        <v>10.3147532842552</v>
      </c>
    </row>
    <row r="2337" ht="15.6" spans="1:20">
      <c r="A2337" s="684" t="s">
        <v>8208</v>
      </c>
      <c r="B2337" s="11"/>
      <c r="C2337" s="11"/>
      <c r="D2337" s="11"/>
      <c r="E2337" s="127"/>
      <c r="F2337" s="127"/>
      <c r="G2337" s="13"/>
      <c r="H2337" s="14"/>
      <c r="I2337" s="14"/>
      <c r="J2337" s="128"/>
      <c r="K2337" s="129"/>
      <c r="L2337" s="129"/>
      <c r="M2337" s="129"/>
      <c r="N2337" s="15"/>
      <c r="O2337" s="15"/>
      <c r="P2337" s="13"/>
      <c r="Q2337" s="130"/>
      <c r="R2337" s="130"/>
      <c r="S2337" s="12"/>
      <c r="T2337" s="131"/>
    </row>
    <row r="2338" ht="15.6" spans="1:20">
      <c r="A2338" s="132" t="s">
        <v>1490</v>
      </c>
      <c r="B2338" s="17" t="s">
        <v>1492</v>
      </c>
      <c r="C2338" s="754" t="s">
        <v>1404</v>
      </c>
      <c r="D2338" s="164" t="s">
        <v>1494</v>
      </c>
      <c r="E2338" s="18" t="s">
        <v>5</v>
      </c>
      <c r="F2338" s="18" t="s">
        <v>1933</v>
      </c>
      <c r="G2338" s="18" t="s">
        <v>4102</v>
      </c>
      <c r="H2338" s="18" t="s">
        <v>1910</v>
      </c>
      <c r="I2338" s="18" t="s">
        <v>1497</v>
      </c>
      <c r="J2338" s="18" t="s">
        <v>4102</v>
      </c>
      <c r="K2338" s="18" t="s">
        <v>4103</v>
      </c>
      <c r="L2338" s="18" t="s">
        <v>7683</v>
      </c>
      <c r="M2338" s="18" t="s">
        <v>1497</v>
      </c>
      <c r="N2338" s="18" t="s">
        <v>6</v>
      </c>
      <c r="O2338" s="18" t="s">
        <v>7</v>
      </c>
      <c r="P2338" s="18" t="s">
        <v>5672</v>
      </c>
      <c r="Q2338" s="18" t="s">
        <v>8</v>
      </c>
      <c r="R2338" s="18" t="s">
        <v>9</v>
      </c>
      <c r="S2338" s="18" t="s">
        <v>4105</v>
      </c>
      <c r="T2338" s="18" t="s">
        <v>4106</v>
      </c>
    </row>
    <row r="2339" ht="15" spans="1:20">
      <c r="A2339" s="23" t="s">
        <v>804</v>
      </c>
      <c r="B2339" s="814">
        <v>20250526</v>
      </c>
      <c r="C2339" s="23">
        <v>7.17</v>
      </c>
      <c r="D2339" s="20" t="s">
        <v>3934</v>
      </c>
      <c r="E2339" s="20" t="s">
        <v>8228</v>
      </c>
      <c r="F2339" s="21" t="s">
        <v>3932</v>
      </c>
      <c r="G2339" s="21" t="s">
        <v>1979</v>
      </c>
      <c r="H2339" s="21" t="s">
        <v>8210</v>
      </c>
      <c r="I2339" s="21" t="s">
        <v>7869</v>
      </c>
      <c r="J2339" s="21" t="s">
        <v>1979</v>
      </c>
      <c r="K2339" s="699" t="s">
        <v>8211</v>
      </c>
      <c r="L2339" s="21" t="s">
        <v>1979</v>
      </c>
      <c r="M2339" s="37">
        <f>13.4/7.17/1.13</f>
        <v>1.65389220078745</v>
      </c>
      <c r="N2339" s="709">
        <v>3.09796225669888</v>
      </c>
      <c r="O2339" s="709">
        <v>7.47718117790094</v>
      </c>
      <c r="P2339" s="37" t="s">
        <v>1428</v>
      </c>
      <c r="Q2339" s="709">
        <v>2.87055981462765</v>
      </c>
      <c r="R2339" s="22">
        <f>SUM(J2339:Q2339)</f>
        <v>15.0995954500149</v>
      </c>
      <c r="S2339" s="23" t="s">
        <v>8212</v>
      </c>
      <c r="T2339" s="333" t="s">
        <v>8229</v>
      </c>
    </row>
    <row r="2340" spans="1:20">
      <c r="A2340" s="23"/>
      <c r="B2340" s="814">
        <v>20241202</v>
      </c>
      <c r="C2340" s="23">
        <v>7.21</v>
      </c>
      <c r="D2340" s="20" t="s">
        <v>796</v>
      </c>
      <c r="E2340" s="20" t="s">
        <v>797</v>
      </c>
      <c r="F2340" s="21"/>
      <c r="G2340" s="21"/>
      <c r="H2340" s="21"/>
      <c r="I2340" s="21"/>
      <c r="J2340" s="21"/>
      <c r="K2340" s="21"/>
      <c r="L2340" s="21"/>
      <c r="M2340" s="37"/>
      <c r="N2340" s="37">
        <v>0.286760178043417</v>
      </c>
      <c r="O2340" s="37">
        <v>0.570495589045283</v>
      </c>
      <c r="P2340" s="37"/>
      <c r="Q2340" s="37">
        <v>0.2</v>
      </c>
      <c r="R2340" s="22">
        <f>SUM(J2340:Q2340)</f>
        <v>1.0572557670887</v>
      </c>
      <c r="S2340" s="23">
        <f>SUM(J2340:Q2340)</f>
        <v>1.0572557670887</v>
      </c>
      <c r="T2340" s="333"/>
    </row>
    <row r="2342" ht="15.6" spans="1:20">
      <c r="A2342" s="684" t="s">
        <v>8208</v>
      </c>
      <c r="B2342" s="11"/>
      <c r="C2342" s="11"/>
      <c r="D2342" s="11"/>
      <c r="E2342" s="127"/>
      <c r="F2342" s="127"/>
      <c r="G2342" s="13"/>
      <c r="H2342" s="14"/>
      <c r="I2342" s="14"/>
      <c r="J2342" s="128"/>
      <c r="K2342" s="129"/>
      <c r="L2342" s="129"/>
      <c r="M2342" s="129"/>
      <c r="N2342" s="15"/>
      <c r="O2342" s="15"/>
      <c r="P2342" s="13"/>
      <c r="Q2342" s="130"/>
      <c r="R2342" s="130"/>
      <c r="S2342" s="12"/>
      <c r="T2342" s="131"/>
    </row>
    <row r="2343" ht="15.6" spans="1:20">
      <c r="A2343" s="132" t="s">
        <v>1490</v>
      </c>
      <c r="B2343" s="17" t="s">
        <v>1492</v>
      </c>
      <c r="C2343" s="754" t="s">
        <v>1404</v>
      </c>
      <c r="D2343" s="164" t="s">
        <v>1494</v>
      </c>
      <c r="E2343" s="18" t="s">
        <v>5</v>
      </c>
      <c r="F2343" s="18" t="s">
        <v>1933</v>
      </c>
      <c r="G2343" s="18" t="s">
        <v>4102</v>
      </c>
      <c r="H2343" s="18" t="s">
        <v>1910</v>
      </c>
      <c r="I2343" s="18" t="s">
        <v>1497</v>
      </c>
      <c r="J2343" s="18" t="s">
        <v>4102</v>
      </c>
      <c r="K2343" s="18" t="s">
        <v>4103</v>
      </c>
      <c r="L2343" s="18" t="s">
        <v>7683</v>
      </c>
      <c r="M2343" s="18" t="s">
        <v>1497</v>
      </c>
      <c r="N2343" s="18" t="s">
        <v>6</v>
      </c>
      <c r="O2343" s="18" t="s">
        <v>7</v>
      </c>
      <c r="P2343" s="18" t="s">
        <v>5672</v>
      </c>
      <c r="Q2343" s="18" t="s">
        <v>8</v>
      </c>
      <c r="R2343" s="18" t="s">
        <v>9</v>
      </c>
      <c r="S2343" s="18" t="s">
        <v>4105</v>
      </c>
      <c r="T2343" s="18" t="s">
        <v>4106</v>
      </c>
    </row>
    <row r="2344" ht="15" spans="1:20">
      <c r="A2344" s="23" t="s">
        <v>804</v>
      </c>
      <c r="B2344" s="814">
        <v>20250526</v>
      </c>
      <c r="C2344" s="23">
        <v>7.17</v>
      </c>
      <c r="D2344" s="20" t="s">
        <v>3934</v>
      </c>
      <c r="E2344" s="20" t="s">
        <v>8228</v>
      </c>
      <c r="F2344" s="21" t="s">
        <v>3932</v>
      </c>
      <c r="G2344" s="21" t="s">
        <v>1979</v>
      </c>
      <c r="H2344" s="21" t="s">
        <v>8210</v>
      </c>
      <c r="I2344" s="21" t="s">
        <v>7869</v>
      </c>
      <c r="J2344" s="21" t="s">
        <v>1979</v>
      </c>
      <c r="K2344" s="699" t="s">
        <v>8211</v>
      </c>
      <c r="L2344" s="21" t="s">
        <v>1979</v>
      </c>
      <c r="M2344" s="37">
        <f>13.4/7.17/1.13</f>
        <v>1.65389220078745</v>
      </c>
      <c r="N2344" s="709">
        <v>3.09796225669888</v>
      </c>
      <c r="O2344" s="709">
        <v>7.47718117790094</v>
      </c>
      <c r="P2344" s="37" t="s">
        <v>1428</v>
      </c>
      <c r="Q2344" s="709">
        <f>18.5/7.17/1.13</f>
        <v>2.28335863541551</v>
      </c>
      <c r="R2344" s="22">
        <f>SUM(J2344:Q2344)</f>
        <v>14.5123942708028</v>
      </c>
      <c r="S2344" s="23" t="s">
        <v>8212</v>
      </c>
      <c r="T2344" s="333" t="s">
        <v>8229</v>
      </c>
    </row>
    <row r="2345" spans="1:20">
      <c r="A2345" s="23"/>
      <c r="B2345" s="814">
        <v>20241202</v>
      </c>
      <c r="C2345" s="23">
        <v>7.21</v>
      </c>
      <c r="D2345" s="20" t="s">
        <v>796</v>
      </c>
      <c r="E2345" s="20" t="s">
        <v>797</v>
      </c>
      <c r="F2345" s="21"/>
      <c r="G2345" s="21"/>
      <c r="H2345" s="21"/>
      <c r="I2345" s="21"/>
      <c r="J2345" s="21"/>
      <c r="K2345" s="21"/>
      <c r="L2345" s="21"/>
      <c r="M2345" s="37"/>
      <c r="N2345" s="37">
        <v>0.286760178043417</v>
      </c>
      <c r="O2345" s="37">
        <v>0.570495589045283</v>
      </c>
      <c r="P2345" s="37"/>
      <c r="Q2345" s="37">
        <v>0.2</v>
      </c>
      <c r="R2345" s="22">
        <f>SUM(J2345:Q2345)</f>
        <v>1.0572557670887</v>
      </c>
      <c r="S2345" s="23"/>
      <c r="T2345" s="333"/>
    </row>
    <row r="2351" ht="15.6" spans="1:20">
      <c r="A2351" s="684" t="s">
        <v>8208</v>
      </c>
      <c r="B2351" s="11"/>
      <c r="C2351" s="11"/>
      <c r="D2351" s="11"/>
      <c r="E2351" s="127"/>
      <c r="F2351" s="127"/>
      <c r="G2351" s="13"/>
      <c r="H2351" s="14"/>
      <c r="I2351" s="14"/>
      <c r="J2351" s="128"/>
      <c r="K2351" s="129"/>
      <c r="L2351" s="129"/>
      <c r="M2351" s="129"/>
      <c r="N2351" s="15"/>
      <c r="O2351" s="15"/>
      <c r="P2351" s="13"/>
      <c r="Q2351" s="130"/>
      <c r="R2351" s="130"/>
      <c r="S2351" s="12"/>
      <c r="T2351" s="131"/>
    </row>
    <row r="2352" ht="15.6" spans="1:20">
      <c r="A2352" s="132" t="s">
        <v>1490</v>
      </c>
      <c r="B2352" s="17" t="s">
        <v>1492</v>
      </c>
      <c r="C2352" s="754" t="s">
        <v>1404</v>
      </c>
      <c r="D2352" s="164" t="s">
        <v>1494</v>
      </c>
      <c r="E2352" s="18" t="s">
        <v>5</v>
      </c>
      <c r="F2352" s="18" t="s">
        <v>1933</v>
      </c>
      <c r="G2352" s="18" t="s">
        <v>4102</v>
      </c>
      <c r="H2352" s="18" t="s">
        <v>1910</v>
      </c>
      <c r="I2352" s="18" t="s">
        <v>1497</v>
      </c>
      <c r="J2352" s="18" t="s">
        <v>4102</v>
      </c>
      <c r="K2352" s="18" t="s">
        <v>4103</v>
      </c>
      <c r="L2352" s="18" t="s">
        <v>7683</v>
      </c>
      <c r="M2352" s="18" t="s">
        <v>1497</v>
      </c>
      <c r="N2352" s="18" t="s">
        <v>6</v>
      </c>
      <c r="O2352" s="18" t="s">
        <v>7</v>
      </c>
      <c r="P2352" s="18" t="s">
        <v>5672</v>
      </c>
      <c r="Q2352" s="18" t="s">
        <v>8</v>
      </c>
      <c r="R2352" s="18" t="s">
        <v>9</v>
      </c>
      <c r="S2352" s="18" t="s">
        <v>4105</v>
      </c>
      <c r="T2352" s="18" t="s">
        <v>4106</v>
      </c>
    </row>
    <row r="2353" ht="15" spans="1:20">
      <c r="A2353" s="333" t="s">
        <v>7407</v>
      </c>
      <c r="B2353" s="23">
        <v>20241107</v>
      </c>
      <c r="C2353" s="23">
        <v>7.17</v>
      </c>
      <c r="D2353" s="687" t="s">
        <v>8018</v>
      </c>
      <c r="E2353" s="20" t="s">
        <v>8019</v>
      </c>
      <c r="F2353" s="20" t="s">
        <v>4284</v>
      </c>
      <c r="G2353" s="689" t="s">
        <v>2641</v>
      </c>
      <c r="H2353" s="690" t="s">
        <v>1913</v>
      </c>
      <c r="I2353" s="690" t="s">
        <v>1428</v>
      </c>
      <c r="J2353" s="833">
        <v>105</v>
      </c>
      <c r="K2353" s="21" t="s">
        <v>1428</v>
      </c>
      <c r="L2353" s="21" t="s">
        <v>1428</v>
      </c>
      <c r="M2353" s="21" t="s">
        <v>1428</v>
      </c>
      <c r="N2353" s="709">
        <v>3.85264748791615</v>
      </c>
      <c r="O2353" s="22">
        <v>11.7445446647317</v>
      </c>
      <c r="P2353" s="21"/>
      <c r="Q2353" s="709">
        <v>2.92887029288703</v>
      </c>
      <c r="R2353" s="37">
        <f>SUM(J2353:Q2353)+1</f>
        <v>124.526062445535</v>
      </c>
      <c r="S2353" s="693" t="s">
        <v>1526</v>
      </c>
      <c r="T2353" s="167" t="s">
        <v>8020</v>
      </c>
    </row>
    <row r="2354" ht="15" spans="1:20">
      <c r="A2354" s="333"/>
      <c r="B2354" s="23">
        <v>20250423</v>
      </c>
      <c r="C2354" s="23">
        <v>7.17</v>
      </c>
      <c r="D2354" s="23" t="s">
        <v>789</v>
      </c>
      <c r="E2354" s="20" t="s">
        <v>3621</v>
      </c>
      <c r="F2354" s="729"/>
      <c r="G2354" s="21"/>
      <c r="H2354" s="21"/>
      <c r="I2354" s="21"/>
      <c r="J2354" s="21"/>
      <c r="K2354" s="21"/>
      <c r="L2354" s="21"/>
      <c r="M2354" s="21"/>
      <c r="N2354" s="37">
        <v>0.433345238736107</v>
      </c>
      <c r="O2354" s="22">
        <v>1.04324591624309</v>
      </c>
      <c r="P2354" s="21"/>
      <c r="Q2354" s="37">
        <v>0.2</v>
      </c>
      <c r="R2354" s="22">
        <f>SUM(J2354:Q2354)</f>
        <v>1.6765911549792</v>
      </c>
      <c r="S2354" s="38"/>
      <c r="T2354" s="23"/>
    </row>
    <row r="2359" ht="15.6" spans="1:20">
      <c r="A2359" s="684" t="s">
        <v>8208</v>
      </c>
      <c r="B2359" s="11"/>
      <c r="C2359" s="11"/>
      <c r="D2359" s="11"/>
      <c r="E2359" s="127"/>
      <c r="F2359" s="127"/>
      <c r="G2359" s="13"/>
      <c r="H2359" s="14"/>
      <c r="I2359" s="14"/>
      <c r="J2359" s="128"/>
      <c r="K2359" s="129"/>
      <c r="L2359" s="129"/>
      <c r="M2359" s="129"/>
      <c r="N2359" s="15"/>
      <c r="O2359" s="15"/>
      <c r="P2359" s="13"/>
      <c r="Q2359" s="130"/>
      <c r="R2359" s="130"/>
      <c r="S2359" s="12"/>
      <c r="T2359" s="131"/>
    </row>
    <row r="2360" ht="15.6" spans="1:20">
      <c r="A2360" s="132" t="s">
        <v>1490</v>
      </c>
      <c r="B2360" s="17" t="s">
        <v>1492</v>
      </c>
      <c r="C2360" s="754" t="s">
        <v>1404</v>
      </c>
      <c r="D2360" s="164" t="s">
        <v>1494</v>
      </c>
      <c r="E2360" s="18" t="s">
        <v>5</v>
      </c>
      <c r="F2360" s="18" t="s">
        <v>1933</v>
      </c>
      <c r="G2360" s="18" t="s">
        <v>4102</v>
      </c>
      <c r="H2360" s="18" t="s">
        <v>1910</v>
      </c>
      <c r="I2360" s="18" t="s">
        <v>1497</v>
      </c>
      <c r="J2360" s="18" t="s">
        <v>4102</v>
      </c>
      <c r="K2360" s="18" t="s">
        <v>4103</v>
      </c>
      <c r="L2360" s="18" t="s">
        <v>7683</v>
      </c>
      <c r="M2360" s="18" t="s">
        <v>1497</v>
      </c>
      <c r="N2360" s="18" t="s">
        <v>6</v>
      </c>
      <c r="O2360" s="18" t="s">
        <v>7</v>
      </c>
      <c r="P2360" s="18" t="s">
        <v>5672</v>
      </c>
      <c r="Q2360" s="18" t="s">
        <v>8</v>
      </c>
      <c r="R2360" s="18" t="s">
        <v>9</v>
      </c>
      <c r="S2360" s="18" t="s">
        <v>4105</v>
      </c>
      <c r="T2360" s="18" t="s">
        <v>4106</v>
      </c>
    </row>
    <row r="2361" ht="15" spans="1:20">
      <c r="A2361" s="333" t="s">
        <v>7407</v>
      </c>
      <c r="B2361" s="23">
        <v>20241107</v>
      </c>
      <c r="C2361" s="23">
        <v>7.17</v>
      </c>
      <c r="D2361" s="687" t="s">
        <v>8018</v>
      </c>
      <c r="E2361" s="20" t="s">
        <v>8019</v>
      </c>
      <c r="F2361" s="20" t="s">
        <v>4284</v>
      </c>
      <c r="G2361" s="689" t="s">
        <v>2641</v>
      </c>
      <c r="H2361" s="690" t="s">
        <v>1913</v>
      </c>
      <c r="I2361" s="690" t="s">
        <v>1428</v>
      </c>
      <c r="J2361" s="834" t="s">
        <v>1979</v>
      </c>
      <c r="K2361" s="21" t="s">
        <v>1428</v>
      </c>
      <c r="L2361" s="21" t="s">
        <v>1428</v>
      </c>
      <c r="M2361" s="21" t="s">
        <v>1428</v>
      </c>
      <c r="N2361" s="709">
        <v>3.49909282778539</v>
      </c>
      <c r="O2361" s="22">
        <v>11.0685503298145</v>
      </c>
      <c r="P2361" s="21"/>
      <c r="Q2361" s="709">
        <v>2.92887029288703</v>
      </c>
      <c r="R2361" s="37">
        <f>SUM(J2361:Q2361)+1</f>
        <v>18.4965134504869</v>
      </c>
      <c r="S2361" s="693" t="s">
        <v>1526</v>
      </c>
      <c r="T2361" s="167" t="s">
        <v>8020</v>
      </c>
    </row>
    <row r="2362" ht="15" spans="1:20">
      <c r="A2362" s="333"/>
      <c r="B2362" s="23">
        <v>20250423</v>
      </c>
      <c r="C2362" s="23">
        <v>7.17</v>
      </c>
      <c r="D2362" s="23" t="s">
        <v>789</v>
      </c>
      <c r="E2362" s="20" t="s">
        <v>3621</v>
      </c>
      <c r="F2362" s="729"/>
      <c r="G2362" s="21"/>
      <c r="H2362" s="21"/>
      <c r="I2362" s="21"/>
      <c r="J2362" s="21"/>
      <c r="K2362" s="21"/>
      <c r="L2362" s="21"/>
      <c r="M2362" s="21"/>
      <c r="N2362" s="37">
        <v>0.397427827353402</v>
      </c>
      <c r="O2362" s="22">
        <v>1.02750002158008</v>
      </c>
      <c r="P2362" s="21"/>
      <c r="Q2362" s="37">
        <v>0.2</v>
      </c>
      <c r="R2362" s="22">
        <f>SUM(J2362:Q2362)</f>
        <v>1.62492784893348</v>
      </c>
      <c r="S2362" s="38"/>
      <c r="T2362" s="23"/>
    </row>
    <row r="2366" ht="15.6" spans="1:20">
      <c r="A2366" s="684" t="s">
        <v>8208</v>
      </c>
      <c r="B2366" s="11"/>
      <c r="C2366" s="11"/>
      <c r="D2366" s="11"/>
      <c r="E2366" s="127"/>
      <c r="F2366" s="127"/>
      <c r="G2366" s="13"/>
      <c r="H2366" s="14"/>
      <c r="I2366" s="14"/>
      <c r="J2366" s="128"/>
      <c r="K2366" s="129"/>
      <c r="L2366" s="129"/>
      <c r="M2366" s="129"/>
      <c r="N2366" s="15"/>
      <c r="O2366" s="15"/>
      <c r="P2366" s="13"/>
      <c r="Q2366" s="130"/>
      <c r="R2366" s="130"/>
      <c r="S2366" s="12"/>
      <c r="T2366" s="131"/>
    </row>
    <row r="2367" ht="15.6" spans="1:20">
      <c r="A2367" s="132" t="s">
        <v>1490</v>
      </c>
      <c r="B2367" s="17" t="s">
        <v>1492</v>
      </c>
      <c r="C2367" s="754" t="s">
        <v>1404</v>
      </c>
      <c r="D2367" s="164" t="s">
        <v>1494</v>
      </c>
      <c r="E2367" s="18" t="s">
        <v>5</v>
      </c>
      <c r="F2367" s="18" t="s">
        <v>1933</v>
      </c>
      <c r="G2367" s="18" t="s">
        <v>4102</v>
      </c>
      <c r="H2367" s="18" t="s">
        <v>1910</v>
      </c>
      <c r="I2367" s="18" t="s">
        <v>1497</v>
      </c>
      <c r="J2367" s="18" t="s">
        <v>4102</v>
      </c>
      <c r="K2367" s="18" t="s">
        <v>4103</v>
      </c>
      <c r="L2367" s="18" t="s">
        <v>7683</v>
      </c>
      <c r="M2367" s="18" t="s">
        <v>1497</v>
      </c>
      <c r="N2367" s="18" t="s">
        <v>6</v>
      </c>
      <c r="O2367" s="18" t="s">
        <v>7</v>
      </c>
      <c r="P2367" s="18" t="s">
        <v>5672</v>
      </c>
      <c r="Q2367" s="18" t="s">
        <v>8</v>
      </c>
      <c r="R2367" s="18" t="s">
        <v>9</v>
      </c>
      <c r="S2367" s="18" t="s">
        <v>4105</v>
      </c>
      <c r="T2367" s="18" t="s">
        <v>4106</v>
      </c>
    </row>
    <row r="2368" ht="15" spans="1:20">
      <c r="A2368" s="182" t="s">
        <v>7407</v>
      </c>
      <c r="B2368" s="777">
        <v>20240808</v>
      </c>
      <c r="C2368" s="23">
        <v>7.17</v>
      </c>
      <c r="D2368" s="782" t="s">
        <v>7981</v>
      </c>
      <c r="E2368" s="20" t="s">
        <v>2154</v>
      </c>
      <c r="F2368" s="150" t="s">
        <v>8230</v>
      </c>
      <c r="G2368" s="689" t="s">
        <v>4213</v>
      </c>
      <c r="H2368" s="690" t="s">
        <v>1913</v>
      </c>
      <c r="I2368" s="690" t="s">
        <v>1428</v>
      </c>
      <c r="J2368" s="691">
        <v>64</v>
      </c>
      <c r="K2368" s="21" t="s">
        <v>1428</v>
      </c>
      <c r="L2368" s="21" t="s">
        <v>1428</v>
      </c>
      <c r="M2368" s="21" t="s">
        <v>1428</v>
      </c>
      <c r="N2368" s="709">
        <f>3.85264748791615/7.21*7.17</f>
        <v>3.83127357674879</v>
      </c>
      <c r="O2368" s="22">
        <v>11.3798379939109</v>
      </c>
      <c r="P2368" s="37" t="s">
        <v>1428</v>
      </c>
      <c r="Q2368" s="709">
        <v>2.92887029288703</v>
      </c>
      <c r="R2368" s="37">
        <f>SUM(J2368:Q2368)+1</f>
        <v>83.1399818635467</v>
      </c>
      <c r="S2368" s="693" t="s">
        <v>1526</v>
      </c>
      <c r="T2368" s="167" t="s">
        <v>2588</v>
      </c>
    </row>
    <row r="2372" ht="15.6" spans="1:20">
      <c r="A2372" s="684" t="s">
        <v>8208</v>
      </c>
      <c r="B2372" s="11"/>
      <c r="C2372" s="11"/>
      <c r="D2372" s="11"/>
      <c r="E2372" s="127"/>
      <c r="F2372" s="127"/>
      <c r="G2372" s="13"/>
      <c r="H2372" s="14"/>
      <c r="I2372" s="14"/>
      <c r="J2372" s="128"/>
      <c r="K2372" s="129"/>
      <c r="L2372" s="129"/>
      <c r="M2372" s="129"/>
      <c r="N2372" s="15"/>
      <c r="O2372" s="15"/>
      <c r="P2372" s="13"/>
      <c r="Q2372" s="130"/>
      <c r="R2372" s="130"/>
      <c r="S2372" s="12"/>
      <c r="T2372" s="131"/>
    </row>
    <row r="2373" ht="15.6" spans="1:20">
      <c r="A2373" s="132" t="s">
        <v>1490</v>
      </c>
      <c r="B2373" s="17" t="s">
        <v>1492</v>
      </c>
      <c r="C2373" s="754" t="s">
        <v>1404</v>
      </c>
      <c r="D2373" s="164" t="s">
        <v>1494</v>
      </c>
      <c r="E2373" s="18" t="s">
        <v>5</v>
      </c>
      <c r="F2373" s="18" t="s">
        <v>1933</v>
      </c>
      <c r="G2373" s="18" t="s">
        <v>4102</v>
      </c>
      <c r="H2373" s="18" t="s">
        <v>1910</v>
      </c>
      <c r="I2373" s="18" t="s">
        <v>1497</v>
      </c>
      <c r="J2373" s="18" t="s">
        <v>4102</v>
      </c>
      <c r="K2373" s="18" t="s">
        <v>4103</v>
      </c>
      <c r="L2373" s="18" t="s">
        <v>7683</v>
      </c>
      <c r="M2373" s="18" t="s">
        <v>1497</v>
      </c>
      <c r="N2373" s="18" t="s">
        <v>6</v>
      </c>
      <c r="O2373" s="18" t="s">
        <v>7</v>
      </c>
      <c r="P2373" s="18" t="s">
        <v>5672</v>
      </c>
      <c r="Q2373" s="18" t="s">
        <v>8</v>
      </c>
      <c r="R2373" s="18" t="s">
        <v>9</v>
      </c>
      <c r="S2373" s="18" t="s">
        <v>4105</v>
      </c>
      <c r="T2373" s="18" t="s">
        <v>4106</v>
      </c>
    </row>
    <row r="2374" ht="15" spans="1:20">
      <c r="A2374" s="333" t="s">
        <v>7407</v>
      </c>
      <c r="B2374" s="777">
        <v>20240808</v>
      </c>
      <c r="C2374" s="23">
        <v>7.17</v>
      </c>
      <c r="D2374" s="782" t="s">
        <v>7981</v>
      </c>
      <c r="E2374" s="20" t="s">
        <v>8231</v>
      </c>
      <c r="F2374" s="688" t="s">
        <v>8230</v>
      </c>
      <c r="G2374" s="689" t="s">
        <v>2641</v>
      </c>
      <c r="H2374" s="690" t="s">
        <v>1913</v>
      </c>
      <c r="I2374" s="690" t="s">
        <v>1428</v>
      </c>
      <c r="J2374" s="834" t="s">
        <v>1979</v>
      </c>
      <c r="K2374" s="21" t="s">
        <v>1428</v>
      </c>
      <c r="L2374" s="21" t="s">
        <v>1428</v>
      </c>
      <c r="M2374" s="21" t="s">
        <v>1428</v>
      </c>
      <c r="N2374" s="709">
        <v>3.49909282778539</v>
      </c>
      <c r="O2374" s="22">
        <v>10.6231763551524</v>
      </c>
      <c r="P2374" s="37" t="s">
        <v>1428</v>
      </c>
      <c r="Q2374" s="709">
        <v>2.92887029288703</v>
      </c>
      <c r="R2374" s="37">
        <f>SUM(J2374:Q2374)+1</f>
        <v>18.0511394758248</v>
      </c>
      <c r="S2374" s="693" t="s">
        <v>1526</v>
      </c>
      <c r="T2374" s="167" t="s">
        <v>8232</v>
      </c>
    </row>
    <row r="2375" ht="15" spans="1:20">
      <c r="A2375" s="333"/>
      <c r="B2375" s="23">
        <v>20241016</v>
      </c>
      <c r="C2375" s="23">
        <v>7.17</v>
      </c>
      <c r="D2375" s="835" t="s">
        <v>172</v>
      </c>
      <c r="E2375" s="23" t="s">
        <v>173</v>
      </c>
      <c r="F2375" s="23"/>
      <c r="G2375" s="21"/>
      <c r="H2375" s="21"/>
      <c r="I2375" s="21"/>
      <c r="J2375" s="36"/>
      <c r="K2375" s="36"/>
      <c r="L2375" s="36"/>
      <c r="M2375" s="36"/>
      <c r="N2375" s="22">
        <f>0.481230897788576/7.21*7.17</f>
        <v>0.478561100852162</v>
      </c>
      <c r="O2375" s="22">
        <v>3.98917873773985</v>
      </c>
      <c r="P2375" s="21" t="s">
        <v>1428</v>
      </c>
      <c r="Q2375" s="37">
        <v>0.4</v>
      </c>
      <c r="R2375" s="37">
        <f>SUM(J2375:Q2375)</f>
        <v>4.86773983859201</v>
      </c>
      <c r="S2375" s="38"/>
      <c r="T2375" s="836" t="s">
        <v>2845</v>
      </c>
    </row>
    <row r="2379" ht="15.6" spans="1:20">
      <c r="A2379" s="684" t="s">
        <v>8208</v>
      </c>
      <c r="B2379" s="11"/>
      <c r="C2379" s="11"/>
      <c r="D2379" s="11"/>
      <c r="E2379" s="127"/>
      <c r="F2379" s="127"/>
      <c r="G2379" s="13"/>
      <c r="H2379" s="14"/>
      <c r="I2379" s="14"/>
      <c r="J2379" s="128"/>
      <c r="K2379" s="129"/>
      <c r="L2379" s="129"/>
      <c r="M2379" s="129"/>
      <c r="N2379" s="15"/>
      <c r="O2379" s="15"/>
      <c r="P2379" s="13"/>
      <c r="Q2379" s="130"/>
      <c r="R2379" s="130"/>
      <c r="S2379" s="12"/>
      <c r="T2379" s="131"/>
    </row>
    <row r="2380" ht="15.6" spans="1:20">
      <c r="A2380" s="132" t="s">
        <v>1490</v>
      </c>
      <c r="B2380" s="17" t="s">
        <v>1492</v>
      </c>
      <c r="C2380" s="754" t="s">
        <v>1404</v>
      </c>
      <c r="D2380" s="164" t="s">
        <v>1494</v>
      </c>
      <c r="E2380" s="18" t="s">
        <v>5</v>
      </c>
      <c r="F2380" s="18" t="s">
        <v>1933</v>
      </c>
      <c r="G2380" s="18" t="s">
        <v>4102</v>
      </c>
      <c r="H2380" s="18" t="s">
        <v>1910</v>
      </c>
      <c r="I2380" s="18" t="s">
        <v>1497</v>
      </c>
      <c r="J2380" s="18" t="s">
        <v>4102</v>
      </c>
      <c r="K2380" s="18" t="s">
        <v>4103</v>
      </c>
      <c r="L2380" s="18" t="s">
        <v>7683</v>
      </c>
      <c r="M2380" s="18" t="s">
        <v>1497</v>
      </c>
      <c r="N2380" s="18" t="s">
        <v>6</v>
      </c>
      <c r="O2380" s="18" t="s">
        <v>7</v>
      </c>
      <c r="P2380" s="18" t="s">
        <v>5672</v>
      </c>
      <c r="Q2380" s="18" t="s">
        <v>8</v>
      </c>
      <c r="R2380" s="18" t="s">
        <v>9</v>
      </c>
      <c r="S2380" s="18" t="s">
        <v>4105</v>
      </c>
      <c r="T2380" s="18" t="s">
        <v>4106</v>
      </c>
    </row>
    <row r="2381" ht="15" spans="1:20">
      <c r="A2381" s="182" t="s">
        <v>7407</v>
      </c>
      <c r="B2381" s="23">
        <v>20240606</v>
      </c>
      <c r="C2381" s="23">
        <v>7.17</v>
      </c>
      <c r="D2381" s="737" t="s">
        <v>8233</v>
      </c>
      <c r="E2381" s="20" t="s">
        <v>8234</v>
      </c>
      <c r="F2381" s="688" t="s">
        <v>1933</v>
      </c>
      <c r="G2381" s="689" t="s">
        <v>8235</v>
      </c>
      <c r="H2381" s="690" t="s">
        <v>1913</v>
      </c>
      <c r="I2381" s="690" t="s">
        <v>1428</v>
      </c>
      <c r="J2381" s="837">
        <v>105</v>
      </c>
      <c r="K2381" s="21" t="s">
        <v>1428</v>
      </c>
      <c r="L2381" s="21" t="s">
        <v>1428</v>
      </c>
      <c r="M2381" s="21" t="s">
        <v>1428</v>
      </c>
      <c r="N2381" s="22">
        <v>3.78445094481678</v>
      </c>
      <c r="O2381" s="22">
        <v>11.4418627557226</v>
      </c>
      <c r="P2381" s="37" t="s">
        <v>1428</v>
      </c>
      <c r="Q2381" s="709">
        <v>2.92887029288703</v>
      </c>
      <c r="R2381" s="37">
        <f>SUM(J2381:Q2381)+1</f>
        <v>124.155183993426</v>
      </c>
      <c r="S2381" s="693" t="s">
        <v>1526</v>
      </c>
      <c r="T2381" s="167" t="s">
        <v>8095</v>
      </c>
    </row>
    <row r="2382" ht="15" spans="1:20">
      <c r="A2382" s="23"/>
      <c r="B2382" s="35">
        <v>20250326</v>
      </c>
      <c r="C2382" s="23">
        <v>7.25</v>
      </c>
      <c r="D2382" s="694" t="s">
        <v>1416</v>
      </c>
      <c r="E2382" s="695" t="s">
        <v>1417</v>
      </c>
      <c r="F2382" s="696"/>
      <c r="G2382" s="697"/>
      <c r="H2382" s="21"/>
      <c r="I2382" s="21"/>
      <c r="J2382" s="698"/>
      <c r="K2382" s="21"/>
      <c r="L2382" s="21"/>
      <c r="M2382" s="700"/>
      <c r="N2382" s="22">
        <v>0.418448328475372</v>
      </c>
      <c r="O2382" s="22">
        <v>1.13868915074085</v>
      </c>
      <c r="P2382" s="37" t="s">
        <v>1428</v>
      </c>
      <c r="Q2382" s="37">
        <v>0.2</v>
      </c>
      <c r="R2382" s="231">
        <f>SUM(J2382:Q2382)</f>
        <v>1.75713747921622</v>
      </c>
      <c r="S2382" s="167"/>
      <c r="T2382" s="35" t="s">
        <v>2839</v>
      </c>
    </row>
    <row r="2385" ht="15.6" spans="1:21">
      <c r="A2385" s="684" t="s">
        <v>8236</v>
      </c>
      <c r="B2385" s="11"/>
      <c r="C2385" s="11"/>
      <c r="D2385" s="11"/>
      <c r="E2385" s="127"/>
      <c r="F2385" s="127"/>
      <c r="G2385" s="13"/>
      <c r="H2385" s="14"/>
      <c r="I2385" s="14"/>
      <c r="J2385" s="128"/>
      <c r="K2385" s="129"/>
      <c r="L2385" s="129"/>
      <c r="M2385" s="129"/>
      <c r="N2385" s="15"/>
      <c r="O2385" s="15"/>
      <c r="P2385" s="13"/>
      <c r="Q2385" s="130"/>
      <c r="R2385" s="130"/>
      <c r="S2385" s="12"/>
      <c r="T2385" s="131"/>
    </row>
    <row r="2386" ht="15.6" spans="1:21">
      <c r="A2386" s="132" t="s">
        <v>1490</v>
      </c>
      <c r="B2386" s="17" t="s">
        <v>1492</v>
      </c>
      <c r="C2386" s="754" t="s">
        <v>1404</v>
      </c>
      <c r="D2386" s="164" t="s">
        <v>1494</v>
      </c>
      <c r="E2386" s="18" t="s">
        <v>5</v>
      </c>
      <c r="F2386" s="18" t="s">
        <v>1933</v>
      </c>
      <c r="G2386" s="18" t="s">
        <v>4102</v>
      </c>
      <c r="H2386" s="18" t="s">
        <v>1910</v>
      </c>
      <c r="I2386" s="18" t="s">
        <v>1497</v>
      </c>
      <c r="J2386" s="18" t="s">
        <v>4102</v>
      </c>
      <c r="K2386" s="18" t="s">
        <v>4103</v>
      </c>
      <c r="L2386" s="18" t="s">
        <v>7683</v>
      </c>
      <c r="M2386" s="18" t="s">
        <v>1497</v>
      </c>
      <c r="N2386" s="18" t="s">
        <v>6</v>
      </c>
      <c r="O2386" s="18" t="s">
        <v>7</v>
      </c>
      <c r="P2386" s="18" t="s">
        <v>5672</v>
      </c>
      <c r="Q2386" s="18" t="s">
        <v>8</v>
      </c>
      <c r="R2386" s="18" t="s">
        <v>9</v>
      </c>
      <c r="S2386" s="18" t="s">
        <v>4105</v>
      </c>
      <c r="T2386" s="18" t="s">
        <v>4106</v>
      </c>
    </row>
    <row r="2387" s="177" customFormat="1" spans="1:21">
      <c r="A2387" s="838" t="s">
        <v>8237</v>
      </c>
      <c r="B2387" s="725">
        <v>20250603</v>
      </c>
      <c r="C2387" s="725">
        <v>7.2</v>
      </c>
      <c r="D2387" s="725" t="s">
        <v>4773</v>
      </c>
      <c r="E2387" s="20" t="s">
        <v>1565</v>
      </c>
      <c r="F2387" s="23" t="s">
        <v>4742</v>
      </c>
      <c r="G2387" s="21" t="s">
        <v>3457</v>
      </c>
      <c r="H2387" s="21"/>
      <c r="I2387" s="21" t="s">
        <v>1633</v>
      </c>
      <c r="J2387" s="21" t="s">
        <v>3513</v>
      </c>
      <c r="K2387" s="21"/>
      <c r="L2387" s="731"/>
      <c r="M2387" s="22">
        <f>13.4/C2387/1.13</f>
        <v>1.64700098328417</v>
      </c>
      <c r="N2387" s="22">
        <v>2.49508357915438</v>
      </c>
      <c r="O2387" s="22">
        <v>8.8752471126883</v>
      </c>
      <c r="P2387" s="21"/>
      <c r="Q2387" s="37">
        <v>3</v>
      </c>
      <c r="R2387" s="22">
        <f>SUBTOTAL(9,H2387:Q2387)</f>
        <v>16.0173316751269</v>
      </c>
      <c r="S2387" s="750" t="s">
        <v>1526</v>
      </c>
      <c r="T2387" s="139" t="s">
        <v>8238</v>
      </c>
      <c r="U2387" s="839"/>
    </row>
    <row r="2388" s="177" customFormat="1" spans="1:21">
      <c r="A2388" s="697"/>
      <c r="B2388" s="725">
        <v>20250514</v>
      </c>
      <c r="C2388" s="725">
        <v>7.2</v>
      </c>
      <c r="D2388" s="725" t="s">
        <v>303</v>
      </c>
      <c r="E2388" s="20" t="s">
        <v>304</v>
      </c>
      <c r="F2388" s="23"/>
      <c r="G2388" s="21"/>
      <c r="H2388" s="21"/>
      <c r="I2388" s="21"/>
      <c r="J2388" s="21"/>
      <c r="K2388" s="21"/>
      <c r="L2388" s="731"/>
      <c r="M2388" s="22"/>
      <c r="N2388" s="22">
        <v>0.322691047768054</v>
      </c>
      <c r="O2388" s="22">
        <v>1.9068551407013</v>
      </c>
      <c r="P2388" s="21"/>
      <c r="Q2388" s="37">
        <v>0.2</v>
      </c>
      <c r="R2388" s="22">
        <f>SUM(J2388:Q2388)</f>
        <v>2.42954618846935</v>
      </c>
      <c r="S2388" s="750"/>
      <c r="T2388" s="139" t="s">
        <v>305</v>
      </c>
      <c r="U2388" s="839"/>
    </row>
    <row r="2390" ht="15.6" spans="1:21">
      <c r="A2390" s="684" t="s">
        <v>8236</v>
      </c>
      <c r="B2390" s="11"/>
      <c r="C2390" s="11"/>
      <c r="D2390" s="11"/>
      <c r="E2390" s="127"/>
      <c r="F2390" s="127"/>
      <c r="G2390" s="13"/>
      <c r="H2390" s="14"/>
      <c r="I2390" s="14"/>
      <c r="J2390" s="128"/>
      <c r="K2390" s="129"/>
      <c r="L2390" s="129"/>
      <c r="M2390" s="129"/>
      <c r="N2390" s="15"/>
      <c r="O2390" s="15"/>
      <c r="P2390" s="13"/>
      <c r="Q2390" s="130"/>
      <c r="R2390" s="130"/>
      <c r="S2390" s="12"/>
      <c r="T2390" s="131"/>
    </row>
    <row r="2391" ht="15.6" spans="1:21">
      <c r="A2391" s="132" t="s">
        <v>1490</v>
      </c>
      <c r="B2391" s="17" t="s">
        <v>1492</v>
      </c>
      <c r="C2391" s="754" t="s">
        <v>1404</v>
      </c>
      <c r="D2391" s="164" t="s">
        <v>1494</v>
      </c>
      <c r="E2391" s="18" t="s">
        <v>5</v>
      </c>
      <c r="F2391" s="18" t="s">
        <v>1933</v>
      </c>
      <c r="G2391" s="18" t="s">
        <v>4102</v>
      </c>
      <c r="H2391" s="18" t="s">
        <v>1910</v>
      </c>
      <c r="I2391" s="18" t="s">
        <v>1497</v>
      </c>
      <c r="J2391" s="18" t="s">
        <v>4102</v>
      </c>
      <c r="K2391" s="18" t="s">
        <v>4103</v>
      </c>
      <c r="L2391" s="18" t="s">
        <v>7683</v>
      </c>
      <c r="M2391" s="18" t="s">
        <v>1497</v>
      </c>
      <c r="N2391" s="18" t="s">
        <v>6</v>
      </c>
      <c r="O2391" s="18" t="s">
        <v>7</v>
      </c>
      <c r="P2391" s="18" t="s">
        <v>5672</v>
      </c>
      <c r="Q2391" s="18" t="s">
        <v>8</v>
      </c>
      <c r="R2391" s="18" t="s">
        <v>9</v>
      </c>
      <c r="S2391" s="18" t="s">
        <v>4105</v>
      </c>
      <c r="T2391" s="18" t="s">
        <v>4106</v>
      </c>
    </row>
    <row r="2392" s="182" customFormat="1" ht="15" spans="1:21">
      <c r="A2392" s="333" t="s">
        <v>8239</v>
      </c>
      <c r="B2392" s="23">
        <v>20250604</v>
      </c>
      <c r="C2392" s="688">
        <v>7.2</v>
      </c>
      <c r="D2392" s="690" t="s">
        <v>8240</v>
      </c>
      <c r="E2392" s="21" t="s">
        <v>8240</v>
      </c>
      <c r="F2392" s="21" t="s">
        <v>8241</v>
      </c>
      <c r="G2392" s="699" t="s">
        <v>2354</v>
      </c>
      <c r="H2392" s="21" t="s">
        <v>1913</v>
      </c>
      <c r="I2392" s="21"/>
      <c r="J2392" s="21">
        <v>125</v>
      </c>
      <c r="K2392" s="37"/>
      <c r="L2392" s="22"/>
      <c r="M2392" s="37"/>
      <c r="N2392" s="709">
        <v>5.04547689282203</v>
      </c>
      <c r="O2392" s="22">
        <v>12.7117006911504</v>
      </c>
      <c r="P2392" s="167"/>
      <c r="Q2392" s="37">
        <v>3.14632482758621</v>
      </c>
      <c r="R2392" s="22">
        <f>SUM(J2392:Q2392)</f>
        <v>145.903502411559</v>
      </c>
      <c r="S2392" s="167" t="s">
        <v>1526</v>
      </c>
      <c r="T2392" s="333" t="s">
        <v>8242</v>
      </c>
    </row>
    <row r="2393" s="182" customFormat="1" ht="15" spans="1:21">
      <c r="A2393" s="333" t="s">
        <v>7457</v>
      </c>
      <c r="B2393" s="23">
        <v>20250604</v>
      </c>
      <c r="C2393" s="688">
        <v>7.2</v>
      </c>
      <c r="D2393" s="690" t="s">
        <v>8243</v>
      </c>
      <c r="E2393" s="21" t="s">
        <v>8243</v>
      </c>
      <c r="F2393" s="21" t="s">
        <v>8241</v>
      </c>
      <c r="G2393" s="699" t="s">
        <v>8244</v>
      </c>
      <c r="H2393" s="21" t="s">
        <v>1913</v>
      </c>
      <c r="I2393" s="21"/>
      <c r="J2393" s="21">
        <v>270</v>
      </c>
      <c r="K2393" s="37"/>
      <c r="L2393" s="22"/>
      <c r="M2393" s="37"/>
      <c r="N2393" s="709">
        <v>5.04547689282203</v>
      </c>
      <c r="O2393" s="22">
        <v>16.7626688978909</v>
      </c>
      <c r="P2393" s="167"/>
      <c r="Q2393" s="37">
        <v>3.14632482758621</v>
      </c>
      <c r="R2393" s="22">
        <f>SUM(J2393:Q2393)</f>
        <v>294.954470618299</v>
      </c>
      <c r="S2393" s="167" t="s">
        <v>1526</v>
      </c>
      <c r="T2393" s="333" t="s">
        <v>8245</v>
      </c>
    </row>
    <row r="2395" ht="15.6" spans="1:21">
      <c r="A2395" s="684" t="s">
        <v>8236</v>
      </c>
      <c r="B2395" s="11"/>
      <c r="C2395" s="11"/>
      <c r="D2395" s="11"/>
      <c r="E2395" s="127"/>
      <c r="F2395" s="127"/>
      <c r="G2395" s="13"/>
      <c r="H2395" s="14"/>
      <c r="I2395" s="14"/>
      <c r="J2395" s="128"/>
      <c r="K2395" s="129"/>
      <c r="L2395" s="129"/>
      <c r="M2395" s="129"/>
      <c r="N2395" s="15"/>
      <c r="O2395" s="15"/>
      <c r="P2395" s="13"/>
      <c r="Q2395" s="130"/>
      <c r="R2395" s="130"/>
      <c r="S2395" s="12"/>
      <c r="T2395" s="131"/>
    </row>
    <row r="2396" ht="15.6" spans="1:21">
      <c r="A2396" s="132" t="s">
        <v>1490</v>
      </c>
      <c r="B2396" s="17" t="s">
        <v>1492</v>
      </c>
      <c r="C2396" s="754" t="s">
        <v>1404</v>
      </c>
      <c r="D2396" s="164" t="s">
        <v>1494</v>
      </c>
      <c r="E2396" s="18" t="s">
        <v>5</v>
      </c>
      <c r="F2396" s="18" t="s">
        <v>1933</v>
      </c>
      <c r="G2396" s="18" t="s">
        <v>4102</v>
      </c>
      <c r="H2396" s="18" t="s">
        <v>1910</v>
      </c>
      <c r="I2396" s="18" t="s">
        <v>1497</v>
      </c>
      <c r="J2396" s="18" t="s">
        <v>4102</v>
      </c>
      <c r="K2396" s="18" t="s">
        <v>4103</v>
      </c>
      <c r="L2396" s="18" t="s">
        <v>7683</v>
      </c>
      <c r="M2396" s="18" t="s">
        <v>1497</v>
      </c>
      <c r="N2396" s="18" t="s">
        <v>6</v>
      </c>
      <c r="O2396" s="18" t="s">
        <v>7</v>
      </c>
      <c r="P2396" s="18" t="s">
        <v>5672</v>
      </c>
      <c r="Q2396" s="18" t="s">
        <v>8</v>
      </c>
      <c r="R2396" s="18" t="s">
        <v>9</v>
      </c>
      <c r="S2396" s="18" t="s">
        <v>4105</v>
      </c>
      <c r="T2396" s="18" t="s">
        <v>4106</v>
      </c>
    </row>
    <row r="2397" ht="15" spans="1:21">
      <c r="A2397" s="333" t="s">
        <v>1333</v>
      </c>
      <c r="B2397" s="23">
        <v>20250425</v>
      </c>
      <c r="C2397" s="23">
        <v>7.21</v>
      </c>
      <c r="D2397" s="23" t="s">
        <v>2616</v>
      </c>
      <c r="E2397" s="23" t="s">
        <v>1558</v>
      </c>
      <c r="F2397" s="688" t="s">
        <v>2801</v>
      </c>
      <c r="G2397" s="690" t="s">
        <v>2365</v>
      </c>
      <c r="H2397" s="21" t="s">
        <v>1913</v>
      </c>
      <c r="I2397" s="21"/>
      <c r="J2397" s="138">
        <v>140</v>
      </c>
      <c r="K2397" s="21"/>
      <c r="L2397" s="21"/>
      <c r="M2397" s="21"/>
      <c r="N2397" s="37">
        <v>4.81</v>
      </c>
      <c r="O2397" s="22">
        <v>18.3743796886535</v>
      </c>
      <c r="P2397" s="37"/>
      <c r="Q2397" s="709">
        <v>2.97074729596854</v>
      </c>
      <c r="R2397" s="22">
        <f>SUM(J2397:Q2397)</f>
        <v>166.155126984622</v>
      </c>
      <c r="S2397" s="167" t="s">
        <v>1526</v>
      </c>
      <c r="T2397" s="750" t="s">
        <v>8246</v>
      </c>
    </row>
    <row r="2398" ht="15" spans="1:21">
      <c r="A2398" s="333" t="s">
        <v>1333</v>
      </c>
      <c r="B2398" s="23">
        <v>20250425</v>
      </c>
      <c r="C2398" s="23">
        <v>7.21</v>
      </c>
      <c r="D2398" s="23" t="s">
        <v>2618</v>
      </c>
      <c r="E2398" s="23" t="s">
        <v>2311</v>
      </c>
      <c r="F2398" s="688" t="s">
        <v>2801</v>
      </c>
      <c r="G2398" s="690" t="s">
        <v>2477</v>
      </c>
      <c r="H2398" s="21" t="s">
        <v>1913</v>
      </c>
      <c r="I2398" s="21"/>
      <c r="J2398" s="698">
        <v>150</v>
      </c>
      <c r="K2398" s="21"/>
      <c r="L2398" s="21"/>
      <c r="M2398" s="21"/>
      <c r="N2398" s="37">
        <v>4.81</v>
      </c>
      <c r="O2398" s="22">
        <v>18.3504139751099</v>
      </c>
      <c r="P2398" s="37"/>
      <c r="Q2398" s="709">
        <v>2.97074729596854</v>
      </c>
      <c r="R2398" s="22">
        <f>SUM(J2398:Q2398)</f>
        <v>176.131161271078</v>
      </c>
      <c r="S2398" s="167" t="s">
        <v>1526</v>
      </c>
      <c r="T2398" s="750" t="s">
        <v>8247</v>
      </c>
    </row>
    <row r="2399" ht="15" spans="1:21">
      <c r="A2399" s="333"/>
      <c r="B2399" s="23">
        <v>20250220</v>
      </c>
      <c r="C2399" s="23">
        <v>7.21</v>
      </c>
      <c r="D2399" s="840" t="s">
        <v>269</v>
      </c>
      <c r="E2399" s="840" t="s">
        <v>270</v>
      </c>
      <c r="F2399" s="840"/>
      <c r="G2399" s="840"/>
      <c r="H2399" s="840"/>
      <c r="I2399" s="840"/>
      <c r="J2399" s="840"/>
      <c r="K2399" s="840"/>
      <c r="L2399" s="840"/>
      <c r="M2399" s="840"/>
      <c r="N2399" s="22">
        <f>3.81/7.2/1.13</f>
        <v>0.468289085545723</v>
      </c>
      <c r="O2399" s="22">
        <v>2.58515404979351</v>
      </c>
      <c r="P2399" s="840"/>
      <c r="Q2399" s="37">
        <v>0.4</v>
      </c>
      <c r="R2399" s="22">
        <f>SUM(J2399:Q2399)</f>
        <v>3.45344313533923</v>
      </c>
      <c r="S2399" s="840"/>
      <c r="T2399" s="836" t="s">
        <v>271</v>
      </c>
    </row>
    <row r="2400" ht="15" spans="1:21">
      <c r="A2400" s="333"/>
      <c r="B2400" s="23"/>
      <c r="C2400" s="23"/>
      <c r="D2400" s="23"/>
      <c r="E2400" s="23" t="s">
        <v>7521</v>
      </c>
      <c r="F2400" s="688"/>
      <c r="G2400" s="690"/>
      <c r="H2400" s="21"/>
      <c r="I2400" s="21"/>
      <c r="J2400" s="698"/>
      <c r="K2400" s="21"/>
      <c r="L2400" s="21"/>
      <c r="M2400" s="21"/>
      <c r="N2400" s="37"/>
      <c r="O2400" s="22"/>
      <c r="P2400" s="37"/>
      <c r="Q2400" s="709"/>
      <c r="R2400" s="22">
        <v>7.9</v>
      </c>
      <c r="S2400" s="167"/>
      <c r="T2400" s="750"/>
    </row>
    <row r="2403" ht="15.6" spans="1:20">
      <c r="A2403" s="684" t="s">
        <v>8236</v>
      </c>
      <c r="B2403" s="162"/>
      <c r="C2403" s="11"/>
      <c r="D2403" s="11"/>
      <c r="E2403" s="127"/>
      <c r="F2403" s="127"/>
      <c r="G2403" s="13"/>
      <c r="H2403" s="14"/>
      <c r="I2403" s="14"/>
      <c r="J2403" s="128"/>
      <c r="K2403" s="129"/>
      <c r="L2403" s="129"/>
      <c r="M2403" s="129"/>
      <c r="N2403" s="15"/>
      <c r="O2403" s="15"/>
      <c r="P2403" s="13"/>
      <c r="Q2403" s="130"/>
      <c r="R2403" s="130"/>
      <c r="S2403" s="12"/>
      <c r="T2403" s="131"/>
    </row>
    <row r="2404" ht="15.6" spans="1:20">
      <c r="A2404" s="132" t="s">
        <v>1490</v>
      </c>
      <c r="B2404" s="841" t="s">
        <v>1492</v>
      </c>
      <c r="C2404" s="754" t="s">
        <v>1404</v>
      </c>
      <c r="D2404" s="164" t="s">
        <v>1494</v>
      </c>
      <c r="E2404" s="18" t="s">
        <v>5</v>
      </c>
      <c r="F2404" s="18" t="s">
        <v>1933</v>
      </c>
      <c r="G2404" s="18" t="s">
        <v>4102</v>
      </c>
      <c r="H2404" s="18" t="s">
        <v>1910</v>
      </c>
      <c r="I2404" s="18" t="s">
        <v>1497</v>
      </c>
      <c r="J2404" s="18" t="s">
        <v>4102</v>
      </c>
      <c r="K2404" s="18" t="s">
        <v>4103</v>
      </c>
      <c r="L2404" s="18" t="s">
        <v>7683</v>
      </c>
      <c r="M2404" s="18" t="s">
        <v>1497</v>
      </c>
      <c r="N2404" s="18" t="s">
        <v>6</v>
      </c>
      <c r="O2404" s="18" t="s">
        <v>7</v>
      </c>
      <c r="P2404" s="18" t="s">
        <v>5672</v>
      </c>
      <c r="Q2404" s="18" t="s">
        <v>8</v>
      </c>
      <c r="R2404" s="18" t="s">
        <v>9</v>
      </c>
      <c r="S2404" s="18" t="s">
        <v>4105</v>
      </c>
      <c r="T2404" s="18" t="s">
        <v>4106</v>
      </c>
    </row>
    <row r="2405" spans="1:20">
      <c r="A2405" s="333" t="s">
        <v>1227</v>
      </c>
      <c r="B2405" s="818">
        <v>20250605</v>
      </c>
      <c r="C2405" s="729">
        <v>7.2</v>
      </c>
      <c r="D2405" s="729" t="s">
        <v>4978</v>
      </c>
      <c r="E2405" s="729" t="s">
        <v>1617</v>
      </c>
      <c r="F2405" s="23" t="s">
        <v>4975</v>
      </c>
      <c r="G2405" s="21" t="s">
        <v>4924</v>
      </c>
      <c r="H2405" s="21" t="s">
        <v>4174</v>
      </c>
      <c r="I2405" s="21"/>
      <c r="J2405" s="21">
        <v>70</v>
      </c>
      <c r="K2405" s="21">
        <f>6*4</f>
        <v>24</v>
      </c>
      <c r="L2405" s="21"/>
      <c r="M2405" s="21"/>
      <c r="N2405" s="822">
        <f>47.48/C2405/1.13</f>
        <v>5.83579154375615</v>
      </c>
      <c r="O2405" s="822">
        <v>19.4728634969231</v>
      </c>
      <c r="P2405" s="22"/>
      <c r="Q2405" s="22">
        <f>26.5/C2405</f>
        <v>3.68055555555556</v>
      </c>
      <c r="R2405" s="22">
        <f>SUM(J2405:Q2405)</f>
        <v>122.989210596235</v>
      </c>
      <c r="S2405" s="729" t="s">
        <v>4976</v>
      </c>
      <c r="T2405" s="842" t="s">
        <v>8248</v>
      </c>
    </row>
    <row r="2408" ht="15.6" spans="1:20">
      <c r="A2408" s="684" t="s">
        <v>8249</v>
      </c>
      <c r="B2408" s="162"/>
      <c r="C2408" s="11"/>
      <c r="D2408" s="11"/>
      <c r="E2408" s="127"/>
      <c r="F2408" s="127"/>
      <c r="G2408" s="13"/>
      <c r="H2408" s="14"/>
      <c r="I2408" s="14"/>
      <c r="J2408" s="128"/>
      <c r="K2408" s="129"/>
      <c r="L2408" s="129"/>
      <c r="M2408" s="129"/>
      <c r="N2408" s="15"/>
      <c r="O2408" s="15"/>
      <c r="P2408" s="13"/>
      <c r="Q2408" s="130"/>
      <c r="R2408" s="130"/>
      <c r="S2408" s="12"/>
      <c r="T2408" s="131"/>
    </row>
    <row r="2409" ht="15.6" spans="1:20">
      <c r="A2409" s="132" t="s">
        <v>1490</v>
      </c>
      <c r="B2409" s="841" t="s">
        <v>1492</v>
      </c>
      <c r="C2409" s="754" t="s">
        <v>1404</v>
      </c>
      <c r="D2409" s="164" t="s">
        <v>1494</v>
      </c>
      <c r="E2409" s="18" t="s">
        <v>5</v>
      </c>
      <c r="F2409" s="18" t="s">
        <v>1933</v>
      </c>
      <c r="G2409" s="18" t="s">
        <v>4102</v>
      </c>
      <c r="H2409" s="18" t="s">
        <v>1910</v>
      </c>
      <c r="I2409" s="18" t="s">
        <v>1497</v>
      </c>
      <c r="J2409" s="18" t="s">
        <v>4102</v>
      </c>
      <c r="K2409" s="18" t="s">
        <v>4103</v>
      </c>
      <c r="L2409" s="18" t="s">
        <v>7683</v>
      </c>
      <c r="M2409" s="18" t="s">
        <v>1497</v>
      </c>
      <c r="N2409" s="18" t="s">
        <v>6</v>
      </c>
      <c r="O2409" s="18" t="s">
        <v>7</v>
      </c>
      <c r="P2409" s="18" t="s">
        <v>5672</v>
      </c>
      <c r="Q2409" s="18" t="s">
        <v>8</v>
      </c>
      <c r="R2409" s="18" t="s">
        <v>9</v>
      </c>
      <c r="S2409" s="18" t="s">
        <v>4105</v>
      </c>
      <c r="T2409" s="18" t="s">
        <v>4106</v>
      </c>
    </row>
    <row r="2410" hidden="1" spans="1:20">
      <c r="A2410" s="333" t="s">
        <v>1227</v>
      </c>
      <c r="B2410" s="729">
        <v>20250423</v>
      </c>
      <c r="C2410" s="729">
        <v>7.2</v>
      </c>
      <c r="D2410" s="729" t="s">
        <v>4980</v>
      </c>
      <c r="E2410" s="729" t="s">
        <v>8250</v>
      </c>
      <c r="F2410" s="23" t="s">
        <v>4975</v>
      </c>
      <c r="G2410" s="21" t="s">
        <v>4924</v>
      </c>
      <c r="H2410" s="21" t="s">
        <v>1979</v>
      </c>
      <c r="I2410" s="21"/>
      <c r="J2410" s="21">
        <v>70</v>
      </c>
      <c r="K2410" s="21" t="s">
        <v>1979</v>
      </c>
      <c r="L2410" s="21"/>
      <c r="M2410" s="21"/>
      <c r="N2410" s="822">
        <f>47.48/C2410/1.13</f>
        <v>5.83579154375615</v>
      </c>
      <c r="O2410" s="823">
        <v>20.1891505823469</v>
      </c>
      <c r="P2410" s="22"/>
      <c r="Q2410" s="22">
        <f>26.5/C2410</f>
        <v>3.68055555555556</v>
      </c>
      <c r="R2410" s="22">
        <f>SUM(J2410:Q2410)</f>
        <v>99.7054976816586</v>
      </c>
      <c r="S2410" s="729" t="s">
        <v>4981</v>
      </c>
      <c r="T2410" s="842" t="s">
        <v>8251</v>
      </c>
    </row>
    <row r="2411" ht="25.2" spans="1:20">
      <c r="A2411" s="333" t="s">
        <v>1227</v>
      </c>
      <c r="B2411" s="729">
        <v>20250423</v>
      </c>
      <c r="C2411" s="729">
        <v>7.19</v>
      </c>
      <c r="D2411" s="729" t="s">
        <v>4980</v>
      </c>
      <c r="E2411" s="729" t="s">
        <v>8252</v>
      </c>
      <c r="F2411" s="23" t="s">
        <v>4975</v>
      </c>
      <c r="G2411" s="21" t="s">
        <v>4924</v>
      </c>
      <c r="H2411" s="21" t="s">
        <v>1979</v>
      </c>
      <c r="I2411" s="21"/>
      <c r="J2411" s="21">
        <v>70</v>
      </c>
      <c r="K2411" s="21" t="s">
        <v>1979</v>
      </c>
      <c r="L2411" s="21"/>
      <c r="M2411" s="21"/>
      <c r="N2411" s="823">
        <v>6.3448496559873</v>
      </c>
      <c r="O2411" s="823">
        <v>20.1891505823469</v>
      </c>
      <c r="P2411" s="22"/>
      <c r="Q2411" s="22">
        <f>26.5/C2411</f>
        <v>3.68567454798331</v>
      </c>
      <c r="R2411" s="22">
        <f>SUM(J2411:Q2411)</f>
        <v>100.219674786318</v>
      </c>
      <c r="S2411" s="729" t="s">
        <v>4981</v>
      </c>
      <c r="T2411" s="842" t="s">
        <v>8253</v>
      </c>
    </row>
    <row r="2412" spans="1:20">
      <c r="A2412" s="333"/>
      <c r="B2412" s="23">
        <v>20250605</v>
      </c>
      <c r="C2412" s="23">
        <v>7.2</v>
      </c>
      <c r="D2412" s="23" t="s">
        <v>116</v>
      </c>
      <c r="E2412" s="23" t="s">
        <v>117</v>
      </c>
      <c r="F2412" s="750"/>
      <c r="G2412" s="21"/>
      <c r="H2412" s="21"/>
      <c r="I2412" s="21"/>
      <c r="J2412" s="21"/>
      <c r="K2412" s="21"/>
      <c r="L2412" s="21"/>
      <c r="M2412" s="21"/>
      <c r="N2412" s="709">
        <v>0.397000983284169</v>
      </c>
      <c r="O2412" s="709">
        <v>2.93661862367748</v>
      </c>
      <c r="P2412" s="37"/>
      <c r="Q2412" s="37">
        <v>0.4</v>
      </c>
      <c r="R2412" s="37">
        <f>SUM(K2412:Q2412)</f>
        <v>3.73361960696165</v>
      </c>
      <c r="S2412" s="38"/>
      <c r="T2412" s="760" t="s">
        <v>118</v>
      </c>
    </row>
    <row r="2415" ht="15.6" spans="1:20">
      <c r="A2415" s="684" t="s">
        <v>8254</v>
      </c>
      <c r="B2415" s="162"/>
      <c r="C2415" s="11"/>
      <c r="D2415" s="11"/>
      <c r="E2415" s="127"/>
      <c r="F2415" s="127"/>
      <c r="G2415" s="13"/>
      <c r="H2415" s="14"/>
      <c r="I2415" s="14"/>
      <c r="J2415" s="128"/>
      <c r="K2415" s="129"/>
      <c r="L2415" s="129"/>
      <c r="M2415" s="129"/>
      <c r="N2415" s="15"/>
      <c r="O2415" s="15"/>
      <c r="P2415" s="13"/>
      <c r="Q2415" s="130"/>
      <c r="R2415" s="130"/>
      <c r="S2415" s="12"/>
      <c r="T2415" s="131"/>
    </row>
    <row r="2416" ht="15.6" spans="1:20">
      <c r="A2416" s="132" t="s">
        <v>1490</v>
      </c>
      <c r="B2416" s="841" t="s">
        <v>1492</v>
      </c>
      <c r="C2416" s="754" t="s">
        <v>1404</v>
      </c>
      <c r="D2416" s="164" t="s">
        <v>1494</v>
      </c>
      <c r="E2416" s="18" t="s">
        <v>5</v>
      </c>
      <c r="F2416" s="18" t="s">
        <v>1933</v>
      </c>
      <c r="G2416" s="18" t="s">
        <v>4102</v>
      </c>
      <c r="H2416" s="18" t="s">
        <v>1910</v>
      </c>
      <c r="I2416" s="18" t="s">
        <v>1497</v>
      </c>
      <c r="J2416" s="18" t="s">
        <v>4102</v>
      </c>
      <c r="K2416" s="18" t="s">
        <v>4103</v>
      </c>
      <c r="L2416" s="18" t="s">
        <v>7683</v>
      </c>
      <c r="M2416" s="18" t="s">
        <v>1497</v>
      </c>
      <c r="N2416" s="18" t="s">
        <v>6</v>
      </c>
      <c r="O2416" s="18" t="s">
        <v>7</v>
      </c>
      <c r="P2416" s="18" t="s">
        <v>5672</v>
      </c>
      <c r="Q2416" s="18" t="s">
        <v>8</v>
      </c>
      <c r="R2416" s="18" t="s">
        <v>9</v>
      </c>
      <c r="S2416" s="18" t="s">
        <v>4105</v>
      </c>
      <c r="T2416" s="18" t="s">
        <v>4106</v>
      </c>
    </row>
    <row r="2417" ht="15" spans="1:20">
      <c r="A2417" s="333" t="s">
        <v>7407</v>
      </c>
      <c r="B2417" s="687">
        <v>20250605</v>
      </c>
      <c r="C2417" s="687">
        <v>7.2</v>
      </c>
      <c r="D2417" s="687" t="s">
        <v>8255</v>
      </c>
      <c r="E2417" s="149" t="s">
        <v>8256</v>
      </c>
      <c r="F2417" s="149" t="s">
        <v>2801</v>
      </c>
      <c r="G2417" s="151" t="s">
        <v>4213</v>
      </c>
      <c r="H2417" s="152" t="s">
        <v>1913</v>
      </c>
      <c r="I2417" s="152"/>
      <c r="J2417" s="843">
        <v>65</v>
      </c>
      <c r="K2417" s="153"/>
      <c r="L2417" s="153"/>
      <c r="M2417" s="153"/>
      <c r="N2417" s="795">
        <f>28.35/C2417/1.13</f>
        <v>3.48451327433628</v>
      </c>
      <c r="O2417" s="727">
        <v>11.5241331692625</v>
      </c>
      <c r="P2417" s="153"/>
      <c r="Q2417" s="795">
        <v>2.91666666666667</v>
      </c>
      <c r="R2417" s="154">
        <f>SUM(J2417:Q2417)+1</f>
        <v>83.9253131102654</v>
      </c>
      <c r="S2417" s="155" t="s">
        <v>1526</v>
      </c>
      <c r="T2417" s="156" t="s">
        <v>8257</v>
      </c>
    </row>
    <row r="2420" ht="15.6" spans="1:20">
      <c r="A2420" s="684" t="s">
        <v>8254</v>
      </c>
      <c r="B2420" s="162"/>
      <c r="C2420" s="11"/>
      <c r="D2420" s="11"/>
      <c r="E2420" s="127"/>
      <c r="F2420" s="127"/>
      <c r="G2420" s="13"/>
      <c r="H2420" s="14"/>
      <c r="I2420" s="14"/>
      <c r="J2420" s="128"/>
      <c r="K2420" s="129"/>
      <c r="L2420" s="129"/>
      <c r="M2420" s="129"/>
      <c r="N2420" s="15"/>
      <c r="O2420" s="15"/>
      <c r="P2420" s="13"/>
      <c r="Q2420" s="130"/>
      <c r="R2420" s="130"/>
      <c r="S2420" s="12"/>
      <c r="T2420" s="131"/>
    </row>
    <row r="2421" ht="15.6" spans="1:20">
      <c r="A2421" s="132" t="s">
        <v>1490</v>
      </c>
      <c r="B2421" s="841" t="s">
        <v>1492</v>
      </c>
      <c r="C2421" s="754" t="s">
        <v>1404</v>
      </c>
      <c r="D2421" s="164" t="s">
        <v>1494</v>
      </c>
      <c r="E2421" s="18" t="s">
        <v>5</v>
      </c>
      <c r="F2421" s="18" t="s">
        <v>1933</v>
      </c>
      <c r="G2421" s="18" t="s">
        <v>4102</v>
      </c>
      <c r="H2421" s="18" t="s">
        <v>1910</v>
      </c>
      <c r="I2421" s="18" t="s">
        <v>1497</v>
      </c>
      <c r="J2421" s="18" t="s">
        <v>4102</v>
      </c>
      <c r="K2421" s="18" t="s">
        <v>4103</v>
      </c>
      <c r="L2421" s="18" t="s">
        <v>7683</v>
      </c>
      <c r="M2421" s="18" t="s">
        <v>1497</v>
      </c>
      <c r="N2421" s="18" t="s">
        <v>6</v>
      </c>
      <c r="O2421" s="18" t="s">
        <v>7</v>
      </c>
      <c r="P2421" s="18" t="s">
        <v>5672</v>
      </c>
      <c r="Q2421" s="18" t="s">
        <v>8</v>
      </c>
      <c r="R2421" s="18" t="s">
        <v>9</v>
      </c>
      <c r="S2421" s="18" t="s">
        <v>4105</v>
      </c>
      <c r="T2421" s="18" t="s">
        <v>4106</v>
      </c>
    </row>
    <row r="2422" ht="24" customHeight="1" spans="1:20">
      <c r="B2422" s="23">
        <v>20241202</v>
      </c>
      <c r="C2422" s="23">
        <v>7.2</v>
      </c>
      <c r="D2422" s="687" t="s">
        <v>7792</v>
      </c>
      <c r="E2422" s="20" t="s">
        <v>7793</v>
      </c>
      <c r="F2422" s="688" t="s">
        <v>1933</v>
      </c>
      <c r="G2422" s="689" t="s">
        <v>1979</v>
      </c>
      <c r="H2422" s="690" t="s">
        <v>1913</v>
      </c>
      <c r="I2422" s="690" t="s">
        <v>1428</v>
      </c>
      <c r="J2422" s="844" t="s">
        <v>1979</v>
      </c>
      <c r="K2422" s="21" t="s">
        <v>1428</v>
      </c>
      <c r="L2422" s="21" t="s">
        <v>1428</v>
      </c>
      <c r="M2422" s="21" t="s">
        <v>1428</v>
      </c>
      <c r="N2422" s="709">
        <f>3.85264748791615/7.21*7.17</f>
        <v>3.83127357674879</v>
      </c>
      <c r="O2422" s="22">
        <v>11.7575332616085</v>
      </c>
      <c r="P2422" s="37" t="s">
        <v>1428</v>
      </c>
      <c r="Q2422" s="709">
        <v>2.91666666666667</v>
      </c>
      <c r="R2422" s="37">
        <f>SUM(J2422:Q2422)+1</f>
        <v>19.505473505024</v>
      </c>
      <c r="S2422" s="693" t="s">
        <v>1526</v>
      </c>
      <c r="T2422" s="167" t="s">
        <v>8095</v>
      </c>
    </row>
    <row r="2425" ht="15.6" spans="1:20">
      <c r="A2425" s="684" t="s">
        <v>8254</v>
      </c>
      <c r="B2425" s="162"/>
      <c r="C2425" s="11"/>
      <c r="D2425" s="11"/>
      <c r="E2425" s="127"/>
      <c r="F2425" s="127"/>
      <c r="G2425" s="13"/>
      <c r="H2425" s="14"/>
      <c r="I2425" s="14"/>
      <c r="J2425" s="128"/>
      <c r="K2425" s="129"/>
      <c r="L2425" s="129"/>
      <c r="M2425" s="129"/>
      <c r="N2425" s="15"/>
      <c r="O2425" s="15"/>
      <c r="P2425" s="13"/>
      <c r="Q2425" s="130"/>
      <c r="R2425" s="130"/>
      <c r="S2425" s="12"/>
      <c r="T2425" s="131"/>
    </row>
    <row r="2426" ht="15.6" spans="1:20">
      <c r="A2426" s="132" t="s">
        <v>1490</v>
      </c>
      <c r="B2426" s="841" t="s">
        <v>1492</v>
      </c>
      <c r="C2426" s="754" t="s">
        <v>1404</v>
      </c>
      <c r="D2426" s="164" t="s">
        <v>1494</v>
      </c>
      <c r="E2426" s="18" t="s">
        <v>5</v>
      </c>
      <c r="F2426" s="18" t="s">
        <v>1933</v>
      </c>
      <c r="G2426" s="18" t="s">
        <v>4102</v>
      </c>
      <c r="H2426" s="18" t="s">
        <v>1910</v>
      </c>
      <c r="I2426" s="18" t="s">
        <v>1497</v>
      </c>
      <c r="J2426" s="18" t="s">
        <v>4102</v>
      </c>
      <c r="K2426" s="18" t="s">
        <v>4103</v>
      </c>
      <c r="L2426" s="18" t="s">
        <v>7683</v>
      </c>
      <c r="M2426" s="18" t="s">
        <v>1497</v>
      </c>
      <c r="N2426" s="18" t="s">
        <v>6</v>
      </c>
      <c r="O2426" s="18" t="s">
        <v>7</v>
      </c>
      <c r="P2426" s="18" t="s">
        <v>5672</v>
      </c>
      <c r="Q2426" s="18" t="s">
        <v>8</v>
      </c>
      <c r="R2426" s="18" t="s">
        <v>9</v>
      </c>
      <c r="S2426" s="18" t="s">
        <v>4105</v>
      </c>
      <c r="T2426" s="18" t="s">
        <v>4106</v>
      </c>
    </row>
    <row r="2427" ht="24" customHeight="1" spans="1:20">
      <c r="A2427" s="333" t="s">
        <v>7407</v>
      </c>
      <c r="B2427" s="23">
        <v>20241202</v>
      </c>
      <c r="C2427" s="23">
        <v>7.2</v>
      </c>
      <c r="D2427" s="687" t="s">
        <v>7792</v>
      </c>
      <c r="E2427" s="20" t="s">
        <v>7793</v>
      </c>
      <c r="F2427" s="688" t="s">
        <v>1933</v>
      </c>
      <c r="G2427" s="689" t="s">
        <v>1979</v>
      </c>
      <c r="H2427" s="690" t="s">
        <v>1913</v>
      </c>
      <c r="I2427" s="690" t="s">
        <v>1428</v>
      </c>
      <c r="J2427" s="844" t="s">
        <v>1979</v>
      </c>
      <c r="K2427" s="21" t="s">
        <v>1428</v>
      </c>
      <c r="L2427" s="21" t="s">
        <v>1428</v>
      </c>
      <c r="M2427" s="21" t="s">
        <v>1428</v>
      </c>
      <c r="N2427" s="795">
        <f>28.35/C2427/1.13</f>
        <v>3.48451327433628</v>
      </c>
      <c r="O2427" s="704">
        <v>11.2374836433628</v>
      </c>
      <c r="P2427" s="37" t="s">
        <v>1428</v>
      </c>
      <c r="Q2427" s="709">
        <v>2.91666666666667</v>
      </c>
      <c r="R2427" s="37">
        <f>SUM(J2427:Q2427)+1</f>
        <v>18.6386635843658</v>
      </c>
      <c r="S2427" s="845" t="s">
        <v>1526</v>
      </c>
      <c r="T2427" s="167" t="s">
        <v>8258</v>
      </c>
    </row>
    <row r="2433" spans="1:22">
      <c r="O2433" s="594" t="s">
        <v>8259</v>
      </c>
      <c r="P2433" s="595" t="s">
        <v>7862</v>
      </c>
    </row>
    <row r="2434" spans="1:22">
      <c r="O2434" s="594" t="s">
        <v>7822</v>
      </c>
      <c r="P2434" s="590">
        <f>N2422+O2422+Q2422</f>
        <v>18.505473505024</v>
      </c>
    </row>
    <row r="2435" spans="1:22">
      <c r="O2435" s="594" t="s">
        <v>7823</v>
      </c>
      <c r="P2435" s="590">
        <f>N2427+O2427+Q2427</f>
        <v>17.6386635843658</v>
      </c>
    </row>
    <row r="2436" spans="1:22">
      <c r="O2436" s="594" t="s">
        <v>7863</v>
      </c>
      <c r="P2436" s="634">
        <f>P2434-P2435</f>
        <v>0.866809920658177</v>
      </c>
    </row>
    <row r="2438" ht="15.6" spans="1:22">
      <c r="A2438" s="801" t="s">
        <v>8249</v>
      </c>
      <c r="B2438" s="718"/>
      <c r="C2438" s="718"/>
      <c r="D2438" s="718"/>
      <c r="E2438" s="718"/>
      <c r="F2438" s="127"/>
      <c r="G2438" s="127"/>
      <c r="H2438" s="13"/>
      <c r="I2438" s="14"/>
      <c r="J2438" s="14"/>
      <c r="K2438" s="128"/>
      <c r="L2438" s="685"/>
      <c r="M2438" s="685"/>
      <c r="N2438" s="129"/>
      <c r="O2438" s="686"/>
      <c r="P2438" s="15"/>
      <c r="Q2438" s="13"/>
      <c r="R2438" s="130"/>
      <c r="S2438" s="130"/>
      <c r="T2438" s="12"/>
      <c r="U2438" s="131"/>
    </row>
    <row r="2439" ht="15.6" spans="1:22">
      <c r="A2439" s="802" t="s">
        <v>1490</v>
      </c>
      <c r="B2439" s="719"/>
      <c r="C2439" s="720" t="s">
        <v>3</v>
      </c>
      <c r="D2439" s="719"/>
      <c r="E2439" s="18" t="s">
        <v>5</v>
      </c>
      <c r="F2439" s="18" t="s">
        <v>1933</v>
      </c>
      <c r="G2439" s="18" t="s">
        <v>4102</v>
      </c>
      <c r="H2439" s="141" t="s">
        <v>4541</v>
      </c>
      <c r="I2439" s="18" t="s">
        <v>1497</v>
      </c>
      <c r="J2439" s="18" t="s">
        <v>4102</v>
      </c>
      <c r="K2439" s="18" t="s">
        <v>4103</v>
      </c>
      <c r="L2439" s="18" t="s">
        <v>4104</v>
      </c>
      <c r="M2439" s="18" t="s">
        <v>1497</v>
      </c>
      <c r="N2439" s="18" t="s">
        <v>6</v>
      </c>
      <c r="O2439" s="18" t="s">
        <v>7</v>
      </c>
      <c r="P2439" s="18" t="s">
        <v>5672</v>
      </c>
      <c r="Q2439" s="18" t="s">
        <v>8</v>
      </c>
      <c r="R2439" s="18" t="s">
        <v>9</v>
      </c>
      <c r="S2439" s="18" t="s">
        <v>4105</v>
      </c>
      <c r="T2439" s="18" t="s">
        <v>4106</v>
      </c>
    </row>
    <row r="2440" s="177" customFormat="1" ht="24" customHeight="1" spans="1:22">
      <c r="A2440" s="192" t="s">
        <v>432</v>
      </c>
      <c r="B2440" s="23">
        <v>20250609</v>
      </c>
      <c r="C2440" s="23">
        <v>7.19</v>
      </c>
      <c r="D2440" s="23" t="s">
        <v>433</v>
      </c>
      <c r="E2440" s="20" t="s">
        <v>434</v>
      </c>
      <c r="F2440" s="688"/>
      <c r="G2440" s="689"/>
      <c r="H2440" s="690"/>
      <c r="I2440" s="690"/>
      <c r="J2440" s="844"/>
      <c r="K2440" s="21"/>
      <c r="L2440" s="21"/>
      <c r="M2440" s="21"/>
      <c r="N2440" s="709">
        <v>0.286779819562568</v>
      </c>
      <c r="O2440" s="704">
        <v>0.82630669823772</v>
      </c>
      <c r="P2440" s="37"/>
      <c r="Q2440" s="709">
        <v>0.2</v>
      </c>
      <c r="R2440" s="22">
        <f>SUM(J2440:Q2440)</f>
        <v>1.31308651780029</v>
      </c>
      <c r="S2440" s="845"/>
      <c r="T2440" s="167" t="s">
        <v>435</v>
      </c>
    </row>
    <row r="2441" s="177" customFormat="1" ht="24" customHeight="1" spans="1:22">
      <c r="A2441" s="192"/>
      <c r="B2441" s="20">
        <v>20250528</v>
      </c>
      <c r="C2441" s="688">
        <v>7.19</v>
      </c>
      <c r="D2441" s="689" t="s">
        <v>504</v>
      </c>
      <c r="E2441" s="20" t="s">
        <v>505</v>
      </c>
      <c r="F2441" s="690"/>
      <c r="G2441" s="844"/>
      <c r="H2441" s="21"/>
      <c r="I2441" s="21"/>
      <c r="J2441" s="21"/>
      <c r="K2441" s="709"/>
      <c r="L2441" s="704"/>
      <c r="M2441" s="37"/>
      <c r="N2441" s="709">
        <v>0.538132089211439</v>
      </c>
      <c r="O2441" s="704">
        <v>0.573113260147369</v>
      </c>
      <c r="P2441" s="37" t="s">
        <v>1428</v>
      </c>
      <c r="Q2441" s="709">
        <v>0.2</v>
      </c>
      <c r="R2441" s="22">
        <f>SUM(J2441:Q2441)</f>
        <v>1.31124534935881</v>
      </c>
      <c r="S2441" s="845"/>
      <c r="T2441" s="167"/>
    </row>
    <row r="2445" ht="15.6" spans="1:22">
      <c r="A2445" s="801" t="s">
        <v>8249</v>
      </c>
      <c r="B2445" s="718"/>
      <c r="C2445" s="718"/>
      <c r="D2445" s="718"/>
      <c r="E2445" s="718"/>
      <c r="F2445" s="718"/>
      <c r="G2445" s="127"/>
      <c r="H2445" s="127"/>
      <c r="I2445" s="13"/>
      <c r="J2445" s="14"/>
      <c r="K2445" s="14"/>
      <c r="L2445" s="128"/>
      <c r="M2445" s="685"/>
      <c r="N2445" s="685"/>
      <c r="O2445" s="129"/>
      <c r="P2445" s="686"/>
      <c r="Q2445" s="15"/>
      <c r="R2445" s="13"/>
      <c r="S2445" s="130"/>
      <c r="T2445" s="130"/>
      <c r="U2445" s="12"/>
      <c r="V2445" s="131"/>
    </row>
    <row r="2446" ht="15.6" spans="1:22">
      <c r="A2446" s="802" t="s">
        <v>1490</v>
      </c>
      <c r="B2446" s="719"/>
      <c r="C2446" s="719"/>
      <c r="D2446" s="719"/>
      <c r="E2446" s="18" t="s">
        <v>5</v>
      </c>
      <c r="F2446" s="18" t="s">
        <v>1933</v>
      </c>
      <c r="G2446" s="18" t="s">
        <v>4102</v>
      </c>
      <c r="H2446" s="141" t="s">
        <v>4541</v>
      </c>
      <c r="I2446" s="18" t="s">
        <v>1497</v>
      </c>
      <c r="J2446" s="18" t="s">
        <v>4102</v>
      </c>
      <c r="K2446" s="18" t="s">
        <v>4103</v>
      </c>
      <c r="L2446" s="18" t="s">
        <v>4104</v>
      </c>
      <c r="M2446" s="18" t="s">
        <v>1497</v>
      </c>
      <c r="N2446" s="18" t="s">
        <v>6</v>
      </c>
      <c r="O2446" s="18" t="s">
        <v>7</v>
      </c>
      <c r="P2446" s="18" t="s">
        <v>5672</v>
      </c>
      <c r="Q2446" s="18" t="s">
        <v>8</v>
      </c>
      <c r="R2446" s="18" t="s">
        <v>9</v>
      </c>
      <c r="S2446" s="18" t="s">
        <v>4105</v>
      </c>
      <c r="T2446" s="18" t="s">
        <v>4106</v>
      </c>
    </row>
    <row r="2447" ht="15" spans="1:22">
      <c r="A2447" s="333" t="s">
        <v>7836</v>
      </c>
      <c r="B2447" s="35">
        <v>20250224</v>
      </c>
      <c r="C2447" s="21">
        <v>7.17</v>
      </c>
      <c r="D2447" s="780" t="s">
        <v>4746</v>
      </c>
      <c r="E2447" s="20" t="s">
        <v>1571</v>
      </c>
      <c r="F2447" s="750" t="s">
        <v>4742</v>
      </c>
      <c r="G2447" s="21" t="s">
        <v>3457</v>
      </c>
      <c r="H2447" s="21" t="s">
        <v>3436</v>
      </c>
      <c r="I2447" s="21" t="s">
        <v>1635</v>
      </c>
      <c r="J2447" s="138" t="s">
        <v>3513</v>
      </c>
      <c r="K2447" s="21">
        <f>6*2</f>
        <v>12</v>
      </c>
      <c r="L2447" s="781"/>
      <c r="M2447" s="21">
        <v>3.1</v>
      </c>
      <c r="N2447" s="22">
        <f>26.56/C2447/1.13</f>
        <v>3.27816245171005</v>
      </c>
      <c r="O2447" s="22">
        <v>13.0843754322269</v>
      </c>
      <c r="P2447" s="37"/>
      <c r="Q2447" s="37">
        <v>3</v>
      </c>
      <c r="R2447" s="22">
        <f>SUBTOTAL(9,H2447:Q2447)</f>
        <v>34.4625378839369</v>
      </c>
      <c r="S2447" s="167" t="s">
        <v>2579</v>
      </c>
      <c r="T2447" s="167" t="s">
        <v>4747</v>
      </c>
    </row>
    <row r="2448" spans="1:22">
      <c r="A2448" s="333"/>
      <c r="B2448" s="763">
        <v>20250312</v>
      </c>
      <c r="C2448" s="23">
        <v>7.21</v>
      </c>
      <c r="D2448" s="777" t="s">
        <v>778</v>
      </c>
      <c r="E2448" s="763" t="s">
        <v>779</v>
      </c>
      <c r="F2448" s="39"/>
      <c r="G2448" s="21"/>
      <c r="H2448" s="21"/>
      <c r="I2448" s="21"/>
      <c r="J2448" s="779"/>
      <c r="K2448" s="779"/>
      <c r="L2448" s="779"/>
      <c r="M2448" s="779"/>
      <c r="N2448" s="22">
        <v>0.120619838270952</v>
      </c>
      <c r="O2448" s="22">
        <v>0.257278946885399</v>
      </c>
      <c r="P2448" s="21"/>
      <c r="Q2448" s="37">
        <v>0.2</v>
      </c>
      <c r="R2448" s="37">
        <f>SUM(J2448:Q2448)</f>
        <v>0.577898785156351</v>
      </c>
      <c r="S2448" s="23"/>
      <c r="T2448" s="39"/>
      <c r="U2448" s="333"/>
    </row>
    <row r="2450" ht="14" customHeight="1"/>
    <row r="2451" ht="15.6" spans="1:22">
      <c r="A2451" s="801" t="s">
        <v>8249</v>
      </c>
      <c r="B2451" s="718"/>
      <c r="C2451" s="718"/>
      <c r="D2451" s="718"/>
      <c r="E2451" s="718"/>
      <c r="F2451" s="718"/>
      <c r="G2451" s="127"/>
      <c r="H2451" s="127"/>
      <c r="I2451" s="13"/>
      <c r="J2451" s="14"/>
      <c r="K2451" s="14"/>
      <c r="L2451" s="128"/>
      <c r="M2451" s="685"/>
      <c r="N2451" s="685"/>
      <c r="O2451" s="129"/>
      <c r="P2451" s="686"/>
      <c r="Q2451" s="15"/>
      <c r="R2451" s="13"/>
      <c r="S2451" s="130"/>
      <c r="T2451" s="130"/>
      <c r="U2451" s="12"/>
      <c r="V2451" s="131"/>
    </row>
    <row r="2452" ht="15.6" spans="1:22">
      <c r="A2452" s="802" t="s">
        <v>1490</v>
      </c>
      <c r="B2452" s="719"/>
      <c r="C2452" s="719"/>
      <c r="D2452" s="719"/>
      <c r="E2452" s="18" t="s">
        <v>5</v>
      </c>
      <c r="F2452" s="18" t="s">
        <v>1933</v>
      </c>
      <c r="G2452" s="18" t="s">
        <v>4102</v>
      </c>
      <c r="H2452" s="141" t="s">
        <v>4541</v>
      </c>
      <c r="I2452" s="18" t="s">
        <v>1497</v>
      </c>
      <c r="J2452" s="18" t="s">
        <v>4102</v>
      </c>
      <c r="K2452" s="18" t="s">
        <v>4103</v>
      </c>
      <c r="L2452" s="18" t="s">
        <v>4104</v>
      </c>
      <c r="M2452" s="18" t="s">
        <v>1497</v>
      </c>
      <c r="N2452" s="18" t="s">
        <v>6</v>
      </c>
      <c r="O2452" s="18" t="s">
        <v>7</v>
      </c>
      <c r="P2452" s="18" t="s">
        <v>5672</v>
      </c>
      <c r="Q2452" s="18" t="s">
        <v>8</v>
      </c>
      <c r="R2452" s="18" t="s">
        <v>9</v>
      </c>
      <c r="S2452" s="18" t="s">
        <v>4105</v>
      </c>
      <c r="T2452" s="18" t="s">
        <v>4106</v>
      </c>
    </row>
    <row r="2453" ht="15" spans="1:22">
      <c r="A2453" s="333" t="s">
        <v>8260</v>
      </c>
      <c r="B2453" s="35">
        <v>20250610</v>
      </c>
      <c r="C2453" s="21">
        <v>7.19</v>
      </c>
      <c r="D2453" s="780"/>
      <c r="E2453" s="20" t="s">
        <v>8261</v>
      </c>
      <c r="F2453" s="750" t="s">
        <v>7982</v>
      </c>
      <c r="G2453" s="21"/>
      <c r="H2453" s="21"/>
      <c r="I2453" s="21"/>
      <c r="J2453" s="138"/>
      <c r="K2453" s="21"/>
      <c r="L2453" s="781"/>
      <c r="M2453" s="21"/>
      <c r="N2453" s="22">
        <v>2.09238494959814</v>
      </c>
      <c r="O2453" s="704">
        <v>10.035186183197</v>
      </c>
      <c r="P2453" s="37"/>
      <c r="Q2453" s="709">
        <f>17.8/7.19</f>
        <v>2.47566063977747</v>
      </c>
      <c r="R2453" s="22">
        <f>SUBTOTAL(9,H2453:Q2453)</f>
        <v>14.6032317725726</v>
      </c>
      <c r="S2453" s="167"/>
      <c r="T2453" s="167" t="s">
        <v>8262</v>
      </c>
    </row>
    <row r="2454" ht="18" customHeight="1" spans="1:22">
      <c r="A2454" s="333" t="s">
        <v>8260</v>
      </c>
      <c r="B2454" s="35"/>
      <c r="C2454" s="21"/>
      <c r="D2454" s="780"/>
      <c r="E2454" s="20" t="s">
        <v>8263</v>
      </c>
      <c r="F2454" s="750" t="s">
        <v>7982</v>
      </c>
      <c r="G2454" s="21"/>
      <c r="H2454" s="21"/>
      <c r="I2454" s="21"/>
      <c r="J2454" s="138"/>
      <c r="K2454" s="21"/>
      <c r="L2454" s="781"/>
      <c r="M2454" s="21"/>
      <c r="N2454" s="22">
        <v>2.09238494959814</v>
      </c>
      <c r="O2454" s="704">
        <v>8.6</v>
      </c>
      <c r="P2454" s="37"/>
      <c r="Q2454" s="709">
        <f>17.8/7.19</f>
        <v>2.47566063977747</v>
      </c>
      <c r="R2454" s="22">
        <f>SUBTOTAL(9,H2454:Q2454)</f>
        <v>13.1680455893756</v>
      </c>
      <c r="S2454" s="167"/>
      <c r="T2454" s="167" t="s">
        <v>8262</v>
      </c>
    </row>
    <row r="2455" ht="15" spans="1:22">
      <c r="A2455" s="333" t="s">
        <v>1007</v>
      </c>
      <c r="B2455" s="35">
        <v>20250411</v>
      </c>
      <c r="C2455" s="21">
        <v>7.24</v>
      </c>
      <c r="D2455" s="780" t="s">
        <v>4612</v>
      </c>
      <c r="E2455" s="20" t="s">
        <v>1565</v>
      </c>
      <c r="F2455" s="750" t="s">
        <v>3767</v>
      </c>
      <c r="G2455" s="21" t="s">
        <v>3457</v>
      </c>
      <c r="H2455" s="21" t="s">
        <v>3425</v>
      </c>
      <c r="I2455" s="21" t="s">
        <v>1428</v>
      </c>
      <c r="J2455" s="138" t="s">
        <v>3513</v>
      </c>
      <c r="K2455" s="21" t="s">
        <v>1428</v>
      </c>
      <c r="L2455" s="689" t="s">
        <v>1428</v>
      </c>
      <c r="M2455" s="21" t="s">
        <v>1428</v>
      </c>
      <c r="N2455" s="22">
        <v>2.1790976114669</v>
      </c>
      <c r="O2455" s="704">
        <v>11.1472044515857</v>
      </c>
      <c r="P2455" s="37"/>
      <c r="Q2455" s="709">
        <v>3</v>
      </c>
      <c r="R2455" s="22">
        <f>SUM(J2455:Q2455)</f>
        <v>16.3263020630526</v>
      </c>
      <c r="S2455" s="167" t="s">
        <v>3452</v>
      </c>
      <c r="T2455" s="167" t="s">
        <v>4613</v>
      </c>
    </row>
    <row r="2456" ht="15" spans="1:22">
      <c r="A2456" s="333" t="s">
        <v>1007</v>
      </c>
      <c r="B2456" s="35">
        <v>20250411</v>
      </c>
      <c r="C2456" s="21">
        <v>7.19</v>
      </c>
      <c r="D2456" s="780" t="s">
        <v>1008</v>
      </c>
      <c r="E2456" s="20" t="s">
        <v>1009</v>
      </c>
      <c r="F2456" s="750"/>
      <c r="G2456" s="21"/>
      <c r="H2456" s="21"/>
      <c r="I2456" s="21"/>
      <c r="J2456" s="138"/>
      <c r="K2456" s="21"/>
      <c r="L2456" s="781"/>
      <c r="M2456" s="21"/>
      <c r="N2456" s="22">
        <v>0.637991356246141</v>
      </c>
      <c r="O2456" s="704">
        <v>3.29615382189619</v>
      </c>
      <c r="P2456" s="37"/>
      <c r="Q2456" s="709">
        <v>0.2</v>
      </c>
      <c r="R2456" s="22">
        <f>SUM(J2456:Q2456)</f>
        <v>4.13414517814233</v>
      </c>
      <c r="S2456" s="167"/>
      <c r="T2456" s="167" t="s">
        <v>1010</v>
      </c>
    </row>
    <row r="2459" ht="15.6" spans="1:22">
      <c r="A2459" s="801" t="s">
        <v>8249</v>
      </c>
      <c r="B2459" s="718"/>
      <c r="C2459" s="718"/>
      <c r="D2459" s="718"/>
      <c r="E2459" s="718"/>
      <c r="F2459" s="718"/>
      <c r="G2459" s="127"/>
      <c r="H2459" s="127"/>
      <c r="I2459" s="13"/>
      <c r="J2459" s="14"/>
      <c r="K2459" s="14"/>
      <c r="L2459" s="128"/>
      <c r="M2459" s="685"/>
      <c r="N2459" s="685"/>
      <c r="O2459" s="129"/>
      <c r="P2459" s="686"/>
      <c r="Q2459" s="15"/>
      <c r="R2459" s="13"/>
      <c r="S2459" s="130"/>
      <c r="T2459" s="130"/>
      <c r="U2459" s="12"/>
      <c r="V2459" s="131"/>
    </row>
    <row r="2460" ht="15.6" spans="1:22">
      <c r="A2460" s="802" t="s">
        <v>1490</v>
      </c>
      <c r="B2460" s="719"/>
      <c r="C2460" s="719"/>
      <c r="D2460" s="719"/>
      <c r="E2460" s="18" t="s">
        <v>5</v>
      </c>
      <c r="F2460" s="18" t="s">
        <v>1933</v>
      </c>
      <c r="G2460" s="18" t="s">
        <v>4102</v>
      </c>
      <c r="H2460" s="141" t="s">
        <v>4541</v>
      </c>
      <c r="I2460" s="18" t="s">
        <v>1497</v>
      </c>
      <c r="J2460" s="18" t="s">
        <v>4102</v>
      </c>
      <c r="K2460" s="18" t="s">
        <v>4103</v>
      </c>
      <c r="L2460" s="18" t="s">
        <v>4104</v>
      </c>
      <c r="M2460" s="18" t="s">
        <v>1497</v>
      </c>
      <c r="N2460" s="18" t="s">
        <v>6</v>
      </c>
      <c r="O2460" s="18" t="s">
        <v>7</v>
      </c>
      <c r="P2460" s="18" t="s">
        <v>5672</v>
      </c>
      <c r="Q2460" s="18" t="s">
        <v>8</v>
      </c>
      <c r="R2460" s="18" t="s">
        <v>9</v>
      </c>
      <c r="S2460" s="18" t="s">
        <v>4105</v>
      </c>
      <c r="T2460" s="18" t="s">
        <v>4106</v>
      </c>
    </row>
    <row r="2461" ht="15" spans="1:22">
      <c r="A2461" s="333" t="s">
        <v>8264</v>
      </c>
      <c r="B2461" s="846">
        <v>20240827</v>
      </c>
      <c r="C2461" s="846">
        <v>7.24</v>
      </c>
      <c r="D2461" s="847" t="s">
        <v>5761</v>
      </c>
      <c r="E2461" s="846" t="s">
        <v>8265</v>
      </c>
      <c r="F2461" s="848" t="s">
        <v>3592</v>
      </c>
      <c r="G2461" s="849" t="s">
        <v>3566</v>
      </c>
      <c r="H2461" s="849" t="s">
        <v>1913</v>
      </c>
      <c r="I2461" s="850" t="s">
        <v>1428</v>
      </c>
      <c r="J2461" s="851">
        <v>35</v>
      </c>
      <c r="K2461" s="852" t="s">
        <v>1428</v>
      </c>
      <c r="L2461" s="852" t="s">
        <v>1428</v>
      </c>
      <c r="M2461" s="852" t="s">
        <v>1428</v>
      </c>
      <c r="N2461" s="853">
        <v>3.23157999403401</v>
      </c>
      <c r="O2461" s="854">
        <v>17.7962772841004</v>
      </c>
      <c r="P2461" s="849" t="s">
        <v>1428</v>
      </c>
      <c r="Q2461" s="855">
        <v>4</v>
      </c>
      <c r="R2461" s="853">
        <f>SUM(J2461:Q2461)</f>
        <v>60.0278572781344</v>
      </c>
      <c r="S2461" s="856" t="s">
        <v>1526</v>
      </c>
      <c r="T2461" s="857" t="s">
        <v>8266</v>
      </c>
    </row>
    <row r="2462" ht="15" customHeight="1"/>
    <row r="2464" ht="15.6" spans="1:22">
      <c r="A2464" s="801" t="s">
        <v>8249</v>
      </c>
      <c r="B2464" s="718"/>
      <c r="C2464" s="718"/>
      <c r="D2464" s="718"/>
      <c r="E2464" s="718"/>
      <c r="F2464" s="718"/>
      <c r="G2464" s="127"/>
      <c r="H2464" s="127"/>
      <c r="I2464" s="13"/>
      <c r="J2464" s="14"/>
      <c r="K2464" s="14"/>
      <c r="L2464" s="128"/>
      <c r="M2464" s="685"/>
      <c r="N2464" s="685"/>
      <c r="O2464" s="129"/>
      <c r="P2464" s="686"/>
      <c r="Q2464" s="15"/>
      <c r="R2464" s="13"/>
      <c r="S2464" s="130"/>
      <c r="T2464" s="130"/>
      <c r="U2464" s="12"/>
      <c r="V2464" s="131"/>
    </row>
    <row r="2465" ht="15.6" spans="1:20">
      <c r="A2465" s="802" t="s">
        <v>1490</v>
      </c>
      <c r="B2465" s="719"/>
      <c r="C2465" s="719"/>
      <c r="D2465" s="719"/>
      <c r="E2465" s="18" t="s">
        <v>5</v>
      </c>
      <c r="F2465" s="18" t="s">
        <v>1933</v>
      </c>
      <c r="G2465" s="18" t="s">
        <v>4102</v>
      </c>
      <c r="H2465" s="141" t="s">
        <v>4541</v>
      </c>
      <c r="I2465" s="18" t="s">
        <v>1497</v>
      </c>
      <c r="J2465" s="18" t="s">
        <v>4102</v>
      </c>
      <c r="K2465" s="18" t="s">
        <v>4103</v>
      </c>
      <c r="L2465" s="18" t="s">
        <v>4104</v>
      </c>
      <c r="M2465" s="18" t="s">
        <v>1497</v>
      </c>
      <c r="N2465" s="18" t="s">
        <v>6</v>
      </c>
      <c r="O2465" s="18" t="s">
        <v>7</v>
      </c>
      <c r="P2465" s="18" t="s">
        <v>5672</v>
      </c>
      <c r="Q2465" s="18" t="s">
        <v>8</v>
      </c>
      <c r="R2465" s="18" t="s">
        <v>9</v>
      </c>
      <c r="S2465" s="18" t="s">
        <v>4105</v>
      </c>
      <c r="T2465" s="18" t="s">
        <v>4106</v>
      </c>
    </row>
    <row r="2466" ht="18" customHeight="1" spans="1:20">
      <c r="A2466" s="333"/>
      <c r="B2466" s="35">
        <v>20250610</v>
      </c>
      <c r="C2466" s="21">
        <v>7.19</v>
      </c>
      <c r="D2466" s="780"/>
      <c r="E2466" s="20" t="s">
        <v>8267</v>
      </c>
      <c r="F2466" s="750" t="s">
        <v>4471</v>
      </c>
      <c r="G2466" s="21"/>
      <c r="H2466" s="21"/>
      <c r="I2466" s="21"/>
      <c r="J2466" s="138"/>
      <c r="K2466" s="21"/>
      <c r="L2466" s="781"/>
      <c r="M2466" s="21"/>
      <c r="N2466" s="704">
        <v>4.50108927098847</v>
      </c>
      <c r="O2466" s="704">
        <v>28.6896899467119</v>
      </c>
      <c r="P2466" s="37"/>
      <c r="Q2466" s="709">
        <v>4</v>
      </c>
      <c r="R2466" s="22">
        <f>SUM(J2466:Q2466)</f>
        <v>37.1907792177004</v>
      </c>
      <c r="S2466" s="167"/>
      <c r="T2466" s="167" t="s">
        <v>8268</v>
      </c>
    </row>
    <row r="2473" ht="15.6" spans="1:20">
      <c r="A2473" s="684" t="s">
        <v>8249</v>
      </c>
      <c r="B2473" s="11"/>
      <c r="C2473" s="11"/>
      <c r="D2473" s="11"/>
      <c r="E2473" s="127"/>
      <c r="F2473" s="127"/>
      <c r="G2473" s="13"/>
      <c r="H2473" s="14"/>
      <c r="I2473" s="14"/>
      <c r="J2473" s="128"/>
      <c r="K2473" s="129"/>
      <c r="L2473" s="129"/>
      <c r="M2473" s="129"/>
      <c r="N2473" s="15"/>
      <c r="O2473" s="15"/>
      <c r="P2473" s="13"/>
      <c r="Q2473" s="130"/>
      <c r="R2473" s="130"/>
      <c r="S2473" s="12"/>
      <c r="T2473" s="131"/>
    </row>
    <row r="2474" ht="15.6" spans="1:20">
      <c r="A2474" s="132" t="s">
        <v>1490</v>
      </c>
      <c r="B2474" s="17" t="s">
        <v>1492</v>
      </c>
      <c r="C2474" s="754" t="s">
        <v>1404</v>
      </c>
      <c r="D2474" s="164" t="s">
        <v>1494</v>
      </c>
      <c r="E2474" s="18" t="s">
        <v>5</v>
      </c>
      <c r="F2474" s="18" t="s">
        <v>1933</v>
      </c>
      <c r="G2474" s="18" t="s">
        <v>4102</v>
      </c>
      <c r="H2474" s="18" t="s">
        <v>1910</v>
      </c>
      <c r="I2474" s="18" t="s">
        <v>1497</v>
      </c>
      <c r="J2474" s="18" t="s">
        <v>4102</v>
      </c>
      <c r="K2474" s="18" t="s">
        <v>4103</v>
      </c>
      <c r="L2474" s="18" t="s">
        <v>4104</v>
      </c>
      <c r="M2474" s="18" t="s">
        <v>1497</v>
      </c>
      <c r="N2474" s="18" t="s">
        <v>6</v>
      </c>
      <c r="O2474" s="18" t="s">
        <v>7</v>
      </c>
      <c r="P2474" s="18" t="s">
        <v>5672</v>
      </c>
      <c r="Q2474" s="18" t="s">
        <v>8</v>
      </c>
      <c r="R2474" s="18" t="s">
        <v>9</v>
      </c>
      <c r="S2474" s="18" t="s">
        <v>4105</v>
      </c>
      <c r="T2474" s="18" t="s">
        <v>4106</v>
      </c>
    </row>
    <row r="2475" ht="18" hidden="1" customHeight="1" spans="1:20">
      <c r="A2475" s="333" t="s">
        <v>8260</v>
      </c>
      <c r="B2475" s="35"/>
      <c r="C2475" s="21"/>
      <c r="D2475" s="780"/>
      <c r="E2475" s="20" t="s">
        <v>8269</v>
      </c>
      <c r="F2475" s="750" t="s">
        <v>7982</v>
      </c>
      <c r="G2475" s="21"/>
      <c r="H2475" s="21"/>
      <c r="I2475" s="21"/>
      <c r="J2475" s="138"/>
      <c r="K2475" s="21"/>
      <c r="L2475" s="781"/>
      <c r="M2475" s="21"/>
      <c r="N2475" s="22">
        <v>2.09238494959814</v>
      </c>
      <c r="O2475" s="704">
        <v>9</v>
      </c>
      <c r="P2475" s="37"/>
      <c r="Q2475" s="709">
        <f>17.8/7.19</f>
        <v>2.47566063977747</v>
      </c>
      <c r="R2475" s="22">
        <f>SUBTOTAL(9,H2475:Q2475)</f>
        <v>0</v>
      </c>
      <c r="S2475" s="167"/>
      <c r="T2475" s="167" t="s">
        <v>8262</v>
      </c>
    </row>
    <row r="2476" hidden="1" spans="1:20">
      <c r="A2476" s="812"/>
      <c r="B2476" s="765">
        <v>20250528</v>
      </c>
      <c r="C2476" s="21">
        <v>7.19</v>
      </c>
      <c r="D2476" s="19" t="s">
        <v>504</v>
      </c>
      <c r="E2476" s="20" t="s">
        <v>505</v>
      </c>
      <c r="F2476" s="20"/>
      <c r="G2476" s="21"/>
      <c r="H2476" s="21"/>
      <c r="I2476" s="21"/>
      <c r="J2476" s="138"/>
      <c r="K2476" s="21"/>
      <c r="L2476" s="21"/>
      <c r="M2476" s="21"/>
      <c r="N2476" s="709">
        <v>0.538132089211439</v>
      </c>
      <c r="O2476" s="22">
        <v>0.573113260147369</v>
      </c>
      <c r="P2476" s="21" t="s">
        <v>1428</v>
      </c>
      <c r="Q2476" s="709">
        <v>0.2</v>
      </c>
      <c r="R2476" s="22">
        <v>1.31124534935881</v>
      </c>
      <c r="S2476" s="38"/>
      <c r="T2476" s="20"/>
    </row>
    <row r="2477" hidden="1" spans="1:20">
      <c r="A2477" s="812"/>
      <c r="B2477" s="765">
        <v>20250609</v>
      </c>
      <c r="C2477" s="21">
        <v>7.19</v>
      </c>
      <c r="D2477" s="19" t="s">
        <v>433</v>
      </c>
      <c r="E2477" s="20" t="s">
        <v>434</v>
      </c>
      <c r="F2477" s="20"/>
      <c r="G2477" s="21"/>
      <c r="H2477" s="21"/>
      <c r="I2477" s="21"/>
      <c r="J2477" s="138"/>
      <c r="K2477" s="21"/>
      <c r="L2477" s="21"/>
      <c r="M2477" s="21"/>
      <c r="N2477" s="709">
        <v>0.286779819562568</v>
      </c>
      <c r="O2477" s="22">
        <v>0.824823812715793</v>
      </c>
      <c r="P2477" s="21"/>
      <c r="Q2477" s="709">
        <v>0.2</v>
      </c>
      <c r="R2477" s="22">
        <v>1.31160363227836</v>
      </c>
      <c r="S2477" s="38"/>
      <c r="T2477" s="20" t="s">
        <v>435</v>
      </c>
    </row>
    <row r="2478" hidden="1"/>
    <row r="2479" s="182" customFormat="1" ht="18" customHeight="1" spans="1:20">
      <c r="A2479" s="333" t="s">
        <v>4500</v>
      </c>
      <c r="B2479" s="35">
        <v>20250612</v>
      </c>
      <c r="C2479" s="21">
        <v>7.19</v>
      </c>
      <c r="D2479" s="780"/>
      <c r="E2479" s="20" t="s">
        <v>8270</v>
      </c>
      <c r="F2479" s="750" t="s">
        <v>4471</v>
      </c>
      <c r="G2479" s="21" t="s">
        <v>2392</v>
      </c>
      <c r="H2479" s="21"/>
      <c r="I2479" s="21" t="s">
        <v>1633</v>
      </c>
      <c r="J2479" s="21">
        <v>85</v>
      </c>
      <c r="K2479" s="21"/>
      <c r="L2479" s="22"/>
      <c r="M2479" s="37">
        <v>1.64929166615383</v>
      </c>
      <c r="N2479" s="704">
        <f>34.5811/7.19/1.13</f>
        <v>4.25629254003225</v>
      </c>
      <c r="O2479" s="709">
        <v>11.7760215066963</v>
      </c>
      <c r="P2479" s="22"/>
      <c r="Q2479" s="709">
        <f t="shared" ref="Q2479:Q2481" si="11">22.5/7.19</f>
        <v>3.12934631432545</v>
      </c>
      <c r="R2479" s="22">
        <f>SUBTOTAL(9,H2479:Q2479)</f>
        <v>105.810952027208</v>
      </c>
      <c r="S2479" s="333"/>
      <c r="T2479" s="333" t="s">
        <v>8271</v>
      </c>
    </row>
    <row r="2480" s="182" customFormat="1" ht="18" customHeight="1" spans="1:20">
      <c r="A2480" s="333" t="s">
        <v>4500</v>
      </c>
      <c r="B2480" s="35">
        <v>20250612</v>
      </c>
      <c r="C2480" s="21">
        <v>7.19</v>
      </c>
      <c r="D2480" s="780"/>
      <c r="E2480" s="20" t="s">
        <v>8272</v>
      </c>
      <c r="F2480" s="750" t="s">
        <v>4457</v>
      </c>
      <c r="G2480" s="21" t="s">
        <v>2365</v>
      </c>
      <c r="H2480" s="21"/>
      <c r="I2480" s="21" t="s">
        <v>1635</v>
      </c>
      <c r="J2480" s="21">
        <v>140</v>
      </c>
      <c r="K2480" s="21"/>
      <c r="L2480" s="22"/>
      <c r="M2480" s="37">
        <v>3.1</v>
      </c>
      <c r="N2480" s="704">
        <f>34.5811/7.19/1.13</f>
        <v>4.25629254003225</v>
      </c>
      <c r="O2480" s="709">
        <v>15.6218133450626</v>
      </c>
      <c r="P2480" s="22"/>
      <c r="Q2480" s="709">
        <f t="shared" si="11"/>
        <v>3.12934631432545</v>
      </c>
      <c r="R2480" s="22">
        <f>SUBTOTAL(9,H2480:Q2480)</f>
        <v>166.10745219942</v>
      </c>
      <c r="S2480" s="333"/>
      <c r="T2480" s="333" t="s">
        <v>8273</v>
      </c>
    </row>
    <row r="2481" s="182" customFormat="1" ht="18" customHeight="1" spans="1:20">
      <c r="A2481" s="333" t="s">
        <v>4500</v>
      </c>
      <c r="B2481" s="35">
        <v>20250612</v>
      </c>
      <c r="C2481" s="21">
        <v>7.19</v>
      </c>
      <c r="D2481" s="780"/>
      <c r="E2481" s="20" t="s">
        <v>8274</v>
      </c>
      <c r="F2481" s="750" t="s">
        <v>4457</v>
      </c>
      <c r="G2481" s="21" t="s">
        <v>2365</v>
      </c>
      <c r="H2481" s="21"/>
      <c r="I2481" s="21" t="s">
        <v>1633</v>
      </c>
      <c r="J2481" s="21">
        <v>140</v>
      </c>
      <c r="K2481" s="21"/>
      <c r="L2481" s="22"/>
      <c r="M2481" s="37">
        <v>1.64929166615383</v>
      </c>
      <c r="N2481" s="704">
        <f>34.5811/7.19/1.13</f>
        <v>4.25629254003225</v>
      </c>
      <c r="O2481" s="709">
        <v>15.5619698419271</v>
      </c>
      <c r="P2481" s="22"/>
      <c r="Q2481" s="709">
        <f t="shared" si="11"/>
        <v>3.12934631432545</v>
      </c>
      <c r="R2481" s="22">
        <f>SUBTOTAL(9,H2481:Q2481)</f>
        <v>164.596900362439</v>
      </c>
      <c r="S2481" s="333"/>
      <c r="T2481" s="333" t="s">
        <v>8275</v>
      </c>
    </row>
    <row r="2486" ht="15.6" spans="1:20">
      <c r="A2486" s="801" t="s">
        <v>8249</v>
      </c>
      <c r="B2486" s="718"/>
      <c r="C2486" s="718"/>
      <c r="D2486" s="718"/>
      <c r="E2486" s="127"/>
      <c r="F2486" s="127"/>
      <c r="G2486" s="13"/>
      <c r="H2486" s="14"/>
      <c r="I2486" s="14"/>
      <c r="J2486" s="128"/>
      <c r="K2486" s="685"/>
      <c r="L2486" s="685"/>
      <c r="M2486" s="129"/>
      <c r="N2486" s="686"/>
      <c r="O2486" s="15"/>
      <c r="P2486" s="13"/>
      <c r="Q2486" s="130"/>
      <c r="R2486" s="130"/>
      <c r="S2486" s="12"/>
      <c r="T2486" s="131"/>
    </row>
    <row r="2487" ht="15.6" spans="1:20">
      <c r="A2487" s="802" t="s">
        <v>1490</v>
      </c>
      <c r="B2487" s="719"/>
      <c r="C2487" s="720" t="s">
        <v>1404</v>
      </c>
      <c r="D2487" s="18" t="s">
        <v>4</v>
      </c>
      <c r="E2487" s="18" t="s">
        <v>5</v>
      </c>
      <c r="F2487" s="18" t="s">
        <v>1933</v>
      </c>
      <c r="G2487" s="18" t="s">
        <v>4102</v>
      </c>
      <c r="H2487" s="141" t="s">
        <v>4541</v>
      </c>
      <c r="I2487" s="18" t="s">
        <v>1497</v>
      </c>
      <c r="J2487" s="18" t="s">
        <v>4102</v>
      </c>
      <c r="K2487" s="18" t="s">
        <v>4103</v>
      </c>
      <c r="L2487" s="18" t="s">
        <v>4104</v>
      </c>
      <c r="M2487" s="18" t="s">
        <v>1497</v>
      </c>
      <c r="N2487" s="18" t="s">
        <v>6</v>
      </c>
      <c r="O2487" s="18" t="s">
        <v>7</v>
      </c>
      <c r="P2487" s="18" t="s">
        <v>5672</v>
      </c>
      <c r="Q2487" s="18" t="s">
        <v>8</v>
      </c>
      <c r="R2487" s="18" t="s">
        <v>9</v>
      </c>
      <c r="S2487" s="18" t="s">
        <v>4105</v>
      </c>
      <c r="T2487" s="18" t="s">
        <v>4106</v>
      </c>
    </row>
    <row r="2488" ht="15" spans="1:20">
      <c r="A2488" s="858" t="s">
        <v>309</v>
      </c>
      <c r="B2488" s="35">
        <v>20250612</v>
      </c>
      <c r="C2488" s="23">
        <v>7.19</v>
      </c>
      <c r="D2488" s="23" t="s">
        <v>2422</v>
      </c>
      <c r="E2488" s="695" t="s">
        <v>1671</v>
      </c>
      <c r="F2488" s="20" t="s">
        <v>1933</v>
      </c>
      <c r="G2488" s="21" t="s">
        <v>2384</v>
      </c>
      <c r="H2488" s="21" t="s">
        <v>1913</v>
      </c>
      <c r="I2488" s="21" t="s">
        <v>1428</v>
      </c>
      <c r="J2488" s="690">
        <v>289</v>
      </c>
      <c r="K2488" s="21" t="s">
        <v>1428</v>
      </c>
      <c r="L2488" s="21" t="s">
        <v>1428</v>
      </c>
      <c r="M2488" s="21" t="s">
        <v>1428</v>
      </c>
      <c r="N2488" s="22">
        <v>4.59732291806354</v>
      </c>
      <c r="O2488" s="704">
        <v>23.4771147149049</v>
      </c>
      <c r="P2488" s="37" t="s">
        <v>1428</v>
      </c>
      <c r="Q2488" s="37">
        <v>5.02685937768077</v>
      </c>
      <c r="R2488" s="22">
        <f>SUBTOTAL(9,H2488:Q2488)</f>
        <v>322.101297010649</v>
      </c>
      <c r="S2488" s="167" t="s">
        <v>1526</v>
      </c>
      <c r="T2488" s="859" t="s">
        <v>8276</v>
      </c>
    </row>
    <row r="2489" ht="15" spans="1:20">
      <c r="A2489" s="860"/>
      <c r="B2489" s="35">
        <v>20240312</v>
      </c>
      <c r="C2489" s="23">
        <v>7.21</v>
      </c>
      <c r="D2489" s="23" t="s">
        <v>310</v>
      </c>
      <c r="E2489" s="695" t="s">
        <v>311</v>
      </c>
      <c r="F2489" s="20"/>
      <c r="G2489" s="21"/>
      <c r="H2489" s="21"/>
      <c r="I2489" s="21"/>
      <c r="J2489" s="690"/>
      <c r="K2489" s="21"/>
      <c r="L2489" s="21"/>
      <c r="M2489" s="21"/>
      <c r="N2489" s="22">
        <v>0.56154744346116</v>
      </c>
      <c r="O2489" s="22">
        <v>3.97545936509516</v>
      </c>
      <c r="P2489" s="37" t="s">
        <v>1428</v>
      </c>
      <c r="Q2489" s="774">
        <v>0.4</v>
      </c>
      <c r="R2489" s="22">
        <f>SUBTOTAL(9,H2489:Q2489)</f>
        <v>4.93700680855632</v>
      </c>
      <c r="S2489" s="23"/>
      <c r="T2489" s="167" t="s">
        <v>8277</v>
      </c>
    </row>
    <row r="2494" ht="15.6" spans="1:20">
      <c r="A2494" s="801" t="s">
        <v>8249</v>
      </c>
      <c r="B2494" s="718"/>
      <c r="C2494" s="718"/>
      <c r="D2494" s="718"/>
      <c r="E2494" s="127"/>
      <c r="F2494" s="127"/>
      <c r="G2494" s="13"/>
      <c r="H2494" s="14"/>
      <c r="I2494" s="14"/>
      <c r="J2494" s="128"/>
      <c r="K2494" s="685"/>
      <c r="L2494" s="685"/>
      <c r="M2494" s="129"/>
      <c r="N2494" s="686"/>
      <c r="O2494" s="15"/>
      <c r="P2494" s="13"/>
      <c r="Q2494" s="130"/>
      <c r="R2494" s="130"/>
      <c r="S2494" s="12"/>
      <c r="T2494" s="131"/>
    </row>
    <row r="2495" ht="15.6" spans="1:20">
      <c r="A2495" s="802" t="s">
        <v>1490</v>
      </c>
      <c r="B2495" s="719"/>
      <c r="C2495" s="720" t="s">
        <v>1404</v>
      </c>
      <c r="D2495" s="719"/>
      <c r="E2495" s="18" t="s">
        <v>5</v>
      </c>
      <c r="F2495" s="18" t="s">
        <v>1933</v>
      </c>
      <c r="G2495" s="18" t="s">
        <v>4102</v>
      </c>
      <c r="H2495" s="141" t="s">
        <v>4541</v>
      </c>
      <c r="I2495" s="18" t="s">
        <v>1497</v>
      </c>
      <c r="J2495" s="18" t="s">
        <v>4102</v>
      </c>
      <c r="K2495" s="18" t="s">
        <v>4103</v>
      </c>
      <c r="L2495" s="18" t="s">
        <v>4104</v>
      </c>
      <c r="M2495" s="18" t="s">
        <v>1497</v>
      </c>
      <c r="N2495" s="18" t="s">
        <v>6</v>
      </c>
      <c r="O2495" s="18" t="s">
        <v>7</v>
      </c>
      <c r="P2495" s="18" t="s">
        <v>5672</v>
      </c>
      <c r="Q2495" s="18" t="s">
        <v>8</v>
      </c>
      <c r="R2495" s="18" t="s">
        <v>9</v>
      </c>
      <c r="S2495" s="18" t="s">
        <v>4105</v>
      </c>
      <c r="T2495" s="18" t="s">
        <v>4106</v>
      </c>
    </row>
    <row r="2496" ht="26" customHeight="1" spans="1:20">
      <c r="A2496" s="702" t="s">
        <v>7407</v>
      </c>
      <c r="B2496" s="777">
        <v>20240808</v>
      </c>
      <c r="C2496" s="23">
        <v>7.19</v>
      </c>
      <c r="D2496" s="861" t="s">
        <v>7741</v>
      </c>
      <c r="E2496" s="20" t="s">
        <v>7742</v>
      </c>
      <c r="F2496" s="20" t="s">
        <v>3916</v>
      </c>
      <c r="G2496" s="689" t="s">
        <v>2338</v>
      </c>
      <c r="H2496" s="690" t="s">
        <v>1913</v>
      </c>
      <c r="I2496" s="690" t="s">
        <v>1428</v>
      </c>
      <c r="J2496" s="21">
        <v>135</v>
      </c>
      <c r="K2496" s="21" t="s">
        <v>1428</v>
      </c>
      <c r="L2496" s="21" t="s">
        <v>1428</v>
      </c>
      <c r="M2496" s="21" t="s">
        <v>1428</v>
      </c>
      <c r="N2496" s="709">
        <v>3.83127357674879</v>
      </c>
      <c r="O2496" s="22">
        <v>11.943036935375</v>
      </c>
      <c r="P2496" s="37" t="s">
        <v>1428</v>
      </c>
      <c r="Q2496" s="709">
        <v>2.92072322670376</v>
      </c>
      <c r="R2496" s="37">
        <v>154.695033738828</v>
      </c>
      <c r="S2496" s="693" t="s">
        <v>1526</v>
      </c>
      <c r="T2496" s="167" t="s">
        <v>2588</v>
      </c>
    </row>
    <row r="2497" ht="15" spans="1:20">
      <c r="A2497" s="333" t="s">
        <v>455</v>
      </c>
      <c r="B2497" s="23">
        <v>20250612</v>
      </c>
      <c r="C2497" s="23">
        <v>7.19</v>
      </c>
      <c r="D2497" s="23" t="s">
        <v>3057</v>
      </c>
      <c r="E2497" s="775" t="s">
        <v>1669</v>
      </c>
      <c r="F2497" s="862" t="s">
        <v>1933</v>
      </c>
      <c r="G2497" s="690" t="s">
        <v>2972</v>
      </c>
      <c r="H2497" s="21" t="s">
        <v>1913</v>
      </c>
      <c r="I2497" s="21" t="s">
        <v>1428</v>
      </c>
      <c r="J2497" s="844">
        <v>65</v>
      </c>
      <c r="K2497" s="21" t="s">
        <v>1428</v>
      </c>
      <c r="L2497" s="21" t="s">
        <v>1428</v>
      </c>
      <c r="M2497" s="21" t="s">
        <v>1428</v>
      </c>
      <c r="N2497" s="37">
        <v>4.67431397514548</v>
      </c>
      <c r="O2497" s="704">
        <v>11.4186152867847</v>
      </c>
      <c r="P2497" s="37" t="s">
        <v>1428</v>
      </c>
      <c r="Q2497" s="709">
        <v>2.75938803894298</v>
      </c>
      <c r="R2497" s="22">
        <f>SUBTOTAL(9,H2497:Q2497)</f>
        <v>83.8523173008732</v>
      </c>
      <c r="S2497" s="167" t="s">
        <v>1526</v>
      </c>
      <c r="T2497" s="859" t="s">
        <v>8278</v>
      </c>
    </row>
    <row r="2498" spans="1:20">
      <c r="A2498" s="333"/>
      <c r="B2498" s="23">
        <v>20240724</v>
      </c>
      <c r="C2498" s="23">
        <v>7.24</v>
      </c>
      <c r="D2498" s="23" t="s">
        <v>1105</v>
      </c>
      <c r="E2498" s="20" t="s">
        <v>1106</v>
      </c>
      <c r="F2498" s="20"/>
      <c r="G2498" s="21"/>
      <c r="H2498" s="21"/>
      <c r="I2498" s="21"/>
      <c r="J2498" s="21"/>
      <c r="K2498" s="21"/>
      <c r="L2498" s="21"/>
      <c r="M2498" s="21"/>
      <c r="N2498" s="37">
        <v>0.363090329489089</v>
      </c>
      <c r="O2498" s="37">
        <v>0.860967864761427</v>
      </c>
      <c r="P2498" s="37" t="s">
        <v>1428</v>
      </c>
      <c r="Q2498" s="37">
        <v>0.2</v>
      </c>
      <c r="R2498" s="22">
        <f>SUBTOTAL(9,H2498:Q2498)</f>
        <v>1.42405819425052</v>
      </c>
      <c r="S2498" s="23"/>
      <c r="T2498" s="35"/>
    </row>
    <row r="2500" ht="15.6" spans="1:20">
      <c r="A2500" s="801" t="s">
        <v>8249</v>
      </c>
      <c r="B2500" s="718"/>
      <c r="C2500" s="718"/>
      <c r="D2500" s="718"/>
      <c r="E2500" s="127"/>
      <c r="F2500" s="127"/>
      <c r="G2500" s="13"/>
      <c r="H2500" s="14"/>
      <c r="I2500" s="14"/>
      <c r="J2500" s="128"/>
      <c r="K2500" s="685"/>
      <c r="L2500" s="685"/>
      <c r="M2500" s="129"/>
      <c r="N2500" s="686"/>
      <c r="O2500" s="15"/>
      <c r="P2500" s="13"/>
      <c r="Q2500" s="130"/>
      <c r="R2500" s="130"/>
      <c r="S2500" s="12"/>
      <c r="T2500" s="131"/>
    </row>
    <row r="2501" ht="15.6" spans="1:20">
      <c r="A2501" s="802" t="s">
        <v>1490</v>
      </c>
      <c r="B2501" s="719"/>
      <c r="C2501" s="720" t="s">
        <v>1404</v>
      </c>
      <c r="D2501" s="719"/>
      <c r="E2501" s="18" t="s">
        <v>5</v>
      </c>
      <c r="F2501" s="18" t="s">
        <v>1933</v>
      </c>
      <c r="G2501" s="18" t="s">
        <v>4102</v>
      </c>
      <c r="H2501" s="141" t="s">
        <v>4541</v>
      </c>
      <c r="I2501" s="18" t="s">
        <v>1497</v>
      </c>
      <c r="J2501" s="18" t="s">
        <v>4102</v>
      </c>
      <c r="K2501" s="18" t="s">
        <v>4103</v>
      </c>
      <c r="L2501" s="18" t="s">
        <v>4104</v>
      </c>
      <c r="M2501" s="18" t="s">
        <v>1497</v>
      </c>
      <c r="N2501" s="18" t="s">
        <v>6</v>
      </c>
      <c r="O2501" s="18" t="s">
        <v>7</v>
      </c>
      <c r="P2501" s="18" t="s">
        <v>5672</v>
      </c>
      <c r="Q2501" s="18" t="s">
        <v>8</v>
      </c>
      <c r="R2501" s="18" t="s">
        <v>9</v>
      </c>
      <c r="S2501" s="18" t="s">
        <v>4105</v>
      </c>
      <c r="T2501" s="18" t="s">
        <v>4106</v>
      </c>
    </row>
    <row r="2502" s="190" customFormat="1" ht="26" customHeight="1" spans="1:20">
      <c r="A2502" s="21" t="s">
        <v>7826</v>
      </c>
      <c r="B2502" s="777">
        <v>20250605</v>
      </c>
      <c r="C2502" s="23">
        <v>7.2</v>
      </c>
      <c r="D2502" s="861" t="s">
        <v>4061</v>
      </c>
      <c r="E2502" s="21" t="s">
        <v>8279</v>
      </c>
      <c r="F2502" s="21" t="s">
        <v>8087</v>
      </c>
      <c r="G2502" s="863" t="s">
        <v>8280</v>
      </c>
      <c r="H2502" s="21" t="s">
        <v>1913</v>
      </c>
      <c r="I2502" s="21"/>
      <c r="J2502" s="700">
        <v>55</v>
      </c>
      <c r="K2502" s="21"/>
      <c r="L2502" s="21"/>
      <c r="M2502" s="21"/>
      <c r="N2502" s="37">
        <v>3.73770894788594</v>
      </c>
      <c r="O2502" s="22">
        <v>9.23835014199373</v>
      </c>
      <c r="P2502" s="37"/>
      <c r="Q2502" s="37">
        <v>3</v>
      </c>
      <c r="R2502" s="22">
        <f>SUBTOTAL(9,H2502:Q2502)</f>
        <v>70.9760590898797</v>
      </c>
      <c r="S2502" s="864" t="s">
        <v>1526</v>
      </c>
      <c r="T2502" s="167" t="s">
        <v>4049</v>
      </c>
    </row>
    <row r="2503" s="190" customFormat="1" ht="26" customHeight="1" spans="1:20">
      <c r="A2503" s="21"/>
      <c r="B2503" s="777">
        <v>20241111</v>
      </c>
      <c r="C2503" s="23">
        <v>7.21</v>
      </c>
      <c r="D2503" s="861" t="s">
        <v>175</v>
      </c>
      <c r="E2503" s="21" t="s">
        <v>176</v>
      </c>
      <c r="F2503" s="21"/>
      <c r="G2503" s="863"/>
      <c r="H2503" s="21"/>
      <c r="I2503" s="21"/>
      <c r="J2503" s="700"/>
      <c r="K2503" s="21"/>
      <c r="L2503" s="21"/>
      <c r="M2503" s="21"/>
      <c r="N2503" s="37">
        <v>0.422346507965976</v>
      </c>
      <c r="O2503" s="22">
        <v>2.15105537835191</v>
      </c>
      <c r="P2503" s="37" t="s">
        <v>1428</v>
      </c>
      <c r="Q2503" s="37">
        <v>0.4</v>
      </c>
      <c r="R2503" s="22">
        <f>SUBTOTAL(9,H2503:Q2503)</f>
        <v>2.97340188631789</v>
      </c>
      <c r="S2503" s="864"/>
      <c r="T2503" s="167" t="s">
        <v>8097</v>
      </c>
    </row>
    <row r="2510" ht="15.6" spans="1:20">
      <c r="A2510" s="801" t="s">
        <v>8249</v>
      </c>
      <c r="B2510" s="718"/>
      <c r="C2510" s="718"/>
      <c r="D2510" s="718"/>
      <c r="E2510" s="127"/>
      <c r="F2510" s="127"/>
      <c r="G2510" s="13"/>
      <c r="H2510" s="14"/>
      <c r="I2510" s="14"/>
      <c r="J2510" s="128"/>
      <c r="K2510" s="865"/>
      <c r="L2510" s="865"/>
      <c r="M2510" s="128"/>
      <c r="N2510" s="866"/>
      <c r="O2510" s="867"/>
      <c r="P2510" s="868"/>
      <c r="Q2510" s="869"/>
      <c r="R2510" s="130"/>
      <c r="S2510" s="12"/>
      <c r="T2510" s="131"/>
    </row>
    <row r="2511" ht="15.6" spans="1:20">
      <c r="A2511" s="802" t="s">
        <v>1490</v>
      </c>
      <c r="B2511" s="719"/>
      <c r="C2511" s="720" t="s">
        <v>3</v>
      </c>
      <c r="D2511" s="719"/>
      <c r="E2511" s="18" t="s">
        <v>5</v>
      </c>
      <c r="F2511" s="18" t="s">
        <v>1933</v>
      </c>
      <c r="G2511" s="18" t="s">
        <v>4102</v>
      </c>
      <c r="H2511" s="141" t="s">
        <v>4541</v>
      </c>
      <c r="I2511" s="18" t="s">
        <v>1497</v>
      </c>
      <c r="J2511" s="18" t="s">
        <v>4102</v>
      </c>
      <c r="K2511" s="18" t="s">
        <v>4103</v>
      </c>
      <c r="L2511" s="18" t="s">
        <v>4104</v>
      </c>
      <c r="M2511" s="18" t="s">
        <v>1497</v>
      </c>
      <c r="N2511" s="18" t="s">
        <v>6</v>
      </c>
      <c r="O2511" s="18" t="s">
        <v>7</v>
      </c>
      <c r="P2511" s="141" t="s">
        <v>5211</v>
      </c>
      <c r="Q2511" s="18" t="s">
        <v>8</v>
      </c>
      <c r="R2511" s="18" t="s">
        <v>9</v>
      </c>
      <c r="S2511" s="18" t="s">
        <v>4105</v>
      </c>
      <c r="T2511" s="18" t="s">
        <v>4106</v>
      </c>
    </row>
    <row r="2512" s="190" customFormat="1" ht="26" customHeight="1" spans="1:20">
      <c r="A2512" s="21" t="s">
        <v>7414</v>
      </c>
      <c r="B2512" s="21">
        <v>20250616</v>
      </c>
      <c r="C2512" s="21"/>
      <c r="D2512" s="863"/>
      <c r="E2512" s="21" t="s">
        <v>8281</v>
      </c>
      <c r="F2512" s="699" t="s">
        <v>8282</v>
      </c>
      <c r="G2512" s="21" t="s">
        <v>2438</v>
      </c>
      <c r="H2512" s="21" t="s">
        <v>4248</v>
      </c>
      <c r="I2512" s="21" t="s">
        <v>1635</v>
      </c>
      <c r="J2512" s="21">
        <v>120</v>
      </c>
      <c r="K2512" s="870" t="s">
        <v>8283</v>
      </c>
      <c r="L2512" s="22"/>
      <c r="M2512" s="37">
        <v>3.1</v>
      </c>
      <c r="N2512" s="37">
        <v>2.98472558986793</v>
      </c>
      <c r="O2512" s="22">
        <v>15.9032623398975</v>
      </c>
      <c r="P2512" s="864"/>
      <c r="Q2512" s="37">
        <v>0.3</v>
      </c>
      <c r="R2512" s="22">
        <f>SUBTOTAL(9,H2512:Q2512)</f>
        <v>142.287987929765</v>
      </c>
      <c r="S2512" s="864" t="s">
        <v>4001</v>
      </c>
      <c r="T2512" s="871" t="s">
        <v>8284</v>
      </c>
    </row>
    <row r="2516" ht="15.6" spans="1:20">
      <c r="A2516" s="684" t="s">
        <v>8249</v>
      </c>
      <c r="B2516" s="11"/>
      <c r="C2516" s="11"/>
      <c r="D2516" s="11"/>
      <c r="E2516" s="127"/>
      <c r="F2516" s="127"/>
      <c r="G2516" s="13"/>
      <c r="H2516" s="14"/>
      <c r="I2516" s="14"/>
      <c r="J2516" s="128"/>
      <c r="K2516" s="129"/>
      <c r="L2516" s="128"/>
      <c r="M2516" s="128"/>
      <c r="N2516" s="867"/>
      <c r="O2516" s="867"/>
      <c r="P2516" s="13"/>
      <c r="Q2516" s="869"/>
      <c r="R2516" s="130"/>
      <c r="S2516" s="12"/>
      <c r="T2516" s="131"/>
    </row>
    <row r="2517" ht="15.6" spans="1:20">
      <c r="A2517" s="132" t="s">
        <v>1490</v>
      </c>
      <c r="B2517" s="17" t="s">
        <v>1492</v>
      </c>
      <c r="C2517" s="754" t="s">
        <v>1404</v>
      </c>
      <c r="D2517" s="164" t="s">
        <v>1494</v>
      </c>
      <c r="E2517" s="18" t="s">
        <v>5</v>
      </c>
      <c r="F2517" s="18" t="s">
        <v>1933</v>
      </c>
      <c r="G2517" s="18" t="s">
        <v>4102</v>
      </c>
      <c r="H2517" s="18" t="s">
        <v>1910</v>
      </c>
      <c r="I2517" s="18" t="s">
        <v>1497</v>
      </c>
      <c r="J2517" s="18" t="s">
        <v>4102</v>
      </c>
      <c r="K2517" s="18" t="s">
        <v>4103</v>
      </c>
      <c r="L2517" s="18" t="s">
        <v>4104</v>
      </c>
      <c r="M2517" s="18" t="s">
        <v>1497</v>
      </c>
      <c r="N2517" s="18" t="s">
        <v>6</v>
      </c>
      <c r="O2517" s="18" t="s">
        <v>7</v>
      </c>
      <c r="P2517" s="18" t="s">
        <v>5672</v>
      </c>
      <c r="Q2517" s="18" t="s">
        <v>8</v>
      </c>
      <c r="R2517" s="18" t="s">
        <v>9</v>
      </c>
      <c r="S2517" s="18" t="s">
        <v>4105</v>
      </c>
      <c r="T2517" s="18" t="s">
        <v>4106</v>
      </c>
    </row>
    <row r="2518" ht="15" spans="1:20">
      <c r="A2518" s="872" t="s">
        <v>7829</v>
      </c>
      <c r="B2518" s="23">
        <v>20250427</v>
      </c>
      <c r="C2518" s="153">
        <v>7.19</v>
      </c>
      <c r="D2518" s="23" t="s">
        <v>3691</v>
      </c>
      <c r="E2518" s="695" t="s">
        <v>2311</v>
      </c>
      <c r="F2518" s="729" t="s">
        <v>3685</v>
      </c>
      <c r="G2518" s="21" t="s">
        <v>3542</v>
      </c>
      <c r="H2518" s="21" t="s">
        <v>1913</v>
      </c>
      <c r="I2518" s="21" t="s">
        <v>1635</v>
      </c>
      <c r="J2518" s="138" t="s">
        <v>3513</v>
      </c>
      <c r="K2518" s="21"/>
      <c r="L2518" s="21"/>
      <c r="M2518" s="21">
        <v>3.1</v>
      </c>
      <c r="N2518" s="37">
        <v>2.89221638799154</v>
      </c>
      <c r="O2518" s="704">
        <v>10.2555111305318</v>
      </c>
      <c r="P2518" s="21"/>
      <c r="Q2518" s="37">
        <v>2.47393749923074</v>
      </c>
      <c r="R2518" s="22">
        <f>SUBTOTAL(9,H2518:Q2518)</f>
        <v>18.7216650177541</v>
      </c>
      <c r="S2518" s="758" t="s">
        <v>1526</v>
      </c>
      <c r="T2518" s="873" t="s">
        <v>8285</v>
      </c>
    </row>
    <row r="2519" spans="1:20">
      <c r="A2519" s="20"/>
      <c r="B2519" s="23">
        <v>20241127</v>
      </c>
      <c r="C2519" s="23">
        <v>7.19</v>
      </c>
      <c r="D2519" s="23" t="s">
        <v>529</v>
      </c>
      <c r="E2519" s="695" t="s">
        <v>530</v>
      </c>
      <c r="F2519" s="20"/>
      <c r="G2519" s="20"/>
      <c r="H2519" s="20"/>
      <c r="I2519" s="20"/>
      <c r="J2519" s="772"/>
      <c r="K2519" s="772"/>
      <c r="L2519" s="772"/>
      <c r="M2519" s="772"/>
      <c r="N2519" s="22">
        <v>0.494455882472863</v>
      </c>
      <c r="O2519" s="22">
        <v>0.808212002707303</v>
      </c>
      <c r="P2519" s="21" t="s">
        <v>1428</v>
      </c>
      <c r="Q2519" s="37">
        <v>0.2</v>
      </c>
      <c r="R2519" s="22">
        <f>SUBTOTAL(9,H2519:Q2519)</f>
        <v>1.50266788518017</v>
      </c>
      <c r="S2519" s="20"/>
      <c r="T2519" s="139" t="s">
        <v>3848</v>
      </c>
    </row>
    <row r="2522" ht="15.6" spans="1:20">
      <c r="A2522" s="684" t="s">
        <v>8249</v>
      </c>
      <c r="B2522" s="11"/>
      <c r="C2522" s="11"/>
      <c r="D2522" s="11"/>
      <c r="E2522" s="127"/>
      <c r="F2522" s="127"/>
      <c r="G2522" s="13"/>
      <c r="H2522" s="14"/>
      <c r="I2522" s="14"/>
      <c r="J2522" s="128"/>
      <c r="K2522" s="129"/>
      <c r="L2522" s="128"/>
      <c r="M2522" s="128"/>
      <c r="N2522" s="867"/>
      <c r="O2522" s="867"/>
      <c r="P2522" s="13"/>
      <c r="Q2522" s="869"/>
      <c r="R2522" s="130"/>
      <c r="S2522" s="12"/>
      <c r="T2522" s="131"/>
    </row>
    <row r="2523" ht="15.6" spans="1:20">
      <c r="A2523" s="132" t="s">
        <v>1490</v>
      </c>
      <c r="B2523" s="17" t="s">
        <v>1492</v>
      </c>
      <c r="C2523" s="754" t="s">
        <v>1404</v>
      </c>
      <c r="D2523" s="164" t="s">
        <v>1494</v>
      </c>
      <c r="E2523" s="18" t="s">
        <v>5</v>
      </c>
      <c r="F2523" s="18" t="s">
        <v>1933</v>
      </c>
      <c r="G2523" s="18" t="s">
        <v>4102</v>
      </c>
      <c r="H2523" s="18" t="s">
        <v>1910</v>
      </c>
      <c r="I2523" s="18" t="s">
        <v>1497</v>
      </c>
      <c r="J2523" s="18" t="s">
        <v>4102</v>
      </c>
      <c r="K2523" s="18" t="s">
        <v>4103</v>
      </c>
      <c r="L2523" s="18" t="s">
        <v>4104</v>
      </c>
      <c r="M2523" s="18" t="s">
        <v>1497</v>
      </c>
      <c r="N2523" s="18" t="s">
        <v>6</v>
      </c>
      <c r="O2523" s="18" t="s">
        <v>7</v>
      </c>
      <c r="P2523" s="18" t="s">
        <v>5672</v>
      </c>
      <c r="Q2523" s="18" t="s">
        <v>8</v>
      </c>
      <c r="R2523" s="18" t="s">
        <v>9</v>
      </c>
      <c r="S2523" s="18" t="s">
        <v>4105</v>
      </c>
      <c r="T2523" s="18" t="s">
        <v>4106</v>
      </c>
    </row>
    <row r="2524" ht="15" spans="1:20">
      <c r="A2524" s="23" t="s">
        <v>7414</v>
      </c>
      <c r="B2524" s="23">
        <v>20250619</v>
      </c>
      <c r="C2524" s="153">
        <v>7.19</v>
      </c>
      <c r="D2524" s="23" t="s">
        <v>2751</v>
      </c>
      <c r="E2524" s="695" t="s">
        <v>2575</v>
      </c>
      <c r="F2524" s="729" t="s">
        <v>7445</v>
      </c>
      <c r="G2524" s="21" t="s">
        <v>2479</v>
      </c>
      <c r="H2524" s="21" t="s">
        <v>4248</v>
      </c>
      <c r="I2524" s="21" t="s">
        <v>1635</v>
      </c>
      <c r="J2524" s="138"/>
      <c r="K2524" s="21" t="s">
        <v>8283</v>
      </c>
      <c r="L2524" s="21"/>
      <c r="M2524" s="21">
        <v>3.1</v>
      </c>
      <c r="N2524" s="37">
        <v>2.98472558986793</v>
      </c>
      <c r="O2524" s="704">
        <v>13.1877734084311</v>
      </c>
      <c r="P2524" s="21"/>
      <c r="Q2524" s="37">
        <v>2.86787204450626</v>
      </c>
      <c r="R2524" s="22">
        <f>SUM(J2524:Q2524)</f>
        <v>22.1403710428053</v>
      </c>
      <c r="S2524" s="758" t="s">
        <v>4001</v>
      </c>
      <c r="T2524" s="873" t="s">
        <v>8286</v>
      </c>
    </row>
    <row r="2525" ht="15" spans="1:20">
      <c r="A2525" s="23" t="s">
        <v>7414</v>
      </c>
      <c r="B2525" s="23">
        <v>20250619</v>
      </c>
      <c r="C2525" s="153">
        <v>7.19</v>
      </c>
      <c r="D2525" s="23" t="s">
        <v>2761</v>
      </c>
      <c r="E2525" s="695" t="s">
        <v>5120</v>
      </c>
      <c r="F2525" s="729" t="s">
        <v>7445</v>
      </c>
      <c r="G2525" s="21" t="s">
        <v>7814</v>
      </c>
      <c r="H2525" s="21" t="s">
        <v>3432</v>
      </c>
      <c r="I2525" s="21" t="s">
        <v>1635</v>
      </c>
      <c r="J2525" s="138"/>
      <c r="K2525" s="21" t="s">
        <v>8283</v>
      </c>
      <c r="L2525" s="21"/>
      <c r="M2525" s="21">
        <v>3.1</v>
      </c>
      <c r="N2525" s="37">
        <v>2.98472558986793</v>
      </c>
      <c r="O2525" s="704">
        <v>13.1877734084311</v>
      </c>
      <c r="P2525" s="21"/>
      <c r="Q2525" s="37">
        <v>2.86787204450626</v>
      </c>
      <c r="R2525" s="22">
        <f>SUM(J2525:Q2525)</f>
        <v>22.1403710428053</v>
      </c>
      <c r="S2525" s="758" t="s">
        <v>4001</v>
      </c>
      <c r="T2525" s="873" t="s">
        <v>8286</v>
      </c>
    </row>
    <row r="2526" ht="15" spans="1:20">
      <c r="A2526" s="23" t="s">
        <v>7414</v>
      </c>
      <c r="B2526" s="23">
        <v>20250619</v>
      </c>
      <c r="C2526" s="153">
        <v>7.19</v>
      </c>
      <c r="D2526" s="23" t="s">
        <v>2764</v>
      </c>
      <c r="E2526" s="695" t="s">
        <v>2325</v>
      </c>
      <c r="F2526" s="729" t="s">
        <v>7445</v>
      </c>
      <c r="G2526" s="21" t="s">
        <v>7815</v>
      </c>
      <c r="H2526" s="21" t="s">
        <v>4248</v>
      </c>
      <c r="I2526" s="21" t="s">
        <v>1635</v>
      </c>
      <c r="J2526" s="138"/>
      <c r="K2526" s="699" t="s">
        <v>8283</v>
      </c>
      <c r="L2526" s="21"/>
      <c r="M2526" s="21">
        <v>3.1</v>
      </c>
      <c r="N2526" s="37">
        <v>2.98472558986793</v>
      </c>
      <c r="O2526" s="704">
        <v>13.1877734084311</v>
      </c>
      <c r="P2526" s="21"/>
      <c r="Q2526" s="37">
        <v>2.86787204450626</v>
      </c>
      <c r="R2526" s="22">
        <f>SUM(J2526:Q2526)</f>
        <v>22.1403710428053</v>
      </c>
      <c r="S2526" s="758" t="s">
        <v>4001</v>
      </c>
      <c r="T2526" s="873" t="s">
        <v>8286</v>
      </c>
    </row>
    <row r="2530" ht="15.6" spans="1:22">
      <c r="A2530" s="801" t="s">
        <v>8249</v>
      </c>
      <c r="B2530" s="718"/>
      <c r="C2530" s="718"/>
      <c r="D2530" s="718"/>
      <c r="E2530" s="127"/>
      <c r="F2530" s="127"/>
      <c r="G2530" s="13"/>
      <c r="H2530" s="14"/>
      <c r="I2530" s="14"/>
      <c r="J2530" s="128"/>
      <c r="K2530" s="865"/>
      <c r="L2530" s="865"/>
      <c r="M2530" s="128"/>
      <c r="N2530" s="866"/>
      <c r="O2530" s="867"/>
      <c r="P2530" s="868"/>
      <c r="Q2530" s="869"/>
      <c r="R2530" s="130"/>
      <c r="S2530" s="12"/>
      <c r="T2530" s="131"/>
    </row>
    <row r="2531" ht="15.6" spans="1:22">
      <c r="A2531" s="802" t="s">
        <v>1490</v>
      </c>
      <c r="B2531" s="719"/>
      <c r="C2531" s="720" t="s">
        <v>1404</v>
      </c>
      <c r="D2531" s="720" t="s">
        <v>4</v>
      </c>
      <c r="E2531" s="18" t="s">
        <v>5</v>
      </c>
      <c r="F2531" s="18" t="s">
        <v>1933</v>
      </c>
      <c r="G2531" s="18" t="s">
        <v>4102</v>
      </c>
      <c r="H2531" s="141" t="s">
        <v>4541</v>
      </c>
      <c r="I2531" s="18" t="s">
        <v>1497</v>
      </c>
      <c r="J2531" s="18" t="s">
        <v>4102</v>
      </c>
      <c r="K2531" s="18" t="s">
        <v>4103</v>
      </c>
      <c r="L2531" s="18" t="s">
        <v>4104</v>
      </c>
      <c r="M2531" s="18" t="s">
        <v>1497</v>
      </c>
      <c r="N2531" s="18" t="s">
        <v>6</v>
      </c>
      <c r="O2531" s="18" t="s">
        <v>7</v>
      </c>
      <c r="P2531" s="141" t="s">
        <v>5211</v>
      </c>
      <c r="Q2531" s="18" t="s">
        <v>8</v>
      </c>
      <c r="R2531" s="18" t="s">
        <v>9</v>
      </c>
      <c r="S2531" s="18" t="s">
        <v>4105</v>
      </c>
      <c r="T2531" s="18" t="s">
        <v>4106</v>
      </c>
    </row>
    <row r="2532" ht="15" spans="1:22">
      <c r="A2532" s="20"/>
      <c r="B2532" s="23">
        <v>20250206</v>
      </c>
      <c r="C2532" s="23">
        <v>7.19</v>
      </c>
      <c r="D2532" s="23" t="s">
        <v>1426</v>
      </c>
      <c r="E2532" s="23" t="s">
        <v>1427</v>
      </c>
      <c r="F2532" s="23"/>
      <c r="G2532" s="21"/>
      <c r="H2532" s="21"/>
      <c r="I2532" s="21"/>
      <c r="J2532" s="21"/>
      <c r="K2532" s="21"/>
      <c r="L2532" s="21"/>
      <c r="M2532" s="21"/>
      <c r="N2532" s="37" t="s">
        <v>1428</v>
      </c>
      <c r="O2532" s="37">
        <v>0.679655864216525</v>
      </c>
      <c r="P2532" s="37" t="s">
        <v>1428</v>
      </c>
      <c r="Q2532" s="37">
        <v>0.2</v>
      </c>
      <c r="R2532" s="22">
        <f>SUM(J2532:Q2532)</f>
        <v>0.879655864216525</v>
      </c>
      <c r="S2532" s="166"/>
      <c r="T2532" s="751" t="s">
        <v>8156</v>
      </c>
    </row>
    <row r="2533" ht="15" spans="1:22">
      <c r="A2533" s="333" t="s">
        <v>984</v>
      </c>
      <c r="B2533" s="23">
        <v>20250219</v>
      </c>
      <c r="C2533" s="153">
        <v>7.19</v>
      </c>
      <c r="D2533" s="23" t="s">
        <v>3461</v>
      </c>
      <c r="E2533" s="695" t="s">
        <v>1998</v>
      </c>
      <c r="F2533" s="35" t="s">
        <v>4065</v>
      </c>
      <c r="G2533" s="757" t="s">
        <v>3794</v>
      </c>
      <c r="H2533" s="21" t="s">
        <v>3463</v>
      </c>
      <c r="I2533" s="21" t="s">
        <v>1742</v>
      </c>
      <c r="J2533" s="138" t="s">
        <v>3513</v>
      </c>
      <c r="K2533" s="700">
        <f>4.2*2</f>
        <v>8.4</v>
      </c>
      <c r="L2533" s="700">
        <v>4.74</v>
      </c>
      <c r="M2533" s="689">
        <v>6</v>
      </c>
      <c r="N2533" s="22">
        <v>3.11690216594143</v>
      </c>
      <c r="O2533" s="22">
        <v>24.830980895378</v>
      </c>
      <c r="P2533" s="21" t="s">
        <v>1428</v>
      </c>
      <c r="Q2533" s="37">
        <v>2.39639617462799</v>
      </c>
      <c r="R2533" s="22">
        <f>SUM(J2533:Q2533)</f>
        <v>49.4842792359474</v>
      </c>
      <c r="S2533" s="758" t="s">
        <v>4066</v>
      </c>
      <c r="T2533" s="759" t="s">
        <v>8287</v>
      </c>
    </row>
    <row r="2534" ht="15" spans="1:22">
      <c r="A2534" s="333" t="s">
        <v>7407</v>
      </c>
      <c r="B2534" s="23">
        <v>20250325</v>
      </c>
      <c r="C2534" s="23">
        <v>7.19</v>
      </c>
      <c r="D2534" s="23" t="s">
        <v>8288</v>
      </c>
      <c r="E2534" s="20" t="s">
        <v>2165</v>
      </c>
      <c r="F2534" s="20" t="s">
        <v>4284</v>
      </c>
      <c r="G2534" s="689" t="s">
        <v>2400</v>
      </c>
      <c r="H2534" s="690" t="s">
        <v>1913</v>
      </c>
      <c r="I2534" s="690"/>
      <c r="J2534" s="698">
        <v>150</v>
      </c>
      <c r="K2534" s="21"/>
      <c r="L2534" s="21"/>
      <c r="M2534" s="21"/>
      <c r="N2534" s="37">
        <f>3.85264748791615/7.21*7.17</f>
        <v>3.83127357674879</v>
      </c>
      <c r="O2534" s="22">
        <v>11.7331843424779</v>
      </c>
      <c r="P2534" s="21"/>
      <c r="Q2534" s="37">
        <v>2.92072322670376</v>
      </c>
      <c r="R2534" s="22">
        <f>SUM(J2534:Q2534)</f>
        <v>168.48518114593</v>
      </c>
      <c r="S2534" s="693" t="s">
        <v>1526</v>
      </c>
      <c r="T2534" s="167" t="s">
        <v>8289</v>
      </c>
    </row>
    <row r="2535" ht="15" spans="1:22">
      <c r="B2535" s="23"/>
      <c r="C2535" s="23"/>
      <c r="D2535" s="23"/>
      <c r="E2535" s="23"/>
      <c r="F2535" s="20"/>
      <c r="G2535" s="20"/>
      <c r="H2535" s="689"/>
      <c r="I2535" s="690"/>
      <c r="J2535" s="690"/>
      <c r="K2535" s="698"/>
      <c r="L2535" s="21"/>
      <c r="M2535" s="21"/>
      <c r="N2535" s="21"/>
      <c r="O2535" s="37"/>
      <c r="P2535" s="22"/>
      <c r="Q2535" s="21"/>
      <c r="R2535" s="37"/>
      <c r="S2535" s="154"/>
      <c r="T2535" s="37"/>
      <c r="U2535" s="693"/>
      <c r="V2535" s="167"/>
    </row>
    <row r="2536" ht="15.6" spans="1:22">
      <c r="A2536" s="801" t="s">
        <v>8249</v>
      </c>
      <c r="B2536" s="718"/>
      <c r="C2536" s="718"/>
      <c r="D2536" s="718"/>
      <c r="E2536" s="718"/>
      <c r="F2536" s="127"/>
      <c r="G2536" s="127"/>
      <c r="H2536" s="13"/>
      <c r="I2536" s="14"/>
      <c r="J2536" s="14"/>
      <c r="K2536" s="128"/>
      <c r="L2536" s="865"/>
      <c r="M2536" s="865"/>
      <c r="N2536" s="128"/>
      <c r="O2536" s="866"/>
      <c r="P2536" s="867"/>
      <c r="Q2536" s="868"/>
      <c r="R2536" s="869"/>
      <c r="S2536" s="874"/>
      <c r="T2536" s="130"/>
      <c r="U2536" s="12"/>
      <c r="V2536" s="131"/>
    </row>
    <row r="2537" ht="15.6" spans="1:22">
      <c r="A2537" s="802" t="s">
        <v>1490</v>
      </c>
      <c r="B2537" s="719"/>
      <c r="C2537" s="719"/>
      <c r="D2537" s="18" t="s">
        <v>4</v>
      </c>
      <c r="E2537" s="18" t="s">
        <v>5</v>
      </c>
      <c r="F2537" s="18" t="s">
        <v>1933</v>
      </c>
      <c r="G2537" s="18" t="s">
        <v>4102</v>
      </c>
      <c r="H2537" s="141" t="s">
        <v>4541</v>
      </c>
      <c r="I2537" s="18" t="s">
        <v>1497</v>
      </c>
      <c r="J2537" s="18" t="s">
        <v>4102</v>
      </c>
      <c r="K2537" s="18" t="s">
        <v>4103</v>
      </c>
      <c r="L2537" s="18" t="s">
        <v>4104</v>
      </c>
      <c r="M2537" s="18" t="s">
        <v>1497</v>
      </c>
      <c r="N2537" s="18" t="s">
        <v>6</v>
      </c>
      <c r="O2537" s="18" t="s">
        <v>7</v>
      </c>
      <c r="P2537" s="141" t="s">
        <v>5211</v>
      </c>
      <c r="Q2537" s="18" t="s">
        <v>8</v>
      </c>
      <c r="R2537" s="18" t="s">
        <v>9</v>
      </c>
      <c r="S2537" s="18" t="s">
        <v>4105</v>
      </c>
      <c r="T2537" s="18" t="s">
        <v>4106</v>
      </c>
    </row>
    <row r="2538" ht="15" spans="1:22">
      <c r="A2538" s="705" t="s">
        <v>107</v>
      </c>
      <c r="B2538" s="23">
        <v>20250619</v>
      </c>
      <c r="C2538" s="23">
        <v>7.19</v>
      </c>
      <c r="D2538" s="23" t="s">
        <v>2751</v>
      </c>
      <c r="E2538" s="23" t="s">
        <v>2752</v>
      </c>
      <c r="F2538" s="23" t="s">
        <v>4122</v>
      </c>
      <c r="G2538" s="21" t="s">
        <v>8290</v>
      </c>
      <c r="H2538" s="21" t="s">
        <v>1913</v>
      </c>
      <c r="I2538" s="21" t="s">
        <v>1646</v>
      </c>
      <c r="J2538" s="21">
        <v>190</v>
      </c>
      <c r="K2538" s="21"/>
      <c r="L2538" s="21"/>
      <c r="M2538" s="22">
        <v>2.26469900427093</v>
      </c>
      <c r="N2538" s="37">
        <f t="shared" ref="N2538:N2541" si="12">35.53/7.19/1.13</f>
        <v>4.37308454466011</v>
      </c>
      <c r="O2538" s="37">
        <v>14.5362912955802</v>
      </c>
      <c r="P2538" s="37"/>
      <c r="Q2538" s="37">
        <f>21.6/C2538</f>
        <v>3.00417246175243</v>
      </c>
      <c r="R2538" s="37">
        <f>SUM(J2538:Q2538)</f>
        <v>214.178247306264</v>
      </c>
      <c r="S2538" s="37" t="s">
        <v>1526</v>
      </c>
      <c r="T2538" s="166" t="s">
        <v>8291</v>
      </c>
      <c r="U2538" s="751"/>
    </row>
    <row r="2539" ht="15" spans="1:22">
      <c r="A2539" s="706"/>
      <c r="B2539" s="23">
        <v>20250619</v>
      </c>
      <c r="C2539" s="23">
        <v>7.19</v>
      </c>
      <c r="D2539" s="23" t="s">
        <v>2761</v>
      </c>
      <c r="E2539" s="23" t="s">
        <v>2762</v>
      </c>
      <c r="F2539" s="23" t="s">
        <v>4239</v>
      </c>
      <c r="G2539" s="21" t="s">
        <v>2664</v>
      </c>
      <c r="H2539" s="21" t="s">
        <v>1913</v>
      </c>
      <c r="I2539" s="21" t="s">
        <v>1635</v>
      </c>
      <c r="J2539" s="21">
        <v>170</v>
      </c>
      <c r="K2539" s="21"/>
      <c r="L2539" s="21"/>
      <c r="M2539" s="21">
        <v>3.1</v>
      </c>
      <c r="N2539" s="37">
        <f t="shared" si="12"/>
        <v>4.37308454466011</v>
      </c>
      <c r="O2539" s="37">
        <v>16.7025454794836</v>
      </c>
      <c r="P2539" s="37"/>
      <c r="Q2539" s="37">
        <f>21.6/C2539</f>
        <v>3.00417246175243</v>
      </c>
      <c r="R2539" s="37">
        <f>SUM(J2539:Q2539)</f>
        <v>197.179802485896</v>
      </c>
      <c r="S2539" s="37" t="s">
        <v>1526</v>
      </c>
      <c r="T2539" s="166" t="s">
        <v>8292</v>
      </c>
      <c r="U2539" s="751"/>
    </row>
    <row r="2540" ht="15" spans="1:22">
      <c r="A2540" s="706"/>
      <c r="B2540" s="23">
        <v>20250619</v>
      </c>
      <c r="C2540" s="23">
        <v>7.19</v>
      </c>
      <c r="D2540" s="23" t="s">
        <v>2764</v>
      </c>
      <c r="E2540" s="23" t="s">
        <v>2765</v>
      </c>
      <c r="F2540" s="23" t="s">
        <v>4239</v>
      </c>
      <c r="G2540" s="21" t="s">
        <v>2742</v>
      </c>
      <c r="H2540" s="21" t="s">
        <v>1913</v>
      </c>
      <c r="I2540" s="21" t="s">
        <v>1637</v>
      </c>
      <c r="J2540" s="21">
        <v>170</v>
      </c>
      <c r="K2540" s="21"/>
      <c r="L2540" s="21"/>
      <c r="M2540" s="21">
        <v>3.17</v>
      </c>
      <c r="N2540" s="37">
        <f t="shared" si="12"/>
        <v>4.37308454466011</v>
      </c>
      <c r="O2540" s="37">
        <v>18.753193951157</v>
      </c>
      <c r="P2540" s="37"/>
      <c r="Q2540" s="37">
        <f>21.6/C2540</f>
        <v>3.00417246175243</v>
      </c>
      <c r="R2540" s="37">
        <f>SUM(J2540:Q2540)</f>
        <v>199.30045095757</v>
      </c>
      <c r="S2540" s="37" t="s">
        <v>1526</v>
      </c>
      <c r="T2540" s="166" t="s">
        <v>8293</v>
      </c>
      <c r="U2540" s="751"/>
    </row>
    <row r="2541" ht="15" spans="1:22">
      <c r="A2541" s="707"/>
      <c r="B2541" s="23">
        <v>20250619</v>
      </c>
      <c r="C2541" s="23">
        <v>7.19</v>
      </c>
      <c r="D2541" s="23" t="s">
        <v>2764</v>
      </c>
      <c r="E2541" s="23" t="s">
        <v>2767</v>
      </c>
      <c r="F2541" s="23" t="s">
        <v>4122</v>
      </c>
      <c r="G2541" s="21" t="s">
        <v>2768</v>
      </c>
      <c r="H2541" s="21" t="s">
        <v>1913</v>
      </c>
      <c r="I2541" s="21" t="s">
        <v>2769</v>
      </c>
      <c r="J2541" s="21">
        <v>220</v>
      </c>
      <c r="K2541" s="21"/>
      <c r="L2541" s="21"/>
      <c r="M2541" s="22">
        <v>2.24008271074624</v>
      </c>
      <c r="N2541" s="37">
        <f t="shared" si="12"/>
        <v>4.37308454466011</v>
      </c>
      <c r="O2541" s="37">
        <v>13.9964628532352</v>
      </c>
      <c r="P2541" s="37"/>
      <c r="Q2541" s="37">
        <f>21.6/C2541</f>
        <v>3.00417246175243</v>
      </c>
      <c r="R2541" s="37">
        <f>SUM(J2541:Q2541)</f>
        <v>243.613802570394</v>
      </c>
      <c r="S2541" s="37" t="s">
        <v>1526</v>
      </c>
      <c r="T2541" s="166" t="s">
        <v>8294</v>
      </c>
      <c r="U2541" s="751"/>
    </row>
    <row r="2544" ht="15.6" spans="1:22">
      <c r="A2544" s="11" t="s">
        <v>8295</v>
      </c>
      <c r="B2544" s="11"/>
      <c r="C2544" s="11"/>
      <c r="D2544" s="11"/>
      <c r="E2544" s="127"/>
      <c r="F2544" s="127"/>
      <c r="G2544" s="13"/>
      <c r="H2544" s="14"/>
      <c r="I2544" s="14"/>
      <c r="J2544" s="128"/>
      <c r="K2544" s="129"/>
      <c r="L2544" s="128"/>
      <c r="M2544" s="128"/>
      <c r="N2544" s="867"/>
      <c r="O2544" s="867"/>
      <c r="P2544" s="13"/>
      <c r="Q2544" s="130"/>
      <c r="R2544" s="130"/>
      <c r="S2544" s="12"/>
      <c r="T2544" s="131"/>
    </row>
    <row r="2545" ht="15.6" spans="1:21">
      <c r="A2545" s="132" t="s">
        <v>1490</v>
      </c>
      <c r="B2545" s="17" t="s">
        <v>1492</v>
      </c>
      <c r="C2545" s="754" t="s">
        <v>1404</v>
      </c>
      <c r="D2545" s="17" t="s">
        <v>4100</v>
      </c>
      <c r="E2545" s="18" t="s">
        <v>5</v>
      </c>
      <c r="F2545" s="121" t="s">
        <v>1933</v>
      </c>
      <c r="G2545" s="18" t="s">
        <v>4102</v>
      </c>
      <c r="H2545" s="18" t="s">
        <v>1910</v>
      </c>
      <c r="I2545" s="18" t="s">
        <v>1497</v>
      </c>
      <c r="J2545" s="18" t="s">
        <v>4102</v>
      </c>
      <c r="K2545" s="18" t="s">
        <v>4103</v>
      </c>
      <c r="L2545" s="18" t="s">
        <v>4104</v>
      </c>
      <c r="M2545" s="18" t="s">
        <v>1497</v>
      </c>
      <c r="N2545" s="18" t="s">
        <v>6</v>
      </c>
      <c r="O2545" s="18" t="s">
        <v>7</v>
      </c>
      <c r="P2545" s="18" t="s">
        <v>5672</v>
      </c>
      <c r="Q2545" s="18" t="s">
        <v>8</v>
      </c>
      <c r="R2545" s="18" t="s">
        <v>9</v>
      </c>
      <c r="S2545" s="18" t="s">
        <v>4105</v>
      </c>
      <c r="T2545" s="18" t="s">
        <v>4106</v>
      </c>
    </row>
    <row r="2546" ht="15" spans="1:21">
      <c r="A2546" s="23" t="s">
        <v>107</v>
      </c>
      <c r="B2546" s="23">
        <v>20250619</v>
      </c>
      <c r="C2546" s="23">
        <v>7.19</v>
      </c>
      <c r="D2546" s="23" t="s">
        <v>101</v>
      </c>
      <c r="E2546" s="23" t="s">
        <v>102</v>
      </c>
      <c r="F2546" s="23"/>
      <c r="G2546" s="21"/>
      <c r="H2546" s="21"/>
      <c r="I2546" s="21"/>
      <c r="J2546" s="21"/>
      <c r="K2546" s="21"/>
      <c r="L2546" s="21"/>
      <c r="M2546" s="21"/>
      <c r="N2546" s="37">
        <v>0.347089738698044</v>
      </c>
      <c r="O2546" s="37">
        <v>1.61409196804756</v>
      </c>
      <c r="P2546" s="37"/>
      <c r="Q2546" s="37">
        <v>0.2</v>
      </c>
      <c r="R2546" s="37">
        <v>2.1611817067456</v>
      </c>
      <c r="S2546" s="37"/>
      <c r="T2546" s="166" t="s">
        <v>103</v>
      </c>
      <c r="U2546" s="751"/>
    </row>
    <row r="2547" ht="15" spans="1:21">
      <c r="A2547" s="23" t="s">
        <v>107</v>
      </c>
      <c r="B2547" s="23">
        <v>20250619</v>
      </c>
      <c r="C2547" s="23">
        <v>7.19</v>
      </c>
      <c r="D2547" s="23" t="s">
        <v>105</v>
      </c>
      <c r="E2547" s="23" t="s">
        <v>106</v>
      </c>
      <c r="F2547" s="23"/>
      <c r="G2547" s="21"/>
      <c r="H2547" s="21"/>
      <c r="I2547" s="21"/>
      <c r="J2547" s="21"/>
      <c r="K2547" s="21"/>
      <c r="L2547" s="21"/>
      <c r="M2547" s="21"/>
      <c r="N2547" s="37">
        <v>0.397553140423646</v>
      </c>
      <c r="O2547" s="37">
        <v>2.92103069926865</v>
      </c>
      <c r="P2547" s="37"/>
      <c r="Q2547" s="37">
        <v>0.4</v>
      </c>
      <c r="R2547" s="37">
        <v>3.7185838396923</v>
      </c>
      <c r="S2547" s="37"/>
      <c r="T2547" s="166" t="s">
        <v>118</v>
      </c>
      <c r="U2547" s="751"/>
    </row>
    <row r="2549" ht="15.6" spans="1:21">
      <c r="A2549" s="11" t="s">
        <v>8295</v>
      </c>
      <c r="B2549" s="11"/>
      <c r="C2549" s="11"/>
      <c r="D2549" s="11"/>
      <c r="E2549" s="127"/>
      <c r="F2549" s="127"/>
      <c r="G2549" s="13"/>
      <c r="H2549" s="14"/>
      <c r="I2549" s="14"/>
      <c r="J2549" s="128"/>
      <c r="K2549" s="129"/>
      <c r="L2549" s="128"/>
      <c r="M2549" s="128"/>
      <c r="N2549" s="867"/>
      <c r="O2549" s="867"/>
      <c r="P2549" s="13"/>
      <c r="Q2549" s="130"/>
      <c r="R2549" s="130"/>
      <c r="S2549" s="12"/>
      <c r="T2549" s="131"/>
    </row>
    <row r="2550" ht="15.6" spans="1:21">
      <c r="A2550" s="132" t="s">
        <v>1490</v>
      </c>
      <c r="B2550" s="17" t="s">
        <v>1492</v>
      </c>
      <c r="C2550" s="754" t="s">
        <v>1404</v>
      </c>
      <c r="D2550" s="17" t="s">
        <v>4100</v>
      </c>
      <c r="E2550" s="18" t="s">
        <v>5</v>
      </c>
      <c r="F2550" s="121" t="s">
        <v>1933</v>
      </c>
      <c r="G2550" s="18" t="s">
        <v>4102</v>
      </c>
      <c r="H2550" s="18" t="s">
        <v>1910</v>
      </c>
      <c r="I2550" s="18" t="s">
        <v>1497</v>
      </c>
      <c r="J2550" s="18" t="s">
        <v>4102</v>
      </c>
      <c r="K2550" s="18" t="s">
        <v>4103</v>
      </c>
      <c r="L2550" s="18" t="s">
        <v>4104</v>
      </c>
      <c r="M2550" s="18" t="s">
        <v>1497</v>
      </c>
      <c r="N2550" s="18" t="s">
        <v>6</v>
      </c>
      <c r="O2550" s="18" t="s">
        <v>7</v>
      </c>
      <c r="P2550" s="18" t="s">
        <v>5672</v>
      </c>
      <c r="Q2550" s="18" t="s">
        <v>8</v>
      </c>
      <c r="R2550" s="18" t="s">
        <v>9</v>
      </c>
      <c r="S2550" s="18" t="s">
        <v>4105</v>
      </c>
      <c r="T2550" s="18" t="s">
        <v>4106</v>
      </c>
    </row>
    <row r="2551" ht="15" hidden="1" spans="1:21">
      <c r="A2551" s="333" t="s">
        <v>7502</v>
      </c>
      <c r="B2551" s="23">
        <v>20250422</v>
      </c>
      <c r="C2551" s="23">
        <v>7.19</v>
      </c>
      <c r="D2551" s="875" t="s">
        <v>2497</v>
      </c>
      <c r="E2551" s="20" t="s">
        <v>2106</v>
      </c>
      <c r="F2551" s="768" t="s">
        <v>2801</v>
      </c>
      <c r="G2551" s="690" t="s">
        <v>2491</v>
      </c>
      <c r="H2551" s="21" t="s">
        <v>1913</v>
      </c>
      <c r="I2551" s="21"/>
      <c r="J2551" s="731" t="s">
        <v>1428</v>
      </c>
      <c r="K2551" s="21"/>
      <c r="L2551" s="21"/>
      <c r="M2551" s="21"/>
      <c r="N2551" s="22">
        <v>5.05249424594139</v>
      </c>
      <c r="O2551" s="22">
        <v>14.7456013321359</v>
      </c>
      <c r="P2551" s="37"/>
      <c r="Q2551" s="37">
        <v>3.14632482758621</v>
      </c>
      <c r="R2551" s="37">
        <f>SUM(J2551:Q2551)</f>
        <v>22.9444204056635</v>
      </c>
      <c r="S2551" s="167" t="s">
        <v>1526</v>
      </c>
      <c r="T2551" s="167" t="s">
        <v>8296</v>
      </c>
    </row>
    <row r="2552" ht="15" spans="1:21">
      <c r="A2552" s="333" t="s">
        <v>7502</v>
      </c>
      <c r="B2552" s="23">
        <v>20250422</v>
      </c>
      <c r="C2552" s="23">
        <v>7.19</v>
      </c>
      <c r="D2552" s="875" t="s">
        <v>2499</v>
      </c>
      <c r="E2552" s="20" t="s">
        <v>2322</v>
      </c>
      <c r="F2552" s="768" t="s">
        <v>2801</v>
      </c>
      <c r="G2552" s="690" t="s">
        <v>8297</v>
      </c>
      <c r="H2552" s="21" t="s">
        <v>1913</v>
      </c>
      <c r="I2552" s="21"/>
      <c r="J2552" s="731" t="s">
        <v>1428</v>
      </c>
      <c r="K2552" s="21"/>
      <c r="L2552" s="21"/>
      <c r="M2552" s="21"/>
      <c r="N2552" s="22">
        <v>5.05249424594139</v>
      </c>
      <c r="O2552" s="22">
        <v>14.720345117648</v>
      </c>
      <c r="P2552" s="37"/>
      <c r="Q2552" s="37">
        <v>3.14632482758621</v>
      </c>
      <c r="R2552" s="37">
        <f>SUM(J2552:Q2552)</f>
        <v>22.9191641911756</v>
      </c>
      <c r="S2552" s="167" t="s">
        <v>1526</v>
      </c>
      <c r="T2552" s="167" t="s">
        <v>8296</v>
      </c>
    </row>
    <row r="2553" ht="15" spans="1:21">
      <c r="A2553" s="333"/>
      <c r="B2553" s="23">
        <v>20250516</v>
      </c>
      <c r="C2553" s="23">
        <v>7.19</v>
      </c>
      <c r="D2553" s="23"/>
      <c r="E2553" s="20" t="s">
        <v>84</v>
      </c>
      <c r="F2553" s="20"/>
      <c r="G2553" s="690"/>
      <c r="H2553" s="21"/>
      <c r="I2553" s="21"/>
      <c r="J2553" s="690"/>
      <c r="K2553" s="21"/>
      <c r="L2553" s="21"/>
      <c r="M2553" s="21"/>
      <c r="N2553" s="37">
        <v>0.430186823992134</v>
      </c>
      <c r="O2553" s="22">
        <v>3.16456055927237</v>
      </c>
      <c r="P2553" s="37" t="s">
        <v>1428</v>
      </c>
      <c r="Q2553" s="37">
        <v>0.4</v>
      </c>
      <c r="R2553" s="37">
        <f>SUM(J2553:Q2553)</f>
        <v>3.9947473832645</v>
      </c>
      <c r="S2553" s="23"/>
      <c r="T2553" s="167" t="s">
        <v>8190</v>
      </c>
    </row>
    <row r="2558" ht="15.6" spans="1:21">
      <c r="A2558" s="11" t="s">
        <v>8295</v>
      </c>
      <c r="B2558" s="11"/>
      <c r="C2558" s="14"/>
      <c r="D2558" s="11"/>
      <c r="E2558" s="127"/>
      <c r="F2558" s="127"/>
      <c r="G2558" s="13"/>
      <c r="H2558" s="14"/>
      <c r="I2558" s="14"/>
      <c r="J2558" s="128"/>
      <c r="K2558" s="129"/>
      <c r="L2558" s="128"/>
      <c r="M2558" s="128"/>
      <c r="N2558" s="867"/>
      <c r="O2558" s="867"/>
      <c r="P2558" s="13"/>
      <c r="Q2558" s="130"/>
      <c r="R2558" s="130"/>
      <c r="S2558" s="12"/>
      <c r="T2558" s="131"/>
    </row>
    <row r="2559" ht="15.6" spans="1:21">
      <c r="A2559" s="132" t="s">
        <v>1490</v>
      </c>
      <c r="B2559" s="17" t="s">
        <v>1492</v>
      </c>
      <c r="C2559" s="773" t="s">
        <v>3</v>
      </c>
      <c r="D2559" s="17" t="s">
        <v>4100</v>
      </c>
      <c r="E2559" s="18" t="s">
        <v>5</v>
      </c>
      <c r="F2559" s="121" t="s">
        <v>1933</v>
      </c>
      <c r="G2559" s="18" t="s">
        <v>4102</v>
      </c>
      <c r="H2559" s="18" t="s">
        <v>1910</v>
      </c>
      <c r="I2559" s="18" t="s">
        <v>1497</v>
      </c>
      <c r="J2559" s="18" t="s">
        <v>4102</v>
      </c>
      <c r="K2559" s="18" t="s">
        <v>4103</v>
      </c>
      <c r="L2559" s="18" t="s">
        <v>4104</v>
      </c>
      <c r="M2559" s="18" t="s">
        <v>1497</v>
      </c>
      <c r="N2559" s="18" t="s">
        <v>6</v>
      </c>
      <c r="O2559" s="18" t="s">
        <v>7</v>
      </c>
      <c r="P2559" s="18" t="s">
        <v>5672</v>
      </c>
      <c r="Q2559" s="18" t="s">
        <v>8</v>
      </c>
      <c r="R2559" s="18" t="s">
        <v>9</v>
      </c>
      <c r="S2559" s="18" t="s">
        <v>4105</v>
      </c>
      <c r="T2559" s="18" t="s">
        <v>4106</v>
      </c>
    </row>
    <row r="2560" ht="15" spans="1:21">
      <c r="A2560" s="776" t="s">
        <v>8298</v>
      </c>
      <c r="B2560" s="777">
        <v>20250527</v>
      </c>
      <c r="C2560" s="876">
        <v>7.17</v>
      </c>
      <c r="D2560" s="35" t="s">
        <v>4490</v>
      </c>
      <c r="E2560" s="35" t="s">
        <v>1617</v>
      </c>
      <c r="F2560" s="750" t="s">
        <v>4488</v>
      </c>
      <c r="G2560" s="726" t="s">
        <v>2596</v>
      </c>
      <c r="H2560" s="798" t="s">
        <v>1913</v>
      </c>
      <c r="I2560" s="798" t="s">
        <v>1635</v>
      </c>
      <c r="J2560" s="877" t="s">
        <v>8299</v>
      </c>
      <c r="K2560" s="878"/>
      <c r="L2560" s="779"/>
      <c r="M2560" s="21">
        <v>3.1</v>
      </c>
      <c r="N2560" s="22">
        <v>3.51143530689574</v>
      </c>
      <c r="O2560" s="36">
        <v>14.03</v>
      </c>
      <c r="P2560" s="798"/>
      <c r="Q2560" s="37">
        <v>5</v>
      </c>
      <c r="R2560" s="37">
        <f>SUM(J2560:Q2560)</f>
        <v>25.6414353068957</v>
      </c>
      <c r="S2560" s="166" t="s">
        <v>1526</v>
      </c>
      <c r="T2560" s="879" t="s">
        <v>8300</v>
      </c>
    </row>
    <row r="2561" ht="15" spans="1:20">
      <c r="A2561" s="776" t="s">
        <v>8301</v>
      </c>
      <c r="B2561" s="23">
        <v>20250313</v>
      </c>
      <c r="C2561" s="23">
        <v>7.19</v>
      </c>
      <c r="D2561" s="23" t="s">
        <v>2595</v>
      </c>
      <c r="E2561" s="695" t="s">
        <v>1671</v>
      </c>
      <c r="F2561" s="20" t="s">
        <v>4284</v>
      </c>
      <c r="G2561" s="726" t="s">
        <v>2596</v>
      </c>
      <c r="H2561" s="21" t="s">
        <v>1913</v>
      </c>
      <c r="I2561" s="21" t="s">
        <v>1635</v>
      </c>
      <c r="J2561" s="877" t="s">
        <v>8299</v>
      </c>
      <c r="K2561" s="21"/>
      <c r="L2561" s="21"/>
      <c r="M2561" s="21">
        <v>3.1</v>
      </c>
      <c r="N2561" s="22">
        <v>3.32319962583234</v>
      </c>
      <c r="O2561" s="704">
        <v>13.5336881517527</v>
      </c>
      <c r="P2561" s="37"/>
      <c r="Q2561" s="37">
        <v>2.75243393602225</v>
      </c>
      <c r="R2561" s="37">
        <f>SUM(J2561:Q2561)</f>
        <v>22.7093217136073</v>
      </c>
      <c r="S2561" s="167" t="s">
        <v>1526</v>
      </c>
      <c r="T2561" s="750" t="s">
        <v>2597</v>
      </c>
    </row>
    <row r="2562" spans="1:20">
      <c r="O2562" s="22"/>
    </row>
    <row r="2564" ht="15.6" spans="1:20">
      <c r="A2564" s="11" t="s">
        <v>8295</v>
      </c>
      <c r="B2564" s="11"/>
      <c r="C2564" s="14"/>
      <c r="D2564" s="11"/>
      <c r="E2564" s="127"/>
      <c r="F2564" s="127"/>
      <c r="G2564" s="13"/>
      <c r="H2564" s="14"/>
      <c r="I2564" s="14"/>
      <c r="J2564" s="128"/>
      <c r="K2564" s="129"/>
      <c r="L2564" s="128"/>
      <c r="M2564" s="128"/>
      <c r="N2564" s="867"/>
      <c r="O2564" s="867"/>
      <c r="P2564" s="13"/>
      <c r="Q2564" s="130"/>
      <c r="R2564" s="130"/>
      <c r="S2564" s="12"/>
      <c r="T2564" s="131"/>
    </row>
    <row r="2565" ht="15.6" spans="1:20">
      <c r="A2565" s="132" t="s">
        <v>1490</v>
      </c>
      <c r="B2565" s="17" t="s">
        <v>1492</v>
      </c>
      <c r="C2565" s="773" t="s">
        <v>3</v>
      </c>
      <c r="D2565" s="17" t="s">
        <v>4100</v>
      </c>
      <c r="E2565" s="18" t="s">
        <v>5</v>
      </c>
      <c r="F2565" s="121" t="s">
        <v>1933</v>
      </c>
      <c r="G2565" s="18" t="s">
        <v>4102</v>
      </c>
      <c r="H2565" s="18" t="s">
        <v>1910</v>
      </c>
      <c r="I2565" s="18" t="s">
        <v>1497</v>
      </c>
      <c r="J2565" s="18" t="s">
        <v>4102</v>
      </c>
      <c r="K2565" s="18" t="s">
        <v>4103</v>
      </c>
      <c r="L2565" s="18" t="s">
        <v>4104</v>
      </c>
      <c r="M2565" s="18" t="s">
        <v>1497</v>
      </c>
      <c r="N2565" s="18" t="s">
        <v>6</v>
      </c>
      <c r="O2565" s="18" t="s">
        <v>7</v>
      </c>
      <c r="P2565" s="18" t="s">
        <v>5672</v>
      </c>
      <c r="Q2565" s="18" t="s">
        <v>8</v>
      </c>
      <c r="R2565" s="18" t="s">
        <v>9</v>
      </c>
      <c r="S2565" s="18" t="s">
        <v>4105</v>
      </c>
      <c r="T2565" s="18" t="s">
        <v>4106</v>
      </c>
    </row>
    <row r="2566" s="177" customFormat="1" ht="15" spans="1:20">
      <c r="A2566" s="192" t="s">
        <v>309</v>
      </c>
      <c r="B2566" s="721">
        <v>20250612</v>
      </c>
      <c r="C2566" s="687">
        <v>7.19</v>
      </c>
      <c r="D2566" s="687" t="s">
        <v>2424</v>
      </c>
      <c r="E2566" s="695" t="s">
        <v>1672</v>
      </c>
      <c r="F2566" s="20" t="s">
        <v>1933</v>
      </c>
      <c r="G2566" s="21" t="s">
        <v>2400</v>
      </c>
      <c r="H2566" s="21" t="s">
        <v>1913</v>
      </c>
      <c r="I2566" s="21" t="s">
        <v>1428</v>
      </c>
      <c r="J2566" s="698">
        <v>150</v>
      </c>
      <c r="K2566" s="21" t="s">
        <v>1428</v>
      </c>
      <c r="L2566" s="21" t="s">
        <v>1428</v>
      </c>
      <c r="M2566" s="21" t="s">
        <v>1428</v>
      </c>
      <c r="N2566" s="22">
        <v>4.59732291806354</v>
      </c>
      <c r="O2566" s="22">
        <v>23.4771147149049</v>
      </c>
      <c r="P2566" s="37" t="s">
        <v>1428</v>
      </c>
      <c r="Q2566" s="37">
        <v>5.02685937768077</v>
      </c>
      <c r="R2566" s="37">
        <f>SUM(J2566:Q2566)</f>
        <v>183.101297010649</v>
      </c>
      <c r="S2566" s="167" t="s">
        <v>1526</v>
      </c>
      <c r="T2566" s="167" t="s">
        <v>8302</v>
      </c>
    </row>
    <row r="2567" s="177" customFormat="1" ht="15" spans="1:20">
      <c r="A2567" s="192" t="s">
        <v>309</v>
      </c>
      <c r="B2567" s="721">
        <v>20250612</v>
      </c>
      <c r="C2567" s="687">
        <v>7.19</v>
      </c>
      <c r="D2567" s="687" t="s">
        <v>2424</v>
      </c>
      <c r="E2567" s="695" t="s">
        <v>8303</v>
      </c>
      <c r="F2567" s="20" t="s">
        <v>1933</v>
      </c>
      <c r="G2567" s="21" t="s">
        <v>2400</v>
      </c>
      <c r="H2567" s="21" t="s">
        <v>1913</v>
      </c>
      <c r="I2567" s="21" t="s">
        <v>1428</v>
      </c>
      <c r="J2567" s="698">
        <v>150</v>
      </c>
      <c r="K2567" s="21" t="s">
        <v>1428</v>
      </c>
      <c r="L2567" s="21" t="s">
        <v>1428</v>
      </c>
      <c r="M2567" s="21" t="s">
        <v>1428</v>
      </c>
      <c r="N2567" s="22">
        <v>4.59732291806354</v>
      </c>
      <c r="O2567" s="704">
        <v>22.8394344862023</v>
      </c>
      <c r="P2567" s="192"/>
      <c r="Q2567" s="709">
        <v>3.5</v>
      </c>
      <c r="R2567" s="37">
        <f>SUM(J2567:Q2567)</f>
        <v>180.936757404266</v>
      </c>
      <c r="S2567" s="167" t="s">
        <v>1526</v>
      </c>
      <c r="T2567" s="167" t="s">
        <v>8304</v>
      </c>
    </row>
    <row r="2568" s="177" customFormat="1" ht="15.6" spans="1:20">
      <c r="A2568" s="11" t="s">
        <v>8182</v>
      </c>
      <c r="B2568" s="11"/>
      <c r="C2568" s="14"/>
      <c r="D2568" s="11"/>
      <c r="E2568" s="127"/>
      <c r="F2568" s="127"/>
      <c r="G2568" s="13"/>
      <c r="H2568" s="14"/>
      <c r="I2568" s="14"/>
      <c r="J2568" s="128"/>
      <c r="K2568" s="129"/>
      <c r="L2568" s="128"/>
      <c r="M2568" s="128"/>
      <c r="N2568" s="867"/>
      <c r="O2568" s="867"/>
      <c r="P2568" s="13"/>
      <c r="Q2568" s="130"/>
      <c r="R2568" s="130"/>
      <c r="S2568" s="12"/>
      <c r="T2568" s="131"/>
    </row>
    <row r="2569" s="177" customFormat="1" ht="15.6" spans="1:20">
      <c r="A2569" s="132" t="s">
        <v>1490</v>
      </c>
      <c r="B2569" s="17" t="s">
        <v>1492</v>
      </c>
      <c r="C2569" s="773" t="s">
        <v>3</v>
      </c>
      <c r="D2569" s="17" t="s">
        <v>4100</v>
      </c>
      <c r="E2569" s="18" t="s">
        <v>5</v>
      </c>
      <c r="F2569" s="121" t="s">
        <v>1933</v>
      </c>
      <c r="G2569" s="18" t="s">
        <v>4102</v>
      </c>
      <c r="H2569" s="18" t="s">
        <v>1910</v>
      </c>
      <c r="I2569" s="18" t="s">
        <v>1497</v>
      </c>
      <c r="J2569" s="18" t="s">
        <v>4102</v>
      </c>
      <c r="K2569" s="18" t="s">
        <v>4103</v>
      </c>
      <c r="L2569" s="18" t="s">
        <v>4104</v>
      </c>
      <c r="M2569" s="18" t="s">
        <v>1497</v>
      </c>
      <c r="N2569" s="18" t="s">
        <v>6</v>
      </c>
      <c r="O2569" s="18" t="s">
        <v>7</v>
      </c>
      <c r="P2569" s="18" t="s">
        <v>5672</v>
      </c>
      <c r="Q2569" s="18" t="s">
        <v>8</v>
      </c>
      <c r="R2569" s="18" t="s">
        <v>9</v>
      </c>
      <c r="S2569" s="18" t="s">
        <v>4105</v>
      </c>
      <c r="T2569" s="18" t="s">
        <v>4106</v>
      </c>
    </row>
    <row r="2570" s="177" customFormat="1" ht="15" spans="1:20">
      <c r="A2570" s="192" t="s">
        <v>309</v>
      </c>
      <c r="B2570" s="721">
        <v>20250612</v>
      </c>
      <c r="C2570" s="687">
        <v>7.17</v>
      </c>
      <c r="D2570" s="687" t="s">
        <v>2424</v>
      </c>
      <c r="E2570" s="695" t="s">
        <v>8305</v>
      </c>
      <c r="F2570" s="20" t="s">
        <v>1933</v>
      </c>
      <c r="G2570" s="21" t="s">
        <v>2400</v>
      </c>
      <c r="H2570" s="21" t="s">
        <v>1913</v>
      </c>
      <c r="I2570" s="21" t="s">
        <v>1428</v>
      </c>
      <c r="J2570" s="698">
        <v>150</v>
      </c>
      <c r="K2570" s="21" t="s">
        <v>1428</v>
      </c>
      <c r="L2570" s="21" t="s">
        <v>1428</v>
      </c>
      <c r="M2570" s="21" t="s">
        <v>1428</v>
      </c>
      <c r="N2570" s="22">
        <v>4.59732291806354</v>
      </c>
      <c r="O2570" s="704">
        <v>22.6525794782419</v>
      </c>
      <c r="P2570" s="192"/>
      <c r="Q2570" s="709">
        <v>3.5</v>
      </c>
      <c r="R2570" s="37">
        <f>SUM(J2570:Q2570)</f>
        <v>180.749902396305</v>
      </c>
      <c r="S2570" s="167" t="s">
        <v>1526</v>
      </c>
      <c r="T2570" s="167" t="s">
        <v>8306</v>
      </c>
    </row>
    <row r="2575" ht="15.6" spans="1:20">
      <c r="A2575" s="684" t="s">
        <v>8249</v>
      </c>
      <c r="B2575" s="11"/>
      <c r="C2575" s="11"/>
      <c r="D2575" s="11"/>
      <c r="E2575" s="127"/>
      <c r="F2575" s="127"/>
      <c r="G2575" s="13"/>
      <c r="H2575" s="14"/>
      <c r="I2575" s="14"/>
      <c r="J2575" s="128"/>
      <c r="K2575" s="129"/>
      <c r="L2575" s="865"/>
      <c r="M2575" s="128"/>
      <c r="N2575" s="867"/>
      <c r="O2575" s="867"/>
      <c r="P2575" s="13"/>
      <c r="Q2575" s="130"/>
      <c r="R2575" s="130"/>
      <c r="S2575" s="12"/>
      <c r="T2575" s="131"/>
    </row>
    <row r="2576" ht="15.6" spans="1:20">
      <c r="A2576" s="752" t="s">
        <v>1</v>
      </c>
      <c r="B2576" s="753" t="s">
        <v>2</v>
      </c>
      <c r="C2576" s="754" t="s">
        <v>1404</v>
      </c>
      <c r="D2576" s="753" t="s">
        <v>4</v>
      </c>
      <c r="E2576" s="18" t="s">
        <v>5</v>
      </c>
      <c r="F2576" s="18" t="s">
        <v>1933</v>
      </c>
      <c r="G2576" s="18" t="s">
        <v>4102</v>
      </c>
      <c r="H2576" s="141" t="s">
        <v>4541</v>
      </c>
      <c r="I2576" s="18" t="s">
        <v>1497</v>
      </c>
      <c r="J2576" s="18" t="s">
        <v>4102</v>
      </c>
      <c r="K2576" s="18" t="s">
        <v>4103</v>
      </c>
      <c r="L2576" s="18" t="s">
        <v>4104</v>
      </c>
      <c r="M2576" s="18" t="s">
        <v>1497</v>
      </c>
      <c r="N2576" s="18" t="s">
        <v>6</v>
      </c>
      <c r="O2576" s="18" t="s">
        <v>7</v>
      </c>
      <c r="P2576" s="141" t="s">
        <v>5211</v>
      </c>
      <c r="Q2576" s="18" t="s">
        <v>8</v>
      </c>
      <c r="R2576" s="18" t="s">
        <v>9</v>
      </c>
      <c r="S2576" s="18" t="s">
        <v>4105</v>
      </c>
      <c r="T2576" s="141" t="s">
        <v>10</v>
      </c>
    </row>
    <row r="2577" s="177" customFormat="1" ht="15" spans="1:22">
      <c r="A2577" s="333" t="s">
        <v>7836</v>
      </c>
      <c r="B2577" s="23">
        <v>20250624</v>
      </c>
      <c r="C2577" s="23">
        <v>7.19</v>
      </c>
      <c r="D2577" s="875" t="s">
        <v>4757</v>
      </c>
      <c r="E2577" s="20" t="s">
        <v>1998</v>
      </c>
      <c r="F2577" s="768" t="s">
        <v>4742</v>
      </c>
      <c r="G2577" s="690" t="s">
        <v>3542</v>
      </c>
      <c r="H2577" s="21" t="s">
        <v>3909</v>
      </c>
      <c r="I2577" s="21" t="s">
        <v>1635</v>
      </c>
      <c r="J2577" s="731" t="s">
        <v>3513</v>
      </c>
      <c r="K2577" s="21" t="s">
        <v>712</v>
      </c>
      <c r="L2577" s="21"/>
      <c r="M2577" s="21">
        <v>3.1</v>
      </c>
      <c r="N2577" s="22">
        <v>3.26904378007803</v>
      </c>
      <c r="O2577" s="22">
        <v>13.0207107161463</v>
      </c>
      <c r="P2577" s="37"/>
      <c r="Q2577" s="37">
        <v>3</v>
      </c>
      <c r="R2577" s="37">
        <f>SUM(J2577:Q2577)</f>
        <v>22.3897544962243</v>
      </c>
      <c r="S2577" s="167" t="s">
        <v>3995</v>
      </c>
      <c r="T2577" s="167" t="s">
        <v>4754</v>
      </c>
    </row>
    <row r="2578" ht="15" spans="1:22">
      <c r="A2578" s="333"/>
      <c r="B2578" s="23">
        <v>20250312</v>
      </c>
      <c r="C2578" s="23">
        <v>7.19</v>
      </c>
      <c r="D2578" s="875" t="s">
        <v>778</v>
      </c>
      <c r="E2578" s="20" t="s">
        <v>779</v>
      </c>
      <c r="F2578" s="768"/>
      <c r="G2578" s="690"/>
      <c r="H2578" s="21"/>
      <c r="I2578" s="21"/>
      <c r="J2578" s="731"/>
      <c r="K2578" s="21"/>
      <c r="L2578" s="21"/>
      <c r="M2578" s="21"/>
      <c r="N2578" s="22">
        <v>0.120611577031136</v>
      </c>
      <c r="O2578" s="22">
        <v>0.257278946885399</v>
      </c>
      <c r="P2578" s="37"/>
      <c r="Q2578" s="37">
        <v>0.2</v>
      </c>
      <c r="R2578" s="37">
        <f>SUM(J2578:Q2578)</f>
        <v>0.577890523916535</v>
      </c>
      <c r="S2578" s="167"/>
      <c r="T2578" s="167"/>
    </row>
    <row r="2581" ht="15.6" spans="1:22">
      <c r="A2581" s="684" t="s">
        <v>8249</v>
      </c>
      <c r="B2581" s="11"/>
      <c r="C2581" s="11"/>
      <c r="D2581" s="11"/>
      <c r="E2581" s="127"/>
      <c r="F2581" s="127"/>
      <c r="G2581" s="13"/>
      <c r="H2581" s="14"/>
      <c r="I2581" s="14"/>
      <c r="J2581" s="128"/>
      <c r="K2581" s="129"/>
      <c r="L2581" s="865"/>
      <c r="M2581" s="128"/>
      <c r="N2581" s="867"/>
      <c r="O2581" s="867"/>
      <c r="P2581" s="13"/>
      <c r="Q2581" s="130"/>
      <c r="R2581" s="130"/>
      <c r="S2581" s="12"/>
      <c r="T2581" s="131"/>
    </row>
    <row r="2582" ht="15.6" spans="1:22">
      <c r="A2582" s="752" t="s">
        <v>1</v>
      </c>
      <c r="B2582" s="753" t="s">
        <v>2</v>
      </c>
      <c r="C2582" s="754" t="s">
        <v>1404</v>
      </c>
      <c r="D2582" s="753" t="s">
        <v>4</v>
      </c>
      <c r="E2582" s="18" t="s">
        <v>5</v>
      </c>
      <c r="F2582" s="18" t="s">
        <v>1933</v>
      </c>
      <c r="G2582" s="18" t="s">
        <v>4102</v>
      </c>
      <c r="H2582" s="141" t="s">
        <v>4541</v>
      </c>
      <c r="I2582" s="18" t="s">
        <v>1497</v>
      </c>
      <c r="J2582" s="18" t="s">
        <v>4102</v>
      </c>
      <c r="K2582" s="18" t="s">
        <v>4103</v>
      </c>
      <c r="L2582" s="18" t="s">
        <v>4104</v>
      </c>
      <c r="M2582" s="18" t="s">
        <v>1497</v>
      </c>
      <c r="N2582" s="18" t="s">
        <v>6</v>
      </c>
      <c r="O2582" s="18" t="s">
        <v>7</v>
      </c>
      <c r="P2582" s="141" t="s">
        <v>5211</v>
      </c>
      <c r="Q2582" s="18" t="s">
        <v>8</v>
      </c>
      <c r="R2582" s="18" t="s">
        <v>9</v>
      </c>
      <c r="S2582" s="18" t="s">
        <v>4105</v>
      </c>
      <c r="T2582" s="141" t="s">
        <v>10</v>
      </c>
    </row>
    <row r="2583" ht="15" spans="1:22">
      <c r="A2583" s="20" t="s">
        <v>8307</v>
      </c>
      <c r="B2583" s="23">
        <v>20250418</v>
      </c>
      <c r="C2583" s="23">
        <v>7.19</v>
      </c>
      <c r="D2583" s="35" t="s">
        <v>2930</v>
      </c>
      <c r="E2583" s="35" t="s">
        <v>1629</v>
      </c>
      <c r="F2583" s="750" t="s">
        <v>8308</v>
      </c>
      <c r="G2583" s="776" t="s">
        <v>7928</v>
      </c>
      <c r="H2583" s="21" t="s">
        <v>1913</v>
      </c>
      <c r="I2583" s="21" t="s">
        <v>1428</v>
      </c>
      <c r="J2583" s="700">
        <v>300</v>
      </c>
      <c r="K2583" s="21" t="s">
        <v>1428</v>
      </c>
      <c r="L2583" s="21" t="s">
        <v>1428</v>
      </c>
      <c r="M2583" s="21" t="s">
        <v>1428</v>
      </c>
      <c r="N2583" s="22">
        <f>39/C2583/1.13</f>
        <v>4.80017723731338</v>
      </c>
      <c r="O2583" s="709">
        <v>25.1200811594823</v>
      </c>
      <c r="P2583" s="20"/>
      <c r="Q2583" s="774">
        <v>3.4</v>
      </c>
      <c r="R2583" s="37">
        <f>SUM(J2583:Q2583)</f>
        <v>333.320258396796</v>
      </c>
      <c r="S2583" s="166" t="s">
        <v>1526</v>
      </c>
      <c r="T2583" s="760" t="s">
        <v>8309</v>
      </c>
    </row>
    <row r="2584" ht="15" spans="1:22">
      <c r="A2584" s="333"/>
      <c r="B2584" s="23">
        <v>20250312</v>
      </c>
      <c r="C2584" s="23">
        <v>7.19</v>
      </c>
      <c r="D2584" s="840" t="s">
        <v>261</v>
      </c>
      <c r="E2584" s="840" t="s">
        <v>262</v>
      </c>
      <c r="F2584" s="840"/>
      <c r="G2584" s="840"/>
      <c r="H2584" s="840"/>
      <c r="I2584" s="840"/>
      <c r="J2584" s="840"/>
      <c r="K2584" s="39"/>
      <c r="L2584" s="39"/>
      <c r="M2584" s="39"/>
      <c r="N2584" s="22">
        <v>0.46890827396799</v>
      </c>
      <c r="O2584" s="22">
        <v>2.71106402209119</v>
      </c>
      <c r="P2584" s="39"/>
      <c r="Q2584" s="37">
        <v>0.4</v>
      </c>
      <c r="R2584" s="37">
        <f>SUM(J2584:Q2584)</f>
        <v>3.57997229605918</v>
      </c>
      <c r="S2584" s="23"/>
      <c r="T2584" s="836" t="s">
        <v>260</v>
      </c>
    </row>
    <row r="2588" ht="15.6" spans="1:22">
      <c r="A2588" s="11" t="s">
        <v>8295</v>
      </c>
      <c r="B2588" s="11"/>
      <c r="C2588" s="11"/>
      <c r="D2588" s="11"/>
      <c r="E2588" s="127"/>
      <c r="F2588" s="127"/>
      <c r="G2588" s="13"/>
      <c r="H2588" s="14"/>
      <c r="I2588" s="14"/>
      <c r="J2588" s="128"/>
      <c r="K2588" s="129"/>
      <c r="L2588" s="128"/>
      <c r="M2588" s="128"/>
      <c r="N2588" s="867"/>
      <c r="O2588" s="867"/>
      <c r="P2588" s="13"/>
      <c r="Q2588" s="130"/>
      <c r="R2588" s="130"/>
      <c r="S2588" s="12"/>
      <c r="T2588" s="131"/>
      <c r="U2588" s="188"/>
      <c r="V2588" s="188"/>
    </row>
    <row r="2589" ht="15.6" spans="1:22">
      <c r="A2589" s="132" t="s">
        <v>1490</v>
      </c>
      <c r="B2589" s="17" t="s">
        <v>1492</v>
      </c>
      <c r="C2589" s="754" t="s">
        <v>1404</v>
      </c>
      <c r="D2589" s="17" t="s">
        <v>4100</v>
      </c>
      <c r="E2589" s="18" t="s">
        <v>5</v>
      </c>
      <c r="F2589" s="121" t="s">
        <v>1933</v>
      </c>
      <c r="G2589" s="18" t="s">
        <v>4102</v>
      </c>
      <c r="H2589" s="18" t="s">
        <v>1910</v>
      </c>
      <c r="I2589" s="18" t="s">
        <v>1497</v>
      </c>
      <c r="J2589" s="18" t="s">
        <v>4102</v>
      </c>
      <c r="K2589" s="18" t="s">
        <v>4103</v>
      </c>
      <c r="L2589" s="18" t="s">
        <v>4104</v>
      </c>
      <c r="M2589" s="18" t="s">
        <v>1497</v>
      </c>
      <c r="N2589" s="18" t="s">
        <v>6</v>
      </c>
      <c r="O2589" s="18" t="s">
        <v>7</v>
      </c>
      <c r="P2589" s="18" t="s">
        <v>5672</v>
      </c>
      <c r="Q2589" s="18" t="s">
        <v>8</v>
      </c>
      <c r="R2589" s="18" t="s">
        <v>9</v>
      </c>
      <c r="S2589" s="18" t="s">
        <v>4105</v>
      </c>
      <c r="T2589" s="18" t="s">
        <v>4106</v>
      </c>
      <c r="U2589" s="799"/>
      <c r="V2589" s="799"/>
    </row>
    <row r="2590" ht="15" spans="1:22">
      <c r="A2590" s="20" t="s">
        <v>7515</v>
      </c>
      <c r="B2590" s="880">
        <v>20241104</v>
      </c>
      <c r="C2590" s="23">
        <v>7.19</v>
      </c>
      <c r="D2590" s="880" t="s">
        <v>4133</v>
      </c>
      <c r="E2590" s="23" t="s">
        <v>4134</v>
      </c>
      <c r="F2590" s="23" t="s">
        <v>4122</v>
      </c>
      <c r="G2590" s="21" t="s">
        <v>4135</v>
      </c>
      <c r="H2590" s="690" t="s">
        <v>1913</v>
      </c>
      <c r="I2590" s="690" t="s">
        <v>1428</v>
      </c>
      <c r="J2590" s="21" t="s">
        <v>1428</v>
      </c>
      <c r="K2590" s="21" t="s">
        <v>1428</v>
      </c>
      <c r="L2590" s="21" t="s">
        <v>1428</v>
      </c>
      <c r="M2590" s="21" t="s">
        <v>1428</v>
      </c>
      <c r="N2590" s="37">
        <f>39.28/C2590/1.13</f>
        <v>4.83464004824794</v>
      </c>
      <c r="O2590" s="37">
        <v>22.206039810837</v>
      </c>
      <c r="P2590" s="37"/>
      <c r="Q2590" s="774">
        <v>4.3</v>
      </c>
      <c r="R2590" s="37">
        <f>SUM(J2590:Q2590)</f>
        <v>31.3406798590849</v>
      </c>
      <c r="S2590" s="793" t="s">
        <v>1526</v>
      </c>
      <c r="T2590" s="23" t="s">
        <v>4136</v>
      </c>
      <c r="U2590" s="120"/>
      <c r="V2590" s="42"/>
    </row>
    <row r="2595" ht="15.6" spans="1:20">
      <c r="A2595" s="801" t="s">
        <v>8249</v>
      </c>
      <c r="B2595" s="718"/>
      <c r="C2595" s="718"/>
      <c r="D2595" s="718"/>
      <c r="E2595" s="127"/>
      <c r="F2595" s="127"/>
      <c r="G2595" s="13"/>
      <c r="H2595" s="14"/>
      <c r="I2595" s="14"/>
      <c r="J2595" s="128"/>
      <c r="K2595" s="865"/>
      <c r="L2595" s="865"/>
      <c r="M2595" s="128"/>
      <c r="N2595" s="866"/>
      <c r="O2595" s="867"/>
      <c r="P2595" s="868"/>
      <c r="Q2595" s="869"/>
      <c r="R2595" s="130"/>
      <c r="S2595" s="12"/>
      <c r="T2595" s="131"/>
    </row>
    <row r="2596" ht="15.6" spans="1:20">
      <c r="A2596" s="802" t="s">
        <v>1490</v>
      </c>
      <c r="B2596" s="720" t="s">
        <v>2</v>
      </c>
      <c r="C2596" s="720" t="s">
        <v>1404</v>
      </c>
      <c r="D2596" s="719"/>
      <c r="E2596" s="18" t="s">
        <v>5</v>
      </c>
      <c r="F2596" s="18" t="s">
        <v>1933</v>
      </c>
      <c r="G2596" s="18" t="s">
        <v>4102</v>
      </c>
      <c r="H2596" s="141" t="s">
        <v>4541</v>
      </c>
      <c r="I2596" s="18" t="s">
        <v>1497</v>
      </c>
      <c r="J2596" s="18" t="s">
        <v>4102</v>
      </c>
      <c r="K2596" s="18" t="s">
        <v>4103</v>
      </c>
      <c r="L2596" s="18" t="s">
        <v>4104</v>
      </c>
      <c r="M2596" s="18" t="s">
        <v>1497</v>
      </c>
      <c r="N2596" s="18" t="s">
        <v>6</v>
      </c>
      <c r="O2596" s="18" t="s">
        <v>7</v>
      </c>
      <c r="P2596" s="141" t="s">
        <v>5211</v>
      </c>
      <c r="Q2596" s="18" t="s">
        <v>8</v>
      </c>
      <c r="R2596" s="18" t="s">
        <v>9</v>
      </c>
      <c r="S2596" s="18" t="s">
        <v>4105</v>
      </c>
      <c r="T2596" s="18" t="s">
        <v>4106</v>
      </c>
    </row>
    <row r="2597" spans="1:20">
      <c r="A2597" s="881" t="s">
        <v>2199</v>
      </c>
      <c r="B2597" s="729">
        <v>20250409</v>
      </c>
      <c r="C2597" s="23">
        <v>7.19</v>
      </c>
      <c r="D2597" s="729" t="s">
        <v>2654</v>
      </c>
      <c r="E2597" s="767" t="s">
        <v>2306</v>
      </c>
      <c r="F2597" s="768" t="s">
        <v>4122</v>
      </c>
      <c r="G2597" s="21" t="s">
        <v>2392</v>
      </c>
      <c r="H2597" s="21" t="s">
        <v>4174</v>
      </c>
      <c r="I2597" s="21" t="s">
        <v>1635</v>
      </c>
      <c r="J2597" s="700">
        <v>85</v>
      </c>
      <c r="K2597" s="699" t="s">
        <v>712</v>
      </c>
      <c r="L2597" s="21"/>
      <c r="M2597" s="21">
        <v>3.1</v>
      </c>
      <c r="N2597" s="22">
        <v>3.3</v>
      </c>
      <c r="O2597" s="22">
        <v>13.5066860222021</v>
      </c>
      <c r="P2597" s="37"/>
      <c r="Q2597" s="37">
        <v>2.82471968195749</v>
      </c>
      <c r="R2597" s="37">
        <f>SUM(J2597:Q2597)</f>
        <v>107.73140570416</v>
      </c>
      <c r="S2597" s="23" t="s">
        <v>8071</v>
      </c>
      <c r="T2597" s="23" t="s">
        <v>8310</v>
      </c>
    </row>
    <row r="2598" spans="1:20">
      <c r="A2598" s="333"/>
      <c r="B2598" s="763">
        <v>20240910</v>
      </c>
      <c r="C2598" s="23">
        <v>7.19</v>
      </c>
      <c r="D2598" s="882" t="s">
        <v>783</v>
      </c>
      <c r="E2598" s="778" t="s">
        <v>784</v>
      </c>
      <c r="F2598" s="39"/>
      <c r="G2598" s="21"/>
      <c r="H2598" s="21"/>
      <c r="I2598" s="21"/>
      <c r="J2598" s="779"/>
      <c r="K2598" s="779"/>
      <c r="L2598" s="779"/>
      <c r="M2598" s="779"/>
      <c r="N2598" s="22">
        <v>0.206027697036579</v>
      </c>
      <c r="O2598" s="22">
        <v>1.08512081001771</v>
      </c>
      <c r="P2598" s="21" t="s">
        <v>1428</v>
      </c>
      <c r="Q2598" s="37">
        <v>0.3</v>
      </c>
      <c r="R2598" s="37">
        <f>SUM(J2598:Q2598)</f>
        <v>1.59114850705429</v>
      </c>
      <c r="S2598" s="23"/>
      <c r="T2598" s="710" t="s">
        <v>8149</v>
      </c>
    </row>
    <row r="2604" ht="15.6" spans="1:20">
      <c r="A2604" s="801" t="s">
        <v>8249</v>
      </c>
      <c r="B2604" s="718"/>
      <c r="C2604" s="718"/>
      <c r="D2604" s="718"/>
      <c r="E2604" s="127"/>
      <c r="F2604" s="127"/>
      <c r="G2604" s="13"/>
      <c r="H2604" s="14"/>
      <c r="I2604" s="14"/>
      <c r="J2604" s="128"/>
      <c r="K2604" s="865"/>
      <c r="L2604" s="865"/>
      <c r="M2604" s="128"/>
      <c r="N2604" s="866"/>
      <c r="O2604" s="867"/>
      <c r="P2604" s="868"/>
      <c r="Q2604" s="869"/>
      <c r="R2604" s="130"/>
      <c r="S2604" s="12"/>
      <c r="T2604" s="131"/>
    </row>
    <row r="2605" ht="15.6" spans="1:20">
      <c r="A2605" s="802" t="s">
        <v>1490</v>
      </c>
      <c r="B2605" s="720" t="s">
        <v>2</v>
      </c>
      <c r="C2605" s="720" t="s">
        <v>3</v>
      </c>
      <c r="D2605" s="720" t="s">
        <v>4</v>
      </c>
      <c r="E2605" s="18" t="s">
        <v>5</v>
      </c>
      <c r="F2605" s="18" t="s">
        <v>1933</v>
      </c>
      <c r="G2605" s="18" t="s">
        <v>4102</v>
      </c>
      <c r="H2605" s="141" t="s">
        <v>4541</v>
      </c>
      <c r="I2605" s="18" t="s">
        <v>1497</v>
      </c>
      <c r="J2605" s="18" t="s">
        <v>4102</v>
      </c>
      <c r="K2605" s="18" t="s">
        <v>4103</v>
      </c>
      <c r="L2605" s="18" t="s">
        <v>4104</v>
      </c>
      <c r="M2605" s="18" t="s">
        <v>1497</v>
      </c>
      <c r="N2605" s="18" t="s">
        <v>6</v>
      </c>
      <c r="O2605" s="18" t="s">
        <v>7</v>
      </c>
      <c r="P2605" s="141" t="s">
        <v>5211</v>
      </c>
      <c r="Q2605" s="18" t="s">
        <v>8</v>
      </c>
      <c r="R2605" s="18" t="s">
        <v>9</v>
      </c>
      <c r="S2605" s="18" t="s">
        <v>4105</v>
      </c>
      <c r="T2605" s="18" t="s">
        <v>4106</v>
      </c>
    </row>
    <row r="2606" ht="15" spans="1:20">
      <c r="A2606" s="881" t="s">
        <v>7502</v>
      </c>
      <c r="B2606" s="729">
        <v>20250627</v>
      </c>
      <c r="C2606" s="23">
        <v>7.19</v>
      </c>
      <c r="D2606" s="729" t="s">
        <v>8311</v>
      </c>
      <c r="E2606" s="767" t="s">
        <v>8312</v>
      </c>
      <c r="F2606" s="768" t="s">
        <v>2801</v>
      </c>
      <c r="G2606" s="21" t="s">
        <v>2522</v>
      </c>
      <c r="H2606" s="21" t="s">
        <v>1913</v>
      </c>
      <c r="I2606" s="21"/>
      <c r="J2606" s="700">
        <v>125</v>
      </c>
      <c r="K2606" s="699"/>
      <c r="L2606" s="21"/>
      <c r="M2606" s="21"/>
      <c r="N2606" s="22">
        <v>5.89067904045688</v>
      </c>
      <c r="O2606" s="22">
        <v>14.7456013321359</v>
      </c>
      <c r="P2606" s="37"/>
      <c r="Q2606" s="37">
        <v>3.14632482758621</v>
      </c>
      <c r="R2606" s="37">
        <v>148.782605200179</v>
      </c>
      <c r="S2606" s="23" t="s">
        <v>1526</v>
      </c>
      <c r="T2606" s="23" t="s">
        <v>8313</v>
      </c>
    </row>
    <row r="2607" ht="15" spans="1:20">
      <c r="A2607" s="881" t="s">
        <v>7502</v>
      </c>
      <c r="B2607" s="729">
        <v>20250627</v>
      </c>
      <c r="C2607" s="23">
        <v>7.19</v>
      </c>
      <c r="D2607" s="729" t="s">
        <v>8314</v>
      </c>
      <c r="E2607" s="767" t="s">
        <v>8315</v>
      </c>
      <c r="F2607" s="768" t="s">
        <v>2801</v>
      </c>
      <c r="G2607" s="21" t="s">
        <v>2526</v>
      </c>
      <c r="H2607" s="21" t="s">
        <v>1913</v>
      </c>
      <c r="I2607" s="21"/>
      <c r="J2607" s="700">
        <v>140</v>
      </c>
      <c r="K2607" s="699"/>
      <c r="L2607" s="21"/>
      <c r="M2607" s="21"/>
      <c r="N2607" s="22">
        <v>5.89067904045688</v>
      </c>
      <c r="O2607" s="22">
        <v>14.720345117648</v>
      </c>
      <c r="P2607" s="37"/>
      <c r="Q2607" s="37">
        <v>3.14632482758621</v>
      </c>
      <c r="R2607" s="37">
        <v>163.757348985691</v>
      </c>
      <c r="S2607" s="23" t="s">
        <v>1526</v>
      </c>
      <c r="T2607" s="23" t="s">
        <v>8313</v>
      </c>
    </row>
    <row r="2611" ht="15.6" spans="1:21">
      <c r="A2611" s="684" t="s">
        <v>8249</v>
      </c>
      <c r="B2611" s="11"/>
      <c r="C2611" s="11"/>
      <c r="D2611" s="11"/>
      <c r="E2611" s="11"/>
      <c r="F2611" s="127"/>
      <c r="G2611" s="127"/>
      <c r="H2611" s="13"/>
      <c r="I2611" s="14"/>
      <c r="J2611" s="14"/>
      <c r="K2611" s="128"/>
      <c r="L2611" s="129"/>
      <c r="M2611" s="865"/>
      <c r="N2611" s="128"/>
      <c r="O2611" s="867"/>
      <c r="P2611" s="867"/>
      <c r="Q2611" s="13"/>
      <c r="R2611" s="130"/>
      <c r="S2611" s="130"/>
      <c r="T2611" s="12"/>
      <c r="U2611" s="131"/>
    </row>
    <row r="2612" ht="15.6" spans="1:21">
      <c r="A2612" s="752" t="s">
        <v>1</v>
      </c>
      <c r="B2612" s="753" t="s">
        <v>2</v>
      </c>
      <c r="C2612" s="773" t="s">
        <v>3</v>
      </c>
      <c r="D2612" s="753" t="s">
        <v>4</v>
      </c>
      <c r="E2612" s="18" t="s">
        <v>5</v>
      </c>
      <c r="F2612" s="18" t="s">
        <v>1933</v>
      </c>
      <c r="G2612" s="18" t="s">
        <v>4102</v>
      </c>
      <c r="H2612" s="141" t="s">
        <v>4541</v>
      </c>
      <c r="I2612" s="18" t="s">
        <v>1497</v>
      </c>
      <c r="J2612" s="18" t="s">
        <v>4102</v>
      </c>
      <c r="K2612" s="18" t="s">
        <v>4103</v>
      </c>
      <c r="L2612" s="18" t="s">
        <v>4104</v>
      </c>
      <c r="M2612" s="18" t="s">
        <v>1497</v>
      </c>
      <c r="N2612" s="18" t="s">
        <v>6</v>
      </c>
      <c r="O2612" s="18" t="s">
        <v>7</v>
      </c>
      <c r="P2612" s="141" t="s">
        <v>5211</v>
      </c>
      <c r="Q2612" s="18" t="s">
        <v>8</v>
      </c>
      <c r="R2612" s="18" t="s">
        <v>9</v>
      </c>
      <c r="S2612" s="18" t="s">
        <v>4105</v>
      </c>
      <c r="T2612" s="141" t="s">
        <v>10</v>
      </c>
    </row>
    <row r="2613" s="182" customFormat="1" spans="1:21">
      <c r="A2613" s="881" t="s">
        <v>1081</v>
      </c>
      <c r="B2613" s="729">
        <v>20250626</v>
      </c>
      <c r="C2613" s="23">
        <v>7.19</v>
      </c>
      <c r="D2613" s="729" t="s">
        <v>4777</v>
      </c>
      <c r="E2613" s="767" t="s">
        <v>1565</v>
      </c>
      <c r="F2613" s="768" t="s">
        <v>3767</v>
      </c>
      <c r="G2613" s="21" t="s">
        <v>3799</v>
      </c>
      <c r="H2613" s="21"/>
      <c r="I2613" s="21" t="s">
        <v>1428</v>
      </c>
      <c r="J2613" s="700" t="s">
        <v>3513</v>
      </c>
      <c r="K2613" s="699" t="s">
        <v>1428</v>
      </c>
      <c r="L2613" s="21"/>
      <c r="M2613" s="21" t="s">
        <v>1428</v>
      </c>
      <c r="N2613" s="22">
        <v>2.66471377404704</v>
      </c>
      <c r="O2613" s="22">
        <v>10.4764803757368</v>
      </c>
      <c r="P2613" s="37"/>
      <c r="Q2613" s="37">
        <v>3</v>
      </c>
      <c r="R2613" s="37">
        <f>SUM(J2613:Q2613)</f>
        <v>16.1411941497838</v>
      </c>
      <c r="S2613" s="23" t="s">
        <v>1526</v>
      </c>
      <c r="T2613" s="23" t="s">
        <v>4778</v>
      </c>
    </row>
    <row r="2614" s="182" customFormat="1" hidden="1" spans="1:21">
      <c r="A2614" s="881"/>
      <c r="B2614" s="729">
        <v>20250626</v>
      </c>
      <c r="C2614" s="767">
        <v>7.19</v>
      </c>
      <c r="D2614" s="883" t="s">
        <v>3399</v>
      </c>
      <c r="E2614" s="702" t="s">
        <v>1617</v>
      </c>
      <c r="F2614" s="702" t="s">
        <v>3767</v>
      </c>
      <c r="G2614" s="702" t="s">
        <v>3794</v>
      </c>
      <c r="H2614" s="884"/>
      <c r="I2614" s="885" t="s">
        <v>1428</v>
      </c>
      <c r="J2614" s="702" t="s">
        <v>3513</v>
      </c>
      <c r="K2614" s="702" t="s">
        <v>1428</v>
      </c>
      <c r="L2614" s="886"/>
      <c r="M2614" s="886" t="s">
        <v>1428</v>
      </c>
      <c r="N2614" s="887">
        <v>2.66471377404704</v>
      </c>
      <c r="O2614" s="887">
        <v>10.5506831192535</v>
      </c>
      <c r="P2614" s="887"/>
      <c r="Q2614" s="706">
        <v>3</v>
      </c>
      <c r="R2614" s="706">
        <v>16.2153968933006</v>
      </c>
      <c r="S2614" s="182" t="s">
        <v>1526</v>
      </c>
      <c r="T2614" s="182" t="s">
        <v>4778</v>
      </c>
    </row>
    <row r="2615" s="182" customFormat="1" spans="1:21">
      <c r="A2615" s="881"/>
      <c r="B2615" s="729">
        <v>20250626</v>
      </c>
      <c r="C2615" s="23">
        <v>7.19</v>
      </c>
      <c r="D2615" s="729" t="s">
        <v>1082</v>
      </c>
      <c r="E2615" s="767" t="s">
        <v>1083</v>
      </c>
      <c r="F2615" s="768"/>
      <c r="G2615" s="21"/>
      <c r="H2615" s="21"/>
      <c r="I2615" s="21"/>
      <c r="J2615" s="700"/>
      <c r="K2615" s="699"/>
      <c r="L2615" s="21"/>
      <c r="M2615" s="21"/>
      <c r="N2615" s="22">
        <v>0.350782182726747</v>
      </c>
      <c r="O2615" s="22">
        <v>1.14954361283149</v>
      </c>
      <c r="P2615" s="37"/>
      <c r="Q2615" s="37">
        <v>0.2</v>
      </c>
      <c r="R2615" s="37">
        <f>SUM(J2615:Q2615)</f>
        <v>1.70032579555824</v>
      </c>
      <c r="S2615" s="23"/>
      <c r="T2615" s="23" t="s">
        <v>435</v>
      </c>
    </row>
    <row r="2618" ht="15.6" spans="1:21">
      <c r="A2618" s="684" t="s">
        <v>8249</v>
      </c>
      <c r="B2618" s="11"/>
      <c r="C2618" s="11"/>
      <c r="D2618" s="11"/>
      <c r="E2618" s="11"/>
      <c r="F2618" s="127"/>
      <c r="G2618" s="127"/>
      <c r="H2618" s="13"/>
      <c r="I2618" s="14"/>
      <c r="J2618" s="14"/>
      <c r="K2618" s="128"/>
      <c r="L2618" s="129"/>
      <c r="M2618" s="865"/>
      <c r="N2618" s="128"/>
      <c r="O2618" s="867"/>
      <c r="P2618" s="867"/>
      <c r="Q2618" s="13"/>
      <c r="R2618" s="130"/>
      <c r="S2618" s="130"/>
      <c r="T2618" s="12"/>
      <c r="U2618" s="131"/>
    </row>
    <row r="2619" ht="15.6" spans="1:21">
      <c r="A2619" s="752" t="s">
        <v>1</v>
      </c>
      <c r="B2619" s="753" t="s">
        <v>2</v>
      </c>
      <c r="C2619" s="773" t="s">
        <v>3</v>
      </c>
      <c r="D2619" s="753" t="s">
        <v>4</v>
      </c>
      <c r="E2619" s="18" t="s">
        <v>5</v>
      </c>
      <c r="F2619" s="18" t="s">
        <v>1933</v>
      </c>
      <c r="G2619" s="18" t="s">
        <v>4102</v>
      </c>
      <c r="H2619" s="141" t="s">
        <v>4541</v>
      </c>
      <c r="I2619" s="18" t="s">
        <v>1497</v>
      </c>
      <c r="J2619" s="18" t="s">
        <v>4102</v>
      </c>
      <c r="K2619" s="18" t="s">
        <v>4103</v>
      </c>
      <c r="L2619" s="18" t="s">
        <v>4104</v>
      </c>
      <c r="M2619" s="18" t="s">
        <v>1497</v>
      </c>
      <c r="N2619" s="18" t="s">
        <v>6</v>
      </c>
      <c r="O2619" s="18" t="s">
        <v>7</v>
      </c>
      <c r="P2619" s="141" t="s">
        <v>5211</v>
      </c>
      <c r="Q2619" s="18" t="s">
        <v>8</v>
      </c>
      <c r="R2619" s="18" t="s">
        <v>9</v>
      </c>
      <c r="S2619" s="18" t="s">
        <v>4105</v>
      </c>
      <c r="T2619" s="141" t="s">
        <v>10</v>
      </c>
    </row>
    <row r="2620" s="182" customFormat="1" spans="1:21">
      <c r="A2620" s="881" t="s">
        <v>107</v>
      </c>
      <c r="B2620" s="729">
        <v>20250619</v>
      </c>
      <c r="C2620" s="23">
        <v>7.19</v>
      </c>
      <c r="D2620" s="729" t="s">
        <v>101</v>
      </c>
      <c r="E2620" s="767" t="s">
        <v>102</v>
      </c>
      <c r="F2620" s="768"/>
      <c r="G2620" s="21"/>
      <c r="H2620" s="21"/>
      <c r="I2620" s="21"/>
      <c r="J2620" s="700"/>
      <c r="K2620" s="699"/>
      <c r="L2620" s="21"/>
      <c r="M2620" s="21"/>
      <c r="N2620" s="22">
        <v>0.347089738698044</v>
      </c>
      <c r="O2620" s="22">
        <v>1.61409196804756</v>
      </c>
      <c r="P2620" s="37"/>
      <c r="Q2620" s="37">
        <v>0.2</v>
      </c>
      <c r="R2620" s="37">
        <f>SUM(J2620:Q2620)</f>
        <v>2.1611817067456</v>
      </c>
      <c r="S2620" s="23"/>
      <c r="T2620" s="23" t="s">
        <v>103</v>
      </c>
    </row>
    <row r="2621" s="182" customFormat="1" spans="1:21">
      <c r="A2621" s="881" t="s">
        <v>107</v>
      </c>
      <c r="B2621" s="729">
        <v>20250619</v>
      </c>
      <c r="C2621" s="23">
        <v>7.19</v>
      </c>
      <c r="D2621" s="729" t="s">
        <v>105</v>
      </c>
      <c r="E2621" s="767" t="s">
        <v>106</v>
      </c>
      <c r="F2621" s="768"/>
      <c r="G2621" s="21"/>
      <c r="H2621" s="21"/>
      <c r="I2621" s="21"/>
      <c r="J2621" s="700"/>
      <c r="K2621" s="699"/>
      <c r="L2621" s="21"/>
      <c r="M2621" s="21"/>
      <c r="N2621" s="22">
        <v>0.397553140423646</v>
      </c>
      <c r="O2621" s="22">
        <v>2.92103069926865</v>
      </c>
      <c r="P2621" s="37"/>
      <c r="Q2621" s="37">
        <v>0.4</v>
      </c>
      <c r="R2621" s="37">
        <f>SUM(J2621:Q2621)</f>
        <v>3.7185838396923</v>
      </c>
      <c r="S2621" s="23"/>
      <c r="T2621" s="23" t="s">
        <v>118</v>
      </c>
    </row>
    <row r="2622" s="182" customFormat="1" spans="1:21">
      <c r="A2622" s="881" t="s">
        <v>107</v>
      </c>
      <c r="B2622" s="729">
        <v>20250627</v>
      </c>
      <c r="C2622" s="23">
        <v>7.19</v>
      </c>
      <c r="D2622" s="729" t="s">
        <v>108</v>
      </c>
      <c r="E2622" s="767" t="s">
        <v>109</v>
      </c>
      <c r="F2622" s="768"/>
      <c r="G2622" s="21"/>
      <c r="H2622" s="21"/>
      <c r="I2622" s="21"/>
      <c r="J2622" s="700"/>
      <c r="K2622" s="699"/>
      <c r="L2622" s="21"/>
      <c r="M2622" s="21"/>
      <c r="N2622" s="22">
        <v>0.374167661575197</v>
      </c>
      <c r="O2622" s="22">
        <v>2.97795126002782</v>
      </c>
      <c r="P2622" s="37"/>
      <c r="Q2622" s="37">
        <v>0.4</v>
      </c>
      <c r="R2622" s="37">
        <f>SUM(J2622:Q2622)</f>
        <v>3.75211892160302</v>
      </c>
      <c r="S2622" s="23"/>
      <c r="T2622" s="23" t="s">
        <v>110</v>
      </c>
    </row>
    <row r="2623" s="182" customFormat="1" spans="1:21">
      <c r="A2623" s="881" t="s">
        <v>1227</v>
      </c>
      <c r="B2623" s="729">
        <v>20250522</v>
      </c>
      <c r="C2623" s="23"/>
      <c r="D2623" s="729" t="s">
        <v>4998</v>
      </c>
      <c r="E2623" s="767" t="s">
        <v>4999</v>
      </c>
      <c r="F2623" s="768"/>
      <c r="G2623" s="21"/>
      <c r="H2623" s="21"/>
      <c r="I2623" s="21"/>
      <c r="J2623" s="700"/>
      <c r="K2623" s="699"/>
      <c r="L2623" s="21"/>
      <c r="M2623" s="21"/>
      <c r="N2623" s="22">
        <v>0.360855743620586</v>
      </c>
      <c r="O2623" s="22">
        <v>2.94460240037761</v>
      </c>
      <c r="P2623" s="37"/>
      <c r="Q2623" s="37">
        <v>0.4</v>
      </c>
      <c r="R2623" s="37">
        <f>SUM(J2623:Q2623)</f>
        <v>3.7054581439982</v>
      </c>
      <c r="S2623" s="23"/>
      <c r="T2623" s="23" t="s">
        <v>5000</v>
      </c>
    </row>
    <row r="2624" s="182" customFormat="1" spans="1:21">
      <c r="A2624" s="881" t="s">
        <v>1227</v>
      </c>
      <c r="B2624" s="729">
        <v>20250522</v>
      </c>
      <c r="C2624" s="23"/>
      <c r="D2624" s="729" t="s">
        <v>5001</v>
      </c>
      <c r="E2624" s="767" t="s">
        <v>5002</v>
      </c>
      <c r="F2624" s="768"/>
      <c r="G2624" s="21"/>
      <c r="H2624" s="21"/>
      <c r="I2624" s="21"/>
      <c r="J2624" s="700"/>
      <c r="K2624" s="699"/>
      <c r="L2624" s="21"/>
      <c r="M2624" s="21"/>
      <c r="N2624" s="22">
        <v>0.361859514812855</v>
      </c>
      <c r="O2624" s="22">
        <v>1.62863783927973</v>
      </c>
      <c r="P2624" s="37"/>
      <c r="Q2624" s="37">
        <v>0.2</v>
      </c>
      <c r="R2624" s="37">
        <f>SUM(J2624:Q2624)</f>
        <v>2.19049735409259</v>
      </c>
      <c r="S2624" s="23"/>
      <c r="T2624" s="23" t="s">
        <v>103</v>
      </c>
    </row>
    <row r="2626" ht="15.6" spans="1:20">
      <c r="A2626" s="684" t="s">
        <v>8249</v>
      </c>
    </row>
    <row r="2627" ht="15.6" spans="1:20">
      <c r="A2627" s="752" t="s">
        <v>1</v>
      </c>
      <c r="B2627" s="720" t="s">
        <v>2</v>
      </c>
      <c r="C2627" s="720" t="s">
        <v>1404</v>
      </c>
      <c r="D2627" s="720" t="s">
        <v>4</v>
      </c>
      <c r="E2627" s="18" t="s">
        <v>5</v>
      </c>
      <c r="F2627" s="18" t="s">
        <v>1933</v>
      </c>
      <c r="G2627" s="18" t="s">
        <v>4102</v>
      </c>
      <c r="H2627" s="141" t="s">
        <v>4541</v>
      </c>
      <c r="I2627" s="18" t="s">
        <v>1497</v>
      </c>
      <c r="J2627" s="18" t="s">
        <v>4102</v>
      </c>
      <c r="K2627" s="18" t="s">
        <v>4103</v>
      </c>
      <c r="L2627" s="18" t="s">
        <v>4104</v>
      </c>
      <c r="M2627" s="18" t="s">
        <v>1497</v>
      </c>
      <c r="N2627" s="18" t="s">
        <v>6</v>
      </c>
      <c r="O2627" s="18" t="s">
        <v>7</v>
      </c>
      <c r="P2627" s="141" t="s">
        <v>5211</v>
      </c>
      <c r="Q2627" s="18" t="s">
        <v>8</v>
      </c>
      <c r="R2627" s="18" t="s">
        <v>9</v>
      </c>
      <c r="S2627" s="18" t="s">
        <v>4105</v>
      </c>
      <c r="T2627" s="18" t="s">
        <v>4106</v>
      </c>
    </row>
    <row r="2628" ht="15" spans="1:20">
      <c r="A2628" s="333" t="s">
        <v>7407</v>
      </c>
      <c r="B2628" s="23">
        <v>20250217</v>
      </c>
      <c r="C2628" s="23">
        <v>7.19</v>
      </c>
      <c r="D2628" s="23" t="s">
        <v>7775</v>
      </c>
      <c r="E2628" s="20" t="s">
        <v>7776</v>
      </c>
      <c r="F2628" s="688" t="s">
        <v>1933</v>
      </c>
      <c r="G2628" s="690" t="s">
        <v>2951</v>
      </c>
      <c r="H2628" s="690" t="s">
        <v>1913</v>
      </c>
      <c r="I2628" s="690" t="s">
        <v>1428</v>
      </c>
      <c r="J2628" s="691" t="s">
        <v>4244</v>
      </c>
      <c r="K2628" s="21" t="s">
        <v>1428</v>
      </c>
      <c r="L2628" s="21" t="s">
        <v>1428</v>
      </c>
      <c r="M2628" s="21" t="s">
        <v>1428</v>
      </c>
      <c r="N2628" s="37">
        <f>3.85264748791615/7.21*7.17</f>
        <v>3.83127357674879</v>
      </c>
      <c r="O2628" s="22">
        <v>12.6937838919589</v>
      </c>
      <c r="P2628" s="37" t="s">
        <v>1428</v>
      </c>
      <c r="Q2628" s="37">
        <v>2.92072322670376</v>
      </c>
      <c r="R2628" s="37">
        <f>SUM(J2628:Q2628)+1</f>
        <v>20.4457806954115</v>
      </c>
      <c r="S2628" s="693" t="s">
        <v>1526</v>
      </c>
      <c r="T2628" s="167" t="s">
        <v>8095</v>
      </c>
    </row>
    <row r="2629" spans="1:20">
      <c r="A2629" s="333"/>
      <c r="B2629" s="23">
        <v>20241111</v>
      </c>
      <c r="C2629" s="23">
        <v>7.19</v>
      </c>
      <c r="D2629" s="23" t="s">
        <v>175</v>
      </c>
      <c r="E2629" s="23" t="s">
        <v>176</v>
      </c>
      <c r="F2629" s="23"/>
      <c r="G2629" s="21"/>
      <c r="H2629" s="21"/>
      <c r="I2629" s="21"/>
      <c r="J2629" s="36"/>
      <c r="K2629" s="36"/>
      <c r="L2629" s="36"/>
      <c r="M2629" s="36"/>
      <c r="N2629" s="22">
        <v>0.422346507965976</v>
      </c>
      <c r="O2629" s="22">
        <v>2.15105537835191</v>
      </c>
      <c r="P2629" s="21" t="s">
        <v>1428</v>
      </c>
      <c r="Q2629" s="37">
        <v>0.4</v>
      </c>
      <c r="R2629" s="37">
        <f>SUM(J2629:Q2629)</f>
        <v>2.97340188631789</v>
      </c>
      <c r="S2629" s="38"/>
      <c r="T2629" s="710" t="s">
        <v>8097</v>
      </c>
    </row>
    <row r="2634" s="188" customFormat="1" ht="14" customHeight="1" spans="1:20">
      <c r="A2634" s="801" t="s">
        <v>8316</v>
      </c>
      <c r="B2634" s="718"/>
      <c r="C2634" s="718"/>
      <c r="D2634" s="718"/>
      <c r="E2634" s="127"/>
      <c r="F2634" s="127"/>
      <c r="G2634" s="13"/>
      <c r="H2634" s="14"/>
      <c r="I2634" s="14"/>
      <c r="J2634" s="128"/>
      <c r="K2634" s="865"/>
      <c r="L2634" s="865"/>
      <c r="M2634" s="128"/>
      <c r="N2634" s="866"/>
      <c r="O2634" s="867"/>
      <c r="P2634" s="868"/>
      <c r="Q2634" s="869"/>
      <c r="R2634" s="130"/>
      <c r="S2634" s="12"/>
      <c r="T2634" s="131"/>
    </row>
    <row r="2635" s="188" customFormat="1" ht="15.6" spans="1:20">
      <c r="A2635" s="802" t="s">
        <v>1490</v>
      </c>
      <c r="B2635" s="720" t="s">
        <v>2</v>
      </c>
      <c r="C2635" s="720" t="s">
        <v>1404</v>
      </c>
      <c r="D2635" s="720" t="s">
        <v>4</v>
      </c>
      <c r="E2635" s="18" t="s">
        <v>5</v>
      </c>
      <c r="F2635" s="18" t="s">
        <v>1933</v>
      </c>
      <c r="G2635" s="18" t="s">
        <v>4102</v>
      </c>
      <c r="H2635" s="141" t="s">
        <v>4541</v>
      </c>
      <c r="I2635" s="18" t="s">
        <v>1497</v>
      </c>
      <c r="J2635" s="18" t="s">
        <v>4102</v>
      </c>
      <c r="K2635" s="18" t="s">
        <v>4103</v>
      </c>
      <c r="L2635" s="18" t="s">
        <v>4104</v>
      </c>
      <c r="M2635" s="18" t="s">
        <v>1497</v>
      </c>
      <c r="N2635" s="18" t="s">
        <v>6</v>
      </c>
      <c r="O2635" s="18" t="s">
        <v>7</v>
      </c>
      <c r="P2635" s="141" t="s">
        <v>5211</v>
      </c>
      <c r="Q2635" s="18" t="s">
        <v>8</v>
      </c>
      <c r="R2635" s="18" t="s">
        <v>9</v>
      </c>
      <c r="S2635" s="18" t="s">
        <v>4105</v>
      </c>
      <c r="T2635" s="18" t="s">
        <v>4106</v>
      </c>
    </row>
    <row r="2636" hidden="1" spans="1:20">
      <c r="A2636" s="333" t="s">
        <v>7475</v>
      </c>
      <c r="B2636" s="23">
        <v>20241213</v>
      </c>
      <c r="C2636" s="23">
        <v>7.19</v>
      </c>
      <c r="D2636" s="23" t="s">
        <v>141</v>
      </c>
      <c r="E2636" s="23" t="s">
        <v>142</v>
      </c>
      <c r="F2636" s="23"/>
      <c r="G2636" s="21"/>
      <c r="H2636" s="21"/>
      <c r="I2636" s="21"/>
      <c r="J2636" s="36"/>
      <c r="K2636" s="36"/>
      <c r="L2636" s="36"/>
      <c r="M2636" s="36"/>
      <c r="N2636" s="22">
        <v>0.651682897026697</v>
      </c>
      <c r="O2636" s="22">
        <v>3.05598970867425</v>
      </c>
      <c r="P2636" s="21"/>
      <c r="Q2636" s="37">
        <v>0.4</v>
      </c>
      <c r="R2636" s="37">
        <f>SUM(J2636:Q2636)</f>
        <v>4.10767260570094</v>
      </c>
      <c r="S2636" s="38"/>
      <c r="T2636" s="39" t="s">
        <v>143</v>
      </c>
    </row>
    <row r="2637" hidden="1" spans="1:20">
      <c r="A2637" s="333" t="s">
        <v>7475</v>
      </c>
      <c r="B2637" s="23">
        <v>20241219</v>
      </c>
      <c r="C2637" s="23">
        <v>7.24</v>
      </c>
      <c r="D2637" s="23" t="s">
        <v>5075</v>
      </c>
      <c r="E2637" s="23" t="s">
        <v>2427</v>
      </c>
      <c r="F2637" s="23" t="s">
        <v>3586</v>
      </c>
      <c r="G2637" s="21" t="s">
        <v>4838</v>
      </c>
      <c r="H2637" s="21" t="s">
        <v>3436</v>
      </c>
      <c r="I2637" s="21"/>
      <c r="J2637" s="844" t="s">
        <v>6517</v>
      </c>
      <c r="K2637" s="844" t="s">
        <v>8317</v>
      </c>
      <c r="L2637" s="36"/>
      <c r="M2637" s="36"/>
      <c r="N2637" s="22">
        <v>3.93313667649951</v>
      </c>
      <c r="O2637" s="22">
        <v>11.9532638836741</v>
      </c>
      <c r="P2637" s="21"/>
      <c r="Q2637" s="37">
        <v>4.06141256774168</v>
      </c>
      <c r="R2637" s="37">
        <f>SUM(J2637:Q2637)</f>
        <v>19.9478131279153</v>
      </c>
      <c r="S2637" s="38" t="s">
        <v>4976</v>
      </c>
      <c r="T2637" s="39" t="s">
        <v>8318</v>
      </c>
    </row>
    <row r="2638" hidden="1" spans="1:20">
      <c r="A2638" s="333" t="s">
        <v>7475</v>
      </c>
      <c r="B2638" s="23"/>
      <c r="C2638" s="23"/>
      <c r="D2638" s="23"/>
      <c r="E2638" s="23" t="s">
        <v>8319</v>
      </c>
      <c r="F2638" s="23" t="s">
        <v>8320</v>
      </c>
      <c r="G2638" s="757"/>
      <c r="H2638" s="21"/>
      <c r="I2638" s="21"/>
      <c r="J2638" s="36"/>
      <c r="K2638" s="36"/>
      <c r="L2638" s="36"/>
      <c r="M2638" s="36"/>
      <c r="N2638" s="22"/>
      <c r="O2638" s="22"/>
      <c r="P2638" s="21"/>
      <c r="Q2638" s="37"/>
      <c r="R2638" s="37" t="s">
        <v>8321</v>
      </c>
      <c r="S2638" s="38"/>
      <c r="T2638" s="39"/>
    </row>
    <row r="2639" spans="1:20">
      <c r="A2639" s="333" t="s">
        <v>7475</v>
      </c>
      <c r="B2639" s="23">
        <v>20241219</v>
      </c>
      <c r="C2639" s="23">
        <v>7.24</v>
      </c>
      <c r="D2639" s="23" t="s">
        <v>5075</v>
      </c>
      <c r="E2639" s="23" t="s">
        <v>2427</v>
      </c>
      <c r="F2639" s="23" t="s">
        <v>3586</v>
      </c>
      <c r="G2639" s="21" t="s">
        <v>4838</v>
      </c>
      <c r="H2639" s="21" t="s">
        <v>3436</v>
      </c>
      <c r="I2639" s="21"/>
      <c r="J2639" s="844" t="s">
        <v>6517</v>
      </c>
      <c r="K2639" s="844" t="s">
        <v>8317</v>
      </c>
      <c r="L2639" s="36"/>
      <c r="M2639" s="36"/>
      <c r="N2639" s="22">
        <v>3.93313667649951</v>
      </c>
      <c r="O2639" s="22">
        <v>11.9532638836741</v>
      </c>
      <c r="P2639" s="21"/>
      <c r="Q2639" s="37">
        <v>4.06141256774168</v>
      </c>
      <c r="R2639" s="37">
        <f>SUM(J2639:Q2639)</f>
        <v>19.9478131279153</v>
      </c>
      <c r="S2639" s="38" t="s">
        <v>4976</v>
      </c>
      <c r="T2639" s="39" t="s">
        <v>8318</v>
      </c>
    </row>
    <row r="2640" spans="1:20">
      <c r="A2640" s="333"/>
      <c r="B2640" s="333"/>
      <c r="C2640" s="333"/>
      <c r="D2640" s="333"/>
      <c r="E2640" s="20" t="s">
        <v>548</v>
      </c>
      <c r="F2640" s="695"/>
      <c r="G2640" s="20"/>
      <c r="H2640" s="20"/>
      <c r="I2640" s="20"/>
      <c r="J2640" s="772"/>
      <c r="K2640" s="772"/>
      <c r="L2640" s="772"/>
      <c r="M2640" s="772"/>
      <c r="N2640" s="22">
        <v>0.699507389162562</v>
      </c>
      <c r="O2640" s="22">
        <v>3.37931034482759</v>
      </c>
      <c r="P2640" s="21" t="s">
        <v>1428</v>
      </c>
      <c r="Q2640" s="37">
        <v>0.4</v>
      </c>
      <c r="R2640" s="37">
        <f>SUM(J2640:Q2640)</f>
        <v>4.47881773399015</v>
      </c>
      <c r="S2640" s="20"/>
      <c r="T2640" s="20" t="s">
        <v>25</v>
      </c>
    </row>
    <row r="2641" spans="1:20">
      <c r="A2641" s="333"/>
      <c r="B2641" s="23"/>
      <c r="C2641" s="23"/>
      <c r="D2641" s="23"/>
      <c r="E2641" s="23" t="s">
        <v>8322</v>
      </c>
      <c r="F2641" s="23" t="s">
        <v>8323</v>
      </c>
      <c r="G2641" s="21"/>
      <c r="H2641" s="21"/>
      <c r="I2641" s="21"/>
      <c r="J2641" s="844"/>
      <c r="K2641" s="844"/>
      <c r="L2641" s="36"/>
      <c r="M2641" s="36"/>
      <c r="N2641" s="22"/>
      <c r="O2641" s="22"/>
      <c r="P2641" s="21"/>
      <c r="Q2641" s="37"/>
      <c r="R2641" s="37" t="s">
        <v>8321</v>
      </c>
      <c r="S2641" s="38"/>
      <c r="T2641" s="39"/>
    </row>
    <row r="2646" s="188" customFormat="1" ht="15.6" spans="1:20">
      <c r="A2646" s="801" t="s">
        <v>8324</v>
      </c>
      <c r="B2646" s="718"/>
      <c r="C2646" s="718"/>
      <c r="D2646" s="718"/>
      <c r="E2646" s="127"/>
      <c r="F2646" s="127"/>
      <c r="G2646" s="13"/>
      <c r="H2646" s="14"/>
      <c r="I2646" s="14"/>
      <c r="J2646" s="128"/>
      <c r="K2646" s="865"/>
      <c r="L2646" s="865"/>
      <c r="M2646" s="128"/>
      <c r="N2646" s="866"/>
      <c r="O2646" s="867"/>
      <c r="P2646" s="868"/>
      <c r="Q2646" s="869"/>
      <c r="R2646" s="130"/>
      <c r="S2646" s="12"/>
      <c r="T2646" s="131"/>
    </row>
    <row r="2647" s="188" customFormat="1" ht="15.6" spans="1:20">
      <c r="A2647" s="802" t="s">
        <v>1490</v>
      </c>
      <c r="B2647" s="720" t="s">
        <v>2</v>
      </c>
      <c r="C2647" s="720" t="s">
        <v>3</v>
      </c>
      <c r="D2647" s="720" t="s">
        <v>4</v>
      </c>
      <c r="E2647" s="18" t="s">
        <v>5</v>
      </c>
      <c r="F2647" s="18" t="s">
        <v>1933</v>
      </c>
      <c r="G2647" s="18" t="s">
        <v>4102</v>
      </c>
      <c r="H2647" s="141" t="s">
        <v>4541</v>
      </c>
      <c r="I2647" s="18" t="s">
        <v>1497</v>
      </c>
      <c r="J2647" s="18" t="s">
        <v>4102</v>
      </c>
      <c r="K2647" s="18" t="s">
        <v>4103</v>
      </c>
      <c r="L2647" s="18" t="s">
        <v>4104</v>
      </c>
      <c r="M2647" s="18" t="s">
        <v>1497</v>
      </c>
      <c r="N2647" s="18" t="s">
        <v>6</v>
      </c>
      <c r="O2647" s="18" t="s">
        <v>7</v>
      </c>
      <c r="P2647" s="141" t="s">
        <v>5211</v>
      </c>
      <c r="Q2647" s="18" t="s">
        <v>8</v>
      </c>
      <c r="R2647" s="18" t="s">
        <v>9</v>
      </c>
      <c r="S2647" s="18" t="s">
        <v>4105</v>
      </c>
      <c r="T2647" s="18" t="s">
        <v>4106</v>
      </c>
    </row>
    <row r="2648" s="182" customFormat="1" spans="1:20">
      <c r="A2648" s="333" t="s">
        <v>8325</v>
      </c>
      <c r="B2648" s="23">
        <v>20250212</v>
      </c>
      <c r="C2648" s="23">
        <v>7.3</v>
      </c>
      <c r="D2648" s="23" t="s">
        <v>8326</v>
      </c>
      <c r="E2648" s="23" t="s">
        <v>8327</v>
      </c>
      <c r="F2648" s="23" t="s">
        <v>8308</v>
      </c>
      <c r="G2648" s="21" t="s">
        <v>8328</v>
      </c>
      <c r="H2648" s="21" t="s">
        <v>1913</v>
      </c>
      <c r="I2648" s="21" t="s">
        <v>1428</v>
      </c>
      <c r="J2648" s="844">
        <v>330</v>
      </c>
      <c r="K2648" s="844" t="s">
        <v>1428</v>
      </c>
      <c r="L2648" s="36" t="s">
        <v>1428</v>
      </c>
      <c r="M2648" s="36" t="s">
        <v>1428</v>
      </c>
      <c r="N2648" s="22">
        <v>5.99597635181003</v>
      </c>
      <c r="O2648" s="22">
        <v>29.3181512341228</v>
      </c>
      <c r="P2648" s="21"/>
      <c r="Q2648" s="37">
        <v>3.4</v>
      </c>
      <c r="R2648" s="37">
        <f>SUM(J2648:Q2648)</f>
        <v>368.714127585933</v>
      </c>
      <c r="S2648" s="38" t="s">
        <v>1526</v>
      </c>
      <c r="T2648" s="39" t="s">
        <v>8329</v>
      </c>
    </row>
    <row r="2649" s="182" customFormat="1" spans="1:20">
      <c r="A2649" s="333"/>
      <c r="B2649" s="23">
        <v>20250312</v>
      </c>
      <c r="C2649" s="23">
        <v>7.19</v>
      </c>
      <c r="D2649" s="23" t="s">
        <v>261</v>
      </c>
      <c r="E2649" s="23" t="s">
        <v>262</v>
      </c>
      <c r="F2649" s="23"/>
      <c r="G2649" s="21"/>
      <c r="H2649" s="21"/>
      <c r="I2649" s="21"/>
      <c r="J2649" s="844"/>
      <c r="K2649" s="844"/>
      <c r="L2649" s="36"/>
      <c r="M2649" s="36"/>
      <c r="N2649" s="22">
        <v>0.470248454104491</v>
      </c>
      <c r="O2649" s="22">
        <v>2.72487482817541</v>
      </c>
      <c r="P2649" s="21"/>
      <c r="Q2649" s="37">
        <v>0.4</v>
      </c>
      <c r="R2649" s="37">
        <f>SUM(J2649:Q2649)</f>
        <v>3.5951232822799</v>
      </c>
      <c r="S2649" s="38"/>
      <c r="T2649" s="39" t="s">
        <v>260</v>
      </c>
    </row>
    <row r="2650" spans="1:20">
      <c r="A2650" s="333"/>
      <c r="B2650" s="19">
        <v>20250701</v>
      </c>
      <c r="C2650" s="21">
        <v>7.17</v>
      </c>
      <c r="D2650" s="19" t="s">
        <v>1068</v>
      </c>
      <c r="E2650" s="20" t="s">
        <v>1069</v>
      </c>
      <c r="F2650" s="23"/>
      <c r="G2650" s="21"/>
      <c r="H2650" s="21"/>
      <c r="I2650" s="21"/>
      <c r="J2650" s="21"/>
      <c r="K2650" s="21"/>
      <c r="L2650" s="731"/>
      <c r="M2650" s="21"/>
      <c r="N2650" s="22">
        <v>0.326145263383757</v>
      </c>
      <c r="O2650" s="704">
        <v>3.44959460386813</v>
      </c>
      <c r="P2650" s="21"/>
      <c r="Q2650" s="37">
        <v>0.4</v>
      </c>
      <c r="R2650" s="22">
        <f>SUBTOTAL(9,H2650:Q2650)</f>
        <v>4.17573986725189</v>
      </c>
      <c r="S2650" s="750"/>
      <c r="T2650" s="139"/>
    </row>
    <row r="2654" s="188" customFormat="1" ht="15.6" spans="1:20">
      <c r="A2654" s="801" t="s">
        <v>8324</v>
      </c>
      <c r="B2654" s="718"/>
      <c r="C2654" s="718"/>
      <c r="D2654" s="718"/>
      <c r="E2654" s="127"/>
      <c r="F2654" s="127"/>
      <c r="G2654" s="13"/>
      <c r="H2654" s="14"/>
      <c r="I2654" s="14"/>
      <c r="J2654" s="128"/>
      <c r="K2654" s="865"/>
      <c r="L2654" s="865"/>
      <c r="M2654" s="128"/>
      <c r="N2654" s="866"/>
      <c r="O2654" s="867"/>
      <c r="P2654" s="868"/>
      <c r="Q2654" s="869"/>
      <c r="R2654" s="130"/>
      <c r="S2654" s="12"/>
      <c r="T2654" s="131"/>
    </row>
    <row r="2655" s="188" customFormat="1" ht="15.6" spans="1:20">
      <c r="A2655" s="802" t="s">
        <v>1490</v>
      </c>
      <c r="B2655" s="720" t="s">
        <v>2</v>
      </c>
      <c r="C2655" s="720"/>
      <c r="D2655" s="165" t="s">
        <v>4</v>
      </c>
      <c r="E2655" s="18" t="s">
        <v>5</v>
      </c>
      <c r="F2655" s="18" t="s">
        <v>1933</v>
      </c>
      <c r="G2655" s="18" t="s">
        <v>4102</v>
      </c>
      <c r="H2655" s="141" t="s">
        <v>4541</v>
      </c>
      <c r="I2655" s="18" t="s">
        <v>1497</v>
      </c>
      <c r="J2655" s="18" t="s">
        <v>4102</v>
      </c>
      <c r="K2655" s="18" t="s">
        <v>4103</v>
      </c>
      <c r="L2655" s="18" t="s">
        <v>4104</v>
      </c>
      <c r="M2655" s="18" t="s">
        <v>1497</v>
      </c>
      <c r="N2655" s="18" t="s">
        <v>6</v>
      </c>
      <c r="O2655" s="18" t="s">
        <v>7</v>
      </c>
      <c r="P2655" s="141" t="s">
        <v>5211</v>
      </c>
      <c r="Q2655" s="18" t="s">
        <v>8</v>
      </c>
      <c r="R2655" s="18" t="s">
        <v>9</v>
      </c>
      <c r="S2655" s="18" t="s">
        <v>4105</v>
      </c>
      <c r="T2655" s="18" t="s">
        <v>4106</v>
      </c>
    </row>
    <row r="2656" ht="15" spans="1:20">
      <c r="A2656" s="333" t="s">
        <v>7414</v>
      </c>
      <c r="B2656" s="23">
        <v>20241031</v>
      </c>
      <c r="C2656" s="23">
        <v>7.17</v>
      </c>
      <c r="D2656" s="23" t="s">
        <v>8330</v>
      </c>
      <c r="E2656" s="695" t="s">
        <v>1671</v>
      </c>
      <c r="F2656" s="696" t="s">
        <v>4239</v>
      </c>
      <c r="G2656" s="21" t="s">
        <v>8331</v>
      </c>
      <c r="H2656" s="21" t="s">
        <v>4248</v>
      </c>
      <c r="I2656" s="21" t="s">
        <v>4343</v>
      </c>
      <c r="J2656" s="700">
        <v>130</v>
      </c>
      <c r="K2656" s="844" t="s">
        <v>8332</v>
      </c>
      <c r="L2656" s="21"/>
      <c r="M2656" s="21">
        <v>3.58</v>
      </c>
      <c r="N2656" s="37">
        <v>2.99305118426087</v>
      </c>
      <c r="O2656" s="22">
        <v>15.9262652424057</v>
      </c>
      <c r="P2656" s="37"/>
      <c r="Q2656" s="37">
        <v>2.86787204450626</v>
      </c>
      <c r="R2656" s="37">
        <f>SUM(J2656:Q2656)</f>
        <v>155.367188471173</v>
      </c>
      <c r="S2656" s="167" t="s">
        <v>4001</v>
      </c>
      <c r="T2656" s="35" t="s">
        <v>8333</v>
      </c>
    </row>
    <row r="2657" ht="15" hidden="1" spans="1:20">
      <c r="A2657" s="333" t="s">
        <v>7414</v>
      </c>
      <c r="B2657" s="23">
        <v>20241205</v>
      </c>
      <c r="C2657" s="23">
        <v>7.17</v>
      </c>
      <c r="D2657" s="23" t="s">
        <v>7843</v>
      </c>
      <c r="E2657" s="695" t="s">
        <v>2306</v>
      </c>
      <c r="F2657" s="696" t="s">
        <v>4239</v>
      </c>
      <c r="G2657" s="21" t="s">
        <v>8334</v>
      </c>
      <c r="H2657" s="21" t="s">
        <v>4174</v>
      </c>
      <c r="I2657" s="21" t="s">
        <v>1635</v>
      </c>
      <c r="J2657" s="691" t="s">
        <v>4244</v>
      </c>
      <c r="K2657" s="844" t="s">
        <v>8317</v>
      </c>
      <c r="L2657" s="21"/>
      <c r="M2657" s="21">
        <v>3.1</v>
      </c>
      <c r="N2657" s="37">
        <v>2.99305118426087</v>
      </c>
      <c r="O2657" s="22">
        <v>13.2153106725182</v>
      </c>
      <c r="P2657" s="37"/>
      <c r="Q2657" s="154">
        <v>2.86787204450626</v>
      </c>
      <c r="R2657" s="37">
        <f>SUM(J2657:Q2657)</f>
        <v>22.1762339012854</v>
      </c>
      <c r="S2657" s="167" t="s">
        <v>2579</v>
      </c>
      <c r="T2657" s="35" t="s">
        <v>8335</v>
      </c>
    </row>
    <row r="2658" ht="15" spans="1:20">
      <c r="A2658" s="333" t="s">
        <v>7414</v>
      </c>
      <c r="B2658" s="23">
        <v>20250314</v>
      </c>
      <c r="C2658" s="23">
        <v>7.17</v>
      </c>
      <c r="D2658" s="23" t="s">
        <v>7896</v>
      </c>
      <c r="E2658" s="695" t="s">
        <v>2320</v>
      </c>
      <c r="F2658" s="696" t="s">
        <v>4239</v>
      </c>
      <c r="G2658" s="697" t="s">
        <v>2354</v>
      </c>
      <c r="H2658" s="21" t="s">
        <v>4174</v>
      </c>
      <c r="I2658" s="21" t="s">
        <v>1635</v>
      </c>
      <c r="J2658" s="700">
        <v>125</v>
      </c>
      <c r="K2658" s="844" t="s">
        <v>8332</v>
      </c>
      <c r="L2658" s="21"/>
      <c r="M2658" s="21">
        <v>3.1</v>
      </c>
      <c r="N2658" s="37">
        <v>2.99305118426087</v>
      </c>
      <c r="O2658" s="22">
        <v>10.7282225632262</v>
      </c>
      <c r="P2658" s="37"/>
      <c r="Q2658" s="37">
        <v>2.86787204450626</v>
      </c>
      <c r="R2658" s="37">
        <f>SUM(J2658:Q2658)</f>
        <v>144.689145791993</v>
      </c>
      <c r="S2658" s="167" t="s">
        <v>2579</v>
      </c>
      <c r="T2658" s="35" t="s">
        <v>8336</v>
      </c>
    </row>
    <row r="2659" ht="15" spans="1:20">
      <c r="A2659" s="333" t="s">
        <v>7414</v>
      </c>
      <c r="B2659" s="23">
        <v>20241113</v>
      </c>
      <c r="C2659" s="23">
        <v>7.19</v>
      </c>
      <c r="D2659" s="23" t="s">
        <v>184</v>
      </c>
      <c r="E2659" s="23" t="s">
        <v>185</v>
      </c>
      <c r="F2659" s="750" t="s">
        <v>8337</v>
      </c>
      <c r="G2659" s="21"/>
      <c r="H2659" s="21"/>
      <c r="I2659" s="21"/>
      <c r="J2659" s="36"/>
      <c r="K2659" s="36"/>
      <c r="L2659" s="36"/>
      <c r="M2659" s="36"/>
      <c r="N2659" s="22">
        <v>0.433015473068939</v>
      </c>
      <c r="O2659" s="22">
        <v>1.39451249157827</v>
      </c>
      <c r="P2659" s="21"/>
      <c r="Q2659" s="37">
        <v>0.2</v>
      </c>
      <c r="R2659" s="37">
        <f>SUM(J2659:Q2659)</f>
        <v>2.02752796464721</v>
      </c>
      <c r="S2659" s="38"/>
      <c r="T2659" s="167" t="s">
        <v>186</v>
      </c>
    </row>
    <row r="2660" ht="69" spans="1:20">
      <c r="E2660" s="888" t="s">
        <v>7652</v>
      </c>
      <c r="F2660" s="889" t="s">
        <v>8338</v>
      </c>
      <c r="G2660" s="890"/>
      <c r="H2660" s="889"/>
      <c r="I2660" s="890" t="s">
        <v>8339</v>
      </c>
      <c r="J2660" s="890" t="s">
        <v>8340</v>
      </c>
      <c r="K2660" s="891" t="s">
        <v>7653</v>
      </c>
      <c r="Q2660" s="177"/>
    </row>
    <row r="2661" ht="69" spans="1:20">
      <c r="E2661" s="888" t="s">
        <v>8341</v>
      </c>
      <c r="F2661" s="892" t="s">
        <v>8342</v>
      </c>
      <c r="G2661" s="892" t="s">
        <v>8343</v>
      </c>
      <c r="H2661" s="892" t="s">
        <v>8344</v>
      </c>
      <c r="I2661" s="892" t="s">
        <v>8345</v>
      </c>
      <c r="J2661" s="892" t="s">
        <v>8346</v>
      </c>
      <c r="K2661" s="893" t="s">
        <v>8347</v>
      </c>
    </row>
    <row r="2662" ht="82.8" spans="1:20">
      <c r="E2662" s="888" t="s">
        <v>7649</v>
      </c>
      <c r="F2662" s="892" t="s">
        <v>8348</v>
      </c>
      <c r="G2662" s="892" t="s">
        <v>7651</v>
      </c>
      <c r="H2662" s="892" t="s">
        <v>8349</v>
      </c>
      <c r="I2662" s="892" t="s">
        <v>8350</v>
      </c>
      <c r="J2662" s="892" t="s">
        <v>8346</v>
      </c>
      <c r="K2662" s="893" t="s">
        <v>7650</v>
      </c>
    </row>
    <row r="2666" s="188" customFormat="1" ht="15.6" spans="1:20">
      <c r="A2666" s="801" t="s">
        <v>8324</v>
      </c>
      <c r="B2666" s="718"/>
      <c r="C2666" s="718"/>
      <c r="D2666" s="718"/>
      <c r="E2666" s="127"/>
      <c r="F2666" s="127"/>
      <c r="G2666" s="13"/>
      <c r="H2666" s="14"/>
      <c r="I2666" s="14"/>
      <c r="J2666" s="128"/>
      <c r="K2666" s="865"/>
      <c r="L2666" s="865"/>
      <c r="M2666" s="128"/>
      <c r="N2666" s="866"/>
      <c r="O2666" s="867"/>
      <c r="P2666" s="868"/>
      <c r="Q2666" s="869"/>
      <c r="R2666" s="130"/>
      <c r="S2666" s="12"/>
      <c r="T2666" s="131"/>
    </row>
    <row r="2667" s="188" customFormat="1" ht="15.6" spans="1:20">
      <c r="A2667" s="802" t="s">
        <v>1490</v>
      </c>
      <c r="B2667" s="720" t="s">
        <v>2</v>
      </c>
      <c r="C2667" s="720"/>
      <c r="D2667" s="165" t="s">
        <v>4</v>
      </c>
      <c r="E2667" s="18" t="s">
        <v>5</v>
      </c>
      <c r="F2667" s="18" t="s">
        <v>1933</v>
      </c>
      <c r="G2667" s="18" t="s">
        <v>4102</v>
      </c>
      <c r="H2667" s="141" t="s">
        <v>4541</v>
      </c>
      <c r="I2667" s="18" t="s">
        <v>1497</v>
      </c>
      <c r="J2667" s="18" t="s">
        <v>4102</v>
      </c>
      <c r="K2667" s="18" t="s">
        <v>4103</v>
      </c>
      <c r="L2667" s="18" t="s">
        <v>4104</v>
      </c>
      <c r="M2667" s="18" t="s">
        <v>1497</v>
      </c>
      <c r="N2667" s="18" t="s">
        <v>6</v>
      </c>
      <c r="O2667" s="18" t="s">
        <v>7</v>
      </c>
      <c r="P2667" s="141" t="s">
        <v>5211</v>
      </c>
      <c r="Q2667" s="18" t="s">
        <v>8</v>
      </c>
      <c r="R2667" s="18" t="s">
        <v>9</v>
      </c>
      <c r="S2667" s="18" t="s">
        <v>4105</v>
      </c>
      <c r="T2667" s="18" t="s">
        <v>4106</v>
      </c>
    </row>
    <row r="2668" ht="15" spans="1:20">
      <c r="A2668" s="333" t="s">
        <v>7457</v>
      </c>
      <c r="B2668" s="23">
        <v>20240515</v>
      </c>
      <c r="C2668" s="23">
        <v>7.24</v>
      </c>
      <c r="D2668" s="23" t="s">
        <v>8351</v>
      </c>
      <c r="E2668" s="695" t="s">
        <v>1571</v>
      </c>
      <c r="F2668" s="696" t="s">
        <v>1933</v>
      </c>
      <c r="G2668" s="21" t="s">
        <v>2664</v>
      </c>
      <c r="H2668" s="21" t="s">
        <v>1913</v>
      </c>
      <c r="I2668" s="21" t="s">
        <v>1428</v>
      </c>
      <c r="J2668" s="700">
        <v>170</v>
      </c>
      <c r="K2668" s="844" t="s">
        <v>1428</v>
      </c>
      <c r="L2668" s="21" t="s">
        <v>1428</v>
      </c>
      <c r="M2668" s="21" t="s">
        <v>1428</v>
      </c>
      <c r="N2668" s="37">
        <v>6.15642858024463</v>
      </c>
      <c r="O2668" s="704">
        <v>19.6665574403082</v>
      </c>
      <c r="P2668" s="37" t="s">
        <v>1428</v>
      </c>
      <c r="Q2668" s="37">
        <v>3.15</v>
      </c>
      <c r="R2668" s="37">
        <f>SUM(J2668:Q2668)</f>
        <v>198.972986020553</v>
      </c>
      <c r="S2668" s="167" t="s">
        <v>1526</v>
      </c>
      <c r="T2668" s="35" t="s">
        <v>8352</v>
      </c>
    </row>
    <row r="2669" ht="15" spans="1:20">
      <c r="A2669" s="333" t="s">
        <v>7457</v>
      </c>
      <c r="B2669" s="23">
        <v>20250529</v>
      </c>
      <c r="C2669" s="23">
        <v>7.19</v>
      </c>
      <c r="D2669" s="23" t="s">
        <v>739</v>
      </c>
      <c r="E2669" s="695" t="s">
        <v>740</v>
      </c>
      <c r="F2669" s="696"/>
      <c r="G2669" s="21"/>
      <c r="H2669" s="21"/>
      <c r="I2669" s="21"/>
      <c r="J2669" s="700"/>
      <c r="K2669" s="844"/>
      <c r="L2669" s="21"/>
      <c r="M2669" s="21"/>
      <c r="N2669" s="37">
        <v>0.357931894200269</v>
      </c>
      <c r="O2669" s="22">
        <v>2.87866398564273</v>
      </c>
      <c r="P2669" s="37" t="s">
        <v>1428</v>
      </c>
      <c r="Q2669" s="37">
        <v>0.4</v>
      </c>
      <c r="R2669" s="37">
        <f>SUM(J2669:Q2669)</f>
        <v>3.636595879843</v>
      </c>
      <c r="S2669" s="167"/>
      <c r="T2669" s="35" t="s">
        <v>741</v>
      </c>
    </row>
    <row r="2670" ht="15" spans="1:20">
      <c r="A2670" s="333" t="s">
        <v>7457</v>
      </c>
      <c r="B2670" s="23">
        <v>20240515</v>
      </c>
      <c r="C2670" s="23">
        <v>7.24</v>
      </c>
      <c r="D2670" s="23" t="s">
        <v>8353</v>
      </c>
      <c r="E2670" s="695" t="s">
        <v>1685</v>
      </c>
      <c r="F2670" s="696" t="s">
        <v>1933</v>
      </c>
      <c r="G2670" s="21" t="s">
        <v>2680</v>
      </c>
      <c r="H2670" s="21" t="s">
        <v>1913</v>
      </c>
      <c r="I2670" s="21" t="s">
        <v>1428</v>
      </c>
      <c r="J2670" s="700">
        <v>270</v>
      </c>
      <c r="K2670" s="844" t="s">
        <v>1428</v>
      </c>
      <c r="L2670" s="21" t="s">
        <v>1428</v>
      </c>
      <c r="M2670" s="21" t="s">
        <v>1428</v>
      </c>
      <c r="N2670" s="37">
        <v>6.15642858024463</v>
      </c>
      <c r="O2670" s="704">
        <v>18.165234079698</v>
      </c>
      <c r="P2670" s="37" t="s">
        <v>1428</v>
      </c>
      <c r="Q2670" s="37">
        <v>3.15</v>
      </c>
      <c r="R2670" s="37">
        <f>SUM(J2670:Q2670)</f>
        <v>297.471662659943</v>
      </c>
      <c r="S2670" s="167" t="s">
        <v>1526</v>
      </c>
      <c r="T2670" s="35" t="s">
        <v>4206</v>
      </c>
    </row>
    <row r="2671" ht="14.4" spans="1:20">
      <c r="D2671" s="894" t="s">
        <v>8354</v>
      </c>
      <c r="E2671" s="894" t="s">
        <v>8355</v>
      </c>
    </row>
    <row r="2672" ht="15.6" spans="1:20">
      <c r="A2672" s="684" t="s">
        <v>8249</v>
      </c>
      <c r="B2672" s="11"/>
      <c r="C2672" s="11"/>
      <c r="D2672" s="11"/>
      <c r="E2672" s="127"/>
      <c r="F2672" s="127"/>
      <c r="G2672" s="13"/>
      <c r="H2672" s="14"/>
      <c r="I2672" s="14"/>
      <c r="J2672" s="128"/>
      <c r="K2672" s="129"/>
      <c r="L2672" s="865"/>
      <c r="M2672" s="128"/>
      <c r="N2672" s="867"/>
      <c r="O2672" s="867"/>
      <c r="P2672" s="13"/>
      <c r="Q2672" s="130"/>
      <c r="R2672" s="130"/>
      <c r="S2672" s="12"/>
      <c r="T2672" s="131"/>
    </row>
    <row r="2673" ht="15.6" spans="1:20">
      <c r="A2673" s="752" t="s">
        <v>1</v>
      </c>
      <c r="B2673" s="753" t="s">
        <v>2</v>
      </c>
      <c r="C2673" s="754" t="s">
        <v>1404</v>
      </c>
      <c r="D2673" s="753" t="s">
        <v>4</v>
      </c>
      <c r="E2673" s="18" t="s">
        <v>5</v>
      </c>
      <c r="F2673" s="18" t="s">
        <v>1933</v>
      </c>
      <c r="G2673" s="18" t="s">
        <v>4102</v>
      </c>
      <c r="H2673" s="141" t="s">
        <v>4541</v>
      </c>
      <c r="I2673" s="18" t="s">
        <v>1497</v>
      </c>
      <c r="J2673" s="18" t="s">
        <v>4102</v>
      </c>
      <c r="K2673" s="18" t="s">
        <v>4103</v>
      </c>
      <c r="L2673" s="18" t="s">
        <v>4104</v>
      </c>
      <c r="M2673" s="18" t="s">
        <v>1497</v>
      </c>
      <c r="N2673" s="18" t="s">
        <v>6</v>
      </c>
      <c r="O2673" s="18" t="s">
        <v>7</v>
      </c>
      <c r="P2673" s="141" t="s">
        <v>5211</v>
      </c>
      <c r="Q2673" s="18" t="s">
        <v>8</v>
      </c>
      <c r="R2673" s="18" t="s">
        <v>9</v>
      </c>
      <c r="S2673" s="18" t="s">
        <v>4105</v>
      </c>
      <c r="T2673" s="141" t="s">
        <v>10</v>
      </c>
    </row>
    <row r="2674" ht="15" spans="1:20">
      <c r="A2674" s="333" t="s">
        <v>7829</v>
      </c>
      <c r="B2674" s="35">
        <v>20250427</v>
      </c>
      <c r="C2674" s="153">
        <v>7.19</v>
      </c>
      <c r="D2674" s="23" t="s">
        <v>3691</v>
      </c>
      <c r="E2674" s="695" t="s">
        <v>2311</v>
      </c>
      <c r="F2674" s="729" t="s">
        <v>3685</v>
      </c>
      <c r="G2674" s="21" t="s">
        <v>3542</v>
      </c>
      <c r="H2674" s="21" t="s">
        <v>1913</v>
      </c>
      <c r="I2674" s="21" t="s">
        <v>1635</v>
      </c>
      <c r="J2674" s="138" t="s">
        <v>3513</v>
      </c>
      <c r="K2674" s="21"/>
      <c r="L2674" s="21"/>
      <c r="M2674" s="21">
        <v>3.1</v>
      </c>
      <c r="N2674" s="37">
        <v>2.89221638799154</v>
      </c>
      <c r="O2674" s="704">
        <v>10.2555111305318</v>
      </c>
      <c r="P2674" s="21"/>
      <c r="Q2674" s="37">
        <v>2.47393749923074</v>
      </c>
      <c r="R2674" s="37">
        <f>SUM(J2674:Q2674)</f>
        <v>18.7216650177541</v>
      </c>
      <c r="S2674" s="758" t="s">
        <v>1526</v>
      </c>
      <c r="T2674" s="873" t="s">
        <v>8285</v>
      </c>
    </row>
    <row r="2675" ht="15" spans="1:20">
      <c r="A2675" s="333"/>
      <c r="B2675" s="35">
        <v>20250625</v>
      </c>
      <c r="C2675" s="153">
        <v>7.19</v>
      </c>
      <c r="D2675" s="23" t="s">
        <v>877</v>
      </c>
      <c r="E2675" s="755" t="s">
        <v>878</v>
      </c>
      <c r="F2675" s="729"/>
      <c r="G2675" s="21"/>
      <c r="H2675" s="21"/>
      <c r="I2675" s="21"/>
      <c r="J2675" s="138"/>
      <c r="K2675" s="21"/>
      <c r="L2675" s="21"/>
      <c r="M2675" s="21"/>
      <c r="N2675" s="37">
        <v>0.39804546629414</v>
      </c>
      <c r="O2675" s="704">
        <v>2.32844135792386</v>
      </c>
      <c r="P2675" s="21"/>
      <c r="Q2675" s="37">
        <v>0.2</v>
      </c>
      <c r="R2675" s="154">
        <f>SUM(J2675:Q2675)</f>
        <v>2.926486824218</v>
      </c>
      <c r="S2675" s="758"/>
      <c r="T2675" s="873" t="s">
        <v>2844</v>
      </c>
    </row>
    <row r="2676" spans="1:20">
      <c r="A2676" s="333"/>
      <c r="B2676" s="765">
        <v>20250320</v>
      </c>
      <c r="C2676" s="153">
        <v>7.19</v>
      </c>
      <c r="D2676" s="19" t="s">
        <v>881</v>
      </c>
      <c r="E2676" s="20" t="s">
        <v>882</v>
      </c>
      <c r="F2676" s="23"/>
      <c r="G2676" s="690"/>
      <c r="H2676" s="21"/>
      <c r="I2676" s="690"/>
      <c r="J2676" s="21"/>
      <c r="K2676" s="21"/>
      <c r="L2676" s="21"/>
      <c r="M2676" s="21"/>
      <c r="N2676" s="37">
        <v>0.0259007118709677</v>
      </c>
      <c r="O2676" s="22">
        <v>0.0402867568413535</v>
      </c>
      <c r="P2676" s="21" t="s">
        <v>1428</v>
      </c>
      <c r="Q2676" s="37">
        <v>0.2</v>
      </c>
      <c r="R2676" s="37">
        <f>SUM(J2676:Q2676)</f>
        <v>0.266187468712321</v>
      </c>
      <c r="S2676" s="23"/>
      <c r="T2676" s="20"/>
    </row>
    <row r="2678" s="188" customFormat="1" ht="15.6" spans="1:20">
      <c r="A2678" s="801" t="s">
        <v>8324</v>
      </c>
      <c r="B2678" s="718"/>
      <c r="C2678" s="718"/>
      <c r="D2678" s="718"/>
      <c r="E2678" s="127"/>
      <c r="F2678" s="127"/>
      <c r="G2678" s="13"/>
      <c r="H2678" s="14"/>
      <c r="I2678" s="14"/>
      <c r="J2678" s="128"/>
      <c r="K2678" s="865"/>
      <c r="L2678" s="865"/>
      <c r="M2678" s="128"/>
      <c r="N2678" s="866"/>
      <c r="O2678" s="867"/>
      <c r="P2678" s="868"/>
      <c r="Q2678" s="869"/>
      <c r="R2678" s="130"/>
      <c r="S2678" s="12"/>
      <c r="T2678" s="131"/>
    </row>
    <row r="2679" s="188" customFormat="1" ht="15.6" spans="1:20">
      <c r="A2679" s="802" t="s">
        <v>1490</v>
      </c>
      <c r="B2679" s="720" t="s">
        <v>2</v>
      </c>
      <c r="C2679" s="720"/>
      <c r="D2679" s="165" t="s">
        <v>4</v>
      </c>
      <c r="E2679" s="18" t="s">
        <v>5</v>
      </c>
      <c r="F2679" s="18" t="s">
        <v>1933</v>
      </c>
      <c r="G2679" s="18" t="s">
        <v>4102</v>
      </c>
      <c r="H2679" s="141" t="s">
        <v>4541</v>
      </c>
      <c r="I2679" s="18" t="s">
        <v>1497</v>
      </c>
      <c r="J2679" s="18" t="s">
        <v>4102</v>
      </c>
      <c r="K2679" s="18" t="s">
        <v>4103</v>
      </c>
      <c r="L2679" s="18" t="s">
        <v>4104</v>
      </c>
      <c r="M2679" s="18" t="s">
        <v>1497</v>
      </c>
      <c r="N2679" s="18" t="s">
        <v>6</v>
      </c>
      <c r="O2679" s="18" t="s">
        <v>7</v>
      </c>
      <c r="P2679" s="141" t="s">
        <v>5211</v>
      </c>
      <c r="Q2679" s="18" t="s">
        <v>8</v>
      </c>
      <c r="R2679" s="18" t="s">
        <v>9</v>
      </c>
      <c r="S2679" s="18" t="s">
        <v>4105</v>
      </c>
      <c r="T2679" s="18" t="s">
        <v>4106</v>
      </c>
    </row>
    <row r="2680" s="182" customFormat="1" ht="15" spans="1:20">
      <c r="A2680" s="333" t="s">
        <v>7829</v>
      </c>
      <c r="B2680" s="23">
        <v>20250703</v>
      </c>
      <c r="C2680" s="23">
        <v>7.17</v>
      </c>
      <c r="D2680" s="23" t="s">
        <v>3669</v>
      </c>
      <c r="E2680" s="695" t="s">
        <v>1671</v>
      </c>
      <c r="F2680" s="696" t="s">
        <v>3660</v>
      </c>
      <c r="G2680" s="21" t="s">
        <v>3542</v>
      </c>
      <c r="H2680" s="21" t="s">
        <v>3670</v>
      </c>
      <c r="I2680" s="21" t="s">
        <v>1633</v>
      </c>
      <c r="J2680" s="700">
        <v>39</v>
      </c>
      <c r="K2680" s="844"/>
      <c r="L2680" s="21" t="s">
        <v>8356</v>
      </c>
      <c r="M2680" s="37">
        <f>13.4/C2680/1.13</f>
        <v>1.65389220078745</v>
      </c>
      <c r="N2680" s="37">
        <f>23.5/C2680/1.13</f>
        <v>2.90048259093321</v>
      </c>
      <c r="O2680" s="704">
        <v>9.08356772281014</v>
      </c>
      <c r="P2680" s="37"/>
      <c r="Q2680" s="37">
        <v>2.48083830118118</v>
      </c>
      <c r="R2680" s="37">
        <f>SUM(J2680:Q2680)</f>
        <v>55.118780815712</v>
      </c>
      <c r="S2680" s="167" t="s">
        <v>3671</v>
      </c>
      <c r="T2680" s="35" t="s">
        <v>3672</v>
      </c>
    </row>
    <row r="2681" s="182" customFormat="1" ht="15" spans="1:20">
      <c r="A2681" s="333"/>
      <c r="B2681" s="23">
        <v>20250625</v>
      </c>
      <c r="C2681" s="23">
        <v>7.19</v>
      </c>
      <c r="D2681" s="23" t="s">
        <v>877</v>
      </c>
      <c r="E2681" s="695" t="s">
        <v>878</v>
      </c>
      <c r="F2681" s="696"/>
      <c r="G2681" s="21"/>
      <c r="H2681" s="21"/>
      <c r="I2681" s="21"/>
      <c r="J2681" s="700"/>
      <c r="K2681" s="844"/>
      <c r="L2681" s="21"/>
      <c r="M2681" s="21"/>
      <c r="N2681" s="37">
        <v>0.39804546629414</v>
      </c>
      <c r="O2681" s="704">
        <v>2.32844135792386</v>
      </c>
      <c r="P2681" s="37"/>
      <c r="Q2681" s="37">
        <v>0.2</v>
      </c>
      <c r="R2681" s="37">
        <f>SUM(J2681:Q2681)</f>
        <v>2.926486824218</v>
      </c>
      <c r="S2681" s="167"/>
      <c r="T2681" s="35" t="s">
        <v>2844</v>
      </c>
    </row>
    <row r="2682" s="182" customFormat="1" ht="15" spans="1:20">
      <c r="A2682" s="333"/>
      <c r="B2682" s="23">
        <v>20250320</v>
      </c>
      <c r="C2682" s="23">
        <v>7.19</v>
      </c>
      <c r="D2682" s="23" t="s">
        <v>881</v>
      </c>
      <c r="E2682" s="695" t="s">
        <v>882</v>
      </c>
      <c r="F2682" s="696"/>
      <c r="G2682" s="21"/>
      <c r="H2682" s="21"/>
      <c r="I2682" s="21"/>
      <c r="J2682" s="700"/>
      <c r="K2682" s="844"/>
      <c r="L2682" s="21"/>
      <c r="M2682" s="21"/>
      <c r="N2682" s="37">
        <v>0.0259007118709677</v>
      </c>
      <c r="O2682" s="704">
        <v>0.0402867568413535</v>
      </c>
      <c r="P2682" s="37" t="s">
        <v>1428</v>
      </c>
      <c r="Q2682" s="37">
        <v>0.2</v>
      </c>
      <c r="R2682" s="37">
        <f>SUM(J2682:Q2682)</f>
        <v>0.266187468712321</v>
      </c>
      <c r="S2682" s="167"/>
      <c r="T2682" s="35"/>
    </row>
    <row r="2686" ht="15.6" spans="1:20">
      <c r="A2686" s="801" t="s">
        <v>8324</v>
      </c>
      <c r="B2686" s="718"/>
      <c r="C2686" s="718"/>
      <c r="D2686" s="718"/>
      <c r="E2686" s="127"/>
      <c r="F2686" s="127"/>
      <c r="G2686" s="13"/>
      <c r="H2686" s="14"/>
      <c r="I2686" s="14"/>
      <c r="J2686" s="128"/>
      <c r="K2686" s="865"/>
      <c r="L2686" s="865"/>
      <c r="M2686" s="128"/>
      <c r="N2686" s="866"/>
      <c r="O2686" s="867"/>
      <c r="P2686" s="868"/>
      <c r="Q2686" s="869"/>
      <c r="R2686" s="130"/>
      <c r="S2686" s="12"/>
      <c r="T2686" s="131"/>
    </row>
    <row r="2687" ht="15.6" spans="1:20">
      <c r="A2687" s="132" t="s">
        <v>1490</v>
      </c>
      <c r="B2687" s="17" t="s">
        <v>1492</v>
      </c>
      <c r="C2687" s="754" t="s">
        <v>1404</v>
      </c>
      <c r="D2687" s="164" t="s">
        <v>1494</v>
      </c>
      <c r="E2687" s="18" t="s">
        <v>5</v>
      </c>
      <c r="F2687" s="18" t="s">
        <v>1933</v>
      </c>
      <c r="G2687" s="18" t="s">
        <v>4102</v>
      </c>
      <c r="H2687" s="18" t="s">
        <v>1910</v>
      </c>
      <c r="I2687" s="18" t="s">
        <v>1497</v>
      </c>
      <c r="J2687" s="18" t="s">
        <v>4102</v>
      </c>
      <c r="K2687" s="18" t="s">
        <v>4103</v>
      </c>
      <c r="L2687" s="18" t="s">
        <v>4104</v>
      </c>
      <c r="M2687" s="18" t="s">
        <v>1497</v>
      </c>
      <c r="N2687" s="18" t="s">
        <v>6</v>
      </c>
      <c r="O2687" s="18" t="s">
        <v>7</v>
      </c>
      <c r="P2687" s="18" t="s">
        <v>5672</v>
      </c>
      <c r="Q2687" s="18" t="s">
        <v>8</v>
      </c>
      <c r="R2687" s="18" t="s">
        <v>9</v>
      </c>
      <c r="S2687" s="18" t="s">
        <v>4105</v>
      </c>
      <c r="T2687" s="18" t="s">
        <v>4106</v>
      </c>
    </row>
    <row r="2688" ht="15" spans="1:20">
      <c r="A2688" s="20" t="s">
        <v>3547</v>
      </c>
      <c r="B2688" s="23">
        <v>20250326</v>
      </c>
      <c r="C2688" s="23">
        <v>7.17</v>
      </c>
      <c r="D2688" s="23" t="s">
        <v>1416</v>
      </c>
      <c r="E2688" s="35" t="s">
        <v>1417</v>
      </c>
      <c r="F2688" s="23"/>
      <c r="G2688" s="21"/>
      <c r="H2688" s="21"/>
      <c r="I2688" s="21"/>
      <c r="J2688" s="690"/>
      <c r="K2688" s="36"/>
      <c r="L2688" s="36"/>
      <c r="M2688" s="36"/>
      <c r="N2688" s="22">
        <v>0.418448328475372</v>
      </c>
      <c r="O2688" s="22">
        <v>1.12778515066536</v>
      </c>
      <c r="P2688" s="21" t="s">
        <v>1428</v>
      </c>
      <c r="Q2688" s="37">
        <v>0.2</v>
      </c>
      <c r="R2688" s="37">
        <v>1.74623347914073</v>
      </c>
      <c r="S2688" s="38"/>
      <c r="T2688" s="39" t="s">
        <v>2839</v>
      </c>
    </row>
    <row r="2689" ht="15" spans="1:20">
      <c r="A2689" s="333"/>
      <c r="B2689" s="23">
        <v>20241120</v>
      </c>
      <c r="C2689" s="153">
        <v>7.17</v>
      </c>
      <c r="D2689" s="687" t="s">
        <v>3569</v>
      </c>
      <c r="E2689" s="20" t="s">
        <v>2110</v>
      </c>
      <c r="F2689" s="729" t="s">
        <v>1933</v>
      </c>
      <c r="G2689" s="21" t="s">
        <v>3542</v>
      </c>
      <c r="H2689" s="21" t="s">
        <v>3349</v>
      </c>
      <c r="I2689" s="21" t="s">
        <v>1428</v>
      </c>
      <c r="J2689" s="138" t="s">
        <v>3513</v>
      </c>
      <c r="K2689" s="21" t="s">
        <v>1428</v>
      </c>
      <c r="L2689" s="21">
        <v>7.2</v>
      </c>
      <c r="M2689" s="21" t="s">
        <v>1428</v>
      </c>
      <c r="N2689" s="37">
        <v>3.14990465946316</v>
      </c>
      <c r="O2689" s="22">
        <v>10.8261802593117</v>
      </c>
      <c r="P2689" s="21" t="s">
        <v>1428</v>
      </c>
      <c r="Q2689" s="37">
        <v>2.60426309228472</v>
      </c>
      <c r="R2689" s="22">
        <f>SUM(J2689:Q2689)</f>
        <v>23.7803480110596</v>
      </c>
      <c r="S2689" s="895" t="s">
        <v>3570</v>
      </c>
      <c r="T2689" s="167" t="s">
        <v>8357</v>
      </c>
    </row>
    <row r="2698" ht="15.6" spans="1:20">
      <c r="A2698" s="684" t="s">
        <v>8324</v>
      </c>
      <c r="B2698" s="162"/>
      <c r="C2698" s="11"/>
      <c r="D2698" s="160"/>
      <c r="E2698" s="127"/>
      <c r="F2698" s="127"/>
      <c r="G2698" s="13"/>
      <c r="H2698" s="14"/>
      <c r="I2698" s="14"/>
      <c r="J2698" s="128"/>
      <c r="K2698" s="129"/>
      <c r="L2698" s="128"/>
      <c r="M2698" s="128"/>
      <c r="N2698" s="867"/>
      <c r="O2698" s="867"/>
      <c r="P2698" s="13"/>
      <c r="Q2698" s="869"/>
      <c r="R2698" s="130"/>
      <c r="S2698" s="12"/>
      <c r="T2698" s="131"/>
    </row>
    <row r="2699" ht="15.6" spans="1:20">
      <c r="A2699" s="132" t="s">
        <v>1490</v>
      </c>
      <c r="B2699" s="841" t="s">
        <v>1492</v>
      </c>
      <c r="C2699" s="754" t="s">
        <v>1404</v>
      </c>
      <c r="D2699" s="164" t="s">
        <v>1494</v>
      </c>
      <c r="E2699" s="18" t="s">
        <v>5</v>
      </c>
      <c r="F2699" s="18" t="s">
        <v>1933</v>
      </c>
      <c r="G2699" s="18" t="s">
        <v>4102</v>
      </c>
      <c r="H2699" s="18" t="s">
        <v>1910</v>
      </c>
      <c r="I2699" s="18" t="s">
        <v>1497</v>
      </c>
      <c r="J2699" s="18" t="s">
        <v>4102</v>
      </c>
      <c r="K2699" s="18" t="s">
        <v>4103</v>
      </c>
      <c r="L2699" s="18" t="s">
        <v>4104</v>
      </c>
      <c r="M2699" s="18" t="s">
        <v>1497</v>
      </c>
      <c r="N2699" s="18" t="s">
        <v>6</v>
      </c>
      <c r="O2699" s="18" t="s">
        <v>7</v>
      </c>
      <c r="P2699" s="18" t="s">
        <v>5672</v>
      </c>
      <c r="Q2699" s="18" t="s">
        <v>8</v>
      </c>
      <c r="R2699" s="18" t="s">
        <v>9</v>
      </c>
      <c r="S2699" s="18" t="s">
        <v>4105</v>
      </c>
      <c r="T2699" s="18" t="s">
        <v>4106</v>
      </c>
    </row>
    <row r="2700" ht="15" spans="1:20">
      <c r="A2700" s="23" t="s">
        <v>7829</v>
      </c>
      <c r="B2700" s="35">
        <v>20240906</v>
      </c>
      <c r="C2700" s="896">
        <v>7.17</v>
      </c>
      <c r="D2700" s="819" t="s">
        <v>3673</v>
      </c>
      <c r="E2700" s="20" t="s">
        <v>1672</v>
      </c>
      <c r="F2700" s="729" t="s">
        <v>3674</v>
      </c>
      <c r="G2700" s="21" t="s">
        <v>3542</v>
      </c>
      <c r="H2700" s="21" t="s">
        <v>1913</v>
      </c>
      <c r="I2700" s="21" t="s">
        <v>1567</v>
      </c>
      <c r="J2700" s="138" t="s">
        <v>3513</v>
      </c>
      <c r="K2700" s="21" t="s">
        <v>1428</v>
      </c>
      <c r="L2700" s="21" t="s">
        <v>1428</v>
      </c>
      <c r="M2700" s="21">
        <v>7.9</v>
      </c>
      <c r="N2700" s="37">
        <v>2.90048259093321</v>
      </c>
      <c r="O2700" s="22">
        <v>11.1537477338567</v>
      </c>
      <c r="P2700" s="21" t="s">
        <v>1428</v>
      </c>
      <c r="Q2700" s="37">
        <v>2.48083830118118</v>
      </c>
      <c r="R2700" s="22">
        <v>19.6350686259711</v>
      </c>
      <c r="S2700" s="23" t="s">
        <v>2854</v>
      </c>
      <c r="T2700" s="167" t="s">
        <v>3675</v>
      </c>
    </row>
    <row r="2701" spans="1:20">
      <c r="A2701" s="20"/>
      <c r="B2701" s="35">
        <v>20241127</v>
      </c>
      <c r="C2701" s="23">
        <v>7.19</v>
      </c>
      <c r="D2701" s="819" t="s">
        <v>529</v>
      </c>
      <c r="E2701" s="20" t="s">
        <v>530</v>
      </c>
      <c r="F2701" s="20"/>
      <c r="G2701" s="20"/>
      <c r="H2701" s="20"/>
      <c r="I2701" s="20"/>
      <c r="J2701" s="772"/>
      <c r="K2701" s="772"/>
      <c r="L2701" s="772"/>
      <c r="M2701" s="772"/>
      <c r="N2701" s="22">
        <v>0.494455882472863</v>
      </c>
      <c r="O2701" s="22">
        <v>0.808212002707303</v>
      </c>
      <c r="P2701" s="21" t="s">
        <v>1428</v>
      </c>
      <c r="Q2701" s="37">
        <v>0.2</v>
      </c>
      <c r="R2701" s="22">
        <f>SUBTOTAL(9,H2701:Q2701)</f>
        <v>1.50266788518017</v>
      </c>
      <c r="S2701" s="20"/>
      <c r="T2701" s="139" t="s">
        <v>3848</v>
      </c>
    </row>
    <row r="2702" spans="1:20">
      <c r="A2702" s="333"/>
      <c r="B2702" s="35">
        <v>20240906</v>
      </c>
      <c r="C2702" s="23">
        <v>7.17</v>
      </c>
      <c r="D2702" s="819" t="s">
        <v>525</v>
      </c>
      <c r="E2702" s="20" t="s">
        <v>526</v>
      </c>
      <c r="F2702" s="20"/>
      <c r="G2702" s="20"/>
      <c r="H2702" s="20"/>
      <c r="I2702" s="20"/>
      <c r="J2702" s="772"/>
      <c r="K2702" s="772"/>
      <c r="L2702" s="772"/>
      <c r="M2702" s="772"/>
      <c r="N2702" s="22">
        <v>0.0246146075573748</v>
      </c>
      <c r="O2702" s="22">
        <v>0.035936362177707</v>
      </c>
      <c r="P2702" s="21"/>
      <c r="Q2702" s="37">
        <v>0.2</v>
      </c>
      <c r="R2702" s="22">
        <f>SUBTOTAL(9,H2702:Q2702)</f>
        <v>0.260550969735082</v>
      </c>
      <c r="S2702" s="20"/>
      <c r="T2702" s="333"/>
    </row>
    <row r="2703" spans="1:20">
      <c r="A2703" s="333"/>
      <c r="E2703" s="333"/>
      <c r="F2703" s="333"/>
      <c r="G2703" s="333"/>
      <c r="H2703" s="333"/>
      <c r="I2703" s="333"/>
      <c r="J2703" s="333"/>
      <c r="K2703" s="333"/>
      <c r="L2703" s="333"/>
      <c r="M2703" s="333"/>
      <c r="N2703" s="333"/>
      <c r="O2703" s="333"/>
      <c r="P2703" s="333"/>
      <c r="Q2703" s="333"/>
      <c r="R2703" s="333"/>
      <c r="S2703" s="333"/>
      <c r="T2703" s="333"/>
    </row>
    <row r="2708" ht="15.6" spans="1:20">
      <c r="A2708" s="684" t="s">
        <v>8324</v>
      </c>
      <c r="B2708" s="162"/>
      <c r="C2708" s="11"/>
      <c r="D2708" s="160"/>
      <c r="E2708" s="127"/>
      <c r="F2708" s="127"/>
      <c r="G2708" s="13"/>
      <c r="H2708" s="14"/>
      <c r="I2708" s="14"/>
      <c r="J2708" s="128"/>
      <c r="K2708" s="129"/>
      <c r="L2708" s="128"/>
      <c r="M2708" s="128"/>
      <c r="N2708" s="867"/>
      <c r="O2708" s="867"/>
      <c r="P2708" s="13"/>
      <c r="Q2708" s="869"/>
      <c r="R2708" s="130"/>
      <c r="S2708" s="12"/>
      <c r="T2708" s="131"/>
    </row>
    <row r="2709" ht="15.6" spans="1:20">
      <c r="A2709" s="132" t="s">
        <v>1490</v>
      </c>
      <c r="B2709" s="841" t="s">
        <v>1492</v>
      </c>
      <c r="C2709" s="754" t="s">
        <v>1404</v>
      </c>
      <c r="D2709" s="164" t="s">
        <v>1494</v>
      </c>
      <c r="E2709" s="18" t="s">
        <v>5</v>
      </c>
      <c r="F2709" s="18" t="s">
        <v>1933</v>
      </c>
      <c r="G2709" s="18" t="s">
        <v>4102</v>
      </c>
      <c r="H2709" s="18" t="s">
        <v>1910</v>
      </c>
      <c r="I2709" s="18" t="s">
        <v>1497</v>
      </c>
      <c r="J2709" s="18" t="s">
        <v>4102</v>
      </c>
      <c r="K2709" s="18" t="s">
        <v>4103</v>
      </c>
      <c r="L2709" s="18" t="s">
        <v>4104</v>
      </c>
      <c r="M2709" s="18" t="s">
        <v>1497</v>
      </c>
      <c r="N2709" s="18" t="s">
        <v>6</v>
      </c>
      <c r="O2709" s="18" t="s">
        <v>7</v>
      </c>
      <c r="P2709" s="18" t="s">
        <v>5672</v>
      </c>
      <c r="Q2709" s="18" t="s">
        <v>8</v>
      </c>
      <c r="R2709" s="18" t="s">
        <v>9</v>
      </c>
      <c r="S2709" s="18" t="s">
        <v>4105</v>
      </c>
      <c r="T2709" s="18" t="s">
        <v>4106</v>
      </c>
    </row>
    <row r="2710" ht="15" spans="1:20">
      <c r="A2710" s="333" t="s">
        <v>7414</v>
      </c>
      <c r="B2710" s="23">
        <v>20250619</v>
      </c>
      <c r="C2710" s="23">
        <v>7.17</v>
      </c>
      <c r="D2710" s="23" t="s">
        <v>2751</v>
      </c>
      <c r="E2710" s="20" t="s">
        <v>2575</v>
      </c>
      <c r="F2710" s="696" t="s">
        <v>7445</v>
      </c>
      <c r="G2710" s="697" t="s">
        <v>2479</v>
      </c>
      <c r="H2710" s="21" t="s">
        <v>4248</v>
      </c>
      <c r="I2710" s="21" t="s">
        <v>1635</v>
      </c>
      <c r="J2710" s="698"/>
      <c r="K2710" s="699" t="s">
        <v>8358</v>
      </c>
      <c r="L2710" s="21"/>
      <c r="M2710" s="21">
        <v>3.1</v>
      </c>
      <c r="N2710" s="709">
        <f>24.25/C2710/1.13</f>
        <v>2.99305118426087</v>
      </c>
      <c r="O2710" s="704">
        <v>13.2065339244936</v>
      </c>
      <c r="P2710" s="37"/>
      <c r="Q2710" s="709">
        <v>2.87587168758717</v>
      </c>
      <c r="R2710" s="37">
        <v>22.1671312019488</v>
      </c>
      <c r="S2710" s="167" t="s">
        <v>4001</v>
      </c>
      <c r="T2710" s="23" t="s">
        <v>8286</v>
      </c>
    </row>
    <row r="2711" ht="15" spans="1:20">
      <c r="A2711" s="333" t="s">
        <v>7414</v>
      </c>
      <c r="B2711" s="23">
        <v>20250619</v>
      </c>
      <c r="C2711" s="23">
        <v>7.17</v>
      </c>
      <c r="D2711" s="23" t="s">
        <v>2761</v>
      </c>
      <c r="E2711" s="20" t="s">
        <v>5120</v>
      </c>
      <c r="F2711" s="696" t="s">
        <v>7445</v>
      </c>
      <c r="G2711" s="697" t="s">
        <v>7814</v>
      </c>
      <c r="H2711" s="21" t="s">
        <v>3432</v>
      </c>
      <c r="I2711" s="21" t="s">
        <v>1635</v>
      </c>
      <c r="J2711" s="698"/>
      <c r="K2711" s="699" t="s">
        <v>8358</v>
      </c>
      <c r="L2711" s="21"/>
      <c r="M2711" s="21">
        <v>3.1</v>
      </c>
      <c r="N2711" s="709">
        <f>24.25/C2711/1.13</f>
        <v>2.99305118426087</v>
      </c>
      <c r="O2711" s="704">
        <v>13.2065339244936</v>
      </c>
      <c r="P2711" s="37"/>
      <c r="Q2711" s="709">
        <v>2.87587168758717</v>
      </c>
      <c r="R2711" s="37">
        <v>22.1671312019488</v>
      </c>
      <c r="S2711" s="167" t="s">
        <v>4001</v>
      </c>
      <c r="T2711" s="23" t="s">
        <v>8286</v>
      </c>
    </row>
    <row r="2712" ht="15" spans="1:20">
      <c r="A2712" s="333" t="s">
        <v>7414</v>
      </c>
      <c r="B2712" s="23">
        <v>20250619</v>
      </c>
      <c r="C2712" s="23">
        <v>7.17</v>
      </c>
      <c r="D2712" s="23" t="s">
        <v>2764</v>
      </c>
      <c r="E2712" s="20" t="s">
        <v>2325</v>
      </c>
      <c r="F2712" s="696" t="s">
        <v>7445</v>
      </c>
      <c r="G2712" s="697" t="s">
        <v>7815</v>
      </c>
      <c r="H2712" s="21" t="s">
        <v>4248</v>
      </c>
      <c r="I2712" s="21" t="s">
        <v>1635</v>
      </c>
      <c r="J2712" s="698"/>
      <c r="K2712" s="699" t="s">
        <v>8358</v>
      </c>
      <c r="L2712" s="21"/>
      <c r="M2712" s="21">
        <v>3.1</v>
      </c>
      <c r="N2712" s="709">
        <f>24.25/C2712/1.13</f>
        <v>2.99305118426087</v>
      </c>
      <c r="O2712" s="704">
        <v>13.2065339244936</v>
      </c>
      <c r="P2712" s="37"/>
      <c r="Q2712" s="709">
        <v>2.87587168758717</v>
      </c>
      <c r="R2712" s="37">
        <v>22.1671312019488</v>
      </c>
      <c r="S2712" s="167" t="s">
        <v>4001</v>
      </c>
      <c r="T2712" s="23" t="s">
        <v>8286</v>
      </c>
    </row>
    <row r="2713" ht="15" spans="1:20">
      <c r="A2713" s="333"/>
      <c r="B2713" s="23">
        <v>20241023</v>
      </c>
      <c r="C2713" s="23">
        <v>7.17</v>
      </c>
      <c r="D2713" s="23" t="s">
        <v>187</v>
      </c>
      <c r="E2713" s="35" t="s">
        <v>188</v>
      </c>
      <c r="F2713" s="23"/>
      <c r="G2713" s="21"/>
      <c r="H2713" s="21"/>
      <c r="I2713" s="21"/>
      <c r="J2713" s="36"/>
      <c r="K2713" s="36"/>
      <c r="L2713" s="36"/>
      <c r="M2713" s="36"/>
      <c r="N2713" s="22">
        <v>0.444047272494986</v>
      </c>
      <c r="O2713" s="22">
        <v>1.47512141339231</v>
      </c>
      <c r="P2713" s="21"/>
      <c r="Q2713" s="37">
        <v>0.2</v>
      </c>
      <c r="R2713" s="37">
        <v>2.11916868588729</v>
      </c>
      <c r="S2713" s="38"/>
      <c r="T2713" s="751" t="s">
        <v>7421</v>
      </c>
    </row>
    <row r="2716" ht="15.6" spans="1:20">
      <c r="A2716" s="684" t="s">
        <v>8324</v>
      </c>
      <c r="B2716" s="162"/>
      <c r="C2716" s="11"/>
      <c r="D2716" s="160"/>
      <c r="E2716" s="127"/>
      <c r="F2716" s="127"/>
      <c r="G2716" s="13"/>
      <c r="H2716" s="14"/>
      <c r="I2716" s="14"/>
      <c r="J2716" s="128"/>
      <c r="K2716" s="129"/>
      <c r="L2716" s="128"/>
      <c r="M2716" s="128"/>
      <c r="N2716" s="867"/>
      <c r="O2716" s="867"/>
      <c r="P2716" s="13"/>
      <c r="Q2716" s="869"/>
      <c r="R2716" s="130"/>
      <c r="S2716" s="12"/>
      <c r="T2716" s="131"/>
    </row>
    <row r="2717" ht="15.6" spans="1:20">
      <c r="A2717" s="132" t="s">
        <v>1490</v>
      </c>
      <c r="B2717" s="841" t="s">
        <v>1492</v>
      </c>
      <c r="C2717" s="754" t="s">
        <v>1404</v>
      </c>
      <c r="D2717" s="164" t="s">
        <v>1494</v>
      </c>
      <c r="E2717" s="18" t="s">
        <v>5</v>
      </c>
      <c r="F2717" s="18" t="s">
        <v>1933</v>
      </c>
      <c r="G2717" s="18" t="s">
        <v>4102</v>
      </c>
      <c r="H2717" s="18" t="s">
        <v>1910</v>
      </c>
      <c r="I2717" s="18" t="s">
        <v>1497</v>
      </c>
      <c r="J2717" s="18" t="s">
        <v>4102</v>
      </c>
      <c r="K2717" s="18" t="s">
        <v>4103</v>
      </c>
      <c r="L2717" s="18" t="s">
        <v>4104</v>
      </c>
      <c r="M2717" s="18" t="s">
        <v>1497</v>
      </c>
      <c r="N2717" s="18" t="s">
        <v>6</v>
      </c>
      <c r="O2717" s="18" t="s">
        <v>7</v>
      </c>
      <c r="P2717" s="18" t="s">
        <v>5672</v>
      </c>
      <c r="Q2717" s="18" t="s">
        <v>8</v>
      </c>
      <c r="R2717" s="18" t="s">
        <v>9</v>
      </c>
      <c r="S2717" s="18" t="s">
        <v>4105</v>
      </c>
      <c r="T2717" s="18" t="s">
        <v>4106</v>
      </c>
    </row>
    <row r="2718" ht="15" spans="1:20">
      <c r="A2718" s="333" t="s">
        <v>3547</v>
      </c>
      <c r="B2718" s="23">
        <v>20250219</v>
      </c>
      <c r="C2718" s="153">
        <v>7.17</v>
      </c>
      <c r="D2718" s="897" t="s">
        <v>3597</v>
      </c>
      <c r="E2718" s="20" t="s">
        <v>2234</v>
      </c>
      <c r="F2718" s="729" t="s">
        <v>3592</v>
      </c>
      <c r="G2718" s="21" t="s">
        <v>3542</v>
      </c>
      <c r="H2718" s="21" t="s">
        <v>3349</v>
      </c>
      <c r="I2718" s="21" t="s">
        <v>1428</v>
      </c>
      <c r="J2718" s="138" t="s">
        <v>3513</v>
      </c>
      <c r="K2718" s="21" t="s">
        <v>1428</v>
      </c>
      <c r="L2718" s="21">
        <v>7.2</v>
      </c>
      <c r="M2718" s="21" t="s">
        <v>1428</v>
      </c>
      <c r="N2718" s="37">
        <v>3.17201713136101</v>
      </c>
      <c r="O2718" s="22">
        <v>10.2706976744186</v>
      </c>
      <c r="P2718" s="21" t="s">
        <v>1428</v>
      </c>
      <c r="Q2718" s="37">
        <v>2.60426309228472</v>
      </c>
      <c r="R2718" s="22">
        <v>23.2248654261665</v>
      </c>
      <c r="S2718" s="166" t="s">
        <v>3562</v>
      </c>
      <c r="T2718" s="167" t="s">
        <v>3584</v>
      </c>
    </row>
    <row r="2719" ht="15" spans="1:20">
      <c r="A2719" s="333"/>
      <c r="B2719" s="23">
        <v>20250326</v>
      </c>
      <c r="C2719" s="23">
        <v>7.17</v>
      </c>
      <c r="D2719" s="23" t="s">
        <v>1416</v>
      </c>
      <c r="E2719" s="35" t="s">
        <v>1417</v>
      </c>
      <c r="F2719" s="23"/>
      <c r="G2719" s="21"/>
      <c r="H2719" s="21"/>
      <c r="I2719" s="21"/>
      <c r="J2719" s="690"/>
      <c r="K2719" s="36"/>
      <c r="L2719" s="36"/>
      <c r="M2719" s="36"/>
      <c r="N2719" s="22">
        <v>0.418448328475372</v>
      </c>
      <c r="O2719" s="22">
        <v>1.12778515066536</v>
      </c>
      <c r="P2719" s="21" t="s">
        <v>1428</v>
      </c>
      <c r="Q2719" s="37">
        <v>0.2</v>
      </c>
      <c r="R2719" s="37">
        <v>1.74623347914073</v>
      </c>
      <c r="S2719" s="38"/>
      <c r="T2719" s="39" t="s">
        <v>2839</v>
      </c>
    </row>
    <row r="2722" ht="15.6" spans="1:20">
      <c r="A2722" s="684" t="s">
        <v>8324</v>
      </c>
      <c r="B2722" s="162"/>
      <c r="C2722" s="11"/>
      <c r="D2722" s="160"/>
      <c r="E2722" s="127"/>
      <c r="F2722" s="127"/>
      <c r="G2722" s="13"/>
      <c r="H2722" s="14"/>
      <c r="I2722" s="14"/>
      <c r="J2722" s="128"/>
      <c r="K2722" s="129"/>
      <c r="L2722" s="128"/>
      <c r="M2722" s="128"/>
      <c r="N2722" s="867"/>
      <c r="O2722" s="867"/>
      <c r="P2722" s="13"/>
      <c r="Q2722" s="869"/>
      <c r="R2722" s="130"/>
      <c r="S2722" s="12"/>
      <c r="T2722" s="131"/>
    </row>
    <row r="2723" ht="15.6" spans="1:20">
      <c r="A2723" s="132" t="s">
        <v>1490</v>
      </c>
      <c r="B2723" s="841" t="s">
        <v>1492</v>
      </c>
      <c r="C2723" s="754" t="s">
        <v>1404</v>
      </c>
      <c r="D2723" s="164" t="s">
        <v>1494</v>
      </c>
      <c r="E2723" s="18" t="s">
        <v>5</v>
      </c>
      <c r="F2723" s="18" t="s">
        <v>1933</v>
      </c>
      <c r="G2723" s="18" t="s">
        <v>4102</v>
      </c>
      <c r="H2723" s="18" t="s">
        <v>1910</v>
      </c>
      <c r="I2723" s="18" t="s">
        <v>1497</v>
      </c>
      <c r="J2723" s="18" t="s">
        <v>4102</v>
      </c>
      <c r="K2723" s="18" t="s">
        <v>4103</v>
      </c>
      <c r="L2723" s="18" t="s">
        <v>4104</v>
      </c>
      <c r="M2723" s="18" t="s">
        <v>1497</v>
      </c>
      <c r="N2723" s="18" t="s">
        <v>6</v>
      </c>
      <c r="O2723" s="18" t="s">
        <v>7</v>
      </c>
      <c r="P2723" s="18" t="s">
        <v>5672</v>
      </c>
      <c r="Q2723" s="18" t="s">
        <v>8</v>
      </c>
      <c r="R2723" s="18" t="s">
        <v>9</v>
      </c>
      <c r="S2723" s="18" t="s">
        <v>4105</v>
      </c>
      <c r="T2723" s="18" t="s">
        <v>4106</v>
      </c>
    </row>
    <row r="2724" s="177" customFormat="1" ht="15" spans="1:20">
      <c r="A2724" s="192" t="s">
        <v>1333</v>
      </c>
      <c r="B2724" s="23">
        <v>20250710</v>
      </c>
      <c r="C2724" s="23">
        <v>7.17</v>
      </c>
      <c r="D2724" s="23" t="s">
        <v>2619</v>
      </c>
      <c r="E2724" s="23" t="s">
        <v>8359</v>
      </c>
      <c r="F2724" s="688" t="s">
        <v>2801</v>
      </c>
      <c r="G2724" s="690" t="s">
        <v>8360</v>
      </c>
      <c r="H2724" s="21" t="s">
        <v>1913</v>
      </c>
      <c r="I2724" s="21"/>
      <c r="J2724" s="698" t="s">
        <v>1428</v>
      </c>
      <c r="K2724" s="21" t="s">
        <v>1428</v>
      </c>
      <c r="L2724" s="21" t="s">
        <v>1428</v>
      </c>
      <c r="M2724" s="21" t="s">
        <v>1428</v>
      </c>
      <c r="N2724" s="37">
        <v>4.86392416780835</v>
      </c>
      <c r="O2724" s="22">
        <v>18.9314774312893</v>
      </c>
      <c r="P2724" s="37"/>
      <c r="Q2724" s="37">
        <v>2.98317720097259</v>
      </c>
      <c r="R2724" s="37">
        <f>SUM(J2724:Q2724)</f>
        <v>26.7785788000702</v>
      </c>
      <c r="S2724" s="167" t="s">
        <v>1526</v>
      </c>
      <c r="T2724" s="898" t="s">
        <v>2621</v>
      </c>
    </row>
    <row r="2725" s="177" customFormat="1" ht="15" spans="1:20">
      <c r="A2725" s="192" t="s">
        <v>1333</v>
      </c>
      <c r="B2725" s="23">
        <v>20250710</v>
      </c>
      <c r="C2725" s="23">
        <v>7.17</v>
      </c>
      <c r="D2725" s="23" t="s">
        <v>2622</v>
      </c>
      <c r="E2725" s="23" t="s">
        <v>8361</v>
      </c>
      <c r="F2725" s="688" t="s">
        <v>2801</v>
      </c>
      <c r="G2725" s="690" t="s">
        <v>2623</v>
      </c>
      <c r="H2725" s="21" t="s">
        <v>1913</v>
      </c>
      <c r="I2725" s="21"/>
      <c r="J2725" s="698" t="s">
        <v>1428</v>
      </c>
      <c r="K2725" s="21" t="s">
        <v>1428</v>
      </c>
      <c r="L2725" s="21" t="s">
        <v>1428</v>
      </c>
      <c r="M2725" s="21" t="s">
        <v>1428</v>
      </c>
      <c r="N2725" s="37">
        <v>4.86392416780835</v>
      </c>
      <c r="O2725" s="22">
        <v>18.9314774312893</v>
      </c>
      <c r="P2725" s="37"/>
      <c r="Q2725" s="37">
        <v>2.98317720097259</v>
      </c>
      <c r="R2725" s="37">
        <f>SUM(J2725:Q2725)</f>
        <v>26.7785788000702</v>
      </c>
      <c r="S2725" s="167" t="s">
        <v>1526</v>
      </c>
      <c r="T2725" s="898" t="s">
        <v>2624</v>
      </c>
    </row>
    <row r="2726" s="177" customFormat="1" ht="15" spans="1:20">
      <c r="A2726" s="192"/>
      <c r="B2726" s="23">
        <v>20250516</v>
      </c>
      <c r="C2726" s="23"/>
      <c r="D2726" s="23"/>
      <c r="E2726" s="20" t="s">
        <v>84</v>
      </c>
      <c r="F2726" s="20"/>
      <c r="G2726" s="690"/>
      <c r="H2726" s="21"/>
      <c r="I2726" s="21"/>
      <c r="J2726" s="690"/>
      <c r="K2726" s="21"/>
      <c r="L2726" s="21"/>
      <c r="M2726" s="21"/>
      <c r="N2726" s="37">
        <v>0.430186823992134</v>
      </c>
      <c r="O2726" s="22">
        <v>3.16456055927237</v>
      </c>
      <c r="P2726" s="37" t="s">
        <v>1428</v>
      </c>
      <c r="Q2726" s="37">
        <v>0.4</v>
      </c>
      <c r="R2726" s="37">
        <f>SUM(J2726:Q2726)</f>
        <v>3.9947473832645</v>
      </c>
      <c r="S2726" s="23"/>
      <c r="T2726" s="167" t="s">
        <v>8190</v>
      </c>
    </row>
    <row r="2729" ht="15.6" spans="1:20">
      <c r="A2729" s="684" t="s">
        <v>8324</v>
      </c>
      <c r="B2729" s="162"/>
      <c r="C2729" s="11"/>
      <c r="D2729" s="160"/>
      <c r="E2729" s="127"/>
      <c r="F2729" s="127"/>
      <c r="G2729" s="13"/>
      <c r="H2729" s="14"/>
      <c r="I2729" s="14"/>
      <c r="J2729" s="128"/>
      <c r="K2729" s="129"/>
      <c r="L2729" s="128"/>
      <c r="M2729" s="128"/>
      <c r="N2729" s="867"/>
      <c r="O2729" s="867"/>
      <c r="P2729" s="13"/>
      <c r="Q2729" s="869"/>
      <c r="R2729" s="130"/>
      <c r="S2729" s="12"/>
      <c r="T2729" s="131"/>
    </row>
    <row r="2730" ht="15.6" spans="1:20">
      <c r="A2730" s="132" t="s">
        <v>1490</v>
      </c>
      <c r="B2730" s="841" t="s">
        <v>1492</v>
      </c>
      <c r="C2730" s="754" t="s">
        <v>1404</v>
      </c>
      <c r="D2730" s="164" t="s">
        <v>1494</v>
      </c>
      <c r="E2730" s="18" t="s">
        <v>5</v>
      </c>
      <c r="F2730" s="18" t="s">
        <v>1933</v>
      </c>
      <c r="G2730" s="18" t="s">
        <v>4102</v>
      </c>
      <c r="H2730" s="18" t="s">
        <v>1910</v>
      </c>
      <c r="I2730" s="18" t="s">
        <v>1497</v>
      </c>
      <c r="J2730" s="18" t="s">
        <v>4102</v>
      </c>
      <c r="K2730" s="18" t="s">
        <v>4103</v>
      </c>
      <c r="L2730" s="18" t="s">
        <v>4104</v>
      </c>
      <c r="M2730" s="18" t="s">
        <v>1497</v>
      </c>
      <c r="N2730" s="18" t="s">
        <v>6</v>
      </c>
      <c r="O2730" s="18" t="s">
        <v>7</v>
      </c>
      <c r="P2730" s="18" t="s">
        <v>5672</v>
      </c>
      <c r="Q2730" s="18" t="s">
        <v>8</v>
      </c>
      <c r="R2730" s="18" t="s">
        <v>9</v>
      </c>
      <c r="S2730" s="18" t="s">
        <v>4105</v>
      </c>
      <c r="T2730" s="18" t="s">
        <v>4106</v>
      </c>
    </row>
    <row r="2731" ht="15" spans="1:20">
      <c r="A2731" s="333"/>
      <c r="B2731" s="23">
        <v>20240627</v>
      </c>
      <c r="C2731" s="23">
        <v>7.17</v>
      </c>
      <c r="D2731" s="23" t="s">
        <v>237</v>
      </c>
      <c r="E2731" s="39" t="s">
        <v>238</v>
      </c>
      <c r="F2731" s="39"/>
      <c r="G2731" s="21"/>
      <c r="H2731" s="21"/>
      <c r="I2731" s="21"/>
      <c r="J2731" s="779"/>
      <c r="K2731" s="779"/>
      <c r="L2731" s="779"/>
      <c r="M2731" s="779"/>
      <c r="N2731" s="22">
        <v>0.394959331531331</v>
      </c>
      <c r="O2731" s="22">
        <v>1.72541444379716</v>
      </c>
      <c r="P2731" s="21" t="s">
        <v>1428</v>
      </c>
      <c r="Q2731" s="37">
        <v>0.2</v>
      </c>
      <c r="R2731" s="37">
        <f>SUM(J2731:Q2731)</f>
        <v>2.3203737753285</v>
      </c>
      <c r="S2731" s="23"/>
      <c r="T2731" s="836" t="s">
        <v>2851</v>
      </c>
    </row>
    <row r="2732" ht="15" spans="1:20">
      <c r="A2732" s="333" t="s">
        <v>4464</v>
      </c>
      <c r="B2732" s="777">
        <v>20250604</v>
      </c>
      <c r="C2732" s="23">
        <v>7.17</v>
      </c>
      <c r="D2732" s="35"/>
      <c r="E2732" s="23" t="s">
        <v>8362</v>
      </c>
      <c r="F2732" s="750" t="s">
        <v>4457</v>
      </c>
      <c r="G2732" s="798" t="s">
        <v>2664</v>
      </c>
      <c r="H2732" s="798"/>
      <c r="I2732" s="798"/>
      <c r="J2732" s="700">
        <v>155</v>
      </c>
      <c r="K2732" s="878"/>
      <c r="L2732" s="779"/>
      <c r="M2732" s="779"/>
      <c r="N2732" s="22">
        <f>28.4/C2732/1.13</f>
        <v>3.50526406734057</v>
      </c>
      <c r="O2732" s="704">
        <v>16.6917855894029</v>
      </c>
      <c r="P2732" s="798"/>
      <c r="Q2732" s="37">
        <v>5</v>
      </c>
      <c r="R2732" s="37">
        <f>SUM(J2732:Q2732)</f>
        <v>180.197049656744</v>
      </c>
      <c r="S2732" s="166" t="s">
        <v>1526</v>
      </c>
      <c r="T2732" s="899" t="s">
        <v>8363</v>
      </c>
    </row>
    <row r="2736" ht="15.6" spans="1:20">
      <c r="A2736" s="684" t="s">
        <v>8324</v>
      </c>
      <c r="B2736" s="162"/>
      <c r="C2736" s="11"/>
      <c r="D2736" s="160"/>
      <c r="E2736" s="127"/>
      <c r="F2736" s="127"/>
      <c r="G2736" s="13"/>
      <c r="H2736" s="14"/>
      <c r="I2736" s="14"/>
      <c r="J2736" s="128"/>
      <c r="K2736" s="129"/>
      <c r="L2736" s="128"/>
      <c r="M2736" s="128"/>
      <c r="N2736" s="867"/>
      <c r="O2736" s="867"/>
      <c r="P2736" s="13"/>
      <c r="Q2736" s="869"/>
      <c r="R2736" s="130"/>
      <c r="S2736" s="12"/>
      <c r="T2736" s="131"/>
    </row>
    <row r="2737" ht="15.6" spans="1:20">
      <c r="A2737" s="132" t="s">
        <v>1490</v>
      </c>
      <c r="B2737" s="841" t="s">
        <v>1492</v>
      </c>
      <c r="C2737" s="754" t="s">
        <v>1404</v>
      </c>
      <c r="D2737" s="164" t="s">
        <v>1494</v>
      </c>
      <c r="E2737" s="18" t="s">
        <v>5</v>
      </c>
      <c r="F2737" s="18" t="s">
        <v>1933</v>
      </c>
      <c r="G2737" s="18" t="s">
        <v>4102</v>
      </c>
      <c r="H2737" s="18" t="s">
        <v>1910</v>
      </c>
      <c r="I2737" s="18" t="s">
        <v>1497</v>
      </c>
      <c r="J2737" s="18" t="s">
        <v>4102</v>
      </c>
      <c r="K2737" s="18" t="s">
        <v>4103</v>
      </c>
      <c r="L2737" s="18"/>
      <c r="M2737" s="18" t="s">
        <v>1497</v>
      </c>
      <c r="N2737" s="18" t="s">
        <v>6</v>
      </c>
      <c r="O2737" s="18" t="s">
        <v>7</v>
      </c>
      <c r="P2737" s="18" t="s">
        <v>5672</v>
      </c>
      <c r="Q2737" s="18" t="s">
        <v>8</v>
      </c>
      <c r="R2737" s="18" t="s">
        <v>9</v>
      </c>
      <c r="S2737" s="18" t="s">
        <v>4105</v>
      </c>
      <c r="T2737" s="18" t="s">
        <v>4106</v>
      </c>
    </row>
    <row r="2738" ht="15" spans="1:20">
      <c r="A2738" s="333" t="s">
        <v>309</v>
      </c>
      <c r="B2738" s="35">
        <v>20240407</v>
      </c>
      <c r="C2738" s="23">
        <v>7.24</v>
      </c>
      <c r="D2738" s="23" t="s">
        <v>8364</v>
      </c>
      <c r="E2738" s="695" t="s">
        <v>1604</v>
      </c>
      <c r="F2738" s="20" t="s">
        <v>1933</v>
      </c>
      <c r="G2738" s="21" t="s">
        <v>1979</v>
      </c>
      <c r="H2738" s="21" t="s">
        <v>1913</v>
      </c>
      <c r="I2738" s="21" t="s">
        <v>1428</v>
      </c>
      <c r="J2738" s="690" t="s">
        <v>1979</v>
      </c>
      <c r="K2738" s="21" t="s">
        <v>1428</v>
      </c>
      <c r="L2738" s="21" t="s">
        <v>1428</v>
      </c>
      <c r="M2738" s="21" t="s">
        <v>1428</v>
      </c>
      <c r="N2738" s="704">
        <v>4.59732291806354</v>
      </c>
      <c r="O2738" s="704">
        <v>26.4667923170578</v>
      </c>
      <c r="P2738" s="37" t="s">
        <v>1428</v>
      </c>
      <c r="Q2738" s="37">
        <v>3.20781032078103</v>
      </c>
      <c r="R2738" s="37">
        <f t="shared" ref="R2738:R2745" si="13">SUM(J2738:Q2738)</f>
        <v>34.2719255559024</v>
      </c>
      <c r="S2738" s="167" t="s">
        <v>1526</v>
      </c>
      <c r="T2738" s="859" t="s">
        <v>8365</v>
      </c>
    </row>
    <row r="2739" ht="15" spans="1:20">
      <c r="A2739" s="333"/>
      <c r="B2739" s="35">
        <v>20241114</v>
      </c>
      <c r="C2739" s="23">
        <v>7.17</v>
      </c>
      <c r="D2739" s="23" t="s">
        <v>310</v>
      </c>
      <c r="E2739" s="20" t="s">
        <v>311</v>
      </c>
      <c r="F2739" s="20"/>
      <c r="G2739" s="690"/>
      <c r="H2739" s="21"/>
      <c r="I2739" s="21"/>
      <c r="J2739" s="690"/>
      <c r="K2739" s="21"/>
      <c r="L2739" s="21"/>
      <c r="M2739" s="21"/>
      <c r="N2739" s="37">
        <v>0.56154744346116</v>
      </c>
      <c r="O2739" s="37">
        <v>3.99776577266427</v>
      </c>
      <c r="P2739" s="37" t="s">
        <v>1428</v>
      </c>
      <c r="Q2739" s="774">
        <v>0.4</v>
      </c>
      <c r="R2739" s="37">
        <f t="shared" si="13"/>
        <v>4.95931321612543</v>
      </c>
      <c r="S2739" s="813"/>
      <c r="T2739" s="23" t="s">
        <v>2859</v>
      </c>
    </row>
    <row r="2740" ht="15" spans="1:20">
      <c r="A2740" s="333" t="s">
        <v>350</v>
      </c>
      <c r="B2740" s="35">
        <v>20240814</v>
      </c>
      <c r="C2740" s="23">
        <v>7.24</v>
      </c>
      <c r="D2740" s="23" t="s">
        <v>8366</v>
      </c>
      <c r="E2740" s="23" t="s">
        <v>1669</v>
      </c>
      <c r="F2740" s="23" t="s">
        <v>4065</v>
      </c>
      <c r="G2740" s="21" t="s">
        <v>1979</v>
      </c>
      <c r="H2740" s="21" t="s">
        <v>1913</v>
      </c>
      <c r="I2740" s="21" t="s">
        <v>1428</v>
      </c>
      <c r="J2740" s="21" t="s">
        <v>1979</v>
      </c>
      <c r="K2740" s="21" t="s">
        <v>1428</v>
      </c>
      <c r="L2740" s="21" t="s">
        <v>1428</v>
      </c>
      <c r="M2740" s="21" t="s">
        <v>1428</v>
      </c>
      <c r="N2740" s="709">
        <f>36.57/7.17/1.13</f>
        <v>4.5136446106565</v>
      </c>
      <c r="O2740" s="709">
        <v>27.3549781034863</v>
      </c>
      <c r="P2740" s="37" t="s">
        <v>1428</v>
      </c>
      <c r="Q2740" s="37">
        <v>3.81</v>
      </c>
      <c r="R2740" s="37">
        <f t="shared" si="13"/>
        <v>35.6786227141428</v>
      </c>
      <c r="S2740" s="166" t="s">
        <v>1526</v>
      </c>
      <c r="T2740" s="751" t="s">
        <v>8367</v>
      </c>
    </row>
    <row r="2741" ht="15" spans="1:20">
      <c r="A2741" s="333"/>
      <c r="B2741" s="818">
        <v>20241009</v>
      </c>
      <c r="C2741" s="23">
        <v>7.17</v>
      </c>
      <c r="D2741" s="23" t="s">
        <v>354</v>
      </c>
      <c r="E2741" s="23" t="s">
        <v>355</v>
      </c>
      <c r="F2741" s="23"/>
      <c r="G2741" s="21"/>
      <c r="H2741" s="21"/>
      <c r="I2741" s="21"/>
      <c r="J2741" s="21"/>
      <c r="K2741" s="21"/>
      <c r="L2741" s="21"/>
      <c r="M2741" s="21"/>
      <c r="N2741" s="37">
        <v>0.93918701905944</v>
      </c>
      <c r="O2741" s="37">
        <v>4.20145265442166</v>
      </c>
      <c r="P2741" s="37"/>
      <c r="Q2741" s="37">
        <v>0.4</v>
      </c>
      <c r="R2741" s="37">
        <f t="shared" si="13"/>
        <v>5.5406396734811</v>
      </c>
      <c r="S2741" s="166"/>
      <c r="T2741" s="751" t="s">
        <v>7630</v>
      </c>
    </row>
    <row r="2742" ht="15" spans="1:20">
      <c r="A2742" s="333"/>
      <c r="B2742" s="35">
        <v>20250206</v>
      </c>
      <c r="C2742" s="23">
        <v>7.17</v>
      </c>
      <c r="D2742" s="23" t="s">
        <v>1426</v>
      </c>
      <c r="E2742" s="23" t="s">
        <v>1427</v>
      </c>
      <c r="F2742" s="23"/>
      <c r="G2742" s="21"/>
      <c r="H2742" s="21"/>
      <c r="I2742" s="21"/>
      <c r="J2742" s="21"/>
      <c r="K2742" s="21"/>
      <c r="L2742" s="21"/>
      <c r="M2742" s="21"/>
      <c r="N2742" s="37" t="s">
        <v>1428</v>
      </c>
      <c r="O2742" s="37">
        <v>0.679655864216525</v>
      </c>
      <c r="P2742" s="37" t="s">
        <v>1428</v>
      </c>
      <c r="Q2742" s="37">
        <v>0.2</v>
      </c>
      <c r="R2742" s="37">
        <f t="shared" si="13"/>
        <v>0.879655864216525</v>
      </c>
      <c r="S2742" s="166"/>
      <c r="T2742" s="751" t="s">
        <v>8156</v>
      </c>
    </row>
    <row r="2743" s="177" customFormat="1" ht="15" spans="1:20">
      <c r="A2743" s="192" t="s">
        <v>7659</v>
      </c>
      <c r="B2743" s="35">
        <v>20250710</v>
      </c>
      <c r="C2743" s="23">
        <v>7.17</v>
      </c>
      <c r="D2743" s="23" t="s">
        <v>2391</v>
      </c>
      <c r="E2743" s="695" t="s">
        <v>1767</v>
      </c>
      <c r="F2743" s="20" t="s">
        <v>4457</v>
      </c>
      <c r="G2743" s="21" t="s">
        <v>1979</v>
      </c>
      <c r="H2743" s="21" t="s">
        <v>1913</v>
      </c>
      <c r="I2743" s="21"/>
      <c r="J2743" s="698" t="s">
        <v>1979</v>
      </c>
      <c r="K2743" s="21"/>
      <c r="L2743" s="21"/>
      <c r="M2743" s="21"/>
      <c r="N2743" s="704">
        <f>37/C2743/1.13</f>
        <v>4.56671727083102</v>
      </c>
      <c r="O2743" s="704">
        <v>21.8642932217314</v>
      </c>
      <c r="P2743" s="37"/>
      <c r="Q2743" s="37">
        <v>3.36122733612273</v>
      </c>
      <c r="R2743" s="37">
        <f t="shared" si="13"/>
        <v>29.7922378286852</v>
      </c>
      <c r="S2743" s="167" t="s">
        <v>1526</v>
      </c>
      <c r="T2743" s="751" t="s">
        <v>2393</v>
      </c>
    </row>
    <row r="2744" ht="15" spans="1:20">
      <c r="A2744" s="333"/>
      <c r="B2744" s="35">
        <v>20241114</v>
      </c>
      <c r="C2744" s="23">
        <v>7.17</v>
      </c>
      <c r="D2744" s="23" t="s">
        <v>310</v>
      </c>
      <c r="E2744" s="20" t="s">
        <v>311</v>
      </c>
      <c r="F2744" s="20"/>
      <c r="G2744" s="690"/>
      <c r="H2744" s="21"/>
      <c r="I2744" s="21"/>
      <c r="J2744" s="690"/>
      <c r="K2744" s="21"/>
      <c r="L2744" s="21"/>
      <c r="M2744" s="21"/>
      <c r="N2744" s="37">
        <v>0.56154744346116</v>
      </c>
      <c r="O2744" s="37">
        <v>3.99776577266427</v>
      </c>
      <c r="P2744" s="37" t="s">
        <v>1428</v>
      </c>
      <c r="Q2744" s="774">
        <v>0.4</v>
      </c>
      <c r="R2744" s="37">
        <f t="shared" si="13"/>
        <v>4.95931321612543</v>
      </c>
      <c r="S2744" s="813"/>
      <c r="T2744" s="23" t="s">
        <v>2859</v>
      </c>
    </row>
    <row r="2745" ht="15" spans="1:20">
      <c r="A2745" s="333"/>
      <c r="B2745" s="35">
        <v>20241114</v>
      </c>
      <c r="C2745" s="23">
        <v>7.17</v>
      </c>
      <c r="D2745" s="23" t="s">
        <v>314</v>
      </c>
      <c r="E2745" s="20" t="s">
        <v>315</v>
      </c>
      <c r="F2745" s="20"/>
      <c r="G2745" s="690"/>
      <c r="H2745" s="21"/>
      <c r="I2745" s="21"/>
      <c r="J2745" s="690"/>
      <c r="K2745" s="21"/>
      <c r="L2745" s="21"/>
      <c r="M2745" s="21"/>
      <c r="N2745" s="37">
        <v>0.557674702471773</v>
      </c>
      <c r="O2745" s="37">
        <v>5.00655541227368</v>
      </c>
      <c r="P2745" s="37" t="s">
        <v>1428</v>
      </c>
      <c r="Q2745" s="37">
        <v>0.2</v>
      </c>
      <c r="R2745" s="37">
        <f t="shared" si="13"/>
        <v>5.76423011474545</v>
      </c>
      <c r="S2745" s="813"/>
      <c r="T2745" s="167" t="s">
        <v>2860</v>
      </c>
    </row>
    <row r="2750" ht="15.6" spans="1:20">
      <c r="A2750" s="684" t="s">
        <v>8324</v>
      </c>
      <c r="B2750" s="162"/>
      <c r="C2750" s="11"/>
      <c r="D2750" s="160"/>
      <c r="E2750" s="127"/>
      <c r="F2750" s="127"/>
      <c r="G2750" s="13"/>
      <c r="H2750" s="14"/>
      <c r="I2750" s="14"/>
      <c r="J2750" s="128"/>
      <c r="K2750" s="129"/>
      <c r="L2750" s="128"/>
      <c r="M2750" s="128"/>
      <c r="N2750" s="867"/>
      <c r="O2750" s="867"/>
      <c r="P2750" s="13"/>
      <c r="Q2750" s="869"/>
      <c r="R2750" s="130"/>
      <c r="S2750" s="12"/>
      <c r="T2750" s="131"/>
    </row>
    <row r="2751" ht="48" customHeight="1" spans="1:20">
      <c r="A2751" s="132" t="s">
        <v>1490</v>
      </c>
      <c r="B2751" s="841" t="s">
        <v>1492</v>
      </c>
      <c r="C2751" s="754" t="s">
        <v>1404</v>
      </c>
      <c r="D2751" s="164" t="s">
        <v>1494</v>
      </c>
      <c r="E2751" s="18" t="s">
        <v>5</v>
      </c>
      <c r="F2751" s="18" t="s">
        <v>1933</v>
      </c>
      <c r="G2751" s="18" t="s">
        <v>4102</v>
      </c>
      <c r="H2751" s="18" t="s">
        <v>1910</v>
      </c>
      <c r="I2751" s="18" t="s">
        <v>1497</v>
      </c>
      <c r="J2751" s="18" t="s">
        <v>4102</v>
      </c>
      <c r="K2751" s="18" t="s">
        <v>4103</v>
      </c>
      <c r="L2751" s="18"/>
      <c r="M2751" s="18" t="s">
        <v>1497</v>
      </c>
      <c r="N2751" s="18" t="s">
        <v>6</v>
      </c>
      <c r="O2751" s="18" t="s">
        <v>7</v>
      </c>
      <c r="P2751" s="18" t="s">
        <v>5672</v>
      </c>
      <c r="Q2751" s="18" t="s">
        <v>8</v>
      </c>
      <c r="R2751" s="18" t="s">
        <v>9</v>
      </c>
      <c r="S2751" s="18" t="s">
        <v>4105</v>
      </c>
      <c r="T2751" s="18" t="s">
        <v>4106</v>
      </c>
    </row>
    <row r="2752" s="179" customFormat="1" ht="15" spans="1:20">
      <c r="A2752" s="333" t="s">
        <v>7457</v>
      </c>
      <c r="B2752" s="35">
        <v>20250214</v>
      </c>
      <c r="C2752" s="23">
        <v>7.17</v>
      </c>
      <c r="D2752" s="23" t="s">
        <v>7770</v>
      </c>
      <c r="E2752" s="23" t="s">
        <v>8368</v>
      </c>
      <c r="F2752" s="23" t="s">
        <v>2801</v>
      </c>
      <c r="G2752" s="21" t="s">
        <v>8369</v>
      </c>
      <c r="H2752" s="21" t="s">
        <v>1913</v>
      </c>
      <c r="I2752" s="21" t="s">
        <v>1428</v>
      </c>
      <c r="J2752" s="21">
        <v>360</v>
      </c>
      <c r="K2752" s="21" t="s">
        <v>1428</v>
      </c>
      <c r="L2752" s="21" t="s">
        <v>1428</v>
      </c>
      <c r="M2752" s="21" t="s">
        <v>1428</v>
      </c>
      <c r="N2752" s="37">
        <f>41.03/7.17/1.13</f>
        <v>5.06411917897829</v>
      </c>
      <c r="O2752" s="37">
        <v>18.5089156866026</v>
      </c>
      <c r="P2752" s="37" t="s">
        <v>1428</v>
      </c>
      <c r="Q2752" s="37">
        <v>3.14632482758621</v>
      </c>
      <c r="R2752" s="37">
        <f>SUM(J2752:Q2752)</f>
        <v>386.719359693167</v>
      </c>
      <c r="S2752" s="166" t="s">
        <v>1526</v>
      </c>
      <c r="T2752" s="751" t="s">
        <v>8370</v>
      </c>
    </row>
    <row r="2753" s="179" customFormat="1" ht="15" spans="1:20">
      <c r="A2753" s="333" t="s">
        <v>7457</v>
      </c>
      <c r="B2753" s="35">
        <v>20250214</v>
      </c>
      <c r="C2753" s="23">
        <v>7.17</v>
      </c>
      <c r="D2753" s="23" t="s">
        <v>7770</v>
      </c>
      <c r="E2753" s="23" t="s">
        <v>8368</v>
      </c>
      <c r="F2753" s="23" t="s">
        <v>2801</v>
      </c>
      <c r="G2753" s="21" t="s">
        <v>8371</v>
      </c>
      <c r="H2753" s="21" t="s">
        <v>1913</v>
      </c>
      <c r="I2753" s="21" t="s">
        <v>1428</v>
      </c>
      <c r="J2753" s="21">
        <v>280</v>
      </c>
      <c r="K2753" s="21" t="s">
        <v>1428</v>
      </c>
      <c r="L2753" s="21" t="s">
        <v>1428</v>
      </c>
      <c r="M2753" s="21" t="s">
        <v>1428</v>
      </c>
      <c r="N2753" s="37">
        <f>41.03/7.17/1.13</f>
        <v>5.06411917897829</v>
      </c>
      <c r="O2753" s="37">
        <v>18.5089156866026</v>
      </c>
      <c r="P2753" s="37" t="s">
        <v>1428</v>
      </c>
      <c r="Q2753" s="37">
        <v>3.14632482758621</v>
      </c>
      <c r="R2753" s="37">
        <f>SUM(J2753:Q2753)</f>
        <v>306.719359693167</v>
      </c>
      <c r="S2753" s="166" t="s">
        <v>1526</v>
      </c>
      <c r="T2753" s="751" t="s">
        <v>8370</v>
      </c>
    </row>
    <row r="2754" s="191" customFormat="1" ht="15" spans="1:20">
      <c r="A2754" s="333"/>
      <c r="B2754" s="35">
        <v>20250312</v>
      </c>
      <c r="C2754" s="23">
        <v>7.17</v>
      </c>
      <c r="D2754" s="23" t="s">
        <v>261</v>
      </c>
      <c r="E2754" s="23" t="s">
        <v>262</v>
      </c>
      <c r="F2754" s="23"/>
      <c r="G2754" s="21"/>
      <c r="H2754" s="21"/>
      <c r="I2754" s="21"/>
      <c r="J2754" s="21"/>
      <c r="K2754" s="21"/>
      <c r="L2754" s="21"/>
      <c r="M2754" s="21"/>
      <c r="N2754" s="37">
        <v>0.470248454104491</v>
      </c>
      <c r="O2754" s="37">
        <v>2.72487482817541</v>
      </c>
      <c r="P2754" s="37"/>
      <c r="Q2754" s="37">
        <v>0.4</v>
      </c>
      <c r="R2754" s="37">
        <f>SUM(J2754:Q2754)</f>
        <v>3.5951232822799</v>
      </c>
      <c r="S2754" s="166"/>
      <c r="T2754" s="751" t="s">
        <v>260</v>
      </c>
    </row>
    <row r="2758" ht="15.6" spans="1:20">
      <c r="A2758" s="684" t="s">
        <v>8324</v>
      </c>
      <c r="B2758" s="162"/>
      <c r="C2758" s="11"/>
      <c r="D2758" s="160"/>
      <c r="E2758" s="127"/>
      <c r="F2758" s="127"/>
      <c r="G2758" s="13"/>
      <c r="H2758" s="14"/>
      <c r="I2758" s="14"/>
      <c r="J2758" s="128"/>
      <c r="K2758" s="129"/>
      <c r="L2758" s="128"/>
      <c r="M2758" s="128"/>
      <c r="N2758" s="867"/>
      <c r="O2758" s="867"/>
      <c r="P2758" s="13"/>
      <c r="Q2758" s="869"/>
      <c r="R2758" s="130"/>
      <c r="S2758" s="12"/>
      <c r="T2758" s="131"/>
    </row>
    <row r="2759" ht="24" customHeight="1" spans="1:20">
      <c r="A2759" s="132" t="s">
        <v>1490</v>
      </c>
      <c r="B2759" s="841" t="s">
        <v>1492</v>
      </c>
      <c r="C2759" s="754" t="s">
        <v>1404</v>
      </c>
      <c r="D2759" s="164" t="s">
        <v>1494</v>
      </c>
      <c r="E2759" s="18" t="s">
        <v>5</v>
      </c>
      <c r="F2759" s="18" t="s">
        <v>1933</v>
      </c>
      <c r="G2759" s="18" t="s">
        <v>4102</v>
      </c>
      <c r="H2759" s="18" t="s">
        <v>1910</v>
      </c>
      <c r="I2759" s="18" t="s">
        <v>1497</v>
      </c>
      <c r="J2759" s="18" t="s">
        <v>4102</v>
      </c>
      <c r="K2759" s="18" t="s">
        <v>4103</v>
      </c>
      <c r="L2759" s="18"/>
      <c r="M2759" s="18" t="s">
        <v>1497</v>
      </c>
      <c r="N2759" s="18" t="s">
        <v>6</v>
      </c>
      <c r="O2759" s="18" t="s">
        <v>7</v>
      </c>
      <c r="P2759" s="18" t="s">
        <v>5672</v>
      </c>
      <c r="Q2759" s="18" t="s">
        <v>8</v>
      </c>
      <c r="R2759" s="18" t="s">
        <v>9</v>
      </c>
      <c r="S2759" s="18" t="s">
        <v>4105</v>
      </c>
      <c r="T2759" s="18" t="s">
        <v>4106</v>
      </c>
    </row>
    <row r="2760" spans="1:20">
      <c r="A2760" s="900" t="s">
        <v>451</v>
      </c>
      <c r="B2760" s="687">
        <v>20250715</v>
      </c>
      <c r="C2760" s="687">
        <v>7.17</v>
      </c>
      <c r="D2760" s="687" t="s">
        <v>2577</v>
      </c>
      <c r="E2760" s="755" t="s">
        <v>1629</v>
      </c>
      <c r="F2760" s="150" t="s">
        <v>4122</v>
      </c>
      <c r="G2760" s="153" t="s">
        <v>2578</v>
      </c>
      <c r="H2760" s="153" t="s">
        <v>4174</v>
      </c>
      <c r="I2760" s="153"/>
      <c r="J2760" s="726">
        <v>130</v>
      </c>
      <c r="K2760" s="901">
        <f>89.149956/7.1/1.13*4</f>
        <v>44.447192322074</v>
      </c>
      <c r="L2760" s="153"/>
      <c r="M2760" s="153"/>
      <c r="N2760" s="727">
        <v>25.9500623295195</v>
      </c>
      <c r="O2760" s="727">
        <v>28.8775060461362</v>
      </c>
      <c r="P2760" s="154"/>
      <c r="Q2760" s="154">
        <v>3.83821478382148</v>
      </c>
      <c r="R2760" s="154">
        <f>SUM(J2760:Q2760)</f>
        <v>233.112975481551</v>
      </c>
      <c r="S2760" s="902" t="s">
        <v>2579</v>
      </c>
      <c r="T2760" s="903" t="s">
        <v>8372</v>
      </c>
    </row>
    <row r="2761" spans="1:20">
      <c r="A2761" s="900"/>
      <c r="B2761" s="687">
        <v>20250715</v>
      </c>
      <c r="C2761" s="687">
        <v>7.17</v>
      </c>
      <c r="D2761" s="687" t="s">
        <v>71</v>
      </c>
      <c r="E2761" s="755" t="s">
        <v>72</v>
      </c>
      <c r="F2761" s="150"/>
      <c r="G2761" s="153"/>
      <c r="H2761" s="153"/>
      <c r="I2761" s="153"/>
      <c r="J2761" s="726"/>
      <c r="K2761" s="153"/>
      <c r="L2761" s="153"/>
      <c r="M2761" s="153"/>
      <c r="N2761" s="727">
        <v>6.79700324607201</v>
      </c>
      <c r="O2761" s="727">
        <v>1.59154543207317</v>
      </c>
      <c r="P2761" s="154"/>
      <c r="Q2761" s="904">
        <v>0.2</v>
      </c>
      <c r="R2761" s="154">
        <f>SUM(J2761:Q2761)</f>
        <v>8.58854867814517</v>
      </c>
      <c r="S2761" s="902"/>
      <c r="T2761" s="903" t="s">
        <v>8373</v>
      </c>
    </row>
    <row r="2762" spans="1:20">
      <c r="Q2762" s="154" t="s">
        <v>8374</v>
      </c>
      <c r="R2762" s="905">
        <f>SUBTOTAL(9,R2760:R2761)</f>
        <v>241.701524159696</v>
      </c>
    </row>
    <row r="2764" ht="15.6" spans="1:20">
      <c r="A2764" s="801" t="s">
        <v>8324</v>
      </c>
      <c r="B2764" s="718"/>
      <c r="C2764" s="718"/>
      <c r="D2764" s="718"/>
      <c r="E2764" s="127"/>
      <c r="F2764" s="127"/>
      <c r="G2764" s="13"/>
      <c r="H2764" s="14"/>
      <c r="I2764" s="14"/>
      <c r="J2764" s="128"/>
      <c r="K2764" s="685"/>
      <c r="L2764" s="685"/>
      <c r="M2764" s="129"/>
      <c r="N2764" s="686"/>
      <c r="O2764" s="15"/>
      <c r="P2764" s="13"/>
      <c r="Q2764" s="130"/>
      <c r="R2764" s="130"/>
      <c r="S2764" s="12"/>
      <c r="T2764" s="131"/>
    </row>
    <row r="2765" ht="15.6" spans="1:20">
      <c r="A2765" s="802" t="s">
        <v>1490</v>
      </c>
      <c r="B2765" s="719"/>
      <c r="C2765" s="720" t="s">
        <v>1404</v>
      </c>
      <c r="D2765" s="719"/>
      <c r="E2765" s="18" t="s">
        <v>5</v>
      </c>
      <c r="F2765" s="18" t="s">
        <v>1933</v>
      </c>
      <c r="G2765" s="18" t="s">
        <v>4102</v>
      </c>
      <c r="H2765" s="141" t="s">
        <v>4541</v>
      </c>
      <c r="I2765" s="18" t="s">
        <v>1497</v>
      </c>
      <c r="J2765" s="18" t="s">
        <v>4102</v>
      </c>
      <c r="K2765" s="18" t="s">
        <v>4103</v>
      </c>
      <c r="L2765" s="18" t="s">
        <v>4104</v>
      </c>
      <c r="M2765" s="18" t="s">
        <v>1497</v>
      </c>
      <c r="N2765" s="18" t="s">
        <v>6</v>
      </c>
      <c r="O2765" s="18" t="s">
        <v>7</v>
      </c>
      <c r="P2765" s="18" t="s">
        <v>5672</v>
      </c>
      <c r="Q2765" s="18" t="s">
        <v>8</v>
      </c>
      <c r="R2765" s="18" t="s">
        <v>9</v>
      </c>
      <c r="S2765" s="18" t="s">
        <v>4105</v>
      </c>
      <c r="T2765" s="18" t="s">
        <v>4106</v>
      </c>
    </row>
    <row r="2766" s="190" customFormat="1" ht="26" customHeight="1" spans="1:20">
      <c r="A2766" s="21" t="s">
        <v>7826</v>
      </c>
      <c r="B2766" s="777">
        <v>20250605</v>
      </c>
      <c r="C2766" s="23">
        <v>7.2</v>
      </c>
      <c r="D2766" s="861" t="s">
        <v>4061</v>
      </c>
      <c r="E2766" s="21" t="s">
        <v>8279</v>
      </c>
      <c r="F2766" s="21" t="s">
        <v>8087</v>
      </c>
      <c r="G2766" s="863" t="s">
        <v>8280</v>
      </c>
      <c r="H2766" s="21" t="s">
        <v>1913</v>
      </c>
      <c r="I2766" s="21"/>
      <c r="J2766" s="138">
        <v>55</v>
      </c>
      <c r="K2766" s="21"/>
      <c r="L2766" s="21"/>
      <c r="M2766" s="21"/>
      <c r="N2766" s="37">
        <v>3.75334789745868</v>
      </c>
      <c r="O2766" s="22">
        <v>9.25383290767516</v>
      </c>
      <c r="P2766" s="37"/>
      <c r="Q2766" s="37">
        <v>3</v>
      </c>
      <c r="R2766" s="22">
        <f>SUBTOTAL(9,H2766:Q2766)</f>
        <v>71.0071808051338</v>
      </c>
      <c r="S2766" s="864" t="s">
        <v>1526</v>
      </c>
      <c r="T2766" s="167" t="s">
        <v>4049</v>
      </c>
    </row>
    <row r="2767" s="190" customFormat="1" ht="26" customHeight="1" spans="1:20">
      <c r="A2767" s="21"/>
      <c r="B2767" s="777">
        <v>20241111</v>
      </c>
      <c r="C2767" s="23">
        <v>7.21</v>
      </c>
      <c r="D2767" s="861" t="s">
        <v>175</v>
      </c>
      <c r="E2767" s="21" t="s">
        <v>176</v>
      </c>
      <c r="F2767" s="21"/>
      <c r="G2767" s="863"/>
      <c r="H2767" s="21"/>
      <c r="I2767" s="21"/>
      <c r="J2767" s="700"/>
      <c r="K2767" s="21"/>
      <c r="L2767" s="21"/>
      <c r="M2767" s="21"/>
      <c r="N2767" s="37">
        <v>0.422346507965976</v>
      </c>
      <c r="O2767" s="22">
        <v>2.15105537835191</v>
      </c>
      <c r="P2767" s="37" t="s">
        <v>1428</v>
      </c>
      <c r="Q2767" s="37">
        <v>0.4</v>
      </c>
      <c r="R2767" s="22">
        <f>SUBTOTAL(9,H2767:Q2767)</f>
        <v>2.97340188631789</v>
      </c>
      <c r="S2767" s="864"/>
      <c r="T2767" s="167" t="s">
        <v>8097</v>
      </c>
    </row>
    <row r="2772" ht="15.6" spans="1:20">
      <c r="A2772" s="801" t="s">
        <v>8324</v>
      </c>
      <c r="B2772" s="718"/>
      <c r="C2772" s="718"/>
      <c r="D2772" s="718"/>
      <c r="E2772" s="127"/>
      <c r="F2772" s="127"/>
      <c r="G2772" s="13"/>
      <c r="H2772" s="14"/>
      <c r="I2772" s="14"/>
      <c r="J2772" s="128"/>
      <c r="K2772" s="685"/>
      <c r="L2772" s="685"/>
      <c r="M2772" s="129"/>
      <c r="N2772" s="686"/>
      <c r="O2772" s="15"/>
      <c r="P2772" s="13"/>
      <c r="Q2772" s="130"/>
      <c r="R2772" s="130"/>
      <c r="S2772" s="12"/>
      <c r="T2772" s="131"/>
    </row>
    <row r="2773" ht="15.6" spans="1:20">
      <c r="A2773" s="802" t="s">
        <v>1490</v>
      </c>
      <c r="B2773" s="719"/>
      <c r="C2773" s="720" t="s">
        <v>1404</v>
      </c>
      <c r="D2773" s="719"/>
      <c r="E2773" s="18" t="s">
        <v>5</v>
      </c>
      <c r="F2773" s="18" t="s">
        <v>1933</v>
      </c>
      <c r="G2773" s="18" t="s">
        <v>4102</v>
      </c>
      <c r="H2773" s="141" t="s">
        <v>4541</v>
      </c>
      <c r="I2773" s="18" t="s">
        <v>1497</v>
      </c>
      <c r="J2773" s="18" t="s">
        <v>4102</v>
      </c>
      <c r="K2773" s="18" t="s">
        <v>4103</v>
      </c>
      <c r="L2773" s="18" t="s">
        <v>4104</v>
      </c>
      <c r="M2773" s="18" t="s">
        <v>1497</v>
      </c>
      <c r="N2773" s="18" t="s">
        <v>6</v>
      </c>
      <c r="O2773" s="18" t="s">
        <v>7</v>
      </c>
      <c r="P2773" s="18" t="s">
        <v>5672</v>
      </c>
      <c r="Q2773" s="18" t="s">
        <v>8</v>
      </c>
      <c r="R2773" s="18" t="s">
        <v>9</v>
      </c>
      <c r="S2773" s="18" t="s">
        <v>4105</v>
      </c>
      <c r="T2773" s="18" t="s">
        <v>4106</v>
      </c>
    </row>
    <row r="2774" ht="15" spans="1:20">
      <c r="A2774" s="333" t="s">
        <v>7715</v>
      </c>
      <c r="B2774" s="23">
        <v>20250208</v>
      </c>
      <c r="C2774" s="23">
        <v>7.17</v>
      </c>
      <c r="D2774" s="23" t="s">
        <v>8050</v>
      </c>
      <c r="E2774" s="20" t="s">
        <v>1998</v>
      </c>
      <c r="F2774" s="688" t="s">
        <v>4284</v>
      </c>
      <c r="G2774" s="21" t="s">
        <v>2365</v>
      </c>
      <c r="H2774" s="690" t="s">
        <v>1913</v>
      </c>
      <c r="I2774" s="690" t="s">
        <v>1428</v>
      </c>
      <c r="J2774" s="21">
        <v>140</v>
      </c>
      <c r="K2774" s="690" t="s">
        <v>1428</v>
      </c>
      <c r="L2774" s="690" t="s">
        <v>1428</v>
      </c>
      <c r="M2774" s="690" t="s">
        <v>1428</v>
      </c>
      <c r="N2774" s="37">
        <f>3.72369609785659/7.31*7.24</f>
        <v>3.68803826928614</v>
      </c>
      <c r="O2774" s="22">
        <v>11.6846142947645</v>
      </c>
      <c r="P2774" s="690" t="s">
        <v>1428</v>
      </c>
      <c r="Q2774" s="37">
        <v>2.92887029288703</v>
      </c>
      <c r="R2774" s="37">
        <f>SUM(J2774:Q2774)</f>
        <v>158.301522856938</v>
      </c>
      <c r="S2774" s="693" t="s">
        <v>1526</v>
      </c>
      <c r="T2774" s="750" t="s">
        <v>8051</v>
      </c>
    </row>
    <row r="2775" ht="15" spans="1:20">
      <c r="A2775" s="333"/>
      <c r="B2775" s="23">
        <v>20250326</v>
      </c>
      <c r="C2775" s="23">
        <v>7.17</v>
      </c>
      <c r="D2775" s="23" t="s">
        <v>1416</v>
      </c>
      <c r="E2775" s="35" t="s">
        <v>1417</v>
      </c>
      <c r="F2775" s="23"/>
      <c r="G2775" s="21"/>
      <c r="H2775" s="21"/>
      <c r="I2775" s="21"/>
      <c r="J2775" s="690"/>
      <c r="K2775" s="36"/>
      <c r="L2775" s="36"/>
      <c r="M2775" s="36"/>
      <c r="N2775" s="22">
        <v>0.418448328475372</v>
      </c>
      <c r="O2775" s="22">
        <v>1.13610098630034</v>
      </c>
      <c r="P2775" s="21" t="s">
        <v>1428</v>
      </c>
      <c r="Q2775" s="37">
        <v>0.2</v>
      </c>
      <c r="R2775" s="37">
        <f>SUM(J2775:Q2775)</f>
        <v>1.75454931477571</v>
      </c>
      <c r="S2775" s="38"/>
      <c r="T2775" s="39" t="s">
        <v>2839</v>
      </c>
    </row>
    <row r="2776" ht="15" spans="1:20">
      <c r="A2776" s="333"/>
      <c r="B2776" s="23">
        <v>20241113</v>
      </c>
      <c r="C2776" s="23">
        <v>7.17</v>
      </c>
      <c r="D2776" s="23" t="s">
        <v>1405</v>
      </c>
      <c r="E2776" s="20" t="s">
        <v>21</v>
      </c>
      <c r="F2776" s="688"/>
      <c r="G2776" s="690"/>
      <c r="H2776" s="690"/>
      <c r="I2776" s="690"/>
      <c r="J2776" s="36"/>
      <c r="K2776" s="21"/>
      <c r="L2776" s="21"/>
      <c r="M2776" s="21"/>
      <c r="N2776" s="22">
        <v>0.424280290615099</v>
      </c>
      <c r="O2776" s="22">
        <v>2.49776399310227</v>
      </c>
      <c r="P2776" s="37" t="s">
        <v>1428</v>
      </c>
      <c r="Q2776" s="37">
        <v>0.4</v>
      </c>
      <c r="R2776" s="37">
        <f>SUM(J2776:Q2776)</f>
        <v>3.32204428371737</v>
      </c>
      <c r="S2776" s="688"/>
      <c r="T2776" s="167" t="s">
        <v>2844</v>
      </c>
    </row>
    <row r="2778" ht="15.6" spans="1:20">
      <c r="A2778" s="801" t="s">
        <v>8324</v>
      </c>
      <c r="B2778" s="718"/>
      <c r="C2778" s="718"/>
      <c r="D2778" s="718"/>
      <c r="E2778" s="127"/>
      <c r="F2778" s="127"/>
      <c r="G2778" s="13"/>
      <c r="H2778" s="14"/>
      <c r="I2778" s="14"/>
      <c r="J2778" s="128"/>
      <c r="K2778" s="685"/>
      <c r="L2778" s="685"/>
      <c r="M2778" s="129"/>
      <c r="N2778" s="686"/>
      <c r="O2778" s="15"/>
      <c r="P2778" s="13"/>
      <c r="Q2778" s="130"/>
      <c r="R2778" s="130"/>
      <c r="S2778" s="12"/>
      <c r="T2778" s="131"/>
    </row>
    <row r="2779" ht="15.6" spans="1:20">
      <c r="A2779" s="802" t="s">
        <v>1490</v>
      </c>
      <c r="B2779" s="719"/>
      <c r="C2779" s="720" t="s">
        <v>1404</v>
      </c>
      <c r="D2779" s="719"/>
      <c r="E2779" s="18" t="s">
        <v>5</v>
      </c>
      <c r="F2779" s="18" t="s">
        <v>1933</v>
      </c>
      <c r="G2779" s="18" t="s">
        <v>4102</v>
      </c>
      <c r="H2779" s="141" t="s">
        <v>4541</v>
      </c>
      <c r="I2779" s="18" t="s">
        <v>1497</v>
      </c>
      <c r="J2779" s="18" t="s">
        <v>4102</v>
      </c>
      <c r="K2779" s="18" t="s">
        <v>4103</v>
      </c>
      <c r="L2779" s="18" t="s">
        <v>4104</v>
      </c>
      <c r="M2779" s="18" t="s">
        <v>1497</v>
      </c>
      <c r="N2779" s="18" t="s">
        <v>6</v>
      </c>
      <c r="O2779" s="18" t="s">
        <v>7</v>
      </c>
      <c r="P2779" s="18" t="s">
        <v>5672</v>
      </c>
      <c r="Q2779" s="18" t="s">
        <v>8</v>
      </c>
      <c r="R2779" s="18" t="s">
        <v>9</v>
      </c>
      <c r="S2779" s="18" t="s">
        <v>4105</v>
      </c>
      <c r="T2779" s="18" t="s">
        <v>4106</v>
      </c>
    </row>
    <row r="2780" ht="15" spans="1:20">
      <c r="A2780" s="333" t="s">
        <v>50</v>
      </c>
      <c r="B2780" s="687">
        <v>20250716</v>
      </c>
      <c r="C2780" s="687">
        <v>7.17</v>
      </c>
      <c r="D2780" s="687" t="s">
        <v>2367</v>
      </c>
      <c r="E2780" s="755" t="s">
        <v>8375</v>
      </c>
      <c r="F2780" s="906" t="s">
        <v>4239</v>
      </c>
      <c r="G2780" s="152" t="s">
        <v>2369</v>
      </c>
      <c r="H2780" s="153" t="s">
        <v>1913</v>
      </c>
      <c r="I2780" s="153"/>
      <c r="J2780" s="843">
        <v>190</v>
      </c>
      <c r="K2780" s="907"/>
      <c r="L2780" s="907"/>
      <c r="M2780" s="907"/>
      <c r="N2780" s="154">
        <v>4.5365199504328</v>
      </c>
      <c r="O2780" s="727">
        <v>14.9606602283371</v>
      </c>
      <c r="P2780" s="154"/>
      <c r="Q2780" s="154">
        <v>3.36122733612273</v>
      </c>
      <c r="R2780" s="154">
        <f>SUM(J2780:Q2780)</f>
        <v>212.858407514893</v>
      </c>
      <c r="S2780" s="156" t="s">
        <v>1526</v>
      </c>
      <c r="T2780" s="908" t="s">
        <v>8376</v>
      </c>
    </row>
    <row r="2781" spans="1:20">
      <c r="A2781" s="333"/>
      <c r="B2781" s="687">
        <v>20250716</v>
      </c>
      <c r="C2781" s="687">
        <v>7.17</v>
      </c>
      <c r="D2781" s="687" t="s">
        <v>233</v>
      </c>
      <c r="E2781" s="909" t="s">
        <v>234</v>
      </c>
      <c r="F2781" s="910"/>
      <c r="G2781" s="153"/>
      <c r="H2781" s="153"/>
      <c r="I2781" s="153"/>
      <c r="J2781" s="911"/>
      <c r="K2781" s="911"/>
      <c r="L2781" s="911"/>
      <c r="M2781" s="911"/>
      <c r="N2781" s="727">
        <v>0.576393774453537</v>
      </c>
      <c r="O2781" s="912">
        <v>3.42944849211439</v>
      </c>
      <c r="P2781" s="153" t="s">
        <v>1428</v>
      </c>
      <c r="Q2781" s="154">
        <v>0.4</v>
      </c>
      <c r="R2781" s="154">
        <f>SUM(J2781:Q2781)</f>
        <v>4.40584226656793</v>
      </c>
      <c r="S2781" s="687"/>
      <c r="T2781" s="909" t="s">
        <v>235</v>
      </c>
    </row>
    <row r="2786" ht="15.6" spans="1:20">
      <c r="A2786" s="11" t="s">
        <v>8377</v>
      </c>
      <c r="B2786" s="11"/>
      <c r="C2786" s="11"/>
      <c r="D2786" s="11"/>
      <c r="E2786" s="127"/>
      <c r="F2786" s="127"/>
      <c r="G2786" s="13"/>
      <c r="H2786" s="14"/>
      <c r="I2786" s="14"/>
      <c r="J2786" s="128"/>
      <c r="K2786" s="913" t="s">
        <v>712</v>
      </c>
      <c r="L2786" s="913" t="s">
        <v>712</v>
      </c>
      <c r="M2786" s="914"/>
      <c r="N2786" s="867"/>
      <c r="O2786" s="867"/>
      <c r="P2786" s="13"/>
      <c r="Q2786" s="130"/>
      <c r="R2786" s="130"/>
      <c r="S2786" s="12"/>
      <c r="T2786" s="131"/>
    </row>
    <row r="2787" ht="15.6" spans="1:20">
      <c r="A2787" s="132" t="s">
        <v>1490</v>
      </c>
      <c r="B2787" s="17" t="s">
        <v>1492</v>
      </c>
      <c r="C2787" s="754" t="s">
        <v>1404</v>
      </c>
      <c r="D2787" s="17" t="s">
        <v>4100</v>
      </c>
      <c r="E2787" s="18" t="s">
        <v>5</v>
      </c>
      <c r="F2787" s="121" t="s">
        <v>1933</v>
      </c>
      <c r="G2787" s="18" t="s">
        <v>4102</v>
      </c>
      <c r="H2787" s="18" t="s">
        <v>1910</v>
      </c>
      <c r="I2787" s="18" t="s">
        <v>1497</v>
      </c>
      <c r="J2787" s="18" t="s">
        <v>4102</v>
      </c>
      <c r="K2787" s="18" t="s">
        <v>4103</v>
      </c>
      <c r="L2787" s="18" t="s">
        <v>4104</v>
      </c>
      <c r="M2787" s="18" t="s">
        <v>1497</v>
      </c>
      <c r="N2787" s="18" t="s">
        <v>6</v>
      </c>
      <c r="O2787" s="18" t="s">
        <v>7</v>
      </c>
      <c r="P2787" s="18" t="s">
        <v>5672</v>
      </c>
      <c r="Q2787" s="18" t="s">
        <v>8</v>
      </c>
      <c r="R2787" s="18" t="s">
        <v>9</v>
      </c>
      <c r="S2787" s="18" t="s">
        <v>4105</v>
      </c>
      <c r="T2787" s="18" t="s">
        <v>4106</v>
      </c>
    </row>
    <row r="2788" spans="1:20">
      <c r="A2788" s="705" t="s">
        <v>4500</v>
      </c>
      <c r="B2788" s="23">
        <v>20250613</v>
      </c>
      <c r="C2788" s="876">
        <v>7.17</v>
      </c>
      <c r="D2788" s="23" t="s">
        <v>1631</v>
      </c>
      <c r="E2788" s="23" t="s">
        <v>8378</v>
      </c>
      <c r="F2788" s="750" t="s">
        <v>4471</v>
      </c>
      <c r="G2788" s="21" t="s">
        <v>2392</v>
      </c>
      <c r="H2788" s="798" t="s">
        <v>1913</v>
      </c>
      <c r="I2788" s="21" t="s">
        <v>1633</v>
      </c>
      <c r="J2788" s="698">
        <v>70</v>
      </c>
      <c r="K2788" s="21"/>
      <c r="L2788" s="22"/>
      <c r="M2788" s="37">
        <v>1.64929166615383</v>
      </c>
      <c r="N2788" s="22">
        <v>4.38528282790881</v>
      </c>
      <c r="O2788" s="709">
        <v>10.3881430248102</v>
      </c>
      <c r="P2788" s="22"/>
      <c r="Q2788" s="709">
        <v>3.12934631432545</v>
      </c>
      <c r="R2788" s="37">
        <f>SUM(J2788:Q2788)</f>
        <v>89.5520638331983</v>
      </c>
      <c r="S2788" s="192"/>
      <c r="T2788" s="192" t="s">
        <v>4501</v>
      </c>
    </row>
    <row r="2789" spans="1:20">
      <c r="A2789" s="706"/>
      <c r="B2789" s="23">
        <v>20250613</v>
      </c>
      <c r="C2789" s="876">
        <v>7.17</v>
      </c>
      <c r="D2789" s="23" t="s">
        <v>1634</v>
      </c>
      <c r="E2789" s="23" t="s">
        <v>8379</v>
      </c>
      <c r="F2789" s="750" t="s">
        <v>4457</v>
      </c>
      <c r="G2789" s="21" t="s">
        <v>2365</v>
      </c>
      <c r="H2789" s="798" t="s">
        <v>1913</v>
      </c>
      <c r="I2789" s="21" t="s">
        <v>1635</v>
      </c>
      <c r="J2789" s="21">
        <v>140</v>
      </c>
      <c r="K2789" s="21"/>
      <c r="L2789" s="22"/>
      <c r="M2789" s="37">
        <v>3.1</v>
      </c>
      <c r="N2789" s="22">
        <v>4.38528282790881</v>
      </c>
      <c r="O2789" s="709">
        <v>13.9190381681509</v>
      </c>
      <c r="P2789" s="22"/>
      <c r="Q2789" s="709">
        <v>3.12934631432545</v>
      </c>
      <c r="R2789" s="37">
        <f>SUM(J2789:Q2789)</f>
        <v>164.533667310385</v>
      </c>
      <c r="S2789" s="192"/>
      <c r="T2789" s="192" t="s">
        <v>4502</v>
      </c>
    </row>
    <row r="2790" spans="1:20">
      <c r="A2790" s="707"/>
      <c r="B2790" s="23">
        <v>20250613</v>
      </c>
      <c r="C2790" s="876">
        <v>7.17</v>
      </c>
      <c r="D2790" s="23" t="s">
        <v>2283</v>
      </c>
      <c r="E2790" s="23" t="s">
        <v>8380</v>
      </c>
      <c r="F2790" s="750" t="s">
        <v>4457</v>
      </c>
      <c r="G2790" s="21" t="s">
        <v>4503</v>
      </c>
      <c r="H2790" s="798" t="s">
        <v>1913</v>
      </c>
      <c r="I2790" s="21" t="s">
        <v>1637</v>
      </c>
      <c r="J2790" s="21">
        <v>125</v>
      </c>
      <c r="K2790" s="21"/>
      <c r="L2790" s="22"/>
      <c r="M2790" s="37">
        <v>3.17</v>
      </c>
      <c r="N2790" s="22">
        <v>4.38528282790881</v>
      </c>
      <c r="O2790" s="709">
        <v>13.1555365922187</v>
      </c>
      <c r="P2790" s="22"/>
      <c r="Q2790" s="709">
        <v>3.12934631432545</v>
      </c>
      <c r="R2790" s="37">
        <f>SUM(J2790:Q2790)</f>
        <v>148.840165734453</v>
      </c>
      <c r="S2790" s="192"/>
      <c r="T2790" s="192" t="s">
        <v>4504</v>
      </c>
    </row>
    <row r="2791" spans="1:20">
      <c r="O2791" s="709">
        <f>O2789-O2790</f>
        <v>0.763501575932176</v>
      </c>
    </row>
    <row r="2795" ht="15.6" spans="1:20">
      <c r="A2795" s="11" t="s">
        <v>8377</v>
      </c>
      <c r="B2795" s="11"/>
      <c r="C2795" s="11"/>
      <c r="D2795" s="11"/>
      <c r="E2795" s="127"/>
      <c r="F2795" s="127"/>
      <c r="G2795" s="13"/>
      <c r="H2795" s="14"/>
      <c r="I2795" s="14"/>
      <c r="J2795" s="915" t="s">
        <v>712</v>
      </c>
      <c r="K2795" s="915" t="s">
        <v>712</v>
      </c>
      <c r="L2795" s="915" t="s">
        <v>712</v>
      </c>
      <c r="M2795" s="129"/>
      <c r="N2795" s="15"/>
      <c r="O2795" s="15"/>
      <c r="P2795" s="13"/>
      <c r="Q2795" s="130"/>
      <c r="R2795" s="130"/>
      <c r="S2795" s="12"/>
      <c r="T2795" s="131"/>
    </row>
    <row r="2796" ht="15.6" spans="1:20">
      <c r="A2796" s="132" t="s">
        <v>1490</v>
      </c>
      <c r="B2796" s="17" t="s">
        <v>1492</v>
      </c>
      <c r="C2796" s="165" t="s">
        <v>1404</v>
      </c>
      <c r="D2796" s="17" t="s">
        <v>4100</v>
      </c>
      <c r="E2796" s="121" t="s">
        <v>5</v>
      </c>
      <c r="F2796" s="121" t="s">
        <v>1933</v>
      </c>
      <c r="G2796" s="18" t="s">
        <v>4102</v>
      </c>
      <c r="H2796" s="133" t="s">
        <v>1910</v>
      </c>
      <c r="I2796" s="133" t="s">
        <v>1497</v>
      </c>
      <c r="J2796" s="18" t="s">
        <v>4102</v>
      </c>
      <c r="K2796" s="18" t="s">
        <v>4103</v>
      </c>
      <c r="L2796" s="18" t="s">
        <v>4104</v>
      </c>
      <c r="M2796" s="18" t="s">
        <v>1497</v>
      </c>
      <c r="N2796" s="134" t="s">
        <v>6</v>
      </c>
      <c r="O2796" s="134" t="s">
        <v>7</v>
      </c>
      <c r="P2796" s="135" t="s">
        <v>5672</v>
      </c>
      <c r="Q2796" s="134" t="s">
        <v>8</v>
      </c>
      <c r="R2796" s="134" t="s">
        <v>9</v>
      </c>
      <c r="S2796" s="121" t="s">
        <v>4105</v>
      </c>
      <c r="T2796" s="136" t="s">
        <v>4106</v>
      </c>
    </row>
    <row r="2797" s="177" customFormat="1" ht="14.4" spans="1:20">
      <c r="A2797" s="916" t="s">
        <v>5021</v>
      </c>
      <c r="B2797" s="23">
        <v>20250616</v>
      </c>
      <c r="C2797" s="880"/>
      <c r="D2797" s="917" t="s">
        <v>4831</v>
      </c>
      <c r="E2797" s="729" t="s">
        <v>1565</v>
      </c>
      <c r="F2797" s="23" t="s">
        <v>4975</v>
      </c>
      <c r="G2797" s="21" t="s">
        <v>4810</v>
      </c>
      <c r="H2797" s="21" t="s">
        <v>4944</v>
      </c>
      <c r="I2797" s="21"/>
      <c r="J2797" s="699" t="s">
        <v>8299</v>
      </c>
      <c r="K2797" s="699" t="s">
        <v>8299</v>
      </c>
      <c r="L2797" s="21"/>
      <c r="M2797" s="21"/>
      <c r="N2797" s="22">
        <v>11.0958887202083</v>
      </c>
      <c r="O2797" s="22">
        <v>35.6071475791274</v>
      </c>
      <c r="P2797" s="22"/>
      <c r="Q2797" s="37">
        <v>6.25</v>
      </c>
      <c r="R2797" s="37">
        <f>SUM(J2797:Q2797)</f>
        <v>52.9530362993357</v>
      </c>
      <c r="S2797" s="23" t="s">
        <v>5023</v>
      </c>
      <c r="T2797" s="139" t="s">
        <v>8381</v>
      </c>
    </row>
    <row r="2798" s="177" customFormat="1" ht="14.4" hidden="1" spans="1:20">
      <c r="A2798" s="918"/>
      <c r="B2798" s="23">
        <v>20250715</v>
      </c>
      <c r="C2798" s="21">
        <v>7.17</v>
      </c>
      <c r="D2798" s="917" t="s">
        <v>5035</v>
      </c>
      <c r="E2798" s="729" t="s">
        <v>5036</v>
      </c>
      <c r="F2798" s="23"/>
      <c r="G2798" s="21"/>
      <c r="H2798" s="21"/>
      <c r="I2798" s="21"/>
      <c r="J2798" s="699"/>
      <c r="K2798" s="699"/>
      <c r="L2798" s="21"/>
      <c r="M2798" s="21"/>
      <c r="N2798" s="22">
        <v>0.75042272990953</v>
      </c>
      <c r="O2798" s="22">
        <v>7.72864557031511</v>
      </c>
      <c r="P2798" s="22"/>
      <c r="Q2798" s="37">
        <v>3</v>
      </c>
      <c r="R2798" s="22">
        <v>11.1404800180965</v>
      </c>
      <c r="S2798" s="23"/>
      <c r="T2798" s="139" t="s">
        <v>5037</v>
      </c>
    </row>
    <row r="2801" ht="15.6" spans="1:20">
      <c r="A2801" s="801" t="s">
        <v>8324</v>
      </c>
      <c r="B2801" s="718"/>
      <c r="C2801" s="718"/>
      <c r="D2801" s="718"/>
      <c r="E2801" s="127"/>
      <c r="F2801" s="127"/>
      <c r="G2801" s="13"/>
      <c r="H2801" s="14"/>
      <c r="I2801" s="14"/>
      <c r="J2801" s="128"/>
      <c r="K2801" s="919" t="s">
        <v>712</v>
      </c>
      <c r="L2801" s="919" t="s">
        <v>712</v>
      </c>
      <c r="M2801" s="128"/>
      <c r="N2801" s="866"/>
      <c r="O2801" s="867"/>
      <c r="P2801" s="868"/>
      <c r="Q2801" s="869"/>
      <c r="R2801" s="130"/>
      <c r="S2801" s="12"/>
      <c r="T2801" s="131"/>
    </row>
    <row r="2802" ht="15.6" spans="1:20">
      <c r="A2802" s="132" t="s">
        <v>1490</v>
      </c>
      <c r="B2802" s="17" t="s">
        <v>1492</v>
      </c>
      <c r="C2802" s="754" t="s">
        <v>1404</v>
      </c>
      <c r="D2802" s="164" t="s">
        <v>1494</v>
      </c>
      <c r="E2802" s="18" t="s">
        <v>5</v>
      </c>
      <c r="F2802" s="18" t="s">
        <v>1933</v>
      </c>
      <c r="G2802" s="18" t="s">
        <v>4102</v>
      </c>
      <c r="H2802" s="18" t="s">
        <v>1910</v>
      </c>
      <c r="I2802" s="18" t="s">
        <v>1497</v>
      </c>
      <c r="J2802" s="18" t="s">
        <v>4102</v>
      </c>
      <c r="K2802" s="18" t="s">
        <v>4103</v>
      </c>
      <c r="L2802" s="18" t="s">
        <v>4104</v>
      </c>
      <c r="M2802" s="18" t="s">
        <v>1497</v>
      </c>
      <c r="N2802" s="18" t="s">
        <v>6</v>
      </c>
      <c r="O2802" s="18" t="s">
        <v>7</v>
      </c>
      <c r="P2802" s="18" t="s">
        <v>5672</v>
      </c>
      <c r="Q2802" s="18" t="s">
        <v>8</v>
      </c>
      <c r="R2802" s="18" t="s">
        <v>9</v>
      </c>
      <c r="S2802" s="18" t="s">
        <v>4105</v>
      </c>
      <c r="T2802" s="18" t="s">
        <v>4106</v>
      </c>
    </row>
    <row r="2803" ht="15" spans="1:20">
      <c r="A2803" s="21" t="s">
        <v>7941</v>
      </c>
      <c r="B2803" s="23">
        <v>20241113</v>
      </c>
      <c r="C2803" s="23">
        <v>7.17</v>
      </c>
      <c r="D2803" s="920" t="s">
        <v>1405</v>
      </c>
      <c r="E2803" s="20" t="s">
        <v>21</v>
      </c>
      <c r="F2803" s="688"/>
      <c r="G2803" s="690"/>
      <c r="H2803" s="690"/>
      <c r="I2803" s="690"/>
      <c r="J2803" s="36"/>
      <c r="K2803" s="21"/>
      <c r="L2803" s="21"/>
      <c r="M2803" s="21"/>
      <c r="N2803" s="22">
        <v>0.424280290615099</v>
      </c>
      <c r="O2803" s="22">
        <v>2.49776399310227</v>
      </c>
      <c r="P2803" s="37" t="s">
        <v>1428</v>
      </c>
      <c r="Q2803" s="37">
        <v>0.4</v>
      </c>
      <c r="R2803" s="37">
        <f>SUM(J2803:Q2803)</f>
        <v>3.32204428371737</v>
      </c>
      <c r="S2803" s="688"/>
      <c r="T2803" s="167" t="s">
        <v>2844</v>
      </c>
    </row>
    <row r="2804" ht="15" spans="1:20">
      <c r="A2804" s="20"/>
      <c r="B2804" s="23">
        <v>20250109</v>
      </c>
      <c r="C2804" s="23">
        <v>7.17</v>
      </c>
      <c r="D2804" s="920" t="s">
        <v>2706</v>
      </c>
      <c r="E2804" s="35" t="s">
        <v>2311</v>
      </c>
      <c r="F2804" s="20" t="s">
        <v>4284</v>
      </c>
      <c r="G2804" s="21" t="s">
        <v>2680</v>
      </c>
      <c r="H2804" s="21" t="s">
        <v>1913</v>
      </c>
      <c r="I2804" s="21" t="s">
        <v>1428</v>
      </c>
      <c r="J2804" s="921" t="s">
        <v>712</v>
      </c>
      <c r="K2804" s="21" t="s">
        <v>1428</v>
      </c>
      <c r="L2804" s="21" t="s">
        <v>1428</v>
      </c>
      <c r="M2804" s="21" t="s">
        <v>1428</v>
      </c>
      <c r="N2804" s="37">
        <v>3.74511253985457</v>
      </c>
      <c r="O2804" s="22">
        <v>19.0230102629926</v>
      </c>
      <c r="P2804" s="21"/>
      <c r="Q2804" s="37">
        <v>3.09549376087681</v>
      </c>
      <c r="R2804" s="37">
        <f>SUM(J2804:Q2804)</f>
        <v>25.863616563724</v>
      </c>
      <c r="S2804" s="166" t="s">
        <v>1526</v>
      </c>
      <c r="T2804" s="751" t="s">
        <v>2707</v>
      </c>
    </row>
    <row r="2809" ht="15.6" spans="1:20">
      <c r="A2809" s="11" t="s">
        <v>8377</v>
      </c>
      <c r="B2809" s="11"/>
      <c r="C2809" s="14"/>
      <c r="D2809" s="11"/>
      <c r="E2809" s="127"/>
      <c r="F2809" s="127"/>
      <c r="G2809" s="13"/>
      <c r="H2809" s="14"/>
      <c r="I2809" s="14"/>
      <c r="J2809" s="128"/>
      <c r="K2809" s="913" t="s">
        <v>712</v>
      </c>
      <c r="L2809" s="913" t="s">
        <v>712</v>
      </c>
      <c r="M2809" s="914"/>
      <c r="N2809" s="867"/>
      <c r="O2809" s="867"/>
      <c r="P2809" s="13"/>
      <c r="Q2809" s="130"/>
      <c r="R2809" s="130"/>
      <c r="S2809" s="12"/>
      <c r="T2809" s="131"/>
    </row>
    <row r="2810" ht="15.6" spans="1:20">
      <c r="A2810" s="132" t="s">
        <v>1490</v>
      </c>
      <c r="B2810" s="17" t="s">
        <v>1492</v>
      </c>
      <c r="C2810" s="773" t="s">
        <v>3</v>
      </c>
      <c r="D2810" s="17" t="s">
        <v>4100</v>
      </c>
      <c r="E2810" s="18" t="s">
        <v>5</v>
      </c>
      <c r="F2810" s="121" t="s">
        <v>1933</v>
      </c>
      <c r="G2810" s="18" t="s">
        <v>4102</v>
      </c>
      <c r="H2810" s="18" t="s">
        <v>1910</v>
      </c>
      <c r="I2810" s="18" t="s">
        <v>1497</v>
      </c>
      <c r="J2810" s="18" t="s">
        <v>4102</v>
      </c>
      <c r="K2810" s="18" t="s">
        <v>4103</v>
      </c>
      <c r="L2810" s="18" t="s">
        <v>4104</v>
      </c>
      <c r="M2810" s="18" t="s">
        <v>1497</v>
      </c>
      <c r="N2810" s="18" t="s">
        <v>6</v>
      </c>
      <c r="O2810" s="18" t="s">
        <v>7</v>
      </c>
      <c r="P2810" s="18" t="s">
        <v>5672</v>
      </c>
      <c r="Q2810" s="18" t="s">
        <v>8</v>
      </c>
      <c r="R2810" s="18" t="s">
        <v>9</v>
      </c>
      <c r="S2810" s="18" t="s">
        <v>4105</v>
      </c>
      <c r="T2810" s="18" t="s">
        <v>4106</v>
      </c>
    </row>
    <row r="2811" spans="1:20">
      <c r="A2811" s="922" t="s">
        <v>4516</v>
      </c>
      <c r="B2811" s="687">
        <v>20250714</v>
      </c>
      <c r="C2811" s="153">
        <v>7.17</v>
      </c>
      <c r="D2811" s="687" t="s">
        <v>4517</v>
      </c>
      <c r="E2811" s="687" t="s">
        <v>1565</v>
      </c>
      <c r="F2811" s="923" t="s">
        <v>4507</v>
      </c>
      <c r="G2811" s="153" t="s">
        <v>4518</v>
      </c>
      <c r="H2811" s="924" t="s">
        <v>4248</v>
      </c>
      <c r="I2811" s="153"/>
      <c r="J2811" s="843" t="s">
        <v>4519</v>
      </c>
      <c r="K2811" s="153">
        <f>17*4</f>
        <v>68</v>
      </c>
      <c r="L2811" s="727"/>
      <c r="M2811" s="154"/>
      <c r="N2811" s="727">
        <v>3.01403339874847</v>
      </c>
      <c r="O2811" s="154">
        <v>19.6194090789851</v>
      </c>
      <c r="P2811" s="727"/>
      <c r="Q2811" s="795">
        <v>5</v>
      </c>
      <c r="R2811" s="727">
        <v>83.6334424777336</v>
      </c>
      <c r="S2811" s="900" t="s">
        <v>4520</v>
      </c>
      <c r="T2811" s="925" t="s">
        <v>8382</v>
      </c>
    </row>
    <row r="2812" spans="1:20">
      <c r="A2812" s="922"/>
      <c r="B2812" s="687">
        <v>20250714</v>
      </c>
      <c r="C2812" s="153">
        <v>7.17</v>
      </c>
      <c r="D2812" s="687" t="s">
        <v>4522</v>
      </c>
      <c r="E2812" s="687" t="s">
        <v>1617</v>
      </c>
      <c r="F2812" s="923" t="s">
        <v>4507</v>
      </c>
      <c r="G2812" s="153" t="s">
        <v>4523</v>
      </c>
      <c r="H2812" s="924" t="s">
        <v>4248</v>
      </c>
      <c r="I2812" s="153"/>
      <c r="J2812" s="843" t="s">
        <v>4519</v>
      </c>
      <c r="K2812" s="153">
        <f>17*4</f>
        <v>68</v>
      </c>
      <c r="L2812" s="727"/>
      <c r="M2812" s="154"/>
      <c r="N2812" s="727">
        <v>3.01403339874847</v>
      </c>
      <c r="O2812" s="154">
        <v>19.5142855983449</v>
      </c>
      <c r="P2812" s="727"/>
      <c r="Q2812" s="795">
        <v>5</v>
      </c>
      <c r="R2812" s="727">
        <v>83.5283189970934</v>
      </c>
      <c r="S2812" s="900" t="s">
        <v>4520</v>
      </c>
      <c r="T2812" s="925" t="s">
        <v>8383</v>
      </c>
    </row>
    <row r="2813" spans="1:20">
      <c r="A2813" s="922"/>
      <c r="B2813" s="687">
        <v>20250714</v>
      </c>
      <c r="C2813" s="153">
        <v>7.17</v>
      </c>
      <c r="D2813" s="687" t="s">
        <v>1123</v>
      </c>
      <c r="E2813" s="687" t="s">
        <v>1124</v>
      </c>
      <c r="F2813" s="923"/>
      <c r="G2813" s="153"/>
      <c r="H2813" s="924"/>
      <c r="I2813" s="153"/>
      <c r="J2813" s="843"/>
      <c r="K2813" s="153"/>
      <c r="L2813" s="727"/>
      <c r="M2813" s="154"/>
      <c r="N2813" s="727">
        <v>0.322138704780242</v>
      </c>
      <c r="O2813" s="154">
        <v>1.50590593249222</v>
      </c>
      <c r="P2813" s="727"/>
      <c r="Q2813" s="795">
        <v>0.2</v>
      </c>
      <c r="R2813" s="727">
        <v>2.02804463727246</v>
      </c>
      <c r="S2813" s="900"/>
      <c r="T2813" s="900" t="s">
        <v>63</v>
      </c>
    </row>
    <row r="2814" spans="1:20">
      <c r="A2814" s="922"/>
      <c r="B2814" s="687">
        <v>20250714</v>
      </c>
      <c r="C2814" s="153">
        <v>7.17</v>
      </c>
      <c r="D2814" s="687" t="s">
        <v>1125</v>
      </c>
      <c r="E2814" s="687" t="s">
        <v>1126</v>
      </c>
      <c r="F2814" s="923"/>
      <c r="G2814" s="153"/>
      <c r="H2814" s="924"/>
      <c r="I2814" s="153"/>
      <c r="J2814" s="843"/>
      <c r="K2814" s="153"/>
      <c r="L2814" s="727"/>
      <c r="M2814" s="154"/>
      <c r="N2814" s="727">
        <v>0.229570111452586</v>
      </c>
      <c r="O2814" s="154">
        <v>0.75549537005912</v>
      </c>
      <c r="P2814" s="727"/>
      <c r="Q2814" s="795">
        <v>0.2</v>
      </c>
      <c r="R2814" s="727">
        <v>1.18506548151171</v>
      </c>
      <c r="S2814" s="900"/>
      <c r="T2814" s="900"/>
    </row>
    <row r="2817" ht="15.6" spans="1:20">
      <c r="A2817" s="11" t="s">
        <v>8377</v>
      </c>
      <c r="B2817" s="11"/>
      <c r="C2817" s="14"/>
      <c r="D2817" s="11"/>
      <c r="E2817" s="127"/>
      <c r="F2817" s="127"/>
      <c r="G2817" s="13"/>
      <c r="H2817" s="14"/>
      <c r="I2817" s="14"/>
      <c r="J2817" s="128"/>
      <c r="K2817" s="913" t="s">
        <v>712</v>
      </c>
      <c r="L2817" s="913" t="s">
        <v>712</v>
      </c>
      <c r="M2817" s="914"/>
      <c r="N2817" s="867"/>
      <c r="O2817" s="867"/>
      <c r="P2817" s="13"/>
      <c r="Q2817" s="130"/>
      <c r="R2817" s="130"/>
      <c r="S2817" s="12"/>
      <c r="T2817" s="131"/>
    </row>
    <row r="2818" ht="15.6" spans="1:20">
      <c r="A2818" s="132" t="s">
        <v>1490</v>
      </c>
      <c r="B2818" s="17" t="s">
        <v>1492</v>
      </c>
      <c r="C2818" s="773" t="s">
        <v>3</v>
      </c>
      <c r="D2818" s="17" t="s">
        <v>4100</v>
      </c>
      <c r="E2818" s="18" t="s">
        <v>5</v>
      </c>
      <c r="F2818" s="121" t="s">
        <v>1933</v>
      </c>
      <c r="G2818" s="18" t="s">
        <v>4102</v>
      </c>
      <c r="H2818" s="18" t="s">
        <v>1910</v>
      </c>
      <c r="I2818" s="18" t="s">
        <v>1497</v>
      </c>
      <c r="J2818" s="18" t="s">
        <v>4102</v>
      </c>
      <c r="K2818" s="18" t="s">
        <v>4103</v>
      </c>
      <c r="L2818" s="18" t="s">
        <v>4104</v>
      </c>
      <c r="M2818" s="18" t="s">
        <v>1497</v>
      </c>
      <c r="N2818" s="18" t="s">
        <v>6</v>
      </c>
      <c r="O2818" s="18" t="s">
        <v>7</v>
      </c>
      <c r="P2818" s="18" t="s">
        <v>5672</v>
      </c>
      <c r="Q2818" s="18" t="s">
        <v>8</v>
      </c>
      <c r="R2818" s="18" t="s">
        <v>9</v>
      </c>
      <c r="S2818" s="18" t="s">
        <v>4105</v>
      </c>
      <c r="T2818" s="18" t="s">
        <v>4106</v>
      </c>
    </row>
    <row r="2819" spans="1:20">
      <c r="A2819" s="333"/>
      <c r="B2819" s="23">
        <v>20250618</v>
      </c>
      <c r="C2819" s="23">
        <v>7.17</v>
      </c>
      <c r="D2819" s="23" t="s">
        <v>214</v>
      </c>
      <c r="E2819" s="23" t="s">
        <v>215</v>
      </c>
      <c r="F2819" s="23"/>
      <c r="G2819" s="21"/>
      <c r="H2819" s="21"/>
      <c r="I2819" s="21"/>
      <c r="J2819" s="36"/>
      <c r="K2819" s="36"/>
      <c r="L2819" s="36"/>
      <c r="M2819" s="36"/>
      <c r="N2819" s="22">
        <v>0.356697646289234</v>
      </c>
      <c r="O2819" s="22">
        <v>1.36450096525987</v>
      </c>
      <c r="P2819" s="21"/>
      <c r="Q2819" s="37">
        <v>0.2</v>
      </c>
      <c r="R2819" s="37">
        <f>SUM(J2819:Q2819)</f>
        <v>1.9211986115491</v>
      </c>
      <c r="S2819" s="38"/>
      <c r="T2819" s="23" t="s">
        <v>63</v>
      </c>
    </row>
    <row r="2826" ht="15.6" spans="1:20">
      <c r="A2826" s="11" t="s">
        <v>8377</v>
      </c>
      <c r="B2826" s="11"/>
      <c r="C2826" s="11"/>
      <c r="D2826" s="11"/>
      <c r="E2826" s="127"/>
      <c r="F2826" s="127"/>
      <c r="G2826" s="13"/>
      <c r="H2826" s="14"/>
      <c r="I2826" s="14"/>
      <c r="J2826" s="128"/>
      <c r="K2826" s="913" t="s">
        <v>712</v>
      </c>
      <c r="L2826" s="913" t="s">
        <v>712</v>
      </c>
      <c r="M2826" s="914"/>
      <c r="N2826" s="867"/>
      <c r="O2826" s="867"/>
      <c r="P2826" s="13"/>
      <c r="Q2826" s="130"/>
      <c r="R2826" s="130"/>
      <c r="S2826" s="12"/>
      <c r="T2826" s="131"/>
    </row>
    <row r="2827" ht="15.6" spans="1:20">
      <c r="A2827" s="132" t="s">
        <v>1490</v>
      </c>
      <c r="B2827" s="17" t="s">
        <v>1492</v>
      </c>
      <c r="C2827" s="754" t="s">
        <v>1404</v>
      </c>
      <c r="D2827" s="17" t="s">
        <v>4100</v>
      </c>
      <c r="E2827" s="18" t="s">
        <v>5</v>
      </c>
      <c r="F2827" s="121" t="s">
        <v>1933</v>
      </c>
      <c r="G2827" s="18" t="s">
        <v>4102</v>
      </c>
      <c r="H2827" s="18" t="s">
        <v>1910</v>
      </c>
      <c r="I2827" s="18" t="s">
        <v>1497</v>
      </c>
      <c r="J2827" s="18" t="s">
        <v>4102</v>
      </c>
      <c r="K2827" s="18" t="s">
        <v>4103</v>
      </c>
      <c r="L2827" s="18" t="s">
        <v>4104</v>
      </c>
      <c r="M2827" s="18" t="s">
        <v>1497</v>
      </c>
      <c r="N2827" s="18" t="s">
        <v>6</v>
      </c>
      <c r="O2827" s="18" t="s">
        <v>7</v>
      </c>
      <c r="P2827" s="18" t="s">
        <v>5672</v>
      </c>
      <c r="Q2827" s="18" t="s">
        <v>8</v>
      </c>
      <c r="R2827" s="18" t="s">
        <v>9</v>
      </c>
      <c r="S2827" s="18" t="s">
        <v>4105</v>
      </c>
      <c r="T2827" s="18" t="s">
        <v>4106</v>
      </c>
    </row>
    <row r="2828" s="177" customFormat="1" spans="1:20">
      <c r="A2828" s="20" t="s">
        <v>1181</v>
      </c>
      <c r="B2828" s="687">
        <v>20250718</v>
      </c>
      <c r="C2828" s="687">
        <v>7.17</v>
      </c>
      <c r="D2828" s="23" t="s">
        <v>8384</v>
      </c>
      <c r="E2828" s="23" t="s">
        <v>2306</v>
      </c>
      <c r="F2828" s="750" t="s">
        <v>4457</v>
      </c>
      <c r="G2828" s="21" t="s">
        <v>2680</v>
      </c>
      <c r="H2828" s="21" t="s">
        <v>4174</v>
      </c>
      <c r="I2828" s="21" t="s">
        <v>1635</v>
      </c>
      <c r="J2828" s="700">
        <v>245</v>
      </c>
      <c r="K2828" s="699" t="s">
        <v>8385</v>
      </c>
      <c r="L2828" s="21"/>
      <c r="M2828" s="21">
        <v>3.1</v>
      </c>
      <c r="N2828" s="37">
        <v>3.22385554362449</v>
      </c>
      <c r="O2828" s="37">
        <v>16.7432492780964</v>
      </c>
      <c r="P2828" s="37"/>
      <c r="Q2828" s="37">
        <v>3</v>
      </c>
      <c r="R2828" s="37">
        <f>SUM(J2828:Q2828)</f>
        <v>271.067104821721</v>
      </c>
      <c r="S2828" s="38" t="s">
        <v>4478</v>
      </c>
      <c r="T2828" s="760" t="s">
        <v>2733</v>
      </c>
    </row>
    <row r="2829" s="177" customFormat="1" spans="1:20">
      <c r="A2829" s="20" t="s">
        <v>1181</v>
      </c>
      <c r="B2829" s="687">
        <v>20250718</v>
      </c>
      <c r="C2829" s="687">
        <v>7.17</v>
      </c>
      <c r="D2829" s="23" t="s">
        <v>8386</v>
      </c>
      <c r="E2829" s="23" t="s">
        <v>2431</v>
      </c>
      <c r="F2829" s="750" t="s">
        <v>4457</v>
      </c>
      <c r="G2829" s="21" t="s">
        <v>2680</v>
      </c>
      <c r="H2829" s="21" t="s">
        <v>4174</v>
      </c>
      <c r="I2829" s="21" t="s">
        <v>1635</v>
      </c>
      <c r="J2829" s="700">
        <v>245</v>
      </c>
      <c r="K2829" s="699">
        <v>24</v>
      </c>
      <c r="L2829" s="21"/>
      <c r="M2829" s="21">
        <v>3.1</v>
      </c>
      <c r="N2829" s="37">
        <v>3.22385554362449</v>
      </c>
      <c r="O2829" s="37">
        <v>16.7432492780964</v>
      </c>
      <c r="P2829" s="37"/>
      <c r="Q2829" s="37">
        <v>3</v>
      </c>
      <c r="R2829" s="37">
        <f>SUM(J2829:Q2829)</f>
        <v>295.067104821721</v>
      </c>
      <c r="S2829" s="38" t="s">
        <v>4478</v>
      </c>
      <c r="T2829" s="760" t="s">
        <v>2735</v>
      </c>
    </row>
    <row r="2832" ht="15.6" spans="1:20">
      <c r="A2832" s="11" t="s">
        <v>8377</v>
      </c>
      <c r="B2832" s="11"/>
      <c r="C2832" s="11"/>
      <c r="D2832" s="11"/>
      <c r="E2832" s="127"/>
      <c r="F2832" s="127"/>
      <c r="G2832" s="13"/>
      <c r="H2832" s="14"/>
      <c r="I2832" s="14"/>
      <c r="J2832" s="128"/>
      <c r="K2832" s="913" t="s">
        <v>712</v>
      </c>
      <c r="L2832" s="913" t="s">
        <v>712</v>
      </c>
      <c r="M2832" s="914"/>
      <c r="N2832" s="867"/>
      <c r="O2832" s="867"/>
      <c r="P2832" s="13"/>
      <c r="Q2832" s="130"/>
      <c r="R2832" s="130"/>
      <c r="S2832" s="12"/>
      <c r="T2832" s="131"/>
    </row>
    <row r="2833" ht="15.6" spans="1:20">
      <c r="A2833" s="132" t="s">
        <v>1490</v>
      </c>
      <c r="B2833" s="17" t="s">
        <v>1492</v>
      </c>
      <c r="C2833" s="754" t="s">
        <v>1404</v>
      </c>
      <c r="D2833" s="17" t="s">
        <v>4100</v>
      </c>
      <c r="E2833" s="18" t="s">
        <v>5</v>
      </c>
      <c r="F2833" s="121" t="s">
        <v>1933</v>
      </c>
      <c r="G2833" s="18" t="s">
        <v>4102</v>
      </c>
      <c r="H2833" s="18" t="s">
        <v>1910</v>
      </c>
      <c r="I2833" s="18" t="s">
        <v>1497</v>
      </c>
      <c r="J2833" s="18" t="s">
        <v>4102</v>
      </c>
      <c r="K2833" s="18" t="s">
        <v>4103</v>
      </c>
      <c r="L2833" s="18" t="s">
        <v>4104</v>
      </c>
      <c r="M2833" s="18" t="s">
        <v>1497</v>
      </c>
      <c r="N2833" s="18" t="s">
        <v>6</v>
      </c>
      <c r="O2833" s="18" t="s">
        <v>7</v>
      </c>
      <c r="P2833" s="18" t="s">
        <v>5672</v>
      </c>
      <c r="Q2833" s="18" t="s">
        <v>8</v>
      </c>
      <c r="R2833" s="18" t="s">
        <v>9</v>
      </c>
      <c r="S2833" s="18" t="s">
        <v>4105</v>
      </c>
      <c r="T2833" s="18" t="s">
        <v>4106</v>
      </c>
    </row>
    <row r="2834" s="177" customFormat="1" ht="15" spans="1:20">
      <c r="A2834" s="20" t="s">
        <v>1181</v>
      </c>
      <c r="B2834" s="687">
        <v>20250722</v>
      </c>
      <c r="C2834" s="687">
        <v>7.17</v>
      </c>
      <c r="D2834" s="23" t="s">
        <v>2724</v>
      </c>
      <c r="E2834" s="23" t="s">
        <v>2427</v>
      </c>
      <c r="F2834" s="750" t="s">
        <v>4457</v>
      </c>
      <c r="G2834" s="21" t="s">
        <v>2695</v>
      </c>
      <c r="H2834" s="21" t="s">
        <v>4248</v>
      </c>
      <c r="I2834" s="21" t="s">
        <v>1567</v>
      </c>
      <c r="J2834" s="700">
        <v>240</v>
      </c>
      <c r="K2834" s="699">
        <f>14*4</f>
        <v>56</v>
      </c>
      <c r="L2834" s="21"/>
      <c r="M2834" s="21">
        <v>7.9</v>
      </c>
      <c r="N2834" s="37">
        <f>26.12/C2834/1.13</f>
        <v>3.22385554362449</v>
      </c>
      <c r="O2834" s="37">
        <v>13.8485654408394</v>
      </c>
      <c r="P2834" s="37"/>
      <c r="Q2834" s="37">
        <v>3</v>
      </c>
      <c r="R2834" s="37">
        <f>SUM(J2834:Q2834)</f>
        <v>323.972420984464</v>
      </c>
      <c r="S2834" s="38" t="s">
        <v>3984</v>
      </c>
      <c r="T2834" s="760" t="s">
        <v>2725</v>
      </c>
    </row>
    <row r="2835" s="177" customFormat="1" spans="1:20">
      <c r="A2835" s="20"/>
      <c r="B2835" s="687">
        <v>20241113</v>
      </c>
      <c r="C2835" s="687">
        <v>7.17</v>
      </c>
      <c r="D2835" s="23" t="s">
        <v>184</v>
      </c>
      <c r="E2835" s="23" t="s">
        <v>185</v>
      </c>
      <c r="F2835" s="750"/>
      <c r="G2835" s="21"/>
      <c r="H2835" s="21"/>
      <c r="I2835" s="21"/>
      <c r="J2835" s="700"/>
      <c r="K2835" s="699"/>
      <c r="L2835" s="21"/>
      <c r="M2835" s="21"/>
      <c r="N2835" s="37">
        <v>0.433015473068939</v>
      </c>
      <c r="O2835" s="37">
        <v>1.39451249157827</v>
      </c>
      <c r="P2835" s="37"/>
      <c r="Q2835" s="37">
        <v>0.2</v>
      </c>
      <c r="R2835" s="37">
        <f>SUM(J2835:Q2835)</f>
        <v>2.02752796464721</v>
      </c>
      <c r="S2835" s="38"/>
      <c r="T2835" s="760" t="s">
        <v>186</v>
      </c>
    </row>
    <row r="2843" ht="15.6" spans="1:20">
      <c r="A2843" s="801" t="s">
        <v>8324</v>
      </c>
      <c r="B2843" s="718"/>
      <c r="C2843" s="718"/>
      <c r="D2843" s="718"/>
      <c r="E2843" s="127"/>
      <c r="F2843" s="127"/>
      <c r="G2843" s="13"/>
      <c r="H2843" s="14"/>
      <c r="I2843" s="14"/>
      <c r="J2843" s="128"/>
      <c r="K2843" s="919" t="s">
        <v>712</v>
      </c>
      <c r="L2843" s="919" t="s">
        <v>712</v>
      </c>
      <c r="M2843" s="128"/>
      <c r="N2843" s="866"/>
      <c r="O2843" s="867"/>
      <c r="P2843" s="868"/>
      <c r="Q2843" s="869"/>
      <c r="R2843" s="130"/>
      <c r="S2843" s="12"/>
      <c r="T2843" s="131"/>
    </row>
    <row r="2844" ht="15.6" spans="1:20">
      <c r="A2844" s="132" t="s">
        <v>1490</v>
      </c>
      <c r="B2844" s="17" t="s">
        <v>1492</v>
      </c>
      <c r="C2844" s="754" t="s">
        <v>1404</v>
      </c>
      <c r="D2844" s="164" t="s">
        <v>1494</v>
      </c>
      <c r="E2844" s="18" t="s">
        <v>5</v>
      </c>
      <c r="F2844" s="18" t="s">
        <v>1933</v>
      </c>
      <c r="G2844" s="18" t="s">
        <v>4102</v>
      </c>
      <c r="H2844" s="18" t="s">
        <v>1910</v>
      </c>
      <c r="I2844" s="18" t="s">
        <v>1497</v>
      </c>
      <c r="J2844" s="18" t="s">
        <v>4102</v>
      </c>
      <c r="K2844" s="18" t="s">
        <v>4103</v>
      </c>
      <c r="L2844" s="18" t="s">
        <v>4104</v>
      </c>
      <c r="M2844" s="18" t="s">
        <v>1497</v>
      </c>
      <c r="N2844" s="18" t="s">
        <v>6</v>
      </c>
      <c r="O2844" s="18" t="s">
        <v>7</v>
      </c>
      <c r="P2844" s="18" t="s">
        <v>5672</v>
      </c>
      <c r="Q2844" s="18" t="s">
        <v>8</v>
      </c>
      <c r="R2844" s="18" t="s">
        <v>9</v>
      </c>
      <c r="S2844" s="18" t="s">
        <v>4105</v>
      </c>
      <c r="T2844" s="18" t="s">
        <v>4106</v>
      </c>
    </row>
    <row r="2845" s="177" customFormat="1" ht="15" spans="1:20">
      <c r="A2845" s="20" t="s">
        <v>3547</v>
      </c>
      <c r="B2845" s="23">
        <v>20241115</v>
      </c>
      <c r="C2845" s="153">
        <v>7.17</v>
      </c>
      <c r="D2845" s="23" t="s">
        <v>3605</v>
      </c>
      <c r="E2845" s="20" t="s">
        <v>2325</v>
      </c>
      <c r="F2845" s="729" t="s">
        <v>3599</v>
      </c>
      <c r="G2845" s="21" t="s">
        <v>3542</v>
      </c>
      <c r="H2845" s="21" t="s">
        <v>1913</v>
      </c>
      <c r="I2845" s="21" t="s">
        <v>1428</v>
      </c>
      <c r="J2845" s="138" t="s">
        <v>3513</v>
      </c>
      <c r="K2845" s="21" t="s">
        <v>1428</v>
      </c>
      <c r="L2845" s="21" t="s">
        <v>1428</v>
      </c>
      <c r="M2845" s="21" t="s">
        <v>1428</v>
      </c>
      <c r="N2845" s="37">
        <f>25.7/C2845/1.13</f>
        <v>3.17201713136101</v>
      </c>
      <c r="O2845" s="22">
        <v>10.3732494648623</v>
      </c>
      <c r="P2845" s="840"/>
      <c r="Q2845" s="37">
        <v>2.60426309228472</v>
      </c>
      <c r="R2845" s="22">
        <f>SUM(J2845:Q2845)</f>
        <v>16.149529688508</v>
      </c>
      <c r="S2845" s="166" t="s">
        <v>1526</v>
      </c>
      <c r="T2845" s="879" t="s">
        <v>3606</v>
      </c>
    </row>
    <row r="2846" s="177" customFormat="1" ht="15" spans="1:20">
      <c r="A2846" s="20" t="s">
        <v>19</v>
      </c>
      <c r="B2846" s="687">
        <v>20241016</v>
      </c>
      <c r="C2846" s="687">
        <v>7.17</v>
      </c>
      <c r="D2846" s="23" t="s">
        <v>172</v>
      </c>
      <c r="E2846" s="23" t="s">
        <v>173</v>
      </c>
      <c r="F2846" s="750"/>
      <c r="G2846" s="21"/>
      <c r="H2846" s="21"/>
      <c r="I2846" s="21"/>
      <c r="J2846" s="700"/>
      <c r="K2846" s="699"/>
      <c r="L2846" s="21"/>
      <c r="M2846" s="21"/>
      <c r="N2846" s="37">
        <v>0.481230897788576</v>
      </c>
      <c r="O2846" s="37">
        <v>3.98917873773985</v>
      </c>
      <c r="P2846" s="37" t="s">
        <v>1428</v>
      </c>
      <c r="Q2846" s="37">
        <v>0.4</v>
      </c>
      <c r="R2846" s="37">
        <v>4.87040963552843</v>
      </c>
      <c r="S2846" s="38"/>
      <c r="T2846" s="760" t="s">
        <v>2845</v>
      </c>
    </row>
    <row r="2849" ht="15.6" spans="1:20">
      <c r="A2849" s="801" t="s">
        <v>8324</v>
      </c>
      <c r="B2849" s="718"/>
      <c r="C2849" s="718"/>
      <c r="D2849" s="718"/>
      <c r="E2849" s="127"/>
      <c r="F2849" s="127"/>
      <c r="G2849" s="13"/>
      <c r="H2849" s="14"/>
      <c r="I2849" s="14"/>
      <c r="J2849" s="128"/>
      <c r="K2849" s="919" t="s">
        <v>712</v>
      </c>
      <c r="L2849" s="919" t="s">
        <v>712</v>
      </c>
      <c r="M2849" s="128"/>
      <c r="N2849" s="866"/>
      <c r="O2849" s="867"/>
      <c r="P2849" s="868"/>
      <c r="Q2849" s="869"/>
      <c r="R2849" s="130"/>
      <c r="S2849" s="12"/>
      <c r="T2849" s="131"/>
    </row>
    <row r="2850" ht="15.6" spans="1:20">
      <c r="A2850" s="132" t="s">
        <v>1490</v>
      </c>
      <c r="B2850" s="17" t="s">
        <v>1492</v>
      </c>
      <c r="C2850" s="754" t="s">
        <v>1404</v>
      </c>
      <c r="D2850" s="164" t="s">
        <v>1494</v>
      </c>
      <c r="E2850" s="18" t="s">
        <v>5</v>
      </c>
      <c r="F2850" s="18" t="s">
        <v>1933</v>
      </c>
      <c r="G2850" s="18" t="s">
        <v>4102</v>
      </c>
      <c r="H2850" s="18" t="s">
        <v>1910</v>
      </c>
      <c r="I2850" s="18" t="s">
        <v>1497</v>
      </c>
      <c r="J2850" s="18" t="s">
        <v>4102</v>
      </c>
      <c r="K2850" s="18" t="s">
        <v>4103</v>
      </c>
      <c r="L2850" s="18" t="s">
        <v>4104</v>
      </c>
      <c r="M2850" s="18" t="s">
        <v>1497</v>
      </c>
      <c r="N2850" s="18" t="s">
        <v>6</v>
      </c>
      <c r="O2850" s="18" t="s">
        <v>7</v>
      </c>
      <c r="P2850" s="18" t="s">
        <v>5672</v>
      </c>
      <c r="Q2850" s="18" t="s">
        <v>8</v>
      </c>
      <c r="R2850" s="18" t="s">
        <v>9</v>
      </c>
      <c r="S2850" s="18" t="s">
        <v>4105</v>
      </c>
      <c r="T2850" s="18" t="s">
        <v>4106</v>
      </c>
    </row>
    <row r="2851" ht="14.4" spans="1:20">
      <c r="A2851" s="333" t="s">
        <v>4473</v>
      </c>
      <c r="B2851" s="23">
        <v>20250630</v>
      </c>
      <c r="C2851" s="23"/>
      <c r="D2851" s="926" t="s">
        <v>4476</v>
      </c>
      <c r="E2851" s="35" t="s">
        <v>1565</v>
      </c>
      <c r="F2851" s="750" t="s">
        <v>4477</v>
      </c>
      <c r="G2851" s="798" t="s">
        <v>2692</v>
      </c>
      <c r="H2851" s="21" t="s">
        <v>4174</v>
      </c>
      <c r="I2851" s="21" t="s">
        <v>1567</v>
      </c>
      <c r="J2851" s="700">
        <v>150</v>
      </c>
      <c r="K2851" s="138" t="s">
        <v>712</v>
      </c>
      <c r="L2851" s="21"/>
      <c r="M2851" s="21">
        <v>7.9</v>
      </c>
      <c r="N2851" s="37">
        <v>4.86417101739055</v>
      </c>
      <c r="O2851" s="37">
        <v>15.7632090862332</v>
      </c>
      <c r="P2851" s="37"/>
      <c r="Q2851" s="37">
        <v>4</v>
      </c>
      <c r="R2851" s="37">
        <f>SUM(J2851:Q2851)</f>
        <v>182.527380103624</v>
      </c>
      <c r="S2851" s="38" t="s">
        <v>4478</v>
      </c>
      <c r="T2851" s="760" t="s">
        <v>4479</v>
      </c>
    </row>
    <row r="2852" spans="1:20">
      <c r="A2852" s="333"/>
      <c r="B2852" s="777">
        <v>20250102</v>
      </c>
      <c r="C2852" s="23">
        <v>7.17</v>
      </c>
      <c r="D2852" s="777" t="s">
        <v>775</v>
      </c>
      <c r="E2852" s="777" t="s">
        <v>776</v>
      </c>
      <c r="F2852" s="39"/>
      <c r="G2852" s="21"/>
      <c r="H2852" s="21"/>
      <c r="I2852" s="21"/>
      <c r="J2852" s="779"/>
      <c r="K2852" s="779"/>
      <c r="L2852" s="779"/>
      <c r="M2852" s="779"/>
      <c r="N2852" s="22">
        <v>0.130830278569754</v>
      </c>
      <c r="O2852" s="22">
        <v>0.240384591649079</v>
      </c>
      <c r="P2852" s="21"/>
      <c r="Q2852" s="37">
        <v>0.2</v>
      </c>
      <c r="R2852" s="37">
        <f>SUM(J2852:Q2852)</f>
        <v>0.571214870218832</v>
      </c>
      <c r="S2852" s="23"/>
      <c r="T2852" s="39"/>
    </row>
    <row r="2858" ht="15.6" spans="1:20">
      <c r="A2858" s="801" t="s">
        <v>8324</v>
      </c>
      <c r="B2858" s="718"/>
      <c r="C2858" s="718"/>
      <c r="D2858" s="718"/>
      <c r="E2858" s="127"/>
      <c r="F2858" s="127"/>
      <c r="G2858" s="13"/>
      <c r="H2858" s="14"/>
      <c r="I2858" s="14"/>
      <c r="J2858" s="128"/>
      <c r="K2858" s="919" t="s">
        <v>712</v>
      </c>
      <c r="L2858" s="919" t="s">
        <v>712</v>
      </c>
      <c r="M2858" s="128"/>
      <c r="N2858" s="866"/>
      <c r="O2858" s="867"/>
      <c r="P2858" s="868"/>
      <c r="Q2858" s="869"/>
      <c r="R2858" s="130"/>
      <c r="S2858" s="12"/>
      <c r="T2858" s="131"/>
    </row>
    <row r="2859" ht="15.6" spans="1:20">
      <c r="A2859" s="132" t="s">
        <v>1490</v>
      </c>
      <c r="B2859" s="17" t="s">
        <v>1492</v>
      </c>
      <c r="C2859" s="754" t="s">
        <v>1404</v>
      </c>
      <c r="D2859" s="164" t="s">
        <v>1494</v>
      </c>
      <c r="E2859" s="18" t="s">
        <v>5</v>
      </c>
      <c r="F2859" s="18" t="s">
        <v>1933</v>
      </c>
      <c r="G2859" s="18" t="s">
        <v>4102</v>
      </c>
      <c r="H2859" s="18" t="s">
        <v>1910</v>
      </c>
      <c r="I2859" s="18" t="s">
        <v>1497</v>
      </c>
      <c r="J2859" s="18" t="s">
        <v>4102</v>
      </c>
      <c r="K2859" s="18" t="s">
        <v>4103</v>
      </c>
      <c r="L2859" s="18" t="s">
        <v>4104</v>
      </c>
      <c r="M2859" s="18" t="s">
        <v>1497</v>
      </c>
      <c r="N2859" s="18" t="s">
        <v>6</v>
      </c>
      <c r="O2859" s="18" t="s">
        <v>7</v>
      </c>
      <c r="P2859" s="18" t="s">
        <v>5672</v>
      </c>
      <c r="Q2859" s="18" t="s">
        <v>8</v>
      </c>
      <c r="R2859" s="18" t="s">
        <v>9</v>
      </c>
      <c r="S2859" s="18" t="s">
        <v>4105</v>
      </c>
      <c r="T2859" s="18" t="s">
        <v>4106</v>
      </c>
    </row>
    <row r="2860" ht="15" spans="1:20">
      <c r="A2860" s="182" t="s">
        <v>3547</v>
      </c>
      <c r="B2860" s="23">
        <v>20250704</v>
      </c>
      <c r="C2860" s="21">
        <v>7.17</v>
      </c>
      <c r="D2860" s="927" t="s">
        <v>3617</v>
      </c>
      <c r="E2860" s="20" t="s">
        <v>2329</v>
      </c>
      <c r="F2860" s="928" t="s">
        <v>3610</v>
      </c>
      <c r="G2860" s="21" t="s">
        <v>3457</v>
      </c>
      <c r="H2860" s="21" t="s">
        <v>1913</v>
      </c>
      <c r="I2860" s="21" t="s">
        <v>1428</v>
      </c>
      <c r="J2860" s="699" t="s">
        <v>712</v>
      </c>
      <c r="K2860" s="21" t="s">
        <v>1428</v>
      </c>
      <c r="L2860" s="21" t="s">
        <v>1428</v>
      </c>
      <c r="M2860" s="21" t="s">
        <v>1428</v>
      </c>
      <c r="N2860" s="37">
        <f>25.7/C2860/1.13</f>
        <v>3.17201713136101</v>
      </c>
      <c r="O2860" s="22">
        <v>10.8824759811753</v>
      </c>
      <c r="P2860" s="840"/>
      <c r="Q2860" s="37">
        <v>2.60426309228472</v>
      </c>
      <c r="R2860" s="22">
        <f>SUM(J2860:Q2860)</f>
        <v>16.658756204821</v>
      </c>
      <c r="S2860" s="166" t="s">
        <v>1526</v>
      </c>
      <c r="T2860" s="879" t="s">
        <v>3618</v>
      </c>
    </row>
    <row r="2861" ht="15" spans="1:20">
      <c r="B2861" s="23">
        <v>20250423</v>
      </c>
      <c r="C2861" s="153">
        <v>7.17</v>
      </c>
      <c r="D2861" s="23" t="s">
        <v>789</v>
      </c>
      <c r="E2861" s="20" t="s">
        <v>3621</v>
      </c>
      <c r="F2861" s="729"/>
      <c r="G2861" s="21"/>
      <c r="H2861" s="21"/>
      <c r="I2861" s="21"/>
      <c r="J2861" s="21"/>
      <c r="K2861" s="21"/>
      <c r="L2861" s="21"/>
      <c r="M2861" s="21"/>
      <c r="N2861" s="37">
        <v>0.433345238736107</v>
      </c>
      <c r="O2861" s="22">
        <v>1.04324591624309</v>
      </c>
      <c r="P2861" s="21"/>
      <c r="Q2861" s="37">
        <v>0.2</v>
      </c>
      <c r="R2861" s="22">
        <f>SUM(J2861:Q2861)</f>
        <v>1.6765911549792</v>
      </c>
      <c r="S2861" s="38"/>
      <c r="T2861" s="23"/>
    </row>
    <row r="2867" ht="15.6" spans="1:20">
      <c r="A2867" s="801" t="s">
        <v>8324</v>
      </c>
      <c r="B2867" s="718"/>
      <c r="C2867" s="718"/>
      <c r="D2867" s="718"/>
      <c r="E2867" s="127"/>
      <c r="F2867" s="127"/>
      <c r="G2867" s="13"/>
      <c r="H2867" s="14"/>
      <c r="I2867" s="14"/>
      <c r="J2867" s="128"/>
      <c r="K2867" s="919" t="s">
        <v>712</v>
      </c>
      <c r="L2867" s="919" t="s">
        <v>712</v>
      </c>
      <c r="M2867" s="128"/>
      <c r="N2867" s="866"/>
      <c r="O2867" s="867"/>
      <c r="P2867" s="868"/>
      <c r="Q2867" s="869"/>
      <c r="R2867" s="130"/>
      <c r="S2867" s="12"/>
      <c r="T2867" s="131"/>
    </row>
    <row r="2868" ht="15.6" spans="1:20">
      <c r="A2868" s="132" t="s">
        <v>1490</v>
      </c>
      <c r="B2868" s="17" t="s">
        <v>1492</v>
      </c>
      <c r="C2868" s="773" t="s">
        <v>3</v>
      </c>
      <c r="D2868" s="164" t="s">
        <v>1494</v>
      </c>
      <c r="E2868" s="18" t="s">
        <v>5</v>
      </c>
      <c r="F2868" s="18" t="s">
        <v>1933</v>
      </c>
      <c r="G2868" s="18" t="s">
        <v>4102</v>
      </c>
      <c r="H2868" s="18" t="s">
        <v>1910</v>
      </c>
      <c r="I2868" s="18" t="s">
        <v>1497</v>
      </c>
      <c r="J2868" s="18" t="s">
        <v>4102</v>
      </c>
      <c r="K2868" s="18" t="s">
        <v>4103</v>
      </c>
      <c r="L2868" s="18" t="s">
        <v>4104</v>
      </c>
      <c r="M2868" s="18" t="s">
        <v>1497</v>
      </c>
      <c r="N2868" s="18" t="s">
        <v>6</v>
      </c>
      <c r="O2868" s="18" t="s">
        <v>7</v>
      </c>
      <c r="P2868" s="18" t="s">
        <v>5672</v>
      </c>
      <c r="Q2868" s="18" t="s">
        <v>8</v>
      </c>
      <c r="R2868" s="18" t="s">
        <v>9</v>
      </c>
      <c r="S2868" s="18" t="s">
        <v>4105</v>
      </c>
      <c r="T2868" s="18" t="s">
        <v>4106</v>
      </c>
    </row>
    <row r="2869" ht="15" spans="1:20">
      <c r="A2869" s="812" t="s">
        <v>7502</v>
      </c>
      <c r="B2869" s="23">
        <v>20250627</v>
      </c>
      <c r="C2869" s="23">
        <v>7.19</v>
      </c>
      <c r="D2869" s="929" t="s">
        <v>8311</v>
      </c>
      <c r="E2869" s="20" t="s">
        <v>8312</v>
      </c>
      <c r="F2869" s="768" t="s">
        <v>2801</v>
      </c>
      <c r="G2869" s="690" t="s">
        <v>8387</v>
      </c>
      <c r="H2869" s="21" t="s">
        <v>1913</v>
      </c>
      <c r="I2869" s="21"/>
      <c r="J2869" s="731">
        <v>125</v>
      </c>
      <c r="K2869" s="21"/>
      <c r="L2869" s="21"/>
      <c r="M2869" s="21"/>
      <c r="N2869" s="22">
        <v>5.89067904045688</v>
      </c>
      <c r="O2869" s="22">
        <v>14.7456013321359</v>
      </c>
      <c r="P2869" s="37"/>
      <c r="Q2869" s="37">
        <v>3.14632482758621</v>
      </c>
      <c r="R2869" s="37">
        <v>148.782605200179</v>
      </c>
      <c r="S2869" s="167" t="s">
        <v>1526</v>
      </c>
      <c r="T2869" s="167" t="s">
        <v>8388</v>
      </c>
    </row>
    <row r="2870" ht="15" spans="1:20">
      <c r="A2870" s="333"/>
      <c r="B2870" s="23">
        <v>20250516</v>
      </c>
      <c r="C2870" s="23">
        <v>7.19</v>
      </c>
      <c r="D2870" s="23"/>
      <c r="E2870" s="20" t="s">
        <v>84</v>
      </c>
      <c r="F2870" s="20"/>
      <c r="G2870" s="690"/>
      <c r="H2870" s="21"/>
      <c r="I2870" s="21"/>
      <c r="J2870" s="690"/>
      <c r="K2870" s="21"/>
      <c r="L2870" s="21"/>
      <c r="M2870" s="21"/>
      <c r="N2870" s="37">
        <v>0.430186823992134</v>
      </c>
      <c r="O2870" s="22">
        <v>3.16456055927237</v>
      </c>
      <c r="P2870" s="37" t="s">
        <v>1428</v>
      </c>
      <c r="Q2870" s="37">
        <v>0.4</v>
      </c>
      <c r="R2870" s="37">
        <f>SUM(J2870:Q2870)</f>
        <v>3.9947473832645</v>
      </c>
      <c r="S2870" s="23"/>
      <c r="T2870" s="167" t="s">
        <v>8190</v>
      </c>
    </row>
    <row r="2876" ht="15.6" spans="1:20">
      <c r="A2876" s="801" t="s">
        <v>8324</v>
      </c>
      <c r="B2876" s="718"/>
      <c r="C2876" s="718"/>
      <c r="D2876" s="718"/>
      <c r="E2876" s="127"/>
      <c r="F2876" s="127"/>
      <c r="G2876" s="13"/>
      <c r="H2876" s="14"/>
      <c r="I2876" s="14"/>
      <c r="J2876" s="128"/>
      <c r="K2876" s="919" t="s">
        <v>712</v>
      </c>
      <c r="L2876" s="919" t="s">
        <v>712</v>
      </c>
      <c r="M2876" s="128"/>
      <c r="N2876" s="866"/>
      <c r="O2876" s="867"/>
      <c r="P2876" s="868"/>
      <c r="Q2876" s="869"/>
      <c r="R2876" s="130"/>
      <c r="S2876" s="12"/>
      <c r="T2876" s="131"/>
    </row>
    <row r="2877" ht="15.6" spans="1:20">
      <c r="A2877" s="132" t="s">
        <v>1490</v>
      </c>
      <c r="B2877" s="17" t="s">
        <v>1492</v>
      </c>
      <c r="C2877" s="773" t="s">
        <v>3</v>
      </c>
      <c r="D2877" s="164" t="s">
        <v>1494</v>
      </c>
      <c r="E2877" s="18" t="s">
        <v>5</v>
      </c>
      <c r="F2877" s="18" t="s">
        <v>1933</v>
      </c>
      <c r="G2877" s="18" t="s">
        <v>4102</v>
      </c>
      <c r="H2877" s="18" t="s">
        <v>1910</v>
      </c>
      <c r="I2877" s="18" t="s">
        <v>1497</v>
      </c>
      <c r="J2877" s="18" t="s">
        <v>4102</v>
      </c>
      <c r="K2877" s="18" t="s">
        <v>4103</v>
      </c>
      <c r="L2877" s="18" t="s">
        <v>4104</v>
      </c>
      <c r="M2877" s="18" t="s">
        <v>1497</v>
      </c>
      <c r="N2877" s="18" t="s">
        <v>6</v>
      </c>
      <c r="O2877" s="18" t="s">
        <v>7</v>
      </c>
      <c r="P2877" s="18" t="s">
        <v>5672</v>
      </c>
      <c r="Q2877" s="18" t="s">
        <v>8</v>
      </c>
      <c r="R2877" s="18" t="s">
        <v>9</v>
      </c>
      <c r="S2877" s="18" t="s">
        <v>4105</v>
      </c>
      <c r="T2877" s="18" t="s">
        <v>4106</v>
      </c>
    </row>
    <row r="2878" ht="15" spans="1:20">
      <c r="A2878" s="812" t="s">
        <v>8389</v>
      </c>
      <c r="B2878" s="23">
        <v>20241203</v>
      </c>
      <c r="C2878" s="23">
        <v>7.24</v>
      </c>
      <c r="D2878" s="929" t="s">
        <v>4367</v>
      </c>
      <c r="E2878" s="20" t="s">
        <v>1629</v>
      </c>
      <c r="F2878" s="768" t="s">
        <v>4122</v>
      </c>
      <c r="G2878" s="690" t="s">
        <v>2695</v>
      </c>
      <c r="H2878" s="21" t="s">
        <v>1913</v>
      </c>
      <c r="I2878" s="21" t="s">
        <v>1428</v>
      </c>
      <c r="J2878" s="731">
        <v>240</v>
      </c>
      <c r="K2878" s="21" t="s">
        <v>1428</v>
      </c>
      <c r="L2878" s="21" t="s">
        <v>1428</v>
      </c>
      <c r="M2878" s="21" t="s">
        <v>1428</v>
      </c>
      <c r="N2878" s="22">
        <v>4.26448075931518</v>
      </c>
      <c r="O2878" s="22">
        <v>19.4825539395116</v>
      </c>
      <c r="P2878" s="37"/>
      <c r="Q2878" s="37">
        <v>5</v>
      </c>
      <c r="R2878" s="37">
        <f>SUM(J2878:Q2878)</f>
        <v>268.747034698827</v>
      </c>
      <c r="S2878" s="167" t="s">
        <v>1526</v>
      </c>
      <c r="T2878" s="167" t="s">
        <v>4368</v>
      </c>
    </row>
    <row r="2879" ht="15" spans="1:20">
      <c r="A2879" s="812"/>
      <c r="B2879" s="23">
        <v>20250724</v>
      </c>
      <c r="C2879" s="23">
        <v>7.17</v>
      </c>
      <c r="D2879" s="929" t="s">
        <v>760</v>
      </c>
      <c r="E2879" s="20" t="s">
        <v>761</v>
      </c>
      <c r="F2879" s="768"/>
      <c r="G2879" s="690"/>
      <c r="H2879" s="21"/>
      <c r="I2879" s="21"/>
      <c r="J2879" s="731"/>
      <c r="K2879" s="21"/>
      <c r="L2879" s="21"/>
      <c r="M2879" s="21"/>
      <c r="N2879" s="22">
        <v>0.625763690894953</v>
      </c>
      <c r="O2879" s="22">
        <v>2.67818063146295</v>
      </c>
      <c r="P2879" s="37"/>
      <c r="Q2879" s="37">
        <v>0.4</v>
      </c>
      <c r="R2879" s="37">
        <f>SUM(J2879:Q2879)</f>
        <v>3.70394432235791</v>
      </c>
      <c r="S2879" s="167"/>
      <c r="T2879" s="167" t="s">
        <v>762</v>
      </c>
    </row>
    <row r="2880" ht="15" spans="1:20">
      <c r="A2880" s="812"/>
      <c r="B2880" s="23">
        <v>20240517</v>
      </c>
      <c r="C2880" s="23">
        <v>7.17</v>
      </c>
      <c r="D2880" s="929"/>
      <c r="E2880" s="20" t="s">
        <v>763</v>
      </c>
      <c r="F2880" s="768"/>
      <c r="G2880" s="690"/>
      <c r="H2880" s="21"/>
      <c r="I2880" s="21"/>
      <c r="J2880" s="731"/>
      <c r="K2880" s="21"/>
      <c r="L2880" s="21"/>
      <c r="M2880" s="21"/>
      <c r="N2880" s="22">
        <v>0.0415941546018933</v>
      </c>
      <c r="O2880" s="22">
        <v>0.101737080509991</v>
      </c>
      <c r="P2880" s="37" t="s">
        <v>1428</v>
      </c>
      <c r="Q2880" s="37">
        <v>0.2</v>
      </c>
      <c r="R2880" s="37">
        <f>SUM(J2880:Q2880)</f>
        <v>0.343331235111885</v>
      </c>
      <c r="S2880" s="167"/>
      <c r="T2880" s="167"/>
    </row>
    <row r="2884" ht="15.6" spans="1:20">
      <c r="A2884" s="801" t="s">
        <v>8324</v>
      </c>
      <c r="B2884" s="718"/>
      <c r="C2884" s="718"/>
      <c r="D2884" s="718"/>
      <c r="E2884" s="127"/>
      <c r="F2884" s="127"/>
      <c r="G2884" s="13"/>
      <c r="H2884" s="14"/>
      <c r="I2884" s="14"/>
      <c r="J2884" s="128"/>
      <c r="K2884" s="919" t="s">
        <v>712</v>
      </c>
      <c r="L2884" s="919" t="s">
        <v>712</v>
      </c>
      <c r="M2884" s="128"/>
      <c r="N2884" s="866"/>
      <c r="O2884" s="867"/>
      <c r="P2884" s="868"/>
      <c r="Q2884" s="869"/>
      <c r="R2884" s="130"/>
      <c r="S2884" s="12"/>
      <c r="T2884" s="131"/>
    </row>
    <row r="2885" ht="15.6" spans="1:20">
      <c r="A2885" s="132" t="s">
        <v>1490</v>
      </c>
      <c r="B2885" s="17" t="s">
        <v>1492</v>
      </c>
      <c r="C2885" s="773" t="s">
        <v>3</v>
      </c>
      <c r="D2885" s="164" t="s">
        <v>1494</v>
      </c>
      <c r="E2885" s="18" t="s">
        <v>5</v>
      </c>
      <c r="F2885" s="18" t="s">
        <v>1933</v>
      </c>
      <c r="G2885" s="18" t="s">
        <v>4102</v>
      </c>
      <c r="H2885" s="18" t="s">
        <v>1910</v>
      </c>
      <c r="I2885" s="18" t="s">
        <v>1497</v>
      </c>
      <c r="J2885" s="18" t="s">
        <v>4102</v>
      </c>
      <c r="K2885" s="18" t="s">
        <v>4103</v>
      </c>
      <c r="L2885" s="18" t="s">
        <v>4104</v>
      </c>
      <c r="M2885" s="18" t="s">
        <v>1497</v>
      </c>
      <c r="N2885" s="18" t="s">
        <v>6</v>
      </c>
      <c r="O2885" s="18" t="s">
        <v>7</v>
      </c>
      <c r="P2885" s="18" t="s">
        <v>5672</v>
      </c>
      <c r="Q2885" s="18" t="s">
        <v>8</v>
      </c>
      <c r="R2885" s="18" t="s">
        <v>9</v>
      </c>
      <c r="S2885" s="18" t="s">
        <v>4105</v>
      </c>
      <c r="T2885" s="18" t="s">
        <v>4106</v>
      </c>
    </row>
    <row r="2886" spans="1:20">
      <c r="B2886" s="729">
        <v>20240122</v>
      </c>
      <c r="C2886" s="23">
        <v>7.17</v>
      </c>
      <c r="D2886" s="729" t="s">
        <v>2648</v>
      </c>
      <c r="E2886" s="767" t="s">
        <v>2427</v>
      </c>
      <c r="F2886" s="768" t="s">
        <v>4122</v>
      </c>
      <c r="G2886" s="21" t="s">
        <v>2643</v>
      </c>
      <c r="H2886" s="21" t="s">
        <v>4295</v>
      </c>
      <c r="I2886" s="21" t="s">
        <v>1635</v>
      </c>
      <c r="J2886" s="700">
        <v>145</v>
      </c>
      <c r="K2886" s="21" t="s">
        <v>1428</v>
      </c>
      <c r="L2886" s="21" t="s">
        <v>1428</v>
      </c>
      <c r="M2886" s="21">
        <v>3.1</v>
      </c>
      <c r="N2886" s="22">
        <v>3.30452054794521</v>
      </c>
      <c r="O2886" s="22">
        <v>13.32645126</v>
      </c>
      <c r="P2886" s="37"/>
      <c r="Q2886" s="37">
        <v>2.83259895582627</v>
      </c>
      <c r="R2886" s="37">
        <f>SUM(J2886:Q2886)</f>
        <v>167.563570763771</v>
      </c>
      <c r="S2886" s="23" t="s">
        <v>8390</v>
      </c>
      <c r="T2886" s="23" t="s">
        <v>8391</v>
      </c>
    </row>
    <row r="2887" spans="1:20">
      <c r="A2887" s="333"/>
      <c r="B2887" s="763">
        <v>20240910</v>
      </c>
      <c r="C2887" s="23">
        <v>7.19</v>
      </c>
      <c r="D2887" s="882" t="s">
        <v>783</v>
      </c>
      <c r="E2887" s="778" t="s">
        <v>784</v>
      </c>
      <c r="F2887" s="39"/>
      <c r="G2887" s="21"/>
      <c r="H2887" s="21"/>
      <c r="I2887" s="21"/>
      <c r="J2887" s="779"/>
      <c r="K2887" s="779"/>
      <c r="L2887" s="779"/>
      <c r="M2887" s="779"/>
      <c r="N2887" s="22">
        <v>0.206027697036579</v>
      </c>
      <c r="O2887" s="22">
        <v>1.08512081001771</v>
      </c>
      <c r="P2887" s="21" t="s">
        <v>1428</v>
      </c>
      <c r="Q2887" s="37">
        <v>0.3</v>
      </c>
      <c r="R2887" s="37">
        <f>SUM(J2887:Q2887)</f>
        <v>1.59114850705429</v>
      </c>
      <c r="S2887" s="23"/>
      <c r="T2887" s="710" t="s">
        <v>8149</v>
      </c>
    </row>
    <row r="2890" ht="15.6" spans="1:20">
      <c r="A2890" s="11" t="s">
        <v>8377</v>
      </c>
      <c r="B2890" s="11"/>
      <c r="C2890" s="11"/>
      <c r="D2890" s="11"/>
      <c r="E2890" s="127"/>
      <c r="F2890" s="127"/>
      <c r="G2890" s="13"/>
      <c r="H2890" s="14"/>
      <c r="I2890" s="14"/>
      <c r="J2890" s="128"/>
      <c r="K2890" s="913" t="s">
        <v>712</v>
      </c>
      <c r="L2890" s="913" t="s">
        <v>712</v>
      </c>
      <c r="M2890" s="914"/>
      <c r="N2890" s="867"/>
      <c r="O2890" s="867"/>
      <c r="P2890" s="13"/>
      <c r="Q2890" s="130"/>
      <c r="R2890" s="130"/>
      <c r="S2890" s="12"/>
      <c r="T2890" s="131"/>
    </row>
    <row r="2891" ht="25" customHeight="1" spans="1:20">
      <c r="A2891" s="132" t="s">
        <v>1490</v>
      </c>
      <c r="B2891" s="17" t="s">
        <v>1492</v>
      </c>
      <c r="C2891" s="754" t="s">
        <v>1404</v>
      </c>
      <c r="D2891" s="17" t="s">
        <v>4100</v>
      </c>
      <c r="E2891" s="18" t="s">
        <v>5</v>
      </c>
      <c r="F2891" s="121" t="s">
        <v>1933</v>
      </c>
      <c r="G2891" s="18" t="s">
        <v>4102</v>
      </c>
      <c r="H2891" s="18" t="s">
        <v>1910</v>
      </c>
      <c r="I2891" s="18" t="s">
        <v>1497</v>
      </c>
      <c r="J2891" s="18" t="s">
        <v>4102</v>
      </c>
      <c r="K2891" s="18" t="s">
        <v>4103</v>
      </c>
      <c r="L2891" s="18" t="s">
        <v>4104</v>
      </c>
      <c r="M2891" s="18" t="s">
        <v>1497</v>
      </c>
      <c r="N2891" s="18" t="s">
        <v>6</v>
      </c>
      <c r="O2891" s="18" t="s">
        <v>7</v>
      </c>
      <c r="P2891" s="18" t="s">
        <v>5672</v>
      </c>
      <c r="Q2891" s="18" t="s">
        <v>8</v>
      </c>
      <c r="R2891" s="18" t="s">
        <v>9</v>
      </c>
      <c r="S2891" s="18" t="s">
        <v>4105</v>
      </c>
      <c r="T2891" s="18" t="s">
        <v>4106</v>
      </c>
    </row>
    <row r="2892" ht="22" customHeight="1" spans="1:20">
      <c r="A2892" s="23" t="s">
        <v>4516</v>
      </c>
      <c r="B2892" s="23">
        <v>20250714</v>
      </c>
      <c r="C2892" s="21"/>
      <c r="D2892" s="23" t="s">
        <v>4517</v>
      </c>
      <c r="E2892" s="23" t="s">
        <v>1565</v>
      </c>
      <c r="F2892" s="750" t="s">
        <v>4507</v>
      </c>
      <c r="G2892" s="21" t="s">
        <v>4518</v>
      </c>
      <c r="H2892" s="798" t="s">
        <v>4248</v>
      </c>
      <c r="I2892" s="21"/>
      <c r="J2892" s="698" t="s">
        <v>4519</v>
      </c>
      <c r="K2892" s="21">
        <f>17*4</f>
        <v>68</v>
      </c>
      <c r="L2892" s="22"/>
      <c r="M2892" s="37"/>
      <c r="N2892" s="22">
        <v>3.01403339874847</v>
      </c>
      <c r="O2892" s="37">
        <v>19.6194090789851</v>
      </c>
      <c r="P2892" s="22"/>
      <c r="Q2892" s="37">
        <v>5</v>
      </c>
      <c r="R2892" s="37">
        <f>SUM(J2892:Q2892)</f>
        <v>95.6334424777336</v>
      </c>
      <c r="S2892" s="192" t="s">
        <v>4520</v>
      </c>
      <c r="T2892" s="192" t="s">
        <v>4521</v>
      </c>
    </row>
    <row r="2896" ht="15.6" spans="1:20">
      <c r="A2896" s="11" t="s">
        <v>8377</v>
      </c>
      <c r="B2896" s="11"/>
      <c r="C2896" s="11"/>
      <c r="D2896" s="11"/>
      <c r="E2896" s="127"/>
      <c r="F2896" s="127"/>
      <c r="G2896" s="13"/>
      <c r="H2896" s="14"/>
      <c r="I2896" s="14"/>
      <c r="J2896" s="128"/>
      <c r="K2896" s="913" t="s">
        <v>712</v>
      </c>
      <c r="L2896" s="913" t="s">
        <v>712</v>
      </c>
      <c r="M2896" s="914"/>
      <c r="N2896" s="867"/>
      <c r="O2896" s="867"/>
      <c r="P2896" s="13"/>
      <c r="Q2896" s="130"/>
      <c r="R2896" s="130"/>
      <c r="S2896" s="12"/>
      <c r="T2896" s="131"/>
    </row>
    <row r="2897" ht="25" customHeight="1" spans="1:21">
      <c r="A2897" s="132" t="s">
        <v>1490</v>
      </c>
      <c r="B2897" s="17" t="s">
        <v>1492</v>
      </c>
      <c r="C2897" s="754" t="s">
        <v>1404</v>
      </c>
      <c r="D2897" s="17" t="s">
        <v>4100</v>
      </c>
      <c r="E2897" s="18" t="s">
        <v>5</v>
      </c>
      <c r="F2897" s="121" t="s">
        <v>1933</v>
      </c>
      <c r="G2897" s="18" t="s">
        <v>4102</v>
      </c>
      <c r="H2897" s="18" t="s">
        <v>1910</v>
      </c>
      <c r="I2897" s="18" t="s">
        <v>1497</v>
      </c>
      <c r="J2897" s="18" t="s">
        <v>4102</v>
      </c>
      <c r="K2897" s="18" t="s">
        <v>4103</v>
      </c>
      <c r="L2897" s="18" t="s">
        <v>4104</v>
      </c>
      <c r="M2897" s="18" t="s">
        <v>1497</v>
      </c>
      <c r="N2897" s="18" t="s">
        <v>6</v>
      </c>
      <c r="O2897" s="18" t="s">
        <v>7</v>
      </c>
      <c r="P2897" s="18" t="s">
        <v>5672</v>
      </c>
      <c r="Q2897" s="18" t="s">
        <v>8</v>
      </c>
      <c r="R2897" s="18" t="s">
        <v>9</v>
      </c>
      <c r="S2897" s="18" t="s">
        <v>4105</v>
      </c>
      <c r="T2897" s="18" t="s">
        <v>4106</v>
      </c>
    </row>
    <row r="2898" ht="22" customHeight="1" spans="1:21">
      <c r="A2898" s="798" t="s">
        <v>5021</v>
      </c>
      <c r="B2898" s="35">
        <v>20250616</v>
      </c>
      <c r="C2898" s="880"/>
      <c r="D2898" s="917" t="s">
        <v>4831</v>
      </c>
      <c r="E2898" s="729" t="s">
        <v>1565</v>
      </c>
      <c r="F2898" s="23" t="s">
        <v>4975</v>
      </c>
      <c r="G2898" s="21" t="s">
        <v>4810</v>
      </c>
      <c r="H2898" s="21" t="s">
        <v>4944</v>
      </c>
      <c r="I2898" s="21"/>
      <c r="J2898" s="699">
        <v>561</v>
      </c>
      <c r="K2898" s="699">
        <f>65*8</f>
        <v>520</v>
      </c>
      <c r="L2898" s="21"/>
      <c r="M2898" s="21"/>
      <c r="N2898" s="22">
        <v>11.0958887202083</v>
      </c>
      <c r="O2898" s="22">
        <v>35.6071475791274</v>
      </c>
      <c r="P2898" s="22"/>
      <c r="Q2898" s="37">
        <v>6.25</v>
      </c>
      <c r="R2898" s="22">
        <f>SUM(J2898:Q2898)</f>
        <v>1133.95303629934</v>
      </c>
      <c r="S2898" s="23" t="s">
        <v>5023</v>
      </c>
      <c r="T2898" s="139" t="s">
        <v>8381</v>
      </c>
      <c r="U2898" s="930"/>
    </row>
    <row r="2899" ht="22" customHeight="1" spans="1:21">
      <c r="A2899" s="798"/>
      <c r="B2899" s="35">
        <v>20250715</v>
      </c>
      <c r="C2899" s="21">
        <v>7.17</v>
      </c>
      <c r="D2899" s="917" t="s">
        <v>5035</v>
      </c>
      <c r="E2899" s="729" t="s">
        <v>5036</v>
      </c>
      <c r="F2899" s="23"/>
      <c r="G2899" s="21"/>
      <c r="H2899" s="21"/>
      <c r="I2899" s="21"/>
      <c r="J2899" s="699"/>
      <c r="K2899" s="699"/>
      <c r="L2899" s="21"/>
      <c r="M2899" s="21"/>
      <c r="N2899" s="22">
        <v>0.75042272990953</v>
      </c>
      <c r="O2899" s="22">
        <v>7.72864557031511</v>
      </c>
      <c r="P2899" s="22"/>
      <c r="Q2899" s="37">
        <v>3</v>
      </c>
      <c r="R2899" s="22">
        <f>SUM(J2899:Q2899)</f>
        <v>11.4790683002246</v>
      </c>
      <c r="S2899" s="23"/>
      <c r="T2899" s="139" t="s">
        <v>5037</v>
      </c>
      <c r="U2899" s="930"/>
    </row>
    <row r="2900" ht="14.4" spans="1:21">
      <c r="A2900" s="798"/>
      <c r="B2900" s="35">
        <v>20250616</v>
      </c>
      <c r="C2900" s="21">
        <v>7.17</v>
      </c>
      <c r="D2900" s="917" t="s">
        <v>5025</v>
      </c>
      <c r="E2900" s="20" t="s">
        <v>1617</v>
      </c>
      <c r="F2900" s="23" t="s">
        <v>4975</v>
      </c>
      <c r="G2900" s="21" t="s">
        <v>4810</v>
      </c>
      <c r="H2900" s="21" t="s">
        <v>4952</v>
      </c>
      <c r="I2900" s="21"/>
      <c r="J2900" s="699">
        <v>561</v>
      </c>
      <c r="K2900" s="699">
        <f>28.7*8</f>
        <v>229.6</v>
      </c>
      <c r="L2900" s="21"/>
      <c r="M2900" s="21"/>
      <c r="N2900" s="22">
        <v>11.1082311993187</v>
      </c>
      <c r="O2900" s="22">
        <v>32.5867402333538</v>
      </c>
      <c r="P2900" s="22"/>
      <c r="Q2900" s="37">
        <v>6.25</v>
      </c>
      <c r="R2900" s="22">
        <f>SUM(J2900:Q2900)</f>
        <v>840.544971432672</v>
      </c>
      <c r="S2900" s="23" t="s">
        <v>5026</v>
      </c>
      <c r="T2900" s="139" t="s">
        <v>8392</v>
      </c>
    </row>
    <row r="2901" ht="14.4" spans="1:21">
      <c r="A2901" s="931"/>
      <c r="B2901" s="804"/>
      <c r="C2901" s="806"/>
      <c r="D2901" s="932"/>
      <c r="E2901" s="805"/>
      <c r="F2901" s="804"/>
      <c r="G2901" s="806"/>
      <c r="H2901" s="806"/>
      <c r="I2901" s="806"/>
      <c r="J2901" s="933"/>
      <c r="K2901" s="933"/>
      <c r="L2901" s="806"/>
      <c r="M2901" s="806"/>
      <c r="N2901" s="808"/>
      <c r="O2901" s="808"/>
      <c r="P2901" s="808"/>
      <c r="Q2901" s="809"/>
      <c r="R2901" s="808"/>
      <c r="S2901" s="804"/>
      <c r="T2901" s="934"/>
    </row>
    <row r="2902" ht="14.4" spans="1:21">
      <c r="A2902" s="931"/>
      <c r="B2902" s="804"/>
      <c r="C2902" s="806"/>
      <c r="D2902" s="932"/>
      <c r="E2902" s="805"/>
      <c r="F2902" s="804"/>
      <c r="G2902" s="806"/>
      <c r="H2902" s="806"/>
      <c r="I2902" s="806"/>
      <c r="J2902" s="933"/>
      <c r="K2902" s="933"/>
      <c r="L2902" s="806"/>
      <c r="M2902" s="806"/>
      <c r="N2902" s="808"/>
      <c r="O2902" s="808"/>
      <c r="P2902" s="808"/>
      <c r="Q2902" s="809"/>
      <c r="R2902" s="808"/>
      <c r="S2902" s="804"/>
      <c r="T2902" s="934"/>
    </row>
    <row r="2903" ht="15.6" spans="1:21">
      <c r="A2903" s="684" t="s">
        <v>8393</v>
      </c>
      <c r="B2903" s="11"/>
      <c r="C2903" s="11"/>
      <c r="D2903" s="11"/>
      <c r="E2903" s="127"/>
      <c r="F2903" s="127"/>
      <c r="G2903" s="13"/>
      <c r="H2903" s="14"/>
      <c r="I2903" s="14"/>
      <c r="J2903" s="128"/>
      <c r="K2903" s="913" t="s">
        <v>712</v>
      </c>
      <c r="L2903" s="913" t="s">
        <v>712</v>
      </c>
      <c r="M2903" s="914"/>
      <c r="N2903" s="867"/>
      <c r="O2903" s="867"/>
      <c r="P2903" s="13"/>
      <c r="Q2903" s="130"/>
      <c r="R2903" s="130"/>
      <c r="S2903" s="12"/>
      <c r="T2903" s="131"/>
    </row>
    <row r="2904" ht="25" customHeight="1" spans="1:21">
      <c r="A2904" s="132" t="s">
        <v>1490</v>
      </c>
      <c r="B2904" s="17" t="s">
        <v>1492</v>
      </c>
      <c r="C2904" s="754" t="s">
        <v>1404</v>
      </c>
      <c r="D2904" s="17" t="s">
        <v>4100</v>
      </c>
      <c r="E2904" s="18" t="s">
        <v>5</v>
      </c>
      <c r="F2904" s="121" t="s">
        <v>1933</v>
      </c>
      <c r="G2904" s="18" t="s">
        <v>4102</v>
      </c>
      <c r="H2904" s="18" t="s">
        <v>1910</v>
      </c>
      <c r="I2904" s="18" t="s">
        <v>1497</v>
      </c>
      <c r="J2904" s="18" t="s">
        <v>4102</v>
      </c>
      <c r="K2904" s="18" t="s">
        <v>4103</v>
      </c>
      <c r="L2904" s="18" t="s">
        <v>4104</v>
      </c>
      <c r="M2904" s="18" t="s">
        <v>1497</v>
      </c>
      <c r="N2904" s="18" t="s">
        <v>6</v>
      </c>
      <c r="O2904" s="18" t="s">
        <v>7</v>
      </c>
      <c r="P2904" s="18" t="s">
        <v>5672</v>
      </c>
      <c r="Q2904" s="18" t="s">
        <v>8</v>
      </c>
      <c r="R2904" s="18" t="s">
        <v>9</v>
      </c>
      <c r="S2904" s="18" t="s">
        <v>4105</v>
      </c>
      <c r="T2904" s="18" t="s">
        <v>4106</v>
      </c>
    </row>
    <row r="2905" ht="22" customHeight="1" spans="1:21">
      <c r="A2905" s="798" t="s">
        <v>5021</v>
      </c>
      <c r="B2905" s="35">
        <v>20250616</v>
      </c>
      <c r="C2905" s="880"/>
      <c r="D2905" s="917" t="s">
        <v>4831</v>
      </c>
      <c r="E2905" s="729" t="s">
        <v>1565</v>
      </c>
      <c r="F2905" s="23" t="s">
        <v>4975</v>
      </c>
      <c r="G2905" s="21" t="s">
        <v>4810</v>
      </c>
      <c r="H2905" s="21" t="s">
        <v>4944</v>
      </c>
      <c r="I2905" s="21"/>
      <c r="J2905" s="699">
        <v>561</v>
      </c>
      <c r="K2905" s="699">
        <f>65*8</f>
        <v>520</v>
      </c>
      <c r="L2905" s="21"/>
      <c r="M2905" s="21"/>
      <c r="N2905" s="704">
        <v>11.1581377452867</v>
      </c>
      <c r="O2905" s="704">
        <v>35.6982120206372</v>
      </c>
      <c r="P2905" s="22"/>
      <c r="Q2905" s="709">
        <v>6.26916059526617</v>
      </c>
      <c r="R2905" s="22">
        <f>SUM(J2905:Q2905)</f>
        <v>1134.12551036119</v>
      </c>
      <c r="S2905" s="23" t="s">
        <v>5023</v>
      </c>
      <c r="T2905" s="139" t="s">
        <v>8381</v>
      </c>
      <c r="U2905" s="930"/>
    </row>
    <row r="2906" ht="22" customHeight="1" spans="1:21">
      <c r="A2906" s="798"/>
      <c r="B2906" s="35">
        <v>20250715</v>
      </c>
      <c r="C2906" s="21">
        <v>7.17</v>
      </c>
      <c r="D2906" s="917" t="s">
        <v>5035</v>
      </c>
      <c r="E2906" s="729" t="s">
        <v>5036</v>
      </c>
      <c r="F2906" s="23"/>
      <c r="G2906" s="21"/>
      <c r="H2906" s="21"/>
      <c r="I2906" s="21"/>
      <c r="J2906" s="699"/>
      <c r="K2906" s="699"/>
      <c r="L2906" s="21"/>
      <c r="M2906" s="21"/>
      <c r="N2906" s="22">
        <v>0.754632675098363</v>
      </c>
      <c r="O2906" s="22">
        <v>7.72864557031511</v>
      </c>
      <c r="P2906" s="22"/>
      <c r="Q2906" s="37">
        <v>3</v>
      </c>
      <c r="R2906" s="22">
        <f>SUM(J2906:Q2906)</f>
        <v>11.4832782454135</v>
      </c>
      <c r="S2906" s="23"/>
      <c r="T2906" s="139" t="s">
        <v>5037</v>
      </c>
      <c r="U2906" s="930"/>
    </row>
    <row r="2907" ht="14.4" spans="1:21">
      <c r="A2907" s="798"/>
      <c r="B2907" s="35">
        <v>20250616</v>
      </c>
      <c r="C2907" s="21">
        <v>7.17</v>
      </c>
      <c r="D2907" s="917" t="s">
        <v>5025</v>
      </c>
      <c r="E2907" s="20" t="s">
        <v>1617</v>
      </c>
      <c r="F2907" s="23" t="s">
        <v>4975</v>
      </c>
      <c r="G2907" s="21" t="s">
        <v>4810</v>
      </c>
      <c r="H2907" s="21" t="s">
        <v>4952</v>
      </c>
      <c r="I2907" s="21"/>
      <c r="J2907" s="699">
        <v>561</v>
      </c>
      <c r="K2907" s="699">
        <f>28.7*8</f>
        <v>229.6</v>
      </c>
      <c r="L2907" s="21"/>
      <c r="M2907" s="21"/>
      <c r="N2907" s="704">
        <v>11.1581377452867</v>
      </c>
      <c r="O2907" s="704">
        <v>32.659939035022</v>
      </c>
      <c r="P2907" s="22"/>
      <c r="Q2907" s="709">
        <v>6.26916059526617</v>
      </c>
      <c r="R2907" s="22">
        <f>SUM(J2907:Q2907)</f>
        <v>840.687237375575</v>
      </c>
      <c r="S2907" s="23" t="s">
        <v>5026</v>
      </c>
      <c r="T2907" s="139" t="s">
        <v>8392</v>
      </c>
    </row>
    <row r="2911" ht="15.6" spans="1:21">
      <c r="A2911" s="801" t="s">
        <v>8324</v>
      </c>
      <c r="B2911" s="718"/>
      <c r="C2911" s="718"/>
      <c r="D2911" s="718"/>
      <c r="E2911" s="127"/>
      <c r="F2911" s="127"/>
      <c r="G2911" s="13"/>
      <c r="H2911" s="14"/>
      <c r="I2911" s="14"/>
      <c r="J2911" s="128"/>
      <c r="K2911" s="919" t="s">
        <v>712</v>
      </c>
      <c r="L2911" s="919" t="s">
        <v>712</v>
      </c>
      <c r="M2911" s="128"/>
      <c r="N2911" s="866"/>
      <c r="O2911" s="867"/>
      <c r="P2911" s="868"/>
      <c r="Q2911" s="869"/>
      <c r="R2911" s="130"/>
      <c r="S2911" s="12"/>
      <c r="T2911" s="131"/>
    </row>
    <row r="2912" ht="15.6" spans="1:21">
      <c r="A2912" s="132" t="s">
        <v>1490</v>
      </c>
      <c r="B2912" s="17" t="s">
        <v>1492</v>
      </c>
      <c r="C2912" s="773" t="s">
        <v>3</v>
      </c>
      <c r="D2912" s="164" t="s">
        <v>1494</v>
      </c>
      <c r="E2912" s="18" t="s">
        <v>5</v>
      </c>
      <c r="F2912" s="18" t="s">
        <v>1933</v>
      </c>
      <c r="G2912" s="18" t="s">
        <v>4102</v>
      </c>
      <c r="H2912" s="18" t="s">
        <v>1910</v>
      </c>
      <c r="I2912" s="18" t="s">
        <v>1497</v>
      </c>
      <c r="J2912" s="18" t="s">
        <v>4102</v>
      </c>
      <c r="K2912" s="18" t="s">
        <v>4103</v>
      </c>
      <c r="L2912" s="18" t="s">
        <v>4104</v>
      </c>
      <c r="M2912" s="18" t="s">
        <v>1497</v>
      </c>
      <c r="N2912" s="18" t="s">
        <v>6</v>
      </c>
      <c r="O2912" s="18" t="s">
        <v>7</v>
      </c>
      <c r="P2912" s="18" t="s">
        <v>5672</v>
      </c>
      <c r="Q2912" s="18" t="s">
        <v>8</v>
      </c>
      <c r="R2912" s="18" t="s">
        <v>9</v>
      </c>
      <c r="S2912" s="18" t="s">
        <v>4105</v>
      </c>
      <c r="T2912" s="18" t="s">
        <v>4106</v>
      </c>
    </row>
    <row r="2913" spans="1:20">
      <c r="A2913" s="333" t="s">
        <v>1333</v>
      </c>
      <c r="B2913" s="729">
        <v>20250728</v>
      </c>
      <c r="C2913" s="23">
        <v>7.17</v>
      </c>
      <c r="D2913" s="729"/>
      <c r="E2913" s="935" t="s">
        <v>8394</v>
      </c>
      <c r="F2913" s="768" t="s">
        <v>4122</v>
      </c>
      <c r="G2913" s="21" t="s">
        <v>7990</v>
      </c>
      <c r="H2913" s="21" t="s">
        <v>1913</v>
      </c>
      <c r="I2913" s="21" t="s">
        <v>1428</v>
      </c>
      <c r="J2913" s="700">
        <v>70</v>
      </c>
      <c r="K2913" s="21" t="s">
        <v>1428</v>
      </c>
      <c r="L2913" s="21" t="s">
        <v>1428</v>
      </c>
      <c r="M2913" s="21" t="s">
        <v>1428</v>
      </c>
      <c r="N2913" s="22">
        <v>4.86392416780835</v>
      </c>
      <c r="O2913" s="22">
        <v>17.5376437866657</v>
      </c>
      <c r="P2913" s="37"/>
      <c r="Q2913" s="37">
        <v>2.98317720097259</v>
      </c>
      <c r="R2913" s="37">
        <f>SUM(J2913:Q2913)</f>
        <v>95.3847451554466</v>
      </c>
      <c r="S2913" s="750" t="s">
        <v>1526</v>
      </c>
      <c r="T2913" s="750" t="s">
        <v>8395</v>
      </c>
    </row>
    <row r="2916" ht="15.6" spans="1:20">
      <c r="A2916" s="801" t="s">
        <v>8324</v>
      </c>
      <c r="B2916" s="718"/>
      <c r="C2916" s="718"/>
      <c r="D2916" s="718"/>
      <c r="E2916" s="127"/>
      <c r="F2916" s="127"/>
      <c r="G2916" s="13"/>
      <c r="H2916" s="14"/>
      <c r="I2916" s="14"/>
      <c r="J2916" s="128"/>
      <c r="K2916" s="919" t="s">
        <v>712</v>
      </c>
      <c r="L2916" s="919" t="s">
        <v>712</v>
      </c>
      <c r="M2916" s="128"/>
      <c r="N2916" s="866"/>
      <c r="O2916" s="867"/>
      <c r="P2916" s="868"/>
      <c r="Q2916" s="869"/>
      <c r="R2916" s="130"/>
      <c r="S2916" s="12"/>
      <c r="T2916" s="131"/>
    </row>
    <row r="2917" ht="15.6" spans="1:20">
      <c r="A2917" s="132" t="s">
        <v>1490</v>
      </c>
      <c r="B2917" s="17" t="s">
        <v>1492</v>
      </c>
      <c r="C2917" s="773" t="s">
        <v>3</v>
      </c>
      <c r="D2917" s="164" t="s">
        <v>1494</v>
      </c>
      <c r="E2917" s="18" t="s">
        <v>5</v>
      </c>
      <c r="F2917" s="18" t="s">
        <v>1933</v>
      </c>
      <c r="G2917" s="18" t="s">
        <v>4102</v>
      </c>
      <c r="H2917" s="18" t="s">
        <v>1910</v>
      </c>
      <c r="I2917" s="18" t="s">
        <v>1497</v>
      </c>
      <c r="J2917" s="18" t="s">
        <v>4102</v>
      </c>
      <c r="K2917" s="18" t="s">
        <v>4103</v>
      </c>
      <c r="L2917" s="18" t="s">
        <v>4104</v>
      </c>
      <c r="M2917" s="18" t="s">
        <v>1497</v>
      </c>
      <c r="N2917" s="18" t="s">
        <v>6</v>
      </c>
      <c r="O2917" s="18" t="s">
        <v>7</v>
      </c>
      <c r="P2917" s="18" t="s">
        <v>5672</v>
      </c>
      <c r="Q2917" s="18" t="s">
        <v>8</v>
      </c>
      <c r="R2917" s="18" t="s">
        <v>9</v>
      </c>
      <c r="S2917" s="18" t="s">
        <v>4105</v>
      </c>
      <c r="T2917" s="18" t="s">
        <v>4106</v>
      </c>
    </row>
    <row r="2918" ht="15" spans="1:20">
      <c r="A2918" s="333" t="s">
        <v>7836</v>
      </c>
      <c r="B2918" s="23">
        <v>20250224</v>
      </c>
      <c r="C2918" s="23">
        <v>7.17</v>
      </c>
      <c r="D2918" s="780" t="s">
        <v>4746</v>
      </c>
      <c r="E2918" s="20" t="s">
        <v>1571</v>
      </c>
      <c r="F2918" s="750" t="s">
        <v>4742</v>
      </c>
      <c r="G2918" s="21" t="s">
        <v>3457</v>
      </c>
      <c r="H2918" s="21" t="s">
        <v>3436</v>
      </c>
      <c r="I2918" s="21" t="s">
        <v>1635</v>
      </c>
      <c r="J2918" s="138" t="s">
        <v>3513</v>
      </c>
      <c r="K2918" s="21">
        <f>6*2</f>
        <v>12</v>
      </c>
      <c r="L2918" s="781"/>
      <c r="M2918" s="21">
        <v>3.1</v>
      </c>
      <c r="N2918" s="22">
        <f>26.56/C2918/1.13</f>
        <v>3.27816245171005</v>
      </c>
      <c r="O2918" s="936">
        <v>13.1088674995748</v>
      </c>
      <c r="P2918" s="37"/>
      <c r="Q2918" s="37">
        <v>3</v>
      </c>
      <c r="R2918" s="22">
        <f>SUBTOTAL(9,H2918:Q2918)</f>
        <v>34.4870299512848</v>
      </c>
      <c r="S2918" s="167" t="s">
        <v>2579</v>
      </c>
      <c r="T2918" s="167" t="s">
        <v>4747</v>
      </c>
    </row>
    <row r="2919" spans="1:20">
      <c r="A2919" s="333"/>
      <c r="B2919" s="777">
        <v>20250312</v>
      </c>
      <c r="C2919" s="23">
        <v>7.17</v>
      </c>
      <c r="D2919" s="777" t="s">
        <v>778</v>
      </c>
      <c r="E2919" s="763" t="s">
        <v>779</v>
      </c>
      <c r="F2919" s="39"/>
      <c r="G2919" s="21"/>
      <c r="H2919" s="21"/>
      <c r="I2919" s="21"/>
      <c r="J2919" s="779"/>
      <c r="K2919" s="779"/>
      <c r="L2919" s="779"/>
      <c r="M2919" s="779"/>
      <c r="N2919" s="22">
        <v>0.120611577031136</v>
      </c>
      <c r="O2919" s="22">
        <v>0.260508885350712</v>
      </c>
      <c r="P2919" s="21"/>
      <c r="Q2919" s="37">
        <v>0.2</v>
      </c>
      <c r="R2919" s="37">
        <f>SUM(J2919:Q2919)</f>
        <v>0.581120462381848</v>
      </c>
      <c r="S2919" s="23"/>
      <c r="T2919" s="39"/>
    </row>
    <row r="2925" ht="15.6" spans="1:20">
      <c r="A2925" s="801" t="s">
        <v>8324</v>
      </c>
      <c r="B2925" s="718"/>
      <c r="C2925" s="718"/>
      <c r="D2925" s="718"/>
      <c r="E2925" s="127"/>
      <c r="F2925" s="127"/>
      <c r="G2925" s="13"/>
      <c r="H2925" s="14"/>
      <c r="I2925" s="14"/>
      <c r="J2925" s="128"/>
      <c r="K2925" s="919" t="s">
        <v>712</v>
      </c>
      <c r="L2925" s="919" t="s">
        <v>712</v>
      </c>
      <c r="M2925" s="128"/>
      <c r="N2925" s="866"/>
      <c r="O2925" s="867"/>
      <c r="P2925" s="868"/>
      <c r="Q2925" s="869"/>
      <c r="R2925" s="130"/>
      <c r="S2925" s="12"/>
      <c r="T2925" s="131"/>
    </row>
    <row r="2926" ht="15.6" spans="1:20">
      <c r="A2926" s="132" t="s">
        <v>1490</v>
      </c>
      <c r="B2926" s="17" t="s">
        <v>1492</v>
      </c>
      <c r="C2926" s="773" t="s">
        <v>3</v>
      </c>
      <c r="D2926" s="164" t="s">
        <v>1494</v>
      </c>
      <c r="E2926" s="18" t="s">
        <v>5</v>
      </c>
      <c r="F2926" s="18" t="s">
        <v>1933</v>
      </c>
      <c r="G2926" s="18" t="s">
        <v>4102</v>
      </c>
      <c r="H2926" s="18" t="s">
        <v>1910</v>
      </c>
      <c r="I2926" s="18" t="s">
        <v>1497</v>
      </c>
      <c r="J2926" s="18" t="s">
        <v>4102</v>
      </c>
      <c r="K2926" s="18" t="s">
        <v>4103</v>
      </c>
      <c r="L2926" s="18" t="s">
        <v>4104</v>
      </c>
      <c r="M2926" s="18" t="s">
        <v>1497</v>
      </c>
      <c r="N2926" s="18" t="s">
        <v>6</v>
      </c>
      <c r="O2926" s="18" t="s">
        <v>7</v>
      </c>
      <c r="P2926" s="18" t="s">
        <v>5672</v>
      </c>
      <c r="Q2926" s="18" t="s">
        <v>8</v>
      </c>
      <c r="R2926" s="18" t="s">
        <v>9</v>
      </c>
      <c r="S2926" s="18" t="s">
        <v>4105</v>
      </c>
      <c r="T2926" s="18" t="s">
        <v>4106</v>
      </c>
    </row>
    <row r="2927" ht="15" spans="1:20">
      <c r="A2927" s="937" t="s">
        <v>8396</v>
      </c>
      <c r="B2927" s="23">
        <v>20250321</v>
      </c>
      <c r="C2927" s="23">
        <v>7.17</v>
      </c>
      <c r="D2927" s="23" t="s">
        <v>2616</v>
      </c>
      <c r="E2927" s="23" t="s">
        <v>8397</v>
      </c>
      <c r="F2927" s="688" t="s">
        <v>2801</v>
      </c>
      <c r="G2927" s="690" t="s">
        <v>7963</v>
      </c>
      <c r="H2927" s="21" t="s">
        <v>1913</v>
      </c>
      <c r="I2927" s="21"/>
      <c r="J2927" s="138">
        <v>140</v>
      </c>
      <c r="K2927" s="21" t="s">
        <v>1428</v>
      </c>
      <c r="L2927" s="21" t="s">
        <v>1428</v>
      </c>
      <c r="M2927" s="21" t="s">
        <v>1428</v>
      </c>
      <c r="N2927" s="37">
        <v>4.86392416780835</v>
      </c>
      <c r="O2927" s="22">
        <v>18.6194067394606</v>
      </c>
      <c r="P2927" s="37"/>
      <c r="Q2927" s="37">
        <v>2.98317720097259</v>
      </c>
      <c r="R2927" s="37">
        <f>SUM(J2927:Q2927)</f>
        <v>166.466508108242</v>
      </c>
      <c r="S2927" s="167" t="s">
        <v>1526</v>
      </c>
      <c r="T2927" s="898" t="s">
        <v>2617</v>
      </c>
    </row>
    <row r="2928" ht="15" spans="1:20">
      <c r="A2928" s="937" t="s">
        <v>8396</v>
      </c>
      <c r="B2928" s="23">
        <v>20250321</v>
      </c>
      <c r="C2928" s="23">
        <v>7.17</v>
      </c>
      <c r="D2928" s="23" t="s">
        <v>2618</v>
      </c>
      <c r="E2928" s="23" t="s">
        <v>8398</v>
      </c>
      <c r="F2928" s="688" t="s">
        <v>2801</v>
      </c>
      <c r="G2928" s="690" t="s">
        <v>7965</v>
      </c>
      <c r="H2928" s="21" t="s">
        <v>1913</v>
      </c>
      <c r="I2928" s="21"/>
      <c r="J2928" s="698">
        <v>150</v>
      </c>
      <c r="K2928" s="21" t="s">
        <v>1428</v>
      </c>
      <c r="L2928" s="21" t="s">
        <v>1428</v>
      </c>
      <c r="M2928" s="21" t="s">
        <v>1428</v>
      </c>
      <c r="N2928" s="37">
        <v>4.86392416780835</v>
      </c>
      <c r="O2928" s="22">
        <v>18.6948563874776</v>
      </c>
      <c r="P2928" s="37"/>
      <c r="Q2928" s="37">
        <v>2.98317720097259</v>
      </c>
      <c r="R2928" s="37">
        <f>SUM(J2928:Q2928)</f>
        <v>176.541957756259</v>
      </c>
      <c r="S2928" s="167" t="s">
        <v>1526</v>
      </c>
      <c r="T2928" s="898" t="s">
        <v>2617</v>
      </c>
    </row>
    <row r="2929" ht="15" spans="1:20">
      <c r="A2929" s="937" t="s">
        <v>8396</v>
      </c>
      <c r="B2929" s="23">
        <v>20250710</v>
      </c>
      <c r="C2929" s="23">
        <v>7.17</v>
      </c>
      <c r="D2929" s="23" t="s">
        <v>2619</v>
      </c>
      <c r="E2929" s="23" t="s">
        <v>8359</v>
      </c>
      <c r="F2929" s="688" t="s">
        <v>2801</v>
      </c>
      <c r="G2929" s="690" t="s">
        <v>8360</v>
      </c>
      <c r="H2929" s="21" t="s">
        <v>1913</v>
      </c>
      <c r="I2929" s="21"/>
      <c r="J2929" s="698" t="s">
        <v>1428</v>
      </c>
      <c r="K2929" s="21" t="s">
        <v>1428</v>
      </c>
      <c r="L2929" s="21" t="s">
        <v>1428</v>
      </c>
      <c r="M2929" s="21" t="s">
        <v>1428</v>
      </c>
      <c r="N2929" s="37">
        <v>4.86392416780835</v>
      </c>
      <c r="O2929" s="22">
        <v>18.9314774312893</v>
      </c>
      <c r="P2929" s="37"/>
      <c r="Q2929" s="37">
        <v>2.98317720097259</v>
      </c>
      <c r="R2929" s="37">
        <f>SUM(J2929:Q2929)</f>
        <v>26.7785788000702</v>
      </c>
      <c r="S2929" s="167" t="s">
        <v>1526</v>
      </c>
      <c r="T2929" s="898" t="s">
        <v>2621</v>
      </c>
    </row>
    <row r="2930" ht="15" spans="1:20">
      <c r="A2930" s="937" t="s">
        <v>8396</v>
      </c>
      <c r="B2930" s="23">
        <v>20250710</v>
      </c>
      <c r="C2930" s="23">
        <v>7.17</v>
      </c>
      <c r="D2930" s="23" t="s">
        <v>2622</v>
      </c>
      <c r="E2930" s="23" t="s">
        <v>8361</v>
      </c>
      <c r="F2930" s="688" t="s">
        <v>2801</v>
      </c>
      <c r="G2930" s="690" t="s">
        <v>2623</v>
      </c>
      <c r="H2930" s="21" t="s">
        <v>1913</v>
      </c>
      <c r="I2930" s="21"/>
      <c r="J2930" s="698" t="s">
        <v>1428</v>
      </c>
      <c r="K2930" s="21" t="s">
        <v>1428</v>
      </c>
      <c r="L2930" s="21" t="s">
        <v>1428</v>
      </c>
      <c r="M2930" s="21" t="s">
        <v>1428</v>
      </c>
      <c r="N2930" s="37">
        <v>4.86392416780835</v>
      </c>
      <c r="O2930" s="22">
        <v>18.9314774312893</v>
      </c>
      <c r="P2930" s="37"/>
      <c r="Q2930" s="37">
        <v>2.98317720097259</v>
      </c>
      <c r="R2930" s="37">
        <f>SUM(J2930:Q2930)</f>
        <v>26.7785788000702</v>
      </c>
      <c r="S2930" s="167" t="s">
        <v>1526</v>
      </c>
      <c r="T2930" s="750" t="s">
        <v>2624</v>
      </c>
    </row>
    <row r="2932" ht="15.6" spans="1:20">
      <c r="A2932" s="801" t="s">
        <v>8324</v>
      </c>
      <c r="B2932" s="718"/>
      <c r="C2932" s="718"/>
      <c r="D2932" s="718"/>
      <c r="E2932" s="127"/>
      <c r="F2932" s="127"/>
      <c r="G2932" s="13"/>
      <c r="H2932" s="14"/>
      <c r="I2932" s="14"/>
      <c r="J2932" s="128"/>
      <c r="K2932" s="919" t="s">
        <v>712</v>
      </c>
      <c r="L2932" s="919" t="s">
        <v>712</v>
      </c>
      <c r="M2932" s="128"/>
      <c r="N2932" s="866"/>
      <c r="O2932" s="867"/>
      <c r="P2932" s="868"/>
      <c r="Q2932" s="869"/>
      <c r="R2932" s="130"/>
      <c r="S2932" s="12"/>
      <c r="T2932" s="131"/>
    </row>
    <row r="2933" ht="21" customHeight="1" spans="1:20">
      <c r="A2933" s="132" t="s">
        <v>1490</v>
      </c>
      <c r="B2933" s="17" t="s">
        <v>1492</v>
      </c>
      <c r="C2933" s="773" t="s">
        <v>3</v>
      </c>
      <c r="D2933" s="164" t="s">
        <v>1494</v>
      </c>
      <c r="E2933" s="18" t="s">
        <v>5</v>
      </c>
      <c r="F2933" s="18" t="s">
        <v>1933</v>
      </c>
      <c r="G2933" s="18" t="s">
        <v>4102</v>
      </c>
      <c r="H2933" s="18" t="s">
        <v>1910</v>
      </c>
      <c r="I2933" s="18" t="s">
        <v>1497</v>
      </c>
      <c r="J2933" s="18" t="s">
        <v>4102</v>
      </c>
      <c r="K2933" s="18" t="s">
        <v>4103</v>
      </c>
      <c r="L2933" s="18" t="s">
        <v>4104</v>
      </c>
      <c r="M2933" s="18" t="s">
        <v>1497</v>
      </c>
      <c r="N2933" s="18" t="s">
        <v>6</v>
      </c>
      <c r="O2933" s="18" t="s">
        <v>7</v>
      </c>
      <c r="P2933" s="18" t="s">
        <v>5672</v>
      </c>
      <c r="Q2933" s="18" t="s">
        <v>8</v>
      </c>
      <c r="R2933" s="18" t="s">
        <v>9</v>
      </c>
      <c r="S2933" s="18" t="s">
        <v>4105</v>
      </c>
      <c r="T2933" s="18" t="s">
        <v>4106</v>
      </c>
    </row>
    <row r="2934" ht="15" spans="1:20">
      <c r="A2934" s="21" t="s">
        <v>8399</v>
      </c>
      <c r="B2934" s="23">
        <v>20250730</v>
      </c>
      <c r="C2934" s="23">
        <v>7.17</v>
      </c>
      <c r="D2934" s="23" t="s">
        <v>4535</v>
      </c>
      <c r="E2934" s="23" t="s">
        <v>4536</v>
      </c>
      <c r="F2934" s="688" t="s">
        <v>2801</v>
      </c>
      <c r="G2934" s="690" t="s">
        <v>2982</v>
      </c>
      <c r="H2934" s="21" t="s">
        <v>1913</v>
      </c>
      <c r="I2934" s="21" t="s">
        <v>1742</v>
      </c>
      <c r="J2934" s="138">
        <v>100</v>
      </c>
      <c r="K2934" s="21" t="s">
        <v>1428</v>
      </c>
      <c r="L2934" s="21" t="s">
        <v>1428</v>
      </c>
      <c r="M2934" s="21">
        <v>6</v>
      </c>
      <c r="N2934" s="37">
        <v>4.86170252156848</v>
      </c>
      <c r="O2934" s="22">
        <v>21.7204069866683</v>
      </c>
      <c r="P2934" s="37" t="s">
        <v>1428</v>
      </c>
      <c r="Q2934" s="37">
        <v>3.77</v>
      </c>
      <c r="R2934" s="37">
        <f>SUM(J2934:Q2934)</f>
        <v>136.352109508237</v>
      </c>
      <c r="S2934" s="167" t="s">
        <v>1526</v>
      </c>
      <c r="T2934" s="898" t="s">
        <v>4528</v>
      </c>
    </row>
    <row r="2935" ht="15" spans="1:20">
      <c r="A2935" s="21"/>
      <c r="B2935" s="23">
        <v>20250730</v>
      </c>
      <c r="C2935" s="23">
        <v>7.17</v>
      </c>
      <c r="D2935" s="23" t="s">
        <v>4537</v>
      </c>
      <c r="E2935" s="23" t="s">
        <v>4538</v>
      </c>
      <c r="F2935" s="688" t="s">
        <v>2801</v>
      </c>
      <c r="G2935" s="690" t="s">
        <v>3010</v>
      </c>
      <c r="H2935" s="21" t="s">
        <v>1913</v>
      </c>
      <c r="I2935" s="21" t="s">
        <v>1742</v>
      </c>
      <c r="J2935" s="698" t="s">
        <v>4539</v>
      </c>
      <c r="K2935" s="21" t="s">
        <v>1428</v>
      </c>
      <c r="L2935" s="21" t="s">
        <v>1428</v>
      </c>
      <c r="M2935" s="21">
        <v>6</v>
      </c>
      <c r="N2935" s="37">
        <v>4.86170252156848</v>
      </c>
      <c r="O2935" s="22">
        <v>22.8142339397545</v>
      </c>
      <c r="P2935" s="37" t="s">
        <v>1428</v>
      </c>
      <c r="Q2935" s="37">
        <v>3.77</v>
      </c>
      <c r="R2935" s="37">
        <f>SUM(J2935:Q2935)</f>
        <v>37.445936461323</v>
      </c>
      <c r="S2935" s="167" t="s">
        <v>1526</v>
      </c>
      <c r="T2935" s="898" t="s">
        <v>4528</v>
      </c>
    </row>
    <row r="2936" ht="15" spans="1:20">
      <c r="A2936" s="21"/>
      <c r="B2936" s="23">
        <v>20250730</v>
      </c>
      <c r="C2936" s="23">
        <v>7.17</v>
      </c>
      <c r="D2936" s="23" t="s">
        <v>4529</v>
      </c>
      <c r="E2936" s="23" t="s">
        <v>4530</v>
      </c>
      <c r="F2936" s="688"/>
      <c r="G2936" s="690"/>
      <c r="H2936" s="21"/>
      <c r="I2936" s="21"/>
      <c r="J2936" s="138"/>
      <c r="K2936" s="21"/>
      <c r="L2936" s="21"/>
      <c r="M2936" s="21"/>
      <c r="N2936" s="37">
        <v>0.493699164414164</v>
      </c>
      <c r="O2936" s="22">
        <v>2.26612106005998</v>
      </c>
      <c r="P2936" s="37"/>
      <c r="Q2936" s="37">
        <v>0.4</v>
      </c>
      <c r="R2936" s="37">
        <f>SUM(J2936:Q2936)</f>
        <v>3.15982022447415</v>
      </c>
      <c r="S2936" s="167"/>
      <c r="T2936" s="898" t="s">
        <v>609</v>
      </c>
    </row>
    <row r="2937" ht="15" spans="1:20">
      <c r="A2937" s="21"/>
      <c r="B2937" s="23">
        <v>20250730</v>
      </c>
      <c r="C2937" s="23">
        <v>7.17</v>
      </c>
      <c r="D2937" s="23" t="s">
        <v>4531</v>
      </c>
      <c r="E2937" s="23" t="s">
        <v>4532</v>
      </c>
      <c r="F2937" s="688"/>
      <c r="G2937" s="690"/>
      <c r="H2937" s="21"/>
      <c r="I2937" s="21"/>
      <c r="J2937" s="698"/>
      <c r="K2937" s="21"/>
      <c r="L2937" s="21"/>
      <c r="M2937" s="21"/>
      <c r="N2937" s="37">
        <v>0.217227632342232</v>
      </c>
      <c r="O2937" s="22">
        <v>0.667061907406722</v>
      </c>
      <c r="P2937" s="37"/>
      <c r="Q2937" s="37">
        <v>0.2</v>
      </c>
      <c r="R2937" s="37">
        <f>SUM(J2937:Q2937)</f>
        <v>1.08428953974895</v>
      </c>
      <c r="S2937" s="167"/>
      <c r="T2937" s="750"/>
    </row>
    <row r="2938" ht="15" spans="1:20">
      <c r="A2938" s="21"/>
      <c r="B2938" s="23">
        <v>20250730</v>
      </c>
      <c r="C2938" s="23">
        <v>7.17</v>
      </c>
      <c r="D2938" s="23" t="s">
        <v>4533</v>
      </c>
      <c r="E2938" s="23" t="s">
        <v>4534</v>
      </c>
      <c r="F2938" s="688"/>
      <c r="G2938" s="690"/>
      <c r="H2938" s="21"/>
      <c r="I2938" s="21"/>
      <c r="J2938" s="138"/>
      <c r="K2938" s="21"/>
      <c r="L2938" s="21"/>
      <c r="M2938" s="21"/>
      <c r="N2938" s="37">
        <v>0.0518384122634872</v>
      </c>
      <c r="O2938" s="22">
        <v>0.258246133718419</v>
      </c>
      <c r="P2938" s="37"/>
      <c r="Q2938" s="37">
        <v>0.2</v>
      </c>
      <c r="R2938" s="37">
        <f>SUM(J2938:Q2938)</f>
        <v>0.510084545981906</v>
      </c>
      <c r="S2938" s="167"/>
      <c r="T2938" s="750"/>
    </row>
    <row r="2942" ht="15.6" spans="1:20">
      <c r="A2942" s="801" t="s">
        <v>8324</v>
      </c>
      <c r="B2942" s="718"/>
      <c r="C2942" s="718"/>
      <c r="D2942" s="718"/>
      <c r="E2942" s="127"/>
      <c r="F2942" s="127"/>
      <c r="G2942" s="13"/>
      <c r="H2942" s="14"/>
      <c r="I2942" s="14"/>
      <c r="J2942" s="128"/>
      <c r="K2942" s="919" t="s">
        <v>712</v>
      </c>
      <c r="L2942" s="919" t="s">
        <v>712</v>
      </c>
      <c r="M2942" s="128"/>
      <c r="N2942" s="866"/>
      <c r="O2942" s="867"/>
      <c r="P2942" s="868"/>
      <c r="Q2942" s="869"/>
      <c r="R2942" s="130"/>
      <c r="S2942" s="12"/>
      <c r="T2942" s="131"/>
    </row>
    <row r="2943" ht="21" customHeight="1" spans="1:20">
      <c r="A2943" s="132" t="s">
        <v>1490</v>
      </c>
      <c r="B2943" s="17" t="s">
        <v>1492</v>
      </c>
      <c r="C2943" s="773" t="s">
        <v>3</v>
      </c>
      <c r="D2943" s="164" t="s">
        <v>1494</v>
      </c>
      <c r="E2943" s="18" t="s">
        <v>5</v>
      </c>
      <c r="F2943" s="18" t="s">
        <v>1933</v>
      </c>
      <c r="G2943" s="18" t="s">
        <v>4102</v>
      </c>
      <c r="H2943" s="18" t="s">
        <v>1910</v>
      </c>
      <c r="I2943" s="18" t="s">
        <v>1497</v>
      </c>
      <c r="J2943" s="18" t="s">
        <v>4102</v>
      </c>
      <c r="K2943" s="18" t="s">
        <v>4103</v>
      </c>
      <c r="L2943" s="18" t="s">
        <v>4104</v>
      </c>
      <c r="M2943" s="18" t="s">
        <v>1497</v>
      </c>
      <c r="N2943" s="18" t="s">
        <v>6</v>
      </c>
      <c r="O2943" s="18" t="s">
        <v>7</v>
      </c>
      <c r="P2943" s="18" t="s">
        <v>5672</v>
      </c>
      <c r="Q2943" s="18" t="s">
        <v>8</v>
      </c>
      <c r="R2943" s="18" t="s">
        <v>9</v>
      </c>
      <c r="S2943" s="18" t="s">
        <v>4105</v>
      </c>
      <c r="T2943" s="18" t="s">
        <v>4106</v>
      </c>
    </row>
    <row r="2944" ht="15" spans="1:20">
      <c r="A2944" s="333" t="s">
        <v>8128</v>
      </c>
      <c r="B2944" s="23">
        <v>20241218</v>
      </c>
      <c r="C2944" s="153">
        <v>7.17</v>
      </c>
      <c r="D2944" s="23" t="s">
        <v>4020</v>
      </c>
      <c r="E2944" s="20" t="s">
        <v>1617</v>
      </c>
      <c r="F2944" s="729" t="s">
        <v>4021</v>
      </c>
      <c r="G2944" s="21" t="s">
        <v>3542</v>
      </c>
      <c r="H2944" s="21" t="s">
        <v>3711</v>
      </c>
      <c r="I2944" s="21" t="s">
        <v>1633</v>
      </c>
      <c r="J2944" s="138" t="s">
        <v>3513</v>
      </c>
      <c r="K2944" s="700" t="s">
        <v>1428</v>
      </c>
      <c r="L2944" s="699">
        <v>7.2</v>
      </c>
      <c r="M2944" s="22">
        <v>1.65389220078745</v>
      </c>
      <c r="N2944" s="22">
        <f>18.25/7.17/1.13</f>
        <v>2.25250243763962</v>
      </c>
      <c r="O2944" s="22">
        <v>7.61392655852964</v>
      </c>
      <c r="P2944" s="21"/>
      <c r="Q2944" s="742">
        <v>2.94121277199738</v>
      </c>
      <c r="R2944" s="22">
        <f>SUM(J2944:Q2944)</f>
        <v>21.6615339689541</v>
      </c>
      <c r="S2944" s="756" t="s">
        <v>4022</v>
      </c>
      <c r="T2944" s="23" t="s">
        <v>4023</v>
      </c>
    </row>
    <row r="2945" spans="1:20">
      <c r="A2945" s="333"/>
      <c r="B2945" s="23">
        <v>20241129</v>
      </c>
      <c r="C2945" s="21">
        <v>7.24</v>
      </c>
      <c r="D2945" s="23" t="s">
        <v>1133</v>
      </c>
      <c r="E2945" s="35" t="s">
        <v>7004</v>
      </c>
      <c r="F2945" s="35"/>
      <c r="G2945" s="703"/>
      <c r="H2945" s="21"/>
      <c r="I2945" s="21"/>
      <c r="J2945" s="21"/>
      <c r="K2945" s="21"/>
      <c r="L2945" s="21"/>
      <c r="M2945" s="21"/>
      <c r="N2945" s="37">
        <v>0.253020821762259</v>
      </c>
      <c r="O2945" s="22">
        <v>0.527558344755064</v>
      </c>
      <c r="P2945" s="21" t="s">
        <v>1428</v>
      </c>
      <c r="Q2945" s="37">
        <v>0.2</v>
      </c>
      <c r="R2945" s="22">
        <f>SUM(J2945:Q2945)</f>
        <v>0.980579166517323</v>
      </c>
      <c r="S2945" s="756"/>
      <c r="T2945" s="20" t="s">
        <v>484</v>
      </c>
    </row>
    <row r="2948" ht="15.6" spans="1:20">
      <c r="A2948" s="801" t="s">
        <v>8324</v>
      </c>
      <c r="B2948" s="718"/>
      <c r="C2948" s="718"/>
      <c r="D2948" s="718"/>
      <c r="E2948" s="127"/>
      <c r="F2948" s="127"/>
      <c r="G2948" s="13"/>
      <c r="H2948" s="14"/>
      <c r="I2948" s="14"/>
      <c r="J2948" s="128"/>
      <c r="K2948" s="919" t="s">
        <v>712</v>
      </c>
      <c r="L2948" s="919" t="s">
        <v>712</v>
      </c>
      <c r="M2948" s="128"/>
      <c r="N2948" s="866"/>
      <c r="O2948" s="867"/>
      <c r="P2948" s="868"/>
      <c r="Q2948" s="869"/>
      <c r="R2948" s="130"/>
      <c r="S2948" s="12"/>
      <c r="T2948" s="131"/>
    </row>
    <row r="2949" ht="21" customHeight="1" spans="1:20">
      <c r="A2949" s="132" t="s">
        <v>1490</v>
      </c>
      <c r="B2949" s="17" t="s">
        <v>1492</v>
      </c>
      <c r="C2949" s="773" t="s">
        <v>3</v>
      </c>
      <c r="D2949" s="164" t="s">
        <v>1494</v>
      </c>
      <c r="E2949" s="18" t="s">
        <v>5</v>
      </c>
      <c r="F2949" s="18" t="s">
        <v>1933</v>
      </c>
      <c r="G2949" s="18" t="s">
        <v>4102</v>
      </c>
      <c r="H2949" s="18" t="s">
        <v>1910</v>
      </c>
      <c r="I2949" s="18" t="s">
        <v>1497</v>
      </c>
      <c r="J2949" s="18" t="s">
        <v>4102</v>
      </c>
      <c r="K2949" s="18" t="s">
        <v>4103</v>
      </c>
      <c r="L2949" s="18" t="s">
        <v>4104</v>
      </c>
      <c r="M2949" s="18" t="s">
        <v>1497</v>
      </c>
      <c r="N2949" s="18" t="s">
        <v>6</v>
      </c>
      <c r="O2949" s="18" t="s">
        <v>7</v>
      </c>
      <c r="P2949" s="18" t="s">
        <v>5672</v>
      </c>
      <c r="Q2949" s="18" t="s">
        <v>8</v>
      </c>
      <c r="R2949" s="18" t="s">
        <v>9</v>
      </c>
      <c r="S2949" s="18" t="s">
        <v>4105</v>
      </c>
      <c r="T2949" s="18" t="s">
        <v>4106</v>
      </c>
    </row>
    <row r="2950" ht="15" spans="1:20">
      <c r="A2950" s="21" t="s">
        <v>455</v>
      </c>
      <c r="B2950" s="23">
        <v>20250731</v>
      </c>
      <c r="C2950" s="23">
        <v>7.17</v>
      </c>
      <c r="D2950" s="23" t="s">
        <v>462</v>
      </c>
      <c r="E2950" s="23" t="s">
        <v>463</v>
      </c>
      <c r="F2950" s="688"/>
      <c r="G2950" s="690"/>
      <c r="H2950" s="21"/>
      <c r="I2950" s="21"/>
      <c r="J2950" s="138"/>
      <c r="K2950" s="21"/>
      <c r="L2950" s="21"/>
      <c r="M2950" s="21"/>
      <c r="N2950" s="37">
        <v>0.366571629577517</v>
      </c>
      <c r="O2950" s="22">
        <v>2.23582749248649</v>
      </c>
      <c r="P2950" s="37"/>
      <c r="Q2950" s="37">
        <v>0.4</v>
      </c>
      <c r="R2950" s="37">
        <f>SUM(J2950:Q2950)</f>
        <v>3.00239912206401</v>
      </c>
      <c r="S2950" s="167"/>
      <c r="T2950" s="750" t="s">
        <v>2842</v>
      </c>
    </row>
    <row r="2955" ht="15.6" spans="1:20">
      <c r="A2955" s="801" t="s">
        <v>8324</v>
      </c>
      <c r="B2955" s="718"/>
      <c r="C2955" s="718"/>
      <c r="D2955" s="718"/>
      <c r="E2955" s="127"/>
      <c r="F2955" s="127"/>
      <c r="G2955" s="13"/>
      <c r="H2955" s="14"/>
      <c r="I2955" s="14"/>
      <c r="J2955" s="128"/>
      <c r="K2955" s="919" t="s">
        <v>712</v>
      </c>
      <c r="L2955" s="919" t="s">
        <v>712</v>
      </c>
      <c r="M2955" s="128"/>
      <c r="N2955" s="866"/>
      <c r="O2955" s="867"/>
      <c r="P2955" s="868"/>
      <c r="Q2955" s="869"/>
      <c r="R2955" s="130"/>
      <c r="S2955" s="12"/>
      <c r="T2955" s="131"/>
    </row>
    <row r="2956" ht="21" customHeight="1" spans="1:20">
      <c r="A2956" s="132" t="s">
        <v>1490</v>
      </c>
      <c r="B2956" s="17" t="s">
        <v>1492</v>
      </c>
      <c r="C2956" s="773" t="s">
        <v>3</v>
      </c>
      <c r="D2956" s="164" t="s">
        <v>1494</v>
      </c>
      <c r="E2956" s="18" t="s">
        <v>5</v>
      </c>
      <c r="F2956" s="18" t="s">
        <v>1933</v>
      </c>
      <c r="G2956" s="18" t="s">
        <v>4102</v>
      </c>
      <c r="H2956" s="18" t="s">
        <v>1910</v>
      </c>
      <c r="I2956" s="18" t="s">
        <v>1497</v>
      </c>
      <c r="J2956" s="18" t="s">
        <v>4102</v>
      </c>
      <c r="K2956" s="18" t="s">
        <v>4103</v>
      </c>
      <c r="L2956" s="18" t="s">
        <v>4104</v>
      </c>
      <c r="M2956" s="18" t="s">
        <v>1497</v>
      </c>
      <c r="N2956" s="18" t="s">
        <v>6</v>
      </c>
      <c r="O2956" s="18" t="s">
        <v>7</v>
      </c>
      <c r="P2956" s="18" t="s">
        <v>5672</v>
      </c>
      <c r="Q2956" s="18" t="s">
        <v>8</v>
      </c>
      <c r="R2956" s="18" t="s">
        <v>9</v>
      </c>
      <c r="S2956" s="18" t="s">
        <v>4105</v>
      </c>
      <c r="T2956" s="18" t="s">
        <v>4106</v>
      </c>
    </row>
    <row r="2957" ht="15" spans="1:20">
      <c r="A2957" s="333" t="s">
        <v>7502</v>
      </c>
      <c r="B2957" s="938">
        <v>20240617</v>
      </c>
      <c r="C2957" s="23">
        <v>7.17</v>
      </c>
      <c r="D2957" s="938" t="s">
        <v>7579</v>
      </c>
      <c r="E2957" s="20" t="s">
        <v>1571</v>
      </c>
      <c r="F2957" s="688" t="s">
        <v>4122</v>
      </c>
      <c r="G2957" s="690" t="s">
        <v>3020</v>
      </c>
      <c r="H2957" s="21" t="s">
        <v>1913</v>
      </c>
      <c r="I2957" s="21" t="s">
        <v>1428</v>
      </c>
      <c r="J2957" s="837">
        <v>125</v>
      </c>
      <c r="K2957" s="21" t="s">
        <v>1428</v>
      </c>
      <c r="L2957" s="21" t="s">
        <v>1428</v>
      </c>
      <c r="M2957" s="21" t="s">
        <v>1428</v>
      </c>
      <c r="N2957" s="22">
        <v>5.53313338517175</v>
      </c>
      <c r="O2957" s="22">
        <v>15.3544414187322</v>
      </c>
      <c r="P2957" s="37" t="s">
        <v>1428</v>
      </c>
      <c r="Q2957" s="37">
        <v>3.14632482758621</v>
      </c>
      <c r="R2957" s="37">
        <f>SUM(J2957:Q2957)</f>
        <v>149.03389963149</v>
      </c>
      <c r="S2957" s="167" t="s">
        <v>1526</v>
      </c>
      <c r="T2957" s="167" t="s">
        <v>8400</v>
      </c>
    </row>
    <row r="2961" ht="15.6" spans="1:20">
      <c r="A2961" s="801" t="s">
        <v>8324</v>
      </c>
      <c r="B2961" s="718"/>
      <c r="C2961" s="718"/>
      <c r="D2961" s="718"/>
      <c r="E2961" s="127"/>
      <c r="F2961" s="127"/>
      <c r="G2961" s="13"/>
      <c r="H2961" s="14"/>
      <c r="I2961" s="14"/>
      <c r="J2961" s="128"/>
      <c r="K2961" s="919" t="s">
        <v>712</v>
      </c>
      <c r="L2961" s="919" t="s">
        <v>712</v>
      </c>
      <c r="M2961" s="128"/>
      <c r="N2961" s="866"/>
      <c r="O2961" s="867"/>
      <c r="P2961" s="868"/>
      <c r="Q2961" s="869"/>
      <c r="R2961" s="130"/>
      <c r="S2961" s="12"/>
      <c r="T2961" s="131"/>
    </row>
    <row r="2962" ht="21" customHeight="1" spans="1:20">
      <c r="A2962" s="132" t="s">
        <v>1490</v>
      </c>
      <c r="B2962" s="17" t="s">
        <v>1492</v>
      </c>
      <c r="C2962" s="773" t="s">
        <v>3</v>
      </c>
      <c r="D2962" s="164" t="s">
        <v>1494</v>
      </c>
      <c r="E2962" s="18" t="s">
        <v>5</v>
      </c>
      <c r="F2962" s="18" t="s">
        <v>1933</v>
      </c>
      <c r="G2962" s="18" t="s">
        <v>4102</v>
      </c>
      <c r="H2962" s="18" t="s">
        <v>1910</v>
      </c>
      <c r="I2962" s="18" t="s">
        <v>1497</v>
      </c>
      <c r="J2962" s="18" t="s">
        <v>4102</v>
      </c>
      <c r="K2962" s="18" t="s">
        <v>4103</v>
      </c>
      <c r="L2962" s="18" t="s">
        <v>4104</v>
      </c>
      <c r="M2962" s="18" t="s">
        <v>1497</v>
      </c>
      <c r="N2962" s="18" t="s">
        <v>6</v>
      </c>
      <c r="O2962" s="18" t="s">
        <v>7</v>
      </c>
      <c r="P2962" s="18" t="s">
        <v>5672</v>
      </c>
      <c r="Q2962" s="18" t="s">
        <v>8</v>
      </c>
      <c r="R2962" s="18" t="s">
        <v>9</v>
      </c>
      <c r="S2962" s="18" t="s">
        <v>4105</v>
      </c>
      <c r="T2962" s="18" t="s">
        <v>4106</v>
      </c>
    </row>
    <row r="2963" ht="15" spans="1:20">
      <c r="A2963" s="21" t="s">
        <v>7826</v>
      </c>
      <c r="B2963" s="23">
        <v>20250730</v>
      </c>
      <c r="C2963" s="23">
        <v>7.17</v>
      </c>
      <c r="D2963" s="23" t="s">
        <v>4062</v>
      </c>
      <c r="E2963" s="23" t="s">
        <v>2427</v>
      </c>
      <c r="F2963" s="688" t="s">
        <v>8087</v>
      </c>
      <c r="G2963" s="690" t="s">
        <v>4063</v>
      </c>
      <c r="H2963" s="21" t="s">
        <v>1913</v>
      </c>
      <c r="I2963" s="21"/>
      <c r="J2963" s="138" t="s">
        <v>3513</v>
      </c>
      <c r="K2963" s="21"/>
      <c r="L2963" s="21"/>
      <c r="M2963" s="21"/>
      <c r="N2963" s="37">
        <v>3.75334789745868</v>
      </c>
      <c r="O2963" s="22">
        <v>9.25383290767516</v>
      </c>
      <c r="P2963" s="37"/>
      <c r="Q2963" s="37">
        <v>3</v>
      </c>
      <c r="R2963" s="37">
        <f>SUM(J2963:Q2963)</f>
        <v>16.0071808051338</v>
      </c>
      <c r="S2963" s="167" t="s">
        <v>1526</v>
      </c>
      <c r="T2963" s="750" t="s">
        <v>4049</v>
      </c>
    </row>
    <row r="2964" ht="15" spans="1:20">
      <c r="A2964" s="21"/>
      <c r="B2964" s="23">
        <v>20241113</v>
      </c>
      <c r="C2964" s="23">
        <v>7.17</v>
      </c>
      <c r="D2964" s="23" t="s">
        <v>1405</v>
      </c>
      <c r="E2964" s="23" t="s">
        <v>21</v>
      </c>
      <c r="F2964" s="688"/>
      <c r="G2964" s="690"/>
      <c r="H2964" s="21"/>
      <c r="I2964" s="21"/>
      <c r="J2964" s="138"/>
      <c r="K2964" s="21"/>
      <c r="L2964" s="21"/>
      <c r="M2964" s="21"/>
      <c r="N2964" s="37">
        <v>0.424280290615099</v>
      </c>
      <c r="O2964" s="22">
        <v>2.49776399310227</v>
      </c>
      <c r="P2964" s="37" t="s">
        <v>1428</v>
      </c>
      <c r="Q2964" s="37">
        <v>0.4</v>
      </c>
      <c r="R2964" s="37">
        <f>SUM(J2964:Q2964)</f>
        <v>3.32204428371737</v>
      </c>
      <c r="S2964" s="750"/>
      <c r="T2964" s="333" t="s">
        <v>2844</v>
      </c>
    </row>
    <row r="2966" ht="23" customHeight="1" spans="1:20">
      <c r="A2966" s="801" t="s">
        <v>8401</v>
      </c>
      <c r="B2966" s="718"/>
      <c r="C2966" s="718"/>
      <c r="D2966" s="718"/>
      <c r="E2966" s="939"/>
      <c r="F2966" s="127"/>
      <c r="G2966" s="13"/>
      <c r="H2966" s="14"/>
      <c r="I2966" s="14"/>
      <c r="J2966" s="128"/>
      <c r="K2966" s="919" t="s">
        <v>712</v>
      </c>
      <c r="L2966" s="919" t="s">
        <v>712</v>
      </c>
      <c r="M2966" s="128"/>
      <c r="N2966" s="940"/>
      <c r="O2966" s="941"/>
      <c r="P2966" s="868"/>
      <c r="Q2966" s="942"/>
      <c r="R2966" s="943"/>
      <c r="S2966" s="12"/>
      <c r="T2966" s="944"/>
    </row>
    <row r="2967" ht="24" customHeight="1" spans="1:20">
      <c r="A2967" s="752" t="s">
        <v>1</v>
      </c>
      <c r="B2967" s="17" t="s">
        <v>1492</v>
      </c>
      <c r="C2967" s="773" t="s">
        <v>3</v>
      </c>
      <c r="D2967" s="164" t="s">
        <v>1494</v>
      </c>
      <c r="E2967" s="141" t="s">
        <v>5</v>
      </c>
      <c r="F2967" s="18" t="s">
        <v>1933</v>
      </c>
      <c r="G2967" s="18" t="s">
        <v>4102</v>
      </c>
      <c r="H2967" s="18" t="s">
        <v>1910</v>
      </c>
      <c r="I2967" s="18" t="s">
        <v>1497</v>
      </c>
      <c r="J2967" s="18" t="s">
        <v>4102</v>
      </c>
      <c r="K2967" s="18" t="s">
        <v>4103</v>
      </c>
      <c r="L2967" s="18" t="s">
        <v>4104</v>
      </c>
      <c r="M2967" s="18" t="s">
        <v>1497</v>
      </c>
      <c r="N2967" s="141" t="s">
        <v>8402</v>
      </c>
      <c r="O2967" s="141" t="s">
        <v>8403</v>
      </c>
      <c r="P2967" s="18" t="s">
        <v>5672</v>
      </c>
      <c r="Q2967" s="141" t="s">
        <v>8404</v>
      </c>
      <c r="R2967" s="141" t="s">
        <v>8405</v>
      </c>
      <c r="S2967" s="18" t="s">
        <v>4105</v>
      </c>
      <c r="T2967" s="141" t="s">
        <v>10</v>
      </c>
    </row>
    <row r="2968" ht="20" customHeight="1" spans="1:20">
      <c r="A2968" s="945" t="s">
        <v>768</v>
      </c>
      <c r="B2968" s="777">
        <v>20240809</v>
      </c>
      <c r="C2968" s="23">
        <v>7.17</v>
      </c>
      <c r="D2968" s="777" t="s">
        <v>769</v>
      </c>
      <c r="E2968" s="759" t="s">
        <v>770</v>
      </c>
      <c r="F2968" s="39"/>
      <c r="G2968" s="21"/>
      <c r="H2968" s="21"/>
      <c r="I2968" s="21"/>
      <c r="J2968" s="779"/>
      <c r="K2968" s="779"/>
      <c r="L2968" s="779"/>
      <c r="M2968" s="779"/>
      <c r="N2968" s="946">
        <v>0.177731699189099</v>
      </c>
      <c r="O2968" s="946">
        <v>0.29</v>
      </c>
      <c r="P2968" s="21" t="s">
        <v>1428</v>
      </c>
      <c r="Q2968" s="947">
        <v>0.2</v>
      </c>
      <c r="R2968" s="947">
        <f>SUM(J2968:Q2968)</f>
        <v>0.667731699189099</v>
      </c>
      <c r="S2968" s="23"/>
      <c r="T2968" s="759"/>
    </row>
    <row r="2969" ht="20" customHeight="1" spans="1:20">
      <c r="A2969" s="945" t="s">
        <v>8406</v>
      </c>
      <c r="B2969" s="777"/>
      <c r="C2969" s="23"/>
      <c r="D2969" s="777"/>
      <c r="E2969" s="759" t="s">
        <v>8407</v>
      </c>
      <c r="F2969" s="39"/>
      <c r="G2969" s="21"/>
      <c r="H2969" s="21"/>
      <c r="I2969" s="21"/>
      <c r="J2969" s="779"/>
      <c r="K2969" s="779"/>
      <c r="L2969" s="779"/>
      <c r="M2969" s="779"/>
      <c r="N2969" s="946">
        <v>4.86417101739055</v>
      </c>
      <c r="O2969" s="946">
        <v>15.7632090862332</v>
      </c>
      <c r="P2969" s="21"/>
      <c r="Q2969" s="947">
        <v>3.5</v>
      </c>
      <c r="R2969" s="947">
        <f>SUM(J2969:Q2969)</f>
        <v>24.1273801036238</v>
      </c>
      <c r="S2969" s="23"/>
      <c r="T2969" s="948" t="s">
        <v>8408</v>
      </c>
    </row>
    <row r="2970" ht="20" customHeight="1" spans="1:20">
      <c r="A2970" s="945" t="s">
        <v>8406</v>
      </c>
      <c r="B2970" s="777"/>
      <c r="C2970" s="23"/>
      <c r="D2970" s="777"/>
      <c r="E2970" s="759" t="s">
        <v>8407</v>
      </c>
      <c r="F2970" s="39"/>
      <c r="G2970" s="21"/>
      <c r="H2970" s="21"/>
      <c r="I2970" s="21"/>
      <c r="J2970" s="779"/>
      <c r="K2970" s="779"/>
      <c r="L2970" s="779"/>
      <c r="M2970" s="779"/>
      <c r="N2970" s="946">
        <v>4.86417101739055</v>
      </c>
      <c r="O2970" s="946">
        <v>15.7632090862332</v>
      </c>
      <c r="P2970" s="21"/>
      <c r="Q2970" s="947">
        <v>3.5</v>
      </c>
      <c r="R2970" s="947">
        <f>SUM(J2970:Q2970)</f>
        <v>24.1273801036238</v>
      </c>
      <c r="S2970" s="23"/>
      <c r="T2970" s="948" t="s">
        <v>8408</v>
      </c>
    </row>
    <row r="2971" spans="1:20">
      <c r="A2971" s="333"/>
      <c r="B2971" s="777">
        <v>20250723</v>
      </c>
      <c r="C2971" s="23">
        <v>7.17</v>
      </c>
      <c r="D2971" s="777" t="s">
        <v>775</v>
      </c>
      <c r="E2971" s="777" t="s">
        <v>776</v>
      </c>
      <c r="F2971" s="39"/>
      <c r="G2971" s="21"/>
      <c r="H2971" s="21"/>
      <c r="I2971" s="21"/>
      <c r="J2971" s="779"/>
      <c r="K2971" s="779"/>
      <c r="L2971" s="779"/>
      <c r="M2971" s="779"/>
      <c r="N2971" s="22">
        <v>0.130830278569754</v>
      </c>
      <c r="O2971" s="22">
        <v>0.240384591649079</v>
      </c>
      <c r="P2971" s="21"/>
      <c r="Q2971" s="37">
        <v>0.2</v>
      </c>
      <c r="R2971" s="37">
        <f>SUM(J2971:Q2971)</f>
        <v>0.571214870218833</v>
      </c>
      <c r="S2971" s="23"/>
      <c r="T2971" s="39"/>
    </row>
    <row r="2972" spans="1:20">
      <c r="A2972" s="333"/>
      <c r="B2972" s="777">
        <v>20250723</v>
      </c>
      <c r="C2972" s="23">
        <v>7.17</v>
      </c>
      <c r="D2972" s="777" t="s">
        <v>778</v>
      </c>
      <c r="E2972" s="763" t="s">
        <v>779</v>
      </c>
      <c r="F2972" s="39"/>
      <c r="G2972" s="21"/>
      <c r="H2972" s="21"/>
      <c r="I2972" s="21"/>
      <c r="J2972" s="779"/>
      <c r="K2972" s="779"/>
      <c r="L2972" s="779"/>
      <c r="M2972" s="779"/>
      <c r="N2972" s="22">
        <v>0.12095629528147</v>
      </c>
      <c r="O2972" s="22">
        <v>0.257278946885399</v>
      </c>
      <c r="P2972" s="21"/>
      <c r="Q2972" s="37">
        <v>0.2</v>
      </c>
      <c r="R2972" s="37">
        <f>SUM(J2972:Q2972)</f>
        <v>0.578235242166869</v>
      </c>
      <c r="S2972" s="23"/>
      <c r="T2972" s="39"/>
    </row>
    <row r="2976" ht="23" customHeight="1" spans="1:20">
      <c r="A2976" s="801" t="s">
        <v>8409</v>
      </c>
      <c r="B2976" s="718"/>
      <c r="C2976" s="718"/>
      <c r="D2976" s="718"/>
      <c r="E2976" s="939"/>
      <c r="F2976" s="127"/>
      <c r="G2976" s="13"/>
      <c r="H2976" s="14"/>
      <c r="I2976" s="14"/>
      <c r="J2976" s="128"/>
      <c r="K2976" s="919" t="s">
        <v>712</v>
      </c>
      <c r="L2976" s="919" t="s">
        <v>712</v>
      </c>
      <c r="M2976" s="128"/>
      <c r="N2976" s="940"/>
      <c r="O2976" s="941"/>
      <c r="P2976" s="868"/>
      <c r="Q2976" s="942"/>
      <c r="R2976" s="943"/>
      <c r="S2976" s="12"/>
      <c r="T2976" s="944"/>
    </row>
    <row r="2977" ht="24" customHeight="1" spans="1:20">
      <c r="A2977" s="752" t="s">
        <v>1</v>
      </c>
      <c r="B2977" s="17" t="s">
        <v>1492</v>
      </c>
      <c r="C2977" s="773" t="s">
        <v>3</v>
      </c>
      <c r="D2977" s="164" t="s">
        <v>1494</v>
      </c>
      <c r="E2977" s="141" t="s">
        <v>5</v>
      </c>
      <c r="F2977" s="18" t="s">
        <v>1933</v>
      </c>
      <c r="G2977" s="18" t="s">
        <v>4102</v>
      </c>
      <c r="H2977" s="18" t="s">
        <v>1910</v>
      </c>
      <c r="I2977" s="18" t="s">
        <v>1497</v>
      </c>
      <c r="J2977" s="18" t="s">
        <v>4102</v>
      </c>
      <c r="K2977" s="18" t="s">
        <v>4103</v>
      </c>
      <c r="L2977" s="18" t="s">
        <v>4104</v>
      </c>
      <c r="M2977" s="18" t="s">
        <v>1497</v>
      </c>
      <c r="N2977" s="141" t="s">
        <v>8402</v>
      </c>
      <c r="O2977" s="141" t="s">
        <v>8403</v>
      </c>
      <c r="P2977" s="18" t="s">
        <v>5672</v>
      </c>
      <c r="Q2977" s="141" t="s">
        <v>8404</v>
      </c>
      <c r="R2977" s="141" t="s">
        <v>8405</v>
      </c>
      <c r="S2977" s="18" t="s">
        <v>4105</v>
      </c>
      <c r="T2977" s="141" t="s">
        <v>10</v>
      </c>
    </row>
    <row r="2978" spans="1:20">
      <c r="A2978" s="333" t="s">
        <v>7936</v>
      </c>
      <c r="B2978" s="23">
        <v>20250108</v>
      </c>
      <c r="C2978" s="23">
        <v>7.24</v>
      </c>
      <c r="D2978" s="23" t="s">
        <v>4411</v>
      </c>
      <c r="E2978" s="695" t="s">
        <v>1629</v>
      </c>
      <c r="F2978" s="688" t="s">
        <v>4122</v>
      </c>
      <c r="G2978" s="21" t="s">
        <v>2664</v>
      </c>
      <c r="H2978" s="21" t="s">
        <v>1913</v>
      </c>
      <c r="I2978" s="22"/>
      <c r="J2978" s="700">
        <v>155</v>
      </c>
      <c r="K2978" s="21"/>
      <c r="L2978" s="22"/>
      <c r="M2978" s="22"/>
      <c r="N2978" s="37">
        <v>3.91256587798225</v>
      </c>
      <c r="O2978" s="37">
        <v>21.3383592537947</v>
      </c>
      <c r="P2978" s="37"/>
      <c r="Q2978" s="770">
        <v>5</v>
      </c>
      <c r="R2978" s="22">
        <v>185.239774551639</v>
      </c>
      <c r="S2978" s="23"/>
      <c r="T2978" s="760" t="s">
        <v>4412</v>
      </c>
    </row>
    <row r="2979" ht="15" spans="1:20">
      <c r="A2979" s="333" t="s">
        <v>7936</v>
      </c>
      <c r="B2979" s="23">
        <v>20241113</v>
      </c>
      <c r="C2979" s="23">
        <v>7.17</v>
      </c>
      <c r="D2979" s="23" t="s">
        <v>1405</v>
      </c>
      <c r="E2979" s="20" t="s">
        <v>21</v>
      </c>
      <c r="F2979" s="688"/>
      <c r="G2979" s="690"/>
      <c r="H2979" s="690"/>
      <c r="I2979" s="690"/>
      <c r="J2979" s="36"/>
      <c r="K2979" s="21"/>
      <c r="L2979" s="21"/>
      <c r="M2979" s="21"/>
      <c r="N2979" s="22">
        <v>0.424280290615099</v>
      </c>
      <c r="O2979" s="22">
        <v>2.49776399310227</v>
      </c>
      <c r="P2979" s="37" t="s">
        <v>1428</v>
      </c>
      <c r="Q2979" s="37">
        <v>0.4</v>
      </c>
      <c r="R2979" s="37">
        <f>SUM(J2979:Q2979)</f>
        <v>3.32204428371737</v>
      </c>
      <c r="S2979" s="688"/>
      <c r="T2979" s="167" t="s">
        <v>2844</v>
      </c>
    </row>
    <row r="2983" ht="23" customHeight="1" spans="1:20">
      <c r="A2983" s="801" t="s">
        <v>8409</v>
      </c>
      <c r="B2983" s="718"/>
      <c r="C2983" s="718"/>
      <c r="D2983" s="718"/>
      <c r="E2983" s="939"/>
      <c r="F2983" s="127"/>
      <c r="G2983" s="13"/>
      <c r="H2983" s="14"/>
      <c r="I2983" s="14"/>
      <c r="J2983" s="128"/>
      <c r="K2983" s="919" t="s">
        <v>712</v>
      </c>
      <c r="L2983" s="919" t="s">
        <v>712</v>
      </c>
      <c r="M2983" s="128"/>
      <c r="N2983" s="940"/>
      <c r="O2983" s="941"/>
      <c r="P2983" s="868"/>
      <c r="Q2983" s="942"/>
      <c r="R2983" s="943"/>
      <c r="S2983" s="12"/>
      <c r="T2983" s="944"/>
    </row>
    <row r="2984" ht="24" customHeight="1" spans="1:20">
      <c r="A2984" s="752" t="s">
        <v>1</v>
      </c>
      <c r="B2984" s="17" t="s">
        <v>1492</v>
      </c>
      <c r="C2984" s="773" t="s">
        <v>3</v>
      </c>
      <c r="D2984" s="164" t="s">
        <v>1494</v>
      </c>
      <c r="E2984" s="141" t="s">
        <v>5</v>
      </c>
      <c r="F2984" s="18" t="s">
        <v>1933</v>
      </c>
      <c r="G2984" s="18" t="s">
        <v>4102</v>
      </c>
      <c r="H2984" s="18" t="s">
        <v>1910</v>
      </c>
      <c r="I2984" s="18" t="s">
        <v>1497</v>
      </c>
      <c r="J2984" s="18" t="s">
        <v>4102</v>
      </c>
      <c r="K2984" s="18" t="s">
        <v>4103</v>
      </c>
      <c r="L2984" s="18" t="s">
        <v>4104</v>
      </c>
      <c r="M2984" s="18" t="s">
        <v>1497</v>
      </c>
      <c r="N2984" s="141" t="s">
        <v>6</v>
      </c>
      <c r="O2984" s="141" t="s">
        <v>7</v>
      </c>
      <c r="P2984" s="18" t="s">
        <v>5672</v>
      </c>
      <c r="Q2984" s="141" t="s">
        <v>8</v>
      </c>
      <c r="R2984" s="141" t="s">
        <v>9</v>
      </c>
      <c r="S2984" s="18" t="s">
        <v>4105</v>
      </c>
      <c r="T2984" s="141" t="s">
        <v>10</v>
      </c>
    </row>
    <row r="2985" spans="1:20">
      <c r="A2985" s="333" t="s">
        <v>7936</v>
      </c>
      <c r="B2985" s="23">
        <v>20250108</v>
      </c>
      <c r="C2985" s="23">
        <v>7.24</v>
      </c>
      <c r="D2985" s="23" t="s">
        <v>4411</v>
      </c>
      <c r="E2985" s="695" t="s">
        <v>1629</v>
      </c>
      <c r="F2985" s="688" t="s">
        <v>4122</v>
      </c>
      <c r="G2985" s="21" t="s">
        <v>2664</v>
      </c>
      <c r="H2985" s="21" t="s">
        <v>1913</v>
      </c>
      <c r="I2985" s="22"/>
      <c r="J2985" s="700" t="s">
        <v>1979</v>
      </c>
      <c r="K2985" s="21"/>
      <c r="L2985" s="22"/>
      <c r="M2985" s="22"/>
      <c r="N2985" s="37">
        <f>31.7/1.13/7.17</f>
        <v>3.91256587798225</v>
      </c>
      <c r="O2985" s="37">
        <v>20.615319243924</v>
      </c>
      <c r="P2985" s="37"/>
      <c r="Q2985" s="770">
        <v>3.5</v>
      </c>
      <c r="R2985" s="37">
        <f>SUM(J2985:Q2985)</f>
        <v>28.0278851219062</v>
      </c>
      <c r="S2985" s="23"/>
      <c r="T2985" s="760" t="s">
        <v>4412</v>
      </c>
    </row>
    <row r="2986" ht="15" spans="1:20">
      <c r="A2986" s="333" t="s">
        <v>7936</v>
      </c>
      <c r="B2986" s="23">
        <v>20241113</v>
      </c>
      <c r="C2986" s="23">
        <v>7.17</v>
      </c>
      <c r="D2986" s="23" t="s">
        <v>1405</v>
      </c>
      <c r="E2986" s="20" t="s">
        <v>21</v>
      </c>
      <c r="F2986" s="688"/>
      <c r="G2986" s="690"/>
      <c r="H2986" s="690"/>
      <c r="I2986" s="690"/>
      <c r="J2986" s="36"/>
      <c r="K2986" s="21"/>
      <c r="L2986" s="21"/>
      <c r="M2986" s="21"/>
      <c r="N2986" s="22">
        <v>0.424280290615099</v>
      </c>
      <c r="O2986" s="22">
        <v>2.36720326335148</v>
      </c>
      <c r="P2986" s="37" t="s">
        <v>1428</v>
      </c>
      <c r="Q2986" s="37">
        <v>0.4</v>
      </c>
      <c r="R2986" s="37">
        <f>SUM(J2986:Q2986)</f>
        <v>3.19148355396658</v>
      </c>
      <c r="S2986" s="688"/>
      <c r="T2986" s="167" t="s">
        <v>2844</v>
      </c>
    </row>
    <row r="2990" spans="1:20">
      <c r="O2990" s="594" t="s">
        <v>8187</v>
      </c>
      <c r="P2990" s="595" t="s">
        <v>7862</v>
      </c>
    </row>
    <row r="2991" spans="1:20">
      <c r="O2991" s="594" t="s">
        <v>7822</v>
      </c>
      <c r="P2991" s="590">
        <f>N2978+O2978+Q2978</f>
        <v>30.250925131777</v>
      </c>
    </row>
    <row r="2992" spans="1:20">
      <c r="O2992" s="594" t="s">
        <v>7823</v>
      </c>
      <c r="P2992" s="590">
        <f>N2985+O2985+Q2985</f>
        <v>28.0278851219062</v>
      </c>
    </row>
    <row r="2993" spans="1:20">
      <c r="O2993" s="594" t="s">
        <v>7863</v>
      </c>
      <c r="P2993" s="634">
        <f>P2991-P2992</f>
        <v>2.22304000987071</v>
      </c>
    </row>
    <row r="2995" ht="23" customHeight="1" spans="1:20">
      <c r="A2995" s="801" t="s">
        <v>8409</v>
      </c>
      <c r="B2995" s="718"/>
      <c r="C2995" s="718"/>
      <c r="D2995" s="718"/>
      <c r="E2995" s="939"/>
      <c r="F2995" s="127"/>
      <c r="G2995" s="13"/>
      <c r="H2995" s="14"/>
      <c r="I2995" s="14"/>
      <c r="J2995" s="128"/>
      <c r="K2995" s="919" t="s">
        <v>712</v>
      </c>
      <c r="L2995" s="919" t="s">
        <v>712</v>
      </c>
      <c r="M2995" s="128"/>
      <c r="N2995" s="940"/>
      <c r="O2995" s="941"/>
      <c r="P2995" s="868"/>
      <c r="Q2995" s="942"/>
      <c r="R2995" s="943"/>
      <c r="S2995" s="12"/>
      <c r="T2995" s="944"/>
    </row>
    <row r="2996" ht="24" customHeight="1" spans="1:20">
      <c r="A2996" s="752" t="s">
        <v>1</v>
      </c>
      <c r="B2996" s="17" t="s">
        <v>1492</v>
      </c>
      <c r="C2996" s="773" t="s">
        <v>3</v>
      </c>
      <c r="D2996" s="164" t="s">
        <v>1494</v>
      </c>
      <c r="E2996" s="141" t="s">
        <v>5</v>
      </c>
      <c r="F2996" s="18" t="s">
        <v>1933</v>
      </c>
      <c r="G2996" s="18" t="s">
        <v>4102</v>
      </c>
      <c r="H2996" s="18" t="s">
        <v>1910</v>
      </c>
      <c r="I2996" s="18" t="s">
        <v>1497</v>
      </c>
      <c r="J2996" s="18" t="s">
        <v>4102</v>
      </c>
      <c r="K2996" s="18" t="s">
        <v>4103</v>
      </c>
      <c r="L2996" s="18" t="s">
        <v>4104</v>
      </c>
      <c r="M2996" s="18" t="s">
        <v>1497</v>
      </c>
      <c r="N2996" s="141" t="s">
        <v>6</v>
      </c>
      <c r="O2996" s="141" t="s">
        <v>7</v>
      </c>
      <c r="P2996" s="18" t="s">
        <v>5672</v>
      </c>
      <c r="Q2996" s="141" t="s">
        <v>8</v>
      </c>
      <c r="R2996" s="141" t="s">
        <v>9</v>
      </c>
      <c r="S2996" s="18" t="s">
        <v>4105</v>
      </c>
      <c r="T2996" s="141" t="s">
        <v>10</v>
      </c>
    </row>
    <row r="2997" ht="15" spans="1:20">
      <c r="A2997" s="949" t="s">
        <v>7659</v>
      </c>
      <c r="B2997" s="687">
        <v>20250804</v>
      </c>
      <c r="C2997" s="687">
        <v>7.17</v>
      </c>
      <c r="D2997" s="687" t="s">
        <v>8410</v>
      </c>
      <c r="E2997" s="149" t="s">
        <v>2406</v>
      </c>
      <c r="F2997" s="149" t="s">
        <v>4457</v>
      </c>
      <c r="G2997" s="153" t="s">
        <v>2407</v>
      </c>
      <c r="H2997" s="153"/>
      <c r="I2997" s="153"/>
      <c r="J2997" s="907">
        <v>398</v>
      </c>
      <c r="K2997" s="153"/>
      <c r="L2997" s="153"/>
      <c r="M2997" s="153"/>
      <c r="N2997" s="727">
        <f>37/C2997/1.13</f>
        <v>4.56671727083102</v>
      </c>
      <c r="O2997" s="727">
        <v>20.2248263536787</v>
      </c>
      <c r="P2997" s="154"/>
      <c r="Q2997" s="154">
        <v>3.36122733612273</v>
      </c>
      <c r="R2997" s="154">
        <f>SUM(J2997:Q2997)</f>
        <v>426.152770960632</v>
      </c>
      <c r="S2997" s="156" t="s">
        <v>1526</v>
      </c>
      <c r="T2997" s="908" t="s">
        <v>2404</v>
      </c>
    </row>
    <row r="2998" ht="15" spans="1:20">
      <c r="A2998" s="949"/>
      <c r="B2998" s="687">
        <v>20250804</v>
      </c>
      <c r="C2998" s="687">
        <v>7.17</v>
      </c>
      <c r="D2998" s="687" t="s">
        <v>8411</v>
      </c>
      <c r="E2998" s="149" t="s">
        <v>2409</v>
      </c>
      <c r="F2998" s="149" t="s">
        <v>4457</v>
      </c>
      <c r="G2998" s="153" t="s">
        <v>2082</v>
      </c>
      <c r="H2998" s="153"/>
      <c r="I2998" s="153"/>
      <c r="J2998" s="907">
        <v>100</v>
      </c>
      <c r="K2998" s="153"/>
      <c r="L2998" s="153"/>
      <c r="M2998" s="153"/>
      <c r="N2998" s="727">
        <f>37/C2998/1.13</f>
        <v>4.56671727083102</v>
      </c>
      <c r="O2998" s="727">
        <v>20.2248263536787</v>
      </c>
      <c r="P2998" s="154"/>
      <c r="Q2998" s="154">
        <v>3.36122733612273</v>
      </c>
      <c r="R2998" s="154">
        <f>SUM(J2998:Q2998)</f>
        <v>128.152770960632</v>
      </c>
      <c r="S2998" s="156" t="s">
        <v>1526</v>
      </c>
      <c r="T2998" s="908" t="s">
        <v>2404</v>
      </c>
    </row>
    <row r="2999" ht="15" spans="1:20">
      <c r="A2999" s="949"/>
      <c r="B2999" s="687">
        <v>20250804</v>
      </c>
      <c r="C2999" s="687">
        <v>7.17</v>
      </c>
      <c r="D2999" s="687" t="s">
        <v>8412</v>
      </c>
      <c r="E2999" s="149" t="s">
        <v>2411</v>
      </c>
      <c r="F2999" s="149" t="s">
        <v>4457</v>
      </c>
      <c r="G2999" s="153" t="s">
        <v>2323</v>
      </c>
      <c r="H2999" s="153"/>
      <c r="I2999" s="153"/>
      <c r="J2999" s="907">
        <v>65</v>
      </c>
      <c r="K2999" s="153"/>
      <c r="L2999" s="153"/>
      <c r="M2999" s="153"/>
      <c r="N2999" s="727">
        <f>37/C2999/1.13</f>
        <v>4.56671727083102</v>
      </c>
      <c r="O2999" s="727">
        <v>20.2248263536787</v>
      </c>
      <c r="P2999" s="154"/>
      <c r="Q2999" s="154">
        <v>3.36122733612273</v>
      </c>
      <c r="R2999" s="154">
        <f>SUM(J2999:Q2999)</f>
        <v>93.1527709606324</v>
      </c>
      <c r="S2999" s="156" t="s">
        <v>1526</v>
      </c>
      <c r="T2999" s="908" t="s">
        <v>2404</v>
      </c>
    </row>
    <row r="3007" ht="15.6" spans="1:20">
      <c r="A3007" s="684" t="s">
        <v>8413</v>
      </c>
      <c r="B3007" s="97"/>
      <c r="C3007" s="97"/>
      <c r="D3007" s="97"/>
      <c r="E3007" s="950"/>
      <c r="F3007" s="950"/>
      <c r="G3007" s="951"/>
      <c r="H3007" s="952"/>
      <c r="I3007" s="952"/>
      <c r="J3007" s="951"/>
      <c r="K3007" s="189"/>
      <c r="L3007" s="951"/>
      <c r="M3007" s="951"/>
      <c r="N3007" s="953"/>
      <c r="O3007" s="953"/>
      <c r="P3007" s="951"/>
      <c r="Q3007" s="953"/>
      <c r="R3007" s="953"/>
      <c r="S3007" s="954"/>
      <c r="T3007" s="955"/>
    </row>
    <row r="3008" ht="15.6" spans="1:20">
      <c r="A3008" s="132" t="s">
        <v>1490</v>
      </c>
      <c r="B3008" s="132"/>
      <c r="C3008" s="132"/>
      <c r="D3008" s="132"/>
      <c r="E3008" s="133" t="s">
        <v>5</v>
      </c>
      <c r="F3008" s="133" t="s">
        <v>1933</v>
      </c>
      <c r="G3008" s="18" t="s">
        <v>4102</v>
      </c>
      <c r="H3008" s="133" t="s">
        <v>1910</v>
      </c>
      <c r="I3008" s="133" t="s">
        <v>1497</v>
      </c>
      <c r="J3008" s="18" t="s">
        <v>4102</v>
      </c>
      <c r="K3008" s="17" t="s">
        <v>4103</v>
      </c>
      <c r="L3008" s="18" t="s">
        <v>4104</v>
      </c>
      <c r="M3008" s="18" t="s">
        <v>1497</v>
      </c>
      <c r="N3008" s="134" t="s">
        <v>6</v>
      </c>
      <c r="O3008" s="134" t="s">
        <v>7</v>
      </c>
      <c r="P3008" s="956" t="s">
        <v>5672</v>
      </c>
      <c r="Q3008" s="956" t="s">
        <v>8</v>
      </c>
      <c r="R3008" s="134" t="s">
        <v>9</v>
      </c>
      <c r="S3008" s="957" t="s">
        <v>4105</v>
      </c>
      <c r="T3008" s="136" t="s">
        <v>4106</v>
      </c>
    </row>
    <row r="3009" ht="15" spans="1:20">
      <c r="A3009" s="729" t="s">
        <v>7334</v>
      </c>
      <c r="B3009" s="142">
        <v>20250804</v>
      </c>
      <c r="C3009" s="142"/>
      <c r="D3009" s="142">
        <v>7.17</v>
      </c>
      <c r="E3009" s="729" t="s">
        <v>1617</v>
      </c>
      <c r="F3009" s="23" t="s">
        <v>1933</v>
      </c>
      <c r="G3009" s="689" t="s">
        <v>7335</v>
      </c>
      <c r="H3009" s="21" t="s">
        <v>1913</v>
      </c>
      <c r="I3009" s="21" t="s">
        <v>3891</v>
      </c>
      <c r="J3009" s="21">
        <v>35</v>
      </c>
      <c r="K3009" s="689" t="s">
        <v>1428</v>
      </c>
      <c r="L3009" s="689" t="s">
        <v>1428</v>
      </c>
      <c r="M3009" s="689" t="s">
        <v>1428</v>
      </c>
      <c r="N3009" s="822">
        <v>6.3743842364532</v>
      </c>
      <c r="O3009" s="37">
        <v>25.3891625615764</v>
      </c>
      <c r="P3009" s="22" t="s">
        <v>1428</v>
      </c>
      <c r="Q3009" s="37">
        <v>4.06713286713287</v>
      </c>
      <c r="R3009" s="22">
        <v>70.8306796651625</v>
      </c>
      <c r="S3009" s="729" t="s">
        <v>2854</v>
      </c>
      <c r="T3009" s="20" t="s">
        <v>7336</v>
      </c>
    </row>
    <row r="3010" spans="1:20">
      <c r="A3010" s="729"/>
      <c r="B3010" s="142"/>
      <c r="C3010" s="142"/>
      <c r="D3010" s="142"/>
      <c r="E3010" s="20" t="s">
        <v>6385</v>
      </c>
      <c r="F3010" s="20"/>
      <c r="G3010" s="21"/>
      <c r="H3010" s="21"/>
      <c r="I3010" s="21"/>
      <c r="J3010" s="21"/>
      <c r="K3010" s="21"/>
      <c r="L3010" s="21"/>
      <c r="M3010" s="21"/>
      <c r="N3010" s="22">
        <v>0.108374384236453</v>
      </c>
      <c r="O3010" s="37">
        <v>1.49753694581281</v>
      </c>
      <c r="P3010" s="22" t="s">
        <v>1428</v>
      </c>
      <c r="Q3010" s="22">
        <v>0.2</v>
      </c>
      <c r="R3010" s="22">
        <v>1.80591133004926</v>
      </c>
      <c r="S3010" s="20"/>
      <c r="T3010" s="20"/>
    </row>
    <row r="3013" ht="15.6" spans="1:20">
      <c r="A3013" s="801" t="s">
        <v>8324</v>
      </c>
      <c r="B3013" s="718"/>
      <c r="C3013" s="718"/>
      <c r="D3013" s="718"/>
      <c r="E3013" s="127"/>
      <c r="F3013" s="127"/>
      <c r="G3013" s="13"/>
      <c r="H3013" s="14"/>
      <c r="I3013" s="14"/>
      <c r="J3013" s="128"/>
      <c r="K3013" s="919" t="s">
        <v>712</v>
      </c>
      <c r="L3013" s="919" t="s">
        <v>712</v>
      </c>
      <c r="M3013" s="128"/>
      <c r="N3013" s="866"/>
      <c r="O3013" s="867"/>
      <c r="P3013" s="868"/>
      <c r="Q3013" s="869"/>
      <c r="R3013" s="130"/>
      <c r="S3013" s="12"/>
      <c r="T3013" s="131"/>
    </row>
    <row r="3014" ht="15.6" spans="1:20">
      <c r="A3014" s="132" t="s">
        <v>1490</v>
      </c>
      <c r="B3014" s="17" t="s">
        <v>1492</v>
      </c>
      <c r="C3014" s="754" t="s">
        <v>1404</v>
      </c>
      <c r="D3014" s="164" t="s">
        <v>1494</v>
      </c>
      <c r="E3014" s="18" t="s">
        <v>5</v>
      </c>
      <c r="F3014" s="18" t="s">
        <v>1933</v>
      </c>
      <c r="G3014" s="18" t="s">
        <v>4102</v>
      </c>
      <c r="H3014" s="18" t="s">
        <v>1910</v>
      </c>
      <c r="I3014" s="18" t="s">
        <v>1497</v>
      </c>
      <c r="J3014" s="18" t="s">
        <v>4102</v>
      </c>
      <c r="K3014" s="18" t="s">
        <v>4103</v>
      </c>
      <c r="L3014" s="18" t="s">
        <v>4104</v>
      </c>
      <c r="M3014" s="18" t="s">
        <v>1497</v>
      </c>
      <c r="N3014" s="18" t="s">
        <v>6</v>
      </c>
      <c r="O3014" s="18" t="s">
        <v>7</v>
      </c>
      <c r="P3014" s="18" t="s">
        <v>5672</v>
      </c>
      <c r="Q3014" s="18" t="s">
        <v>8</v>
      </c>
      <c r="R3014" s="18" t="s">
        <v>9</v>
      </c>
      <c r="S3014" s="18" t="s">
        <v>4105</v>
      </c>
      <c r="T3014" s="18" t="s">
        <v>4106</v>
      </c>
    </row>
    <row r="3015" ht="15" spans="1:20">
      <c r="A3015" s="958" t="s">
        <v>7407</v>
      </c>
      <c r="B3015" s="959">
        <v>20240124</v>
      </c>
      <c r="C3015" s="959">
        <v>7.17</v>
      </c>
      <c r="D3015" s="959" t="s">
        <v>8414</v>
      </c>
      <c r="E3015" s="711" t="s">
        <v>2081</v>
      </c>
      <c r="F3015" s="960" t="s">
        <v>1933</v>
      </c>
      <c r="G3015" s="961" t="s">
        <v>4213</v>
      </c>
      <c r="H3015" s="962" t="s">
        <v>1913</v>
      </c>
      <c r="I3015" s="962" t="s">
        <v>1428</v>
      </c>
      <c r="J3015" s="963">
        <v>65</v>
      </c>
      <c r="K3015" s="961" t="s">
        <v>1428</v>
      </c>
      <c r="L3015" s="961" t="s">
        <v>1428</v>
      </c>
      <c r="M3015" s="961" t="s">
        <v>1428</v>
      </c>
      <c r="N3015" s="964">
        <v>3.83127357674879</v>
      </c>
      <c r="O3015" s="965">
        <v>16.71523039854</v>
      </c>
      <c r="P3015" s="964" t="s">
        <v>1428</v>
      </c>
      <c r="Q3015" s="964">
        <v>2.92887029288703</v>
      </c>
      <c r="R3015" s="964">
        <v>89.4753742681758</v>
      </c>
      <c r="S3015" s="966" t="s">
        <v>1526</v>
      </c>
      <c r="T3015" s="967" t="s">
        <v>8095</v>
      </c>
    </row>
    <row r="3016" ht="15" spans="1:20">
      <c r="A3016" s="958" t="s">
        <v>7407</v>
      </c>
      <c r="B3016" s="959">
        <v>20250212</v>
      </c>
      <c r="C3016" s="959">
        <v>7.17</v>
      </c>
      <c r="D3016" s="959" t="s">
        <v>7745</v>
      </c>
      <c r="E3016" s="711" t="s">
        <v>2320</v>
      </c>
      <c r="F3016" s="960" t="s">
        <v>1933</v>
      </c>
      <c r="G3016" s="961" t="s">
        <v>2951</v>
      </c>
      <c r="H3016" s="962" t="s">
        <v>1913</v>
      </c>
      <c r="I3016" s="962" t="s">
        <v>1428</v>
      </c>
      <c r="J3016" s="968" t="s">
        <v>4244</v>
      </c>
      <c r="K3016" s="961" t="s">
        <v>1428</v>
      </c>
      <c r="L3016" s="961" t="s">
        <v>1428</v>
      </c>
      <c r="M3016" s="961" t="s">
        <v>1428</v>
      </c>
      <c r="N3016" s="964">
        <v>3.83127357674879</v>
      </c>
      <c r="O3016" s="965">
        <v>15.294631910853</v>
      </c>
      <c r="P3016" s="964" t="s">
        <v>1428</v>
      </c>
      <c r="Q3016" s="964">
        <v>2.92887029288703</v>
      </c>
      <c r="R3016" s="964">
        <v>23.0547757804888</v>
      </c>
      <c r="S3016" s="966" t="s">
        <v>1526</v>
      </c>
      <c r="T3016" s="967" t="s">
        <v>8095</v>
      </c>
    </row>
    <row r="3017" ht="15" spans="1:20">
      <c r="A3017" s="958"/>
      <c r="B3017" s="959">
        <v>20241113</v>
      </c>
      <c r="C3017" s="959">
        <v>7.17</v>
      </c>
      <c r="D3017" s="959" t="s">
        <v>1405</v>
      </c>
      <c r="E3017" s="711" t="s">
        <v>21</v>
      </c>
      <c r="F3017" s="960"/>
      <c r="G3017" s="962"/>
      <c r="H3017" s="962"/>
      <c r="I3017" s="962"/>
      <c r="J3017" s="969"/>
      <c r="K3017" s="961"/>
      <c r="L3017" s="961"/>
      <c r="M3017" s="961"/>
      <c r="N3017" s="965">
        <v>0.424280290615099</v>
      </c>
      <c r="O3017" s="965">
        <v>2.36720326335148</v>
      </c>
      <c r="P3017" s="964" t="s">
        <v>1428</v>
      </c>
      <c r="Q3017" s="964">
        <v>0.4</v>
      </c>
      <c r="R3017" s="964">
        <v>3.19148355396658</v>
      </c>
      <c r="S3017" s="960"/>
      <c r="T3017" s="967" t="s">
        <v>2844</v>
      </c>
    </row>
    <row r="3021" ht="15.6" spans="1:20">
      <c r="A3021" s="801" t="s">
        <v>8324</v>
      </c>
      <c r="B3021" s="718"/>
      <c r="C3021" s="718"/>
      <c r="D3021" s="718"/>
      <c r="E3021" s="127"/>
      <c r="F3021" s="127"/>
      <c r="G3021" s="13"/>
      <c r="H3021" s="14"/>
      <c r="I3021" s="14"/>
      <c r="J3021" s="128"/>
      <c r="K3021" s="919" t="s">
        <v>712</v>
      </c>
      <c r="L3021" s="919" t="s">
        <v>712</v>
      </c>
      <c r="M3021" s="128"/>
      <c r="N3021" s="866"/>
      <c r="O3021" s="867"/>
      <c r="P3021" s="868"/>
      <c r="Q3021" s="869"/>
      <c r="R3021" s="130"/>
      <c r="S3021" s="12"/>
      <c r="T3021" s="131"/>
    </row>
    <row r="3022" ht="15.6" spans="1:20">
      <c r="A3022" s="132" t="s">
        <v>1490</v>
      </c>
      <c r="B3022" s="17" t="s">
        <v>1492</v>
      </c>
      <c r="C3022" s="754" t="s">
        <v>1404</v>
      </c>
      <c r="D3022" s="164" t="s">
        <v>1494</v>
      </c>
      <c r="E3022" s="18" t="s">
        <v>5</v>
      </c>
      <c r="F3022" s="18" t="s">
        <v>1933</v>
      </c>
      <c r="G3022" s="18" t="s">
        <v>4102</v>
      </c>
      <c r="H3022" s="18" t="s">
        <v>1910</v>
      </c>
      <c r="I3022" s="18" t="s">
        <v>1497</v>
      </c>
      <c r="J3022" s="18" t="s">
        <v>4102</v>
      </c>
      <c r="K3022" s="18" t="s">
        <v>4103</v>
      </c>
      <c r="L3022" s="18" t="s">
        <v>4104</v>
      </c>
      <c r="M3022" s="18" t="s">
        <v>1497</v>
      </c>
      <c r="N3022" s="18" t="s">
        <v>6</v>
      </c>
      <c r="O3022" s="18" t="s">
        <v>7</v>
      </c>
      <c r="P3022" s="18" t="s">
        <v>5672</v>
      </c>
      <c r="Q3022" s="18" t="s">
        <v>8</v>
      </c>
      <c r="R3022" s="18" t="s">
        <v>9</v>
      </c>
      <c r="S3022" s="18" t="s">
        <v>4105</v>
      </c>
      <c r="T3022" s="18" t="s">
        <v>4106</v>
      </c>
    </row>
    <row r="3023" s="177" customFormat="1" ht="15" spans="1:20">
      <c r="A3023" s="21" t="s">
        <v>7407</v>
      </c>
      <c r="B3023" s="959">
        <v>20240124</v>
      </c>
      <c r="C3023" s="959">
        <v>7.17</v>
      </c>
      <c r="D3023" s="959" t="s">
        <v>8414</v>
      </c>
      <c r="E3023" s="20" t="s">
        <v>2081</v>
      </c>
      <c r="F3023" s="688" t="s">
        <v>1933</v>
      </c>
      <c r="G3023" s="21" t="s">
        <v>4213</v>
      </c>
      <c r="H3023" s="690" t="s">
        <v>1913</v>
      </c>
      <c r="I3023" s="690" t="s">
        <v>1428</v>
      </c>
      <c r="J3023" s="844">
        <v>65</v>
      </c>
      <c r="K3023" s="21" t="s">
        <v>1428</v>
      </c>
      <c r="L3023" s="21" t="s">
        <v>1428</v>
      </c>
      <c r="M3023" s="21" t="s">
        <v>1428</v>
      </c>
      <c r="N3023" s="37">
        <v>3.83127357674879</v>
      </c>
      <c r="O3023" s="704">
        <v>14.4452451866109</v>
      </c>
      <c r="P3023" s="37" t="s">
        <v>1428</v>
      </c>
      <c r="Q3023" s="37">
        <v>2.92887029288703</v>
      </c>
      <c r="R3023" s="37">
        <f>SUM(J3023:Q3023)</f>
        <v>86.2053890562467</v>
      </c>
      <c r="S3023" s="693" t="s">
        <v>1526</v>
      </c>
      <c r="T3023" s="167" t="s">
        <v>8095</v>
      </c>
    </row>
    <row r="3024" s="177" customFormat="1" ht="15" spans="1:20">
      <c r="A3024" s="21" t="s">
        <v>7407</v>
      </c>
      <c r="B3024" s="959">
        <v>20250212</v>
      </c>
      <c r="C3024" s="959">
        <v>7.17</v>
      </c>
      <c r="D3024" s="959" t="s">
        <v>7745</v>
      </c>
      <c r="E3024" s="20" t="s">
        <v>2320</v>
      </c>
      <c r="F3024" s="688" t="s">
        <v>1933</v>
      </c>
      <c r="G3024" s="21" t="s">
        <v>2951</v>
      </c>
      <c r="H3024" s="690" t="s">
        <v>1913</v>
      </c>
      <c r="I3024" s="690" t="s">
        <v>1428</v>
      </c>
      <c r="J3024" s="691" t="s">
        <v>4244</v>
      </c>
      <c r="K3024" s="21" t="s">
        <v>1428</v>
      </c>
      <c r="L3024" s="21" t="s">
        <v>1428</v>
      </c>
      <c r="M3024" s="21" t="s">
        <v>1428</v>
      </c>
      <c r="N3024" s="37">
        <v>3.83127357674879</v>
      </c>
      <c r="O3024" s="704">
        <v>15.294631910853</v>
      </c>
      <c r="P3024" s="37" t="s">
        <v>1428</v>
      </c>
      <c r="Q3024" s="37">
        <v>2.92887029288703</v>
      </c>
      <c r="R3024" s="37">
        <f>SUM(J3024:Q3024)</f>
        <v>22.0547757804888</v>
      </c>
      <c r="S3024" s="693" t="s">
        <v>1526</v>
      </c>
      <c r="T3024" s="167" t="s">
        <v>8095</v>
      </c>
    </row>
    <row r="3025" s="177" customFormat="1" ht="15" spans="1:20">
      <c r="A3025" s="21"/>
      <c r="B3025" s="959">
        <v>20250805</v>
      </c>
      <c r="C3025" s="959">
        <v>7.17</v>
      </c>
      <c r="D3025" s="959" t="s">
        <v>1405</v>
      </c>
      <c r="E3025" s="20" t="s">
        <v>21</v>
      </c>
      <c r="F3025" s="688"/>
      <c r="G3025" s="690"/>
      <c r="H3025" s="690"/>
      <c r="I3025" s="690"/>
      <c r="J3025" s="36"/>
      <c r="K3025" s="21"/>
      <c r="L3025" s="21"/>
      <c r="M3025" s="21"/>
      <c r="N3025" s="22">
        <v>0.424280290615099</v>
      </c>
      <c r="O3025" s="22">
        <v>2.36720326335148</v>
      </c>
      <c r="P3025" s="37" t="s">
        <v>1428</v>
      </c>
      <c r="Q3025" s="37">
        <v>0.4</v>
      </c>
      <c r="R3025" s="37">
        <f>SUM(J3025:Q3025)</f>
        <v>3.19148355396658</v>
      </c>
      <c r="S3025" s="688"/>
      <c r="T3025" s="167" t="s">
        <v>2844</v>
      </c>
    </row>
    <row r="3026" ht="15" spans="1:20">
      <c r="A3026" s="333"/>
      <c r="B3026" s="23">
        <v>20241021</v>
      </c>
      <c r="C3026" s="23">
        <v>7.17</v>
      </c>
      <c r="D3026" s="23" t="s">
        <v>8415</v>
      </c>
      <c r="E3026" s="20" t="s">
        <v>8416</v>
      </c>
      <c r="F3026" s="20" t="s">
        <v>3916</v>
      </c>
      <c r="G3026" s="689" t="s">
        <v>8417</v>
      </c>
      <c r="H3026" s="690" t="s">
        <v>1913</v>
      </c>
      <c r="I3026" s="690" t="s">
        <v>1428</v>
      </c>
      <c r="J3026" s="691" t="s">
        <v>4244</v>
      </c>
      <c r="K3026" s="21" t="s">
        <v>1428</v>
      </c>
      <c r="L3026" s="21" t="s">
        <v>1428</v>
      </c>
      <c r="M3026" s="21" t="s">
        <v>1428</v>
      </c>
      <c r="N3026" s="37">
        <f>3.85264748791615/7.21*7.17</f>
        <v>3.83127357674879</v>
      </c>
      <c r="O3026" s="22">
        <v>13.2036670044284</v>
      </c>
      <c r="P3026" s="21"/>
      <c r="Q3026" s="37">
        <v>2.92887029288703</v>
      </c>
      <c r="R3026" s="37">
        <f>SUM(J3026:Q3026)+1</f>
        <v>20.9638108740642</v>
      </c>
      <c r="S3026" s="693" t="s">
        <v>1526</v>
      </c>
      <c r="T3026" s="167" t="s">
        <v>7508</v>
      </c>
    </row>
    <row r="3029" ht="15.6" spans="1:20">
      <c r="A3029" s="801" t="s">
        <v>8418</v>
      </c>
      <c r="B3029" s="718"/>
      <c r="C3029" s="718"/>
      <c r="D3029" s="718"/>
      <c r="E3029" s="127"/>
      <c r="F3029" s="127"/>
      <c r="G3029" s="13"/>
      <c r="H3029" s="14"/>
      <c r="I3029" s="14"/>
      <c r="J3029" s="128"/>
      <c r="K3029" s="919" t="s">
        <v>712</v>
      </c>
      <c r="L3029" s="919" t="s">
        <v>712</v>
      </c>
      <c r="M3029" s="128"/>
      <c r="N3029" s="866"/>
      <c r="O3029" s="867"/>
      <c r="P3029" s="868"/>
      <c r="Q3029" s="869"/>
      <c r="R3029" s="130"/>
      <c r="S3029" s="12"/>
      <c r="T3029" s="131"/>
    </row>
    <row r="3030" ht="15.6" spans="1:20">
      <c r="A3030" s="132" t="s">
        <v>1490</v>
      </c>
      <c r="B3030" s="17" t="s">
        <v>1492</v>
      </c>
      <c r="C3030" s="754" t="s">
        <v>1404</v>
      </c>
      <c r="D3030" s="164" t="s">
        <v>1494</v>
      </c>
      <c r="E3030" s="18" t="s">
        <v>5</v>
      </c>
      <c r="F3030" s="18" t="s">
        <v>1933</v>
      </c>
      <c r="G3030" s="18" t="s">
        <v>4102</v>
      </c>
      <c r="H3030" s="18" t="s">
        <v>1910</v>
      </c>
      <c r="I3030" s="18" t="s">
        <v>1497</v>
      </c>
      <c r="J3030" s="18" t="s">
        <v>4102</v>
      </c>
      <c r="K3030" s="18" t="s">
        <v>4103</v>
      </c>
      <c r="L3030" s="18" t="s">
        <v>4104</v>
      </c>
      <c r="M3030" s="18" t="s">
        <v>1497</v>
      </c>
      <c r="N3030" s="18" t="s">
        <v>6</v>
      </c>
      <c r="O3030" s="18" t="s">
        <v>7</v>
      </c>
      <c r="P3030" s="18" t="s">
        <v>5672</v>
      </c>
      <c r="Q3030" s="18" t="s">
        <v>8</v>
      </c>
      <c r="R3030" s="18" t="s">
        <v>9</v>
      </c>
      <c r="S3030" s="18" t="s">
        <v>4105</v>
      </c>
      <c r="T3030" s="18" t="s">
        <v>4106</v>
      </c>
    </row>
    <row r="3031" s="177" customFormat="1" ht="15" spans="1:20">
      <c r="A3031" s="192" t="s">
        <v>8168</v>
      </c>
      <c r="B3031" s="23">
        <v>20250807</v>
      </c>
      <c r="C3031" s="729">
        <v>7.17</v>
      </c>
      <c r="D3031" s="970" t="s">
        <v>4967</v>
      </c>
      <c r="E3031" s="20" t="s">
        <v>1571</v>
      </c>
      <c r="F3031" s="23" t="s">
        <v>4958</v>
      </c>
      <c r="G3031" s="21" t="s">
        <v>4818</v>
      </c>
      <c r="H3031" s="21" t="s">
        <v>4248</v>
      </c>
      <c r="I3031" s="21"/>
      <c r="J3031" s="21">
        <v>70</v>
      </c>
      <c r="K3031" s="21"/>
      <c r="L3031" s="21"/>
      <c r="M3031" s="21"/>
      <c r="N3031" s="22">
        <f>48.48/C3031/1.13</f>
        <v>5.98363387269967</v>
      </c>
      <c r="O3031" s="37">
        <v>19.4904850580202</v>
      </c>
      <c r="P3031" s="22"/>
      <c r="Q3031" s="22">
        <f>25/C3031</f>
        <v>3.48675034867503</v>
      </c>
      <c r="R3031" s="22">
        <f>SUM(J3031:Q3031)</f>
        <v>98.9608692793949</v>
      </c>
      <c r="S3031" s="20" t="s">
        <v>3984</v>
      </c>
      <c r="T3031" s="139" t="s">
        <v>8419</v>
      </c>
    </row>
    <row r="3032" s="177" customFormat="1" ht="15" spans="1:20">
      <c r="A3032" s="192"/>
      <c r="B3032" s="23">
        <v>20250312</v>
      </c>
      <c r="C3032" s="23">
        <v>7.17</v>
      </c>
      <c r="D3032" s="840" t="s">
        <v>265</v>
      </c>
      <c r="E3032" s="840" t="s">
        <v>266</v>
      </c>
      <c r="F3032" s="840"/>
      <c r="G3032" s="840"/>
      <c r="H3032" s="840"/>
      <c r="I3032" s="840"/>
      <c r="J3032" s="840"/>
      <c r="K3032" s="39"/>
      <c r="L3032" s="39"/>
      <c r="M3032" s="39"/>
      <c r="N3032" s="22">
        <v>0.465216082834384</v>
      </c>
      <c r="O3032" s="22">
        <v>2.13364464136622</v>
      </c>
      <c r="P3032" s="39"/>
      <c r="Q3032" s="37">
        <v>0.4</v>
      </c>
      <c r="R3032" s="37">
        <f>SUM(J3032:Q3032)</f>
        <v>2.9988607242006</v>
      </c>
      <c r="S3032" s="23"/>
      <c r="T3032" s="836" t="s">
        <v>63</v>
      </c>
    </row>
    <row r="3033" s="177" customFormat="1" spans="1:20">
      <c r="A3033" s="192"/>
      <c r="B3033" s="23"/>
      <c r="C3033" s="707"/>
      <c r="D3033" s="23"/>
      <c r="E3033" s="767" t="s">
        <v>743</v>
      </c>
      <c r="F3033" s="39"/>
      <c r="G3033" s="21"/>
      <c r="H3033" s="21"/>
      <c r="I3033" s="21"/>
      <c r="J3033" s="779"/>
      <c r="K3033" s="779"/>
      <c r="L3033" s="779"/>
      <c r="M3033" s="779"/>
      <c r="N3033" s="22">
        <v>0.410162076165855</v>
      </c>
      <c r="O3033" s="22">
        <v>1.57991924093865</v>
      </c>
      <c r="P3033" s="21" t="s">
        <v>1428</v>
      </c>
      <c r="Q3033" s="37">
        <v>0.2</v>
      </c>
      <c r="R3033" s="22">
        <f>SUM(J3033:Q3033)</f>
        <v>2.1900813171045</v>
      </c>
      <c r="S3033" s="23"/>
      <c r="T3033" s="760" t="s">
        <v>7426</v>
      </c>
    </row>
    <row r="3035" ht="15.6" spans="1:20">
      <c r="A3035" s="801" t="s">
        <v>8418</v>
      </c>
      <c r="B3035" s="718"/>
      <c r="C3035" s="718"/>
      <c r="D3035" s="718"/>
      <c r="E3035" s="127"/>
      <c r="F3035" s="127"/>
      <c r="G3035" s="13"/>
      <c r="H3035" s="14"/>
      <c r="I3035" s="14"/>
      <c r="J3035" s="128"/>
      <c r="K3035" s="919" t="s">
        <v>712</v>
      </c>
      <c r="L3035" s="919" t="s">
        <v>712</v>
      </c>
      <c r="M3035" s="128"/>
      <c r="N3035" s="866"/>
      <c r="O3035" s="867"/>
      <c r="P3035" s="868"/>
      <c r="Q3035" s="869"/>
      <c r="R3035" s="130"/>
      <c r="S3035" s="12"/>
      <c r="T3035" s="131"/>
    </row>
    <row r="3036" ht="15.6" spans="1:20">
      <c r="A3036" s="132" t="s">
        <v>1490</v>
      </c>
      <c r="B3036" s="17" t="s">
        <v>1492</v>
      </c>
      <c r="C3036" s="773" t="s">
        <v>3</v>
      </c>
      <c r="D3036" s="164" t="s">
        <v>1494</v>
      </c>
      <c r="E3036" s="18" t="s">
        <v>5</v>
      </c>
      <c r="F3036" s="18" t="s">
        <v>1933</v>
      </c>
      <c r="G3036" s="18" t="s">
        <v>4102</v>
      </c>
      <c r="H3036" s="18" t="s">
        <v>1910</v>
      </c>
      <c r="I3036" s="18" t="s">
        <v>1497</v>
      </c>
      <c r="J3036" s="18" t="s">
        <v>4102</v>
      </c>
      <c r="K3036" s="18" t="s">
        <v>4103</v>
      </c>
      <c r="L3036" s="18" t="s">
        <v>4104</v>
      </c>
      <c r="M3036" s="18" t="s">
        <v>1497</v>
      </c>
      <c r="N3036" s="18" t="s">
        <v>6</v>
      </c>
      <c r="O3036" s="18" t="s">
        <v>7</v>
      </c>
      <c r="P3036" s="18" t="s">
        <v>5672</v>
      </c>
      <c r="Q3036" s="18" t="s">
        <v>8</v>
      </c>
      <c r="R3036" s="18" t="s">
        <v>9</v>
      </c>
      <c r="S3036" s="18" t="s">
        <v>4105</v>
      </c>
      <c r="T3036" s="18" t="s">
        <v>4106</v>
      </c>
    </row>
    <row r="3037" ht="15" spans="1:20">
      <c r="A3037" s="333" t="s">
        <v>7836</v>
      </c>
      <c r="B3037" s="23">
        <v>20250224</v>
      </c>
      <c r="C3037" s="23">
        <v>7.17</v>
      </c>
      <c r="D3037" s="780" t="s">
        <v>4746</v>
      </c>
      <c r="E3037" s="20" t="s">
        <v>1571</v>
      </c>
      <c r="F3037" s="750" t="s">
        <v>4742</v>
      </c>
      <c r="G3037" s="21" t="s">
        <v>3457</v>
      </c>
      <c r="H3037" s="21" t="s">
        <v>3436</v>
      </c>
      <c r="I3037" s="21" t="s">
        <v>1635</v>
      </c>
      <c r="J3037" s="138" t="s">
        <v>3513</v>
      </c>
      <c r="K3037" s="21">
        <f>6*2</f>
        <v>12</v>
      </c>
      <c r="L3037" s="781"/>
      <c r="M3037" s="21">
        <v>3.1</v>
      </c>
      <c r="N3037" s="22">
        <f>26.56/C3037/1.13</f>
        <v>3.27816245171005</v>
      </c>
      <c r="O3037" s="936">
        <v>13.1088674995748</v>
      </c>
      <c r="P3037" s="37"/>
      <c r="Q3037" s="37">
        <v>3</v>
      </c>
      <c r="R3037" s="22">
        <f>SUBTOTAL(9,H3037:Q3037)</f>
        <v>34.4870299512849</v>
      </c>
      <c r="S3037" s="167" t="s">
        <v>2579</v>
      </c>
      <c r="T3037" s="167" t="s">
        <v>4747</v>
      </c>
    </row>
    <row r="3038" spans="1:20">
      <c r="A3038" s="333"/>
      <c r="B3038" s="777">
        <v>20250312</v>
      </c>
      <c r="C3038" s="23">
        <v>7.17</v>
      </c>
      <c r="D3038" s="777" t="s">
        <v>778</v>
      </c>
      <c r="E3038" s="763" t="s">
        <v>779</v>
      </c>
      <c r="F3038" s="39"/>
      <c r="G3038" s="21"/>
      <c r="H3038" s="21"/>
      <c r="I3038" s="21"/>
      <c r="J3038" s="779"/>
      <c r="K3038" s="779"/>
      <c r="L3038" s="779"/>
      <c r="M3038" s="779"/>
      <c r="N3038" s="22">
        <v>0.120611577031136</v>
      </c>
      <c r="O3038" s="22">
        <v>0.260508885350712</v>
      </c>
      <c r="P3038" s="21"/>
      <c r="Q3038" s="37">
        <v>0.2</v>
      </c>
      <c r="R3038" s="37">
        <f>SUM(J3038:Q3038)</f>
        <v>0.581120462381848</v>
      </c>
      <c r="S3038" s="23"/>
      <c r="T3038" s="39"/>
    </row>
    <row r="3040" ht="15.6" spans="1:20">
      <c r="A3040" s="801" t="s">
        <v>8418</v>
      </c>
      <c r="B3040" s="718"/>
      <c r="C3040" s="718"/>
      <c r="D3040" s="718"/>
      <c r="E3040" s="127"/>
      <c r="F3040" s="127"/>
      <c r="G3040" s="13"/>
      <c r="H3040" s="14"/>
      <c r="I3040" s="14"/>
      <c r="J3040" s="128"/>
      <c r="K3040" s="919" t="s">
        <v>712</v>
      </c>
      <c r="L3040" s="919" t="s">
        <v>712</v>
      </c>
      <c r="M3040" s="128"/>
      <c r="N3040" s="866"/>
      <c r="O3040" s="867"/>
      <c r="P3040" s="868"/>
      <c r="Q3040" s="869"/>
      <c r="R3040" s="130"/>
      <c r="S3040" s="12"/>
      <c r="T3040" s="131"/>
    </row>
    <row r="3041" ht="15.6" spans="1:20">
      <c r="A3041" s="132" t="s">
        <v>1490</v>
      </c>
      <c r="B3041" s="17" t="s">
        <v>1492</v>
      </c>
      <c r="C3041" s="773" t="s">
        <v>3</v>
      </c>
      <c r="D3041" s="164" t="s">
        <v>1494</v>
      </c>
      <c r="E3041" s="18" t="s">
        <v>5</v>
      </c>
      <c r="F3041" s="18" t="s">
        <v>1933</v>
      </c>
      <c r="G3041" s="18" t="s">
        <v>4102</v>
      </c>
      <c r="H3041" s="18" t="s">
        <v>1910</v>
      </c>
      <c r="I3041" s="18" t="s">
        <v>1497</v>
      </c>
      <c r="J3041" s="18" t="s">
        <v>4102</v>
      </c>
      <c r="K3041" s="18" t="s">
        <v>4103</v>
      </c>
      <c r="L3041" s="18" t="s">
        <v>4104</v>
      </c>
      <c r="M3041" s="18" t="s">
        <v>1497</v>
      </c>
      <c r="N3041" s="18" t="s">
        <v>6</v>
      </c>
      <c r="O3041" s="18" t="s">
        <v>7</v>
      </c>
      <c r="P3041" s="18" t="s">
        <v>5672</v>
      </c>
      <c r="Q3041" s="18" t="s">
        <v>8</v>
      </c>
      <c r="R3041" s="18" t="s">
        <v>9</v>
      </c>
      <c r="S3041" s="18" t="s">
        <v>4105</v>
      </c>
      <c r="T3041" s="18" t="s">
        <v>4106</v>
      </c>
    </row>
    <row r="3042" ht="15" spans="1:20">
      <c r="A3042" s="333" t="s">
        <v>7407</v>
      </c>
      <c r="B3042" s="687">
        <v>20250808</v>
      </c>
      <c r="C3042" s="687">
        <v>7.17</v>
      </c>
      <c r="D3042" s="971" t="s">
        <v>8420</v>
      </c>
      <c r="E3042" s="149" t="s">
        <v>8421</v>
      </c>
      <c r="F3042" s="149" t="s">
        <v>3916</v>
      </c>
      <c r="G3042" s="151" t="s">
        <v>8422</v>
      </c>
      <c r="H3042" s="152" t="s">
        <v>1913</v>
      </c>
      <c r="I3042" s="152"/>
      <c r="J3042" s="843"/>
      <c r="K3042" s="153"/>
      <c r="L3042" s="153"/>
      <c r="M3042" s="153"/>
      <c r="N3042" s="154">
        <v>3.83127357674879</v>
      </c>
      <c r="O3042" s="727">
        <v>10.9842445076758</v>
      </c>
      <c r="P3042" s="153"/>
      <c r="Q3042" s="154">
        <v>2.92887029288703</v>
      </c>
      <c r="R3042" s="154">
        <f>SUM(J3042:Q3042)+1</f>
        <v>18.7443883773116</v>
      </c>
      <c r="S3042" s="155" t="s">
        <v>1526</v>
      </c>
      <c r="T3042" s="156" t="s">
        <v>8423</v>
      </c>
    </row>
    <row r="3043" spans="1:20">
      <c r="A3043" s="333"/>
      <c r="B3043" s="23">
        <v>20241111</v>
      </c>
      <c r="C3043" s="23">
        <v>7.17</v>
      </c>
      <c r="D3043" s="23" t="s">
        <v>175</v>
      </c>
      <c r="E3043" s="23" t="s">
        <v>176</v>
      </c>
      <c r="F3043" s="23"/>
      <c r="G3043" s="21"/>
      <c r="H3043" s="21"/>
      <c r="I3043" s="21"/>
      <c r="J3043" s="36"/>
      <c r="K3043" s="36"/>
      <c r="L3043" s="36"/>
      <c r="M3043" s="36"/>
      <c r="N3043" s="22">
        <v>0.422346507965976</v>
      </c>
      <c r="O3043" s="22">
        <v>2.15105537835191</v>
      </c>
      <c r="P3043" s="21" t="s">
        <v>1428</v>
      </c>
      <c r="Q3043" s="37">
        <v>0.4</v>
      </c>
      <c r="R3043" s="37">
        <f>SUM(J3043:Q3043)</f>
        <v>2.97340188631789</v>
      </c>
      <c r="S3043" s="38"/>
      <c r="T3043" s="710" t="s">
        <v>8097</v>
      </c>
    </row>
    <row r="3047" ht="15.6" spans="1:20">
      <c r="A3047" s="801" t="s">
        <v>8418</v>
      </c>
      <c r="B3047" s="718"/>
      <c r="C3047" s="718"/>
      <c r="D3047" s="718"/>
      <c r="E3047" s="127"/>
      <c r="F3047" s="127"/>
      <c r="G3047" s="13"/>
      <c r="H3047" s="14"/>
      <c r="I3047" s="14"/>
      <c r="J3047" s="128"/>
      <c r="K3047" s="919" t="s">
        <v>712</v>
      </c>
      <c r="L3047" s="919" t="s">
        <v>712</v>
      </c>
      <c r="M3047" s="128"/>
      <c r="N3047" s="866"/>
      <c r="O3047" s="867"/>
      <c r="P3047" s="868"/>
      <c r="Q3047" s="869"/>
      <c r="R3047" s="130"/>
      <c r="S3047" s="12"/>
      <c r="T3047" s="131"/>
    </row>
    <row r="3048" ht="15.6" spans="1:20">
      <c r="A3048" s="132" t="s">
        <v>1490</v>
      </c>
      <c r="B3048" s="17" t="s">
        <v>1492</v>
      </c>
      <c r="C3048" s="773" t="s">
        <v>3</v>
      </c>
      <c r="D3048" s="164" t="s">
        <v>1494</v>
      </c>
      <c r="E3048" s="18" t="s">
        <v>5</v>
      </c>
      <c r="F3048" s="18" t="s">
        <v>1933</v>
      </c>
      <c r="G3048" s="18" t="s">
        <v>4102</v>
      </c>
      <c r="H3048" s="18" t="s">
        <v>1910</v>
      </c>
      <c r="I3048" s="18" t="s">
        <v>1497</v>
      </c>
      <c r="J3048" s="18" t="s">
        <v>4102</v>
      </c>
      <c r="K3048" s="18" t="s">
        <v>4103</v>
      </c>
      <c r="L3048" s="18" t="s">
        <v>4104</v>
      </c>
      <c r="M3048" s="18" t="s">
        <v>1497</v>
      </c>
      <c r="N3048" s="18" t="s">
        <v>6</v>
      </c>
      <c r="O3048" s="18" t="s">
        <v>7</v>
      </c>
      <c r="P3048" s="18" t="s">
        <v>5672</v>
      </c>
      <c r="Q3048" s="18" t="s">
        <v>8</v>
      </c>
      <c r="R3048" s="18" t="s">
        <v>9</v>
      </c>
      <c r="S3048" s="18" t="s">
        <v>4105</v>
      </c>
      <c r="T3048" s="18" t="s">
        <v>4106</v>
      </c>
    </row>
    <row r="3049" s="177" customFormat="1" ht="14.4" spans="1:20">
      <c r="A3049" s="192" t="s">
        <v>455</v>
      </c>
      <c r="B3049" s="23">
        <v>20250811</v>
      </c>
      <c r="C3049" s="729">
        <v>7.17</v>
      </c>
      <c r="D3049" s="970" t="s">
        <v>3095</v>
      </c>
      <c r="E3049" s="20" t="s">
        <v>2081</v>
      </c>
      <c r="F3049" s="23" t="s">
        <v>7982</v>
      </c>
      <c r="G3049" s="21" t="s">
        <v>3096</v>
      </c>
      <c r="H3049" s="21" t="s">
        <v>1913</v>
      </c>
      <c r="I3049" s="21" t="s">
        <v>3097</v>
      </c>
      <c r="J3049" s="21">
        <v>100</v>
      </c>
      <c r="K3049" s="21"/>
      <c r="L3049" s="21"/>
      <c r="M3049" s="22">
        <f>13.2/C3049/1.13</f>
        <v>1.62920724256674</v>
      </c>
      <c r="N3049" s="22">
        <f>37.98/C3049/1.13</f>
        <v>4.68767356611249</v>
      </c>
      <c r="O3049" s="37">
        <v>10.3223595055504</v>
      </c>
      <c r="P3049" s="22"/>
      <c r="Q3049" s="22">
        <v>2.76708507670851</v>
      </c>
      <c r="R3049" s="22">
        <f>SUM(J3049:Q3049)</f>
        <v>119.406325390938</v>
      </c>
      <c r="S3049" s="20" t="s">
        <v>1526</v>
      </c>
      <c r="T3049" s="139" t="s">
        <v>8424</v>
      </c>
    </row>
    <row r="3050" s="177" customFormat="1" ht="14.4" spans="1:20">
      <c r="A3050" s="192"/>
      <c r="B3050" s="23">
        <v>20250714</v>
      </c>
      <c r="C3050" s="729">
        <v>7.17</v>
      </c>
      <c r="D3050" s="970" t="s">
        <v>821</v>
      </c>
      <c r="E3050" s="20" t="s">
        <v>822</v>
      </c>
      <c r="F3050" s="23"/>
      <c r="G3050" s="21"/>
      <c r="H3050" s="21"/>
      <c r="I3050" s="21"/>
      <c r="J3050" s="21"/>
      <c r="K3050" s="21"/>
      <c r="L3050" s="21"/>
      <c r="M3050" s="21"/>
      <c r="N3050" s="22">
        <v>0.381382604509942</v>
      </c>
      <c r="O3050" s="37">
        <v>0.833317306012022</v>
      </c>
      <c r="P3050" s="22"/>
      <c r="Q3050" s="22">
        <v>0.2</v>
      </c>
      <c r="R3050" s="22">
        <f>SUM(J3050:Q3050)</f>
        <v>1.41469991052196</v>
      </c>
      <c r="S3050" s="20" t="s">
        <v>1526</v>
      </c>
      <c r="T3050" s="139" t="s">
        <v>484</v>
      </c>
    </row>
    <row r="3052" ht="15.6" spans="1:20">
      <c r="A3052" s="801" t="s">
        <v>8418</v>
      </c>
      <c r="B3052" s="718"/>
      <c r="C3052" s="718"/>
      <c r="D3052" s="718"/>
      <c r="E3052" s="127"/>
      <c r="F3052" s="127"/>
      <c r="G3052" s="13"/>
      <c r="H3052" s="14"/>
      <c r="I3052" s="14"/>
      <c r="J3052" s="128"/>
      <c r="K3052" s="919" t="s">
        <v>712</v>
      </c>
      <c r="L3052" s="919" t="s">
        <v>712</v>
      </c>
      <c r="M3052" s="128"/>
      <c r="N3052" s="866"/>
      <c r="O3052" s="867"/>
      <c r="P3052" s="868"/>
      <c r="Q3052" s="869"/>
      <c r="R3052" s="130"/>
      <c r="S3052" s="12"/>
      <c r="T3052" s="131"/>
    </row>
    <row r="3053" ht="15.6" spans="1:20">
      <c r="A3053" s="132" t="s">
        <v>1490</v>
      </c>
      <c r="B3053" s="17" t="s">
        <v>1492</v>
      </c>
      <c r="C3053" s="773" t="s">
        <v>3</v>
      </c>
      <c r="D3053" s="164" t="s">
        <v>1494</v>
      </c>
      <c r="E3053" s="18" t="s">
        <v>5</v>
      </c>
      <c r="F3053" s="18" t="s">
        <v>1933</v>
      </c>
      <c r="G3053" s="18" t="s">
        <v>4102</v>
      </c>
      <c r="H3053" s="18" t="s">
        <v>1910</v>
      </c>
      <c r="I3053" s="18" t="s">
        <v>1497</v>
      </c>
      <c r="J3053" s="18" t="s">
        <v>4102</v>
      </c>
      <c r="K3053" s="18" t="s">
        <v>4103</v>
      </c>
      <c r="L3053" s="18" t="s">
        <v>4104</v>
      </c>
      <c r="M3053" s="18" t="s">
        <v>1497</v>
      </c>
      <c r="N3053" s="18" t="s">
        <v>6</v>
      </c>
      <c r="O3053" s="18" t="s">
        <v>7</v>
      </c>
      <c r="P3053" s="18" t="s">
        <v>5672</v>
      </c>
      <c r="Q3053" s="18" t="s">
        <v>8</v>
      </c>
      <c r="R3053" s="18" t="s">
        <v>9</v>
      </c>
      <c r="S3053" s="18" t="s">
        <v>4105</v>
      </c>
      <c r="T3053" s="18" t="s">
        <v>4106</v>
      </c>
    </row>
    <row r="3054" ht="15" spans="1:20">
      <c r="A3054" s="333" t="s">
        <v>3547</v>
      </c>
      <c r="B3054" s="23">
        <v>20241120</v>
      </c>
      <c r="C3054" s="21">
        <v>7.17</v>
      </c>
      <c r="D3054" s="23" t="s">
        <v>3569</v>
      </c>
      <c r="E3054" s="20" t="s">
        <v>2110</v>
      </c>
      <c r="F3054" s="729" t="s">
        <v>1933</v>
      </c>
      <c r="G3054" s="21" t="s">
        <v>3542</v>
      </c>
      <c r="H3054" s="21" t="s">
        <v>3349</v>
      </c>
      <c r="I3054" s="21" t="s">
        <v>1428</v>
      </c>
      <c r="J3054" s="138" t="s">
        <v>3513</v>
      </c>
      <c r="K3054" s="21" t="s">
        <v>1428</v>
      </c>
      <c r="L3054" s="699" t="s">
        <v>8425</v>
      </c>
      <c r="M3054" s="21" t="s">
        <v>1428</v>
      </c>
      <c r="N3054" s="37">
        <f>25.7/C3054/1.13</f>
        <v>3.17201713136101</v>
      </c>
      <c r="O3054" s="22">
        <v>10.8261802593117</v>
      </c>
      <c r="P3054" s="21" t="s">
        <v>1428</v>
      </c>
      <c r="Q3054" s="37">
        <v>2.60426309228472</v>
      </c>
      <c r="R3054" s="22">
        <f>SUM(J3054:Q3054)</f>
        <v>16.6024604829574</v>
      </c>
      <c r="S3054" s="895" t="s">
        <v>3570</v>
      </c>
      <c r="T3054" s="23" t="s">
        <v>3550</v>
      </c>
    </row>
    <row r="3055" spans="1:20">
      <c r="A3055" s="333"/>
      <c r="B3055" s="23">
        <v>20250326</v>
      </c>
      <c r="C3055" s="23">
        <v>7.17</v>
      </c>
      <c r="D3055" s="23" t="s">
        <v>1416</v>
      </c>
      <c r="E3055" s="35" t="s">
        <v>1417</v>
      </c>
      <c r="F3055" s="23"/>
      <c r="G3055" s="21"/>
      <c r="H3055" s="21"/>
      <c r="I3055" s="21"/>
      <c r="J3055" s="690"/>
      <c r="K3055" s="36"/>
      <c r="L3055" s="36"/>
      <c r="M3055" s="36"/>
      <c r="N3055" s="22">
        <v>0.418448328475372</v>
      </c>
      <c r="O3055" s="22">
        <v>1.12778515066536</v>
      </c>
      <c r="P3055" s="21" t="s">
        <v>1428</v>
      </c>
      <c r="Q3055" s="37">
        <v>0.2</v>
      </c>
      <c r="R3055" s="37">
        <f>SUM(J3055:Q3055)</f>
        <v>1.74623347914073</v>
      </c>
      <c r="S3055" s="38"/>
      <c r="T3055" s="333"/>
    </row>
    <row r="3056" ht="15" spans="1:20">
      <c r="A3056" s="333" t="s">
        <v>3547</v>
      </c>
      <c r="B3056" s="23">
        <v>20250812</v>
      </c>
      <c r="C3056" s="21">
        <v>7.17</v>
      </c>
      <c r="D3056" s="23" t="s">
        <v>3607</v>
      </c>
      <c r="E3056" s="20" t="s">
        <v>2406</v>
      </c>
      <c r="F3056" s="729" t="s">
        <v>3592</v>
      </c>
      <c r="G3056" s="21" t="s">
        <v>3457</v>
      </c>
      <c r="H3056" s="21" t="s">
        <v>1913</v>
      </c>
      <c r="I3056" s="21" t="s">
        <v>1428</v>
      </c>
      <c r="J3056" s="138" t="s">
        <v>3513</v>
      </c>
      <c r="K3056" s="21" t="s">
        <v>1428</v>
      </c>
      <c r="L3056" s="21" t="s">
        <v>1428</v>
      </c>
      <c r="M3056" s="21" t="s">
        <v>1428</v>
      </c>
      <c r="N3056" s="37">
        <f>25.7/C3056/1.13</f>
        <v>3.17201713136101</v>
      </c>
      <c r="O3056" s="22">
        <v>10.9751990759764</v>
      </c>
      <c r="P3056" s="21" t="s">
        <v>1428</v>
      </c>
      <c r="Q3056" s="37">
        <v>2.60426309228472</v>
      </c>
      <c r="R3056" s="22">
        <f>SUM(J3056:Q3056)</f>
        <v>16.7514792996221</v>
      </c>
      <c r="S3056" s="895" t="s">
        <v>1526</v>
      </c>
      <c r="T3056" s="23" t="s">
        <v>8426</v>
      </c>
    </row>
    <row r="3058" ht="15.6" spans="1:21">
      <c r="A3058" s="801" t="s">
        <v>8418</v>
      </c>
      <c r="B3058" s="718"/>
      <c r="C3058" s="718"/>
      <c r="D3058" s="718"/>
      <c r="E3058" s="127"/>
      <c r="F3058" s="127"/>
      <c r="G3058" s="13"/>
      <c r="H3058" s="14"/>
      <c r="I3058" s="14"/>
      <c r="J3058" s="128"/>
      <c r="K3058" s="919" t="s">
        <v>712</v>
      </c>
      <c r="L3058" s="919" t="s">
        <v>712</v>
      </c>
      <c r="M3058" s="128"/>
      <c r="N3058" s="866"/>
      <c r="O3058" s="867"/>
      <c r="P3058" s="868"/>
      <c r="Q3058" s="869"/>
      <c r="R3058" s="130"/>
      <c r="S3058" s="12"/>
      <c r="T3058" s="131"/>
    </row>
    <row r="3059" ht="15.6" spans="1:21">
      <c r="A3059" s="132" t="s">
        <v>1490</v>
      </c>
      <c r="B3059" s="17" t="s">
        <v>1492</v>
      </c>
      <c r="C3059" s="773" t="s">
        <v>3</v>
      </c>
      <c r="D3059" s="164" t="s">
        <v>1494</v>
      </c>
      <c r="E3059" s="18" t="s">
        <v>5</v>
      </c>
      <c r="F3059" s="18" t="s">
        <v>1933</v>
      </c>
      <c r="G3059" s="18" t="s">
        <v>4102</v>
      </c>
      <c r="H3059" s="18" t="s">
        <v>1910</v>
      </c>
      <c r="I3059" s="18" t="s">
        <v>1497</v>
      </c>
      <c r="J3059" s="18" t="s">
        <v>4102</v>
      </c>
      <c r="K3059" s="18" t="s">
        <v>4103</v>
      </c>
      <c r="L3059" s="18" t="s">
        <v>4104</v>
      </c>
      <c r="M3059" s="18" t="s">
        <v>1497</v>
      </c>
      <c r="N3059" s="18" t="s">
        <v>6</v>
      </c>
      <c r="O3059" s="18" t="s">
        <v>7</v>
      </c>
      <c r="P3059" s="18" t="s">
        <v>5672</v>
      </c>
      <c r="Q3059" s="18" t="s">
        <v>8</v>
      </c>
      <c r="R3059" s="18" t="s">
        <v>9</v>
      </c>
      <c r="S3059" s="18" t="s">
        <v>4105</v>
      </c>
      <c r="T3059" s="18" t="s">
        <v>4106</v>
      </c>
    </row>
    <row r="3060" ht="15" hidden="1" spans="1:21">
      <c r="A3060" s="23" t="s">
        <v>8174</v>
      </c>
      <c r="B3060" s="880">
        <v>20250512</v>
      </c>
      <c r="C3060" s="23"/>
      <c r="D3060" s="791" t="s">
        <v>4140</v>
      </c>
      <c r="E3060" s="23" t="s">
        <v>1617</v>
      </c>
      <c r="F3060" s="23" t="s">
        <v>2801</v>
      </c>
      <c r="G3060" s="880"/>
      <c r="H3060" s="880" t="s">
        <v>4141</v>
      </c>
      <c r="I3060" s="690" t="s">
        <v>1913</v>
      </c>
      <c r="J3060" s="690" t="s">
        <v>1731</v>
      </c>
      <c r="K3060" s="21">
        <v>405</v>
      </c>
      <c r="L3060" s="21"/>
      <c r="M3060" s="21"/>
      <c r="N3060" s="792">
        <v>13</v>
      </c>
      <c r="O3060" s="37">
        <v>6.26448442771232</v>
      </c>
      <c r="P3060" s="709">
        <v>38.4669985396045</v>
      </c>
      <c r="Q3060" s="37"/>
      <c r="R3060" s="774">
        <v>4.3</v>
      </c>
      <c r="S3060" s="37">
        <f>SUM(K3060:R3060)</f>
        <v>467.031482967317</v>
      </c>
      <c r="T3060" s="793" t="s">
        <v>1526</v>
      </c>
      <c r="U3060" s="750" t="s">
        <v>4142</v>
      </c>
    </row>
    <row r="3061" ht="15" spans="1:21">
      <c r="A3061" s="23"/>
      <c r="B3061" s="880">
        <v>20250702</v>
      </c>
      <c r="C3061" s="23"/>
      <c r="D3061" s="972" t="s">
        <v>4146</v>
      </c>
      <c r="E3061" s="23" t="s">
        <v>1645</v>
      </c>
      <c r="F3061" s="23" t="s">
        <v>2801</v>
      </c>
      <c r="G3061" s="880"/>
      <c r="H3061" s="880" t="s">
        <v>4147</v>
      </c>
      <c r="I3061" s="690" t="s">
        <v>1913</v>
      </c>
      <c r="J3061" s="690" t="s">
        <v>1731</v>
      </c>
      <c r="K3061" s="21" t="s">
        <v>1428</v>
      </c>
      <c r="L3061" s="21"/>
      <c r="M3061" s="21"/>
      <c r="N3061" s="792">
        <v>13</v>
      </c>
      <c r="O3061" s="37">
        <v>6.26448442771232</v>
      </c>
      <c r="P3061" s="709">
        <v>38.164635212171</v>
      </c>
      <c r="Q3061" s="37"/>
      <c r="R3061" s="774">
        <v>4.3</v>
      </c>
      <c r="S3061" s="37">
        <f>SUM(K3061:R3061)</f>
        <v>61.7291196398833</v>
      </c>
      <c r="T3061" s="793" t="s">
        <v>1526</v>
      </c>
      <c r="U3061" s="750" t="s">
        <v>4148</v>
      </c>
    </row>
    <row r="3066" ht="15.6" spans="1:21">
      <c r="A3066" s="801" t="s">
        <v>8418</v>
      </c>
      <c r="B3066" s="718"/>
      <c r="C3066" s="718"/>
      <c r="D3066" s="718"/>
      <c r="E3066" s="127"/>
      <c r="F3066" s="127"/>
      <c r="G3066" s="13"/>
      <c r="H3066" s="14"/>
      <c r="I3066" s="14"/>
      <c r="J3066" s="128"/>
      <c r="K3066" s="919" t="s">
        <v>712</v>
      </c>
      <c r="L3066" s="919" t="s">
        <v>712</v>
      </c>
      <c r="M3066" s="128"/>
      <c r="N3066" s="866"/>
      <c r="O3066" s="867"/>
      <c r="P3066" s="868"/>
      <c r="Q3066" s="869"/>
      <c r="R3066" s="130"/>
      <c r="S3066" s="12"/>
      <c r="T3066" s="131"/>
    </row>
    <row r="3067" ht="15.6" spans="1:21">
      <c r="A3067" s="132" t="s">
        <v>1490</v>
      </c>
      <c r="B3067" s="17" t="s">
        <v>1492</v>
      </c>
      <c r="C3067" s="773" t="s">
        <v>3</v>
      </c>
      <c r="D3067" s="164" t="s">
        <v>1494</v>
      </c>
      <c r="E3067" s="18" t="s">
        <v>5</v>
      </c>
      <c r="F3067" s="18" t="s">
        <v>1933</v>
      </c>
      <c r="G3067" s="18" t="s">
        <v>4102</v>
      </c>
      <c r="H3067" s="18" t="s">
        <v>1910</v>
      </c>
      <c r="I3067" s="18" t="s">
        <v>1497</v>
      </c>
      <c r="J3067" s="18" t="s">
        <v>4102</v>
      </c>
      <c r="K3067" s="18" t="s">
        <v>4103</v>
      </c>
      <c r="L3067" s="18" t="s">
        <v>4104</v>
      </c>
      <c r="M3067" s="18" t="s">
        <v>1497</v>
      </c>
      <c r="N3067" s="18" t="s">
        <v>6</v>
      </c>
      <c r="O3067" s="18" t="s">
        <v>7</v>
      </c>
      <c r="P3067" s="18" t="s">
        <v>5672</v>
      </c>
      <c r="Q3067" s="18" t="s">
        <v>8</v>
      </c>
      <c r="R3067" s="18" t="s">
        <v>9</v>
      </c>
      <c r="S3067" s="18" t="s">
        <v>4105</v>
      </c>
      <c r="T3067" s="18" t="s">
        <v>4106</v>
      </c>
    </row>
    <row r="3068" ht="15" spans="1:21">
      <c r="A3068" s="333" t="s">
        <v>3547</v>
      </c>
      <c r="B3068" s="23">
        <v>20241012</v>
      </c>
      <c r="C3068" s="153">
        <v>7.17</v>
      </c>
      <c r="D3068" s="23" t="s">
        <v>8427</v>
      </c>
      <c r="E3068" s="20" t="s">
        <v>2495</v>
      </c>
      <c r="F3068" s="729" t="s">
        <v>3565</v>
      </c>
      <c r="G3068" s="21" t="s">
        <v>3566</v>
      </c>
      <c r="H3068" s="21" t="s">
        <v>1913</v>
      </c>
      <c r="I3068" s="21" t="s">
        <v>1428</v>
      </c>
      <c r="J3068" s="138" t="s">
        <v>3513</v>
      </c>
      <c r="K3068" s="21" t="s">
        <v>1428</v>
      </c>
      <c r="L3068" s="21" t="s">
        <v>1428</v>
      </c>
      <c r="M3068" s="21" t="s">
        <v>1428</v>
      </c>
      <c r="N3068" s="37">
        <f>25.7/C3068/1.13</f>
        <v>3.17201713136101</v>
      </c>
      <c r="O3068" s="22">
        <v>10.875655380879</v>
      </c>
      <c r="P3068" s="21" t="s">
        <v>1428</v>
      </c>
      <c r="Q3068" s="37">
        <v>2.60426309228472</v>
      </c>
      <c r="R3068" s="22">
        <f>SUM(J3068:Q3068)</f>
        <v>16.6519356045247</v>
      </c>
      <c r="S3068" s="38" t="s">
        <v>2854</v>
      </c>
      <c r="T3068" s="23" t="s">
        <v>3580</v>
      </c>
    </row>
    <row r="3069" spans="1:21">
      <c r="A3069" s="333"/>
      <c r="B3069" s="23">
        <v>20241009</v>
      </c>
      <c r="C3069" s="23">
        <v>7.17</v>
      </c>
      <c r="D3069" s="687" t="s">
        <v>561</v>
      </c>
      <c r="E3069" s="695" t="s">
        <v>562</v>
      </c>
      <c r="F3069" s="20"/>
      <c r="G3069" s="23"/>
      <c r="H3069" s="23"/>
      <c r="I3069" s="23"/>
      <c r="J3069" s="973"/>
      <c r="K3069" s="973"/>
      <c r="L3069" s="973"/>
      <c r="M3069" s="973"/>
      <c r="N3069" s="22">
        <v>0.313520408533924</v>
      </c>
      <c r="O3069" s="22">
        <v>1.28695368091048</v>
      </c>
      <c r="P3069" s="21" t="s">
        <v>1428</v>
      </c>
      <c r="Q3069" s="37">
        <v>0.2</v>
      </c>
      <c r="R3069" s="22">
        <f>SUM(J3069:Q3069)</f>
        <v>1.8004740894444</v>
      </c>
      <c r="S3069" s="23"/>
      <c r="T3069" s="35"/>
    </row>
    <row r="3072" ht="15.6" spans="1:21">
      <c r="A3072" s="801" t="s">
        <v>8418</v>
      </c>
      <c r="B3072" s="718"/>
      <c r="C3072" s="718"/>
      <c r="D3072" s="718"/>
      <c r="E3072" s="127"/>
      <c r="F3072" s="127"/>
      <c r="G3072" s="13"/>
      <c r="H3072" s="14"/>
      <c r="I3072" s="14"/>
      <c r="J3072" s="128"/>
      <c r="K3072" s="919" t="s">
        <v>712</v>
      </c>
      <c r="L3072" s="919" t="s">
        <v>712</v>
      </c>
      <c r="M3072" s="128"/>
      <c r="N3072" s="866"/>
      <c r="O3072" s="867"/>
      <c r="P3072" s="868"/>
      <c r="Q3072" s="869"/>
      <c r="R3072" s="130"/>
      <c r="S3072" s="12"/>
      <c r="T3072" s="131"/>
    </row>
    <row r="3073" ht="15.6" spans="1:20">
      <c r="A3073" s="132" t="s">
        <v>1490</v>
      </c>
      <c r="B3073" s="17" t="s">
        <v>1492</v>
      </c>
      <c r="C3073" s="773" t="s">
        <v>3</v>
      </c>
      <c r="D3073" s="164" t="s">
        <v>1494</v>
      </c>
      <c r="E3073" s="974" t="s">
        <v>5</v>
      </c>
      <c r="F3073" s="974" t="s">
        <v>1933</v>
      </c>
      <c r="G3073" s="974" t="s">
        <v>4102</v>
      </c>
      <c r="H3073" s="974" t="s">
        <v>1910</v>
      </c>
      <c r="I3073" s="974" t="s">
        <v>1497</v>
      </c>
      <c r="J3073" s="974" t="s">
        <v>4102</v>
      </c>
      <c r="K3073" s="974" t="s">
        <v>4103</v>
      </c>
      <c r="L3073" s="974" t="s">
        <v>4104</v>
      </c>
      <c r="M3073" s="974" t="s">
        <v>1497</v>
      </c>
      <c r="N3073" s="974" t="s">
        <v>6</v>
      </c>
      <c r="O3073" s="974" t="s">
        <v>7</v>
      </c>
      <c r="P3073" s="974" t="s">
        <v>5672</v>
      </c>
      <c r="Q3073" s="974" t="s">
        <v>8</v>
      </c>
      <c r="R3073" s="974" t="s">
        <v>9</v>
      </c>
      <c r="S3073" s="974" t="s">
        <v>4105</v>
      </c>
      <c r="T3073" s="974" t="s">
        <v>4106</v>
      </c>
    </row>
    <row r="3074" s="192" customFormat="1" spans="1:20">
      <c r="A3074" s="192" t="s">
        <v>7407</v>
      </c>
      <c r="B3074" s="20">
        <v>20250813</v>
      </c>
      <c r="C3074" s="23">
        <v>7.17</v>
      </c>
      <c r="D3074" s="21" t="s">
        <v>8428</v>
      </c>
      <c r="E3074" s="23" t="s">
        <v>8429</v>
      </c>
      <c r="F3074" s="21" t="s">
        <v>3916</v>
      </c>
      <c r="G3074" s="21" t="s">
        <v>8430</v>
      </c>
      <c r="H3074" s="21" t="s">
        <v>1913</v>
      </c>
      <c r="I3074" s="21"/>
      <c r="J3074" s="21">
        <v>130</v>
      </c>
      <c r="K3074" s="22"/>
      <c r="L3074" s="37"/>
      <c r="M3074" s="22"/>
      <c r="N3074" s="22">
        <f>3.85264748791615/7.21*7.17</f>
        <v>3.83127357674879</v>
      </c>
      <c r="O3074" s="22">
        <v>13.1671892144555</v>
      </c>
      <c r="P3074" s="20"/>
      <c r="Q3074" s="37">
        <v>2.92887029288703</v>
      </c>
      <c r="R3074" s="22">
        <f>SUM(J3074:Q3074)+1</f>
        <v>150.927333084091</v>
      </c>
      <c r="S3074" s="192" t="s">
        <v>1526</v>
      </c>
      <c r="T3074" s="192" t="s">
        <v>8431</v>
      </c>
    </row>
    <row r="3075" s="192" customFormat="1" spans="1:20">
      <c r="B3075" s="20">
        <v>20241213</v>
      </c>
      <c r="C3075" s="23">
        <v>7.17</v>
      </c>
      <c r="D3075" s="21" t="s">
        <v>141</v>
      </c>
      <c r="E3075" s="23" t="s">
        <v>142</v>
      </c>
      <c r="F3075" s="21"/>
      <c r="G3075" s="21"/>
      <c r="H3075" s="21"/>
      <c r="I3075" s="21"/>
      <c r="J3075" s="21"/>
      <c r="K3075" s="22"/>
      <c r="L3075" s="37"/>
      <c r="M3075" s="22"/>
      <c r="N3075" s="22">
        <v>0.651682897026697</v>
      </c>
      <c r="O3075" s="22">
        <v>3.05598970867425</v>
      </c>
      <c r="P3075" s="20"/>
      <c r="Q3075" s="37">
        <v>0.4</v>
      </c>
      <c r="R3075" s="22">
        <f>SUM(J3075:Q3075)</f>
        <v>4.10767260570095</v>
      </c>
      <c r="T3075" s="192" t="s">
        <v>143</v>
      </c>
    </row>
    <row r="3076" spans="1:20">
      <c r="E3076" s="949"/>
    </row>
    <row r="3079" ht="15.6" spans="1:20">
      <c r="A3079" s="801" t="s">
        <v>8418</v>
      </c>
      <c r="B3079" s="718"/>
      <c r="C3079" s="718"/>
      <c r="D3079" s="718"/>
      <c r="E3079" s="127"/>
      <c r="F3079" s="127"/>
      <c r="G3079" s="13"/>
      <c r="H3079" s="14"/>
      <c r="I3079" s="14"/>
      <c r="J3079" s="128"/>
      <c r="K3079" s="919" t="s">
        <v>712</v>
      </c>
      <c r="L3079" s="919" t="s">
        <v>712</v>
      </c>
      <c r="M3079" s="128"/>
      <c r="N3079" s="866"/>
      <c r="O3079" s="867"/>
      <c r="P3079" s="868"/>
      <c r="Q3079" s="869"/>
      <c r="R3079" s="130"/>
      <c r="S3079" s="12"/>
      <c r="T3079" s="131"/>
    </row>
    <row r="3080" ht="15.6" spans="1:20">
      <c r="A3080" s="132" t="s">
        <v>1490</v>
      </c>
      <c r="B3080" s="17" t="s">
        <v>1492</v>
      </c>
      <c r="C3080" s="773" t="s">
        <v>3</v>
      </c>
      <c r="D3080" s="164" t="s">
        <v>1494</v>
      </c>
      <c r="E3080" s="974" t="s">
        <v>5</v>
      </c>
      <c r="F3080" s="974" t="s">
        <v>1933</v>
      </c>
      <c r="G3080" s="974" t="s">
        <v>4102</v>
      </c>
      <c r="H3080" s="974" t="s">
        <v>1910</v>
      </c>
      <c r="I3080" s="974" t="s">
        <v>1497</v>
      </c>
      <c r="J3080" s="974" t="s">
        <v>4102</v>
      </c>
      <c r="K3080" s="974" t="s">
        <v>4103</v>
      </c>
      <c r="L3080" s="974" t="s">
        <v>4104</v>
      </c>
      <c r="M3080" s="974" t="s">
        <v>1497</v>
      </c>
      <c r="N3080" s="974" t="s">
        <v>6</v>
      </c>
      <c r="O3080" s="974" t="s">
        <v>7</v>
      </c>
      <c r="P3080" s="974" t="s">
        <v>5672</v>
      </c>
      <c r="Q3080" s="974" t="s">
        <v>8</v>
      </c>
      <c r="R3080" s="974" t="s">
        <v>9</v>
      </c>
      <c r="S3080" s="974" t="s">
        <v>4105</v>
      </c>
      <c r="T3080" s="974" t="s">
        <v>4106</v>
      </c>
    </row>
    <row r="3081" ht="15" spans="1:20">
      <c r="A3081" s="333" t="s">
        <v>7826</v>
      </c>
      <c r="B3081" s="23">
        <v>20250114</v>
      </c>
      <c r="C3081" s="21">
        <v>7.17</v>
      </c>
      <c r="D3081" s="23" t="s">
        <v>7900</v>
      </c>
      <c r="E3081" s="39" t="s">
        <v>1565</v>
      </c>
      <c r="F3081" s="23" t="s">
        <v>7557</v>
      </c>
      <c r="G3081" s="690" t="s">
        <v>3855</v>
      </c>
      <c r="H3081" s="21" t="s">
        <v>1913</v>
      </c>
      <c r="I3081" s="690" t="s">
        <v>1428</v>
      </c>
      <c r="J3081" s="138" t="s">
        <v>3513</v>
      </c>
      <c r="K3081" s="690" t="s">
        <v>1428</v>
      </c>
      <c r="L3081" s="690" t="s">
        <v>1428</v>
      </c>
      <c r="M3081" s="690" t="s">
        <v>1428</v>
      </c>
      <c r="N3081" s="22">
        <f>30.41/7.17/1.13</f>
        <v>3.75334789745868</v>
      </c>
      <c r="O3081" s="22">
        <v>10.6636603756841</v>
      </c>
      <c r="P3081" s="21" t="s">
        <v>1428</v>
      </c>
      <c r="Q3081" s="37">
        <v>3</v>
      </c>
      <c r="R3081" s="22">
        <f>SUM(J3081:Q3081)</f>
        <v>17.4170082731428</v>
      </c>
      <c r="S3081" s="167" t="s">
        <v>1526</v>
      </c>
      <c r="T3081" s="759" t="s">
        <v>8432</v>
      </c>
    </row>
    <row r="3082" spans="1:20">
      <c r="A3082" s="333"/>
      <c r="B3082" s="23">
        <v>20241111</v>
      </c>
      <c r="C3082" s="23">
        <v>7.17</v>
      </c>
      <c r="D3082" s="23" t="s">
        <v>175</v>
      </c>
      <c r="E3082" s="23" t="s">
        <v>176</v>
      </c>
      <c r="F3082" s="23"/>
      <c r="G3082" s="21"/>
      <c r="H3082" s="21"/>
      <c r="I3082" s="21"/>
      <c r="J3082" s="36"/>
      <c r="K3082" s="36"/>
      <c r="L3082" s="36"/>
      <c r="M3082" s="36"/>
      <c r="N3082" s="22">
        <v>0.422346507965976</v>
      </c>
      <c r="O3082" s="22">
        <v>2.15105537835191</v>
      </c>
      <c r="P3082" s="21" t="s">
        <v>1428</v>
      </c>
      <c r="Q3082" s="37">
        <v>0.4</v>
      </c>
      <c r="R3082" s="37">
        <f>SUM(J3082:Q3082)</f>
        <v>2.97340188631789</v>
      </c>
      <c r="S3082" s="38"/>
      <c r="T3082" s="710" t="s">
        <v>8097</v>
      </c>
    </row>
    <row r="3083" ht="15" spans="1:20">
      <c r="A3083" s="333"/>
      <c r="B3083" s="23">
        <v>20250423</v>
      </c>
      <c r="C3083" s="153">
        <v>7.17</v>
      </c>
      <c r="D3083" s="23" t="s">
        <v>789</v>
      </c>
      <c r="E3083" s="20" t="s">
        <v>3621</v>
      </c>
      <c r="F3083" s="729"/>
      <c r="G3083" s="21"/>
      <c r="H3083" s="21"/>
      <c r="I3083" s="21"/>
      <c r="J3083" s="21"/>
      <c r="K3083" s="21"/>
      <c r="L3083" s="21"/>
      <c r="M3083" s="21"/>
      <c r="N3083" s="37">
        <v>0.433345238736107</v>
      </c>
      <c r="O3083" s="22">
        <v>1.04324591624309</v>
      </c>
      <c r="P3083" s="21"/>
      <c r="Q3083" s="37">
        <v>0.2</v>
      </c>
      <c r="R3083" s="22">
        <f>SUM(J3083:Q3083)</f>
        <v>1.6765911549792</v>
      </c>
      <c r="S3083" s="38"/>
      <c r="T3083" s="23"/>
    </row>
    <row r="3085" ht="15.6" spans="1:20">
      <c r="A3085" s="801" t="s">
        <v>8418</v>
      </c>
      <c r="B3085" s="718"/>
      <c r="C3085" s="718"/>
      <c r="D3085" s="718"/>
      <c r="E3085" s="127"/>
      <c r="F3085" s="127"/>
      <c r="G3085" s="13"/>
      <c r="H3085" s="14"/>
      <c r="I3085" s="14"/>
      <c r="J3085" s="128"/>
      <c r="K3085" s="919" t="s">
        <v>712</v>
      </c>
      <c r="L3085" s="919" t="s">
        <v>712</v>
      </c>
      <c r="M3085" s="128"/>
      <c r="N3085" s="866"/>
      <c r="O3085" s="867"/>
      <c r="P3085" s="868"/>
      <c r="Q3085" s="869"/>
      <c r="R3085" s="130"/>
      <c r="S3085" s="12"/>
      <c r="T3085" s="131"/>
    </row>
    <row r="3086" ht="15.6" spans="1:20">
      <c r="A3086" s="132" t="s">
        <v>1490</v>
      </c>
      <c r="B3086" s="17" t="s">
        <v>1492</v>
      </c>
      <c r="C3086" s="773" t="s">
        <v>3</v>
      </c>
      <c r="D3086" s="164" t="s">
        <v>1494</v>
      </c>
      <c r="E3086" s="974" t="s">
        <v>5</v>
      </c>
      <c r="F3086" s="974" t="s">
        <v>1933</v>
      </c>
      <c r="G3086" s="974" t="s">
        <v>4102</v>
      </c>
      <c r="H3086" s="974" t="s">
        <v>1910</v>
      </c>
      <c r="I3086" s="974" t="s">
        <v>1497</v>
      </c>
      <c r="J3086" s="974" t="s">
        <v>4102</v>
      </c>
      <c r="K3086" s="974" t="s">
        <v>4103</v>
      </c>
      <c r="L3086" s="974" t="s">
        <v>4104</v>
      </c>
      <c r="M3086" s="974" t="s">
        <v>1497</v>
      </c>
      <c r="N3086" s="974" t="s">
        <v>6</v>
      </c>
      <c r="O3086" s="974" t="s">
        <v>7</v>
      </c>
      <c r="P3086" s="974" t="s">
        <v>5672</v>
      </c>
      <c r="Q3086" s="974" t="s">
        <v>8</v>
      </c>
      <c r="R3086" s="974" t="s">
        <v>9</v>
      </c>
      <c r="S3086" s="974" t="s">
        <v>4105</v>
      </c>
      <c r="T3086" s="974" t="s">
        <v>4106</v>
      </c>
    </row>
    <row r="3087" s="177" customFormat="1" ht="15" spans="1:20">
      <c r="A3087" s="192" t="s">
        <v>8146</v>
      </c>
      <c r="B3087" s="732">
        <v>20250814</v>
      </c>
      <c r="C3087" s="732">
        <v>7.17</v>
      </c>
      <c r="D3087" s="23" t="s">
        <v>4230</v>
      </c>
      <c r="E3087" s="20" t="s">
        <v>4231</v>
      </c>
      <c r="F3087" s="688" t="s">
        <v>4122</v>
      </c>
      <c r="G3087" s="21" t="s">
        <v>2369</v>
      </c>
      <c r="H3087" s="21" t="s">
        <v>1913</v>
      </c>
      <c r="I3087" s="21" t="s">
        <v>2513</v>
      </c>
      <c r="J3087" s="700">
        <v>190</v>
      </c>
      <c r="K3087" s="21" t="s">
        <v>1428</v>
      </c>
      <c r="L3087" s="21" t="s">
        <v>1428</v>
      </c>
      <c r="M3087" s="21">
        <v>6</v>
      </c>
      <c r="N3087" s="37">
        <f>45.045/C3087/1.13</f>
        <v>5.55966971525901</v>
      </c>
      <c r="O3087" s="37">
        <v>15.5502176080588</v>
      </c>
      <c r="P3087" s="37" t="s">
        <v>1428</v>
      </c>
      <c r="Q3087" s="774">
        <v>0.3</v>
      </c>
      <c r="R3087" s="37">
        <f>SUM(J3087:Q3087)</f>
        <v>217.409887323318</v>
      </c>
      <c r="S3087" s="167" t="s">
        <v>1526</v>
      </c>
      <c r="T3087" s="750" t="s">
        <v>4232</v>
      </c>
    </row>
    <row r="3088" ht="15" spans="1:20">
      <c r="A3088" s="333"/>
      <c r="B3088" s="23">
        <v>20241113</v>
      </c>
      <c r="C3088" s="23">
        <v>7.17</v>
      </c>
      <c r="D3088" s="23" t="s">
        <v>1405</v>
      </c>
      <c r="E3088" s="20" t="s">
        <v>21</v>
      </c>
      <c r="F3088" s="688"/>
      <c r="G3088" s="690"/>
      <c r="H3088" s="690"/>
      <c r="I3088" s="690"/>
      <c r="J3088" s="36"/>
      <c r="K3088" s="21"/>
      <c r="L3088" s="21"/>
      <c r="M3088" s="21"/>
      <c r="N3088" s="22">
        <v>0.424280290615099</v>
      </c>
      <c r="O3088" s="22">
        <v>2.36720326335148</v>
      </c>
      <c r="P3088" s="37" t="s">
        <v>1428</v>
      </c>
      <c r="Q3088" s="37">
        <v>0.4</v>
      </c>
      <c r="R3088" s="37">
        <f>SUM(J3088:Q3088)</f>
        <v>3.19148355396658</v>
      </c>
      <c r="S3088" s="688"/>
      <c r="T3088" s="167" t="s">
        <v>2844</v>
      </c>
    </row>
    <row r="3091" ht="15.6" spans="1:20">
      <c r="A3091" s="801" t="s">
        <v>8418</v>
      </c>
      <c r="B3091" s="718"/>
      <c r="C3091" s="718"/>
      <c r="D3091" s="718"/>
      <c r="E3091" s="127"/>
      <c r="F3091" s="127"/>
      <c r="G3091" s="13"/>
      <c r="H3091" s="14"/>
      <c r="I3091" s="14"/>
      <c r="J3091" s="128"/>
      <c r="K3091" s="919" t="s">
        <v>712</v>
      </c>
      <c r="L3091" s="919" t="s">
        <v>712</v>
      </c>
      <c r="M3091" s="128"/>
      <c r="N3091" s="866"/>
      <c r="O3091" s="867"/>
      <c r="P3091" s="868"/>
      <c r="Q3091" s="869"/>
      <c r="R3091" s="130"/>
      <c r="S3091" s="12"/>
      <c r="T3091" s="131"/>
    </row>
    <row r="3092" ht="15.6" spans="1:20">
      <c r="A3092" s="132" t="s">
        <v>1490</v>
      </c>
      <c r="B3092" s="17" t="s">
        <v>1492</v>
      </c>
      <c r="C3092" s="773" t="s">
        <v>3</v>
      </c>
      <c r="D3092" s="164" t="s">
        <v>1494</v>
      </c>
      <c r="E3092" s="974" t="s">
        <v>5</v>
      </c>
      <c r="F3092" s="974" t="s">
        <v>1933</v>
      </c>
      <c r="G3092" s="974" t="s">
        <v>4102</v>
      </c>
      <c r="H3092" s="974" t="s">
        <v>1910</v>
      </c>
      <c r="I3092" s="974" t="s">
        <v>1497</v>
      </c>
      <c r="J3092" s="974" t="s">
        <v>4102</v>
      </c>
      <c r="K3092" s="974" t="s">
        <v>4103</v>
      </c>
      <c r="L3092" s="974" t="s">
        <v>4104</v>
      </c>
      <c r="M3092" s="974" t="s">
        <v>1497</v>
      </c>
      <c r="N3092" s="974" t="s">
        <v>6</v>
      </c>
      <c r="O3092" s="974" t="s">
        <v>7</v>
      </c>
      <c r="P3092" s="974" t="s">
        <v>5672</v>
      </c>
      <c r="Q3092" s="974" t="s">
        <v>8</v>
      </c>
      <c r="R3092" s="974" t="s">
        <v>9</v>
      </c>
      <c r="S3092" s="974" t="s">
        <v>4105</v>
      </c>
      <c r="T3092" s="974" t="s">
        <v>4106</v>
      </c>
    </row>
    <row r="3093" spans="1:20">
      <c r="A3093" s="333"/>
      <c r="B3093" s="23">
        <v>20241202</v>
      </c>
      <c r="C3093" s="153">
        <v>7.17</v>
      </c>
      <c r="D3093" s="23" t="s">
        <v>796</v>
      </c>
      <c r="E3093" s="20" t="s">
        <v>797</v>
      </c>
      <c r="F3093" s="729"/>
      <c r="G3093" s="21"/>
      <c r="H3093" s="730"/>
      <c r="I3093" s="21"/>
      <c r="J3093" s="690"/>
      <c r="K3093" s="700"/>
      <c r="L3093" s="21"/>
      <c r="M3093" s="21"/>
      <c r="N3093" s="37">
        <v>0.286760178043417</v>
      </c>
      <c r="O3093" s="22">
        <v>0.556400433046931</v>
      </c>
      <c r="P3093" s="21"/>
      <c r="Q3093" s="37">
        <v>0.2</v>
      </c>
      <c r="R3093" s="22">
        <f>SUM(J3093:Q3093)</f>
        <v>1.04316061109035</v>
      </c>
      <c r="S3093" s="38"/>
      <c r="T3093" s="23" t="s">
        <v>484</v>
      </c>
    </row>
    <row r="3095" ht="15.6" spans="1:20">
      <c r="A3095" s="801" t="s">
        <v>8418</v>
      </c>
      <c r="B3095" s="718"/>
      <c r="C3095" s="718"/>
      <c r="D3095" s="718"/>
      <c r="E3095" s="127"/>
      <c r="F3095" s="127"/>
      <c r="G3095" s="13"/>
      <c r="H3095" s="14"/>
      <c r="I3095" s="14"/>
      <c r="J3095" s="128"/>
      <c r="K3095" s="919" t="s">
        <v>712</v>
      </c>
      <c r="L3095" s="919" t="s">
        <v>712</v>
      </c>
      <c r="M3095" s="128"/>
      <c r="N3095" s="866"/>
      <c r="O3095" s="867"/>
      <c r="P3095" s="868"/>
      <c r="Q3095" s="869"/>
      <c r="R3095" s="130"/>
      <c r="S3095" s="12"/>
      <c r="T3095" s="131"/>
    </row>
    <row r="3096" ht="15.6" spans="1:20">
      <c r="A3096" s="132" t="s">
        <v>1490</v>
      </c>
      <c r="B3096" s="17" t="s">
        <v>1492</v>
      </c>
      <c r="C3096" s="773" t="s">
        <v>3</v>
      </c>
      <c r="D3096" s="164" t="s">
        <v>1494</v>
      </c>
      <c r="E3096" s="974" t="s">
        <v>5</v>
      </c>
      <c r="F3096" s="974" t="s">
        <v>1933</v>
      </c>
      <c r="G3096" s="974" t="s">
        <v>4102</v>
      </c>
      <c r="H3096" s="974" t="s">
        <v>1910</v>
      </c>
      <c r="I3096" s="974" t="s">
        <v>1497</v>
      </c>
      <c r="J3096" s="974" t="s">
        <v>4102</v>
      </c>
      <c r="K3096" s="974" t="s">
        <v>4103</v>
      </c>
      <c r="L3096" s="974" t="s">
        <v>4104</v>
      </c>
      <c r="M3096" s="974" t="s">
        <v>1497</v>
      </c>
      <c r="N3096" s="974" t="s">
        <v>6</v>
      </c>
      <c r="O3096" s="974" t="s">
        <v>7</v>
      </c>
      <c r="P3096" s="974" t="s">
        <v>5672</v>
      </c>
      <c r="Q3096" s="974" t="s">
        <v>8</v>
      </c>
      <c r="R3096" s="974" t="s">
        <v>9</v>
      </c>
      <c r="S3096" s="974" t="s">
        <v>4105</v>
      </c>
      <c r="T3096" s="974" t="s">
        <v>4106</v>
      </c>
    </row>
    <row r="3097" ht="27" hidden="1" customHeight="1" spans="1:20">
      <c r="A3097" s="333" t="s">
        <v>309</v>
      </c>
      <c r="B3097" s="35">
        <v>20240407</v>
      </c>
      <c r="C3097" s="23">
        <v>7.24</v>
      </c>
      <c r="D3097" s="23" t="s">
        <v>8364</v>
      </c>
      <c r="E3097" s="695" t="s">
        <v>1604</v>
      </c>
      <c r="F3097" s="20" t="s">
        <v>1933</v>
      </c>
      <c r="G3097" s="21" t="s">
        <v>2387</v>
      </c>
      <c r="H3097" s="21" t="s">
        <v>1913</v>
      </c>
      <c r="I3097" s="21" t="s">
        <v>1428</v>
      </c>
      <c r="J3097" s="690">
        <v>299</v>
      </c>
      <c r="K3097" s="21" t="s">
        <v>1428</v>
      </c>
      <c r="L3097" s="21" t="s">
        <v>1428</v>
      </c>
      <c r="M3097" s="21" t="s">
        <v>1428</v>
      </c>
      <c r="N3097" s="22">
        <v>4.59732291806354</v>
      </c>
      <c r="O3097" s="22">
        <v>28.7249305727578</v>
      </c>
      <c r="P3097" s="37" t="s">
        <v>1428</v>
      </c>
      <c r="Q3097" s="37">
        <v>5.02685937768077</v>
      </c>
      <c r="R3097" s="37">
        <f>SUM(J3097:Q3097)</f>
        <v>337.349112868502</v>
      </c>
      <c r="S3097" s="167" t="s">
        <v>1526</v>
      </c>
      <c r="T3097" s="859" t="s">
        <v>8365</v>
      </c>
    </row>
    <row r="3098" ht="15" spans="1:20">
      <c r="A3098" s="333"/>
      <c r="B3098" s="35">
        <v>20241114</v>
      </c>
      <c r="C3098" s="23">
        <v>7.17</v>
      </c>
      <c r="D3098" s="23" t="s">
        <v>314</v>
      </c>
      <c r="E3098" s="20" t="s">
        <v>315</v>
      </c>
      <c r="F3098" s="20"/>
      <c r="G3098" s="690"/>
      <c r="H3098" s="21"/>
      <c r="I3098" s="21"/>
      <c r="J3098" s="690"/>
      <c r="K3098" s="21"/>
      <c r="L3098" s="21"/>
      <c r="M3098" s="21"/>
      <c r="N3098" s="37">
        <v>0.557674702471773</v>
      </c>
      <c r="O3098" s="37">
        <v>5.00655541227368</v>
      </c>
      <c r="P3098" s="37" t="s">
        <v>1428</v>
      </c>
      <c r="Q3098" s="37">
        <v>0.2</v>
      </c>
      <c r="R3098" s="37">
        <f>SUM(J3098:Q3098)</f>
        <v>5.76423011474545</v>
      </c>
      <c r="S3098" s="813"/>
      <c r="T3098" s="167" t="s">
        <v>2860</v>
      </c>
    </row>
    <row r="3099" ht="15" spans="1:20">
      <c r="A3099" s="333" t="s">
        <v>309</v>
      </c>
      <c r="B3099" s="35">
        <v>20240407</v>
      </c>
      <c r="C3099" s="23">
        <v>7.24</v>
      </c>
      <c r="D3099" s="23" t="s">
        <v>8364</v>
      </c>
      <c r="E3099" s="695" t="s">
        <v>1604</v>
      </c>
      <c r="F3099" s="20" t="s">
        <v>1933</v>
      </c>
      <c r="G3099" s="21" t="s">
        <v>1979</v>
      </c>
      <c r="H3099" s="21" t="s">
        <v>1913</v>
      </c>
      <c r="I3099" s="21" t="s">
        <v>1428</v>
      </c>
      <c r="J3099" s="690" t="s">
        <v>1979</v>
      </c>
      <c r="K3099" s="21" t="s">
        <v>1428</v>
      </c>
      <c r="L3099" s="21" t="s">
        <v>1428</v>
      </c>
      <c r="M3099" s="21" t="s">
        <v>1428</v>
      </c>
      <c r="N3099" s="704">
        <v>4.59732291806354</v>
      </c>
      <c r="O3099" s="704">
        <v>26.4667923170578</v>
      </c>
      <c r="P3099" s="37" t="s">
        <v>1428</v>
      </c>
      <c r="Q3099" s="37">
        <f>23/7.17</f>
        <v>3.20781032078103</v>
      </c>
      <c r="R3099" s="37">
        <f>SUM(J3099:Q3099)</f>
        <v>34.2719255559024</v>
      </c>
      <c r="S3099" s="167" t="s">
        <v>1526</v>
      </c>
      <c r="T3099" s="167" t="s">
        <v>8365</v>
      </c>
    </row>
    <row r="3101" ht="15.6" spans="1:20">
      <c r="A3101" s="801" t="s">
        <v>8418</v>
      </c>
      <c r="B3101" s="718"/>
      <c r="C3101" s="718"/>
      <c r="D3101" s="718"/>
      <c r="E3101" s="127"/>
      <c r="F3101" s="127"/>
      <c r="G3101" s="13"/>
      <c r="H3101" s="14"/>
      <c r="I3101" s="14"/>
      <c r="J3101" s="128"/>
      <c r="K3101" s="919" t="s">
        <v>712</v>
      </c>
      <c r="L3101" s="919" t="s">
        <v>712</v>
      </c>
      <c r="M3101" s="128"/>
      <c r="N3101" s="866"/>
      <c r="O3101" s="867"/>
      <c r="P3101" s="868"/>
      <c r="Q3101" s="869"/>
      <c r="R3101" s="130"/>
      <c r="S3101" s="12"/>
      <c r="T3101" s="131"/>
    </row>
    <row r="3102" ht="15.6" spans="1:20">
      <c r="A3102" s="132" t="s">
        <v>1490</v>
      </c>
      <c r="B3102" s="17" t="s">
        <v>1492</v>
      </c>
      <c r="C3102" s="773" t="s">
        <v>3</v>
      </c>
      <c r="D3102" s="164" t="s">
        <v>1494</v>
      </c>
      <c r="E3102" s="974" t="s">
        <v>5</v>
      </c>
      <c r="F3102" s="974" t="s">
        <v>1933</v>
      </c>
      <c r="G3102" s="974" t="s">
        <v>4102</v>
      </c>
      <c r="H3102" s="974" t="s">
        <v>1910</v>
      </c>
      <c r="I3102" s="974" t="s">
        <v>1497</v>
      </c>
      <c r="J3102" s="974" t="s">
        <v>4102</v>
      </c>
      <c r="K3102" s="974" t="s">
        <v>4103</v>
      </c>
      <c r="L3102" s="974" t="s">
        <v>4104</v>
      </c>
      <c r="M3102" s="974" t="s">
        <v>1497</v>
      </c>
      <c r="N3102" s="974" t="s">
        <v>6</v>
      </c>
      <c r="O3102" s="974" t="s">
        <v>7</v>
      </c>
      <c r="P3102" s="974" t="s">
        <v>5672</v>
      </c>
      <c r="Q3102" s="974" t="s">
        <v>8</v>
      </c>
      <c r="R3102" s="974" t="s">
        <v>9</v>
      </c>
      <c r="S3102" s="974" t="s">
        <v>4105</v>
      </c>
      <c r="T3102" s="974" t="s">
        <v>4106</v>
      </c>
    </row>
    <row r="3103" s="177" customFormat="1" ht="15" spans="1:20">
      <c r="A3103" s="192" t="s">
        <v>1181</v>
      </c>
      <c r="B3103" s="23">
        <v>20250722</v>
      </c>
      <c r="C3103" s="23">
        <v>7.17</v>
      </c>
      <c r="D3103" s="926" t="s">
        <v>2724</v>
      </c>
      <c r="E3103" s="23" t="s">
        <v>2427</v>
      </c>
      <c r="F3103" s="750" t="s">
        <v>4457</v>
      </c>
      <c r="G3103" s="21" t="s">
        <v>2695</v>
      </c>
      <c r="H3103" s="21" t="s">
        <v>4248</v>
      </c>
      <c r="I3103" s="21" t="s">
        <v>1567</v>
      </c>
      <c r="J3103" s="700">
        <v>240</v>
      </c>
      <c r="K3103" s="699" t="s">
        <v>712</v>
      </c>
      <c r="L3103" s="21"/>
      <c r="M3103" s="21">
        <v>7.9</v>
      </c>
      <c r="N3103" s="37">
        <f>26.12/C3103/1.13</f>
        <v>3.22385554362449</v>
      </c>
      <c r="O3103" s="37">
        <v>13.8485654408394</v>
      </c>
      <c r="P3103" s="37"/>
      <c r="Q3103" s="37">
        <v>3</v>
      </c>
      <c r="R3103" s="37">
        <f>SUM(J3103:Q3103)</f>
        <v>267.972420984464</v>
      </c>
      <c r="S3103" s="38" t="s">
        <v>3984</v>
      </c>
      <c r="T3103" s="760" t="s">
        <v>2725</v>
      </c>
    </row>
    <row r="3104" s="177" customFormat="1" spans="1:20">
      <c r="A3104" s="192" t="s">
        <v>1181</v>
      </c>
      <c r="B3104" s="23">
        <v>20250718</v>
      </c>
      <c r="C3104" s="23">
        <v>7.17</v>
      </c>
      <c r="D3104" s="23" t="s">
        <v>2732</v>
      </c>
      <c r="E3104" s="23" t="s">
        <v>2306</v>
      </c>
      <c r="F3104" s="750" t="s">
        <v>4457</v>
      </c>
      <c r="G3104" s="21" t="s">
        <v>2680</v>
      </c>
      <c r="H3104" s="21" t="s">
        <v>4174</v>
      </c>
      <c r="I3104" s="21" t="s">
        <v>1635</v>
      </c>
      <c r="J3104" s="699" t="s">
        <v>712</v>
      </c>
      <c r="K3104" s="699" t="s">
        <v>712</v>
      </c>
      <c r="L3104" s="21"/>
      <c r="M3104" s="21">
        <v>3.1</v>
      </c>
      <c r="N3104" s="37">
        <f>26.12/C3104/1.13</f>
        <v>3.22385554362449</v>
      </c>
      <c r="O3104" s="37">
        <v>16.7432492780964</v>
      </c>
      <c r="P3104" s="37"/>
      <c r="Q3104" s="37">
        <v>3</v>
      </c>
      <c r="R3104" s="37">
        <f>SUM(J3104:Q3104)</f>
        <v>26.0671048217209</v>
      </c>
      <c r="S3104" s="38" t="s">
        <v>4478</v>
      </c>
      <c r="T3104" s="760" t="s">
        <v>2733</v>
      </c>
    </row>
    <row r="3105" s="177" customFormat="1" ht="15" spans="1:21">
      <c r="A3105" s="192"/>
      <c r="B3105" s="23">
        <v>20241216</v>
      </c>
      <c r="C3105" s="23">
        <v>7.17</v>
      </c>
      <c r="D3105" s="23" t="s">
        <v>181</v>
      </c>
      <c r="E3105" s="23" t="s">
        <v>182</v>
      </c>
      <c r="F3105" s="23"/>
      <c r="G3105" s="21"/>
      <c r="H3105" s="21"/>
      <c r="I3105" s="21"/>
      <c r="J3105" s="36"/>
      <c r="K3105" s="36"/>
      <c r="L3105" s="36"/>
      <c r="M3105" s="36"/>
      <c r="N3105" s="22">
        <v>0.355705441431684</v>
      </c>
      <c r="O3105" s="22">
        <v>1.35748792322237</v>
      </c>
      <c r="P3105" s="21"/>
      <c r="Q3105" s="37">
        <v>0.4</v>
      </c>
      <c r="R3105" s="37">
        <f>SUM(J3105:Q3105)</f>
        <v>2.11319336465406</v>
      </c>
      <c r="S3105" s="38"/>
      <c r="T3105" s="751" t="s">
        <v>7426</v>
      </c>
    </row>
    <row r="3108" ht="15.6" spans="1:21">
      <c r="A3108" s="801" t="s">
        <v>8418</v>
      </c>
      <c r="B3108" s="718"/>
      <c r="C3108" s="718"/>
      <c r="D3108" s="718"/>
      <c r="E3108" s="127"/>
      <c r="F3108" s="127"/>
      <c r="G3108" s="13"/>
      <c r="H3108" s="14"/>
      <c r="I3108" s="14"/>
      <c r="J3108" s="128"/>
      <c r="K3108" s="919" t="s">
        <v>712</v>
      </c>
      <c r="L3108" s="919" t="s">
        <v>712</v>
      </c>
      <c r="M3108" s="128"/>
      <c r="N3108" s="866"/>
      <c r="O3108" s="867"/>
      <c r="P3108" s="868"/>
      <c r="Q3108" s="869"/>
      <c r="R3108" s="130"/>
      <c r="S3108" s="12"/>
      <c r="T3108" s="131"/>
    </row>
    <row r="3109" ht="15.6" spans="1:21">
      <c r="A3109" s="132" t="s">
        <v>1490</v>
      </c>
      <c r="B3109" s="17" t="s">
        <v>1492</v>
      </c>
      <c r="C3109" s="773" t="s">
        <v>3</v>
      </c>
      <c r="D3109" s="164" t="s">
        <v>1494</v>
      </c>
      <c r="E3109" s="974" t="s">
        <v>5</v>
      </c>
      <c r="F3109" s="974" t="s">
        <v>1933</v>
      </c>
      <c r="G3109" s="974" t="s">
        <v>4102</v>
      </c>
      <c r="H3109" s="974" t="s">
        <v>1910</v>
      </c>
      <c r="I3109" s="974" t="s">
        <v>1497</v>
      </c>
      <c r="J3109" s="974" t="s">
        <v>4102</v>
      </c>
      <c r="K3109" s="974" t="s">
        <v>4103</v>
      </c>
      <c r="L3109" s="974" t="s">
        <v>4104</v>
      </c>
      <c r="M3109" s="974" t="s">
        <v>1497</v>
      </c>
      <c r="N3109" s="974" t="s">
        <v>6</v>
      </c>
      <c r="O3109" s="974" t="s">
        <v>7</v>
      </c>
      <c r="P3109" s="974" t="s">
        <v>5672</v>
      </c>
      <c r="Q3109" s="974" t="s">
        <v>8</v>
      </c>
      <c r="R3109" s="974" t="s">
        <v>9</v>
      </c>
      <c r="S3109" s="974" t="s">
        <v>4105</v>
      </c>
      <c r="T3109" s="974" t="s">
        <v>4106</v>
      </c>
    </row>
    <row r="3110" s="193" customFormat="1" ht="16" customHeight="1" spans="1:21">
      <c r="A3110" s="975" t="s">
        <v>8433</v>
      </c>
      <c r="B3110" s="976">
        <v>20250819</v>
      </c>
      <c r="C3110" s="977">
        <v>7.17</v>
      </c>
      <c r="D3110" s="687" t="s">
        <v>8434</v>
      </c>
      <c r="E3110" s="687" t="s">
        <v>8435</v>
      </c>
      <c r="F3110" s="923" t="s">
        <v>4471</v>
      </c>
      <c r="G3110" s="153" t="s">
        <v>8436</v>
      </c>
      <c r="H3110" s="924" t="s">
        <v>1913</v>
      </c>
      <c r="I3110" s="153" t="s">
        <v>1635</v>
      </c>
      <c r="J3110" s="153">
        <v>255</v>
      </c>
      <c r="K3110" s="153"/>
      <c r="L3110" s="727"/>
      <c r="M3110" s="154">
        <v>3.1</v>
      </c>
      <c r="N3110" s="912">
        <f>32.97/C3110/1.13</f>
        <v>4.06931536268375</v>
      </c>
      <c r="O3110" s="795">
        <v>13.934428857337</v>
      </c>
      <c r="P3110" s="795"/>
      <c r="Q3110" s="795">
        <v>4</v>
      </c>
      <c r="R3110" s="727">
        <f>SUBTOTAL(9,H3110:Q3110)</f>
        <v>280.103744220021</v>
      </c>
      <c r="S3110" s="900" t="s">
        <v>1526</v>
      </c>
      <c r="T3110" s="900" t="s">
        <v>8437</v>
      </c>
      <c r="U3110" s="978"/>
    </row>
    <row r="3116" ht="15.6" spans="1:21">
      <c r="A3116" s="801" t="s">
        <v>8418</v>
      </c>
      <c r="B3116" s="718"/>
      <c r="C3116" s="718"/>
      <c r="D3116" s="718"/>
      <c r="E3116" s="127"/>
      <c r="F3116" s="127"/>
      <c r="G3116" s="13"/>
      <c r="H3116" s="14"/>
      <c r="I3116" s="14"/>
      <c r="J3116" s="128"/>
      <c r="K3116" s="919" t="s">
        <v>712</v>
      </c>
      <c r="L3116" s="919" t="s">
        <v>712</v>
      </c>
      <c r="M3116" s="128"/>
      <c r="N3116" s="866"/>
      <c r="O3116" s="867"/>
      <c r="P3116" s="868"/>
      <c r="Q3116" s="869"/>
      <c r="R3116" s="130"/>
      <c r="S3116" s="12"/>
      <c r="T3116" s="131"/>
    </row>
    <row r="3117" ht="15.6" spans="1:21">
      <c r="A3117" s="132" t="s">
        <v>1490</v>
      </c>
      <c r="B3117" s="17" t="s">
        <v>1492</v>
      </c>
      <c r="C3117" s="773" t="s">
        <v>3</v>
      </c>
      <c r="D3117" s="164" t="s">
        <v>1494</v>
      </c>
      <c r="E3117" s="974" t="s">
        <v>5</v>
      </c>
      <c r="F3117" s="974" t="s">
        <v>1933</v>
      </c>
      <c r="G3117" s="974" t="s">
        <v>4102</v>
      </c>
      <c r="H3117" s="974" t="s">
        <v>1910</v>
      </c>
      <c r="I3117" s="974" t="s">
        <v>1497</v>
      </c>
      <c r="J3117" s="974" t="s">
        <v>4102</v>
      </c>
      <c r="K3117" s="974" t="s">
        <v>4103</v>
      </c>
      <c r="L3117" s="974" t="s">
        <v>4104</v>
      </c>
      <c r="M3117" s="974" t="s">
        <v>1497</v>
      </c>
      <c r="N3117" s="974" t="s">
        <v>6</v>
      </c>
      <c r="O3117" s="974" t="s">
        <v>7</v>
      </c>
      <c r="P3117" s="974" t="s">
        <v>5672</v>
      </c>
      <c r="Q3117" s="974" t="s">
        <v>8</v>
      </c>
      <c r="R3117" s="974" t="s">
        <v>9</v>
      </c>
      <c r="S3117" s="974" t="s">
        <v>4105</v>
      </c>
      <c r="T3117" s="974" t="s">
        <v>4106</v>
      </c>
    </row>
    <row r="3118" ht="15" spans="1:21">
      <c r="A3118" s="21" t="s">
        <v>8168</v>
      </c>
      <c r="B3118" s="35">
        <v>20250807</v>
      </c>
      <c r="C3118" s="729">
        <v>7.17</v>
      </c>
      <c r="D3118" s="970" t="s">
        <v>4966</v>
      </c>
      <c r="E3118" s="20" t="s">
        <v>1604</v>
      </c>
      <c r="F3118" s="23" t="s">
        <v>4958</v>
      </c>
      <c r="G3118" s="21" t="s">
        <v>4818</v>
      </c>
      <c r="H3118" s="21" t="s">
        <v>4174</v>
      </c>
      <c r="I3118" s="21"/>
      <c r="J3118" s="21">
        <v>70</v>
      </c>
      <c r="K3118" s="21"/>
      <c r="L3118" s="915" t="s">
        <v>712</v>
      </c>
      <c r="M3118" s="21"/>
      <c r="N3118" s="22">
        <v>5.98363387269967</v>
      </c>
      <c r="O3118" s="37">
        <v>20.2441239210654</v>
      </c>
      <c r="P3118" s="22"/>
      <c r="Q3118" s="22">
        <v>3.48675034867503</v>
      </c>
      <c r="R3118" s="37">
        <f>SUM(J3118:Q3118)</f>
        <v>99.7145081424401</v>
      </c>
      <c r="S3118" s="20" t="s">
        <v>4964</v>
      </c>
      <c r="T3118" s="139" t="s">
        <v>8438</v>
      </c>
    </row>
    <row r="3119" spans="1:21">
      <c r="A3119" s="333"/>
      <c r="B3119" s="707">
        <v>20241118</v>
      </c>
      <c r="C3119" s="23">
        <v>7.17</v>
      </c>
      <c r="D3119" s="23" t="s">
        <v>737</v>
      </c>
      <c r="E3119" s="35" t="s">
        <v>738</v>
      </c>
      <c r="F3119" s="39"/>
      <c r="G3119" s="21"/>
      <c r="H3119" s="21"/>
      <c r="I3119" s="21"/>
      <c r="J3119" s="779"/>
      <c r="K3119" s="779"/>
      <c r="L3119" s="779"/>
      <c r="M3119" s="779"/>
      <c r="N3119" s="22">
        <v>0.360638247022834</v>
      </c>
      <c r="O3119" s="22">
        <v>1.52824179438839</v>
      </c>
      <c r="P3119" s="21" t="s">
        <v>1428</v>
      </c>
      <c r="Q3119" s="37">
        <v>0.2</v>
      </c>
      <c r="R3119" s="37">
        <f>SUM(J3119:Q3119)</f>
        <v>2.08888004141122</v>
      </c>
      <c r="S3119" s="23"/>
      <c r="T3119" s="35"/>
    </row>
    <row r="3123" ht="15.6" spans="1:20">
      <c r="A3123" s="801" t="s">
        <v>8418</v>
      </c>
      <c r="B3123" s="718"/>
      <c r="C3123" s="718"/>
      <c r="D3123" s="718"/>
      <c r="E3123" s="127"/>
      <c r="F3123" s="127"/>
      <c r="G3123" s="13"/>
      <c r="H3123" s="14"/>
      <c r="I3123" s="14"/>
      <c r="J3123" s="128"/>
      <c r="K3123" s="919" t="s">
        <v>712</v>
      </c>
      <c r="L3123" s="919" t="s">
        <v>712</v>
      </c>
      <c r="M3123" s="128"/>
      <c r="N3123" s="866"/>
      <c r="O3123" s="867"/>
      <c r="P3123" s="868"/>
      <c r="Q3123" s="869"/>
      <c r="R3123" s="130"/>
      <c r="S3123" s="12"/>
      <c r="T3123" s="131"/>
    </row>
    <row r="3124" ht="15.6" spans="1:20">
      <c r="A3124" s="132" t="s">
        <v>1490</v>
      </c>
      <c r="B3124" s="17" t="s">
        <v>1492</v>
      </c>
      <c r="C3124" s="773" t="s">
        <v>3</v>
      </c>
      <c r="D3124" s="164" t="s">
        <v>1494</v>
      </c>
      <c r="E3124" s="974" t="s">
        <v>5</v>
      </c>
      <c r="F3124" s="974" t="s">
        <v>1933</v>
      </c>
      <c r="G3124" s="974" t="s">
        <v>4102</v>
      </c>
      <c r="H3124" s="974" t="s">
        <v>1910</v>
      </c>
      <c r="I3124" s="974" t="s">
        <v>1497</v>
      </c>
      <c r="J3124" s="974" t="s">
        <v>4102</v>
      </c>
      <c r="K3124" s="974" t="s">
        <v>4103</v>
      </c>
      <c r="L3124" s="974" t="s">
        <v>4104</v>
      </c>
      <c r="M3124" s="974" t="s">
        <v>1497</v>
      </c>
      <c r="N3124" s="974" t="s">
        <v>6</v>
      </c>
      <c r="O3124" s="974" t="s">
        <v>7</v>
      </c>
      <c r="P3124" s="974" t="s">
        <v>5672</v>
      </c>
      <c r="Q3124" s="974" t="s">
        <v>8</v>
      </c>
      <c r="R3124" s="974" t="s">
        <v>9</v>
      </c>
      <c r="S3124" s="974" t="s">
        <v>4105</v>
      </c>
      <c r="T3124" s="974" t="s">
        <v>4106</v>
      </c>
    </row>
    <row r="3125" ht="15" spans="1:20">
      <c r="A3125" s="333" t="s">
        <v>455</v>
      </c>
      <c r="B3125" s="979">
        <v>20250822</v>
      </c>
      <c r="C3125" s="687">
        <v>7.17</v>
      </c>
      <c r="D3125" s="980" t="s">
        <v>3092</v>
      </c>
      <c r="E3125" s="981" t="s">
        <v>1593</v>
      </c>
      <c r="F3125" s="982" t="s">
        <v>8439</v>
      </c>
      <c r="G3125" s="152" t="s">
        <v>4187</v>
      </c>
      <c r="H3125" s="153" t="s">
        <v>1913</v>
      </c>
      <c r="I3125" s="153"/>
      <c r="J3125" s="983">
        <v>100</v>
      </c>
      <c r="K3125" s="153"/>
      <c r="L3125" s="153"/>
      <c r="M3125" s="153"/>
      <c r="N3125" s="154">
        <f>37.98/C3125/1.13</f>
        <v>4.68767356611249</v>
      </c>
      <c r="O3125" s="727">
        <v>11.4754222919021</v>
      </c>
      <c r="P3125" s="154"/>
      <c r="Q3125" s="154">
        <v>2.76708507670851</v>
      </c>
      <c r="R3125" s="154">
        <f>SUM(J3125:Q3125)</f>
        <v>118.930180934723</v>
      </c>
      <c r="S3125" s="156" t="s">
        <v>1526</v>
      </c>
      <c r="T3125" s="984" t="s">
        <v>8440</v>
      </c>
    </row>
    <row r="3126" ht="15" spans="1:20">
      <c r="A3126" s="333" t="s">
        <v>455</v>
      </c>
      <c r="B3126" s="979">
        <v>20250822</v>
      </c>
      <c r="C3126" s="687">
        <v>7.17</v>
      </c>
      <c r="D3126" s="980" t="s">
        <v>1699</v>
      </c>
      <c r="E3126" s="981" t="s">
        <v>1525</v>
      </c>
      <c r="F3126" s="982" t="s">
        <v>8439</v>
      </c>
      <c r="G3126" s="152" t="s">
        <v>3090</v>
      </c>
      <c r="H3126" s="153" t="s">
        <v>1913</v>
      </c>
      <c r="I3126" s="153"/>
      <c r="J3126" s="983">
        <v>145</v>
      </c>
      <c r="K3126" s="153"/>
      <c r="L3126" s="153"/>
      <c r="M3126" s="153"/>
      <c r="N3126" s="154">
        <f>37.98/C3126/1.13</f>
        <v>4.68767356611249</v>
      </c>
      <c r="O3126" s="727">
        <v>13.9886761402784</v>
      </c>
      <c r="P3126" s="154"/>
      <c r="Q3126" s="154">
        <v>2.76708507670851</v>
      </c>
      <c r="R3126" s="154">
        <f>SUM(J3126:Q3126)</f>
        <v>166.443434783099</v>
      </c>
      <c r="S3126" s="156" t="s">
        <v>1526</v>
      </c>
      <c r="T3126" s="984" t="s">
        <v>8441</v>
      </c>
    </row>
    <row r="3127" spans="1:20">
      <c r="A3127" s="900"/>
      <c r="B3127" s="979">
        <v>20250822</v>
      </c>
      <c r="C3127" s="687">
        <v>7.17</v>
      </c>
      <c r="D3127" s="687" t="s">
        <v>494</v>
      </c>
      <c r="E3127" s="755" t="s">
        <v>495</v>
      </c>
      <c r="F3127" s="149"/>
      <c r="G3127" s="149"/>
      <c r="H3127" s="149"/>
      <c r="I3127" s="149"/>
      <c r="J3127" s="985"/>
      <c r="K3127" s="985"/>
      <c r="L3127" s="985"/>
      <c r="M3127" s="985"/>
      <c r="N3127" s="727">
        <v>0.382616852420977</v>
      </c>
      <c r="O3127" s="727">
        <v>2.2706073462016</v>
      </c>
      <c r="P3127" s="154"/>
      <c r="Q3127" s="154">
        <v>0.4</v>
      </c>
      <c r="R3127" s="154">
        <f>SUM(J3127:Q3127)</f>
        <v>3.05322419862258</v>
      </c>
      <c r="S3127" s="149"/>
      <c r="T3127" s="910" t="s">
        <v>496</v>
      </c>
    </row>
    <row r="3134" ht="15.6" spans="1:20">
      <c r="A3134" s="801" t="s">
        <v>8418</v>
      </c>
      <c r="B3134" s="718"/>
      <c r="C3134" s="718"/>
      <c r="D3134" s="718"/>
      <c r="E3134" s="127"/>
      <c r="F3134" s="127"/>
      <c r="G3134" s="13"/>
      <c r="H3134" s="14"/>
      <c r="I3134" s="14"/>
      <c r="J3134" s="128"/>
      <c r="K3134" s="919" t="s">
        <v>712</v>
      </c>
      <c r="L3134" s="919" t="s">
        <v>712</v>
      </c>
      <c r="M3134" s="128"/>
      <c r="N3134" s="866"/>
      <c r="O3134" s="867"/>
      <c r="P3134" s="868"/>
      <c r="Q3134" s="869"/>
      <c r="R3134" s="130"/>
      <c r="S3134" s="12"/>
      <c r="T3134" s="131"/>
    </row>
    <row r="3135" ht="15.6" spans="1:20">
      <c r="A3135" s="132" t="s">
        <v>1490</v>
      </c>
      <c r="B3135" s="17" t="s">
        <v>1492</v>
      </c>
      <c r="C3135" s="773" t="s">
        <v>3</v>
      </c>
      <c r="D3135" s="164" t="s">
        <v>1494</v>
      </c>
      <c r="E3135" s="974" t="s">
        <v>5</v>
      </c>
      <c r="F3135" s="974" t="s">
        <v>1933</v>
      </c>
      <c r="G3135" s="974" t="s">
        <v>4102</v>
      </c>
      <c r="H3135" s="974" t="s">
        <v>1910</v>
      </c>
      <c r="I3135" s="974" t="s">
        <v>1497</v>
      </c>
      <c r="J3135" s="974" t="s">
        <v>4102</v>
      </c>
      <c r="K3135" s="974" t="s">
        <v>4103</v>
      </c>
      <c r="L3135" s="974" t="s">
        <v>4104</v>
      </c>
      <c r="M3135" s="974" t="s">
        <v>1497</v>
      </c>
      <c r="N3135" s="974" t="s">
        <v>6</v>
      </c>
      <c r="O3135" s="974" t="s">
        <v>7</v>
      </c>
      <c r="P3135" s="974" t="s">
        <v>5672</v>
      </c>
      <c r="Q3135" s="974" t="s">
        <v>8</v>
      </c>
      <c r="R3135" s="974" t="s">
        <v>9</v>
      </c>
      <c r="S3135" s="974" t="s">
        <v>4105</v>
      </c>
      <c r="T3135" s="974" t="s">
        <v>4106</v>
      </c>
    </row>
    <row r="3136" ht="15" spans="1:20">
      <c r="A3136" s="333" t="s">
        <v>350</v>
      </c>
      <c r="B3136" s="23">
        <v>20240814</v>
      </c>
      <c r="C3136" s="23">
        <v>7.24</v>
      </c>
      <c r="D3136" s="23" t="s">
        <v>8442</v>
      </c>
      <c r="E3136" s="23" t="s">
        <v>1672</v>
      </c>
      <c r="F3136" s="23" t="s">
        <v>4065</v>
      </c>
      <c r="G3136" s="21" t="s">
        <v>2664</v>
      </c>
      <c r="H3136" s="21" t="s">
        <v>1913</v>
      </c>
      <c r="I3136" s="21" t="s">
        <v>1428</v>
      </c>
      <c r="J3136" s="138">
        <v>150</v>
      </c>
      <c r="K3136" s="21" t="s">
        <v>1428</v>
      </c>
      <c r="L3136" s="21" t="s">
        <v>1428</v>
      </c>
      <c r="M3136" s="21" t="s">
        <v>1428</v>
      </c>
      <c r="N3136" s="986">
        <v>4.51</v>
      </c>
      <c r="O3136" s="709">
        <v>27.0662560056932</v>
      </c>
      <c r="P3136" s="37" t="s">
        <v>1428</v>
      </c>
      <c r="Q3136" s="37">
        <v>3.81</v>
      </c>
      <c r="R3136" s="37">
        <f>SUM(J3136:Q3136)</f>
        <v>185.386256005693</v>
      </c>
      <c r="S3136" s="166" t="s">
        <v>1526</v>
      </c>
      <c r="T3136" s="751" t="s">
        <v>8367</v>
      </c>
    </row>
    <row r="3137" ht="15" spans="1:20">
      <c r="A3137" s="333"/>
      <c r="B3137" s="23">
        <v>20250114</v>
      </c>
      <c r="C3137" s="23">
        <v>7.17</v>
      </c>
      <c r="D3137" s="23" t="s">
        <v>45</v>
      </c>
      <c r="E3137" s="695" t="s">
        <v>46</v>
      </c>
      <c r="F3137" s="688"/>
      <c r="G3137" s="690"/>
      <c r="H3137" s="21"/>
      <c r="I3137" s="21"/>
      <c r="J3137" s="36"/>
      <c r="K3137" s="36"/>
      <c r="L3137" s="36"/>
      <c r="M3137" s="36"/>
      <c r="N3137" s="22">
        <v>0.576393774453537</v>
      </c>
      <c r="O3137" s="22">
        <v>3.54355849136693</v>
      </c>
      <c r="P3137" s="37"/>
      <c r="Q3137" s="37">
        <v>0.4</v>
      </c>
      <c r="R3137" s="37">
        <f>SUM(J3137:Q3137)</f>
        <v>4.51995226582047</v>
      </c>
      <c r="S3137" s="167"/>
      <c r="T3137" s="751" t="s">
        <v>2371</v>
      </c>
    </row>
    <row r="3140" ht="15.6" spans="1:20">
      <c r="A3140" s="801" t="s">
        <v>8418</v>
      </c>
      <c r="B3140" s="718"/>
      <c r="C3140" s="718"/>
      <c r="D3140" s="718"/>
      <c r="E3140" s="127"/>
      <c r="F3140" s="127"/>
      <c r="G3140" s="13"/>
      <c r="H3140" s="14"/>
      <c r="I3140" s="14"/>
      <c r="J3140" s="128"/>
      <c r="K3140" s="919" t="s">
        <v>712</v>
      </c>
      <c r="L3140" s="919" t="s">
        <v>712</v>
      </c>
      <c r="M3140" s="128"/>
      <c r="N3140" s="866"/>
      <c r="O3140" s="867"/>
      <c r="P3140" s="868"/>
      <c r="Q3140" s="869"/>
      <c r="R3140" s="130"/>
      <c r="S3140" s="12"/>
      <c r="T3140" s="131"/>
    </row>
    <row r="3141" ht="15.6" spans="1:20">
      <c r="A3141" s="132" t="s">
        <v>1490</v>
      </c>
      <c r="B3141" s="17" t="s">
        <v>1492</v>
      </c>
      <c r="C3141" s="773" t="s">
        <v>3</v>
      </c>
      <c r="D3141" s="164" t="s">
        <v>1494</v>
      </c>
      <c r="E3141" s="974" t="s">
        <v>5</v>
      </c>
      <c r="F3141" s="974" t="s">
        <v>1933</v>
      </c>
      <c r="G3141" s="974" t="s">
        <v>4102</v>
      </c>
      <c r="H3141" s="974" t="s">
        <v>1910</v>
      </c>
      <c r="I3141" s="974" t="s">
        <v>1497</v>
      </c>
      <c r="J3141" s="974" t="s">
        <v>4102</v>
      </c>
      <c r="K3141" s="974" t="s">
        <v>4103</v>
      </c>
      <c r="L3141" s="974" t="s">
        <v>4104</v>
      </c>
      <c r="M3141" s="974" t="s">
        <v>1497</v>
      </c>
      <c r="N3141" s="974" t="s">
        <v>6</v>
      </c>
      <c r="O3141" s="974" t="s">
        <v>7</v>
      </c>
      <c r="P3141" s="974" t="s">
        <v>5672</v>
      </c>
      <c r="Q3141" s="974" t="s">
        <v>8</v>
      </c>
      <c r="R3141" s="974" t="s">
        <v>9</v>
      </c>
      <c r="S3141" s="974" t="s">
        <v>4105</v>
      </c>
      <c r="T3141" s="974" t="s">
        <v>4106</v>
      </c>
    </row>
    <row r="3142" ht="15" spans="1:20">
      <c r="A3142" s="333" t="s">
        <v>8443</v>
      </c>
      <c r="B3142" s="23">
        <v>20250826</v>
      </c>
      <c r="C3142" s="23"/>
      <c r="D3142" s="23" t="s">
        <v>8443</v>
      </c>
      <c r="E3142" s="695" t="s">
        <v>8444</v>
      </c>
      <c r="F3142" s="23" t="s">
        <v>4065</v>
      </c>
      <c r="G3142" s="690" t="s">
        <v>8445</v>
      </c>
      <c r="H3142" s="21" t="s">
        <v>1913</v>
      </c>
      <c r="I3142" s="21"/>
      <c r="J3142" s="36"/>
      <c r="K3142" s="36"/>
      <c r="L3142" s="36"/>
      <c r="M3142" s="36"/>
      <c r="N3142" s="22">
        <v>4.43095000061712</v>
      </c>
      <c r="O3142" s="22">
        <v>25.1090635512886</v>
      </c>
      <c r="P3142" s="37"/>
      <c r="Q3142" s="37">
        <v>3.5</v>
      </c>
      <c r="R3142" s="37">
        <f>SUM(J3142:Q3142)</f>
        <v>33.0400135519057</v>
      </c>
      <c r="S3142" s="167"/>
      <c r="T3142" s="751" t="s">
        <v>8446</v>
      </c>
    </row>
    <row r="3143" ht="15" spans="1:20">
      <c r="A3143" s="333" t="s">
        <v>8443</v>
      </c>
      <c r="B3143" s="23">
        <v>20250826</v>
      </c>
      <c r="C3143" s="23"/>
      <c r="D3143" s="23" t="s">
        <v>8443</v>
      </c>
      <c r="E3143" s="695" t="s">
        <v>8447</v>
      </c>
      <c r="F3143" s="23" t="s">
        <v>4065</v>
      </c>
      <c r="G3143" s="690" t="s">
        <v>8448</v>
      </c>
      <c r="H3143" s="21" t="s">
        <v>1913</v>
      </c>
      <c r="I3143" s="21"/>
      <c r="J3143" s="36"/>
      <c r="K3143" s="36"/>
      <c r="L3143" s="36"/>
      <c r="M3143" s="36"/>
      <c r="N3143" s="22">
        <v>4.43095000061712</v>
      </c>
      <c r="O3143" s="22">
        <v>28.3539809987651</v>
      </c>
      <c r="P3143" s="37"/>
      <c r="Q3143" s="37">
        <v>3.5</v>
      </c>
      <c r="R3143" s="37">
        <f>SUM(J3143:Q3143)</f>
        <v>36.2849309993823</v>
      </c>
      <c r="S3143" s="167"/>
      <c r="T3143" s="751" t="s">
        <v>8449</v>
      </c>
    </row>
    <row r="3148" ht="15.6" spans="1:20">
      <c r="A3148" s="801" t="s">
        <v>8418</v>
      </c>
      <c r="B3148" s="718"/>
      <c r="C3148" s="718"/>
      <c r="D3148" s="718"/>
      <c r="E3148" s="127"/>
      <c r="F3148" s="127"/>
      <c r="G3148" s="13"/>
      <c r="H3148" s="14"/>
      <c r="I3148" s="14"/>
      <c r="J3148" s="128"/>
      <c r="K3148" s="919" t="s">
        <v>712</v>
      </c>
      <c r="L3148" s="919" t="s">
        <v>712</v>
      </c>
      <c r="M3148" s="128"/>
      <c r="N3148" s="866"/>
      <c r="O3148" s="867"/>
      <c r="P3148" s="868"/>
      <c r="Q3148" s="869"/>
      <c r="R3148" s="130"/>
      <c r="S3148" s="12"/>
      <c r="T3148" s="131"/>
    </row>
    <row r="3149" ht="15.6" spans="1:20">
      <c r="A3149" s="132" t="s">
        <v>1490</v>
      </c>
      <c r="B3149" s="17" t="s">
        <v>1492</v>
      </c>
      <c r="C3149" s="773" t="s">
        <v>3</v>
      </c>
      <c r="D3149" s="164" t="s">
        <v>1494</v>
      </c>
      <c r="E3149" s="974" t="s">
        <v>5</v>
      </c>
      <c r="F3149" s="974" t="s">
        <v>1933</v>
      </c>
      <c r="G3149" s="974" t="s">
        <v>4102</v>
      </c>
      <c r="H3149" s="974" t="s">
        <v>1910</v>
      </c>
      <c r="I3149" s="974" t="s">
        <v>1497</v>
      </c>
      <c r="J3149" s="974" t="s">
        <v>4102</v>
      </c>
      <c r="K3149" s="974" t="s">
        <v>4103</v>
      </c>
      <c r="L3149" s="974" t="s">
        <v>4104</v>
      </c>
      <c r="M3149" s="974" t="s">
        <v>1497</v>
      </c>
      <c r="N3149" s="974" t="s">
        <v>6</v>
      </c>
      <c r="O3149" s="974" t="s">
        <v>7</v>
      </c>
      <c r="P3149" s="974" t="s">
        <v>5672</v>
      </c>
      <c r="Q3149" s="974" t="s">
        <v>8</v>
      </c>
      <c r="R3149" s="974" t="s">
        <v>9</v>
      </c>
      <c r="S3149" s="974" t="s">
        <v>4105</v>
      </c>
      <c r="T3149" s="974" t="s">
        <v>4106</v>
      </c>
    </row>
    <row r="3150" ht="15" spans="1:20">
      <c r="A3150" s="333" t="s">
        <v>432</v>
      </c>
      <c r="B3150" s="23">
        <v>20250307</v>
      </c>
      <c r="C3150" s="23">
        <v>7.17</v>
      </c>
      <c r="D3150" s="23" t="s">
        <v>1113</v>
      </c>
      <c r="E3150" s="846" t="s">
        <v>1114</v>
      </c>
      <c r="F3150" s="20"/>
      <c r="G3150" s="21"/>
      <c r="H3150" s="22"/>
      <c r="I3150" s="21"/>
      <c r="J3150" s="779"/>
      <c r="K3150" s="36"/>
      <c r="L3150" s="36"/>
      <c r="M3150" s="779"/>
      <c r="N3150" s="22">
        <v>0.0925685933276558</v>
      </c>
      <c r="O3150" s="22">
        <v>0.444847610055171</v>
      </c>
      <c r="P3150" s="21"/>
      <c r="Q3150" s="37">
        <v>0.2</v>
      </c>
      <c r="R3150" s="37">
        <v>0.719744748933087</v>
      </c>
      <c r="S3150" s="793"/>
      <c r="T3150" s="20" t="s">
        <v>1115</v>
      </c>
    </row>
    <row r="3151" ht="15" spans="1:20">
      <c r="A3151" s="333" t="s">
        <v>432</v>
      </c>
      <c r="B3151" s="23">
        <v>20250307</v>
      </c>
      <c r="C3151" s="23">
        <v>7.17</v>
      </c>
      <c r="D3151" s="23" t="s">
        <v>1116</v>
      </c>
      <c r="E3151" s="846" t="s">
        <v>1117</v>
      </c>
      <c r="F3151" s="20"/>
      <c r="G3151" s="21"/>
      <c r="H3151" s="22"/>
      <c r="I3151" s="21"/>
      <c r="J3151" s="779"/>
      <c r="K3151" s="36"/>
      <c r="L3151" s="36"/>
      <c r="M3151" s="779"/>
      <c r="N3151" s="22">
        <v>0.370449843738491</v>
      </c>
      <c r="O3151" s="22">
        <v>0.803001195965244</v>
      </c>
      <c r="P3151" s="21"/>
      <c r="Q3151" s="37">
        <v>0.2</v>
      </c>
      <c r="R3151" s="37">
        <v>1.38761363581643</v>
      </c>
      <c r="S3151" s="793"/>
      <c r="T3151" s="20" t="s">
        <v>1118</v>
      </c>
    </row>
    <row r="3152" ht="15" spans="1:20">
      <c r="A3152" s="333" t="s">
        <v>432</v>
      </c>
      <c r="B3152" s="23">
        <v>20250416</v>
      </c>
      <c r="C3152" s="23">
        <v>7.17</v>
      </c>
      <c r="D3152" s="848" t="s">
        <v>1719</v>
      </c>
      <c r="E3152" s="23" t="s">
        <v>1591</v>
      </c>
      <c r="F3152" s="139" t="s">
        <v>4284</v>
      </c>
      <c r="G3152" s="21" t="s">
        <v>4213</v>
      </c>
      <c r="H3152" s="21" t="s">
        <v>1913</v>
      </c>
      <c r="I3152" s="21" t="s">
        <v>1720</v>
      </c>
      <c r="J3152" s="844">
        <v>65</v>
      </c>
      <c r="K3152" s="36"/>
      <c r="L3152" s="36"/>
      <c r="M3152" s="36">
        <v>2.3</v>
      </c>
      <c r="N3152" s="37">
        <v>2.70857491608178</v>
      </c>
      <c r="O3152" s="22">
        <v>11.0681546338701</v>
      </c>
      <c r="P3152" s="37"/>
      <c r="Q3152" s="37">
        <v>2.86192468619247</v>
      </c>
      <c r="R3152" s="22">
        <v>83.9386542361443</v>
      </c>
      <c r="S3152" s="167" t="s">
        <v>1526</v>
      </c>
      <c r="T3152" s="750" t="s">
        <v>7867</v>
      </c>
    </row>
    <row r="3159" ht="15.6" spans="1:17">
      <c r="A3159" s="11" t="s">
        <v>8450</v>
      </c>
      <c r="B3159" s="11"/>
      <c r="C3159" s="11"/>
      <c r="D3159" s="11"/>
      <c r="E3159" s="127"/>
      <c r="F3159" s="127"/>
      <c r="G3159" s="13"/>
      <c r="H3159" s="14"/>
      <c r="I3159" s="915" t="s">
        <v>712</v>
      </c>
      <c r="J3159" s="915" t="s">
        <v>712</v>
      </c>
      <c r="K3159" s="15"/>
      <c r="L3159" s="15"/>
      <c r="M3159" s="130"/>
      <c r="N3159" s="130"/>
      <c r="O3159" s="12"/>
      <c r="P3159" s="131"/>
      <c r="Q3159" s="188"/>
    </row>
    <row r="3160" ht="15.6" spans="1:17">
      <c r="A3160" s="132" t="s">
        <v>1490</v>
      </c>
      <c r="B3160" s="17" t="s">
        <v>1492</v>
      </c>
      <c r="C3160" s="165" t="s">
        <v>1404</v>
      </c>
      <c r="D3160" s="17" t="s">
        <v>4100</v>
      </c>
      <c r="E3160" s="121" t="s">
        <v>5</v>
      </c>
      <c r="F3160" s="121" t="s">
        <v>1933</v>
      </c>
      <c r="G3160" s="18" t="s">
        <v>4102</v>
      </c>
      <c r="H3160" s="133" t="s">
        <v>1910</v>
      </c>
      <c r="I3160" s="18" t="s">
        <v>4102</v>
      </c>
      <c r="J3160" s="18" t="s">
        <v>4103</v>
      </c>
      <c r="K3160" s="134" t="s">
        <v>6</v>
      </c>
      <c r="L3160" s="134" t="s">
        <v>7</v>
      </c>
      <c r="M3160" s="134" t="s">
        <v>8</v>
      </c>
      <c r="N3160" s="134" t="s">
        <v>9</v>
      </c>
      <c r="O3160" s="121" t="s">
        <v>4105</v>
      </c>
      <c r="P3160" s="136" t="s">
        <v>4106</v>
      </c>
      <c r="Q3160" s="987"/>
    </row>
    <row r="3161" ht="14.4" spans="1:17">
      <c r="A3161" s="916" t="s">
        <v>5021</v>
      </c>
      <c r="B3161" s="23">
        <v>20250616</v>
      </c>
      <c r="C3161" s="21">
        <v>7.13</v>
      </c>
      <c r="D3161" s="917" t="s">
        <v>4831</v>
      </c>
      <c r="E3161" s="729" t="s">
        <v>1565</v>
      </c>
      <c r="F3161" s="23" t="s">
        <v>4975</v>
      </c>
      <c r="G3161" s="21" t="s">
        <v>4810</v>
      </c>
      <c r="H3161" s="21" t="s">
        <v>4944</v>
      </c>
      <c r="I3161" s="699" t="s">
        <v>712</v>
      </c>
      <c r="J3161" s="699" t="s">
        <v>712</v>
      </c>
      <c r="K3161" s="22">
        <f>89.9/7.11/1.13</f>
        <v>11.1895249119401</v>
      </c>
      <c r="L3161" s="22">
        <v>36.6226677104147</v>
      </c>
      <c r="M3161" s="37">
        <v>6.5</v>
      </c>
      <c r="N3161" s="22">
        <f>SUBTOTAL(9,I3161:M3161)</f>
        <v>54.3121926223548</v>
      </c>
      <c r="O3161" s="23" t="s">
        <v>5023</v>
      </c>
      <c r="P3161" s="139" t="s">
        <v>5024</v>
      </c>
      <c r="Q3161" s="930"/>
    </row>
    <row r="3162" ht="14.4" spans="1:17">
      <c r="A3162" s="918"/>
      <c r="B3162" s="23">
        <v>20250715</v>
      </c>
      <c r="C3162" s="21">
        <v>7.13</v>
      </c>
      <c r="D3162" s="917" t="s">
        <v>5035</v>
      </c>
      <c r="E3162" s="729" t="s">
        <v>5036</v>
      </c>
      <c r="F3162" s="23"/>
      <c r="G3162" s="21"/>
      <c r="H3162" s="21"/>
      <c r="I3162" s="699"/>
      <c r="J3162" s="699"/>
      <c r="K3162" s="22">
        <v>0.75042272990953</v>
      </c>
      <c r="L3162" s="22">
        <v>7.72864557031511</v>
      </c>
      <c r="M3162" s="37">
        <v>3</v>
      </c>
      <c r="N3162" s="22">
        <v>11.4790683002246</v>
      </c>
      <c r="O3162" s="23"/>
      <c r="P3162" s="139" t="s">
        <v>5037</v>
      </c>
      <c r="Q3162" s="930"/>
    </row>
  </sheetData>
  <autoFilter xmlns:etc="http://www.wps.cn/officeDocument/2017/etCustomData" ref="A1839:XFD1843" etc:filterBottomFollowUsedRange="0">
    <filterColumn colId="0">
      <customFilters>
        <customFilter operator="equal" val="MTNTU"/>
      </customFilters>
    </filterColumn>
    <extLst/>
  </autoFilter>
  <mergeCells count="111">
    <mergeCell ref="A9:T9"/>
    <mergeCell ref="A16:T16"/>
    <mergeCell ref="A22:T22"/>
    <mergeCell ref="A33:T33"/>
    <mergeCell ref="A45:T45"/>
    <mergeCell ref="A50:T50"/>
    <mergeCell ref="A56:T56"/>
    <mergeCell ref="A76:T76"/>
    <mergeCell ref="A94:T94"/>
    <mergeCell ref="A98:T98"/>
    <mergeCell ref="A102:T102"/>
    <mergeCell ref="A106:T106"/>
    <mergeCell ref="A116:T116"/>
    <mergeCell ref="A122:T122"/>
    <mergeCell ref="A128:T128"/>
    <mergeCell ref="A134:T134"/>
    <mergeCell ref="A140:T140"/>
    <mergeCell ref="A148:T148"/>
    <mergeCell ref="A153:T153"/>
    <mergeCell ref="A157:T157"/>
    <mergeCell ref="A162:T162"/>
    <mergeCell ref="A237:T237"/>
    <mergeCell ref="A276:T276"/>
    <mergeCell ref="A423:T423"/>
    <mergeCell ref="A442:T442"/>
    <mergeCell ref="A578:T578"/>
    <mergeCell ref="A709:T709"/>
    <mergeCell ref="I928:L928"/>
    <mergeCell ref="I929:J929"/>
    <mergeCell ref="P1035:T1035"/>
    <mergeCell ref="A1741:T1741"/>
    <mergeCell ref="A1752:T1752"/>
    <mergeCell ref="E2285:S2285"/>
    <mergeCell ref="A11:A12"/>
    <mergeCell ref="A35:A36"/>
    <mergeCell ref="A41:A42"/>
    <mergeCell ref="A83:A84"/>
    <mergeCell ref="A89:A92"/>
    <mergeCell ref="A108:A114"/>
    <mergeCell ref="A118:A119"/>
    <mergeCell ref="A136:A137"/>
    <mergeCell ref="A159:A160"/>
    <mergeCell ref="A164:A166"/>
    <mergeCell ref="A181:A183"/>
    <mergeCell ref="A245:A247"/>
    <mergeCell ref="A263:A265"/>
    <mergeCell ref="A345:A347"/>
    <mergeCell ref="A369:A370"/>
    <mergeCell ref="A375:A376"/>
    <mergeCell ref="A386:A387"/>
    <mergeCell ref="A406:A407"/>
    <mergeCell ref="A425:A426"/>
    <mergeCell ref="A427:A428"/>
    <mergeCell ref="A430:A433"/>
    <mergeCell ref="A434:A435"/>
    <mergeCell ref="A444:A445"/>
    <mergeCell ref="A452:A453"/>
    <mergeCell ref="A477:A480"/>
    <mergeCell ref="A497:A503"/>
    <mergeCell ref="A544:A546"/>
    <mergeCell ref="A554:A556"/>
    <mergeCell ref="A572:A575"/>
    <mergeCell ref="A580:A581"/>
    <mergeCell ref="A582:A583"/>
    <mergeCell ref="A585:A588"/>
    <mergeCell ref="A589:A590"/>
    <mergeCell ref="A661:A664"/>
    <mergeCell ref="A665:A668"/>
    <mergeCell ref="A711:A712"/>
    <mergeCell ref="A742:A747"/>
    <mergeCell ref="A928:A929"/>
    <mergeCell ref="A1145:A1147"/>
    <mergeCell ref="A1258:A1259"/>
    <mergeCell ref="A1268:A1271"/>
    <mergeCell ref="A1276:A1279"/>
    <mergeCell ref="A1441:A1443"/>
    <mergeCell ref="A1444:A1445"/>
    <mergeCell ref="A1446:A1447"/>
    <mergeCell ref="A1448:A1449"/>
    <mergeCell ref="A1743:A1744"/>
    <mergeCell ref="A1745:A1746"/>
    <mergeCell ref="A1840:A1842"/>
    <mergeCell ref="A1848:A1852"/>
    <mergeCell ref="A1853:A1855"/>
    <mergeCell ref="A1881:A1884"/>
    <mergeCell ref="A1888:A1891"/>
    <mergeCell ref="A1910:A1911"/>
    <mergeCell ref="A1916:A1917"/>
    <mergeCell ref="A1922:A1923"/>
    <mergeCell ref="A1934:A1936"/>
    <mergeCell ref="A2122:A2124"/>
    <mergeCell ref="A2129:A2130"/>
    <mergeCell ref="A2135:A2136"/>
    <mergeCell ref="A2297:A2299"/>
    <mergeCell ref="A2538:A2541"/>
    <mergeCell ref="A2788:A2790"/>
    <mergeCell ref="A2797:A2798"/>
    <mergeCell ref="A2811:A2814"/>
    <mergeCell ref="A2898:A2900"/>
    <mergeCell ref="A2905:A2907"/>
    <mergeCell ref="A2934:A2938"/>
    <mergeCell ref="A2997:A2999"/>
    <mergeCell ref="A3009:A3010"/>
    <mergeCell ref="A3060:A3061"/>
    <mergeCell ref="A3161:A3162"/>
    <mergeCell ref="E144:E145"/>
    <mergeCell ref="F144:F145"/>
    <mergeCell ref="G144:G145"/>
    <mergeCell ref="T361:T364"/>
    <mergeCell ref="T1620:T1622"/>
    <mergeCell ref="A1748:O1751"/>
  </mergeCells>
  <conditionalFormatting sqref="E1885">
    <cfRule type="duplicateValues" dxfId="1" priority="62"/>
  </conditionalFormatting>
  <conditionalFormatting sqref="F1885">
    <cfRule type="duplicateValues" dxfId="1" priority="50"/>
  </conditionalFormatting>
  <conditionalFormatting sqref="E1886">
    <cfRule type="duplicateValues" dxfId="1" priority="58"/>
  </conditionalFormatting>
  <conditionalFormatting sqref="F1886">
    <cfRule type="duplicateValues" dxfId="1" priority="49"/>
  </conditionalFormatting>
  <conditionalFormatting sqref="E1887">
    <cfRule type="duplicateValues" dxfId="1" priority="54"/>
  </conditionalFormatting>
  <conditionalFormatting sqref="F1887">
    <cfRule type="duplicateValues" dxfId="1" priority="48"/>
  </conditionalFormatting>
  <conditionalFormatting sqref="E1892">
    <cfRule type="duplicateValues" dxfId="1" priority="47"/>
  </conditionalFormatting>
  <conditionalFormatting sqref="F1892">
    <cfRule type="duplicateValues" dxfId="1" priority="35"/>
  </conditionalFormatting>
  <conditionalFormatting sqref="E1893">
    <cfRule type="duplicateValues" dxfId="1" priority="43"/>
  </conditionalFormatting>
  <conditionalFormatting sqref="F1893">
    <cfRule type="duplicateValues" dxfId="1" priority="34"/>
  </conditionalFormatting>
  <conditionalFormatting sqref="E1894">
    <cfRule type="duplicateValues" dxfId="1" priority="39"/>
  </conditionalFormatting>
  <conditionalFormatting sqref="F1894">
    <cfRule type="duplicateValues" dxfId="1" priority="33"/>
  </conditionalFormatting>
  <conditionalFormatting sqref="E2660">
    <cfRule type="duplicateValues" dxfId="1" priority="19"/>
  </conditionalFormatting>
  <conditionalFormatting sqref="F2660">
    <cfRule type="duplicateValues" dxfId="1" priority="21"/>
  </conditionalFormatting>
  <conditionalFormatting sqref="K2660">
    <cfRule type="duplicateValues" dxfId="1" priority="20"/>
  </conditionalFormatting>
  <conditionalFormatting sqref="E2661">
    <cfRule type="duplicateValues" dxfId="1" priority="14"/>
  </conditionalFormatting>
  <conditionalFormatting sqref="E2662">
    <cfRule type="duplicateValues" dxfId="1" priority="9"/>
  </conditionalFormatting>
  <conditionalFormatting sqref="D2671">
    <cfRule type="duplicateValues" dxfId="0" priority="8"/>
  </conditionalFormatting>
  <conditionalFormatting sqref="E2671">
    <cfRule type="duplicateValues" dxfId="0" priority="6"/>
  </conditionalFormatting>
  <conditionalFormatting sqref="D3042">
    <cfRule type="duplicateValues" dxfId="1" priority="1"/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tabColor rgb="FFFF0000"/>
  </sheetPr>
  <dimension ref="A1"/>
  <sheetViews>
    <sheetView workbookViewId="0">
      <selection activeCell="G521" sqref="G521"/>
    </sheetView>
  </sheetViews>
  <sheetFormatPr defaultColWidth="8.73148148148148" defaultRowHeight="14.4"/>
  <sheetData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>
    <tabColor rgb="FFFF0000"/>
  </sheetPr>
  <dimension ref="A2:A4"/>
  <sheetViews>
    <sheetView workbookViewId="0">
      <selection activeCell="G521" sqref="G521"/>
    </sheetView>
  </sheetViews>
  <sheetFormatPr defaultColWidth="8.73148148148148" defaultRowHeight="14.4" outlineLevelRow="3"/>
  <cols>
    <col min="1" max="1" width="9.5462962962963"/>
  </cols>
  <sheetData>
    <row r="2" spans="1:1">
      <c r="A2">
        <f>24864.485+200+1238+51-1000+123.98+250+78.7+150+1242.5+20+50+300+48.405+138+24.5+1247+100+10-1000+700+300+314.5+200+1238-1000+400+48.45+1256-1000+1000</f>
        <v>31593.52</v>
      </c>
    </row>
    <row r="4" spans="1:1">
      <c r="A4">
        <f>31593.52+41.55+66.15+6.23+24.93+24.94+800</f>
        <v>32557.32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>
    <tabColor rgb="FFFF0000"/>
  </sheetPr>
  <dimension ref="A1:F3"/>
  <sheetViews>
    <sheetView workbookViewId="0">
      <selection activeCell="G521" sqref="G521"/>
    </sheetView>
  </sheetViews>
  <sheetFormatPr defaultColWidth="8.73148148148148" defaultRowHeight="14.4" outlineLevelRow="2" outlineLevelCol="5"/>
  <cols>
    <col min="1" max="1" width="12" customWidth="1"/>
    <col min="2" max="3" width="8.09259259259259" customWidth="1"/>
    <col min="5" max="5" width="24.0925925925926" customWidth="1"/>
    <col min="6" max="6" width="66.3611111111111" customWidth="1"/>
  </cols>
  <sheetData>
    <row r="1" spans="1:6">
      <c r="A1" s="169" t="s">
        <v>8451</v>
      </c>
      <c r="B1" s="170" t="s">
        <v>8452</v>
      </c>
      <c r="C1" s="170"/>
      <c r="D1" s="171" t="s">
        <v>8453</v>
      </c>
      <c r="E1" s="169" t="s">
        <v>8454</v>
      </c>
      <c r="F1" s="169" t="s">
        <v>8455</v>
      </c>
    </row>
    <row r="2" spans="1:6">
      <c r="A2" s="172" t="s">
        <v>8456</v>
      </c>
      <c r="B2" s="173">
        <v>0.65</v>
      </c>
      <c r="C2" s="173">
        <f>B2*1.003*1.004</f>
        <v>0.6545578</v>
      </c>
      <c r="D2" s="174" t="s">
        <v>5208</v>
      </c>
      <c r="E2" s="175" t="s">
        <v>8457</v>
      </c>
      <c r="F2" s="172" t="s">
        <v>8458</v>
      </c>
    </row>
    <row r="3" spans="1:6">
      <c r="A3" s="176" t="s">
        <v>8459</v>
      </c>
      <c r="B3" s="173">
        <v>1.08</v>
      </c>
      <c r="C3" s="173">
        <f>B3*1.003*1.004</f>
        <v>1.08757296</v>
      </c>
      <c r="D3" s="174" t="s">
        <v>5208</v>
      </c>
      <c r="E3" s="176" t="s">
        <v>8460</v>
      </c>
      <c r="F3" s="176" t="s">
        <v>8461</v>
      </c>
    </row>
  </sheetData>
  <conditionalFormatting sqref="A1 A2 A3">
    <cfRule type="duplicateValues" dxfId="0" priority="1"/>
  </conditionalFormatting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>
    <tabColor rgb="FFFF0000"/>
  </sheetPr>
  <dimension ref="A1:T85"/>
  <sheetViews>
    <sheetView zoomScale="70" zoomScaleNormal="70" topLeftCell="A55" workbookViewId="0">
      <selection activeCell="G521" sqref="G521"/>
    </sheetView>
  </sheetViews>
  <sheetFormatPr defaultColWidth="8.88888888888889" defaultRowHeight="14.4"/>
  <cols>
    <col min="2" max="2" width="24" customWidth="1"/>
    <col min="3" max="3" width="23" customWidth="1"/>
    <col min="4" max="4" width="23.4444444444444" customWidth="1"/>
    <col min="14" max="14" width="12.8888888888889"/>
    <col min="16" max="16" width="17.5555555555556" customWidth="1"/>
    <col min="17" max="17" width="6.38888888888889" customWidth="1"/>
    <col min="18" max="18" width="176.222222222222" customWidth="1"/>
  </cols>
  <sheetData>
    <row r="1" ht="15.6" spans="1:20">
      <c r="A1" s="11" t="s">
        <v>8462</v>
      </c>
      <c r="B1" s="127"/>
      <c r="C1" s="127"/>
      <c r="D1" s="13"/>
      <c r="E1" s="14"/>
      <c r="F1" s="14"/>
      <c r="G1" s="128"/>
      <c r="H1" s="129"/>
      <c r="I1" s="129"/>
      <c r="J1" s="129"/>
      <c r="K1" s="15"/>
      <c r="L1" s="15"/>
      <c r="M1" s="13"/>
      <c r="N1" s="130"/>
      <c r="O1" s="130"/>
      <c r="P1" s="12"/>
      <c r="Q1" s="131"/>
    </row>
    <row r="2" ht="15.6" spans="1:20">
      <c r="A2" s="132" t="s">
        <v>1490</v>
      </c>
      <c r="B2" s="121" t="s">
        <v>5</v>
      </c>
      <c r="C2" s="121" t="s">
        <v>1933</v>
      </c>
      <c r="D2" s="18" t="s">
        <v>4102</v>
      </c>
      <c r="E2" s="133" t="s">
        <v>1910</v>
      </c>
      <c r="F2" s="133" t="s">
        <v>1497</v>
      </c>
      <c r="G2" s="18" t="s">
        <v>4102</v>
      </c>
      <c r="H2" s="18" t="s">
        <v>4103</v>
      </c>
      <c r="I2" s="18" t="s">
        <v>4104</v>
      </c>
      <c r="J2" s="18" t="s">
        <v>1497</v>
      </c>
      <c r="K2" s="134" t="s">
        <v>6</v>
      </c>
      <c r="L2" s="134" t="s">
        <v>7</v>
      </c>
      <c r="M2" s="135" t="s">
        <v>5672</v>
      </c>
      <c r="N2" s="134" t="s">
        <v>8</v>
      </c>
      <c r="O2" s="134" t="s">
        <v>9</v>
      </c>
      <c r="P2" s="121" t="s">
        <v>4105</v>
      </c>
      <c r="Q2" s="136" t="s">
        <v>4106</v>
      </c>
    </row>
    <row r="3" ht="15" spans="1:20">
      <c r="A3" s="21" t="s">
        <v>7475</v>
      </c>
      <c r="B3" s="20" t="s">
        <v>5057</v>
      </c>
      <c r="C3" s="23" t="s">
        <v>5058</v>
      </c>
      <c r="D3" s="21" t="s">
        <v>4838</v>
      </c>
      <c r="E3" s="21" t="s">
        <v>3432</v>
      </c>
      <c r="F3" s="21" t="s">
        <v>1428</v>
      </c>
      <c r="G3" s="21">
        <v>60</v>
      </c>
      <c r="H3" s="21">
        <v>52</v>
      </c>
      <c r="I3" s="137" t="s">
        <v>1428</v>
      </c>
      <c r="J3" s="137" t="s">
        <v>1428</v>
      </c>
      <c r="K3" s="22">
        <v>3.93867630562134</v>
      </c>
      <c r="L3" s="22">
        <v>13.2991956759867</v>
      </c>
      <c r="M3" s="22"/>
      <c r="N3" s="37">
        <f t="shared" ref="N3:N7" si="0">4.06713286713287/7.11*7.1</f>
        <v>4.06141256774168</v>
      </c>
      <c r="O3" s="22">
        <v>133.305004848741</v>
      </c>
      <c r="P3" s="20" t="s">
        <v>4001</v>
      </c>
      <c r="Q3" s="20" t="s">
        <v>8463</v>
      </c>
    </row>
    <row r="4" spans="1:20">
      <c r="A4" s="21"/>
      <c r="B4" s="20" t="s">
        <v>5061</v>
      </c>
      <c r="C4" s="23" t="s">
        <v>5058</v>
      </c>
      <c r="D4" s="21" t="s">
        <v>4838</v>
      </c>
      <c r="E4" s="21" t="s">
        <v>3436</v>
      </c>
      <c r="F4" s="21" t="s">
        <v>1428</v>
      </c>
      <c r="G4" s="21">
        <v>60</v>
      </c>
      <c r="H4" s="21">
        <v>15</v>
      </c>
      <c r="I4" s="137" t="s">
        <v>1428</v>
      </c>
      <c r="J4" s="137" t="s">
        <v>1428</v>
      </c>
      <c r="K4" s="22">
        <v>3.93867630562134</v>
      </c>
      <c r="L4" s="22">
        <v>13.2340772575064</v>
      </c>
      <c r="M4" s="22"/>
      <c r="N4" s="37">
        <f t="shared" si="0"/>
        <v>4.06141256774168</v>
      </c>
      <c r="O4" s="22">
        <v>96.2398864302606</v>
      </c>
      <c r="P4" s="20" t="s">
        <v>4976</v>
      </c>
      <c r="Q4" s="20" t="s">
        <v>8464</v>
      </c>
    </row>
    <row r="5" spans="1:20">
      <c r="A5" s="21"/>
      <c r="B5" s="20" t="s">
        <v>5064</v>
      </c>
      <c r="C5" s="23" t="s">
        <v>5058</v>
      </c>
      <c r="D5" s="21" t="s">
        <v>4847</v>
      </c>
      <c r="E5" s="21" t="s">
        <v>3909</v>
      </c>
      <c r="F5" s="21" t="s">
        <v>1428</v>
      </c>
      <c r="G5" s="138" t="s">
        <v>4519</v>
      </c>
      <c r="H5" s="21" t="s">
        <v>8465</v>
      </c>
      <c r="I5" s="137" t="s">
        <v>1428</v>
      </c>
      <c r="J5" s="137" t="s">
        <v>1428</v>
      </c>
      <c r="K5" s="22">
        <v>3.93867630562134</v>
      </c>
      <c r="L5" s="22">
        <v>12.9931336214011</v>
      </c>
      <c r="M5" s="22"/>
      <c r="N5" s="37">
        <f t="shared" si="0"/>
        <v>4.06141256774168</v>
      </c>
      <c r="O5" s="22">
        <v>20.9989427941553</v>
      </c>
      <c r="P5" s="20" t="s">
        <v>3990</v>
      </c>
      <c r="Q5" s="20" t="s">
        <v>8466</v>
      </c>
    </row>
    <row r="6" spans="1:20">
      <c r="A6" s="21"/>
      <c r="B6" s="20" t="s">
        <v>5067</v>
      </c>
      <c r="C6" s="23" t="s">
        <v>5058</v>
      </c>
      <c r="D6" s="21" t="s">
        <v>5068</v>
      </c>
      <c r="E6" s="21" t="s">
        <v>3436</v>
      </c>
      <c r="F6" s="21" t="s">
        <v>1428</v>
      </c>
      <c r="G6" s="138" t="s">
        <v>4519</v>
      </c>
      <c r="H6" s="21" t="s">
        <v>8465</v>
      </c>
      <c r="I6" s="137" t="s">
        <v>1428</v>
      </c>
      <c r="J6" s="137" t="s">
        <v>1428</v>
      </c>
      <c r="K6" s="22">
        <v>3.93867630562134</v>
      </c>
      <c r="L6" s="22">
        <v>12.3737262227723</v>
      </c>
      <c r="M6" s="22"/>
      <c r="N6" s="37">
        <f t="shared" si="0"/>
        <v>4.06141256774168</v>
      </c>
      <c r="O6" s="22">
        <v>20.3795353955265</v>
      </c>
      <c r="P6" s="20" t="s">
        <v>4976</v>
      </c>
      <c r="Q6" s="20" t="s">
        <v>8466</v>
      </c>
    </row>
    <row r="7" ht="15" spans="1:20">
      <c r="A7" s="21"/>
      <c r="B7" s="20" t="s">
        <v>1581</v>
      </c>
      <c r="C7" s="23" t="s">
        <v>3586</v>
      </c>
      <c r="D7" s="21" t="s">
        <v>5073</v>
      </c>
      <c r="E7" s="21" t="s">
        <v>3432</v>
      </c>
      <c r="F7" s="21" t="s">
        <v>1428</v>
      </c>
      <c r="G7" s="138" t="s">
        <v>4519</v>
      </c>
      <c r="H7" s="21">
        <v>25</v>
      </c>
      <c r="I7" s="21" t="s">
        <v>1428</v>
      </c>
      <c r="J7" s="21" t="s">
        <v>1428</v>
      </c>
      <c r="K7" s="22">
        <v>3.93313667649951</v>
      </c>
      <c r="L7" s="22">
        <v>11.9449256358964</v>
      </c>
      <c r="M7" s="22" t="s">
        <v>1428</v>
      </c>
      <c r="N7" s="37">
        <f t="shared" si="0"/>
        <v>4.06141256774168</v>
      </c>
      <c r="O7" s="22">
        <v>44.9451951795288</v>
      </c>
      <c r="P7" s="20" t="s">
        <v>3984</v>
      </c>
      <c r="Q7" s="139" t="s">
        <v>8467</v>
      </c>
    </row>
    <row r="9" ht="15.6" spans="1:20">
      <c r="A9" s="11" t="s">
        <v>8462</v>
      </c>
      <c r="B9" s="11"/>
      <c r="C9" s="11"/>
      <c r="D9" s="11"/>
      <c r="E9" s="127"/>
      <c r="F9" s="127"/>
      <c r="G9" s="13"/>
      <c r="H9" s="14"/>
      <c r="I9" s="14"/>
      <c r="J9" s="128"/>
      <c r="K9" s="129"/>
      <c r="L9" s="129"/>
      <c r="M9" s="129"/>
      <c r="N9" s="15"/>
      <c r="O9" s="15"/>
      <c r="P9" s="13"/>
      <c r="Q9" s="130"/>
      <c r="R9" s="130"/>
      <c r="S9" s="12"/>
      <c r="T9" s="131"/>
    </row>
    <row r="10" ht="15.6" spans="1:20">
      <c r="A10" s="140" t="s">
        <v>1</v>
      </c>
      <c r="B10" s="18" t="s">
        <v>5</v>
      </c>
      <c r="C10" s="18" t="s">
        <v>1933</v>
      </c>
      <c r="D10" s="18" t="s">
        <v>4102</v>
      </c>
      <c r="E10" s="141" t="s">
        <v>4541</v>
      </c>
      <c r="F10" s="18" t="s">
        <v>1497</v>
      </c>
      <c r="G10" s="18" t="s">
        <v>4102</v>
      </c>
      <c r="H10" s="18" t="s">
        <v>4103</v>
      </c>
      <c r="I10" s="18" t="s">
        <v>4104</v>
      </c>
      <c r="J10" s="18" t="s">
        <v>1497</v>
      </c>
      <c r="K10" s="18" t="s">
        <v>6</v>
      </c>
      <c r="L10" s="18" t="s">
        <v>7</v>
      </c>
      <c r="M10" s="141" t="s">
        <v>5211</v>
      </c>
      <c r="N10" s="18" t="s">
        <v>8</v>
      </c>
      <c r="O10" s="18" t="s">
        <v>9</v>
      </c>
      <c r="P10" s="18" t="s">
        <v>4105</v>
      </c>
      <c r="Q10" s="141" t="s">
        <v>10</v>
      </c>
    </row>
    <row r="11" ht="15" spans="1:20">
      <c r="A11" s="27" t="s">
        <v>8468</v>
      </c>
      <c r="B11" s="25" t="s">
        <v>1565</v>
      </c>
      <c r="C11" s="142" t="s">
        <v>3540</v>
      </c>
      <c r="D11" s="29" t="s">
        <v>3541</v>
      </c>
      <c r="E11" s="29" t="s">
        <v>3425</v>
      </c>
      <c r="F11" s="29" t="s">
        <v>1428</v>
      </c>
      <c r="G11" s="29">
        <v>27</v>
      </c>
      <c r="H11" s="29" t="s">
        <v>1428</v>
      </c>
      <c r="I11" s="29">
        <v>2.35</v>
      </c>
      <c r="J11" s="29" t="s">
        <v>1428</v>
      </c>
      <c r="K11" s="31">
        <v>3.64686407029859</v>
      </c>
      <c r="L11" s="31">
        <v>14.0817074924851</v>
      </c>
      <c r="M11" s="29" t="s">
        <v>1428</v>
      </c>
      <c r="N11" s="143">
        <v>3.9943741209564</v>
      </c>
      <c r="O11" s="31">
        <v>51.0729456837401</v>
      </c>
      <c r="P11" s="144" t="s">
        <v>3562</v>
      </c>
      <c r="Q11" s="145" t="s">
        <v>8469</v>
      </c>
    </row>
    <row r="12" ht="15" spans="1:20">
      <c r="A12" s="27"/>
      <c r="B12" s="25" t="s">
        <v>1617</v>
      </c>
      <c r="C12" s="142" t="s">
        <v>3540</v>
      </c>
      <c r="D12" s="29" t="s">
        <v>3542</v>
      </c>
      <c r="E12" s="29" t="s">
        <v>3425</v>
      </c>
      <c r="F12" s="29" t="s">
        <v>1428</v>
      </c>
      <c r="G12" s="29">
        <v>30</v>
      </c>
      <c r="H12" s="29" t="s">
        <v>1428</v>
      </c>
      <c r="I12" s="29">
        <v>2.4</v>
      </c>
      <c r="J12" s="29" t="s">
        <v>1428</v>
      </c>
      <c r="K12" s="31">
        <v>3.64686407029859</v>
      </c>
      <c r="L12" s="31">
        <v>14.0851739772939</v>
      </c>
      <c r="M12" s="29" t="s">
        <v>1428</v>
      </c>
      <c r="N12" s="143">
        <v>3.9943741209564</v>
      </c>
      <c r="O12" s="31">
        <v>54.1264121685489</v>
      </c>
      <c r="P12" s="144" t="s">
        <v>8470</v>
      </c>
      <c r="Q12" s="145" t="s">
        <v>8469</v>
      </c>
    </row>
    <row r="13" ht="15" spans="1:20">
      <c r="A13" s="27"/>
      <c r="B13" s="25" t="s">
        <v>1629</v>
      </c>
      <c r="C13" s="142" t="s">
        <v>3540</v>
      </c>
      <c r="D13" s="29" t="s">
        <v>3566</v>
      </c>
      <c r="E13" s="29" t="s">
        <v>3425</v>
      </c>
      <c r="F13" s="29" t="s">
        <v>1428</v>
      </c>
      <c r="G13" s="29">
        <v>29</v>
      </c>
      <c r="H13" s="29" t="s">
        <v>1428</v>
      </c>
      <c r="I13" s="29">
        <v>1.9</v>
      </c>
      <c r="J13" s="29" t="s">
        <v>1428</v>
      </c>
      <c r="K13" s="31">
        <v>3.64686407029859</v>
      </c>
      <c r="L13" s="31">
        <v>15.4766141879215</v>
      </c>
      <c r="M13" s="29" t="s">
        <v>1428</v>
      </c>
      <c r="N13" s="143">
        <v>3.9943741209564</v>
      </c>
      <c r="O13" s="31">
        <v>54.0178523791765</v>
      </c>
      <c r="P13" s="144" t="s">
        <v>3800</v>
      </c>
      <c r="Q13" s="145" t="s">
        <v>8471</v>
      </c>
    </row>
    <row r="14" ht="26.4" spans="1:20">
      <c r="A14" s="27"/>
      <c r="B14" s="25" t="s">
        <v>1645</v>
      </c>
      <c r="C14" s="142" t="s">
        <v>3588</v>
      </c>
      <c r="D14" s="29" t="s">
        <v>3541</v>
      </c>
      <c r="E14" s="29" t="s">
        <v>3425</v>
      </c>
      <c r="F14" s="29" t="s">
        <v>1428</v>
      </c>
      <c r="G14" s="29">
        <v>27</v>
      </c>
      <c r="H14" s="29" t="s">
        <v>1428</v>
      </c>
      <c r="I14" s="29">
        <v>2.35</v>
      </c>
      <c r="J14" s="29" t="s">
        <v>1428</v>
      </c>
      <c r="K14" s="31">
        <v>3.64686407029859</v>
      </c>
      <c r="L14" s="31">
        <v>13.5796633074318</v>
      </c>
      <c r="M14" s="29" t="s">
        <v>1428</v>
      </c>
      <c r="N14" s="143">
        <v>3.9943741209564</v>
      </c>
      <c r="O14" s="31">
        <v>50.5709014986868</v>
      </c>
      <c r="P14" s="144" t="s">
        <v>3562</v>
      </c>
      <c r="Q14" s="145" t="s">
        <v>8472</v>
      </c>
    </row>
    <row r="15" ht="26.4" spans="1:20">
      <c r="A15" s="27"/>
      <c r="B15" s="25" t="s">
        <v>1604</v>
      </c>
      <c r="C15" s="142" t="s">
        <v>3588</v>
      </c>
      <c r="D15" s="29" t="s">
        <v>3541</v>
      </c>
      <c r="E15" s="29" t="s">
        <v>3425</v>
      </c>
      <c r="F15" s="29" t="s">
        <v>1428</v>
      </c>
      <c r="G15" s="29">
        <v>27</v>
      </c>
      <c r="H15" s="29" t="s">
        <v>1428</v>
      </c>
      <c r="I15" s="29">
        <v>2.35</v>
      </c>
      <c r="J15" s="29" t="s">
        <v>1428</v>
      </c>
      <c r="K15" s="31">
        <v>3.64686407029859</v>
      </c>
      <c r="L15" s="31">
        <v>13.7310999484771</v>
      </c>
      <c r="M15" s="29" t="s">
        <v>1428</v>
      </c>
      <c r="N15" s="143">
        <v>3.9943741209564</v>
      </c>
      <c r="O15" s="31">
        <v>50.7223381397321</v>
      </c>
      <c r="P15" s="144" t="s">
        <v>3562</v>
      </c>
      <c r="Q15" s="145" t="s">
        <v>8472</v>
      </c>
    </row>
    <row r="16" ht="15" spans="1:20">
      <c r="A16" s="27"/>
      <c r="B16" s="25" t="s">
        <v>968</v>
      </c>
      <c r="C16" s="142"/>
      <c r="D16" s="29"/>
      <c r="E16" s="29"/>
      <c r="F16" s="29"/>
      <c r="G16" s="29"/>
      <c r="H16" s="29"/>
      <c r="I16" s="29"/>
      <c r="J16" s="29"/>
      <c r="K16" s="31">
        <v>1.82708561201153</v>
      </c>
      <c r="L16" s="31">
        <v>7.49845866943542</v>
      </c>
      <c r="M16" s="29" t="s">
        <v>1428</v>
      </c>
      <c r="N16" s="143">
        <v>1.9971870604782</v>
      </c>
      <c r="O16" s="31">
        <v>11.3227313419251</v>
      </c>
      <c r="P16" s="142"/>
      <c r="Q16" s="145" t="s">
        <v>3972</v>
      </c>
    </row>
    <row r="17" ht="15" spans="1:17">
      <c r="A17" s="27"/>
      <c r="B17" s="25" t="s">
        <v>971</v>
      </c>
      <c r="C17" s="142"/>
      <c r="D17" s="29"/>
      <c r="E17" s="29"/>
      <c r="F17" s="29"/>
      <c r="G17" s="29"/>
      <c r="H17" s="29"/>
      <c r="I17" s="29"/>
      <c r="J17" s="29"/>
      <c r="K17" s="31">
        <v>1.81941951853456</v>
      </c>
      <c r="L17" s="31">
        <v>7.46728392040003</v>
      </c>
      <c r="M17" s="29" t="s">
        <v>1428</v>
      </c>
      <c r="N17" s="143">
        <v>3.9943741209564</v>
      </c>
      <c r="O17" s="31">
        <v>13.281077559891</v>
      </c>
      <c r="P17" s="142"/>
      <c r="Q17" s="145" t="s">
        <v>3973</v>
      </c>
    </row>
    <row r="19" ht="15.6" spans="1:17">
      <c r="A19" s="11" t="s">
        <v>8462</v>
      </c>
      <c r="B19" s="127"/>
      <c r="C19" s="127"/>
      <c r="D19" s="13"/>
      <c r="E19" s="14"/>
      <c r="F19" s="14"/>
      <c r="G19" s="128"/>
      <c r="H19" s="129"/>
      <c r="I19" s="129"/>
      <c r="J19" s="129"/>
      <c r="K19" s="15"/>
      <c r="L19" s="15"/>
      <c r="M19" s="13"/>
      <c r="N19" s="130"/>
      <c r="O19" s="130"/>
      <c r="P19" s="12"/>
      <c r="Q19" s="131"/>
    </row>
    <row r="20" ht="15.6" spans="1:17">
      <c r="A20" s="17" t="s">
        <v>1490</v>
      </c>
      <c r="B20" s="18" t="s">
        <v>5</v>
      </c>
      <c r="C20" s="18" t="s">
        <v>1933</v>
      </c>
      <c r="D20" s="18" t="s">
        <v>4102</v>
      </c>
      <c r="E20" s="141" t="s">
        <v>4541</v>
      </c>
      <c r="F20" s="18" t="s">
        <v>1497</v>
      </c>
      <c r="G20" s="18" t="s">
        <v>4102</v>
      </c>
      <c r="H20" s="18" t="s">
        <v>4103</v>
      </c>
      <c r="I20" s="18" t="s">
        <v>4104</v>
      </c>
      <c r="J20" s="18" t="s">
        <v>1497</v>
      </c>
      <c r="K20" s="18" t="s">
        <v>6</v>
      </c>
      <c r="L20" s="18" t="s">
        <v>7</v>
      </c>
      <c r="M20" s="18" t="s">
        <v>5672</v>
      </c>
      <c r="N20" s="18" t="s">
        <v>8</v>
      </c>
      <c r="O20" s="18" t="s">
        <v>9</v>
      </c>
      <c r="P20" s="18" t="s">
        <v>4105</v>
      </c>
      <c r="Q20" s="18" t="s">
        <v>4106</v>
      </c>
    </row>
    <row r="21" ht="15" customHeight="1" spans="1:17">
      <c r="A21" s="29" t="s">
        <v>7407</v>
      </c>
      <c r="B21" s="25" t="s">
        <v>1998</v>
      </c>
      <c r="C21" s="146" t="s">
        <v>1933</v>
      </c>
      <c r="D21" s="29" t="s">
        <v>2972</v>
      </c>
      <c r="E21" s="147" t="s">
        <v>1913</v>
      </c>
      <c r="F21" s="147" t="s">
        <v>1428</v>
      </c>
      <c r="G21" s="29">
        <v>65</v>
      </c>
      <c r="H21" s="29" t="s">
        <v>1428</v>
      </c>
      <c r="I21" s="29" t="s">
        <v>1428</v>
      </c>
      <c r="J21" s="29" t="s">
        <v>1428</v>
      </c>
      <c r="K21" s="66">
        <v>3.65619904658776</v>
      </c>
      <c r="L21" s="66">
        <v>15.83</v>
      </c>
      <c r="M21" s="66" t="s">
        <v>1428</v>
      </c>
      <c r="N21" s="66">
        <f>2.92479108635098</f>
        <v>2.92479108635098</v>
      </c>
      <c r="O21" s="31">
        <f t="shared" ref="O21:O42" si="1">SUM(G21:N21)</f>
        <v>87.4109901329387</v>
      </c>
      <c r="P21" s="148" t="s">
        <v>1526</v>
      </c>
      <c r="Q21" s="145" t="s">
        <v>8095</v>
      </c>
    </row>
    <row r="22" ht="15" customHeight="1" spans="1:17">
      <c r="A22" s="29"/>
      <c r="B22" s="25" t="s">
        <v>2306</v>
      </c>
      <c r="C22" s="146" t="s">
        <v>1933</v>
      </c>
      <c r="D22" s="29" t="s">
        <v>2972</v>
      </c>
      <c r="E22" s="147" t="s">
        <v>1913</v>
      </c>
      <c r="F22" s="147" t="s">
        <v>1428</v>
      </c>
      <c r="G22" s="29">
        <v>65</v>
      </c>
      <c r="H22" s="29" t="s">
        <v>1428</v>
      </c>
      <c r="I22" s="29" t="s">
        <v>1428</v>
      </c>
      <c r="J22" s="29" t="s">
        <v>1428</v>
      </c>
      <c r="K22" s="66">
        <v>3.65619904658776</v>
      </c>
      <c r="L22" s="66">
        <v>15.4929727115044</v>
      </c>
      <c r="M22" s="66" t="s">
        <v>1428</v>
      </c>
      <c r="N22" s="66">
        <v>2.92479108635098</v>
      </c>
      <c r="O22" s="31">
        <f t="shared" si="1"/>
        <v>87.0739628444431</v>
      </c>
      <c r="P22" s="148" t="s">
        <v>1526</v>
      </c>
      <c r="Q22" s="145" t="s">
        <v>8095</v>
      </c>
    </row>
    <row r="23" ht="15" customHeight="1" spans="1:17">
      <c r="A23" s="29"/>
      <c r="B23" s="25" t="s">
        <v>1587</v>
      </c>
      <c r="C23" s="146" t="s">
        <v>1933</v>
      </c>
      <c r="D23" s="29" t="s">
        <v>2972</v>
      </c>
      <c r="E23" s="147" t="s">
        <v>1913</v>
      </c>
      <c r="F23" s="147" t="s">
        <v>1428</v>
      </c>
      <c r="G23" s="29">
        <v>65</v>
      </c>
      <c r="H23" s="29" t="s">
        <v>1428</v>
      </c>
      <c r="I23" s="29" t="s">
        <v>1428</v>
      </c>
      <c r="J23" s="29" t="s">
        <v>1428</v>
      </c>
      <c r="K23" s="66">
        <v>3.65619904658776</v>
      </c>
      <c r="L23" s="66">
        <v>18.1212983531314</v>
      </c>
      <c r="M23" s="66" t="s">
        <v>1428</v>
      </c>
      <c r="N23" s="66">
        <v>2.92479108635098</v>
      </c>
      <c r="O23" s="31">
        <f t="shared" si="1"/>
        <v>89.7022884860701</v>
      </c>
      <c r="P23" s="148" t="s">
        <v>1526</v>
      </c>
      <c r="Q23" s="145" t="s">
        <v>8473</v>
      </c>
    </row>
    <row r="24" ht="15" customHeight="1" spans="1:17">
      <c r="A24" s="29"/>
      <c r="B24" s="25" t="s">
        <v>2081</v>
      </c>
      <c r="C24" s="146" t="s">
        <v>1933</v>
      </c>
      <c r="D24" s="29" t="s">
        <v>2972</v>
      </c>
      <c r="E24" s="147" t="s">
        <v>1913</v>
      </c>
      <c r="F24" s="147" t="s">
        <v>1428</v>
      </c>
      <c r="G24" s="29">
        <v>65</v>
      </c>
      <c r="H24" s="29" t="s">
        <v>1428</v>
      </c>
      <c r="I24" s="29" t="s">
        <v>1428</v>
      </c>
      <c r="J24" s="29" t="s">
        <v>1428</v>
      </c>
      <c r="K24" s="66">
        <v>3.65619904658776</v>
      </c>
      <c r="L24" s="66">
        <v>16.6228810593215</v>
      </c>
      <c r="M24" s="66" t="s">
        <v>1428</v>
      </c>
      <c r="N24" s="66">
        <v>2.92479108635098</v>
      </c>
      <c r="O24" s="31">
        <f t="shared" si="1"/>
        <v>88.2038711922602</v>
      </c>
      <c r="P24" s="148" t="s">
        <v>1526</v>
      </c>
      <c r="Q24" s="145" t="s">
        <v>8095</v>
      </c>
    </row>
    <row r="25" ht="15" customHeight="1" spans="1:17">
      <c r="A25" s="29"/>
      <c r="B25" s="25" t="s">
        <v>2483</v>
      </c>
      <c r="C25" s="146" t="s">
        <v>1933</v>
      </c>
      <c r="D25" s="29" t="s">
        <v>2972</v>
      </c>
      <c r="E25" s="147" t="s">
        <v>1913</v>
      </c>
      <c r="F25" s="147" t="s">
        <v>1428</v>
      </c>
      <c r="G25" s="29">
        <v>65</v>
      </c>
      <c r="H25" s="29" t="s">
        <v>1428</v>
      </c>
      <c r="I25" s="29" t="s">
        <v>1428</v>
      </c>
      <c r="J25" s="29" t="s">
        <v>1428</v>
      </c>
      <c r="K25" s="66">
        <v>3.65619904658776</v>
      </c>
      <c r="L25" s="66">
        <v>17.6177242381406</v>
      </c>
      <c r="M25" s="66" t="s">
        <v>1428</v>
      </c>
      <c r="N25" s="66">
        <v>2.92479108635098</v>
      </c>
      <c r="O25" s="31">
        <f t="shared" si="1"/>
        <v>89.1987143710793</v>
      </c>
      <c r="P25" s="148" t="s">
        <v>1526</v>
      </c>
      <c r="Q25" s="145" t="s">
        <v>8473</v>
      </c>
    </row>
    <row r="26" ht="15" customHeight="1" spans="1:17">
      <c r="A26" s="29"/>
      <c r="B26" s="25" t="s">
        <v>8474</v>
      </c>
      <c r="C26" s="146" t="s">
        <v>3932</v>
      </c>
      <c r="D26" s="29" t="s">
        <v>2972</v>
      </c>
      <c r="E26" s="147" t="s">
        <v>1913</v>
      </c>
      <c r="F26" s="147" t="s">
        <v>1428</v>
      </c>
      <c r="G26" s="29">
        <v>65</v>
      </c>
      <c r="H26" s="29" t="s">
        <v>1428</v>
      </c>
      <c r="I26" s="29" t="s">
        <v>1428</v>
      </c>
      <c r="J26" s="29" t="s">
        <v>1428</v>
      </c>
      <c r="K26" s="66">
        <v>3.65619904658776</v>
      </c>
      <c r="L26" s="66">
        <v>13.9147383289203</v>
      </c>
      <c r="M26" s="66" t="s">
        <v>1428</v>
      </c>
      <c r="N26" s="66">
        <v>2.92479108635098</v>
      </c>
      <c r="O26" s="31">
        <f t="shared" si="1"/>
        <v>85.495728461859</v>
      </c>
      <c r="P26" s="148" t="s">
        <v>1526</v>
      </c>
      <c r="Q26" s="123"/>
    </row>
    <row r="27" ht="15" customHeight="1" spans="1:17">
      <c r="A27" s="29"/>
      <c r="B27" s="25" t="s">
        <v>2406</v>
      </c>
      <c r="C27" s="146" t="s">
        <v>1933</v>
      </c>
      <c r="D27" s="29" t="s">
        <v>2972</v>
      </c>
      <c r="E27" s="147" t="s">
        <v>1913</v>
      </c>
      <c r="F27" s="147" t="s">
        <v>1428</v>
      </c>
      <c r="G27" s="29">
        <v>65</v>
      </c>
      <c r="H27" s="29" t="s">
        <v>1428</v>
      </c>
      <c r="I27" s="29" t="s">
        <v>1428</v>
      </c>
      <c r="J27" s="29" t="s">
        <v>1428</v>
      </c>
      <c r="K27" s="66">
        <v>3.65619904658776</v>
      </c>
      <c r="L27" s="66">
        <v>15.6363579337021</v>
      </c>
      <c r="M27" s="66" t="s">
        <v>1428</v>
      </c>
      <c r="N27" s="66">
        <v>2.92479108635098</v>
      </c>
      <c r="O27" s="31">
        <f t="shared" si="1"/>
        <v>87.2173480666408</v>
      </c>
      <c r="P27" s="148" t="s">
        <v>1526</v>
      </c>
      <c r="Q27" s="145" t="s">
        <v>8095</v>
      </c>
    </row>
    <row r="28" ht="15" customHeight="1" spans="1:17">
      <c r="A28" s="29"/>
      <c r="B28" s="25" t="s">
        <v>6550</v>
      </c>
      <c r="C28" s="146" t="s">
        <v>1933</v>
      </c>
      <c r="D28" s="147" t="s">
        <v>2972</v>
      </c>
      <c r="E28" s="147" t="s">
        <v>1913</v>
      </c>
      <c r="F28" s="147" t="s">
        <v>1428</v>
      </c>
      <c r="G28" s="29">
        <v>65</v>
      </c>
      <c r="H28" s="29" t="s">
        <v>1428</v>
      </c>
      <c r="I28" s="29" t="s">
        <v>1428</v>
      </c>
      <c r="J28" s="29" t="s">
        <v>1428</v>
      </c>
      <c r="K28" s="66">
        <v>3.65619904658776</v>
      </c>
      <c r="L28" s="66">
        <v>15.8996378881564</v>
      </c>
      <c r="M28" s="66" t="s">
        <v>1428</v>
      </c>
      <c r="N28" s="66">
        <v>2.92479108635098</v>
      </c>
      <c r="O28" s="31">
        <f t="shared" si="1"/>
        <v>87.4806280210951</v>
      </c>
      <c r="P28" s="148" t="s">
        <v>1526</v>
      </c>
      <c r="Q28" s="145" t="s">
        <v>8095</v>
      </c>
    </row>
    <row r="29" ht="15" customHeight="1" spans="1:17">
      <c r="A29" s="29"/>
      <c r="B29" s="25" t="s">
        <v>2329</v>
      </c>
      <c r="C29" s="146" t="s">
        <v>1933</v>
      </c>
      <c r="D29" s="147" t="s">
        <v>2972</v>
      </c>
      <c r="E29" s="147" t="s">
        <v>1913</v>
      </c>
      <c r="F29" s="147" t="s">
        <v>1428</v>
      </c>
      <c r="G29" s="29">
        <v>65</v>
      </c>
      <c r="H29" s="29" t="s">
        <v>1428</v>
      </c>
      <c r="I29" s="29" t="s">
        <v>1428</v>
      </c>
      <c r="J29" s="29" t="s">
        <v>1428</v>
      </c>
      <c r="K29" s="66">
        <v>3.65619904658776</v>
      </c>
      <c r="L29" s="66">
        <v>15.9406154150885</v>
      </c>
      <c r="M29" s="66" t="s">
        <v>1428</v>
      </c>
      <c r="N29" s="66">
        <v>2.92479108635098</v>
      </c>
      <c r="O29" s="31">
        <f t="shared" si="1"/>
        <v>87.5216055480272</v>
      </c>
      <c r="P29" s="148" t="s">
        <v>1526</v>
      </c>
      <c r="Q29" s="145" t="s">
        <v>8095</v>
      </c>
    </row>
    <row r="30" ht="15" customHeight="1" spans="1:17">
      <c r="A30" s="29"/>
      <c r="B30" s="25" t="s">
        <v>8475</v>
      </c>
      <c r="C30" s="146" t="s">
        <v>1933</v>
      </c>
      <c r="D30" s="147" t="s">
        <v>2972</v>
      </c>
      <c r="E30" s="147" t="s">
        <v>1913</v>
      </c>
      <c r="F30" s="147" t="s">
        <v>1428</v>
      </c>
      <c r="G30" s="29">
        <v>65</v>
      </c>
      <c r="H30" s="29" t="s">
        <v>1428</v>
      </c>
      <c r="I30" s="29" t="s">
        <v>1428</v>
      </c>
      <c r="J30" s="29" t="s">
        <v>1428</v>
      </c>
      <c r="K30" s="66">
        <v>3.65619904658776</v>
      </c>
      <c r="L30" s="66">
        <v>14.1294382206791</v>
      </c>
      <c r="M30" s="66" t="s">
        <v>1428</v>
      </c>
      <c r="N30" s="66">
        <v>2.92479108635098</v>
      </c>
      <c r="O30" s="31">
        <f t="shared" si="1"/>
        <v>85.7104283536178</v>
      </c>
      <c r="P30" s="148" t="s">
        <v>1526</v>
      </c>
      <c r="Q30" s="145" t="s">
        <v>8095</v>
      </c>
    </row>
    <row r="31" ht="15" customHeight="1" spans="1:17">
      <c r="A31" s="29"/>
      <c r="B31" s="25" t="s">
        <v>2368</v>
      </c>
      <c r="C31" s="146" t="s">
        <v>1933</v>
      </c>
      <c r="D31" s="147" t="s">
        <v>2972</v>
      </c>
      <c r="E31" s="147" t="s">
        <v>1913</v>
      </c>
      <c r="F31" s="147" t="s">
        <v>1428</v>
      </c>
      <c r="G31" s="29">
        <v>65</v>
      </c>
      <c r="H31" s="29" t="s">
        <v>1428</v>
      </c>
      <c r="I31" s="29" t="s">
        <v>1428</v>
      </c>
      <c r="J31" s="29" t="s">
        <v>1428</v>
      </c>
      <c r="K31" s="66">
        <v>3.65619904658776</v>
      </c>
      <c r="L31" s="66">
        <v>13.8356897201413</v>
      </c>
      <c r="M31" s="66" t="s">
        <v>1428</v>
      </c>
      <c r="N31" s="66">
        <v>2.92479108635098</v>
      </c>
      <c r="O31" s="31">
        <f t="shared" si="1"/>
        <v>85.41667985308</v>
      </c>
      <c r="P31" s="148" t="s">
        <v>1526</v>
      </c>
      <c r="Q31" s="145" t="s">
        <v>8095</v>
      </c>
    </row>
    <row r="32" ht="15" customHeight="1" spans="1:17">
      <c r="A32" s="29"/>
      <c r="B32" s="25" t="s">
        <v>6574</v>
      </c>
      <c r="C32" s="146" t="s">
        <v>1933</v>
      </c>
      <c r="D32" s="30" t="s">
        <v>2972</v>
      </c>
      <c r="E32" s="147" t="s">
        <v>1913</v>
      </c>
      <c r="F32" s="147" t="s">
        <v>1428</v>
      </c>
      <c r="G32" s="29">
        <v>65</v>
      </c>
      <c r="H32" s="29" t="s">
        <v>1428</v>
      </c>
      <c r="I32" s="29" t="s">
        <v>1428</v>
      </c>
      <c r="J32" s="29" t="s">
        <v>1428</v>
      </c>
      <c r="K32" s="66">
        <v>3.65619904658776</v>
      </c>
      <c r="L32" s="66">
        <v>12.2507660579341</v>
      </c>
      <c r="M32" s="66" t="s">
        <v>1428</v>
      </c>
      <c r="N32" s="66">
        <v>2.92479108635098</v>
      </c>
      <c r="O32" s="31">
        <f t="shared" si="1"/>
        <v>83.8317561908728</v>
      </c>
      <c r="P32" s="148" t="s">
        <v>1526</v>
      </c>
      <c r="Q32" s="145" t="s">
        <v>8095</v>
      </c>
    </row>
    <row r="33" ht="15" customHeight="1" spans="1:20">
      <c r="A33" s="29"/>
      <c r="B33" s="25" t="s">
        <v>1515</v>
      </c>
      <c r="C33" s="146" t="s">
        <v>1933</v>
      </c>
      <c r="D33" s="30" t="s">
        <v>2972</v>
      </c>
      <c r="E33" s="147" t="s">
        <v>1913</v>
      </c>
      <c r="F33" s="147" t="s">
        <v>1428</v>
      </c>
      <c r="G33" s="29">
        <v>65</v>
      </c>
      <c r="H33" s="29" t="s">
        <v>1428</v>
      </c>
      <c r="I33" s="29" t="s">
        <v>1428</v>
      </c>
      <c r="J33" s="29" t="s">
        <v>1428</v>
      </c>
      <c r="K33" s="66">
        <v>3.65619904658776</v>
      </c>
      <c r="L33" s="66">
        <v>13.1613881447513</v>
      </c>
      <c r="M33" s="66" t="s">
        <v>1428</v>
      </c>
      <c r="N33" s="66">
        <v>2.92479108635098</v>
      </c>
      <c r="O33" s="31">
        <f t="shared" si="1"/>
        <v>84.74237827769</v>
      </c>
      <c r="P33" s="148" t="s">
        <v>1526</v>
      </c>
      <c r="Q33" s="145" t="s">
        <v>8095</v>
      </c>
    </row>
    <row r="34" ht="15" customHeight="1" spans="1:20">
      <c r="A34" s="29"/>
      <c r="B34" s="149" t="s">
        <v>7793</v>
      </c>
      <c r="C34" s="150" t="s">
        <v>1933</v>
      </c>
      <c r="D34" s="151" t="s">
        <v>2972</v>
      </c>
      <c r="E34" s="152" t="s">
        <v>1913</v>
      </c>
      <c r="F34" s="152" t="s">
        <v>1428</v>
      </c>
      <c r="G34" s="153">
        <v>65</v>
      </c>
      <c r="H34" s="153" t="s">
        <v>1428</v>
      </c>
      <c r="I34" s="153" t="s">
        <v>1428</v>
      </c>
      <c r="J34" s="153" t="s">
        <v>1428</v>
      </c>
      <c r="K34" s="154">
        <v>3.65619904658776</v>
      </c>
      <c r="L34" s="154">
        <v>12.4973978611607</v>
      </c>
      <c r="M34" s="154" t="s">
        <v>1428</v>
      </c>
      <c r="N34" s="154">
        <v>2.92479108635098</v>
      </c>
      <c r="O34" s="31">
        <f t="shared" si="1"/>
        <v>84.0783879940994</v>
      </c>
      <c r="P34" s="155" t="s">
        <v>1526</v>
      </c>
      <c r="Q34" s="156" t="s">
        <v>8095</v>
      </c>
    </row>
    <row r="35" ht="15" customHeight="1" spans="1:20">
      <c r="A35" s="29"/>
      <c r="B35" s="25" t="s">
        <v>7447</v>
      </c>
      <c r="C35" s="146" t="s">
        <v>1933</v>
      </c>
      <c r="D35" s="30" t="s">
        <v>4213</v>
      </c>
      <c r="E35" s="147" t="s">
        <v>1913</v>
      </c>
      <c r="F35" s="147" t="s">
        <v>1428</v>
      </c>
      <c r="G35" s="29">
        <v>65</v>
      </c>
      <c r="H35" s="29" t="s">
        <v>1428</v>
      </c>
      <c r="I35" s="29" t="s">
        <v>1428</v>
      </c>
      <c r="J35" s="29" t="s">
        <v>1428</v>
      </c>
      <c r="K35" s="66">
        <v>3.65619904658776</v>
      </c>
      <c r="L35" s="66">
        <v>13.8591313143364</v>
      </c>
      <c r="M35" s="66" t="s">
        <v>1428</v>
      </c>
      <c r="N35" s="66">
        <v>2.92479108635098</v>
      </c>
      <c r="O35" s="31">
        <f t="shared" si="1"/>
        <v>85.4401214472751</v>
      </c>
      <c r="P35" s="148" t="s">
        <v>1526</v>
      </c>
      <c r="Q35" s="145" t="s">
        <v>8095</v>
      </c>
    </row>
    <row r="36" ht="15" customHeight="1" spans="1:20">
      <c r="A36" s="29"/>
      <c r="B36" s="25" t="s">
        <v>7803</v>
      </c>
      <c r="C36" s="146" t="s">
        <v>4122</v>
      </c>
      <c r="D36" s="30" t="s">
        <v>4213</v>
      </c>
      <c r="E36" s="147" t="s">
        <v>1913</v>
      </c>
      <c r="F36" s="147" t="s">
        <v>1428</v>
      </c>
      <c r="G36" s="29">
        <v>65</v>
      </c>
      <c r="H36" s="29" t="s">
        <v>1428</v>
      </c>
      <c r="I36" s="29" t="s">
        <v>1428</v>
      </c>
      <c r="J36" s="29" t="s">
        <v>1428</v>
      </c>
      <c r="K36" s="66">
        <v>3.65619904658776</v>
      </c>
      <c r="L36" s="66">
        <v>12.8244161074369</v>
      </c>
      <c r="M36" s="66" t="s">
        <v>1428</v>
      </c>
      <c r="N36" s="66">
        <v>2.92479108635098</v>
      </c>
      <c r="O36" s="31">
        <f t="shared" si="1"/>
        <v>84.4054062403756</v>
      </c>
      <c r="P36" s="148" t="s">
        <v>1526</v>
      </c>
      <c r="Q36" s="145" t="s">
        <v>7804</v>
      </c>
    </row>
    <row r="37" ht="15" customHeight="1" spans="1:20">
      <c r="A37" s="29"/>
      <c r="B37" s="25" t="s">
        <v>8476</v>
      </c>
      <c r="C37" s="146" t="s">
        <v>1933</v>
      </c>
      <c r="D37" s="30" t="s">
        <v>4213</v>
      </c>
      <c r="E37" s="147" t="s">
        <v>1913</v>
      </c>
      <c r="F37" s="147" t="s">
        <v>1428</v>
      </c>
      <c r="G37" s="29">
        <v>65</v>
      </c>
      <c r="H37" s="29" t="s">
        <v>1428</v>
      </c>
      <c r="I37" s="29" t="s">
        <v>1428</v>
      </c>
      <c r="J37" s="29" t="s">
        <v>1428</v>
      </c>
      <c r="K37" s="66">
        <v>3.65619904658776</v>
      </c>
      <c r="L37" s="66">
        <v>12.0099737638197</v>
      </c>
      <c r="M37" s="66" t="s">
        <v>1428</v>
      </c>
      <c r="N37" s="66">
        <v>2.92479108635098</v>
      </c>
      <c r="O37" s="31">
        <f t="shared" si="1"/>
        <v>83.5909638967584</v>
      </c>
      <c r="P37" s="148" t="s">
        <v>1526</v>
      </c>
      <c r="Q37" s="145" t="s">
        <v>8095</v>
      </c>
    </row>
    <row r="38" ht="15" customHeight="1" spans="1:20">
      <c r="A38" s="29"/>
      <c r="B38" s="25" t="s">
        <v>7738</v>
      </c>
      <c r="C38" s="25" t="s">
        <v>3916</v>
      </c>
      <c r="D38" s="30" t="s">
        <v>4213</v>
      </c>
      <c r="E38" s="147" t="s">
        <v>1913</v>
      </c>
      <c r="F38" s="147" t="s">
        <v>1428</v>
      </c>
      <c r="G38" s="29">
        <v>65</v>
      </c>
      <c r="H38" s="29" t="s">
        <v>1428</v>
      </c>
      <c r="I38" s="29" t="s">
        <v>1428</v>
      </c>
      <c r="J38" s="29" t="s">
        <v>1428</v>
      </c>
      <c r="K38" s="66">
        <v>3.65619904658776</v>
      </c>
      <c r="L38" s="66">
        <v>11.7946734186583</v>
      </c>
      <c r="M38" s="66" t="s">
        <v>1428</v>
      </c>
      <c r="N38" s="66">
        <v>2.92479108635098</v>
      </c>
      <c r="O38" s="31">
        <f t="shared" si="1"/>
        <v>83.375663551597</v>
      </c>
      <c r="P38" s="148" t="s">
        <v>1526</v>
      </c>
      <c r="Q38" s="145" t="s">
        <v>2588</v>
      </c>
    </row>
    <row r="39" ht="15" customHeight="1" spans="1:20">
      <c r="A39" s="29"/>
      <c r="B39" s="25" t="s">
        <v>2154</v>
      </c>
      <c r="C39" s="146" t="s">
        <v>8230</v>
      </c>
      <c r="D39" s="30" t="s">
        <v>4213</v>
      </c>
      <c r="E39" s="147" t="s">
        <v>1913</v>
      </c>
      <c r="F39" s="147" t="s">
        <v>1428</v>
      </c>
      <c r="G39" s="29">
        <v>65</v>
      </c>
      <c r="H39" s="29" t="s">
        <v>1428</v>
      </c>
      <c r="I39" s="29" t="s">
        <v>1428</v>
      </c>
      <c r="J39" s="29" t="s">
        <v>1428</v>
      </c>
      <c r="K39" s="66">
        <v>3.65619904658776</v>
      </c>
      <c r="L39" s="66">
        <v>11.238375919401</v>
      </c>
      <c r="M39" s="66" t="s">
        <v>1428</v>
      </c>
      <c r="N39" s="66">
        <v>2.92479108635098</v>
      </c>
      <c r="O39" s="31">
        <f t="shared" si="1"/>
        <v>82.8193660523397</v>
      </c>
      <c r="P39" s="148" t="s">
        <v>1526</v>
      </c>
      <c r="Q39" s="145" t="s">
        <v>2588</v>
      </c>
    </row>
    <row r="40" ht="15" customHeight="1" spans="1:20">
      <c r="A40" s="29"/>
      <c r="B40" s="25" t="s">
        <v>8477</v>
      </c>
      <c r="C40" s="25" t="s">
        <v>3916</v>
      </c>
      <c r="D40" s="30" t="s">
        <v>4213</v>
      </c>
      <c r="E40" s="147" t="s">
        <v>1913</v>
      </c>
      <c r="F40" s="147" t="s">
        <v>1428</v>
      </c>
      <c r="G40" s="29">
        <v>65</v>
      </c>
      <c r="H40" s="29" t="s">
        <v>1428</v>
      </c>
      <c r="I40" s="29" t="s">
        <v>1428</v>
      </c>
      <c r="J40" s="29" t="s">
        <v>1428</v>
      </c>
      <c r="K40" s="66">
        <v>3.65619904658776</v>
      </c>
      <c r="L40" s="66">
        <v>11.3576463895414</v>
      </c>
      <c r="M40" s="66" t="s">
        <v>1428</v>
      </c>
      <c r="N40" s="66">
        <v>2.92479108635098</v>
      </c>
      <c r="O40" s="31">
        <f t="shared" si="1"/>
        <v>82.9386365224801</v>
      </c>
      <c r="P40" s="148" t="s">
        <v>1526</v>
      </c>
      <c r="Q40" s="145" t="s">
        <v>2588</v>
      </c>
    </row>
    <row r="41" ht="15" customHeight="1" spans="1:20">
      <c r="A41" s="29"/>
      <c r="B41" s="25" t="s">
        <v>7484</v>
      </c>
      <c r="C41" s="25" t="s">
        <v>3916</v>
      </c>
      <c r="D41" s="30" t="s">
        <v>4213</v>
      </c>
      <c r="E41" s="147" t="s">
        <v>1913</v>
      </c>
      <c r="F41" s="147" t="s">
        <v>1428</v>
      </c>
      <c r="G41" s="29">
        <v>65</v>
      </c>
      <c r="H41" s="29" t="s">
        <v>1428</v>
      </c>
      <c r="I41" s="29" t="s">
        <v>1428</v>
      </c>
      <c r="J41" s="29" t="s">
        <v>1428</v>
      </c>
      <c r="K41" s="66">
        <v>3.65619904658776</v>
      </c>
      <c r="L41" s="66">
        <v>11.7986086130988</v>
      </c>
      <c r="M41" s="66" t="s">
        <v>1428</v>
      </c>
      <c r="N41" s="66">
        <v>2.92479108635098</v>
      </c>
      <c r="O41" s="31">
        <f t="shared" si="1"/>
        <v>83.3795987460375</v>
      </c>
      <c r="P41" s="148" t="s">
        <v>1526</v>
      </c>
      <c r="Q41" s="145" t="s">
        <v>2588</v>
      </c>
    </row>
    <row r="42" ht="15" customHeight="1" spans="1:20">
      <c r="A42" s="29"/>
      <c r="B42" s="27" t="s">
        <v>173</v>
      </c>
      <c r="C42" s="123"/>
      <c r="D42" s="29"/>
      <c r="E42" s="29"/>
      <c r="F42" s="29"/>
      <c r="G42" s="124"/>
      <c r="H42" s="124"/>
      <c r="I42" s="124"/>
      <c r="J42" s="124"/>
      <c r="K42" s="31">
        <v>0.462562841596572</v>
      </c>
      <c r="L42" s="31">
        <v>3.71014371256881</v>
      </c>
      <c r="M42" s="29" t="s">
        <v>1428</v>
      </c>
      <c r="N42" s="66">
        <v>0.4</v>
      </c>
      <c r="O42" s="66">
        <f t="shared" si="1"/>
        <v>4.57270655416538</v>
      </c>
      <c r="P42" s="157"/>
      <c r="Q42" s="158" t="s">
        <v>8478</v>
      </c>
    </row>
    <row r="43" ht="15.6" spans="1:20">
      <c r="A43" s="11" t="s">
        <v>8462</v>
      </c>
    </row>
    <row r="44" ht="15.6" spans="1:20">
      <c r="A44" s="17" t="s">
        <v>1490</v>
      </c>
      <c r="B44" s="18" t="s">
        <v>5</v>
      </c>
      <c r="C44" s="18" t="s">
        <v>1933</v>
      </c>
      <c r="D44" s="18" t="s">
        <v>4102</v>
      </c>
      <c r="E44" s="141" t="s">
        <v>4541</v>
      </c>
      <c r="F44" s="18" t="s">
        <v>1497</v>
      </c>
      <c r="G44" s="18" t="s">
        <v>4102</v>
      </c>
      <c r="H44" s="18" t="s">
        <v>4103</v>
      </c>
      <c r="I44" s="18" t="s">
        <v>4104</v>
      </c>
      <c r="J44" s="18" t="s">
        <v>1497</v>
      </c>
      <c r="K44" s="18" t="s">
        <v>6</v>
      </c>
      <c r="L44" s="18" t="s">
        <v>7</v>
      </c>
      <c r="M44" s="18" t="s">
        <v>5672</v>
      </c>
      <c r="N44" s="18" t="s">
        <v>8</v>
      </c>
      <c r="O44" s="18" t="s">
        <v>9</v>
      </c>
      <c r="P44" s="18" t="s">
        <v>4105</v>
      </c>
      <c r="Q44" s="18" t="s">
        <v>4106</v>
      </c>
    </row>
    <row r="45" spans="1:20">
      <c r="A45" s="123"/>
      <c r="B45" s="26" t="s">
        <v>548</v>
      </c>
      <c r="C45" s="26"/>
      <c r="D45" s="25"/>
      <c r="E45" s="25"/>
      <c r="F45" s="25"/>
      <c r="G45" s="159"/>
      <c r="H45" s="159"/>
      <c r="I45" s="159"/>
      <c r="J45" s="159"/>
      <c r="K45" s="31">
        <v>0.699507389162562</v>
      </c>
      <c r="L45" s="31">
        <v>3.37931034482759</v>
      </c>
      <c r="M45" s="29" t="s">
        <v>1428</v>
      </c>
      <c r="N45" s="66">
        <v>0.4</v>
      </c>
      <c r="O45" s="66">
        <v>4.47881773399015</v>
      </c>
      <c r="P45" s="25"/>
      <c r="Q45" s="25" t="s">
        <v>25</v>
      </c>
    </row>
    <row r="48" ht="15.6" spans="1:20">
      <c r="A48" s="11" t="s">
        <v>8462</v>
      </c>
      <c r="B48" s="11"/>
      <c r="C48" s="11"/>
      <c r="D48" s="11"/>
      <c r="E48" s="127"/>
      <c r="F48" s="127"/>
      <c r="G48" s="13"/>
      <c r="H48" s="14"/>
      <c r="I48" s="14"/>
      <c r="J48" s="128"/>
      <c r="K48" s="129"/>
      <c r="L48" s="129"/>
      <c r="M48" s="129"/>
      <c r="N48" s="15"/>
      <c r="O48" s="15"/>
      <c r="P48" s="13"/>
      <c r="Q48" s="130"/>
      <c r="R48" s="130"/>
      <c r="S48" s="12"/>
      <c r="T48" s="131"/>
    </row>
    <row r="49" ht="15.6" spans="1:20">
      <c r="A49" s="140" t="s">
        <v>1</v>
      </c>
      <c r="B49" s="18" t="s">
        <v>5</v>
      </c>
      <c r="C49" s="18" t="s">
        <v>1933</v>
      </c>
      <c r="D49" s="18" t="s">
        <v>4102</v>
      </c>
      <c r="E49" s="141" t="s">
        <v>4541</v>
      </c>
      <c r="F49" s="18" t="s">
        <v>1497</v>
      </c>
      <c r="G49" s="18" t="s">
        <v>4102</v>
      </c>
      <c r="H49" s="18" t="s">
        <v>4103</v>
      </c>
      <c r="I49" s="18" t="s">
        <v>4104</v>
      </c>
      <c r="J49" s="18" t="s">
        <v>1497</v>
      </c>
      <c r="K49" s="18" t="s">
        <v>6</v>
      </c>
      <c r="L49" s="18" t="s">
        <v>7</v>
      </c>
      <c r="M49" s="141" t="s">
        <v>5211</v>
      </c>
      <c r="N49" s="18" t="s">
        <v>8</v>
      </c>
      <c r="O49" s="18" t="s">
        <v>9</v>
      </c>
      <c r="P49" s="18" t="s">
        <v>4105</v>
      </c>
      <c r="Q49" s="141" t="s">
        <v>10</v>
      </c>
    </row>
    <row r="50" ht="26.4" spans="1:20">
      <c r="A50" s="123" t="s">
        <v>963</v>
      </c>
      <c r="B50" s="25" t="s">
        <v>1604</v>
      </c>
      <c r="C50" s="142" t="s">
        <v>3588</v>
      </c>
      <c r="D50" s="29" t="s">
        <v>3541</v>
      </c>
      <c r="E50" s="29" t="s">
        <v>3425</v>
      </c>
      <c r="F50" s="29" t="s">
        <v>1428</v>
      </c>
      <c r="G50" s="29">
        <v>27</v>
      </c>
      <c r="H50" s="29" t="s">
        <v>1428</v>
      </c>
      <c r="I50" s="29">
        <v>2.35</v>
      </c>
      <c r="J50" s="29" t="s">
        <v>1428</v>
      </c>
      <c r="K50" s="31">
        <v>3.64686407029859</v>
      </c>
      <c r="L50" s="31">
        <v>13.7310999484771</v>
      </c>
      <c r="M50" s="29" t="s">
        <v>1428</v>
      </c>
      <c r="N50" s="143">
        <v>3.9943741209564</v>
      </c>
      <c r="O50" s="31">
        <v>50.7223381397321</v>
      </c>
      <c r="P50" s="144" t="s">
        <v>3562</v>
      </c>
      <c r="Q50" s="145" t="s">
        <v>8472</v>
      </c>
    </row>
    <row r="51" ht="15" spans="1:20">
      <c r="A51" s="125"/>
      <c r="B51" s="25" t="s">
        <v>968</v>
      </c>
      <c r="C51" s="142"/>
      <c r="D51" s="29"/>
      <c r="E51" s="29"/>
      <c r="F51" s="29"/>
      <c r="G51" s="29"/>
      <c r="H51" s="29"/>
      <c r="I51" s="29"/>
      <c r="J51" s="29"/>
      <c r="K51" s="31">
        <v>1.82708561201153</v>
      </c>
      <c r="L51" s="31">
        <v>7.49845866943542</v>
      </c>
      <c r="M51" s="29" t="s">
        <v>1428</v>
      </c>
      <c r="N51" s="143">
        <f>2/7.11*7.1</f>
        <v>1.9971870604782</v>
      </c>
      <c r="O51" s="31">
        <f>SUM(G51:N51)</f>
        <v>11.3227313419251</v>
      </c>
      <c r="P51" s="142"/>
      <c r="Q51" s="145" t="s">
        <v>3972</v>
      </c>
    </row>
    <row r="54" ht="15.6" spans="1:20">
      <c r="A54" s="160" t="s">
        <v>8462</v>
      </c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2"/>
    </row>
    <row r="55" ht="26" customHeight="1" spans="1:20">
      <c r="A55" s="140" t="s">
        <v>1</v>
      </c>
      <c r="B55" s="18" t="s">
        <v>5</v>
      </c>
      <c r="C55" s="18" t="s">
        <v>1933</v>
      </c>
      <c r="D55" s="18" t="s">
        <v>4102</v>
      </c>
      <c r="E55" s="141" t="s">
        <v>4541</v>
      </c>
      <c r="F55" s="18" t="s">
        <v>1497</v>
      </c>
      <c r="G55" s="18" t="s">
        <v>4102</v>
      </c>
      <c r="H55" s="18" t="s">
        <v>4103</v>
      </c>
      <c r="I55" s="18" t="s">
        <v>4104</v>
      </c>
      <c r="J55" s="18" t="s">
        <v>1497</v>
      </c>
      <c r="K55" s="18" t="s">
        <v>6</v>
      </c>
      <c r="L55" s="18" t="s">
        <v>7</v>
      </c>
      <c r="M55" s="141" t="s">
        <v>5211</v>
      </c>
      <c r="N55" s="18" t="s">
        <v>8</v>
      </c>
      <c r="O55" s="18" t="s">
        <v>9</v>
      </c>
      <c r="P55" s="18" t="s">
        <v>4105</v>
      </c>
      <c r="Q55" s="141" t="s">
        <v>10</v>
      </c>
    </row>
    <row r="56" ht="28" customHeight="1" spans="1:20">
      <c r="A56" s="123" t="s">
        <v>963</v>
      </c>
      <c r="B56" s="25" t="s">
        <v>1604</v>
      </c>
      <c r="C56" s="142" t="s">
        <v>3588</v>
      </c>
      <c r="D56" s="29" t="s">
        <v>3541</v>
      </c>
      <c r="E56" s="29" t="s">
        <v>3425</v>
      </c>
      <c r="F56" s="29" t="s">
        <v>1428</v>
      </c>
      <c r="G56" s="29">
        <v>27</v>
      </c>
      <c r="H56" s="29" t="s">
        <v>1428</v>
      </c>
      <c r="I56" s="65">
        <v>2</v>
      </c>
      <c r="J56" s="29" t="s">
        <v>1428</v>
      </c>
      <c r="K56" s="163">
        <v>3.767443599651</v>
      </c>
      <c r="L56" s="163">
        <v>13.7443715973754</v>
      </c>
      <c r="M56" s="29" t="s">
        <v>1428</v>
      </c>
      <c r="N56" s="143">
        <v>3.9943741209564</v>
      </c>
      <c r="O56" s="31">
        <f>SUM(G56:N56)</f>
        <v>50.5061893179828</v>
      </c>
      <c r="P56" s="144" t="s">
        <v>3562</v>
      </c>
      <c r="Q56" s="145" t="s">
        <v>8479</v>
      </c>
    </row>
    <row r="57" ht="28" customHeight="1" spans="1:20">
      <c r="A57" s="125"/>
      <c r="B57" s="25" t="s">
        <v>968</v>
      </c>
      <c r="C57" s="142"/>
      <c r="D57" s="29"/>
      <c r="E57" s="29"/>
      <c r="F57" s="29"/>
      <c r="G57" s="29"/>
      <c r="H57" s="29"/>
      <c r="I57" s="29"/>
      <c r="J57" s="29"/>
      <c r="K57" s="31">
        <v>1.82708561201153</v>
      </c>
      <c r="L57" s="31">
        <v>7.49845866943542</v>
      </c>
      <c r="M57" s="29" t="s">
        <v>1428</v>
      </c>
      <c r="N57" s="143">
        <f>2/7.11*7.1</f>
        <v>1.9971870604782</v>
      </c>
      <c r="O57" s="31">
        <f>SUM(G57:N57)</f>
        <v>11.3227313419251</v>
      </c>
      <c r="P57" s="142"/>
      <c r="Q57" s="145" t="s">
        <v>3972</v>
      </c>
    </row>
    <row r="60" ht="26.4" spans="1:20">
      <c r="A60" s="17" t="s">
        <v>1490</v>
      </c>
      <c r="B60" s="17" t="s">
        <v>1492</v>
      </c>
      <c r="C60" s="17" t="s">
        <v>4800</v>
      </c>
      <c r="D60" s="164" t="s">
        <v>1494</v>
      </c>
      <c r="E60" s="18" t="s">
        <v>5</v>
      </c>
      <c r="F60" s="18" t="s">
        <v>1933</v>
      </c>
      <c r="G60" s="18" t="s">
        <v>4102</v>
      </c>
      <c r="H60" s="18" t="s">
        <v>1910</v>
      </c>
      <c r="I60" s="18" t="s">
        <v>1497</v>
      </c>
      <c r="J60" s="18" t="s">
        <v>4102</v>
      </c>
      <c r="K60" s="18" t="s">
        <v>4103</v>
      </c>
      <c r="L60" s="18" t="s">
        <v>4104</v>
      </c>
      <c r="M60" s="18" t="s">
        <v>1497</v>
      </c>
      <c r="N60" s="18" t="s">
        <v>6</v>
      </c>
      <c r="O60" s="18" t="s">
        <v>7</v>
      </c>
      <c r="P60" s="18" t="s">
        <v>5672</v>
      </c>
      <c r="Q60" s="18" t="s">
        <v>8</v>
      </c>
      <c r="R60" s="18" t="s">
        <v>9</v>
      </c>
      <c r="S60" s="18" t="s">
        <v>4105</v>
      </c>
      <c r="T60" s="18" t="s">
        <v>4106</v>
      </c>
    </row>
    <row r="61" ht="15" spans="1:20">
      <c r="A61" s="123"/>
      <c r="B61" s="123"/>
      <c r="C61" s="29"/>
      <c r="D61" s="123" t="s">
        <v>7448</v>
      </c>
      <c r="E61" s="25" t="s">
        <v>3621</v>
      </c>
      <c r="F61" s="142"/>
      <c r="G61" s="29"/>
      <c r="H61" s="29"/>
      <c r="I61" s="29"/>
      <c r="J61" s="29"/>
      <c r="K61" s="29"/>
      <c r="L61" s="29"/>
      <c r="M61" s="29"/>
      <c r="N61" s="31">
        <v>0.421489007854134</v>
      </c>
      <c r="O61" s="31">
        <v>1.15032644700997</v>
      </c>
      <c r="P61" s="29"/>
      <c r="Q61" s="66">
        <v>0.2</v>
      </c>
      <c r="R61" s="31">
        <v>1.7718154548641</v>
      </c>
      <c r="S61" s="157"/>
      <c r="T61" s="123"/>
    </row>
    <row r="64" ht="15.6" spans="1:20">
      <c r="A64" s="11" t="s">
        <v>8462</v>
      </c>
      <c r="B64" s="127"/>
      <c r="C64" s="127"/>
      <c r="D64" s="13"/>
      <c r="E64" s="14"/>
      <c r="F64" s="14"/>
      <c r="G64" s="128"/>
      <c r="H64" s="129"/>
      <c r="I64" s="129"/>
      <c r="J64" s="129"/>
      <c r="K64" s="15"/>
      <c r="L64" s="15"/>
      <c r="M64" s="13"/>
      <c r="N64" s="130"/>
      <c r="O64" s="130"/>
      <c r="P64" s="12"/>
      <c r="Q64" s="131"/>
    </row>
    <row r="65" ht="15.6" spans="1:20">
      <c r="A65" s="17" t="s">
        <v>1490</v>
      </c>
      <c r="B65" s="18" t="s">
        <v>5</v>
      </c>
      <c r="C65" s="18" t="s">
        <v>1933</v>
      </c>
      <c r="D65" s="18" t="s">
        <v>4102</v>
      </c>
      <c r="E65" s="141" t="s">
        <v>4541</v>
      </c>
      <c r="F65" s="18" t="s">
        <v>1497</v>
      </c>
      <c r="G65" s="18" t="s">
        <v>4102</v>
      </c>
      <c r="H65" s="18" t="s">
        <v>4103</v>
      </c>
      <c r="I65" s="18" t="s">
        <v>4104</v>
      </c>
      <c r="J65" s="18" t="s">
        <v>1497</v>
      </c>
      <c r="K65" s="18" t="s">
        <v>6</v>
      </c>
      <c r="L65" s="18" t="s">
        <v>7</v>
      </c>
      <c r="M65" s="18" t="s">
        <v>5672</v>
      </c>
      <c r="N65" s="18" t="s">
        <v>8</v>
      </c>
      <c r="O65" s="18" t="s">
        <v>9</v>
      </c>
      <c r="P65" s="18" t="s">
        <v>4105</v>
      </c>
      <c r="Q65" s="18" t="s">
        <v>4106</v>
      </c>
    </row>
    <row r="66" ht="15" spans="1:20">
      <c r="A66" s="29" t="s">
        <v>7407</v>
      </c>
      <c r="B66" s="25" t="s">
        <v>7803</v>
      </c>
      <c r="C66" s="146" t="s">
        <v>4122</v>
      </c>
      <c r="D66" s="30" t="s">
        <v>4213</v>
      </c>
      <c r="E66" s="147" t="s">
        <v>1913</v>
      </c>
      <c r="F66" s="147" t="s">
        <v>1428</v>
      </c>
      <c r="G66" s="29">
        <v>65</v>
      </c>
      <c r="H66" s="29" t="s">
        <v>1428</v>
      </c>
      <c r="I66" s="29" t="s">
        <v>1428</v>
      </c>
      <c r="J66" s="29" t="s">
        <v>1428</v>
      </c>
      <c r="K66" s="66">
        <v>3.65619904658776</v>
      </c>
      <c r="L66" s="66">
        <v>12.8244161074369</v>
      </c>
      <c r="M66" s="66" t="s">
        <v>1428</v>
      </c>
      <c r="N66" s="66">
        <v>2.92479108635098</v>
      </c>
      <c r="O66" s="31">
        <f>SUM(G66:N66)</f>
        <v>84.4054062403756</v>
      </c>
      <c r="P66" s="148" t="s">
        <v>1526</v>
      </c>
      <c r="Q66" s="145" t="s">
        <v>7804</v>
      </c>
    </row>
    <row r="67" ht="15" spans="1:20">
      <c r="A67" s="123"/>
      <c r="B67" s="123" t="s">
        <v>173</v>
      </c>
      <c r="C67" s="123"/>
      <c r="D67" s="29"/>
      <c r="E67" s="29"/>
      <c r="F67" s="29"/>
      <c r="G67" s="124"/>
      <c r="H67" s="124"/>
      <c r="I67" s="124"/>
      <c r="J67" s="124"/>
      <c r="K67" s="163">
        <v>0.467406207154431</v>
      </c>
      <c r="L67" s="163">
        <v>3.91203992236919</v>
      </c>
      <c r="M67" s="29" t="s">
        <v>1428</v>
      </c>
      <c r="N67" s="66">
        <v>0.4</v>
      </c>
      <c r="O67" s="66">
        <f>SUM(K67:N67)</f>
        <v>4.77944612952362</v>
      </c>
      <c r="P67" s="157"/>
      <c r="Q67" s="158" t="s">
        <v>2845</v>
      </c>
    </row>
    <row r="69" ht="15.6" spans="1:20">
      <c r="A69" s="11" t="s">
        <v>8462</v>
      </c>
      <c r="B69" s="11"/>
      <c r="C69" s="11"/>
      <c r="D69" s="11"/>
      <c r="E69" s="127"/>
      <c r="F69" s="127"/>
      <c r="G69" s="13"/>
      <c r="H69" s="14"/>
      <c r="I69" s="14"/>
      <c r="J69" s="128"/>
      <c r="K69" s="129"/>
      <c r="L69" s="129"/>
      <c r="M69" s="129"/>
      <c r="N69" s="15"/>
      <c r="O69" s="15"/>
      <c r="P69" s="13"/>
      <c r="Q69" s="130"/>
      <c r="R69" s="130"/>
      <c r="S69" s="12"/>
      <c r="T69" s="131"/>
    </row>
    <row r="70" ht="15.6" spans="1:20">
      <c r="A70" s="17" t="s">
        <v>1490</v>
      </c>
      <c r="B70" s="18" t="s">
        <v>5</v>
      </c>
      <c r="C70" s="18" t="s">
        <v>1933</v>
      </c>
      <c r="D70" s="18" t="s">
        <v>4102</v>
      </c>
      <c r="E70" s="141" t="s">
        <v>4541</v>
      </c>
      <c r="F70" s="18" t="s">
        <v>1497</v>
      </c>
      <c r="G70" s="18" t="s">
        <v>4102</v>
      </c>
      <c r="H70" s="18" t="s">
        <v>4103</v>
      </c>
      <c r="I70" s="18" t="s">
        <v>4104</v>
      </c>
      <c r="J70" s="18" t="s">
        <v>1497</v>
      </c>
      <c r="K70" s="18" t="s">
        <v>6</v>
      </c>
      <c r="L70" s="18" t="s">
        <v>7</v>
      </c>
      <c r="M70" s="18" t="s">
        <v>5672</v>
      </c>
      <c r="N70" s="18" t="s">
        <v>8</v>
      </c>
      <c r="O70" s="18" t="s">
        <v>9</v>
      </c>
      <c r="P70" s="18" t="s">
        <v>4105</v>
      </c>
      <c r="Q70" s="18" t="s">
        <v>4106</v>
      </c>
    </row>
    <row r="71" ht="15" spans="1:20">
      <c r="A71" s="123"/>
      <c r="B71" s="123" t="s">
        <v>173</v>
      </c>
      <c r="C71" s="123"/>
      <c r="D71" s="29"/>
      <c r="E71" s="29"/>
      <c r="F71" s="29"/>
      <c r="G71" s="124"/>
      <c r="H71" s="124"/>
      <c r="I71" s="124"/>
      <c r="J71" s="124"/>
      <c r="K71" s="31">
        <v>0.467406207154431</v>
      </c>
      <c r="L71" s="31">
        <v>3.91203992236919</v>
      </c>
      <c r="M71" s="29" t="s">
        <v>1428</v>
      </c>
      <c r="N71" s="66">
        <v>0.4</v>
      </c>
      <c r="O71" s="66">
        <f>SUM(K71:N71)</f>
        <v>4.77944612952362</v>
      </c>
      <c r="P71" s="157"/>
      <c r="Q71" s="158" t="s">
        <v>2845</v>
      </c>
    </row>
    <row r="74" ht="15.6" spans="1:20">
      <c r="A74" s="160" t="s">
        <v>8462</v>
      </c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2"/>
      <c r="S74" s="12"/>
      <c r="T74" s="131"/>
    </row>
    <row r="75" ht="26.4" spans="1:20">
      <c r="A75" s="17" t="s">
        <v>1490</v>
      </c>
      <c r="B75" s="165" t="s">
        <v>4</v>
      </c>
      <c r="C75" s="18" t="s">
        <v>5</v>
      </c>
      <c r="D75" s="121" t="s">
        <v>1933</v>
      </c>
      <c r="E75" s="18" t="s">
        <v>4102</v>
      </c>
      <c r="F75" s="18" t="s">
        <v>1910</v>
      </c>
      <c r="G75" s="18" t="s">
        <v>1497</v>
      </c>
      <c r="H75" s="18" t="s">
        <v>4102</v>
      </c>
      <c r="I75" s="18" t="s">
        <v>4103</v>
      </c>
      <c r="J75" s="18" t="s">
        <v>4104</v>
      </c>
      <c r="K75" s="18" t="s">
        <v>1497</v>
      </c>
      <c r="L75" s="18" t="s">
        <v>6</v>
      </c>
      <c r="M75" s="18" t="s">
        <v>7</v>
      </c>
      <c r="N75" s="18" t="s">
        <v>5672</v>
      </c>
      <c r="O75" s="18" t="s">
        <v>8</v>
      </c>
      <c r="P75" s="18" t="s">
        <v>9</v>
      </c>
      <c r="Q75" s="18" t="s">
        <v>4105</v>
      </c>
      <c r="R75" s="18" t="s">
        <v>4106</v>
      </c>
    </row>
    <row r="76" ht="15" spans="1:20">
      <c r="A76" s="21" t="s">
        <v>350</v>
      </c>
      <c r="B76" s="23" t="s">
        <v>2874</v>
      </c>
      <c r="C76" s="23" t="s">
        <v>1998</v>
      </c>
      <c r="D76" s="23" t="s">
        <v>4122</v>
      </c>
      <c r="E76" s="21" t="s">
        <v>2692</v>
      </c>
      <c r="F76" s="21" t="s">
        <v>1913</v>
      </c>
      <c r="G76" s="21" t="s">
        <v>1428</v>
      </c>
      <c r="H76" s="21">
        <v>240</v>
      </c>
      <c r="I76" s="21" t="s">
        <v>1428</v>
      </c>
      <c r="J76" s="21" t="s">
        <v>1428</v>
      </c>
      <c r="K76" s="21" t="s">
        <v>1428</v>
      </c>
      <c r="L76" s="37">
        <v>4.50735819754973</v>
      </c>
      <c r="M76" s="37">
        <v>25.5776097913881</v>
      </c>
      <c r="N76" s="21" t="s">
        <v>1428</v>
      </c>
      <c r="O76" s="37">
        <v>3.81</v>
      </c>
      <c r="P76" s="37">
        <v>273.894967988938</v>
      </c>
      <c r="Q76" s="166" t="s">
        <v>1526</v>
      </c>
      <c r="R76" s="167" t="s">
        <v>7629</v>
      </c>
    </row>
    <row r="77" ht="15" spans="1:20">
      <c r="A77" s="21"/>
      <c r="B77" s="23" t="s">
        <v>2876</v>
      </c>
      <c r="C77" s="23" t="s">
        <v>1581</v>
      </c>
      <c r="D77" s="23" t="s">
        <v>4122</v>
      </c>
      <c r="E77" s="21" t="s">
        <v>2692</v>
      </c>
      <c r="F77" s="21" t="s">
        <v>1913</v>
      </c>
      <c r="G77" s="21" t="s">
        <v>1428</v>
      </c>
      <c r="H77" s="21">
        <v>320</v>
      </c>
      <c r="I77" s="21" t="s">
        <v>1428</v>
      </c>
      <c r="J77" s="21" t="s">
        <v>1428</v>
      </c>
      <c r="K77" s="21" t="s">
        <v>1428</v>
      </c>
      <c r="L77" s="37">
        <v>4.50735819754973</v>
      </c>
      <c r="M77" s="37">
        <v>28.6167854022596</v>
      </c>
      <c r="N77" s="21" t="s">
        <v>1428</v>
      </c>
      <c r="O77" s="37">
        <v>3.81</v>
      </c>
      <c r="P77" s="37">
        <v>356.934143599809</v>
      </c>
      <c r="Q77" s="166" t="s">
        <v>1526</v>
      </c>
      <c r="R77" s="167" t="s">
        <v>8154</v>
      </c>
    </row>
    <row r="78" ht="15" spans="1:20">
      <c r="A78" s="21"/>
      <c r="B78" s="23" t="s">
        <v>2879</v>
      </c>
      <c r="C78" s="23" t="s">
        <v>8480</v>
      </c>
      <c r="D78" s="23"/>
      <c r="E78" s="21"/>
      <c r="F78" s="21"/>
      <c r="G78" s="21" t="s">
        <v>1428</v>
      </c>
      <c r="H78" s="21"/>
      <c r="I78" s="21" t="s">
        <v>1428</v>
      </c>
      <c r="J78" s="21" t="s">
        <v>1428</v>
      </c>
      <c r="K78" s="21" t="s">
        <v>1428</v>
      </c>
      <c r="L78" s="37">
        <v>4.55814533217001</v>
      </c>
      <c r="M78" s="37">
        <v>8.95566</v>
      </c>
      <c r="N78" s="21" t="s">
        <v>1428</v>
      </c>
      <c r="O78" s="37">
        <v>3.81</v>
      </c>
      <c r="P78" s="37">
        <v>17.32380533217</v>
      </c>
      <c r="Q78" s="166"/>
      <c r="R78" s="167" t="s">
        <v>8481</v>
      </c>
    </row>
    <row r="79" ht="15" spans="1:20">
      <c r="A79" s="21"/>
      <c r="B79" s="23" t="s">
        <v>2882</v>
      </c>
      <c r="C79" s="23" t="s">
        <v>2449</v>
      </c>
      <c r="D79" s="23" t="s">
        <v>4122</v>
      </c>
      <c r="E79" s="21" t="s">
        <v>2692</v>
      </c>
      <c r="F79" s="21" t="s">
        <v>1913</v>
      </c>
      <c r="G79" s="21" t="s">
        <v>1428</v>
      </c>
      <c r="H79" s="21">
        <v>240</v>
      </c>
      <c r="I79" s="21" t="s">
        <v>1428</v>
      </c>
      <c r="J79" s="21" t="s">
        <v>1428</v>
      </c>
      <c r="K79" s="21" t="s">
        <v>1428</v>
      </c>
      <c r="L79" s="37">
        <v>4.55814533217001</v>
      </c>
      <c r="M79" s="37">
        <v>25.639355490458</v>
      </c>
      <c r="N79" s="21" t="s">
        <v>1428</v>
      </c>
      <c r="O79" s="37">
        <v>3.81</v>
      </c>
      <c r="P79" s="37">
        <v>274.007500822628</v>
      </c>
      <c r="Q79" s="166" t="s">
        <v>1526</v>
      </c>
      <c r="R79" s="167" t="s">
        <v>8482</v>
      </c>
    </row>
    <row r="80" ht="15" spans="1:20">
      <c r="A80" s="21"/>
      <c r="B80" s="23" t="s">
        <v>2883</v>
      </c>
      <c r="C80" s="23" t="s">
        <v>2546</v>
      </c>
      <c r="D80" s="23" t="s">
        <v>4122</v>
      </c>
      <c r="E80" s="21" t="s">
        <v>2877</v>
      </c>
      <c r="F80" s="21" t="s">
        <v>1913</v>
      </c>
      <c r="G80" s="21" t="s">
        <v>1428</v>
      </c>
      <c r="H80" s="21">
        <v>320</v>
      </c>
      <c r="I80" s="21" t="s">
        <v>1428</v>
      </c>
      <c r="J80" s="21" t="s">
        <v>1428</v>
      </c>
      <c r="K80" s="21" t="s">
        <v>1428</v>
      </c>
      <c r="L80" s="37">
        <v>4.55814533217001</v>
      </c>
      <c r="M80" s="37">
        <v>28.6184046148504</v>
      </c>
      <c r="N80" s="21" t="s">
        <v>1428</v>
      </c>
      <c r="O80" s="37">
        <v>3.81</v>
      </c>
      <c r="P80" s="37">
        <v>356.98654994702</v>
      </c>
      <c r="Q80" s="166" t="s">
        <v>1526</v>
      </c>
      <c r="R80" s="167" t="s">
        <v>8483</v>
      </c>
    </row>
    <row r="81" ht="15" spans="1:20">
      <c r="A81" s="21"/>
      <c r="B81" s="23" t="s">
        <v>8484</v>
      </c>
      <c r="C81" s="23"/>
      <c r="D81" s="23"/>
      <c r="E81" s="21"/>
      <c r="F81" s="21"/>
      <c r="G81" s="21"/>
      <c r="H81" s="21"/>
      <c r="I81" s="21"/>
      <c r="J81" s="21"/>
      <c r="K81" s="21"/>
      <c r="L81" s="37"/>
      <c r="M81" s="37"/>
      <c r="N81" s="21"/>
      <c r="O81" s="37"/>
      <c r="P81" s="37">
        <v>4.55814533217001</v>
      </c>
      <c r="Q81" s="166"/>
      <c r="R81" s="167"/>
    </row>
    <row r="82" spans="1:20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</row>
    <row r="83" ht="15.6" spans="1:20">
      <c r="A83" s="11" t="s">
        <v>8462</v>
      </c>
      <c r="B83" s="11"/>
      <c r="C83" s="11"/>
      <c r="D83" s="11"/>
      <c r="E83" s="127"/>
      <c r="F83" s="127"/>
      <c r="G83" s="13"/>
      <c r="H83" s="14"/>
      <c r="I83" s="14"/>
      <c r="J83" s="128"/>
      <c r="K83" s="129"/>
      <c r="L83" s="129"/>
      <c r="M83" s="129"/>
      <c r="N83" s="15"/>
      <c r="O83" s="15"/>
      <c r="P83" s="13"/>
      <c r="Q83" s="130"/>
      <c r="R83" s="130"/>
      <c r="S83" s="12"/>
      <c r="T83" s="131"/>
    </row>
    <row r="84" ht="15.6" spans="1:20">
      <c r="A84" s="17" t="s">
        <v>1490</v>
      </c>
      <c r="B84" s="18" t="s">
        <v>5</v>
      </c>
      <c r="C84" s="18" t="s">
        <v>1933</v>
      </c>
      <c r="D84" s="18" t="s">
        <v>4102</v>
      </c>
      <c r="E84" s="141" t="s">
        <v>4541</v>
      </c>
      <c r="F84" s="18" t="s">
        <v>1497</v>
      </c>
      <c r="G84" s="18" t="s">
        <v>4102</v>
      </c>
      <c r="H84" s="18" t="s">
        <v>4103</v>
      </c>
      <c r="I84" s="18" t="s">
        <v>4104</v>
      </c>
      <c r="J84" s="18" t="s">
        <v>1497</v>
      </c>
      <c r="K84" s="18" t="s">
        <v>6</v>
      </c>
      <c r="L84" s="18" t="s">
        <v>7</v>
      </c>
      <c r="M84" s="18" t="s">
        <v>5672</v>
      </c>
      <c r="N84" s="18" t="s">
        <v>8</v>
      </c>
      <c r="O84" s="18" t="s">
        <v>9</v>
      </c>
      <c r="P84" s="18" t="s">
        <v>4105</v>
      </c>
      <c r="Q84" s="18" t="s">
        <v>4106</v>
      </c>
    </row>
    <row r="85" spans="1:20">
      <c r="A85" s="123"/>
      <c r="B85" s="26" t="s">
        <v>473</v>
      </c>
      <c r="C85" s="25"/>
      <c r="D85" s="25"/>
      <c r="E85" s="25"/>
      <c r="F85" s="25"/>
      <c r="G85" s="159"/>
      <c r="H85" s="159"/>
      <c r="I85" s="159"/>
      <c r="J85" s="159"/>
      <c r="K85" s="163">
        <v>0.417549545057958</v>
      </c>
      <c r="L85" s="163">
        <v>2.23892113797831</v>
      </c>
      <c r="M85" s="29" t="s">
        <v>1428</v>
      </c>
      <c r="N85" s="66">
        <v>0.4</v>
      </c>
      <c r="O85" s="66">
        <v>3.05647068303627</v>
      </c>
      <c r="P85" s="25"/>
      <c r="Q85" s="25" t="s">
        <v>25</v>
      </c>
    </row>
  </sheetData>
  <mergeCells count="6">
    <mergeCell ref="A54:Q54"/>
    <mergeCell ref="A74:R74"/>
    <mergeCell ref="A3:A7"/>
    <mergeCell ref="A11:A17"/>
    <mergeCell ref="A21:A41"/>
    <mergeCell ref="A76:A81"/>
  </mergeCells>
  <pageMargins left="0.75" right="0.75" top="1" bottom="1" header="0.5" footer="0.5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>
    <tabColor rgb="FFFF0000"/>
  </sheetPr>
  <dimension ref="A1:Q4"/>
  <sheetViews>
    <sheetView workbookViewId="0">
      <selection activeCell="G521" sqref="G521"/>
    </sheetView>
  </sheetViews>
  <sheetFormatPr defaultColWidth="8.88888888888889" defaultRowHeight="14.4" outlineLevelRow="3"/>
  <cols>
    <col min="2" max="2" width="23.2222222222222" customWidth="1"/>
    <col min="17" max="17" width="37.7777777777778" customWidth="1"/>
  </cols>
  <sheetData>
    <row r="1" ht="15.6" spans="1:17">
      <c r="A1" s="11" t="s">
        <v>8485</v>
      </c>
    </row>
    <row r="2" ht="26.4" spans="1:17">
      <c r="A2" s="18" t="s">
        <v>1</v>
      </c>
      <c r="B2" s="18" t="s">
        <v>5</v>
      </c>
      <c r="C2" s="121" t="s">
        <v>1933</v>
      </c>
      <c r="D2" s="18" t="s">
        <v>4102</v>
      </c>
      <c r="E2" s="18" t="s">
        <v>1910</v>
      </c>
      <c r="F2" s="18" t="s">
        <v>1497</v>
      </c>
      <c r="G2" s="18" t="s">
        <v>4102</v>
      </c>
      <c r="H2" s="18" t="s">
        <v>4103</v>
      </c>
      <c r="I2" s="18" t="s">
        <v>4104</v>
      </c>
      <c r="J2" s="18" t="s">
        <v>1497</v>
      </c>
      <c r="K2" s="18" t="s">
        <v>6</v>
      </c>
      <c r="L2" s="18" t="s">
        <v>7</v>
      </c>
      <c r="M2" s="18" t="s">
        <v>5672</v>
      </c>
      <c r="N2" s="18" t="s">
        <v>8</v>
      </c>
      <c r="O2" s="18" t="s">
        <v>9</v>
      </c>
      <c r="P2" s="18" t="s">
        <v>4105</v>
      </c>
      <c r="Q2" s="18" t="s">
        <v>4106</v>
      </c>
    </row>
    <row r="3" spans="1:17">
      <c r="A3" s="122" t="s">
        <v>19</v>
      </c>
      <c r="B3" s="123" t="s">
        <v>162</v>
      </c>
      <c r="C3" s="123"/>
      <c r="D3" s="29"/>
      <c r="E3" s="29"/>
      <c r="F3" s="29"/>
      <c r="G3" s="124"/>
      <c r="H3" s="124"/>
      <c r="I3" s="124"/>
      <c r="J3" s="124"/>
      <c r="K3" s="31">
        <v>0.0367710146348638</v>
      </c>
      <c r="L3" s="31">
        <v>0.0393793052729635</v>
      </c>
      <c r="M3" s="29" t="s">
        <v>1428</v>
      </c>
      <c r="N3" s="66">
        <v>0.2</v>
      </c>
      <c r="O3" s="66">
        <f>SUM(G3:N3)</f>
        <v>0.276150319907827</v>
      </c>
      <c r="P3" s="125"/>
      <c r="Q3" s="125"/>
    </row>
    <row r="4" spans="1:17">
      <c r="A4" s="126"/>
      <c r="B4" s="123" t="s">
        <v>135</v>
      </c>
      <c r="C4" s="123"/>
      <c r="D4" s="29"/>
      <c r="E4" s="29"/>
      <c r="F4" s="29"/>
      <c r="G4" s="124"/>
      <c r="H4" s="124" t="s">
        <v>1428</v>
      </c>
      <c r="I4" s="124" t="s">
        <v>1428</v>
      </c>
      <c r="J4" s="124" t="s">
        <v>1428</v>
      </c>
      <c r="K4" s="31">
        <v>0.560098577349614</v>
      </c>
      <c r="L4" s="31">
        <v>2.83431009708375</v>
      </c>
      <c r="M4" s="29" t="s">
        <v>1428</v>
      </c>
      <c r="N4" s="66">
        <v>0.4</v>
      </c>
      <c r="O4" s="66">
        <f>SUM(G4:N4)</f>
        <v>3.79440867443336</v>
      </c>
      <c r="P4" s="125"/>
      <c r="Q4" s="125" t="s">
        <v>8486</v>
      </c>
    </row>
  </sheetData>
  <mergeCells count="1">
    <mergeCell ref="A3:A4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>
    <tabColor rgb="FFFF0000"/>
  </sheetPr>
  <dimension ref="A1:R77"/>
  <sheetViews>
    <sheetView zoomScale="70" zoomScaleNormal="70" workbookViewId="0">
      <selection activeCell="G521" sqref="G521"/>
    </sheetView>
  </sheetViews>
  <sheetFormatPr defaultColWidth="8.88888888888889" defaultRowHeight="12"/>
  <cols>
    <col min="1" max="1" width="8.88888888888889" style="40"/>
    <col min="2" max="2" width="27.7777777777778" style="40" customWidth="1"/>
    <col min="3" max="3" width="23.1111111111111" style="40" customWidth="1"/>
    <col min="4" max="4" width="15.2407407407407" style="40" customWidth="1"/>
    <col min="5" max="7" width="8.88888888888889" style="40"/>
    <col min="8" max="8" width="13.0092592592593" style="40" customWidth="1"/>
    <col min="9" max="13" width="8.88888888888889" style="40"/>
    <col min="14" max="14" width="15.6666666666667" style="40"/>
    <col min="15" max="15" width="12.8888888888889" style="40"/>
    <col min="16" max="16" width="15.8888888888889" style="40" customWidth="1"/>
    <col min="17" max="17" width="80.9537037037037" style="40" customWidth="1"/>
    <col min="18" max="16384" width="8.88888888888889" style="40"/>
  </cols>
  <sheetData>
    <row r="1" s="40" customFormat="1" spans="1:17">
      <c r="A1" s="43" t="s">
        <v>8487</v>
      </c>
      <c r="B1" s="44"/>
      <c r="C1" s="45"/>
      <c r="D1" s="46"/>
      <c r="E1" s="47"/>
      <c r="F1" s="47"/>
      <c r="G1" s="46"/>
      <c r="H1" s="46"/>
      <c r="I1" s="46"/>
      <c r="J1" s="46"/>
      <c r="K1" s="48"/>
      <c r="L1" s="48"/>
      <c r="M1" s="48"/>
      <c r="N1" s="48"/>
      <c r="O1" s="48"/>
      <c r="P1" s="45"/>
      <c r="Q1" s="49"/>
    </row>
    <row r="2" s="40" customFormat="1" spans="1:17">
      <c r="A2" s="50" t="s">
        <v>1</v>
      </c>
      <c r="B2" s="51" t="s">
        <v>5</v>
      </c>
      <c r="C2" s="51" t="s">
        <v>1933</v>
      </c>
      <c r="D2" s="52" t="s">
        <v>4102</v>
      </c>
      <c r="E2" s="53" t="s">
        <v>4541</v>
      </c>
      <c r="F2" s="54" t="s">
        <v>1497</v>
      </c>
      <c r="G2" s="52" t="s">
        <v>4102</v>
      </c>
      <c r="H2" s="52" t="s">
        <v>4103</v>
      </c>
      <c r="I2" s="52" t="s">
        <v>4104</v>
      </c>
      <c r="J2" s="52" t="s">
        <v>1497</v>
      </c>
      <c r="K2" s="55" t="s">
        <v>6</v>
      </c>
      <c r="L2" s="55" t="s">
        <v>7</v>
      </c>
      <c r="M2" s="56" t="s">
        <v>5211</v>
      </c>
      <c r="N2" s="55" t="s">
        <v>8</v>
      </c>
      <c r="O2" s="55" t="s">
        <v>9</v>
      </c>
      <c r="P2" s="51" t="s">
        <v>4105</v>
      </c>
      <c r="Q2" s="57" t="s">
        <v>10</v>
      </c>
    </row>
    <row r="3" s="40" customFormat="1" spans="1:17">
      <c r="A3" s="58" t="s">
        <v>7553</v>
      </c>
      <c r="B3" s="59" t="s">
        <v>2575</v>
      </c>
      <c r="C3" s="60" t="s">
        <v>8488</v>
      </c>
      <c r="D3" s="61" t="s">
        <v>5112</v>
      </c>
      <c r="E3" s="58" t="s">
        <v>1913</v>
      </c>
      <c r="F3" s="58" t="s">
        <v>1428</v>
      </c>
      <c r="G3" s="58">
        <v>80</v>
      </c>
      <c r="H3" s="58" t="s">
        <v>1428</v>
      </c>
      <c r="I3" s="58" t="s">
        <v>1428</v>
      </c>
      <c r="J3" s="58" t="s">
        <v>1428</v>
      </c>
      <c r="K3" s="62">
        <v>4.60525496931904</v>
      </c>
      <c r="L3" s="62">
        <v>15.9844748835309</v>
      </c>
      <c r="M3" s="62" t="s">
        <v>1428</v>
      </c>
      <c r="N3" s="63">
        <v>3.26951980064135</v>
      </c>
      <c r="O3" s="62">
        <f>SUM(G3:N3)</f>
        <v>103.859249653491</v>
      </c>
      <c r="P3" s="64" t="s">
        <v>1526</v>
      </c>
      <c r="Q3" s="64" t="s">
        <v>8489</v>
      </c>
    </row>
    <row r="4" s="40" customFormat="1" ht="15" spans="1:17">
      <c r="A4" s="58"/>
      <c r="B4" s="59" t="s">
        <v>5120</v>
      </c>
      <c r="C4" s="60" t="s">
        <v>4958</v>
      </c>
      <c r="D4" s="61" t="s">
        <v>5112</v>
      </c>
      <c r="E4" s="58" t="s">
        <v>1913</v>
      </c>
      <c r="F4" s="29" t="s">
        <v>1428</v>
      </c>
      <c r="G4" s="65">
        <v>80</v>
      </c>
      <c r="H4" s="29" t="s">
        <v>1428</v>
      </c>
      <c r="I4" s="29" t="s">
        <v>1428</v>
      </c>
      <c r="J4" s="29" t="s">
        <v>1428</v>
      </c>
      <c r="K4" s="31">
        <v>4.60525496931904</v>
      </c>
      <c r="L4" s="31">
        <v>15.2847236695301</v>
      </c>
      <c r="M4" s="31" t="s">
        <v>1428</v>
      </c>
      <c r="N4" s="66">
        <v>3.26951980064135</v>
      </c>
      <c r="O4" s="31">
        <f>SUM(G4:N4)</f>
        <v>103.15949843949</v>
      </c>
      <c r="P4" s="25" t="s">
        <v>2854</v>
      </c>
      <c r="Q4" s="64" t="s">
        <v>8489</v>
      </c>
    </row>
    <row r="5" s="40" customFormat="1" ht="15" spans="1:17">
      <c r="A5" s="58"/>
      <c r="B5" s="59" t="s">
        <v>2325</v>
      </c>
      <c r="C5" s="60" t="s">
        <v>4958</v>
      </c>
      <c r="D5" s="61" t="s">
        <v>5112</v>
      </c>
      <c r="E5" s="58" t="s">
        <v>1913</v>
      </c>
      <c r="F5" s="29" t="s">
        <v>1428</v>
      </c>
      <c r="G5" s="65">
        <v>80</v>
      </c>
      <c r="H5" s="29" t="s">
        <v>1428</v>
      </c>
      <c r="I5" s="29" t="s">
        <v>1428</v>
      </c>
      <c r="J5" s="29" t="s">
        <v>1428</v>
      </c>
      <c r="K5" s="31">
        <v>4.60525496931904</v>
      </c>
      <c r="L5" s="31">
        <v>15.2787253871658</v>
      </c>
      <c r="M5" s="31" t="s">
        <v>1428</v>
      </c>
      <c r="N5" s="66">
        <v>3.26951980064135</v>
      </c>
      <c r="O5" s="31">
        <f>SUM(G5:N5)</f>
        <v>103.153500157126</v>
      </c>
      <c r="P5" s="25" t="s">
        <v>2854</v>
      </c>
      <c r="Q5" s="64" t="s">
        <v>8489</v>
      </c>
    </row>
    <row r="6" s="40" customFormat="1" spans="1:17">
      <c r="A6" s="58"/>
      <c r="B6" s="67" t="s">
        <v>562</v>
      </c>
      <c r="C6" s="67"/>
      <c r="D6" s="68"/>
      <c r="E6" s="68"/>
      <c r="F6" s="68"/>
      <c r="G6" s="69"/>
      <c r="H6" s="69"/>
      <c r="I6" s="69"/>
      <c r="J6" s="69"/>
      <c r="K6" s="62">
        <v>0.376614789950158</v>
      </c>
      <c r="L6" s="62">
        <v>1.59733816930119</v>
      </c>
      <c r="M6" s="58" t="s">
        <v>1428</v>
      </c>
      <c r="N6" s="63">
        <v>0.2</v>
      </c>
      <c r="O6" s="62">
        <f>SUM(G6:N6)</f>
        <v>2.17395295925135</v>
      </c>
      <c r="P6" s="68"/>
      <c r="Q6" s="68"/>
    </row>
    <row r="7" s="40" customFormat="1" spans="1:17">
      <c r="A7" s="58"/>
      <c r="B7" s="70" t="s">
        <v>8490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62">
        <v>3.74</v>
      </c>
      <c r="P7" s="70"/>
      <c r="Q7" s="71" t="s">
        <v>8491</v>
      </c>
    </row>
    <row r="8" s="40" customFormat="1" spans="1:17">
      <c r="N8" s="72" t="s">
        <v>8492</v>
      </c>
      <c r="O8" s="73">
        <f>SUM(O3:O7)</f>
        <v>316.086201209359</v>
      </c>
    </row>
    <row r="9" spans="1:17">
      <c r="O9" s="40">
        <f>SUM(O6:O7)</f>
        <v>5.91395295925135</v>
      </c>
    </row>
    <row r="10" s="40" customFormat="1" ht="26" customHeight="1" spans="1:17">
      <c r="A10" s="43" t="s">
        <v>8487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</row>
    <row r="11" s="40" customFormat="1" ht="16" customHeight="1" spans="1:17">
      <c r="A11" s="50" t="s">
        <v>1</v>
      </c>
      <c r="B11" s="52" t="s">
        <v>5</v>
      </c>
      <c r="C11" s="52" t="s">
        <v>1933</v>
      </c>
      <c r="D11" s="52" t="s">
        <v>4102</v>
      </c>
      <c r="E11" s="75" t="s">
        <v>4541</v>
      </c>
      <c r="F11" s="52" t="s">
        <v>1497</v>
      </c>
      <c r="G11" s="52" t="s">
        <v>4102</v>
      </c>
      <c r="H11" s="52" t="s">
        <v>4103</v>
      </c>
      <c r="I11" s="52" t="s">
        <v>4104</v>
      </c>
      <c r="J11" s="52" t="s">
        <v>1497</v>
      </c>
      <c r="K11" s="52" t="s">
        <v>6</v>
      </c>
      <c r="L11" s="52" t="s">
        <v>7</v>
      </c>
      <c r="M11" s="75" t="s">
        <v>5211</v>
      </c>
      <c r="N11" s="52" t="s">
        <v>8</v>
      </c>
      <c r="O11" s="52" t="s">
        <v>9</v>
      </c>
      <c r="P11" s="52" t="s">
        <v>4105</v>
      </c>
      <c r="Q11" s="75" t="s">
        <v>10</v>
      </c>
    </row>
    <row r="12" s="40" customFormat="1" ht="16" customHeight="1" spans="1:17">
      <c r="A12" s="58" t="s">
        <v>7553</v>
      </c>
      <c r="B12" s="67" t="s">
        <v>2575</v>
      </c>
      <c r="C12" s="68" t="s">
        <v>8488</v>
      </c>
      <c r="D12" s="58" t="s">
        <v>5112</v>
      </c>
      <c r="E12" s="58" t="s">
        <v>1913</v>
      </c>
      <c r="F12" s="58" t="s">
        <v>1428</v>
      </c>
      <c r="G12" s="58">
        <v>80</v>
      </c>
      <c r="H12" s="58" t="s">
        <v>1428</v>
      </c>
      <c r="I12" s="58" t="s">
        <v>1428</v>
      </c>
      <c r="J12" s="58" t="s">
        <v>1428</v>
      </c>
      <c r="K12" s="62">
        <v>4.60525496931904</v>
      </c>
      <c r="L12" s="62">
        <v>15.9844748835309</v>
      </c>
      <c r="M12" s="62" t="s">
        <v>1428</v>
      </c>
      <c r="N12" s="63">
        <v>3.26951980064135</v>
      </c>
      <c r="O12" s="62">
        <f>SUM(G12:N12)</f>
        <v>103.859249653491</v>
      </c>
      <c r="P12" s="64" t="s">
        <v>1526</v>
      </c>
      <c r="Q12" s="64" t="s">
        <v>8493</v>
      </c>
    </row>
    <row r="13" s="40" customFormat="1" ht="16" customHeight="1" spans="1:17">
      <c r="A13" s="58"/>
      <c r="B13" s="76" t="s">
        <v>562</v>
      </c>
      <c r="C13" s="67"/>
      <c r="D13" s="68"/>
      <c r="E13" s="68"/>
      <c r="F13" s="68"/>
      <c r="G13" s="69"/>
      <c r="H13" s="69"/>
      <c r="I13" s="69"/>
      <c r="J13" s="69"/>
      <c r="K13" s="77">
        <v>0.304942558779234</v>
      </c>
      <c r="L13" s="77">
        <v>1.2912366040574</v>
      </c>
      <c r="M13" s="58" t="s">
        <v>1428</v>
      </c>
      <c r="N13" s="63">
        <v>0.2</v>
      </c>
      <c r="O13" s="77">
        <v>1.79617916283664</v>
      </c>
      <c r="P13" s="68"/>
      <c r="Q13" s="78"/>
    </row>
    <row r="14" s="40" customFormat="1" ht="16" customHeight="1" spans="1:17">
      <c r="A14" s="58"/>
      <c r="B14" s="79" t="s">
        <v>8490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62">
        <v>3.74</v>
      </c>
      <c r="P14" s="79"/>
      <c r="Q14" s="80" t="s">
        <v>8491</v>
      </c>
    </row>
    <row r="15" s="40" customFormat="1" ht="16" customHeight="1" spans="1:17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81" t="s">
        <v>8492</v>
      </c>
      <c r="O15" s="82">
        <f>SUM(O12:O14)</f>
        <v>109.395428816328</v>
      </c>
      <c r="P15" s="74"/>
      <c r="Q15" s="74"/>
    </row>
    <row r="16" s="40" customFormat="1" ht="16" customHeight="1" spans="1:17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82"/>
      <c r="P16" s="74"/>
      <c r="Q16" s="74"/>
    </row>
    <row r="17" s="40" customFormat="1" ht="16" customHeight="1" spans="1:17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83" t="s">
        <v>7411</v>
      </c>
      <c r="O17" s="84">
        <v>109.773202612743</v>
      </c>
      <c r="P17" s="85" t="s">
        <v>8494</v>
      </c>
      <c r="Q17" s="74"/>
    </row>
    <row r="18" s="40" customFormat="1" ht="16" customHeight="1" spans="1:17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86" t="s">
        <v>7413</v>
      </c>
      <c r="O18" s="87">
        <v>109.395428816328</v>
      </c>
      <c r="P18" s="88"/>
      <c r="Q18" s="74"/>
    </row>
    <row r="19" s="40" customFormat="1" ht="16" customHeight="1" spans="1:17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89" t="s">
        <v>8495</v>
      </c>
      <c r="O19" s="84">
        <f>880/7.11/1.13</f>
        <v>109.53038845948</v>
      </c>
      <c r="P19" s="90"/>
      <c r="Q19" s="74"/>
    </row>
    <row r="20" s="40" customFormat="1" ht="26" customHeight="1" spans="1:17">
      <c r="A20" s="43" t="s">
        <v>8487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</row>
    <row r="21" s="40" customFormat="1" ht="16" customHeight="1" spans="1:17">
      <c r="A21" s="50" t="s">
        <v>1</v>
      </c>
      <c r="B21" s="52" t="s">
        <v>5</v>
      </c>
      <c r="C21" s="52" t="s">
        <v>1933</v>
      </c>
      <c r="D21" s="52" t="s">
        <v>4102</v>
      </c>
      <c r="E21" s="75" t="s">
        <v>4541</v>
      </c>
      <c r="F21" s="52" t="s">
        <v>1497</v>
      </c>
      <c r="G21" s="52" t="s">
        <v>4102</v>
      </c>
      <c r="H21" s="52" t="s">
        <v>4103</v>
      </c>
      <c r="I21" s="52" t="s">
        <v>4104</v>
      </c>
      <c r="J21" s="52" t="s">
        <v>1497</v>
      </c>
      <c r="K21" s="52" t="s">
        <v>6</v>
      </c>
      <c r="L21" s="52" t="s">
        <v>7</v>
      </c>
      <c r="M21" s="75" t="s">
        <v>5211</v>
      </c>
      <c r="N21" s="52" t="s">
        <v>8</v>
      </c>
      <c r="O21" s="52" t="s">
        <v>9</v>
      </c>
      <c r="P21" s="52" t="s">
        <v>4105</v>
      </c>
      <c r="Q21" s="75" t="s">
        <v>10</v>
      </c>
    </row>
    <row r="22" s="40" customFormat="1" ht="16" customHeight="1" spans="1:17">
      <c r="A22" s="58" t="s">
        <v>7553</v>
      </c>
      <c r="B22" s="67" t="s">
        <v>2575</v>
      </c>
      <c r="C22" s="68" t="s">
        <v>8488</v>
      </c>
      <c r="D22" s="58" t="s">
        <v>5112</v>
      </c>
      <c r="E22" s="58" t="s">
        <v>1913</v>
      </c>
      <c r="F22" s="58" t="s">
        <v>1428</v>
      </c>
      <c r="G22" s="58">
        <v>80</v>
      </c>
      <c r="H22" s="58" t="s">
        <v>1428</v>
      </c>
      <c r="I22" s="58" t="s">
        <v>1428</v>
      </c>
      <c r="J22" s="58" t="s">
        <v>1428</v>
      </c>
      <c r="K22" s="77">
        <f>4.60525496931904-0.374</f>
        <v>4.23125496931904</v>
      </c>
      <c r="L22" s="62">
        <v>15.9977620165457</v>
      </c>
      <c r="M22" s="62" t="s">
        <v>1428</v>
      </c>
      <c r="N22" s="63">
        <v>3.26951980064135</v>
      </c>
      <c r="O22" s="62">
        <f>SUM(G22:N22)</f>
        <v>103.498536786506</v>
      </c>
      <c r="P22" s="64" t="s">
        <v>1526</v>
      </c>
      <c r="Q22" s="64" t="s">
        <v>8496</v>
      </c>
    </row>
    <row r="23" s="40" customFormat="1" ht="16" customHeight="1" spans="1:17">
      <c r="A23" s="58"/>
      <c r="B23" s="67" t="s">
        <v>5120</v>
      </c>
      <c r="C23" s="68" t="s">
        <v>4958</v>
      </c>
      <c r="D23" s="58" t="s">
        <v>5112</v>
      </c>
      <c r="E23" s="58" t="s">
        <v>1913</v>
      </c>
      <c r="F23" s="58" t="s">
        <v>1428</v>
      </c>
      <c r="G23" s="58">
        <v>80</v>
      </c>
      <c r="H23" s="58" t="s">
        <v>1428</v>
      </c>
      <c r="I23" s="58" t="s">
        <v>1428</v>
      </c>
      <c r="J23" s="58" t="s">
        <v>1428</v>
      </c>
      <c r="K23" s="77">
        <f>4.60525496931904-0.374</f>
        <v>4.23125496931904</v>
      </c>
      <c r="L23" s="62">
        <v>15.2847236695301</v>
      </c>
      <c r="M23" s="62" t="s">
        <v>1428</v>
      </c>
      <c r="N23" s="63">
        <v>3.26951980064135</v>
      </c>
      <c r="O23" s="62">
        <f>SUM(G23:N23)</f>
        <v>102.78549843949</v>
      </c>
      <c r="P23" s="64" t="s">
        <v>2854</v>
      </c>
      <c r="Q23" s="64" t="s">
        <v>8496</v>
      </c>
    </row>
    <row r="24" s="40" customFormat="1" ht="16" customHeight="1" spans="1:17">
      <c r="A24" s="58"/>
      <c r="B24" s="67" t="s">
        <v>2325</v>
      </c>
      <c r="C24" s="68" t="s">
        <v>4958</v>
      </c>
      <c r="D24" s="58" t="s">
        <v>5112</v>
      </c>
      <c r="E24" s="58" t="s">
        <v>1913</v>
      </c>
      <c r="F24" s="58" t="s">
        <v>1428</v>
      </c>
      <c r="G24" s="58">
        <v>80</v>
      </c>
      <c r="H24" s="58" t="s">
        <v>1428</v>
      </c>
      <c r="I24" s="58" t="s">
        <v>1428</v>
      </c>
      <c r="J24" s="58" t="s">
        <v>1428</v>
      </c>
      <c r="K24" s="77">
        <f>4.60525496931904-0.374</f>
        <v>4.23125496931904</v>
      </c>
      <c r="L24" s="62">
        <v>15.2787253871658</v>
      </c>
      <c r="M24" s="62" t="s">
        <v>1428</v>
      </c>
      <c r="N24" s="63">
        <v>3.26951980064135</v>
      </c>
      <c r="O24" s="62">
        <f>SUM(G24:N24)</f>
        <v>102.779500157126</v>
      </c>
      <c r="P24" s="64" t="s">
        <v>2854</v>
      </c>
      <c r="Q24" s="64" t="s">
        <v>8496</v>
      </c>
    </row>
    <row r="25" s="40" customFormat="1" ht="16" customHeight="1" spans="1:17">
      <c r="A25" s="58"/>
      <c r="B25" s="76" t="s">
        <v>562</v>
      </c>
      <c r="C25" s="67"/>
      <c r="D25" s="68"/>
      <c r="E25" s="68"/>
      <c r="F25" s="68"/>
      <c r="G25" s="69"/>
      <c r="H25" s="69"/>
      <c r="I25" s="69"/>
      <c r="J25" s="69"/>
      <c r="K25" s="77">
        <v>0.304942558779234</v>
      </c>
      <c r="L25" s="77">
        <v>1.2912366040574</v>
      </c>
      <c r="M25" s="58" t="s">
        <v>1428</v>
      </c>
      <c r="N25" s="63">
        <v>0.2</v>
      </c>
      <c r="O25" s="77">
        <v>1.79617916283664</v>
      </c>
      <c r="P25" s="68"/>
      <c r="Q25" s="78"/>
    </row>
    <row r="26" s="40" customFormat="1" ht="16" customHeight="1" spans="1:17">
      <c r="A26" s="58"/>
      <c r="B26" s="79" t="s">
        <v>8490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62">
        <v>3.74</v>
      </c>
      <c r="P26" s="79"/>
      <c r="Q26" s="80" t="s">
        <v>8491</v>
      </c>
    </row>
    <row r="27" s="41" customFormat="1" ht="16" customHeight="1" spans="1:17">
      <c r="A27" s="46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48">
        <f>SUM(O25:O26)</f>
        <v>5.53617916283664</v>
      </c>
      <c r="P27" s="91"/>
      <c r="Q27" s="92"/>
    </row>
    <row r="28" s="40" customFormat="1" ht="26" customHeight="1" spans="1:17">
      <c r="A28" s="43" t="s">
        <v>8487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</row>
    <row r="29" s="40" customFormat="1" ht="16" customHeight="1" spans="1:17">
      <c r="A29" s="50" t="s">
        <v>1</v>
      </c>
      <c r="B29" s="52" t="s">
        <v>5</v>
      </c>
      <c r="C29" s="52" t="s">
        <v>1933</v>
      </c>
      <c r="D29" s="52" t="s">
        <v>4102</v>
      </c>
      <c r="E29" s="75" t="s">
        <v>4541</v>
      </c>
      <c r="F29" s="52" t="s">
        <v>1497</v>
      </c>
      <c r="G29" s="52" t="s">
        <v>4102</v>
      </c>
      <c r="H29" s="52" t="s">
        <v>4103</v>
      </c>
      <c r="I29" s="52" t="s">
        <v>4104</v>
      </c>
      <c r="J29" s="52" t="s">
        <v>1497</v>
      </c>
      <c r="K29" s="52" t="s">
        <v>6</v>
      </c>
      <c r="L29" s="52" t="s">
        <v>7</v>
      </c>
      <c r="M29" s="75" t="s">
        <v>5211</v>
      </c>
      <c r="N29" s="52" t="s">
        <v>8</v>
      </c>
      <c r="O29" s="52" t="s">
        <v>9</v>
      </c>
      <c r="P29" s="52" t="s">
        <v>4105</v>
      </c>
      <c r="Q29" s="75" t="s">
        <v>10</v>
      </c>
    </row>
    <row r="30" s="40" customFormat="1" ht="16" customHeight="1" spans="1:17">
      <c r="A30" s="58" t="s">
        <v>7553</v>
      </c>
      <c r="B30" s="67" t="s">
        <v>2575</v>
      </c>
      <c r="C30" s="68" t="s">
        <v>8488</v>
      </c>
      <c r="D30" s="58" t="s">
        <v>5112</v>
      </c>
      <c r="E30" s="58" t="s">
        <v>1913</v>
      </c>
      <c r="F30" s="58" t="s">
        <v>1428</v>
      </c>
      <c r="G30" s="58">
        <v>80</v>
      </c>
      <c r="H30" s="58" t="s">
        <v>1428</v>
      </c>
      <c r="I30" s="58" t="s">
        <v>1428</v>
      </c>
      <c r="J30" s="58" t="s">
        <v>1428</v>
      </c>
      <c r="K30" s="62">
        <f>4.60525496931904-0.374</f>
        <v>4.23125496931904</v>
      </c>
      <c r="L30" s="77">
        <v>15.9977620165457</v>
      </c>
      <c r="M30" s="62" t="s">
        <v>1428</v>
      </c>
      <c r="N30" s="63">
        <v>3.26951980064135</v>
      </c>
      <c r="O30" s="62">
        <f>SUM(G30:N30)</f>
        <v>103.498536786506</v>
      </c>
      <c r="P30" s="64" t="s">
        <v>1526</v>
      </c>
      <c r="Q30" s="64" t="s">
        <v>8496</v>
      </c>
    </row>
    <row r="31" s="40" customFormat="1" ht="16" customHeight="1" spans="1:17">
      <c r="A31" s="58"/>
      <c r="B31" s="76" t="s">
        <v>562</v>
      </c>
      <c r="C31" s="67"/>
      <c r="D31" s="68"/>
      <c r="E31" s="68"/>
      <c r="F31" s="68"/>
      <c r="G31" s="69"/>
      <c r="H31" s="69"/>
      <c r="I31" s="69"/>
      <c r="J31" s="69"/>
      <c r="K31" s="77">
        <v>0.304942558779234</v>
      </c>
      <c r="L31" s="77">
        <v>1.2912366040574</v>
      </c>
      <c r="M31" s="58" t="s">
        <v>1428</v>
      </c>
      <c r="N31" s="63">
        <v>0.2</v>
      </c>
      <c r="O31" s="77">
        <v>1.79617916283664</v>
      </c>
      <c r="P31" s="68"/>
      <c r="Q31" s="78"/>
    </row>
    <row r="32" s="40" customFormat="1" ht="16" customHeight="1" spans="1:17">
      <c r="A32" s="58"/>
      <c r="B32" s="79" t="s">
        <v>8490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62">
        <v>3.74</v>
      </c>
      <c r="P32" s="79"/>
      <c r="Q32" s="80" t="s">
        <v>8491</v>
      </c>
    </row>
    <row r="33" s="40" customFormat="1" ht="16" customHeight="1" spans="1:17">
      <c r="A33" s="46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48"/>
      <c r="P33" s="91"/>
      <c r="Q33" s="92"/>
    </row>
    <row r="34" s="40" customFormat="1" ht="16" customHeight="1" spans="1:17">
      <c r="A34" s="46"/>
      <c r="B34" s="91"/>
      <c r="C34" s="91"/>
      <c r="D34" s="93" t="s">
        <v>8497</v>
      </c>
      <c r="E34" s="93"/>
      <c r="F34" s="94" t="s">
        <v>7411</v>
      </c>
      <c r="G34" s="84">
        <f>103.498536786506+5.91395295925135</f>
        <v>109.412489745757</v>
      </c>
      <c r="H34" s="85" t="s">
        <v>8494</v>
      </c>
      <c r="I34" s="91"/>
      <c r="J34" s="93" t="s">
        <v>8498</v>
      </c>
      <c r="K34" s="93"/>
      <c r="L34" s="94" t="s">
        <v>7411</v>
      </c>
      <c r="M34" s="84">
        <f>102.78549843949+5.91395295925135</f>
        <v>108.699451398741</v>
      </c>
      <c r="N34" s="85" t="s">
        <v>8494</v>
      </c>
      <c r="Q34" s="92"/>
    </row>
    <row r="35" s="40" customFormat="1" ht="16" customHeight="1" spans="1:17">
      <c r="A35" s="46"/>
      <c r="B35" s="91"/>
      <c r="C35" s="91"/>
      <c r="D35" s="93"/>
      <c r="E35" s="93"/>
      <c r="F35" s="95" t="s">
        <v>7413</v>
      </c>
      <c r="G35" s="87">
        <f>103.498536786506+5.53617916283664</f>
        <v>109.034715949343</v>
      </c>
      <c r="H35" s="88"/>
      <c r="I35" s="91"/>
      <c r="J35" s="93"/>
      <c r="K35" s="93"/>
      <c r="L35" s="95" t="s">
        <v>7413</v>
      </c>
      <c r="M35" s="87">
        <f>102.78549843949+5.53617916283664</f>
        <v>108.321677602327</v>
      </c>
      <c r="N35" s="88"/>
      <c r="Q35" s="92"/>
    </row>
    <row r="36" s="40" customFormat="1" ht="16" customHeight="1" spans="1:17">
      <c r="A36" s="46"/>
      <c r="B36" s="91"/>
      <c r="C36" s="91"/>
      <c r="D36" s="93"/>
      <c r="E36" s="93"/>
      <c r="F36" s="96" t="s">
        <v>8495</v>
      </c>
      <c r="G36" s="84"/>
      <c r="H36" s="90"/>
      <c r="I36" s="91"/>
      <c r="J36" s="93"/>
      <c r="K36" s="93"/>
      <c r="L36" s="96" t="s">
        <v>8495</v>
      </c>
      <c r="M36" s="84"/>
      <c r="N36" s="90"/>
      <c r="Q36" s="92"/>
    </row>
    <row r="37" s="40" customFormat="1" ht="16" customHeight="1" spans="1:17">
      <c r="A37" s="46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48"/>
      <c r="P37" s="91"/>
      <c r="Q37" s="92"/>
    </row>
    <row r="38" s="40" customFormat="1" ht="16" customHeight="1" spans="1:17">
      <c r="A38" s="46"/>
      <c r="B38" s="91"/>
      <c r="C38" s="91"/>
      <c r="D38" s="93" t="s">
        <v>8499</v>
      </c>
      <c r="E38" s="93"/>
      <c r="F38" s="94" t="s">
        <v>7411</v>
      </c>
      <c r="G38" s="84">
        <f>102.779500157126+5.91395295925135</f>
        <v>108.693453116377</v>
      </c>
      <c r="H38" s="85" t="s">
        <v>8494</v>
      </c>
      <c r="I38" s="91"/>
      <c r="J38" s="91"/>
      <c r="K38" s="91"/>
      <c r="L38" s="91"/>
      <c r="M38" s="91"/>
      <c r="N38" s="91"/>
      <c r="O38" s="48"/>
      <c r="P38" s="91"/>
      <c r="Q38" s="92"/>
    </row>
    <row r="39" s="40" customFormat="1" ht="16" customHeight="1" spans="1:17">
      <c r="A39" s="46"/>
      <c r="B39" s="91"/>
      <c r="C39" s="91"/>
      <c r="D39" s="93"/>
      <c r="E39" s="93"/>
      <c r="F39" s="95" t="s">
        <v>7413</v>
      </c>
      <c r="G39" s="87">
        <f>102.779500157126+5.53617916283664</f>
        <v>108.315679319963</v>
      </c>
      <c r="H39" s="88"/>
      <c r="I39" s="91"/>
      <c r="J39" s="91"/>
      <c r="K39" s="91"/>
      <c r="L39" s="91"/>
      <c r="M39" s="91"/>
      <c r="N39" s="91"/>
      <c r="O39" s="48"/>
      <c r="P39" s="91"/>
      <c r="Q39" s="92"/>
    </row>
    <row r="40" s="41" customFormat="1" ht="16" customHeight="1" spans="1:17">
      <c r="A40" s="46"/>
      <c r="B40" s="91"/>
      <c r="C40" s="91"/>
      <c r="D40" s="93"/>
      <c r="E40" s="93"/>
      <c r="F40" s="96" t="s">
        <v>8495</v>
      </c>
      <c r="G40" s="84"/>
      <c r="H40" s="90"/>
      <c r="I40" s="91"/>
      <c r="J40" s="91"/>
      <c r="K40" s="91"/>
      <c r="L40" s="91"/>
      <c r="M40" s="91"/>
      <c r="N40" s="91"/>
      <c r="O40" s="48"/>
      <c r="P40" s="91"/>
      <c r="Q40" s="92"/>
    </row>
    <row r="41" s="41" customFormat="1" ht="16" hidden="1" customHeight="1" spans="1:17">
      <c r="A41" s="46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48"/>
      <c r="P41" s="91"/>
      <c r="Q41" s="92"/>
    </row>
    <row r="42" customFormat="1" ht="15.6" hidden="1" spans="1:17">
      <c r="A42" s="11" t="s">
        <v>8500</v>
      </c>
      <c r="B42" s="97"/>
      <c r="C42" s="98"/>
      <c r="D42" s="97"/>
      <c r="E42" s="12"/>
      <c r="F42" s="12"/>
      <c r="G42" s="13"/>
      <c r="H42" s="14"/>
      <c r="I42" s="14"/>
      <c r="J42" s="13"/>
      <c r="K42" s="13"/>
      <c r="L42" s="13"/>
      <c r="M42" s="13"/>
      <c r="N42" s="15"/>
      <c r="O42" s="15"/>
      <c r="P42" s="13"/>
      <c r="Q42" s="15"/>
    </row>
    <row r="43" s="40" customFormat="1" ht="16" hidden="1" customHeight="1" spans="1:17">
      <c r="A43" s="50" t="s">
        <v>1490</v>
      </c>
      <c r="B43" s="52" t="s">
        <v>5</v>
      </c>
      <c r="C43" s="52" t="s">
        <v>1933</v>
      </c>
      <c r="D43" s="52" t="s">
        <v>4102</v>
      </c>
      <c r="E43" s="75" t="s">
        <v>1910</v>
      </c>
      <c r="F43" s="52" t="s">
        <v>1497</v>
      </c>
      <c r="G43" s="52" t="s">
        <v>4102</v>
      </c>
      <c r="H43" s="52" t="s">
        <v>4103</v>
      </c>
      <c r="I43" s="52" t="s">
        <v>4104</v>
      </c>
      <c r="J43" s="52" t="s">
        <v>1497</v>
      </c>
      <c r="K43" s="52" t="s">
        <v>6</v>
      </c>
      <c r="L43" s="52" t="s">
        <v>7</v>
      </c>
      <c r="M43" s="75" t="s">
        <v>5672</v>
      </c>
      <c r="N43" s="52" t="s">
        <v>8</v>
      </c>
      <c r="O43" s="52" t="s">
        <v>9</v>
      </c>
      <c r="P43" s="52" t="s">
        <v>4105</v>
      </c>
      <c r="Q43" s="75" t="s">
        <v>4106</v>
      </c>
    </row>
    <row r="44" s="40" customFormat="1" ht="16" hidden="1" customHeight="1" spans="1:17">
      <c r="A44" s="58" t="s">
        <v>3547</v>
      </c>
      <c r="B44" s="67" t="s">
        <v>1596</v>
      </c>
      <c r="C44" s="68" t="s">
        <v>3599</v>
      </c>
      <c r="D44" s="58" t="s">
        <v>3542</v>
      </c>
      <c r="E44" s="58" t="s">
        <v>1913</v>
      </c>
      <c r="F44" s="58" t="s">
        <v>1428</v>
      </c>
      <c r="G44" s="58">
        <v>30</v>
      </c>
      <c r="H44" s="58" t="s">
        <v>1428</v>
      </c>
      <c r="I44" s="58" t="s">
        <v>1428</v>
      </c>
      <c r="J44" s="58" t="s">
        <v>1428</v>
      </c>
      <c r="K44" s="62">
        <v>3.20749785295545</v>
      </c>
      <c r="L44" s="62">
        <v>10.8908835862991</v>
      </c>
      <c r="M44" s="62" t="s">
        <v>1428</v>
      </c>
      <c r="N44" s="63">
        <v>2.60873660551339</v>
      </c>
      <c r="O44" s="62">
        <f>SUM(F44:N44)</f>
        <v>46.7071180447679</v>
      </c>
      <c r="P44" s="64" t="s">
        <v>2854</v>
      </c>
      <c r="Q44" s="64" t="s">
        <v>8501</v>
      </c>
    </row>
    <row r="45" s="40" customFormat="1" hidden="1" spans="1:17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</row>
    <row r="46" s="40" customFormat="1" hidden="1" spans="1:17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</row>
    <row r="47" customFormat="1" ht="15.6" spans="1:17">
      <c r="A47" s="11" t="s">
        <v>8500</v>
      </c>
      <c r="B47" s="97"/>
      <c r="C47" s="98"/>
      <c r="D47" s="97"/>
      <c r="E47" s="12"/>
      <c r="F47" s="12"/>
      <c r="G47" s="13"/>
      <c r="H47" s="14"/>
      <c r="I47" s="14"/>
      <c r="J47" s="13"/>
      <c r="K47" s="13"/>
      <c r="L47" s="13"/>
      <c r="M47" s="13"/>
      <c r="N47" s="15"/>
      <c r="O47" s="15"/>
      <c r="P47" s="13"/>
      <c r="Q47" s="15"/>
    </row>
    <row r="48" s="40" customFormat="1" ht="15.6" spans="1:17">
      <c r="A48" s="50" t="s">
        <v>1490</v>
      </c>
      <c r="B48" s="52" t="s">
        <v>5</v>
      </c>
      <c r="C48" s="52" t="s">
        <v>1933</v>
      </c>
      <c r="D48" s="52" t="s">
        <v>4102</v>
      </c>
      <c r="E48" s="75" t="s">
        <v>1910</v>
      </c>
      <c r="F48" s="52" t="s">
        <v>1497</v>
      </c>
      <c r="G48" s="52" t="s">
        <v>4102</v>
      </c>
      <c r="H48" s="52" t="s">
        <v>4103</v>
      </c>
      <c r="I48" s="52" t="s">
        <v>4104</v>
      </c>
      <c r="J48" s="52" t="s">
        <v>1497</v>
      </c>
      <c r="K48" s="52" t="s">
        <v>6</v>
      </c>
      <c r="L48" s="52" t="s">
        <v>7</v>
      </c>
      <c r="M48" s="75" t="s">
        <v>5672</v>
      </c>
      <c r="N48" s="52" t="s">
        <v>8</v>
      </c>
      <c r="O48" s="52" t="s">
        <v>9</v>
      </c>
      <c r="P48" s="52" t="s">
        <v>4105</v>
      </c>
      <c r="Q48" s="75" t="s">
        <v>4106</v>
      </c>
    </row>
    <row r="49" s="40" customFormat="1" ht="15" spans="1:18">
      <c r="A49" s="58" t="s">
        <v>3547</v>
      </c>
      <c r="B49" s="67" t="s">
        <v>1596</v>
      </c>
      <c r="C49" s="68" t="s">
        <v>3599</v>
      </c>
      <c r="D49" s="58" t="s">
        <v>3542</v>
      </c>
      <c r="E49" s="58" t="s">
        <v>1913</v>
      </c>
      <c r="F49" s="58" t="s">
        <v>1428</v>
      </c>
      <c r="G49" s="58">
        <v>30</v>
      </c>
      <c r="H49" s="58" t="s">
        <v>1428</v>
      </c>
      <c r="I49" s="58" t="s">
        <v>1428</v>
      </c>
      <c r="J49" s="58" t="s">
        <v>1428</v>
      </c>
      <c r="K49" s="62">
        <f>3.20749785295545-0.249</f>
        <v>2.95849785295545</v>
      </c>
      <c r="L49" s="62">
        <v>10.8908835862991</v>
      </c>
      <c r="M49" s="62" t="s">
        <v>1428</v>
      </c>
      <c r="N49" s="63">
        <v>2.60873660551339</v>
      </c>
      <c r="O49" s="62">
        <f>SUM(F49:N49)</f>
        <v>46.4581180447679</v>
      </c>
      <c r="P49" s="64" t="s">
        <v>2854</v>
      </c>
      <c r="Q49" s="64" t="s">
        <v>8502</v>
      </c>
    </row>
    <row r="50" s="40" customFormat="1" spans="1:18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</row>
    <row r="51" s="40" customFormat="1" spans="1:18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</row>
    <row r="52" s="40" customFormat="1" ht="26" customHeight="1" spans="1:18">
      <c r="A52" s="43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</row>
    <row r="53" s="40" customFormat="1" ht="26" customHeight="1" spans="1:18">
      <c r="A53" s="43" t="s">
        <v>8500</v>
      </c>
      <c r="B53" s="74"/>
      <c r="C53" s="74"/>
      <c r="D53" s="74" t="s">
        <v>8503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</row>
    <row r="54" s="40" customFormat="1" ht="16" customHeight="1" spans="1:18">
      <c r="A54" s="99" t="s">
        <v>1490</v>
      </c>
      <c r="B54" s="100" t="s">
        <v>5</v>
      </c>
      <c r="C54" s="100" t="s">
        <v>1933</v>
      </c>
      <c r="D54" s="100" t="s">
        <v>4102</v>
      </c>
      <c r="E54" s="101" t="s">
        <v>1910</v>
      </c>
      <c r="F54" s="100" t="s">
        <v>1497</v>
      </c>
      <c r="G54" s="100" t="s">
        <v>4102</v>
      </c>
      <c r="H54" s="100" t="s">
        <v>4103</v>
      </c>
      <c r="I54" s="100" t="s">
        <v>4104</v>
      </c>
      <c r="J54" s="100" t="s">
        <v>1497</v>
      </c>
      <c r="K54" s="100" t="s">
        <v>6</v>
      </c>
      <c r="L54" s="100" t="s">
        <v>7</v>
      </c>
      <c r="M54" s="101" t="s">
        <v>5672</v>
      </c>
      <c r="N54" s="100" t="s">
        <v>8</v>
      </c>
      <c r="O54" s="100" t="s">
        <v>9</v>
      </c>
      <c r="P54" s="100" t="s">
        <v>4105</v>
      </c>
      <c r="Q54" s="101" t="s">
        <v>4106</v>
      </c>
    </row>
    <row r="55" s="40" customFormat="1" ht="16" customHeight="1" spans="1:18">
      <c r="A55" s="102" t="s">
        <v>3547</v>
      </c>
      <c r="B55" s="103" t="s">
        <v>1593</v>
      </c>
      <c r="C55" s="104" t="s">
        <v>3540</v>
      </c>
      <c r="D55" s="102" t="s">
        <v>3566</v>
      </c>
      <c r="E55" s="102" t="s">
        <v>1913</v>
      </c>
      <c r="F55" s="102" t="s">
        <v>1428</v>
      </c>
      <c r="G55" s="102">
        <v>29</v>
      </c>
      <c r="H55" s="102" t="s">
        <v>1428</v>
      </c>
      <c r="I55" s="102" t="s">
        <v>1428</v>
      </c>
      <c r="J55" s="102" t="s">
        <v>1428</v>
      </c>
      <c r="K55" s="105">
        <v>3.20749785295545</v>
      </c>
      <c r="L55" s="105">
        <v>10.9826242281429</v>
      </c>
      <c r="M55" s="105" t="s">
        <v>1428</v>
      </c>
      <c r="N55" s="106">
        <v>2.60873660551339</v>
      </c>
      <c r="O55" s="105">
        <f>SUM(G55:N55)</f>
        <v>45.7988586866117</v>
      </c>
      <c r="P55" s="107" t="s">
        <v>2854</v>
      </c>
      <c r="Q55" s="107"/>
    </row>
    <row r="56" s="40" customFormat="1" ht="16" customHeight="1" spans="1:18">
      <c r="A56" s="102"/>
      <c r="B56" s="103" t="s">
        <v>2320</v>
      </c>
      <c r="C56" s="104" t="s">
        <v>3540</v>
      </c>
      <c r="D56" s="102" t="s">
        <v>3566</v>
      </c>
      <c r="E56" s="102" t="s">
        <v>1913</v>
      </c>
      <c r="F56" s="102" t="s">
        <v>1428</v>
      </c>
      <c r="G56" s="102">
        <v>29</v>
      </c>
      <c r="H56" s="102" t="s">
        <v>1428</v>
      </c>
      <c r="I56" s="102" t="s">
        <v>1428</v>
      </c>
      <c r="J56" s="102" t="s">
        <v>1428</v>
      </c>
      <c r="K56" s="105">
        <v>3.20749785295545</v>
      </c>
      <c r="L56" s="105">
        <v>10.7826533331822</v>
      </c>
      <c r="M56" s="105" t="s">
        <v>1428</v>
      </c>
      <c r="N56" s="106">
        <v>2.60873660551339</v>
      </c>
      <c r="O56" s="105">
        <f>SUM(G56:N56)</f>
        <v>45.598887791651</v>
      </c>
      <c r="P56" s="107" t="s">
        <v>2854</v>
      </c>
      <c r="Q56" s="107"/>
    </row>
    <row r="57" s="40" customFormat="1" ht="16" customHeight="1" spans="1:18">
      <c r="A57" s="102"/>
      <c r="B57" s="103" t="s">
        <v>2495</v>
      </c>
      <c r="C57" s="104" t="s">
        <v>3540</v>
      </c>
      <c r="D57" s="102" t="s">
        <v>3566</v>
      </c>
      <c r="E57" s="102" t="s">
        <v>1913</v>
      </c>
      <c r="F57" s="102" t="s">
        <v>1428</v>
      </c>
      <c r="G57" s="102">
        <v>29</v>
      </c>
      <c r="H57" s="102" t="s">
        <v>1428</v>
      </c>
      <c r="I57" s="102" t="s">
        <v>1428</v>
      </c>
      <c r="J57" s="102" t="s">
        <v>1428</v>
      </c>
      <c r="K57" s="105">
        <v>3.20749785295545</v>
      </c>
      <c r="L57" s="105">
        <v>10.7826533331822</v>
      </c>
      <c r="M57" s="105" t="s">
        <v>1428</v>
      </c>
      <c r="N57" s="106">
        <v>2.60873660551339</v>
      </c>
      <c r="O57" s="105">
        <f>SUM(G57:N57)</f>
        <v>45.598887791651</v>
      </c>
      <c r="P57" s="107" t="s">
        <v>2854</v>
      </c>
      <c r="Q57" s="107"/>
    </row>
    <row r="58" s="40" customFormat="1" ht="16" customHeight="1" spans="1:18">
      <c r="A58" s="108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</row>
    <row r="59" s="40" customFormat="1" spans="1:18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</row>
    <row r="60" s="40" customFormat="1" ht="15.6" spans="1:18">
      <c r="A60" s="43" t="s">
        <v>8500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</row>
    <row r="61" s="40" customFormat="1" ht="26" customHeight="1" spans="1:18">
      <c r="A61" s="99" t="s">
        <v>1490</v>
      </c>
      <c r="B61" s="100" t="s">
        <v>5</v>
      </c>
      <c r="C61" s="100" t="s">
        <v>1933</v>
      </c>
      <c r="D61" s="100" t="s">
        <v>4102</v>
      </c>
      <c r="E61" s="101" t="s">
        <v>1910</v>
      </c>
      <c r="F61" s="100" t="s">
        <v>1497</v>
      </c>
      <c r="G61" s="100" t="s">
        <v>4102</v>
      </c>
      <c r="H61" s="100" t="s">
        <v>4103</v>
      </c>
      <c r="I61" s="100" t="s">
        <v>4104</v>
      </c>
      <c r="J61" s="100" t="s">
        <v>1497</v>
      </c>
      <c r="K61" s="100" t="s">
        <v>6</v>
      </c>
      <c r="L61" s="100" t="s">
        <v>7</v>
      </c>
      <c r="M61" s="101" t="s">
        <v>5672</v>
      </c>
      <c r="N61" s="100" t="s">
        <v>8</v>
      </c>
      <c r="O61" s="100" t="s">
        <v>9</v>
      </c>
      <c r="P61" s="100" t="s">
        <v>4105</v>
      </c>
      <c r="Q61" s="101" t="s">
        <v>4106</v>
      </c>
    </row>
    <row r="62" s="40" customFormat="1" ht="16" customHeight="1" spans="1:18">
      <c r="A62" s="109" t="s">
        <v>3547</v>
      </c>
      <c r="B62" s="110" t="s">
        <v>1593</v>
      </c>
      <c r="C62" s="111" t="s">
        <v>3540</v>
      </c>
      <c r="D62" s="112" t="s">
        <v>3566</v>
      </c>
      <c r="E62" s="112" t="s">
        <v>1913</v>
      </c>
      <c r="F62" s="112" t="s">
        <v>1428</v>
      </c>
      <c r="G62" s="112">
        <v>29</v>
      </c>
      <c r="H62" s="112" t="s">
        <v>1428</v>
      </c>
      <c r="I62" s="112" t="s">
        <v>1428</v>
      </c>
      <c r="J62" s="112" t="s">
        <v>1428</v>
      </c>
      <c r="K62" s="113">
        <f>3.20749785295545-0.249</f>
        <v>2.95849785295545</v>
      </c>
      <c r="L62" s="113">
        <v>10.4349117156833</v>
      </c>
      <c r="M62" s="112" t="s">
        <v>1428</v>
      </c>
      <c r="N62" s="114">
        <v>2.60873660551339</v>
      </c>
      <c r="O62" s="115">
        <f>SUM(G62:N62)</f>
        <v>45.0021461741521</v>
      </c>
      <c r="P62" s="116" t="s">
        <v>2854</v>
      </c>
      <c r="Q62" s="117" t="s">
        <v>8504</v>
      </c>
    </row>
    <row r="63" s="40" customFormat="1" ht="16" customHeight="1" spans="1:18">
      <c r="A63" s="118"/>
      <c r="B63" s="110" t="s">
        <v>2320</v>
      </c>
      <c r="C63" s="111" t="s">
        <v>3540</v>
      </c>
      <c r="D63" s="112" t="s">
        <v>3566</v>
      </c>
      <c r="E63" s="112" t="s">
        <v>1913</v>
      </c>
      <c r="F63" s="112" t="s">
        <v>1428</v>
      </c>
      <c r="G63" s="112">
        <v>29</v>
      </c>
      <c r="H63" s="112" t="s">
        <v>1428</v>
      </c>
      <c r="I63" s="112" t="s">
        <v>1428</v>
      </c>
      <c r="J63" s="112" t="s">
        <v>1428</v>
      </c>
      <c r="K63" s="113">
        <f>3.20749785295545-0.249</f>
        <v>2.95849785295545</v>
      </c>
      <c r="L63" s="113">
        <v>10.4213135215608</v>
      </c>
      <c r="M63" s="112" t="s">
        <v>1428</v>
      </c>
      <c r="N63" s="114">
        <v>2.60873660551339</v>
      </c>
      <c r="O63" s="115">
        <f>SUM(G63:N63)</f>
        <v>44.9885479800296</v>
      </c>
      <c r="P63" s="116" t="s">
        <v>2854</v>
      </c>
      <c r="Q63" s="117" t="s">
        <v>8504</v>
      </c>
    </row>
    <row r="64" s="42" customFormat="1" ht="15" spans="1:18">
      <c r="A64" s="119"/>
      <c r="B64" s="110" t="s">
        <v>2495</v>
      </c>
      <c r="C64" s="111" t="s">
        <v>3540</v>
      </c>
      <c r="D64" s="112" t="s">
        <v>3566</v>
      </c>
      <c r="E64" s="112" t="s">
        <v>1913</v>
      </c>
      <c r="F64" s="112" t="s">
        <v>1428</v>
      </c>
      <c r="G64" s="112">
        <v>29</v>
      </c>
      <c r="H64" s="112" t="s">
        <v>1428</v>
      </c>
      <c r="I64" s="112" t="s">
        <v>1428</v>
      </c>
      <c r="J64" s="112" t="s">
        <v>1428</v>
      </c>
      <c r="K64" s="113">
        <f>3.20749785295545-0.249</f>
        <v>2.95849785295545</v>
      </c>
      <c r="L64" s="113">
        <v>10.3772037170706</v>
      </c>
      <c r="M64" s="112" t="s">
        <v>1428</v>
      </c>
      <c r="N64" s="114">
        <v>2.60873660551339</v>
      </c>
      <c r="O64" s="115">
        <f>SUM(G64:N64)</f>
        <v>44.9444381755394</v>
      </c>
      <c r="P64" s="116" t="s">
        <v>2854</v>
      </c>
      <c r="Q64" s="117" t="s">
        <v>8504</v>
      </c>
      <c r="R64" s="120" t="s">
        <v>1406</v>
      </c>
    </row>
    <row r="67" spans="4:8">
      <c r="D67" s="93" t="s">
        <v>8505</v>
      </c>
      <c r="E67" s="93"/>
      <c r="F67" s="94" t="s">
        <v>7411</v>
      </c>
      <c r="G67" s="84">
        <v>45.7988586866117</v>
      </c>
      <c r="H67" s="85" t="s">
        <v>8494</v>
      </c>
    </row>
    <row r="68" spans="4:8">
      <c r="D68" s="93"/>
      <c r="E68" s="93"/>
      <c r="F68" s="95" t="s">
        <v>7413</v>
      </c>
      <c r="G68" s="87">
        <v>45.0021461741522</v>
      </c>
      <c r="H68" s="88"/>
    </row>
    <row r="69" spans="4:8">
      <c r="D69" s="93"/>
      <c r="E69" s="93"/>
      <c r="F69" s="96" t="s">
        <v>8495</v>
      </c>
      <c r="G69" s="84"/>
      <c r="H69" s="90"/>
    </row>
    <row r="71" spans="4:8">
      <c r="D71" s="93" t="s">
        <v>8506</v>
      </c>
      <c r="E71" s="93"/>
      <c r="F71" s="94" t="s">
        <v>7411</v>
      </c>
      <c r="G71" s="84">
        <v>45.598887791651</v>
      </c>
      <c r="H71" s="85" t="s">
        <v>8494</v>
      </c>
    </row>
    <row r="72" spans="4:8">
      <c r="D72" s="93"/>
      <c r="E72" s="93"/>
      <c r="F72" s="95" t="s">
        <v>7413</v>
      </c>
      <c r="G72" s="87">
        <v>44.9885479800296</v>
      </c>
      <c r="H72" s="88"/>
    </row>
    <row r="73" spans="4:8">
      <c r="D73" s="93"/>
      <c r="E73" s="93"/>
      <c r="F73" s="96" t="s">
        <v>8495</v>
      </c>
      <c r="G73" s="84"/>
      <c r="H73" s="90"/>
    </row>
    <row r="75" spans="4:8">
      <c r="D75" s="93" t="s">
        <v>8507</v>
      </c>
      <c r="E75" s="93"/>
      <c r="F75" s="94" t="s">
        <v>7411</v>
      </c>
      <c r="G75" s="84">
        <v>45.598887791651</v>
      </c>
      <c r="H75" s="85" t="s">
        <v>8494</v>
      </c>
    </row>
    <row r="76" spans="4:8">
      <c r="D76" s="93"/>
      <c r="E76" s="93"/>
      <c r="F76" s="95" t="s">
        <v>7413</v>
      </c>
      <c r="G76" s="87">
        <v>44.9444381755395</v>
      </c>
      <c r="H76" s="88"/>
    </row>
    <row r="77" spans="4:8">
      <c r="D77" s="93"/>
      <c r="E77" s="93"/>
      <c r="F77" s="96" t="s">
        <v>8495</v>
      </c>
      <c r="G77" s="84"/>
      <c r="H77" s="90"/>
    </row>
  </sheetData>
  <mergeCells count="12">
    <mergeCell ref="A3:A7"/>
    <mergeCell ref="A12:A14"/>
    <mergeCell ref="A22:A26"/>
    <mergeCell ref="A30:A32"/>
    <mergeCell ref="A55:A57"/>
    <mergeCell ref="A62:A64"/>
    <mergeCell ref="D34:E36"/>
    <mergeCell ref="J34:K36"/>
    <mergeCell ref="D38:E40"/>
    <mergeCell ref="D67:E69"/>
    <mergeCell ref="D71:E73"/>
    <mergeCell ref="D75:E77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>
    <tabColor rgb="FFFF0000"/>
  </sheetPr>
  <dimension ref="A1:Q11"/>
  <sheetViews>
    <sheetView zoomScale="55" zoomScaleNormal="55" workbookViewId="0">
      <selection activeCell="G521" sqref="G521"/>
    </sheetView>
  </sheetViews>
  <sheetFormatPr defaultColWidth="8.88888888888889" defaultRowHeight="14.4"/>
  <cols>
    <col min="1" max="1" width="8.88888888888889" style="10"/>
    <col min="2" max="2" width="31.5555555555556" style="10" customWidth="1"/>
    <col min="3" max="16" width="8.88888888888889" style="10"/>
    <col min="17" max="17" width="116.111111111111" style="10" customWidth="1"/>
    <col min="18" max="16384" width="8.88888888888889" style="10"/>
  </cols>
  <sheetData>
    <row r="1" s="10" customFormat="1" ht="15.6" spans="1:17">
      <c r="A1" s="11" t="s">
        <v>8500</v>
      </c>
      <c r="B1" s="12"/>
      <c r="C1" s="12"/>
      <c r="D1" s="13"/>
      <c r="E1" s="14"/>
      <c r="F1" s="14"/>
      <c r="G1" s="13"/>
      <c r="H1" s="13"/>
      <c r="I1" s="13"/>
      <c r="J1" s="13"/>
      <c r="K1" s="15"/>
      <c r="L1" s="15"/>
      <c r="M1" s="13"/>
      <c r="N1" s="15"/>
      <c r="O1" s="15"/>
      <c r="P1" s="12"/>
      <c r="Q1" s="16"/>
    </row>
    <row r="2" s="10" customFormat="1" ht="26.4" spans="1:17">
      <c r="A2" s="17" t="s">
        <v>1490</v>
      </c>
      <c r="B2" s="18" t="s">
        <v>5</v>
      </c>
      <c r="C2" s="18" t="s">
        <v>1933</v>
      </c>
      <c r="D2" s="18" t="s">
        <v>4102</v>
      </c>
      <c r="E2" s="18" t="s">
        <v>1910</v>
      </c>
      <c r="F2" s="18" t="s">
        <v>1497</v>
      </c>
      <c r="G2" s="18" t="s">
        <v>4102</v>
      </c>
      <c r="H2" s="18" t="s">
        <v>4103</v>
      </c>
      <c r="I2" s="18" t="s">
        <v>4104</v>
      </c>
      <c r="J2" s="18" t="s">
        <v>1497</v>
      </c>
      <c r="K2" s="18" t="s">
        <v>6</v>
      </c>
      <c r="L2" s="18" t="s">
        <v>7</v>
      </c>
      <c r="M2" s="18" t="s">
        <v>5672</v>
      </c>
      <c r="N2" s="18" t="s">
        <v>8</v>
      </c>
      <c r="O2" s="18" t="s">
        <v>9</v>
      </c>
      <c r="P2" s="18" t="s">
        <v>4105</v>
      </c>
      <c r="Q2" s="18" t="s">
        <v>4106</v>
      </c>
    </row>
    <row r="3" s="10" customFormat="1" spans="1:17">
      <c r="A3" s="19" t="s">
        <v>3960</v>
      </c>
      <c r="B3" s="20" t="s">
        <v>1565</v>
      </c>
      <c r="C3" s="21" t="s">
        <v>1428</v>
      </c>
      <c r="D3" s="21" t="s">
        <v>1428</v>
      </c>
      <c r="E3" s="21" t="s">
        <v>1428</v>
      </c>
      <c r="F3" s="21" t="s">
        <v>1428</v>
      </c>
      <c r="G3" s="21" t="s">
        <v>1428</v>
      </c>
      <c r="H3" s="21" t="s">
        <v>1428</v>
      </c>
      <c r="I3" s="21" t="s">
        <v>1428</v>
      </c>
      <c r="J3" s="21" t="s">
        <v>1428</v>
      </c>
      <c r="K3" s="22">
        <v>1.40149110687926</v>
      </c>
      <c r="L3" s="22">
        <v>13.2146862931596</v>
      </c>
      <c r="M3" s="21" t="s">
        <v>1428</v>
      </c>
      <c r="N3" s="22">
        <v>0.2</v>
      </c>
      <c r="O3" s="22">
        <f>SUM(G3:N3)</f>
        <v>14.8161774000389</v>
      </c>
      <c r="P3" s="23"/>
      <c r="Q3" s="23" t="s">
        <v>3961</v>
      </c>
    </row>
    <row r="4" s="10" customFormat="1" spans="1:17">
      <c r="A4" s="19"/>
      <c r="B4" s="20" t="s">
        <v>956</v>
      </c>
      <c r="C4" s="21" t="s">
        <v>1428</v>
      </c>
      <c r="D4" s="21" t="s">
        <v>1428</v>
      </c>
      <c r="E4" s="21" t="s">
        <v>1428</v>
      </c>
      <c r="F4" s="21" t="s">
        <v>1428</v>
      </c>
      <c r="G4" s="21" t="s">
        <v>1428</v>
      </c>
      <c r="H4" s="21" t="s">
        <v>1428</v>
      </c>
      <c r="I4" s="21" t="s">
        <v>1428</v>
      </c>
      <c r="J4" s="21" t="s">
        <v>1428</v>
      </c>
      <c r="K4" s="22">
        <v>0.0709458197976177</v>
      </c>
      <c r="L4" s="22">
        <v>0.000274921275033295</v>
      </c>
      <c r="M4" s="21" t="s">
        <v>1428</v>
      </c>
      <c r="N4" s="22">
        <v>0.2</v>
      </c>
      <c r="O4" s="22">
        <f>SUM(G4:N4)</f>
        <v>0.271220741072651</v>
      </c>
      <c r="P4" s="23"/>
      <c r="Q4" s="23" t="s">
        <v>3494</v>
      </c>
    </row>
    <row r="5" s="10" customFormat="1" spans="1:17">
      <c r="A5" s="19"/>
      <c r="B5" s="20" t="s">
        <v>959</v>
      </c>
      <c r="C5" s="21" t="s">
        <v>1428</v>
      </c>
      <c r="D5" s="21" t="s">
        <v>1428</v>
      </c>
      <c r="E5" s="21" t="s">
        <v>1428</v>
      </c>
      <c r="F5" s="21" t="s">
        <v>1428</v>
      </c>
      <c r="G5" s="21" t="s">
        <v>1428</v>
      </c>
      <c r="H5" s="21" t="s">
        <v>1428</v>
      </c>
      <c r="I5" s="21" t="s">
        <v>1428</v>
      </c>
      <c r="J5" s="21" t="s">
        <v>1428</v>
      </c>
      <c r="K5" s="22">
        <v>0.278804625169585</v>
      </c>
      <c r="L5" s="22">
        <v>0.120790411112356</v>
      </c>
      <c r="M5" s="21" t="s">
        <v>1428</v>
      </c>
      <c r="N5" s="22">
        <v>0.2</v>
      </c>
      <c r="O5" s="22">
        <f>SUM(G5:N5)</f>
        <v>0.599595036281941</v>
      </c>
      <c r="P5" s="23"/>
      <c r="Q5" s="23"/>
    </row>
    <row r="6" s="10" customFormat="1" spans="1:17">
      <c r="A6" s="19"/>
      <c r="B6" s="20" t="s">
        <v>961</v>
      </c>
      <c r="C6" s="21" t="s">
        <v>1428</v>
      </c>
      <c r="D6" s="21" t="s">
        <v>1428</v>
      </c>
      <c r="E6" s="21" t="s">
        <v>1428</v>
      </c>
      <c r="F6" s="21" t="s">
        <v>1428</v>
      </c>
      <c r="G6" s="21" t="s">
        <v>1428</v>
      </c>
      <c r="H6" s="21" t="s">
        <v>1428</v>
      </c>
      <c r="I6" s="21" t="s">
        <v>1428</v>
      </c>
      <c r="J6" s="21" t="s">
        <v>1428</v>
      </c>
      <c r="K6" s="22">
        <v>0.149359620626564</v>
      </c>
      <c r="L6" s="24">
        <v>4.41748503292135</v>
      </c>
      <c r="M6" s="21" t="s">
        <v>1428</v>
      </c>
      <c r="N6" s="22">
        <f>10.5/7.11</f>
        <v>1.47679324894515</v>
      </c>
      <c r="O6" s="22">
        <f>SUM(G6:N6)</f>
        <v>6.04363790249306</v>
      </c>
      <c r="P6" s="23"/>
      <c r="Q6" s="23" t="s">
        <v>3962</v>
      </c>
    </row>
    <row r="8" s="10" customFormat="1" ht="15.6" spans="1:17">
      <c r="A8" s="11" t="s">
        <v>8500</v>
      </c>
      <c r="B8" s="12"/>
      <c r="C8" s="12"/>
      <c r="D8" s="13"/>
      <c r="E8" s="14"/>
      <c r="F8" s="14"/>
      <c r="G8" s="13"/>
      <c r="H8" s="13"/>
      <c r="I8" s="13"/>
      <c r="J8" s="13"/>
      <c r="K8" s="15"/>
      <c r="L8" s="15"/>
      <c r="M8" s="13"/>
      <c r="N8" s="15"/>
      <c r="O8" s="15"/>
      <c r="P8" s="12"/>
      <c r="Q8" s="16"/>
    </row>
    <row r="9" s="10" customFormat="1" ht="26.4" spans="1:17">
      <c r="A9" s="17" t="s">
        <v>1490</v>
      </c>
      <c r="B9" s="18" t="s">
        <v>5</v>
      </c>
      <c r="C9" s="18" t="s">
        <v>1933</v>
      </c>
      <c r="D9" s="18" t="s">
        <v>4102</v>
      </c>
      <c r="E9" s="18" t="s">
        <v>1910</v>
      </c>
      <c r="F9" s="18" t="s">
        <v>1497</v>
      </c>
      <c r="G9" s="18" t="s">
        <v>4102</v>
      </c>
      <c r="H9" s="18" t="s">
        <v>4103</v>
      </c>
      <c r="I9" s="18" t="s">
        <v>4104</v>
      </c>
      <c r="J9" s="18" t="s">
        <v>1497</v>
      </c>
      <c r="K9" s="18" t="s">
        <v>6</v>
      </c>
      <c r="L9" s="18" t="s">
        <v>7</v>
      </c>
      <c r="M9" s="18" t="s">
        <v>5672</v>
      </c>
      <c r="N9" s="18" t="s">
        <v>8</v>
      </c>
      <c r="O9" s="18" t="s">
        <v>9</v>
      </c>
      <c r="P9" s="18" t="s">
        <v>4105</v>
      </c>
      <c r="Q9" s="18" t="s">
        <v>4106</v>
      </c>
    </row>
    <row r="10" s="10" customFormat="1" ht="15" spans="1:17">
      <c r="A10" s="25" t="s">
        <v>8508</v>
      </c>
      <c r="B10" s="26" t="s">
        <v>1645</v>
      </c>
      <c r="C10" s="27" t="s">
        <v>3757</v>
      </c>
      <c r="D10" s="28" t="s">
        <v>6159</v>
      </c>
      <c r="E10" s="29" t="s">
        <v>1913</v>
      </c>
      <c r="F10" s="29" t="s">
        <v>1633</v>
      </c>
      <c r="G10" s="29">
        <v>16</v>
      </c>
      <c r="H10" s="29"/>
      <c r="I10" s="30"/>
      <c r="J10" s="29">
        <v>1.86</v>
      </c>
      <c r="K10" s="31">
        <v>3.52115305627124</v>
      </c>
      <c r="L10" s="31">
        <v>7.6821861534352</v>
      </c>
      <c r="M10" s="29" t="s">
        <v>1428</v>
      </c>
      <c r="N10" s="32">
        <v>2.5</v>
      </c>
      <c r="O10" s="31">
        <f>SUM(G10:N10)</f>
        <v>31.5633392097064</v>
      </c>
      <c r="P10" s="33" t="s">
        <v>1526</v>
      </c>
      <c r="Q10" s="34" t="s">
        <v>8509</v>
      </c>
    </row>
    <row r="11" s="10" customFormat="1" ht="15" spans="1:17">
      <c r="A11" s="25"/>
      <c r="B11" s="35" t="s">
        <v>1417</v>
      </c>
      <c r="C11" s="23"/>
      <c r="D11" s="21"/>
      <c r="E11" s="21"/>
      <c r="F11" s="21"/>
      <c r="G11" s="36"/>
      <c r="H11" s="36"/>
      <c r="I11" s="36"/>
      <c r="J11" s="36"/>
      <c r="K11" s="24">
        <v>0.423185591775264</v>
      </c>
      <c r="L11" s="24">
        <v>1.1511540502635</v>
      </c>
      <c r="M11" s="21" t="s">
        <v>1428</v>
      </c>
      <c r="N11" s="37">
        <v>0.2</v>
      </c>
      <c r="O11" s="31">
        <f>SUM(G11:N11)</f>
        <v>1.77433964203876</v>
      </c>
      <c r="P11" s="38"/>
      <c r="Q11" s="39" t="s">
        <v>2839</v>
      </c>
    </row>
  </sheetData>
  <mergeCells count="1">
    <mergeCell ref="A3:A6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>
    <tabColor rgb="FFFF0000"/>
  </sheetPr>
  <dimension ref="A1:M9"/>
  <sheetViews>
    <sheetView workbookViewId="0">
      <selection activeCell="G521" sqref="G521"/>
    </sheetView>
  </sheetViews>
  <sheetFormatPr defaultColWidth="8.88888888888889" defaultRowHeight="14.4"/>
  <cols>
    <col min="1" max="1" width="8.88888888888889" style="1"/>
    <col min="2" max="2" width="18.4444444444444" style="1" customWidth="1"/>
    <col min="3" max="3" width="14.1111111111111" style="1" customWidth="1"/>
    <col min="4" max="4" width="8.88888888888889" style="1"/>
    <col min="5" max="5" width="22.8888888888889" style="1" customWidth="1"/>
    <col min="6" max="6" width="12.8888888888889" style="1"/>
    <col min="7" max="7" width="8.88888888888889" style="1"/>
    <col min="8" max="8" width="6" style="1" customWidth="1"/>
    <col min="9" max="9" width="8.88888888888889" style="1"/>
    <col min="10" max="10" width="12.8888888888889" style="1"/>
  </cols>
  <sheetData>
    <row r="1" spans="1:13">
      <c r="A1" s="2" t="s">
        <v>8510</v>
      </c>
      <c r="B1" s="2" t="s">
        <v>1</v>
      </c>
      <c r="C1" s="2" t="s">
        <v>4541</v>
      </c>
      <c r="D1" s="2" t="s">
        <v>8511</v>
      </c>
      <c r="E1" s="2" t="s">
        <v>4541</v>
      </c>
      <c r="F1" s="2" t="s">
        <v>8512</v>
      </c>
      <c r="G1" s="2" t="s">
        <v>8513</v>
      </c>
      <c r="H1" s="2" t="s">
        <v>7824</v>
      </c>
      <c r="I1" s="2" t="s">
        <v>8514</v>
      </c>
      <c r="J1" s="2" t="s">
        <v>8515</v>
      </c>
      <c r="M1" t="s">
        <v>8516</v>
      </c>
    </row>
    <row r="2" spans="1:13">
      <c r="A2" s="3" t="s">
        <v>8517</v>
      </c>
      <c r="B2" s="4" t="s">
        <v>5117</v>
      </c>
      <c r="C2" s="5" t="s">
        <v>8497</v>
      </c>
      <c r="D2" s="5">
        <v>4000</v>
      </c>
      <c r="E2" s="5" t="s">
        <v>8518</v>
      </c>
      <c r="F2" s="6">
        <f>103.498536786506+5.91395295925135</f>
        <v>109.412489745757</v>
      </c>
      <c r="G2" s="7">
        <f>103.498536786506+5.53617916283664</f>
        <v>109.034715949343</v>
      </c>
      <c r="H2" s="6">
        <f>F2-G2</f>
        <v>0.377773796414701</v>
      </c>
      <c r="I2" s="7">
        <f>915/1.13/7.11</f>
        <v>113.886710727755</v>
      </c>
      <c r="J2" s="6">
        <f>H2*D2</f>
        <v>1511.0951856588</v>
      </c>
      <c r="M2" t="s">
        <v>8519</v>
      </c>
    </row>
    <row r="3" spans="1:13">
      <c r="A3" s="3"/>
      <c r="B3" s="4" t="s">
        <v>5119</v>
      </c>
      <c r="C3" s="5" t="s">
        <v>8498</v>
      </c>
      <c r="D3" s="5">
        <v>1800</v>
      </c>
      <c r="E3" s="5" t="s">
        <v>8518</v>
      </c>
      <c r="F3" s="6">
        <f>102.78549843949+5.91395295925135</f>
        <v>108.699451398741</v>
      </c>
      <c r="G3" s="7">
        <f>102.78549843949+5.53617916283664</f>
        <v>108.321677602327</v>
      </c>
      <c r="H3" s="6">
        <f>F3-G3</f>
        <v>0.377773796414701</v>
      </c>
      <c r="I3" s="7">
        <f>915/1.13/7.11</f>
        <v>113.886710727755</v>
      </c>
      <c r="J3" s="6">
        <f>H3*D3</f>
        <v>679.992833546461</v>
      </c>
    </row>
    <row r="4" spans="1:13">
      <c r="A4" s="3"/>
      <c r="B4" s="4" t="s">
        <v>5121</v>
      </c>
      <c r="C4" s="5" t="s">
        <v>8499</v>
      </c>
      <c r="D4" s="5">
        <v>2800</v>
      </c>
      <c r="E4" s="5" t="s">
        <v>8518</v>
      </c>
      <c r="F4" s="6">
        <f>102.779500157126+5.91395295925135</f>
        <v>108.693453116377</v>
      </c>
      <c r="G4" s="7">
        <f>102.779500157126+5.53617916283664</f>
        <v>108.315679319963</v>
      </c>
      <c r="H4" s="6">
        <f>F4-G4</f>
        <v>0.377773796414701</v>
      </c>
      <c r="I4" s="7">
        <f>915/1.13/7.11</f>
        <v>113.886710727755</v>
      </c>
      <c r="J4" s="6">
        <f>H4*D4</f>
        <v>1057.76662996116</v>
      </c>
    </row>
    <row r="5" spans="1:13">
      <c r="A5" s="3"/>
      <c r="B5" s="8" t="s">
        <v>7911</v>
      </c>
      <c r="C5" s="9"/>
      <c r="D5" s="5">
        <f>SUM(D2:D4)</f>
        <v>8600</v>
      </c>
      <c r="E5" s="8" t="s">
        <v>7911</v>
      </c>
      <c r="F5" s="8"/>
      <c r="G5" s="8"/>
      <c r="H5" s="8"/>
      <c r="I5" s="8"/>
      <c r="J5" s="6">
        <f>SUM(J2:J4)</f>
        <v>3248.85464916643</v>
      </c>
    </row>
    <row r="6" spans="1:13">
      <c r="A6" s="3"/>
      <c r="B6" s="4" t="s">
        <v>3564</v>
      </c>
      <c r="C6" s="5" t="s">
        <v>8505</v>
      </c>
      <c r="D6" s="5">
        <v>2600</v>
      </c>
      <c r="E6" s="5" t="s">
        <v>3566</v>
      </c>
      <c r="F6" s="6">
        <v>45.7988586866117</v>
      </c>
      <c r="G6" s="7">
        <v>45.0021461741522</v>
      </c>
      <c r="H6" s="6">
        <f>F6-G6</f>
        <v>0.7967125124595</v>
      </c>
      <c r="I6" s="7">
        <f>412/7.11/1.13</f>
        <v>51.2801364151202</v>
      </c>
      <c r="J6" s="6">
        <f>H6*D6</f>
        <v>2071.4525323947</v>
      </c>
    </row>
    <row r="7" spans="1:13">
      <c r="A7" s="3"/>
      <c r="B7" s="4" t="s">
        <v>8520</v>
      </c>
      <c r="C7" s="5" t="s">
        <v>8506</v>
      </c>
      <c r="D7" s="5">
        <v>1700</v>
      </c>
      <c r="E7" s="5" t="s">
        <v>3566</v>
      </c>
      <c r="F7" s="6">
        <v>45.598887791651</v>
      </c>
      <c r="G7" s="7">
        <v>44.9885479800296</v>
      </c>
      <c r="H7" s="6">
        <f>F7-G7</f>
        <v>0.610339811621401</v>
      </c>
      <c r="I7" s="7">
        <f>412/7.11/1.13</f>
        <v>51.2801364151202</v>
      </c>
      <c r="J7" s="6">
        <f>H7*D7</f>
        <v>1037.57767975638</v>
      </c>
    </row>
    <row r="8" spans="1:13">
      <c r="A8" s="3"/>
      <c r="B8" s="4" t="s">
        <v>8427</v>
      </c>
      <c r="C8" s="5" t="s">
        <v>8507</v>
      </c>
      <c r="D8" s="5">
        <v>1000</v>
      </c>
      <c r="E8" s="5" t="s">
        <v>3566</v>
      </c>
      <c r="F8" s="6">
        <v>45.598887791651</v>
      </c>
      <c r="G8" s="7">
        <v>44.9444381755395</v>
      </c>
      <c r="H8" s="6">
        <f>F8-G8</f>
        <v>0.654449616111499</v>
      </c>
      <c r="I8" s="7">
        <f>412/7.11/1.13</f>
        <v>51.2801364151202</v>
      </c>
      <c r="J8" s="6">
        <f>H8*D8</f>
        <v>654.449616111499</v>
      </c>
    </row>
    <row r="9" spans="1:13">
      <c r="A9" s="3"/>
      <c r="B9" s="8" t="s">
        <v>7911</v>
      </c>
      <c r="C9" s="9"/>
      <c r="D9" s="5">
        <f>SUM(D6:D8)</f>
        <v>5300</v>
      </c>
      <c r="E9" s="8" t="s">
        <v>7911</v>
      </c>
      <c r="F9" s="8"/>
      <c r="G9" s="8"/>
      <c r="H9" s="8"/>
      <c r="I9" s="8"/>
      <c r="J9" s="6">
        <f>SUM(J6:J8)</f>
        <v>3763.47982826258</v>
      </c>
    </row>
  </sheetData>
  <mergeCells count="5">
    <mergeCell ref="B5:C5"/>
    <mergeCell ref="E5:I5"/>
    <mergeCell ref="B9:C9"/>
    <mergeCell ref="E9:I9"/>
    <mergeCell ref="A2:A9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DB小板汇总</vt:lpstr>
      <vt:lpstr>DB小板汇总 (2)</vt:lpstr>
      <vt:lpstr>E BOM大核</vt:lpstr>
      <vt:lpstr>对比差异</vt:lpstr>
      <vt:lpstr>E BOM大核 (2)</vt:lpstr>
      <vt:lpstr>E BOM大核 (3)</vt:lpstr>
      <vt:lpstr>E BOM小核</vt:lpstr>
      <vt:lpstr>E BOM小核 (2)</vt:lpstr>
      <vt:lpstr>EVT PVT大核 E BOM</vt:lpstr>
      <vt:lpstr>EVT PVT 小核 E BOM</vt:lpstr>
      <vt:lpstr>AMD</vt:lpstr>
      <vt:lpstr>AMD (2)</vt:lpstr>
      <vt:lpstr>AMD (3)</vt:lpstr>
      <vt:lpstr>高通</vt:lpstr>
      <vt:lpstr>5G</vt:lpstr>
      <vt:lpstr>RK</vt:lpstr>
      <vt:lpstr>工控</vt:lpstr>
      <vt:lpstr>老项目</vt:lpstr>
      <vt:lpstr>Sheet7</vt:lpstr>
      <vt:lpstr>Sheet3</vt:lpstr>
      <vt:lpstr>Sheet8</vt:lpstr>
      <vt:lpstr>Sheet6</vt:lpstr>
      <vt:lpstr>Sheet5</vt:lpstr>
      <vt:lpstr>Sheet4</vt:lpstr>
      <vt:lpstr>Sheet2</vt:lpstr>
      <vt:lpstr>1</vt:lpstr>
      <vt:lpstr>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利子</cp:lastModifiedBy>
  <dcterms:created xsi:type="dcterms:W3CDTF">2023-05-12T11:15:00Z</dcterms:created>
  <dcterms:modified xsi:type="dcterms:W3CDTF">2026-09-29T06:12:07Z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01283278FF5144C896C62D814D565814_13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